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Sophia\Downloads\"/>
    </mc:Choice>
  </mc:AlternateContent>
  <xr:revisionPtr revIDLastSave="0" documentId="8_{54CAB463-9B94-4348-B4DE-B31AC1D1CAE7}" xr6:coauthVersionLast="47" xr6:coauthVersionMax="47" xr10:uidLastSave="{00000000-0000-0000-0000-000000000000}"/>
  <bookViews>
    <workbookView xWindow="2835" yWindow="690" windowWidth="22575" windowHeight="13230" tabRatio="743" firstSheet="4" activeTab="4" xr2:uid="{00000000-000D-0000-FFFF-FFFF00000000}"/>
  </bookViews>
  <sheets>
    <sheet name="DATA ENTRY INSTRUCTIONS" sheetId="1" r:id="rId1"/>
    <sheet name="Internal -- USPTO Marks Identif" sheetId="2" state="hidden" r:id="rId2"/>
    <sheet name="Autotracking" sheetId="3" r:id="rId3"/>
    <sheet name="Migration Sheets --&gt;" sheetId="4" r:id="rId4"/>
    <sheet name="USPTO TMs" sheetId="5" r:id="rId5"/>
    <sheet name="CIPO TMs" sheetId="6" r:id="rId6"/>
    <sheet name="Intl and US State TMs" sheetId="7" r:id="rId7"/>
    <sheet name="Patents" sheetId="8" r:id="rId8"/>
    <sheet name="TTAB" sheetId="9" r:id="rId9"/>
    <sheet name="Disputes (Non-TTAB)" sheetId="10" r:id="rId10"/>
    <sheet name="Copyrights" sheetId="11" r:id="rId11"/>
    <sheet name="Custom Matters" sheetId="12" r:id="rId12"/>
    <sheet name="Journal" sheetId="13" r:id="rId13"/>
    <sheet name="Internal -- Blacklist" sheetId="14" state="hidden" r:id="rId14"/>
    <sheet name="Internal -- Trademark Countries" sheetId="15" state="hidden" r:id="rId15"/>
    <sheet name="SmartStatus" sheetId="16" state="hidden" r:id="rId16"/>
    <sheet name="Original Data --&gt;" sheetId="17" r:id="rId17"/>
    <sheet name="Organization Information" sheetId="18" state="hidden" r:id="rId18"/>
    <sheet name="Internal Sheets --&gt;" sheetId="19" state="hidden" r:id="rId19"/>
    <sheet name="Internal -- CPI Migration" sheetId="20" state="hidden" r:id="rId20"/>
    <sheet name="Internal -- Positioning" sheetId="21" state="hidden" r:id="rId21"/>
    <sheet name="Internal -- Patent Countries" sheetId="22" state="hidden" r:id="rId22"/>
    <sheet name="Internal -- Copyright Countries" sheetId="23" state="hidden" r:id="rId23"/>
  </sheets>
  <definedNames>
    <definedName name="_xlnm._FilterDatabase" localSheetId="2" hidden="1">Autotracking!$A$1:$N$30</definedName>
    <definedName name="_xlnm._FilterDatabase" localSheetId="5" hidden="1">'CIPO TMs'!$A$1:$DB$100</definedName>
    <definedName name="_xlnm._FilterDatabase" localSheetId="10" hidden="1">Copyrights!$A$1:$BS$1</definedName>
    <definedName name="_xlnm._FilterDatabase" localSheetId="11" hidden="1">'Custom Matters'!$A$1:$CS$100</definedName>
    <definedName name="_xlnm._FilterDatabase" localSheetId="9" hidden="1">'Disputes (Non-TTAB)'!$A$1:$CX$100</definedName>
    <definedName name="_xlnm._FilterDatabase" localSheetId="22" hidden="1">'Internal -- Copyright Countries'!$A$1:$E$210</definedName>
    <definedName name="_xlnm._FilterDatabase" localSheetId="21" hidden="1">'Internal -- Patent Countries'!$A$1:$I$214</definedName>
    <definedName name="_xlnm._FilterDatabase" localSheetId="14" hidden="1">'Internal -- Trademark Countries'!$A$1:$E$296</definedName>
    <definedName name="_xlnm._FilterDatabase" localSheetId="1" hidden="1">'Internal -- USPTO Marks Identif'!$A$1:$I$21770</definedName>
    <definedName name="_xlnm._FilterDatabase" localSheetId="6" hidden="1">'Intl and US State TMs'!$A$1:$EK$1000</definedName>
    <definedName name="_xlnm._FilterDatabase" localSheetId="12" hidden="1">Journal!$A$1:$G$1</definedName>
    <definedName name="_xlnm._FilterDatabase" localSheetId="7" hidden="1">Patents!$A$1:$DW$1</definedName>
    <definedName name="_xlnm._FilterDatabase" localSheetId="15" hidden="1">SmartStatus!$A$1:$G$599</definedName>
    <definedName name="_xlnm._FilterDatabase" localSheetId="8" hidden="1">TTAB!$A$1:$CX$100</definedName>
    <definedName name="_xlnm._FilterDatabase" localSheetId="4" hidden="1">'USPTO TMs'!$A$1:$DD$100</definedName>
    <definedName name="ACTION_MODE">#REF!</definedName>
    <definedName name="Application_Type">#REF!</definedName>
    <definedName name="Case_Managed_By">#REF!</definedName>
    <definedName name="Country">#REF!</definedName>
    <definedName name="FIRST_FILING">#REF!</definedName>
    <definedName name="INTERNAL_GROUP_MANAGING">#REF!</definedName>
    <definedName name="IS_COLOR">#REF!</definedName>
    <definedName name="IS_INTERNAL">#REF!</definedName>
    <definedName name="ITU">#REF!</definedName>
    <definedName name="MARK_TYPE">#REF!</definedName>
    <definedName name="PROTOCOL_OR_AGREEMENT">#REF!</definedName>
    <definedName name="REGISTRATION_TYPE">#REF!</definedName>
    <definedName name="RENEWAL_STATUS">#REF!</definedName>
    <definedName name="TRADEMARK_SECONDARY_STATUS">#REF!</definedName>
    <definedName name="TRADEMARK_STATUS">#REF!</definedName>
    <definedName name="TRUE_FALSE">#REF!</definedName>
    <definedName name="Verificatiion_Status">#REF!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S23" i="12" l="1"/>
  <c r="CN23" i="12"/>
  <c r="CM23" i="12"/>
  <c r="CD23" i="12"/>
  <c r="BV23" i="12"/>
  <c r="BS23" i="12"/>
  <c r="CS22" i="12"/>
  <c r="CN22" i="12"/>
  <c r="CM22" i="12"/>
  <c r="CD22" i="12"/>
  <c r="BV22" i="12"/>
  <c r="BS22" i="12"/>
  <c r="CS21" i="12"/>
  <c r="CN21" i="12"/>
  <c r="CM21" i="12"/>
  <c r="CD21" i="12"/>
  <c r="BV21" i="12"/>
  <c r="BS21" i="12"/>
  <c r="CS20" i="12"/>
  <c r="CN20" i="12"/>
  <c r="CM20" i="12"/>
  <c r="CD20" i="12"/>
  <c r="BV20" i="12"/>
  <c r="BS20" i="12"/>
  <c r="CS19" i="12"/>
  <c r="CN19" i="12"/>
  <c r="CM19" i="12"/>
  <c r="CD19" i="12"/>
  <c r="BV19" i="12"/>
  <c r="BS19" i="12"/>
  <c r="CS18" i="12"/>
  <c r="CN18" i="12"/>
  <c r="CM18" i="12"/>
  <c r="CD18" i="12"/>
  <c r="BV18" i="12"/>
  <c r="BS18" i="12"/>
  <c r="CS17" i="12"/>
  <c r="CN17" i="12"/>
  <c r="CM17" i="12"/>
  <c r="CD17" i="12"/>
  <c r="BV17" i="12"/>
  <c r="BS17" i="12"/>
  <c r="CS16" i="12"/>
  <c r="CN16" i="12"/>
  <c r="CM16" i="12"/>
  <c r="CD16" i="12"/>
  <c r="BV16" i="12"/>
  <c r="BS16" i="12"/>
  <c r="CS15" i="12"/>
  <c r="CN15" i="12"/>
  <c r="CM15" i="12"/>
  <c r="CD15" i="12"/>
  <c r="BV15" i="12"/>
  <c r="BS15" i="12"/>
  <c r="CS14" i="12"/>
  <c r="CN14" i="12"/>
  <c r="CM14" i="12"/>
  <c r="CD14" i="12"/>
  <c r="BV14" i="12"/>
  <c r="BS14" i="12"/>
  <c r="CS13" i="12"/>
  <c r="CN13" i="12"/>
  <c r="CM13" i="12"/>
  <c r="CD13" i="12"/>
  <c r="BV13" i="12"/>
  <c r="BS13" i="12"/>
  <c r="CS12" i="12"/>
  <c r="CN12" i="12"/>
  <c r="CM12" i="12"/>
  <c r="CD12" i="12"/>
  <c r="BV12" i="12"/>
  <c r="BS12" i="12"/>
  <c r="CS11" i="12"/>
  <c r="CN11" i="12"/>
  <c r="CM11" i="12"/>
  <c r="CD11" i="12"/>
  <c r="BV11" i="12"/>
  <c r="BS11" i="12"/>
  <c r="CS10" i="12"/>
  <c r="CN10" i="12"/>
  <c r="CM10" i="12"/>
  <c r="CD10" i="12"/>
  <c r="BV10" i="12"/>
  <c r="BS10" i="12"/>
  <c r="CS9" i="12"/>
  <c r="CN9" i="12"/>
  <c r="CM9" i="12"/>
  <c r="CD9" i="12"/>
  <c r="BV9" i="12"/>
  <c r="BS9" i="12"/>
  <c r="CS8" i="12"/>
  <c r="CN8" i="12"/>
  <c r="CM8" i="12"/>
  <c r="CD8" i="12"/>
  <c r="BV8" i="12"/>
  <c r="BS8" i="12"/>
  <c r="CS7" i="12"/>
  <c r="CN7" i="12"/>
  <c r="CM7" i="12"/>
  <c r="CD7" i="12"/>
  <c r="BV7" i="12"/>
  <c r="BS7" i="12"/>
  <c r="CS6" i="12"/>
  <c r="CN6" i="12"/>
  <c r="CM6" i="12"/>
  <c r="CD6" i="12"/>
  <c r="BV6" i="12"/>
  <c r="BS6" i="12"/>
  <c r="CS5" i="12"/>
  <c r="CN5" i="12"/>
  <c r="CM5" i="12"/>
  <c r="CD5" i="12"/>
  <c r="BV5" i="12"/>
  <c r="BS5" i="12"/>
  <c r="CS4" i="12"/>
  <c r="CN4" i="12"/>
  <c r="CM4" i="12"/>
  <c r="CD4" i="12"/>
  <c r="BV4" i="12"/>
  <c r="BS4" i="12"/>
  <c r="CS3" i="12"/>
  <c r="CN3" i="12"/>
  <c r="CM3" i="12"/>
  <c r="CD3" i="12"/>
  <c r="BV3" i="12"/>
  <c r="BS3" i="12"/>
  <c r="CS2" i="12"/>
  <c r="CN2" i="12"/>
  <c r="CM2" i="12"/>
  <c r="CD2" i="12"/>
  <c r="BV2" i="12"/>
  <c r="BS2" i="12"/>
  <c r="BS100" i="11"/>
  <c r="BN100" i="11"/>
  <c r="BM100" i="11"/>
  <c r="AW100" i="11"/>
  <c r="AT100" i="11"/>
  <c r="BS99" i="11"/>
  <c r="BN99" i="11"/>
  <c r="BM99" i="11"/>
  <c r="AW99" i="11"/>
  <c r="AT99" i="11"/>
  <c r="BS98" i="11"/>
  <c r="BN98" i="11"/>
  <c r="BM98" i="11"/>
  <c r="AW98" i="11"/>
  <c r="AT98" i="11"/>
  <c r="BS97" i="11"/>
  <c r="BN97" i="11"/>
  <c r="BM97" i="11"/>
  <c r="AW97" i="11"/>
  <c r="AT97" i="11"/>
  <c r="BS96" i="11"/>
  <c r="BN96" i="11"/>
  <c r="BM96" i="11"/>
  <c r="AW96" i="11"/>
  <c r="AT96" i="11"/>
  <c r="BS95" i="11"/>
  <c r="BN95" i="11"/>
  <c r="BM95" i="11"/>
  <c r="AW95" i="11"/>
  <c r="AT95" i="11"/>
  <c r="BS94" i="11"/>
  <c r="BN94" i="11"/>
  <c r="BM94" i="11"/>
  <c r="AW94" i="11"/>
  <c r="AT94" i="11"/>
  <c r="BS93" i="11"/>
  <c r="BN93" i="11"/>
  <c r="BM93" i="11"/>
  <c r="AW93" i="11"/>
  <c r="AT93" i="11"/>
  <c r="BS92" i="11"/>
  <c r="BN92" i="11"/>
  <c r="BM92" i="11"/>
  <c r="AW92" i="11"/>
  <c r="AT92" i="11"/>
  <c r="BS91" i="11"/>
  <c r="BN91" i="11"/>
  <c r="BM91" i="11"/>
  <c r="AW91" i="11"/>
  <c r="AT91" i="11"/>
  <c r="BS90" i="11"/>
  <c r="BN90" i="11"/>
  <c r="BM90" i="11"/>
  <c r="AW90" i="11"/>
  <c r="AT90" i="11"/>
  <c r="BS89" i="11"/>
  <c r="BN89" i="11"/>
  <c r="BM89" i="11"/>
  <c r="AW89" i="11"/>
  <c r="AT89" i="11"/>
  <c r="BS88" i="11"/>
  <c r="BN88" i="11"/>
  <c r="BM88" i="11"/>
  <c r="AW88" i="11"/>
  <c r="AT88" i="11"/>
  <c r="BS87" i="11"/>
  <c r="BN87" i="11"/>
  <c r="BM87" i="11"/>
  <c r="AW87" i="11"/>
  <c r="AT87" i="11"/>
  <c r="BS86" i="11"/>
  <c r="BN86" i="11"/>
  <c r="BM86" i="11"/>
  <c r="AW86" i="11"/>
  <c r="AT86" i="11"/>
  <c r="BS85" i="11"/>
  <c r="BN85" i="11"/>
  <c r="BM85" i="11"/>
  <c r="AW85" i="11"/>
  <c r="AT85" i="11"/>
  <c r="BS84" i="11"/>
  <c r="BN84" i="11"/>
  <c r="BM84" i="11"/>
  <c r="AW84" i="11"/>
  <c r="AT84" i="11"/>
  <c r="BS83" i="11"/>
  <c r="BN83" i="11"/>
  <c r="BM83" i="11"/>
  <c r="AW83" i="11"/>
  <c r="AT83" i="11"/>
  <c r="BS82" i="11"/>
  <c r="BN82" i="11"/>
  <c r="BM82" i="11"/>
  <c r="AW82" i="11"/>
  <c r="AT82" i="11"/>
  <c r="BS81" i="11"/>
  <c r="BN81" i="11"/>
  <c r="BM81" i="11"/>
  <c r="AW81" i="11"/>
  <c r="AT81" i="11"/>
  <c r="BS80" i="11"/>
  <c r="BN80" i="11"/>
  <c r="BM80" i="11"/>
  <c r="AW80" i="11"/>
  <c r="AT80" i="11"/>
  <c r="BS79" i="11"/>
  <c r="BN79" i="11"/>
  <c r="BM79" i="11"/>
  <c r="AW79" i="11"/>
  <c r="AT79" i="11"/>
  <c r="BS78" i="11"/>
  <c r="BN78" i="11"/>
  <c r="BM78" i="11"/>
  <c r="AW78" i="11"/>
  <c r="AT78" i="11"/>
  <c r="BS77" i="11"/>
  <c r="BN77" i="11"/>
  <c r="BM77" i="11"/>
  <c r="AW77" i="11"/>
  <c r="AT77" i="11"/>
  <c r="BS76" i="11"/>
  <c r="BN76" i="11"/>
  <c r="BM76" i="11"/>
  <c r="AW76" i="11"/>
  <c r="AT76" i="11"/>
  <c r="BS75" i="11"/>
  <c r="BN75" i="11"/>
  <c r="BM75" i="11"/>
  <c r="AW75" i="11"/>
  <c r="AT75" i="11"/>
  <c r="BS74" i="11"/>
  <c r="BN74" i="11"/>
  <c r="BM74" i="11"/>
  <c r="AW74" i="11"/>
  <c r="AT74" i="11"/>
  <c r="BS73" i="11"/>
  <c r="BN73" i="11"/>
  <c r="BM73" i="11"/>
  <c r="AW73" i="11"/>
  <c r="AT73" i="11"/>
  <c r="BS72" i="11"/>
  <c r="BN72" i="11"/>
  <c r="BM72" i="11"/>
  <c r="AW72" i="11"/>
  <c r="AT72" i="11"/>
  <c r="BS71" i="11"/>
  <c r="BN71" i="11"/>
  <c r="BM71" i="11"/>
  <c r="AW71" i="11"/>
  <c r="AT71" i="11"/>
  <c r="BS70" i="11"/>
  <c r="BN70" i="11"/>
  <c r="BM70" i="11"/>
  <c r="AW70" i="11"/>
  <c r="AT70" i="11"/>
  <c r="BS69" i="11"/>
  <c r="BN69" i="11"/>
  <c r="BM69" i="11"/>
  <c r="AW69" i="11"/>
  <c r="AT69" i="11"/>
  <c r="BS68" i="11"/>
  <c r="BN68" i="11"/>
  <c r="BM68" i="11"/>
  <c r="AW68" i="11"/>
  <c r="AT68" i="11"/>
  <c r="BS67" i="11"/>
  <c r="BN67" i="11"/>
  <c r="BM67" i="11"/>
  <c r="AW67" i="11"/>
  <c r="AT67" i="11"/>
  <c r="BS66" i="11"/>
  <c r="BN66" i="11"/>
  <c r="BM66" i="11"/>
  <c r="AW66" i="11"/>
  <c r="AT66" i="11"/>
  <c r="BS65" i="11"/>
  <c r="BN65" i="11"/>
  <c r="BM65" i="11"/>
  <c r="AW65" i="11"/>
  <c r="AT65" i="11"/>
  <c r="BS64" i="11"/>
  <c r="BN64" i="11"/>
  <c r="BM64" i="11"/>
  <c r="AW64" i="11"/>
  <c r="AT64" i="11"/>
  <c r="BS63" i="11"/>
  <c r="BN63" i="11"/>
  <c r="BM63" i="11"/>
  <c r="AW63" i="11"/>
  <c r="AT63" i="11"/>
  <c r="BS62" i="11"/>
  <c r="BN62" i="11"/>
  <c r="BM62" i="11"/>
  <c r="AW62" i="11"/>
  <c r="AT62" i="11"/>
  <c r="BS61" i="11"/>
  <c r="BN61" i="11"/>
  <c r="BM61" i="11"/>
  <c r="AW61" i="11"/>
  <c r="AT61" i="11"/>
  <c r="BS60" i="11"/>
  <c r="BN60" i="11"/>
  <c r="BM60" i="11"/>
  <c r="AW60" i="11"/>
  <c r="AT60" i="11"/>
  <c r="BS59" i="11"/>
  <c r="BN59" i="11"/>
  <c r="BM59" i="11"/>
  <c r="AW59" i="11"/>
  <c r="AT59" i="11"/>
  <c r="BS58" i="11"/>
  <c r="BN58" i="11"/>
  <c r="BM58" i="11"/>
  <c r="AW58" i="11"/>
  <c r="AT58" i="11"/>
  <c r="BS57" i="11"/>
  <c r="BN57" i="11"/>
  <c r="BM57" i="11"/>
  <c r="AW57" i="11"/>
  <c r="AT57" i="11"/>
  <c r="BS56" i="11"/>
  <c r="BN56" i="11"/>
  <c r="BM56" i="11"/>
  <c r="AW56" i="11"/>
  <c r="AT56" i="11"/>
  <c r="BS55" i="11"/>
  <c r="BN55" i="11"/>
  <c r="BM55" i="11"/>
  <c r="AW55" i="11"/>
  <c r="AT55" i="11"/>
  <c r="BS54" i="11"/>
  <c r="BN54" i="11"/>
  <c r="BM54" i="11"/>
  <c r="AW54" i="11"/>
  <c r="AT54" i="11"/>
  <c r="BS53" i="11"/>
  <c r="BN53" i="11"/>
  <c r="BM53" i="11"/>
  <c r="AW53" i="11"/>
  <c r="AT53" i="11"/>
  <c r="BS52" i="11"/>
  <c r="BN52" i="11"/>
  <c r="BM52" i="11"/>
  <c r="AW52" i="11"/>
  <c r="AT52" i="11"/>
  <c r="BS51" i="11"/>
  <c r="BN51" i="11"/>
  <c r="BM51" i="11"/>
  <c r="AW51" i="11"/>
  <c r="AT51" i="11"/>
  <c r="BS50" i="11"/>
  <c r="BN50" i="11"/>
  <c r="BM50" i="11"/>
  <c r="AW50" i="11"/>
  <c r="AT50" i="11"/>
  <c r="BS49" i="11"/>
  <c r="BN49" i="11"/>
  <c r="BM49" i="11"/>
  <c r="AW49" i="11"/>
  <c r="AT49" i="11"/>
  <c r="BS48" i="11"/>
  <c r="BN48" i="11"/>
  <c r="BM48" i="11"/>
  <c r="AW48" i="11"/>
  <c r="AT48" i="11"/>
  <c r="BS47" i="11"/>
  <c r="BN47" i="11"/>
  <c r="BM47" i="11"/>
  <c r="AW47" i="11"/>
  <c r="AT47" i="11"/>
  <c r="BS46" i="11"/>
  <c r="BN46" i="11"/>
  <c r="BM46" i="11"/>
  <c r="AW46" i="11"/>
  <c r="AT46" i="11"/>
  <c r="BS45" i="11"/>
  <c r="BN45" i="11"/>
  <c r="BM45" i="11"/>
  <c r="AW45" i="11"/>
  <c r="AT45" i="11"/>
  <c r="BS44" i="11"/>
  <c r="BN44" i="11"/>
  <c r="BM44" i="11"/>
  <c r="AW44" i="11"/>
  <c r="AT44" i="11"/>
  <c r="BS43" i="11"/>
  <c r="BN43" i="11"/>
  <c r="BM43" i="11"/>
  <c r="AW43" i="11"/>
  <c r="AT43" i="11"/>
  <c r="BS42" i="11"/>
  <c r="BN42" i="11"/>
  <c r="BM42" i="11"/>
  <c r="AW42" i="11"/>
  <c r="AT42" i="11"/>
  <c r="BS41" i="11"/>
  <c r="BN41" i="11"/>
  <c r="BM41" i="11"/>
  <c r="AW41" i="11"/>
  <c r="AT41" i="11"/>
  <c r="BS40" i="11"/>
  <c r="BN40" i="11"/>
  <c r="BM40" i="11"/>
  <c r="AW40" i="11"/>
  <c r="AT40" i="11"/>
  <c r="BS39" i="11"/>
  <c r="BN39" i="11"/>
  <c r="BM39" i="11"/>
  <c r="AW39" i="11"/>
  <c r="AT39" i="11"/>
  <c r="BS38" i="11"/>
  <c r="BN38" i="11"/>
  <c r="BM38" i="11"/>
  <c r="AW38" i="11"/>
  <c r="AT38" i="11"/>
  <c r="BS37" i="11"/>
  <c r="BN37" i="11"/>
  <c r="BM37" i="11"/>
  <c r="AW37" i="11"/>
  <c r="AT37" i="11"/>
  <c r="BS36" i="11"/>
  <c r="BN36" i="11"/>
  <c r="BM36" i="11"/>
  <c r="AW36" i="11"/>
  <c r="AT36" i="11"/>
  <c r="BS35" i="11"/>
  <c r="BN35" i="11"/>
  <c r="BM35" i="11"/>
  <c r="AW35" i="11"/>
  <c r="AT35" i="11"/>
  <c r="BS34" i="11"/>
  <c r="BN34" i="11"/>
  <c r="BM34" i="11"/>
  <c r="AW34" i="11"/>
  <c r="AT34" i="11"/>
  <c r="BS33" i="11"/>
  <c r="BN33" i="11"/>
  <c r="BM33" i="11"/>
  <c r="AW33" i="11"/>
  <c r="AT33" i="11"/>
  <c r="BS32" i="11"/>
  <c r="BN32" i="11"/>
  <c r="BM32" i="11"/>
  <c r="AW32" i="11"/>
  <c r="AT32" i="11"/>
  <c r="BS31" i="11"/>
  <c r="BN31" i="11"/>
  <c r="BM31" i="11"/>
  <c r="AW31" i="11"/>
  <c r="AT31" i="11"/>
  <c r="BS30" i="11"/>
  <c r="BN30" i="11"/>
  <c r="BM30" i="11"/>
  <c r="AW30" i="11"/>
  <c r="AT30" i="11"/>
  <c r="BS29" i="11"/>
  <c r="BN29" i="11"/>
  <c r="BM29" i="11"/>
  <c r="AW29" i="11"/>
  <c r="AT29" i="11"/>
  <c r="BS28" i="11"/>
  <c r="BN28" i="11"/>
  <c r="BM28" i="11"/>
  <c r="AW28" i="11"/>
  <c r="AT28" i="11"/>
  <c r="BS27" i="11"/>
  <c r="BN27" i="11"/>
  <c r="BM27" i="11"/>
  <c r="AW27" i="11"/>
  <c r="AT27" i="11"/>
  <c r="BS26" i="11"/>
  <c r="BN26" i="11"/>
  <c r="BM26" i="11"/>
  <c r="AW26" i="11"/>
  <c r="AT26" i="11"/>
  <c r="BS25" i="11"/>
  <c r="BN25" i="11"/>
  <c r="BM25" i="11"/>
  <c r="AW25" i="11"/>
  <c r="AT25" i="11"/>
  <c r="BS24" i="11"/>
  <c r="BN24" i="11"/>
  <c r="BM24" i="11"/>
  <c r="AW24" i="11"/>
  <c r="AT24" i="11"/>
  <c r="BS23" i="11"/>
  <c r="BN23" i="11"/>
  <c r="BM23" i="11"/>
  <c r="AW23" i="11"/>
  <c r="AT23" i="11"/>
  <c r="BS22" i="11"/>
  <c r="BN22" i="11"/>
  <c r="BM22" i="11"/>
  <c r="AW22" i="11"/>
  <c r="AT22" i="11"/>
  <c r="BS21" i="11"/>
  <c r="BN21" i="11"/>
  <c r="BM21" i="11"/>
  <c r="AW21" i="11"/>
  <c r="AT21" i="11"/>
  <c r="BS20" i="11"/>
  <c r="BN20" i="11"/>
  <c r="BM20" i="11"/>
  <c r="AW20" i="11"/>
  <c r="AT20" i="11"/>
  <c r="BS19" i="11"/>
  <c r="BN19" i="11"/>
  <c r="BM19" i="11"/>
  <c r="AW19" i="11"/>
  <c r="AT19" i="11"/>
  <c r="BS18" i="11"/>
  <c r="BN18" i="11"/>
  <c r="BM18" i="11"/>
  <c r="AW18" i="11"/>
  <c r="AT18" i="11"/>
  <c r="BS17" i="11"/>
  <c r="BN17" i="11"/>
  <c r="BM17" i="11"/>
  <c r="AW17" i="11"/>
  <c r="AT17" i="11"/>
  <c r="BS16" i="11"/>
  <c r="BN16" i="11"/>
  <c r="BM16" i="11"/>
  <c r="AW16" i="11"/>
  <c r="AT16" i="11"/>
  <c r="BS15" i="11"/>
  <c r="BN15" i="11"/>
  <c r="BM15" i="11"/>
  <c r="AW15" i="11"/>
  <c r="AT15" i="11"/>
  <c r="BS14" i="11"/>
  <c r="BN14" i="11"/>
  <c r="BM14" i="11"/>
  <c r="AW14" i="11"/>
  <c r="AT14" i="11"/>
  <c r="BS13" i="11"/>
  <c r="BN13" i="11"/>
  <c r="BM13" i="11"/>
  <c r="AW13" i="11"/>
  <c r="AT13" i="11"/>
  <c r="BS12" i="11"/>
  <c r="BN12" i="11"/>
  <c r="BM12" i="11"/>
  <c r="AW12" i="11"/>
  <c r="AT12" i="11"/>
  <c r="BS11" i="11"/>
  <c r="BN11" i="11"/>
  <c r="BM11" i="11"/>
  <c r="AW11" i="11"/>
  <c r="AT11" i="11"/>
  <c r="BS10" i="11"/>
  <c r="BN10" i="11"/>
  <c r="BM10" i="11"/>
  <c r="AW10" i="11"/>
  <c r="AT10" i="11"/>
  <c r="BS9" i="11"/>
  <c r="BN9" i="11"/>
  <c r="BM9" i="11"/>
  <c r="AW9" i="11"/>
  <c r="AT9" i="11"/>
  <c r="BS8" i="11"/>
  <c r="BN8" i="11"/>
  <c r="BM8" i="11"/>
  <c r="AW8" i="11"/>
  <c r="AT8" i="11"/>
  <c r="BS7" i="11"/>
  <c r="BN7" i="11"/>
  <c r="BM7" i="11"/>
  <c r="AW7" i="11"/>
  <c r="AT7" i="11"/>
  <c r="BS6" i="11"/>
  <c r="BN6" i="11"/>
  <c r="BM6" i="11"/>
  <c r="AW6" i="11"/>
  <c r="AT6" i="11"/>
  <c r="BS5" i="11"/>
  <c r="BN5" i="11"/>
  <c r="BM5" i="11"/>
  <c r="AW5" i="11"/>
  <c r="AT5" i="11"/>
  <c r="BS4" i="11"/>
  <c r="BN4" i="11"/>
  <c r="BM4" i="11"/>
  <c r="AW4" i="11"/>
  <c r="AT4" i="11"/>
  <c r="BS3" i="11"/>
  <c r="BN3" i="11"/>
  <c r="BM3" i="11"/>
  <c r="AW3" i="11"/>
  <c r="AT3" i="11"/>
  <c r="BS2" i="11"/>
  <c r="BN2" i="11"/>
  <c r="BM2" i="11"/>
  <c r="AW2" i="11"/>
  <c r="AT2" i="11"/>
  <c r="CS100" i="10"/>
  <c r="CR100" i="10"/>
  <c r="CS99" i="10"/>
  <c r="CR99" i="10"/>
  <c r="CS98" i="10"/>
  <c r="CR98" i="10"/>
  <c r="CS97" i="10"/>
  <c r="CR97" i="10"/>
  <c r="CS96" i="10"/>
  <c r="CR96" i="10"/>
  <c r="CS95" i="10"/>
  <c r="CR95" i="10"/>
  <c r="CS94" i="10"/>
  <c r="CR94" i="10"/>
  <c r="CS93" i="10"/>
  <c r="CR93" i="10"/>
  <c r="CS92" i="10"/>
  <c r="CR92" i="10"/>
  <c r="CS91" i="10"/>
  <c r="CR91" i="10"/>
  <c r="CS90" i="10"/>
  <c r="CR90" i="10"/>
  <c r="CS89" i="10"/>
  <c r="CR89" i="10"/>
  <c r="CS88" i="10"/>
  <c r="CR88" i="10"/>
  <c r="CS87" i="10"/>
  <c r="CR87" i="10"/>
  <c r="CS86" i="10"/>
  <c r="CR86" i="10"/>
  <c r="CS85" i="10"/>
  <c r="CR85" i="10"/>
  <c r="CS84" i="10"/>
  <c r="CR84" i="10"/>
  <c r="CS83" i="10"/>
  <c r="CR83" i="10"/>
  <c r="CS82" i="10"/>
  <c r="CR82" i="10"/>
  <c r="CS81" i="10"/>
  <c r="CR81" i="10"/>
  <c r="CS80" i="10"/>
  <c r="CR80" i="10"/>
  <c r="CS79" i="10"/>
  <c r="CR79" i="10"/>
  <c r="CS78" i="10"/>
  <c r="CR78" i="10"/>
  <c r="CS77" i="10"/>
  <c r="CR77" i="10"/>
  <c r="CS76" i="10"/>
  <c r="CR76" i="10"/>
  <c r="CS75" i="10"/>
  <c r="CR75" i="10"/>
  <c r="CS74" i="10"/>
  <c r="CR74" i="10"/>
  <c r="CS73" i="10"/>
  <c r="CR73" i="10"/>
  <c r="CS72" i="10"/>
  <c r="CR72" i="10"/>
  <c r="CS71" i="10"/>
  <c r="CR71" i="10"/>
  <c r="CS70" i="10"/>
  <c r="CR70" i="10"/>
  <c r="CS69" i="10"/>
  <c r="CR69" i="10"/>
  <c r="CS68" i="10"/>
  <c r="CR68" i="10"/>
  <c r="CS67" i="10"/>
  <c r="CR67" i="10"/>
  <c r="CS66" i="10"/>
  <c r="CR66" i="10"/>
  <c r="CS65" i="10"/>
  <c r="CR65" i="10"/>
  <c r="CS64" i="10"/>
  <c r="CR64" i="10"/>
  <c r="CS63" i="10"/>
  <c r="CR63" i="10"/>
  <c r="CS62" i="10"/>
  <c r="CR62" i="10"/>
  <c r="CS61" i="10"/>
  <c r="CR61" i="10"/>
  <c r="CS60" i="10"/>
  <c r="CR60" i="10"/>
  <c r="CS59" i="10"/>
  <c r="CR59" i="10"/>
  <c r="CS58" i="10"/>
  <c r="CR58" i="10"/>
  <c r="CS57" i="10"/>
  <c r="CR57" i="10"/>
  <c r="CS56" i="10"/>
  <c r="CR56" i="10"/>
  <c r="CS55" i="10"/>
  <c r="CR55" i="10"/>
  <c r="CS54" i="10"/>
  <c r="CR54" i="10"/>
  <c r="CS53" i="10"/>
  <c r="CR53" i="10"/>
  <c r="CS52" i="10"/>
  <c r="CR52" i="10"/>
  <c r="CS51" i="10"/>
  <c r="CR51" i="10"/>
  <c r="CS50" i="10"/>
  <c r="CR50" i="10"/>
  <c r="CS49" i="10"/>
  <c r="CR49" i="10"/>
  <c r="CS48" i="10"/>
  <c r="CR48" i="10"/>
  <c r="CS47" i="10"/>
  <c r="CR47" i="10"/>
  <c r="CS46" i="10"/>
  <c r="CR46" i="10"/>
  <c r="CS45" i="10"/>
  <c r="CR45" i="10"/>
  <c r="CS44" i="10"/>
  <c r="CR44" i="10"/>
  <c r="CS43" i="10"/>
  <c r="CR43" i="10"/>
  <c r="CS42" i="10"/>
  <c r="CR42" i="10"/>
  <c r="CS41" i="10"/>
  <c r="CR41" i="10"/>
  <c r="CS40" i="10"/>
  <c r="CR40" i="10"/>
  <c r="CS39" i="10"/>
  <c r="CR39" i="10"/>
  <c r="CS38" i="10"/>
  <c r="CR38" i="10"/>
  <c r="CS37" i="10"/>
  <c r="CR37" i="10"/>
  <c r="CS36" i="10"/>
  <c r="CR36" i="10"/>
  <c r="CS35" i="10"/>
  <c r="CR35" i="10"/>
  <c r="CS34" i="10"/>
  <c r="CR34" i="10"/>
  <c r="CS33" i="10"/>
  <c r="CR33" i="10"/>
  <c r="CS32" i="10"/>
  <c r="CR32" i="10"/>
  <c r="CS31" i="10"/>
  <c r="CR31" i="10"/>
  <c r="CS30" i="10"/>
  <c r="CR30" i="10"/>
  <c r="CS29" i="10"/>
  <c r="CR29" i="10"/>
  <c r="CS28" i="10"/>
  <c r="CR28" i="10"/>
  <c r="CS27" i="10"/>
  <c r="CR27" i="10"/>
  <c r="CS26" i="10"/>
  <c r="CR26" i="10"/>
  <c r="CS25" i="10"/>
  <c r="CR25" i="10"/>
  <c r="CS24" i="10"/>
  <c r="CR24" i="10"/>
  <c r="CS23" i="10"/>
  <c r="CR23" i="10"/>
  <c r="CS22" i="10"/>
  <c r="CR22" i="10"/>
  <c r="CS21" i="10"/>
  <c r="CR21" i="10"/>
  <c r="CS20" i="10"/>
  <c r="CR20" i="10"/>
  <c r="CS19" i="10"/>
  <c r="CR19" i="10"/>
  <c r="CS18" i="10"/>
  <c r="CR18" i="10"/>
  <c r="CS17" i="10"/>
  <c r="CR17" i="10"/>
  <c r="CS16" i="10"/>
  <c r="CR16" i="10"/>
  <c r="CS15" i="10"/>
  <c r="CR15" i="10"/>
  <c r="CS14" i="10"/>
  <c r="CR14" i="10"/>
  <c r="CS13" i="10"/>
  <c r="CR13" i="10"/>
  <c r="CS12" i="10"/>
  <c r="CR12" i="10"/>
  <c r="CS11" i="10"/>
  <c r="CR11" i="10"/>
  <c r="CS10" i="10"/>
  <c r="CR10" i="10"/>
  <c r="CS9" i="10"/>
  <c r="CR9" i="10"/>
  <c r="CS8" i="10"/>
  <c r="CR8" i="10"/>
  <c r="CS7" i="10"/>
  <c r="CR7" i="10"/>
  <c r="CS6" i="10"/>
  <c r="CR6" i="10"/>
  <c r="CS5" i="10"/>
  <c r="CR5" i="10"/>
  <c r="CS4" i="10"/>
  <c r="CR4" i="10"/>
  <c r="CS3" i="10"/>
  <c r="CR3" i="10"/>
  <c r="CS2" i="10"/>
  <c r="CR2" i="10"/>
  <c r="CX100" i="9"/>
  <c r="CX99" i="9"/>
  <c r="CX98" i="9"/>
  <c r="CX97" i="9"/>
  <c r="CX96" i="9"/>
  <c r="CX95" i="9"/>
  <c r="CX94" i="9"/>
  <c r="CX93" i="9"/>
  <c r="CX92" i="9"/>
  <c r="CX91" i="9"/>
  <c r="CX90" i="9"/>
  <c r="CX89" i="9"/>
  <c r="CX88" i="9"/>
  <c r="CX87" i="9"/>
  <c r="CX86" i="9"/>
  <c r="CX85" i="9"/>
  <c r="CX84" i="9"/>
  <c r="CX83" i="9"/>
  <c r="CX82" i="9"/>
  <c r="CX81" i="9"/>
  <c r="CX80" i="9"/>
  <c r="CX79" i="9"/>
  <c r="CX78" i="9"/>
  <c r="CX77" i="9"/>
  <c r="CX76" i="9"/>
  <c r="CX75" i="9"/>
  <c r="CX74" i="9"/>
  <c r="CX73" i="9"/>
  <c r="CX72" i="9"/>
  <c r="CX71" i="9"/>
  <c r="CX70" i="9"/>
  <c r="CX69" i="9"/>
  <c r="CX68" i="9"/>
  <c r="CX67" i="9"/>
  <c r="CX66" i="9"/>
  <c r="CX65" i="9"/>
  <c r="CX64" i="9"/>
  <c r="CX63" i="9"/>
  <c r="CX62" i="9"/>
  <c r="CX61" i="9"/>
  <c r="CX60" i="9"/>
  <c r="CX59" i="9"/>
  <c r="CX58" i="9"/>
  <c r="CX57" i="9"/>
  <c r="CX56" i="9"/>
  <c r="CX55" i="9"/>
  <c r="CX54" i="9"/>
  <c r="CX53" i="9"/>
  <c r="CX52" i="9"/>
  <c r="CX51" i="9"/>
  <c r="CX50" i="9"/>
  <c r="CX49" i="9"/>
  <c r="CX48" i="9"/>
  <c r="CX47" i="9"/>
  <c r="CX46" i="9"/>
  <c r="CX45" i="9"/>
  <c r="CX44" i="9"/>
  <c r="CX43" i="9"/>
  <c r="CX42" i="9"/>
  <c r="CX41" i="9"/>
  <c r="CX40" i="9"/>
  <c r="CX39" i="9"/>
  <c r="CX38" i="9"/>
  <c r="CX37" i="9"/>
  <c r="CX36" i="9"/>
  <c r="CX35" i="9"/>
  <c r="CX34" i="9"/>
  <c r="CX33" i="9"/>
  <c r="CX32" i="9"/>
  <c r="CX31" i="9"/>
  <c r="CX30" i="9"/>
  <c r="CX29" i="9"/>
  <c r="CX28" i="9"/>
  <c r="CX27" i="9"/>
  <c r="CX26" i="9"/>
  <c r="CX25" i="9"/>
  <c r="CX24" i="9"/>
  <c r="CX23" i="9"/>
  <c r="CX22" i="9"/>
  <c r="CX21" i="9"/>
  <c r="CX20" i="9"/>
  <c r="CX19" i="9"/>
  <c r="CX18" i="9"/>
  <c r="CX17" i="9"/>
  <c r="CX16" i="9"/>
  <c r="CX15" i="9"/>
  <c r="CX14" i="9"/>
  <c r="CX13" i="9"/>
  <c r="CX12" i="9"/>
  <c r="CX11" i="9"/>
  <c r="CX10" i="9"/>
  <c r="CX9" i="9"/>
  <c r="CX8" i="9"/>
  <c r="CX7" i="9"/>
  <c r="CX6" i="9"/>
  <c r="CX5" i="9"/>
  <c r="CX4" i="9"/>
  <c r="CX3" i="9"/>
  <c r="CX2" i="9"/>
  <c r="DW100" i="8"/>
  <c r="DV100" i="8"/>
  <c r="DP100" i="8"/>
  <c r="DO100" i="8"/>
  <c r="CL100" i="8"/>
  <c r="CA100" i="8"/>
  <c r="DW99" i="8"/>
  <c r="DV99" i="8"/>
  <c r="DP99" i="8"/>
  <c r="DO99" i="8"/>
  <c r="CL99" i="8"/>
  <c r="CA99" i="8"/>
  <c r="DW98" i="8"/>
  <c r="DV98" i="8"/>
  <c r="DP98" i="8"/>
  <c r="DO98" i="8"/>
  <c r="CL98" i="8"/>
  <c r="CA98" i="8"/>
  <c r="DW97" i="8"/>
  <c r="DV97" i="8"/>
  <c r="DP97" i="8"/>
  <c r="DO97" i="8"/>
  <c r="CL97" i="8"/>
  <c r="CA97" i="8"/>
  <c r="DW96" i="8"/>
  <c r="DV96" i="8"/>
  <c r="DP96" i="8"/>
  <c r="DO96" i="8"/>
  <c r="CL96" i="8"/>
  <c r="CA96" i="8"/>
  <c r="DW95" i="8"/>
  <c r="DV95" i="8"/>
  <c r="DP95" i="8"/>
  <c r="DO95" i="8"/>
  <c r="CL95" i="8"/>
  <c r="CA95" i="8"/>
  <c r="DW94" i="8"/>
  <c r="DV94" i="8"/>
  <c r="DP94" i="8"/>
  <c r="DO94" i="8"/>
  <c r="CL94" i="8"/>
  <c r="CA94" i="8"/>
  <c r="DW93" i="8"/>
  <c r="DV93" i="8"/>
  <c r="DP93" i="8"/>
  <c r="DO93" i="8"/>
  <c r="CL93" i="8"/>
  <c r="CA93" i="8"/>
  <c r="DW92" i="8"/>
  <c r="DV92" i="8"/>
  <c r="DP92" i="8"/>
  <c r="DO92" i="8"/>
  <c r="CL92" i="8"/>
  <c r="CA92" i="8"/>
  <c r="DW91" i="8"/>
  <c r="DV91" i="8"/>
  <c r="DP91" i="8"/>
  <c r="DO91" i="8"/>
  <c r="CL91" i="8"/>
  <c r="CA91" i="8"/>
  <c r="DW90" i="8"/>
  <c r="DV90" i="8"/>
  <c r="DP90" i="8"/>
  <c r="DO90" i="8"/>
  <c r="CL90" i="8"/>
  <c r="CA90" i="8"/>
  <c r="DW89" i="8"/>
  <c r="DV89" i="8"/>
  <c r="DP89" i="8"/>
  <c r="DO89" i="8"/>
  <c r="CL89" i="8"/>
  <c r="CA89" i="8"/>
  <c r="DW88" i="8"/>
  <c r="DV88" i="8"/>
  <c r="DP88" i="8"/>
  <c r="DO88" i="8"/>
  <c r="CL88" i="8"/>
  <c r="CA88" i="8"/>
  <c r="DW87" i="8"/>
  <c r="DV87" i="8"/>
  <c r="DP87" i="8"/>
  <c r="DO87" i="8"/>
  <c r="CL87" i="8"/>
  <c r="CA87" i="8"/>
  <c r="DW86" i="8"/>
  <c r="DV86" i="8"/>
  <c r="DP86" i="8"/>
  <c r="DO86" i="8"/>
  <c r="CL86" i="8"/>
  <c r="CA86" i="8"/>
  <c r="DW85" i="8"/>
  <c r="DV85" i="8"/>
  <c r="DP85" i="8"/>
  <c r="DO85" i="8"/>
  <c r="CL85" i="8"/>
  <c r="CA85" i="8"/>
  <c r="DW84" i="8"/>
  <c r="DV84" i="8"/>
  <c r="DP84" i="8"/>
  <c r="DO84" i="8"/>
  <c r="CL84" i="8"/>
  <c r="CA84" i="8"/>
  <c r="DW83" i="8"/>
  <c r="DV83" i="8"/>
  <c r="DP83" i="8"/>
  <c r="DO83" i="8"/>
  <c r="CL83" i="8"/>
  <c r="CA83" i="8"/>
  <c r="DW82" i="8"/>
  <c r="DV82" i="8"/>
  <c r="DP82" i="8"/>
  <c r="DO82" i="8"/>
  <c r="CL82" i="8"/>
  <c r="CA82" i="8"/>
  <c r="DW81" i="8"/>
  <c r="DV81" i="8"/>
  <c r="DP81" i="8"/>
  <c r="DO81" i="8"/>
  <c r="CL81" i="8"/>
  <c r="CA81" i="8"/>
  <c r="DW80" i="8"/>
  <c r="DV80" i="8"/>
  <c r="DP80" i="8"/>
  <c r="DO80" i="8"/>
  <c r="CL80" i="8"/>
  <c r="CA80" i="8"/>
  <c r="DW79" i="8"/>
  <c r="DV79" i="8"/>
  <c r="DP79" i="8"/>
  <c r="DO79" i="8"/>
  <c r="CL79" i="8"/>
  <c r="CA79" i="8"/>
  <c r="DW78" i="8"/>
  <c r="DV78" i="8"/>
  <c r="DP78" i="8"/>
  <c r="DO78" i="8"/>
  <c r="CL78" i="8"/>
  <c r="CA78" i="8"/>
  <c r="DW77" i="8"/>
  <c r="DV77" i="8"/>
  <c r="DP77" i="8"/>
  <c r="DO77" i="8"/>
  <c r="CL77" i="8"/>
  <c r="CA77" i="8"/>
  <c r="DW76" i="8"/>
  <c r="DV76" i="8"/>
  <c r="DP76" i="8"/>
  <c r="DO76" i="8"/>
  <c r="CL76" i="8"/>
  <c r="CA76" i="8"/>
  <c r="DW75" i="8"/>
  <c r="DV75" i="8"/>
  <c r="DP75" i="8"/>
  <c r="DO75" i="8"/>
  <c r="CL75" i="8"/>
  <c r="CA75" i="8"/>
  <c r="DW74" i="8"/>
  <c r="DV74" i="8"/>
  <c r="DP74" i="8"/>
  <c r="DO74" i="8"/>
  <c r="CL74" i="8"/>
  <c r="CA74" i="8"/>
  <c r="DW73" i="8"/>
  <c r="DV73" i="8"/>
  <c r="DP73" i="8"/>
  <c r="DO73" i="8"/>
  <c r="CL73" i="8"/>
  <c r="CA73" i="8"/>
  <c r="DW72" i="8"/>
  <c r="DV72" i="8"/>
  <c r="DP72" i="8"/>
  <c r="DO72" i="8"/>
  <c r="CL72" i="8"/>
  <c r="CA72" i="8"/>
  <c r="DW71" i="8"/>
  <c r="DV71" i="8"/>
  <c r="DP71" i="8"/>
  <c r="DO71" i="8"/>
  <c r="CL71" i="8"/>
  <c r="CA71" i="8"/>
  <c r="DW70" i="8"/>
  <c r="DV70" i="8"/>
  <c r="DP70" i="8"/>
  <c r="DO70" i="8"/>
  <c r="CL70" i="8"/>
  <c r="CA70" i="8"/>
  <c r="DW69" i="8"/>
  <c r="DV69" i="8"/>
  <c r="DP69" i="8"/>
  <c r="DO69" i="8"/>
  <c r="CL69" i="8"/>
  <c r="CA69" i="8"/>
  <c r="DW68" i="8"/>
  <c r="DV68" i="8"/>
  <c r="DP68" i="8"/>
  <c r="DO68" i="8"/>
  <c r="CL68" i="8"/>
  <c r="CA68" i="8"/>
  <c r="DW67" i="8"/>
  <c r="DV67" i="8"/>
  <c r="DP67" i="8"/>
  <c r="DO67" i="8"/>
  <c r="CL67" i="8"/>
  <c r="CA67" i="8"/>
  <c r="DW66" i="8"/>
  <c r="DV66" i="8"/>
  <c r="DP66" i="8"/>
  <c r="DO66" i="8"/>
  <c r="CL66" i="8"/>
  <c r="CA66" i="8"/>
  <c r="DW65" i="8"/>
  <c r="DV65" i="8"/>
  <c r="DP65" i="8"/>
  <c r="DO65" i="8"/>
  <c r="CL65" i="8"/>
  <c r="CA65" i="8"/>
  <c r="DW64" i="8"/>
  <c r="DV64" i="8"/>
  <c r="DP64" i="8"/>
  <c r="DO64" i="8"/>
  <c r="CL64" i="8"/>
  <c r="CA64" i="8"/>
  <c r="DW63" i="8"/>
  <c r="DV63" i="8"/>
  <c r="DP63" i="8"/>
  <c r="DO63" i="8"/>
  <c r="CL63" i="8"/>
  <c r="CA63" i="8"/>
  <c r="DW62" i="8"/>
  <c r="DV62" i="8"/>
  <c r="DP62" i="8"/>
  <c r="DO62" i="8"/>
  <c r="CL62" i="8"/>
  <c r="CA62" i="8"/>
  <c r="DW61" i="8"/>
  <c r="DV61" i="8"/>
  <c r="DP61" i="8"/>
  <c r="DO61" i="8"/>
  <c r="CL61" i="8"/>
  <c r="CA61" i="8"/>
  <c r="DW60" i="8"/>
  <c r="DV60" i="8"/>
  <c r="DP60" i="8"/>
  <c r="DO60" i="8"/>
  <c r="CL60" i="8"/>
  <c r="CA60" i="8"/>
  <c r="DW59" i="8"/>
  <c r="DV59" i="8"/>
  <c r="DP59" i="8"/>
  <c r="DO59" i="8"/>
  <c r="CL59" i="8"/>
  <c r="CA59" i="8"/>
  <c r="DW58" i="8"/>
  <c r="DV58" i="8"/>
  <c r="DP58" i="8"/>
  <c r="DO58" i="8"/>
  <c r="CL58" i="8"/>
  <c r="CA58" i="8"/>
  <c r="DW57" i="8"/>
  <c r="DV57" i="8"/>
  <c r="DP57" i="8"/>
  <c r="DO57" i="8"/>
  <c r="CL57" i="8"/>
  <c r="CA57" i="8"/>
  <c r="DW56" i="8"/>
  <c r="DV56" i="8"/>
  <c r="DP56" i="8"/>
  <c r="DO56" i="8"/>
  <c r="CL56" i="8"/>
  <c r="CA56" i="8"/>
  <c r="DW55" i="8"/>
  <c r="DV55" i="8"/>
  <c r="DP55" i="8"/>
  <c r="DO55" i="8"/>
  <c r="CL55" i="8"/>
  <c r="CA55" i="8"/>
  <c r="DW54" i="8"/>
  <c r="DV54" i="8"/>
  <c r="DP54" i="8"/>
  <c r="DO54" i="8"/>
  <c r="CL54" i="8"/>
  <c r="CA54" i="8"/>
  <c r="DW53" i="8"/>
  <c r="DV53" i="8"/>
  <c r="DP53" i="8"/>
  <c r="DO53" i="8"/>
  <c r="CL53" i="8"/>
  <c r="CA53" i="8"/>
  <c r="DW52" i="8"/>
  <c r="DV52" i="8"/>
  <c r="DP52" i="8"/>
  <c r="DO52" i="8"/>
  <c r="CL52" i="8"/>
  <c r="CA52" i="8"/>
  <c r="DW51" i="8"/>
  <c r="DV51" i="8"/>
  <c r="DP51" i="8"/>
  <c r="DO51" i="8"/>
  <c r="CL51" i="8"/>
  <c r="CA51" i="8"/>
  <c r="DW50" i="8"/>
  <c r="DV50" i="8"/>
  <c r="DP50" i="8"/>
  <c r="DO50" i="8"/>
  <c r="CL50" i="8"/>
  <c r="CA50" i="8"/>
  <c r="DW49" i="8"/>
  <c r="DV49" i="8"/>
  <c r="DP49" i="8"/>
  <c r="DO49" i="8"/>
  <c r="CL49" i="8"/>
  <c r="CA49" i="8"/>
  <c r="DW48" i="8"/>
  <c r="DV48" i="8"/>
  <c r="DP48" i="8"/>
  <c r="DO48" i="8"/>
  <c r="CL48" i="8"/>
  <c r="CA48" i="8"/>
  <c r="DW47" i="8"/>
  <c r="DV47" i="8"/>
  <c r="DP47" i="8"/>
  <c r="DO47" i="8"/>
  <c r="CL47" i="8"/>
  <c r="CA47" i="8"/>
  <c r="DW46" i="8"/>
  <c r="DV46" i="8"/>
  <c r="DP46" i="8"/>
  <c r="DO46" i="8"/>
  <c r="CL46" i="8"/>
  <c r="CA46" i="8"/>
  <c r="DW45" i="8"/>
  <c r="DV45" i="8"/>
  <c r="DP45" i="8"/>
  <c r="DO45" i="8"/>
  <c r="CL45" i="8"/>
  <c r="CA45" i="8"/>
  <c r="DW44" i="8"/>
  <c r="DV44" i="8"/>
  <c r="DP44" i="8"/>
  <c r="DO44" i="8"/>
  <c r="CL44" i="8"/>
  <c r="CA44" i="8"/>
  <c r="DW43" i="8"/>
  <c r="DV43" i="8"/>
  <c r="DP43" i="8"/>
  <c r="DO43" i="8"/>
  <c r="CL43" i="8"/>
  <c r="CA43" i="8"/>
  <c r="DW42" i="8"/>
  <c r="DV42" i="8"/>
  <c r="DP42" i="8"/>
  <c r="DO42" i="8"/>
  <c r="CL42" i="8"/>
  <c r="CA42" i="8"/>
  <c r="DW41" i="8"/>
  <c r="DV41" i="8"/>
  <c r="DP41" i="8"/>
  <c r="DO41" i="8"/>
  <c r="CL41" i="8"/>
  <c r="CA41" i="8"/>
  <c r="DW40" i="8"/>
  <c r="DV40" i="8"/>
  <c r="DP40" i="8"/>
  <c r="DO40" i="8"/>
  <c r="CL40" i="8"/>
  <c r="CA40" i="8"/>
  <c r="DW39" i="8"/>
  <c r="DV39" i="8"/>
  <c r="DP39" i="8"/>
  <c r="DO39" i="8"/>
  <c r="CL39" i="8"/>
  <c r="CA39" i="8"/>
  <c r="DW38" i="8"/>
  <c r="DV38" i="8"/>
  <c r="DP38" i="8"/>
  <c r="DO38" i="8"/>
  <c r="CL38" i="8"/>
  <c r="CA38" i="8"/>
  <c r="DW37" i="8"/>
  <c r="DV37" i="8"/>
  <c r="DP37" i="8"/>
  <c r="DO37" i="8"/>
  <c r="CL37" i="8"/>
  <c r="CA37" i="8"/>
  <c r="DW36" i="8"/>
  <c r="DV36" i="8"/>
  <c r="DP36" i="8"/>
  <c r="DO36" i="8"/>
  <c r="CL36" i="8"/>
  <c r="CA36" i="8"/>
  <c r="DW35" i="8"/>
  <c r="DV35" i="8"/>
  <c r="DP35" i="8"/>
  <c r="DO35" i="8"/>
  <c r="CL35" i="8"/>
  <c r="CA35" i="8"/>
  <c r="DW34" i="8"/>
  <c r="DV34" i="8"/>
  <c r="DP34" i="8"/>
  <c r="DO34" i="8"/>
  <c r="CL34" i="8"/>
  <c r="CA34" i="8"/>
  <c r="DW33" i="8"/>
  <c r="DV33" i="8"/>
  <c r="DP33" i="8"/>
  <c r="DO33" i="8"/>
  <c r="CL33" i="8"/>
  <c r="CA33" i="8"/>
  <c r="DW32" i="8"/>
  <c r="DV32" i="8"/>
  <c r="DP32" i="8"/>
  <c r="DO32" i="8"/>
  <c r="CL32" i="8"/>
  <c r="CA32" i="8"/>
  <c r="DW31" i="8"/>
  <c r="DV31" i="8"/>
  <c r="DP31" i="8"/>
  <c r="DO31" i="8"/>
  <c r="CL31" i="8"/>
  <c r="CA31" i="8"/>
  <c r="DW30" i="8"/>
  <c r="DV30" i="8"/>
  <c r="DP30" i="8"/>
  <c r="DO30" i="8"/>
  <c r="CL30" i="8"/>
  <c r="CA30" i="8"/>
  <c r="DW29" i="8"/>
  <c r="DV29" i="8"/>
  <c r="DP29" i="8"/>
  <c r="DO29" i="8"/>
  <c r="CL29" i="8"/>
  <c r="CA29" i="8"/>
  <c r="DW28" i="8"/>
  <c r="DV28" i="8"/>
  <c r="DP28" i="8"/>
  <c r="DO28" i="8"/>
  <c r="CL28" i="8"/>
  <c r="CA28" i="8"/>
  <c r="DW27" i="8"/>
  <c r="DV27" i="8"/>
  <c r="DP27" i="8"/>
  <c r="DO27" i="8"/>
  <c r="CL27" i="8"/>
  <c r="CA27" i="8"/>
  <c r="DW26" i="8"/>
  <c r="DV26" i="8"/>
  <c r="DP26" i="8"/>
  <c r="DO26" i="8"/>
  <c r="CL26" i="8"/>
  <c r="CA26" i="8"/>
  <c r="DW25" i="8"/>
  <c r="DV25" i="8"/>
  <c r="DP25" i="8"/>
  <c r="DO25" i="8"/>
  <c r="CL25" i="8"/>
  <c r="CA25" i="8"/>
  <c r="DW24" i="8"/>
  <c r="DV24" i="8"/>
  <c r="DP24" i="8"/>
  <c r="DO24" i="8"/>
  <c r="CL24" i="8"/>
  <c r="CA24" i="8"/>
  <c r="DW23" i="8"/>
  <c r="DV23" i="8"/>
  <c r="DP23" i="8"/>
  <c r="DO23" i="8"/>
  <c r="CL23" i="8"/>
  <c r="CA23" i="8"/>
  <c r="DW22" i="8"/>
  <c r="DV22" i="8"/>
  <c r="DP22" i="8"/>
  <c r="DO22" i="8"/>
  <c r="CL22" i="8"/>
  <c r="CA22" i="8"/>
  <c r="DW21" i="8"/>
  <c r="DV21" i="8"/>
  <c r="DP21" i="8"/>
  <c r="DO21" i="8"/>
  <c r="CL21" i="8"/>
  <c r="CA21" i="8"/>
  <c r="DW20" i="8"/>
  <c r="DV20" i="8"/>
  <c r="DP20" i="8"/>
  <c r="DO20" i="8"/>
  <c r="CL20" i="8"/>
  <c r="CA20" i="8"/>
  <c r="DW19" i="8"/>
  <c r="DV19" i="8"/>
  <c r="DP19" i="8"/>
  <c r="DO19" i="8"/>
  <c r="CL19" i="8"/>
  <c r="CA19" i="8"/>
  <c r="DW18" i="8"/>
  <c r="DV18" i="8"/>
  <c r="DP18" i="8"/>
  <c r="DO18" i="8"/>
  <c r="CL18" i="8"/>
  <c r="CA18" i="8"/>
  <c r="DW17" i="8"/>
  <c r="DV17" i="8"/>
  <c r="DP17" i="8"/>
  <c r="DO17" i="8"/>
  <c r="CL17" i="8"/>
  <c r="CA17" i="8"/>
  <c r="DW16" i="8"/>
  <c r="DV16" i="8"/>
  <c r="DP16" i="8"/>
  <c r="DO16" i="8"/>
  <c r="CL16" i="8"/>
  <c r="CA16" i="8"/>
  <c r="DW15" i="8"/>
  <c r="DV15" i="8"/>
  <c r="DP15" i="8"/>
  <c r="DO15" i="8"/>
  <c r="CL15" i="8"/>
  <c r="CA15" i="8"/>
  <c r="DW14" i="8"/>
  <c r="DV14" i="8"/>
  <c r="DP14" i="8"/>
  <c r="DO14" i="8"/>
  <c r="CL14" i="8"/>
  <c r="CA14" i="8"/>
  <c r="DW13" i="8"/>
  <c r="DV13" i="8"/>
  <c r="DP13" i="8"/>
  <c r="DO13" i="8"/>
  <c r="CL13" i="8"/>
  <c r="CA13" i="8"/>
  <c r="DW12" i="8"/>
  <c r="DV12" i="8"/>
  <c r="DP12" i="8"/>
  <c r="DO12" i="8"/>
  <c r="CL12" i="8"/>
  <c r="CA12" i="8"/>
  <c r="DW11" i="8"/>
  <c r="DV11" i="8"/>
  <c r="DP11" i="8"/>
  <c r="DO11" i="8"/>
  <c r="CL11" i="8"/>
  <c r="CA11" i="8"/>
  <c r="DW10" i="8"/>
  <c r="DV10" i="8"/>
  <c r="DP10" i="8"/>
  <c r="DO10" i="8"/>
  <c r="CL10" i="8"/>
  <c r="CA10" i="8"/>
  <c r="DW9" i="8"/>
  <c r="DV9" i="8"/>
  <c r="DP9" i="8"/>
  <c r="DO9" i="8"/>
  <c r="CL9" i="8"/>
  <c r="CA9" i="8"/>
  <c r="DW8" i="8"/>
  <c r="DV8" i="8"/>
  <c r="DP8" i="8"/>
  <c r="DO8" i="8"/>
  <c r="CL8" i="8"/>
  <c r="CA8" i="8"/>
  <c r="DW7" i="8"/>
  <c r="DV7" i="8"/>
  <c r="DP7" i="8"/>
  <c r="DO7" i="8"/>
  <c r="CL7" i="8"/>
  <c r="CA7" i="8"/>
  <c r="DW6" i="8"/>
  <c r="DV6" i="8"/>
  <c r="DP6" i="8"/>
  <c r="DO6" i="8"/>
  <c r="CL6" i="8"/>
  <c r="CA6" i="8"/>
  <c r="DW5" i="8"/>
  <c r="DV5" i="8"/>
  <c r="DP5" i="8"/>
  <c r="DO5" i="8"/>
  <c r="CL5" i="8"/>
  <c r="CA5" i="8"/>
  <c r="DW4" i="8"/>
  <c r="DV4" i="8"/>
  <c r="DP4" i="8"/>
  <c r="DO4" i="8"/>
  <c r="CL4" i="8"/>
  <c r="CA4" i="8"/>
  <c r="DW3" i="8"/>
  <c r="DV3" i="8"/>
  <c r="DP3" i="8"/>
  <c r="DO3" i="8"/>
  <c r="CL3" i="8"/>
  <c r="CA3" i="8"/>
  <c r="DW2" i="8"/>
  <c r="DV2" i="8"/>
  <c r="DP2" i="8"/>
  <c r="DO2" i="8"/>
  <c r="CL2" i="8"/>
  <c r="CA2" i="8"/>
  <c r="EK1000" i="7"/>
  <c r="EF1000" i="7"/>
  <c r="EE1000" i="7"/>
  <c r="AR1000" i="7"/>
  <c r="AQ1000" i="7"/>
  <c r="EK999" i="7"/>
  <c r="EF999" i="7"/>
  <c r="EE999" i="7"/>
  <c r="AR999" i="7"/>
  <c r="AQ999" i="7"/>
  <c r="EK998" i="7"/>
  <c r="EF998" i="7"/>
  <c r="EE998" i="7"/>
  <c r="AR998" i="7"/>
  <c r="AQ998" i="7"/>
  <c r="EK997" i="7"/>
  <c r="EF997" i="7"/>
  <c r="EE997" i="7"/>
  <c r="AR997" i="7"/>
  <c r="AQ997" i="7"/>
  <c r="EK996" i="7"/>
  <c r="EF996" i="7"/>
  <c r="EE996" i="7"/>
  <c r="AR996" i="7"/>
  <c r="AQ996" i="7"/>
  <c r="EK995" i="7"/>
  <c r="EF995" i="7"/>
  <c r="EE995" i="7"/>
  <c r="AR995" i="7"/>
  <c r="AQ995" i="7"/>
  <c r="EK994" i="7"/>
  <c r="EF994" i="7"/>
  <c r="EE994" i="7"/>
  <c r="AR994" i="7"/>
  <c r="AQ994" i="7"/>
  <c r="EK993" i="7"/>
  <c r="EF993" i="7"/>
  <c r="EE993" i="7"/>
  <c r="AR993" i="7"/>
  <c r="AQ993" i="7"/>
  <c r="EK992" i="7"/>
  <c r="EF992" i="7"/>
  <c r="EE992" i="7"/>
  <c r="AR992" i="7"/>
  <c r="AQ992" i="7"/>
  <c r="EK991" i="7"/>
  <c r="EF991" i="7"/>
  <c r="EE991" i="7"/>
  <c r="AR991" i="7"/>
  <c r="AQ991" i="7"/>
  <c r="EK990" i="7"/>
  <c r="EF990" i="7"/>
  <c r="EE990" i="7"/>
  <c r="AR990" i="7"/>
  <c r="AQ990" i="7"/>
  <c r="EK989" i="7"/>
  <c r="EF989" i="7"/>
  <c r="EE989" i="7"/>
  <c r="AR989" i="7"/>
  <c r="AQ989" i="7"/>
  <c r="EK988" i="7"/>
  <c r="EF988" i="7"/>
  <c r="EE988" i="7"/>
  <c r="AR988" i="7"/>
  <c r="AQ988" i="7"/>
  <c r="EK987" i="7"/>
  <c r="EF987" i="7"/>
  <c r="EE987" i="7"/>
  <c r="AR987" i="7"/>
  <c r="AQ987" i="7"/>
  <c r="EK986" i="7"/>
  <c r="EF986" i="7"/>
  <c r="EE986" i="7"/>
  <c r="AR986" i="7"/>
  <c r="AQ986" i="7"/>
  <c r="EK985" i="7"/>
  <c r="EF985" i="7"/>
  <c r="EE985" i="7"/>
  <c r="AR985" i="7"/>
  <c r="AQ985" i="7"/>
  <c r="EK984" i="7"/>
  <c r="EF984" i="7"/>
  <c r="EE984" i="7"/>
  <c r="AR984" i="7"/>
  <c r="AQ984" i="7"/>
  <c r="EK983" i="7"/>
  <c r="EF983" i="7"/>
  <c r="EE983" i="7"/>
  <c r="AR983" i="7"/>
  <c r="AQ983" i="7"/>
  <c r="EK982" i="7"/>
  <c r="EF982" i="7"/>
  <c r="EE982" i="7"/>
  <c r="AR982" i="7"/>
  <c r="AQ982" i="7"/>
  <c r="EK981" i="7"/>
  <c r="EF981" i="7"/>
  <c r="EE981" i="7"/>
  <c r="AR981" i="7"/>
  <c r="AQ981" i="7"/>
  <c r="EK980" i="7"/>
  <c r="EF980" i="7"/>
  <c r="EE980" i="7"/>
  <c r="AR980" i="7"/>
  <c r="AQ980" i="7"/>
  <c r="EK979" i="7"/>
  <c r="EF979" i="7"/>
  <c r="EE979" i="7"/>
  <c r="AR979" i="7"/>
  <c r="AQ979" i="7"/>
  <c r="EK978" i="7"/>
  <c r="EF978" i="7"/>
  <c r="EE978" i="7"/>
  <c r="AR978" i="7"/>
  <c r="AQ978" i="7"/>
  <c r="EK977" i="7"/>
  <c r="EF977" i="7"/>
  <c r="EE977" i="7"/>
  <c r="AR977" i="7"/>
  <c r="AQ977" i="7"/>
  <c r="EK976" i="7"/>
  <c r="EF976" i="7"/>
  <c r="EE976" i="7"/>
  <c r="AR976" i="7"/>
  <c r="AQ976" i="7"/>
  <c r="EK975" i="7"/>
  <c r="EF975" i="7"/>
  <c r="EE975" i="7"/>
  <c r="AR975" i="7"/>
  <c r="AQ975" i="7"/>
  <c r="EK974" i="7"/>
  <c r="EF974" i="7"/>
  <c r="EE974" i="7"/>
  <c r="AR974" i="7"/>
  <c r="AQ974" i="7"/>
  <c r="EK973" i="7"/>
  <c r="EF973" i="7"/>
  <c r="EE973" i="7"/>
  <c r="AR973" i="7"/>
  <c r="AQ973" i="7"/>
  <c r="EK972" i="7"/>
  <c r="EF972" i="7"/>
  <c r="EE972" i="7"/>
  <c r="AR972" i="7"/>
  <c r="AQ972" i="7"/>
  <c r="EK971" i="7"/>
  <c r="EF971" i="7"/>
  <c r="EE971" i="7"/>
  <c r="AR971" i="7"/>
  <c r="AQ971" i="7"/>
  <c r="EK970" i="7"/>
  <c r="EF970" i="7"/>
  <c r="EE970" i="7"/>
  <c r="AR970" i="7"/>
  <c r="AQ970" i="7"/>
  <c r="EK969" i="7"/>
  <c r="EF969" i="7"/>
  <c r="EE969" i="7"/>
  <c r="AR969" i="7"/>
  <c r="AQ969" i="7"/>
  <c r="EK968" i="7"/>
  <c r="EF968" i="7"/>
  <c r="EE968" i="7"/>
  <c r="AR968" i="7"/>
  <c r="AQ968" i="7"/>
  <c r="EK967" i="7"/>
  <c r="EF967" i="7"/>
  <c r="EE967" i="7"/>
  <c r="AR967" i="7"/>
  <c r="AQ967" i="7"/>
  <c r="EK966" i="7"/>
  <c r="EF966" i="7"/>
  <c r="EE966" i="7"/>
  <c r="AR966" i="7"/>
  <c r="AQ966" i="7"/>
  <c r="EK965" i="7"/>
  <c r="EF965" i="7"/>
  <c r="EE965" i="7"/>
  <c r="AR965" i="7"/>
  <c r="AQ965" i="7"/>
  <c r="EK964" i="7"/>
  <c r="EF964" i="7"/>
  <c r="EE964" i="7"/>
  <c r="AR964" i="7"/>
  <c r="AQ964" i="7"/>
  <c r="EK963" i="7"/>
  <c r="EF963" i="7"/>
  <c r="EE963" i="7"/>
  <c r="AR963" i="7"/>
  <c r="AQ963" i="7"/>
  <c r="EK962" i="7"/>
  <c r="EF962" i="7"/>
  <c r="EE962" i="7"/>
  <c r="AR962" i="7"/>
  <c r="AQ962" i="7"/>
  <c r="EK961" i="7"/>
  <c r="EF961" i="7"/>
  <c r="EE961" i="7"/>
  <c r="AR961" i="7"/>
  <c r="AQ961" i="7"/>
  <c r="EK960" i="7"/>
  <c r="EF960" i="7"/>
  <c r="EE960" i="7"/>
  <c r="AR960" i="7"/>
  <c r="AQ960" i="7"/>
  <c r="EK959" i="7"/>
  <c r="EF959" i="7"/>
  <c r="EE959" i="7"/>
  <c r="AR959" i="7"/>
  <c r="AQ959" i="7"/>
  <c r="EK958" i="7"/>
  <c r="EF958" i="7"/>
  <c r="EE958" i="7"/>
  <c r="AR958" i="7"/>
  <c r="AQ958" i="7"/>
  <c r="EK957" i="7"/>
  <c r="EF957" i="7"/>
  <c r="EE957" i="7"/>
  <c r="AR957" i="7"/>
  <c r="AQ957" i="7"/>
  <c r="EK956" i="7"/>
  <c r="EF956" i="7"/>
  <c r="EE956" i="7"/>
  <c r="AR956" i="7"/>
  <c r="AQ956" i="7"/>
  <c r="EK955" i="7"/>
  <c r="EF955" i="7"/>
  <c r="EE955" i="7"/>
  <c r="AR955" i="7"/>
  <c r="AQ955" i="7"/>
  <c r="EK954" i="7"/>
  <c r="EF954" i="7"/>
  <c r="EE954" i="7"/>
  <c r="AR954" i="7"/>
  <c r="AQ954" i="7"/>
  <c r="EK953" i="7"/>
  <c r="EF953" i="7"/>
  <c r="EE953" i="7"/>
  <c r="AR953" i="7"/>
  <c r="AQ953" i="7"/>
  <c r="EK952" i="7"/>
  <c r="EF952" i="7"/>
  <c r="EE952" i="7"/>
  <c r="AR952" i="7"/>
  <c r="AQ952" i="7"/>
  <c r="EK951" i="7"/>
  <c r="EF951" i="7"/>
  <c r="EE951" i="7"/>
  <c r="AR951" i="7"/>
  <c r="AQ951" i="7"/>
  <c r="EK950" i="7"/>
  <c r="EF950" i="7"/>
  <c r="EE950" i="7"/>
  <c r="AR950" i="7"/>
  <c r="AQ950" i="7"/>
  <c r="EK949" i="7"/>
  <c r="EF949" i="7"/>
  <c r="EE949" i="7"/>
  <c r="AR949" i="7"/>
  <c r="AQ949" i="7"/>
  <c r="EK948" i="7"/>
  <c r="EF948" i="7"/>
  <c r="EE948" i="7"/>
  <c r="AR948" i="7"/>
  <c r="AQ948" i="7"/>
  <c r="EK947" i="7"/>
  <c r="EF947" i="7"/>
  <c r="EE947" i="7"/>
  <c r="AR947" i="7"/>
  <c r="AQ947" i="7"/>
  <c r="EK946" i="7"/>
  <c r="EF946" i="7"/>
  <c r="EE946" i="7"/>
  <c r="AR946" i="7"/>
  <c r="AQ946" i="7"/>
  <c r="EK945" i="7"/>
  <c r="EF945" i="7"/>
  <c r="EE945" i="7"/>
  <c r="AR945" i="7"/>
  <c r="AQ945" i="7"/>
  <c r="EK944" i="7"/>
  <c r="EF944" i="7"/>
  <c r="EE944" i="7"/>
  <c r="AR944" i="7"/>
  <c r="AQ944" i="7"/>
  <c r="EK943" i="7"/>
  <c r="EF943" i="7"/>
  <c r="EE943" i="7"/>
  <c r="AR943" i="7"/>
  <c r="AQ943" i="7"/>
  <c r="EK942" i="7"/>
  <c r="EF942" i="7"/>
  <c r="EE942" i="7"/>
  <c r="AR942" i="7"/>
  <c r="AQ942" i="7"/>
  <c r="EK941" i="7"/>
  <c r="EF941" i="7"/>
  <c r="EE941" i="7"/>
  <c r="AR941" i="7"/>
  <c r="AQ941" i="7"/>
  <c r="EK940" i="7"/>
  <c r="EF940" i="7"/>
  <c r="EE940" i="7"/>
  <c r="AR940" i="7"/>
  <c r="AQ940" i="7"/>
  <c r="EK939" i="7"/>
  <c r="EF939" i="7"/>
  <c r="EE939" i="7"/>
  <c r="AR939" i="7"/>
  <c r="AQ939" i="7"/>
  <c r="EK938" i="7"/>
  <c r="EF938" i="7"/>
  <c r="EE938" i="7"/>
  <c r="AR938" i="7"/>
  <c r="AQ938" i="7"/>
  <c r="EK937" i="7"/>
  <c r="EF937" i="7"/>
  <c r="EE937" i="7"/>
  <c r="AR937" i="7"/>
  <c r="AQ937" i="7"/>
  <c r="EK936" i="7"/>
  <c r="EF936" i="7"/>
  <c r="EE936" i="7"/>
  <c r="AR936" i="7"/>
  <c r="AQ936" i="7"/>
  <c r="EK935" i="7"/>
  <c r="EF935" i="7"/>
  <c r="EE935" i="7"/>
  <c r="AR935" i="7"/>
  <c r="AQ935" i="7"/>
  <c r="EK934" i="7"/>
  <c r="EF934" i="7"/>
  <c r="EE934" i="7"/>
  <c r="AR934" i="7"/>
  <c r="AQ934" i="7"/>
  <c r="EK933" i="7"/>
  <c r="EF933" i="7"/>
  <c r="EE933" i="7"/>
  <c r="AR933" i="7"/>
  <c r="AQ933" i="7"/>
  <c r="EK932" i="7"/>
  <c r="EF932" i="7"/>
  <c r="EE932" i="7"/>
  <c r="AR932" i="7"/>
  <c r="AQ932" i="7"/>
  <c r="EK931" i="7"/>
  <c r="EF931" i="7"/>
  <c r="EE931" i="7"/>
  <c r="AR931" i="7"/>
  <c r="AQ931" i="7"/>
  <c r="EK930" i="7"/>
  <c r="EF930" i="7"/>
  <c r="EE930" i="7"/>
  <c r="AR930" i="7"/>
  <c r="AQ930" i="7"/>
  <c r="EK929" i="7"/>
  <c r="EF929" i="7"/>
  <c r="EE929" i="7"/>
  <c r="AR929" i="7"/>
  <c r="AQ929" i="7"/>
  <c r="EK928" i="7"/>
  <c r="EF928" i="7"/>
  <c r="EE928" i="7"/>
  <c r="AR928" i="7"/>
  <c r="AQ928" i="7"/>
  <c r="EK927" i="7"/>
  <c r="EF927" i="7"/>
  <c r="EE927" i="7"/>
  <c r="AR927" i="7"/>
  <c r="AQ927" i="7"/>
  <c r="EK926" i="7"/>
  <c r="EF926" i="7"/>
  <c r="EE926" i="7"/>
  <c r="AR926" i="7"/>
  <c r="AQ926" i="7"/>
  <c r="EK925" i="7"/>
  <c r="EF925" i="7"/>
  <c r="EE925" i="7"/>
  <c r="AR925" i="7"/>
  <c r="AQ925" i="7"/>
  <c r="EK924" i="7"/>
  <c r="EF924" i="7"/>
  <c r="EE924" i="7"/>
  <c r="AR924" i="7"/>
  <c r="AQ924" i="7"/>
  <c r="EK923" i="7"/>
  <c r="EF923" i="7"/>
  <c r="EE923" i="7"/>
  <c r="AR923" i="7"/>
  <c r="AQ923" i="7"/>
  <c r="EK922" i="7"/>
  <c r="EF922" i="7"/>
  <c r="EE922" i="7"/>
  <c r="AR922" i="7"/>
  <c r="AQ922" i="7"/>
  <c r="EK921" i="7"/>
  <c r="EF921" i="7"/>
  <c r="EE921" i="7"/>
  <c r="AR921" i="7"/>
  <c r="AQ921" i="7"/>
  <c r="EK920" i="7"/>
  <c r="EF920" i="7"/>
  <c r="EE920" i="7"/>
  <c r="AR920" i="7"/>
  <c r="AQ920" i="7"/>
  <c r="EK919" i="7"/>
  <c r="EF919" i="7"/>
  <c r="EE919" i="7"/>
  <c r="AR919" i="7"/>
  <c r="AQ919" i="7"/>
  <c r="EK918" i="7"/>
  <c r="EF918" i="7"/>
  <c r="EE918" i="7"/>
  <c r="AR918" i="7"/>
  <c r="AQ918" i="7"/>
  <c r="EK917" i="7"/>
  <c r="EF917" i="7"/>
  <c r="EE917" i="7"/>
  <c r="AR917" i="7"/>
  <c r="AQ917" i="7"/>
  <c r="EK916" i="7"/>
  <c r="EF916" i="7"/>
  <c r="EE916" i="7"/>
  <c r="AR916" i="7"/>
  <c r="AQ916" i="7"/>
  <c r="EK915" i="7"/>
  <c r="EF915" i="7"/>
  <c r="EE915" i="7"/>
  <c r="AR915" i="7"/>
  <c r="AQ915" i="7"/>
  <c r="EK914" i="7"/>
  <c r="EF914" i="7"/>
  <c r="EE914" i="7"/>
  <c r="AR914" i="7"/>
  <c r="AQ914" i="7"/>
  <c r="EK913" i="7"/>
  <c r="EF913" i="7"/>
  <c r="EE913" i="7"/>
  <c r="AR913" i="7"/>
  <c r="AQ913" i="7"/>
  <c r="EK912" i="7"/>
  <c r="EF912" i="7"/>
  <c r="EE912" i="7"/>
  <c r="AR912" i="7"/>
  <c r="AQ912" i="7"/>
  <c r="EK911" i="7"/>
  <c r="EF911" i="7"/>
  <c r="EE911" i="7"/>
  <c r="AR911" i="7"/>
  <c r="AQ911" i="7"/>
  <c r="EK910" i="7"/>
  <c r="EF910" i="7"/>
  <c r="EE910" i="7"/>
  <c r="AR910" i="7"/>
  <c r="AQ910" i="7"/>
  <c r="EK909" i="7"/>
  <c r="EF909" i="7"/>
  <c r="EE909" i="7"/>
  <c r="AR909" i="7"/>
  <c r="AQ909" i="7"/>
  <c r="EK908" i="7"/>
  <c r="EF908" i="7"/>
  <c r="EE908" i="7"/>
  <c r="AR908" i="7"/>
  <c r="AQ908" i="7"/>
  <c r="EK907" i="7"/>
  <c r="EF907" i="7"/>
  <c r="EE907" i="7"/>
  <c r="AR907" i="7"/>
  <c r="AQ907" i="7"/>
  <c r="EK906" i="7"/>
  <c r="EF906" i="7"/>
  <c r="EE906" i="7"/>
  <c r="AR906" i="7"/>
  <c r="AQ906" i="7"/>
  <c r="EK905" i="7"/>
  <c r="EF905" i="7"/>
  <c r="EE905" i="7"/>
  <c r="AR905" i="7"/>
  <c r="AQ905" i="7"/>
  <c r="EK904" i="7"/>
  <c r="EF904" i="7"/>
  <c r="EE904" i="7"/>
  <c r="AR904" i="7"/>
  <c r="AQ904" i="7"/>
  <c r="EK903" i="7"/>
  <c r="EF903" i="7"/>
  <c r="EE903" i="7"/>
  <c r="AR903" i="7"/>
  <c r="AQ903" i="7"/>
  <c r="EK902" i="7"/>
  <c r="EF902" i="7"/>
  <c r="EE902" i="7"/>
  <c r="AR902" i="7"/>
  <c r="AQ902" i="7"/>
  <c r="EK901" i="7"/>
  <c r="EF901" i="7"/>
  <c r="EE901" i="7"/>
  <c r="AR901" i="7"/>
  <c r="AQ901" i="7"/>
  <c r="EK900" i="7"/>
  <c r="EF900" i="7"/>
  <c r="EE900" i="7"/>
  <c r="AR900" i="7"/>
  <c r="AQ900" i="7"/>
  <c r="EK899" i="7"/>
  <c r="EF899" i="7"/>
  <c r="EE899" i="7"/>
  <c r="AR899" i="7"/>
  <c r="AQ899" i="7"/>
  <c r="EK898" i="7"/>
  <c r="EF898" i="7"/>
  <c r="EE898" i="7"/>
  <c r="AR898" i="7"/>
  <c r="AQ898" i="7"/>
  <c r="EK897" i="7"/>
  <c r="EF897" i="7"/>
  <c r="EE897" i="7"/>
  <c r="AR897" i="7"/>
  <c r="AQ897" i="7"/>
  <c r="EK896" i="7"/>
  <c r="EF896" i="7"/>
  <c r="EE896" i="7"/>
  <c r="AR896" i="7"/>
  <c r="AQ896" i="7"/>
  <c r="EK895" i="7"/>
  <c r="EF895" i="7"/>
  <c r="EE895" i="7"/>
  <c r="AR895" i="7"/>
  <c r="AQ895" i="7"/>
  <c r="EK894" i="7"/>
  <c r="EF894" i="7"/>
  <c r="EE894" i="7"/>
  <c r="AR894" i="7"/>
  <c r="AQ894" i="7"/>
  <c r="EK893" i="7"/>
  <c r="EF893" i="7"/>
  <c r="EE893" i="7"/>
  <c r="AR893" i="7"/>
  <c r="AQ893" i="7"/>
  <c r="EK892" i="7"/>
  <c r="EF892" i="7"/>
  <c r="EE892" i="7"/>
  <c r="AR892" i="7"/>
  <c r="AQ892" i="7"/>
  <c r="EK891" i="7"/>
  <c r="EF891" i="7"/>
  <c r="EE891" i="7"/>
  <c r="AR891" i="7"/>
  <c r="AQ891" i="7"/>
  <c r="EK890" i="7"/>
  <c r="EF890" i="7"/>
  <c r="EE890" i="7"/>
  <c r="AR890" i="7"/>
  <c r="AQ890" i="7"/>
  <c r="EK889" i="7"/>
  <c r="EF889" i="7"/>
  <c r="EE889" i="7"/>
  <c r="AR889" i="7"/>
  <c r="AQ889" i="7"/>
  <c r="EK888" i="7"/>
  <c r="EF888" i="7"/>
  <c r="EE888" i="7"/>
  <c r="AR888" i="7"/>
  <c r="AQ888" i="7"/>
  <c r="EK887" i="7"/>
  <c r="EF887" i="7"/>
  <c r="EE887" i="7"/>
  <c r="AR887" i="7"/>
  <c r="AQ887" i="7"/>
  <c r="EK886" i="7"/>
  <c r="EF886" i="7"/>
  <c r="EE886" i="7"/>
  <c r="AR886" i="7"/>
  <c r="AQ886" i="7"/>
  <c r="EK885" i="7"/>
  <c r="EF885" i="7"/>
  <c r="EE885" i="7"/>
  <c r="AR885" i="7"/>
  <c r="AQ885" i="7"/>
  <c r="EK884" i="7"/>
  <c r="EF884" i="7"/>
  <c r="EE884" i="7"/>
  <c r="AR884" i="7"/>
  <c r="AQ884" i="7"/>
  <c r="EK883" i="7"/>
  <c r="EF883" i="7"/>
  <c r="EE883" i="7"/>
  <c r="AR883" i="7"/>
  <c r="AQ883" i="7"/>
  <c r="EK882" i="7"/>
  <c r="EF882" i="7"/>
  <c r="EE882" i="7"/>
  <c r="AR882" i="7"/>
  <c r="AQ882" i="7"/>
  <c r="EK881" i="7"/>
  <c r="EF881" i="7"/>
  <c r="EE881" i="7"/>
  <c r="AR881" i="7"/>
  <c r="AQ881" i="7"/>
  <c r="EK880" i="7"/>
  <c r="EF880" i="7"/>
  <c r="EE880" i="7"/>
  <c r="AR880" i="7"/>
  <c r="AQ880" i="7"/>
  <c r="EK879" i="7"/>
  <c r="EF879" i="7"/>
  <c r="EE879" i="7"/>
  <c r="AR879" i="7"/>
  <c r="AQ879" i="7"/>
  <c r="EK878" i="7"/>
  <c r="EF878" i="7"/>
  <c r="EE878" i="7"/>
  <c r="AR878" i="7"/>
  <c r="AQ878" i="7"/>
  <c r="EK877" i="7"/>
  <c r="EF877" i="7"/>
  <c r="EE877" i="7"/>
  <c r="AR877" i="7"/>
  <c r="AQ877" i="7"/>
  <c r="EK876" i="7"/>
  <c r="EF876" i="7"/>
  <c r="EE876" i="7"/>
  <c r="AR876" i="7"/>
  <c r="AQ876" i="7"/>
  <c r="EK875" i="7"/>
  <c r="EF875" i="7"/>
  <c r="EE875" i="7"/>
  <c r="AR875" i="7"/>
  <c r="AQ875" i="7"/>
  <c r="EK874" i="7"/>
  <c r="EF874" i="7"/>
  <c r="EE874" i="7"/>
  <c r="AR874" i="7"/>
  <c r="AQ874" i="7"/>
  <c r="EK873" i="7"/>
  <c r="EF873" i="7"/>
  <c r="EE873" i="7"/>
  <c r="AR873" i="7"/>
  <c r="AQ873" i="7"/>
  <c r="EK872" i="7"/>
  <c r="EF872" i="7"/>
  <c r="EE872" i="7"/>
  <c r="AR872" i="7"/>
  <c r="AQ872" i="7"/>
  <c r="EK871" i="7"/>
  <c r="EF871" i="7"/>
  <c r="EE871" i="7"/>
  <c r="AR871" i="7"/>
  <c r="AQ871" i="7"/>
  <c r="EK870" i="7"/>
  <c r="EF870" i="7"/>
  <c r="EE870" i="7"/>
  <c r="AR870" i="7"/>
  <c r="AQ870" i="7"/>
  <c r="EK869" i="7"/>
  <c r="EF869" i="7"/>
  <c r="EE869" i="7"/>
  <c r="AR869" i="7"/>
  <c r="AQ869" i="7"/>
  <c r="EK868" i="7"/>
  <c r="EF868" i="7"/>
  <c r="EE868" i="7"/>
  <c r="AR868" i="7"/>
  <c r="AQ868" i="7"/>
  <c r="EK867" i="7"/>
  <c r="EF867" i="7"/>
  <c r="EE867" i="7"/>
  <c r="AR867" i="7"/>
  <c r="AQ867" i="7"/>
  <c r="EK866" i="7"/>
  <c r="EF866" i="7"/>
  <c r="EE866" i="7"/>
  <c r="AR866" i="7"/>
  <c r="AQ866" i="7"/>
  <c r="EK865" i="7"/>
  <c r="EF865" i="7"/>
  <c r="EE865" i="7"/>
  <c r="AR865" i="7"/>
  <c r="AQ865" i="7"/>
  <c r="EK864" i="7"/>
  <c r="EF864" i="7"/>
  <c r="EE864" i="7"/>
  <c r="AR864" i="7"/>
  <c r="AQ864" i="7"/>
  <c r="EK863" i="7"/>
  <c r="EF863" i="7"/>
  <c r="EE863" i="7"/>
  <c r="AR863" i="7"/>
  <c r="AQ863" i="7"/>
  <c r="EK862" i="7"/>
  <c r="EF862" i="7"/>
  <c r="EE862" i="7"/>
  <c r="AR862" i="7"/>
  <c r="AQ862" i="7"/>
  <c r="EK861" i="7"/>
  <c r="EF861" i="7"/>
  <c r="EE861" i="7"/>
  <c r="AR861" i="7"/>
  <c r="AQ861" i="7"/>
  <c r="EK860" i="7"/>
  <c r="EF860" i="7"/>
  <c r="EE860" i="7"/>
  <c r="AR860" i="7"/>
  <c r="AQ860" i="7"/>
  <c r="EK859" i="7"/>
  <c r="EF859" i="7"/>
  <c r="EE859" i="7"/>
  <c r="AR859" i="7"/>
  <c r="AQ859" i="7"/>
  <c r="EK858" i="7"/>
  <c r="EF858" i="7"/>
  <c r="EE858" i="7"/>
  <c r="AR858" i="7"/>
  <c r="AQ858" i="7"/>
  <c r="EK857" i="7"/>
  <c r="EF857" i="7"/>
  <c r="EE857" i="7"/>
  <c r="AR857" i="7"/>
  <c r="AQ857" i="7"/>
  <c r="EK856" i="7"/>
  <c r="EF856" i="7"/>
  <c r="EE856" i="7"/>
  <c r="AR856" i="7"/>
  <c r="AQ856" i="7"/>
  <c r="EK855" i="7"/>
  <c r="EF855" i="7"/>
  <c r="EE855" i="7"/>
  <c r="AR855" i="7"/>
  <c r="AQ855" i="7"/>
  <c r="EK854" i="7"/>
  <c r="EF854" i="7"/>
  <c r="EE854" i="7"/>
  <c r="AR854" i="7"/>
  <c r="AQ854" i="7"/>
  <c r="EK853" i="7"/>
  <c r="EF853" i="7"/>
  <c r="EE853" i="7"/>
  <c r="AR853" i="7"/>
  <c r="AQ853" i="7"/>
  <c r="EK852" i="7"/>
  <c r="EF852" i="7"/>
  <c r="EE852" i="7"/>
  <c r="AR852" i="7"/>
  <c r="AQ852" i="7"/>
  <c r="EK851" i="7"/>
  <c r="EF851" i="7"/>
  <c r="EE851" i="7"/>
  <c r="AR851" i="7"/>
  <c r="AQ851" i="7"/>
  <c r="EK850" i="7"/>
  <c r="EF850" i="7"/>
  <c r="EE850" i="7"/>
  <c r="AR850" i="7"/>
  <c r="AQ850" i="7"/>
  <c r="EK849" i="7"/>
  <c r="EF849" i="7"/>
  <c r="EE849" i="7"/>
  <c r="AR849" i="7"/>
  <c r="AQ849" i="7"/>
  <c r="EK848" i="7"/>
  <c r="EF848" i="7"/>
  <c r="EE848" i="7"/>
  <c r="AR848" i="7"/>
  <c r="AQ848" i="7"/>
  <c r="EK847" i="7"/>
  <c r="EF847" i="7"/>
  <c r="EE847" i="7"/>
  <c r="AR847" i="7"/>
  <c r="AQ847" i="7"/>
  <c r="EK846" i="7"/>
  <c r="EF846" i="7"/>
  <c r="EE846" i="7"/>
  <c r="AR846" i="7"/>
  <c r="AQ846" i="7"/>
  <c r="EK845" i="7"/>
  <c r="EF845" i="7"/>
  <c r="EE845" i="7"/>
  <c r="AR845" i="7"/>
  <c r="AQ845" i="7"/>
  <c r="EK844" i="7"/>
  <c r="EF844" i="7"/>
  <c r="EE844" i="7"/>
  <c r="AR844" i="7"/>
  <c r="AQ844" i="7"/>
  <c r="EK843" i="7"/>
  <c r="EF843" i="7"/>
  <c r="EE843" i="7"/>
  <c r="AR843" i="7"/>
  <c r="AQ843" i="7"/>
  <c r="EK842" i="7"/>
  <c r="EF842" i="7"/>
  <c r="EE842" i="7"/>
  <c r="AR842" i="7"/>
  <c r="AQ842" i="7"/>
  <c r="EK841" i="7"/>
  <c r="EF841" i="7"/>
  <c r="EE841" i="7"/>
  <c r="AR841" i="7"/>
  <c r="AQ841" i="7"/>
  <c r="EK840" i="7"/>
  <c r="EF840" i="7"/>
  <c r="EE840" i="7"/>
  <c r="AR840" i="7"/>
  <c r="AQ840" i="7"/>
  <c r="EK839" i="7"/>
  <c r="EF839" i="7"/>
  <c r="EE839" i="7"/>
  <c r="AR839" i="7"/>
  <c r="AQ839" i="7"/>
  <c r="EK838" i="7"/>
  <c r="EF838" i="7"/>
  <c r="EE838" i="7"/>
  <c r="AR838" i="7"/>
  <c r="AQ838" i="7"/>
  <c r="EK837" i="7"/>
  <c r="EF837" i="7"/>
  <c r="EE837" i="7"/>
  <c r="AR837" i="7"/>
  <c r="AQ837" i="7"/>
  <c r="EK836" i="7"/>
  <c r="EF836" i="7"/>
  <c r="EE836" i="7"/>
  <c r="AR836" i="7"/>
  <c r="AQ836" i="7"/>
  <c r="EK835" i="7"/>
  <c r="EF835" i="7"/>
  <c r="EE835" i="7"/>
  <c r="AR835" i="7"/>
  <c r="AQ835" i="7"/>
  <c r="EK834" i="7"/>
  <c r="EF834" i="7"/>
  <c r="EE834" i="7"/>
  <c r="AR834" i="7"/>
  <c r="AQ834" i="7"/>
  <c r="EK833" i="7"/>
  <c r="EF833" i="7"/>
  <c r="EE833" i="7"/>
  <c r="AR833" i="7"/>
  <c r="AQ833" i="7"/>
  <c r="EK832" i="7"/>
  <c r="EF832" i="7"/>
  <c r="EE832" i="7"/>
  <c r="AR832" i="7"/>
  <c r="AQ832" i="7"/>
  <c r="EK831" i="7"/>
  <c r="EF831" i="7"/>
  <c r="EE831" i="7"/>
  <c r="AR831" i="7"/>
  <c r="AQ831" i="7"/>
  <c r="EK830" i="7"/>
  <c r="EF830" i="7"/>
  <c r="EE830" i="7"/>
  <c r="AR830" i="7"/>
  <c r="AQ830" i="7"/>
  <c r="EK829" i="7"/>
  <c r="EF829" i="7"/>
  <c r="EE829" i="7"/>
  <c r="AR829" i="7"/>
  <c r="AQ829" i="7"/>
  <c r="EK828" i="7"/>
  <c r="EF828" i="7"/>
  <c r="EE828" i="7"/>
  <c r="AR828" i="7"/>
  <c r="AQ828" i="7"/>
  <c r="EK827" i="7"/>
  <c r="EF827" i="7"/>
  <c r="EE827" i="7"/>
  <c r="AR827" i="7"/>
  <c r="AQ827" i="7"/>
  <c r="EK826" i="7"/>
  <c r="EF826" i="7"/>
  <c r="EE826" i="7"/>
  <c r="AR826" i="7"/>
  <c r="AQ826" i="7"/>
  <c r="EK825" i="7"/>
  <c r="EF825" i="7"/>
  <c r="EE825" i="7"/>
  <c r="AR825" i="7"/>
  <c r="AQ825" i="7"/>
  <c r="EK824" i="7"/>
  <c r="EF824" i="7"/>
  <c r="EE824" i="7"/>
  <c r="AR824" i="7"/>
  <c r="AQ824" i="7"/>
  <c r="EK823" i="7"/>
  <c r="EF823" i="7"/>
  <c r="EE823" i="7"/>
  <c r="AR823" i="7"/>
  <c r="AQ823" i="7"/>
  <c r="EK822" i="7"/>
  <c r="EF822" i="7"/>
  <c r="EE822" i="7"/>
  <c r="AR822" i="7"/>
  <c r="AQ822" i="7"/>
  <c r="EK821" i="7"/>
  <c r="EF821" i="7"/>
  <c r="EE821" i="7"/>
  <c r="AR821" i="7"/>
  <c r="AQ821" i="7"/>
  <c r="EK820" i="7"/>
  <c r="EF820" i="7"/>
  <c r="EE820" i="7"/>
  <c r="AR820" i="7"/>
  <c r="AQ820" i="7"/>
  <c r="EK819" i="7"/>
  <c r="EF819" i="7"/>
  <c r="EE819" i="7"/>
  <c r="AR819" i="7"/>
  <c r="AQ819" i="7"/>
  <c r="EK818" i="7"/>
  <c r="EF818" i="7"/>
  <c r="EE818" i="7"/>
  <c r="AR818" i="7"/>
  <c r="AQ818" i="7"/>
  <c r="EK817" i="7"/>
  <c r="EF817" i="7"/>
  <c r="EE817" i="7"/>
  <c r="AR817" i="7"/>
  <c r="AQ817" i="7"/>
  <c r="EK816" i="7"/>
  <c r="EF816" i="7"/>
  <c r="EE816" i="7"/>
  <c r="AR816" i="7"/>
  <c r="AQ816" i="7"/>
  <c r="EK815" i="7"/>
  <c r="EF815" i="7"/>
  <c r="EE815" i="7"/>
  <c r="AR815" i="7"/>
  <c r="AQ815" i="7"/>
  <c r="EK814" i="7"/>
  <c r="EF814" i="7"/>
  <c r="EE814" i="7"/>
  <c r="AR814" i="7"/>
  <c r="AQ814" i="7"/>
  <c r="EK813" i="7"/>
  <c r="EF813" i="7"/>
  <c r="EE813" i="7"/>
  <c r="AR813" i="7"/>
  <c r="AQ813" i="7"/>
  <c r="EK812" i="7"/>
  <c r="EF812" i="7"/>
  <c r="EE812" i="7"/>
  <c r="AR812" i="7"/>
  <c r="AQ812" i="7"/>
  <c r="EK811" i="7"/>
  <c r="EF811" i="7"/>
  <c r="EE811" i="7"/>
  <c r="AR811" i="7"/>
  <c r="AQ811" i="7"/>
  <c r="EK810" i="7"/>
  <c r="EF810" i="7"/>
  <c r="EE810" i="7"/>
  <c r="AR810" i="7"/>
  <c r="AQ810" i="7"/>
  <c r="EK809" i="7"/>
  <c r="EF809" i="7"/>
  <c r="EE809" i="7"/>
  <c r="AR809" i="7"/>
  <c r="AQ809" i="7"/>
  <c r="EK808" i="7"/>
  <c r="EF808" i="7"/>
  <c r="EE808" i="7"/>
  <c r="AR808" i="7"/>
  <c r="AQ808" i="7"/>
  <c r="EK807" i="7"/>
  <c r="EF807" i="7"/>
  <c r="EE807" i="7"/>
  <c r="AR807" i="7"/>
  <c r="AQ807" i="7"/>
  <c r="EK806" i="7"/>
  <c r="EF806" i="7"/>
  <c r="EE806" i="7"/>
  <c r="AR806" i="7"/>
  <c r="AQ806" i="7"/>
  <c r="EK805" i="7"/>
  <c r="EF805" i="7"/>
  <c r="EE805" i="7"/>
  <c r="AR805" i="7"/>
  <c r="AQ805" i="7"/>
  <c r="EK804" i="7"/>
  <c r="EF804" i="7"/>
  <c r="EE804" i="7"/>
  <c r="AR804" i="7"/>
  <c r="AQ804" i="7"/>
  <c r="EK803" i="7"/>
  <c r="EF803" i="7"/>
  <c r="EE803" i="7"/>
  <c r="AR803" i="7"/>
  <c r="AQ803" i="7"/>
  <c r="EK802" i="7"/>
  <c r="EF802" i="7"/>
  <c r="EE802" i="7"/>
  <c r="AR802" i="7"/>
  <c r="AQ802" i="7"/>
  <c r="EK801" i="7"/>
  <c r="EF801" i="7"/>
  <c r="EE801" i="7"/>
  <c r="AR801" i="7"/>
  <c r="AQ801" i="7"/>
  <c r="EK800" i="7"/>
  <c r="EF800" i="7"/>
  <c r="EE800" i="7"/>
  <c r="AR800" i="7"/>
  <c r="AQ800" i="7"/>
  <c r="EK799" i="7"/>
  <c r="EF799" i="7"/>
  <c r="EE799" i="7"/>
  <c r="AR799" i="7"/>
  <c r="AQ799" i="7"/>
  <c r="EK798" i="7"/>
  <c r="EF798" i="7"/>
  <c r="EE798" i="7"/>
  <c r="AR798" i="7"/>
  <c r="AQ798" i="7"/>
  <c r="EK797" i="7"/>
  <c r="EF797" i="7"/>
  <c r="EE797" i="7"/>
  <c r="AR797" i="7"/>
  <c r="AQ797" i="7"/>
  <c r="EK796" i="7"/>
  <c r="EF796" i="7"/>
  <c r="EE796" i="7"/>
  <c r="AR796" i="7"/>
  <c r="AQ796" i="7"/>
  <c r="EK795" i="7"/>
  <c r="EF795" i="7"/>
  <c r="EE795" i="7"/>
  <c r="AR795" i="7"/>
  <c r="AQ795" i="7"/>
  <c r="EK794" i="7"/>
  <c r="EF794" i="7"/>
  <c r="EE794" i="7"/>
  <c r="AR794" i="7"/>
  <c r="AQ794" i="7"/>
  <c r="EK793" i="7"/>
  <c r="EF793" i="7"/>
  <c r="EE793" i="7"/>
  <c r="AR793" i="7"/>
  <c r="AQ793" i="7"/>
  <c r="EK792" i="7"/>
  <c r="EF792" i="7"/>
  <c r="EE792" i="7"/>
  <c r="AR792" i="7"/>
  <c r="AQ792" i="7"/>
  <c r="EK791" i="7"/>
  <c r="EF791" i="7"/>
  <c r="EE791" i="7"/>
  <c r="AR791" i="7"/>
  <c r="AQ791" i="7"/>
  <c r="EK790" i="7"/>
  <c r="EF790" i="7"/>
  <c r="EE790" i="7"/>
  <c r="AR790" i="7"/>
  <c r="AQ790" i="7"/>
  <c r="EK789" i="7"/>
  <c r="EF789" i="7"/>
  <c r="EE789" i="7"/>
  <c r="AR789" i="7"/>
  <c r="AQ789" i="7"/>
  <c r="EK788" i="7"/>
  <c r="EF788" i="7"/>
  <c r="EE788" i="7"/>
  <c r="AR788" i="7"/>
  <c r="AQ788" i="7"/>
  <c r="EK787" i="7"/>
  <c r="EF787" i="7"/>
  <c r="EE787" i="7"/>
  <c r="AR787" i="7"/>
  <c r="AQ787" i="7"/>
  <c r="EK786" i="7"/>
  <c r="EF786" i="7"/>
  <c r="EE786" i="7"/>
  <c r="AR786" i="7"/>
  <c r="AQ786" i="7"/>
  <c r="EK785" i="7"/>
  <c r="EF785" i="7"/>
  <c r="EE785" i="7"/>
  <c r="AR785" i="7"/>
  <c r="AQ785" i="7"/>
  <c r="EK784" i="7"/>
  <c r="EF784" i="7"/>
  <c r="EE784" i="7"/>
  <c r="AR784" i="7"/>
  <c r="AQ784" i="7"/>
  <c r="EK783" i="7"/>
  <c r="EF783" i="7"/>
  <c r="EE783" i="7"/>
  <c r="AR783" i="7"/>
  <c r="AQ783" i="7"/>
  <c r="EK782" i="7"/>
  <c r="EF782" i="7"/>
  <c r="EE782" i="7"/>
  <c r="AR782" i="7"/>
  <c r="AQ782" i="7"/>
  <c r="EK781" i="7"/>
  <c r="EF781" i="7"/>
  <c r="EE781" i="7"/>
  <c r="AR781" i="7"/>
  <c r="AQ781" i="7"/>
  <c r="EK780" i="7"/>
  <c r="EF780" i="7"/>
  <c r="EE780" i="7"/>
  <c r="AR780" i="7"/>
  <c r="AQ780" i="7"/>
  <c r="EK779" i="7"/>
  <c r="EF779" i="7"/>
  <c r="EE779" i="7"/>
  <c r="AR779" i="7"/>
  <c r="AQ779" i="7"/>
  <c r="EK778" i="7"/>
  <c r="EF778" i="7"/>
  <c r="EE778" i="7"/>
  <c r="AR778" i="7"/>
  <c r="AQ778" i="7"/>
  <c r="EK777" i="7"/>
  <c r="EF777" i="7"/>
  <c r="EE777" i="7"/>
  <c r="AR777" i="7"/>
  <c r="AQ777" i="7"/>
  <c r="EK776" i="7"/>
  <c r="EF776" i="7"/>
  <c r="EE776" i="7"/>
  <c r="AR776" i="7"/>
  <c r="AQ776" i="7"/>
  <c r="EK775" i="7"/>
  <c r="EF775" i="7"/>
  <c r="EE775" i="7"/>
  <c r="AR775" i="7"/>
  <c r="AQ775" i="7"/>
  <c r="EK774" i="7"/>
  <c r="EF774" i="7"/>
  <c r="EE774" i="7"/>
  <c r="AR774" i="7"/>
  <c r="AQ774" i="7"/>
  <c r="EK773" i="7"/>
  <c r="EF773" i="7"/>
  <c r="EE773" i="7"/>
  <c r="AR773" i="7"/>
  <c r="AQ773" i="7"/>
  <c r="EK772" i="7"/>
  <c r="EF772" i="7"/>
  <c r="EE772" i="7"/>
  <c r="AR772" i="7"/>
  <c r="AQ772" i="7"/>
  <c r="EK771" i="7"/>
  <c r="EF771" i="7"/>
  <c r="EE771" i="7"/>
  <c r="AR771" i="7"/>
  <c r="AQ771" i="7"/>
  <c r="EK770" i="7"/>
  <c r="EF770" i="7"/>
  <c r="EE770" i="7"/>
  <c r="AR770" i="7"/>
  <c r="AQ770" i="7"/>
  <c r="EK769" i="7"/>
  <c r="EF769" i="7"/>
  <c r="EE769" i="7"/>
  <c r="AR769" i="7"/>
  <c r="AQ769" i="7"/>
  <c r="EK768" i="7"/>
  <c r="EF768" i="7"/>
  <c r="EE768" i="7"/>
  <c r="AR768" i="7"/>
  <c r="AQ768" i="7"/>
  <c r="EK767" i="7"/>
  <c r="EF767" i="7"/>
  <c r="EE767" i="7"/>
  <c r="AR767" i="7"/>
  <c r="AQ767" i="7"/>
  <c r="EK766" i="7"/>
  <c r="EF766" i="7"/>
  <c r="EE766" i="7"/>
  <c r="AR766" i="7"/>
  <c r="AQ766" i="7"/>
  <c r="EK765" i="7"/>
  <c r="EF765" i="7"/>
  <c r="EE765" i="7"/>
  <c r="AR765" i="7"/>
  <c r="AQ765" i="7"/>
  <c r="EK764" i="7"/>
  <c r="EF764" i="7"/>
  <c r="EE764" i="7"/>
  <c r="AR764" i="7"/>
  <c r="AQ764" i="7"/>
  <c r="EK763" i="7"/>
  <c r="EF763" i="7"/>
  <c r="EE763" i="7"/>
  <c r="AR763" i="7"/>
  <c r="AQ763" i="7"/>
  <c r="EK762" i="7"/>
  <c r="EF762" i="7"/>
  <c r="EE762" i="7"/>
  <c r="AR762" i="7"/>
  <c r="AQ762" i="7"/>
  <c r="EK761" i="7"/>
  <c r="EF761" i="7"/>
  <c r="EE761" i="7"/>
  <c r="AR761" i="7"/>
  <c r="AQ761" i="7"/>
  <c r="EK760" i="7"/>
  <c r="EF760" i="7"/>
  <c r="EE760" i="7"/>
  <c r="AR760" i="7"/>
  <c r="AQ760" i="7"/>
  <c r="EK759" i="7"/>
  <c r="EF759" i="7"/>
  <c r="EE759" i="7"/>
  <c r="AR759" i="7"/>
  <c r="AQ759" i="7"/>
  <c r="EK758" i="7"/>
  <c r="EF758" i="7"/>
  <c r="EE758" i="7"/>
  <c r="AR758" i="7"/>
  <c r="AQ758" i="7"/>
  <c r="EK757" i="7"/>
  <c r="EF757" i="7"/>
  <c r="EE757" i="7"/>
  <c r="AR757" i="7"/>
  <c r="AQ757" i="7"/>
  <c r="EK756" i="7"/>
  <c r="EF756" i="7"/>
  <c r="EE756" i="7"/>
  <c r="AR756" i="7"/>
  <c r="AQ756" i="7"/>
  <c r="EK755" i="7"/>
  <c r="EF755" i="7"/>
  <c r="EE755" i="7"/>
  <c r="AR755" i="7"/>
  <c r="AQ755" i="7"/>
  <c r="EK754" i="7"/>
  <c r="EF754" i="7"/>
  <c r="EE754" i="7"/>
  <c r="AR754" i="7"/>
  <c r="AQ754" i="7"/>
  <c r="EK753" i="7"/>
  <c r="EF753" i="7"/>
  <c r="EE753" i="7"/>
  <c r="AR753" i="7"/>
  <c r="AQ753" i="7"/>
  <c r="EK752" i="7"/>
  <c r="EF752" i="7"/>
  <c r="EE752" i="7"/>
  <c r="AR752" i="7"/>
  <c r="AQ752" i="7"/>
  <c r="EK751" i="7"/>
  <c r="EF751" i="7"/>
  <c r="EE751" i="7"/>
  <c r="AR751" i="7"/>
  <c r="AQ751" i="7"/>
  <c r="EK750" i="7"/>
  <c r="EF750" i="7"/>
  <c r="EE750" i="7"/>
  <c r="AR750" i="7"/>
  <c r="AQ750" i="7"/>
  <c r="EK749" i="7"/>
  <c r="EF749" i="7"/>
  <c r="EE749" i="7"/>
  <c r="AR749" i="7"/>
  <c r="AQ749" i="7"/>
  <c r="EK748" i="7"/>
  <c r="EF748" i="7"/>
  <c r="EE748" i="7"/>
  <c r="AR748" i="7"/>
  <c r="AQ748" i="7"/>
  <c r="EK747" i="7"/>
  <c r="EF747" i="7"/>
  <c r="EE747" i="7"/>
  <c r="AR747" i="7"/>
  <c r="AQ747" i="7"/>
  <c r="EK746" i="7"/>
  <c r="EF746" i="7"/>
  <c r="EE746" i="7"/>
  <c r="AR746" i="7"/>
  <c r="AQ746" i="7"/>
  <c r="EK745" i="7"/>
  <c r="EF745" i="7"/>
  <c r="EE745" i="7"/>
  <c r="AR745" i="7"/>
  <c r="AQ745" i="7"/>
  <c r="EK744" i="7"/>
  <c r="EF744" i="7"/>
  <c r="EE744" i="7"/>
  <c r="AR744" i="7"/>
  <c r="AQ744" i="7"/>
  <c r="EK743" i="7"/>
  <c r="EF743" i="7"/>
  <c r="EE743" i="7"/>
  <c r="AR743" i="7"/>
  <c r="AQ743" i="7"/>
  <c r="EK742" i="7"/>
  <c r="EF742" i="7"/>
  <c r="EE742" i="7"/>
  <c r="AR742" i="7"/>
  <c r="AQ742" i="7"/>
  <c r="EK741" i="7"/>
  <c r="EF741" i="7"/>
  <c r="EE741" i="7"/>
  <c r="AR741" i="7"/>
  <c r="AQ741" i="7"/>
  <c r="EK740" i="7"/>
  <c r="EF740" i="7"/>
  <c r="EE740" i="7"/>
  <c r="AR740" i="7"/>
  <c r="AQ740" i="7"/>
  <c r="EK739" i="7"/>
  <c r="EF739" i="7"/>
  <c r="EE739" i="7"/>
  <c r="AR739" i="7"/>
  <c r="AQ739" i="7"/>
  <c r="EK738" i="7"/>
  <c r="EF738" i="7"/>
  <c r="EE738" i="7"/>
  <c r="AR738" i="7"/>
  <c r="AQ738" i="7"/>
  <c r="EK737" i="7"/>
  <c r="EF737" i="7"/>
  <c r="EE737" i="7"/>
  <c r="AR737" i="7"/>
  <c r="AQ737" i="7"/>
  <c r="EK736" i="7"/>
  <c r="EF736" i="7"/>
  <c r="EE736" i="7"/>
  <c r="AR736" i="7"/>
  <c r="AQ736" i="7"/>
  <c r="EK735" i="7"/>
  <c r="EF735" i="7"/>
  <c r="EE735" i="7"/>
  <c r="AR735" i="7"/>
  <c r="AQ735" i="7"/>
  <c r="EK734" i="7"/>
  <c r="EF734" i="7"/>
  <c r="EE734" i="7"/>
  <c r="AR734" i="7"/>
  <c r="AQ734" i="7"/>
  <c r="EK733" i="7"/>
  <c r="EF733" i="7"/>
  <c r="EE733" i="7"/>
  <c r="AR733" i="7"/>
  <c r="AQ733" i="7"/>
  <c r="EK732" i="7"/>
  <c r="EF732" i="7"/>
  <c r="EE732" i="7"/>
  <c r="AR732" i="7"/>
  <c r="AQ732" i="7"/>
  <c r="EK731" i="7"/>
  <c r="EF731" i="7"/>
  <c r="EE731" i="7"/>
  <c r="AR731" i="7"/>
  <c r="AQ731" i="7"/>
  <c r="EK730" i="7"/>
  <c r="EF730" i="7"/>
  <c r="EE730" i="7"/>
  <c r="AR730" i="7"/>
  <c r="AQ730" i="7"/>
  <c r="EK729" i="7"/>
  <c r="EF729" i="7"/>
  <c r="EE729" i="7"/>
  <c r="AR729" i="7"/>
  <c r="AQ729" i="7"/>
  <c r="EK728" i="7"/>
  <c r="EF728" i="7"/>
  <c r="EE728" i="7"/>
  <c r="AR728" i="7"/>
  <c r="AQ728" i="7"/>
  <c r="EK727" i="7"/>
  <c r="EF727" i="7"/>
  <c r="EE727" i="7"/>
  <c r="AR727" i="7"/>
  <c r="AQ727" i="7"/>
  <c r="EK726" i="7"/>
  <c r="EF726" i="7"/>
  <c r="EE726" i="7"/>
  <c r="AR726" i="7"/>
  <c r="AQ726" i="7"/>
  <c r="EK725" i="7"/>
  <c r="EF725" i="7"/>
  <c r="EE725" i="7"/>
  <c r="AR725" i="7"/>
  <c r="AQ725" i="7"/>
  <c r="EK724" i="7"/>
  <c r="EF724" i="7"/>
  <c r="EE724" i="7"/>
  <c r="AR724" i="7"/>
  <c r="AQ724" i="7"/>
  <c r="EK723" i="7"/>
  <c r="EF723" i="7"/>
  <c r="EE723" i="7"/>
  <c r="AR723" i="7"/>
  <c r="AQ723" i="7"/>
  <c r="EK722" i="7"/>
  <c r="EF722" i="7"/>
  <c r="EE722" i="7"/>
  <c r="AR722" i="7"/>
  <c r="AQ722" i="7"/>
  <c r="EK721" i="7"/>
  <c r="EF721" i="7"/>
  <c r="EE721" i="7"/>
  <c r="AR721" i="7"/>
  <c r="AQ721" i="7"/>
  <c r="EK720" i="7"/>
  <c r="EF720" i="7"/>
  <c r="EE720" i="7"/>
  <c r="AR720" i="7"/>
  <c r="AQ720" i="7"/>
  <c r="EK719" i="7"/>
  <c r="EF719" i="7"/>
  <c r="EE719" i="7"/>
  <c r="AR719" i="7"/>
  <c r="AQ719" i="7"/>
  <c r="EK718" i="7"/>
  <c r="EF718" i="7"/>
  <c r="EE718" i="7"/>
  <c r="AR718" i="7"/>
  <c r="AQ718" i="7"/>
  <c r="EK717" i="7"/>
  <c r="EF717" i="7"/>
  <c r="EE717" i="7"/>
  <c r="AR717" i="7"/>
  <c r="AQ717" i="7"/>
  <c r="EK716" i="7"/>
  <c r="EF716" i="7"/>
  <c r="EE716" i="7"/>
  <c r="AR716" i="7"/>
  <c r="AQ716" i="7"/>
  <c r="EK715" i="7"/>
  <c r="EF715" i="7"/>
  <c r="EE715" i="7"/>
  <c r="AR715" i="7"/>
  <c r="AQ715" i="7"/>
  <c r="EK714" i="7"/>
  <c r="EF714" i="7"/>
  <c r="EE714" i="7"/>
  <c r="AR714" i="7"/>
  <c r="AQ714" i="7"/>
  <c r="EK713" i="7"/>
  <c r="EF713" i="7"/>
  <c r="EE713" i="7"/>
  <c r="AR713" i="7"/>
  <c r="AQ713" i="7"/>
  <c r="EK712" i="7"/>
  <c r="EF712" i="7"/>
  <c r="EE712" i="7"/>
  <c r="AR712" i="7"/>
  <c r="AQ712" i="7"/>
  <c r="EK711" i="7"/>
  <c r="EF711" i="7"/>
  <c r="EE711" i="7"/>
  <c r="AR711" i="7"/>
  <c r="AQ711" i="7"/>
  <c r="EK710" i="7"/>
  <c r="EF710" i="7"/>
  <c r="EE710" i="7"/>
  <c r="AR710" i="7"/>
  <c r="AQ710" i="7"/>
  <c r="EK709" i="7"/>
  <c r="EF709" i="7"/>
  <c r="EE709" i="7"/>
  <c r="AR709" i="7"/>
  <c r="AQ709" i="7"/>
  <c r="EK708" i="7"/>
  <c r="EF708" i="7"/>
  <c r="EE708" i="7"/>
  <c r="AR708" i="7"/>
  <c r="AQ708" i="7"/>
  <c r="EK707" i="7"/>
  <c r="EF707" i="7"/>
  <c r="EE707" i="7"/>
  <c r="AR707" i="7"/>
  <c r="AQ707" i="7"/>
  <c r="EK706" i="7"/>
  <c r="EF706" i="7"/>
  <c r="EE706" i="7"/>
  <c r="AR706" i="7"/>
  <c r="AQ706" i="7"/>
  <c r="EK705" i="7"/>
  <c r="EF705" i="7"/>
  <c r="EE705" i="7"/>
  <c r="AR705" i="7"/>
  <c r="AQ705" i="7"/>
  <c r="EK704" i="7"/>
  <c r="EF704" i="7"/>
  <c r="EE704" i="7"/>
  <c r="AR704" i="7"/>
  <c r="AQ704" i="7"/>
  <c r="EK703" i="7"/>
  <c r="EF703" i="7"/>
  <c r="EE703" i="7"/>
  <c r="AR703" i="7"/>
  <c r="AQ703" i="7"/>
  <c r="EK702" i="7"/>
  <c r="EF702" i="7"/>
  <c r="EE702" i="7"/>
  <c r="AR702" i="7"/>
  <c r="AQ702" i="7"/>
  <c r="EK701" i="7"/>
  <c r="EF701" i="7"/>
  <c r="EE701" i="7"/>
  <c r="AR701" i="7"/>
  <c r="AQ701" i="7"/>
  <c r="EK700" i="7"/>
  <c r="EF700" i="7"/>
  <c r="EE700" i="7"/>
  <c r="AR700" i="7"/>
  <c r="AQ700" i="7"/>
  <c r="EK699" i="7"/>
  <c r="EF699" i="7"/>
  <c r="EE699" i="7"/>
  <c r="AR699" i="7"/>
  <c r="AQ699" i="7"/>
  <c r="EK698" i="7"/>
  <c r="EF698" i="7"/>
  <c r="EE698" i="7"/>
  <c r="AR698" i="7"/>
  <c r="AQ698" i="7"/>
  <c r="EK697" i="7"/>
  <c r="EF697" i="7"/>
  <c r="EE697" i="7"/>
  <c r="AR697" i="7"/>
  <c r="AQ697" i="7"/>
  <c r="EK696" i="7"/>
  <c r="EF696" i="7"/>
  <c r="EE696" i="7"/>
  <c r="AR696" i="7"/>
  <c r="AQ696" i="7"/>
  <c r="EK695" i="7"/>
  <c r="EF695" i="7"/>
  <c r="EE695" i="7"/>
  <c r="AR695" i="7"/>
  <c r="AQ695" i="7"/>
  <c r="EK694" i="7"/>
  <c r="EF694" i="7"/>
  <c r="EE694" i="7"/>
  <c r="AR694" i="7"/>
  <c r="AQ694" i="7"/>
  <c r="EK693" i="7"/>
  <c r="EF693" i="7"/>
  <c r="EE693" i="7"/>
  <c r="AR693" i="7"/>
  <c r="AQ693" i="7"/>
  <c r="EK692" i="7"/>
  <c r="EF692" i="7"/>
  <c r="EE692" i="7"/>
  <c r="AR692" i="7"/>
  <c r="AQ692" i="7"/>
  <c r="EK691" i="7"/>
  <c r="EF691" i="7"/>
  <c r="EE691" i="7"/>
  <c r="AR691" i="7"/>
  <c r="AQ691" i="7"/>
  <c r="EK690" i="7"/>
  <c r="EF690" i="7"/>
  <c r="EE690" i="7"/>
  <c r="AR690" i="7"/>
  <c r="AQ690" i="7"/>
  <c r="EK689" i="7"/>
  <c r="EF689" i="7"/>
  <c r="EE689" i="7"/>
  <c r="AR689" i="7"/>
  <c r="AQ689" i="7"/>
  <c r="EK688" i="7"/>
  <c r="EF688" i="7"/>
  <c r="EE688" i="7"/>
  <c r="AR688" i="7"/>
  <c r="AQ688" i="7"/>
  <c r="EK687" i="7"/>
  <c r="EF687" i="7"/>
  <c r="EE687" i="7"/>
  <c r="AR687" i="7"/>
  <c r="AQ687" i="7"/>
  <c r="EK686" i="7"/>
  <c r="EF686" i="7"/>
  <c r="EE686" i="7"/>
  <c r="AR686" i="7"/>
  <c r="AQ686" i="7"/>
  <c r="EK685" i="7"/>
  <c r="EF685" i="7"/>
  <c r="EE685" i="7"/>
  <c r="AR685" i="7"/>
  <c r="AQ685" i="7"/>
  <c r="EK684" i="7"/>
  <c r="EF684" i="7"/>
  <c r="EE684" i="7"/>
  <c r="AR684" i="7"/>
  <c r="AQ684" i="7"/>
  <c r="EK683" i="7"/>
  <c r="EF683" i="7"/>
  <c r="EE683" i="7"/>
  <c r="AR683" i="7"/>
  <c r="AQ683" i="7"/>
  <c r="EK682" i="7"/>
  <c r="EF682" i="7"/>
  <c r="EE682" i="7"/>
  <c r="AR682" i="7"/>
  <c r="AQ682" i="7"/>
  <c r="EK681" i="7"/>
  <c r="EF681" i="7"/>
  <c r="EE681" i="7"/>
  <c r="AR681" i="7"/>
  <c r="AQ681" i="7"/>
  <c r="EK680" i="7"/>
  <c r="EF680" i="7"/>
  <c r="EE680" i="7"/>
  <c r="AR680" i="7"/>
  <c r="AQ680" i="7"/>
  <c r="EK679" i="7"/>
  <c r="EF679" i="7"/>
  <c r="EE679" i="7"/>
  <c r="AR679" i="7"/>
  <c r="AQ679" i="7"/>
  <c r="EK678" i="7"/>
  <c r="EF678" i="7"/>
  <c r="EE678" i="7"/>
  <c r="AR678" i="7"/>
  <c r="AQ678" i="7"/>
  <c r="EK677" i="7"/>
  <c r="EF677" i="7"/>
  <c r="EE677" i="7"/>
  <c r="AR677" i="7"/>
  <c r="AQ677" i="7"/>
  <c r="EK676" i="7"/>
  <c r="EF676" i="7"/>
  <c r="EE676" i="7"/>
  <c r="AR676" i="7"/>
  <c r="AQ676" i="7"/>
  <c r="EK675" i="7"/>
  <c r="EF675" i="7"/>
  <c r="EE675" i="7"/>
  <c r="AR675" i="7"/>
  <c r="AQ675" i="7"/>
  <c r="EK674" i="7"/>
  <c r="EF674" i="7"/>
  <c r="EE674" i="7"/>
  <c r="AR674" i="7"/>
  <c r="AQ674" i="7"/>
  <c r="EK673" i="7"/>
  <c r="EF673" i="7"/>
  <c r="EE673" i="7"/>
  <c r="AR673" i="7"/>
  <c r="AQ673" i="7"/>
  <c r="EK672" i="7"/>
  <c r="EF672" i="7"/>
  <c r="EE672" i="7"/>
  <c r="AR672" i="7"/>
  <c r="AQ672" i="7"/>
  <c r="EK671" i="7"/>
  <c r="EF671" i="7"/>
  <c r="EE671" i="7"/>
  <c r="AR671" i="7"/>
  <c r="AQ671" i="7"/>
  <c r="EK670" i="7"/>
  <c r="EF670" i="7"/>
  <c r="EE670" i="7"/>
  <c r="AR670" i="7"/>
  <c r="AQ670" i="7"/>
  <c r="EK669" i="7"/>
  <c r="EF669" i="7"/>
  <c r="EE669" i="7"/>
  <c r="AR669" i="7"/>
  <c r="AQ669" i="7"/>
  <c r="EK668" i="7"/>
  <c r="EF668" i="7"/>
  <c r="EE668" i="7"/>
  <c r="AR668" i="7"/>
  <c r="AQ668" i="7"/>
  <c r="EK667" i="7"/>
  <c r="EF667" i="7"/>
  <c r="EE667" i="7"/>
  <c r="AR667" i="7"/>
  <c r="AQ667" i="7"/>
  <c r="EK666" i="7"/>
  <c r="EF666" i="7"/>
  <c r="EE666" i="7"/>
  <c r="AR666" i="7"/>
  <c r="AQ666" i="7"/>
  <c r="EK665" i="7"/>
  <c r="EF665" i="7"/>
  <c r="EE665" i="7"/>
  <c r="AR665" i="7"/>
  <c r="AQ665" i="7"/>
  <c r="EK664" i="7"/>
  <c r="EF664" i="7"/>
  <c r="EE664" i="7"/>
  <c r="AR664" i="7"/>
  <c r="AQ664" i="7"/>
  <c r="EK663" i="7"/>
  <c r="EF663" i="7"/>
  <c r="EE663" i="7"/>
  <c r="AR663" i="7"/>
  <c r="AQ663" i="7"/>
  <c r="EK662" i="7"/>
  <c r="EF662" i="7"/>
  <c r="EE662" i="7"/>
  <c r="AR662" i="7"/>
  <c r="AQ662" i="7"/>
  <c r="EK661" i="7"/>
  <c r="EF661" i="7"/>
  <c r="EE661" i="7"/>
  <c r="AR661" i="7"/>
  <c r="AQ661" i="7"/>
  <c r="EK660" i="7"/>
  <c r="EF660" i="7"/>
  <c r="EE660" i="7"/>
  <c r="AR660" i="7"/>
  <c r="AQ660" i="7"/>
  <c r="EK659" i="7"/>
  <c r="EF659" i="7"/>
  <c r="EE659" i="7"/>
  <c r="AR659" i="7"/>
  <c r="AQ659" i="7"/>
  <c r="EK658" i="7"/>
  <c r="EF658" i="7"/>
  <c r="EE658" i="7"/>
  <c r="AR658" i="7"/>
  <c r="AQ658" i="7"/>
  <c r="EK657" i="7"/>
  <c r="EF657" i="7"/>
  <c r="EE657" i="7"/>
  <c r="AR657" i="7"/>
  <c r="AQ657" i="7"/>
  <c r="EK656" i="7"/>
  <c r="EF656" i="7"/>
  <c r="EE656" i="7"/>
  <c r="AR656" i="7"/>
  <c r="AQ656" i="7"/>
  <c r="EK655" i="7"/>
  <c r="EF655" i="7"/>
  <c r="EE655" i="7"/>
  <c r="AR655" i="7"/>
  <c r="AQ655" i="7"/>
  <c r="EK654" i="7"/>
  <c r="EF654" i="7"/>
  <c r="EE654" i="7"/>
  <c r="AR654" i="7"/>
  <c r="AQ654" i="7"/>
  <c r="EK653" i="7"/>
  <c r="EF653" i="7"/>
  <c r="EE653" i="7"/>
  <c r="AR653" i="7"/>
  <c r="AQ653" i="7"/>
  <c r="EK652" i="7"/>
  <c r="EF652" i="7"/>
  <c r="EE652" i="7"/>
  <c r="AR652" i="7"/>
  <c r="AQ652" i="7"/>
  <c r="EK651" i="7"/>
  <c r="EF651" i="7"/>
  <c r="EE651" i="7"/>
  <c r="AR651" i="7"/>
  <c r="AQ651" i="7"/>
  <c r="EK650" i="7"/>
  <c r="EF650" i="7"/>
  <c r="EE650" i="7"/>
  <c r="AR650" i="7"/>
  <c r="AQ650" i="7"/>
  <c r="EK649" i="7"/>
  <c r="EF649" i="7"/>
  <c r="EE649" i="7"/>
  <c r="AR649" i="7"/>
  <c r="AQ649" i="7"/>
  <c r="EK648" i="7"/>
  <c r="EF648" i="7"/>
  <c r="EE648" i="7"/>
  <c r="AR648" i="7"/>
  <c r="AQ648" i="7"/>
  <c r="EK647" i="7"/>
  <c r="EF647" i="7"/>
  <c r="EE647" i="7"/>
  <c r="AR647" i="7"/>
  <c r="AQ647" i="7"/>
  <c r="EK646" i="7"/>
  <c r="EF646" i="7"/>
  <c r="EE646" i="7"/>
  <c r="AR646" i="7"/>
  <c r="AQ646" i="7"/>
  <c r="EK645" i="7"/>
  <c r="EF645" i="7"/>
  <c r="EE645" i="7"/>
  <c r="AR645" i="7"/>
  <c r="AQ645" i="7"/>
  <c r="EK644" i="7"/>
  <c r="EF644" i="7"/>
  <c r="EE644" i="7"/>
  <c r="AR644" i="7"/>
  <c r="AQ644" i="7"/>
  <c r="EK643" i="7"/>
  <c r="EF643" i="7"/>
  <c r="EE643" i="7"/>
  <c r="AR643" i="7"/>
  <c r="AQ643" i="7"/>
  <c r="EK642" i="7"/>
  <c r="EF642" i="7"/>
  <c r="EE642" i="7"/>
  <c r="AR642" i="7"/>
  <c r="AQ642" i="7"/>
  <c r="EK641" i="7"/>
  <c r="EF641" i="7"/>
  <c r="EE641" i="7"/>
  <c r="AR641" i="7"/>
  <c r="AQ641" i="7"/>
  <c r="EK640" i="7"/>
  <c r="EF640" i="7"/>
  <c r="EE640" i="7"/>
  <c r="AR640" i="7"/>
  <c r="AQ640" i="7"/>
  <c r="EK639" i="7"/>
  <c r="EF639" i="7"/>
  <c r="EE639" i="7"/>
  <c r="AR639" i="7"/>
  <c r="AQ639" i="7"/>
  <c r="EK638" i="7"/>
  <c r="EF638" i="7"/>
  <c r="EE638" i="7"/>
  <c r="AR638" i="7"/>
  <c r="AQ638" i="7"/>
  <c r="EK637" i="7"/>
  <c r="EF637" i="7"/>
  <c r="EE637" i="7"/>
  <c r="AR637" i="7"/>
  <c r="AQ637" i="7"/>
  <c r="EK636" i="7"/>
  <c r="EF636" i="7"/>
  <c r="EE636" i="7"/>
  <c r="AR636" i="7"/>
  <c r="AQ636" i="7"/>
  <c r="EK635" i="7"/>
  <c r="EF635" i="7"/>
  <c r="EE635" i="7"/>
  <c r="AR635" i="7"/>
  <c r="AQ635" i="7"/>
  <c r="EK634" i="7"/>
  <c r="EF634" i="7"/>
  <c r="EE634" i="7"/>
  <c r="AR634" i="7"/>
  <c r="AQ634" i="7"/>
  <c r="EK633" i="7"/>
  <c r="EF633" i="7"/>
  <c r="EE633" i="7"/>
  <c r="AR633" i="7"/>
  <c r="AQ633" i="7"/>
  <c r="EK632" i="7"/>
  <c r="EF632" i="7"/>
  <c r="EE632" i="7"/>
  <c r="AR632" i="7"/>
  <c r="AQ632" i="7"/>
  <c r="EK631" i="7"/>
  <c r="EF631" i="7"/>
  <c r="EE631" i="7"/>
  <c r="AR631" i="7"/>
  <c r="AQ631" i="7"/>
  <c r="EK630" i="7"/>
  <c r="EF630" i="7"/>
  <c r="EE630" i="7"/>
  <c r="AR630" i="7"/>
  <c r="AQ630" i="7"/>
  <c r="EK629" i="7"/>
  <c r="EF629" i="7"/>
  <c r="EE629" i="7"/>
  <c r="AR629" i="7"/>
  <c r="AQ629" i="7"/>
  <c r="EK628" i="7"/>
  <c r="EF628" i="7"/>
  <c r="EE628" i="7"/>
  <c r="AR628" i="7"/>
  <c r="AQ628" i="7"/>
  <c r="EK627" i="7"/>
  <c r="EF627" i="7"/>
  <c r="EE627" i="7"/>
  <c r="AR627" i="7"/>
  <c r="AQ627" i="7"/>
  <c r="EK626" i="7"/>
  <c r="EF626" i="7"/>
  <c r="EE626" i="7"/>
  <c r="AR626" i="7"/>
  <c r="AQ626" i="7"/>
  <c r="EK625" i="7"/>
  <c r="EF625" i="7"/>
  <c r="EE625" i="7"/>
  <c r="AR625" i="7"/>
  <c r="AQ625" i="7"/>
  <c r="EK624" i="7"/>
  <c r="EF624" i="7"/>
  <c r="EE624" i="7"/>
  <c r="AR624" i="7"/>
  <c r="AQ624" i="7"/>
  <c r="EK623" i="7"/>
  <c r="EF623" i="7"/>
  <c r="EE623" i="7"/>
  <c r="AR623" i="7"/>
  <c r="AQ623" i="7"/>
  <c r="EK622" i="7"/>
  <c r="EF622" i="7"/>
  <c r="EE622" i="7"/>
  <c r="AR622" i="7"/>
  <c r="AQ622" i="7"/>
  <c r="EK621" i="7"/>
  <c r="EF621" i="7"/>
  <c r="EE621" i="7"/>
  <c r="AR621" i="7"/>
  <c r="AQ621" i="7"/>
  <c r="EK620" i="7"/>
  <c r="EF620" i="7"/>
  <c r="EE620" i="7"/>
  <c r="AR620" i="7"/>
  <c r="AQ620" i="7"/>
  <c r="EK619" i="7"/>
  <c r="EF619" i="7"/>
  <c r="EE619" i="7"/>
  <c r="AR619" i="7"/>
  <c r="AQ619" i="7"/>
  <c r="EK618" i="7"/>
  <c r="EF618" i="7"/>
  <c r="EE618" i="7"/>
  <c r="AR618" i="7"/>
  <c r="AQ618" i="7"/>
  <c r="EK617" i="7"/>
  <c r="EF617" i="7"/>
  <c r="EE617" i="7"/>
  <c r="AR617" i="7"/>
  <c r="AQ617" i="7"/>
  <c r="EK616" i="7"/>
  <c r="EF616" i="7"/>
  <c r="EE616" i="7"/>
  <c r="AR616" i="7"/>
  <c r="AQ616" i="7"/>
  <c r="EK615" i="7"/>
  <c r="EF615" i="7"/>
  <c r="EE615" i="7"/>
  <c r="AR615" i="7"/>
  <c r="AQ615" i="7"/>
  <c r="EK614" i="7"/>
  <c r="EF614" i="7"/>
  <c r="EE614" i="7"/>
  <c r="AR614" i="7"/>
  <c r="AQ614" i="7"/>
  <c r="EK613" i="7"/>
  <c r="EF613" i="7"/>
  <c r="EE613" i="7"/>
  <c r="AR613" i="7"/>
  <c r="AQ613" i="7"/>
  <c r="EK612" i="7"/>
  <c r="EF612" i="7"/>
  <c r="EE612" i="7"/>
  <c r="AR612" i="7"/>
  <c r="AQ612" i="7"/>
  <c r="EK611" i="7"/>
  <c r="EF611" i="7"/>
  <c r="EE611" i="7"/>
  <c r="AR611" i="7"/>
  <c r="AQ611" i="7"/>
  <c r="EK610" i="7"/>
  <c r="EF610" i="7"/>
  <c r="EE610" i="7"/>
  <c r="AR610" i="7"/>
  <c r="AQ610" i="7"/>
  <c r="EK609" i="7"/>
  <c r="EF609" i="7"/>
  <c r="EE609" i="7"/>
  <c r="AR609" i="7"/>
  <c r="AQ609" i="7"/>
  <c r="EK608" i="7"/>
  <c r="EF608" i="7"/>
  <c r="EE608" i="7"/>
  <c r="AR608" i="7"/>
  <c r="AQ608" i="7"/>
  <c r="EK607" i="7"/>
  <c r="EF607" i="7"/>
  <c r="EE607" i="7"/>
  <c r="AR607" i="7"/>
  <c r="AQ607" i="7"/>
  <c r="EK606" i="7"/>
  <c r="EF606" i="7"/>
  <c r="EE606" i="7"/>
  <c r="AR606" i="7"/>
  <c r="AQ606" i="7"/>
  <c r="EK605" i="7"/>
  <c r="EF605" i="7"/>
  <c r="EE605" i="7"/>
  <c r="AR605" i="7"/>
  <c r="AQ605" i="7"/>
  <c r="EK604" i="7"/>
  <c r="EF604" i="7"/>
  <c r="EE604" i="7"/>
  <c r="AR604" i="7"/>
  <c r="AQ604" i="7"/>
  <c r="EK603" i="7"/>
  <c r="EF603" i="7"/>
  <c r="EE603" i="7"/>
  <c r="AR603" i="7"/>
  <c r="AQ603" i="7"/>
  <c r="EK602" i="7"/>
  <c r="EF602" i="7"/>
  <c r="EE602" i="7"/>
  <c r="AR602" i="7"/>
  <c r="AQ602" i="7"/>
  <c r="EK601" i="7"/>
  <c r="EF601" i="7"/>
  <c r="EE601" i="7"/>
  <c r="AR601" i="7"/>
  <c r="AQ601" i="7"/>
  <c r="EK600" i="7"/>
  <c r="EF600" i="7"/>
  <c r="EE600" i="7"/>
  <c r="AR600" i="7"/>
  <c r="AQ600" i="7"/>
  <c r="EK599" i="7"/>
  <c r="EF599" i="7"/>
  <c r="EE599" i="7"/>
  <c r="AR599" i="7"/>
  <c r="AQ599" i="7"/>
  <c r="EK598" i="7"/>
  <c r="EF598" i="7"/>
  <c r="EE598" i="7"/>
  <c r="AR598" i="7"/>
  <c r="AQ598" i="7"/>
  <c r="EK597" i="7"/>
  <c r="EF597" i="7"/>
  <c r="EE597" i="7"/>
  <c r="AR597" i="7"/>
  <c r="AQ597" i="7"/>
  <c r="EK596" i="7"/>
  <c r="EF596" i="7"/>
  <c r="EE596" i="7"/>
  <c r="AR596" i="7"/>
  <c r="AQ596" i="7"/>
  <c r="EK595" i="7"/>
  <c r="EF595" i="7"/>
  <c r="EE595" i="7"/>
  <c r="AR595" i="7"/>
  <c r="AQ595" i="7"/>
  <c r="EK594" i="7"/>
  <c r="EF594" i="7"/>
  <c r="EE594" i="7"/>
  <c r="AR594" i="7"/>
  <c r="AQ594" i="7"/>
  <c r="EK593" i="7"/>
  <c r="EF593" i="7"/>
  <c r="EE593" i="7"/>
  <c r="AR593" i="7"/>
  <c r="AQ593" i="7"/>
  <c r="EK592" i="7"/>
  <c r="EF592" i="7"/>
  <c r="EE592" i="7"/>
  <c r="AR592" i="7"/>
  <c r="AQ592" i="7"/>
  <c r="EK591" i="7"/>
  <c r="EF591" i="7"/>
  <c r="EE591" i="7"/>
  <c r="AR591" i="7"/>
  <c r="AQ591" i="7"/>
  <c r="EK590" i="7"/>
  <c r="EF590" i="7"/>
  <c r="EE590" i="7"/>
  <c r="AR590" i="7"/>
  <c r="AQ590" i="7"/>
  <c r="EK589" i="7"/>
  <c r="EF589" i="7"/>
  <c r="EE589" i="7"/>
  <c r="AR589" i="7"/>
  <c r="AQ589" i="7"/>
  <c r="EK588" i="7"/>
  <c r="EF588" i="7"/>
  <c r="EE588" i="7"/>
  <c r="AR588" i="7"/>
  <c r="AQ588" i="7"/>
  <c r="EK587" i="7"/>
  <c r="EF587" i="7"/>
  <c r="EE587" i="7"/>
  <c r="AR587" i="7"/>
  <c r="AQ587" i="7"/>
  <c r="EK586" i="7"/>
  <c r="EF586" i="7"/>
  <c r="EE586" i="7"/>
  <c r="AR586" i="7"/>
  <c r="AQ586" i="7"/>
  <c r="EK585" i="7"/>
  <c r="EF585" i="7"/>
  <c r="EE585" i="7"/>
  <c r="AR585" i="7"/>
  <c r="AQ585" i="7"/>
  <c r="EK584" i="7"/>
  <c r="EF584" i="7"/>
  <c r="EE584" i="7"/>
  <c r="AR584" i="7"/>
  <c r="AQ584" i="7"/>
  <c r="EK583" i="7"/>
  <c r="EF583" i="7"/>
  <c r="EE583" i="7"/>
  <c r="AR583" i="7"/>
  <c r="AQ583" i="7"/>
  <c r="EK582" i="7"/>
  <c r="EF582" i="7"/>
  <c r="EE582" i="7"/>
  <c r="AR582" i="7"/>
  <c r="AQ582" i="7"/>
  <c r="EK581" i="7"/>
  <c r="EF581" i="7"/>
  <c r="EE581" i="7"/>
  <c r="AR581" i="7"/>
  <c r="AQ581" i="7"/>
  <c r="EK580" i="7"/>
  <c r="EF580" i="7"/>
  <c r="EE580" i="7"/>
  <c r="AR580" i="7"/>
  <c r="AQ580" i="7"/>
  <c r="EK579" i="7"/>
  <c r="EF579" i="7"/>
  <c r="EE579" i="7"/>
  <c r="AR579" i="7"/>
  <c r="AQ579" i="7"/>
  <c r="EK578" i="7"/>
  <c r="EF578" i="7"/>
  <c r="EE578" i="7"/>
  <c r="AR578" i="7"/>
  <c r="AQ578" i="7"/>
  <c r="EK577" i="7"/>
  <c r="EF577" i="7"/>
  <c r="EE577" i="7"/>
  <c r="AR577" i="7"/>
  <c r="AQ577" i="7"/>
  <c r="EK576" i="7"/>
  <c r="EF576" i="7"/>
  <c r="EE576" i="7"/>
  <c r="AR576" i="7"/>
  <c r="AQ576" i="7"/>
  <c r="EK575" i="7"/>
  <c r="EF575" i="7"/>
  <c r="EE575" i="7"/>
  <c r="AR575" i="7"/>
  <c r="AQ575" i="7"/>
  <c r="EK574" i="7"/>
  <c r="EF574" i="7"/>
  <c r="EE574" i="7"/>
  <c r="AR574" i="7"/>
  <c r="AQ574" i="7"/>
  <c r="EK573" i="7"/>
  <c r="EF573" i="7"/>
  <c r="EE573" i="7"/>
  <c r="AR573" i="7"/>
  <c r="AQ573" i="7"/>
  <c r="EK572" i="7"/>
  <c r="EF572" i="7"/>
  <c r="EE572" i="7"/>
  <c r="AR572" i="7"/>
  <c r="AQ572" i="7"/>
  <c r="EK571" i="7"/>
  <c r="EF571" i="7"/>
  <c r="EE571" i="7"/>
  <c r="AR571" i="7"/>
  <c r="AQ571" i="7"/>
  <c r="EK570" i="7"/>
  <c r="EF570" i="7"/>
  <c r="EE570" i="7"/>
  <c r="AR570" i="7"/>
  <c r="AQ570" i="7"/>
  <c r="EK569" i="7"/>
  <c r="EF569" i="7"/>
  <c r="EE569" i="7"/>
  <c r="AR569" i="7"/>
  <c r="AQ569" i="7"/>
  <c r="EK568" i="7"/>
  <c r="EF568" i="7"/>
  <c r="EE568" i="7"/>
  <c r="AR568" i="7"/>
  <c r="AQ568" i="7"/>
  <c r="EK567" i="7"/>
  <c r="EF567" i="7"/>
  <c r="EE567" i="7"/>
  <c r="AR567" i="7"/>
  <c r="AQ567" i="7"/>
  <c r="EK566" i="7"/>
  <c r="EF566" i="7"/>
  <c r="EE566" i="7"/>
  <c r="AR566" i="7"/>
  <c r="AQ566" i="7"/>
  <c r="EK565" i="7"/>
  <c r="EF565" i="7"/>
  <c r="EE565" i="7"/>
  <c r="AR565" i="7"/>
  <c r="AQ565" i="7"/>
  <c r="EK564" i="7"/>
  <c r="EF564" i="7"/>
  <c r="EE564" i="7"/>
  <c r="AR564" i="7"/>
  <c r="AQ564" i="7"/>
  <c r="EK563" i="7"/>
  <c r="EF563" i="7"/>
  <c r="EE563" i="7"/>
  <c r="AR563" i="7"/>
  <c r="AQ563" i="7"/>
  <c r="EK562" i="7"/>
  <c r="EF562" i="7"/>
  <c r="EE562" i="7"/>
  <c r="AR562" i="7"/>
  <c r="AQ562" i="7"/>
  <c r="EK561" i="7"/>
  <c r="EF561" i="7"/>
  <c r="EE561" i="7"/>
  <c r="AR561" i="7"/>
  <c r="AQ561" i="7"/>
  <c r="EK560" i="7"/>
  <c r="EF560" i="7"/>
  <c r="EE560" i="7"/>
  <c r="AR560" i="7"/>
  <c r="AQ560" i="7"/>
  <c r="EK559" i="7"/>
  <c r="EF559" i="7"/>
  <c r="EE559" i="7"/>
  <c r="AR559" i="7"/>
  <c r="AQ559" i="7"/>
  <c r="EK558" i="7"/>
  <c r="EF558" i="7"/>
  <c r="EE558" i="7"/>
  <c r="AR558" i="7"/>
  <c r="AQ558" i="7"/>
  <c r="EK557" i="7"/>
  <c r="EF557" i="7"/>
  <c r="EE557" i="7"/>
  <c r="AR557" i="7"/>
  <c r="AQ557" i="7"/>
  <c r="EK556" i="7"/>
  <c r="EF556" i="7"/>
  <c r="EE556" i="7"/>
  <c r="AR556" i="7"/>
  <c r="AQ556" i="7"/>
  <c r="EK555" i="7"/>
  <c r="EF555" i="7"/>
  <c r="EE555" i="7"/>
  <c r="AR555" i="7"/>
  <c r="AQ555" i="7"/>
  <c r="EK554" i="7"/>
  <c r="EF554" i="7"/>
  <c r="EE554" i="7"/>
  <c r="AR554" i="7"/>
  <c r="AQ554" i="7"/>
  <c r="EK553" i="7"/>
  <c r="EF553" i="7"/>
  <c r="EE553" i="7"/>
  <c r="AR553" i="7"/>
  <c r="AQ553" i="7"/>
  <c r="EK552" i="7"/>
  <c r="EF552" i="7"/>
  <c r="EE552" i="7"/>
  <c r="AR552" i="7"/>
  <c r="AQ552" i="7"/>
  <c r="EK551" i="7"/>
  <c r="EF551" i="7"/>
  <c r="EE551" i="7"/>
  <c r="AR551" i="7"/>
  <c r="AQ551" i="7"/>
  <c r="EK550" i="7"/>
  <c r="EF550" i="7"/>
  <c r="EE550" i="7"/>
  <c r="AR550" i="7"/>
  <c r="AQ550" i="7"/>
  <c r="EK549" i="7"/>
  <c r="EF549" i="7"/>
  <c r="EE549" i="7"/>
  <c r="AR549" i="7"/>
  <c r="AQ549" i="7"/>
  <c r="EK548" i="7"/>
  <c r="EF548" i="7"/>
  <c r="EE548" i="7"/>
  <c r="AR548" i="7"/>
  <c r="AQ548" i="7"/>
  <c r="EK547" i="7"/>
  <c r="EF547" i="7"/>
  <c r="EE547" i="7"/>
  <c r="AR547" i="7"/>
  <c r="AQ547" i="7"/>
  <c r="EK546" i="7"/>
  <c r="EF546" i="7"/>
  <c r="EE546" i="7"/>
  <c r="AR546" i="7"/>
  <c r="AQ546" i="7"/>
  <c r="EK545" i="7"/>
  <c r="EF545" i="7"/>
  <c r="EE545" i="7"/>
  <c r="AR545" i="7"/>
  <c r="AQ545" i="7"/>
  <c r="EK544" i="7"/>
  <c r="EF544" i="7"/>
  <c r="EE544" i="7"/>
  <c r="AR544" i="7"/>
  <c r="AQ544" i="7"/>
  <c r="EK543" i="7"/>
  <c r="EF543" i="7"/>
  <c r="EE543" i="7"/>
  <c r="AR543" i="7"/>
  <c r="AQ543" i="7"/>
  <c r="EK542" i="7"/>
  <c r="EF542" i="7"/>
  <c r="EE542" i="7"/>
  <c r="AR542" i="7"/>
  <c r="AQ542" i="7"/>
  <c r="EK541" i="7"/>
  <c r="EF541" i="7"/>
  <c r="EE541" i="7"/>
  <c r="AR541" i="7"/>
  <c r="AQ541" i="7"/>
  <c r="EK540" i="7"/>
  <c r="EF540" i="7"/>
  <c r="EE540" i="7"/>
  <c r="AR540" i="7"/>
  <c r="AQ540" i="7"/>
  <c r="EK539" i="7"/>
  <c r="EF539" i="7"/>
  <c r="EE539" i="7"/>
  <c r="AR539" i="7"/>
  <c r="AQ539" i="7"/>
  <c r="EK538" i="7"/>
  <c r="EF538" i="7"/>
  <c r="EE538" i="7"/>
  <c r="AR538" i="7"/>
  <c r="AQ538" i="7"/>
  <c r="EK537" i="7"/>
  <c r="EF537" i="7"/>
  <c r="EE537" i="7"/>
  <c r="AR537" i="7"/>
  <c r="AQ537" i="7"/>
  <c r="EK536" i="7"/>
  <c r="EF536" i="7"/>
  <c r="EE536" i="7"/>
  <c r="AR536" i="7"/>
  <c r="AQ536" i="7"/>
  <c r="EK535" i="7"/>
  <c r="EF535" i="7"/>
  <c r="EE535" i="7"/>
  <c r="AR535" i="7"/>
  <c r="AQ535" i="7"/>
  <c r="EK534" i="7"/>
  <c r="EF534" i="7"/>
  <c r="EE534" i="7"/>
  <c r="AR534" i="7"/>
  <c r="AQ534" i="7"/>
  <c r="EK533" i="7"/>
  <c r="EF533" i="7"/>
  <c r="EE533" i="7"/>
  <c r="AR533" i="7"/>
  <c r="AQ533" i="7"/>
  <c r="EK532" i="7"/>
  <c r="EF532" i="7"/>
  <c r="EE532" i="7"/>
  <c r="AR532" i="7"/>
  <c r="AQ532" i="7"/>
  <c r="EK531" i="7"/>
  <c r="EF531" i="7"/>
  <c r="EE531" i="7"/>
  <c r="AR531" i="7"/>
  <c r="AQ531" i="7"/>
  <c r="EK530" i="7"/>
  <c r="EF530" i="7"/>
  <c r="EE530" i="7"/>
  <c r="AR530" i="7"/>
  <c r="AQ530" i="7"/>
  <c r="EK529" i="7"/>
  <c r="EF529" i="7"/>
  <c r="EE529" i="7"/>
  <c r="AR529" i="7"/>
  <c r="AQ529" i="7"/>
  <c r="EK528" i="7"/>
  <c r="EF528" i="7"/>
  <c r="EE528" i="7"/>
  <c r="AR528" i="7"/>
  <c r="AQ528" i="7"/>
  <c r="EK527" i="7"/>
  <c r="EF527" i="7"/>
  <c r="EE527" i="7"/>
  <c r="AR527" i="7"/>
  <c r="AQ527" i="7"/>
  <c r="EK526" i="7"/>
  <c r="EF526" i="7"/>
  <c r="EE526" i="7"/>
  <c r="AR526" i="7"/>
  <c r="AQ526" i="7"/>
  <c r="EK525" i="7"/>
  <c r="EF525" i="7"/>
  <c r="EE525" i="7"/>
  <c r="AR525" i="7"/>
  <c r="AQ525" i="7"/>
  <c r="EK524" i="7"/>
  <c r="EF524" i="7"/>
  <c r="EE524" i="7"/>
  <c r="AR524" i="7"/>
  <c r="AQ524" i="7"/>
  <c r="EK523" i="7"/>
  <c r="EF523" i="7"/>
  <c r="EE523" i="7"/>
  <c r="AR523" i="7"/>
  <c r="AQ523" i="7"/>
  <c r="EK522" i="7"/>
  <c r="EF522" i="7"/>
  <c r="EE522" i="7"/>
  <c r="AR522" i="7"/>
  <c r="AQ522" i="7"/>
  <c r="EK521" i="7"/>
  <c r="EF521" i="7"/>
  <c r="EE521" i="7"/>
  <c r="AR521" i="7"/>
  <c r="AQ521" i="7"/>
  <c r="EK520" i="7"/>
  <c r="EF520" i="7"/>
  <c r="EE520" i="7"/>
  <c r="AR520" i="7"/>
  <c r="AQ520" i="7"/>
  <c r="EK519" i="7"/>
  <c r="EF519" i="7"/>
  <c r="EE519" i="7"/>
  <c r="AR519" i="7"/>
  <c r="AQ519" i="7"/>
  <c r="EK518" i="7"/>
  <c r="EF518" i="7"/>
  <c r="EE518" i="7"/>
  <c r="AR518" i="7"/>
  <c r="AQ518" i="7"/>
  <c r="EK517" i="7"/>
  <c r="EF517" i="7"/>
  <c r="EE517" i="7"/>
  <c r="AR517" i="7"/>
  <c r="AQ517" i="7"/>
  <c r="EK516" i="7"/>
  <c r="EF516" i="7"/>
  <c r="EE516" i="7"/>
  <c r="AR516" i="7"/>
  <c r="AQ516" i="7"/>
  <c r="EK515" i="7"/>
  <c r="EF515" i="7"/>
  <c r="EE515" i="7"/>
  <c r="AR515" i="7"/>
  <c r="AQ515" i="7"/>
  <c r="EK514" i="7"/>
  <c r="EF514" i="7"/>
  <c r="EE514" i="7"/>
  <c r="AR514" i="7"/>
  <c r="AQ514" i="7"/>
  <c r="EK513" i="7"/>
  <c r="EF513" i="7"/>
  <c r="EE513" i="7"/>
  <c r="AR513" i="7"/>
  <c r="AQ513" i="7"/>
  <c r="EK512" i="7"/>
  <c r="EF512" i="7"/>
  <c r="EE512" i="7"/>
  <c r="AR512" i="7"/>
  <c r="AQ512" i="7"/>
  <c r="EK511" i="7"/>
  <c r="EF511" i="7"/>
  <c r="EE511" i="7"/>
  <c r="AR511" i="7"/>
  <c r="AQ511" i="7"/>
  <c r="EK510" i="7"/>
  <c r="EF510" i="7"/>
  <c r="EE510" i="7"/>
  <c r="AR510" i="7"/>
  <c r="AQ510" i="7"/>
  <c r="EK509" i="7"/>
  <c r="EF509" i="7"/>
  <c r="EE509" i="7"/>
  <c r="AR509" i="7"/>
  <c r="AQ509" i="7"/>
  <c r="EK508" i="7"/>
  <c r="EF508" i="7"/>
  <c r="EE508" i="7"/>
  <c r="AR508" i="7"/>
  <c r="AQ508" i="7"/>
  <c r="EK507" i="7"/>
  <c r="EF507" i="7"/>
  <c r="EE507" i="7"/>
  <c r="AR507" i="7"/>
  <c r="AQ507" i="7"/>
  <c r="EK506" i="7"/>
  <c r="EF506" i="7"/>
  <c r="EE506" i="7"/>
  <c r="AR506" i="7"/>
  <c r="AQ506" i="7"/>
  <c r="EK505" i="7"/>
  <c r="EF505" i="7"/>
  <c r="EE505" i="7"/>
  <c r="AR505" i="7"/>
  <c r="AQ505" i="7"/>
  <c r="EK504" i="7"/>
  <c r="EF504" i="7"/>
  <c r="EE504" i="7"/>
  <c r="AR504" i="7"/>
  <c r="AQ504" i="7"/>
  <c r="EK503" i="7"/>
  <c r="EF503" i="7"/>
  <c r="EE503" i="7"/>
  <c r="AR503" i="7"/>
  <c r="AQ503" i="7"/>
  <c r="EK502" i="7"/>
  <c r="EF502" i="7"/>
  <c r="EE502" i="7"/>
  <c r="AR502" i="7"/>
  <c r="AQ502" i="7"/>
  <c r="EK501" i="7"/>
  <c r="EF501" i="7"/>
  <c r="EE501" i="7"/>
  <c r="AR501" i="7"/>
  <c r="AQ501" i="7"/>
  <c r="EK500" i="7"/>
  <c r="EF500" i="7"/>
  <c r="EE500" i="7"/>
  <c r="AR500" i="7"/>
  <c r="AQ500" i="7"/>
  <c r="EK499" i="7"/>
  <c r="EF499" i="7"/>
  <c r="EE499" i="7"/>
  <c r="AR499" i="7"/>
  <c r="AQ499" i="7"/>
  <c r="EK498" i="7"/>
  <c r="EF498" i="7"/>
  <c r="EE498" i="7"/>
  <c r="AR498" i="7"/>
  <c r="AQ498" i="7"/>
  <c r="EK497" i="7"/>
  <c r="EF497" i="7"/>
  <c r="EE497" i="7"/>
  <c r="AR497" i="7"/>
  <c r="AQ497" i="7"/>
  <c r="EK496" i="7"/>
  <c r="EF496" i="7"/>
  <c r="EE496" i="7"/>
  <c r="AR496" i="7"/>
  <c r="AQ496" i="7"/>
  <c r="EK495" i="7"/>
  <c r="EF495" i="7"/>
  <c r="EE495" i="7"/>
  <c r="AR495" i="7"/>
  <c r="AQ495" i="7"/>
  <c r="EK494" i="7"/>
  <c r="EF494" i="7"/>
  <c r="EE494" i="7"/>
  <c r="AR494" i="7"/>
  <c r="AQ494" i="7"/>
  <c r="EK493" i="7"/>
  <c r="EF493" i="7"/>
  <c r="EE493" i="7"/>
  <c r="AR493" i="7"/>
  <c r="AQ493" i="7"/>
  <c r="EK492" i="7"/>
  <c r="EF492" i="7"/>
  <c r="EE492" i="7"/>
  <c r="AR492" i="7"/>
  <c r="AQ492" i="7"/>
  <c r="EK491" i="7"/>
  <c r="EF491" i="7"/>
  <c r="EE491" i="7"/>
  <c r="AR491" i="7"/>
  <c r="AQ491" i="7"/>
  <c r="EK490" i="7"/>
  <c r="EF490" i="7"/>
  <c r="EE490" i="7"/>
  <c r="AR490" i="7"/>
  <c r="AQ490" i="7"/>
  <c r="EK489" i="7"/>
  <c r="EF489" i="7"/>
  <c r="EE489" i="7"/>
  <c r="AR489" i="7"/>
  <c r="AQ489" i="7"/>
  <c r="EK488" i="7"/>
  <c r="EF488" i="7"/>
  <c r="EE488" i="7"/>
  <c r="AR488" i="7"/>
  <c r="AQ488" i="7"/>
  <c r="EK487" i="7"/>
  <c r="EF487" i="7"/>
  <c r="EE487" i="7"/>
  <c r="AR487" i="7"/>
  <c r="AQ487" i="7"/>
  <c r="EK486" i="7"/>
  <c r="EF486" i="7"/>
  <c r="EE486" i="7"/>
  <c r="AR486" i="7"/>
  <c r="AQ486" i="7"/>
  <c r="EK485" i="7"/>
  <c r="EF485" i="7"/>
  <c r="EE485" i="7"/>
  <c r="AR485" i="7"/>
  <c r="AQ485" i="7"/>
  <c r="EK484" i="7"/>
  <c r="EF484" i="7"/>
  <c r="EE484" i="7"/>
  <c r="AR484" i="7"/>
  <c r="AQ484" i="7"/>
  <c r="EK483" i="7"/>
  <c r="EF483" i="7"/>
  <c r="EE483" i="7"/>
  <c r="AR483" i="7"/>
  <c r="AQ483" i="7"/>
  <c r="EK482" i="7"/>
  <c r="EF482" i="7"/>
  <c r="EE482" i="7"/>
  <c r="AR482" i="7"/>
  <c r="AQ482" i="7"/>
  <c r="EK481" i="7"/>
  <c r="EF481" i="7"/>
  <c r="EE481" i="7"/>
  <c r="AR481" i="7"/>
  <c r="AQ481" i="7"/>
  <c r="EK480" i="7"/>
  <c r="EF480" i="7"/>
  <c r="EE480" i="7"/>
  <c r="AR480" i="7"/>
  <c r="AQ480" i="7"/>
  <c r="EK479" i="7"/>
  <c r="EF479" i="7"/>
  <c r="EE479" i="7"/>
  <c r="AR479" i="7"/>
  <c r="AQ479" i="7"/>
  <c r="EK478" i="7"/>
  <c r="EF478" i="7"/>
  <c r="EE478" i="7"/>
  <c r="AR478" i="7"/>
  <c r="AQ478" i="7"/>
  <c r="EK477" i="7"/>
  <c r="EF477" i="7"/>
  <c r="EE477" i="7"/>
  <c r="AR477" i="7"/>
  <c r="AQ477" i="7"/>
  <c r="EK476" i="7"/>
  <c r="EF476" i="7"/>
  <c r="EE476" i="7"/>
  <c r="AR476" i="7"/>
  <c r="AQ476" i="7"/>
  <c r="EK475" i="7"/>
  <c r="EF475" i="7"/>
  <c r="EE475" i="7"/>
  <c r="AR475" i="7"/>
  <c r="AQ475" i="7"/>
  <c r="EK474" i="7"/>
  <c r="EF474" i="7"/>
  <c r="EE474" i="7"/>
  <c r="AR474" i="7"/>
  <c r="AQ474" i="7"/>
  <c r="EK473" i="7"/>
  <c r="EF473" i="7"/>
  <c r="EE473" i="7"/>
  <c r="AR473" i="7"/>
  <c r="AQ473" i="7"/>
  <c r="EK472" i="7"/>
  <c r="EF472" i="7"/>
  <c r="EE472" i="7"/>
  <c r="AR472" i="7"/>
  <c r="AQ472" i="7"/>
  <c r="EK471" i="7"/>
  <c r="EF471" i="7"/>
  <c r="EE471" i="7"/>
  <c r="AR471" i="7"/>
  <c r="AQ471" i="7"/>
  <c r="EK470" i="7"/>
  <c r="EF470" i="7"/>
  <c r="EE470" i="7"/>
  <c r="AR470" i="7"/>
  <c r="AQ470" i="7"/>
  <c r="EK469" i="7"/>
  <c r="EF469" i="7"/>
  <c r="EE469" i="7"/>
  <c r="AR469" i="7"/>
  <c r="AQ469" i="7"/>
  <c r="EK468" i="7"/>
  <c r="EF468" i="7"/>
  <c r="EE468" i="7"/>
  <c r="AR468" i="7"/>
  <c r="AQ468" i="7"/>
  <c r="EK467" i="7"/>
  <c r="EF467" i="7"/>
  <c r="EE467" i="7"/>
  <c r="AR467" i="7"/>
  <c r="AQ467" i="7"/>
  <c r="EK466" i="7"/>
  <c r="EF466" i="7"/>
  <c r="EE466" i="7"/>
  <c r="AR466" i="7"/>
  <c r="AQ466" i="7"/>
  <c r="EK465" i="7"/>
  <c r="EF465" i="7"/>
  <c r="EE465" i="7"/>
  <c r="AR465" i="7"/>
  <c r="AQ465" i="7"/>
  <c r="EK464" i="7"/>
  <c r="EF464" i="7"/>
  <c r="EE464" i="7"/>
  <c r="AR464" i="7"/>
  <c r="AQ464" i="7"/>
  <c r="EK463" i="7"/>
  <c r="EF463" i="7"/>
  <c r="EE463" i="7"/>
  <c r="AR463" i="7"/>
  <c r="AQ463" i="7"/>
  <c r="EK462" i="7"/>
  <c r="EF462" i="7"/>
  <c r="EE462" i="7"/>
  <c r="AR462" i="7"/>
  <c r="AQ462" i="7"/>
  <c r="EK461" i="7"/>
  <c r="EF461" i="7"/>
  <c r="EE461" i="7"/>
  <c r="AR461" i="7"/>
  <c r="AQ461" i="7"/>
  <c r="EK460" i="7"/>
  <c r="EF460" i="7"/>
  <c r="EE460" i="7"/>
  <c r="AR460" i="7"/>
  <c r="AQ460" i="7"/>
  <c r="EK459" i="7"/>
  <c r="EF459" i="7"/>
  <c r="EE459" i="7"/>
  <c r="AR459" i="7"/>
  <c r="AQ459" i="7"/>
  <c r="EK458" i="7"/>
  <c r="EF458" i="7"/>
  <c r="EE458" i="7"/>
  <c r="AR458" i="7"/>
  <c r="AQ458" i="7"/>
  <c r="EK457" i="7"/>
  <c r="EF457" i="7"/>
  <c r="EE457" i="7"/>
  <c r="AR457" i="7"/>
  <c r="AQ457" i="7"/>
  <c r="EK456" i="7"/>
  <c r="EF456" i="7"/>
  <c r="EE456" i="7"/>
  <c r="AR456" i="7"/>
  <c r="AQ456" i="7"/>
  <c r="EK455" i="7"/>
  <c r="EF455" i="7"/>
  <c r="EE455" i="7"/>
  <c r="AR455" i="7"/>
  <c r="AQ455" i="7"/>
  <c r="EK454" i="7"/>
  <c r="EF454" i="7"/>
  <c r="EE454" i="7"/>
  <c r="AR454" i="7"/>
  <c r="AQ454" i="7"/>
  <c r="EK453" i="7"/>
  <c r="EF453" i="7"/>
  <c r="EE453" i="7"/>
  <c r="AR453" i="7"/>
  <c r="AQ453" i="7"/>
  <c r="EK452" i="7"/>
  <c r="EF452" i="7"/>
  <c r="EE452" i="7"/>
  <c r="AR452" i="7"/>
  <c r="AQ452" i="7"/>
  <c r="EK451" i="7"/>
  <c r="EF451" i="7"/>
  <c r="EE451" i="7"/>
  <c r="AR451" i="7"/>
  <c r="AQ451" i="7"/>
  <c r="EK450" i="7"/>
  <c r="EF450" i="7"/>
  <c r="EE450" i="7"/>
  <c r="AR450" i="7"/>
  <c r="AQ450" i="7"/>
  <c r="EK449" i="7"/>
  <c r="EF449" i="7"/>
  <c r="EE449" i="7"/>
  <c r="AR449" i="7"/>
  <c r="AQ449" i="7"/>
  <c r="EK448" i="7"/>
  <c r="EF448" i="7"/>
  <c r="EE448" i="7"/>
  <c r="AR448" i="7"/>
  <c r="AQ448" i="7"/>
  <c r="EK447" i="7"/>
  <c r="EF447" i="7"/>
  <c r="EE447" i="7"/>
  <c r="AR447" i="7"/>
  <c r="AQ447" i="7"/>
  <c r="EK446" i="7"/>
  <c r="EF446" i="7"/>
  <c r="EE446" i="7"/>
  <c r="AR446" i="7"/>
  <c r="AQ446" i="7"/>
  <c r="EK445" i="7"/>
  <c r="EF445" i="7"/>
  <c r="EE445" i="7"/>
  <c r="AR445" i="7"/>
  <c r="AQ445" i="7"/>
  <c r="EK444" i="7"/>
  <c r="EF444" i="7"/>
  <c r="EE444" i="7"/>
  <c r="AR444" i="7"/>
  <c r="AQ444" i="7"/>
  <c r="EK443" i="7"/>
  <c r="EF443" i="7"/>
  <c r="EE443" i="7"/>
  <c r="AR443" i="7"/>
  <c r="AQ443" i="7"/>
  <c r="EK442" i="7"/>
  <c r="EF442" i="7"/>
  <c r="EE442" i="7"/>
  <c r="AR442" i="7"/>
  <c r="AQ442" i="7"/>
  <c r="EK441" i="7"/>
  <c r="EF441" i="7"/>
  <c r="EE441" i="7"/>
  <c r="AR441" i="7"/>
  <c r="AQ441" i="7"/>
  <c r="EK440" i="7"/>
  <c r="EF440" i="7"/>
  <c r="EE440" i="7"/>
  <c r="AR440" i="7"/>
  <c r="AQ440" i="7"/>
  <c r="EK439" i="7"/>
  <c r="EF439" i="7"/>
  <c r="EE439" i="7"/>
  <c r="AR439" i="7"/>
  <c r="AQ439" i="7"/>
  <c r="EK438" i="7"/>
  <c r="EF438" i="7"/>
  <c r="EE438" i="7"/>
  <c r="AR438" i="7"/>
  <c r="AQ438" i="7"/>
  <c r="EK437" i="7"/>
  <c r="EF437" i="7"/>
  <c r="EE437" i="7"/>
  <c r="AR437" i="7"/>
  <c r="AQ437" i="7"/>
  <c r="EK436" i="7"/>
  <c r="EF436" i="7"/>
  <c r="EE436" i="7"/>
  <c r="AR436" i="7"/>
  <c r="AQ436" i="7"/>
  <c r="EK435" i="7"/>
  <c r="EF435" i="7"/>
  <c r="EE435" i="7"/>
  <c r="AR435" i="7"/>
  <c r="AQ435" i="7"/>
  <c r="EK434" i="7"/>
  <c r="EF434" i="7"/>
  <c r="EE434" i="7"/>
  <c r="AR434" i="7"/>
  <c r="AQ434" i="7"/>
  <c r="EK433" i="7"/>
  <c r="EF433" i="7"/>
  <c r="EE433" i="7"/>
  <c r="AR433" i="7"/>
  <c r="AQ433" i="7"/>
  <c r="EK432" i="7"/>
  <c r="EF432" i="7"/>
  <c r="EE432" i="7"/>
  <c r="AR432" i="7"/>
  <c r="AQ432" i="7"/>
  <c r="EK431" i="7"/>
  <c r="EF431" i="7"/>
  <c r="EE431" i="7"/>
  <c r="AR431" i="7"/>
  <c r="AQ431" i="7"/>
  <c r="EK430" i="7"/>
  <c r="EF430" i="7"/>
  <c r="EE430" i="7"/>
  <c r="AR430" i="7"/>
  <c r="AQ430" i="7"/>
  <c r="EK429" i="7"/>
  <c r="EF429" i="7"/>
  <c r="EE429" i="7"/>
  <c r="AR429" i="7"/>
  <c r="AQ429" i="7"/>
  <c r="EK428" i="7"/>
  <c r="EF428" i="7"/>
  <c r="EE428" i="7"/>
  <c r="AR428" i="7"/>
  <c r="AQ428" i="7"/>
  <c r="EK427" i="7"/>
  <c r="EF427" i="7"/>
  <c r="EE427" i="7"/>
  <c r="AR427" i="7"/>
  <c r="AQ427" i="7"/>
  <c r="EK426" i="7"/>
  <c r="EF426" i="7"/>
  <c r="EE426" i="7"/>
  <c r="AR426" i="7"/>
  <c r="AQ426" i="7"/>
  <c r="EK425" i="7"/>
  <c r="EF425" i="7"/>
  <c r="EE425" i="7"/>
  <c r="AR425" i="7"/>
  <c r="AQ425" i="7"/>
  <c r="EK424" i="7"/>
  <c r="EF424" i="7"/>
  <c r="EE424" i="7"/>
  <c r="AR424" i="7"/>
  <c r="AQ424" i="7"/>
  <c r="EK423" i="7"/>
  <c r="EF423" i="7"/>
  <c r="EE423" i="7"/>
  <c r="AR423" i="7"/>
  <c r="AQ423" i="7"/>
  <c r="EK422" i="7"/>
  <c r="EF422" i="7"/>
  <c r="EE422" i="7"/>
  <c r="AR422" i="7"/>
  <c r="AQ422" i="7"/>
  <c r="EK421" i="7"/>
  <c r="EF421" i="7"/>
  <c r="EE421" i="7"/>
  <c r="AR421" i="7"/>
  <c r="AQ421" i="7"/>
  <c r="EK420" i="7"/>
  <c r="EF420" i="7"/>
  <c r="EE420" i="7"/>
  <c r="AR420" i="7"/>
  <c r="AQ420" i="7"/>
  <c r="EK419" i="7"/>
  <c r="EF419" i="7"/>
  <c r="EE419" i="7"/>
  <c r="AR419" i="7"/>
  <c r="AQ419" i="7"/>
  <c r="EK418" i="7"/>
  <c r="EF418" i="7"/>
  <c r="EE418" i="7"/>
  <c r="AR418" i="7"/>
  <c r="AQ418" i="7"/>
  <c r="EK417" i="7"/>
  <c r="EF417" i="7"/>
  <c r="EE417" i="7"/>
  <c r="AR417" i="7"/>
  <c r="AQ417" i="7"/>
  <c r="EK416" i="7"/>
  <c r="EF416" i="7"/>
  <c r="EE416" i="7"/>
  <c r="AR416" i="7"/>
  <c r="AQ416" i="7"/>
  <c r="EK415" i="7"/>
  <c r="EF415" i="7"/>
  <c r="EE415" i="7"/>
  <c r="AR415" i="7"/>
  <c r="AQ415" i="7"/>
  <c r="EK414" i="7"/>
  <c r="EF414" i="7"/>
  <c r="EE414" i="7"/>
  <c r="AR414" i="7"/>
  <c r="AQ414" i="7"/>
  <c r="EK413" i="7"/>
  <c r="EF413" i="7"/>
  <c r="EE413" i="7"/>
  <c r="AR413" i="7"/>
  <c r="AQ413" i="7"/>
  <c r="EK412" i="7"/>
  <c r="EF412" i="7"/>
  <c r="EE412" i="7"/>
  <c r="AR412" i="7"/>
  <c r="AQ412" i="7"/>
  <c r="EK411" i="7"/>
  <c r="EF411" i="7"/>
  <c r="EE411" i="7"/>
  <c r="AR411" i="7"/>
  <c r="AQ411" i="7"/>
  <c r="EK410" i="7"/>
  <c r="EF410" i="7"/>
  <c r="EE410" i="7"/>
  <c r="AR410" i="7"/>
  <c r="AQ410" i="7"/>
  <c r="EK409" i="7"/>
  <c r="EF409" i="7"/>
  <c r="EE409" i="7"/>
  <c r="AR409" i="7"/>
  <c r="AQ409" i="7"/>
  <c r="EK408" i="7"/>
  <c r="EF408" i="7"/>
  <c r="EE408" i="7"/>
  <c r="AR408" i="7"/>
  <c r="AQ408" i="7"/>
  <c r="EK407" i="7"/>
  <c r="EF407" i="7"/>
  <c r="EE407" i="7"/>
  <c r="AR407" i="7"/>
  <c r="AQ407" i="7"/>
  <c r="EK406" i="7"/>
  <c r="EF406" i="7"/>
  <c r="EE406" i="7"/>
  <c r="AR406" i="7"/>
  <c r="AQ406" i="7"/>
  <c r="EK405" i="7"/>
  <c r="EF405" i="7"/>
  <c r="EE405" i="7"/>
  <c r="AR405" i="7"/>
  <c r="AQ405" i="7"/>
  <c r="EK404" i="7"/>
  <c r="EF404" i="7"/>
  <c r="EE404" i="7"/>
  <c r="AR404" i="7"/>
  <c r="AQ404" i="7"/>
  <c r="EK403" i="7"/>
  <c r="EF403" i="7"/>
  <c r="EE403" i="7"/>
  <c r="AR403" i="7"/>
  <c r="AQ403" i="7"/>
  <c r="EK402" i="7"/>
  <c r="EF402" i="7"/>
  <c r="EE402" i="7"/>
  <c r="AR402" i="7"/>
  <c r="AQ402" i="7"/>
  <c r="EK401" i="7"/>
  <c r="EF401" i="7"/>
  <c r="EE401" i="7"/>
  <c r="AR401" i="7"/>
  <c r="AQ401" i="7"/>
  <c r="EK400" i="7"/>
  <c r="EF400" i="7"/>
  <c r="EE400" i="7"/>
  <c r="AR400" i="7"/>
  <c r="AQ400" i="7"/>
  <c r="EK399" i="7"/>
  <c r="EF399" i="7"/>
  <c r="EE399" i="7"/>
  <c r="AR399" i="7"/>
  <c r="AQ399" i="7"/>
  <c r="EK398" i="7"/>
  <c r="EF398" i="7"/>
  <c r="EE398" i="7"/>
  <c r="AR398" i="7"/>
  <c r="AQ398" i="7"/>
  <c r="EK397" i="7"/>
  <c r="EF397" i="7"/>
  <c r="EE397" i="7"/>
  <c r="AR397" i="7"/>
  <c r="AQ397" i="7"/>
  <c r="EK396" i="7"/>
  <c r="EF396" i="7"/>
  <c r="EE396" i="7"/>
  <c r="AR396" i="7"/>
  <c r="AQ396" i="7"/>
  <c r="EK395" i="7"/>
  <c r="EF395" i="7"/>
  <c r="EE395" i="7"/>
  <c r="AR395" i="7"/>
  <c r="AQ395" i="7"/>
  <c r="EK394" i="7"/>
  <c r="EF394" i="7"/>
  <c r="EE394" i="7"/>
  <c r="AR394" i="7"/>
  <c r="AQ394" i="7"/>
  <c r="EK393" i="7"/>
  <c r="EF393" i="7"/>
  <c r="EE393" i="7"/>
  <c r="AR393" i="7"/>
  <c r="AQ393" i="7"/>
  <c r="EK392" i="7"/>
  <c r="EF392" i="7"/>
  <c r="EE392" i="7"/>
  <c r="AR392" i="7"/>
  <c r="AQ392" i="7"/>
  <c r="EK391" i="7"/>
  <c r="EF391" i="7"/>
  <c r="EE391" i="7"/>
  <c r="AR391" i="7"/>
  <c r="AQ391" i="7"/>
  <c r="EK390" i="7"/>
  <c r="EF390" i="7"/>
  <c r="EE390" i="7"/>
  <c r="AR390" i="7"/>
  <c r="AQ390" i="7"/>
  <c r="EK389" i="7"/>
  <c r="EF389" i="7"/>
  <c r="EE389" i="7"/>
  <c r="AR389" i="7"/>
  <c r="AQ389" i="7"/>
  <c r="EK388" i="7"/>
  <c r="EF388" i="7"/>
  <c r="EE388" i="7"/>
  <c r="AR388" i="7"/>
  <c r="AQ388" i="7"/>
  <c r="EK387" i="7"/>
  <c r="EF387" i="7"/>
  <c r="EE387" i="7"/>
  <c r="AR387" i="7"/>
  <c r="AQ387" i="7"/>
  <c r="EK386" i="7"/>
  <c r="EF386" i="7"/>
  <c r="EE386" i="7"/>
  <c r="AR386" i="7"/>
  <c r="AQ386" i="7"/>
  <c r="EK385" i="7"/>
  <c r="EF385" i="7"/>
  <c r="EE385" i="7"/>
  <c r="AR385" i="7"/>
  <c r="AQ385" i="7"/>
  <c r="EK384" i="7"/>
  <c r="EF384" i="7"/>
  <c r="EE384" i="7"/>
  <c r="AR384" i="7"/>
  <c r="AQ384" i="7"/>
  <c r="EK383" i="7"/>
  <c r="EF383" i="7"/>
  <c r="EE383" i="7"/>
  <c r="AR383" i="7"/>
  <c r="AQ383" i="7"/>
  <c r="EK382" i="7"/>
  <c r="EF382" i="7"/>
  <c r="EE382" i="7"/>
  <c r="AR382" i="7"/>
  <c r="AQ382" i="7"/>
  <c r="EK381" i="7"/>
  <c r="EF381" i="7"/>
  <c r="EE381" i="7"/>
  <c r="AR381" i="7"/>
  <c r="AQ381" i="7"/>
  <c r="EK380" i="7"/>
  <c r="EF380" i="7"/>
  <c r="EE380" i="7"/>
  <c r="AR380" i="7"/>
  <c r="AQ380" i="7"/>
  <c r="EK379" i="7"/>
  <c r="EF379" i="7"/>
  <c r="EE379" i="7"/>
  <c r="AR379" i="7"/>
  <c r="AQ379" i="7"/>
  <c r="EK378" i="7"/>
  <c r="EF378" i="7"/>
  <c r="EE378" i="7"/>
  <c r="AR378" i="7"/>
  <c r="AQ378" i="7"/>
  <c r="EK377" i="7"/>
  <c r="EF377" i="7"/>
  <c r="EE377" i="7"/>
  <c r="AR377" i="7"/>
  <c r="AQ377" i="7"/>
  <c r="EK376" i="7"/>
  <c r="EF376" i="7"/>
  <c r="EE376" i="7"/>
  <c r="AR376" i="7"/>
  <c r="AQ376" i="7"/>
  <c r="EK375" i="7"/>
  <c r="EF375" i="7"/>
  <c r="EE375" i="7"/>
  <c r="AR375" i="7"/>
  <c r="AQ375" i="7"/>
  <c r="EK374" i="7"/>
  <c r="EF374" i="7"/>
  <c r="EE374" i="7"/>
  <c r="AR374" i="7"/>
  <c r="AQ374" i="7"/>
  <c r="EK373" i="7"/>
  <c r="EF373" i="7"/>
  <c r="EE373" i="7"/>
  <c r="AR373" i="7"/>
  <c r="AQ373" i="7"/>
  <c r="EK372" i="7"/>
  <c r="EF372" i="7"/>
  <c r="EE372" i="7"/>
  <c r="AR372" i="7"/>
  <c r="AQ372" i="7"/>
  <c r="EK371" i="7"/>
  <c r="EF371" i="7"/>
  <c r="EE371" i="7"/>
  <c r="AR371" i="7"/>
  <c r="AQ371" i="7"/>
  <c r="EK370" i="7"/>
  <c r="EF370" i="7"/>
  <c r="EE370" i="7"/>
  <c r="AR370" i="7"/>
  <c r="AQ370" i="7"/>
  <c r="EK369" i="7"/>
  <c r="EF369" i="7"/>
  <c r="EE369" i="7"/>
  <c r="AR369" i="7"/>
  <c r="AQ369" i="7"/>
  <c r="EK368" i="7"/>
  <c r="EF368" i="7"/>
  <c r="EE368" i="7"/>
  <c r="AR368" i="7"/>
  <c r="AQ368" i="7"/>
  <c r="EK367" i="7"/>
  <c r="EF367" i="7"/>
  <c r="EE367" i="7"/>
  <c r="AR367" i="7"/>
  <c r="AQ367" i="7"/>
  <c r="EK366" i="7"/>
  <c r="EF366" i="7"/>
  <c r="EE366" i="7"/>
  <c r="AR366" i="7"/>
  <c r="AQ366" i="7"/>
  <c r="EK365" i="7"/>
  <c r="EF365" i="7"/>
  <c r="EE365" i="7"/>
  <c r="AR365" i="7"/>
  <c r="AQ365" i="7"/>
  <c r="EK364" i="7"/>
  <c r="EF364" i="7"/>
  <c r="EE364" i="7"/>
  <c r="AR364" i="7"/>
  <c r="AQ364" i="7"/>
  <c r="EK363" i="7"/>
  <c r="EF363" i="7"/>
  <c r="EE363" i="7"/>
  <c r="AR363" i="7"/>
  <c r="AQ363" i="7"/>
  <c r="EK362" i="7"/>
  <c r="EF362" i="7"/>
  <c r="EE362" i="7"/>
  <c r="AR362" i="7"/>
  <c r="AQ362" i="7"/>
  <c r="EK361" i="7"/>
  <c r="EF361" i="7"/>
  <c r="EE361" i="7"/>
  <c r="AR361" i="7"/>
  <c r="AQ361" i="7"/>
  <c r="EK360" i="7"/>
  <c r="EF360" i="7"/>
  <c r="EE360" i="7"/>
  <c r="AR360" i="7"/>
  <c r="AQ360" i="7"/>
  <c r="EK359" i="7"/>
  <c r="EF359" i="7"/>
  <c r="EE359" i="7"/>
  <c r="AR359" i="7"/>
  <c r="AQ359" i="7"/>
  <c r="EK358" i="7"/>
  <c r="EF358" i="7"/>
  <c r="EE358" i="7"/>
  <c r="AR358" i="7"/>
  <c r="AQ358" i="7"/>
  <c r="EK357" i="7"/>
  <c r="EF357" i="7"/>
  <c r="EE357" i="7"/>
  <c r="AR357" i="7"/>
  <c r="AQ357" i="7"/>
  <c r="EK356" i="7"/>
  <c r="EF356" i="7"/>
  <c r="EE356" i="7"/>
  <c r="AR356" i="7"/>
  <c r="AQ356" i="7"/>
  <c r="EK355" i="7"/>
  <c r="EF355" i="7"/>
  <c r="EE355" i="7"/>
  <c r="AR355" i="7"/>
  <c r="AQ355" i="7"/>
  <c r="EK354" i="7"/>
  <c r="EF354" i="7"/>
  <c r="EE354" i="7"/>
  <c r="AR354" i="7"/>
  <c r="AQ354" i="7"/>
  <c r="EK353" i="7"/>
  <c r="EF353" i="7"/>
  <c r="EE353" i="7"/>
  <c r="AR353" i="7"/>
  <c r="AQ353" i="7"/>
  <c r="EK352" i="7"/>
  <c r="EF352" i="7"/>
  <c r="EE352" i="7"/>
  <c r="AR352" i="7"/>
  <c r="AQ352" i="7"/>
  <c r="EK351" i="7"/>
  <c r="EF351" i="7"/>
  <c r="EE351" i="7"/>
  <c r="AR351" i="7"/>
  <c r="AQ351" i="7"/>
  <c r="EK350" i="7"/>
  <c r="EF350" i="7"/>
  <c r="EE350" i="7"/>
  <c r="AR350" i="7"/>
  <c r="AQ350" i="7"/>
  <c r="EK349" i="7"/>
  <c r="EF349" i="7"/>
  <c r="EE349" i="7"/>
  <c r="AR349" i="7"/>
  <c r="AQ349" i="7"/>
  <c r="EK348" i="7"/>
  <c r="EF348" i="7"/>
  <c r="EE348" i="7"/>
  <c r="AR348" i="7"/>
  <c r="AQ348" i="7"/>
  <c r="EK347" i="7"/>
  <c r="EF347" i="7"/>
  <c r="EE347" i="7"/>
  <c r="AR347" i="7"/>
  <c r="AQ347" i="7"/>
  <c r="EK346" i="7"/>
  <c r="EF346" i="7"/>
  <c r="EE346" i="7"/>
  <c r="AR346" i="7"/>
  <c r="AQ346" i="7"/>
  <c r="EK345" i="7"/>
  <c r="EF345" i="7"/>
  <c r="EE345" i="7"/>
  <c r="AR345" i="7"/>
  <c r="AQ345" i="7"/>
  <c r="EK344" i="7"/>
  <c r="EF344" i="7"/>
  <c r="EE344" i="7"/>
  <c r="AR344" i="7"/>
  <c r="AQ344" i="7"/>
  <c r="EK343" i="7"/>
  <c r="EF343" i="7"/>
  <c r="EE343" i="7"/>
  <c r="AR343" i="7"/>
  <c r="AQ343" i="7"/>
  <c r="EK342" i="7"/>
  <c r="EF342" i="7"/>
  <c r="EE342" i="7"/>
  <c r="AR342" i="7"/>
  <c r="AQ342" i="7"/>
  <c r="EK341" i="7"/>
  <c r="EF341" i="7"/>
  <c r="EE341" i="7"/>
  <c r="AR341" i="7"/>
  <c r="AQ341" i="7"/>
  <c r="EK340" i="7"/>
  <c r="EF340" i="7"/>
  <c r="EE340" i="7"/>
  <c r="AR340" i="7"/>
  <c r="AQ340" i="7"/>
  <c r="EK339" i="7"/>
  <c r="EF339" i="7"/>
  <c r="EE339" i="7"/>
  <c r="AR339" i="7"/>
  <c r="AQ339" i="7"/>
  <c r="EK338" i="7"/>
  <c r="EF338" i="7"/>
  <c r="EE338" i="7"/>
  <c r="AR338" i="7"/>
  <c r="AQ338" i="7"/>
  <c r="EK337" i="7"/>
  <c r="EF337" i="7"/>
  <c r="EE337" i="7"/>
  <c r="AR337" i="7"/>
  <c r="AQ337" i="7"/>
  <c r="EK336" i="7"/>
  <c r="EF336" i="7"/>
  <c r="EE336" i="7"/>
  <c r="AR336" i="7"/>
  <c r="AQ336" i="7"/>
  <c r="EK335" i="7"/>
  <c r="EF335" i="7"/>
  <c r="EE335" i="7"/>
  <c r="AR335" i="7"/>
  <c r="AQ335" i="7"/>
  <c r="EK334" i="7"/>
  <c r="EF334" i="7"/>
  <c r="EE334" i="7"/>
  <c r="AR334" i="7"/>
  <c r="AQ334" i="7"/>
  <c r="EK333" i="7"/>
  <c r="EF333" i="7"/>
  <c r="EE333" i="7"/>
  <c r="AR333" i="7"/>
  <c r="AQ333" i="7"/>
  <c r="EK332" i="7"/>
  <c r="EF332" i="7"/>
  <c r="EE332" i="7"/>
  <c r="AR332" i="7"/>
  <c r="AQ332" i="7"/>
  <c r="EK331" i="7"/>
  <c r="EF331" i="7"/>
  <c r="EE331" i="7"/>
  <c r="AR331" i="7"/>
  <c r="AQ331" i="7"/>
  <c r="EK330" i="7"/>
  <c r="EF330" i="7"/>
  <c r="EE330" i="7"/>
  <c r="AR330" i="7"/>
  <c r="AQ330" i="7"/>
  <c r="EK329" i="7"/>
  <c r="EF329" i="7"/>
  <c r="EE329" i="7"/>
  <c r="AR329" i="7"/>
  <c r="AQ329" i="7"/>
  <c r="EK328" i="7"/>
  <c r="EF328" i="7"/>
  <c r="EE328" i="7"/>
  <c r="AR328" i="7"/>
  <c r="AQ328" i="7"/>
  <c r="EK327" i="7"/>
  <c r="EF327" i="7"/>
  <c r="EE327" i="7"/>
  <c r="AR327" i="7"/>
  <c r="AQ327" i="7"/>
  <c r="EK326" i="7"/>
  <c r="EF326" i="7"/>
  <c r="EE326" i="7"/>
  <c r="AR326" i="7"/>
  <c r="AQ326" i="7"/>
  <c r="EK325" i="7"/>
  <c r="EF325" i="7"/>
  <c r="EE325" i="7"/>
  <c r="AR325" i="7"/>
  <c r="AQ325" i="7"/>
  <c r="EK324" i="7"/>
  <c r="EF324" i="7"/>
  <c r="EE324" i="7"/>
  <c r="AR324" i="7"/>
  <c r="AQ324" i="7"/>
  <c r="EK323" i="7"/>
  <c r="EF323" i="7"/>
  <c r="EE323" i="7"/>
  <c r="AR323" i="7"/>
  <c r="AQ323" i="7"/>
  <c r="EK322" i="7"/>
  <c r="EF322" i="7"/>
  <c r="EE322" i="7"/>
  <c r="AR322" i="7"/>
  <c r="AQ322" i="7"/>
  <c r="EK321" i="7"/>
  <c r="EF321" i="7"/>
  <c r="EE321" i="7"/>
  <c r="AR321" i="7"/>
  <c r="AQ321" i="7"/>
  <c r="EK320" i="7"/>
  <c r="EF320" i="7"/>
  <c r="EE320" i="7"/>
  <c r="AR320" i="7"/>
  <c r="AQ320" i="7"/>
  <c r="EK319" i="7"/>
  <c r="EF319" i="7"/>
  <c r="EE319" i="7"/>
  <c r="AR319" i="7"/>
  <c r="AQ319" i="7"/>
  <c r="EK318" i="7"/>
  <c r="EF318" i="7"/>
  <c r="EE318" i="7"/>
  <c r="AR318" i="7"/>
  <c r="AQ318" i="7"/>
  <c r="EK317" i="7"/>
  <c r="EF317" i="7"/>
  <c r="EE317" i="7"/>
  <c r="AR317" i="7"/>
  <c r="AQ317" i="7"/>
  <c r="EK316" i="7"/>
  <c r="EF316" i="7"/>
  <c r="EE316" i="7"/>
  <c r="AR316" i="7"/>
  <c r="AQ316" i="7"/>
  <c r="EK315" i="7"/>
  <c r="EF315" i="7"/>
  <c r="EE315" i="7"/>
  <c r="AR315" i="7"/>
  <c r="AQ315" i="7"/>
  <c r="EK314" i="7"/>
  <c r="EF314" i="7"/>
  <c r="EE314" i="7"/>
  <c r="AR314" i="7"/>
  <c r="AQ314" i="7"/>
  <c r="EK313" i="7"/>
  <c r="EF313" i="7"/>
  <c r="EE313" i="7"/>
  <c r="AR313" i="7"/>
  <c r="AQ313" i="7"/>
  <c r="EK312" i="7"/>
  <c r="EF312" i="7"/>
  <c r="EE312" i="7"/>
  <c r="AR312" i="7"/>
  <c r="AQ312" i="7"/>
  <c r="EK311" i="7"/>
  <c r="EF311" i="7"/>
  <c r="EE311" i="7"/>
  <c r="AR311" i="7"/>
  <c r="AQ311" i="7"/>
  <c r="EK310" i="7"/>
  <c r="EF310" i="7"/>
  <c r="EE310" i="7"/>
  <c r="AR310" i="7"/>
  <c r="AQ310" i="7"/>
  <c r="EK309" i="7"/>
  <c r="EF309" i="7"/>
  <c r="EE309" i="7"/>
  <c r="AR309" i="7"/>
  <c r="AQ309" i="7"/>
  <c r="EK308" i="7"/>
  <c r="EF308" i="7"/>
  <c r="EE308" i="7"/>
  <c r="AR308" i="7"/>
  <c r="AQ308" i="7"/>
  <c r="EK307" i="7"/>
  <c r="EF307" i="7"/>
  <c r="EE307" i="7"/>
  <c r="AR307" i="7"/>
  <c r="AQ307" i="7"/>
  <c r="EK306" i="7"/>
  <c r="EF306" i="7"/>
  <c r="EE306" i="7"/>
  <c r="AR306" i="7"/>
  <c r="AQ306" i="7"/>
  <c r="EK305" i="7"/>
  <c r="EF305" i="7"/>
  <c r="EE305" i="7"/>
  <c r="AR305" i="7"/>
  <c r="AQ305" i="7"/>
  <c r="EK304" i="7"/>
  <c r="EF304" i="7"/>
  <c r="EE304" i="7"/>
  <c r="AR304" i="7"/>
  <c r="AQ304" i="7"/>
  <c r="EK303" i="7"/>
  <c r="EF303" i="7"/>
  <c r="EE303" i="7"/>
  <c r="AR303" i="7"/>
  <c r="AQ303" i="7"/>
  <c r="EK302" i="7"/>
  <c r="EF302" i="7"/>
  <c r="EE302" i="7"/>
  <c r="AR302" i="7"/>
  <c r="AQ302" i="7"/>
  <c r="EK301" i="7"/>
  <c r="EF301" i="7"/>
  <c r="EE301" i="7"/>
  <c r="AR301" i="7"/>
  <c r="AQ301" i="7"/>
  <c r="EK300" i="7"/>
  <c r="EF300" i="7"/>
  <c r="EE300" i="7"/>
  <c r="AR300" i="7"/>
  <c r="AQ300" i="7"/>
  <c r="EK299" i="7"/>
  <c r="EF299" i="7"/>
  <c r="EE299" i="7"/>
  <c r="AR299" i="7"/>
  <c r="AQ299" i="7"/>
  <c r="EK298" i="7"/>
  <c r="EF298" i="7"/>
  <c r="EE298" i="7"/>
  <c r="AR298" i="7"/>
  <c r="AQ298" i="7"/>
  <c r="EK297" i="7"/>
  <c r="EF297" i="7"/>
  <c r="EE297" i="7"/>
  <c r="AR297" i="7"/>
  <c r="AQ297" i="7"/>
  <c r="EK296" i="7"/>
  <c r="EF296" i="7"/>
  <c r="EE296" i="7"/>
  <c r="AR296" i="7"/>
  <c r="AQ296" i="7"/>
  <c r="EK295" i="7"/>
  <c r="EF295" i="7"/>
  <c r="EE295" i="7"/>
  <c r="AR295" i="7"/>
  <c r="AQ295" i="7"/>
  <c r="EK294" i="7"/>
  <c r="EF294" i="7"/>
  <c r="EE294" i="7"/>
  <c r="AR294" i="7"/>
  <c r="AQ294" i="7"/>
  <c r="EK293" i="7"/>
  <c r="EF293" i="7"/>
  <c r="EE293" i="7"/>
  <c r="AR293" i="7"/>
  <c r="AQ293" i="7"/>
  <c r="EK292" i="7"/>
  <c r="EF292" i="7"/>
  <c r="EE292" i="7"/>
  <c r="AR292" i="7"/>
  <c r="AQ292" i="7"/>
  <c r="EK291" i="7"/>
  <c r="EF291" i="7"/>
  <c r="EE291" i="7"/>
  <c r="AR291" i="7"/>
  <c r="AQ291" i="7"/>
  <c r="EK290" i="7"/>
  <c r="EF290" i="7"/>
  <c r="EE290" i="7"/>
  <c r="AR290" i="7"/>
  <c r="AQ290" i="7"/>
  <c r="EK289" i="7"/>
  <c r="EF289" i="7"/>
  <c r="EE289" i="7"/>
  <c r="AR289" i="7"/>
  <c r="AQ289" i="7"/>
  <c r="EK288" i="7"/>
  <c r="EF288" i="7"/>
  <c r="EE288" i="7"/>
  <c r="AR288" i="7"/>
  <c r="AQ288" i="7"/>
  <c r="EK287" i="7"/>
  <c r="EF287" i="7"/>
  <c r="EE287" i="7"/>
  <c r="AR287" i="7"/>
  <c r="AQ287" i="7"/>
  <c r="EK286" i="7"/>
  <c r="EF286" i="7"/>
  <c r="EE286" i="7"/>
  <c r="AR286" i="7"/>
  <c r="AQ286" i="7"/>
  <c r="EK285" i="7"/>
  <c r="EF285" i="7"/>
  <c r="EE285" i="7"/>
  <c r="AR285" i="7"/>
  <c r="AQ285" i="7"/>
  <c r="EK284" i="7"/>
  <c r="EF284" i="7"/>
  <c r="EE284" i="7"/>
  <c r="AR284" i="7"/>
  <c r="AQ284" i="7"/>
  <c r="EK283" i="7"/>
  <c r="EF283" i="7"/>
  <c r="EE283" i="7"/>
  <c r="AR283" i="7"/>
  <c r="AQ283" i="7"/>
  <c r="EK282" i="7"/>
  <c r="EF282" i="7"/>
  <c r="EE282" i="7"/>
  <c r="AR282" i="7"/>
  <c r="AQ282" i="7"/>
  <c r="EK281" i="7"/>
  <c r="EF281" i="7"/>
  <c r="EE281" i="7"/>
  <c r="AR281" i="7"/>
  <c r="AQ281" i="7"/>
  <c r="EK280" i="7"/>
  <c r="EF280" i="7"/>
  <c r="EE280" i="7"/>
  <c r="AR280" i="7"/>
  <c r="AQ280" i="7"/>
  <c r="EK279" i="7"/>
  <c r="EF279" i="7"/>
  <c r="EE279" i="7"/>
  <c r="AR279" i="7"/>
  <c r="AQ279" i="7"/>
  <c r="EK278" i="7"/>
  <c r="EF278" i="7"/>
  <c r="EE278" i="7"/>
  <c r="AR278" i="7"/>
  <c r="AQ278" i="7"/>
  <c r="EK277" i="7"/>
  <c r="EF277" i="7"/>
  <c r="EE277" i="7"/>
  <c r="AR277" i="7"/>
  <c r="AQ277" i="7"/>
  <c r="EK276" i="7"/>
  <c r="EF276" i="7"/>
  <c r="EE276" i="7"/>
  <c r="AR276" i="7"/>
  <c r="AQ276" i="7"/>
  <c r="EK275" i="7"/>
  <c r="EF275" i="7"/>
  <c r="EE275" i="7"/>
  <c r="AR275" i="7"/>
  <c r="AQ275" i="7"/>
  <c r="EK274" i="7"/>
  <c r="EF274" i="7"/>
  <c r="EE274" i="7"/>
  <c r="AR274" i="7"/>
  <c r="AQ274" i="7"/>
  <c r="EK273" i="7"/>
  <c r="EF273" i="7"/>
  <c r="EE273" i="7"/>
  <c r="AR273" i="7"/>
  <c r="AQ273" i="7"/>
  <c r="EK272" i="7"/>
  <c r="EF272" i="7"/>
  <c r="EE272" i="7"/>
  <c r="AR272" i="7"/>
  <c r="AQ272" i="7"/>
  <c r="EK271" i="7"/>
  <c r="EF271" i="7"/>
  <c r="EE271" i="7"/>
  <c r="AR271" i="7"/>
  <c r="AQ271" i="7"/>
  <c r="EK270" i="7"/>
  <c r="EF270" i="7"/>
  <c r="EE270" i="7"/>
  <c r="AR270" i="7"/>
  <c r="AQ270" i="7"/>
  <c r="EK269" i="7"/>
  <c r="EF269" i="7"/>
  <c r="EE269" i="7"/>
  <c r="AR269" i="7"/>
  <c r="AQ269" i="7"/>
  <c r="EK268" i="7"/>
  <c r="EF268" i="7"/>
  <c r="EE268" i="7"/>
  <c r="AR268" i="7"/>
  <c r="AQ268" i="7"/>
  <c r="EK267" i="7"/>
  <c r="EF267" i="7"/>
  <c r="EE267" i="7"/>
  <c r="AR267" i="7"/>
  <c r="AQ267" i="7"/>
  <c r="EK266" i="7"/>
  <c r="EF266" i="7"/>
  <c r="EE266" i="7"/>
  <c r="AR266" i="7"/>
  <c r="AQ266" i="7"/>
  <c r="EK265" i="7"/>
  <c r="EF265" i="7"/>
  <c r="EE265" i="7"/>
  <c r="AR265" i="7"/>
  <c r="AQ265" i="7"/>
  <c r="EK264" i="7"/>
  <c r="EF264" i="7"/>
  <c r="EE264" i="7"/>
  <c r="AR264" i="7"/>
  <c r="AQ264" i="7"/>
  <c r="EK263" i="7"/>
  <c r="EF263" i="7"/>
  <c r="EE263" i="7"/>
  <c r="AR263" i="7"/>
  <c r="AQ263" i="7"/>
  <c r="EK262" i="7"/>
  <c r="EF262" i="7"/>
  <c r="EE262" i="7"/>
  <c r="AR262" i="7"/>
  <c r="AQ262" i="7"/>
  <c r="EK261" i="7"/>
  <c r="EF261" i="7"/>
  <c r="EE261" i="7"/>
  <c r="AR261" i="7"/>
  <c r="AQ261" i="7"/>
  <c r="EK260" i="7"/>
  <c r="EF260" i="7"/>
  <c r="EE260" i="7"/>
  <c r="AR260" i="7"/>
  <c r="AQ260" i="7"/>
  <c r="EK259" i="7"/>
  <c r="EF259" i="7"/>
  <c r="EE259" i="7"/>
  <c r="AR259" i="7"/>
  <c r="AQ259" i="7"/>
  <c r="EK258" i="7"/>
  <c r="EF258" i="7"/>
  <c r="EE258" i="7"/>
  <c r="AR258" i="7"/>
  <c r="AQ258" i="7"/>
  <c r="EK257" i="7"/>
  <c r="EF257" i="7"/>
  <c r="EE257" i="7"/>
  <c r="AR257" i="7"/>
  <c r="AQ257" i="7"/>
  <c r="EK256" i="7"/>
  <c r="EF256" i="7"/>
  <c r="EE256" i="7"/>
  <c r="AR256" i="7"/>
  <c r="AQ256" i="7"/>
  <c r="EK255" i="7"/>
  <c r="EF255" i="7"/>
  <c r="EE255" i="7"/>
  <c r="AR255" i="7"/>
  <c r="AQ255" i="7"/>
  <c r="EK254" i="7"/>
  <c r="EF254" i="7"/>
  <c r="EE254" i="7"/>
  <c r="AR254" i="7"/>
  <c r="AQ254" i="7"/>
  <c r="EK253" i="7"/>
  <c r="EF253" i="7"/>
  <c r="EE253" i="7"/>
  <c r="AR253" i="7"/>
  <c r="AQ253" i="7"/>
  <c r="EK252" i="7"/>
  <c r="EF252" i="7"/>
  <c r="EE252" i="7"/>
  <c r="AR252" i="7"/>
  <c r="AQ252" i="7"/>
  <c r="EK251" i="7"/>
  <c r="EF251" i="7"/>
  <c r="EE251" i="7"/>
  <c r="AR251" i="7"/>
  <c r="AQ251" i="7"/>
  <c r="EK250" i="7"/>
  <c r="EF250" i="7"/>
  <c r="EE250" i="7"/>
  <c r="AR250" i="7"/>
  <c r="AQ250" i="7"/>
  <c r="EK249" i="7"/>
  <c r="EF249" i="7"/>
  <c r="EE249" i="7"/>
  <c r="AR249" i="7"/>
  <c r="AQ249" i="7"/>
  <c r="EK248" i="7"/>
  <c r="EF248" i="7"/>
  <c r="EE248" i="7"/>
  <c r="AR248" i="7"/>
  <c r="AQ248" i="7"/>
  <c r="EK247" i="7"/>
  <c r="EF247" i="7"/>
  <c r="EE247" i="7"/>
  <c r="AR247" i="7"/>
  <c r="AQ247" i="7"/>
  <c r="EK246" i="7"/>
  <c r="EF246" i="7"/>
  <c r="EE246" i="7"/>
  <c r="AR246" i="7"/>
  <c r="AQ246" i="7"/>
  <c r="EK245" i="7"/>
  <c r="EF245" i="7"/>
  <c r="EE245" i="7"/>
  <c r="AR245" i="7"/>
  <c r="AQ245" i="7"/>
  <c r="EK244" i="7"/>
  <c r="EF244" i="7"/>
  <c r="EE244" i="7"/>
  <c r="AR244" i="7"/>
  <c r="AQ244" i="7"/>
  <c r="EK243" i="7"/>
  <c r="EF243" i="7"/>
  <c r="EE243" i="7"/>
  <c r="AR243" i="7"/>
  <c r="AQ243" i="7"/>
  <c r="EK242" i="7"/>
  <c r="EF242" i="7"/>
  <c r="EE242" i="7"/>
  <c r="AR242" i="7"/>
  <c r="AQ242" i="7"/>
  <c r="EK241" i="7"/>
  <c r="EF241" i="7"/>
  <c r="EE241" i="7"/>
  <c r="AR241" i="7"/>
  <c r="AQ241" i="7"/>
  <c r="EK240" i="7"/>
  <c r="EF240" i="7"/>
  <c r="EE240" i="7"/>
  <c r="AR240" i="7"/>
  <c r="AQ240" i="7"/>
  <c r="EK239" i="7"/>
  <c r="EF239" i="7"/>
  <c r="EE239" i="7"/>
  <c r="AR239" i="7"/>
  <c r="AQ239" i="7"/>
  <c r="EK238" i="7"/>
  <c r="EF238" i="7"/>
  <c r="EE238" i="7"/>
  <c r="AR238" i="7"/>
  <c r="AQ238" i="7"/>
  <c r="EK237" i="7"/>
  <c r="EF237" i="7"/>
  <c r="EE237" i="7"/>
  <c r="AR237" i="7"/>
  <c r="AQ237" i="7"/>
  <c r="EK236" i="7"/>
  <c r="EF236" i="7"/>
  <c r="EE236" i="7"/>
  <c r="AR236" i="7"/>
  <c r="AQ236" i="7"/>
  <c r="EK235" i="7"/>
  <c r="EF235" i="7"/>
  <c r="EE235" i="7"/>
  <c r="AR235" i="7"/>
  <c r="AQ235" i="7"/>
  <c r="EK234" i="7"/>
  <c r="EF234" i="7"/>
  <c r="EE234" i="7"/>
  <c r="AR234" i="7"/>
  <c r="AQ234" i="7"/>
  <c r="EK233" i="7"/>
  <c r="EF233" i="7"/>
  <c r="EE233" i="7"/>
  <c r="AR233" i="7"/>
  <c r="AQ233" i="7"/>
  <c r="EK232" i="7"/>
  <c r="EF232" i="7"/>
  <c r="EE232" i="7"/>
  <c r="AR232" i="7"/>
  <c r="AQ232" i="7"/>
  <c r="EK231" i="7"/>
  <c r="EF231" i="7"/>
  <c r="EE231" i="7"/>
  <c r="AR231" i="7"/>
  <c r="AQ231" i="7"/>
  <c r="EK230" i="7"/>
  <c r="EF230" i="7"/>
  <c r="EE230" i="7"/>
  <c r="AR230" i="7"/>
  <c r="AQ230" i="7"/>
  <c r="EK229" i="7"/>
  <c r="EF229" i="7"/>
  <c r="EE229" i="7"/>
  <c r="AR229" i="7"/>
  <c r="AQ229" i="7"/>
  <c r="EK228" i="7"/>
  <c r="EF228" i="7"/>
  <c r="EE228" i="7"/>
  <c r="AR228" i="7"/>
  <c r="AQ228" i="7"/>
  <c r="EK227" i="7"/>
  <c r="EF227" i="7"/>
  <c r="EE227" i="7"/>
  <c r="AR227" i="7"/>
  <c r="AQ227" i="7"/>
  <c r="EK226" i="7"/>
  <c r="EF226" i="7"/>
  <c r="EE226" i="7"/>
  <c r="AR226" i="7"/>
  <c r="AQ226" i="7"/>
  <c r="EK225" i="7"/>
  <c r="EF225" i="7"/>
  <c r="EE225" i="7"/>
  <c r="AR225" i="7"/>
  <c r="AQ225" i="7"/>
  <c r="EK224" i="7"/>
  <c r="EF224" i="7"/>
  <c r="EE224" i="7"/>
  <c r="AR224" i="7"/>
  <c r="AQ224" i="7"/>
  <c r="EK223" i="7"/>
  <c r="EF223" i="7"/>
  <c r="EE223" i="7"/>
  <c r="AR223" i="7"/>
  <c r="AQ223" i="7"/>
  <c r="EK222" i="7"/>
  <c r="EF222" i="7"/>
  <c r="EE222" i="7"/>
  <c r="AR222" i="7"/>
  <c r="AQ222" i="7"/>
  <c r="EK221" i="7"/>
  <c r="EF221" i="7"/>
  <c r="EE221" i="7"/>
  <c r="AR221" i="7"/>
  <c r="AQ221" i="7"/>
  <c r="EK220" i="7"/>
  <c r="EF220" i="7"/>
  <c r="EE220" i="7"/>
  <c r="AR220" i="7"/>
  <c r="AQ220" i="7"/>
  <c r="EK219" i="7"/>
  <c r="EF219" i="7"/>
  <c r="EE219" i="7"/>
  <c r="AR219" i="7"/>
  <c r="AQ219" i="7"/>
  <c r="EK218" i="7"/>
  <c r="EF218" i="7"/>
  <c r="EE218" i="7"/>
  <c r="AR218" i="7"/>
  <c r="AQ218" i="7"/>
  <c r="EK217" i="7"/>
  <c r="EF217" i="7"/>
  <c r="EE217" i="7"/>
  <c r="AR217" i="7"/>
  <c r="AQ217" i="7"/>
  <c r="EK216" i="7"/>
  <c r="EF216" i="7"/>
  <c r="EE216" i="7"/>
  <c r="AR216" i="7"/>
  <c r="AQ216" i="7"/>
  <c r="EK215" i="7"/>
  <c r="EF215" i="7"/>
  <c r="EE215" i="7"/>
  <c r="AR215" i="7"/>
  <c r="AQ215" i="7"/>
  <c r="EK214" i="7"/>
  <c r="EF214" i="7"/>
  <c r="EE214" i="7"/>
  <c r="AR214" i="7"/>
  <c r="AQ214" i="7"/>
  <c r="EK213" i="7"/>
  <c r="EF213" i="7"/>
  <c r="EE213" i="7"/>
  <c r="AR213" i="7"/>
  <c r="AQ213" i="7"/>
  <c r="EK212" i="7"/>
  <c r="EF212" i="7"/>
  <c r="EE212" i="7"/>
  <c r="AR212" i="7"/>
  <c r="AQ212" i="7"/>
  <c r="EK211" i="7"/>
  <c r="EF211" i="7"/>
  <c r="EE211" i="7"/>
  <c r="AR211" i="7"/>
  <c r="AQ211" i="7"/>
  <c r="EK210" i="7"/>
  <c r="EF210" i="7"/>
  <c r="EE210" i="7"/>
  <c r="AR210" i="7"/>
  <c r="AQ210" i="7"/>
  <c r="EK209" i="7"/>
  <c r="EF209" i="7"/>
  <c r="EE209" i="7"/>
  <c r="AR209" i="7"/>
  <c r="AQ209" i="7"/>
  <c r="EK208" i="7"/>
  <c r="EF208" i="7"/>
  <c r="EE208" i="7"/>
  <c r="AR208" i="7"/>
  <c r="AQ208" i="7"/>
  <c r="EK207" i="7"/>
  <c r="EF207" i="7"/>
  <c r="EE207" i="7"/>
  <c r="AR207" i="7"/>
  <c r="AQ207" i="7"/>
  <c r="EK206" i="7"/>
  <c r="EF206" i="7"/>
  <c r="EE206" i="7"/>
  <c r="AR206" i="7"/>
  <c r="AQ206" i="7"/>
  <c r="EK205" i="7"/>
  <c r="EF205" i="7"/>
  <c r="EE205" i="7"/>
  <c r="AR205" i="7"/>
  <c r="AQ205" i="7"/>
  <c r="EK204" i="7"/>
  <c r="EF204" i="7"/>
  <c r="EE204" i="7"/>
  <c r="AR204" i="7"/>
  <c r="AQ204" i="7"/>
  <c r="EK203" i="7"/>
  <c r="EF203" i="7"/>
  <c r="EE203" i="7"/>
  <c r="AR203" i="7"/>
  <c r="AQ203" i="7"/>
  <c r="EK202" i="7"/>
  <c r="EF202" i="7"/>
  <c r="EE202" i="7"/>
  <c r="AR202" i="7"/>
  <c r="AQ202" i="7"/>
  <c r="EK201" i="7"/>
  <c r="EF201" i="7"/>
  <c r="EE201" i="7"/>
  <c r="AR201" i="7"/>
  <c r="AQ201" i="7"/>
  <c r="EK200" i="7"/>
  <c r="EF200" i="7"/>
  <c r="EE200" i="7"/>
  <c r="AR200" i="7"/>
  <c r="AQ200" i="7"/>
  <c r="EK199" i="7"/>
  <c r="EF199" i="7"/>
  <c r="EE199" i="7"/>
  <c r="AR199" i="7"/>
  <c r="AQ199" i="7"/>
  <c r="EK198" i="7"/>
  <c r="EF198" i="7"/>
  <c r="EE198" i="7"/>
  <c r="AR198" i="7"/>
  <c r="AQ198" i="7"/>
  <c r="EK197" i="7"/>
  <c r="EF197" i="7"/>
  <c r="EE197" i="7"/>
  <c r="AR197" i="7"/>
  <c r="AQ197" i="7"/>
  <c r="EK196" i="7"/>
  <c r="EF196" i="7"/>
  <c r="EE196" i="7"/>
  <c r="AR196" i="7"/>
  <c r="AQ196" i="7"/>
  <c r="EK195" i="7"/>
  <c r="EF195" i="7"/>
  <c r="EE195" i="7"/>
  <c r="AR195" i="7"/>
  <c r="AQ195" i="7"/>
  <c r="EK194" i="7"/>
  <c r="EF194" i="7"/>
  <c r="EE194" i="7"/>
  <c r="AR194" i="7"/>
  <c r="AQ194" i="7"/>
  <c r="EK193" i="7"/>
  <c r="EF193" i="7"/>
  <c r="EE193" i="7"/>
  <c r="AR193" i="7"/>
  <c r="AQ193" i="7"/>
  <c r="EK192" i="7"/>
  <c r="EF192" i="7"/>
  <c r="EE192" i="7"/>
  <c r="AR192" i="7"/>
  <c r="AQ192" i="7"/>
  <c r="EK191" i="7"/>
  <c r="EF191" i="7"/>
  <c r="EE191" i="7"/>
  <c r="AR191" i="7"/>
  <c r="AQ191" i="7"/>
  <c r="EK190" i="7"/>
  <c r="EF190" i="7"/>
  <c r="EE190" i="7"/>
  <c r="AR190" i="7"/>
  <c r="AQ190" i="7"/>
  <c r="EK189" i="7"/>
  <c r="EF189" i="7"/>
  <c r="EE189" i="7"/>
  <c r="AR189" i="7"/>
  <c r="AQ189" i="7"/>
  <c r="EK188" i="7"/>
  <c r="EF188" i="7"/>
  <c r="EE188" i="7"/>
  <c r="AR188" i="7"/>
  <c r="AQ188" i="7"/>
  <c r="EK187" i="7"/>
  <c r="EF187" i="7"/>
  <c r="EE187" i="7"/>
  <c r="AR187" i="7"/>
  <c r="AQ187" i="7"/>
  <c r="EK186" i="7"/>
  <c r="EF186" i="7"/>
  <c r="EE186" i="7"/>
  <c r="AR186" i="7"/>
  <c r="AQ186" i="7"/>
  <c r="EK185" i="7"/>
  <c r="EF185" i="7"/>
  <c r="EE185" i="7"/>
  <c r="AR185" i="7"/>
  <c r="AQ185" i="7"/>
  <c r="EK184" i="7"/>
  <c r="EF184" i="7"/>
  <c r="EE184" i="7"/>
  <c r="AR184" i="7"/>
  <c r="AQ184" i="7"/>
  <c r="EK183" i="7"/>
  <c r="EF183" i="7"/>
  <c r="EE183" i="7"/>
  <c r="AR183" i="7"/>
  <c r="AQ183" i="7"/>
  <c r="EK182" i="7"/>
  <c r="EF182" i="7"/>
  <c r="EE182" i="7"/>
  <c r="AR182" i="7"/>
  <c r="AQ182" i="7"/>
  <c r="EK181" i="7"/>
  <c r="EF181" i="7"/>
  <c r="EE181" i="7"/>
  <c r="AR181" i="7"/>
  <c r="AQ181" i="7"/>
  <c r="EK180" i="7"/>
  <c r="EF180" i="7"/>
  <c r="EE180" i="7"/>
  <c r="AR180" i="7"/>
  <c r="AQ180" i="7"/>
  <c r="EK179" i="7"/>
  <c r="EF179" i="7"/>
  <c r="EE179" i="7"/>
  <c r="AR179" i="7"/>
  <c r="AQ179" i="7"/>
  <c r="EK178" i="7"/>
  <c r="EF178" i="7"/>
  <c r="EE178" i="7"/>
  <c r="AR178" i="7"/>
  <c r="AQ178" i="7"/>
  <c r="EK177" i="7"/>
  <c r="EF177" i="7"/>
  <c r="EE177" i="7"/>
  <c r="AR177" i="7"/>
  <c r="AQ177" i="7"/>
  <c r="EK176" i="7"/>
  <c r="EF176" i="7"/>
  <c r="EE176" i="7"/>
  <c r="AR176" i="7"/>
  <c r="AQ176" i="7"/>
  <c r="EK175" i="7"/>
  <c r="EF175" i="7"/>
  <c r="EE175" i="7"/>
  <c r="AR175" i="7"/>
  <c r="AQ175" i="7"/>
  <c r="EK174" i="7"/>
  <c r="EF174" i="7"/>
  <c r="EE174" i="7"/>
  <c r="AR174" i="7"/>
  <c r="AQ174" i="7"/>
  <c r="EK173" i="7"/>
  <c r="EF173" i="7"/>
  <c r="EE173" i="7"/>
  <c r="AR173" i="7"/>
  <c r="AQ173" i="7"/>
  <c r="EK172" i="7"/>
  <c r="EF172" i="7"/>
  <c r="EE172" i="7"/>
  <c r="AR172" i="7"/>
  <c r="AQ172" i="7"/>
  <c r="EK171" i="7"/>
  <c r="EF171" i="7"/>
  <c r="EE171" i="7"/>
  <c r="AR171" i="7"/>
  <c r="AQ171" i="7"/>
  <c r="EK170" i="7"/>
  <c r="EF170" i="7"/>
  <c r="EE170" i="7"/>
  <c r="AR170" i="7"/>
  <c r="AQ170" i="7"/>
  <c r="EK169" i="7"/>
  <c r="EF169" i="7"/>
  <c r="EE169" i="7"/>
  <c r="AR169" i="7"/>
  <c r="AQ169" i="7"/>
  <c r="EK168" i="7"/>
  <c r="EF168" i="7"/>
  <c r="EE168" i="7"/>
  <c r="AR168" i="7"/>
  <c r="AQ168" i="7"/>
  <c r="EK167" i="7"/>
  <c r="EF167" i="7"/>
  <c r="EE167" i="7"/>
  <c r="AR167" i="7"/>
  <c r="AQ167" i="7"/>
  <c r="EK166" i="7"/>
  <c r="EF166" i="7"/>
  <c r="EE166" i="7"/>
  <c r="AR166" i="7"/>
  <c r="AQ166" i="7"/>
  <c r="EK165" i="7"/>
  <c r="EF165" i="7"/>
  <c r="EE165" i="7"/>
  <c r="AR165" i="7"/>
  <c r="AQ165" i="7"/>
  <c r="EK164" i="7"/>
  <c r="EF164" i="7"/>
  <c r="EE164" i="7"/>
  <c r="AR164" i="7"/>
  <c r="AQ164" i="7"/>
  <c r="EK163" i="7"/>
  <c r="EF163" i="7"/>
  <c r="EE163" i="7"/>
  <c r="AR163" i="7"/>
  <c r="AQ163" i="7"/>
  <c r="EK162" i="7"/>
  <c r="EF162" i="7"/>
  <c r="EE162" i="7"/>
  <c r="AR162" i="7"/>
  <c r="AQ162" i="7"/>
  <c r="EK161" i="7"/>
  <c r="EF161" i="7"/>
  <c r="EE161" i="7"/>
  <c r="AR161" i="7"/>
  <c r="AQ161" i="7"/>
  <c r="EK160" i="7"/>
  <c r="EF160" i="7"/>
  <c r="EE160" i="7"/>
  <c r="AR160" i="7"/>
  <c r="AQ160" i="7"/>
  <c r="EK159" i="7"/>
  <c r="EF159" i="7"/>
  <c r="EE159" i="7"/>
  <c r="AR159" i="7"/>
  <c r="AQ159" i="7"/>
  <c r="EK158" i="7"/>
  <c r="EF158" i="7"/>
  <c r="EE158" i="7"/>
  <c r="AR158" i="7"/>
  <c r="AQ158" i="7"/>
  <c r="EK157" i="7"/>
  <c r="EF157" i="7"/>
  <c r="EE157" i="7"/>
  <c r="AR157" i="7"/>
  <c r="AQ157" i="7"/>
  <c r="EK156" i="7"/>
  <c r="EF156" i="7"/>
  <c r="EE156" i="7"/>
  <c r="AR156" i="7"/>
  <c r="AQ156" i="7"/>
  <c r="EK155" i="7"/>
  <c r="EF155" i="7"/>
  <c r="EE155" i="7"/>
  <c r="AR155" i="7"/>
  <c r="AQ155" i="7"/>
  <c r="EK154" i="7"/>
  <c r="EF154" i="7"/>
  <c r="EE154" i="7"/>
  <c r="AR154" i="7"/>
  <c r="AQ154" i="7"/>
  <c r="EK153" i="7"/>
  <c r="EF153" i="7"/>
  <c r="EE153" i="7"/>
  <c r="AR153" i="7"/>
  <c r="AQ153" i="7"/>
  <c r="EK152" i="7"/>
  <c r="EF152" i="7"/>
  <c r="EE152" i="7"/>
  <c r="AR152" i="7"/>
  <c r="AQ152" i="7"/>
  <c r="EK151" i="7"/>
  <c r="EF151" i="7"/>
  <c r="EE151" i="7"/>
  <c r="AR151" i="7"/>
  <c r="AQ151" i="7"/>
  <c r="EK150" i="7"/>
  <c r="EF150" i="7"/>
  <c r="EE150" i="7"/>
  <c r="AR150" i="7"/>
  <c r="AQ150" i="7"/>
  <c r="EK149" i="7"/>
  <c r="EF149" i="7"/>
  <c r="EE149" i="7"/>
  <c r="AR149" i="7"/>
  <c r="AQ149" i="7"/>
  <c r="EK148" i="7"/>
  <c r="EF148" i="7"/>
  <c r="EE148" i="7"/>
  <c r="AR148" i="7"/>
  <c r="AQ148" i="7"/>
  <c r="EK147" i="7"/>
  <c r="EF147" i="7"/>
  <c r="EE147" i="7"/>
  <c r="AR147" i="7"/>
  <c r="AQ147" i="7"/>
  <c r="EK146" i="7"/>
  <c r="EF146" i="7"/>
  <c r="EE146" i="7"/>
  <c r="AR146" i="7"/>
  <c r="AQ146" i="7"/>
  <c r="EK145" i="7"/>
  <c r="EF145" i="7"/>
  <c r="EE145" i="7"/>
  <c r="AR145" i="7"/>
  <c r="AQ145" i="7"/>
  <c r="EK144" i="7"/>
  <c r="EF144" i="7"/>
  <c r="EE144" i="7"/>
  <c r="AR144" i="7"/>
  <c r="AQ144" i="7"/>
  <c r="EK143" i="7"/>
  <c r="EF143" i="7"/>
  <c r="EE143" i="7"/>
  <c r="AR143" i="7"/>
  <c r="AQ143" i="7"/>
  <c r="EK142" i="7"/>
  <c r="EF142" i="7"/>
  <c r="EE142" i="7"/>
  <c r="AR142" i="7"/>
  <c r="AQ142" i="7"/>
  <c r="EK141" i="7"/>
  <c r="EF141" i="7"/>
  <c r="EE141" i="7"/>
  <c r="AR141" i="7"/>
  <c r="AQ141" i="7"/>
  <c r="EK140" i="7"/>
  <c r="EF140" i="7"/>
  <c r="EE140" i="7"/>
  <c r="AR140" i="7"/>
  <c r="AQ140" i="7"/>
  <c r="EK139" i="7"/>
  <c r="EF139" i="7"/>
  <c r="EE139" i="7"/>
  <c r="AR139" i="7"/>
  <c r="AQ139" i="7"/>
  <c r="EK138" i="7"/>
  <c r="EF138" i="7"/>
  <c r="EE138" i="7"/>
  <c r="AR138" i="7"/>
  <c r="AQ138" i="7"/>
  <c r="EK137" i="7"/>
  <c r="EF137" i="7"/>
  <c r="EE137" i="7"/>
  <c r="AR137" i="7"/>
  <c r="AQ137" i="7"/>
  <c r="EK136" i="7"/>
  <c r="EF136" i="7"/>
  <c r="EE136" i="7"/>
  <c r="AR136" i="7"/>
  <c r="AQ136" i="7"/>
  <c r="EK135" i="7"/>
  <c r="EF135" i="7"/>
  <c r="EE135" i="7"/>
  <c r="AR135" i="7"/>
  <c r="AQ135" i="7"/>
  <c r="EK134" i="7"/>
  <c r="EF134" i="7"/>
  <c r="EE134" i="7"/>
  <c r="AR134" i="7"/>
  <c r="AQ134" i="7"/>
  <c r="EK133" i="7"/>
  <c r="EF133" i="7"/>
  <c r="EE133" i="7"/>
  <c r="AR133" i="7"/>
  <c r="AQ133" i="7"/>
  <c r="EK132" i="7"/>
  <c r="EF132" i="7"/>
  <c r="EE132" i="7"/>
  <c r="AR132" i="7"/>
  <c r="AQ132" i="7"/>
  <c r="EK131" i="7"/>
  <c r="EF131" i="7"/>
  <c r="EE131" i="7"/>
  <c r="AR131" i="7"/>
  <c r="AQ131" i="7"/>
  <c r="EK130" i="7"/>
  <c r="EF130" i="7"/>
  <c r="EE130" i="7"/>
  <c r="AR130" i="7"/>
  <c r="AQ130" i="7"/>
  <c r="EK129" i="7"/>
  <c r="EF129" i="7"/>
  <c r="EE129" i="7"/>
  <c r="AR129" i="7"/>
  <c r="AQ129" i="7"/>
  <c r="EK128" i="7"/>
  <c r="EF128" i="7"/>
  <c r="EE128" i="7"/>
  <c r="AR128" i="7"/>
  <c r="AQ128" i="7"/>
  <c r="EK127" i="7"/>
  <c r="EF127" i="7"/>
  <c r="EE127" i="7"/>
  <c r="AR127" i="7"/>
  <c r="AQ127" i="7"/>
  <c r="EK126" i="7"/>
  <c r="EF126" i="7"/>
  <c r="EE126" i="7"/>
  <c r="AR126" i="7"/>
  <c r="AQ126" i="7"/>
  <c r="EK125" i="7"/>
  <c r="EF125" i="7"/>
  <c r="EE125" i="7"/>
  <c r="AR125" i="7"/>
  <c r="AQ125" i="7"/>
  <c r="EK124" i="7"/>
  <c r="EF124" i="7"/>
  <c r="EE124" i="7"/>
  <c r="AR124" i="7"/>
  <c r="AQ124" i="7"/>
  <c r="EK123" i="7"/>
  <c r="EF123" i="7"/>
  <c r="EE123" i="7"/>
  <c r="AR123" i="7"/>
  <c r="AQ123" i="7"/>
  <c r="EK122" i="7"/>
  <c r="EF122" i="7"/>
  <c r="EE122" i="7"/>
  <c r="AR122" i="7"/>
  <c r="AQ122" i="7"/>
  <c r="EK121" i="7"/>
  <c r="EF121" i="7"/>
  <c r="EE121" i="7"/>
  <c r="AR121" i="7"/>
  <c r="AQ121" i="7"/>
  <c r="EK120" i="7"/>
  <c r="EF120" i="7"/>
  <c r="EE120" i="7"/>
  <c r="AR120" i="7"/>
  <c r="AQ120" i="7"/>
  <c r="EK119" i="7"/>
  <c r="EF119" i="7"/>
  <c r="EE119" i="7"/>
  <c r="AR119" i="7"/>
  <c r="AQ119" i="7"/>
  <c r="EK118" i="7"/>
  <c r="EF118" i="7"/>
  <c r="EE118" i="7"/>
  <c r="AR118" i="7"/>
  <c r="AQ118" i="7"/>
  <c r="EK117" i="7"/>
  <c r="EF117" i="7"/>
  <c r="EE117" i="7"/>
  <c r="AR117" i="7"/>
  <c r="AQ117" i="7"/>
  <c r="EK116" i="7"/>
  <c r="EF116" i="7"/>
  <c r="EE116" i="7"/>
  <c r="AR116" i="7"/>
  <c r="AQ116" i="7"/>
  <c r="EK115" i="7"/>
  <c r="EF115" i="7"/>
  <c r="EE115" i="7"/>
  <c r="AR115" i="7"/>
  <c r="AQ115" i="7"/>
  <c r="EK114" i="7"/>
  <c r="EF114" i="7"/>
  <c r="EE114" i="7"/>
  <c r="AR114" i="7"/>
  <c r="AQ114" i="7"/>
  <c r="EK113" i="7"/>
  <c r="EF113" i="7"/>
  <c r="EE113" i="7"/>
  <c r="AR113" i="7"/>
  <c r="AQ113" i="7"/>
  <c r="EK112" i="7"/>
  <c r="EF112" i="7"/>
  <c r="EE112" i="7"/>
  <c r="AR112" i="7"/>
  <c r="AQ112" i="7"/>
  <c r="EK111" i="7"/>
  <c r="EF111" i="7"/>
  <c r="EE111" i="7"/>
  <c r="AR111" i="7"/>
  <c r="AQ111" i="7"/>
  <c r="EK110" i="7"/>
  <c r="EF110" i="7"/>
  <c r="EE110" i="7"/>
  <c r="AR110" i="7"/>
  <c r="AQ110" i="7"/>
  <c r="EK109" i="7"/>
  <c r="EF109" i="7"/>
  <c r="EE109" i="7"/>
  <c r="AR109" i="7"/>
  <c r="AQ109" i="7"/>
  <c r="EK108" i="7"/>
  <c r="EF108" i="7"/>
  <c r="EE108" i="7"/>
  <c r="AR108" i="7"/>
  <c r="AQ108" i="7"/>
  <c r="EK107" i="7"/>
  <c r="EF107" i="7"/>
  <c r="EE107" i="7"/>
  <c r="AR107" i="7"/>
  <c r="AQ107" i="7"/>
  <c r="EK106" i="7"/>
  <c r="EF106" i="7"/>
  <c r="EE106" i="7"/>
  <c r="AR106" i="7"/>
  <c r="AQ106" i="7"/>
  <c r="EK105" i="7"/>
  <c r="EF105" i="7"/>
  <c r="EE105" i="7"/>
  <c r="AR105" i="7"/>
  <c r="AQ105" i="7"/>
  <c r="EK104" i="7"/>
  <c r="EF104" i="7"/>
  <c r="EE104" i="7"/>
  <c r="AR104" i="7"/>
  <c r="AQ104" i="7"/>
  <c r="EK103" i="7"/>
  <c r="EF103" i="7"/>
  <c r="EE103" i="7"/>
  <c r="AR103" i="7"/>
  <c r="AQ103" i="7"/>
  <c r="EK102" i="7"/>
  <c r="EF102" i="7"/>
  <c r="EE102" i="7"/>
  <c r="AR102" i="7"/>
  <c r="AQ102" i="7"/>
  <c r="EK101" i="7"/>
  <c r="EF101" i="7"/>
  <c r="EE101" i="7"/>
  <c r="AR101" i="7"/>
  <c r="AQ101" i="7"/>
  <c r="EK100" i="7"/>
  <c r="EF100" i="7"/>
  <c r="EE100" i="7"/>
  <c r="AR100" i="7"/>
  <c r="AQ100" i="7"/>
  <c r="EK99" i="7"/>
  <c r="EF99" i="7"/>
  <c r="EE99" i="7"/>
  <c r="AR99" i="7"/>
  <c r="AQ99" i="7"/>
  <c r="EK98" i="7"/>
  <c r="EF98" i="7"/>
  <c r="EE98" i="7"/>
  <c r="AR98" i="7"/>
  <c r="AQ98" i="7"/>
  <c r="EK97" i="7"/>
  <c r="EF97" i="7"/>
  <c r="EE97" i="7"/>
  <c r="AR97" i="7"/>
  <c r="AQ97" i="7"/>
  <c r="EK96" i="7"/>
  <c r="EF96" i="7"/>
  <c r="EE96" i="7"/>
  <c r="AR96" i="7"/>
  <c r="AQ96" i="7"/>
  <c r="EK95" i="7"/>
  <c r="EF95" i="7"/>
  <c r="EE95" i="7"/>
  <c r="AR95" i="7"/>
  <c r="AQ95" i="7"/>
  <c r="EK94" i="7"/>
  <c r="EF94" i="7"/>
  <c r="EE94" i="7"/>
  <c r="AR94" i="7"/>
  <c r="AQ94" i="7"/>
  <c r="EK93" i="7"/>
  <c r="EF93" i="7"/>
  <c r="EE93" i="7"/>
  <c r="AR93" i="7"/>
  <c r="AQ93" i="7"/>
  <c r="EK92" i="7"/>
  <c r="EF92" i="7"/>
  <c r="EE92" i="7"/>
  <c r="AR92" i="7"/>
  <c r="AQ92" i="7"/>
  <c r="EK91" i="7"/>
  <c r="EF91" i="7"/>
  <c r="EE91" i="7"/>
  <c r="AR91" i="7"/>
  <c r="AQ91" i="7"/>
  <c r="EK90" i="7"/>
  <c r="EF90" i="7"/>
  <c r="EE90" i="7"/>
  <c r="AR90" i="7"/>
  <c r="AQ90" i="7"/>
  <c r="EK89" i="7"/>
  <c r="EF89" i="7"/>
  <c r="EE89" i="7"/>
  <c r="AR89" i="7"/>
  <c r="AQ89" i="7"/>
  <c r="EK88" i="7"/>
  <c r="EF88" i="7"/>
  <c r="EE88" i="7"/>
  <c r="AR88" i="7"/>
  <c r="AQ88" i="7"/>
  <c r="EK87" i="7"/>
  <c r="EF87" i="7"/>
  <c r="EE87" i="7"/>
  <c r="AR87" i="7"/>
  <c r="AQ87" i="7"/>
  <c r="EK86" i="7"/>
  <c r="EF86" i="7"/>
  <c r="EE86" i="7"/>
  <c r="AR86" i="7"/>
  <c r="AQ86" i="7"/>
  <c r="EK85" i="7"/>
  <c r="EF85" i="7"/>
  <c r="EE85" i="7"/>
  <c r="AR85" i="7"/>
  <c r="AQ85" i="7"/>
  <c r="EK84" i="7"/>
  <c r="EF84" i="7"/>
  <c r="EE84" i="7"/>
  <c r="AR84" i="7"/>
  <c r="AQ84" i="7"/>
  <c r="EK83" i="7"/>
  <c r="EF83" i="7"/>
  <c r="EE83" i="7"/>
  <c r="AR83" i="7"/>
  <c r="AQ83" i="7"/>
  <c r="EK82" i="7"/>
  <c r="EF82" i="7"/>
  <c r="EE82" i="7"/>
  <c r="AR82" i="7"/>
  <c r="AQ82" i="7"/>
  <c r="EK81" i="7"/>
  <c r="EF81" i="7"/>
  <c r="EE81" i="7"/>
  <c r="AR81" i="7"/>
  <c r="AQ81" i="7"/>
  <c r="EK80" i="7"/>
  <c r="EF80" i="7"/>
  <c r="EE80" i="7"/>
  <c r="AR80" i="7"/>
  <c r="AQ80" i="7"/>
  <c r="EK79" i="7"/>
  <c r="EF79" i="7"/>
  <c r="EE79" i="7"/>
  <c r="AR79" i="7"/>
  <c r="AQ79" i="7"/>
  <c r="EK78" i="7"/>
  <c r="EF78" i="7"/>
  <c r="EE78" i="7"/>
  <c r="AR78" i="7"/>
  <c r="AQ78" i="7"/>
  <c r="EK77" i="7"/>
  <c r="EF77" i="7"/>
  <c r="EE77" i="7"/>
  <c r="AR77" i="7"/>
  <c r="AQ77" i="7"/>
  <c r="EK76" i="7"/>
  <c r="EF76" i="7"/>
  <c r="EE76" i="7"/>
  <c r="AR76" i="7"/>
  <c r="AQ76" i="7"/>
  <c r="EK75" i="7"/>
  <c r="EF75" i="7"/>
  <c r="EE75" i="7"/>
  <c r="AR75" i="7"/>
  <c r="AQ75" i="7"/>
  <c r="EK74" i="7"/>
  <c r="EF74" i="7"/>
  <c r="EE74" i="7"/>
  <c r="AR74" i="7"/>
  <c r="AQ74" i="7"/>
  <c r="EK73" i="7"/>
  <c r="EF73" i="7"/>
  <c r="EE73" i="7"/>
  <c r="AR73" i="7"/>
  <c r="AQ73" i="7"/>
  <c r="EK72" i="7"/>
  <c r="EF72" i="7"/>
  <c r="EE72" i="7"/>
  <c r="AR72" i="7"/>
  <c r="AQ72" i="7"/>
  <c r="EK71" i="7"/>
  <c r="EF71" i="7"/>
  <c r="EE71" i="7"/>
  <c r="AR71" i="7"/>
  <c r="AQ71" i="7"/>
  <c r="EK70" i="7"/>
  <c r="EF70" i="7"/>
  <c r="EE70" i="7"/>
  <c r="AR70" i="7"/>
  <c r="AQ70" i="7"/>
  <c r="EK69" i="7"/>
  <c r="EF69" i="7"/>
  <c r="EE69" i="7"/>
  <c r="AR69" i="7"/>
  <c r="AQ69" i="7"/>
  <c r="EK68" i="7"/>
  <c r="EF68" i="7"/>
  <c r="EE68" i="7"/>
  <c r="AR68" i="7"/>
  <c r="AQ68" i="7"/>
  <c r="EK67" i="7"/>
  <c r="EF67" i="7"/>
  <c r="EE67" i="7"/>
  <c r="AR67" i="7"/>
  <c r="AQ67" i="7"/>
  <c r="EK66" i="7"/>
  <c r="EF66" i="7"/>
  <c r="EE66" i="7"/>
  <c r="AR66" i="7"/>
  <c r="AQ66" i="7"/>
  <c r="EK65" i="7"/>
  <c r="EF65" i="7"/>
  <c r="EE65" i="7"/>
  <c r="AR65" i="7"/>
  <c r="AQ65" i="7"/>
  <c r="EK64" i="7"/>
  <c r="EF64" i="7"/>
  <c r="EE64" i="7"/>
  <c r="AR64" i="7"/>
  <c r="AQ64" i="7"/>
  <c r="EK63" i="7"/>
  <c r="EF63" i="7"/>
  <c r="EE63" i="7"/>
  <c r="AR63" i="7"/>
  <c r="AQ63" i="7"/>
  <c r="EK62" i="7"/>
  <c r="EF62" i="7"/>
  <c r="EE62" i="7"/>
  <c r="AR62" i="7"/>
  <c r="AQ62" i="7"/>
  <c r="EK61" i="7"/>
  <c r="EF61" i="7"/>
  <c r="EE61" i="7"/>
  <c r="AR61" i="7"/>
  <c r="AQ61" i="7"/>
  <c r="EK60" i="7"/>
  <c r="EF60" i="7"/>
  <c r="EE60" i="7"/>
  <c r="AR60" i="7"/>
  <c r="AQ60" i="7"/>
  <c r="EK59" i="7"/>
  <c r="EF59" i="7"/>
  <c r="EE59" i="7"/>
  <c r="AR59" i="7"/>
  <c r="AQ59" i="7"/>
  <c r="EK58" i="7"/>
  <c r="EF58" i="7"/>
  <c r="EE58" i="7"/>
  <c r="AR58" i="7"/>
  <c r="AQ58" i="7"/>
  <c r="EK57" i="7"/>
  <c r="EF57" i="7"/>
  <c r="EE57" i="7"/>
  <c r="AR57" i="7"/>
  <c r="AQ57" i="7"/>
  <c r="EK56" i="7"/>
  <c r="EF56" i="7"/>
  <c r="EE56" i="7"/>
  <c r="AR56" i="7"/>
  <c r="AQ56" i="7"/>
  <c r="EK55" i="7"/>
  <c r="EF55" i="7"/>
  <c r="EE55" i="7"/>
  <c r="AR55" i="7"/>
  <c r="AQ55" i="7"/>
  <c r="EK54" i="7"/>
  <c r="EF54" i="7"/>
  <c r="EE54" i="7"/>
  <c r="AR54" i="7"/>
  <c r="AQ54" i="7"/>
  <c r="EK53" i="7"/>
  <c r="EF53" i="7"/>
  <c r="EE53" i="7"/>
  <c r="AR53" i="7"/>
  <c r="AQ53" i="7"/>
  <c r="EK52" i="7"/>
  <c r="EF52" i="7"/>
  <c r="EE52" i="7"/>
  <c r="AR52" i="7"/>
  <c r="AQ52" i="7"/>
  <c r="EK51" i="7"/>
  <c r="EF51" i="7"/>
  <c r="EE51" i="7"/>
  <c r="AR51" i="7"/>
  <c r="AQ51" i="7"/>
  <c r="EK50" i="7"/>
  <c r="EF50" i="7"/>
  <c r="EE50" i="7"/>
  <c r="AR50" i="7"/>
  <c r="AQ50" i="7"/>
  <c r="EK49" i="7"/>
  <c r="EF49" i="7"/>
  <c r="EE49" i="7"/>
  <c r="AR49" i="7"/>
  <c r="AQ49" i="7"/>
  <c r="EK48" i="7"/>
  <c r="EF48" i="7"/>
  <c r="EE48" i="7"/>
  <c r="AR48" i="7"/>
  <c r="AQ48" i="7"/>
  <c r="EK47" i="7"/>
  <c r="EF47" i="7"/>
  <c r="EE47" i="7"/>
  <c r="AR47" i="7"/>
  <c r="AQ47" i="7"/>
  <c r="EK46" i="7"/>
  <c r="EF46" i="7"/>
  <c r="EE46" i="7"/>
  <c r="AR46" i="7"/>
  <c r="AQ46" i="7"/>
  <c r="EK45" i="7"/>
  <c r="EF45" i="7"/>
  <c r="EE45" i="7"/>
  <c r="AR45" i="7"/>
  <c r="AQ45" i="7"/>
  <c r="EK44" i="7"/>
  <c r="EF44" i="7"/>
  <c r="EE44" i="7"/>
  <c r="AR44" i="7"/>
  <c r="AQ44" i="7"/>
  <c r="EK43" i="7"/>
  <c r="EF43" i="7"/>
  <c r="EE43" i="7"/>
  <c r="AR43" i="7"/>
  <c r="AQ43" i="7"/>
  <c r="EK42" i="7"/>
  <c r="EF42" i="7"/>
  <c r="EE42" i="7"/>
  <c r="AR42" i="7"/>
  <c r="AQ42" i="7"/>
  <c r="EK41" i="7"/>
  <c r="EF41" i="7"/>
  <c r="EE41" i="7"/>
  <c r="AR41" i="7"/>
  <c r="AQ41" i="7"/>
  <c r="EK40" i="7"/>
  <c r="EF40" i="7"/>
  <c r="EE40" i="7"/>
  <c r="AR40" i="7"/>
  <c r="AQ40" i="7"/>
  <c r="EK39" i="7"/>
  <c r="EF39" i="7"/>
  <c r="EE39" i="7"/>
  <c r="AR39" i="7"/>
  <c r="AQ39" i="7"/>
  <c r="EK38" i="7"/>
  <c r="EF38" i="7"/>
  <c r="EE38" i="7"/>
  <c r="AR38" i="7"/>
  <c r="AQ38" i="7"/>
  <c r="EK37" i="7"/>
  <c r="EF37" i="7"/>
  <c r="EE37" i="7"/>
  <c r="AR37" i="7"/>
  <c r="AQ37" i="7"/>
  <c r="EK36" i="7"/>
  <c r="EF36" i="7"/>
  <c r="EE36" i="7"/>
  <c r="AR36" i="7"/>
  <c r="AQ36" i="7"/>
  <c r="EK35" i="7"/>
  <c r="EF35" i="7"/>
  <c r="EE35" i="7"/>
  <c r="AR35" i="7"/>
  <c r="AQ35" i="7"/>
  <c r="EK34" i="7"/>
  <c r="EF34" i="7"/>
  <c r="EE34" i="7"/>
  <c r="AR34" i="7"/>
  <c r="AQ34" i="7"/>
  <c r="EK33" i="7"/>
  <c r="EF33" i="7"/>
  <c r="EE33" i="7"/>
  <c r="AR33" i="7"/>
  <c r="AQ33" i="7"/>
  <c r="EK32" i="7"/>
  <c r="EF32" i="7"/>
  <c r="EE32" i="7"/>
  <c r="AR32" i="7"/>
  <c r="AQ32" i="7"/>
  <c r="EK31" i="7"/>
  <c r="EF31" i="7"/>
  <c r="EE31" i="7"/>
  <c r="AR31" i="7"/>
  <c r="AQ31" i="7"/>
  <c r="EK30" i="7"/>
  <c r="EF30" i="7"/>
  <c r="EE30" i="7"/>
  <c r="AR30" i="7"/>
  <c r="AQ30" i="7"/>
  <c r="EK29" i="7"/>
  <c r="EF29" i="7"/>
  <c r="EE29" i="7"/>
  <c r="AR29" i="7"/>
  <c r="AQ29" i="7"/>
  <c r="EK28" i="7"/>
  <c r="EF28" i="7"/>
  <c r="EE28" i="7"/>
  <c r="AR28" i="7"/>
  <c r="AQ28" i="7"/>
  <c r="EK27" i="7"/>
  <c r="EF27" i="7"/>
  <c r="EE27" i="7"/>
  <c r="AR27" i="7"/>
  <c r="AQ27" i="7"/>
  <c r="EK26" i="7"/>
  <c r="EF26" i="7"/>
  <c r="EE26" i="7"/>
  <c r="AR26" i="7"/>
  <c r="AQ26" i="7"/>
  <c r="EK25" i="7"/>
  <c r="EF25" i="7"/>
  <c r="EE25" i="7"/>
  <c r="AR25" i="7"/>
  <c r="AQ25" i="7"/>
  <c r="EK24" i="7"/>
  <c r="EF24" i="7"/>
  <c r="EE24" i="7"/>
  <c r="AR24" i="7"/>
  <c r="AQ24" i="7"/>
  <c r="EK23" i="7"/>
  <c r="EF23" i="7"/>
  <c r="EE23" i="7"/>
  <c r="AR23" i="7"/>
  <c r="AQ23" i="7"/>
  <c r="EK22" i="7"/>
  <c r="EF22" i="7"/>
  <c r="EE22" i="7"/>
  <c r="AR22" i="7"/>
  <c r="AQ22" i="7"/>
  <c r="EK21" i="7"/>
  <c r="EF21" i="7"/>
  <c r="EE21" i="7"/>
  <c r="AR21" i="7"/>
  <c r="AQ21" i="7"/>
  <c r="EK20" i="7"/>
  <c r="EF20" i="7"/>
  <c r="EE20" i="7"/>
  <c r="AR20" i="7"/>
  <c r="AQ20" i="7"/>
  <c r="EK19" i="7"/>
  <c r="EF19" i="7"/>
  <c r="EE19" i="7"/>
  <c r="AR19" i="7"/>
  <c r="AQ19" i="7"/>
  <c r="EK18" i="7"/>
  <c r="EF18" i="7"/>
  <c r="EE18" i="7"/>
  <c r="AR18" i="7"/>
  <c r="AQ18" i="7"/>
  <c r="EK17" i="7"/>
  <c r="EF17" i="7"/>
  <c r="EE17" i="7"/>
  <c r="AR17" i="7"/>
  <c r="AQ17" i="7"/>
  <c r="EK16" i="7"/>
  <c r="EF16" i="7"/>
  <c r="EE16" i="7"/>
  <c r="AR16" i="7"/>
  <c r="AQ16" i="7"/>
  <c r="EK15" i="7"/>
  <c r="EF15" i="7"/>
  <c r="EE15" i="7"/>
  <c r="AR15" i="7"/>
  <c r="AQ15" i="7"/>
  <c r="EK14" i="7"/>
  <c r="EF14" i="7"/>
  <c r="EE14" i="7"/>
  <c r="DD14" i="7"/>
  <c r="DA14" i="7"/>
  <c r="AR14" i="7"/>
  <c r="AQ14" i="7"/>
  <c r="EK13" i="7"/>
  <c r="EF13" i="7"/>
  <c r="EE13" i="7"/>
  <c r="DD13" i="7"/>
  <c r="DA13" i="7"/>
  <c r="AR13" i="7"/>
  <c r="AQ13" i="7"/>
  <c r="EK12" i="7"/>
  <c r="EF12" i="7"/>
  <c r="EE12" i="7"/>
  <c r="DD12" i="7"/>
  <c r="DA12" i="7"/>
  <c r="AR12" i="7"/>
  <c r="AQ12" i="7"/>
  <c r="EK11" i="7"/>
  <c r="EF11" i="7"/>
  <c r="EE11" i="7"/>
  <c r="DD11" i="7"/>
  <c r="DA11" i="7"/>
  <c r="AR11" i="7"/>
  <c r="AQ11" i="7"/>
  <c r="EK10" i="7"/>
  <c r="EF10" i="7"/>
  <c r="EE10" i="7"/>
  <c r="DD10" i="7"/>
  <c r="DA10" i="7"/>
  <c r="AR10" i="7"/>
  <c r="AQ10" i="7"/>
  <c r="EK9" i="7"/>
  <c r="EF9" i="7"/>
  <c r="EE9" i="7"/>
  <c r="DD9" i="7"/>
  <c r="DA9" i="7"/>
  <c r="AR9" i="7"/>
  <c r="AQ9" i="7"/>
  <c r="EK8" i="7"/>
  <c r="EF8" i="7"/>
  <c r="EE8" i="7"/>
  <c r="DD8" i="7"/>
  <c r="DA8" i="7"/>
  <c r="AR8" i="7"/>
  <c r="AQ8" i="7"/>
  <c r="EK7" i="7"/>
  <c r="EF7" i="7"/>
  <c r="EE7" i="7"/>
  <c r="DD7" i="7"/>
  <c r="DA7" i="7"/>
  <c r="AR7" i="7"/>
  <c r="AQ7" i="7"/>
  <c r="EK6" i="7"/>
  <c r="EF6" i="7"/>
  <c r="EE6" i="7"/>
  <c r="DD6" i="7"/>
  <c r="DA6" i="7"/>
  <c r="AR6" i="7"/>
  <c r="AQ6" i="7"/>
  <c r="EK5" i="7"/>
  <c r="EF5" i="7"/>
  <c r="EE5" i="7"/>
  <c r="DD5" i="7"/>
  <c r="DA5" i="7"/>
  <c r="AR5" i="7"/>
  <c r="AQ5" i="7"/>
  <c r="EK4" i="7"/>
  <c r="EF4" i="7"/>
  <c r="EE4" i="7"/>
  <c r="DD4" i="7"/>
  <c r="DA4" i="7"/>
  <c r="AR4" i="7"/>
  <c r="AQ4" i="7"/>
  <c r="EK3" i="7"/>
  <c r="EF3" i="7"/>
  <c r="EE3" i="7"/>
  <c r="DD3" i="7"/>
  <c r="DA3" i="7"/>
  <c r="AR3" i="7"/>
  <c r="AQ3" i="7"/>
  <c r="EK2" i="7"/>
  <c r="EF2" i="7"/>
  <c r="EE2" i="7"/>
  <c r="DD2" i="7"/>
  <c r="DC2" i="7"/>
  <c r="DA2" i="7"/>
  <c r="AR2" i="7"/>
  <c r="AQ2" i="7"/>
  <c r="DB100" i="6"/>
  <c r="BU100" i="6"/>
  <c r="BJ100" i="6"/>
  <c r="DB99" i="6"/>
  <c r="BU99" i="6"/>
  <c r="BJ99" i="6"/>
  <c r="DB98" i="6"/>
  <c r="BU98" i="6"/>
  <c r="BJ98" i="6"/>
  <c r="DB97" i="6"/>
  <c r="BU97" i="6"/>
  <c r="BJ97" i="6"/>
  <c r="DB96" i="6"/>
  <c r="BU96" i="6"/>
  <c r="BJ96" i="6"/>
  <c r="DB95" i="6"/>
  <c r="BU95" i="6"/>
  <c r="BJ95" i="6"/>
  <c r="DB94" i="6"/>
  <c r="BU94" i="6"/>
  <c r="BJ94" i="6"/>
  <c r="DB93" i="6"/>
  <c r="BU93" i="6"/>
  <c r="BJ93" i="6"/>
  <c r="DB92" i="6"/>
  <c r="BU92" i="6"/>
  <c r="BJ92" i="6"/>
  <c r="DB91" i="6"/>
  <c r="BU91" i="6"/>
  <c r="BJ91" i="6"/>
  <c r="DB90" i="6"/>
  <c r="BU90" i="6"/>
  <c r="BJ90" i="6"/>
  <c r="DB89" i="6"/>
  <c r="BU89" i="6"/>
  <c r="BJ89" i="6"/>
  <c r="DB88" i="6"/>
  <c r="BU88" i="6"/>
  <c r="BJ88" i="6"/>
  <c r="DB87" i="6"/>
  <c r="BU87" i="6"/>
  <c r="BJ87" i="6"/>
  <c r="DB86" i="6"/>
  <c r="BU86" i="6"/>
  <c r="BJ86" i="6"/>
  <c r="DB85" i="6"/>
  <c r="BU85" i="6"/>
  <c r="BJ85" i="6"/>
  <c r="DB84" i="6"/>
  <c r="BU84" i="6"/>
  <c r="BJ84" i="6"/>
  <c r="DB83" i="6"/>
  <c r="BU83" i="6"/>
  <c r="BJ83" i="6"/>
  <c r="DB82" i="6"/>
  <c r="BU82" i="6"/>
  <c r="BJ82" i="6"/>
  <c r="DB81" i="6"/>
  <c r="BU81" i="6"/>
  <c r="BJ81" i="6"/>
  <c r="DB80" i="6"/>
  <c r="BU80" i="6"/>
  <c r="BJ80" i="6"/>
  <c r="DB79" i="6"/>
  <c r="BU79" i="6"/>
  <c r="BJ79" i="6"/>
  <c r="DB78" i="6"/>
  <c r="BU78" i="6"/>
  <c r="BJ78" i="6"/>
  <c r="DB77" i="6"/>
  <c r="BU77" i="6"/>
  <c r="BJ77" i="6"/>
  <c r="DB76" i="6"/>
  <c r="BU76" i="6"/>
  <c r="BJ76" i="6"/>
  <c r="DB75" i="6"/>
  <c r="BU75" i="6"/>
  <c r="BJ75" i="6"/>
  <c r="DB74" i="6"/>
  <c r="BU74" i="6"/>
  <c r="BJ74" i="6"/>
  <c r="DB73" i="6"/>
  <c r="BU73" i="6"/>
  <c r="BJ73" i="6"/>
  <c r="DB72" i="6"/>
  <c r="BU72" i="6"/>
  <c r="BJ72" i="6"/>
  <c r="DB71" i="6"/>
  <c r="BU71" i="6"/>
  <c r="BJ71" i="6"/>
  <c r="DB70" i="6"/>
  <c r="BU70" i="6"/>
  <c r="BJ70" i="6"/>
  <c r="DB69" i="6"/>
  <c r="BU69" i="6"/>
  <c r="BJ69" i="6"/>
  <c r="DB68" i="6"/>
  <c r="BU68" i="6"/>
  <c r="BJ68" i="6"/>
  <c r="DB67" i="6"/>
  <c r="BU67" i="6"/>
  <c r="BJ67" i="6"/>
  <c r="DB66" i="6"/>
  <c r="BU66" i="6"/>
  <c r="BJ66" i="6"/>
  <c r="DB65" i="6"/>
  <c r="BU65" i="6"/>
  <c r="BJ65" i="6"/>
  <c r="DB64" i="6"/>
  <c r="BU64" i="6"/>
  <c r="BJ64" i="6"/>
  <c r="DB63" i="6"/>
  <c r="BU63" i="6"/>
  <c r="BJ63" i="6"/>
  <c r="DB62" i="6"/>
  <c r="BU62" i="6"/>
  <c r="BJ62" i="6"/>
  <c r="DB61" i="6"/>
  <c r="BU61" i="6"/>
  <c r="BJ61" i="6"/>
  <c r="DB60" i="6"/>
  <c r="BU60" i="6"/>
  <c r="BJ60" i="6"/>
  <c r="DB59" i="6"/>
  <c r="BU59" i="6"/>
  <c r="BJ59" i="6"/>
  <c r="DB58" i="6"/>
  <c r="BU58" i="6"/>
  <c r="BJ58" i="6"/>
  <c r="DB57" i="6"/>
  <c r="BU57" i="6"/>
  <c r="BJ57" i="6"/>
  <c r="DB56" i="6"/>
  <c r="BU56" i="6"/>
  <c r="BJ56" i="6"/>
  <c r="DB55" i="6"/>
  <c r="BU55" i="6"/>
  <c r="BJ55" i="6"/>
  <c r="DB54" i="6"/>
  <c r="BU54" i="6"/>
  <c r="BJ54" i="6"/>
  <c r="DB53" i="6"/>
  <c r="BU53" i="6"/>
  <c r="BJ53" i="6"/>
  <c r="DB52" i="6"/>
  <c r="BU52" i="6"/>
  <c r="BJ52" i="6"/>
  <c r="DB51" i="6"/>
  <c r="BU51" i="6"/>
  <c r="BJ51" i="6"/>
  <c r="DB50" i="6"/>
  <c r="BU50" i="6"/>
  <c r="BJ50" i="6"/>
  <c r="DB49" i="6"/>
  <c r="BU49" i="6"/>
  <c r="BJ49" i="6"/>
  <c r="DB48" i="6"/>
  <c r="BU48" i="6"/>
  <c r="BJ48" i="6"/>
  <c r="DB47" i="6"/>
  <c r="BU47" i="6"/>
  <c r="BJ47" i="6"/>
  <c r="DB46" i="6"/>
  <c r="BU46" i="6"/>
  <c r="BJ46" i="6"/>
  <c r="DB45" i="6"/>
  <c r="BU45" i="6"/>
  <c r="BJ45" i="6"/>
  <c r="DB44" i="6"/>
  <c r="BU44" i="6"/>
  <c r="BJ44" i="6"/>
  <c r="DB43" i="6"/>
  <c r="BU43" i="6"/>
  <c r="BJ43" i="6"/>
  <c r="DB42" i="6"/>
  <c r="BU42" i="6"/>
  <c r="BJ42" i="6"/>
  <c r="DB41" i="6"/>
  <c r="BU41" i="6"/>
  <c r="BJ41" i="6"/>
  <c r="DB40" i="6"/>
  <c r="BU40" i="6"/>
  <c r="BJ40" i="6"/>
  <c r="DB39" i="6"/>
  <c r="BU39" i="6"/>
  <c r="BJ39" i="6"/>
  <c r="DB38" i="6"/>
  <c r="BU38" i="6"/>
  <c r="BJ38" i="6"/>
  <c r="DB37" i="6"/>
  <c r="BU37" i="6"/>
  <c r="BJ37" i="6"/>
  <c r="DB36" i="6"/>
  <c r="BU36" i="6"/>
  <c r="BJ36" i="6"/>
  <c r="DB35" i="6"/>
  <c r="BU35" i="6"/>
  <c r="BJ35" i="6"/>
  <c r="DB34" i="6"/>
  <c r="BU34" i="6"/>
  <c r="BJ34" i="6"/>
  <c r="DB33" i="6"/>
  <c r="BU33" i="6"/>
  <c r="BJ33" i="6"/>
  <c r="DB32" i="6"/>
  <c r="BU32" i="6"/>
  <c r="BJ32" i="6"/>
  <c r="DB31" i="6"/>
  <c r="BU31" i="6"/>
  <c r="BJ31" i="6"/>
  <c r="DB30" i="6"/>
  <c r="BU30" i="6"/>
  <c r="BJ30" i="6"/>
  <c r="DB29" i="6"/>
  <c r="BU29" i="6"/>
  <c r="BJ29" i="6"/>
  <c r="DB28" i="6"/>
  <c r="BU28" i="6"/>
  <c r="BJ28" i="6"/>
  <c r="DB27" i="6"/>
  <c r="BU27" i="6"/>
  <c r="BJ27" i="6"/>
  <c r="DB26" i="6"/>
  <c r="BU26" i="6"/>
  <c r="BJ26" i="6"/>
  <c r="DB25" i="6"/>
  <c r="BU25" i="6"/>
  <c r="BJ25" i="6"/>
  <c r="DB24" i="6"/>
  <c r="BU24" i="6"/>
  <c r="BJ24" i="6"/>
  <c r="DB23" i="6"/>
  <c r="BU23" i="6"/>
  <c r="BJ23" i="6"/>
  <c r="DB22" i="6"/>
  <c r="BU22" i="6"/>
  <c r="BJ22" i="6"/>
  <c r="DB21" i="6"/>
  <c r="BU21" i="6"/>
  <c r="BJ21" i="6"/>
  <c r="DB20" i="6"/>
  <c r="BU20" i="6"/>
  <c r="BJ20" i="6"/>
  <c r="DB19" i="6"/>
  <c r="BU19" i="6"/>
  <c r="BJ19" i="6"/>
  <c r="DB18" i="6"/>
  <c r="BU18" i="6"/>
  <c r="BJ18" i="6"/>
  <c r="DB17" i="6"/>
  <c r="BU17" i="6"/>
  <c r="BJ17" i="6"/>
  <c r="DB16" i="6"/>
  <c r="BU16" i="6"/>
  <c r="BJ16" i="6"/>
  <c r="DB15" i="6"/>
  <c r="BU15" i="6"/>
  <c r="BJ15" i="6"/>
  <c r="DB14" i="6"/>
  <c r="BU14" i="6"/>
  <c r="BJ14" i="6"/>
  <c r="DB13" i="6"/>
  <c r="BU13" i="6"/>
  <c r="BJ13" i="6"/>
  <c r="DB12" i="6"/>
  <c r="BU12" i="6"/>
  <c r="BJ12" i="6"/>
  <c r="DB11" i="6"/>
  <c r="BU11" i="6"/>
  <c r="BJ11" i="6"/>
  <c r="DB10" i="6"/>
  <c r="BU10" i="6"/>
  <c r="BJ10" i="6"/>
  <c r="DB9" i="6"/>
  <c r="BU9" i="6"/>
  <c r="BJ9" i="6"/>
  <c r="DB8" i="6"/>
  <c r="BU8" i="6"/>
  <c r="BJ8" i="6"/>
  <c r="DB7" i="6"/>
  <c r="BU7" i="6"/>
  <c r="BJ7" i="6"/>
  <c r="DB6" i="6"/>
  <c r="BU6" i="6"/>
  <c r="BJ6" i="6"/>
  <c r="DB5" i="6"/>
  <c r="BU5" i="6"/>
  <c r="BJ5" i="6"/>
  <c r="DB4" i="6"/>
  <c r="BU4" i="6"/>
  <c r="BJ4" i="6"/>
  <c r="DB3" i="6"/>
  <c r="BU3" i="6"/>
  <c r="BJ3" i="6"/>
  <c r="DB2" i="6"/>
  <c r="BU2" i="6"/>
  <c r="BJ2" i="6"/>
  <c r="DD100" i="5"/>
  <c r="BZ100" i="5"/>
  <c r="BW100" i="5"/>
  <c r="BO100" i="5"/>
  <c r="BL100" i="5"/>
  <c r="DD99" i="5"/>
  <c r="BZ99" i="5"/>
  <c r="BW99" i="5"/>
  <c r="BO99" i="5"/>
  <c r="BL99" i="5"/>
  <c r="DD98" i="5"/>
  <c r="BZ98" i="5"/>
  <c r="BW98" i="5"/>
  <c r="BO98" i="5"/>
  <c r="BL98" i="5"/>
  <c r="DD97" i="5"/>
  <c r="BZ97" i="5"/>
  <c r="BW97" i="5"/>
  <c r="BO97" i="5"/>
  <c r="BL97" i="5"/>
  <c r="DD96" i="5"/>
  <c r="BZ96" i="5"/>
  <c r="BW96" i="5"/>
  <c r="BO96" i="5"/>
  <c r="BL96" i="5"/>
  <c r="DD95" i="5"/>
  <c r="BZ95" i="5"/>
  <c r="BW95" i="5"/>
  <c r="BO95" i="5"/>
  <c r="BL95" i="5"/>
  <c r="DD94" i="5"/>
  <c r="BZ94" i="5"/>
  <c r="BW94" i="5"/>
  <c r="BO94" i="5"/>
  <c r="BL94" i="5"/>
  <c r="DD93" i="5"/>
  <c r="BZ93" i="5"/>
  <c r="BW93" i="5"/>
  <c r="BO93" i="5"/>
  <c r="BL93" i="5"/>
  <c r="DD92" i="5"/>
  <c r="BZ92" i="5"/>
  <c r="BW92" i="5"/>
  <c r="BO92" i="5"/>
  <c r="BL92" i="5"/>
  <c r="DD91" i="5"/>
  <c r="BZ91" i="5"/>
  <c r="BW91" i="5"/>
  <c r="BO91" i="5"/>
  <c r="BL91" i="5"/>
  <c r="DD90" i="5"/>
  <c r="BZ90" i="5"/>
  <c r="BW90" i="5"/>
  <c r="BO90" i="5"/>
  <c r="BL90" i="5"/>
  <c r="DD89" i="5"/>
  <c r="BZ89" i="5"/>
  <c r="BW89" i="5"/>
  <c r="BO89" i="5"/>
  <c r="BL89" i="5"/>
  <c r="DD88" i="5"/>
  <c r="BZ88" i="5"/>
  <c r="BW88" i="5"/>
  <c r="BO88" i="5"/>
  <c r="BL88" i="5"/>
  <c r="DD87" i="5"/>
  <c r="BZ87" i="5"/>
  <c r="BW87" i="5"/>
  <c r="BO87" i="5"/>
  <c r="BL87" i="5"/>
  <c r="DD86" i="5"/>
  <c r="BZ86" i="5"/>
  <c r="BW86" i="5"/>
  <c r="BO86" i="5"/>
  <c r="BL86" i="5"/>
  <c r="DD85" i="5"/>
  <c r="BZ85" i="5"/>
  <c r="BW85" i="5"/>
  <c r="BO85" i="5"/>
  <c r="BL85" i="5"/>
  <c r="DD84" i="5"/>
  <c r="BZ84" i="5"/>
  <c r="BW84" i="5"/>
  <c r="BO84" i="5"/>
  <c r="BL84" i="5"/>
  <c r="DD83" i="5"/>
  <c r="BZ83" i="5"/>
  <c r="BW83" i="5"/>
  <c r="BO83" i="5"/>
  <c r="BL83" i="5"/>
  <c r="DD82" i="5"/>
  <c r="BZ82" i="5"/>
  <c r="BW82" i="5"/>
  <c r="BO82" i="5"/>
  <c r="BL82" i="5"/>
  <c r="DD81" i="5"/>
  <c r="BZ81" i="5"/>
  <c r="BW81" i="5"/>
  <c r="BO81" i="5"/>
  <c r="BL81" i="5"/>
  <c r="DD80" i="5"/>
  <c r="BZ80" i="5"/>
  <c r="BW80" i="5"/>
  <c r="BO80" i="5"/>
  <c r="BL80" i="5"/>
  <c r="DD79" i="5"/>
  <c r="BZ79" i="5"/>
  <c r="BW79" i="5"/>
  <c r="BO79" i="5"/>
  <c r="BL79" i="5"/>
  <c r="DD78" i="5"/>
  <c r="BZ78" i="5"/>
  <c r="BW78" i="5"/>
  <c r="BO78" i="5"/>
  <c r="BL78" i="5"/>
  <c r="DD77" i="5"/>
  <c r="BZ77" i="5"/>
  <c r="BW77" i="5"/>
  <c r="BO77" i="5"/>
  <c r="BL77" i="5"/>
  <c r="DD76" i="5"/>
  <c r="BZ76" i="5"/>
  <c r="BW76" i="5"/>
  <c r="BO76" i="5"/>
  <c r="BL76" i="5"/>
  <c r="DD75" i="5"/>
  <c r="BZ75" i="5"/>
  <c r="BW75" i="5"/>
  <c r="BO75" i="5"/>
  <c r="BL75" i="5"/>
  <c r="DD74" i="5"/>
  <c r="BZ74" i="5"/>
  <c r="BW74" i="5"/>
  <c r="BO74" i="5"/>
  <c r="BL74" i="5"/>
  <c r="DD73" i="5"/>
  <c r="BZ73" i="5"/>
  <c r="BW73" i="5"/>
  <c r="BO73" i="5"/>
  <c r="BL73" i="5"/>
  <c r="DD72" i="5"/>
  <c r="BZ72" i="5"/>
  <c r="BW72" i="5"/>
  <c r="BO72" i="5"/>
  <c r="BL72" i="5"/>
  <c r="DD71" i="5"/>
  <c r="BZ71" i="5"/>
  <c r="BW71" i="5"/>
  <c r="BO71" i="5"/>
  <c r="BL71" i="5"/>
  <c r="DD70" i="5"/>
  <c r="BZ70" i="5"/>
  <c r="BW70" i="5"/>
  <c r="BO70" i="5"/>
  <c r="BL70" i="5"/>
  <c r="DD69" i="5"/>
  <c r="BZ69" i="5"/>
  <c r="BW69" i="5"/>
  <c r="BO69" i="5"/>
  <c r="BL69" i="5"/>
  <c r="DD68" i="5"/>
  <c r="BZ68" i="5"/>
  <c r="BW68" i="5"/>
  <c r="BO68" i="5"/>
  <c r="BL68" i="5"/>
  <c r="DD67" i="5"/>
  <c r="BZ67" i="5"/>
  <c r="BW67" i="5"/>
  <c r="BO67" i="5"/>
  <c r="BL67" i="5"/>
  <c r="DD66" i="5"/>
  <c r="BZ66" i="5"/>
  <c r="BW66" i="5"/>
  <c r="BO66" i="5"/>
  <c r="BL66" i="5"/>
  <c r="DD65" i="5"/>
  <c r="BZ65" i="5"/>
  <c r="BW65" i="5"/>
  <c r="BO65" i="5"/>
  <c r="BL65" i="5"/>
  <c r="DD64" i="5"/>
  <c r="BZ64" i="5"/>
  <c r="BW64" i="5"/>
  <c r="BO64" i="5"/>
  <c r="BL64" i="5"/>
  <c r="DD63" i="5"/>
  <c r="BZ63" i="5"/>
  <c r="BW63" i="5"/>
  <c r="BO63" i="5"/>
  <c r="BL63" i="5"/>
  <c r="DD62" i="5"/>
  <c r="BZ62" i="5"/>
  <c r="BW62" i="5"/>
  <c r="BO62" i="5"/>
  <c r="BL62" i="5"/>
  <c r="DD61" i="5"/>
  <c r="BZ61" i="5"/>
  <c r="BW61" i="5"/>
  <c r="BO61" i="5"/>
  <c r="BL61" i="5"/>
  <c r="DD60" i="5"/>
  <c r="BZ60" i="5"/>
  <c r="BW60" i="5"/>
  <c r="BO60" i="5"/>
  <c r="BL60" i="5"/>
  <c r="DD59" i="5"/>
  <c r="BZ59" i="5"/>
  <c r="BW59" i="5"/>
  <c r="BO59" i="5"/>
  <c r="BL59" i="5"/>
  <c r="DD58" i="5"/>
  <c r="BZ58" i="5"/>
  <c r="BW58" i="5"/>
  <c r="BO58" i="5"/>
  <c r="BL58" i="5"/>
  <c r="DD57" i="5"/>
  <c r="BZ57" i="5"/>
  <c r="BW57" i="5"/>
  <c r="BO57" i="5"/>
  <c r="BL57" i="5"/>
  <c r="DD56" i="5"/>
  <c r="BZ56" i="5"/>
  <c r="BW56" i="5"/>
  <c r="BO56" i="5"/>
  <c r="BL56" i="5"/>
  <c r="DD55" i="5"/>
  <c r="BZ55" i="5"/>
  <c r="BW55" i="5"/>
  <c r="BO55" i="5"/>
  <c r="BL55" i="5"/>
  <c r="DD54" i="5"/>
  <c r="BZ54" i="5"/>
  <c r="BW54" i="5"/>
  <c r="BO54" i="5"/>
  <c r="BL54" i="5"/>
  <c r="DD53" i="5"/>
  <c r="BZ53" i="5"/>
  <c r="BW53" i="5"/>
  <c r="BO53" i="5"/>
  <c r="BL53" i="5"/>
  <c r="DD52" i="5"/>
  <c r="BZ52" i="5"/>
  <c r="BW52" i="5"/>
  <c r="BO52" i="5"/>
  <c r="BL52" i="5"/>
  <c r="DD51" i="5"/>
  <c r="BZ51" i="5"/>
  <c r="BW51" i="5"/>
  <c r="BO51" i="5"/>
  <c r="BL51" i="5"/>
  <c r="DD50" i="5"/>
  <c r="BZ50" i="5"/>
  <c r="BW50" i="5"/>
  <c r="BO50" i="5"/>
  <c r="BL50" i="5"/>
  <c r="DD49" i="5"/>
  <c r="BZ49" i="5"/>
  <c r="BW49" i="5"/>
  <c r="BO49" i="5"/>
  <c r="BL49" i="5"/>
  <c r="DD48" i="5"/>
  <c r="BZ48" i="5"/>
  <c r="BW48" i="5"/>
  <c r="BO48" i="5"/>
  <c r="BL48" i="5"/>
  <c r="DD47" i="5"/>
  <c r="BZ47" i="5"/>
  <c r="BW47" i="5"/>
  <c r="BO47" i="5"/>
  <c r="BL47" i="5"/>
  <c r="DD46" i="5"/>
  <c r="BZ46" i="5"/>
  <c r="BW46" i="5"/>
  <c r="BO46" i="5"/>
  <c r="BL46" i="5"/>
  <c r="DD45" i="5"/>
  <c r="BZ45" i="5"/>
  <c r="BW45" i="5"/>
  <c r="BO45" i="5"/>
  <c r="BL45" i="5"/>
  <c r="DD44" i="5"/>
  <c r="BZ44" i="5"/>
  <c r="BW44" i="5"/>
  <c r="BO44" i="5"/>
  <c r="BL44" i="5"/>
  <c r="DD43" i="5"/>
  <c r="BZ43" i="5"/>
  <c r="BW43" i="5"/>
  <c r="BO43" i="5"/>
  <c r="BL43" i="5"/>
  <c r="DD42" i="5"/>
  <c r="BZ42" i="5"/>
  <c r="BW42" i="5"/>
  <c r="BO42" i="5"/>
  <c r="BL42" i="5"/>
  <c r="DD41" i="5"/>
  <c r="BZ41" i="5"/>
  <c r="BW41" i="5"/>
  <c r="BO41" i="5"/>
  <c r="BL41" i="5"/>
  <c r="DD40" i="5"/>
  <c r="BZ40" i="5"/>
  <c r="BW40" i="5"/>
  <c r="BO40" i="5"/>
  <c r="BL40" i="5"/>
  <c r="DD39" i="5"/>
  <c r="BZ39" i="5"/>
  <c r="BW39" i="5"/>
  <c r="BO39" i="5"/>
  <c r="BL39" i="5"/>
  <c r="DD38" i="5"/>
  <c r="BZ38" i="5"/>
  <c r="BW38" i="5"/>
  <c r="BO38" i="5"/>
  <c r="BL38" i="5"/>
  <c r="DD37" i="5"/>
  <c r="BZ37" i="5"/>
  <c r="BW37" i="5"/>
  <c r="BO37" i="5"/>
  <c r="BL37" i="5"/>
  <c r="DD36" i="5"/>
  <c r="BZ36" i="5"/>
  <c r="BW36" i="5"/>
  <c r="BO36" i="5"/>
  <c r="BL36" i="5"/>
  <c r="DD35" i="5"/>
  <c r="BZ35" i="5"/>
  <c r="BW35" i="5"/>
  <c r="BO35" i="5"/>
  <c r="BL35" i="5"/>
  <c r="DD34" i="5"/>
  <c r="BZ34" i="5"/>
  <c r="BW34" i="5"/>
  <c r="BO34" i="5"/>
  <c r="BL34" i="5"/>
  <c r="DD33" i="5"/>
  <c r="BZ33" i="5"/>
  <c r="BW33" i="5"/>
  <c r="BO33" i="5"/>
  <c r="BL33" i="5"/>
  <c r="DD32" i="5"/>
  <c r="BZ32" i="5"/>
  <c r="BW32" i="5"/>
  <c r="BO32" i="5"/>
  <c r="BL32" i="5"/>
  <c r="DD31" i="5"/>
  <c r="BZ31" i="5"/>
  <c r="BW31" i="5"/>
  <c r="BO31" i="5"/>
  <c r="BL31" i="5"/>
  <c r="DD30" i="5"/>
  <c r="BZ30" i="5"/>
  <c r="BW30" i="5"/>
  <c r="BO30" i="5"/>
  <c r="BL30" i="5"/>
  <c r="DD29" i="5"/>
  <c r="BZ29" i="5"/>
  <c r="BW29" i="5"/>
  <c r="BO29" i="5"/>
  <c r="BL29" i="5"/>
  <c r="DD28" i="5"/>
  <c r="BZ28" i="5"/>
  <c r="BW28" i="5"/>
  <c r="BO28" i="5"/>
  <c r="BL28" i="5"/>
  <c r="DD27" i="5"/>
  <c r="BZ27" i="5"/>
  <c r="BW27" i="5"/>
  <c r="BO27" i="5"/>
  <c r="BL27" i="5"/>
  <c r="DD26" i="5"/>
  <c r="BZ26" i="5"/>
  <c r="BW26" i="5"/>
  <c r="BO26" i="5"/>
  <c r="BL26" i="5"/>
  <c r="DD25" i="5"/>
  <c r="BZ25" i="5"/>
  <c r="BW25" i="5"/>
  <c r="BO25" i="5"/>
  <c r="BL25" i="5"/>
  <c r="DD24" i="5"/>
  <c r="BZ24" i="5"/>
  <c r="BW24" i="5"/>
  <c r="BO24" i="5"/>
  <c r="BL24" i="5"/>
  <c r="DD23" i="5"/>
  <c r="BZ23" i="5"/>
  <c r="BW23" i="5"/>
  <c r="BO23" i="5"/>
  <c r="BL23" i="5"/>
  <c r="DD22" i="5"/>
  <c r="BZ22" i="5"/>
  <c r="BW22" i="5"/>
  <c r="BO22" i="5"/>
  <c r="BL22" i="5"/>
  <c r="DD21" i="5"/>
  <c r="BZ21" i="5"/>
  <c r="BW21" i="5"/>
  <c r="BO21" i="5"/>
  <c r="BL21" i="5"/>
  <c r="DD20" i="5"/>
  <c r="BZ20" i="5"/>
  <c r="BW20" i="5"/>
  <c r="BO20" i="5"/>
  <c r="BL20" i="5"/>
  <c r="DD19" i="5"/>
  <c r="BZ19" i="5"/>
  <c r="BW19" i="5"/>
  <c r="BO19" i="5"/>
  <c r="BL19" i="5"/>
  <c r="DD18" i="5"/>
  <c r="BZ18" i="5"/>
  <c r="BW18" i="5"/>
  <c r="BO18" i="5"/>
  <c r="BL18" i="5"/>
  <c r="DD17" i="5"/>
  <c r="BZ17" i="5"/>
  <c r="BW17" i="5"/>
  <c r="BO17" i="5"/>
  <c r="BL17" i="5"/>
  <c r="DD16" i="5"/>
  <c r="BZ16" i="5"/>
  <c r="BW16" i="5"/>
  <c r="BO16" i="5"/>
  <c r="BL16" i="5"/>
  <c r="DD15" i="5"/>
  <c r="BZ15" i="5"/>
  <c r="BW15" i="5"/>
  <c r="BO15" i="5"/>
  <c r="BL15" i="5"/>
  <c r="DD14" i="5"/>
  <c r="BZ14" i="5"/>
  <c r="BW14" i="5"/>
  <c r="BO14" i="5"/>
  <c r="BL14" i="5"/>
  <c r="DD13" i="5"/>
  <c r="BZ13" i="5"/>
  <c r="BW13" i="5"/>
  <c r="BO13" i="5"/>
  <c r="BL13" i="5"/>
  <c r="DD12" i="5"/>
  <c r="BZ12" i="5"/>
  <c r="BW12" i="5"/>
  <c r="BO12" i="5"/>
  <c r="BL12" i="5"/>
  <c r="DD11" i="5"/>
  <c r="BZ11" i="5"/>
  <c r="BW11" i="5"/>
  <c r="BO11" i="5"/>
  <c r="BL11" i="5"/>
  <c r="DD10" i="5"/>
  <c r="BZ10" i="5"/>
  <c r="BW10" i="5"/>
  <c r="BO10" i="5"/>
  <c r="BL10" i="5"/>
  <c r="DD9" i="5"/>
  <c r="BZ9" i="5"/>
  <c r="BW9" i="5"/>
  <c r="BO9" i="5"/>
  <c r="BL9" i="5"/>
  <c r="DD8" i="5"/>
  <c r="BZ8" i="5"/>
  <c r="BW8" i="5"/>
  <c r="BO8" i="5"/>
  <c r="BL8" i="5"/>
  <c r="DD7" i="5"/>
  <c r="BZ7" i="5"/>
  <c r="BW7" i="5"/>
  <c r="BO7" i="5"/>
  <c r="BL7" i="5"/>
  <c r="DD6" i="5"/>
  <c r="BZ6" i="5"/>
  <c r="BW6" i="5"/>
  <c r="BO6" i="5"/>
  <c r="BL6" i="5"/>
  <c r="DD5" i="5"/>
  <c r="BZ5" i="5"/>
  <c r="BW5" i="5"/>
  <c r="BO5" i="5"/>
  <c r="BL5" i="5"/>
  <c r="DD4" i="5"/>
  <c r="BZ4" i="5"/>
  <c r="BW4" i="5"/>
  <c r="BO4" i="5"/>
  <c r="BL4" i="5"/>
  <c r="DD3" i="5"/>
  <c r="BZ3" i="5"/>
  <c r="BW3" i="5"/>
  <c r="BO3" i="5"/>
  <c r="BL3" i="5"/>
  <c r="DD2" i="5"/>
  <c r="BZ2" i="5"/>
  <c r="BW2" i="5"/>
  <c r="BO2" i="5"/>
  <c r="BL2" i="5"/>
  <c r="B21770" i="2"/>
  <c r="B21769" i="2"/>
  <c r="B21768" i="2"/>
  <c r="B21767" i="2"/>
  <c r="B21766" i="2"/>
  <c r="B21765" i="2"/>
  <c r="B21764" i="2"/>
  <c r="B21763" i="2"/>
  <c r="B21762" i="2"/>
  <c r="B21761" i="2"/>
  <c r="B21760" i="2"/>
  <c r="B21759" i="2"/>
  <c r="B21758" i="2"/>
  <c r="B21757" i="2"/>
  <c r="B21756" i="2"/>
  <c r="B21755" i="2"/>
  <c r="B21754" i="2"/>
  <c r="B21753" i="2"/>
  <c r="B21752" i="2"/>
  <c r="B21751" i="2"/>
  <c r="B21750" i="2"/>
  <c r="B21749" i="2"/>
  <c r="B21748" i="2"/>
  <c r="B21747" i="2"/>
  <c r="B21746" i="2"/>
  <c r="B21745" i="2"/>
  <c r="B21744" i="2"/>
  <c r="B21743" i="2"/>
  <c r="B21742" i="2"/>
  <c r="B21741" i="2"/>
  <c r="B21740" i="2"/>
  <c r="B21739" i="2"/>
  <c r="B21738" i="2"/>
  <c r="B21737" i="2"/>
  <c r="B21736" i="2"/>
  <c r="B21735" i="2"/>
  <c r="B21734" i="2"/>
  <c r="B21733" i="2"/>
  <c r="B21732" i="2"/>
  <c r="B21731" i="2"/>
  <c r="B21730" i="2"/>
  <c r="B21729" i="2"/>
  <c r="B21728" i="2"/>
  <c r="B21727" i="2"/>
  <c r="B21726" i="2"/>
  <c r="B21725" i="2"/>
  <c r="B21724" i="2"/>
  <c r="B21723" i="2"/>
  <c r="B21722" i="2"/>
  <c r="B21721" i="2"/>
  <c r="B21720" i="2"/>
  <c r="B21719" i="2"/>
  <c r="B21718" i="2"/>
  <c r="B21717" i="2"/>
  <c r="B21716" i="2"/>
  <c r="B21715" i="2"/>
  <c r="B21714" i="2"/>
  <c r="B21713" i="2"/>
  <c r="B21712" i="2"/>
  <c r="B21711" i="2"/>
  <c r="B21710" i="2"/>
  <c r="B21709" i="2"/>
  <c r="B21708" i="2"/>
  <c r="B21707" i="2"/>
  <c r="B21706" i="2"/>
  <c r="B21705" i="2"/>
  <c r="B21704" i="2"/>
  <c r="B21703" i="2"/>
  <c r="B21702" i="2"/>
  <c r="B21701" i="2"/>
  <c r="B21700" i="2"/>
  <c r="B21699" i="2"/>
  <c r="B21698" i="2"/>
  <c r="B21697" i="2"/>
  <c r="B21696" i="2"/>
  <c r="B21695" i="2"/>
  <c r="B21694" i="2"/>
  <c r="B21693" i="2"/>
  <c r="B21692" i="2"/>
  <c r="B21691" i="2"/>
  <c r="B21690" i="2"/>
  <c r="B21689" i="2"/>
  <c r="B21688" i="2"/>
  <c r="B21687" i="2"/>
  <c r="B21686" i="2"/>
  <c r="B21685" i="2"/>
  <c r="B21684" i="2"/>
  <c r="B21683" i="2"/>
  <c r="B21682" i="2"/>
  <c r="B21681" i="2"/>
  <c r="B21680" i="2"/>
  <c r="B21679" i="2"/>
  <c r="B21678" i="2"/>
  <c r="B21677" i="2"/>
  <c r="B21676" i="2"/>
  <c r="B21675" i="2"/>
  <c r="B21674" i="2"/>
  <c r="B21673" i="2"/>
  <c r="B21672" i="2"/>
  <c r="B21671" i="2"/>
  <c r="B21670" i="2"/>
  <c r="B21669" i="2"/>
  <c r="B21668" i="2"/>
  <c r="B21667" i="2"/>
  <c r="B21666" i="2"/>
  <c r="B21665" i="2"/>
  <c r="B21664" i="2"/>
  <c r="B21663" i="2"/>
  <c r="B21662" i="2"/>
  <c r="B21661" i="2"/>
  <c r="B21660" i="2"/>
  <c r="B21659" i="2"/>
  <c r="B21658" i="2"/>
  <c r="B21657" i="2"/>
  <c r="B21656" i="2"/>
  <c r="B21655" i="2"/>
  <c r="B21654" i="2"/>
  <c r="B21653" i="2"/>
  <c r="B21652" i="2"/>
  <c r="B21651" i="2"/>
  <c r="B21650" i="2"/>
  <c r="B21649" i="2"/>
  <c r="B21648" i="2"/>
  <c r="B21647" i="2"/>
  <c r="B21646" i="2"/>
  <c r="B21645" i="2"/>
  <c r="B21644" i="2"/>
  <c r="B21643" i="2"/>
  <c r="B21642" i="2"/>
  <c r="B21641" i="2"/>
  <c r="B21640" i="2"/>
  <c r="B21639" i="2"/>
  <c r="B21638" i="2"/>
  <c r="B21637" i="2"/>
  <c r="B21636" i="2"/>
  <c r="B21635" i="2"/>
  <c r="B21634" i="2"/>
  <c r="B21633" i="2"/>
  <c r="B21632" i="2"/>
  <c r="B21631" i="2"/>
  <c r="B21630" i="2"/>
  <c r="B21629" i="2"/>
  <c r="B21628" i="2"/>
  <c r="B21627" i="2"/>
  <c r="B21626" i="2"/>
  <c r="B21625" i="2"/>
  <c r="B21624" i="2"/>
  <c r="B21623" i="2"/>
  <c r="B21622" i="2"/>
  <c r="B21621" i="2"/>
  <c r="B21620" i="2"/>
  <c r="B21619" i="2"/>
  <c r="B21618" i="2"/>
  <c r="B21617" i="2"/>
  <c r="B21616" i="2"/>
  <c r="B21615" i="2"/>
  <c r="B21614" i="2"/>
  <c r="B21613" i="2"/>
  <c r="B21612" i="2"/>
  <c r="B21611" i="2"/>
  <c r="B21610" i="2"/>
  <c r="B21609" i="2"/>
  <c r="B21608" i="2"/>
  <c r="B21607" i="2"/>
  <c r="B21606" i="2"/>
  <c r="B21605" i="2"/>
  <c r="B21604" i="2"/>
  <c r="B21603" i="2"/>
  <c r="B21602" i="2"/>
  <c r="B21601" i="2"/>
  <c r="B21600" i="2"/>
  <c r="B21599" i="2"/>
  <c r="B21598" i="2"/>
  <c r="B21597" i="2"/>
  <c r="B21596" i="2"/>
  <c r="B21595" i="2"/>
  <c r="B21594" i="2"/>
  <c r="B21593" i="2"/>
  <c r="B21592" i="2"/>
  <c r="B21591" i="2"/>
  <c r="B21590" i="2"/>
  <c r="B21589" i="2"/>
  <c r="B21588" i="2"/>
  <c r="B21587" i="2"/>
  <c r="B21586" i="2"/>
  <c r="B21585" i="2"/>
  <c r="B21584" i="2"/>
  <c r="B21583" i="2"/>
  <c r="B21582" i="2"/>
  <c r="B21581" i="2"/>
  <c r="B21580" i="2"/>
  <c r="B21579" i="2"/>
  <c r="B21578" i="2"/>
  <c r="B21577" i="2"/>
  <c r="B21576" i="2"/>
  <c r="B21575" i="2"/>
  <c r="B21574" i="2"/>
  <c r="B21573" i="2"/>
  <c r="B21572" i="2"/>
  <c r="B21571" i="2"/>
  <c r="B21570" i="2"/>
  <c r="B21569" i="2"/>
  <c r="B21568" i="2"/>
  <c r="B21567" i="2"/>
  <c r="B21566" i="2"/>
  <c r="B21565" i="2"/>
  <c r="B21564" i="2"/>
  <c r="B21563" i="2"/>
  <c r="B21562" i="2"/>
  <c r="B21561" i="2"/>
  <c r="B21560" i="2"/>
  <c r="B21559" i="2"/>
  <c r="B21558" i="2"/>
  <c r="B21557" i="2"/>
  <c r="B21556" i="2"/>
  <c r="B21555" i="2"/>
  <c r="B21554" i="2"/>
  <c r="B21553" i="2"/>
  <c r="B21552" i="2"/>
  <c r="B21551" i="2"/>
  <c r="B21550" i="2"/>
  <c r="B21549" i="2"/>
  <c r="B21548" i="2"/>
  <c r="B21547" i="2"/>
  <c r="B21546" i="2"/>
  <c r="B21545" i="2"/>
  <c r="B21544" i="2"/>
  <c r="B21543" i="2"/>
  <c r="B21542" i="2"/>
  <c r="B21541" i="2"/>
  <c r="B21540" i="2"/>
  <c r="B21539" i="2"/>
  <c r="B21538" i="2"/>
  <c r="B21537" i="2"/>
  <c r="B21536" i="2"/>
  <c r="B21535" i="2"/>
  <c r="B21534" i="2"/>
  <c r="B21533" i="2"/>
  <c r="B21532" i="2"/>
  <c r="B21531" i="2"/>
  <c r="B21530" i="2"/>
  <c r="B21529" i="2"/>
  <c r="B21528" i="2"/>
  <c r="B21527" i="2"/>
  <c r="B21526" i="2"/>
  <c r="B21525" i="2"/>
  <c r="B21524" i="2"/>
  <c r="B21523" i="2"/>
  <c r="B21522" i="2"/>
  <c r="B21521" i="2"/>
  <c r="B21520" i="2"/>
  <c r="B21519" i="2"/>
  <c r="B21518" i="2"/>
  <c r="B21517" i="2"/>
  <c r="B21516" i="2"/>
  <c r="B21515" i="2"/>
  <c r="B21514" i="2"/>
  <c r="B21513" i="2"/>
  <c r="B21512" i="2"/>
  <c r="B21511" i="2"/>
  <c r="B21510" i="2"/>
  <c r="B21509" i="2"/>
  <c r="B21508" i="2"/>
  <c r="B21507" i="2"/>
  <c r="B21506" i="2"/>
  <c r="B21505" i="2"/>
  <c r="B21504" i="2"/>
  <c r="B21503" i="2"/>
  <c r="B21502" i="2"/>
  <c r="B21501" i="2"/>
  <c r="B21500" i="2"/>
  <c r="B21499" i="2"/>
  <c r="B21498" i="2"/>
  <c r="B21497" i="2"/>
  <c r="B21496" i="2"/>
  <c r="B21495" i="2"/>
  <c r="B21494" i="2"/>
  <c r="B21493" i="2"/>
  <c r="B21492" i="2"/>
  <c r="B21491" i="2"/>
  <c r="B21490" i="2"/>
  <c r="B21489" i="2"/>
  <c r="B21488" i="2"/>
  <c r="B21487" i="2"/>
  <c r="B21486" i="2"/>
  <c r="B21485" i="2"/>
  <c r="B21484" i="2"/>
  <c r="B21483" i="2"/>
  <c r="B21482" i="2"/>
  <c r="B21481" i="2"/>
  <c r="B21480" i="2"/>
  <c r="B21479" i="2"/>
  <c r="B21478" i="2"/>
  <c r="B21477" i="2"/>
  <c r="B21476" i="2"/>
  <c r="B21475" i="2"/>
  <c r="B21474" i="2"/>
  <c r="B21473" i="2"/>
  <c r="B21472" i="2"/>
  <c r="B21471" i="2"/>
  <c r="B21470" i="2"/>
  <c r="B21469" i="2"/>
  <c r="B21468" i="2"/>
  <c r="B21467" i="2"/>
  <c r="B21466" i="2"/>
  <c r="B21465" i="2"/>
  <c r="B21464" i="2"/>
  <c r="B21463" i="2"/>
  <c r="B21462" i="2"/>
  <c r="B21461" i="2"/>
  <c r="B21460" i="2"/>
  <c r="B21459" i="2"/>
  <c r="B21458" i="2"/>
  <c r="B21457" i="2"/>
  <c r="B21456" i="2"/>
  <c r="B21455" i="2"/>
  <c r="B21454" i="2"/>
  <c r="B21453" i="2"/>
  <c r="B21452" i="2"/>
  <c r="B21451" i="2"/>
  <c r="B21450" i="2"/>
  <c r="B21449" i="2"/>
  <c r="B21448" i="2"/>
  <c r="B21447" i="2"/>
  <c r="B21446" i="2"/>
  <c r="B21445" i="2"/>
  <c r="B21444" i="2"/>
  <c r="B21443" i="2"/>
  <c r="B21442" i="2"/>
  <c r="B21441" i="2"/>
  <c r="B21440" i="2"/>
  <c r="B21439" i="2"/>
  <c r="B21438" i="2"/>
  <c r="B21437" i="2"/>
  <c r="B21436" i="2"/>
  <c r="B21435" i="2"/>
  <c r="B21434" i="2"/>
  <c r="B21433" i="2"/>
  <c r="B21432" i="2"/>
  <c r="B21431" i="2"/>
  <c r="B21430" i="2"/>
  <c r="B21429" i="2"/>
  <c r="B21428" i="2"/>
  <c r="B21427" i="2"/>
  <c r="B21426" i="2"/>
  <c r="B21425" i="2"/>
  <c r="B21424" i="2"/>
  <c r="B21423" i="2"/>
  <c r="B21422" i="2"/>
  <c r="B21421" i="2"/>
  <c r="B21420" i="2"/>
  <c r="B21419" i="2"/>
  <c r="B21418" i="2"/>
  <c r="B21417" i="2"/>
  <c r="B21416" i="2"/>
  <c r="B21415" i="2"/>
  <c r="B21414" i="2"/>
  <c r="B21413" i="2"/>
  <c r="B21412" i="2"/>
  <c r="B21411" i="2"/>
  <c r="B21410" i="2"/>
  <c r="B21409" i="2"/>
  <c r="B21408" i="2"/>
  <c r="B21407" i="2"/>
  <c r="B21406" i="2"/>
  <c r="B21405" i="2"/>
  <c r="B21404" i="2"/>
  <c r="B21403" i="2"/>
  <c r="B21402" i="2"/>
  <c r="B21401" i="2"/>
  <c r="B21400" i="2"/>
  <c r="B21399" i="2"/>
  <c r="B21398" i="2"/>
  <c r="B21397" i="2"/>
  <c r="B21396" i="2"/>
  <c r="B21395" i="2"/>
  <c r="B21394" i="2"/>
  <c r="B21393" i="2"/>
  <c r="B21392" i="2"/>
  <c r="B21391" i="2"/>
  <c r="B21390" i="2"/>
  <c r="B21389" i="2"/>
  <c r="B21388" i="2"/>
  <c r="B21387" i="2"/>
  <c r="B21386" i="2"/>
  <c r="B21385" i="2"/>
  <c r="B21384" i="2"/>
  <c r="B21383" i="2"/>
  <c r="B21382" i="2"/>
  <c r="B21381" i="2"/>
  <c r="B21380" i="2"/>
  <c r="B21379" i="2"/>
  <c r="B21378" i="2"/>
  <c r="B21377" i="2"/>
  <c r="B21376" i="2"/>
  <c r="B21375" i="2"/>
  <c r="B21374" i="2"/>
  <c r="B21373" i="2"/>
  <c r="B21372" i="2"/>
  <c r="B21371" i="2"/>
  <c r="B21370" i="2"/>
  <c r="B21369" i="2"/>
  <c r="B21368" i="2"/>
  <c r="B21367" i="2"/>
  <c r="B21366" i="2"/>
  <c r="B21365" i="2"/>
  <c r="B21364" i="2"/>
  <c r="B21363" i="2"/>
  <c r="B21362" i="2"/>
  <c r="B21361" i="2"/>
  <c r="B21360" i="2"/>
  <c r="B21359" i="2"/>
  <c r="B21358" i="2"/>
  <c r="B21357" i="2"/>
  <c r="B21356" i="2"/>
  <c r="B21355" i="2"/>
  <c r="B21354" i="2"/>
  <c r="B21353" i="2"/>
  <c r="B21352" i="2"/>
  <c r="B21351" i="2"/>
  <c r="B21350" i="2"/>
  <c r="B21349" i="2"/>
  <c r="B21348" i="2"/>
  <c r="B21347" i="2"/>
  <c r="B21346" i="2"/>
  <c r="B21345" i="2"/>
  <c r="B21344" i="2"/>
  <c r="B21343" i="2"/>
  <c r="B21342" i="2"/>
  <c r="B21341" i="2"/>
  <c r="B21340" i="2"/>
  <c r="B21339" i="2"/>
  <c r="B21338" i="2"/>
  <c r="B21337" i="2"/>
  <c r="B21336" i="2"/>
  <c r="B21335" i="2"/>
  <c r="B21334" i="2"/>
  <c r="B21333" i="2"/>
  <c r="B21332" i="2"/>
  <c r="B21331" i="2"/>
  <c r="B21330" i="2"/>
  <c r="B21329" i="2"/>
  <c r="B21328" i="2"/>
  <c r="B21327" i="2"/>
  <c r="B21326" i="2"/>
  <c r="B21325" i="2"/>
  <c r="B21324" i="2"/>
  <c r="B21323" i="2"/>
  <c r="B21322" i="2"/>
  <c r="B21321" i="2"/>
  <c r="B21320" i="2"/>
  <c r="B21319" i="2"/>
  <c r="B21318" i="2"/>
  <c r="B21317" i="2"/>
  <c r="B21316" i="2"/>
  <c r="B21315" i="2"/>
  <c r="B21314" i="2"/>
  <c r="B21313" i="2"/>
  <c r="B21312" i="2"/>
  <c r="B21311" i="2"/>
  <c r="B21310" i="2"/>
  <c r="B21309" i="2"/>
  <c r="B21308" i="2"/>
  <c r="B21307" i="2"/>
  <c r="B21306" i="2"/>
  <c r="B21305" i="2"/>
  <c r="B21304" i="2"/>
  <c r="B21303" i="2"/>
  <c r="B21302" i="2"/>
  <c r="B21301" i="2"/>
  <c r="B21300" i="2"/>
  <c r="B21299" i="2"/>
  <c r="B21298" i="2"/>
  <c r="B21297" i="2"/>
  <c r="B21296" i="2"/>
  <c r="B21295" i="2"/>
  <c r="B21294" i="2"/>
  <c r="B21293" i="2"/>
  <c r="B21292" i="2"/>
  <c r="B21291" i="2"/>
  <c r="B21290" i="2"/>
  <c r="B21289" i="2"/>
  <c r="B21288" i="2"/>
  <c r="B21287" i="2"/>
  <c r="B21286" i="2"/>
  <c r="B21285" i="2"/>
  <c r="B21284" i="2"/>
  <c r="B21283" i="2"/>
  <c r="B21282" i="2"/>
  <c r="B21281" i="2"/>
  <c r="B21280" i="2"/>
  <c r="B21279" i="2"/>
  <c r="B21278" i="2"/>
  <c r="B21277" i="2"/>
  <c r="B21276" i="2"/>
  <c r="B21275" i="2"/>
  <c r="B21274" i="2"/>
  <c r="B21273" i="2"/>
  <c r="B21272" i="2"/>
  <c r="B21271" i="2"/>
  <c r="B21270" i="2"/>
  <c r="B21269" i="2"/>
  <c r="B21268" i="2"/>
  <c r="B21267" i="2"/>
  <c r="B21266" i="2"/>
  <c r="B21265" i="2"/>
  <c r="B21264" i="2"/>
  <c r="B21263" i="2"/>
  <c r="B21262" i="2"/>
  <c r="B21261" i="2"/>
  <c r="B21260" i="2"/>
  <c r="B21259" i="2"/>
  <c r="B21258" i="2"/>
  <c r="B21257" i="2"/>
  <c r="B21256" i="2"/>
  <c r="B21255" i="2"/>
  <c r="B21254" i="2"/>
  <c r="B21253" i="2"/>
  <c r="B21252" i="2"/>
  <c r="B21251" i="2"/>
  <c r="B21250" i="2"/>
  <c r="B21249" i="2"/>
  <c r="B21248" i="2"/>
  <c r="B21247" i="2"/>
  <c r="B21246" i="2"/>
  <c r="B21245" i="2"/>
  <c r="B21244" i="2"/>
  <c r="B21243" i="2"/>
  <c r="B21242" i="2"/>
  <c r="B21241" i="2"/>
  <c r="B21240" i="2"/>
  <c r="B21239" i="2"/>
  <c r="B21238" i="2"/>
  <c r="B21237" i="2"/>
  <c r="B21236" i="2"/>
  <c r="B21235" i="2"/>
  <c r="B21234" i="2"/>
  <c r="B21233" i="2"/>
  <c r="B21232" i="2"/>
  <c r="B21231" i="2"/>
  <c r="B21230" i="2"/>
  <c r="B21229" i="2"/>
  <c r="B21228" i="2"/>
  <c r="B21227" i="2"/>
  <c r="B21226" i="2"/>
  <c r="B21225" i="2"/>
  <c r="B21224" i="2"/>
  <c r="B21223" i="2"/>
  <c r="B21222" i="2"/>
  <c r="B21221" i="2"/>
  <c r="B21220" i="2"/>
  <c r="B21219" i="2"/>
  <c r="B21218" i="2"/>
  <c r="B21217" i="2"/>
  <c r="B21216" i="2"/>
  <c r="B21215" i="2"/>
  <c r="B21214" i="2"/>
  <c r="B21213" i="2"/>
  <c r="B21212" i="2"/>
  <c r="B21211" i="2"/>
  <c r="B21210" i="2"/>
  <c r="B21209" i="2"/>
  <c r="B21208" i="2"/>
  <c r="B21207" i="2"/>
  <c r="B21206" i="2"/>
  <c r="B21205" i="2"/>
  <c r="B21204" i="2"/>
  <c r="B21203" i="2"/>
  <c r="B21202" i="2"/>
  <c r="B21201" i="2"/>
  <c r="B21200" i="2"/>
  <c r="B21199" i="2"/>
  <c r="B21198" i="2"/>
  <c r="B21197" i="2"/>
  <c r="B21196" i="2"/>
  <c r="B21195" i="2"/>
  <c r="B21194" i="2"/>
  <c r="B21193" i="2"/>
  <c r="B21192" i="2"/>
  <c r="B21191" i="2"/>
  <c r="B21190" i="2"/>
  <c r="B21189" i="2"/>
  <c r="B21188" i="2"/>
  <c r="B21187" i="2"/>
  <c r="B21186" i="2"/>
  <c r="B21185" i="2"/>
  <c r="B21184" i="2"/>
  <c r="B21183" i="2"/>
  <c r="B21182" i="2"/>
  <c r="B21181" i="2"/>
  <c r="B21180" i="2"/>
  <c r="B21179" i="2"/>
  <c r="B21178" i="2"/>
  <c r="B21177" i="2"/>
  <c r="B21176" i="2"/>
  <c r="B21175" i="2"/>
  <c r="B21174" i="2"/>
  <c r="B21173" i="2"/>
  <c r="B21172" i="2"/>
  <c r="B21171" i="2"/>
  <c r="B21170" i="2"/>
  <c r="B21169" i="2"/>
  <c r="B21168" i="2"/>
  <c r="B21167" i="2"/>
  <c r="B21166" i="2"/>
  <c r="B21165" i="2"/>
  <c r="B21164" i="2"/>
  <c r="B21163" i="2"/>
  <c r="B21162" i="2"/>
  <c r="B21161" i="2"/>
  <c r="B21160" i="2"/>
  <c r="B21159" i="2"/>
  <c r="B21158" i="2"/>
  <c r="B21157" i="2"/>
  <c r="B21156" i="2"/>
  <c r="B21155" i="2"/>
  <c r="B21154" i="2"/>
  <c r="B21153" i="2"/>
  <c r="B21152" i="2"/>
  <c r="B21151" i="2"/>
  <c r="B21150" i="2"/>
  <c r="B21149" i="2"/>
  <c r="B21148" i="2"/>
  <c r="B21147" i="2"/>
  <c r="B21146" i="2"/>
  <c r="B21145" i="2"/>
  <c r="B21144" i="2"/>
  <c r="B21143" i="2"/>
  <c r="B21142" i="2"/>
  <c r="B21141" i="2"/>
  <c r="B21140" i="2"/>
  <c r="B21139" i="2"/>
  <c r="B21138" i="2"/>
  <c r="B21137" i="2"/>
  <c r="B21136" i="2"/>
  <c r="B21135" i="2"/>
  <c r="B21134" i="2"/>
  <c r="B21133" i="2"/>
  <c r="B21132" i="2"/>
  <c r="B21131" i="2"/>
  <c r="B21130" i="2"/>
  <c r="B21129" i="2"/>
  <c r="B21128" i="2"/>
  <c r="B21127" i="2"/>
  <c r="B21126" i="2"/>
  <c r="B21125" i="2"/>
  <c r="B21124" i="2"/>
  <c r="B21123" i="2"/>
  <c r="B21122" i="2"/>
  <c r="B21121" i="2"/>
  <c r="B21120" i="2"/>
  <c r="B21119" i="2"/>
  <c r="B21118" i="2"/>
  <c r="B21117" i="2"/>
  <c r="B21116" i="2"/>
  <c r="B21115" i="2"/>
  <c r="B21114" i="2"/>
  <c r="B21113" i="2"/>
  <c r="B21112" i="2"/>
  <c r="B21111" i="2"/>
  <c r="B21110" i="2"/>
  <c r="B21109" i="2"/>
  <c r="B21108" i="2"/>
  <c r="B21107" i="2"/>
  <c r="B21106" i="2"/>
  <c r="B21105" i="2"/>
  <c r="B21104" i="2"/>
  <c r="B21103" i="2"/>
  <c r="B21102" i="2"/>
  <c r="B21101" i="2"/>
  <c r="B21100" i="2"/>
  <c r="B21099" i="2"/>
  <c r="B21098" i="2"/>
  <c r="B21097" i="2"/>
  <c r="B21096" i="2"/>
  <c r="B21095" i="2"/>
  <c r="B21094" i="2"/>
  <c r="B21093" i="2"/>
  <c r="B21092" i="2"/>
  <c r="B21091" i="2"/>
  <c r="B21090" i="2"/>
  <c r="B21089" i="2"/>
  <c r="B21088" i="2"/>
  <c r="B21087" i="2"/>
  <c r="B21086" i="2"/>
  <c r="B21085" i="2"/>
  <c r="B21084" i="2"/>
  <c r="B21083" i="2"/>
  <c r="B21082" i="2"/>
  <c r="B21081" i="2"/>
  <c r="B21080" i="2"/>
  <c r="B21079" i="2"/>
  <c r="B21078" i="2"/>
  <c r="B21077" i="2"/>
  <c r="B21076" i="2"/>
  <c r="B21075" i="2"/>
  <c r="B21074" i="2"/>
  <c r="B21073" i="2"/>
  <c r="B21072" i="2"/>
  <c r="B21071" i="2"/>
  <c r="B21070" i="2"/>
  <c r="B21069" i="2"/>
  <c r="B21068" i="2"/>
  <c r="B21067" i="2"/>
  <c r="B21066" i="2"/>
  <c r="B21065" i="2"/>
  <c r="B21064" i="2"/>
  <c r="B21063" i="2"/>
  <c r="B21062" i="2"/>
  <c r="B21061" i="2"/>
  <c r="B21060" i="2"/>
  <c r="B21059" i="2"/>
  <c r="B21058" i="2"/>
  <c r="B21057" i="2"/>
  <c r="B21056" i="2"/>
  <c r="B21055" i="2"/>
  <c r="B21054" i="2"/>
  <c r="B21053" i="2"/>
  <c r="B21052" i="2"/>
  <c r="B21051" i="2"/>
  <c r="B21050" i="2"/>
  <c r="B21049" i="2"/>
  <c r="B21048" i="2"/>
  <c r="B21047" i="2"/>
  <c r="B21046" i="2"/>
  <c r="B21045" i="2"/>
  <c r="B21044" i="2"/>
  <c r="B21043" i="2"/>
  <c r="B21042" i="2"/>
  <c r="B21041" i="2"/>
  <c r="B21040" i="2"/>
  <c r="B21039" i="2"/>
  <c r="B21038" i="2"/>
  <c r="B21037" i="2"/>
  <c r="B21036" i="2"/>
  <c r="B21035" i="2"/>
  <c r="B21034" i="2"/>
  <c r="B21033" i="2"/>
  <c r="B21032" i="2"/>
  <c r="B21031" i="2"/>
  <c r="B21030" i="2"/>
  <c r="B21029" i="2"/>
  <c r="B21028" i="2"/>
  <c r="B21027" i="2"/>
  <c r="B21026" i="2"/>
  <c r="B21025" i="2"/>
  <c r="B21024" i="2"/>
  <c r="B21023" i="2"/>
  <c r="B21022" i="2"/>
  <c r="B21021" i="2"/>
  <c r="B21020" i="2"/>
  <c r="B21019" i="2"/>
  <c r="B21018" i="2"/>
  <c r="B21017" i="2"/>
  <c r="B21016" i="2"/>
  <c r="B21015" i="2"/>
  <c r="B21014" i="2"/>
  <c r="B21013" i="2"/>
  <c r="B21012" i="2"/>
  <c r="B21011" i="2"/>
  <c r="B21010" i="2"/>
  <c r="B21009" i="2"/>
  <c r="B21008" i="2"/>
  <c r="B21007" i="2"/>
  <c r="B21006" i="2"/>
  <c r="B21005" i="2"/>
  <c r="B21004" i="2"/>
  <c r="B21003" i="2"/>
  <c r="B21002" i="2"/>
  <c r="B21001" i="2"/>
  <c r="B21000" i="2"/>
  <c r="B20999" i="2"/>
  <c r="B20998" i="2"/>
  <c r="B20997" i="2"/>
  <c r="B20996" i="2"/>
  <c r="B20995" i="2"/>
  <c r="B20994" i="2"/>
  <c r="B20993" i="2"/>
  <c r="B20992" i="2"/>
  <c r="B20991" i="2"/>
  <c r="B20990" i="2"/>
  <c r="B20989" i="2"/>
  <c r="B20988" i="2"/>
  <c r="B20987" i="2"/>
  <c r="B20986" i="2"/>
  <c r="B20985" i="2"/>
  <c r="B20984" i="2"/>
  <c r="B20983" i="2"/>
  <c r="B20982" i="2"/>
  <c r="B20981" i="2"/>
  <c r="B20980" i="2"/>
  <c r="B20979" i="2"/>
  <c r="B20978" i="2"/>
  <c r="B20977" i="2"/>
  <c r="B20976" i="2"/>
  <c r="B20975" i="2"/>
  <c r="B20974" i="2"/>
  <c r="B20973" i="2"/>
  <c r="B20972" i="2"/>
  <c r="B20971" i="2"/>
  <c r="B20970" i="2"/>
  <c r="B20969" i="2"/>
  <c r="B20968" i="2"/>
  <c r="B20967" i="2"/>
  <c r="B20966" i="2"/>
  <c r="B20965" i="2"/>
  <c r="B20964" i="2"/>
  <c r="B20963" i="2"/>
  <c r="B20962" i="2"/>
  <c r="B20961" i="2"/>
  <c r="B20960" i="2"/>
  <c r="B20959" i="2"/>
  <c r="B20958" i="2"/>
  <c r="B20957" i="2"/>
  <c r="B20956" i="2"/>
  <c r="B20955" i="2"/>
  <c r="B20954" i="2"/>
  <c r="B20953" i="2"/>
  <c r="B20952" i="2"/>
  <c r="B20951" i="2"/>
  <c r="B20950" i="2"/>
  <c r="B20949" i="2"/>
  <c r="B20948" i="2"/>
  <c r="B20947" i="2"/>
  <c r="B20946" i="2"/>
  <c r="B20945" i="2"/>
  <c r="B20944" i="2"/>
  <c r="B20943" i="2"/>
  <c r="B20942" i="2"/>
  <c r="B20941" i="2"/>
  <c r="B20940" i="2"/>
  <c r="B20939" i="2"/>
  <c r="B20938" i="2"/>
  <c r="B20937" i="2"/>
  <c r="B20936" i="2"/>
  <c r="B20935" i="2"/>
  <c r="B20934" i="2"/>
  <c r="B20933" i="2"/>
  <c r="B20932" i="2"/>
  <c r="B20931" i="2"/>
  <c r="B20930" i="2"/>
  <c r="B20929" i="2"/>
  <c r="B20928" i="2"/>
  <c r="B20927" i="2"/>
  <c r="B20926" i="2"/>
  <c r="B20925" i="2"/>
  <c r="B20924" i="2"/>
  <c r="B20923" i="2"/>
  <c r="B20922" i="2"/>
  <c r="B20921" i="2"/>
  <c r="B20920" i="2"/>
  <c r="B20919" i="2"/>
  <c r="B20918" i="2"/>
  <c r="B20917" i="2"/>
  <c r="B20916" i="2"/>
  <c r="B20915" i="2"/>
  <c r="B20914" i="2"/>
  <c r="B20913" i="2"/>
  <c r="B20912" i="2"/>
  <c r="B20911" i="2"/>
  <c r="B20910" i="2"/>
  <c r="B20909" i="2"/>
  <c r="B20908" i="2"/>
  <c r="B20907" i="2"/>
  <c r="B20906" i="2"/>
  <c r="B20905" i="2"/>
  <c r="B20904" i="2"/>
  <c r="B20903" i="2"/>
  <c r="B20902" i="2"/>
  <c r="B20901" i="2"/>
  <c r="B20900" i="2"/>
  <c r="B20899" i="2"/>
  <c r="B20898" i="2"/>
  <c r="B20897" i="2"/>
  <c r="B20896" i="2"/>
  <c r="B20895" i="2"/>
  <c r="B20894" i="2"/>
  <c r="B20893" i="2"/>
  <c r="B20892" i="2"/>
  <c r="B20891" i="2"/>
  <c r="B20890" i="2"/>
  <c r="B20889" i="2"/>
  <c r="B20888" i="2"/>
  <c r="B20887" i="2"/>
  <c r="B20886" i="2"/>
  <c r="B20885" i="2"/>
  <c r="B20884" i="2"/>
  <c r="B20883" i="2"/>
  <c r="B20882" i="2"/>
  <c r="B20881" i="2"/>
  <c r="B20880" i="2"/>
  <c r="B20879" i="2"/>
  <c r="B20878" i="2"/>
  <c r="B20877" i="2"/>
  <c r="B20876" i="2"/>
  <c r="B20875" i="2"/>
  <c r="B20874" i="2"/>
  <c r="B20873" i="2"/>
  <c r="B20872" i="2"/>
  <c r="B20871" i="2"/>
  <c r="B20870" i="2"/>
  <c r="B20869" i="2"/>
  <c r="B20868" i="2"/>
  <c r="B20867" i="2"/>
  <c r="B20866" i="2"/>
  <c r="B20865" i="2"/>
  <c r="B20864" i="2"/>
  <c r="B20863" i="2"/>
  <c r="B20862" i="2"/>
  <c r="B20861" i="2"/>
  <c r="B20860" i="2"/>
  <c r="B20859" i="2"/>
  <c r="B20858" i="2"/>
  <c r="B20857" i="2"/>
  <c r="B20856" i="2"/>
  <c r="B20855" i="2"/>
  <c r="B20854" i="2"/>
  <c r="B20853" i="2"/>
  <c r="B20852" i="2"/>
  <c r="B20851" i="2"/>
  <c r="B20850" i="2"/>
  <c r="B20849" i="2"/>
  <c r="B20848" i="2"/>
  <c r="B20847" i="2"/>
  <c r="B20846" i="2"/>
  <c r="B20845" i="2"/>
  <c r="B20844" i="2"/>
  <c r="B20843" i="2"/>
  <c r="B20842" i="2"/>
  <c r="B20841" i="2"/>
  <c r="B20840" i="2"/>
  <c r="B20839" i="2"/>
  <c r="B20838" i="2"/>
  <c r="B20837" i="2"/>
  <c r="B20836" i="2"/>
  <c r="B20835" i="2"/>
  <c r="B20834" i="2"/>
  <c r="B20833" i="2"/>
  <c r="B20832" i="2"/>
  <c r="B20831" i="2"/>
  <c r="B20830" i="2"/>
  <c r="B20829" i="2"/>
  <c r="B20828" i="2"/>
  <c r="B20827" i="2"/>
  <c r="B20826" i="2"/>
  <c r="B20825" i="2"/>
  <c r="B20824" i="2"/>
  <c r="B20823" i="2"/>
  <c r="B20822" i="2"/>
  <c r="B20821" i="2"/>
  <c r="B20820" i="2"/>
  <c r="B20819" i="2"/>
  <c r="B20818" i="2"/>
  <c r="B20817" i="2"/>
  <c r="B20816" i="2"/>
  <c r="B20815" i="2"/>
  <c r="B20814" i="2"/>
  <c r="B20813" i="2"/>
  <c r="B20812" i="2"/>
  <c r="B20811" i="2"/>
  <c r="B20810" i="2"/>
  <c r="B20809" i="2"/>
  <c r="B20808" i="2"/>
  <c r="B20807" i="2"/>
  <c r="B20806" i="2"/>
  <c r="B20805" i="2"/>
  <c r="B20804" i="2"/>
  <c r="B20803" i="2"/>
  <c r="B20802" i="2"/>
  <c r="B20801" i="2"/>
  <c r="B20800" i="2"/>
  <c r="B20799" i="2"/>
  <c r="B20798" i="2"/>
  <c r="B20797" i="2"/>
  <c r="B20796" i="2"/>
  <c r="B20795" i="2"/>
  <c r="B20794" i="2"/>
  <c r="B20793" i="2"/>
  <c r="B20792" i="2"/>
  <c r="B20791" i="2"/>
  <c r="B20790" i="2"/>
  <c r="B20789" i="2"/>
  <c r="B20788" i="2"/>
  <c r="B20787" i="2"/>
  <c r="B20786" i="2"/>
  <c r="B20785" i="2"/>
  <c r="B20784" i="2"/>
  <c r="B20783" i="2"/>
  <c r="B20782" i="2"/>
  <c r="B20781" i="2"/>
  <c r="B20780" i="2"/>
  <c r="B20779" i="2"/>
  <c r="B20778" i="2"/>
  <c r="B20777" i="2"/>
  <c r="B20776" i="2"/>
  <c r="B20775" i="2"/>
  <c r="B20774" i="2"/>
  <c r="B20773" i="2"/>
  <c r="B20772" i="2"/>
  <c r="B20771" i="2"/>
  <c r="B20770" i="2"/>
  <c r="B20769" i="2"/>
  <c r="B20768" i="2"/>
  <c r="B20767" i="2"/>
  <c r="B20766" i="2"/>
  <c r="B20765" i="2"/>
  <c r="B20764" i="2"/>
  <c r="B20763" i="2"/>
  <c r="B20762" i="2"/>
  <c r="B20761" i="2"/>
  <c r="B20760" i="2"/>
  <c r="B20759" i="2"/>
  <c r="B20758" i="2"/>
  <c r="B20757" i="2"/>
  <c r="B20756" i="2"/>
  <c r="B20755" i="2"/>
  <c r="B20754" i="2"/>
  <c r="B20753" i="2"/>
  <c r="B20752" i="2"/>
  <c r="B20751" i="2"/>
  <c r="B20750" i="2"/>
  <c r="B20749" i="2"/>
  <c r="B20748" i="2"/>
  <c r="B20747" i="2"/>
  <c r="B20746" i="2"/>
  <c r="B20745" i="2"/>
  <c r="B20744" i="2"/>
  <c r="B20743" i="2"/>
  <c r="B20742" i="2"/>
  <c r="B20741" i="2"/>
  <c r="B20740" i="2"/>
  <c r="B20739" i="2"/>
  <c r="B20738" i="2"/>
  <c r="B20737" i="2"/>
  <c r="B20736" i="2"/>
  <c r="B20735" i="2"/>
  <c r="B20734" i="2"/>
  <c r="B20733" i="2"/>
  <c r="B20732" i="2"/>
  <c r="B20731" i="2"/>
  <c r="B20730" i="2"/>
  <c r="B20729" i="2"/>
  <c r="B20728" i="2"/>
  <c r="B20727" i="2"/>
  <c r="B20726" i="2"/>
  <c r="B20725" i="2"/>
  <c r="B20724" i="2"/>
  <c r="B20723" i="2"/>
  <c r="B20722" i="2"/>
  <c r="B20721" i="2"/>
  <c r="B20720" i="2"/>
  <c r="B20719" i="2"/>
  <c r="B20718" i="2"/>
  <c r="B20717" i="2"/>
  <c r="B20716" i="2"/>
  <c r="B20715" i="2"/>
  <c r="B20714" i="2"/>
  <c r="B20713" i="2"/>
  <c r="B20712" i="2"/>
  <c r="B20711" i="2"/>
  <c r="B20710" i="2"/>
  <c r="B20709" i="2"/>
  <c r="B20708" i="2"/>
  <c r="B20707" i="2"/>
  <c r="B20706" i="2"/>
  <c r="B20705" i="2"/>
  <c r="B20704" i="2"/>
  <c r="B20703" i="2"/>
  <c r="B20702" i="2"/>
  <c r="B20701" i="2"/>
  <c r="B20700" i="2"/>
  <c r="B20699" i="2"/>
  <c r="B20698" i="2"/>
  <c r="B20697" i="2"/>
  <c r="B20696" i="2"/>
  <c r="B20695" i="2"/>
  <c r="B20694" i="2"/>
  <c r="B20693" i="2"/>
  <c r="B20692" i="2"/>
  <c r="B20691" i="2"/>
  <c r="B20690" i="2"/>
  <c r="B20689" i="2"/>
  <c r="B20688" i="2"/>
  <c r="B20687" i="2"/>
  <c r="B20686" i="2"/>
  <c r="B20685" i="2"/>
  <c r="B20684" i="2"/>
  <c r="B20683" i="2"/>
  <c r="B20682" i="2"/>
  <c r="B20681" i="2"/>
  <c r="B20680" i="2"/>
  <c r="B20679" i="2"/>
  <c r="B20678" i="2"/>
  <c r="B20677" i="2"/>
  <c r="B20676" i="2"/>
  <c r="B20675" i="2"/>
  <c r="B20674" i="2"/>
  <c r="B20673" i="2"/>
  <c r="B20672" i="2"/>
  <c r="B20671" i="2"/>
  <c r="B20670" i="2"/>
  <c r="B20669" i="2"/>
  <c r="B20668" i="2"/>
  <c r="B20667" i="2"/>
  <c r="B20666" i="2"/>
  <c r="B20665" i="2"/>
  <c r="B20664" i="2"/>
  <c r="B20663" i="2"/>
  <c r="B20662" i="2"/>
  <c r="B20661" i="2"/>
  <c r="B20660" i="2"/>
  <c r="B20659" i="2"/>
  <c r="B20658" i="2"/>
  <c r="B20657" i="2"/>
  <c r="B20656" i="2"/>
  <c r="B20655" i="2"/>
  <c r="B20654" i="2"/>
  <c r="B20653" i="2"/>
  <c r="B20652" i="2"/>
  <c r="B20651" i="2"/>
  <c r="B20650" i="2"/>
  <c r="B20649" i="2"/>
  <c r="B20648" i="2"/>
  <c r="B20647" i="2"/>
  <c r="B20646" i="2"/>
  <c r="B20645" i="2"/>
  <c r="B20644" i="2"/>
  <c r="B20643" i="2"/>
  <c r="B20642" i="2"/>
  <c r="B20641" i="2"/>
  <c r="B20640" i="2"/>
  <c r="B20639" i="2"/>
  <c r="B20638" i="2"/>
  <c r="B20637" i="2"/>
  <c r="B20636" i="2"/>
  <c r="B20635" i="2"/>
  <c r="B20634" i="2"/>
  <c r="B20633" i="2"/>
  <c r="B20632" i="2"/>
  <c r="B20631" i="2"/>
  <c r="B20630" i="2"/>
  <c r="B20629" i="2"/>
  <c r="B20628" i="2"/>
  <c r="B20627" i="2"/>
  <c r="B20626" i="2"/>
  <c r="B20625" i="2"/>
  <c r="B20624" i="2"/>
  <c r="B20623" i="2"/>
  <c r="B20622" i="2"/>
  <c r="B20621" i="2"/>
  <c r="B20620" i="2"/>
  <c r="B20619" i="2"/>
  <c r="B20618" i="2"/>
  <c r="B20617" i="2"/>
  <c r="B20616" i="2"/>
  <c r="B20615" i="2"/>
  <c r="B20614" i="2"/>
  <c r="B20613" i="2"/>
  <c r="B20612" i="2"/>
  <c r="B20611" i="2"/>
  <c r="B20610" i="2"/>
  <c r="B20609" i="2"/>
  <c r="B20608" i="2"/>
  <c r="B20607" i="2"/>
  <c r="B20606" i="2"/>
  <c r="B20605" i="2"/>
  <c r="B20604" i="2"/>
  <c r="B20603" i="2"/>
  <c r="B20602" i="2"/>
  <c r="B20601" i="2"/>
  <c r="B20600" i="2"/>
  <c r="B20599" i="2"/>
  <c r="B20598" i="2"/>
  <c r="B20597" i="2"/>
  <c r="B20596" i="2"/>
  <c r="B20595" i="2"/>
  <c r="B20594" i="2"/>
  <c r="B20593" i="2"/>
  <c r="B20592" i="2"/>
  <c r="B20591" i="2"/>
  <c r="B20590" i="2"/>
  <c r="B20589" i="2"/>
  <c r="B20588" i="2"/>
  <c r="B20587" i="2"/>
  <c r="B20586" i="2"/>
  <c r="B20585" i="2"/>
  <c r="B20584" i="2"/>
  <c r="B20583" i="2"/>
  <c r="B20582" i="2"/>
  <c r="B20581" i="2"/>
  <c r="B20580" i="2"/>
  <c r="B20579" i="2"/>
  <c r="B20578" i="2"/>
  <c r="B20577" i="2"/>
  <c r="B20576" i="2"/>
  <c r="B20575" i="2"/>
  <c r="B20574" i="2"/>
  <c r="B20573" i="2"/>
  <c r="B20572" i="2"/>
  <c r="B20571" i="2"/>
  <c r="B20570" i="2"/>
  <c r="B20569" i="2"/>
  <c r="B20568" i="2"/>
  <c r="B20567" i="2"/>
  <c r="B20566" i="2"/>
  <c r="B20565" i="2"/>
  <c r="B20564" i="2"/>
  <c r="B20563" i="2"/>
  <c r="B20562" i="2"/>
  <c r="B20561" i="2"/>
  <c r="B20560" i="2"/>
  <c r="B20559" i="2"/>
  <c r="B20558" i="2"/>
  <c r="B20557" i="2"/>
  <c r="B20556" i="2"/>
  <c r="B20555" i="2"/>
  <c r="B20554" i="2"/>
  <c r="B20553" i="2"/>
  <c r="B20552" i="2"/>
  <c r="B20551" i="2"/>
  <c r="B20550" i="2"/>
  <c r="B20549" i="2"/>
  <c r="B20548" i="2"/>
  <c r="B20547" i="2"/>
  <c r="B20546" i="2"/>
  <c r="B20545" i="2"/>
  <c r="B20544" i="2"/>
  <c r="B20543" i="2"/>
  <c r="B20542" i="2"/>
  <c r="B20541" i="2"/>
  <c r="B20540" i="2"/>
  <c r="B20539" i="2"/>
  <c r="B20538" i="2"/>
  <c r="B20537" i="2"/>
  <c r="B20536" i="2"/>
  <c r="B20535" i="2"/>
  <c r="B20534" i="2"/>
  <c r="B20533" i="2"/>
  <c r="B20532" i="2"/>
  <c r="B20531" i="2"/>
  <c r="B20530" i="2"/>
  <c r="B20529" i="2"/>
  <c r="B20528" i="2"/>
  <c r="B20527" i="2"/>
  <c r="B20526" i="2"/>
  <c r="B20525" i="2"/>
  <c r="B20524" i="2"/>
  <c r="B20523" i="2"/>
  <c r="B20522" i="2"/>
  <c r="B20521" i="2"/>
  <c r="B20520" i="2"/>
  <c r="B20519" i="2"/>
  <c r="B20518" i="2"/>
  <c r="B20517" i="2"/>
  <c r="B20516" i="2"/>
  <c r="B20515" i="2"/>
  <c r="B20514" i="2"/>
  <c r="B20513" i="2"/>
  <c r="B20512" i="2"/>
  <c r="B20511" i="2"/>
  <c r="B20510" i="2"/>
  <c r="B20509" i="2"/>
  <c r="B20508" i="2"/>
  <c r="B20507" i="2"/>
  <c r="B20506" i="2"/>
  <c r="B20505" i="2"/>
  <c r="B20504" i="2"/>
  <c r="B20503" i="2"/>
  <c r="B20502" i="2"/>
  <c r="B20501" i="2"/>
  <c r="B20500" i="2"/>
  <c r="B20499" i="2"/>
  <c r="B20498" i="2"/>
  <c r="B20497" i="2"/>
  <c r="B20496" i="2"/>
  <c r="B20495" i="2"/>
  <c r="B20494" i="2"/>
  <c r="B20493" i="2"/>
  <c r="B20492" i="2"/>
  <c r="B20491" i="2"/>
  <c r="B20490" i="2"/>
  <c r="B20489" i="2"/>
  <c r="B20488" i="2"/>
  <c r="B20487" i="2"/>
  <c r="B20486" i="2"/>
  <c r="B20485" i="2"/>
  <c r="B20484" i="2"/>
  <c r="B20483" i="2"/>
  <c r="B20482" i="2"/>
  <c r="B20481" i="2"/>
  <c r="B20480" i="2"/>
  <c r="B20479" i="2"/>
  <c r="B20478" i="2"/>
  <c r="B20477" i="2"/>
  <c r="B20476" i="2"/>
  <c r="B20475" i="2"/>
  <c r="B20474" i="2"/>
  <c r="B20473" i="2"/>
  <c r="B20472" i="2"/>
  <c r="B20471" i="2"/>
  <c r="B20470" i="2"/>
  <c r="B20469" i="2"/>
  <c r="B20468" i="2"/>
  <c r="B20467" i="2"/>
  <c r="B20466" i="2"/>
  <c r="B20465" i="2"/>
  <c r="B20464" i="2"/>
  <c r="B20463" i="2"/>
  <c r="B20462" i="2"/>
  <c r="B20461" i="2"/>
  <c r="B20460" i="2"/>
  <c r="B20459" i="2"/>
  <c r="B20458" i="2"/>
  <c r="B20457" i="2"/>
  <c r="B20456" i="2"/>
  <c r="B20455" i="2"/>
  <c r="B20454" i="2"/>
  <c r="B20453" i="2"/>
  <c r="B20452" i="2"/>
  <c r="B20451" i="2"/>
  <c r="B20450" i="2"/>
  <c r="B20449" i="2"/>
  <c r="B20448" i="2"/>
  <c r="B20447" i="2"/>
  <c r="B20446" i="2"/>
  <c r="B20445" i="2"/>
  <c r="B20444" i="2"/>
  <c r="B20443" i="2"/>
  <c r="B20442" i="2"/>
  <c r="B20441" i="2"/>
  <c r="B20440" i="2"/>
  <c r="B20439" i="2"/>
  <c r="B20438" i="2"/>
  <c r="B20437" i="2"/>
  <c r="B20436" i="2"/>
  <c r="B20435" i="2"/>
  <c r="B20434" i="2"/>
  <c r="B20433" i="2"/>
  <c r="B20432" i="2"/>
  <c r="B20431" i="2"/>
  <c r="B20430" i="2"/>
  <c r="B20429" i="2"/>
  <c r="B20428" i="2"/>
  <c r="B20427" i="2"/>
  <c r="B20426" i="2"/>
  <c r="B20425" i="2"/>
  <c r="B20424" i="2"/>
  <c r="B20423" i="2"/>
  <c r="B20422" i="2"/>
  <c r="B20421" i="2"/>
  <c r="B20420" i="2"/>
  <c r="B20419" i="2"/>
  <c r="B20418" i="2"/>
  <c r="B20417" i="2"/>
  <c r="B20416" i="2"/>
  <c r="B20415" i="2"/>
  <c r="B20414" i="2"/>
  <c r="B20413" i="2"/>
  <c r="B20412" i="2"/>
  <c r="B20411" i="2"/>
  <c r="B20410" i="2"/>
  <c r="B20409" i="2"/>
  <c r="B20408" i="2"/>
  <c r="B20407" i="2"/>
  <c r="B20406" i="2"/>
  <c r="B20405" i="2"/>
  <c r="B20404" i="2"/>
  <c r="B20403" i="2"/>
  <c r="B20402" i="2"/>
  <c r="B20401" i="2"/>
  <c r="B20400" i="2"/>
  <c r="B20399" i="2"/>
  <c r="B20398" i="2"/>
  <c r="B20397" i="2"/>
  <c r="B20396" i="2"/>
  <c r="B20395" i="2"/>
  <c r="B20394" i="2"/>
  <c r="B20393" i="2"/>
  <c r="B20392" i="2"/>
  <c r="B20391" i="2"/>
  <c r="B20390" i="2"/>
  <c r="B20389" i="2"/>
  <c r="B20388" i="2"/>
  <c r="B20387" i="2"/>
  <c r="B20386" i="2"/>
  <c r="B20385" i="2"/>
  <c r="B20384" i="2"/>
  <c r="B20383" i="2"/>
  <c r="B20382" i="2"/>
  <c r="B20381" i="2"/>
  <c r="B20380" i="2"/>
  <c r="B20379" i="2"/>
  <c r="B20378" i="2"/>
  <c r="B20377" i="2"/>
  <c r="B20376" i="2"/>
  <c r="B20375" i="2"/>
  <c r="B20374" i="2"/>
  <c r="B20373" i="2"/>
  <c r="B20372" i="2"/>
  <c r="B20371" i="2"/>
  <c r="B20370" i="2"/>
  <c r="B20369" i="2"/>
  <c r="B20368" i="2"/>
  <c r="B20367" i="2"/>
  <c r="B20366" i="2"/>
  <c r="B20365" i="2"/>
  <c r="B20364" i="2"/>
  <c r="B20363" i="2"/>
  <c r="B20362" i="2"/>
  <c r="B20361" i="2"/>
  <c r="B20360" i="2"/>
  <c r="B20359" i="2"/>
  <c r="B20358" i="2"/>
  <c r="B20357" i="2"/>
  <c r="B20356" i="2"/>
  <c r="B20355" i="2"/>
  <c r="B20354" i="2"/>
  <c r="B20353" i="2"/>
  <c r="B20352" i="2"/>
  <c r="B20351" i="2"/>
  <c r="B20350" i="2"/>
  <c r="B20349" i="2"/>
  <c r="B20348" i="2"/>
  <c r="B20347" i="2"/>
  <c r="B20346" i="2"/>
  <c r="B20345" i="2"/>
  <c r="B20344" i="2"/>
  <c r="B20343" i="2"/>
  <c r="B20342" i="2"/>
  <c r="B20341" i="2"/>
  <c r="B20340" i="2"/>
  <c r="B20339" i="2"/>
  <c r="B20338" i="2"/>
  <c r="B20337" i="2"/>
  <c r="B20336" i="2"/>
  <c r="B20335" i="2"/>
  <c r="B20334" i="2"/>
  <c r="B20333" i="2"/>
  <c r="B20332" i="2"/>
  <c r="B20331" i="2"/>
  <c r="B20330" i="2"/>
  <c r="B20329" i="2"/>
  <c r="B20328" i="2"/>
  <c r="B20327" i="2"/>
  <c r="B20326" i="2"/>
  <c r="B20325" i="2"/>
  <c r="B20324" i="2"/>
  <c r="B20323" i="2"/>
  <c r="B20322" i="2"/>
  <c r="B20321" i="2"/>
  <c r="B20320" i="2"/>
  <c r="B20319" i="2"/>
  <c r="B20318" i="2"/>
  <c r="B20317" i="2"/>
  <c r="B20316" i="2"/>
  <c r="B20315" i="2"/>
  <c r="B20314" i="2"/>
  <c r="B20313" i="2"/>
  <c r="B20312" i="2"/>
  <c r="B20311" i="2"/>
  <c r="B20310" i="2"/>
  <c r="B20309" i="2"/>
  <c r="B20308" i="2"/>
  <c r="B20307" i="2"/>
  <c r="B20306" i="2"/>
  <c r="B20305" i="2"/>
  <c r="B20304" i="2"/>
  <c r="B20303" i="2"/>
  <c r="B20302" i="2"/>
  <c r="B20301" i="2"/>
  <c r="B20300" i="2"/>
  <c r="B20299" i="2"/>
  <c r="B20298" i="2"/>
  <c r="B20297" i="2"/>
  <c r="B20296" i="2"/>
  <c r="B20295" i="2"/>
  <c r="B20294" i="2"/>
  <c r="B20293" i="2"/>
  <c r="B20292" i="2"/>
  <c r="B20291" i="2"/>
  <c r="B20290" i="2"/>
  <c r="B20289" i="2"/>
  <c r="B20288" i="2"/>
  <c r="B20287" i="2"/>
  <c r="B20286" i="2"/>
  <c r="B20285" i="2"/>
  <c r="B20284" i="2"/>
  <c r="B20283" i="2"/>
  <c r="B20282" i="2"/>
  <c r="B20281" i="2"/>
  <c r="B20280" i="2"/>
  <c r="B20279" i="2"/>
  <c r="B20278" i="2"/>
  <c r="B20277" i="2"/>
  <c r="B20276" i="2"/>
  <c r="B20275" i="2"/>
  <c r="B20274" i="2"/>
  <c r="B20273" i="2"/>
  <c r="B20272" i="2"/>
  <c r="B20271" i="2"/>
  <c r="B20270" i="2"/>
  <c r="B20269" i="2"/>
  <c r="B20268" i="2"/>
  <c r="B20267" i="2"/>
  <c r="B20266" i="2"/>
  <c r="B20265" i="2"/>
  <c r="B20264" i="2"/>
  <c r="B20263" i="2"/>
  <c r="B20262" i="2"/>
  <c r="B20261" i="2"/>
  <c r="B20260" i="2"/>
  <c r="B20259" i="2"/>
  <c r="B20258" i="2"/>
  <c r="B20257" i="2"/>
  <c r="B20256" i="2"/>
  <c r="B20255" i="2"/>
  <c r="B20254" i="2"/>
  <c r="B20253" i="2"/>
  <c r="B20252" i="2"/>
  <c r="B20251" i="2"/>
  <c r="B20250" i="2"/>
  <c r="B20249" i="2"/>
  <c r="B20248" i="2"/>
  <c r="B20247" i="2"/>
  <c r="B20246" i="2"/>
  <c r="B20245" i="2"/>
  <c r="B20244" i="2"/>
  <c r="B20243" i="2"/>
  <c r="B20242" i="2"/>
  <c r="B20241" i="2"/>
  <c r="B20240" i="2"/>
  <c r="B20239" i="2"/>
  <c r="B20238" i="2"/>
  <c r="B20237" i="2"/>
  <c r="B20236" i="2"/>
  <c r="B20235" i="2"/>
  <c r="B20234" i="2"/>
  <c r="B20233" i="2"/>
  <c r="B20232" i="2"/>
  <c r="B20231" i="2"/>
  <c r="B20230" i="2"/>
  <c r="B20229" i="2"/>
  <c r="B20228" i="2"/>
  <c r="B20227" i="2"/>
  <c r="B20226" i="2"/>
  <c r="B20225" i="2"/>
  <c r="B20224" i="2"/>
  <c r="B20223" i="2"/>
  <c r="B20222" i="2"/>
  <c r="B20221" i="2"/>
  <c r="B20220" i="2"/>
  <c r="B20219" i="2"/>
  <c r="B20218" i="2"/>
  <c r="B20217" i="2"/>
  <c r="B20216" i="2"/>
  <c r="B20215" i="2"/>
  <c r="B20214" i="2"/>
  <c r="B20213" i="2"/>
  <c r="B20212" i="2"/>
  <c r="B20211" i="2"/>
  <c r="B20210" i="2"/>
  <c r="B20209" i="2"/>
  <c r="B20208" i="2"/>
  <c r="B20207" i="2"/>
  <c r="B20206" i="2"/>
  <c r="B20205" i="2"/>
  <c r="B20204" i="2"/>
  <c r="B20203" i="2"/>
  <c r="B20202" i="2"/>
  <c r="B20201" i="2"/>
  <c r="B20200" i="2"/>
  <c r="B20199" i="2"/>
  <c r="B20198" i="2"/>
  <c r="B20197" i="2"/>
  <c r="B20196" i="2"/>
  <c r="B20195" i="2"/>
  <c r="B20194" i="2"/>
  <c r="B20193" i="2"/>
  <c r="B20192" i="2"/>
  <c r="B20191" i="2"/>
  <c r="B20190" i="2"/>
  <c r="B20189" i="2"/>
  <c r="B20188" i="2"/>
  <c r="B20187" i="2"/>
  <c r="B20186" i="2"/>
  <c r="B20185" i="2"/>
  <c r="B20184" i="2"/>
  <c r="B20183" i="2"/>
  <c r="B20182" i="2"/>
  <c r="B20181" i="2"/>
  <c r="B20180" i="2"/>
  <c r="B20179" i="2"/>
  <c r="B20178" i="2"/>
  <c r="B20177" i="2"/>
  <c r="B20176" i="2"/>
  <c r="B20175" i="2"/>
  <c r="B20174" i="2"/>
  <c r="B20173" i="2"/>
  <c r="B20172" i="2"/>
  <c r="B20171" i="2"/>
  <c r="B20170" i="2"/>
  <c r="B20169" i="2"/>
  <c r="B20168" i="2"/>
  <c r="B20167" i="2"/>
  <c r="B20166" i="2"/>
  <c r="B20165" i="2"/>
  <c r="B20164" i="2"/>
  <c r="B20163" i="2"/>
  <c r="B20162" i="2"/>
  <c r="B20161" i="2"/>
  <c r="B20160" i="2"/>
  <c r="B20159" i="2"/>
  <c r="B20158" i="2"/>
  <c r="B20157" i="2"/>
  <c r="B20156" i="2"/>
  <c r="B20155" i="2"/>
  <c r="B20154" i="2"/>
  <c r="B20153" i="2"/>
  <c r="B20152" i="2"/>
  <c r="B20151" i="2"/>
  <c r="B20150" i="2"/>
  <c r="B20149" i="2"/>
  <c r="B20148" i="2"/>
  <c r="B20147" i="2"/>
  <c r="B20146" i="2"/>
  <c r="B20145" i="2"/>
  <c r="B20144" i="2"/>
  <c r="B20143" i="2"/>
  <c r="B20142" i="2"/>
  <c r="B20141" i="2"/>
  <c r="B20140" i="2"/>
  <c r="B20139" i="2"/>
  <c r="B20138" i="2"/>
  <c r="B20137" i="2"/>
  <c r="B20136" i="2"/>
  <c r="B20135" i="2"/>
  <c r="B20134" i="2"/>
  <c r="B20133" i="2"/>
  <c r="B20132" i="2"/>
  <c r="B20131" i="2"/>
  <c r="B20130" i="2"/>
  <c r="B20129" i="2"/>
  <c r="B20128" i="2"/>
  <c r="B20127" i="2"/>
  <c r="B20126" i="2"/>
  <c r="B20125" i="2"/>
  <c r="B20124" i="2"/>
  <c r="B20123" i="2"/>
  <c r="B20122" i="2"/>
  <c r="B20121" i="2"/>
  <c r="B20120" i="2"/>
  <c r="B20119" i="2"/>
  <c r="B20118" i="2"/>
  <c r="B20117" i="2"/>
  <c r="B20116" i="2"/>
  <c r="B20115" i="2"/>
  <c r="B20114" i="2"/>
  <c r="B20113" i="2"/>
  <c r="B20112" i="2"/>
  <c r="B20111" i="2"/>
  <c r="B20110" i="2"/>
  <c r="B20109" i="2"/>
  <c r="B20108" i="2"/>
  <c r="B20107" i="2"/>
  <c r="B20106" i="2"/>
  <c r="B20105" i="2"/>
  <c r="B20104" i="2"/>
  <c r="B20103" i="2"/>
  <c r="B20102" i="2"/>
  <c r="B20101" i="2"/>
  <c r="B20100" i="2"/>
  <c r="B20099" i="2"/>
  <c r="B20098" i="2"/>
  <c r="B20097" i="2"/>
  <c r="B20096" i="2"/>
  <c r="B20095" i="2"/>
  <c r="B20094" i="2"/>
  <c r="B20093" i="2"/>
  <c r="B20092" i="2"/>
  <c r="B20091" i="2"/>
  <c r="B20090" i="2"/>
  <c r="B20089" i="2"/>
  <c r="B20088" i="2"/>
  <c r="B20087" i="2"/>
  <c r="B20086" i="2"/>
  <c r="B20085" i="2"/>
  <c r="B20084" i="2"/>
  <c r="B20083" i="2"/>
  <c r="B20082" i="2"/>
  <c r="B20081" i="2"/>
  <c r="B20080" i="2"/>
  <c r="B20079" i="2"/>
  <c r="B20078" i="2"/>
  <c r="B20077" i="2"/>
  <c r="B20076" i="2"/>
  <c r="B20075" i="2"/>
  <c r="B20074" i="2"/>
  <c r="B20073" i="2"/>
  <c r="B20072" i="2"/>
  <c r="B20071" i="2"/>
  <c r="B20070" i="2"/>
  <c r="B20069" i="2"/>
  <c r="B20068" i="2"/>
  <c r="B20067" i="2"/>
  <c r="B20066" i="2"/>
  <c r="B20065" i="2"/>
  <c r="B20064" i="2"/>
  <c r="B20063" i="2"/>
  <c r="B20062" i="2"/>
  <c r="B20061" i="2"/>
  <c r="B20060" i="2"/>
  <c r="B20059" i="2"/>
  <c r="B20058" i="2"/>
  <c r="B20057" i="2"/>
  <c r="B20056" i="2"/>
  <c r="B20055" i="2"/>
  <c r="B20054" i="2"/>
  <c r="B20053" i="2"/>
  <c r="B20052" i="2"/>
  <c r="B20051" i="2"/>
  <c r="B20050" i="2"/>
  <c r="B20049" i="2"/>
  <c r="B20048" i="2"/>
  <c r="B20047" i="2"/>
  <c r="B20046" i="2"/>
  <c r="B20045" i="2"/>
  <c r="B20044" i="2"/>
  <c r="B20043" i="2"/>
  <c r="B20042" i="2"/>
  <c r="B20041" i="2"/>
  <c r="B20040" i="2"/>
  <c r="B20039" i="2"/>
  <c r="B20038" i="2"/>
  <c r="B20037" i="2"/>
  <c r="B20036" i="2"/>
  <c r="B20035" i="2"/>
  <c r="B20034" i="2"/>
  <c r="B20033" i="2"/>
  <c r="B20032" i="2"/>
  <c r="B20031" i="2"/>
  <c r="B20030" i="2"/>
  <c r="B20029" i="2"/>
  <c r="B20028" i="2"/>
  <c r="B20027" i="2"/>
  <c r="B20026" i="2"/>
  <c r="B20025" i="2"/>
  <c r="B20024" i="2"/>
  <c r="B20023" i="2"/>
  <c r="B20022" i="2"/>
  <c r="B20021" i="2"/>
  <c r="B20020" i="2"/>
  <c r="B20019" i="2"/>
  <c r="B20018" i="2"/>
  <c r="B20017" i="2"/>
  <c r="B20016" i="2"/>
  <c r="B20015" i="2"/>
  <c r="B20014" i="2"/>
  <c r="B20013" i="2"/>
  <c r="B20012" i="2"/>
  <c r="B20011" i="2"/>
  <c r="B20010" i="2"/>
  <c r="B20009" i="2"/>
  <c r="B20008" i="2"/>
  <c r="B20007" i="2"/>
  <c r="B20006" i="2"/>
  <c r="B20005" i="2"/>
  <c r="B20004" i="2"/>
  <c r="B20003" i="2"/>
  <c r="B20002" i="2"/>
  <c r="B20001" i="2"/>
  <c r="B20000" i="2"/>
  <c r="B19999" i="2"/>
  <c r="B19998" i="2"/>
  <c r="B19997" i="2"/>
  <c r="B19996" i="2"/>
  <c r="B19995" i="2"/>
  <c r="B19994" i="2"/>
  <c r="B19993" i="2"/>
  <c r="B19992" i="2"/>
  <c r="B19991" i="2"/>
  <c r="B19990" i="2"/>
  <c r="B19989" i="2"/>
  <c r="B19988" i="2"/>
  <c r="B19987" i="2"/>
  <c r="B19986" i="2"/>
  <c r="B19985" i="2"/>
  <c r="B19984" i="2"/>
  <c r="B19983" i="2"/>
  <c r="B19982" i="2"/>
  <c r="B19981" i="2"/>
  <c r="B19980" i="2"/>
  <c r="B19979" i="2"/>
  <c r="B19978" i="2"/>
  <c r="B19977" i="2"/>
  <c r="B19976" i="2"/>
  <c r="B19975" i="2"/>
  <c r="B19974" i="2"/>
  <c r="B19973" i="2"/>
  <c r="B19972" i="2"/>
  <c r="B19971" i="2"/>
  <c r="B19970" i="2"/>
  <c r="B19969" i="2"/>
  <c r="B19968" i="2"/>
  <c r="B19967" i="2"/>
  <c r="B19966" i="2"/>
  <c r="B19965" i="2"/>
  <c r="B19964" i="2"/>
  <c r="B19963" i="2"/>
  <c r="B19962" i="2"/>
  <c r="B19961" i="2"/>
  <c r="B19960" i="2"/>
  <c r="B19959" i="2"/>
  <c r="B19958" i="2"/>
  <c r="B19957" i="2"/>
  <c r="B19956" i="2"/>
  <c r="B19955" i="2"/>
  <c r="B19954" i="2"/>
  <c r="B19953" i="2"/>
  <c r="B19952" i="2"/>
  <c r="B19951" i="2"/>
  <c r="B19950" i="2"/>
  <c r="B19949" i="2"/>
  <c r="B19948" i="2"/>
  <c r="B19947" i="2"/>
  <c r="B19946" i="2"/>
  <c r="B19945" i="2"/>
  <c r="B19944" i="2"/>
  <c r="B19943" i="2"/>
  <c r="B19942" i="2"/>
  <c r="B19941" i="2"/>
  <c r="B19940" i="2"/>
  <c r="B19939" i="2"/>
  <c r="B19938" i="2"/>
  <c r="B19937" i="2"/>
  <c r="B19936" i="2"/>
  <c r="B19935" i="2"/>
  <c r="B19934" i="2"/>
  <c r="B19933" i="2"/>
  <c r="B19932" i="2"/>
  <c r="B19931" i="2"/>
  <c r="B19930" i="2"/>
  <c r="B19929" i="2"/>
  <c r="B19928" i="2"/>
  <c r="B19927" i="2"/>
  <c r="B19926" i="2"/>
  <c r="B19925" i="2"/>
  <c r="B19924" i="2"/>
  <c r="B19923" i="2"/>
  <c r="B19922" i="2"/>
  <c r="B19921" i="2"/>
  <c r="B19920" i="2"/>
  <c r="B19919" i="2"/>
  <c r="B19918" i="2"/>
  <c r="B19917" i="2"/>
  <c r="B19916" i="2"/>
  <c r="B19915" i="2"/>
  <c r="B19914" i="2"/>
  <c r="B19913" i="2"/>
  <c r="B19912" i="2"/>
  <c r="B19911" i="2"/>
  <c r="B19910" i="2"/>
  <c r="B19909" i="2"/>
  <c r="B19908" i="2"/>
  <c r="B19907" i="2"/>
  <c r="B19906" i="2"/>
  <c r="B19905" i="2"/>
  <c r="B19904" i="2"/>
  <c r="B19903" i="2"/>
  <c r="B19902" i="2"/>
  <c r="B19901" i="2"/>
  <c r="B19900" i="2"/>
  <c r="B19899" i="2"/>
  <c r="B19898" i="2"/>
  <c r="B19897" i="2"/>
  <c r="B19896" i="2"/>
  <c r="B19895" i="2"/>
  <c r="B19894" i="2"/>
  <c r="B19893" i="2"/>
  <c r="B19892" i="2"/>
  <c r="B19891" i="2"/>
  <c r="B19890" i="2"/>
  <c r="B19889" i="2"/>
  <c r="B19888" i="2"/>
  <c r="B19887" i="2"/>
  <c r="B19886" i="2"/>
  <c r="B19885" i="2"/>
  <c r="B19884" i="2"/>
  <c r="B19883" i="2"/>
  <c r="B19882" i="2"/>
  <c r="B19881" i="2"/>
  <c r="B19880" i="2"/>
  <c r="B19879" i="2"/>
  <c r="B19878" i="2"/>
  <c r="B19877" i="2"/>
  <c r="B19876" i="2"/>
  <c r="B19875" i="2"/>
  <c r="B19874" i="2"/>
  <c r="B19873" i="2"/>
  <c r="B19872" i="2"/>
  <c r="B19871" i="2"/>
  <c r="B19870" i="2"/>
  <c r="B19869" i="2"/>
  <c r="B19868" i="2"/>
  <c r="B19867" i="2"/>
  <c r="B19866" i="2"/>
  <c r="B19865" i="2"/>
  <c r="B19864" i="2"/>
  <c r="B19863" i="2"/>
  <c r="B19862" i="2"/>
  <c r="B19861" i="2"/>
  <c r="B19860" i="2"/>
  <c r="B19859" i="2"/>
  <c r="B19858" i="2"/>
  <c r="B19857" i="2"/>
  <c r="B19856" i="2"/>
  <c r="B19855" i="2"/>
  <c r="B19854" i="2"/>
  <c r="B19853" i="2"/>
  <c r="B19852" i="2"/>
  <c r="B19851" i="2"/>
  <c r="B19850" i="2"/>
  <c r="B19849" i="2"/>
  <c r="B19848" i="2"/>
  <c r="B19847" i="2"/>
  <c r="B19846" i="2"/>
  <c r="B19845" i="2"/>
  <c r="B19844" i="2"/>
  <c r="B19843" i="2"/>
  <c r="B19842" i="2"/>
  <c r="B19841" i="2"/>
  <c r="B19840" i="2"/>
  <c r="B19839" i="2"/>
  <c r="B19838" i="2"/>
  <c r="B19837" i="2"/>
  <c r="B19836" i="2"/>
  <c r="B19835" i="2"/>
  <c r="B19834" i="2"/>
  <c r="B19833" i="2"/>
  <c r="B19832" i="2"/>
  <c r="B19831" i="2"/>
  <c r="B19830" i="2"/>
  <c r="B19829" i="2"/>
  <c r="B19828" i="2"/>
  <c r="B19827" i="2"/>
  <c r="B19826" i="2"/>
  <c r="B19825" i="2"/>
  <c r="B19824" i="2"/>
  <c r="B19823" i="2"/>
  <c r="B19822" i="2"/>
  <c r="B19821" i="2"/>
  <c r="B19820" i="2"/>
  <c r="B19819" i="2"/>
  <c r="B19818" i="2"/>
  <c r="B19817" i="2"/>
  <c r="B19816" i="2"/>
  <c r="B19815" i="2"/>
  <c r="B19814" i="2"/>
  <c r="B19813" i="2"/>
  <c r="B19812" i="2"/>
  <c r="B19811" i="2"/>
  <c r="B19810" i="2"/>
  <c r="B19809" i="2"/>
  <c r="B19808" i="2"/>
  <c r="B19807" i="2"/>
  <c r="B19806" i="2"/>
  <c r="B19805" i="2"/>
  <c r="B19804" i="2"/>
  <c r="B19803" i="2"/>
  <c r="B19802" i="2"/>
  <c r="B19801" i="2"/>
  <c r="B19800" i="2"/>
  <c r="B19799" i="2"/>
  <c r="B19798" i="2"/>
  <c r="B19797" i="2"/>
  <c r="B19796" i="2"/>
  <c r="B19795" i="2"/>
  <c r="B19794" i="2"/>
  <c r="B19793" i="2"/>
  <c r="B19792" i="2"/>
  <c r="B19791" i="2"/>
  <c r="B19790" i="2"/>
  <c r="B19789" i="2"/>
  <c r="B19788" i="2"/>
  <c r="B19787" i="2"/>
  <c r="B19786" i="2"/>
  <c r="B19785" i="2"/>
  <c r="B19784" i="2"/>
  <c r="B19783" i="2"/>
  <c r="B19782" i="2"/>
  <c r="B19781" i="2"/>
  <c r="B19780" i="2"/>
  <c r="B19779" i="2"/>
  <c r="B19778" i="2"/>
  <c r="B19777" i="2"/>
  <c r="B19776" i="2"/>
  <c r="B19775" i="2"/>
  <c r="B19774" i="2"/>
  <c r="B19773" i="2"/>
  <c r="B19772" i="2"/>
  <c r="B19771" i="2"/>
  <c r="B19770" i="2"/>
  <c r="B19769" i="2"/>
  <c r="B19768" i="2"/>
  <c r="B19767" i="2"/>
  <c r="B19766" i="2"/>
  <c r="B19765" i="2"/>
  <c r="B19764" i="2"/>
  <c r="B19763" i="2"/>
  <c r="B19762" i="2"/>
  <c r="B19761" i="2"/>
  <c r="B19760" i="2"/>
  <c r="B19759" i="2"/>
  <c r="B19758" i="2"/>
  <c r="B19757" i="2"/>
  <c r="B19756" i="2"/>
  <c r="B19755" i="2"/>
  <c r="B19754" i="2"/>
  <c r="B19753" i="2"/>
  <c r="B19752" i="2"/>
  <c r="B19751" i="2"/>
  <c r="B19750" i="2"/>
  <c r="B19749" i="2"/>
  <c r="B19748" i="2"/>
  <c r="B19747" i="2"/>
  <c r="B19746" i="2"/>
  <c r="B19745" i="2"/>
  <c r="B19744" i="2"/>
  <c r="B19743" i="2"/>
  <c r="B19742" i="2"/>
  <c r="B19741" i="2"/>
  <c r="B19740" i="2"/>
  <c r="B19739" i="2"/>
  <c r="B19738" i="2"/>
  <c r="B19737" i="2"/>
  <c r="B19736" i="2"/>
  <c r="B19735" i="2"/>
  <c r="B19734" i="2"/>
  <c r="B19733" i="2"/>
  <c r="B19732" i="2"/>
  <c r="B19731" i="2"/>
  <c r="B19730" i="2"/>
  <c r="B19729" i="2"/>
  <c r="B19728" i="2"/>
  <c r="B19727" i="2"/>
  <c r="B19726" i="2"/>
  <c r="B19725" i="2"/>
  <c r="B19724" i="2"/>
  <c r="B19723" i="2"/>
  <c r="B19722" i="2"/>
  <c r="B19721" i="2"/>
  <c r="B19720" i="2"/>
  <c r="B19719" i="2"/>
  <c r="B19718" i="2"/>
  <c r="B19717" i="2"/>
  <c r="B19716" i="2"/>
  <c r="B19715" i="2"/>
  <c r="B19714" i="2"/>
  <c r="B19713" i="2"/>
  <c r="B19712" i="2"/>
  <c r="B19711" i="2"/>
  <c r="B19710" i="2"/>
  <c r="B19709" i="2"/>
  <c r="B19708" i="2"/>
  <c r="B19707" i="2"/>
  <c r="B19706" i="2"/>
  <c r="B19705" i="2"/>
  <c r="B19704" i="2"/>
  <c r="B19703" i="2"/>
  <c r="B19702" i="2"/>
  <c r="B19701" i="2"/>
  <c r="B19700" i="2"/>
  <c r="B19699" i="2"/>
  <c r="B19698" i="2"/>
  <c r="B19697" i="2"/>
  <c r="B19696" i="2"/>
  <c r="B19695" i="2"/>
  <c r="B19694" i="2"/>
  <c r="B19693" i="2"/>
  <c r="B19692" i="2"/>
  <c r="B19691" i="2"/>
  <c r="B19690" i="2"/>
  <c r="B19689" i="2"/>
  <c r="B19688" i="2"/>
  <c r="B19687" i="2"/>
  <c r="B19686" i="2"/>
  <c r="B19685" i="2"/>
  <c r="B19684" i="2"/>
  <c r="B19683" i="2"/>
  <c r="B19682" i="2"/>
  <c r="B19681" i="2"/>
  <c r="B19680" i="2"/>
  <c r="B19679" i="2"/>
  <c r="B19678" i="2"/>
  <c r="B19677" i="2"/>
  <c r="B19676" i="2"/>
  <c r="B19675" i="2"/>
  <c r="B19674" i="2"/>
  <c r="B19673" i="2"/>
  <c r="B19672" i="2"/>
  <c r="B19671" i="2"/>
  <c r="B19670" i="2"/>
  <c r="B19669" i="2"/>
  <c r="B19668" i="2"/>
  <c r="B19667" i="2"/>
  <c r="B19666" i="2"/>
  <c r="B19665" i="2"/>
  <c r="B19664" i="2"/>
  <c r="B19663" i="2"/>
  <c r="B19662" i="2"/>
  <c r="B19661" i="2"/>
  <c r="B19660" i="2"/>
  <c r="B19659" i="2"/>
  <c r="B19658" i="2"/>
  <c r="B19657" i="2"/>
  <c r="B19656" i="2"/>
  <c r="B19655" i="2"/>
  <c r="B19654" i="2"/>
  <c r="B19653" i="2"/>
  <c r="B19652" i="2"/>
  <c r="B19651" i="2"/>
  <c r="B19650" i="2"/>
  <c r="B19649" i="2"/>
  <c r="B19648" i="2"/>
  <c r="B19647" i="2"/>
  <c r="B19646" i="2"/>
  <c r="B19645" i="2"/>
  <c r="B19644" i="2"/>
  <c r="B19643" i="2"/>
  <c r="B19642" i="2"/>
  <c r="B19641" i="2"/>
  <c r="B19640" i="2"/>
  <c r="B19639" i="2"/>
  <c r="B19638" i="2"/>
  <c r="B19637" i="2"/>
  <c r="B19636" i="2"/>
  <c r="B19635" i="2"/>
  <c r="B19634" i="2"/>
  <c r="B19633" i="2"/>
  <c r="B19632" i="2"/>
  <c r="B19631" i="2"/>
  <c r="B19630" i="2"/>
  <c r="B19629" i="2"/>
  <c r="B19628" i="2"/>
  <c r="B19627" i="2"/>
  <c r="B19626" i="2"/>
  <c r="B19625" i="2"/>
  <c r="B19624" i="2"/>
  <c r="B19623" i="2"/>
  <c r="B19622" i="2"/>
  <c r="B19621" i="2"/>
  <c r="B19620" i="2"/>
  <c r="B19619" i="2"/>
  <c r="B19618" i="2"/>
  <c r="B19617" i="2"/>
  <c r="B19616" i="2"/>
  <c r="B19615" i="2"/>
  <c r="B19614" i="2"/>
  <c r="B19613" i="2"/>
  <c r="B19612" i="2"/>
  <c r="B19611" i="2"/>
  <c r="B19610" i="2"/>
  <c r="B19609" i="2"/>
  <c r="B19608" i="2"/>
  <c r="B19607" i="2"/>
  <c r="B19606" i="2"/>
  <c r="B19605" i="2"/>
  <c r="B19604" i="2"/>
  <c r="B19603" i="2"/>
  <c r="B19602" i="2"/>
  <c r="B19601" i="2"/>
  <c r="B19600" i="2"/>
  <c r="B19599" i="2"/>
  <c r="B19598" i="2"/>
  <c r="B19597" i="2"/>
  <c r="B19596" i="2"/>
  <c r="B19595" i="2"/>
  <c r="B19594" i="2"/>
  <c r="B19593" i="2"/>
  <c r="B19592" i="2"/>
  <c r="B19591" i="2"/>
  <c r="B19590" i="2"/>
  <c r="B19589" i="2"/>
  <c r="B19588" i="2"/>
  <c r="B19587" i="2"/>
  <c r="B19586" i="2"/>
  <c r="B19585" i="2"/>
  <c r="B19584" i="2"/>
  <c r="B19583" i="2"/>
  <c r="B19582" i="2"/>
  <c r="B19581" i="2"/>
  <c r="B19580" i="2"/>
  <c r="B19579" i="2"/>
  <c r="B19578" i="2"/>
  <c r="B19577" i="2"/>
  <c r="B19576" i="2"/>
  <c r="B19575" i="2"/>
  <c r="B19574" i="2"/>
  <c r="B19573" i="2"/>
  <c r="B19572" i="2"/>
  <c r="B19571" i="2"/>
  <c r="B19570" i="2"/>
  <c r="B19569" i="2"/>
  <c r="B19568" i="2"/>
  <c r="B19567" i="2"/>
  <c r="B19566" i="2"/>
  <c r="B19565" i="2"/>
  <c r="B19564" i="2"/>
  <c r="B19563" i="2"/>
  <c r="B19562" i="2"/>
  <c r="B19561" i="2"/>
  <c r="B19560" i="2"/>
  <c r="B19559" i="2"/>
  <c r="B19558" i="2"/>
  <c r="B19557" i="2"/>
  <c r="B19556" i="2"/>
  <c r="B19555" i="2"/>
  <c r="B19554" i="2"/>
  <c r="B19553" i="2"/>
  <c r="B19552" i="2"/>
  <c r="B19551" i="2"/>
  <c r="B19550" i="2"/>
  <c r="B19549" i="2"/>
  <c r="B19548" i="2"/>
  <c r="B19547" i="2"/>
  <c r="B19546" i="2"/>
  <c r="B19545" i="2"/>
  <c r="B19544" i="2"/>
  <c r="B19543" i="2"/>
  <c r="B19542" i="2"/>
  <c r="B19541" i="2"/>
  <c r="B19540" i="2"/>
  <c r="B19539" i="2"/>
  <c r="B19538" i="2"/>
  <c r="B19537" i="2"/>
  <c r="B19536" i="2"/>
  <c r="B19535" i="2"/>
  <c r="B19534" i="2"/>
  <c r="B19533" i="2"/>
  <c r="B19532" i="2"/>
  <c r="B19531" i="2"/>
  <c r="B19530" i="2"/>
  <c r="B19529" i="2"/>
  <c r="B19528" i="2"/>
  <c r="B19527" i="2"/>
  <c r="B19526" i="2"/>
  <c r="B19525" i="2"/>
  <c r="B19524" i="2"/>
  <c r="B19523" i="2"/>
  <c r="B19522" i="2"/>
  <c r="B19521" i="2"/>
  <c r="B19520" i="2"/>
  <c r="B19519" i="2"/>
  <c r="B19518" i="2"/>
  <c r="B19517" i="2"/>
  <c r="B19516" i="2"/>
  <c r="B19515" i="2"/>
  <c r="B19514" i="2"/>
  <c r="B19513" i="2"/>
  <c r="B19512" i="2"/>
  <c r="B19511" i="2"/>
  <c r="B19510" i="2"/>
  <c r="B19509" i="2"/>
  <c r="B19508" i="2"/>
  <c r="B19507" i="2"/>
  <c r="B19506" i="2"/>
  <c r="B19505" i="2"/>
  <c r="B19504" i="2"/>
  <c r="B19503" i="2"/>
  <c r="B19502" i="2"/>
  <c r="B19501" i="2"/>
  <c r="B19500" i="2"/>
  <c r="B19499" i="2"/>
  <c r="B19498" i="2"/>
  <c r="B19497" i="2"/>
  <c r="B19496" i="2"/>
  <c r="B19495" i="2"/>
  <c r="B19494" i="2"/>
  <c r="B19493" i="2"/>
  <c r="B19492" i="2"/>
  <c r="B19491" i="2"/>
  <c r="B19490" i="2"/>
  <c r="B19489" i="2"/>
  <c r="B19488" i="2"/>
  <c r="B19487" i="2"/>
  <c r="B19486" i="2"/>
  <c r="B19485" i="2"/>
  <c r="B19484" i="2"/>
  <c r="B19483" i="2"/>
  <c r="B19482" i="2"/>
  <c r="B19481" i="2"/>
  <c r="B19480" i="2"/>
  <c r="B19479" i="2"/>
  <c r="B19478" i="2"/>
  <c r="B19477" i="2"/>
  <c r="B19476" i="2"/>
  <c r="B19475" i="2"/>
  <c r="B19474" i="2"/>
  <c r="B19473" i="2"/>
  <c r="B19472" i="2"/>
  <c r="B19471" i="2"/>
  <c r="B19470" i="2"/>
  <c r="B19469" i="2"/>
  <c r="B19468" i="2"/>
  <c r="B19467" i="2"/>
  <c r="B19466" i="2"/>
  <c r="B19465" i="2"/>
  <c r="B19464" i="2"/>
  <c r="B19463" i="2"/>
  <c r="B19462" i="2"/>
  <c r="B19461" i="2"/>
  <c r="B19460" i="2"/>
  <c r="B19459" i="2"/>
  <c r="B19458" i="2"/>
  <c r="B19457" i="2"/>
  <c r="B19456" i="2"/>
  <c r="B19455" i="2"/>
  <c r="B19454" i="2"/>
  <c r="B19453" i="2"/>
  <c r="B19452" i="2"/>
  <c r="B19451" i="2"/>
  <c r="B19450" i="2"/>
  <c r="B19449" i="2"/>
  <c r="B19448" i="2"/>
  <c r="B19447" i="2"/>
  <c r="B19446" i="2"/>
  <c r="B19445" i="2"/>
  <c r="B19444" i="2"/>
  <c r="B19443" i="2"/>
  <c r="B19442" i="2"/>
  <c r="B19441" i="2"/>
  <c r="B19440" i="2"/>
  <c r="B19439" i="2"/>
  <c r="B19438" i="2"/>
  <c r="B19437" i="2"/>
  <c r="B19436" i="2"/>
  <c r="B19435" i="2"/>
  <c r="B19434" i="2"/>
  <c r="B19433" i="2"/>
  <c r="B19432" i="2"/>
  <c r="B19431" i="2"/>
  <c r="B19430" i="2"/>
  <c r="B19429" i="2"/>
  <c r="B19428" i="2"/>
  <c r="B19427" i="2"/>
  <c r="B19426" i="2"/>
  <c r="B19425" i="2"/>
  <c r="B19424" i="2"/>
  <c r="B19423" i="2"/>
  <c r="B19422" i="2"/>
  <c r="B19421" i="2"/>
  <c r="B19420" i="2"/>
  <c r="B19419" i="2"/>
  <c r="B19418" i="2"/>
  <c r="B19417" i="2"/>
  <c r="B19416" i="2"/>
  <c r="B19415" i="2"/>
  <c r="B19414" i="2"/>
  <c r="B19413" i="2"/>
  <c r="B19412" i="2"/>
  <c r="B19411" i="2"/>
  <c r="B19410" i="2"/>
  <c r="B19409" i="2"/>
  <c r="B19408" i="2"/>
  <c r="B19407" i="2"/>
  <c r="B19406" i="2"/>
  <c r="B19405" i="2"/>
  <c r="B19404" i="2"/>
  <c r="B19403" i="2"/>
  <c r="B19402" i="2"/>
  <c r="B19401" i="2"/>
  <c r="B19400" i="2"/>
  <c r="B19399" i="2"/>
  <c r="B19398" i="2"/>
  <c r="B19397" i="2"/>
  <c r="B19396" i="2"/>
  <c r="B19395" i="2"/>
  <c r="B19394" i="2"/>
  <c r="B19393" i="2"/>
  <c r="B19392" i="2"/>
  <c r="B19391" i="2"/>
  <c r="B19390" i="2"/>
  <c r="B19389" i="2"/>
  <c r="B19388" i="2"/>
  <c r="B19387" i="2"/>
  <c r="B19386" i="2"/>
  <c r="B19385" i="2"/>
  <c r="B19384" i="2"/>
  <c r="B19383" i="2"/>
  <c r="B19382" i="2"/>
  <c r="B19381" i="2"/>
  <c r="B19380" i="2"/>
  <c r="B19379" i="2"/>
  <c r="B19378" i="2"/>
  <c r="B19377" i="2"/>
  <c r="B19376" i="2"/>
  <c r="B19375" i="2"/>
  <c r="B19374" i="2"/>
  <c r="B19373" i="2"/>
  <c r="B19372" i="2"/>
  <c r="B19371" i="2"/>
  <c r="B19370" i="2"/>
  <c r="B19369" i="2"/>
  <c r="B19368" i="2"/>
  <c r="B19367" i="2"/>
  <c r="B19366" i="2"/>
  <c r="B19365" i="2"/>
  <c r="B19364" i="2"/>
  <c r="B19363" i="2"/>
  <c r="B19362" i="2"/>
  <c r="B19361" i="2"/>
  <c r="B19360" i="2"/>
  <c r="B19359" i="2"/>
  <c r="B19358" i="2"/>
  <c r="B19357" i="2"/>
  <c r="B19356" i="2"/>
  <c r="B19355" i="2"/>
  <c r="B19354" i="2"/>
  <c r="B19353" i="2"/>
  <c r="B19352" i="2"/>
  <c r="B19351" i="2"/>
  <c r="B19350" i="2"/>
  <c r="B19349" i="2"/>
  <c r="B19348" i="2"/>
  <c r="B19347" i="2"/>
  <c r="B19346" i="2"/>
  <c r="B19345" i="2"/>
  <c r="B19344" i="2"/>
  <c r="B19343" i="2"/>
  <c r="B19342" i="2"/>
  <c r="B19341" i="2"/>
  <c r="B19340" i="2"/>
  <c r="B19339" i="2"/>
  <c r="B19338" i="2"/>
  <c r="B19337" i="2"/>
  <c r="B19336" i="2"/>
  <c r="B19335" i="2"/>
  <c r="B19334" i="2"/>
  <c r="B19333" i="2"/>
  <c r="B19332" i="2"/>
  <c r="B19331" i="2"/>
  <c r="B19330" i="2"/>
  <c r="B19329" i="2"/>
  <c r="B19328" i="2"/>
  <c r="B19327" i="2"/>
  <c r="B19326" i="2"/>
  <c r="B19325" i="2"/>
  <c r="B19324" i="2"/>
  <c r="B19323" i="2"/>
  <c r="B19322" i="2"/>
  <c r="B19321" i="2"/>
  <c r="B19320" i="2"/>
  <c r="B19319" i="2"/>
  <c r="B19318" i="2"/>
  <c r="B19317" i="2"/>
  <c r="B19316" i="2"/>
  <c r="B19315" i="2"/>
  <c r="B19314" i="2"/>
  <c r="B19313" i="2"/>
  <c r="B19312" i="2"/>
  <c r="B19311" i="2"/>
  <c r="B19310" i="2"/>
  <c r="B19309" i="2"/>
  <c r="B19308" i="2"/>
  <c r="B19307" i="2"/>
  <c r="B19306" i="2"/>
  <c r="B19305" i="2"/>
  <c r="B19304" i="2"/>
  <c r="B19303" i="2"/>
  <c r="B19302" i="2"/>
  <c r="B19301" i="2"/>
  <c r="B19300" i="2"/>
  <c r="B19299" i="2"/>
  <c r="B19298" i="2"/>
  <c r="B19297" i="2"/>
  <c r="B19296" i="2"/>
  <c r="B19295" i="2"/>
  <c r="B19294" i="2"/>
  <c r="B19293" i="2"/>
  <c r="B19292" i="2"/>
  <c r="B19291" i="2"/>
  <c r="B19290" i="2"/>
  <c r="B19289" i="2"/>
  <c r="B19288" i="2"/>
  <c r="B19287" i="2"/>
  <c r="B19286" i="2"/>
  <c r="B19285" i="2"/>
  <c r="B19284" i="2"/>
  <c r="B19283" i="2"/>
  <c r="B19282" i="2"/>
  <c r="B19281" i="2"/>
  <c r="B19280" i="2"/>
  <c r="B19279" i="2"/>
  <c r="B19278" i="2"/>
  <c r="B19277" i="2"/>
  <c r="B19276" i="2"/>
  <c r="B19275" i="2"/>
  <c r="B19274" i="2"/>
  <c r="B19273" i="2"/>
  <c r="B19272" i="2"/>
  <c r="B19271" i="2"/>
  <c r="B19270" i="2"/>
  <c r="B19269" i="2"/>
  <c r="B19268" i="2"/>
  <c r="B19267" i="2"/>
  <c r="B19266" i="2"/>
  <c r="B19265" i="2"/>
  <c r="B19264" i="2"/>
  <c r="B19263" i="2"/>
  <c r="B19262" i="2"/>
  <c r="B19261" i="2"/>
  <c r="B19260" i="2"/>
  <c r="B19259" i="2"/>
  <c r="B19258" i="2"/>
  <c r="B19257" i="2"/>
  <c r="B19256" i="2"/>
  <c r="B19255" i="2"/>
  <c r="B19254" i="2"/>
  <c r="B19253" i="2"/>
  <c r="B19252" i="2"/>
  <c r="B19251" i="2"/>
  <c r="B19250" i="2"/>
  <c r="B19249" i="2"/>
  <c r="B19248" i="2"/>
  <c r="B19247" i="2"/>
  <c r="B19246" i="2"/>
  <c r="B19245" i="2"/>
  <c r="B19244" i="2"/>
  <c r="B19243" i="2"/>
  <c r="B19242" i="2"/>
  <c r="B19241" i="2"/>
  <c r="B19240" i="2"/>
  <c r="B19239" i="2"/>
  <c r="B19238" i="2"/>
  <c r="B19237" i="2"/>
  <c r="B19236" i="2"/>
  <c r="B19235" i="2"/>
  <c r="B19234" i="2"/>
  <c r="B19233" i="2"/>
  <c r="B19232" i="2"/>
  <c r="B19231" i="2"/>
  <c r="B19230" i="2"/>
  <c r="B19229" i="2"/>
  <c r="B19228" i="2"/>
  <c r="B19227" i="2"/>
  <c r="B19226" i="2"/>
  <c r="B19225" i="2"/>
  <c r="B19224" i="2"/>
  <c r="B19223" i="2"/>
  <c r="B19222" i="2"/>
  <c r="B19221" i="2"/>
  <c r="B19220" i="2"/>
  <c r="B19219" i="2"/>
  <c r="B19218" i="2"/>
  <c r="B19217" i="2"/>
  <c r="B19216" i="2"/>
  <c r="B19215" i="2"/>
  <c r="B19214" i="2"/>
  <c r="B19213" i="2"/>
  <c r="B19212" i="2"/>
  <c r="B19211" i="2"/>
  <c r="B19210" i="2"/>
  <c r="B19209" i="2"/>
  <c r="B19208" i="2"/>
  <c r="B19207" i="2"/>
  <c r="B19206" i="2"/>
  <c r="B19205" i="2"/>
  <c r="B19204" i="2"/>
  <c r="B19203" i="2"/>
  <c r="B19202" i="2"/>
  <c r="B19201" i="2"/>
  <c r="B19200" i="2"/>
  <c r="B19199" i="2"/>
  <c r="B19198" i="2"/>
  <c r="B19197" i="2"/>
  <c r="B19196" i="2"/>
  <c r="B19195" i="2"/>
  <c r="B19194" i="2"/>
  <c r="B19193" i="2"/>
  <c r="B19192" i="2"/>
  <c r="B19191" i="2"/>
  <c r="B19190" i="2"/>
  <c r="B19189" i="2"/>
  <c r="B19188" i="2"/>
  <c r="B19187" i="2"/>
  <c r="B19186" i="2"/>
  <c r="B19185" i="2"/>
  <c r="B19184" i="2"/>
  <c r="B19183" i="2"/>
  <c r="B19182" i="2"/>
  <c r="B19181" i="2"/>
  <c r="B19180" i="2"/>
  <c r="B19179" i="2"/>
  <c r="B19178" i="2"/>
  <c r="B19177" i="2"/>
  <c r="B19176" i="2"/>
  <c r="B19175" i="2"/>
  <c r="B19174" i="2"/>
  <c r="B19173" i="2"/>
  <c r="B19172" i="2"/>
  <c r="B19171" i="2"/>
  <c r="B19170" i="2"/>
  <c r="B19169" i="2"/>
  <c r="B19168" i="2"/>
  <c r="B19167" i="2"/>
  <c r="B19166" i="2"/>
  <c r="B19165" i="2"/>
  <c r="B19164" i="2"/>
  <c r="B19163" i="2"/>
  <c r="B19162" i="2"/>
  <c r="B19161" i="2"/>
  <c r="B19160" i="2"/>
  <c r="B19159" i="2"/>
  <c r="B19158" i="2"/>
  <c r="B19157" i="2"/>
  <c r="B19156" i="2"/>
  <c r="B19155" i="2"/>
  <c r="B19154" i="2"/>
  <c r="B19153" i="2"/>
  <c r="B19152" i="2"/>
  <c r="B19151" i="2"/>
  <c r="B19150" i="2"/>
  <c r="B19149" i="2"/>
  <c r="B19148" i="2"/>
  <c r="B19147" i="2"/>
  <c r="B19146" i="2"/>
  <c r="B19145" i="2"/>
  <c r="B19144" i="2"/>
  <c r="B19143" i="2"/>
  <c r="B19142" i="2"/>
  <c r="B19141" i="2"/>
  <c r="B19140" i="2"/>
  <c r="B19139" i="2"/>
  <c r="B19138" i="2"/>
  <c r="B19137" i="2"/>
  <c r="B19136" i="2"/>
  <c r="B19135" i="2"/>
  <c r="B19134" i="2"/>
  <c r="B19133" i="2"/>
  <c r="B19132" i="2"/>
  <c r="B19131" i="2"/>
  <c r="B19130" i="2"/>
  <c r="B19129" i="2"/>
  <c r="B19128" i="2"/>
  <c r="B19127" i="2"/>
  <c r="B19126" i="2"/>
  <c r="B19125" i="2"/>
  <c r="B19124" i="2"/>
  <c r="B19123" i="2"/>
  <c r="B19122" i="2"/>
  <c r="B19121" i="2"/>
  <c r="B19120" i="2"/>
  <c r="B19119" i="2"/>
  <c r="B19118" i="2"/>
  <c r="B19117" i="2"/>
  <c r="B19116" i="2"/>
  <c r="B19115" i="2"/>
  <c r="B19114" i="2"/>
  <c r="B19113" i="2"/>
  <c r="B19112" i="2"/>
  <c r="B19111" i="2"/>
  <c r="B19110" i="2"/>
  <c r="B19109" i="2"/>
  <c r="B19108" i="2"/>
  <c r="B19107" i="2"/>
  <c r="B19106" i="2"/>
  <c r="B19105" i="2"/>
  <c r="B19104" i="2"/>
  <c r="B19103" i="2"/>
  <c r="B19102" i="2"/>
  <c r="B19101" i="2"/>
  <c r="B19100" i="2"/>
  <c r="B19099" i="2"/>
  <c r="B19098" i="2"/>
  <c r="B19097" i="2"/>
  <c r="B19096" i="2"/>
  <c r="B19095" i="2"/>
  <c r="B19094" i="2"/>
  <c r="B19093" i="2"/>
  <c r="B19092" i="2"/>
  <c r="B19091" i="2"/>
  <c r="B19090" i="2"/>
  <c r="B19089" i="2"/>
  <c r="B19088" i="2"/>
  <c r="B19087" i="2"/>
  <c r="B19086" i="2"/>
  <c r="B19085" i="2"/>
  <c r="B19084" i="2"/>
  <c r="B19083" i="2"/>
  <c r="B19082" i="2"/>
  <c r="B19081" i="2"/>
  <c r="B19080" i="2"/>
  <c r="B19079" i="2"/>
  <c r="B19078" i="2"/>
  <c r="B19077" i="2"/>
  <c r="B19076" i="2"/>
  <c r="B19075" i="2"/>
  <c r="B19074" i="2"/>
  <c r="B19073" i="2"/>
  <c r="B19072" i="2"/>
  <c r="B19071" i="2"/>
  <c r="B19070" i="2"/>
  <c r="B19069" i="2"/>
  <c r="B19068" i="2"/>
  <c r="B19067" i="2"/>
  <c r="B19066" i="2"/>
  <c r="B19065" i="2"/>
  <c r="B19064" i="2"/>
  <c r="B19063" i="2"/>
  <c r="B19062" i="2"/>
  <c r="B19061" i="2"/>
  <c r="B19060" i="2"/>
  <c r="B19059" i="2"/>
  <c r="B19058" i="2"/>
  <c r="B19057" i="2"/>
  <c r="B19056" i="2"/>
  <c r="B19055" i="2"/>
  <c r="B19054" i="2"/>
  <c r="B19053" i="2"/>
  <c r="B19052" i="2"/>
  <c r="B19051" i="2"/>
  <c r="B19050" i="2"/>
  <c r="B19049" i="2"/>
  <c r="B19048" i="2"/>
  <c r="B19047" i="2"/>
  <c r="B19046" i="2"/>
  <c r="B19045" i="2"/>
  <c r="B19044" i="2"/>
  <c r="B19043" i="2"/>
  <c r="B19042" i="2"/>
  <c r="B19041" i="2"/>
  <c r="B19040" i="2"/>
  <c r="B19039" i="2"/>
  <c r="B19038" i="2"/>
  <c r="B19037" i="2"/>
  <c r="B19036" i="2"/>
  <c r="B19035" i="2"/>
  <c r="B19034" i="2"/>
  <c r="B19033" i="2"/>
  <c r="B19032" i="2"/>
  <c r="B19031" i="2"/>
  <c r="B19030" i="2"/>
  <c r="B19029" i="2"/>
  <c r="B19028" i="2"/>
  <c r="B19027" i="2"/>
  <c r="B19026" i="2"/>
  <c r="B19025" i="2"/>
  <c r="B19024" i="2"/>
  <c r="B19023" i="2"/>
  <c r="B19022" i="2"/>
  <c r="B19021" i="2"/>
  <c r="B19020" i="2"/>
  <c r="B19019" i="2"/>
  <c r="B19018" i="2"/>
  <c r="B19017" i="2"/>
  <c r="B19016" i="2"/>
  <c r="B19015" i="2"/>
  <c r="B19014" i="2"/>
  <c r="B19013" i="2"/>
  <c r="B19012" i="2"/>
  <c r="B19011" i="2"/>
  <c r="B19010" i="2"/>
  <c r="B19009" i="2"/>
  <c r="B19008" i="2"/>
  <c r="B19007" i="2"/>
  <c r="B19006" i="2"/>
  <c r="B19005" i="2"/>
  <c r="B19004" i="2"/>
  <c r="B19003" i="2"/>
  <c r="B19002" i="2"/>
  <c r="B19001" i="2"/>
  <c r="B19000" i="2"/>
  <c r="B18999" i="2"/>
  <c r="B18998" i="2"/>
  <c r="B18997" i="2"/>
  <c r="B18996" i="2"/>
  <c r="B18995" i="2"/>
  <c r="B18994" i="2"/>
  <c r="B18993" i="2"/>
  <c r="B18992" i="2"/>
  <c r="B18991" i="2"/>
  <c r="B18990" i="2"/>
  <c r="B18989" i="2"/>
  <c r="B18988" i="2"/>
  <c r="B18987" i="2"/>
  <c r="B18986" i="2"/>
  <c r="B18985" i="2"/>
  <c r="B18984" i="2"/>
  <c r="B18983" i="2"/>
  <c r="B18982" i="2"/>
  <c r="B18981" i="2"/>
  <c r="B18980" i="2"/>
  <c r="B18979" i="2"/>
  <c r="B18978" i="2"/>
  <c r="B18977" i="2"/>
  <c r="B18976" i="2"/>
  <c r="B18975" i="2"/>
  <c r="B18974" i="2"/>
  <c r="B18973" i="2"/>
  <c r="B18972" i="2"/>
  <c r="B18971" i="2"/>
  <c r="B18970" i="2"/>
  <c r="B18969" i="2"/>
  <c r="B18968" i="2"/>
  <c r="B18967" i="2"/>
  <c r="B18966" i="2"/>
  <c r="B18965" i="2"/>
  <c r="B18964" i="2"/>
  <c r="B18963" i="2"/>
  <c r="B18962" i="2"/>
  <c r="B18961" i="2"/>
  <c r="B18960" i="2"/>
  <c r="B18959" i="2"/>
  <c r="B18958" i="2"/>
  <c r="B18957" i="2"/>
  <c r="B18956" i="2"/>
  <c r="B18955" i="2"/>
  <c r="B18954" i="2"/>
  <c r="B18953" i="2"/>
  <c r="B18952" i="2"/>
  <c r="B18951" i="2"/>
  <c r="B18950" i="2"/>
  <c r="B18949" i="2"/>
  <c r="B18948" i="2"/>
  <c r="B18947" i="2"/>
  <c r="B18946" i="2"/>
  <c r="B18945" i="2"/>
  <c r="B18944" i="2"/>
  <c r="B18943" i="2"/>
  <c r="B18942" i="2"/>
  <c r="B18941" i="2"/>
  <c r="B18940" i="2"/>
  <c r="B18939" i="2"/>
  <c r="B18938" i="2"/>
  <c r="B18937" i="2"/>
  <c r="B18936" i="2"/>
  <c r="B18935" i="2"/>
  <c r="B18934" i="2"/>
  <c r="B18933" i="2"/>
  <c r="B18932" i="2"/>
  <c r="B18931" i="2"/>
  <c r="B18930" i="2"/>
  <c r="B18929" i="2"/>
  <c r="B18928" i="2"/>
  <c r="B18927" i="2"/>
  <c r="B18926" i="2"/>
  <c r="B18925" i="2"/>
  <c r="B18924" i="2"/>
  <c r="B18923" i="2"/>
  <c r="B18922" i="2"/>
  <c r="B18921" i="2"/>
  <c r="B18920" i="2"/>
  <c r="B18919" i="2"/>
  <c r="B18918" i="2"/>
  <c r="B18917" i="2"/>
  <c r="B18916" i="2"/>
  <c r="B18915" i="2"/>
  <c r="B18914" i="2"/>
  <c r="B18913" i="2"/>
  <c r="B18912" i="2"/>
  <c r="B18911" i="2"/>
  <c r="B18910" i="2"/>
  <c r="B18909" i="2"/>
  <c r="B18908" i="2"/>
  <c r="B18907" i="2"/>
  <c r="B18906" i="2"/>
  <c r="B18905" i="2"/>
  <c r="B18904" i="2"/>
  <c r="B18903" i="2"/>
  <c r="B18902" i="2"/>
  <c r="B18901" i="2"/>
  <c r="B18900" i="2"/>
  <c r="B18899" i="2"/>
  <c r="B18898" i="2"/>
  <c r="B18897" i="2"/>
  <c r="B18896" i="2"/>
  <c r="B18895" i="2"/>
  <c r="B18894" i="2"/>
  <c r="B18893" i="2"/>
  <c r="B18892" i="2"/>
  <c r="B18891" i="2"/>
  <c r="B18890" i="2"/>
  <c r="B18889" i="2"/>
  <c r="B18888" i="2"/>
  <c r="B18887" i="2"/>
  <c r="B18886" i="2"/>
  <c r="B18885" i="2"/>
  <c r="B18884" i="2"/>
  <c r="B18883" i="2"/>
  <c r="B18882" i="2"/>
  <c r="B18881" i="2"/>
  <c r="B18880" i="2"/>
  <c r="B18879" i="2"/>
  <c r="B18878" i="2"/>
  <c r="B18877" i="2"/>
  <c r="B18876" i="2"/>
  <c r="B18875" i="2"/>
  <c r="B18874" i="2"/>
  <c r="B18873" i="2"/>
  <c r="B18872" i="2"/>
  <c r="B18871" i="2"/>
  <c r="B18870" i="2"/>
  <c r="B18869" i="2"/>
  <c r="B18868" i="2"/>
  <c r="B18867" i="2"/>
  <c r="B18866" i="2"/>
  <c r="B18865" i="2"/>
  <c r="B18864" i="2"/>
  <c r="B18863" i="2"/>
  <c r="B18862" i="2"/>
  <c r="B18861" i="2"/>
  <c r="B18860" i="2"/>
  <c r="B18859" i="2"/>
  <c r="B18858" i="2"/>
  <c r="B18857" i="2"/>
  <c r="B18856" i="2"/>
  <c r="B18855" i="2"/>
  <c r="B18854" i="2"/>
  <c r="B18853" i="2"/>
  <c r="B18852" i="2"/>
  <c r="B18851" i="2"/>
  <c r="B18850" i="2"/>
  <c r="B18849" i="2"/>
  <c r="B18848" i="2"/>
  <c r="B18847" i="2"/>
  <c r="B18846" i="2"/>
  <c r="B18845" i="2"/>
  <c r="B18844" i="2"/>
  <c r="B18843" i="2"/>
  <c r="B18842" i="2"/>
  <c r="B18841" i="2"/>
  <c r="B18840" i="2"/>
  <c r="B18839" i="2"/>
  <c r="B18838" i="2"/>
  <c r="B18837" i="2"/>
  <c r="B18836" i="2"/>
  <c r="B18835" i="2"/>
  <c r="B18834" i="2"/>
  <c r="B18833" i="2"/>
  <c r="B18832" i="2"/>
  <c r="B18831" i="2"/>
  <c r="B18830" i="2"/>
  <c r="B18829" i="2"/>
  <c r="B18828" i="2"/>
  <c r="B18827" i="2"/>
  <c r="B18826" i="2"/>
  <c r="B18825" i="2"/>
  <c r="B18824" i="2"/>
  <c r="B18823" i="2"/>
  <c r="B18822" i="2"/>
  <c r="B18821" i="2"/>
  <c r="B18820" i="2"/>
  <c r="B18819" i="2"/>
  <c r="B18818" i="2"/>
  <c r="B18817" i="2"/>
  <c r="B18816" i="2"/>
  <c r="B18815" i="2"/>
  <c r="B18814" i="2"/>
  <c r="B18813" i="2"/>
  <c r="B18812" i="2"/>
  <c r="B18811" i="2"/>
  <c r="B18810" i="2"/>
  <c r="B18809" i="2"/>
  <c r="B18808" i="2"/>
  <c r="B18807" i="2"/>
  <c r="B18806" i="2"/>
  <c r="B18805" i="2"/>
  <c r="B18804" i="2"/>
  <c r="B18803" i="2"/>
  <c r="B18802" i="2"/>
  <c r="B18801" i="2"/>
  <c r="B18800" i="2"/>
  <c r="B18799" i="2"/>
  <c r="B18798" i="2"/>
  <c r="B18797" i="2"/>
  <c r="B18796" i="2"/>
  <c r="B18795" i="2"/>
  <c r="B18794" i="2"/>
  <c r="B18793" i="2"/>
  <c r="B18792" i="2"/>
  <c r="B18791" i="2"/>
  <c r="B18790" i="2"/>
  <c r="B18789" i="2"/>
  <c r="B18788" i="2"/>
  <c r="B18787" i="2"/>
  <c r="B18786" i="2"/>
  <c r="B18785" i="2"/>
  <c r="B18784" i="2"/>
  <c r="B18783" i="2"/>
  <c r="B18782" i="2"/>
  <c r="B18781" i="2"/>
  <c r="B18780" i="2"/>
  <c r="B18779" i="2"/>
  <c r="B18778" i="2"/>
  <c r="B18777" i="2"/>
  <c r="B18776" i="2"/>
  <c r="B18775" i="2"/>
  <c r="B18774" i="2"/>
  <c r="B18773" i="2"/>
  <c r="B18772" i="2"/>
  <c r="B18771" i="2"/>
  <c r="B18770" i="2"/>
  <c r="B18769" i="2"/>
  <c r="B18768" i="2"/>
  <c r="B18767" i="2"/>
  <c r="B18766" i="2"/>
  <c r="B18765" i="2"/>
  <c r="B18764" i="2"/>
  <c r="B18763" i="2"/>
  <c r="B18762" i="2"/>
  <c r="B18761" i="2"/>
  <c r="B18760" i="2"/>
  <c r="B18759" i="2"/>
  <c r="B18758" i="2"/>
  <c r="B18757" i="2"/>
  <c r="B18756" i="2"/>
  <c r="B18755" i="2"/>
  <c r="B18754" i="2"/>
  <c r="B18753" i="2"/>
  <c r="B18752" i="2"/>
  <c r="B18751" i="2"/>
  <c r="B18750" i="2"/>
  <c r="B18749" i="2"/>
  <c r="B18748" i="2"/>
  <c r="B18747" i="2"/>
  <c r="B18746" i="2"/>
  <c r="B18745" i="2"/>
  <c r="B18744" i="2"/>
  <c r="B18743" i="2"/>
  <c r="B18742" i="2"/>
  <c r="B18741" i="2"/>
  <c r="B18740" i="2"/>
  <c r="B18739" i="2"/>
  <c r="B18738" i="2"/>
  <c r="B18737" i="2"/>
  <c r="B18736" i="2"/>
  <c r="B18735" i="2"/>
  <c r="B18734" i="2"/>
  <c r="B18733" i="2"/>
  <c r="B18732" i="2"/>
  <c r="B18731" i="2"/>
  <c r="B18730" i="2"/>
  <c r="B18729" i="2"/>
  <c r="B18728" i="2"/>
  <c r="B18727" i="2"/>
  <c r="B18726" i="2"/>
  <c r="B18725" i="2"/>
  <c r="B18724" i="2"/>
  <c r="B18723" i="2"/>
  <c r="B18722" i="2"/>
  <c r="B18721" i="2"/>
  <c r="B18720" i="2"/>
  <c r="B18719" i="2"/>
  <c r="B18718" i="2"/>
  <c r="B18717" i="2"/>
  <c r="B18716" i="2"/>
  <c r="B18715" i="2"/>
  <c r="B18714" i="2"/>
  <c r="B18713" i="2"/>
  <c r="B18712" i="2"/>
  <c r="B18711" i="2"/>
  <c r="B18710" i="2"/>
  <c r="B18709" i="2"/>
  <c r="B18708" i="2"/>
  <c r="B18707" i="2"/>
  <c r="B18706" i="2"/>
  <c r="B18705" i="2"/>
  <c r="B18704" i="2"/>
  <c r="B18703" i="2"/>
  <c r="B18702" i="2"/>
  <c r="B18701" i="2"/>
  <c r="B18700" i="2"/>
  <c r="B18699" i="2"/>
  <c r="B18698" i="2"/>
  <c r="B18697" i="2"/>
  <c r="B18696" i="2"/>
  <c r="B18695" i="2"/>
  <c r="B18694" i="2"/>
  <c r="B18693" i="2"/>
  <c r="B18692" i="2"/>
  <c r="B18691" i="2"/>
  <c r="B18690" i="2"/>
  <c r="B18689" i="2"/>
  <c r="B18688" i="2"/>
  <c r="B18687" i="2"/>
  <c r="B18686" i="2"/>
  <c r="B18685" i="2"/>
  <c r="B18684" i="2"/>
  <c r="B18683" i="2"/>
  <c r="B18682" i="2"/>
  <c r="B18681" i="2"/>
  <c r="B18680" i="2"/>
  <c r="B18679" i="2"/>
  <c r="B18678" i="2"/>
  <c r="B18677" i="2"/>
  <c r="B18676" i="2"/>
  <c r="B18675" i="2"/>
  <c r="B18674" i="2"/>
  <c r="B18673" i="2"/>
  <c r="B18672" i="2"/>
  <c r="B18671" i="2"/>
  <c r="B18670" i="2"/>
  <c r="B18669" i="2"/>
  <c r="B18668" i="2"/>
  <c r="B18667" i="2"/>
  <c r="B18666" i="2"/>
  <c r="B18665" i="2"/>
  <c r="B18664" i="2"/>
  <c r="B18663" i="2"/>
  <c r="B18662" i="2"/>
  <c r="B18661" i="2"/>
  <c r="B18660" i="2"/>
  <c r="B18659" i="2"/>
  <c r="B18658" i="2"/>
  <c r="B18657" i="2"/>
  <c r="B18656" i="2"/>
  <c r="B18655" i="2"/>
  <c r="B18654" i="2"/>
  <c r="B18653" i="2"/>
  <c r="B18652" i="2"/>
  <c r="B18651" i="2"/>
  <c r="B18650" i="2"/>
  <c r="B18649" i="2"/>
  <c r="B18648" i="2"/>
  <c r="B18647" i="2"/>
  <c r="B18646" i="2"/>
  <c r="B18645" i="2"/>
  <c r="B18644" i="2"/>
  <c r="B18643" i="2"/>
  <c r="B18642" i="2"/>
  <c r="B18641" i="2"/>
  <c r="B18640" i="2"/>
  <c r="B18639" i="2"/>
  <c r="B18638" i="2"/>
  <c r="B18637" i="2"/>
  <c r="B18636" i="2"/>
  <c r="B18635" i="2"/>
  <c r="B18634" i="2"/>
  <c r="B18633" i="2"/>
  <c r="B18632" i="2"/>
  <c r="B18631" i="2"/>
  <c r="B18630" i="2"/>
  <c r="B18629" i="2"/>
  <c r="B18628" i="2"/>
  <c r="B18627" i="2"/>
  <c r="B18626" i="2"/>
  <c r="B18625" i="2"/>
  <c r="B18624" i="2"/>
  <c r="B18623" i="2"/>
  <c r="B18622" i="2"/>
  <c r="B18621" i="2"/>
  <c r="B18620" i="2"/>
  <c r="B18619" i="2"/>
  <c r="B18618" i="2"/>
  <c r="B18617" i="2"/>
  <c r="B18616" i="2"/>
  <c r="B18615" i="2"/>
  <c r="B18614" i="2"/>
  <c r="B18613" i="2"/>
  <c r="B18612" i="2"/>
  <c r="B18611" i="2"/>
  <c r="B18610" i="2"/>
  <c r="B18609" i="2"/>
  <c r="B18608" i="2"/>
  <c r="B18607" i="2"/>
  <c r="B18606" i="2"/>
  <c r="B18605" i="2"/>
  <c r="B18604" i="2"/>
  <c r="B18603" i="2"/>
  <c r="B18602" i="2"/>
  <c r="B18601" i="2"/>
  <c r="B18600" i="2"/>
  <c r="B18599" i="2"/>
  <c r="B18598" i="2"/>
  <c r="B18597" i="2"/>
  <c r="B18596" i="2"/>
  <c r="B18595" i="2"/>
  <c r="B18594" i="2"/>
  <c r="B18593" i="2"/>
  <c r="B18592" i="2"/>
  <c r="B18591" i="2"/>
  <c r="B18590" i="2"/>
  <c r="B18589" i="2"/>
  <c r="B18588" i="2"/>
  <c r="B18587" i="2"/>
  <c r="B18586" i="2"/>
  <c r="B18585" i="2"/>
  <c r="B18584" i="2"/>
  <c r="B18583" i="2"/>
  <c r="B18582" i="2"/>
  <c r="B18581" i="2"/>
  <c r="B18580" i="2"/>
  <c r="B18579" i="2"/>
  <c r="B18578" i="2"/>
  <c r="B18577" i="2"/>
  <c r="B18576" i="2"/>
  <c r="B18575" i="2"/>
  <c r="B18574" i="2"/>
  <c r="B18573" i="2"/>
  <c r="B18572" i="2"/>
  <c r="B18571" i="2"/>
  <c r="B18570" i="2"/>
  <c r="B18569" i="2"/>
  <c r="B18568" i="2"/>
  <c r="B18567" i="2"/>
  <c r="B18566" i="2"/>
  <c r="B18565" i="2"/>
  <c r="B18564" i="2"/>
  <c r="B18563" i="2"/>
  <c r="B18562" i="2"/>
  <c r="B18561" i="2"/>
  <c r="B18560" i="2"/>
  <c r="B18559" i="2"/>
  <c r="B18558" i="2"/>
  <c r="B18557" i="2"/>
  <c r="B18556" i="2"/>
  <c r="B18555" i="2"/>
  <c r="B18554" i="2"/>
  <c r="B18553" i="2"/>
  <c r="B18552" i="2"/>
  <c r="B18551" i="2"/>
  <c r="B18550" i="2"/>
  <c r="B18549" i="2"/>
  <c r="B18548" i="2"/>
  <c r="B18547" i="2"/>
  <c r="B18546" i="2"/>
  <c r="B18545" i="2"/>
  <c r="B18544" i="2"/>
  <c r="B18543" i="2"/>
  <c r="B18542" i="2"/>
  <c r="B18541" i="2"/>
  <c r="B18540" i="2"/>
  <c r="B18539" i="2"/>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R1" authorId="0" shapeId="0" xr:uid="{00000000-0006-0000-0600-000001000000}">
      <text>
        <r>
          <rPr>
            <sz val="10"/>
            <color rgb="FF000000"/>
            <rFont val="Calibri"/>
            <scheme val="minor"/>
          </rPr>
          <t>In order for this to work properly, App/Reg Date must be specifically formatted as date.</t>
        </r>
      </text>
    </comment>
  </commentList>
</comments>
</file>

<file path=xl/sharedStrings.xml><?xml version="1.0" encoding="utf-8"?>
<sst xmlns="http://schemas.openxmlformats.org/spreadsheetml/2006/main" count="7703" uniqueCount="2948">
  <si>
    <t>A. Instructions</t>
  </si>
  <si>
    <r>
      <rPr>
        <b/>
        <sz val="12"/>
        <color theme="1"/>
        <rFont val="Calibri"/>
      </rPr>
      <t>(1)</t>
    </r>
    <r>
      <rPr>
        <sz val="12"/>
        <color theme="1"/>
        <rFont val="Calibri"/>
      </rPr>
      <t xml:space="preserve"> For USPTO and CIPO Trademarks, public information is generally retrieved through the TSDR. You will need to include any additional contacts, collaborators, and other information that would not be publicly available.</t>
    </r>
  </si>
  <si>
    <r>
      <rPr>
        <b/>
        <sz val="12"/>
        <color theme="1"/>
        <rFont val="Calibri"/>
      </rPr>
      <t xml:space="preserve">(2) </t>
    </r>
    <r>
      <rPr>
        <sz val="12"/>
        <color theme="1"/>
        <rFont val="Calibri"/>
      </rPr>
      <t>For international and state trademarks, we rely on the data provided in the spreadsheet to populate your records. This includes information about the filing as well as contacts and collaborators on each record.</t>
    </r>
  </si>
  <si>
    <r>
      <rPr>
        <b/>
        <sz val="12"/>
        <color theme="1"/>
        <rFont val="Calibri"/>
      </rPr>
      <t xml:space="preserve">(3) </t>
    </r>
    <r>
      <rPr>
        <sz val="12"/>
        <color theme="1"/>
        <rFont val="Calibri"/>
      </rPr>
      <t>For any data column that includes a numeric reference (e.g., Collaborator 1, Contact 1, Goods &amp;  Service 1), you can create additional such references to such data if you need it. To do so, we ask that you add additional columns and then copy/paste the header values and update references from "1" to "2" and so forth. Our team can also do this for you.</t>
    </r>
  </si>
  <si>
    <r>
      <rPr>
        <b/>
        <sz val="12"/>
        <color theme="1"/>
        <rFont val="Calibri"/>
      </rPr>
      <t xml:space="preserve">(4) </t>
    </r>
    <r>
      <rPr>
        <sz val="12"/>
        <color theme="1"/>
        <rFont val="Calibri"/>
      </rPr>
      <t xml:space="preserve">Because our data is migrated programmatically, it's important that your international trademark is provided in a consistent and uniform format. Before the migration, our team will also conduct an audit of the data as formatted and provided to us. </t>
    </r>
  </si>
  <si>
    <r>
      <rPr>
        <b/>
        <sz val="12"/>
        <color theme="1"/>
        <rFont val="Calibri"/>
      </rPr>
      <t xml:space="preserve">(5) </t>
    </r>
    <r>
      <rPr>
        <sz val="12"/>
        <color theme="1"/>
        <rFont val="Calibri"/>
      </rPr>
      <t>Common issues that slow down the migration process include: (a) adding multiple data points to the same cell; (b) adding a contact or collaborator without all of the key required attributes (e.g., permission levels); and (c) not organizing the goods/services in a precise manner.</t>
    </r>
  </si>
  <si>
    <r>
      <rPr>
        <b/>
        <sz val="12"/>
        <color theme="1"/>
        <rFont val="Calibri"/>
      </rPr>
      <t>(6)</t>
    </r>
    <r>
      <rPr>
        <sz val="12"/>
        <color theme="1"/>
        <rFont val="Calibri"/>
      </rPr>
      <t xml:space="preserve"> You do not need to modify or update any column or sheet that is labeled "Internal" as that is used for our programmatic import of data, or any column that is colored magenta</t>
    </r>
  </si>
  <si>
    <t>B. Legend</t>
  </si>
  <si>
    <t>We've identifed some of the column names below that might not be as readily apparent. Please feel free to contact us with any questions at help@altlegal.com</t>
  </si>
  <si>
    <r>
      <rPr>
        <b/>
        <sz val="12"/>
        <color theme="1"/>
        <rFont val="Calibri"/>
      </rPr>
      <t>Polity Shortest Name</t>
    </r>
    <r>
      <rPr>
        <sz val="12"/>
        <color theme="1"/>
        <rFont val="Calibri"/>
      </rPr>
      <t xml:space="preserve"> is the Jurisdiction, so for example: Aruba, United Kingdom, or WIPO</t>
    </r>
  </si>
  <si>
    <r>
      <rPr>
        <b/>
        <sz val="12"/>
        <color theme="1"/>
        <rFont val="Calibri"/>
      </rPr>
      <t>Collaborator</t>
    </r>
    <r>
      <rPr>
        <sz val="12"/>
        <color theme="1"/>
        <rFont val="Calibri"/>
      </rPr>
      <t xml:space="preserve"> is internal to your firm, and can be given several access levels. If you're unsure what the access levels mean please reach out to help@altlegal.com</t>
    </r>
  </si>
  <si>
    <r>
      <rPr>
        <b/>
        <sz val="12"/>
        <color theme="1"/>
        <rFont val="Calibri"/>
      </rPr>
      <t>Contact</t>
    </r>
    <r>
      <rPr>
        <sz val="12"/>
        <color theme="1"/>
        <rFont val="Calibri"/>
      </rPr>
      <t xml:space="preserve"> is external to your firm, and can have either no_access or read_only</t>
    </r>
  </si>
  <si>
    <t>Permission Levels:</t>
  </si>
  <si>
    <t>Read, Edit &amp; Delete</t>
  </si>
  <si>
    <t>Read &amp; Edit</t>
  </si>
  <si>
    <t>Read-Only</t>
  </si>
  <si>
    <t>Migrate into Docket?</t>
  </si>
  <si>
    <t>Docketed?</t>
  </si>
  <si>
    <t>Trademark Count</t>
  </si>
  <si>
    <t>Serial / Application</t>
  </si>
  <si>
    <t>Registration</t>
  </si>
  <si>
    <t>Literal</t>
  </si>
  <si>
    <t>LIVE/DEAD</t>
  </si>
  <si>
    <t>Mark Identification Method</t>
  </si>
  <si>
    <t>Date Searched</t>
  </si>
  <si>
    <t>Content</t>
  </si>
  <si>
    <t>Rule Type</t>
  </si>
  <si>
    <t>Action 1 Collaborator Name</t>
  </si>
  <si>
    <t>Action 1 Collaborator Email</t>
  </si>
  <si>
    <t>Action 1 Permission Level</t>
  </si>
  <si>
    <t>Action 1 Roles</t>
  </si>
  <si>
    <t>Action 2 Collaborator Name</t>
  </si>
  <si>
    <t>Action 2 Collaborator Email</t>
  </si>
  <si>
    <t>Action 2 Permission Level</t>
  </si>
  <si>
    <t>Action 2 Roles</t>
  </si>
  <si>
    <t>Action 3 Collaborator Name</t>
  </si>
  <si>
    <t>Action 3 Collaborator Email</t>
  </si>
  <si>
    <t>Action 3 Permission Level</t>
  </si>
  <si>
    <t>Action 3 Roles</t>
  </si>
  <si>
    <t>Sheet intentionally left blank</t>
  </si>
  <si>
    <t>Application Number</t>
  </si>
  <si>
    <t>Registration Number</t>
  </si>
  <si>
    <t>IR Number</t>
  </si>
  <si>
    <t>IR Date</t>
  </si>
  <si>
    <t>Literal Element</t>
  </si>
  <si>
    <t>Priority Date</t>
  </si>
  <si>
    <t>Filing Basis</t>
  </si>
  <si>
    <t>Disclaimer</t>
  </si>
  <si>
    <t>Tags</t>
  </si>
  <si>
    <t>Docket Number</t>
  </si>
  <si>
    <t>File Reference Number</t>
  </si>
  <si>
    <t>Internal Status</t>
  </si>
  <si>
    <t>Active</t>
  </si>
  <si>
    <t>Resolved USPTO Deadlines</t>
  </si>
  <si>
    <t>Resolved USPTO Tasks</t>
  </si>
  <si>
    <t>Entry 1 Date</t>
  </si>
  <si>
    <t>Entry 1 Title</t>
  </si>
  <si>
    <t>Entry 1 Details</t>
  </si>
  <si>
    <t>Entry 1 Due Date</t>
  </si>
  <si>
    <t>Entry 1 Grace Period Date</t>
  </si>
  <si>
    <t>Entry 1 Start Date</t>
  </si>
  <si>
    <t>Entry 1 Is Informative</t>
  </si>
  <si>
    <t>Entry 1 Resolved Date</t>
  </si>
  <si>
    <t>Entry 1 Resolved Note</t>
  </si>
  <si>
    <t>Entry 1 Resolved Status</t>
  </si>
  <si>
    <t>Entry 2 Date</t>
  </si>
  <si>
    <t>Entry 2 Title</t>
  </si>
  <si>
    <t>Entry 2 Details</t>
  </si>
  <si>
    <t>Entry 2 Due Date</t>
  </si>
  <si>
    <t>Entry 2 Grace Period Date</t>
  </si>
  <si>
    <t>Entry 2 Start Date</t>
  </si>
  <si>
    <t>Entry 2 Is Informative</t>
  </si>
  <si>
    <t>Entry 2 Resolved Date</t>
  </si>
  <si>
    <t>Entry 2 Resolved Note</t>
  </si>
  <si>
    <t>Entry 2 Resolved Status</t>
  </si>
  <si>
    <t>Entry 3 Date</t>
  </si>
  <si>
    <t>Entry 3 Title</t>
  </si>
  <si>
    <t>Entry 3 Details</t>
  </si>
  <si>
    <t>Entry 3 Due Date</t>
  </si>
  <si>
    <t>Entry 3 Grace Period Date</t>
  </si>
  <si>
    <t>Entry 3 Start Date</t>
  </si>
  <si>
    <t>Entry 3 Is Informative</t>
  </si>
  <si>
    <t>Entry 3 Resolved Date</t>
  </si>
  <si>
    <t>Entry 3 Resolved Note</t>
  </si>
  <si>
    <t>Entry 3 Resolved Status</t>
  </si>
  <si>
    <t>Entry 4 Date</t>
  </si>
  <si>
    <t>Entry 4 Title</t>
  </si>
  <si>
    <t>Entry 4 Details</t>
  </si>
  <si>
    <t>Entry 4 Due Date</t>
  </si>
  <si>
    <t>Entry 4 Grace Period Date</t>
  </si>
  <si>
    <t>Entry 4 Start Date</t>
  </si>
  <si>
    <t>Entry 4 Is Informative</t>
  </si>
  <si>
    <t>Entry 4 Resolved Date</t>
  </si>
  <si>
    <t>Entry 4 Resolved Note</t>
  </si>
  <si>
    <t>Entry 4 Resolved Status</t>
  </si>
  <si>
    <t>Note 1 Date</t>
  </si>
  <si>
    <t>Note 1 Title</t>
  </si>
  <si>
    <t>Note 1 Description</t>
  </si>
  <si>
    <t>Note 2 Date</t>
  </si>
  <si>
    <t>Note 2 Title</t>
  </si>
  <si>
    <t>Note 2 Description</t>
  </si>
  <si>
    <t>Contact 1 Name</t>
  </si>
  <si>
    <t>Contact 1 Email</t>
  </si>
  <si>
    <t>Contact 1 Is Company</t>
  </si>
  <si>
    <t>Contact 1 Is Owner</t>
  </si>
  <si>
    <t>Contact 1 Label</t>
  </si>
  <si>
    <t>Contact 1 Permission Level</t>
  </si>
  <si>
    <t>Contact 1 Street Address</t>
  </si>
  <si>
    <t>Contact 1 City</t>
  </si>
  <si>
    <t>Contact 1 State</t>
  </si>
  <si>
    <t>Contact 1 Postal</t>
  </si>
  <si>
    <t>Contact 1 Country</t>
  </si>
  <si>
    <t>Contact 2 Name</t>
  </si>
  <si>
    <t>Contact 2 Email</t>
  </si>
  <si>
    <t>Contact 2 Is Company</t>
  </si>
  <si>
    <t>Contact 2 Is Owner</t>
  </si>
  <si>
    <t>Contact 2 Label</t>
  </si>
  <si>
    <t>Contact 2 Permission Level</t>
  </si>
  <si>
    <t>Contact 2 Street Address</t>
  </si>
  <si>
    <t>Contact 2 City</t>
  </si>
  <si>
    <t>Contact 2 State</t>
  </si>
  <si>
    <t>Contact 2 Postal</t>
  </si>
  <si>
    <t>Contact 2 Country</t>
  </si>
  <si>
    <t>Collaborator 1 Name</t>
  </si>
  <si>
    <t>Collaborator 1 Email</t>
  </si>
  <si>
    <t>Collaborator 1 Roles</t>
  </si>
  <si>
    <t>Collaborator 1 Permission Level</t>
  </si>
  <si>
    <t>Collaborator 1 Firm Admin</t>
  </si>
  <si>
    <t>Collaborator 2 Name</t>
  </si>
  <si>
    <t>Collaborator 2 Email</t>
  </si>
  <si>
    <t>Collaborator 2 Roles</t>
  </si>
  <si>
    <t>Collaborator 2 Permission Level</t>
  </si>
  <si>
    <t>Collaborator 2 Firm Admin</t>
  </si>
  <si>
    <t>Collaborator 3 Name</t>
  </si>
  <si>
    <t>Collaborator 3 Email</t>
  </si>
  <si>
    <t>Collaborator 3 Roles</t>
  </si>
  <si>
    <t>Collaborator 3 Permission Level</t>
  </si>
  <si>
    <t>Collaborator 3 Firm Admin</t>
  </si>
  <si>
    <t>Collaborator 4 Name</t>
  </si>
  <si>
    <t>Collaborator 4 Email</t>
  </si>
  <si>
    <t>Collaborator 4 Roles</t>
  </si>
  <si>
    <t>Collaborator 4 Permission Level</t>
  </si>
  <si>
    <t>Collaborator 4 Firm Admin</t>
  </si>
  <si>
    <t>Parse ID</t>
  </si>
  <si>
    <t>Internal - Source</t>
  </si>
  <si>
    <t>Internal - Source Date</t>
  </si>
  <si>
    <t>Migration ID</t>
  </si>
  <si>
    <t>Internal - Duplicate Entry</t>
  </si>
  <si>
    <t>Mark Type Title</t>
  </si>
  <si>
    <t>Mark Description</t>
  </si>
  <si>
    <t>Translation</t>
  </si>
  <si>
    <t>Color Text</t>
  </si>
  <si>
    <t>Application Date</t>
  </si>
  <si>
    <t>Registration Date</t>
  </si>
  <si>
    <t>Publication Date</t>
  </si>
  <si>
    <t>Notice of Allowance Date</t>
  </si>
  <si>
    <t>Expiration Date</t>
  </si>
  <si>
    <t>Cancellation Date</t>
  </si>
  <si>
    <t>Goods &amp; Services 1 Class</t>
  </si>
  <si>
    <t>Goods &amp; Services 1 Description</t>
  </si>
  <si>
    <t>Goods &amp; Services 2 Class</t>
  </si>
  <si>
    <t>Goods &amp; Services 2 Description</t>
  </si>
  <si>
    <t>Goods &amp; Services 3 Class</t>
  </si>
  <si>
    <t>Goods &amp; Services 3 Description</t>
  </si>
  <si>
    <t>Goods &amp; Services 4 Class</t>
  </si>
  <si>
    <t>Goods &amp; Services 4 Description</t>
  </si>
  <si>
    <t>Goods &amp; Services 5 Class</t>
  </si>
  <si>
    <t>Goods &amp; Services 5 Description</t>
  </si>
  <si>
    <t>Goods &amp; Services 6 Class</t>
  </si>
  <si>
    <t>Goods &amp; Services 6 Description</t>
  </si>
  <si>
    <t>Goods &amp; Services 7 Class</t>
  </si>
  <si>
    <t>Goods &amp; Services 7 Description</t>
  </si>
  <si>
    <t>Goods &amp; Services 8 Class</t>
  </si>
  <si>
    <t>Goods &amp; Services 8 Description</t>
  </si>
  <si>
    <t>Polity Shortest Name</t>
  </si>
  <si>
    <t>Designations</t>
  </si>
  <si>
    <t>Status Text</t>
  </si>
  <si>
    <t>!!!</t>
  </si>
  <si>
    <t>Smart Status</t>
  </si>
  <si>
    <t>Current Status Date</t>
  </si>
  <si>
    <t>IP Office Shortest Name</t>
  </si>
  <si>
    <t>Internal - Polity Name Check</t>
  </si>
  <si>
    <t>Internal - Image Match</t>
  </si>
  <si>
    <t>Internal - Deadline this century?</t>
  </si>
  <si>
    <t>Matter Title</t>
  </si>
  <si>
    <t>Application Type</t>
  </si>
  <si>
    <t>Patent Type</t>
  </si>
  <si>
    <t>Filing Date</t>
  </si>
  <si>
    <t>Patent Number</t>
  </si>
  <si>
    <t>Issue Date</t>
  </si>
  <si>
    <t>Publication Number</t>
  </si>
  <si>
    <t>Allowance Date</t>
  </si>
  <si>
    <t>Confirmation Number</t>
  </si>
  <si>
    <t>Art Unit Number</t>
  </si>
  <si>
    <t>Priority Application Number</t>
  </si>
  <si>
    <t>Completion Date</t>
  </si>
  <si>
    <t>Entity Size</t>
  </si>
  <si>
    <t>Custom Status</t>
  </si>
  <si>
    <t>Status Date</t>
  </si>
  <si>
    <t>Abstract</t>
  </si>
  <si>
    <t>Classification 1 Class</t>
  </si>
  <si>
    <t>Classification 1 Subclasses</t>
  </si>
  <si>
    <t>Assignee 1 Name</t>
  </si>
  <si>
    <t>Assignee 1 Is Current</t>
  </si>
  <si>
    <t>Inventor 1 Name</t>
  </si>
  <si>
    <t>Internal - Key date this century?</t>
  </si>
  <si>
    <t>Proceeding Number</t>
  </si>
  <si>
    <t>Milestones</t>
  </si>
  <si>
    <t>Key Date 1 Date</t>
  </si>
  <si>
    <t>Key Date 1 Title</t>
  </si>
  <si>
    <t>Title</t>
  </si>
  <si>
    <t>Dispute Type</t>
  </si>
  <si>
    <t>Plaintiff 1 Name</t>
  </si>
  <si>
    <t>Plaintiff 1 Street Address</t>
  </si>
  <si>
    <t>Plaintiff 1 City</t>
  </si>
  <si>
    <t>Plaintiff 1 Postal</t>
  </si>
  <si>
    <t>Plaintiff 1 State</t>
  </si>
  <si>
    <t>Plaintiff 1 Country</t>
  </si>
  <si>
    <t>Defendant 1 Name</t>
  </si>
  <si>
    <t>Defendant 1 Street Address</t>
  </si>
  <si>
    <t>Defendant 1 City</t>
  </si>
  <si>
    <t>Defendant 1 Postal</t>
  </si>
  <si>
    <t>Defendant 1 State</t>
  </si>
  <si>
    <t>Defendant 1 Country</t>
  </si>
  <si>
    <t>Note 3 Date</t>
  </si>
  <si>
    <t>Note 3 Title</t>
  </si>
  <si>
    <t>Note 3 Description</t>
  </si>
  <si>
    <t>Copyright Type</t>
  </si>
  <si>
    <t>First Publication Date</t>
  </si>
  <si>
    <t>Status</t>
  </si>
  <si>
    <t>Work Description</t>
  </si>
  <si>
    <t>Matter Number</t>
  </si>
  <si>
    <t>First Publication Country</t>
  </si>
  <si>
    <t>Work Type</t>
  </si>
  <si>
    <t>Custom Matter Type</t>
  </si>
  <si>
    <t>Description</t>
  </si>
  <si>
    <t>Key Date 2 Date</t>
  </si>
  <si>
    <t>Key Date 2 Title</t>
  </si>
  <si>
    <t>Key Date 3 Date</t>
  </si>
  <si>
    <t>Key Date 3 Title</t>
  </si>
  <si>
    <t>Docket ID</t>
  </si>
  <si>
    <t>Date</t>
  </si>
  <si>
    <t>Collaborator Email</t>
  </si>
  <si>
    <t>Activity</t>
  </si>
  <si>
    <t>Time Spent</t>
  </si>
  <si>
    <t>Billable</t>
  </si>
  <si>
    <t>IP Office Full Name</t>
  </si>
  <si>
    <t>Polity Full Name</t>
  </si>
  <si>
    <t>Polity Common Name</t>
  </si>
  <si>
    <t>Afghanistan Central Business Registry and Intellectual Property</t>
  </si>
  <si>
    <t>Afghanistan</t>
  </si>
  <si>
    <t>the Islamic Republic of Afghanistan</t>
  </si>
  <si>
    <t>ACBR</t>
  </si>
  <si>
    <t>Alabama Office of the Secretary of State</t>
  </si>
  <si>
    <t>Alabama</t>
  </si>
  <si>
    <t>Office of the Sec'y of State</t>
  </si>
  <si>
    <t>Alaska Department of Commerce, Community, and Economic Development</t>
  </si>
  <si>
    <t>Alaska</t>
  </si>
  <si>
    <t>Dept. of Comm., Cmty., and Econ. Dev.</t>
  </si>
  <si>
    <t>Albanian General Directorate of Industrial Property</t>
  </si>
  <si>
    <t>Albania</t>
  </si>
  <si>
    <t>the Republic of Albania</t>
  </si>
  <si>
    <t>GDIP</t>
  </si>
  <si>
    <t>Algerian National Institute of Industrial Property</t>
  </si>
  <si>
    <t>Algeria</t>
  </si>
  <si>
    <t>the People's Democratic Republic of Algeria</t>
  </si>
  <si>
    <t>INAPI</t>
  </si>
  <si>
    <t>Trademarks Office of the Principality of Andorra</t>
  </si>
  <si>
    <t>Andorra</t>
  </si>
  <si>
    <t>the Principality of Andorra</t>
  </si>
  <si>
    <t>OMPA</t>
  </si>
  <si>
    <t>Angolan Institute of Industrial Property</t>
  </si>
  <si>
    <t>Angola</t>
  </si>
  <si>
    <t>the Republic of Angola</t>
  </si>
  <si>
    <t>IAPI</t>
  </si>
  <si>
    <t>Anguilla Commercial Registry</t>
  </si>
  <si>
    <t>Anguilla</t>
  </si>
  <si>
    <t>ACORN</t>
  </si>
  <si>
    <t>Antigua and Barbuda Intellectual Property &amp; Commerce Office</t>
  </si>
  <si>
    <t>Antigua and Barbuda</t>
  </si>
  <si>
    <t>ABIPCO</t>
  </si>
  <si>
    <t>Argentinian National Institute of Industrial Property</t>
  </si>
  <si>
    <t>Argentina</t>
  </si>
  <si>
    <t>the Argentine Republic</t>
  </si>
  <si>
    <t>INPI</t>
  </si>
  <si>
    <t>African Region Intellectual Property Organization</t>
  </si>
  <si>
    <t>ARIPO</t>
  </si>
  <si>
    <t>African Regional Intellectual Property Organization (ARIPO)</t>
  </si>
  <si>
    <t>Arizona Secretary of State</t>
  </si>
  <si>
    <t>Arizona</t>
  </si>
  <si>
    <t>Sec'y of State</t>
  </si>
  <si>
    <t>Arkansas Secretary of State</t>
  </si>
  <si>
    <t>Arkansas</t>
  </si>
  <si>
    <t>Intellectual Property Agency of the Republic of Armenia</t>
  </si>
  <si>
    <t>Armenia</t>
  </si>
  <si>
    <t>the Republic of Armenia</t>
  </si>
  <si>
    <t>Republic of Armenia</t>
  </si>
  <si>
    <t>AIPA</t>
  </si>
  <si>
    <t>Bureau of Intellectual Property Aruba</t>
  </si>
  <si>
    <t>Aruba</t>
  </si>
  <si>
    <t>Netherlands Antilles</t>
  </si>
  <si>
    <t>Australian Intellectual Property Office</t>
  </si>
  <si>
    <t>Australia</t>
  </si>
  <si>
    <t>The Commonwealth of Australia</t>
  </si>
  <si>
    <t>IPA</t>
  </si>
  <si>
    <t>The Austrian Patent Office</t>
  </si>
  <si>
    <t>Austria</t>
  </si>
  <si>
    <t>the Republic of Austria</t>
  </si>
  <si>
    <t>APO</t>
  </si>
  <si>
    <t>State Committee for Standardization, Metrology and Patents of the Republic of Azerbaijan</t>
  </si>
  <si>
    <t>Azerbaijan</t>
  </si>
  <si>
    <t>the Republic of Azerbaijan</t>
  </si>
  <si>
    <t>AZIPO</t>
  </si>
  <si>
    <t>Registrar General's Department of the Bahamas</t>
  </si>
  <si>
    <t>Bahamas</t>
  </si>
  <si>
    <t>Commonwealth of the Bahamas</t>
  </si>
  <si>
    <t>Bahamas (the)</t>
  </si>
  <si>
    <t>RGD</t>
  </si>
  <si>
    <t>Industrial Property Directorate of Bahrain</t>
  </si>
  <si>
    <t>Bahrain</t>
  </si>
  <si>
    <t>the Kingdom of Bahrain</t>
  </si>
  <si>
    <t>MOIC</t>
  </si>
  <si>
    <t>Department of Patents, Designs and Trademarks of Bangladesh</t>
  </si>
  <si>
    <t>Bangladesh</t>
  </si>
  <si>
    <t>the People's Republic of Bangladesh</t>
  </si>
  <si>
    <t>DPDT</t>
  </si>
  <si>
    <t>Corporate Affairs and Intellectual Property Office of Barbados</t>
  </si>
  <si>
    <t>Barbados</t>
  </si>
  <si>
    <t>CAIPO</t>
  </si>
  <si>
    <t>National Center of Intellectual Property of Belarus</t>
  </si>
  <si>
    <t>Belarus</t>
  </si>
  <si>
    <t>the Republic of Belarus</t>
  </si>
  <si>
    <t>NCIP</t>
  </si>
  <si>
    <t>Belgian Office of Intellectual Property</t>
  </si>
  <si>
    <t>Belgium</t>
  </si>
  <si>
    <t>the Kingdom of Belgium</t>
  </si>
  <si>
    <t>OPRI</t>
  </si>
  <si>
    <t>Belize Intellectual Property Office</t>
  </si>
  <si>
    <t>Belize</t>
  </si>
  <si>
    <t>BELIPO</t>
  </si>
  <si>
    <t>Benelux Office for Intellectual Property</t>
  </si>
  <si>
    <t>Benelux</t>
  </si>
  <si>
    <t>BOIP</t>
  </si>
  <si>
    <t>National Industrial Property Agency of Benin</t>
  </si>
  <si>
    <t>Benin</t>
  </si>
  <si>
    <t>the Republic of Benin</t>
  </si>
  <si>
    <t>ANaPI</t>
  </si>
  <si>
    <t>Registry General of Bermuda</t>
  </si>
  <si>
    <t>Bermuda</t>
  </si>
  <si>
    <t>BRG</t>
  </si>
  <si>
    <t>Department of Intellectual Property of Bhutan</t>
  </si>
  <si>
    <t>Bhutan</t>
  </si>
  <si>
    <t>the Kingdom of Bhutan</t>
  </si>
  <si>
    <t>IP Dept</t>
  </si>
  <si>
    <t>Servicio Nacional de Propiedad Intelectual of Bolivia</t>
  </si>
  <si>
    <t>Bolivia</t>
  </si>
  <si>
    <t>the Plurinational State of Bolivia</t>
  </si>
  <si>
    <t>SENAPI</t>
  </si>
  <si>
    <t>South African Companies and Intellectual Property Commission (Bophuthatswana)</t>
  </si>
  <si>
    <t>Bophuthatswana</t>
  </si>
  <si>
    <t>CIPC (Bophuthatswana)</t>
  </si>
  <si>
    <t>Institute for Intellectual Property of Bosnia and Herzegovina</t>
  </si>
  <si>
    <t>Bosnia</t>
  </si>
  <si>
    <t>Bosnia and Herzegovina</t>
  </si>
  <si>
    <t>IPR</t>
  </si>
  <si>
    <t>Companies and Intellectual Property Authority of Botswana</t>
  </si>
  <si>
    <t>Botswana</t>
  </si>
  <si>
    <t>the Republic of Botswana</t>
  </si>
  <si>
    <t>CIPA</t>
  </si>
  <si>
    <t>Brazilian National Institute of Industrial Property</t>
  </si>
  <si>
    <t>Brazil</t>
  </si>
  <si>
    <t>the Federative Republic of Brazil</t>
  </si>
  <si>
    <t>Brunei Darussalam Intellectual Property Office</t>
  </si>
  <si>
    <t>Brunei</t>
  </si>
  <si>
    <t>Brunei Darussalam</t>
  </si>
  <si>
    <t>BruIPO</t>
  </si>
  <si>
    <t>Patent Office of the Republic of Bulgaria</t>
  </si>
  <si>
    <t>Bulgaria</t>
  </si>
  <si>
    <t>the Republic of Bulgaria</t>
  </si>
  <si>
    <t>BPO</t>
  </si>
  <si>
    <t>Burkinabé General Directorate of Industrial Property</t>
  </si>
  <si>
    <t>Burkina Faso</t>
  </si>
  <si>
    <t>DGPI</t>
  </si>
  <si>
    <t>Burundi Ministry of Trade, Industry and Tourism</t>
  </si>
  <si>
    <t>Burundi</t>
  </si>
  <si>
    <t>the Republic of Burundi</t>
  </si>
  <si>
    <t>BMTIT</t>
  </si>
  <si>
    <t>Registry of Corporate Affairs - British Virgin Islands</t>
  </si>
  <si>
    <t>BVI</t>
  </si>
  <si>
    <t>British Virgin Islands</t>
  </si>
  <si>
    <t>Virgin Islands (British)</t>
  </si>
  <si>
    <t>RCA</t>
  </si>
  <si>
    <t>Institute of Intellectual Property of Cabo Verde</t>
  </si>
  <si>
    <t>Cabo Verde</t>
  </si>
  <si>
    <t>the Republic of Cabo Verde</t>
  </si>
  <si>
    <t>IIPCV</t>
  </si>
  <si>
    <t>California Secretary of State</t>
  </si>
  <si>
    <t>California</t>
  </si>
  <si>
    <t>Cambodian Department of Industrial Property</t>
  </si>
  <si>
    <t>Cambodia</t>
  </si>
  <si>
    <t>the Kingdom of Cambodia</t>
  </si>
  <si>
    <t>DIP</t>
  </si>
  <si>
    <t>Cambodian Department of Intellectual Property Rights Ministry of Commerce</t>
  </si>
  <si>
    <t>CIP</t>
  </si>
  <si>
    <t>Directorate of Technological Development and Industrial Property of Cameroon</t>
  </si>
  <si>
    <t>Cameroon</t>
  </si>
  <si>
    <t>the Republic of Cameroon</t>
  </si>
  <si>
    <t>MINMIDT</t>
  </si>
  <si>
    <t>Canadian Intellectual Property Office</t>
  </si>
  <si>
    <t>Canada</t>
  </si>
  <si>
    <t>CIPO</t>
  </si>
  <si>
    <t>Caribbean Netherlands?</t>
  </si>
  <si>
    <t>Caribbean Netherlands</t>
  </si>
  <si>
    <t>Caribbean Netherlands (BES Islands)</t>
  </si>
  <si>
    <t>CaribIE</t>
  </si>
  <si>
    <t>Cayman Islands Intellectual Property Office</t>
  </si>
  <si>
    <t>Cayman Islands</t>
  </si>
  <si>
    <t>The Cayman Islands</t>
  </si>
  <si>
    <t>Cayman Islands (the)</t>
  </si>
  <si>
    <t>CIIPO</t>
  </si>
  <si>
    <t>National Industrial Property Service of the Central African Republic</t>
  </si>
  <si>
    <t>Central African Republic</t>
  </si>
  <si>
    <t>SNL</t>
  </si>
  <si>
    <t>Chadian Directorate of Industrial Property and Technology</t>
  </si>
  <si>
    <t>Chad</t>
  </si>
  <si>
    <t>the Republic of Chad</t>
  </si>
  <si>
    <t>CDIPT</t>
  </si>
  <si>
    <t>Chilean National Institute of Industrial Property</t>
  </si>
  <si>
    <t>Chile</t>
  </si>
  <si>
    <t>the Republic of Chile</t>
  </si>
  <si>
    <t>China National Intellectual Property Administration</t>
  </si>
  <si>
    <t>China</t>
  </si>
  <si>
    <t>the People's Republic of China</t>
  </si>
  <si>
    <t>CNIPA</t>
  </si>
  <si>
    <t>Trademark Office State Administration for Industry and Commerce of the People's Republic of China</t>
  </si>
  <si>
    <t>SAIC</t>
  </si>
  <si>
    <t>Superintendencia de Industria y Comercio of Colombia</t>
  </si>
  <si>
    <t>Colombia</t>
  </si>
  <si>
    <t>the Republic of Colombia</t>
  </si>
  <si>
    <t>SIC</t>
  </si>
  <si>
    <t>Colorado Secretary of State</t>
  </si>
  <si>
    <t>Colorado</t>
  </si>
  <si>
    <t>Comorian Office of Intellectual Property</t>
  </si>
  <si>
    <t>Comoros</t>
  </si>
  <si>
    <t>the Union of the Comoros</t>
  </si>
  <si>
    <t>Comoros (the)</t>
  </si>
  <si>
    <t>OCPI</t>
  </si>
  <si>
    <t>Connecticut Secretary of the State</t>
  </si>
  <si>
    <t>Connecticut</t>
  </si>
  <si>
    <t>Cook Islands Secretary of Culture Administration</t>
  </si>
  <si>
    <t>Cook Islands</t>
  </si>
  <si>
    <t>CISCA</t>
  </si>
  <si>
    <t>Costa Rican Register of Industrial Property</t>
  </si>
  <si>
    <t>Costa Rica</t>
  </si>
  <si>
    <t>the Republic of Costa Rica</t>
  </si>
  <si>
    <t>RNP</t>
  </si>
  <si>
    <t>Ivorian Office of Intellectual Property</t>
  </si>
  <si>
    <t>Cote d'Ivoire</t>
  </si>
  <si>
    <t>the Republic of Côte d'Ivoire</t>
  </si>
  <si>
    <t>OIPI</t>
  </si>
  <si>
    <t>State Intellectual Property Office of the Republic of Croatia</t>
  </si>
  <si>
    <t>Croatia</t>
  </si>
  <si>
    <t>the Republic of Croatia</t>
  </si>
  <si>
    <t>SIPO</t>
  </si>
  <si>
    <t>Cuban Industrial Property Office</t>
  </si>
  <si>
    <t>Cuba</t>
  </si>
  <si>
    <t>the Republic of Cuba</t>
  </si>
  <si>
    <t>Bureau of Intellectual Property Curaçao</t>
  </si>
  <si>
    <t>Curacao</t>
  </si>
  <si>
    <t>Curaçao</t>
  </si>
  <si>
    <t>BIPC</t>
  </si>
  <si>
    <t>Department of Registrar of Companies and Official Receiver Ministry of Commerce, Industry and Tourism of Cyprus</t>
  </si>
  <si>
    <t>Cyprus</t>
  </si>
  <si>
    <t>the Republic of Cyprus</t>
  </si>
  <si>
    <t>MCIT</t>
  </si>
  <si>
    <t>Industrial Property Office of the Czech Republic</t>
  </si>
  <si>
    <t>Czech Republic</t>
  </si>
  <si>
    <t>the Czech Republic</t>
  </si>
  <si>
    <t>Delaware Department of State, Division of Corporations</t>
  </si>
  <si>
    <t>Delaware</t>
  </si>
  <si>
    <t>Dep't of State, Div. of Corps.</t>
  </si>
  <si>
    <t>Directorate of Industrial Property of Congo</t>
  </si>
  <si>
    <t>Democratic Republic of Congo</t>
  </si>
  <si>
    <t>The Republic of the Congo</t>
  </si>
  <si>
    <t>Republic of Congo</t>
  </si>
  <si>
    <t>DRCIPO</t>
  </si>
  <si>
    <t>Danish Patent and Trademark Office</t>
  </si>
  <si>
    <t>Denmark</t>
  </si>
  <si>
    <t>the Kingdom of Denmark</t>
  </si>
  <si>
    <t>DKPTO</t>
  </si>
  <si>
    <t>District of Colombia</t>
  </si>
  <si>
    <t>District of Columbia</t>
  </si>
  <si>
    <t>Office of Industrial Property and Commerce of Djibouti</t>
  </si>
  <si>
    <t>Djibouti</t>
  </si>
  <si>
    <t>the Republic of Djibouti</t>
  </si>
  <si>
    <t>ODPIC</t>
  </si>
  <si>
    <t>Dominican Companies and Intellectual Property Office</t>
  </si>
  <si>
    <t>Dominica</t>
  </si>
  <si>
    <t>the Commonwealth of Dominica</t>
  </si>
  <si>
    <t>Dominican Republic National Office of Industrial Property</t>
  </si>
  <si>
    <t>Dominican Republic</t>
  </si>
  <si>
    <t>the Dominican Republic</t>
  </si>
  <si>
    <t>Dominican Republic (the)</t>
  </si>
  <si>
    <t>ONAPI</t>
  </si>
  <si>
    <t>Ecuadorian Institute of Intellectual Property</t>
  </si>
  <si>
    <t>Ecuador</t>
  </si>
  <si>
    <t>the Republic of Ecuador</t>
  </si>
  <si>
    <t>Republic of Ecuador (the)</t>
  </si>
  <si>
    <t>IEPI</t>
  </si>
  <si>
    <t>Egyptian Trademarks and Industrial Designs Office</t>
  </si>
  <si>
    <t>Egypt</t>
  </si>
  <si>
    <t>the Arab Republic of Egypt</t>
  </si>
  <si>
    <t>MFTI</t>
  </si>
  <si>
    <t>National Center of Registries of El Salvador</t>
  </si>
  <si>
    <t>El Salvador</t>
  </si>
  <si>
    <t>the Republic of El Salvador</t>
  </si>
  <si>
    <t>CNR</t>
  </si>
  <si>
    <t>Council of Scientific and Tecnological Research of Equatorial Guinea</t>
  </si>
  <si>
    <t>Equatorial Guinea</t>
  </si>
  <si>
    <t>the Republic of Equatorial Guinea</t>
  </si>
  <si>
    <t>IPO</t>
  </si>
  <si>
    <t>Eritrean Domestic Trade and Intellectual Property</t>
  </si>
  <si>
    <t>Eritrea</t>
  </si>
  <si>
    <t>the State of Eritrea</t>
  </si>
  <si>
    <t>EIPO</t>
  </si>
  <si>
    <t>Estonian Patent Office</t>
  </si>
  <si>
    <t>Estonia</t>
  </si>
  <si>
    <t>the Republic of Estonia</t>
  </si>
  <si>
    <t>EPA</t>
  </si>
  <si>
    <t>Intellectual Property Office of Eswatini</t>
  </si>
  <si>
    <t>Eswatini</t>
  </si>
  <si>
    <t>the Kingdom of Eswatini</t>
  </si>
  <si>
    <t>Ethiopian Intellectual Property Office</t>
  </si>
  <si>
    <t>Ethiopia</t>
  </si>
  <si>
    <t>the Federal Democratic Republic of Ethiopia</t>
  </si>
  <si>
    <t>European Intellectual Property Office</t>
  </si>
  <si>
    <t>European Union</t>
  </si>
  <si>
    <t>European Union (Community)</t>
  </si>
  <si>
    <t>EUIPO</t>
  </si>
  <si>
    <t>Fiji Office of the Attorney-General</t>
  </si>
  <si>
    <t>Fiji</t>
  </si>
  <si>
    <t>the Republic of Fiji</t>
  </si>
  <si>
    <t>FAGO</t>
  </si>
  <si>
    <t>Finnish Patent and Registration Office</t>
  </si>
  <si>
    <t>Finland</t>
  </si>
  <si>
    <t>the Republic of Finland</t>
  </si>
  <si>
    <t>PRH</t>
  </si>
  <si>
    <t>Florida Department of State, Division of Corporations</t>
  </si>
  <si>
    <t>Florida</t>
  </si>
  <si>
    <t>Dept. of State, Div. of Corps.</t>
  </si>
  <si>
    <t>French National Institute of Industrial Property</t>
  </si>
  <si>
    <t>France</t>
  </si>
  <si>
    <t>the French Republic</t>
  </si>
  <si>
    <t>French National Institute of Industrial Property (French Polynesia)</t>
  </si>
  <si>
    <t>French Polynesia</t>
  </si>
  <si>
    <t>INPI (French Polynesia)</t>
  </si>
  <si>
    <t>Center of Industrial Property of Gabon - Ministry of Industry and Mines</t>
  </si>
  <si>
    <t>Gabon</t>
  </si>
  <si>
    <t>the Gabonese Republic</t>
  </si>
  <si>
    <t>CEPIG</t>
  </si>
  <si>
    <t>Office of the Registrar General of Gambia</t>
  </si>
  <si>
    <t>Gambia</t>
  </si>
  <si>
    <t>Republic of the Gambia</t>
  </si>
  <si>
    <t>Gambia (the)</t>
  </si>
  <si>
    <t>GORG</t>
  </si>
  <si>
    <t>National Centre for Arts and Culture of Gambia</t>
  </si>
  <si>
    <t>GNCAC</t>
  </si>
  <si>
    <t>Gaza Strip</t>
  </si>
  <si>
    <t>Gaza</t>
  </si>
  <si>
    <t>National Intellectual Property Center of Georgia</t>
  </si>
  <si>
    <t>Georgia</t>
  </si>
  <si>
    <t>Sakpatenti</t>
  </si>
  <si>
    <t>Georgia Secretary of State</t>
  </si>
  <si>
    <t>Georgia (US)</t>
  </si>
  <si>
    <t>German Patent and Trade Mark Office</t>
  </si>
  <si>
    <t>Germany</t>
  </si>
  <si>
    <t>the Federal Republic of Germany</t>
  </si>
  <si>
    <t>DPMA</t>
  </si>
  <si>
    <t>Registrar General's Department of Ghana - Ministry of Justice</t>
  </si>
  <si>
    <t>Ghana</t>
  </si>
  <si>
    <t>the Republic of Ghana</t>
  </si>
  <si>
    <t>Companies House Gibraltar</t>
  </si>
  <si>
    <t>Gibraltar</t>
  </si>
  <si>
    <t>CHG</t>
  </si>
  <si>
    <t>Greek Industrial Property Organization</t>
  </si>
  <si>
    <t>Greece</t>
  </si>
  <si>
    <t>the Hellenic Republic</t>
  </si>
  <si>
    <t>GIPO</t>
  </si>
  <si>
    <t>Greek Trademark Office</t>
  </si>
  <si>
    <t>GTO</t>
  </si>
  <si>
    <t>Corporate Affairs and Intellectual Property Office of Grenada</t>
  </si>
  <si>
    <t>Grenada</t>
  </si>
  <si>
    <t>Guam</t>
  </si>
  <si>
    <t>the Territory of Guam</t>
  </si>
  <si>
    <t>Guatemalan Register of Intellectual Property</t>
  </si>
  <si>
    <t>Guatemala</t>
  </si>
  <si>
    <t>the Republic of Guatemala</t>
  </si>
  <si>
    <t>RPI</t>
  </si>
  <si>
    <t>Intellectual Property Office Bailiiwick of Guernsey</t>
  </si>
  <si>
    <t>Guernsey</t>
  </si>
  <si>
    <t>the Bailiwick of Guernsey</t>
  </si>
  <si>
    <t>Bailiwich of Guernsey (the)</t>
  </si>
  <si>
    <t>National Service of Industrial Property of Guinea-Bissau</t>
  </si>
  <si>
    <t>Guinea</t>
  </si>
  <si>
    <t>the Republic of Guinea</t>
  </si>
  <si>
    <t>Rpublic of Guinea (the)</t>
  </si>
  <si>
    <t>NSIP</t>
  </si>
  <si>
    <t>Guinean General Directorate of Industrial Property</t>
  </si>
  <si>
    <t>Guinea-Bissau</t>
  </si>
  <si>
    <t>the Republic of Guinea-Bissau</t>
  </si>
  <si>
    <t>Republic of Guinea-Bissau (the)</t>
  </si>
  <si>
    <t>Deeds and Commercial Registries of Guyana</t>
  </si>
  <si>
    <t>Guyana</t>
  </si>
  <si>
    <t>the Republic of Guyana</t>
  </si>
  <si>
    <t>Republic of Guyana (the)</t>
  </si>
  <si>
    <t>DCR</t>
  </si>
  <si>
    <t>Haitian Intellectual Property Service</t>
  </si>
  <si>
    <t>Haiti</t>
  </si>
  <si>
    <t>the Republic of Haiti</t>
  </si>
  <si>
    <t>Republic of Haiti (the)</t>
  </si>
  <si>
    <t>MCI</t>
  </si>
  <si>
    <t>Hawaii Department of Commerce and Consumer Affairs</t>
  </si>
  <si>
    <t>Hawaii</t>
  </si>
  <si>
    <t>Dept. of Comm. and Consumer Affairs</t>
  </si>
  <si>
    <t>Judicial Office Central Offices of the Vatican</t>
  </si>
  <si>
    <t>Holy See</t>
  </si>
  <si>
    <t>the Holy See</t>
  </si>
  <si>
    <t>Holy See (the)</t>
  </si>
  <si>
    <t>JOCO</t>
  </si>
  <si>
    <t>Directorate General of Intellectual Property of Honduras</t>
  </si>
  <si>
    <t>Honduras</t>
  </si>
  <si>
    <t>the Republic of Honduras</t>
  </si>
  <si>
    <t>Republic of Honduras (the)</t>
  </si>
  <si>
    <t>DIGEPIH</t>
  </si>
  <si>
    <t>Hong Kong Intellectual Property Department</t>
  </si>
  <si>
    <t>Hong Kong</t>
  </si>
  <si>
    <t>Hong Kong Special Administrative Region of China</t>
  </si>
  <si>
    <t>HKIPD</t>
  </si>
  <si>
    <t>Hungarian Intellectual Property Office</t>
  </si>
  <si>
    <t>Hungary</t>
  </si>
  <si>
    <t>HIPO</t>
  </si>
  <si>
    <t>ICANN</t>
  </si>
  <si>
    <t>Icelandic Intellectual Property Office</t>
  </si>
  <si>
    <t>Iceland</t>
  </si>
  <si>
    <t>the Republic of Iceland</t>
  </si>
  <si>
    <t>ISIPO</t>
  </si>
  <si>
    <t>Icelans</t>
  </si>
  <si>
    <t>Idaho Secretary Of State Trademarks &amp; Service Marks</t>
  </si>
  <si>
    <t>Idaho</t>
  </si>
  <si>
    <t>Office of the Illinois Secretary of State</t>
  </si>
  <si>
    <t>Illinois</t>
  </si>
  <si>
    <t>Indian Office of the Controller-General of Patents</t>
  </si>
  <si>
    <t>India</t>
  </si>
  <si>
    <t>the Republic of India</t>
  </si>
  <si>
    <t>IPI</t>
  </si>
  <si>
    <t>Indiana Secretary of State</t>
  </si>
  <si>
    <t>Indiana</t>
  </si>
  <si>
    <t>Indonesian Directorate General of Intellectual Property</t>
  </si>
  <si>
    <t>Indonesia</t>
  </si>
  <si>
    <t>the Republic of Indonesia</t>
  </si>
  <si>
    <t>DGIP</t>
  </si>
  <si>
    <t>Iowa Secretary of State</t>
  </si>
  <si>
    <t>Iowa</t>
  </si>
  <si>
    <t>Iranian Industrial Property General Office</t>
  </si>
  <si>
    <t>Iran</t>
  </si>
  <si>
    <t>Islamic Republic of Iran</t>
  </si>
  <si>
    <t>IRIPO</t>
  </si>
  <si>
    <t>Industrial Property Department Central Organization for Standardization &amp; Quality Control of Iraq</t>
  </si>
  <si>
    <t>Iraq</t>
  </si>
  <si>
    <t>the Republic of Iraq</t>
  </si>
  <si>
    <t>COSQC</t>
  </si>
  <si>
    <t>Irish Patents Office</t>
  </si>
  <si>
    <t>Ireland</t>
  </si>
  <si>
    <t>the Republic of Ireland</t>
  </si>
  <si>
    <t>Israel Patent Office</t>
  </si>
  <si>
    <t>Israel</t>
  </si>
  <si>
    <t>the State of Israel</t>
  </si>
  <si>
    <t>Italian Patent and Trademark Office Directorate General of Combating Counterfeiting</t>
  </si>
  <si>
    <t>Italy</t>
  </si>
  <si>
    <t>the Republic of Italy</t>
  </si>
  <si>
    <t>UIBM</t>
  </si>
  <si>
    <t>Jamaica Intellectual Property Office</t>
  </si>
  <si>
    <t>Jamaica</t>
  </si>
  <si>
    <t>JIPO</t>
  </si>
  <si>
    <t>Japan Patent Office</t>
  </si>
  <si>
    <t>Japan</t>
  </si>
  <si>
    <t>JPO</t>
  </si>
  <si>
    <t>Intellectual Property Registries - Jersey</t>
  </si>
  <si>
    <t>Jersey</t>
  </si>
  <si>
    <t>The Bailiwick of Jersey</t>
  </si>
  <si>
    <t>Industrial Property Protection Directorate of Jordan</t>
  </si>
  <si>
    <t>Jordan</t>
  </si>
  <si>
    <t>the Hashemite Kingdom of Jordan</t>
  </si>
  <si>
    <t>MIT</t>
  </si>
  <si>
    <t>Kansas Office of the Secretary of State</t>
  </si>
  <si>
    <t>Kansas</t>
  </si>
  <si>
    <t>Kazakhstan Department on Intellectual Property Rights</t>
  </si>
  <si>
    <t>Kazakhstan</t>
  </si>
  <si>
    <t>the Republic of Kazakhstan</t>
  </si>
  <si>
    <t>KPO</t>
  </si>
  <si>
    <t>Kentucky Secretary of State</t>
  </si>
  <si>
    <t>Kentucky</t>
  </si>
  <si>
    <t>Kenya Industrial Property Institute</t>
  </si>
  <si>
    <t>Kenya</t>
  </si>
  <si>
    <t>the Republic of Kenya</t>
  </si>
  <si>
    <t>KIPI</t>
  </si>
  <si>
    <t>Kiribati Ministry of Commerce, Industry and Tourism</t>
  </si>
  <si>
    <t>Kiribati</t>
  </si>
  <si>
    <t>the Republic of Kiribati</t>
  </si>
  <si>
    <t>KMCIT</t>
  </si>
  <si>
    <t>Kosovo Industrial Property Agency</t>
  </si>
  <si>
    <t>Kosovo</t>
  </si>
  <si>
    <t>Republic of Kosovo</t>
  </si>
  <si>
    <t>Kosovo IPA</t>
  </si>
  <si>
    <t>Kurdistan Ministry of Trade and Industry</t>
  </si>
  <si>
    <t>Kurdistan</t>
  </si>
  <si>
    <t>Kurdistan Region (Iraq)</t>
  </si>
  <si>
    <t>Kurdistan (Iraq)</t>
  </si>
  <si>
    <t>MTIKRG</t>
  </si>
  <si>
    <t>Kuwait Trademarks and Patents Department</t>
  </si>
  <si>
    <t>Kuwait</t>
  </si>
  <si>
    <t>the State of Kuwait</t>
  </si>
  <si>
    <t>KTMPD</t>
  </si>
  <si>
    <t>State Service of Intellectual Property and Innovation of Kyrgyzstan</t>
  </si>
  <si>
    <t>Kyrgyzstan</t>
  </si>
  <si>
    <t>Kyrgyz Republic</t>
  </si>
  <si>
    <t>KSIPI</t>
  </si>
  <si>
    <t>Department of Intellectual Property of Laos</t>
  </si>
  <si>
    <t>Laos</t>
  </si>
  <si>
    <t>Lao People's Democratic Republic</t>
  </si>
  <si>
    <t>MOST</t>
  </si>
  <si>
    <t>Patent Office of the Republic of Latvia</t>
  </si>
  <si>
    <t>Latvia</t>
  </si>
  <si>
    <t>the Republic of Latvia</t>
  </si>
  <si>
    <t>LRPV</t>
  </si>
  <si>
    <t>Lebanon Office of Intellectual Property</t>
  </si>
  <si>
    <t>Lebanon</t>
  </si>
  <si>
    <t>the Lebanese Republic</t>
  </si>
  <si>
    <t>LOIP</t>
  </si>
  <si>
    <t>Lesotho Ministry of Law and Constitutional Affairs Registrar General's Office</t>
  </si>
  <si>
    <t>Lesotho</t>
  </si>
  <si>
    <t>the Kingdom of Lesotho</t>
  </si>
  <si>
    <t>LML</t>
  </si>
  <si>
    <t>Liberia Intellectual Property Office</t>
  </si>
  <si>
    <t>Liberia</t>
  </si>
  <si>
    <t>the Republic of Liberia</t>
  </si>
  <si>
    <t>LIPO</t>
  </si>
  <si>
    <t>National Authority for Scientific Research of Libya</t>
  </si>
  <si>
    <t>Libya</t>
  </si>
  <si>
    <t>NASR</t>
  </si>
  <si>
    <t>Bureau of Intellectual Property of Liechtenstein</t>
  </si>
  <si>
    <t>Liechtenstein</t>
  </si>
  <si>
    <t>the Principality of Liechtenstein</t>
  </si>
  <si>
    <t>IP Bureau</t>
  </si>
  <si>
    <t>State Patent Bureau of the Republic of Lithuania</t>
  </si>
  <si>
    <t>Lithuania</t>
  </si>
  <si>
    <t>the Republic of Lithuania</t>
  </si>
  <si>
    <t>LSPB</t>
  </si>
  <si>
    <t>Louisiana Secretary of State</t>
  </si>
  <si>
    <t>Louisiana</t>
  </si>
  <si>
    <t>Luxembourg Direction de la propriÃ©tÃ© intellectuelle</t>
  </si>
  <si>
    <t>Luxembourg</t>
  </si>
  <si>
    <t>the Grand Duchy of Luxembourg</t>
  </si>
  <si>
    <t>LDPI</t>
  </si>
  <si>
    <t>Government of the Macao Special Administrative Region - Economic Bureau</t>
  </si>
  <si>
    <t>Macau</t>
  </si>
  <si>
    <t>Macao</t>
  </si>
  <si>
    <t>IP Office</t>
  </si>
  <si>
    <t>Malagasy Industrial Property Office</t>
  </si>
  <si>
    <t>Madagascar</t>
  </si>
  <si>
    <t>the Republic of Madagascar</t>
  </si>
  <si>
    <t>MIPO</t>
  </si>
  <si>
    <t>Maine Bureau of Corporations, Elections &amp; Commissions</t>
  </si>
  <si>
    <t>Maine</t>
  </si>
  <si>
    <t>Bureau of Corps., Elections, &amp; Comm'ns</t>
  </si>
  <si>
    <t>Department of the Registrar General of Malawi</t>
  </si>
  <si>
    <t>Malawi</t>
  </si>
  <si>
    <t>the Republic of Malawi</t>
  </si>
  <si>
    <t>DRG</t>
  </si>
  <si>
    <t>Intellectual Property Corporation of Malaysia (Malaya)</t>
  </si>
  <si>
    <t>Malaya</t>
  </si>
  <si>
    <t>MYIPO (Malaya)</t>
  </si>
  <si>
    <t>Intellectual Property Corporation of Malaysia</t>
  </si>
  <si>
    <t>Malaysia</t>
  </si>
  <si>
    <t>MYIPO</t>
  </si>
  <si>
    <t>Intellectual Property Unit Ministry of Economic Development of Maldives</t>
  </si>
  <si>
    <t>Maldives</t>
  </si>
  <si>
    <t>the Republic of Maldives</t>
  </si>
  <si>
    <t>IP Unit</t>
  </si>
  <si>
    <t>Malian Centre for the Promotion of Industrial Property - Ministry of Trade and Industry</t>
  </si>
  <si>
    <t>Mali</t>
  </si>
  <si>
    <t>the Republic of Mali</t>
  </si>
  <si>
    <t>CEMAPI</t>
  </si>
  <si>
    <t>Malta Commerce Department Industrial Property Registrations Directorate Ministry for the Economy, Investment and Small Business</t>
  </si>
  <si>
    <t>Malta</t>
  </si>
  <si>
    <t>the Republic of Malta</t>
  </si>
  <si>
    <t>Malta IPO</t>
  </si>
  <si>
    <t>Republic of the Marshall Islands</t>
  </si>
  <si>
    <t>Marshall Islands</t>
  </si>
  <si>
    <t>Marshall Islands (the)</t>
  </si>
  <si>
    <t>MCIA</t>
  </si>
  <si>
    <t>Maryland Secretary of State</t>
  </si>
  <si>
    <t>Maryland</t>
  </si>
  <si>
    <t>Secretary of the Commonwealth of Massachusetts</t>
  </si>
  <si>
    <t>Massachusetts</t>
  </si>
  <si>
    <t>Sec'y of the Commonwealth of MA</t>
  </si>
  <si>
    <t>Directorate of Industry Ministry of Commerce, Industry, Handicraft and Tourism of Mauritania</t>
  </si>
  <si>
    <t>Mauritania</t>
  </si>
  <si>
    <t>the Islamic Republic of Mauritania</t>
  </si>
  <si>
    <t>Industrial Property Office of Mauritius</t>
  </si>
  <si>
    <t>Mauritius</t>
  </si>
  <si>
    <t>the Republic of Mauritius</t>
  </si>
  <si>
    <t>Mexican Institute of Industrial Property</t>
  </si>
  <si>
    <t>Mexico</t>
  </si>
  <si>
    <t>the United Mexican States</t>
  </si>
  <si>
    <t>IMPI</t>
  </si>
  <si>
    <t>Michigan Department of Licensing and Regulatory Affairs</t>
  </si>
  <si>
    <t>Michigan</t>
  </si>
  <si>
    <t>Dept. of Lic. and Reg. Affairs</t>
  </si>
  <si>
    <t>Federated States of Micronesia</t>
  </si>
  <si>
    <t>Micronesia</t>
  </si>
  <si>
    <t>FSM</t>
  </si>
  <si>
    <t>Office of the Minnesota Secretary of State</t>
  </si>
  <si>
    <t>Minnesota</t>
  </si>
  <si>
    <t>Mississippi Secretary of State</t>
  </si>
  <si>
    <t>Mississippi</t>
  </si>
  <si>
    <t>Missouri Secretary of State</t>
  </si>
  <si>
    <t>Missouri</t>
  </si>
  <si>
    <t>Moldova State Agency on Intellectual Property</t>
  </si>
  <si>
    <t>Moldova</t>
  </si>
  <si>
    <t>Republic of Moldova</t>
  </si>
  <si>
    <t>AGEPI</t>
  </si>
  <si>
    <t>Intellectual Property Division of Monaco</t>
  </si>
  <si>
    <t>Monaco</t>
  </si>
  <si>
    <t>the Principality of Monaco</t>
  </si>
  <si>
    <t>MIPD</t>
  </si>
  <si>
    <t>Mongolian Industrial Property Department</t>
  </si>
  <si>
    <t>Mongolia</t>
  </si>
  <si>
    <t>BURTGEL</t>
  </si>
  <si>
    <t>Montana Secretary of State</t>
  </si>
  <si>
    <t>Montana</t>
  </si>
  <si>
    <t>Intellectual Property Office of Montenegro</t>
  </si>
  <si>
    <t>Montenegro</t>
  </si>
  <si>
    <t>ZISCG</t>
  </si>
  <si>
    <t>Montserrat Register of Trademarks</t>
  </si>
  <si>
    <t>Montserrat</t>
  </si>
  <si>
    <t>MRT</t>
  </si>
  <si>
    <t>Moroccan Industrial and Commercial Property Office</t>
  </si>
  <si>
    <t>Morocco</t>
  </si>
  <si>
    <t>the Kingdom of Morocco</t>
  </si>
  <si>
    <t>OMPIC</t>
  </si>
  <si>
    <t>Industrial Property Institute of Mozambique</t>
  </si>
  <si>
    <t>Mozambique</t>
  </si>
  <si>
    <t>the Republic of Mozambique</t>
  </si>
  <si>
    <t>Department of Technical and Vocational Education of Myanmar</t>
  </si>
  <si>
    <t>Myanmar</t>
  </si>
  <si>
    <t>the Republic of the Union of Myanmar</t>
  </si>
  <si>
    <t>Business and Intellectual Property Authority of Namibia</t>
  </si>
  <si>
    <t>Namibia</t>
  </si>
  <si>
    <t>the Republic of Namibia</t>
  </si>
  <si>
    <t>BIPA</t>
  </si>
  <si>
    <t>Nauru Office of the Registrar of Patents, Trade Marks and Copyright</t>
  </si>
  <si>
    <t>Nauru</t>
  </si>
  <si>
    <t>the Republic of Nauru</t>
  </si>
  <si>
    <t>NORPTM</t>
  </si>
  <si>
    <t>Nebraska Secretary of State</t>
  </si>
  <si>
    <t>Nebraska</t>
  </si>
  <si>
    <t>Nepalese Department of Industries</t>
  </si>
  <si>
    <t>Nepal</t>
  </si>
  <si>
    <t>the Federal Democratic Republic of Nepal</t>
  </si>
  <si>
    <t>DOIND</t>
  </si>
  <si>
    <t>Netherlands Patent Office</t>
  </si>
  <si>
    <t>Netherlands</t>
  </si>
  <si>
    <t>Kingdom of the Netherlands</t>
  </si>
  <si>
    <t>RVO</t>
  </si>
  <si>
    <t>Nevada Secretary of State</t>
  </si>
  <si>
    <t>Nevada</t>
  </si>
  <si>
    <t>New Hampshire Secretary of State</t>
  </si>
  <si>
    <t>New Hampshire</t>
  </si>
  <si>
    <t>New Jersey Secretary of the Treasury Division of Revenue and Enterprise Services</t>
  </si>
  <si>
    <t>New Jersey</t>
  </si>
  <si>
    <t>Sec'y of the Treasury Div. of Rev. and Enter. Serv.</t>
  </si>
  <si>
    <t>New Mexico Secretary of State</t>
  </si>
  <si>
    <t>New Mexico</t>
  </si>
  <si>
    <t>New York Department of State Division of Corporations, State Records, and UCC</t>
  </si>
  <si>
    <t>New York</t>
  </si>
  <si>
    <t>Dept. of State Div. of Corps., State Recs., and UCC</t>
  </si>
  <si>
    <t>Intellectual Property Office of New Zealand</t>
  </si>
  <si>
    <t>New Zealand</t>
  </si>
  <si>
    <t>IPONZ</t>
  </si>
  <si>
    <t>Canadian Intellectual Property Office (Newfoundland Act)</t>
  </si>
  <si>
    <t>Newfoundland</t>
  </si>
  <si>
    <t>Newfoundland, Canada</t>
  </si>
  <si>
    <t>CIPO (Newfoundland Act)</t>
  </si>
  <si>
    <t>Intellectual Property Registry of Nicaragua</t>
  </si>
  <si>
    <t>Nicaragua</t>
  </si>
  <si>
    <t>the Republic of Nicaragua</t>
  </si>
  <si>
    <t>Direction of Innovation and Industrial property of Niger</t>
  </si>
  <si>
    <t>Niger</t>
  </si>
  <si>
    <t>Republic of the Niger</t>
  </si>
  <si>
    <t>DIIP</t>
  </si>
  <si>
    <t>Nigerian Trademarks, Patents and Designs Registry</t>
  </si>
  <si>
    <t>Nigeria</t>
  </si>
  <si>
    <t>the Federal Republic of Nigeria</t>
  </si>
  <si>
    <t>Crown Law Office of Niue</t>
  </si>
  <si>
    <t>Niue</t>
  </si>
  <si>
    <t>Crown Law Office</t>
  </si>
  <si>
    <t>North Carolina Department of the Secretary of State</t>
  </si>
  <si>
    <t>North Carolina</t>
  </si>
  <si>
    <t>Dept. of Sec'y of State</t>
  </si>
  <si>
    <t>North Dakota Secretary of State</t>
  </si>
  <si>
    <t>North Dakota</t>
  </si>
  <si>
    <t>Trademark, Industrial Design and Geographical Indication Office of Democratic Peoples Republic of Korea</t>
  </si>
  <si>
    <t>North Korea</t>
  </si>
  <si>
    <t>Democratic People's Republic of Korea</t>
  </si>
  <si>
    <t>TIDGIO</t>
  </si>
  <si>
    <t>State Office of Industrial Property</t>
  </si>
  <si>
    <t>North Macedonia</t>
  </si>
  <si>
    <t>Republic of North Macedonia</t>
  </si>
  <si>
    <t>SOIP</t>
  </si>
  <si>
    <t>Northern Cyprus Registry of Corporations</t>
  </si>
  <si>
    <t>Northern Cyprus</t>
  </si>
  <si>
    <t>Turkish Republic of Northern Cyprus</t>
  </si>
  <si>
    <t>NCRC</t>
  </si>
  <si>
    <t>Norwegian Industrial Property Office</t>
  </si>
  <si>
    <t>Norway</t>
  </si>
  <si>
    <t>the Kingdom of Norway</t>
  </si>
  <si>
    <t>Patentstyret</t>
  </si>
  <si>
    <t>African Intellectual Property Organization</t>
  </si>
  <si>
    <t>OAPI</t>
  </si>
  <si>
    <t>Ohio Secretary of State</t>
  </si>
  <si>
    <t>Ohio</t>
  </si>
  <si>
    <t>Oklahoma Secretary of State</t>
  </si>
  <si>
    <t>Oklahoma</t>
  </si>
  <si>
    <t>Omanis Intellectual Property Department</t>
  </si>
  <si>
    <t>Oman</t>
  </si>
  <si>
    <t>the Sultanate of Oman</t>
  </si>
  <si>
    <t>MOCI</t>
  </si>
  <si>
    <t>Oregon Secretary of State</t>
  </si>
  <si>
    <t>Oregon</t>
  </si>
  <si>
    <t>Intellectual Property Organization of Pakistan</t>
  </si>
  <si>
    <t>Pakistan</t>
  </si>
  <si>
    <t>the Islamic Republic of Pakistan</t>
  </si>
  <si>
    <t>IPO-Pakistan</t>
  </si>
  <si>
    <t>Ministry of Resources and Development of Palau</t>
  </si>
  <si>
    <t>Palau</t>
  </si>
  <si>
    <t>the Republic of Palau</t>
  </si>
  <si>
    <t>PMRD</t>
  </si>
  <si>
    <t>Palestine Ministry of National Economy</t>
  </si>
  <si>
    <t>Palestine</t>
  </si>
  <si>
    <t>State of Palestine</t>
  </si>
  <si>
    <t>PMNE</t>
  </si>
  <si>
    <t>Directorate General of the Industrial Property Registry of Panama</t>
  </si>
  <si>
    <t>Panama</t>
  </si>
  <si>
    <t>the Republic of Panama</t>
  </si>
  <si>
    <t>Intellectual Property Office of Papua New Guinea</t>
  </si>
  <si>
    <t>Papua New Guinea</t>
  </si>
  <si>
    <t>the Independent State of Papua New Guinea</t>
  </si>
  <si>
    <t>IPOPNG</t>
  </si>
  <si>
    <t>National Directorate of Intellectual Property of Paraguay</t>
  </si>
  <si>
    <t>Paraguay</t>
  </si>
  <si>
    <t>the Republic of Paraguay</t>
  </si>
  <si>
    <t>DINAPI</t>
  </si>
  <si>
    <t>Pennsylvania Department of State</t>
  </si>
  <si>
    <t>Pennsylvania</t>
  </si>
  <si>
    <t>Dept. of State</t>
  </si>
  <si>
    <t>Peruvian National Institute for the Defense of Competition and Protection of Intellectual Property</t>
  </si>
  <si>
    <t>Peru</t>
  </si>
  <si>
    <t>the Republic of Peru</t>
  </si>
  <si>
    <t>INDECOPI</t>
  </si>
  <si>
    <t>Intellectual Property Office of the Philippines</t>
  </si>
  <si>
    <t>Philippines</t>
  </si>
  <si>
    <t>Republic of the Philippines</t>
  </si>
  <si>
    <t>IPOPHIL</t>
  </si>
  <si>
    <t>Patent Office of the Republic of Poland</t>
  </si>
  <si>
    <t>Poland</t>
  </si>
  <si>
    <t>the Republic of Poland</t>
  </si>
  <si>
    <t>UPRP</t>
  </si>
  <si>
    <t>Portuguese Institute of Industrial Property</t>
  </si>
  <si>
    <t>Portugal</t>
  </si>
  <si>
    <t>the Portuguese Republic</t>
  </si>
  <si>
    <t>Puerto Rico State Department</t>
  </si>
  <si>
    <t>Puerto Rico</t>
  </si>
  <si>
    <t>The Commonwealth of Puerto Rico</t>
  </si>
  <si>
    <t>PRSD</t>
  </si>
  <si>
    <t>Intellectual Property Department of Qatar</t>
  </si>
  <si>
    <t>Qatar</t>
  </si>
  <si>
    <t>the State of Qatar</t>
  </si>
  <si>
    <t>QIPD</t>
  </si>
  <si>
    <t>Rhode Island Department of State</t>
  </si>
  <si>
    <t>Rhode Island</t>
  </si>
  <si>
    <t>Romanian State Office for Inventions and Trademarks</t>
  </si>
  <si>
    <t>Romania</t>
  </si>
  <si>
    <t>OSIM</t>
  </si>
  <si>
    <t>Russian Federal Service for Intellectual Property</t>
  </si>
  <si>
    <t>Russia</t>
  </si>
  <si>
    <t>Russian Federation</t>
  </si>
  <si>
    <t>ROSPATENT</t>
  </si>
  <si>
    <t>Rwanda Development Board</t>
  </si>
  <si>
    <t>Rwanda</t>
  </si>
  <si>
    <t>the Republic of Rwanda</t>
  </si>
  <si>
    <t>RDB</t>
  </si>
  <si>
    <t>Intellectual Property Corporation of Malaysia (Sabah)</t>
  </si>
  <si>
    <t>Sabah</t>
  </si>
  <si>
    <t>MYIPO (Sabah)</t>
  </si>
  <si>
    <t>Saint Helena, Ascension and Tristan da Cunha</t>
  </si>
  <si>
    <t>Saint Helena</t>
  </si>
  <si>
    <t>Commerce and Intellectual Property Office of St. Vincent and the Grenadines</t>
  </si>
  <si>
    <t>Saint Vincent and the Grenadines</t>
  </si>
  <si>
    <t>Registries of Companies and Intellectual Property Division of Samoa</t>
  </si>
  <si>
    <t>Samoa</t>
  </si>
  <si>
    <t>the Independent State of Samoa</t>
  </si>
  <si>
    <t>RCIP</t>
  </si>
  <si>
    <t>State Office for Patents and Trademarks of San Marino</t>
  </si>
  <si>
    <t>San Marino</t>
  </si>
  <si>
    <t>the Republic of San Marino</t>
  </si>
  <si>
    <t>SOPT</t>
  </si>
  <si>
    <t>Industrial Property National Service of Sao Tome and Principe</t>
  </si>
  <si>
    <t>Sao Tome and Principe</t>
  </si>
  <si>
    <t>the Democratic Republic of Sao Tome and Principe</t>
  </si>
  <si>
    <t>Intellectual Property Corporation of Malaysia (Sarawak)</t>
  </si>
  <si>
    <t>Sarawak</t>
  </si>
  <si>
    <t>MYIPO (Sarawak)</t>
  </si>
  <si>
    <t>General Administration of Trademarks of Saudi Arabia</t>
  </si>
  <si>
    <t>Saudi Arabia</t>
  </si>
  <si>
    <t>the Kingdom of Saudi Arabia</t>
  </si>
  <si>
    <t>SATMO</t>
  </si>
  <si>
    <t>Senegalese Agency of Industrial Property and Innovation Technologique</t>
  </si>
  <si>
    <t>Senegal</t>
  </si>
  <si>
    <t>the Republic of Senegal</t>
  </si>
  <si>
    <t>ASPIT</t>
  </si>
  <si>
    <t>Intellectual Property Office of the Republic of Serbia</t>
  </si>
  <si>
    <t>Serbia</t>
  </si>
  <si>
    <t>the Republic of Serbia</t>
  </si>
  <si>
    <t>Registration Division of Seychelles</t>
  </si>
  <si>
    <t>Seychelles</t>
  </si>
  <si>
    <t>the Republic of Seychelles</t>
  </si>
  <si>
    <t>SRD</t>
  </si>
  <si>
    <t>Sierra Leone National Registry for Industrial Property and Copyright</t>
  </si>
  <si>
    <t>Sierra Leone</t>
  </si>
  <si>
    <t>the Republic of Sierra Leone</t>
  </si>
  <si>
    <t>IP Registry</t>
  </si>
  <si>
    <t>Intellectual Property Office of Singapore</t>
  </si>
  <si>
    <t>Singapore</t>
  </si>
  <si>
    <t>the Republic of Singapore</t>
  </si>
  <si>
    <t>IPOS</t>
  </si>
  <si>
    <t>Bureau for Intellectual Property Sint Maarten</t>
  </si>
  <si>
    <t>Sint Maarten</t>
  </si>
  <si>
    <t>BIP SXM</t>
  </si>
  <si>
    <t>Industrial Property Office of the Slovak Republic</t>
  </si>
  <si>
    <t>Slovakia</t>
  </si>
  <si>
    <t>the Slovak Republic</t>
  </si>
  <si>
    <t>UPV</t>
  </si>
  <si>
    <t>Slovenian Intellectual Property Office</t>
  </si>
  <si>
    <t>Slovenia</t>
  </si>
  <si>
    <t>the Republic of Slovenia</t>
  </si>
  <si>
    <t>Registrar General's Office of the Solomon Islands</t>
  </si>
  <si>
    <t>Solomon Islands</t>
  </si>
  <si>
    <t>The Solomon Islands</t>
  </si>
  <si>
    <t>Solomon Islands (the)</t>
  </si>
  <si>
    <t>RGO</t>
  </si>
  <si>
    <t>Patents and Trade Marks Office of Somalia</t>
  </si>
  <si>
    <t>Somalia</t>
  </si>
  <si>
    <t>Federal Republic of Somalia</t>
  </si>
  <si>
    <t>SPTMO</t>
  </si>
  <si>
    <t>South African Companies and Intellectual Property Commission</t>
  </si>
  <si>
    <t>South Africa</t>
  </si>
  <si>
    <t>the Republic of South Africa</t>
  </si>
  <si>
    <t>CIPC</t>
  </si>
  <si>
    <t>South Carolina Secretary of State</t>
  </si>
  <si>
    <t>South Carolina</t>
  </si>
  <si>
    <t>South Dakota Secretary of State</t>
  </si>
  <si>
    <t>South Dakota</t>
  </si>
  <si>
    <t>Korean Intellectual Property Office</t>
  </si>
  <si>
    <t>South Korea</t>
  </si>
  <si>
    <t>Republic of Korea</t>
  </si>
  <si>
    <t>KIPO</t>
  </si>
  <si>
    <t>Spanish Patent and Trademark Office</t>
  </si>
  <si>
    <t>Spain</t>
  </si>
  <si>
    <t>the Kingdom of Spain</t>
  </si>
  <si>
    <t>SPTO</t>
  </si>
  <si>
    <t>National Intellectual Property Office of Sri Lanka</t>
  </si>
  <si>
    <t>Sri Lanka</t>
  </si>
  <si>
    <t>the Democratic Socialist Republic of Sri Lanka</t>
  </si>
  <si>
    <t>NIPO</t>
  </si>
  <si>
    <t>Intellectual Property Office of Saint Kitts and Nevis</t>
  </si>
  <si>
    <t>St. Kitts and Nevis</t>
  </si>
  <si>
    <t>Saint Kitts and Nevis</t>
  </si>
  <si>
    <t>Registry of Companies and Intellectual Property of Saint Lucia</t>
  </si>
  <si>
    <t>St. Lucia</t>
  </si>
  <si>
    <t>Saint Lucia</t>
  </si>
  <si>
    <t>Registrar General of Intellectual Property of Sudan</t>
  </si>
  <si>
    <t>Sudan</t>
  </si>
  <si>
    <t>Republic of the Sudan</t>
  </si>
  <si>
    <t>IPS</t>
  </si>
  <si>
    <t>Intellectual Property Office of Suriname</t>
  </si>
  <si>
    <t>Suriname</t>
  </si>
  <si>
    <t>the Republic of Suriname</t>
  </si>
  <si>
    <t>Swedish Patent and Registration Office</t>
  </si>
  <si>
    <t>Sweden</t>
  </si>
  <si>
    <t>the Kingdom of Sweden</t>
  </si>
  <si>
    <t>SPRO</t>
  </si>
  <si>
    <t>Swiss Federal Institute of Intellectual Property</t>
  </si>
  <si>
    <t>Switzerland</t>
  </si>
  <si>
    <t>the Swiss Confederation</t>
  </si>
  <si>
    <t>IGE</t>
  </si>
  <si>
    <t>Syrian Directorate of Industrial and Commercial Property Protection</t>
  </si>
  <si>
    <t>Syria</t>
  </si>
  <si>
    <t>Syrian Arab Republic</t>
  </si>
  <si>
    <t>DCIP</t>
  </si>
  <si>
    <t>Taiwan Intellectual Property Office (TIPO)</t>
  </si>
  <si>
    <t>Taiwan</t>
  </si>
  <si>
    <t>Taiwan (Province of China)</t>
  </si>
  <si>
    <t>TIPO</t>
  </si>
  <si>
    <t>National Center for Patents and Information of Tajikistan</t>
  </si>
  <si>
    <t>Tajikistan</t>
  </si>
  <si>
    <t>the Republic of Tajikistan</t>
  </si>
  <si>
    <t>NCPI</t>
  </si>
  <si>
    <t>Moroccan Industrial and Commercial Property Office (Tangier)</t>
  </si>
  <si>
    <t>Tangier</t>
  </si>
  <si>
    <t>Tangier International Zone</t>
  </si>
  <si>
    <t>OMPIC (Tangier)</t>
  </si>
  <si>
    <t>Business Registrations and Licensing Agency of Tanzania</t>
  </si>
  <si>
    <t>Tanzania</t>
  </si>
  <si>
    <t>United Republic of Tanzania</t>
  </si>
  <si>
    <t>BRELA</t>
  </si>
  <si>
    <t>Tennessee Secretary of State</t>
  </si>
  <si>
    <t>Tennessee</t>
  </si>
  <si>
    <t>Texas Secretary of State</t>
  </si>
  <si>
    <t>Texas</t>
  </si>
  <si>
    <t>Thai Department of Intellectual Property</t>
  </si>
  <si>
    <t>Thailand</t>
  </si>
  <si>
    <t>the Kingdom of Thailand</t>
  </si>
  <si>
    <t>National Director of Human Rights and Citizenship</t>
  </si>
  <si>
    <t>Timor-Leste</t>
  </si>
  <si>
    <t>the Democratic Republic of Timor-Leste</t>
  </si>
  <si>
    <t>TLIPO</t>
  </si>
  <si>
    <t>National Institute for Industrial Property and Technology of Togo</t>
  </si>
  <si>
    <t>Togo</t>
  </si>
  <si>
    <t>the Togolese Republic</t>
  </si>
  <si>
    <t>INPIT</t>
  </si>
  <si>
    <t>Tongan Registry &amp; Intellectual Property Office</t>
  </si>
  <si>
    <t>Tonga</t>
  </si>
  <si>
    <t>the Kingdom of Tonga</t>
  </si>
  <si>
    <t>RIPO</t>
  </si>
  <si>
    <t>South African Companies and Intellectual Property Commission (Transkei)</t>
  </si>
  <si>
    <t>Transkei</t>
  </si>
  <si>
    <t>CIPC (Transkei)</t>
  </si>
  <si>
    <t>Transnistria Ministry of Justice</t>
  </si>
  <si>
    <t>Transnistria</t>
  </si>
  <si>
    <t>Pridnestrovian Moldavian Republic</t>
  </si>
  <si>
    <t>TMJ</t>
  </si>
  <si>
    <t>Intellectual Property Office Ministry of Legal Affairs</t>
  </si>
  <si>
    <t>Trinidad and Tobago</t>
  </si>
  <si>
    <t>the Republic of Trinidad and Tobago</t>
  </si>
  <si>
    <t>National Institute for Standardization and Industrial Property of Tunisia</t>
  </si>
  <si>
    <t>Tunisia</t>
  </si>
  <si>
    <t>the Republic of Tunisia</t>
  </si>
  <si>
    <t>INNORPI</t>
  </si>
  <si>
    <t>Turkish Patent and Trademark Office</t>
  </si>
  <si>
    <t>Turkey</t>
  </si>
  <si>
    <t>the Republic of Turkey</t>
  </si>
  <si>
    <t>TPTO</t>
  </si>
  <si>
    <t>State Service on Intellectual Property of Turkmenistan</t>
  </si>
  <si>
    <t>Turkmenistan</t>
  </si>
  <si>
    <t>IP Service</t>
  </si>
  <si>
    <t>Turks and Caicos Financial Services Commission</t>
  </si>
  <si>
    <t>Turks and Caicos Islands</t>
  </si>
  <si>
    <t>Turks and Caicos</t>
  </si>
  <si>
    <t>Tuvalu Attorney General’s Office</t>
  </si>
  <si>
    <t>Tuvalu</t>
  </si>
  <si>
    <t>AG Office</t>
  </si>
  <si>
    <t>Uganda Registration Services Bureau</t>
  </si>
  <si>
    <t>Uganda</t>
  </si>
  <si>
    <t>the Republic of Uganda</t>
  </si>
  <si>
    <t>URSB</t>
  </si>
  <si>
    <t>Ukrainian Intellectual Property Institute</t>
  </si>
  <si>
    <t>Ukraine</t>
  </si>
  <si>
    <t>Ukrpatent</t>
  </si>
  <si>
    <t>Department of Industrial Property of the United Arab Emirates</t>
  </si>
  <si>
    <t>United Arab Emirates</t>
  </si>
  <si>
    <t>UAE</t>
  </si>
  <si>
    <t>United Kingdom Intellectual Property Office</t>
  </si>
  <si>
    <t>United Kingdom</t>
  </si>
  <si>
    <t>the United Kingdom of Great Britain and Northern Ireland</t>
  </si>
  <si>
    <t>UKIPO</t>
  </si>
  <si>
    <t>United States Patent and Trademark Office</t>
  </si>
  <si>
    <t>United States</t>
  </si>
  <si>
    <t>United States of America</t>
  </si>
  <si>
    <t>USPTO</t>
  </si>
  <si>
    <t>National Directorate of Industrial Property of Uruguay</t>
  </si>
  <si>
    <t>Uruguay</t>
  </si>
  <si>
    <t>the Eastern Republic of Uruguay</t>
  </si>
  <si>
    <t>MIEM</t>
  </si>
  <si>
    <t>US Virgin Islands IP Office</t>
  </si>
  <si>
    <t>US VI</t>
  </si>
  <si>
    <t>Virgin Islands of the United States</t>
  </si>
  <si>
    <t>US Virgin Islands</t>
  </si>
  <si>
    <t>Utah Department of Commerce Division of Commerce and Commercial Code</t>
  </si>
  <si>
    <t>Utah</t>
  </si>
  <si>
    <t>Dept. of Comm.</t>
  </si>
  <si>
    <t>Agency on Intellectual Property of the Republic of Uzbekistan</t>
  </si>
  <si>
    <t>Uzbekistan</t>
  </si>
  <si>
    <t>the Republic of Uzbekistan</t>
  </si>
  <si>
    <t>IMA</t>
  </si>
  <si>
    <t>The Intellectual Property Office of the Republic of Vanuatu</t>
  </si>
  <si>
    <t>Vanuatu</t>
  </si>
  <si>
    <t>the Republic of Vanuatu</t>
  </si>
  <si>
    <t>VIPO</t>
  </si>
  <si>
    <t>South African Companies and Intellectual Property Commission (Venda)</t>
  </si>
  <si>
    <t>Venda</t>
  </si>
  <si>
    <t>CIPC (Venda)</t>
  </si>
  <si>
    <t>Autonomous Service of Intellectual Property of Venezuela</t>
  </si>
  <si>
    <t>Venezuela</t>
  </si>
  <si>
    <t>Bolivarian Republic of Venezuela</t>
  </si>
  <si>
    <t>SAPI</t>
  </si>
  <si>
    <t>Vermont Secretary of State</t>
  </si>
  <si>
    <t>Vermont</t>
  </si>
  <si>
    <t>National Office of Intellectual Property of Vietnam</t>
  </si>
  <si>
    <t>Vietnam</t>
  </si>
  <si>
    <t>Socialist Republic of Viet Nam</t>
  </si>
  <si>
    <t>Viet Nam</t>
  </si>
  <si>
    <t>NOIP</t>
  </si>
  <si>
    <t>Virginia State Corporation Commission</t>
  </si>
  <si>
    <t>Virginia</t>
  </si>
  <si>
    <t>State Corp. Comm.</t>
  </si>
  <si>
    <t>Washington Office of the Secretary of State</t>
  </si>
  <si>
    <t>Washington</t>
  </si>
  <si>
    <t>West Bank</t>
  </si>
  <si>
    <t>West Virginia Secretary of State</t>
  </si>
  <si>
    <t>West Virginia</t>
  </si>
  <si>
    <t>WIPO Madrid</t>
  </si>
  <si>
    <t>WIPO</t>
  </si>
  <si>
    <t>World Intellectual Property Office (WIPO)</t>
  </si>
  <si>
    <t>Wisconsin Department of Financial Institutions</t>
  </si>
  <si>
    <t>Wisconsin</t>
  </si>
  <si>
    <t>Dept. of Fin. Inst.</t>
  </si>
  <si>
    <t>Wyoming Secretary of State</t>
  </si>
  <si>
    <t>Wyoming</t>
  </si>
  <si>
    <t>Ministry of Industry and Trade of Yemen</t>
  </si>
  <si>
    <t>Yemen</t>
  </si>
  <si>
    <t>the Republic of Yemen</t>
  </si>
  <si>
    <t>YIPO</t>
  </si>
  <si>
    <t>Patents and Companies Registration Agency of Zambia</t>
  </si>
  <si>
    <t>Zambia</t>
  </si>
  <si>
    <t>the Republic of Zambia</t>
  </si>
  <si>
    <t>PACRA</t>
  </si>
  <si>
    <t>Zanzibar Business and Property Registration Agency</t>
  </si>
  <si>
    <t>Zanzibar</t>
  </si>
  <si>
    <t>BPRA</t>
  </si>
  <si>
    <t>Zimbabwe Intellectual Property Office</t>
  </si>
  <si>
    <t>Zimbabwe</t>
  </si>
  <si>
    <t>the Republic of Zimbabwe</t>
  </si>
  <si>
    <t>ZIPO</t>
  </si>
  <si>
    <t>Status Name</t>
  </si>
  <si>
    <t>Alternate</t>
  </si>
  <si>
    <t>Filed Before</t>
  </si>
  <si>
    <t>Filed After</t>
  </si>
  <si>
    <t>Granted Before</t>
  </si>
  <si>
    <t>Granted After</t>
  </si>
  <si>
    <t>AFGHANISTAN_WIPO_REGISTRATION</t>
  </si>
  <si>
    <t>AFGHANISTAN_REGISTRATION</t>
  </si>
  <si>
    <t>NOT_WIPO</t>
  </si>
  <si>
    <t>ALABAMA_REGISTERED</t>
  </si>
  <si>
    <t>ALASKA_REGISTERED</t>
  </si>
  <si>
    <t>ALBANIA_WIPO_REGISTRATION</t>
  </si>
  <si>
    <t>ALBANIA_REGISTRATION</t>
  </si>
  <si>
    <t>ALGERIA_WIPO_REGISTRATION</t>
  </si>
  <si>
    <t>ALGERIA_REGISTRATION</t>
  </si>
  <si>
    <t>ANDORRA_WIPO_REGISTRATION</t>
  </si>
  <si>
    <t>ANDORRA_REGISTRATION</t>
  </si>
  <si>
    <t>ANGOLA_WIPO_REGISTRATION</t>
  </si>
  <si>
    <t>ANGOLA_REGISTRATION</t>
  </si>
  <si>
    <t>ANGUILLA_WIPO_REGISTRATION</t>
  </si>
  <si>
    <t>ANGUILLA_REGISTRATION</t>
  </si>
  <si>
    <t>ANGUILLA_REGISTRATION_PRE_2002</t>
  </si>
  <si>
    <t>ANGUILLA_REGISTRATION_UK_BASED</t>
  </si>
  <si>
    <t>ANTIGUA_AND_BARBUDA_WIPO_REGISTRATION</t>
  </si>
  <si>
    <t>ANTIGUA_AND_BARBUDA_POST_2007_REGISTRATION</t>
  </si>
  <si>
    <t>ANTIGUA_AND_BARBUDA_PRE_2007_REGISTRATION</t>
  </si>
  <si>
    <t>ARGENTINA_WIPO_REGISTRATION</t>
  </si>
  <si>
    <t>ARGENTINA_REGISTRATION_POST_2013</t>
  </si>
  <si>
    <t>ARGENTINA_REGISTRATION_PRE_2013</t>
  </si>
  <si>
    <t>ARIPO_WIPO_REGISTRATION</t>
  </si>
  <si>
    <t>ARIPO_REGISTRATION</t>
  </si>
  <si>
    <t>ARIZONA_REGISTERED</t>
  </si>
  <si>
    <t>ARKANSAS_REGISTERED</t>
  </si>
  <si>
    <t>ARMENIA_WIPO_REGISTRATION</t>
  </si>
  <si>
    <t>ARMENIA_REGISTRATION</t>
  </si>
  <si>
    <t>ARUBA_WIPO_REGISTRATION</t>
  </si>
  <si>
    <t>ARUBA_REGISTRATION</t>
  </si>
  <si>
    <t>AUSTRALIA_WIPO_REGISTRATION</t>
  </si>
  <si>
    <t>AUSTRALIA_REGISTRATION</t>
  </si>
  <si>
    <t>AUSTRALIA_REGISTRATION_PRE_1995</t>
  </si>
  <si>
    <t>AUSTRIA_WIPO_REGISTRATION</t>
  </si>
  <si>
    <t>AUSTRIA_REGISTRATION_POST_2018</t>
  </si>
  <si>
    <t>AUSTRIA_REGISTRATION_PRE_2018</t>
  </si>
  <si>
    <t>AZERBAIJAN_WIPO_REGISTRATION</t>
  </si>
  <si>
    <t>AZERBAIJAN_REGISTRATION</t>
  </si>
  <si>
    <t>BAHAMAS_WIPO_REGISTRATION</t>
  </si>
  <si>
    <t>BAHAMAS_REGISTRATION</t>
  </si>
  <si>
    <t>BAHRAIN_WIPO_REGISTRATION</t>
  </si>
  <si>
    <t>BAHRAIN_REGISTRATION_POST_1991</t>
  </si>
  <si>
    <t>BAHRAIN_REGISTRATION_PRE_1991</t>
  </si>
  <si>
    <t>BANGLADESH_WIPO_REGISTRATION</t>
  </si>
  <si>
    <t>BANGLADESH_REGISTRATION_POST_2008</t>
  </si>
  <si>
    <t>BANGLADESH_REGISTRATION_PRE_2008</t>
  </si>
  <si>
    <t>BARBADOS_WIPO_REGISTRATION</t>
  </si>
  <si>
    <t>BARBADOS_REGISTRATION</t>
  </si>
  <si>
    <t>BELARUS_WIPO_REGISTRATION</t>
  </si>
  <si>
    <t>BELARUS_REGISTRATION_POST_1993</t>
  </si>
  <si>
    <t>BELARUS_REGISTRATION_PRE_1993</t>
  </si>
  <si>
    <t>BELIZE_WIPO_REGISTRATION</t>
  </si>
  <si>
    <t>BELIZE_REGISTRATION</t>
  </si>
  <si>
    <t>BENELUX_WIPO_REGISTRATION</t>
  </si>
  <si>
    <t>BENELUX_REGISTRATION</t>
  </si>
  <si>
    <t>BENELUX_PRIOR_RIGHTS_REGISTRATION</t>
  </si>
  <si>
    <t>BERMUDA_WIPO_REGISTRATION</t>
  </si>
  <si>
    <t>BERMUDA_REGISTRATION</t>
  </si>
  <si>
    <t>BERMUDA_REGISTRATION_UK_BASED</t>
  </si>
  <si>
    <t>BHUTAN_WIPO_REGISTRATION</t>
  </si>
  <si>
    <t>BHUTAN_REGISTRATION</t>
  </si>
  <si>
    <t>BOLIVIA_WIPO_REGISTRATION</t>
  </si>
  <si>
    <t>BOLIVIA_REGISTRATION</t>
  </si>
  <si>
    <t>BOSNIA_AND_HERZEGOVINA_WIPO_REGISTRATION</t>
  </si>
  <si>
    <t>BOSNIA_AND_HERZEGOVINA_REGISTRATION</t>
  </si>
  <si>
    <t>BOTSWANA_WIPO_REGISTRATION</t>
  </si>
  <si>
    <t>BOTSWANA_REGISTRATION</t>
  </si>
  <si>
    <t>BRAZIL_WIPO_REGISTRATION</t>
  </si>
  <si>
    <t>BRAZIL_REGISTRATION</t>
  </si>
  <si>
    <t>BRUNEI_DARUSSALAM_WIPO_REGISTRATION</t>
  </si>
  <si>
    <t>BRUNEI_REGISTRATION_POST_2000</t>
  </si>
  <si>
    <t>BRUNEI_REGISTRATION_PRE_2000</t>
  </si>
  <si>
    <t>BULGARIA_WIPO_REGISTRATION</t>
  </si>
  <si>
    <t>BULGARIA_REGISTRATION</t>
  </si>
  <si>
    <t>BURUNDI_WIPO_REGISTRATION</t>
  </si>
  <si>
    <t>BURUNDI_REGISTRATION_POST_2009</t>
  </si>
  <si>
    <t>BURUNDI_REGISTRATION_PRE_2009</t>
  </si>
  <si>
    <t>BVI_WIPO_REGISTRATION</t>
  </si>
  <si>
    <t>BVI_REGISTRATION</t>
  </si>
  <si>
    <t>BVI_REGISTRATION_PRE_2015</t>
  </si>
  <si>
    <t>BVI_REGISTRATION_UK</t>
  </si>
  <si>
    <t>BVI_REGISTRATION_UK_BASED_POST_1994</t>
  </si>
  <si>
    <t>BVI_REGISTRATION_UK_BASED_PRE_1994</t>
  </si>
  <si>
    <t>CABO_VERDE_WIPO_REGISTRATION</t>
  </si>
  <si>
    <t>CABO_VERDE_REGISTRATION</t>
  </si>
  <si>
    <t>CALIFORNIA_REGISTERED</t>
  </si>
  <si>
    <t>CAMBODIA_WIPO_REGISTRATION</t>
  </si>
  <si>
    <t>CAMBODIA_REGISTRATION</t>
  </si>
  <si>
    <t>CARIBBEAN_NETHERLANDS_WIPO_REGISTRATION</t>
  </si>
  <si>
    <t>CARIBBEAN_NETHERLANDS_REGISTRATION</t>
  </si>
  <si>
    <t>CARIBBEAN_NETHERLANDS_REGISTRATION_ANTILES_BASED</t>
  </si>
  <si>
    <t>CAYMAN_ISLANDS_WIPO_REGISTRATION</t>
  </si>
  <si>
    <t>CAYMAN_ISLANDS_REGISTRATION</t>
  </si>
  <si>
    <t>CAYMAN_ISLANDS_REGISTRATION_EU_UK</t>
  </si>
  <si>
    <t>CHILE_WIPO_REGISTRATION</t>
  </si>
  <si>
    <t>CHILE_REGISTRATION</t>
  </si>
  <si>
    <t>CHILE_REGISTRATION_PRE_2005</t>
  </si>
  <si>
    <t>CHINA_WIPO_REGISTRATION</t>
  </si>
  <si>
    <t>CHINA_REGISTRATION</t>
  </si>
  <si>
    <t>COLOMBIA_WIPO_REGISTRATION</t>
  </si>
  <si>
    <t>COLOMBIA_REGISTRATION_POST_1991</t>
  </si>
  <si>
    <t>COLOMBIA_REGISTRATION_PRE_1991</t>
  </si>
  <si>
    <t>COLORADO_REGISTERED</t>
  </si>
  <si>
    <t>CONNECTICUT_REGISTERED</t>
  </si>
  <si>
    <t>COOK_ISLANDS_WIPO_REGISTRATION</t>
  </si>
  <si>
    <t>COOK_ISLANDS_REGISTRATION_PRE_NZ_1953</t>
  </si>
  <si>
    <t>COSTA_RICA_WIPO_REGISTRATION</t>
  </si>
  <si>
    <t>COSTA_RICA_REGISTRATION</t>
  </si>
  <si>
    <t>CROATIA_WIPO_REGISTRATION</t>
  </si>
  <si>
    <t>CROATIA_REGISTRATION</t>
  </si>
  <si>
    <t>CUBA_WIPO_REGISTRATION</t>
  </si>
  <si>
    <t>CUBA_REGISTRATION</t>
  </si>
  <si>
    <t>CURACAO_WIPO_REGISTRATION</t>
  </si>
  <si>
    <t>CURACAO_REGISTRATION</t>
  </si>
  <si>
    <t>CYPRUS_WIPO_REGISTRATION</t>
  </si>
  <si>
    <t>CYPRUS_REGISTRATION_POST_2020</t>
  </si>
  <si>
    <t>CYPRUS_REGISTRATION_PRE_2020</t>
  </si>
  <si>
    <t>CZECH_REPUBLIC_WIPO_REGISTRATION</t>
  </si>
  <si>
    <t>CZECH_REPUBLIC_REGISTRATION</t>
  </si>
  <si>
    <t>DELAWARE_REGISTERED</t>
  </si>
  <si>
    <t>DEMOCRATIC_REPUBLIC_OF_CONGO_WIPO_REGISTRATION</t>
  </si>
  <si>
    <t>DEMOCRATIC_REPUBLIC_OF_CONGO_REGISTRATION</t>
  </si>
  <si>
    <t>DENMARK_WIPO_REGISTRATION</t>
  </si>
  <si>
    <t>DENMARK_REGISTRATION_POST_2019</t>
  </si>
  <si>
    <t>DENMARK_REGISTRATION_PRE_2019</t>
  </si>
  <si>
    <t>DJIBOUTI_WIPO_REGISTRATION</t>
  </si>
  <si>
    <t>DJIBOUTI_REGISTRATION</t>
  </si>
  <si>
    <t>DOMINICA_WIPO_REGISTRATION</t>
  </si>
  <si>
    <t>DOMINICA_REGISTRATION_POST_2009</t>
  </si>
  <si>
    <t>DOMINICA_REGISTRATION_PRE_2009</t>
  </si>
  <si>
    <t>DOMINICAN_REPUBLIC_WIPO_REGISTRATION</t>
  </si>
  <si>
    <t>DOMINICAN_REPUBLIC_REGISTRATION</t>
  </si>
  <si>
    <t>ECUADOR_WIPO_REGISTRATION</t>
  </si>
  <si>
    <t>ECUADOR_REGISTRATION</t>
  </si>
  <si>
    <t>EGYPT_WIPO_REGISTRATION</t>
  </si>
  <si>
    <t>EGYPT_REGISTRATION</t>
  </si>
  <si>
    <t>EL_SALVADOR_WIPO_REGISTRATION</t>
  </si>
  <si>
    <t>EL_SALVADOR_REGISTRATION</t>
  </si>
  <si>
    <t>ESTONIA_WIPO_REGISTRATION</t>
  </si>
  <si>
    <t>ESTONIA_REGISTRATION_POST_2019</t>
  </si>
  <si>
    <t>ESTONIA_REGISTRATION_PRE_2019</t>
  </si>
  <si>
    <t>ESWATINI_WIPO_REGISTRATION</t>
  </si>
  <si>
    <t>ESWATINI_REGISTRATION</t>
  </si>
  <si>
    <t>ETHIOPIA_WIPO_REGISTRATION</t>
  </si>
  <si>
    <t>ETHIOPIA_REGISTRATION</t>
  </si>
  <si>
    <t>EUROPEAN_UNION_WIPO_REGISTRATION</t>
  </si>
  <si>
    <t>EUROPEAN_UNION_REGISTRATION</t>
  </si>
  <si>
    <t>FIJI_WIPO_REGISTRATION</t>
  </si>
  <si>
    <t>FIJI_REGISTRATION</t>
  </si>
  <si>
    <t>FIJI_REGISTRATION_UK_BASED</t>
  </si>
  <si>
    <t>FINLAND_WIPO_REGISTRATION</t>
  </si>
  <si>
    <t>FINLAND_REGISTRATION_POST_MAY_2019</t>
  </si>
  <si>
    <t>FINLAND_REGISTRATION_PRE_2019</t>
  </si>
  <si>
    <t>FLORIDA_REGISTERED</t>
  </si>
  <si>
    <t>FRANCE_WIPO_REGISTRATION</t>
  </si>
  <si>
    <t>FRANCE_REGISTRATION</t>
  </si>
  <si>
    <t>GAMBIA_WIPO_REGISTRATION</t>
  </si>
  <si>
    <t>GAMBIA_REGISTRATION_POST_2007</t>
  </si>
  <si>
    <t>GAMBIA_REGISTRATION_PRE_2007</t>
  </si>
  <si>
    <t>GAZA_STRIP_WIPO_REGISTRATION</t>
  </si>
  <si>
    <t>GAZA_STRIP_REGISTRATION</t>
  </si>
  <si>
    <t>GEORGIA_WIPO_REGISTRATION</t>
  </si>
  <si>
    <t>GEORGIA_REGISTRATION</t>
  </si>
  <si>
    <t>US_GEORGIA_REGISTRATION</t>
  </si>
  <si>
    <t>GERMANY_WIPO_REGISTRATION</t>
  </si>
  <si>
    <t>GERMANY_REGISTRATION_POST_2019</t>
  </si>
  <si>
    <t>GERMANY_REGISTRATION_PRE_2019</t>
  </si>
  <si>
    <t>GHANA_WIPO_REGISTRATION</t>
  </si>
  <si>
    <t>GHANA_REGISTRATION_POST_2004</t>
  </si>
  <si>
    <t>GHANA_REGISTRATION_PRE_2004</t>
  </si>
  <si>
    <t>GIBRALTAR_WIPO_REGISTRATION</t>
  </si>
  <si>
    <t>GIBRALTAR_REGISTRATION_UK_BASED</t>
  </si>
  <si>
    <t>GREECE_WIPO_REGISTRATION</t>
  </si>
  <si>
    <t>GREECE_REGISTRATION</t>
  </si>
  <si>
    <t>GRENADA_WIPO_REGISTRATION</t>
  </si>
  <si>
    <t>GRENADA_REGISTRATION_POST_2012</t>
  </si>
  <si>
    <t>GRENADA_REGISTRATION_UK_BASED_PRE_2012</t>
  </si>
  <si>
    <t>GUAM_WIPO_REGISTRATION</t>
  </si>
  <si>
    <t>GUAM_REGISTRATION</t>
  </si>
  <si>
    <t>GUATEMALA_WIPO_REGISTRATION</t>
  </si>
  <si>
    <t>GUATEMALA_REGISTRATION</t>
  </si>
  <si>
    <t>GUERNSEY_WIPO_REGISTRATION</t>
  </si>
  <si>
    <t>GUERNSEY_REGISTRATION</t>
  </si>
  <si>
    <t>GUERNSEY_REGISTRATION_UK_BASED_POST_1994</t>
  </si>
  <si>
    <t>GUERNSEY_REGISTRATION_UK_BASED_PRE_1994</t>
  </si>
  <si>
    <t>GUYANA_WIPO_REGISTRATION</t>
  </si>
  <si>
    <t>GUYANA_REGISTRATION</t>
  </si>
  <si>
    <t>GUYANA_REGISTRATION_UK_BASED</t>
  </si>
  <si>
    <t>HAITI_WIPO_REGISTRATION</t>
  </si>
  <si>
    <t>HAITI_REGISTRATION</t>
  </si>
  <si>
    <t>HAWAII_REGISTERED</t>
  </si>
  <si>
    <t>HONDURAS_WIPO_REGISTRATION</t>
  </si>
  <si>
    <t>HONDURAS_REGISTRATION</t>
  </si>
  <si>
    <t>HONG_KONG_SAR_WIPO_REGISTRATION</t>
  </si>
  <si>
    <t>HONG_KONG_SAR_REGISTRATION</t>
  </si>
  <si>
    <t>HONG_KONG_SAR_REGISTRATION_PRE_2003</t>
  </si>
  <si>
    <t>HUNGARY_WIPO_REGISTRATION</t>
  </si>
  <si>
    <t>HUNGARY_REGISTRATION</t>
  </si>
  <si>
    <t>ICELAND_WIPO_REGISTRATION</t>
  </si>
  <si>
    <t>ICELAND_REGISTRATION_POST_2020</t>
  </si>
  <si>
    <t>ICELAND_REGISTRATION_PRE_2020</t>
  </si>
  <si>
    <t>IDAHO_REGISTERED</t>
  </si>
  <si>
    <t>ILLINOIS_REGISTERED</t>
  </si>
  <si>
    <t>INDIA_WIPO_REGISTRATION</t>
  </si>
  <si>
    <t>INDIA_REGISTRATION_POST_2003</t>
  </si>
  <si>
    <t>INDIA_REGISTRATION_PRE_2003</t>
  </si>
  <si>
    <t>INDIANA_REGISTERED</t>
  </si>
  <si>
    <t>INDONESIA_WIPO_REGISTRATION</t>
  </si>
  <si>
    <t>INDONESIA_REGISTRATION</t>
  </si>
  <si>
    <t>INDONESIA_REGISTRATION_PRE_1993</t>
  </si>
  <si>
    <t>IOWA_REGISTERED</t>
  </si>
  <si>
    <t>IRAN_WIPO_REGISTRATION</t>
  </si>
  <si>
    <t>IRAN_REGISTRATION</t>
  </si>
  <si>
    <t>IRAQ_WIPO_REGISTRATION</t>
  </si>
  <si>
    <t>IRAQ_REGISTRATION</t>
  </si>
  <si>
    <t>IRELAND_WIPO_REGISTRATION</t>
  </si>
  <si>
    <t>IRELAND_REGISTRATION_POST_1996</t>
  </si>
  <si>
    <t>IRELAND_REGISTRATION_PRE_1996</t>
  </si>
  <si>
    <t>ISRAEL_PUBLISHED</t>
  </si>
  <si>
    <t>ISRAEL_WIPO_REGISTRATION</t>
  </si>
  <si>
    <t>ISRAEL_REGISTRATION_POST_2010</t>
  </si>
  <si>
    <t>ISRAEL_REGISTRATION_2001_TO_2003</t>
  </si>
  <si>
    <t>ISRAEL_REGISTRATION_RENEWAL_PRE_2010</t>
  </si>
  <si>
    <t>ITALY_WIPO_REGISTRATION</t>
  </si>
  <si>
    <t>ITALY_REGISTRATION</t>
  </si>
  <si>
    <t>JAMAICA_WIPO_REGISTRATION</t>
  </si>
  <si>
    <t>JAMAICA_REGISTRATION_POST_1999</t>
  </si>
  <si>
    <t>JAMAICA_REGISTRATION_PRE_1999</t>
  </si>
  <si>
    <t>JAPAN_WIPO_REGISTRATION</t>
  </si>
  <si>
    <t>JAPAN_REGISTRATION</t>
  </si>
  <si>
    <t>JERSEY_WIPO_REGISTRATION</t>
  </si>
  <si>
    <t>JERSEY_REGISTRATION_UK_BASED</t>
  </si>
  <si>
    <t>JORDAN_WIPO_REGISTRATION</t>
  </si>
  <si>
    <t>JORDAN_REGISTRATION_POST_1999</t>
  </si>
  <si>
    <t>JORDAN_REGISTRATION_PRE_1999</t>
  </si>
  <si>
    <t>KANSAS_REGISTERED</t>
  </si>
  <si>
    <t>KAZAKHSTAN_WIPO_REGISTRATION</t>
  </si>
  <si>
    <t>KAZAKHSTAN_REGISTRATION</t>
  </si>
  <si>
    <t>KENTUCKY_REGISTERED</t>
  </si>
  <si>
    <t>KENYA_WIPO_REGISTRATION</t>
  </si>
  <si>
    <t>KENYA_REGISTRATION_POST_2002</t>
  </si>
  <si>
    <t>KENYA_REGISTRATION_PRE_2002</t>
  </si>
  <si>
    <t>KIRIBATI_WIPO_REGISTRATION</t>
  </si>
  <si>
    <t>KIRIBATI_REGISTRATION_UK_BASED</t>
  </si>
  <si>
    <t>KOSOVO_WIPO_REGISTRATION</t>
  </si>
  <si>
    <t>KOSOVO_REGISTRATION</t>
  </si>
  <si>
    <t>KURDISTAN_WIPO_REGISTRATION</t>
  </si>
  <si>
    <t>KURDISTAN_REGISTRATION</t>
  </si>
  <si>
    <t>KUWAIT_WIPO_REGISTRATION</t>
  </si>
  <si>
    <t>KUWAIT_REGISTRATION</t>
  </si>
  <si>
    <t>KYRGYZSTAN_WIPO_REGISTRATION</t>
  </si>
  <si>
    <t>KYRGYZSTAN_REGISTRATION</t>
  </si>
  <si>
    <t>LAOS_WIPO_REGISTRATION</t>
  </si>
  <si>
    <t>LAOS_REGISTRATION</t>
  </si>
  <si>
    <t>LATVIA_WIPO_REGISTRATION</t>
  </si>
  <si>
    <t>LATVIA_REGISTRATION</t>
  </si>
  <si>
    <t>LEBANON_WIPO_REGISTRATION</t>
  </si>
  <si>
    <t>LEBANON_REGISTRATION</t>
  </si>
  <si>
    <t>LESOTHO_WIPO_REGISTRATION</t>
  </si>
  <si>
    <t>LESOTHO_REGISTRATION</t>
  </si>
  <si>
    <t>LIBERIA_WIPO_REGISTRATION</t>
  </si>
  <si>
    <t>LIBERIA_REGISTRATION_POST_2016</t>
  </si>
  <si>
    <t>LIBERIA_REGISTRATION_POST_2003_2016</t>
  </si>
  <si>
    <t>LIBERIA_REGISTRATION_PRE_2003</t>
  </si>
  <si>
    <t>LIBYA_WIPO_REGISTRATION</t>
  </si>
  <si>
    <t>LIBYA_REGISTRATION</t>
  </si>
  <si>
    <t>LIECHTENSTEIN_WIPO_REGISTRATION</t>
  </si>
  <si>
    <t>LIECHTENSTEIN_REGISTRATION</t>
  </si>
  <si>
    <t>LITHUANIA_WIPO_REGISTRATION</t>
  </si>
  <si>
    <t>LITHUANIA_REGISTRATION</t>
  </si>
  <si>
    <t>LOUISIANA_REGISTERED</t>
  </si>
  <si>
    <t>MACAO_WIPO_REGISTRATION</t>
  </si>
  <si>
    <t>MACAO_REGISTRATION</t>
  </si>
  <si>
    <t>MADAGASCAR_WIPO_REGISTRATION</t>
  </si>
  <si>
    <t>MADAGASCAR_REGISTRATION</t>
  </si>
  <si>
    <t>MAINE_REGISTERED</t>
  </si>
  <si>
    <t>MALAWI_WIPO_REGISTRATION</t>
  </si>
  <si>
    <t>MALAWI_REGISTRATION_POST_2018</t>
  </si>
  <si>
    <t>MALAWI_REGISTRATION_PRE_2018</t>
  </si>
  <si>
    <t>MALAYSIA_WIPO_REGISTRATION</t>
  </si>
  <si>
    <t>MALAYSIA_REGISTRATION_PRE_1994</t>
  </si>
  <si>
    <t>MALAYSIA_REGISTRATION</t>
  </si>
  <si>
    <t>MALAYSIA_REGISTRATION_PRE_1997</t>
  </si>
  <si>
    <t>MALAYSIA_REGISTRATION_PRE_2019</t>
  </si>
  <si>
    <t>MALDIVES_WIPO_REGISTRATION</t>
  </si>
  <si>
    <t>MALDIVES_REGISTRATION</t>
  </si>
  <si>
    <t>MALTA_WIPO_REGISTRATION</t>
  </si>
  <si>
    <t>MALTA_REGISTRATION_POST_2001</t>
  </si>
  <si>
    <t>MALTA_REGISTRATION_PRE_2001</t>
  </si>
  <si>
    <t>MARSHALL_ISLANDS_WIPO_REGISTRATION</t>
  </si>
  <si>
    <t>MARSHALL_ISLANDS_REGISTRATION</t>
  </si>
  <si>
    <t>MARYLAND_REGISTERED</t>
  </si>
  <si>
    <t>MASSACHUSETTS_REGISTERED</t>
  </si>
  <si>
    <t>MAURITIUS_WIPO_REGISTRATION</t>
  </si>
  <si>
    <t>MAURITIUS_REGISTRATION</t>
  </si>
  <si>
    <t>MEXICO_WIPO_REGISTRATION</t>
  </si>
  <si>
    <t>MEXICO_REGISTRATION_1991_2018</t>
  </si>
  <si>
    <t>MEXICO_REGISTRATION_2018_to_2020</t>
  </si>
  <si>
    <t>MEXICO_REGISTRATION_POST_2020</t>
  </si>
  <si>
    <t>MEXICO_REGISTRATION_PRE_JUNE_1991</t>
  </si>
  <si>
    <t>MICHIGAN_REGISTERED</t>
  </si>
  <si>
    <t>MICRONESIA_WIPO_REGISTRATION</t>
  </si>
  <si>
    <t>MICRONESIA_REGISTRATION</t>
  </si>
  <si>
    <t>MINNESOTA_REGISTERED</t>
  </si>
  <si>
    <t>MISSISSIPPI_REGISTERED</t>
  </si>
  <si>
    <t>MISSOURI_REGISTERED</t>
  </si>
  <si>
    <t>MOLDOVA_WIPO_REGISTRATION</t>
  </si>
  <si>
    <t>MOLDOVA_REGISTRATION</t>
  </si>
  <si>
    <t>MONACO_WIPO_REGISTRATION</t>
  </si>
  <si>
    <t>MONACO_REGISTRATION</t>
  </si>
  <si>
    <t>MONGOLIA_WIPO_REGISTRATION</t>
  </si>
  <si>
    <t>MONGOLIA_REGISTRATION</t>
  </si>
  <si>
    <t>MONTANA_REGISTERED</t>
  </si>
  <si>
    <t>MONTENEGRO_WIPO_REGISTRATION</t>
  </si>
  <si>
    <t>MONTENEGRO_REGISTRATION</t>
  </si>
  <si>
    <t>MONTSERRAT_WIPO_REGISTRATION</t>
  </si>
  <si>
    <t>MONTSERRAT_REGISTRATION_POST_2012</t>
  </si>
  <si>
    <t>MONTSERRAT_REGISTRATION_PRE_2012</t>
  </si>
  <si>
    <t>MONTSERRAT_REGISTRATION_PRE_2009</t>
  </si>
  <si>
    <t>MONTSERRAT_REGISTRATION_UK_BASED</t>
  </si>
  <si>
    <t>MOROCCO_WIPO_REGISTRATION</t>
  </si>
  <si>
    <t>MOROCCO_REGISTRATION</t>
  </si>
  <si>
    <t>MOZAMBIQUE_WIPO_REGISTRATION</t>
  </si>
  <si>
    <t>MOZAMBIQUE_REGISTRATION</t>
  </si>
  <si>
    <t>MYANMAR_WIPO_REGISTRATION</t>
  </si>
  <si>
    <t>MYANMAR_REGISTRATION_POST_TRADEMARK_LAW_2019</t>
  </si>
  <si>
    <t>MYANMAR_REGISTRATION_PRE_TRADEMARK_LAW_2019</t>
  </si>
  <si>
    <t>NAMIBIA_WIPO_REGISTRATION</t>
  </si>
  <si>
    <t>NAMIBIA_REGISTRATION</t>
  </si>
  <si>
    <t>NEBRASKA_REGISTERED</t>
  </si>
  <si>
    <t>NEPAL_WIPO_REGISTRATION</t>
  </si>
  <si>
    <t>NEPAL_REGISTRATION</t>
  </si>
  <si>
    <t>NETHERLANDS_WIPO_REGISTRATION</t>
  </si>
  <si>
    <t>NETHERLANDS_REGISTRATION</t>
  </si>
  <si>
    <t>NEVADA_REGISTERED</t>
  </si>
  <si>
    <t>NEW_HAMPSHIRE_REGISTERED</t>
  </si>
  <si>
    <t>NEW_JERSEY_REGISTERED</t>
  </si>
  <si>
    <t>NEW_MEXICO_REGISTERED</t>
  </si>
  <si>
    <t>NEW_YORK_REGISTERED</t>
  </si>
  <si>
    <t>NEW_ZEALAND_WIPO_REGISTRATION</t>
  </si>
  <si>
    <t>NEW_ZEALAND_REGISTRATION_POST_2003</t>
  </si>
  <si>
    <t>NEW_ZEALAND_REGISTRATION_PRE_2003</t>
  </si>
  <si>
    <t>NICARAGUA_WIPO_REGISTRATION</t>
  </si>
  <si>
    <t>NICARAGUA_REGISTRATION</t>
  </si>
  <si>
    <t>NIGERIA_WIPO_REGISTRATION</t>
  </si>
  <si>
    <t>NIGERIA_REGISTRATION</t>
  </si>
  <si>
    <t>NORTH_CAROLINA_REGISTERED</t>
  </si>
  <si>
    <t>NORTH_DAKOTA_REGISTERED</t>
  </si>
  <si>
    <t>NORTH_KOREA_WIPO_REGISTRATION</t>
  </si>
  <si>
    <t>NORTH_KOREA_REGISTRATION</t>
  </si>
  <si>
    <t>NORTH_MACEDONIA_WIPO_REGISTRATION</t>
  </si>
  <si>
    <t>NORTH_MACEDONIA_REGISTRATION_POST_2009</t>
  </si>
  <si>
    <t>NORTH_MACEDONIA_REGISTRATION_PRE_2009</t>
  </si>
  <si>
    <t>NORTHERN_CYPRUS_WIPO_REGISTRATION</t>
  </si>
  <si>
    <t>NORTHERN_CYPRUS_REGISTRATION</t>
  </si>
  <si>
    <t>NORWAY_WIPO_REGISTRATION</t>
  </si>
  <si>
    <t>NORWAY_REGISTRATION_POST_2010</t>
  </si>
  <si>
    <t>NORWAY_REGISTRATION_PRE_2010</t>
  </si>
  <si>
    <t>OAPI_WIPO_REGISTRATION</t>
  </si>
  <si>
    <t>OAPI_REGISTRATION</t>
  </si>
  <si>
    <t>OHIO_REGISTERED</t>
  </si>
  <si>
    <t>OKLAHOMA_REGISTERED</t>
  </si>
  <si>
    <t>OMAN_WIPO_REGISTRATION</t>
  </si>
  <si>
    <t>OMAN_REGISTRATION</t>
  </si>
  <si>
    <t>OREGON_REGISTERED</t>
  </si>
  <si>
    <t>PAKISTAN_WIPO_REGISTRATION</t>
  </si>
  <si>
    <t>PAKISTAN_REGISTRATION_POST_2004</t>
  </si>
  <si>
    <t>PAKISTAN_REGISTRATION_PRE_2004</t>
  </si>
  <si>
    <t>PALAU_WIPO_REGISTRATION</t>
  </si>
  <si>
    <t>PALAU_REGISTRATION</t>
  </si>
  <si>
    <t>WEST_BANK_WIPO_REGISTRATION</t>
  </si>
  <si>
    <t>WEST_BANK_REGISTRATION</t>
  </si>
  <si>
    <t>PANAMA_WIPO_REGISTRATION</t>
  </si>
  <si>
    <t>PANAMA_REGISTRATION_POST_1996</t>
  </si>
  <si>
    <t>PANAMA_REGISTRATION_PRE_1996</t>
  </si>
  <si>
    <t>PAPUA_NEW_GUINEA_WIPO_REGISTRATION</t>
  </si>
  <si>
    <t>PAPUA_NEW_GUINEA_REGISTRATION</t>
  </si>
  <si>
    <t>PARAGUAY_WIPO_REGISTRATION</t>
  </si>
  <si>
    <t>PARAGUAY_REGISTRATION</t>
  </si>
  <si>
    <t>PENNSYLVANIA_REGISTERED</t>
  </si>
  <si>
    <t>PERU_WIPO_REGISTRATION</t>
  </si>
  <si>
    <t>PERU_REGISTRATION_POST_1991</t>
  </si>
  <si>
    <t>PERU_REGISTRATION_PRE_1991</t>
  </si>
  <si>
    <t>PHILIPPINES_WIPO_REGISTRATION</t>
  </si>
  <si>
    <t>PHILIPPINES_REGISTRATION</t>
  </si>
  <si>
    <t>POLAND_WIPO_REGISTRATION</t>
  </si>
  <si>
    <t>POLAND_REGISTRATION</t>
  </si>
  <si>
    <t>PORTUGAL_WIPO_REGISTRATION</t>
  </si>
  <si>
    <t>PORTUGAL_REGISTRATION_POST_2019</t>
  </si>
  <si>
    <t>PORTUGAL_REGISTRATION_PRE_2019</t>
  </si>
  <si>
    <t>PUERTO_RICO_WIPO_REGISTRATION</t>
  </si>
  <si>
    <t>PUERTO_RICO_REGISTRATION</t>
  </si>
  <si>
    <t>QATAR_WIPO_REGISTRATION</t>
  </si>
  <si>
    <t>QATAR_REGISTRATION</t>
  </si>
  <si>
    <t>RHODE_ISLAND_REGISTERED</t>
  </si>
  <si>
    <t>ROMANIA_WIPO_REGISTRATION</t>
  </si>
  <si>
    <t>ROMANIA_REGISTRATION</t>
  </si>
  <si>
    <t>RUSSIA_WIPO_REGISTRATION</t>
  </si>
  <si>
    <t>RUSSIA_REGISTRATION</t>
  </si>
  <si>
    <t>RWANDA_WIPO_REGISTRATION</t>
  </si>
  <si>
    <t>RWANDA_REGISTRATION_POST_2009</t>
  </si>
  <si>
    <t>RWANDA_REGISTRATION_PRE_2009</t>
  </si>
  <si>
    <t>SAINT_HELENA_WIPO_REGISTRATION</t>
  </si>
  <si>
    <t>SAINT_HELENA_REGISTRATION_UK_BASED</t>
  </si>
  <si>
    <t>SAINT_VINCENT_AND_THE_GRENADINES_WIPO_REGISTRATION</t>
  </si>
  <si>
    <t>SAINT_VINCENT_AND_THE_GRENADINES_REGISTRATION</t>
  </si>
  <si>
    <t>SAINT_VINCENT_AND_THE_GRENADINES_REGISTRATION_UK_BASED</t>
  </si>
  <si>
    <t>SAMOA_WIPO_REGISTRATION</t>
  </si>
  <si>
    <t>SAMOA_REGISTRATION</t>
  </si>
  <si>
    <t>SAMOA_REGISTRATION_PRE_2012</t>
  </si>
  <si>
    <t>SAN_MARINO_WIPO_REGISTRATION</t>
  </si>
  <si>
    <t>SAN_MARINO_REGISTRATION</t>
  </si>
  <si>
    <t>SAO_TOME_AND_PRINCIPE_WIPO_REGISTRATION</t>
  </si>
  <si>
    <t>SAO_TOME_REGISTRATION</t>
  </si>
  <si>
    <t>SAUDI_ARABIA_WIPO_REGISTRATION</t>
  </si>
  <si>
    <t>SAUDI_ARABIA_REGISTRATION</t>
  </si>
  <si>
    <t>SERBIA_WIPO_REGISTRATION</t>
  </si>
  <si>
    <t>SERBIA_REGISTRATION</t>
  </si>
  <si>
    <t>SEYCHELLES_WIPO_REGISTRATION</t>
  </si>
  <si>
    <t>SEYCHELLES_REGISTRATION</t>
  </si>
  <si>
    <t>SIERRA_LEONE_WIPO_REGISTRATION</t>
  </si>
  <si>
    <t>SIERRA_LEONE_REGISTRATION_POST_2018</t>
  </si>
  <si>
    <t>SIERRA_LEONE_REGISTRATION_PRE_2018</t>
  </si>
  <si>
    <t>SINGAPORE_WIPO_REGISTRATION</t>
  </si>
  <si>
    <t>SINGAPORE_REGISTRATION</t>
  </si>
  <si>
    <t>SINGAPORE_REGISTRATION_PRE_1991</t>
  </si>
  <si>
    <t>SINT_MAARTEN_WIPO_REGISTRATION</t>
  </si>
  <si>
    <t>SINT_MAARTEN_REGISTRATION</t>
  </si>
  <si>
    <t>SLOVAKIA_WIPO_REGISTRATION</t>
  </si>
  <si>
    <t>SLOVAKIA_REGISTRATION</t>
  </si>
  <si>
    <t>SLOVENIA_WIPO_REGISTRATION</t>
  </si>
  <si>
    <t>SLOVENIA_REGISTRATION</t>
  </si>
  <si>
    <t>SOLOMON_ISLANDS_WIPO_REGISTRATION</t>
  </si>
  <si>
    <t>SOLOMON_ISLANDS_REGISTRATION_UK_BASED</t>
  </si>
  <si>
    <t>SOLOMON_ISLANDS_REGISTRATION_UK_BASED_POST_1994</t>
  </si>
  <si>
    <t>SOLOMON_ISLANDS_REGISTRATION_UK_BASED_PRE_1994</t>
  </si>
  <si>
    <t>SOUTH_AFRICA_WIPO_REGISTRATION</t>
  </si>
  <si>
    <t>SOUTH_AFRICA_REGISTRATION</t>
  </si>
  <si>
    <t>SOUTH_AFRICA_REGISTRATION_PRE_1993</t>
  </si>
  <si>
    <t>SOUTH_CAROLINA_REGISTERED</t>
  </si>
  <si>
    <t>SOUTH_DAKOTA_REGISTERED</t>
  </si>
  <si>
    <t>SOUTH_KOREA_WIPO_REGISTRATION</t>
  </si>
  <si>
    <t>SOUTH_KOREA_REGISTRATION</t>
  </si>
  <si>
    <t>SPAIN_WIPO_REGISTRATION</t>
  </si>
  <si>
    <t>SPAIN_REGISTRATION</t>
  </si>
  <si>
    <t>SRI_LANKA_WIPO_REGISTRATION</t>
  </si>
  <si>
    <t>SRI_LANKA_REGISTRATION</t>
  </si>
  <si>
    <t>SAINT_KITTS_AND_NEVIS_WIPO_REGISTRATION</t>
  </si>
  <si>
    <t>SAINT_KITTS_AND_NEVIS_REGISTRATION</t>
  </si>
  <si>
    <t>SAINT_KITTS_REGISTRATION_UK_BASED</t>
  </si>
  <si>
    <t>SAINT_LUCIA_WIPO_REGISTRATION</t>
  </si>
  <si>
    <t>SAINT_LUCIA_REGISTRATION</t>
  </si>
  <si>
    <t>SAINT_LUCIA_REGISTRATION_UK_BASED</t>
  </si>
  <si>
    <t>SUDAN_WIPO_REGISTRATION</t>
  </si>
  <si>
    <t>SUDAN_REGISTRATION</t>
  </si>
  <si>
    <t>SURINAME_WIPO_REGISTRATION</t>
  </si>
  <si>
    <t>SURINAME_REGISTRATION</t>
  </si>
  <si>
    <t>SWEDEN_WIPO_REGISTRATION</t>
  </si>
  <si>
    <t>SWEDEN_REGISTRATION_POST_2019</t>
  </si>
  <si>
    <t>SWEDEN_REGISTRATION_PRE_2019</t>
  </si>
  <si>
    <t>SWITZERLAND_WIPO_REGISTRATION</t>
  </si>
  <si>
    <t>SWITZERLAND_REGISTRATION</t>
  </si>
  <si>
    <t>SYRIAN_ARAB_REPUBLIC_WIPO_REGISTRATION</t>
  </si>
  <si>
    <t>SYRIA_REGISTRATION</t>
  </si>
  <si>
    <t>TAIWAN_WIPO_REGISTRATION</t>
  </si>
  <si>
    <t>TAIWAN_REGISTRATION</t>
  </si>
  <si>
    <t>TAIWAN_PRIOR_ASSOCIATED_REGISTRATION</t>
  </si>
  <si>
    <t>TAJIKISTAN_WIPO_REGISTRATION</t>
  </si>
  <si>
    <t>TAJIKISTAN_REGISTRATION</t>
  </si>
  <si>
    <t>TANZANIA_WIPO_REGISTRATION</t>
  </si>
  <si>
    <t>TANZANIA_REGISTRATION_POST_1994</t>
  </si>
  <si>
    <t>TANZANIA_REGISTRATION_PRE_1994</t>
  </si>
  <si>
    <t>TENNESSEE_REGISTERED</t>
  </si>
  <si>
    <t>TEXAS_REGISTERED</t>
  </si>
  <si>
    <t>THAILAND_WIPO_REGISTRATION</t>
  </si>
  <si>
    <t>THAILAND_REGISTRATION</t>
  </si>
  <si>
    <t>TONGA_WIPO_REGISTRATION</t>
  </si>
  <si>
    <t>TONGA_REGISTRATION</t>
  </si>
  <si>
    <t>TRANSNISTRIA_WIPO_REGISTRATION</t>
  </si>
  <si>
    <t>TRANSNISTRIA_REGISTRATION</t>
  </si>
  <si>
    <t>TRINIDAD_AND_TOBAGO_WIPO_REGISTRATION</t>
  </si>
  <si>
    <t>TRINIDAD_AND_TOBAGO_REGISTRATION_POST_1996</t>
  </si>
  <si>
    <t>TRINIDAD_AND_TOBAGO_REGISTRATION_PRE_1996</t>
  </si>
  <si>
    <t>TUNISIA_WIPO_REGISTRATION</t>
  </si>
  <si>
    <t>TUNISIA_REGISTRATION_POST_2001</t>
  </si>
  <si>
    <t>TUNISIA_REGISTRATION_PRE_2001</t>
  </si>
  <si>
    <t>TURKEY_WIPO_REGISTRATION</t>
  </si>
  <si>
    <t>TURKEY_REGISTRATION_POST_2018</t>
  </si>
  <si>
    <t>TURKEY_REGISTRATION_PRE_2018</t>
  </si>
  <si>
    <t>TURKMENISTAN_WIPO_REGISTRATION</t>
  </si>
  <si>
    <t>TURKMENISTAN_REGISTRATION_POST_2008</t>
  </si>
  <si>
    <t>TURKMENISTAN_REGISTRATION_PRE_2008</t>
  </si>
  <si>
    <t>TURKS_AND_CAICOS_WIPO_REGISTRATION</t>
  </si>
  <si>
    <t>TURKS_AND_CAICOS_REGISTRATION</t>
  </si>
  <si>
    <t>TUVALU_WIPO_REGISTRATION</t>
  </si>
  <si>
    <t>TUVALU_REGISTRATION_UK_BASED</t>
  </si>
  <si>
    <t>UGANDA_WIPO_REGISTRATION</t>
  </si>
  <si>
    <t>UGANDA_REGISTRATION_POST_2010</t>
  </si>
  <si>
    <t>UGANDA_REGISTRATION_1953_TO_2010</t>
  </si>
  <si>
    <t>UKRAINE_WIPO_REGISTRATION</t>
  </si>
  <si>
    <t>UKRAINE_REGISTRATION</t>
  </si>
  <si>
    <t>UNITED_ARAB_EMIRATES_WIPO_REGISTRATION</t>
  </si>
  <si>
    <t>UNITED_ARAB_EMIRATES_REGISTRATION</t>
  </si>
  <si>
    <t>UNITED_KINGDOM_WIPO_REGISTRATION</t>
  </si>
  <si>
    <t>UNITED_KINGDOM_REGISTRATION</t>
  </si>
  <si>
    <t>UNITED_KINGDOM_REGISTRATION_PRE_1994</t>
  </si>
  <si>
    <t>URUGUAY_WIPO_REGISTRATION</t>
  </si>
  <si>
    <t>URUGUAY_REGISTRATION</t>
  </si>
  <si>
    <t>US_VI_WIPO_REGISTRATION</t>
  </si>
  <si>
    <t>US_VI_REGISTRATION</t>
  </si>
  <si>
    <t>UTAH_REGISTERED</t>
  </si>
  <si>
    <t>UZBEKISTAN_WIPO_REGISTRATION</t>
  </si>
  <si>
    <t>UZBEKISTAN_REGISTRATION</t>
  </si>
  <si>
    <t>VANUATU_WIPO_REGISTRATION</t>
  </si>
  <si>
    <t>VANUATU_REGISTRATION</t>
  </si>
  <si>
    <t>VENEZUELA_WIPO_REGISTRATION</t>
  </si>
  <si>
    <t>VENEZUELA_REGISTRATION_POST_2008</t>
  </si>
  <si>
    <t>VENEZUELA_REGISTERED_RENEWED_1992_TO_2008</t>
  </si>
  <si>
    <t>VENEZUELA_REGISTERED_PRE_1992</t>
  </si>
  <si>
    <t>VERMONT_REGISTERED</t>
  </si>
  <si>
    <t>VIETNAM_WIPO_REGISTRATION</t>
  </si>
  <si>
    <t>VIETNAM_REGISTRATION</t>
  </si>
  <si>
    <t>VIRGINIA_REGISTERED</t>
  </si>
  <si>
    <t>WASHINGTON_REGISTERED</t>
  </si>
  <si>
    <t>WEST_BANK_REGISTERED</t>
  </si>
  <si>
    <t>WEST_VIRGINIA_REGISTERED</t>
  </si>
  <si>
    <t>WISCONSIN_REGISTERED</t>
  </si>
  <si>
    <t>WIPO_REGISTRATION</t>
  </si>
  <si>
    <t>WYOMING_REGISTERED</t>
  </si>
  <si>
    <t>YEMEN_WIPO_REGISTRATION</t>
  </si>
  <si>
    <t>YEMEN_REGISTRATION</t>
  </si>
  <si>
    <t>ZAMBIA_WIPO_REGISTRATION</t>
  </si>
  <si>
    <t>ZAMBIA_REGISTRATION</t>
  </si>
  <si>
    <t>ZANZIBAR_WIPO_REGISTRATION</t>
  </si>
  <si>
    <t>ZANZIBAR_REGISTRATION_POST_2008_ACT</t>
  </si>
  <si>
    <t>ZANZIBAR_REGISTRATION_PRE_2008_ACT</t>
  </si>
  <si>
    <t>ZIMBABWE_WIPO_REGISTRATION</t>
  </si>
  <si>
    <t>ZIMBABWE_REGISTRATION</t>
  </si>
  <si>
    <t>Name</t>
  </si>
  <si>
    <t>Shortest Name</t>
  </si>
  <si>
    <t>Full Name</t>
  </si>
  <si>
    <t>Short Name</t>
  </si>
  <si>
    <t>Slug</t>
  </si>
  <si>
    <t>Country</t>
  </si>
  <si>
    <t>CountryName</t>
  </si>
  <si>
    <t>CPICode</t>
  </si>
  <si>
    <t>AD</t>
  </si>
  <si>
    <t>ANDO</t>
  </si>
  <si>
    <t>AE</t>
  </si>
  <si>
    <t>UARAB</t>
  </si>
  <si>
    <t>AEAD</t>
  </si>
  <si>
    <t>Abu Dhabi</t>
  </si>
  <si>
    <t>AEADH</t>
  </si>
  <si>
    <t>AEAJ</t>
  </si>
  <si>
    <t>Ajman</t>
  </si>
  <si>
    <t>AJMAN</t>
  </si>
  <si>
    <t>AEDB</t>
  </si>
  <si>
    <t>Dubai</t>
  </si>
  <si>
    <t>DUBAI</t>
  </si>
  <si>
    <t>AEFJ</t>
  </si>
  <si>
    <t>Fujairah</t>
  </si>
  <si>
    <t>AEFUJ</t>
  </si>
  <si>
    <t>AESH</t>
  </si>
  <si>
    <t>Sharjah</t>
  </si>
  <si>
    <t>AESHR</t>
  </si>
  <si>
    <t>AEUQ</t>
  </si>
  <si>
    <t>Umm al Qaiwain</t>
  </si>
  <si>
    <t>AEUAQ</t>
  </si>
  <si>
    <t>AF</t>
  </si>
  <si>
    <t>AFGHN</t>
  </si>
  <si>
    <t>AG</t>
  </si>
  <si>
    <t>ANTIG</t>
  </si>
  <si>
    <t>AI</t>
  </si>
  <si>
    <t>ANGUL</t>
  </si>
  <si>
    <t>AL</t>
  </si>
  <si>
    <t>ALBAN</t>
  </si>
  <si>
    <t>AM</t>
  </si>
  <si>
    <t>ARMEN</t>
  </si>
  <si>
    <t>AN</t>
  </si>
  <si>
    <t>ANTIL</t>
  </si>
  <si>
    <t>ANBM</t>
  </si>
  <si>
    <t>Bonaire (Old Code)</t>
  </si>
  <si>
    <t>BNARE</t>
  </si>
  <si>
    <t>ANCC</t>
  </si>
  <si>
    <t>Curacao (Old Code)</t>
  </si>
  <si>
    <t>CRCAO</t>
  </si>
  <si>
    <t>ANSA</t>
  </si>
  <si>
    <t>Saba (Old Code)</t>
  </si>
  <si>
    <t>ANSBA</t>
  </si>
  <si>
    <t>ANSE</t>
  </si>
  <si>
    <t>St. Eustatius (Old Code)</t>
  </si>
  <si>
    <t>STEUS</t>
  </si>
  <si>
    <t>ANSM</t>
  </si>
  <si>
    <t>St. Martin (Old Code)</t>
  </si>
  <si>
    <t>STMTN</t>
  </si>
  <si>
    <t>AO</t>
  </si>
  <si>
    <t>ANGOL</t>
  </si>
  <si>
    <t>AP</t>
  </si>
  <si>
    <t>African Regional IPO</t>
  </si>
  <si>
    <t>AR</t>
  </si>
  <si>
    <t>ARGNT</t>
  </si>
  <si>
    <t>AS</t>
  </si>
  <si>
    <t>American Samoa</t>
  </si>
  <si>
    <t>ASMOA</t>
  </si>
  <si>
    <t>AT</t>
  </si>
  <si>
    <t>AUSTR</t>
  </si>
  <si>
    <t>AU</t>
  </si>
  <si>
    <t>AUSAL</t>
  </si>
  <si>
    <t>AUCI</t>
  </si>
  <si>
    <t>Christmas Islands</t>
  </si>
  <si>
    <t>XMSIS</t>
  </si>
  <si>
    <t>AUKI</t>
  </si>
  <si>
    <t>Cocos (Keeling) Islands</t>
  </si>
  <si>
    <t>CCSID</t>
  </si>
  <si>
    <t>AW</t>
  </si>
  <si>
    <t>ARUBA</t>
  </si>
  <si>
    <t>AZ</t>
  </si>
  <si>
    <t>AZERB</t>
  </si>
  <si>
    <t>BA</t>
  </si>
  <si>
    <t>BOSNI</t>
  </si>
  <si>
    <t>BB</t>
  </si>
  <si>
    <t>BARBA</t>
  </si>
  <si>
    <t>BD</t>
  </si>
  <si>
    <t>BANGL</t>
  </si>
  <si>
    <t>BE</t>
  </si>
  <si>
    <t>BELGM</t>
  </si>
  <si>
    <t>BF</t>
  </si>
  <si>
    <t>UVOLT</t>
  </si>
  <si>
    <t>BG</t>
  </si>
  <si>
    <t>BULGR</t>
  </si>
  <si>
    <t>BH</t>
  </si>
  <si>
    <t>BAHRN</t>
  </si>
  <si>
    <t>BI</t>
  </si>
  <si>
    <t>BURUN</t>
  </si>
  <si>
    <t>BJ</t>
  </si>
  <si>
    <t>BENIN</t>
  </si>
  <si>
    <t>BM</t>
  </si>
  <si>
    <t>BERMU</t>
  </si>
  <si>
    <t>BN</t>
  </si>
  <si>
    <t>BRUNE</t>
  </si>
  <si>
    <t>BO</t>
  </si>
  <si>
    <t>BOLIV</t>
  </si>
  <si>
    <t>BP</t>
  </si>
  <si>
    <t>BOPHU</t>
  </si>
  <si>
    <t>BQ</t>
  </si>
  <si>
    <t>BR</t>
  </si>
  <si>
    <t>BRAZL</t>
  </si>
  <si>
    <t>BS</t>
  </si>
  <si>
    <t>BAHAM</t>
  </si>
  <si>
    <t>BT</t>
  </si>
  <si>
    <t>BHUTA</t>
  </si>
  <si>
    <t>BV</t>
  </si>
  <si>
    <t>Bouvet Island</t>
  </si>
  <si>
    <t>BVRIS</t>
  </si>
  <si>
    <t>BW</t>
  </si>
  <si>
    <t>BOTSW</t>
  </si>
  <si>
    <t>BX</t>
  </si>
  <si>
    <t>BENLX</t>
  </si>
  <si>
    <t>BY</t>
  </si>
  <si>
    <t>BELAR</t>
  </si>
  <si>
    <t>BZ</t>
  </si>
  <si>
    <t>BELIZ</t>
  </si>
  <si>
    <t>CA</t>
  </si>
  <si>
    <t>CANAD</t>
  </si>
  <si>
    <t>CAAL</t>
  </si>
  <si>
    <t>Alberta</t>
  </si>
  <si>
    <t>CAALB</t>
  </si>
  <si>
    <t>CABC</t>
  </si>
  <si>
    <t>British Columbia</t>
  </si>
  <si>
    <t>CAMN</t>
  </si>
  <si>
    <t>Manitoba</t>
  </si>
  <si>
    <t>CANB</t>
  </si>
  <si>
    <t>New Brunswick</t>
  </si>
  <si>
    <t>CANF</t>
  </si>
  <si>
    <t>CANS</t>
  </si>
  <si>
    <t>Nova Scotia</t>
  </si>
  <si>
    <t>CANT</t>
  </si>
  <si>
    <t>Northwest Territories</t>
  </si>
  <si>
    <t>CAON</t>
  </si>
  <si>
    <t>Ontario</t>
  </si>
  <si>
    <t>CAPE</t>
  </si>
  <si>
    <t>Prince Edward Island</t>
  </si>
  <si>
    <t>CAPEI</t>
  </si>
  <si>
    <t>CAQB</t>
  </si>
  <si>
    <t>Quebec</t>
  </si>
  <si>
    <t>CASK</t>
  </si>
  <si>
    <t>Saskatchewan</t>
  </si>
  <si>
    <t>CAYT</t>
  </si>
  <si>
    <t>Yukon Territory</t>
  </si>
  <si>
    <t>CD</t>
  </si>
  <si>
    <t>ZAIRE</t>
  </si>
  <si>
    <t>CF</t>
  </si>
  <si>
    <t>CEFRC</t>
  </si>
  <si>
    <t>CG</t>
  </si>
  <si>
    <t>Congo, Republic of</t>
  </si>
  <si>
    <t>CONGO</t>
  </si>
  <si>
    <t>CH</t>
  </si>
  <si>
    <t>SWITZ</t>
  </si>
  <si>
    <t>CI</t>
  </si>
  <si>
    <t>Cote D'Ivoire</t>
  </si>
  <si>
    <t>IVORC</t>
  </si>
  <si>
    <t>CK</t>
  </si>
  <si>
    <t>COOK</t>
  </si>
  <si>
    <t>CL</t>
  </si>
  <si>
    <t>CHILE</t>
  </si>
  <si>
    <t>CM</t>
  </si>
  <si>
    <t>CAMER</t>
  </si>
  <si>
    <t>CN</t>
  </si>
  <si>
    <t>CHINA</t>
  </si>
  <si>
    <t>CO</t>
  </si>
  <si>
    <t>COLMB</t>
  </si>
  <si>
    <t>CR</t>
  </si>
  <si>
    <t>COSTR</t>
  </si>
  <si>
    <t>CS</t>
  </si>
  <si>
    <t>Czechoslovakia</t>
  </si>
  <si>
    <t>CT</t>
  </si>
  <si>
    <t>TCYRP</t>
  </si>
  <si>
    <t>CU</t>
  </si>
  <si>
    <t>CUBA</t>
  </si>
  <si>
    <t>CV</t>
  </si>
  <si>
    <t>Cape Verde</t>
  </si>
  <si>
    <t>CAPVR</t>
  </si>
  <si>
    <t>CW</t>
  </si>
  <si>
    <t>CY</t>
  </si>
  <si>
    <t>CYPRS</t>
  </si>
  <si>
    <t>CZ</t>
  </si>
  <si>
    <t>CZECH</t>
  </si>
  <si>
    <t>DD</t>
  </si>
  <si>
    <t>German Democratic Republic (Old Code)</t>
  </si>
  <si>
    <t>GEREA</t>
  </si>
  <si>
    <t>DE</t>
  </si>
  <si>
    <t>GERWE</t>
  </si>
  <si>
    <t>DJ</t>
  </si>
  <si>
    <t>DJIBO</t>
  </si>
  <si>
    <t>DK</t>
  </si>
  <si>
    <t>DENMR</t>
  </si>
  <si>
    <t>DM</t>
  </si>
  <si>
    <t>DOMNC</t>
  </si>
  <si>
    <t>DO</t>
  </si>
  <si>
    <t>DOMRP</t>
  </si>
  <si>
    <t>DZ</t>
  </si>
  <si>
    <t>ALGER</t>
  </si>
  <si>
    <t>DZAL</t>
  </si>
  <si>
    <t>Algiers</t>
  </si>
  <si>
    <t>ALGRS</t>
  </si>
  <si>
    <t>DZCS</t>
  </si>
  <si>
    <t>Constantine</t>
  </si>
  <si>
    <t>CNSTN</t>
  </si>
  <si>
    <t>DZDS</t>
  </si>
  <si>
    <t>Departments of the Sahara</t>
  </si>
  <si>
    <t>DPSSH</t>
  </si>
  <si>
    <t>DZOR</t>
  </si>
  <si>
    <t>Oran</t>
  </si>
  <si>
    <t>ORAN</t>
  </si>
  <si>
    <t>EC</t>
  </si>
  <si>
    <t>ECUAD</t>
  </si>
  <si>
    <t>EE</t>
  </si>
  <si>
    <t>ESTON</t>
  </si>
  <si>
    <t>EG</t>
  </si>
  <si>
    <t>EGYPT</t>
  </si>
  <si>
    <t>EH</t>
  </si>
  <si>
    <t>Western Sahara</t>
  </si>
  <si>
    <t>WSHRA</t>
  </si>
  <si>
    <t>EM</t>
  </si>
  <si>
    <t>CTM</t>
  </si>
  <si>
    <t>ER</t>
  </si>
  <si>
    <t>ERITR</t>
  </si>
  <si>
    <t>ES</t>
  </si>
  <si>
    <t>SPAIN</t>
  </si>
  <si>
    <t>ESBL</t>
  </si>
  <si>
    <t>Balearic</t>
  </si>
  <si>
    <t>BELRC</t>
  </si>
  <si>
    <t>ESCE</t>
  </si>
  <si>
    <t>Ceuta</t>
  </si>
  <si>
    <t>CEUTA</t>
  </si>
  <si>
    <t>ESCI</t>
  </si>
  <si>
    <t>Canary Islands</t>
  </si>
  <si>
    <t>CNYIL</t>
  </si>
  <si>
    <t>ESML</t>
  </si>
  <si>
    <t>Melilla</t>
  </si>
  <si>
    <t>MLILA</t>
  </si>
  <si>
    <t>ET</t>
  </si>
  <si>
    <t>ETHOP</t>
  </si>
  <si>
    <t>FI</t>
  </si>
  <si>
    <t>FINLN</t>
  </si>
  <si>
    <t>FJ</t>
  </si>
  <si>
    <t>FIJI</t>
  </si>
  <si>
    <t>FK</t>
  </si>
  <si>
    <t>Falkland Islands (Malvinas)</t>
  </si>
  <si>
    <t>FALKL</t>
  </si>
  <si>
    <t>FM</t>
  </si>
  <si>
    <t>MICRO</t>
  </si>
  <si>
    <t>FO</t>
  </si>
  <si>
    <t>Faroe Islands</t>
  </si>
  <si>
    <t>FAROE</t>
  </si>
  <si>
    <t>FR</t>
  </si>
  <si>
    <t>FRANC</t>
  </si>
  <si>
    <t>FRAI</t>
  </si>
  <si>
    <t>French Austral Islands</t>
  </si>
  <si>
    <t>FRFAI</t>
  </si>
  <si>
    <t>FRFA</t>
  </si>
  <si>
    <t>French Antarctica</t>
  </si>
  <si>
    <t>FRFAT</t>
  </si>
  <si>
    <t>GA</t>
  </si>
  <si>
    <t>GABON</t>
  </si>
  <si>
    <t>GB</t>
  </si>
  <si>
    <t>UNIKN</t>
  </si>
  <si>
    <t>GBIM</t>
  </si>
  <si>
    <t>Isle of Man</t>
  </si>
  <si>
    <t>ISLMN</t>
  </si>
  <si>
    <t>GBNI</t>
  </si>
  <si>
    <t>Northern Ireland</t>
  </si>
  <si>
    <t>GBNOI</t>
  </si>
  <si>
    <t>GBSC</t>
  </si>
  <si>
    <t>Scotland</t>
  </si>
  <si>
    <t>SCTLD</t>
  </si>
  <si>
    <t>GBWL</t>
  </si>
  <si>
    <t>Wales</t>
  </si>
  <si>
    <t>WALES</t>
  </si>
  <si>
    <t>GD</t>
  </si>
  <si>
    <t>GREND</t>
  </si>
  <si>
    <t>GE</t>
  </si>
  <si>
    <t>GEORG</t>
  </si>
  <si>
    <t>GF</t>
  </si>
  <si>
    <t>French Guyana</t>
  </si>
  <si>
    <t>FRGYA</t>
  </si>
  <si>
    <t>GG</t>
  </si>
  <si>
    <t>GUERN</t>
  </si>
  <si>
    <t>GH</t>
  </si>
  <si>
    <t>GHANA</t>
  </si>
  <si>
    <t>GI</t>
  </si>
  <si>
    <t>GIBRL</t>
  </si>
  <si>
    <t>GL</t>
  </si>
  <si>
    <t>Greenland</t>
  </si>
  <si>
    <t>GREEN</t>
  </si>
  <si>
    <t>GM</t>
  </si>
  <si>
    <t>GAMBA</t>
  </si>
  <si>
    <t>GN</t>
  </si>
  <si>
    <t>GUINE</t>
  </si>
  <si>
    <t>GP</t>
  </si>
  <si>
    <t>Guadeloupe</t>
  </si>
  <si>
    <t>GDLPE</t>
  </si>
  <si>
    <t>GQ</t>
  </si>
  <si>
    <t>EQUTG</t>
  </si>
  <si>
    <t>GQAB</t>
  </si>
  <si>
    <t>Annobon</t>
  </si>
  <si>
    <t>ANNBN</t>
  </si>
  <si>
    <t>GQCR</t>
  </si>
  <si>
    <t>Corisco</t>
  </si>
  <si>
    <t>CRSCO</t>
  </si>
  <si>
    <t>GQEL</t>
  </si>
  <si>
    <t>Elobey</t>
  </si>
  <si>
    <t>ELOBY</t>
  </si>
  <si>
    <t>GQFP</t>
  </si>
  <si>
    <t>Fernando Poo</t>
  </si>
  <si>
    <t>FDPOO</t>
  </si>
  <si>
    <t>GQRM</t>
  </si>
  <si>
    <t>Rio Muni</t>
  </si>
  <si>
    <t>RMUNI</t>
  </si>
  <si>
    <t>GR</t>
  </si>
  <si>
    <t>GREEC</t>
  </si>
  <si>
    <t>GT</t>
  </si>
  <si>
    <t>GUATM</t>
  </si>
  <si>
    <t>GU</t>
  </si>
  <si>
    <t>GUAM</t>
  </si>
  <si>
    <t>GW</t>
  </si>
  <si>
    <t>GUIBI</t>
  </si>
  <si>
    <t>GY</t>
  </si>
  <si>
    <t>GUYAN</t>
  </si>
  <si>
    <t>GZ</t>
  </si>
  <si>
    <t>GAZAD</t>
  </si>
  <si>
    <t>HK</t>
  </si>
  <si>
    <t>HONKN</t>
  </si>
  <si>
    <t>HN</t>
  </si>
  <si>
    <t>HONDU</t>
  </si>
  <si>
    <t>HR</t>
  </si>
  <si>
    <t>CROAT</t>
  </si>
  <si>
    <t>HT</t>
  </si>
  <si>
    <t>HAITI</t>
  </si>
  <si>
    <t>HU</t>
  </si>
  <si>
    <t>HUNGR</t>
  </si>
  <si>
    <t>ID</t>
  </si>
  <si>
    <t>INDNS</t>
  </si>
  <si>
    <t>IDIJ</t>
  </si>
  <si>
    <t>Irian Jaya (West New Guinea)</t>
  </si>
  <si>
    <t>ISIRJ</t>
  </si>
  <si>
    <t>IE</t>
  </si>
  <si>
    <t>IRELN</t>
  </si>
  <si>
    <t>IL</t>
  </si>
  <si>
    <t>ISREA</t>
  </si>
  <si>
    <t>IN</t>
  </si>
  <si>
    <t>INDIA</t>
  </si>
  <si>
    <t>IQ</t>
  </si>
  <si>
    <t>IRAQ</t>
  </si>
  <si>
    <t>IQKS</t>
  </si>
  <si>
    <t>IR</t>
  </si>
  <si>
    <t>IRAN</t>
  </si>
  <si>
    <t>IS</t>
  </si>
  <si>
    <t>ICELN</t>
  </si>
  <si>
    <t>IT</t>
  </si>
  <si>
    <t>ITALY</t>
  </si>
  <si>
    <t>JE</t>
  </si>
  <si>
    <t>JERSY</t>
  </si>
  <si>
    <t>JM</t>
  </si>
  <si>
    <t>JAMIC</t>
  </si>
  <si>
    <t>JO</t>
  </si>
  <si>
    <t>JORDN</t>
  </si>
  <si>
    <t>JP</t>
  </si>
  <si>
    <t>JAPAN</t>
  </si>
  <si>
    <t>JPOK</t>
  </si>
  <si>
    <t>Okinawa</t>
  </si>
  <si>
    <t>OKNWA</t>
  </si>
  <si>
    <t>JPRI</t>
  </si>
  <si>
    <t>Ryukyu Islands</t>
  </si>
  <si>
    <t>RYUID</t>
  </si>
  <si>
    <t>KE</t>
  </si>
  <si>
    <t>KENYA</t>
  </si>
  <si>
    <t>KG</t>
  </si>
  <si>
    <t>KYRGY</t>
  </si>
  <si>
    <t>KH</t>
  </si>
  <si>
    <t>CAMBO</t>
  </si>
  <si>
    <t>KI</t>
  </si>
  <si>
    <t>KIRIB</t>
  </si>
  <si>
    <t>KM</t>
  </si>
  <si>
    <t>CMROS</t>
  </si>
  <si>
    <t>KN</t>
  </si>
  <si>
    <t>STKTS</t>
  </si>
  <si>
    <t>KP</t>
  </si>
  <si>
    <t>NOKOR</t>
  </si>
  <si>
    <t>KR</t>
  </si>
  <si>
    <t>KORSO</t>
  </si>
  <si>
    <t>KW</t>
  </si>
  <si>
    <t>KUWIT</t>
  </si>
  <si>
    <t>KY</t>
  </si>
  <si>
    <t>CAYMA</t>
  </si>
  <si>
    <t>KZ</t>
  </si>
  <si>
    <t>KAZAK</t>
  </si>
  <si>
    <t>LA</t>
  </si>
  <si>
    <t>LAOS</t>
  </si>
  <si>
    <t>LB</t>
  </si>
  <si>
    <t>LEBAN</t>
  </si>
  <si>
    <t>LC</t>
  </si>
  <si>
    <t>STLUC</t>
  </si>
  <si>
    <t>LI</t>
  </si>
  <si>
    <t>LIECH</t>
  </si>
  <si>
    <t>LK</t>
  </si>
  <si>
    <t>CEYLN</t>
  </si>
  <si>
    <t>LR</t>
  </si>
  <si>
    <t>LIBER</t>
  </si>
  <si>
    <t>LS</t>
  </si>
  <si>
    <t>LESOT</t>
  </si>
  <si>
    <t>LT</t>
  </si>
  <si>
    <t>LITHU</t>
  </si>
  <si>
    <t>LU</t>
  </si>
  <si>
    <t>LUXMB</t>
  </si>
  <si>
    <t>LV</t>
  </si>
  <si>
    <t>LATVI</t>
  </si>
  <si>
    <t>LY</t>
  </si>
  <si>
    <t>LIBYA</t>
  </si>
  <si>
    <t>MA</t>
  </si>
  <si>
    <t>MORCC</t>
  </si>
  <si>
    <t>MAES</t>
  </si>
  <si>
    <t>Spanish Morocco</t>
  </si>
  <si>
    <t>SPMOC</t>
  </si>
  <si>
    <t>MAFR</t>
  </si>
  <si>
    <t>French Morocco</t>
  </si>
  <si>
    <t>FRMOC</t>
  </si>
  <si>
    <t>MATZ</t>
  </si>
  <si>
    <t>MATZN</t>
  </si>
  <si>
    <t>MC</t>
  </si>
  <si>
    <t>MONAC</t>
  </si>
  <si>
    <t>MD</t>
  </si>
  <si>
    <t>MOLDO</t>
  </si>
  <si>
    <t>ME</t>
  </si>
  <si>
    <t>MONTE</t>
  </si>
  <si>
    <t>MG</t>
  </si>
  <si>
    <t>MDGAS</t>
  </si>
  <si>
    <t>MH</t>
  </si>
  <si>
    <t>MISLN</t>
  </si>
  <si>
    <t>MK</t>
  </si>
  <si>
    <t>Macedonia</t>
  </si>
  <si>
    <t>MACED</t>
  </si>
  <si>
    <t>ML</t>
  </si>
  <si>
    <t>MALI</t>
  </si>
  <si>
    <t>MM</t>
  </si>
  <si>
    <t>BURMA</t>
  </si>
  <si>
    <t>MN</t>
  </si>
  <si>
    <t>MONGL</t>
  </si>
  <si>
    <t>MO</t>
  </si>
  <si>
    <t>MACAU</t>
  </si>
  <si>
    <t>MP</t>
  </si>
  <si>
    <t>Northern Mariana Islands</t>
  </si>
  <si>
    <t>NMRNS</t>
  </si>
  <si>
    <t>MQ</t>
  </si>
  <si>
    <t>Martinique</t>
  </si>
  <si>
    <t>MALAY</t>
  </si>
  <si>
    <t>MR</t>
  </si>
  <si>
    <t>MALUN</t>
  </si>
  <si>
    <t>MS</t>
  </si>
  <si>
    <t>MONTS</t>
  </si>
  <si>
    <t>MT</t>
  </si>
  <si>
    <t>MALTA</t>
  </si>
  <si>
    <t>MU</t>
  </si>
  <si>
    <t>MARUS</t>
  </si>
  <si>
    <t>MV</t>
  </si>
  <si>
    <t>MALDI</t>
  </si>
  <si>
    <t>MW</t>
  </si>
  <si>
    <t>MALAW</t>
  </si>
  <si>
    <t>MX</t>
  </si>
  <si>
    <t>MEXIC</t>
  </si>
  <si>
    <t>MY</t>
  </si>
  <si>
    <t>MALAS</t>
  </si>
  <si>
    <t>MYMA</t>
  </si>
  <si>
    <t>MYMAL</t>
  </si>
  <si>
    <t>MYSB</t>
  </si>
  <si>
    <t>SABAH</t>
  </si>
  <si>
    <t>MYSW</t>
  </si>
  <si>
    <t>SARAW</t>
  </si>
  <si>
    <t>MZ</t>
  </si>
  <si>
    <t>MOXBM</t>
  </si>
  <si>
    <t>NA</t>
  </si>
  <si>
    <t>NAMBA</t>
  </si>
  <si>
    <t>NACS</t>
  </si>
  <si>
    <t>Caprivi Strip</t>
  </si>
  <si>
    <t>CPRVI</t>
  </si>
  <si>
    <t>NC</t>
  </si>
  <si>
    <t>New Caledonia</t>
  </si>
  <si>
    <t>NCLDN</t>
  </si>
  <si>
    <t>NE</t>
  </si>
  <si>
    <t>NIGER</t>
  </si>
  <si>
    <t>NF</t>
  </si>
  <si>
    <t>Norfolk Island</t>
  </si>
  <si>
    <t>NFKIS</t>
  </si>
  <si>
    <t>NG</t>
  </si>
  <si>
    <t>NGRIA</t>
  </si>
  <si>
    <t>NI</t>
  </si>
  <si>
    <t>NICAR</t>
  </si>
  <si>
    <t>NL</t>
  </si>
  <si>
    <t>HOLLN</t>
  </si>
  <si>
    <t>NO</t>
  </si>
  <si>
    <t>NORWA</t>
  </si>
  <si>
    <t>NP</t>
  </si>
  <si>
    <t>NEPAL</t>
  </si>
  <si>
    <t>NR</t>
  </si>
  <si>
    <t>NAURA</t>
  </si>
  <si>
    <t>NU</t>
  </si>
  <si>
    <t>NIUE</t>
  </si>
  <si>
    <t>NZ</t>
  </si>
  <si>
    <t>NEWZL</t>
  </si>
  <si>
    <t>OA</t>
  </si>
  <si>
    <t>African IPO</t>
  </si>
  <si>
    <t>OAMPI</t>
  </si>
  <si>
    <t>OM</t>
  </si>
  <si>
    <t>OMAN</t>
  </si>
  <si>
    <t>OMKM</t>
  </si>
  <si>
    <t>Kuria Muria Islands</t>
  </si>
  <si>
    <t>KMIDS</t>
  </si>
  <si>
    <t>PA</t>
  </si>
  <si>
    <t>PANAM</t>
  </si>
  <si>
    <t>PE</t>
  </si>
  <si>
    <t>PERU</t>
  </si>
  <si>
    <t>PF</t>
  </si>
  <si>
    <t>FRPOL</t>
  </si>
  <si>
    <t>PG</t>
  </si>
  <si>
    <t>PAPUA</t>
  </si>
  <si>
    <t>PH</t>
  </si>
  <si>
    <t>PHILP</t>
  </si>
  <si>
    <t>PK</t>
  </si>
  <si>
    <t>PAKST</t>
  </si>
  <si>
    <t>PL</t>
  </si>
  <si>
    <t>POLND</t>
  </si>
  <si>
    <t>PM</t>
  </si>
  <si>
    <t>St. Pierre and Miquelon</t>
  </si>
  <si>
    <t>FRSPM</t>
  </si>
  <si>
    <t>PN</t>
  </si>
  <si>
    <t>Pitcairn</t>
  </si>
  <si>
    <t>PTCRN</t>
  </si>
  <si>
    <t>PR</t>
  </si>
  <si>
    <t>PUERC</t>
  </si>
  <si>
    <t>PS</t>
  </si>
  <si>
    <t>PLSTN</t>
  </si>
  <si>
    <t>PT</t>
  </si>
  <si>
    <t>PORTG</t>
  </si>
  <si>
    <t>PTAZ</t>
  </si>
  <si>
    <t>Azores</t>
  </si>
  <si>
    <t>AZORS</t>
  </si>
  <si>
    <t>PTML</t>
  </si>
  <si>
    <t>Madeira Islands</t>
  </si>
  <si>
    <t>MDIDS</t>
  </si>
  <si>
    <t>PW</t>
  </si>
  <si>
    <t>PALAU</t>
  </si>
  <si>
    <t>PY</t>
  </si>
  <si>
    <t>PARAG</t>
  </si>
  <si>
    <t>QA</t>
  </si>
  <si>
    <t>QATAR</t>
  </si>
  <si>
    <t>RE</t>
  </si>
  <si>
    <t>Reunion</t>
  </si>
  <si>
    <t>RUNIN</t>
  </si>
  <si>
    <t>RK</t>
  </si>
  <si>
    <t>Ras-al-Khaimah</t>
  </si>
  <si>
    <t>RASAL</t>
  </si>
  <si>
    <t>RO</t>
  </si>
  <si>
    <t>RUMAN</t>
  </si>
  <si>
    <t>RS</t>
  </si>
  <si>
    <t>SERBA</t>
  </si>
  <si>
    <t>RU</t>
  </si>
  <si>
    <t>RUSSA</t>
  </si>
  <si>
    <t>RW</t>
  </si>
  <si>
    <t>RWAND</t>
  </si>
  <si>
    <t>SA</t>
  </si>
  <si>
    <t>SAUDA</t>
  </si>
  <si>
    <t>SB</t>
  </si>
  <si>
    <t>SOLOM</t>
  </si>
  <si>
    <t>SBLB</t>
  </si>
  <si>
    <t>Labuan</t>
  </si>
  <si>
    <t>LABUN</t>
  </si>
  <si>
    <t>SC</t>
  </si>
  <si>
    <t>SEYCH</t>
  </si>
  <si>
    <t>SD</t>
  </si>
  <si>
    <t>SUDAN</t>
  </si>
  <si>
    <t>SE</t>
  </si>
  <si>
    <t>SWEDN</t>
  </si>
  <si>
    <t>SG</t>
  </si>
  <si>
    <t>SINGP</t>
  </si>
  <si>
    <t>SH</t>
  </si>
  <si>
    <t>St. Helena</t>
  </si>
  <si>
    <t>SHELN</t>
  </si>
  <si>
    <t>SI</t>
  </si>
  <si>
    <t>SLOVE</t>
  </si>
  <si>
    <t>SJ</t>
  </si>
  <si>
    <t>Sarawak (Old Code)</t>
  </si>
  <si>
    <t>SK</t>
  </si>
  <si>
    <t>SLOVK</t>
  </si>
  <si>
    <t>SL</t>
  </si>
  <si>
    <t>SIELN</t>
  </si>
  <si>
    <t>SM</t>
  </si>
  <si>
    <t>SMARI</t>
  </si>
  <si>
    <t>SN</t>
  </si>
  <si>
    <t>SNGAL</t>
  </si>
  <si>
    <t>SNDK</t>
  </si>
  <si>
    <t>Dakar</t>
  </si>
  <si>
    <t>DAKAR</t>
  </si>
  <si>
    <t>SO</t>
  </si>
  <si>
    <t>SOMAL</t>
  </si>
  <si>
    <t>SR</t>
  </si>
  <si>
    <t>SURIN</t>
  </si>
  <si>
    <t>SS</t>
  </si>
  <si>
    <t>South Sudan</t>
  </si>
  <si>
    <t>ST</t>
  </si>
  <si>
    <t>SOATP</t>
  </si>
  <si>
    <t>SU</t>
  </si>
  <si>
    <t>Soviet Union (Old Code)</t>
  </si>
  <si>
    <t>USSR</t>
  </si>
  <si>
    <t>SV</t>
  </si>
  <si>
    <t>SALVD</t>
  </si>
  <si>
    <t>SX</t>
  </si>
  <si>
    <t>STMAR</t>
  </si>
  <si>
    <t>SY</t>
  </si>
  <si>
    <t>SYRRB</t>
  </si>
  <si>
    <t>SZ</t>
  </si>
  <si>
    <t>SWAZL</t>
  </si>
  <si>
    <t>TC</t>
  </si>
  <si>
    <t>TURKS</t>
  </si>
  <si>
    <t>TD</t>
  </si>
  <si>
    <t>CHADR</t>
  </si>
  <si>
    <t>TE</t>
  </si>
  <si>
    <t>TRANS</t>
  </si>
  <si>
    <t>TG</t>
  </si>
  <si>
    <t>TOGO</t>
  </si>
  <si>
    <t>TH</t>
  </si>
  <si>
    <t>THALN</t>
  </si>
  <si>
    <t>TI</t>
  </si>
  <si>
    <t>TANGR</t>
  </si>
  <si>
    <t>TJ</t>
  </si>
  <si>
    <t>TAJIK</t>
  </si>
  <si>
    <t>TK</t>
  </si>
  <si>
    <t>Tokelau</t>
  </si>
  <si>
    <t>TOKLU</t>
  </si>
  <si>
    <t>TM</t>
  </si>
  <si>
    <t>TURKM</t>
  </si>
  <si>
    <t>TN</t>
  </si>
  <si>
    <t>TUNIS</t>
  </si>
  <si>
    <t>TO</t>
  </si>
  <si>
    <t>TONGA</t>
  </si>
  <si>
    <t>TP</t>
  </si>
  <si>
    <t>East Timor</t>
  </si>
  <si>
    <t>ETMOR</t>
  </si>
  <si>
    <t>TR</t>
  </si>
  <si>
    <t>TURKE</t>
  </si>
  <si>
    <t>TT</t>
  </si>
  <si>
    <t>TRINI</t>
  </si>
  <si>
    <t>TV</t>
  </si>
  <si>
    <t>ELLIS</t>
  </si>
  <si>
    <t>TW</t>
  </si>
  <si>
    <t>TAIWN</t>
  </si>
  <si>
    <t>TY</t>
  </si>
  <si>
    <t>Tanganyika</t>
  </si>
  <si>
    <t>TANGA</t>
  </si>
  <si>
    <t>TZ</t>
  </si>
  <si>
    <t>Tanzania, United Republic of</t>
  </si>
  <si>
    <t>TANZN</t>
  </si>
  <si>
    <t>UA</t>
  </si>
  <si>
    <t>UKRAN</t>
  </si>
  <si>
    <t>UG</t>
  </si>
  <si>
    <t>UGAND</t>
  </si>
  <si>
    <t>US</t>
  </si>
  <si>
    <t>USA</t>
  </si>
  <si>
    <t>USAK</t>
  </si>
  <si>
    <t>USAAK</t>
  </si>
  <si>
    <t>USAL</t>
  </si>
  <si>
    <t>USAAL</t>
  </si>
  <si>
    <t>USAR</t>
  </si>
  <si>
    <t>USAAR</t>
  </si>
  <si>
    <t>USAZ</t>
  </si>
  <si>
    <t>USAAZ</t>
  </si>
  <si>
    <t>USCA</t>
  </si>
  <si>
    <t>USACA</t>
  </si>
  <si>
    <t>USCO</t>
  </si>
  <si>
    <t>USACO</t>
  </si>
  <si>
    <t>USCT</t>
  </si>
  <si>
    <t>USACT</t>
  </si>
  <si>
    <t>USDC</t>
  </si>
  <si>
    <t>USADC</t>
  </si>
  <si>
    <t>USDE</t>
  </si>
  <si>
    <t>USADE</t>
  </si>
  <si>
    <t>USFL</t>
  </si>
  <si>
    <t>USAFL</t>
  </si>
  <si>
    <t>USGA</t>
  </si>
  <si>
    <t>USAGA</t>
  </si>
  <si>
    <t>USHI</t>
  </si>
  <si>
    <t>USAHI</t>
  </si>
  <si>
    <t>USIA</t>
  </si>
  <si>
    <t>USAIA</t>
  </si>
  <si>
    <t>USID</t>
  </si>
  <si>
    <t>USAID</t>
  </si>
  <si>
    <t>USIL</t>
  </si>
  <si>
    <t>USAIL</t>
  </si>
  <si>
    <t>USIN</t>
  </si>
  <si>
    <t>USAIN</t>
  </si>
  <si>
    <t>USKS</t>
  </si>
  <si>
    <t>USAKS</t>
  </si>
  <si>
    <t>USKY</t>
  </si>
  <si>
    <t>USAKY</t>
  </si>
  <si>
    <t>USLA</t>
  </si>
  <si>
    <t>USALA</t>
  </si>
  <si>
    <t>USMA</t>
  </si>
  <si>
    <t>USAMA</t>
  </si>
  <si>
    <t>USMD</t>
  </si>
  <si>
    <t>USAMD</t>
  </si>
  <si>
    <t>USME</t>
  </si>
  <si>
    <t>USAME</t>
  </si>
  <si>
    <t>USMI</t>
  </si>
  <si>
    <t>USAMI</t>
  </si>
  <si>
    <t>USMN</t>
  </si>
  <si>
    <t>USAMN</t>
  </si>
  <si>
    <t>USMO</t>
  </si>
  <si>
    <t>USAMO</t>
  </si>
  <si>
    <t>USMS</t>
  </si>
  <si>
    <t>USAMS</t>
  </si>
  <si>
    <t>USMT</t>
  </si>
  <si>
    <t>USAMT</t>
  </si>
  <si>
    <t>USNC</t>
  </si>
  <si>
    <t>USANC</t>
  </si>
  <si>
    <t>USND</t>
  </si>
  <si>
    <t>USAND</t>
  </si>
  <si>
    <t>USNE</t>
  </si>
  <si>
    <t>USANE</t>
  </si>
  <si>
    <t>USNH</t>
  </si>
  <si>
    <t>USANH</t>
  </si>
  <si>
    <t>USNJ</t>
  </si>
  <si>
    <t>USANJ</t>
  </si>
  <si>
    <t>USNM</t>
  </si>
  <si>
    <t>USANM</t>
  </si>
  <si>
    <t>USNV</t>
  </si>
  <si>
    <t>USANV</t>
  </si>
  <si>
    <t>USNY</t>
  </si>
  <si>
    <t>USANY</t>
  </si>
  <si>
    <t>USOH</t>
  </si>
  <si>
    <t>USAOH</t>
  </si>
  <si>
    <t>USOK</t>
  </si>
  <si>
    <t>USAOK</t>
  </si>
  <si>
    <t>USOR</t>
  </si>
  <si>
    <t>USAOR</t>
  </si>
  <si>
    <t>USPA</t>
  </si>
  <si>
    <t>USAPA</t>
  </si>
  <si>
    <t>USPC</t>
  </si>
  <si>
    <t>Panama Canal Zone</t>
  </si>
  <si>
    <t>USPCZ</t>
  </si>
  <si>
    <t>USRI</t>
  </si>
  <si>
    <t>USARI</t>
  </si>
  <si>
    <t>USSC</t>
  </si>
  <si>
    <t>USASC</t>
  </si>
  <si>
    <t>USSD</t>
  </si>
  <si>
    <t>USASD</t>
  </si>
  <si>
    <t>USTN</t>
  </si>
  <si>
    <t>USATN</t>
  </si>
  <si>
    <t>USTX</t>
  </si>
  <si>
    <t>USATX</t>
  </si>
  <si>
    <t>USUT</t>
  </si>
  <si>
    <t>USAUT</t>
  </si>
  <si>
    <t>USVA</t>
  </si>
  <si>
    <t>USAVA</t>
  </si>
  <si>
    <t>USVT</t>
  </si>
  <si>
    <t>USAVT</t>
  </si>
  <si>
    <t>USWA</t>
  </si>
  <si>
    <t>USAWA</t>
  </si>
  <si>
    <t>USWI</t>
  </si>
  <si>
    <t>USAWI</t>
  </si>
  <si>
    <t>USWV</t>
  </si>
  <si>
    <t>USAWV</t>
  </si>
  <si>
    <t>USWY</t>
  </si>
  <si>
    <t>USAWY</t>
  </si>
  <si>
    <t>UY</t>
  </si>
  <si>
    <t>URGUY</t>
  </si>
  <si>
    <t>UZ</t>
  </si>
  <si>
    <t>UZBEK</t>
  </si>
  <si>
    <t>VA</t>
  </si>
  <si>
    <t>Holy See (Vatican City)</t>
  </si>
  <si>
    <t>VATCN</t>
  </si>
  <si>
    <t>VC</t>
  </si>
  <si>
    <t>STVNC</t>
  </si>
  <si>
    <t>VD</t>
  </si>
  <si>
    <t>VENDA</t>
  </si>
  <si>
    <t>VE</t>
  </si>
  <si>
    <t>VENZL</t>
  </si>
  <si>
    <t>VG</t>
  </si>
  <si>
    <t>British VI</t>
  </si>
  <si>
    <t>VI</t>
  </si>
  <si>
    <t>Virgin Islands (American)</t>
  </si>
  <si>
    <t>VIRIS</t>
  </si>
  <si>
    <t>VISC</t>
  </si>
  <si>
    <t>St. Croix</t>
  </si>
  <si>
    <t>STCRX</t>
  </si>
  <si>
    <t>VISJ</t>
  </si>
  <si>
    <t>St. John</t>
  </si>
  <si>
    <t>STJHN</t>
  </si>
  <si>
    <t>VIST</t>
  </si>
  <si>
    <t>St. Thomas</t>
  </si>
  <si>
    <t>STTOM</t>
  </si>
  <si>
    <t>VN</t>
  </si>
  <si>
    <t>VIETN</t>
  </si>
  <si>
    <t>VU</t>
  </si>
  <si>
    <t>VANUA</t>
  </si>
  <si>
    <t>WB</t>
  </si>
  <si>
    <t>WBANK</t>
  </si>
  <si>
    <t>WF</t>
  </si>
  <si>
    <t>Wallis &amp; Futuna Islands</t>
  </si>
  <si>
    <t>WFILS</t>
  </si>
  <si>
    <t>WO</t>
  </si>
  <si>
    <t>INTL</t>
  </si>
  <si>
    <t>WP</t>
  </si>
  <si>
    <t>MDPRO</t>
  </si>
  <si>
    <t>WS</t>
  </si>
  <si>
    <t>SAMOA</t>
  </si>
  <si>
    <t>XC</t>
  </si>
  <si>
    <t>Channel Islands</t>
  </si>
  <si>
    <t>CHNID</t>
  </si>
  <si>
    <t>XG</t>
  </si>
  <si>
    <t>XGAL</t>
  </si>
  <si>
    <t>Alderney</t>
  </si>
  <si>
    <t>XGALD</t>
  </si>
  <si>
    <t>XGBU</t>
  </si>
  <si>
    <t>Brechou</t>
  </si>
  <si>
    <t>XGGS</t>
  </si>
  <si>
    <t>Great Sark</t>
  </si>
  <si>
    <t>XGHM</t>
  </si>
  <si>
    <t>Herm</t>
  </si>
  <si>
    <t>XGHRM</t>
  </si>
  <si>
    <t>XGJT</t>
  </si>
  <si>
    <t>Jethou</t>
  </si>
  <si>
    <t>XGJTU</t>
  </si>
  <si>
    <t>XGLS</t>
  </si>
  <si>
    <t>Little Sark</t>
  </si>
  <si>
    <t>XGLU</t>
  </si>
  <si>
    <t>Lihou</t>
  </si>
  <si>
    <t>XGLOU</t>
  </si>
  <si>
    <t>XS</t>
  </si>
  <si>
    <t>Saar</t>
  </si>
  <si>
    <t>SAAR</t>
  </si>
  <si>
    <t>YD</t>
  </si>
  <si>
    <t>YEMEN</t>
  </si>
  <si>
    <t>YDAD</t>
  </si>
  <si>
    <t>Aden</t>
  </si>
  <si>
    <t>ADEN</t>
  </si>
  <si>
    <t>YDSA</t>
  </si>
  <si>
    <t>South Arabia</t>
  </si>
  <si>
    <t>SARBA</t>
  </si>
  <si>
    <t>YE</t>
  </si>
  <si>
    <t>YEMAR</t>
  </si>
  <si>
    <t>YEKM</t>
  </si>
  <si>
    <t>Kamaran</t>
  </si>
  <si>
    <t>KMRAN</t>
  </si>
  <si>
    <t>YEPM</t>
  </si>
  <si>
    <t>Perim</t>
  </si>
  <si>
    <t>PERIM</t>
  </si>
  <si>
    <t>YESC</t>
  </si>
  <si>
    <t>Socotra</t>
  </si>
  <si>
    <t>SCTRA</t>
  </si>
  <si>
    <t>YT</t>
  </si>
  <si>
    <t>Mayotte</t>
  </si>
  <si>
    <t>MYTTE</t>
  </si>
  <si>
    <t>YU</t>
  </si>
  <si>
    <t>YUGSL</t>
  </si>
  <si>
    <t>YUKO</t>
  </si>
  <si>
    <t>KOSVO</t>
  </si>
  <si>
    <t>YUMN</t>
  </si>
  <si>
    <t>Montenegro (Old Code)</t>
  </si>
  <si>
    <t>MTNGR</t>
  </si>
  <si>
    <t>YUSB</t>
  </si>
  <si>
    <t>Serbia (Old Code)</t>
  </si>
  <si>
    <t>SRBIA</t>
  </si>
  <si>
    <t>YUVJ</t>
  </si>
  <si>
    <t>Vojvodina</t>
  </si>
  <si>
    <t>VVDNA</t>
  </si>
  <si>
    <t>ZA</t>
  </si>
  <si>
    <t>SOFRC</t>
  </si>
  <si>
    <t>ZACK</t>
  </si>
  <si>
    <t>Ciskei</t>
  </si>
  <si>
    <t>ZACKI</t>
  </si>
  <si>
    <t>ZM</t>
  </si>
  <si>
    <t>ZAMBA</t>
  </si>
  <si>
    <t>ZW</t>
  </si>
  <si>
    <t>RHODS</t>
  </si>
  <si>
    <t>ZZ</t>
  </si>
  <si>
    <t>ZANZI</t>
  </si>
  <si>
    <t>Letter</t>
  </si>
  <si>
    <t>Pos</t>
  </si>
  <si>
    <t>Position of A in English Alphabets is</t>
  </si>
  <si>
    <t>Position of B in English Alphabets is</t>
  </si>
  <si>
    <t>Position of C in English Alphabets is</t>
  </si>
  <si>
    <t>Position of D in English Alphabets is</t>
  </si>
  <si>
    <t>Position of E in English Alphabets is</t>
  </si>
  <si>
    <t>Position of F in English Alphabets is</t>
  </si>
  <si>
    <t>Position of G in English Alphabets is</t>
  </si>
  <si>
    <t>Position of H in English Alphabets is</t>
  </si>
  <si>
    <t>Position of I in English Alphabets is</t>
  </si>
  <si>
    <t>Position of J in English Alphabets is</t>
  </si>
  <si>
    <t>Position of K in English Alphabets is</t>
  </si>
  <si>
    <t>Position of L in English Alphabets is</t>
  </si>
  <si>
    <t>Position of M in English Alphabets is</t>
  </si>
  <si>
    <t>Position of N in English Alphabets is</t>
  </si>
  <si>
    <t>Position of O in English Alphabets is</t>
  </si>
  <si>
    <t>Position of P in English Alphabets is</t>
  </si>
  <si>
    <t>Position of Q in English Alphabets is</t>
  </si>
  <si>
    <t>Position of R in English Alphabets is</t>
  </si>
  <si>
    <t>Position of S in English Alphabets is</t>
  </si>
  <si>
    <t>Position of T in English Alphabets is</t>
  </si>
  <si>
    <t>Position of U in English Alphabets is</t>
  </si>
  <si>
    <t>Position of V in English Alphabets is</t>
  </si>
  <si>
    <t>Position of W in English Alphabets is</t>
  </si>
  <si>
    <t>Position of X in English Alphabets is</t>
  </si>
  <si>
    <t>Position of Y in English Alphabets is</t>
  </si>
  <si>
    <t>Position of Z in English Alphabets is</t>
  </si>
  <si>
    <t>Registry of Corporate Affairs</t>
  </si>
  <si>
    <t>Registry of Corporate Affairs - Intellectual Property Unit</t>
  </si>
  <si>
    <t>EAPO</t>
  </si>
  <si>
    <t>Eurasian Patent Organization</t>
  </si>
  <si>
    <t>Eurasia</t>
  </si>
  <si>
    <t>GCCPO</t>
  </si>
  <si>
    <t>Patent Office of the Cooperation Council for the Arab States of the Gulf</t>
  </si>
  <si>
    <t>Arab States</t>
  </si>
  <si>
    <t>Arab States of the Gulf</t>
  </si>
  <si>
    <t>the Republic of CÃ´te d'Ivoire</t>
  </si>
  <si>
    <t>Côte d'Ivoire</t>
  </si>
  <si>
    <t>Democratic Republic of the Congo</t>
  </si>
  <si>
    <t>DPRKIO</t>
  </si>
  <si>
    <t>Invention Office of the Democratic People's Republic of Korea</t>
  </si>
  <si>
    <t>EGYPO</t>
  </si>
  <si>
    <t>Egyptian Patent Office</t>
  </si>
  <si>
    <t>OPI</t>
  </si>
  <si>
    <t>SPO</t>
  </si>
  <si>
    <t>Saudi Patent Office</t>
  </si>
  <si>
    <t>EPO</t>
  </si>
  <si>
    <t>European Patent Office</t>
  </si>
  <si>
    <t>WIPO PCT</t>
  </si>
  <si>
    <t>PCT System</t>
  </si>
  <si>
    <t>BurkinabÃ© General Directorate of Industrial Property</t>
  </si>
  <si>
    <t>NIPU</t>
  </si>
  <si>
    <t>National Industrial Property Unit of Congo</t>
  </si>
  <si>
    <t>Bureau of Intellectual Property Curacao</t>
  </si>
  <si>
    <t>Industrial Property Office of Czechia</t>
  </si>
  <si>
    <t>Icelandic Patent Office</t>
  </si>
  <si>
    <t>the Kyrgyz Republic</t>
  </si>
  <si>
    <t>State Office of Industrial Property of Macedonia</t>
  </si>
  <si>
    <t>Former Yugoslav Republic of Macedonia</t>
  </si>
  <si>
    <t>NZOTA</t>
  </si>
  <si>
    <t>New Zealand Office for Tokelau Affairs</t>
  </si>
  <si>
    <t>BIP</t>
  </si>
  <si>
    <t>Sint Maarten (Dutch)</t>
  </si>
  <si>
    <t>Tuvalu Attorney Generalâ€™s Office</t>
  </si>
  <si>
    <t>the  Republic of Yemen</t>
  </si>
  <si>
    <t>Ministry of Information and Culture of Afghanistan</t>
  </si>
  <si>
    <t>MoIC</t>
  </si>
  <si>
    <t>NULL</t>
  </si>
  <si>
    <t>Albanian Copyright Directorate</t>
  </si>
  <si>
    <t>Copyright Directorate</t>
  </si>
  <si>
    <t>Algerian National Office of Copyrights and Related Rights</t>
  </si>
  <si>
    <t>ONDA</t>
  </si>
  <si>
    <t>National Institute for Cultural Industries of Angola</t>
  </si>
  <si>
    <t>INIC</t>
  </si>
  <si>
    <t>Argentinian National Directorate of Copyright</t>
  </si>
  <si>
    <t>ACO</t>
  </si>
  <si>
    <t>Australian Content &amp; Copyright Branch</t>
  </si>
  <si>
    <t>CCB</t>
  </si>
  <si>
    <t>Austria Federal Ministry of Justice</t>
  </si>
  <si>
    <t>The Copyright Agency of the Republic of Azerbaijan</t>
  </si>
  <si>
    <t>COPAG</t>
  </si>
  <si>
    <t>Press and Publications Directorate of Bahrain</t>
  </si>
  <si>
    <t>BPPD</t>
  </si>
  <si>
    <t>Copyright Office Bangladesh</t>
  </si>
  <si>
    <t>BCO</t>
  </si>
  <si>
    <t>Beninese Copyright Office</t>
  </si>
  <si>
    <t>BUBEDRA</t>
  </si>
  <si>
    <t>Brazilian Ministry of Culture</t>
  </si>
  <si>
    <t>MCB</t>
  </si>
  <si>
    <t>Brunei Attorney General's Chambers</t>
  </si>
  <si>
    <t>AGC</t>
  </si>
  <si>
    <t>Bulgarian Copyright and Neighbouring Rights Directorate</t>
  </si>
  <si>
    <t>Copyright Office</t>
  </si>
  <si>
    <t>Burkinabé Copyright Office</t>
  </si>
  <si>
    <t>BBDA</t>
  </si>
  <si>
    <t>Burundi Department of Arts and Culture</t>
  </si>
  <si>
    <t>ACD</t>
  </si>
  <si>
    <t>Cambodian Department of Copyright and Related rights</t>
  </si>
  <si>
    <t>MCFA</t>
  </si>
  <si>
    <t>Cameroon Justice Section</t>
  </si>
  <si>
    <t>CJS</t>
  </si>
  <si>
    <t>Central African Republic Copyright Office</t>
  </si>
  <si>
    <t>BUCADA</t>
  </si>
  <si>
    <t>Chadian Copyright Office - Ministry of Culture, Youth and Sports</t>
  </si>
  <si>
    <t>BUTDRA</t>
  </si>
  <si>
    <t>Chilean Intellectual Rights Department</t>
  </si>
  <si>
    <t>DDI</t>
  </si>
  <si>
    <t>National Copyright Administration of China</t>
  </si>
  <si>
    <t>NCAC</t>
  </si>
  <si>
    <t>Colombian Copyright Office</t>
  </si>
  <si>
    <t>DNDA</t>
  </si>
  <si>
    <t>Ministry of Youth, Employment, of the Workforce Development, Culture, and Sport of the Comoros</t>
  </si>
  <si>
    <t>CCO</t>
  </si>
  <si>
    <t>Costa Rican Register of Copyright and Related Rights</t>
  </si>
  <si>
    <t>MJP</t>
  </si>
  <si>
    <t>Ivorian Copyright Office</t>
  </si>
  <si>
    <t>ICO</t>
  </si>
  <si>
    <t>Cuban National Copyright Center</t>
  </si>
  <si>
    <t>CENDA</t>
  </si>
  <si>
    <t>Czechian Department Ministry of Culture</t>
  </si>
  <si>
    <t>Copyright Department</t>
  </si>
  <si>
    <t>Congolese Copyright Office</t>
  </si>
  <si>
    <t>BCDA</t>
  </si>
  <si>
    <t>Secretariat General of Culture of Congo</t>
  </si>
  <si>
    <t>SGC</t>
  </si>
  <si>
    <t>Danish Copyright Division</t>
  </si>
  <si>
    <t>Copyright Division</t>
  </si>
  <si>
    <t>Djibouti Office of Copyright and Related Rights</t>
  </si>
  <si>
    <t>DCO</t>
  </si>
  <si>
    <t>Dominican Republic National Copyright Office</t>
  </si>
  <si>
    <t>Egyptian Permanent Office for the Protection of Copyright</t>
  </si>
  <si>
    <t>EGYCO</t>
  </si>
  <si>
    <t>Department of Culture of Eritrea</t>
  </si>
  <si>
    <t>Culture Dept</t>
  </si>
  <si>
    <t>Estonian Ministry of Justice</t>
  </si>
  <si>
    <t>EMJ</t>
  </si>
  <si>
    <t>Finnish Division for Copyright Policy and Audiovisual Culture</t>
  </si>
  <si>
    <t>MINEDU</t>
  </si>
  <si>
    <t>French Office of Literacy and Artistic Property</t>
  </si>
  <si>
    <t>FCO</t>
  </si>
  <si>
    <t>National Agency for the Promotion of the Arts and Culture of Gabon</t>
  </si>
  <si>
    <t>ANPAC</t>
  </si>
  <si>
    <t>German Unit of Copyright and Publishing Law</t>
  </si>
  <si>
    <t>BMJ</t>
  </si>
  <si>
    <t>Copyright Department of Ghana</t>
  </si>
  <si>
    <t>Hellenic Copyright Organization</t>
  </si>
  <si>
    <t>Guinean Copyright Office</t>
  </si>
  <si>
    <t>GCO</t>
  </si>
  <si>
    <t>Guinean Copyright Society</t>
  </si>
  <si>
    <t>GCS</t>
  </si>
  <si>
    <t>Haitian Copyright Office</t>
  </si>
  <si>
    <t>BHDA</t>
  </si>
  <si>
    <t>Icelandic Office of Legal Affairs</t>
  </si>
  <si>
    <t>IOLA</t>
  </si>
  <si>
    <t>Indian Copyright Office</t>
  </si>
  <si>
    <t>Iranian Registrar of Copyright</t>
  </si>
  <si>
    <t>IRC</t>
  </si>
  <si>
    <t>Iraqi Ministry of Culture</t>
  </si>
  <si>
    <t>IMOC</t>
  </si>
  <si>
    <t>Irish Intellectual Property Unit</t>
  </si>
  <si>
    <t>DJIE</t>
  </si>
  <si>
    <t>The Director General of Israel</t>
  </si>
  <si>
    <t>MOJEng</t>
  </si>
  <si>
    <t>Italian General Direction for Library Heritage, Cultural Institutes and Copyright</t>
  </si>
  <si>
    <t>ITCMS</t>
  </si>
  <si>
    <t>Japan Copyright Office</t>
  </si>
  <si>
    <t>JCO</t>
  </si>
  <si>
    <t>Department of the National Library of Jordan</t>
  </si>
  <si>
    <t>DNL</t>
  </si>
  <si>
    <t>The Kenya Copyright Board</t>
  </si>
  <si>
    <t>KECOBO</t>
  </si>
  <si>
    <t>Kuwait Ministry of Commerce and Industry</t>
  </si>
  <si>
    <t>KMCI</t>
  </si>
  <si>
    <t>Latvian Copyright Unit</t>
  </si>
  <si>
    <t>Copyright Unit</t>
  </si>
  <si>
    <t>Lithuanian Copyright Division</t>
  </si>
  <si>
    <t>Luxembourg Direction de la propriété intellectuelle</t>
  </si>
  <si>
    <t>Copyright and Related Rights Department, Ministry of Culture of Macedonia</t>
  </si>
  <si>
    <t>MoC</t>
  </si>
  <si>
    <t>Malagasy Copyright Office</t>
  </si>
  <si>
    <t>MCO</t>
  </si>
  <si>
    <t>Copyright Society of Malawi</t>
  </si>
  <si>
    <t>COSOMA</t>
  </si>
  <si>
    <t>Malian Copyright Office</t>
  </si>
  <si>
    <t>BUMDA</t>
  </si>
  <si>
    <t>Cultural Cooperation and Intellectual Property Department of Mauritania</t>
  </si>
  <si>
    <t>Mauritius Society of Authors</t>
  </si>
  <si>
    <t>MASA</t>
  </si>
  <si>
    <t>Mexican National Institute of Copyright</t>
  </si>
  <si>
    <t>INDAUTOR</t>
  </si>
  <si>
    <t>Copyright Office of Morocco</t>
  </si>
  <si>
    <t>BMDA</t>
  </si>
  <si>
    <t>Department of Copyright of Mozambique</t>
  </si>
  <si>
    <t>MDC</t>
  </si>
  <si>
    <t>Ministry of Information and Culture of Myanmar</t>
  </si>
  <si>
    <t>MMIC</t>
  </si>
  <si>
    <t>Ministry of Information and Communication Technology of Namibia</t>
  </si>
  <si>
    <t>MICT</t>
  </si>
  <si>
    <t>Nepal Copyright Registrar's Office</t>
  </si>
  <si>
    <t>NCRO</t>
  </si>
  <si>
    <t>Netherlands Directorate of Legislation</t>
  </si>
  <si>
    <t>newfoundland</t>
  </si>
  <si>
    <t>New Zealand Intellectual Property Policy Group</t>
  </si>
  <si>
    <t>NZIPPG</t>
  </si>
  <si>
    <t>Niger Copyright Office</t>
  </si>
  <si>
    <t>BNDA</t>
  </si>
  <si>
    <t>Nigerian Copyright Commission</t>
  </si>
  <si>
    <t>NCC</t>
  </si>
  <si>
    <t>Copyright Office of the Democratic People's Republic of Korea</t>
  </si>
  <si>
    <t>DPRKCO</t>
  </si>
  <si>
    <t>Norwegian Department of Media and Copyright</t>
  </si>
  <si>
    <t>DMC</t>
  </si>
  <si>
    <t>Directorate General of Copyright of Panama</t>
  </si>
  <si>
    <t>DGC</t>
  </si>
  <si>
    <t>The Intellectual Property and Media Department of Poland</t>
  </si>
  <si>
    <t>MKIDN</t>
  </si>
  <si>
    <t>Portuguese Bureau for Cultural Strategy, Planning and Assessment</t>
  </si>
  <si>
    <t>GEPAC</t>
  </si>
  <si>
    <t>Romanian Copyright Office</t>
  </si>
  <si>
    <t>ORDA</t>
  </si>
  <si>
    <t>Directorate of Economic and Social Affairs Department of External Affairs of San Marino</t>
  </si>
  <si>
    <t>SMCO</t>
  </si>
  <si>
    <t>General Administration of Copyright of Saudi Arabia</t>
  </si>
  <si>
    <t>SACO</t>
  </si>
  <si>
    <t>Senegalese Copyright Office</t>
  </si>
  <si>
    <t>SCO</t>
  </si>
  <si>
    <t>Office of the Registrar of Copyrights of Seychelles</t>
  </si>
  <si>
    <t>SORG</t>
  </si>
  <si>
    <t>Ministry of Culture of Slovakia</t>
  </si>
  <si>
    <t>Somalian Copyright Office</t>
  </si>
  <si>
    <t>The Copyright Bureau of South Korea</t>
  </si>
  <si>
    <t>MCST</t>
  </si>
  <si>
    <t>Spanish Deputy Directorate General for Intellectual Property</t>
  </si>
  <si>
    <t>DPI</t>
  </si>
  <si>
    <t>Ministry of Culture and Information of Sudan</t>
  </si>
  <si>
    <t>SMOC</t>
  </si>
  <si>
    <t>Division of Intellectual Property and Transport Law of Sweden</t>
  </si>
  <si>
    <t>Syrian Copyright Office</t>
  </si>
  <si>
    <t>Agency of Copyright and Related Rights of Tajikistan</t>
  </si>
  <si>
    <t>Tajik NCPI</t>
  </si>
  <si>
    <t>The Copyright Society of Tanzania</t>
  </si>
  <si>
    <t>COSOTA</t>
  </si>
  <si>
    <t>Copyright Society of Zanzibar</t>
  </si>
  <si>
    <t>COSOZA</t>
  </si>
  <si>
    <t>Department of the Legal and Treaties Affairs of Timor-Leste</t>
  </si>
  <si>
    <t>Togolese Copyright Office</t>
  </si>
  <si>
    <t>BUTODRA</t>
  </si>
  <si>
    <t>Tunisian Organism for the Protection of Authors' Rights</t>
  </si>
  <si>
    <t>TOPAR</t>
  </si>
  <si>
    <t>Turkish Directorate General for Copyright</t>
  </si>
  <si>
    <t>TCO</t>
  </si>
  <si>
    <t>Ukrainian Department for Intellectual Property</t>
  </si>
  <si>
    <t>United States Copyright Office</t>
  </si>
  <si>
    <t>Copyright Council of Uruguay</t>
  </si>
  <si>
    <t>MEC</t>
  </si>
  <si>
    <t>Copyright Office of Vietnam</t>
  </si>
  <si>
    <t>COV</t>
  </si>
  <si>
    <t>Ministry of Culture of Yemen</t>
  </si>
  <si>
    <t>YMOC</t>
  </si>
  <si>
    <t>Copyright Administration of Zambia</t>
  </si>
  <si>
    <t>MIBS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</si>
</sst>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m&quot;/&quot;d&quot;/&quot;yyyy"/>
  </numFmts>
  <fonts count="36">
    <font>
      <sz val="10"/>
      <color rgb="FF000000"/>
      <name val="Calibri"/>
      <scheme val="minor"/>
    </font>
    <font>
      <b/>
      <sz val="12"/>
      <color rgb="FFFFFFFF"/>
      <name val="Calibri"/>
    </font>
    <font>
      <b/>
      <sz val="14"/>
      <color rgb="FFFFFFFF"/>
      <name val="Calibri"/>
    </font>
    <font>
      <sz val="12"/>
      <color theme="1"/>
      <name val="Calibri"/>
    </font>
    <font>
      <b/>
      <sz val="12"/>
      <color theme="1"/>
      <name val="Calibri"/>
    </font>
    <font>
      <sz val="12"/>
      <color rgb="FFFFFFFF"/>
      <name val="Calibri"/>
    </font>
    <font>
      <b/>
      <sz val="10"/>
      <color rgb="FF000000"/>
      <name val="Lato"/>
    </font>
    <font>
      <sz val="10"/>
      <color theme="1"/>
      <name val="Lato"/>
    </font>
    <font>
      <sz val="10"/>
      <color theme="1"/>
      <name val="Calibri"/>
    </font>
    <font>
      <u/>
      <sz val="10"/>
      <color rgb="FF23527C"/>
      <name val="Arial"/>
    </font>
    <font>
      <sz val="10"/>
      <color rgb="FF222222"/>
      <name val="&quot;Segoe UI&quot;"/>
    </font>
    <font>
      <u/>
      <sz val="10"/>
      <color rgb="FF0076A3"/>
      <name val="&quot;Segoe UI&quot;"/>
    </font>
    <font>
      <u/>
      <sz val="10"/>
      <color rgb="FF0076A3"/>
      <name val="Arial"/>
    </font>
    <font>
      <sz val="10"/>
      <color rgb="FF333333"/>
      <name val="Arial"/>
    </font>
    <font>
      <b/>
      <sz val="10"/>
      <color theme="1"/>
      <name val="Lato"/>
    </font>
    <font>
      <sz val="10"/>
      <color theme="1"/>
      <name val="Lato"/>
    </font>
    <font>
      <sz val="10"/>
      <color rgb="FFB7E1CD"/>
      <name val="Lato"/>
    </font>
    <font>
      <sz val="10"/>
      <color rgb="FF000000"/>
      <name val="Lato"/>
    </font>
    <font>
      <sz val="10"/>
      <color rgb="FF333333"/>
      <name val="Lato"/>
    </font>
    <font>
      <b/>
      <sz val="10"/>
      <color theme="1"/>
      <name val="Lato"/>
    </font>
    <font>
      <b/>
      <sz val="11"/>
      <color rgb="FF000000"/>
      <name val="Calibri"/>
    </font>
    <font>
      <b/>
      <sz val="10"/>
      <color rgb="FF000000"/>
      <name val="Lato"/>
    </font>
    <font>
      <b/>
      <sz val="10"/>
      <color rgb="FF000000"/>
      <name val="Calibri"/>
    </font>
    <font>
      <sz val="10"/>
      <color theme="1"/>
      <name val="Arial"/>
    </font>
    <font>
      <b/>
      <sz val="10"/>
      <color theme="1"/>
      <name val="Calibri"/>
      <scheme val="minor"/>
    </font>
    <font>
      <b/>
      <sz val="10"/>
      <color theme="1"/>
      <name val="Arial"/>
    </font>
    <font>
      <b/>
      <sz val="10"/>
      <color rgb="FF000000"/>
      <name val="Arial"/>
    </font>
    <font>
      <b/>
      <sz val="10"/>
      <color rgb="FF000000"/>
      <name val="Arial"/>
    </font>
    <font>
      <sz val="10"/>
      <color theme="1"/>
      <name val="Calibri"/>
      <scheme val="minor"/>
    </font>
    <font>
      <sz val="10"/>
      <color rgb="FF000000"/>
      <name val="Arial"/>
    </font>
    <font>
      <sz val="11"/>
      <color rgb="FF000000"/>
      <name val="Calibri"/>
    </font>
    <font>
      <sz val="10"/>
      <color rgb="FFFFFFFF"/>
      <name val="Lato"/>
    </font>
    <font>
      <b/>
      <sz val="10"/>
      <color rgb="FFFFFFFF"/>
      <name val="Lato"/>
    </font>
    <font>
      <sz val="10"/>
      <color rgb="FFB7E1CD"/>
      <name val="Calibri"/>
      <scheme val="minor"/>
    </font>
    <font>
      <sz val="10"/>
      <color theme="1"/>
      <name val="Arial"/>
    </font>
    <font>
      <sz val="11"/>
      <color rgb="FF1D1C1D"/>
      <name val="Slack-Lato"/>
    </font>
  </fonts>
  <fills count="10">
    <fill>
      <patternFill patternType="none"/>
    </fill>
    <fill>
      <patternFill patternType="gray125"/>
    </fill>
    <fill>
      <patternFill patternType="solid">
        <fgColor rgb="FF108E79"/>
        <bgColor rgb="FF108E79"/>
      </patternFill>
    </fill>
    <fill>
      <patternFill patternType="solid">
        <fgColor rgb="FFFFFFFF"/>
        <bgColor rgb="FFFFFFFF"/>
      </patternFill>
    </fill>
    <fill>
      <patternFill patternType="solid">
        <fgColor rgb="FF000000"/>
        <bgColor rgb="FF000000"/>
      </patternFill>
    </fill>
    <fill>
      <patternFill patternType="solid">
        <fgColor rgb="FFB7E1CD"/>
        <bgColor rgb="FFB7E1CD"/>
      </patternFill>
    </fill>
    <fill>
      <patternFill patternType="solid">
        <fgColor rgb="FFD0E0E3"/>
        <bgColor rgb="FFD0E0E3"/>
      </patternFill>
    </fill>
    <fill>
      <patternFill patternType="solid">
        <fgColor rgb="FFD5A6BD"/>
        <bgColor rgb="FFD5A6BD"/>
      </patternFill>
    </fill>
    <fill>
      <patternFill patternType="solid">
        <fgColor rgb="FF78909C"/>
        <bgColor rgb="FF78909C"/>
      </patternFill>
    </fill>
    <fill>
      <patternFill patternType="solid">
        <fgColor rgb="FFEBEFF1"/>
        <bgColor rgb="FFEBEFF1"/>
      </patternFill>
    </fill>
  </fills>
  <borders count="2">
    <border>
      <left/>
      <right/>
      <top/>
      <bottom/>
      <diagonal/>
    </border>
    <border>
      <left style="thin">
        <color rgb="FFD9D9D9"/>
      </left>
      <right style="thin">
        <color rgb="FFD9D9D9"/>
      </right>
      <top style="thin">
        <color rgb="FFD9D9D9"/>
      </top>
      <bottom style="thin">
        <color rgb="FFD9D9D9"/>
      </bottom>
      <diagonal/>
    </border>
  </borders>
  <cellStyleXfs count="1">
    <xf numFmtId="0" fontId="0" fillId="0" borderId="0"/>
  </cellStyleXfs>
  <cellXfs count="146">
    <xf numFmtId="0" fontId="0" fillId="0" borderId="0" xfId="0"/>
    <xf numFmtId="0" fontId="1" fillId="2" borderId="0" xfId="0" applyFont="1" applyFill="1" applyAlignment="1">
      <alignment wrapText="1"/>
    </xf>
    <xf numFmtId="0" fontId="2" fillId="2" borderId="0" xfId="0" applyFont="1" applyFill="1" applyAlignment="1">
      <alignment wrapText="1"/>
    </xf>
    <xf numFmtId="0" fontId="3" fillId="2" borderId="0" xfId="0" applyFont="1" applyFill="1" applyAlignment="1">
      <alignment wrapText="1"/>
    </xf>
    <xf numFmtId="0" fontId="3" fillId="0" borderId="0" xfId="0" applyFont="1" applyAlignment="1">
      <alignment wrapText="1"/>
    </xf>
    <xf numFmtId="0" fontId="4" fillId="0" borderId="0" xfId="0" applyFont="1" applyAlignment="1">
      <alignment wrapText="1"/>
    </xf>
    <xf numFmtId="0" fontId="3" fillId="2" borderId="0" xfId="0" applyFont="1" applyFill="1"/>
    <xf numFmtId="0" fontId="3" fillId="0" borderId="0" xfId="0" applyFont="1"/>
    <xf numFmtId="0" fontId="5" fillId="0" borderId="0" xfId="0" applyFont="1"/>
    <xf numFmtId="49" fontId="6" fillId="0" borderId="0" xfId="0" applyNumberFormat="1" applyFont="1" applyAlignment="1">
      <alignment horizontal="center" vertical="center" wrapText="1"/>
    </xf>
    <xf numFmtId="49" fontId="7" fillId="0" borderId="0" xfId="0" applyNumberFormat="1" applyFont="1"/>
    <xf numFmtId="49" fontId="7" fillId="0" borderId="0" xfId="0" applyNumberFormat="1" applyFont="1" applyAlignment="1">
      <alignment horizontal="left"/>
    </xf>
    <xf numFmtId="49" fontId="8" fillId="0" borderId="0" xfId="0" applyNumberFormat="1" applyFont="1" applyAlignment="1">
      <alignment horizontal="left"/>
    </xf>
    <xf numFmtId="49" fontId="9" fillId="0" borderId="0" xfId="0" applyNumberFormat="1" applyFont="1" applyAlignment="1">
      <alignment horizontal="left" vertical="top"/>
    </xf>
    <xf numFmtId="49" fontId="10" fillId="3" borderId="0" xfId="0" applyNumberFormat="1" applyFont="1" applyFill="1" applyAlignment="1">
      <alignment horizontal="left" vertical="top"/>
    </xf>
    <xf numFmtId="14" fontId="7" fillId="0" borderId="0" xfId="0" applyNumberFormat="1" applyFont="1" applyAlignment="1">
      <alignment horizontal="left"/>
    </xf>
    <xf numFmtId="49" fontId="11" fillId="0" borderId="0" xfId="0" applyNumberFormat="1" applyFont="1" applyAlignment="1">
      <alignment horizontal="left" vertical="top"/>
    </xf>
    <xf numFmtId="49" fontId="12" fillId="0" borderId="0" xfId="0" applyNumberFormat="1" applyFont="1" applyAlignment="1">
      <alignment horizontal="left" vertical="top"/>
    </xf>
    <xf numFmtId="49" fontId="13" fillId="3" borderId="0" xfId="0" applyNumberFormat="1" applyFont="1" applyFill="1" applyAlignment="1">
      <alignment horizontal="left"/>
    </xf>
    <xf numFmtId="49" fontId="14" fillId="0" borderId="0" xfId="0" applyNumberFormat="1" applyFont="1" applyAlignment="1">
      <alignment horizontal="center" vertical="center" wrapText="1"/>
    </xf>
    <xf numFmtId="0" fontId="15" fillId="4" borderId="0" xfId="0" applyFont="1" applyFill="1"/>
    <xf numFmtId="0" fontId="16" fillId="4" borderId="0" xfId="0" applyFont="1" applyFill="1"/>
    <xf numFmtId="49" fontId="7" fillId="0" borderId="0" xfId="0" applyNumberFormat="1" applyFont="1" applyAlignment="1">
      <alignment horizontal="center" vertical="center" wrapText="1"/>
    </xf>
    <xf numFmtId="49" fontId="14" fillId="5" borderId="0" xfId="0" applyNumberFormat="1" applyFont="1" applyFill="1" applyAlignment="1">
      <alignment horizontal="center" vertical="center" wrapText="1"/>
    </xf>
    <xf numFmtId="49" fontId="14" fillId="6" borderId="0" xfId="0" applyNumberFormat="1" applyFont="1" applyFill="1" applyAlignment="1">
      <alignment horizontal="center" vertical="center" wrapText="1"/>
    </xf>
    <xf numFmtId="49" fontId="14" fillId="7" borderId="0" xfId="0" applyNumberFormat="1" applyFont="1" applyFill="1" applyAlignment="1">
      <alignment horizontal="center" vertical="center" wrapText="1"/>
    </xf>
    <xf numFmtId="49" fontId="17" fillId="0" borderId="0" xfId="0" applyNumberFormat="1" applyFont="1" applyAlignment="1">
      <alignment horizontal="left"/>
    </xf>
    <xf numFmtId="49" fontId="7" fillId="5" borderId="0" xfId="0" applyNumberFormat="1" applyFont="1" applyFill="1" applyAlignment="1">
      <alignment horizontal="center"/>
    </xf>
    <xf numFmtId="49" fontId="7" fillId="6" borderId="0" xfId="0" applyNumberFormat="1" applyFont="1" applyFill="1" applyAlignment="1">
      <alignment horizontal="center"/>
    </xf>
    <xf numFmtId="49" fontId="7" fillId="6" borderId="0" xfId="0" applyNumberFormat="1" applyFont="1" applyFill="1" applyAlignment="1">
      <alignment horizontal="left"/>
    </xf>
    <xf numFmtId="49" fontId="7" fillId="7" borderId="0" xfId="0" applyNumberFormat="1" applyFont="1" applyFill="1" applyAlignment="1">
      <alignment horizontal="left"/>
    </xf>
    <xf numFmtId="49" fontId="17" fillId="3" borderId="0" xfId="0" applyNumberFormat="1" applyFont="1" applyFill="1" applyAlignment="1">
      <alignment horizontal="left"/>
    </xf>
    <xf numFmtId="49" fontId="18" fillId="3" borderId="0" xfId="0" applyNumberFormat="1" applyFont="1" applyFill="1" applyAlignment="1">
      <alignment horizontal="left"/>
    </xf>
    <xf numFmtId="49" fontId="19" fillId="0" borderId="0" xfId="0" applyNumberFormat="1" applyFont="1" applyAlignment="1">
      <alignment horizontal="center" vertical="center" wrapText="1"/>
    </xf>
    <xf numFmtId="49" fontId="15" fillId="0" borderId="0" xfId="0" applyNumberFormat="1" applyFont="1" applyAlignment="1">
      <alignment horizontal="center" vertical="center" wrapText="1"/>
    </xf>
    <xf numFmtId="49" fontId="19" fillId="5" borderId="0" xfId="0" applyNumberFormat="1" applyFont="1" applyFill="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9" fillId="6" borderId="0" xfId="0" applyNumberFormat="1" applyFont="1" applyFill="1" applyAlignment="1">
      <alignment horizontal="center" vertical="center" wrapText="1"/>
    </xf>
    <xf numFmtId="49" fontId="19" fillId="7" borderId="0" xfId="0" applyNumberFormat="1" applyFont="1" applyFill="1" applyAlignment="1">
      <alignment horizontal="center" vertical="center" wrapText="1"/>
    </xf>
    <xf numFmtId="49" fontId="15" fillId="0" borderId="0" xfId="0" applyNumberFormat="1" applyFont="1" applyAlignment="1">
      <alignment horizontal="left"/>
    </xf>
    <xf numFmtId="49" fontId="15" fillId="5" borderId="0" xfId="0" applyNumberFormat="1" applyFont="1" applyFill="1" applyAlignment="1">
      <alignment horizontal="center"/>
    </xf>
    <xf numFmtId="14" fontId="15" fillId="0" borderId="0" xfId="0" applyNumberFormat="1" applyFont="1" applyAlignment="1">
      <alignment horizontal="left"/>
    </xf>
    <xf numFmtId="49" fontId="15" fillId="6" borderId="0" xfId="0" applyNumberFormat="1" applyFont="1" applyFill="1" applyAlignment="1">
      <alignment horizontal="center"/>
    </xf>
    <xf numFmtId="49" fontId="15" fillId="6" borderId="0" xfId="0" applyNumberFormat="1" applyFont="1" applyFill="1" applyAlignment="1">
      <alignment horizontal="left"/>
    </xf>
    <xf numFmtId="49" fontId="15" fillId="7" borderId="0" xfId="0" applyNumberFormat="1" applyFont="1" applyFill="1" applyAlignment="1">
      <alignment horizontal="left"/>
    </xf>
    <xf numFmtId="49" fontId="22" fillId="0" borderId="0" xfId="0" applyNumberFormat="1" applyFont="1" applyAlignment="1">
      <alignment horizontal="center" vertical="center" wrapText="1"/>
    </xf>
    <xf numFmtId="164" fontId="23" fillId="0" borderId="0" xfId="0" applyNumberFormat="1" applyFont="1" applyAlignment="1">
      <alignment horizontal="left"/>
    </xf>
    <xf numFmtId="164" fontId="7" fillId="0" borderId="0" xfId="0" applyNumberFormat="1" applyFont="1" applyAlignment="1">
      <alignment horizontal="left"/>
    </xf>
    <xf numFmtId="49" fontId="23" fillId="0" borderId="0" xfId="0" applyNumberFormat="1" applyFont="1" applyAlignment="1">
      <alignment horizontal="left"/>
    </xf>
    <xf numFmtId="49" fontId="17" fillId="7" borderId="0" xfId="0" applyNumberFormat="1" applyFont="1" applyFill="1" applyAlignment="1">
      <alignment horizontal="left"/>
    </xf>
    <xf numFmtId="0" fontId="24" fillId="0" borderId="0" xfId="0" applyFont="1" applyAlignment="1">
      <alignment horizontal="center" vertical="center" wrapText="1"/>
    </xf>
    <xf numFmtId="0" fontId="25"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5" borderId="0" xfId="0" applyFont="1" applyFill="1" applyAlignment="1">
      <alignment horizontal="center" vertical="center" wrapText="1"/>
    </xf>
    <xf numFmtId="49" fontId="24" fillId="6" borderId="0" xfId="0" applyNumberFormat="1" applyFont="1" applyFill="1" applyAlignment="1">
      <alignment horizontal="center" vertical="center" wrapText="1"/>
    </xf>
    <xf numFmtId="14" fontId="20" fillId="0" borderId="0" xfId="0" applyNumberFormat="1" applyFont="1" applyAlignment="1">
      <alignment vertical="center" wrapText="1"/>
    </xf>
    <xf numFmtId="0" fontId="20" fillId="0" borderId="0" xfId="0" applyFont="1" applyAlignment="1">
      <alignment vertical="center" wrapText="1"/>
    </xf>
    <xf numFmtId="0" fontId="24" fillId="0" borderId="0" xfId="0" applyFont="1" applyAlignment="1">
      <alignment horizontal="center" vertical="center"/>
    </xf>
    <xf numFmtId="0" fontId="26" fillId="0" borderId="0" xfId="0" applyFont="1" applyAlignment="1">
      <alignment vertical="center" wrapText="1"/>
    </xf>
    <xf numFmtId="0" fontId="27" fillId="0" borderId="0" xfId="0" applyFont="1" applyAlignment="1">
      <alignment vertical="center" wrapText="1"/>
    </xf>
    <xf numFmtId="0" fontId="25" fillId="6" borderId="0" xfId="0" applyFont="1" applyFill="1" applyAlignment="1">
      <alignment horizontal="center" vertical="center" wrapText="1"/>
    </xf>
    <xf numFmtId="0" fontId="25" fillId="7" borderId="0" xfId="0" applyFont="1" applyFill="1" applyAlignment="1">
      <alignment horizontal="center" vertical="center" wrapText="1"/>
    </xf>
    <xf numFmtId="49" fontId="24" fillId="7" borderId="0" xfId="0" applyNumberFormat="1" applyFont="1" applyFill="1" applyAlignment="1">
      <alignment horizontal="center" vertical="center" wrapText="1"/>
    </xf>
    <xf numFmtId="0" fontId="24" fillId="7" borderId="0" xfId="0" applyFont="1" applyFill="1" applyAlignment="1">
      <alignment horizontal="center" vertical="center" wrapText="1"/>
    </xf>
    <xf numFmtId="49" fontId="28" fillId="0" borderId="0" xfId="0" applyNumberFormat="1" applyFont="1"/>
    <xf numFmtId="0" fontId="28" fillId="5" borderId="0" xfId="0" applyFont="1" applyFill="1"/>
    <xf numFmtId="49" fontId="28" fillId="6" borderId="0" xfId="0" applyNumberFormat="1" applyFont="1" applyFill="1"/>
    <xf numFmtId="14" fontId="28" fillId="0" borderId="0" xfId="0" applyNumberFormat="1" applyFont="1"/>
    <xf numFmtId="165" fontId="28" fillId="0" borderId="0" xfId="0" applyNumberFormat="1" applyFont="1"/>
    <xf numFmtId="0" fontId="28" fillId="0" borderId="0" xfId="0" applyFont="1"/>
    <xf numFmtId="165" fontId="29" fillId="3" borderId="0" xfId="0" applyNumberFormat="1" applyFont="1" applyFill="1"/>
    <xf numFmtId="0" fontId="28" fillId="6" borderId="0" xfId="0" applyFont="1" applyFill="1"/>
    <xf numFmtId="0" fontId="28" fillId="7" borderId="0" xfId="0" applyFont="1" applyFill="1"/>
    <xf numFmtId="49" fontId="28" fillId="7" borderId="0" xfId="0" applyNumberFormat="1" applyFont="1" applyFill="1"/>
    <xf numFmtId="0" fontId="24" fillId="0" borderId="0" xfId="0" applyFont="1" applyAlignment="1">
      <alignment horizontal="center" wrapText="1"/>
    </xf>
    <xf numFmtId="0" fontId="25" fillId="0" borderId="0" xfId="0" applyFont="1" applyAlignment="1">
      <alignment horizontal="center" wrapText="1"/>
    </xf>
    <xf numFmtId="0" fontId="24" fillId="5" borderId="0" xfId="0" applyFont="1" applyFill="1" applyAlignment="1">
      <alignment horizontal="center" wrapText="1"/>
    </xf>
    <xf numFmtId="0" fontId="24" fillId="6" borderId="0" xfId="0" applyFont="1" applyFill="1" applyAlignment="1">
      <alignment horizontal="center" wrapText="1"/>
    </xf>
    <xf numFmtId="0" fontId="27" fillId="0" borderId="0" xfId="0" applyFont="1" applyAlignment="1">
      <alignment wrapText="1"/>
    </xf>
    <xf numFmtId="14" fontId="20" fillId="0" borderId="0" xfId="0" applyNumberFormat="1" applyFont="1" applyAlignment="1">
      <alignment wrapText="1"/>
    </xf>
    <xf numFmtId="0" fontId="20" fillId="0" borderId="0" xfId="0" applyFont="1" applyAlignment="1">
      <alignment wrapText="1"/>
    </xf>
    <xf numFmtId="0" fontId="19" fillId="0" borderId="0" xfId="0" applyFont="1" applyAlignment="1">
      <alignment horizontal="center" wrapText="1"/>
    </xf>
    <xf numFmtId="0" fontId="19" fillId="6" borderId="0" xfId="0" applyFont="1" applyFill="1" applyAlignment="1">
      <alignment horizontal="center" wrapText="1"/>
    </xf>
    <xf numFmtId="0" fontId="27" fillId="6" borderId="0" xfId="0" applyFont="1" applyFill="1" applyAlignment="1">
      <alignment wrapText="1"/>
    </xf>
    <xf numFmtId="0" fontId="25" fillId="6" borderId="0" xfId="0" applyFont="1" applyFill="1" applyAlignment="1">
      <alignment horizontal="center" wrapText="1"/>
    </xf>
    <xf numFmtId="0" fontId="24" fillId="7" borderId="0" xfId="0" applyFont="1" applyFill="1" applyAlignment="1">
      <alignment horizontal="center" wrapText="1"/>
    </xf>
    <xf numFmtId="0" fontId="25" fillId="7" borderId="0" xfId="0" applyFont="1" applyFill="1" applyAlignment="1">
      <alignment horizontal="center" wrapText="1"/>
    </xf>
    <xf numFmtId="49" fontId="24" fillId="7" borderId="0" xfId="0" applyNumberFormat="1" applyFont="1" applyFill="1" applyAlignment="1">
      <alignment horizontal="center" wrapText="1"/>
    </xf>
    <xf numFmtId="14" fontId="28" fillId="5" borderId="0" xfId="0" applyNumberFormat="1" applyFont="1" applyFill="1"/>
    <xf numFmtId="165" fontId="25" fillId="0" borderId="0" xfId="0" applyNumberFormat="1" applyFont="1"/>
    <xf numFmtId="0" fontId="25" fillId="0" borderId="0" xfId="0" applyFont="1"/>
    <xf numFmtId="0" fontId="15" fillId="0" borderId="0" xfId="0" applyFont="1"/>
    <xf numFmtId="0" fontId="15" fillId="6" borderId="0" xfId="0" applyFont="1" applyFill="1"/>
    <xf numFmtId="0" fontId="25" fillId="6" borderId="0" xfId="0" applyFont="1" applyFill="1"/>
    <xf numFmtId="165" fontId="28" fillId="7" borderId="0" xfId="0" applyNumberFormat="1" applyFont="1" applyFill="1"/>
    <xf numFmtId="165" fontId="28" fillId="6" borderId="0" xfId="0" applyNumberFormat="1" applyFont="1" applyFill="1"/>
    <xf numFmtId="49" fontId="30" fillId="6" borderId="0" xfId="0" applyNumberFormat="1" applyFont="1" applyFill="1" applyAlignment="1">
      <alignment horizontal="center" vertical="center" wrapText="1"/>
    </xf>
    <xf numFmtId="49" fontId="30" fillId="0" borderId="0" xfId="0" applyNumberFormat="1" applyFont="1" applyAlignment="1">
      <alignment horizontal="center" vertical="center" wrapText="1"/>
    </xf>
    <xf numFmtId="0" fontId="30" fillId="0" borderId="0" xfId="0" applyFont="1" applyAlignment="1">
      <alignment horizontal="center" vertical="center" wrapText="1"/>
    </xf>
    <xf numFmtId="0" fontId="19" fillId="5" borderId="0" xfId="0" applyFont="1" applyFill="1" applyAlignment="1">
      <alignment horizontal="center" vertical="center" wrapText="1"/>
    </xf>
    <xf numFmtId="0" fontId="30" fillId="6" borderId="0" xfId="0" applyFont="1" applyFill="1" applyAlignment="1">
      <alignment horizontal="center"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19" fillId="0" borderId="0" xfId="0" applyFont="1" applyAlignment="1">
      <alignment horizontal="center" vertical="center" wrapText="1"/>
    </xf>
    <xf numFmtId="0" fontId="21" fillId="0" borderId="0" xfId="0" applyFont="1" applyAlignment="1">
      <alignment horizontal="center" vertical="center" wrapText="1"/>
    </xf>
    <xf numFmtId="14" fontId="21" fillId="0" borderId="0" xfId="0" applyNumberFormat="1" applyFont="1" applyAlignment="1">
      <alignment horizontal="center" vertical="center" wrapText="1"/>
    </xf>
    <xf numFmtId="0" fontId="19" fillId="6" borderId="0" xfId="0" applyFont="1" applyFill="1" applyAlignment="1">
      <alignment horizontal="center" vertical="center" wrapText="1"/>
    </xf>
    <xf numFmtId="0" fontId="19" fillId="7" borderId="0" xfId="0" applyFont="1" applyFill="1" applyAlignment="1">
      <alignment horizontal="center" vertical="center" wrapText="1"/>
    </xf>
    <xf numFmtId="49" fontId="15" fillId="6" borderId="0" xfId="0" applyNumberFormat="1" applyFont="1" applyFill="1" applyAlignment="1">
      <alignment horizontal="right"/>
    </xf>
    <xf numFmtId="0" fontId="15" fillId="5" borderId="0" xfId="0" applyFont="1" applyFill="1"/>
    <xf numFmtId="0" fontId="15" fillId="6" borderId="0" xfId="0" applyFont="1" applyFill="1" applyAlignment="1">
      <alignment wrapText="1"/>
    </xf>
    <xf numFmtId="14" fontId="15" fillId="0" borderId="0" xfId="0" applyNumberFormat="1" applyFont="1"/>
    <xf numFmtId="165" fontId="15" fillId="0" borderId="0" xfId="0" applyNumberFormat="1" applyFont="1"/>
    <xf numFmtId="49" fontId="15" fillId="7" borderId="0" xfId="0" applyNumberFormat="1" applyFont="1" applyFill="1"/>
    <xf numFmtId="0" fontId="15" fillId="7" borderId="0" xfId="0" applyFont="1" applyFill="1"/>
    <xf numFmtId="49" fontId="15" fillId="6" borderId="0" xfId="0" applyNumberFormat="1" applyFont="1" applyFill="1"/>
    <xf numFmtId="49" fontId="7" fillId="6" borderId="0" xfId="0" applyNumberFormat="1" applyFont="1" applyFill="1"/>
    <xf numFmtId="14" fontId="7" fillId="0" borderId="0" xfId="0" applyNumberFormat="1" applyFont="1"/>
    <xf numFmtId="2" fontId="7" fillId="0" borderId="0" xfId="0" applyNumberFormat="1" applyFont="1"/>
    <xf numFmtId="49" fontId="7" fillId="7" borderId="0" xfId="0" applyNumberFormat="1" applyFont="1" applyFill="1"/>
    <xf numFmtId="0" fontId="31" fillId="8" borderId="1" xfId="0" applyFont="1" applyFill="1" applyBorder="1" applyAlignment="1">
      <alignment horizontal="center" vertical="center"/>
    </xf>
    <xf numFmtId="49" fontId="7" fillId="3" borderId="1" xfId="0" applyNumberFormat="1" applyFont="1" applyFill="1" applyBorder="1" applyAlignment="1">
      <alignment horizontal="left"/>
    </xf>
    <xf numFmtId="49" fontId="7" fillId="9" borderId="1" xfId="0" applyNumberFormat="1" applyFont="1" applyFill="1" applyBorder="1" applyAlignment="1">
      <alignment horizontal="left"/>
    </xf>
    <xf numFmtId="49" fontId="17" fillId="3" borderId="1" xfId="0" applyNumberFormat="1" applyFont="1" applyFill="1" applyBorder="1" applyAlignment="1">
      <alignment horizontal="left"/>
    </xf>
    <xf numFmtId="49" fontId="17" fillId="9" borderId="1" xfId="0" applyNumberFormat="1" applyFont="1" applyFill="1" applyBorder="1" applyAlignment="1">
      <alignment horizontal="left"/>
    </xf>
    <xf numFmtId="0" fontId="32" fillId="8" borderId="1" xfId="0" applyFont="1" applyFill="1" applyBorder="1" applyAlignment="1">
      <alignment horizontal="center" vertical="center"/>
    </xf>
    <xf numFmtId="49" fontId="17" fillId="3" borderId="1" xfId="0" applyNumberFormat="1" applyFont="1" applyFill="1" applyBorder="1" applyAlignment="1">
      <alignment horizontal="center"/>
    </xf>
    <xf numFmtId="14" fontId="17" fillId="3" borderId="1" xfId="0" applyNumberFormat="1" applyFont="1" applyFill="1" applyBorder="1" applyAlignment="1">
      <alignment horizontal="center"/>
    </xf>
    <xf numFmtId="49" fontId="17" fillId="9" borderId="0" xfId="0" applyNumberFormat="1" applyFont="1" applyFill="1" applyAlignment="1">
      <alignment horizontal="left"/>
    </xf>
    <xf numFmtId="49" fontId="17" fillId="9" borderId="0" xfId="0" applyNumberFormat="1" applyFont="1" applyFill="1" applyAlignment="1">
      <alignment horizontal="center"/>
    </xf>
    <xf numFmtId="14" fontId="17" fillId="9" borderId="0" xfId="0" applyNumberFormat="1" applyFont="1" applyFill="1" applyAlignment="1">
      <alignment horizontal="center"/>
    </xf>
    <xf numFmtId="49" fontId="17" fillId="9" borderId="1" xfId="0" applyNumberFormat="1" applyFont="1" applyFill="1" applyBorder="1" applyAlignment="1">
      <alignment horizontal="center"/>
    </xf>
    <xf numFmtId="14" fontId="17" fillId="9" borderId="1" xfId="0" applyNumberFormat="1" applyFont="1" applyFill="1" applyBorder="1" applyAlignment="1">
      <alignment horizontal="center"/>
    </xf>
    <xf numFmtId="49" fontId="17" fillId="3" borderId="0" xfId="0" applyNumberFormat="1" applyFont="1" applyFill="1" applyAlignment="1">
      <alignment horizontal="center"/>
    </xf>
    <xf numFmtId="14" fontId="17" fillId="3" borderId="0" xfId="0" applyNumberFormat="1" applyFont="1" applyFill="1" applyAlignment="1">
      <alignment horizontal="center"/>
    </xf>
    <xf numFmtId="0" fontId="17" fillId="9" borderId="0" xfId="0" applyFont="1" applyFill="1" applyAlignment="1">
      <alignment horizontal="center"/>
    </xf>
    <xf numFmtId="0" fontId="17" fillId="3" borderId="0" xfId="0" applyFont="1" applyFill="1" applyAlignment="1">
      <alignment horizontal="center"/>
    </xf>
    <xf numFmtId="0" fontId="28" fillId="4" borderId="0" xfId="0" applyFont="1" applyFill="1"/>
    <xf numFmtId="0" fontId="33" fillId="4" borderId="0" xfId="0" applyFont="1" applyFill="1"/>
    <xf numFmtId="0" fontId="20" fillId="0" borderId="0" xfId="0" applyFont="1"/>
    <xf numFmtId="0" fontId="30" fillId="0" borderId="0" xfId="0" applyFont="1"/>
    <xf numFmtId="0" fontId="34" fillId="0" borderId="0" xfId="0" applyFont="1"/>
    <xf numFmtId="0" fontId="35" fillId="3" borderId="0" xfId="0" applyFont="1" applyFill="1"/>
    <xf numFmtId="0" fontId="30" fillId="0" borderId="0" xfId="0" applyFont="1"/>
    <xf numFmtId="0" fontId="0" fillId="0" borderId="0" xfId="0"/>
  </cellXfs>
  <cellStyles count="1">
    <cellStyle name="Normal" xfId="0" builtinId="0"/>
  </cellStyles>
  <dxfs count="17">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ont>
        <color theme="1"/>
      </font>
      <fill>
        <patternFill patternType="solid">
          <fgColor rgb="FFEA9999"/>
          <bgColor rgb="FFEA9999"/>
        </patternFill>
      </fill>
    </dxf>
    <dxf>
      <fill>
        <patternFill patternType="solid">
          <fgColor rgb="FFB7E1CD"/>
          <bgColor rgb="FFB7E1CD"/>
        </patternFill>
      </fill>
    </dxf>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998"/>
  <sheetViews>
    <sheetView workbookViewId="0"/>
  </sheetViews>
  <sheetFormatPr defaultColWidth="14.42578125" defaultRowHeight="15.75" customHeight="1"/>
  <cols>
    <col min="1" max="1" width="2.5703125" customWidth="1"/>
    <col min="2" max="2" width="117.7109375" customWidth="1"/>
  </cols>
  <sheetData>
    <row r="1" spans="1:2" ht="15.75" customHeight="1">
      <c r="A1" s="1"/>
      <c r="B1" s="2" t="s">
        <v>0</v>
      </c>
    </row>
    <row r="2" spans="1:2">
      <c r="A2" s="3"/>
    </row>
    <row r="3" spans="1:2">
      <c r="A3" s="3"/>
      <c r="B3" s="4" t="s">
        <v>1</v>
      </c>
    </row>
    <row r="4" spans="1:2">
      <c r="A4" s="3"/>
      <c r="B4" s="4" t="s">
        <v>2</v>
      </c>
    </row>
    <row r="5" spans="1:2">
      <c r="A5" s="3"/>
      <c r="B5" s="4" t="s">
        <v>3</v>
      </c>
    </row>
    <row r="6" spans="1:2">
      <c r="A6" s="3"/>
      <c r="B6" s="4" t="s">
        <v>4</v>
      </c>
    </row>
    <row r="7" spans="1:2">
      <c r="A7" s="3"/>
      <c r="B7" s="4" t="s">
        <v>5</v>
      </c>
    </row>
    <row r="8" spans="1:2">
      <c r="A8" s="3"/>
      <c r="B8" s="4" t="s">
        <v>6</v>
      </c>
    </row>
    <row r="9" spans="1:2">
      <c r="A9" s="3"/>
      <c r="B9" s="4"/>
    </row>
    <row r="10" spans="1:2" ht="15.75" customHeight="1">
      <c r="A10" s="1"/>
      <c r="B10" s="2" t="s">
        <v>7</v>
      </c>
    </row>
    <row r="11" spans="1:2">
      <c r="A11" s="3"/>
      <c r="B11" s="4" t="s">
        <v>8</v>
      </c>
    </row>
    <row r="12" spans="1:2">
      <c r="A12" s="3"/>
    </row>
    <row r="13" spans="1:2">
      <c r="A13" s="3"/>
      <c r="B13" s="4" t="s">
        <v>9</v>
      </c>
    </row>
    <row r="14" spans="1:2">
      <c r="A14" s="3"/>
      <c r="B14" s="5" t="s">
        <v>10</v>
      </c>
    </row>
    <row r="15" spans="1:2">
      <c r="A15" s="3"/>
      <c r="B15" s="4" t="s">
        <v>11</v>
      </c>
    </row>
    <row r="16" spans="1:2">
      <c r="A16" s="3"/>
      <c r="B16" s="4"/>
    </row>
    <row r="17" spans="1:2">
      <c r="A17" s="3"/>
      <c r="B17" s="4"/>
    </row>
    <row r="18" spans="1:2">
      <c r="A18" s="3"/>
      <c r="B18" s="4"/>
    </row>
    <row r="19" spans="1:2">
      <c r="A19" s="3"/>
      <c r="B19" s="4"/>
    </row>
    <row r="20" spans="1:2">
      <c r="A20" s="3"/>
      <c r="B20" s="4"/>
    </row>
    <row r="21" spans="1:2">
      <c r="A21" s="3"/>
      <c r="B21" s="4"/>
    </row>
    <row r="22" spans="1:2">
      <c r="A22" s="3"/>
      <c r="B22" s="4"/>
    </row>
    <row r="23" spans="1:2">
      <c r="A23" s="3"/>
      <c r="B23" s="4"/>
    </row>
    <row r="24" spans="1:2">
      <c r="A24" s="3"/>
      <c r="B24" s="4"/>
    </row>
    <row r="25" spans="1:2">
      <c r="A25" s="3"/>
      <c r="B25" s="4"/>
    </row>
    <row r="26" spans="1:2">
      <c r="A26" s="3"/>
      <c r="B26" s="4"/>
    </row>
    <row r="27" spans="1:2">
      <c r="A27" s="3"/>
      <c r="B27" s="4"/>
    </row>
    <row r="28" spans="1:2">
      <c r="A28" s="3"/>
      <c r="B28" s="4"/>
    </row>
    <row r="29" spans="1:2">
      <c r="A29" s="3"/>
      <c r="B29" s="4"/>
    </row>
    <row r="30" spans="1:2">
      <c r="A30" s="3"/>
      <c r="B30" s="4"/>
    </row>
    <row r="31" spans="1:2">
      <c r="A31" s="3"/>
      <c r="B31" s="4"/>
    </row>
    <row r="32" spans="1:2">
      <c r="A32" s="3"/>
      <c r="B32" s="4"/>
    </row>
    <row r="33" spans="1:2">
      <c r="A33" s="3"/>
      <c r="B33" s="4"/>
    </row>
    <row r="34" spans="1:2">
      <c r="A34" s="3"/>
      <c r="B34" s="4"/>
    </row>
    <row r="35" spans="1:2">
      <c r="A35" s="6"/>
      <c r="B35" s="7"/>
    </row>
    <row r="36" spans="1:2">
      <c r="A36" s="6"/>
      <c r="B36" s="7"/>
    </row>
    <row r="37" spans="1:2">
      <c r="A37" s="6"/>
      <c r="B37" s="8" t="s">
        <v>12</v>
      </c>
    </row>
    <row r="38" spans="1:2">
      <c r="A38" s="6"/>
      <c r="B38" s="8" t="s">
        <v>13</v>
      </c>
    </row>
    <row r="39" spans="1:2">
      <c r="A39" s="6"/>
      <c r="B39" s="8" t="s">
        <v>14</v>
      </c>
    </row>
    <row r="40" spans="1:2">
      <c r="A40" s="6"/>
      <c r="B40" s="8" t="s">
        <v>15</v>
      </c>
    </row>
    <row r="41" spans="1:2">
      <c r="A41" s="6"/>
      <c r="B41" s="7"/>
    </row>
    <row r="42" spans="1:2">
      <c r="A42" s="6"/>
      <c r="B42" s="7"/>
    </row>
    <row r="43" spans="1:2">
      <c r="A43" s="6"/>
      <c r="B43" s="7"/>
    </row>
    <row r="44" spans="1:2">
      <c r="A44" s="6"/>
      <c r="B44" s="7"/>
    </row>
    <row r="45" spans="1:2">
      <c r="A45" s="6"/>
      <c r="B45" s="7"/>
    </row>
    <row r="46" spans="1:2">
      <c r="A46" s="6"/>
      <c r="B46" s="7"/>
    </row>
    <row r="47" spans="1:2">
      <c r="A47" s="6"/>
      <c r="B47" s="7"/>
    </row>
    <row r="48" spans="1:2">
      <c r="A48" s="6"/>
      <c r="B48" s="7"/>
    </row>
    <row r="49" spans="1:2">
      <c r="A49" s="6"/>
      <c r="B49" s="7"/>
    </row>
    <row r="50" spans="1:2">
      <c r="A50" s="6"/>
      <c r="B50" s="7"/>
    </row>
    <row r="51" spans="1:2">
      <c r="A51" s="6"/>
      <c r="B51" s="7"/>
    </row>
    <row r="52" spans="1:2">
      <c r="A52" s="6"/>
      <c r="B52" s="7"/>
    </row>
    <row r="53" spans="1:2">
      <c r="A53" s="6"/>
      <c r="B53" s="7"/>
    </row>
    <row r="54" spans="1:2">
      <c r="A54" s="6"/>
      <c r="B54" s="7"/>
    </row>
    <row r="55" spans="1:2">
      <c r="A55" s="6"/>
      <c r="B55" s="7"/>
    </row>
    <row r="56" spans="1:2">
      <c r="A56" s="6"/>
      <c r="B56" s="7"/>
    </row>
    <row r="57" spans="1:2">
      <c r="A57" s="6"/>
      <c r="B57" s="7"/>
    </row>
    <row r="58" spans="1:2">
      <c r="A58" s="6"/>
      <c r="B58" s="7"/>
    </row>
    <row r="59" spans="1:2">
      <c r="A59" s="6"/>
      <c r="B59" s="7"/>
    </row>
    <row r="60" spans="1:2">
      <c r="A60" s="6"/>
      <c r="B60" s="7"/>
    </row>
    <row r="61" spans="1:2">
      <c r="A61" s="6"/>
      <c r="B61" s="7"/>
    </row>
    <row r="62" spans="1:2">
      <c r="A62" s="6"/>
      <c r="B62" s="7"/>
    </row>
    <row r="63" spans="1:2">
      <c r="A63" s="6"/>
      <c r="B63" s="7"/>
    </row>
    <row r="64" spans="1:2">
      <c r="A64" s="6"/>
      <c r="B64" s="7"/>
    </row>
    <row r="65" spans="1:2">
      <c r="A65" s="6"/>
      <c r="B65" s="7"/>
    </row>
    <row r="66" spans="1:2">
      <c r="A66" s="6"/>
      <c r="B66" s="7"/>
    </row>
    <row r="67" spans="1:2">
      <c r="A67" s="6"/>
      <c r="B67" s="7"/>
    </row>
    <row r="68" spans="1:2">
      <c r="A68" s="6"/>
      <c r="B68" s="7"/>
    </row>
    <row r="69" spans="1:2">
      <c r="A69" s="6"/>
      <c r="B69" s="7"/>
    </row>
    <row r="70" spans="1:2">
      <c r="A70" s="6"/>
      <c r="B70" s="7"/>
    </row>
    <row r="71" spans="1:2">
      <c r="A71" s="6"/>
      <c r="B71" s="7"/>
    </row>
    <row r="72" spans="1:2">
      <c r="A72" s="6"/>
      <c r="B72" s="7"/>
    </row>
    <row r="73" spans="1:2">
      <c r="A73" s="6"/>
      <c r="B73" s="7"/>
    </row>
    <row r="74" spans="1:2">
      <c r="A74" s="6"/>
      <c r="B74" s="7"/>
    </row>
    <row r="75" spans="1:2">
      <c r="A75" s="6"/>
      <c r="B75" s="7"/>
    </row>
    <row r="76" spans="1:2">
      <c r="A76" s="6"/>
      <c r="B76" s="7"/>
    </row>
    <row r="77" spans="1:2">
      <c r="A77" s="6"/>
      <c r="B77" s="7"/>
    </row>
    <row r="78" spans="1:2">
      <c r="A78" s="6"/>
      <c r="B78" s="7"/>
    </row>
    <row r="79" spans="1:2">
      <c r="A79" s="6"/>
      <c r="B79" s="7"/>
    </row>
    <row r="80" spans="1:2">
      <c r="A80" s="6"/>
      <c r="B80" s="7"/>
    </row>
    <row r="81" spans="1:2">
      <c r="A81" s="6"/>
      <c r="B81" s="7"/>
    </row>
    <row r="82" spans="1:2">
      <c r="A82" s="6"/>
      <c r="B82" s="7"/>
    </row>
    <row r="83" spans="1:2">
      <c r="A83" s="6"/>
      <c r="B83" s="7"/>
    </row>
    <row r="84" spans="1:2">
      <c r="A84" s="6"/>
      <c r="B84" s="7"/>
    </row>
    <row r="85" spans="1:2">
      <c r="A85" s="6"/>
      <c r="B85" s="7"/>
    </row>
    <row r="86" spans="1:2">
      <c r="A86" s="6"/>
      <c r="B86" s="7"/>
    </row>
    <row r="87" spans="1:2">
      <c r="A87" s="6"/>
      <c r="B87" s="7"/>
    </row>
    <row r="88" spans="1:2">
      <c r="A88" s="6"/>
      <c r="B88" s="7"/>
    </row>
    <row r="89" spans="1:2">
      <c r="A89" s="6"/>
      <c r="B89" s="7"/>
    </row>
    <row r="90" spans="1:2">
      <c r="A90" s="6"/>
      <c r="B90" s="7"/>
    </row>
    <row r="91" spans="1:2">
      <c r="A91" s="6"/>
      <c r="B91" s="7"/>
    </row>
    <row r="92" spans="1:2">
      <c r="A92" s="6"/>
      <c r="B92" s="7"/>
    </row>
    <row r="93" spans="1:2">
      <c r="A93" s="6"/>
      <c r="B93" s="7"/>
    </row>
    <row r="94" spans="1:2">
      <c r="A94" s="6"/>
      <c r="B94" s="7"/>
    </row>
    <row r="95" spans="1:2">
      <c r="A95" s="6"/>
      <c r="B95" s="7"/>
    </row>
    <row r="96" spans="1:2">
      <c r="A96" s="6"/>
      <c r="B96" s="7"/>
    </row>
    <row r="97" spans="1:2">
      <c r="A97" s="6"/>
      <c r="B97" s="7"/>
    </row>
    <row r="98" spans="1:2">
      <c r="A98" s="6"/>
      <c r="B98" s="7"/>
    </row>
    <row r="99" spans="1:2">
      <c r="A99" s="6"/>
      <c r="B99" s="7"/>
    </row>
    <row r="100" spans="1:2">
      <c r="A100" s="6"/>
      <c r="B100" s="7"/>
    </row>
    <row r="101" spans="1:2">
      <c r="A101" s="6"/>
      <c r="B101" s="7"/>
    </row>
    <row r="102" spans="1:2">
      <c r="A102" s="6"/>
      <c r="B102" s="7"/>
    </row>
    <row r="103" spans="1:2">
      <c r="A103" s="6"/>
      <c r="B103" s="7"/>
    </row>
    <row r="104" spans="1:2">
      <c r="A104" s="6"/>
      <c r="B104" s="7"/>
    </row>
    <row r="105" spans="1:2">
      <c r="A105" s="6"/>
      <c r="B105" s="7"/>
    </row>
    <row r="106" spans="1:2">
      <c r="A106" s="6"/>
      <c r="B106" s="7"/>
    </row>
    <row r="107" spans="1:2">
      <c r="A107" s="6"/>
      <c r="B107" s="7"/>
    </row>
    <row r="108" spans="1:2">
      <c r="A108" s="6"/>
      <c r="B108" s="7"/>
    </row>
    <row r="109" spans="1:2">
      <c r="A109" s="6"/>
      <c r="B109" s="7"/>
    </row>
    <row r="110" spans="1:2">
      <c r="A110" s="6"/>
      <c r="B110" s="7"/>
    </row>
    <row r="111" spans="1:2">
      <c r="A111" s="6"/>
      <c r="B111" s="7"/>
    </row>
    <row r="112" spans="1:2">
      <c r="A112" s="6"/>
      <c r="B112" s="7"/>
    </row>
    <row r="113" spans="1:2">
      <c r="A113" s="6"/>
      <c r="B113" s="7"/>
    </row>
    <row r="114" spans="1:2">
      <c r="A114" s="6"/>
      <c r="B114" s="7"/>
    </row>
    <row r="115" spans="1:2">
      <c r="A115" s="6"/>
      <c r="B115" s="7"/>
    </row>
    <row r="116" spans="1:2">
      <c r="A116" s="6"/>
      <c r="B116" s="7"/>
    </row>
    <row r="117" spans="1:2">
      <c r="A117" s="6"/>
      <c r="B117" s="7"/>
    </row>
    <row r="118" spans="1:2">
      <c r="A118" s="6"/>
      <c r="B118" s="7"/>
    </row>
    <row r="119" spans="1:2">
      <c r="A119" s="6"/>
      <c r="B119" s="7"/>
    </row>
    <row r="120" spans="1:2">
      <c r="A120" s="6"/>
      <c r="B120" s="7"/>
    </row>
    <row r="121" spans="1:2">
      <c r="A121" s="6"/>
      <c r="B121" s="7"/>
    </row>
    <row r="122" spans="1:2">
      <c r="A122" s="6"/>
      <c r="B122" s="7"/>
    </row>
    <row r="123" spans="1:2">
      <c r="A123" s="6"/>
      <c r="B123" s="7"/>
    </row>
    <row r="124" spans="1:2">
      <c r="A124" s="6"/>
      <c r="B124" s="7"/>
    </row>
    <row r="125" spans="1:2">
      <c r="A125" s="6"/>
      <c r="B125" s="7"/>
    </row>
    <row r="126" spans="1:2">
      <c r="A126" s="6"/>
      <c r="B126" s="7"/>
    </row>
    <row r="127" spans="1:2">
      <c r="A127" s="6"/>
      <c r="B127" s="7"/>
    </row>
    <row r="128" spans="1:2">
      <c r="A128" s="6"/>
      <c r="B128" s="7"/>
    </row>
    <row r="129" spans="1:2">
      <c r="A129" s="6"/>
      <c r="B129" s="7"/>
    </row>
    <row r="130" spans="1:2">
      <c r="A130" s="6"/>
      <c r="B130" s="7"/>
    </row>
    <row r="131" spans="1:2">
      <c r="A131" s="6"/>
      <c r="B131" s="7"/>
    </row>
    <row r="132" spans="1:2">
      <c r="A132" s="6"/>
      <c r="B132" s="7"/>
    </row>
    <row r="133" spans="1:2">
      <c r="A133" s="6"/>
      <c r="B133" s="7"/>
    </row>
    <row r="134" spans="1:2">
      <c r="A134" s="6"/>
      <c r="B134" s="7"/>
    </row>
    <row r="135" spans="1:2">
      <c r="A135" s="6"/>
      <c r="B135" s="7"/>
    </row>
    <row r="136" spans="1:2">
      <c r="A136" s="6"/>
      <c r="B136" s="7"/>
    </row>
    <row r="137" spans="1:2">
      <c r="A137" s="6"/>
      <c r="B137" s="7"/>
    </row>
    <row r="138" spans="1:2">
      <c r="A138" s="6"/>
      <c r="B138" s="7"/>
    </row>
    <row r="139" spans="1:2">
      <c r="A139" s="6"/>
      <c r="B139" s="7"/>
    </row>
    <row r="140" spans="1:2">
      <c r="A140" s="6"/>
      <c r="B140" s="7"/>
    </row>
    <row r="141" spans="1:2">
      <c r="A141" s="6"/>
      <c r="B141" s="7"/>
    </row>
    <row r="142" spans="1:2">
      <c r="A142" s="6"/>
      <c r="B142" s="7"/>
    </row>
    <row r="143" spans="1:2">
      <c r="A143" s="6"/>
      <c r="B143" s="7"/>
    </row>
    <row r="144" spans="1:2">
      <c r="A144" s="6"/>
      <c r="B144" s="7"/>
    </row>
    <row r="145" spans="1:2">
      <c r="A145" s="6"/>
      <c r="B145" s="7"/>
    </row>
    <row r="146" spans="1:2">
      <c r="A146" s="6"/>
      <c r="B146" s="7"/>
    </row>
    <row r="147" spans="1:2">
      <c r="A147" s="6"/>
      <c r="B147" s="7"/>
    </row>
    <row r="148" spans="1:2">
      <c r="A148" s="6"/>
      <c r="B148" s="7"/>
    </row>
    <row r="149" spans="1:2">
      <c r="A149" s="6"/>
      <c r="B149" s="7"/>
    </row>
    <row r="150" spans="1:2">
      <c r="A150" s="6"/>
      <c r="B150" s="7"/>
    </row>
    <row r="151" spans="1:2">
      <c r="A151" s="6"/>
      <c r="B151" s="7"/>
    </row>
    <row r="152" spans="1:2">
      <c r="A152" s="6"/>
      <c r="B152" s="7"/>
    </row>
    <row r="153" spans="1:2">
      <c r="A153" s="6"/>
      <c r="B153" s="7"/>
    </row>
    <row r="154" spans="1:2">
      <c r="A154" s="6"/>
      <c r="B154" s="7"/>
    </row>
    <row r="155" spans="1:2">
      <c r="A155" s="6"/>
      <c r="B155" s="7"/>
    </row>
    <row r="156" spans="1:2">
      <c r="A156" s="6"/>
      <c r="B156" s="7"/>
    </row>
    <row r="157" spans="1:2">
      <c r="A157" s="6"/>
      <c r="B157" s="7"/>
    </row>
    <row r="158" spans="1:2">
      <c r="A158" s="6"/>
      <c r="B158" s="7"/>
    </row>
    <row r="159" spans="1:2">
      <c r="A159" s="6"/>
      <c r="B159" s="7"/>
    </row>
    <row r="160" spans="1:2">
      <c r="A160" s="6"/>
      <c r="B160" s="7"/>
    </row>
    <row r="161" spans="1:2">
      <c r="A161" s="6"/>
      <c r="B161" s="7"/>
    </row>
    <row r="162" spans="1:2">
      <c r="A162" s="6"/>
      <c r="B162" s="7"/>
    </row>
    <row r="163" spans="1:2">
      <c r="A163" s="6"/>
      <c r="B163" s="7"/>
    </row>
    <row r="164" spans="1:2">
      <c r="A164" s="6"/>
      <c r="B164" s="7"/>
    </row>
    <row r="165" spans="1:2">
      <c r="A165" s="6"/>
      <c r="B165" s="7"/>
    </row>
    <row r="166" spans="1:2">
      <c r="A166" s="6"/>
      <c r="B166" s="7"/>
    </row>
    <row r="167" spans="1:2">
      <c r="A167" s="6"/>
      <c r="B167" s="7"/>
    </row>
    <row r="168" spans="1:2">
      <c r="A168" s="6"/>
      <c r="B168" s="7"/>
    </row>
    <row r="169" spans="1:2">
      <c r="A169" s="6"/>
      <c r="B169" s="7"/>
    </row>
    <row r="170" spans="1:2">
      <c r="A170" s="6"/>
      <c r="B170" s="7"/>
    </row>
    <row r="171" spans="1:2">
      <c r="A171" s="6"/>
      <c r="B171" s="7"/>
    </row>
    <row r="172" spans="1:2">
      <c r="A172" s="6"/>
      <c r="B172" s="7"/>
    </row>
    <row r="173" spans="1:2">
      <c r="A173" s="6"/>
      <c r="B173" s="7"/>
    </row>
    <row r="174" spans="1:2">
      <c r="A174" s="6"/>
      <c r="B174" s="7"/>
    </row>
    <row r="175" spans="1:2">
      <c r="A175" s="6"/>
      <c r="B175" s="7"/>
    </row>
    <row r="176" spans="1:2">
      <c r="A176" s="6"/>
      <c r="B176" s="7"/>
    </row>
    <row r="177" spans="1:2">
      <c r="A177" s="6"/>
      <c r="B177" s="7"/>
    </row>
    <row r="178" spans="1:2">
      <c r="A178" s="6"/>
      <c r="B178" s="7"/>
    </row>
    <row r="179" spans="1:2">
      <c r="A179" s="6"/>
      <c r="B179" s="7"/>
    </row>
    <row r="180" spans="1:2">
      <c r="A180" s="6"/>
      <c r="B180" s="7"/>
    </row>
    <row r="181" spans="1:2">
      <c r="A181" s="6"/>
      <c r="B181" s="7"/>
    </row>
    <row r="182" spans="1:2">
      <c r="A182" s="6"/>
      <c r="B182" s="7"/>
    </row>
    <row r="183" spans="1:2">
      <c r="A183" s="6"/>
      <c r="B183" s="7"/>
    </row>
    <row r="184" spans="1:2">
      <c r="A184" s="6"/>
      <c r="B184" s="7"/>
    </row>
    <row r="185" spans="1:2">
      <c r="A185" s="6"/>
      <c r="B185" s="7"/>
    </row>
    <row r="186" spans="1:2">
      <c r="A186" s="6"/>
      <c r="B186" s="7"/>
    </row>
    <row r="187" spans="1:2">
      <c r="A187" s="6"/>
      <c r="B187" s="7"/>
    </row>
    <row r="188" spans="1:2">
      <c r="A188" s="6"/>
      <c r="B188" s="7"/>
    </row>
    <row r="189" spans="1:2">
      <c r="A189" s="6"/>
      <c r="B189" s="7"/>
    </row>
    <row r="190" spans="1:2">
      <c r="A190" s="6"/>
      <c r="B190" s="7"/>
    </row>
    <row r="191" spans="1:2">
      <c r="A191" s="6"/>
      <c r="B191" s="7"/>
    </row>
    <row r="192" spans="1:2">
      <c r="A192" s="6"/>
      <c r="B192" s="7"/>
    </row>
    <row r="193" spans="1:2">
      <c r="A193" s="6"/>
      <c r="B193" s="7"/>
    </row>
    <row r="194" spans="1:2">
      <c r="A194" s="6"/>
      <c r="B194" s="7"/>
    </row>
    <row r="195" spans="1:2">
      <c r="A195" s="6"/>
      <c r="B195" s="7"/>
    </row>
    <row r="196" spans="1:2">
      <c r="A196" s="6"/>
      <c r="B196" s="7"/>
    </row>
    <row r="197" spans="1:2">
      <c r="A197" s="6"/>
      <c r="B197" s="7"/>
    </row>
    <row r="198" spans="1:2">
      <c r="A198" s="6"/>
      <c r="B198" s="7"/>
    </row>
    <row r="199" spans="1:2">
      <c r="A199" s="6"/>
      <c r="B199" s="7"/>
    </row>
    <row r="200" spans="1:2">
      <c r="A200" s="6"/>
      <c r="B200" s="7"/>
    </row>
    <row r="201" spans="1:2">
      <c r="A201" s="6"/>
      <c r="B201" s="7"/>
    </row>
    <row r="202" spans="1:2">
      <c r="A202" s="6"/>
      <c r="B202" s="7"/>
    </row>
    <row r="203" spans="1:2">
      <c r="A203" s="6"/>
      <c r="B203" s="7"/>
    </row>
    <row r="204" spans="1:2">
      <c r="A204" s="6"/>
      <c r="B204" s="7"/>
    </row>
    <row r="205" spans="1:2">
      <c r="A205" s="6"/>
      <c r="B205" s="7"/>
    </row>
    <row r="206" spans="1:2">
      <c r="A206" s="6"/>
      <c r="B206" s="7"/>
    </row>
    <row r="207" spans="1:2">
      <c r="A207" s="6"/>
      <c r="B207" s="7"/>
    </row>
    <row r="208" spans="1:2">
      <c r="A208" s="6"/>
      <c r="B208" s="7"/>
    </row>
    <row r="209" spans="1:2">
      <c r="A209" s="6"/>
      <c r="B209" s="7"/>
    </row>
    <row r="210" spans="1:2">
      <c r="A210" s="6"/>
      <c r="B210" s="7"/>
    </row>
    <row r="211" spans="1:2">
      <c r="A211" s="6"/>
      <c r="B211" s="7"/>
    </row>
    <row r="212" spans="1:2">
      <c r="A212" s="6"/>
      <c r="B212" s="7"/>
    </row>
    <row r="213" spans="1:2">
      <c r="A213" s="6"/>
      <c r="B213" s="7"/>
    </row>
    <row r="214" spans="1:2">
      <c r="A214" s="6"/>
      <c r="B214" s="7"/>
    </row>
    <row r="215" spans="1:2">
      <c r="A215" s="6"/>
      <c r="B215" s="7"/>
    </row>
    <row r="216" spans="1:2">
      <c r="A216" s="6"/>
      <c r="B216" s="7"/>
    </row>
    <row r="217" spans="1:2">
      <c r="A217" s="6"/>
      <c r="B217" s="7"/>
    </row>
    <row r="218" spans="1:2">
      <c r="A218" s="6"/>
      <c r="B218" s="7"/>
    </row>
    <row r="219" spans="1:2">
      <c r="A219" s="6"/>
      <c r="B219" s="7"/>
    </row>
    <row r="220" spans="1:2">
      <c r="A220" s="6"/>
      <c r="B220" s="7"/>
    </row>
    <row r="221" spans="1:2">
      <c r="A221" s="6"/>
      <c r="B221" s="7"/>
    </row>
    <row r="222" spans="1:2">
      <c r="A222" s="6"/>
      <c r="B222" s="7"/>
    </row>
    <row r="223" spans="1:2">
      <c r="A223" s="6"/>
      <c r="B223" s="7"/>
    </row>
    <row r="224" spans="1:2">
      <c r="A224" s="6"/>
      <c r="B224" s="7"/>
    </row>
    <row r="225" spans="1:2">
      <c r="A225" s="6"/>
      <c r="B225" s="7"/>
    </row>
    <row r="226" spans="1:2">
      <c r="A226" s="6"/>
      <c r="B226" s="7"/>
    </row>
    <row r="227" spans="1:2">
      <c r="A227" s="6"/>
      <c r="B227" s="7"/>
    </row>
    <row r="228" spans="1:2">
      <c r="A228" s="6"/>
      <c r="B228" s="7"/>
    </row>
    <row r="229" spans="1:2">
      <c r="A229" s="6"/>
      <c r="B229" s="7"/>
    </row>
    <row r="230" spans="1:2">
      <c r="A230" s="6"/>
      <c r="B230" s="7"/>
    </row>
    <row r="231" spans="1:2">
      <c r="A231" s="6"/>
      <c r="B231" s="7"/>
    </row>
    <row r="232" spans="1:2">
      <c r="A232" s="6"/>
      <c r="B232" s="7"/>
    </row>
    <row r="233" spans="1:2">
      <c r="A233" s="6"/>
      <c r="B233" s="7"/>
    </row>
    <row r="234" spans="1:2">
      <c r="A234" s="6"/>
      <c r="B234" s="7"/>
    </row>
    <row r="235" spans="1:2">
      <c r="A235" s="6"/>
      <c r="B235" s="7"/>
    </row>
    <row r="236" spans="1:2">
      <c r="A236" s="6"/>
      <c r="B236" s="7"/>
    </row>
    <row r="237" spans="1:2">
      <c r="A237" s="6"/>
      <c r="B237" s="7"/>
    </row>
    <row r="238" spans="1:2">
      <c r="A238" s="6"/>
      <c r="B238" s="7"/>
    </row>
    <row r="239" spans="1:2">
      <c r="A239" s="6"/>
      <c r="B239" s="7"/>
    </row>
    <row r="240" spans="1:2">
      <c r="A240" s="6"/>
      <c r="B240" s="7"/>
    </row>
    <row r="241" spans="1:2">
      <c r="A241" s="6"/>
      <c r="B241" s="7"/>
    </row>
    <row r="242" spans="1:2">
      <c r="A242" s="6"/>
      <c r="B242" s="7"/>
    </row>
    <row r="243" spans="1:2">
      <c r="A243" s="6"/>
      <c r="B243" s="7"/>
    </row>
    <row r="244" spans="1:2">
      <c r="A244" s="6"/>
      <c r="B244" s="7"/>
    </row>
    <row r="245" spans="1:2">
      <c r="A245" s="6"/>
      <c r="B245" s="7"/>
    </row>
    <row r="246" spans="1:2">
      <c r="A246" s="6"/>
      <c r="B246" s="7"/>
    </row>
    <row r="247" spans="1:2">
      <c r="A247" s="6"/>
      <c r="B247" s="7"/>
    </row>
    <row r="248" spans="1:2">
      <c r="A248" s="6"/>
      <c r="B248" s="7"/>
    </row>
    <row r="249" spans="1:2">
      <c r="A249" s="6"/>
      <c r="B249" s="7"/>
    </row>
    <row r="250" spans="1:2">
      <c r="A250" s="6"/>
      <c r="B250" s="7"/>
    </row>
    <row r="251" spans="1:2">
      <c r="A251" s="6"/>
      <c r="B251" s="7"/>
    </row>
    <row r="252" spans="1:2">
      <c r="A252" s="6"/>
      <c r="B252" s="7"/>
    </row>
    <row r="253" spans="1:2">
      <c r="A253" s="6"/>
      <c r="B253" s="7"/>
    </row>
    <row r="254" spans="1:2">
      <c r="A254" s="6"/>
      <c r="B254" s="7"/>
    </row>
    <row r="255" spans="1:2">
      <c r="A255" s="6"/>
      <c r="B255" s="7"/>
    </row>
    <row r="256" spans="1:2">
      <c r="A256" s="6"/>
      <c r="B256" s="7"/>
    </row>
    <row r="257" spans="1:2">
      <c r="A257" s="6"/>
      <c r="B257" s="7"/>
    </row>
    <row r="258" spans="1:2">
      <c r="A258" s="6"/>
      <c r="B258" s="7"/>
    </row>
    <row r="259" spans="1:2">
      <c r="A259" s="6"/>
      <c r="B259" s="7"/>
    </row>
    <row r="260" spans="1:2">
      <c r="A260" s="6"/>
      <c r="B260" s="7"/>
    </row>
    <row r="261" spans="1:2">
      <c r="A261" s="6"/>
      <c r="B261" s="7"/>
    </row>
    <row r="262" spans="1:2">
      <c r="A262" s="6"/>
      <c r="B262" s="7"/>
    </row>
    <row r="263" spans="1:2">
      <c r="A263" s="6"/>
      <c r="B263" s="7"/>
    </row>
    <row r="264" spans="1:2">
      <c r="A264" s="6"/>
      <c r="B264" s="7"/>
    </row>
    <row r="265" spans="1:2">
      <c r="A265" s="6"/>
      <c r="B265" s="7"/>
    </row>
    <row r="266" spans="1:2">
      <c r="A266" s="6"/>
      <c r="B266" s="7"/>
    </row>
    <row r="267" spans="1:2">
      <c r="A267" s="6"/>
      <c r="B267" s="7"/>
    </row>
    <row r="268" spans="1:2">
      <c r="A268" s="6"/>
      <c r="B268" s="7"/>
    </row>
    <row r="269" spans="1:2">
      <c r="A269" s="6"/>
      <c r="B269" s="7"/>
    </row>
    <row r="270" spans="1:2">
      <c r="A270" s="6"/>
      <c r="B270" s="7"/>
    </row>
    <row r="271" spans="1:2">
      <c r="A271" s="6"/>
      <c r="B271" s="7"/>
    </row>
    <row r="272" spans="1:2">
      <c r="A272" s="6"/>
      <c r="B272" s="7"/>
    </row>
    <row r="273" spans="1:2">
      <c r="A273" s="6"/>
      <c r="B273" s="7"/>
    </row>
    <row r="274" spans="1:2">
      <c r="A274" s="6"/>
      <c r="B274" s="7"/>
    </row>
    <row r="275" spans="1:2">
      <c r="A275" s="6"/>
      <c r="B275" s="7"/>
    </row>
    <row r="276" spans="1:2">
      <c r="A276" s="6"/>
      <c r="B276" s="7"/>
    </row>
    <row r="277" spans="1:2">
      <c r="A277" s="6"/>
      <c r="B277" s="7"/>
    </row>
    <row r="278" spans="1:2">
      <c r="A278" s="6"/>
      <c r="B278" s="7"/>
    </row>
    <row r="279" spans="1:2">
      <c r="A279" s="6"/>
      <c r="B279" s="7"/>
    </row>
    <row r="280" spans="1:2">
      <c r="A280" s="6"/>
      <c r="B280" s="7"/>
    </row>
    <row r="281" spans="1:2">
      <c r="A281" s="6"/>
      <c r="B281" s="7"/>
    </row>
    <row r="282" spans="1:2">
      <c r="A282" s="6"/>
      <c r="B282" s="7"/>
    </row>
    <row r="283" spans="1:2">
      <c r="A283" s="6"/>
      <c r="B283" s="7"/>
    </row>
    <row r="284" spans="1:2">
      <c r="A284" s="6"/>
      <c r="B284" s="7"/>
    </row>
    <row r="285" spans="1:2">
      <c r="A285" s="6"/>
      <c r="B285" s="7"/>
    </row>
    <row r="286" spans="1:2">
      <c r="A286" s="6"/>
      <c r="B286" s="7"/>
    </row>
    <row r="287" spans="1:2">
      <c r="A287" s="6"/>
      <c r="B287" s="7"/>
    </row>
    <row r="288" spans="1:2">
      <c r="A288" s="6"/>
      <c r="B288" s="7"/>
    </row>
    <row r="289" spans="1:2">
      <c r="A289" s="6"/>
      <c r="B289" s="7"/>
    </row>
    <row r="290" spans="1:2">
      <c r="A290" s="6"/>
      <c r="B290" s="7"/>
    </row>
    <row r="291" spans="1:2">
      <c r="A291" s="6"/>
      <c r="B291" s="7"/>
    </row>
    <row r="292" spans="1:2">
      <c r="A292" s="6"/>
      <c r="B292" s="7"/>
    </row>
    <row r="293" spans="1:2">
      <c r="A293" s="6"/>
      <c r="B293" s="7"/>
    </row>
    <row r="294" spans="1:2">
      <c r="A294" s="6"/>
      <c r="B294" s="7"/>
    </row>
    <row r="295" spans="1:2">
      <c r="A295" s="6"/>
      <c r="B295" s="7"/>
    </row>
    <row r="296" spans="1:2">
      <c r="A296" s="6"/>
      <c r="B296" s="7"/>
    </row>
    <row r="297" spans="1:2">
      <c r="A297" s="6"/>
      <c r="B297" s="7"/>
    </row>
    <row r="298" spans="1:2">
      <c r="A298" s="6"/>
      <c r="B298" s="7"/>
    </row>
    <row r="299" spans="1:2">
      <c r="A299" s="6"/>
      <c r="B299" s="7"/>
    </row>
    <row r="300" spans="1:2">
      <c r="A300" s="6"/>
      <c r="B300" s="7"/>
    </row>
    <row r="301" spans="1:2">
      <c r="A301" s="6"/>
      <c r="B301" s="7"/>
    </row>
    <row r="302" spans="1:2">
      <c r="A302" s="6"/>
      <c r="B302" s="7"/>
    </row>
    <row r="303" spans="1:2">
      <c r="A303" s="6"/>
      <c r="B303" s="7"/>
    </row>
    <row r="304" spans="1:2">
      <c r="A304" s="6"/>
      <c r="B304" s="7"/>
    </row>
    <row r="305" spans="1:2">
      <c r="A305" s="6"/>
      <c r="B305" s="7"/>
    </row>
    <row r="306" spans="1:2">
      <c r="A306" s="6"/>
      <c r="B306" s="7"/>
    </row>
    <row r="307" spans="1:2">
      <c r="A307" s="6"/>
      <c r="B307" s="7"/>
    </row>
    <row r="308" spans="1:2">
      <c r="A308" s="6"/>
      <c r="B308" s="7"/>
    </row>
    <row r="309" spans="1:2">
      <c r="A309" s="6"/>
      <c r="B309" s="7"/>
    </row>
    <row r="310" spans="1:2">
      <c r="A310" s="6"/>
      <c r="B310" s="7"/>
    </row>
    <row r="311" spans="1:2">
      <c r="A311" s="6"/>
      <c r="B311" s="7"/>
    </row>
    <row r="312" spans="1:2">
      <c r="A312" s="6"/>
      <c r="B312" s="7"/>
    </row>
    <row r="313" spans="1:2">
      <c r="A313" s="6"/>
      <c r="B313" s="7"/>
    </row>
    <row r="314" spans="1:2">
      <c r="A314" s="6"/>
      <c r="B314" s="7"/>
    </row>
    <row r="315" spans="1:2">
      <c r="A315" s="6"/>
      <c r="B315" s="7"/>
    </row>
    <row r="316" spans="1:2">
      <c r="A316" s="6"/>
      <c r="B316" s="7"/>
    </row>
    <row r="317" spans="1:2">
      <c r="A317" s="6"/>
      <c r="B317" s="7"/>
    </row>
    <row r="318" spans="1:2">
      <c r="A318" s="6"/>
      <c r="B318" s="7"/>
    </row>
    <row r="319" spans="1:2">
      <c r="A319" s="6"/>
      <c r="B319" s="7"/>
    </row>
    <row r="320" spans="1:2">
      <c r="A320" s="6"/>
      <c r="B320" s="7"/>
    </row>
    <row r="321" spans="1:2">
      <c r="A321" s="6"/>
      <c r="B321" s="7"/>
    </row>
    <row r="322" spans="1:2">
      <c r="A322" s="6"/>
      <c r="B322" s="7"/>
    </row>
    <row r="323" spans="1:2">
      <c r="A323" s="6"/>
      <c r="B323" s="7"/>
    </row>
    <row r="324" spans="1:2">
      <c r="A324" s="6"/>
      <c r="B324" s="7"/>
    </row>
    <row r="325" spans="1:2">
      <c r="A325" s="6"/>
      <c r="B325" s="7"/>
    </row>
    <row r="326" spans="1:2">
      <c r="A326" s="6"/>
      <c r="B326" s="7"/>
    </row>
    <row r="327" spans="1:2">
      <c r="A327" s="6"/>
      <c r="B327" s="7"/>
    </row>
    <row r="328" spans="1:2">
      <c r="A328" s="6"/>
      <c r="B328" s="7"/>
    </row>
    <row r="329" spans="1:2">
      <c r="A329" s="6"/>
      <c r="B329" s="7"/>
    </row>
    <row r="330" spans="1:2">
      <c r="A330" s="6"/>
      <c r="B330" s="7"/>
    </row>
    <row r="331" spans="1:2">
      <c r="A331" s="6"/>
      <c r="B331" s="7"/>
    </row>
    <row r="332" spans="1:2">
      <c r="A332" s="6"/>
      <c r="B332" s="7"/>
    </row>
    <row r="333" spans="1:2">
      <c r="A333" s="6"/>
      <c r="B333" s="7"/>
    </row>
    <row r="334" spans="1:2">
      <c r="A334" s="6"/>
      <c r="B334" s="7"/>
    </row>
    <row r="335" spans="1:2">
      <c r="A335" s="6"/>
      <c r="B335" s="7"/>
    </row>
    <row r="336" spans="1:2">
      <c r="A336" s="6"/>
      <c r="B336" s="7"/>
    </row>
    <row r="337" spans="1:2">
      <c r="A337" s="6"/>
      <c r="B337" s="7"/>
    </row>
    <row r="338" spans="1:2">
      <c r="A338" s="6"/>
      <c r="B338" s="7"/>
    </row>
    <row r="339" spans="1:2">
      <c r="A339" s="6"/>
      <c r="B339" s="7"/>
    </row>
    <row r="340" spans="1:2">
      <c r="A340" s="6"/>
      <c r="B340" s="7"/>
    </row>
    <row r="341" spans="1:2">
      <c r="A341" s="6"/>
      <c r="B341" s="7"/>
    </row>
    <row r="342" spans="1:2">
      <c r="A342" s="6"/>
      <c r="B342" s="7"/>
    </row>
    <row r="343" spans="1:2">
      <c r="A343" s="6"/>
      <c r="B343" s="7"/>
    </row>
    <row r="344" spans="1:2">
      <c r="A344" s="6"/>
      <c r="B344" s="7"/>
    </row>
    <row r="345" spans="1:2">
      <c r="A345" s="6"/>
      <c r="B345" s="7"/>
    </row>
    <row r="346" spans="1:2">
      <c r="A346" s="6"/>
      <c r="B346" s="7"/>
    </row>
    <row r="347" spans="1:2">
      <c r="A347" s="6"/>
      <c r="B347" s="7"/>
    </row>
    <row r="348" spans="1:2">
      <c r="A348" s="6"/>
      <c r="B348" s="7"/>
    </row>
    <row r="349" spans="1:2">
      <c r="A349" s="6"/>
      <c r="B349" s="7"/>
    </row>
    <row r="350" spans="1:2">
      <c r="A350" s="6"/>
      <c r="B350" s="7"/>
    </row>
    <row r="351" spans="1:2">
      <c r="A351" s="6"/>
      <c r="B351" s="7"/>
    </row>
    <row r="352" spans="1:2">
      <c r="A352" s="6"/>
      <c r="B352" s="7"/>
    </row>
    <row r="353" spans="1:2">
      <c r="A353" s="6"/>
      <c r="B353" s="7"/>
    </row>
    <row r="354" spans="1:2">
      <c r="A354" s="6"/>
      <c r="B354" s="7"/>
    </row>
    <row r="355" spans="1:2">
      <c r="A355" s="6"/>
      <c r="B355" s="7"/>
    </row>
    <row r="356" spans="1:2">
      <c r="A356" s="6"/>
      <c r="B356" s="7"/>
    </row>
    <row r="357" spans="1:2">
      <c r="A357" s="6"/>
      <c r="B357" s="7"/>
    </row>
    <row r="358" spans="1:2">
      <c r="A358" s="6"/>
      <c r="B358" s="7"/>
    </row>
    <row r="359" spans="1:2">
      <c r="A359" s="6"/>
      <c r="B359" s="7"/>
    </row>
    <row r="360" spans="1:2">
      <c r="A360" s="6"/>
      <c r="B360" s="7"/>
    </row>
    <row r="361" spans="1:2">
      <c r="A361" s="6"/>
      <c r="B361" s="7"/>
    </row>
    <row r="362" spans="1:2">
      <c r="A362" s="6"/>
      <c r="B362" s="7"/>
    </row>
    <row r="363" spans="1:2">
      <c r="A363" s="6"/>
      <c r="B363" s="7"/>
    </row>
    <row r="364" spans="1:2">
      <c r="A364" s="6"/>
      <c r="B364" s="7"/>
    </row>
    <row r="365" spans="1:2">
      <c r="A365" s="6"/>
      <c r="B365" s="7"/>
    </row>
    <row r="366" spans="1:2">
      <c r="A366" s="6"/>
      <c r="B366" s="7"/>
    </row>
    <row r="367" spans="1:2">
      <c r="A367" s="6"/>
      <c r="B367" s="7"/>
    </row>
    <row r="368" spans="1:2">
      <c r="A368" s="6"/>
      <c r="B368" s="7"/>
    </row>
    <row r="369" spans="1:2">
      <c r="A369" s="6"/>
      <c r="B369" s="7"/>
    </row>
    <row r="370" spans="1:2">
      <c r="A370" s="6"/>
      <c r="B370" s="7"/>
    </row>
    <row r="371" spans="1:2">
      <c r="A371" s="6"/>
      <c r="B371" s="7"/>
    </row>
    <row r="372" spans="1:2">
      <c r="A372" s="6"/>
      <c r="B372" s="7"/>
    </row>
    <row r="373" spans="1:2">
      <c r="A373" s="6"/>
      <c r="B373" s="7"/>
    </row>
    <row r="374" spans="1:2">
      <c r="A374" s="6"/>
      <c r="B374" s="7"/>
    </row>
    <row r="375" spans="1:2">
      <c r="A375" s="6"/>
      <c r="B375" s="7"/>
    </row>
    <row r="376" spans="1:2">
      <c r="A376" s="6"/>
      <c r="B376" s="7"/>
    </row>
    <row r="377" spans="1:2">
      <c r="A377" s="6"/>
      <c r="B377" s="7"/>
    </row>
    <row r="378" spans="1:2">
      <c r="A378" s="6"/>
      <c r="B378" s="7"/>
    </row>
    <row r="379" spans="1:2">
      <c r="A379" s="6"/>
      <c r="B379" s="7"/>
    </row>
    <row r="380" spans="1:2">
      <c r="A380" s="6"/>
      <c r="B380" s="7"/>
    </row>
    <row r="381" spans="1:2">
      <c r="A381" s="6"/>
      <c r="B381" s="7"/>
    </row>
    <row r="382" spans="1:2">
      <c r="A382" s="6"/>
      <c r="B382" s="7"/>
    </row>
    <row r="383" spans="1:2">
      <c r="A383" s="6"/>
      <c r="B383" s="7"/>
    </row>
    <row r="384" spans="1:2">
      <c r="A384" s="6"/>
      <c r="B384" s="7"/>
    </row>
    <row r="385" spans="1:2">
      <c r="A385" s="6"/>
      <c r="B385" s="7"/>
    </row>
    <row r="386" spans="1:2">
      <c r="A386" s="6"/>
      <c r="B386" s="7"/>
    </row>
    <row r="387" spans="1:2">
      <c r="A387" s="6"/>
      <c r="B387" s="7"/>
    </row>
    <row r="388" spans="1:2">
      <c r="A388" s="6"/>
      <c r="B388" s="7"/>
    </row>
    <row r="389" spans="1:2">
      <c r="A389" s="6"/>
      <c r="B389" s="7"/>
    </row>
    <row r="390" spans="1:2">
      <c r="A390" s="6"/>
      <c r="B390" s="7"/>
    </row>
    <row r="391" spans="1:2">
      <c r="A391" s="6"/>
      <c r="B391" s="7"/>
    </row>
    <row r="392" spans="1:2">
      <c r="A392" s="6"/>
      <c r="B392" s="7"/>
    </row>
    <row r="393" spans="1:2">
      <c r="A393" s="6"/>
      <c r="B393" s="7"/>
    </row>
    <row r="394" spans="1:2">
      <c r="A394" s="6"/>
      <c r="B394" s="7"/>
    </row>
    <row r="395" spans="1:2">
      <c r="A395" s="6"/>
      <c r="B395" s="7"/>
    </row>
    <row r="396" spans="1:2">
      <c r="A396" s="6"/>
      <c r="B396" s="7"/>
    </row>
    <row r="397" spans="1:2">
      <c r="A397" s="6"/>
      <c r="B397" s="7"/>
    </row>
    <row r="398" spans="1:2">
      <c r="A398" s="6"/>
      <c r="B398" s="7"/>
    </row>
    <row r="399" spans="1:2">
      <c r="A399" s="6"/>
      <c r="B399" s="7"/>
    </row>
    <row r="400" spans="1:2">
      <c r="A400" s="6"/>
      <c r="B400" s="7"/>
    </row>
    <row r="401" spans="1:2">
      <c r="A401" s="6"/>
      <c r="B401" s="7"/>
    </row>
    <row r="402" spans="1:2">
      <c r="A402" s="6"/>
      <c r="B402" s="7"/>
    </row>
    <row r="403" spans="1:2">
      <c r="A403" s="6"/>
      <c r="B403" s="7"/>
    </row>
    <row r="404" spans="1:2">
      <c r="A404" s="6"/>
      <c r="B404" s="7"/>
    </row>
    <row r="405" spans="1:2">
      <c r="A405" s="6"/>
      <c r="B405" s="7"/>
    </row>
    <row r="406" spans="1:2">
      <c r="A406" s="6"/>
      <c r="B406" s="7"/>
    </row>
    <row r="407" spans="1:2">
      <c r="A407" s="6"/>
      <c r="B407" s="7"/>
    </row>
    <row r="408" spans="1:2">
      <c r="A408" s="6"/>
      <c r="B408" s="7"/>
    </row>
    <row r="409" spans="1:2">
      <c r="A409" s="6"/>
      <c r="B409" s="7"/>
    </row>
    <row r="410" spans="1:2">
      <c r="A410" s="6"/>
      <c r="B410" s="7"/>
    </row>
    <row r="411" spans="1:2">
      <c r="A411" s="6"/>
      <c r="B411" s="7"/>
    </row>
    <row r="412" spans="1:2">
      <c r="A412" s="6"/>
      <c r="B412" s="7"/>
    </row>
    <row r="413" spans="1:2">
      <c r="A413" s="6"/>
      <c r="B413" s="7"/>
    </row>
    <row r="414" spans="1:2">
      <c r="A414" s="6"/>
      <c r="B414" s="7"/>
    </row>
    <row r="415" spans="1:2">
      <c r="A415" s="6"/>
      <c r="B415" s="7"/>
    </row>
    <row r="416" spans="1:2">
      <c r="A416" s="6"/>
      <c r="B416" s="7"/>
    </row>
    <row r="417" spans="1:2">
      <c r="A417" s="6"/>
      <c r="B417" s="7"/>
    </row>
    <row r="418" spans="1:2">
      <c r="A418" s="6"/>
      <c r="B418" s="7"/>
    </row>
    <row r="419" spans="1:2">
      <c r="A419" s="6"/>
      <c r="B419" s="7"/>
    </row>
    <row r="420" spans="1:2">
      <c r="A420" s="6"/>
      <c r="B420" s="7"/>
    </row>
    <row r="421" spans="1:2">
      <c r="A421" s="6"/>
      <c r="B421" s="7"/>
    </row>
    <row r="422" spans="1:2">
      <c r="A422" s="6"/>
      <c r="B422" s="7"/>
    </row>
    <row r="423" spans="1:2">
      <c r="A423" s="6"/>
      <c r="B423" s="7"/>
    </row>
    <row r="424" spans="1:2">
      <c r="A424" s="6"/>
      <c r="B424" s="7"/>
    </row>
    <row r="425" spans="1:2">
      <c r="A425" s="6"/>
      <c r="B425" s="7"/>
    </row>
    <row r="426" spans="1:2">
      <c r="A426" s="6"/>
      <c r="B426" s="7"/>
    </row>
    <row r="427" spans="1:2">
      <c r="A427" s="6"/>
      <c r="B427" s="7"/>
    </row>
    <row r="428" spans="1:2">
      <c r="A428" s="6"/>
      <c r="B428" s="7"/>
    </row>
    <row r="429" spans="1:2">
      <c r="A429" s="6"/>
      <c r="B429" s="7"/>
    </row>
    <row r="430" spans="1:2">
      <c r="A430" s="6"/>
      <c r="B430" s="7"/>
    </row>
    <row r="431" spans="1:2">
      <c r="A431" s="6"/>
      <c r="B431" s="7"/>
    </row>
    <row r="432" spans="1:2">
      <c r="A432" s="6"/>
      <c r="B432" s="7"/>
    </row>
    <row r="433" spans="1:2">
      <c r="A433" s="6"/>
      <c r="B433" s="7"/>
    </row>
    <row r="434" spans="1:2">
      <c r="A434" s="6"/>
      <c r="B434" s="7"/>
    </row>
    <row r="435" spans="1:2">
      <c r="A435" s="6"/>
      <c r="B435" s="7"/>
    </row>
    <row r="436" spans="1:2">
      <c r="A436" s="6"/>
      <c r="B436" s="7"/>
    </row>
    <row r="437" spans="1:2">
      <c r="A437" s="6"/>
      <c r="B437" s="7"/>
    </row>
    <row r="438" spans="1:2">
      <c r="A438" s="6"/>
      <c r="B438" s="7"/>
    </row>
    <row r="439" spans="1:2">
      <c r="A439" s="6"/>
      <c r="B439" s="7"/>
    </row>
    <row r="440" spans="1:2">
      <c r="A440" s="6"/>
      <c r="B440" s="7"/>
    </row>
    <row r="441" spans="1:2">
      <c r="A441" s="6"/>
      <c r="B441" s="7"/>
    </row>
    <row r="442" spans="1:2">
      <c r="A442" s="6"/>
      <c r="B442" s="7"/>
    </row>
    <row r="443" spans="1:2">
      <c r="A443" s="6"/>
      <c r="B443" s="7"/>
    </row>
    <row r="444" spans="1:2">
      <c r="A444" s="6"/>
      <c r="B444" s="7"/>
    </row>
    <row r="445" spans="1:2">
      <c r="A445" s="6"/>
      <c r="B445" s="7"/>
    </row>
    <row r="446" spans="1:2">
      <c r="A446" s="6"/>
      <c r="B446" s="7"/>
    </row>
    <row r="447" spans="1:2">
      <c r="A447" s="6"/>
      <c r="B447" s="7"/>
    </row>
    <row r="448" spans="1:2">
      <c r="A448" s="6"/>
      <c r="B448" s="7"/>
    </row>
    <row r="449" spans="1:2">
      <c r="A449" s="6"/>
      <c r="B449" s="7"/>
    </row>
    <row r="450" spans="1:2">
      <c r="A450" s="6"/>
      <c r="B450" s="7"/>
    </row>
    <row r="451" spans="1:2">
      <c r="A451" s="6"/>
      <c r="B451" s="7"/>
    </row>
    <row r="452" spans="1:2">
      <c r="A452" s="6"/>
      <c r="B452" s="7"/>
    </row>
    <row r="453" spans="1:2">
      <c r="A453" s="6"/>
      <c r="B453" s="7"/>
    </row>
    <row r="454" spans="1:2">
      <c r="A454" s="6"/>
      <c r="B454" s="7"/>
    </row>
    <row r="455" spans="1:2">
      <c r="A455" s="6"/>
      <c r="B455" s="7"/>
    </row>
    <row r="456" spans="1:2">
      <c r="A456" s="6"/>
      <c r="B456" s="7"/>
    </row>
    <row r="457" spans="1:2">
      <c r="A457" s="6"/>
      <c r="B457" s="7"/>
    </row>
    <row r="458" spans="1:2">
      <c r="A458" s="6"/>
      <c r="B458" s="7"/>
    </row>
    <row r="459" spans="1:2">
      <c r="A459" s="6"/>
      <c r="B459" s="7"/>
    </row>
    <row r="460" spans="1:2">
      <c r="A460" s="6"/>
      <c r="B460" s="7"/>
    </row>
    <row r="461" spans="1:2">
      <c r="A461" s="6"/>
      <c r="B461" s="7"/>
    </row>
    <row r="462" spans="1:2">
      <c r="A462" s="6"/>
      <c r="B462" s="7"/>
    </row>
    <row r="463" spans="1:2">
      <c r="A463" s="6"/>
      <c r="B463" s="7"/>
    </row>
    <row r="464" spans="1:2">
      <c r="A464" s="6"/>
      <c r="B464" s="7"/>
    </row>
    <row r="465" spans="1:2">
      <c r="A465" s="6"/>
      <c r="B465" s="7"/>
    </row>
    <row r="466" spans="1:2">
      <c r="A466" s="6"/>
      <c r="B466" s="7"/>
    </row>
    <row r="467" spans="1:2">
      <c r="A467" s="6"/>
      <c r="B467" s="7"/>
    </row>
    <row r="468" spans="1:2">
      <c r="A468" s="6"/>
      <c r="B468" s="7"/>
    </row>
    <row r="469" spans="1:2">
      <c r="A469" s="6"/>
      <c r="B469" s="7"/>
    </row>
    <row r="470" spans="1:2">
      <c r="A470" s="6"/>
      <c r="B470" s="7"/>
    </row>
    <row r="471" spans="1:2">
      <c r="A471" s="6"/>
      <c r="B471" s="7"/>
    </row>
    <row r="472" spans="1:2">
      <c r="A472" s="6"/>
      <c r="B472" s="7"/>
    </row>
    <row r="473" spans="1:2">
      <c r="A473" s="6"/>
      <c r="B473" s="7"/>
    </row>
    <row r="474" spans="1:2">
      <c r="A474" s="6"/>
      <c r="B474" s="7"/>
    </row>
    <row r="475" spans="1:2">
      <c r="A475" s="6"/>
      <c r="B475" s="7"/>
    </row>
    <row r="476" spans="1:2">
      <c r="A476" s="6"/>
      <c r="B476" s="7"/>
    </row>
    <row r="477" spans="1:2">
      <c r="A477" s="6"/>
      <c r="B477" s="7"/>
    </row>
    <row r="478" spans="1:2">
      <c r="A478" s="6"/>
      <c r="B478" s="7"/>
    </row>
    <row r="479" spans="1:2">
      <c r="A479" s="6"/>
      <c r="B479" s="7"/>
    </row>
    <row r="480" spans="1:2">
      <c r="A480" s="6"/>
      <c r="B480" s="7"/>
    </row>
    <row r="481" spans="1:2">
      <c r="A481" s="6"/>
      <c r="B481" s="7"/>
    </row>
    <row r="482" spans="1:2">
      <c r="A482" s="6"/>
      <c r="B482" s="7"/>
    </row>
    <row r="483" spans="1:2">
      <c r="A483" s="6"/>
      <c r="B483" s="7"/>
    </row>
    <row r="484" spans="1:2">
      <c r="A484" s="6"/>
      <c r="B484" s="7"/>
    </row>
    <row r="485" spans="1:2">
      <c r="A485" s="6"/>
      <c r="B485" s="7"/>
    </row>
    <row r="486" spans="1:2">
      <c r="A486" s="6"/>
      <c r="B486" s="7"/>
    </row>
    <row r="487" spans="1:2">
      <c r="A487" s="6"/>
      <c r="B487" s="7"/>
    </row>
    <row r="488" spans="1:2">
      <c r="A488" s="6"/>
      <c r="B488" s="7"/>
    </row>
    <row r="489" spans="1:2">
      <c r="A489" s="6"/>
      <c r="B489" s="7"/>
    </row>
    <row r="490" spans="1:2">
      <c r="A490" s="6"/>
      <c r="B490" s="7"/>
    </row>
    <row r="491" spans="1:2">
      <c r="A491" s="6"/>
      <c r="B491" s="7"/>
    </row>
    <row r="492" spans="1:2">
      <c r="A492" s="6"/>
      <c r="B492" s="7"/>
    </row>
    <row r="493" spans="1:2">
      <c r="A493" s="6"/>
      <c r="B493" s="7"/>
    </row>
    <row r="494" spans="1:2">
      <c r="A494" s="6"/>
      <c r="B494" s="7"/>
    </row>
    <row r="495" spans="1:2">
      <c r="A495" s="6"/>
      <c r="B495" s="7"/>
    </row>
    <row r="496" spans="1:2">
      <c r="A496" s="6"/>
      <c r="B496" s="7"/>
    </row>
    <row r="497" spans="1:2">
      <c r="A497" s="6"/>
      <c r="B497" s="7"/>
    </row>
    <row r="498" spans="1:2">
      <c r="A498" s="6"/>
      <c r="B498" s="7"/>
    </row>
    <row r="499" spans="1:2">
      <c r="A499" s="6"/>
      <c r="B499" s="7"/>
    </row>
    <row r="500" spans="1:2">
      <c r="A500" s="6"/>
      <c r="B500" s="7"/>
    </row>
    <row r="501" spans="1:2">
      <c r="A501" s="6"/>
      <c r="B501" s="7"/>
    </row>
    <row r="502" spans="1:2">
      <c r="A502" s="6"/>
      <c r="B502" s="7"/>
    </row>
    <row r="503" spans="1:2">
      <c r="A503" s="6"/>
      <c r="B503" s="7"/>
    </row>
    <row r="504" spans="1:2">
      <c r="A504" s="6"/>
      <c r="B504" s="7"/>
    </row>
    <row r="505" spans="1:2">
      <c r="A505" s="6"/>
      <c r="B505" s="7"/>
    </row>
    <row r="506" spans="1:2">
      <c r="A506" s="6"/>
      <c r="B506" s="7"/>
    </row>
    <row r="507" spans="1:2">
      <c r="A507" s="6"/>
      <c r="B507" s="7"/>
    </row>
    <row r="508" spans="1:2">
      <c r="A508" s="6"/>
      <c r="B508" s="7"/>
    </row>
    <row r="509" spans="1:2">
      <c r="A509" s="6"/>
      <c r="B509" s="7"/>
    </row>
    <row r="510" spans="1:2">
      <c r="A510" s="6"/>
      <c r="B510" s="7"/>
    </row>
    <row r="511" spans="1:2">
      <c r="A511" s="6"/>
      <c r="B511" s="7"/>
    </row>
    <row r="512" spans="1:2">
      <c r="A512" s="6"/>
      <c r="B512" s="7"/>
    </row>
    <row r="513" spans="1:2">
      <c r="A513" s="6"/>
      <c r="B513" s="7"/>
    </row>
    <row r="514" spans="1:2">
      <c r="A514" s="6"/>
      <c r="B514" s="7"/>
    </row>
    <row r="515" spans="1:2">
      <c r="A515" s="6"/>
      <c r="B515" s="7"/>
    </row>
    <row r="516" spans="1:2">
      <c r="A516" s="6"/>
      <c r="B516" s="7"/>
    </row>
    <row r="517" spans="1:2">
      <c r="A517" s="6"/>
      <c r="B517" s="7"/>
    </row>
    <row r="518" spans="1:2">
      <c r="A518" s="6"/>
      <c r="B518" s="7"/>
    </row>
    <row r="519" spans="1:2">
      <c r="A519" s="6"/>
      <c r="B519" s="7"/>
    </row>
    <row r="520" spans="1:2">
      <c r="A520" s="6"/>
      <c r="B520" s="7"/>
    </row>
    <row r="521" spans="1:2">
      <c r="A521" s="6"/>
      <c r="B521" s="7"/>
    </row>
    <row r="522" spans="1:2">
      <c r="A522" s="6"/>
      <c r="B522" s="7"/>
    </row>
    <row r="523" spans="1:2">
      <c r="A523" s="6"/>
      <c r="B523" s="7"/>
    </row>
    <row r="524" spans="1:2">
      <c r="A524" s="6"/>
      <c r="B524" s="7"/>
    </row>
    <row r="525" spans="1:2">
      <c r="A525" s="6"/>
      <c r="B525" s="7"/>
    </row>
    <row r="526" spans="1:2">
      <c r="A526" s="6"/>
      <c r="B526" s="7"/>
    </row>
    <row r="527" spans="1:2">
      <c r="A527" s="6"/>
      <c r="B527" s="7"/>
    </row>
    <row r="528" spans="1:2">
      <c r="A528" s="6"/>
      <c r="B528" s="7"/>
    </row>
    <row r="529" spans="1:2">
      <c r="A529" s="6"/>
      <c r="B529" s="7"/>
    </row>
    <row r="530" spans="1:2">
      <c r="A530" s="6"/>
      <c r="B530" s="7"/>
    </row>
    <row r="531" spans="1:2">
      <c r="A531" s="6"/>
      <c r="B531" s="7"/>
    </row>
    <row r="532" spans="1:2">
      <c r="A532" s="6"/>
      <c r="B532" s="7"/>
    </row>
    <row r="533" spans="1:2">
      <c r="A533" s="6"/>
      <c r="B533" s="7"/>
    </row>
    <row r="534" spans="1:2">
      <c r="A534" s="6"/>
      <c r="B534" s="7"/>
    </row>
    <row r="535" spans="1:2">
      <c r="A535" s="6"/>
      <c r="B535" s="7"/>
    </row>
    <row r="536" spans="1:2">
      <c r="A536" s="6"/>
      <c r="B536" s="7"/>
    </row>
    <row r="537" spans="1:2">
      <c r="A537" s="6"/>
      <c r="B537" s="7"/>
    </row>
    <row r="538" spans="1:2">
      <c r="A538" s="6"/>
      <c r="B538" s="7"/>
    </row>
    <row r="539" spans="1:2">
      <c r="A539" s="6"/>
      <c r="B539" s="7"/>
    </row>
    <row r="540" spans="1:2">
      <c r="A540" s="6"/>
      <c r="B540" s="7"/>
    </row>
    <row r="541" spans="1:2">
      <c r="A541" s="6"/>
      <c r="B541" s="7"/>
    </row>
    <row r="542" spans="1:2">
      <c r="A542" s="6"/>
      <c r="B542" s="7"/>
    </row>
    <row r="543" spans="1:2">
      <c r="A543" s="6"/>
      <c r="B543" s="7"/>
    </row>
    <row r="544" spans="1:2">
      <c r="A544" s="6"/>
      <c r="B544" s="7"/>
    </row>
    <row r="545" spans="1:2">
      <c r="A545" s="6"/>
      <c r="B545" s="7"/>
    </row>
    <row r="546" spans="1:2">
      <c r="A546" s="6"/>
      <c r="B546" s="7"/>
    </row>
    <row r="547" spans="1:2">
      <c r="A547" s="6"/>
      <c r="B547" s="7"/>
    </row>
    <row r="548" spans="1:2">
      <c r="A548" s="6"/>
      <c r="B548" s="7"/>
    </row>
    <row r="549" spans="1:2">
      <c r="A549" s="6"/>
      <c r="B549" s="7"/>
    </row>
    <row r="550" spans="1:2">
      <c r="A550" s="6"/>
      <c r="B550" s="7"/>
    </row>
    <row r="551" spans="1:2">
      <c r="A551" s="6"/>
      <c r="B551" s="7"/>
    </row>
    <row r="552" spans="1:2">
      <c r="A552" s="6"/>
      <c r="B552" s="7"/>
    </row>
    <row r="553" spans="1:2">
      <c r="A553" s="6"/>
      <c r="B553" s="7"/>
    </row>
    <row r="554" spans="1:2">
      <c r="A554" s="6"/>
      <c r="B554" s="7"/>
    </row>
    <row r="555" spans="1:2">
      <c r="A555" s="6"/>
      <c r="B555" s="7"/>
    </row>
    <row r="556" spans="1:2">
      <c r="A556" s="6"/>
      <c r="B556" s="7"/>
    </row>
    <row r="557" spans="1:2">
      <c r="A557" s="6"/>
      <c r="B557" s="7"/>
    </row>
    <row r="558" spans="1:2">
      <c r="A558" s="6"/>
      <c r="B558" s="7"/>
    </row>
    <row r="559" spans="1:2">
      <c r="A559" s="6"/>
      <c r="B559" s="7"/>
    </row>
    <row r="560" spans="1:2">
      <c r="A560" s="6"/>
      <c r="B560" s="7"/>
    </row>
    <row r="561" spans="1:2">
      <c r="A561" s="6"/>
      <c r="B561" s="7"/>
    </row>
    <row r="562" spans="1:2">
      <c r="A562" s="6"/>
      <c r="B562" s="7"/>
    </row>
    <row r="563" spans="1:2">
      <c r="A563" s="6"/>
      <c r="B563" s="7"/>
    </row>
    <row r="564" spans="1:2">
      <c r="A564" s="6"/>
      <c r="B564" s="7"/>
    </row>
    <row r="565" spans="1:2">
      <c r="A565" s="6"/>
      <c r="B565" s="7"/>
    </row>
    <row r="566" spans="1:2">
      <c r="A566" s="6"/>
      <c r="B566" s="7"/>
    </row>
    <row r="567" spans="1:2">
      <c r="A567" s="6"/>
      <c r="B567" s="7"/>
    </row>
    <row r="568" spans="1:2">
      <c r="A568" s="6"/>
      <c r="B568" s="7"/>
    </row>
    <row r="569" spans="1:2">
      <c r="A569" s="6"/>
      <c r="B569" s="7"/>
    </row>
    <row r="570" spans="1:2">
      <c r="A570" s="6"/>
      <c r="B570" s="7"/>
    </row>
    <row r="571" spans="1:2">
      <c r="A571" s="6"/>
      <c r="B571" s="7"/>
    </row>
    <row r="572" spans="1:2">
      <c r="A572" s="6"/>
      <c r="B572" s="7"/>
    </row>
    <row r="573" spans="1:2">
      <c r="A573" s="6"/>
      <c r="B573" s="7"/>
    </row>
    <row r="574" spans="1:2">
      <c r="A574" s="6"/>
      <c r="B574" s="7"/>
    </row>
    <row r="575" spans="1:2">
      <c r="A575" s="6"/>
      <c r="B575" s="7"/>
    </row>
    <row r="576" spans="1:2">
      <c r="A576" s="6"/>
      <c r="B576" s="7"/>
    </row>
    <row r="577" spans="1:2">
      <c r="A577" s="6"/>
      <c r="B577" s="7"/>
    </row>
    <row r="578" spans="1:2">
      <c r="A578" s="6"/>
      <c r="B578" s="7"/>
    </row>
    <row r="579" spans="1:2">
      <c r="A579" s="6"/>
      <c r="B579" s="7"/>
    </row>
    <row r="580" spans="1:2">
      <c r="A580" s="6"/>
      <c r="B580" s="7"/>
    </row>
    <row r="581" spans="1:2">
      <c r="A581" s="6"/>
      <c r="B581" s="7"/>
    </row>
    <row r="582" spans="1:2">
      <c r="A582" s="6"/>
      <c r="B582" s="7"/>
    </row>
    <row r="583" spans="1:2">
      <c r="A583" s="6"/>
      <c r="B583" s="7"/>
    </row>
    <row r="584" spans="1:2">
      <c r="A584" s="6"/>
      <c r="B584" s="7"/>
    </row>
    <row r="585" spans="1:2">
      <c r="A585" s="6"/>
      <c r="B585" s="7"/>
    </row>
    <row r="586" spans="1:2">
      <c r="A586" s="6"/>
      <c r="B586" s="7"/>
    </row>
    <row r="587" spans="1:2">
      <c r="A587" s="6"/>
      <c r="B587" s="7"/>
    </row>
    <row r="588" spans="1:2">
      <c r="A588" s="6"/>
      <c r="B588" s="7"/>
    </row>
    <row r="589" spans="1:2">
      <c r="A589" s="6"/>
      <c r="B589" s="7"/>
    </row>
    <row r="590" spans="1:2">
      <c r="A590" s="6"/>
      <c r="B590" s="7"/>
    </row>
    <row r="591" spans="1:2">
      <c r="A591" s="6"/>
      <c r="B591" s="7"/>
    </row>
    <row r="592" spans="1:2">
      <c r="A592" s="6"/>
      <c r="B592" s="7"/>
    </row>
    <row r="593" spans="1:2">
      <c r="A593" s="6"/>
      <c r="B593" s="7"/>
    </row>
    <row r="594" spans="1:2">
      <c r="A594" s="6"/>
      <c r="B594" s="7"/>
    </row>
    <row r="595" spans="1:2">
      <c r="A595" s="6"/>
      <c r="B595" s="7"/>
    </row>
    <row r="596" spans="1:2">
      <c r="A596" s="6"/>
      <c r="B596" s="7"/>
    </row>
    <row r="597" spans="1:2">
      <c r="A597" s="6"/>
      <c r="B597" s="7"/>
    </row>
    <row r="598" spans="1:2">
      <c r="A598" s="6"/>
      <c r="B598" s="7"/>
    </row>
    <row r="599" spans="1:2">
      <c r="A599" s="6"/>
      <c r="B599" s="7"/>
    </row>
    <row r="600" spans="1:2">
      <c r="A600" s="6"/>
      <c r="B600" s="7"/>
    </row>
    <row r="601" spans="1:2">
      <c r="A601" s="6"/>
      <c r="B601" s="7"/>
    </row>
    <row r="602" spans="1:2">
      <c r="A602" s="6"/>
      <c r="B602" s="7"/>
    </row>
    <row r="603" spans="1:2">
      <c r="A603" s="6"/>
      <c r="B603" s="7"/>
    </row>
    <row r="604" spans="1:2">
      <c r="A604" s="6"/>
      <c r="B604" s="7"/>
    </row>
    <row r="605" spans="1:2">
      <c r="A605" s="6"/>
      <c r="B605" s="7"/>
    </row>
    <row r="606" spans="1:2">
      <c r="A606" s="6"/>
      <c r="B606" s="7"/>
    </row>
    <row r="607" spans="1:2">
      <c r="A607" s="6"/>
      <c r="B607" s="7"/>
    </row>
    <row r="608" spans="1:2">
      <c r="A608" s="6"/>
      <c r="B608" s="7"/>
    </row>
    <row r="609" spans="1:2">
      <c r="A609" s="6"/>
      <c r="B609" s="7"/>
    </row>
    <row r="610" spans="1:2">
      <c r="A610" s="6"/>
      <c r="B610" s="7"/>
    </row>
    <row r="611" spans="1:2">
      <c r="A611" s="6"/>
      <c r="B611" s="7"/>
    </row>
    <row r="612" spans="1:2">
      <c r="A612" s="6"/>
      <c r="B612" s="7"/>
    </row>
    <row r="613" spans="1:2">
      <c r="A613" s="6"/>
      <c r="B613" s="7"/>
    </row>
    <row r="614" spans="1:2">
      <c r="A614" s="6"/>
      <c r="B614" s="7"/>
    </row>
    <row r="615" spans="1:2">
      <c r="A615" s="6"/>
      <c r="B615" s="7"/>
    </row>
    <row r="616" spans="1:2">
      <c r="A616" s="6"/>
      <c r="B616" s="7"/>
    </row>
    <row r="617" spans="1:2">
      <c r="A617" s="6"/>
      <c r="B617" s="7"/>
    </row>
    <row r="618" spans="1:2">
      <c r="A618" s="6"/>
      <c r="B618" s="7"/>
    </row>
    <row r="619" spans="1:2">
      <c r="A619" s="6"/>
      <c r="B619" s="7"/>
    </row>
    <row r="620" spans="1:2">
      <c r="A620" s="6"/>
      <c r="B620" s="7"/>
    </row>
    <row r="621" spans="1:2">
      <c r="A621" s="6"/>
      <c r="B621" s="7"/>
    </row>
    <row r="622" spans="1:2">
      <c r="A622" s="6"/>
      <c r="B622" s="7"/>
    </row>
    <row r="623" spans="1:2">
      <c r="A623" s="6"/>
      <c r="B623" s="7"/>
    </row>
    <row r="624" spans="1:2">
      <c r="A624" s="6"/>
      <c r="B624" s="7"/>
    </row>
    <row r="625" spans="1:2">
      <c r="A625" s="6"/>
      <c r="B625" s="7"/>
    </row>
    <row r="626" spans="1:2">
      <c r="A626" s="6"/>
      <c r="B626" s="7"/>
    </row>
    <row r="627" spans="1:2">
      <c r="A627" s="6"/>
      <c r="B627" s="7"/>
    </row>
    <row r="628" spans="1:2">
      <c r="A628" s="6"/>
      <c r="B628" s="7"/>
    </row>
    <row r="629" spans="1:2">
      <c r="A629" s="6"/>
      <c r="B629" s="7"/>
    </row>
    <row r="630" spans="1:2">
      <c r="A630" s="6"/>
      <c r="B630" s="7"/>
    </row>
    <row r="631" spans="1:2">
      <c r="A631" s="6"/>
      <c r="B631" s="7"/>
    </row>
    <row r="632" spans="1:2">
      <c r="A632" s="6"/>
      <c r="B632" s="7"/>
    </row>
    <row r="633" spans="1:2">
      <c r="A633" s="6"/>
      <c r="B633" s="7"/>
    </row>
    <row r="634" spans="1:2">
      <c r="A634" s="6"/>
      <c r="B634" s="7"/>
    </row>
    <row r="635" spans="1:2">
      <c r="A635" s="6"/>
      <c r="B635" s="7"/>
    </row>
    <row r="636" spans="1:2">
      <c r="A636" s="6"/>
      <c r="B636" s="7"/>
    </row>
    <row r="637" spans="1:2">
      <c r="A637" s="6"/>
      <c r="B637" s="7"/>
    </row>
    <row r="638" spans="1:2">
      <c r="A638" s="6"/>
      <c r="B638" s="7"/>
    </row>
    <row r="639" spans="1:2">
      <c r="A639" s="6"/>
      <c r="B639" s="7"/>
    </row>
    <row r="640" spans="1:2">
      <c r="A640" s="6"/>
      <c r="B640" s="7"/>
    </row>
    <row r="641" spans="1:2">
      <c r="A641" s="6"/>
      <c r="B641" s="7"/>
    </row>
    <row r="642" spans="1:2">
      <c r="A642" s="6"/>
      <c r="B642" s="7"/>
    </row>
    <row r="643" spans="1:2">
      <c r="A643" s="6"/>
      <c r="B643" s="7"/>
    </row>
    <row r="644" spans="1:2">
      <c r="A644" s="6"/>
      <c r="B644" s="7"/>
    </row>
    <row r="645" spans="1:2">
      <c r="A645" s="6"/>
      <c r="B645" s="7"/>
    </row>
    <row r="646" spans="1:2">
      <c r="A646" s="6"/>
      <c r="B646" s="7"/>
    </row>
    <row r="647" spans="1:2">
      <c r="A647" s="6"/>
      <c r="B647" s="7"/>
    </row>
    <row r="648" spans="1:2">
      <c r="A648" s="6"/>
      <c r="B648" s="7"/>
    </row>
    <row r="649" spans="1:2">
      <c r="A649" s="6"/>
      <c r="B649" s="7"/>
    </row>
    <row r="650" spans="1:2">
      <c r="A650" s="6"/>
      <c r="B650" s="7"/>
    </row>
    <row r="651" spans="1:2">
      <c r="A651" s="6"/>
      <c r="B651" s="7"/>
    </row>
    <row r="652" spans="1:2">
      <c r="A652" s="6"/>
      <c r="B652" s="7"/>
    </row>
    <row r="653" spans="1:2">
      <c r="A653" s="6"/>
      <c r="B653" s="7"/>
    </row>
    <row r="654" spans="1:2">
      <c r="A654" s="6"/>
      <c r="B654" s="7"/>
    </row>
    <row r="655" spans="1:2">
      <c r="A655" s="6"/>
      <c r="B655" s="7"/>
    </row>
    <row r="656" spans="1:2">
      <c r="A656" s="6"/>
      <c r="B656" s="7"/>
    </row>
    <row r="657" spans="1:2">
      <c r="A657" s="6"/>
      <c r="B657" s="7"/>
    </row>
    <row r="658" spans="1:2">
      <c r="A658" s="6"/>
      <c r="B658" s="7"/>
    </row>
    <row r="659" spans="1:2">
      <c r="A659" s="6"/>
      <c r="B659" s="7"/>
    </row>
    <row r="660" spans="1:2">
      <c r="A660" s="6"/>
      <c r="B660" s="7"/>
    </row>
    <row r="661" spans="1:2">
      <c r="A661" s="6"/>
      <c r="B661" s="7"/>
    </row>
    <row r="662" spans="1:2">
      <c r="A662" s="6"/>
      <c r="B662" s="7"/>
    </row>
    <row r="663" spans="1:2">
      <c r="A663" s="6"/>
      <c r="B663" s="7"/>
    </row>
    <row r="664" spans="1:2">
      <c r="A664" s="6"/>
      <c r="B664" s="7"/>
    </row>
    <row r="665" spans="1:2">
      <c r="A665" s="6"/>
      <c r="B665" s="7"/>
    </row>
    <row r="666" spans="1:2">
      <c r="A666" s="6"/>
      <c r="B666" s="7"/>
    </row>
    <row r="667" spans="1:2">
      <c r="A667" s="6"/>
      <c r="B667" s="7"/>
    </row>
    <row r="668" spans="1:2">
      <c r="A668" s="6"/>
      <c r="B668" s="7"/>
    </row>
    <row r="669" spans="1:2">
      <c r="A669" s="6"/>
      <c r="B669" s="7"/>
    </row>
    <row r="670" spans="1:2">
      <c r="A670" s="6"/>
      <c r="B670" s="7"/>
    </row>
    <row r="671" spans="1:2">
      <c r="A671" s="6"/>
      <c r="B671" s="7"/>
    </row>
    <row r="672" spans="1:2">
      <c r="A672" s="6"/>
      <c r="B672" s="7"/>
    </row>
    <row r="673" spans="1:2">
      <c r="A673" s="6"/>
      <c r="B673" s="7"/>
    </row>
    <row r="674" spans="1:2">
      <c r="A674" s="6"/>
      <c r="B674" s="7"/>
    </row>
    <row r="675" spans="1:2">
      <c r="A675" s="6"/>
      <c r="B675" s="7"/>
    </row>
    <row r="676" spans="1:2">
      <c r="A676" s="6"/>
      <c r="B676" s="7"/>
    </row>
    <row r="677" spans="1:2">
      <c r="A677" s="6"/>
      <c r="B677" s="7"/>
    </row>
    <row r="678" spans="1:2">
      <c r="A678" s="6"/>
      <c r="B678" s="7"/>
    </row>
    <row r="679" spans="1:2">
      <c r="A679" s="6"/>
      <c r="B679" s="7"/>
    </row>
    <row r="680" spans="1:2">
      <c r="A680" s="6"/>
      <c r="B680" s="7"/>
    </row>
    <row r="681" spans="1:2">
      <c r="A681" s="6"/>
      <c r="B681" s="7"/>
    </row>
    <row r="682" spans="1:2">
      <c r="A682" s="6"/>
      <c r="B682" s="7"/>
    </row>
    <row r="683" spans="1:2">
      <c r="A683" s="6"/>
      <c r="B683" s="7"/>
    </row>
    <row r="684" spans="1:2">
      <c r="A684" s="6"/>
      <c r="B684" s="7"/>
    </row>
    <row r="685" spans="1:2">
      <c r="A685" s="6"/>
      <c r="B685" s="7"/>
    </row>
    <row r="686" spans="1:2">
      <c r="A686" s="6"/>
      <c r="B686" s="7"/>
    </row>
    <row r="687" spans="1:2">
      <c r="A687" s="6"/>
      <c r="B687" s="7"/>
    </row>
    <row r="688" spans="1:2">
      <c r="A688" s="6"/>
      <c r="B688" s="7"/>
    </row>
    <row r="689" spans="1:2">
      <c r="A689" s="6"/>
      <c r="B689" s="7"/>
    </row>
    <row r="690" spans="1:2">
      <c r="A690" s="6"/>
      <c r="B690" s="7"/>
    </row>
    <row r="691" spans="1:2">
      <c r="A691" s="6"/>
      <c r="B691" s="7"/>
    </row>
    <row r="692" spans="1:2">
      <c r="A692" s="6"/>
      <c r="B692" s="7"/>
    </row>
    <row r="693" spans="1:2">
      <c r="A693" s="6"/>
      <c r="B693" s="7"/>
    </row>
    <row r="694" spans="1:2">
      <c r="A694" s="6"/>
      <c r="B694" s="7"/>
    </row>
    <row r="695" spans="1:2">
      <c r="A695" s="6"/>
      <c r="B695" s="7"/>
    </row>
    <row r="696" spans="1:2">
      <c r="A696" s="6"/>
      <c r="B696" s="7"/>
    </row>
    <row r="697" spans="1:2">
      <c r="A697" s="6"/>
      <c r="B697" s="7"/>
    </row>
    <row r="698" spans="1:2">
      <c r="A698" s="6"/>
      <c r="B698" s="7"/>
    </row>
    <row r="699" spans="1:2">
      <c r="A699" s="6"/>
      <c r="B699" s="7"/>
    </row>
    <row r="700" spans="1:2">
      <c r="A700" s="6"/>
      <c r="B700" s="7"/>
    </row>
    <row r="701" spans="1:2">
      <c r="A701" s="6"/>
      <c r="B701" s="7"/>
    </row>
    <row r="702" spans="1:2">
      <c r="A702" s="6"/>
      <c r="B702" s="7"/>
    </row>
    <row r="703" spans="1:2">
      <c r="A703" s="6"/>
      <c r="B703" s="7"/>
    </row>
    <row r="704" spans="1:2">
      <c r="A704" s="6"/>
      <c r="B704" s="7"/>
    </row>
    <row r="705" spans="1:2">
      <c r="A705" s="6"/>
      <c r="B705" s="7"/>
    </row>
    <row r="706" spans="1:2">
      <c r="A706" s="6"/>
      <c r="B706" s="7"/>
    </row>
    <row r="707" spans="1:2">
      <c r="A707" s="6"/>
      <c r="B707" s="7"/>
    </row>
    <row r="708" spans="1:2">
      <c r="A708" s="6"/>
      <c r="B708" s="7"/>
    </row>
    <row r="709" spans="1:2">
      <c r="A709" s="6"/>
      <c r="B709" s="7"/>
    </row>
    <row r="710" spans="1:2">
      <c r="A710" s="6"/>
      <c r="B710" s="7"/>
    </row>
    <row r="711" spans="1:2">
      <c r="A711" s="6"/>
      <c r="B711" s="7"/>
    </row>
    <row r="712" spans="1:2">
      <c r="A712" s="6"/>
      <c r="B712" s="7"/>
    </row>
    <row r="713" spans="1:2">
      <c r="A713" s="6"/>
      <c r="B713" s="7"/>
    </row>
    <row r="714" spans="1:2">
      <c r="A714" s="6"/>
      <c r="B714" s="7"/>
    </row>
    <row r="715" spans="1:2">
      <c r="A715" s="6"/>
      <c r="B715" s="7"/>
    </row>
    <row r="716" spans="1:2">
      <c r="A716" s="6"/>
      <c r="B716" s="7"/>
    </row>
    <row r="717" spans="1:2">
      <c r="A717" s="6"/>
      <c r="B717" s="7"/>
    </row>
    <row r="718" spans="1:2">
      <c r="A718" s="6"/>
      <c r="B718" s="7"/>
    </row>
    <row r="719" spans="1:2">
      <c r="A719" s="6"/>
      <c r="B719" s="7"/>
    </row>
    <row r="720" spans="1:2">
      <c r="A720" s="6"/>
      <c r="B720" s="7"/>
    </row>
    <row r="721" spans="1:2">
      <c r="A721" s="6"/>
      <c r="B721" s="7"/>
    </row>
    <row r="722" spans="1:2">
      <c r="A722" s="6"/>
      <c r="B722" s="7"/>
    </row>
    <row r="723" spans="1:2">
      <c r="A723" s="6"/>
      <c r="B723" s="7"/>
    </row>
    <row r="724" spans="1:2">
      <c r="A724" s="6"/>
      <c r="B724" s="7"/>
    </row>
    <row r="725" spans="1:2">
      <c r="A725" s="6"/>
      <c r="B725" s="7"/>
    </row>
    <row r="726" spans="1:2">
      <c r="A726" s="6"/>
      <c r="B726" s="7"/>
    </row>
    <row r="727" spans="1:2">
      <c r="A727" s="6"/>
      <c r="B727" s="7"/>
    </row>
    <row r="728" spans="1:2">
      <c r="A728" s="6"/>
      <c r="B728" s="7"/>
    </row>
    <row r="729" spans="1:2">
      <c r="A729" s="6"/>
      <c r="B729" s="7"/>
    </row>
    <row r="730" spans="1:2">
      <c r="A730" s="6"/>
      <c r="B730" s="7"/>
    </row>
    <row r="731" spans="1:2">
      <c r="A731" s="6"/>
      <c r="B731" s="7"/>
    </row>
    <row r="732" spans="1:2">
      <c r="A732" s="6"/>
      <c r="B732" s="7"/>
    </row>
    <row r="733" spans="1:2">
      <c r="A733" s="6"/>
      <c r="B733" s="7"/>
    </row>
    <row r="734" spans="1:2">
      <c r="A734" s="6"/>
      <c r="B734" s="7"/>
    </row>
    <row r="735" spans="1:2">
      <c r="A735" s="6"/>
      <c r="B735" s="7"/>
    </row>
    <row r="736" spans="1:2">
      <c r="A736" s="6"/>
      <c r="B736" s="7"/>
    </row>
    <row r="737" spans="1:2">
      <c r="A737" s="6"/>
      <c r="B737" s="7"/>
    </row>
    <row r="738" spans="1:2">
      <c r="A738" s="6"/>
      <c r="B738" s="7"/>
    </row>
    <row r="739" spans="1:2">
      <c r="A739" s="6"/>
      <c r="B739" s="7"/>
    </row>
    <row r="740" spans="1:2">
      <c r="A740" s="6"/>
      <c r="B740" s="7"/>
    </row>
    <row r="741" spans="1:2">
      <c r="A741" s="6"/>
      <c r="B741" s="7"/>
    </row>
    <row r="742" spans="1:2">
      <c r="A742" s="6"/>
      <c r="B742" s="7"/>
    </row>
    <row r="743" spans="1:2">
      <c r="A743" s="6"/>
      <c r="B743" s="7"/>
    </row>
    <row r="744" spans="1:2">
      <c r="A744" s="6"/>
      <c r="B744" s="7"/>
    </row>
    <row r="745" spans="1:2">
      <c r="A745" s="6"/>
      <c r="B745" s="7"/>
    </row>
    <row r="746" spans="1:2">
      <c r="A746" s="6"/>
      <c r="B746" s="7"/>
    </row>
    <row r="747" spans="1:2">
      <c r="A747" s="6"/>
      <c r="B747" s="7"/>
    </row>
    <row r="748" spans="1:2">
      <c r="A748" s="6"/>
      <c r="B748" s="7"/>
    </row>
    <row r="749" spans="1:2">
      <c r="A749" s="6"/>
      <c r="B749" s="7"/>
    </row>
    <row r="750" spans="1:2">
      <c r="A750" s="6"/>
      <c r="B750" s="7"/>
    </row>
    <row r="751" spans="1:2">
      <c r="A751" s="6"/>
      <c r="B751" s="7"/>
    </row>
    <row r="752" spans="1:2">
      <c r="A752" s="6"/>
      <c r="B752" s="7"/>
    </row>
    <row r="753" spans="1:2">
      <c r="A753" s="6"/>
      <c r="B753" s="7"/>
    </row>
    <row r="754" spans="1:2">
      <c r="A754" s="6"/>
      <c r="B754" s="7"/>
    </row>
    <row r="755" spans="1:2">
      <c r="A755" s="6"/>
      <c r="B755" s="7"/>
    </row>
    <row r="756" spans="1:2">
      <c r="A756" s="6"/>
      <c r="B756" s="7"/>
    </row>
    <row r="757" spans="1:2">
      <c r="A757" s="6"/>
      <c r="B757" s="7"/>
    </row>
    <row r="758" spans="1:2">
      <c r="A758" s="6"/>
      <c r="B758" s="7"/>
    </row>
    <row r="759" spans="1:2">
      <c r="A759" s="6"/>
      <c r="B759" s="7"/>
    </row>
    <row r="760" spans="1:2">
      <c r="A760" s="6"/>
      <c r="B760" s="7"/>
    </row>
    <row r="761" spans="1:2">
      <c r="A761" s="6"/>
      <c r="B761" s="7"/>
    </row>
    <row r="762" spans="1:2">
      <c r="A762" s="6"/>
      <c r="B762" s="7"/>
    </row>
    <row r="763" spans="1:2">
      <c r="A763" s="6"/>
      <c r="B763" s="7"/>
    </row>
    <row r="764" spans="1:2">
      <c r="A764" s="6"/>
      <c r="B764" s="7"/>
    </row>
    <row r="765" spans="1:2">
      <c r="A765" s="6"/>
      <c r="B765" s="7"/>
    </row>
    <row r="766" spans="1:2">
      <c r="A766" s="6"/>
      <c r="B766" s="7"/>
    </row>
    <row r="767" spans="1:2">
      <c r="A767" s="6"/>
      <c r="B767" s="7"/>
    </row>
    <row r="768" spans="1:2">
      <c r="A768" s="6"/>
      <c r="B768" s="7"/>
    </row>
    <row r="769" spans="1:2">
      <c r="A769" s="6"/>
      <c r="B769" s="7"/>
    </row>
    <row r="770" spans="1:2">
      <c r="A770" s="6"/>
      <c r="B770" s="7"/>
    </row>
    <row r="771" spans="1:2">
      <c r="A771" s="6"/>
      <c r="B771" s="7"/>
    </row>
    <row r="772" spans="1:2">
      <c r="A772" s="6"/>
      <c r="B772" s="7"/>
    </row>
    <row r="773" spans="1:2">
      <c r="A773" s="6"/>
      <c r="B773" s="7"/>
    </row>
    <row r="774" spans="1:2">
      <c r="A774" s="6"/>
      <c r="B774" s="7"/>
    </row>
    <row r="775" spans="1:2">
      <c r="A775" s="6"/>
      <c r="B775" s="7"/>
    </row>
    <row r="776" spans="1:2">
      <c r="A776" s="6"/>
      <c r="B776" s="7"/>
    </row>
    <row r="777" spans="1:2">
      <c r="A777" s="6"/>
      <c r="B777" s="7"/>
    </row>
    <row r="778" spans="1:2">
      <c r="A778" s="6"/>
      <c r="B778" s="7"/>
    </row>
    <row r="779" spans="1:2">
      <c r="A779" s="6"/>
      <c r="B779" s="7"/>
    </row>
    <row r="780" spans="1:2">
      <c r="A780" s="6"/>
      <c r="B780" s="7"/>
    </row>
    <row r="781" spans="1:2">
      <c r="A781" s="6"/>
      <c r="B781" s="7"/>
    </row>
    <row r="782" spans="1:2">
      <c r="A782" s="6"/>
      <c r="B782" s="7"/>
    </row>
    <row r="783" spans="1:2">
      <c r="A783" s="6"/>
      <c r="B783" s="7"/>
    </row>
    <row r="784" spans="1:2">
      <c r="A784" s="6"/>
      <c r="B784" s="7"/>
    </row>
    <row r="785" spans="1:2">
      <c r="A785" s="6"/>
      <c r="B785" s="7"/>
    </row>
    <row r="786" spans="1:2">
      <c r="A786" s="6"/>
      <c r="B786" s="7"/>
    </row>
    <row r="787" spans="1:2">
      <c r="A787" s="6"/>
      <c r="B787" s="7"/>
    </row>
    <row r="788" spans="1:2">
      <c r="A788" s="6"/>
      <c r="B788" s="7"/>
    </row>
    <row r="789" spans="1:2">
      <c r="A789" s="6"/>
      <c r="B789" s="7"/>
    </row>
    <row r="790" spans="1:2">
      <c r="A790" s="6"/>
      <c r="B790" s="7"/>
    </row>
    <row r="791" spans="1:2">
      <c r="A791" s="6"/>
      <c r="B791" s="7"/>
    </row>
    <row r="792" spans="1:2">
      <c r="A792" s="6"/>
      <c r="B792" s="7"/>
    </row>
    <row r="793" spans="1:2">
      <c r="A793" s="6"/>
      <c r="B793" s="7"/>
    </row>
    <row r="794" spans="1:2">
      <c r="A794" s="6"/>
      <c r="B794" s="7"/>
    </row>
    <row r="795" spans="1:2">
      <c r="A795" s="6"/>
      <c r="B795" s="7"/>
    </row>
    <row r="796" spans="1:2">
      <c r="A796" s="6"/>
      <c r="B796" s="7"/>
    </row>
    <row r="797" spans="1:2">
      <c r="A797" s="6"/>
      <c r="B797" s="7"/>
    </row>
    <row r="798" spans="1:2">
      <c r="A798" s="6"/>
      <c r="B798" s="7"/>
    </row>
    <row r="799" spans="1:2">
      <c r="A799" s="6"/>
      <c r="B799" s="7"/>
    </row>
    <row r="800" spans="1:2">
      <c r="A800" s="6"/>
      <c r="B800" s="7"/>
    </row>
    <row r="801" spans="1:2">
      <c r="A801" s="6"/>
      <c r="B801" s="7"/>
    </row>
    <row r="802" spans="1:2">
      <c r="A802" s="6"/>
      <c r="B802" s="7"/>
    </row>
    <row r="803" spans="1:2">
      <c r="A803" s="6"/>
      <c r="B803" s="7"/>
    </row>
    <row r="804" spans="1:2">
      <c r="A804" s="6"/>
      <c r="B804" s="7"/>
    </row>
    <row r="805" spans="1:2">
      <c r="A805" s="6"/>
      <c r="B805" s="7"/>
    </row>
    <row r="806" spans="1:2">
      <c r="A806" s="6"/>
      <c r="B806" s="7"/>
    </row>
    <row r="807" spans="1:2">
      <c r="A807" s="6"/>
      <c r="B807" s="7"/>
    </row>
    <row r="808" spans="1:2">
      <c r="A808" s="6"/>
      <c r="B808" s="7"/>
    </row>
    <row r="809" spans="1:2">
      <c r="A809" s="6"/>
      <c r="B809" s="7"/>
    </row>
    <row r="810" spans="1:2">
      <c r="A810" s="6"/>
      <c r="B810" s="7"/>
    </row>
    <row r="811" spans="1:2">
      <c r="A811" s="6"/>
      <c r="B811" s="7"/>
    </row>
    <row r="812" spans="1:2">
      <c r="A812" s="6"/>
      <c r="B812" s="7"/>
    </row>
    <row r="813" spans="1:2">
      <c r="A813" s="6"/>
      <c r="B813" s="7"/>
    </row>
    <row r="814" spans="1:2">
      <c r="A814" s="6"/>
      <c r="B814" s="7"/>
    </row>
    <row r="815" spans="1:2">
      <c r="A815" s="6"/>
      <c r="B815" s="7"/>
    </row>
    <row r="816" spans="1:2">
      <c r="A816" s="6"/>
      <c r="B816" s="7"/>
    </row>
    <row r="817" spans="1:2">
      <c r="A817" s="6"/>
      <c r="B817" s="7"/>
    </row>
    <row r="818" spans="1:2">
      <c r="A818" s="6"/>
      <c r="B818" s="7"/>
    </row>
    <row r="819" spans="1:2">
      <c r="A819" s="6"/>
      <c r="B819" s="7"/>
    </row>
    <row r="820" spans="1:2">
      <c r="A820" s="6"/>
      <c r="B820" s="7"/>
    </row>
    <row r="821" spans="1:2">
      <c r="A821" s="6"/>
      <c r="B821" s="7"/>
    </row>
    <row r="822" spans="1:2">
      <c r="A822" s="6"/>
      <c r="B822" s="7"/>
    </row>
    <row r="823" spans="1:2">
      <c r="A823" s="6"/>
      <c r="B823" s="7"/>
    </row>
    <row r="824" spans="1:2">
      <c r="A824" s="6"/>
      <c r="B824" s="7"/>
    </row>
    <row r="825" spans="1:2">
      <c r="A825" s="6"/>
      <c r="B825" s="7"/>
    </row>
    <row r="826" spans="1:2">
      <c r="A826" s="6"/>
      <c r="B826" s="7"/>
    </row>
    <row r="827" spans="1:2">
      <c r="A827" s="6"/>
      <c r="B827" s="7"/>
    </row>
    <row r="828" spans="1:2">
      <c r="A828" s="6"/>
      <c r="B828" s="7"/>
    </row>
    <row r="829" spans="1:2">
      <c r="A829" s="6"/>
      <c r="B829" s="7"/>
    </row>
    <row r="830" spans="1:2">
      <c r="A830" s="6"/>
      <c r="B830" s="7"/>
    </row>
    <row r="831" spans="1:2">
      <c r="A831" s="6"/>
      <c r="B831" s="7"/>
    </row>
    <row r="832" spans="1:2">
      <c r="A832" s="6"/>
      <c r="B832" s="7"/>
    </row>
    <row r="833" spans="1:2">
      <c r="A833" s="6"/>
      <c r="B833" s="7"/>
    </row>
    <row r="834" spans="1:2">
      <c r="A834" s="6"/>
      <c r="B834" s="7"/>
    </row>
    <row r="835" spans="1:2">
      <c r="A835" s="6"/>
      <c r="B835" s="7"/>
    </row>
    <row r="836" spans="1:2">
      <c r="A836" s="6"/>
      <c r="B836" s="7"/>
    </row>
    <row r="837" spans="1:2">
      <c r="A837" s="6"/>
      <c r="B837" s="7"/>
    </row>
    <row r="838" spans="1:2">
      <c r="A838" s="6"/>
      <c r="B838" s="7"/>
    </row>
    <row r="839" spans="1:2">
      <c r="A839" s="6"/>
      <c r="B839" s="7"/>
    </row>
    <row r="840" spans="1:2">
      <c r="A840" s="6"/>
      <c r="B840" s="7"/>
    </row>
    <row r="841" spans="1:2">
      <c r="A841" s="6"/>
      <c r="B841" s="7"/>
    </row>
    <row r="842" spans="1:2">
      <c r="A842" s="6"/>
      <c r="B842" s="7"/>
    </row>
    <row r="843" spans="1:2">
      <c r="A843" s="6"/>
      <c r="B843" s="7"/>
    </row>
    <row r="844" spans="1:2">
      <c r="A844" s="6"/>
      <c r="B844" s="7"/>
    </row>
    <row r="845" spans="1:2">
      <c r="A845" s="6"/>
      <c r="B845" s="7"/>
    </row>
    <row r="846" spans="1:2">
      <c r="A846" s="6"/>
      <c r="B846" s="7"/>
    </row>
    <row r="847" spans="1:2">
      <c r="A847" s="6"/>
      <c r="B847" s="7"/>
    </row>
    <row r="848" spans="1:2">
      <c r="A848" s="6"/>
      <c r="B848" s="7"/>
    </row>
    <row r="849" spans="1:2">
      <c r="A849" s="6"/>
      <c r="B849" s="7"/>
    </row>
    <row r="850" spans="1:2">
      <c r="A850" s="6"/>
      <c r="B850" s="7"/>
    </row>
    <row r="851" spans="1:2">
      <c r="A851" s="6"/>
      <c r="B851" s="7"/>
    </row>
    <row r="852" spans="1:2">
      <c r="A852" s="6"/>
      <c r="B852" s="7"/>
    </row>
    <row r="853" spans="1:2">
      <c r="A853" s="6"/>
      <c r="B853" s="7"/>
    </row>
    <row r="854" spans="1:2">
      <c r="A854" s="6"/>
      <c r="B854" s="7"/>
    </row>
    <row r="855" spans="1:2">
      <c r="A855" s="6"/>
      <c r="B855" s="7"/>
    </row>
    <row r="856" spans="1:2">
      <c r="A856" s="6"/>
      <c r="B856" s="7"/>
    </row>
    <row r="857" spans="1:2">
      <c r="A857" s="6"/>
      <c r="B857" s="7"/>
    </row>
    <row r="858" spans="1:2">
      <c r="A858" s="6"/>
      <c r="B858" s="7"/>
    </row>
    <row r="859" spans="1:2">
      <c r="A859" s="6"/>
      <c r="B859" s="7"/>
    </row>
    <row r="860" spans="1:2">
      <c r="A860" s="6"/>
      <c r="B860" s="7"/>
    </row>
    <row r="861" spans="1:2">
      <c r="A861" s="6"/>
      <c r="B861" s="7"/>
    </row>
    <row r="862" spans="1:2">
      <c r="A862" s="6"/>
      <c r="B862" s="7"/>
    </row>
    <row r="863" spans="1:2">
      <c r="A863" s="6"/>
      <c r="B863" s="7"/>
    </row>
    <row r="864" spans="1:2">
      <c r="A864" s="6"/>
      <c r="B864" s="7"/>
    </row>
    <row r="865" spans="1:2">
      <c r="A865" s="6"/>
      <c r="B865" s="7"/>
    </row>
    <row r="866" spans="1:2">
      <c r="A866" s="6"/>
      <c r="B866" s="7"/>
    </row>
    <row r="867" spans="1:2">
      <c r="A867" s="6"/>
      <c r="B867" s="7"/>
    </row>
    <row r="868" spans="1:2">
      <c r="A868" s="6"/>
      <c r="B868" s="7"/>
    </row>
    <row r="869" spans="1:2">
      <c r="A869" s="6"/>
      <c r="B869" s="7"/>
    </row>
    <row r="870" spans="1:2">
      <c r="A870" s="6"/>
      <c r="B870" s="7"/>
    </row>
    <row r="871" spans="1:2">
      <c r="A871" s="6"/>
      <c r="B871" s="7"/>
    </row>
    <row r="872" spans="1:2">
      <c r="A872" s="6"/>
      <c r="B872" s="7"/>
    </row>
    <row r="873" spans="1:2">
      <c r="A873" s="6"/>
      <c r="B873" s="7"/>
    </row>
    <row r="874" spans="1:2">
      <c r="A874" s="6"/>
      <c r="B874" s="7"/>
    </row>
    <row r="875" spans="1:2">
      <c r="A875" s="6"/>
      <c r="B875" s="7"/>
    </row>
    <row r="876" spans="1:2">
      <c r="A876" s="6"/>
      <c r="B876" s="7"/>
    </row>
    <row r="877" spans="1:2">
      <c r="A877" s="6"/>
      <c r="B877" s="7"/>
    </row>
    <row r="878" spans="1:2">
      <c r="A878" s="6"/>
      <c r="B878" s="7"/>
    </row>
    <row r="879" spans="1:2">
      <c r="A879" s="6"/>
      <c r="B879" s="7"/>
    </row>
    <row r="880" spans="1:2">
      <c r="A880" s="6"/>
      <c r="B880" s="7"/>
    </row>
    <row r="881" spans="1:2">
      <c r="A881" s="6"/>
      <c r="B881" s="7"/>
    </row>
    <row r="882" spans="1:2">
      <c r="A882" s="6"/>
      <c r="B882" s="7"/>
    </row>
    <row r="883" spans="1:2">
      <c r="A883" s="6"/>
      <c r="B883" s="7"/>
    </row>
    <row r="884" spans="1:2">
      <c r="A884" s="6"/>
      <c r="B884" s="7"/>
    </row>
    <row r="885" spans="1:2">
      <c r="A885" s="6"/>
      <c r="B885" s="7"/>
    </row>
    <row r="886" spans="1:2">
      <c r="A886" s="6"/>
      <c r="B886" s="7"/>
    </row>
    <row r="887" spans="1:2">
      <c r="A887" s="6"/>
      <c r="B887" s="7"/>
    </row>
    <row r="888" spans="1:2">
      <c r="A888" s="6"/>
      <c r="B888" s="7"/>
    </row>
    <row r="889" spans="1:2">
      <c r="A889" s="6"/>
      <c r="B889" s="7"/>
    </row>
    <row r="890" spans="1:2">
      <c r="A890" s="6"/>
      <c r="B890" s="7"/>
    </row>
    <row r="891" spans="1:2">
      <c r="A891" s="6"/>
      <c r="B891" s="7"/>
    </row>
    <row r="892" spans="1:2">
      <c r="A892" s="6"/>
      <c r="B892" s="7"/>
    </row>
    <row r="893" spans="1:2">
      <c r="A893" s="6"/>
      <c r="B893" s="7"/>
    </row>
    <row r="894" spans="1:2">
      <c r="A894" s="6"/>
      <c r="B894" s="7"/>
    </row>
    <row r="895" spans="1:2">
      <c r="A895" s="6"/>
      <c r="B895" s="7"/>
    </row>
    <row r="896" spans="1:2">
      <c r="A896" s="6"/>
      <c r="B896" s="7"/>
    </row>
    <row r="897" spans="1:2">
      <c r="A897" s="6"/>
      <c r="B897" s="7"/>
    </row>
    <row r="898" spans="1:2">
      <c r="A898" s="6"/>
      <c r="B898" s="7"/>
    </row>
    <row r="899" spans="1:2">
      <c r="A899" s="6"/>
      <c r="B899" s="7"/>
    </row>
    <row r="900" spans="1:2">
      <c r="A900" s="6"/>
      <c r="B900" s="7"/>
    </row>
    <row r="901" spans="1:2">
      <c r="A901" s="6"/>
      <c r="B901" s="7"/>
    </row>
    <row r="902" spans="1:2">
      <c r="A902" s="6"/>
      <c r="B902" s="7"/>
    </row>
    <row r="903" spans="1:2">
      <c r="A903" s="6"/>
      <c r="B903" s="7"/>
    </row>
    <row r="904" spans="1:2">
      <c r="A904" s="6"/>
      <c r="B904" s="7"/>
    </row>
    <row r="905" spans="1:2">
      <c r="A905" s="6"/>
      <c r="B905" s="7"/>
    </row>
    <row r="906" spans="1:2">
      <c r="A906" s="6"/>
      <c r="B906" s="7"/>
    </row>
    <row r="907" spans="1:2">
      <c r="A907" s="6"/>
      <c r="B907" s="7"/>
    </row>
    <row r="908" spans="1:2">
      <c r="A908" s="6"/>
      <c r="B908" s="7"/>
    </row>
    <row r="909" spans="1:2">
      <c r="A909" s="6"/>
      <c r="B909" s="7"/>
    </row>
    <row r="910" spans="1:2">
      <c r="A910" s="6"/>
      <c r="B910" s="7"/>
    </row>
    <row r="911" spans="1:2">
      <c r="A911" s="6"/>
      <c r="B911" s="7"/>
    </row>
    <row r="912" spans="1:2">
      <c r="A912" s="6"/>
      <c r="B912" s="7"/>
    </row>
    <row r="913" spans="1:2">
      <c r="A913" s="6"/>
      <c r="B913" s="7"/>
    </row>
    <row r="914" spans="1:2">
      <c r="A914" s="6"/>
      <c r="B914" s="7"/>
    </row>
    <row r="915" spans="1:2">
      <c r="A915" s="6"/>
      <c r="B915" s="7"/>
    </row>
    <row r="916" spans="1:2">
      <c r="A916" s="6"/>
      <c r="B916" s="7"/>
    </row>
    <row r="917" spans="1:2">
      <c r="A917" s="6"/>
      <c r="B917" s="7"/>
    </row>
    <row r="918" spans="1:2">
      <c r="A918" s="6"/>
      <c r="B918" s="7"/>
    </row>
    <row r="919" spans="1:2">
      <c r="A919" s="6"/>
      <c r="B919" s="7"/>
    </row>
    <row r="920" spans="1:2">
      <c r="A920" s="6"/>
      <c r="B920" s="7"/>
    </row>
    <row r="921" spans="1:2">
      <c r="A921" s="6"/>
      <c r="B921" s="7"/>
    </row>
    <row r="922" spans="1:2">
      <c r="A922" s="6"/>
      <c r="B922" s="7"/>
    </row>
    <row r="923" spans="1:2">
      <c r="A923" s="6"/>
      <c r="B923" s="7"/>
    </row>
    <row r="924" spans="1:2">
      <c r="A924" s="6"/>
      <c r="B924" s="7"/>
    </row>
    <row r="925" spans="1:2">
      <c r="A925" s="6"/>
      <c r="B925" s="7"/>
    </row>
    <row r="926" spans="1:2">
      <c r="A926" s="6"/>
      <c r="B926" s="7"/>
    </row>
    <row r="927" spans="1:2">
      <c r="A927" s="6"/>
      <c r="B927" s="7"/>
    </row>
    <row r="928" spans="1:2">
      <c r="A928" s="6"/>
      <c r="B928" s="7"/>
    </row>
    <row r="929" spans="1:2">
      <c r="A929" s="6"/>
      <c r="B929" s="7"/>
    </row>
    <row r="930" spans="1:2">
      <c r="A930" s="6"/>
      <c r="B930" s="7"/>
    </row>
    <row r="931" spans="1:2">
      <c r="A931" s="6"/>
      <c r="B931" s="7"/>
    </row>
    <row r="932" spans="1:2">
      <c r="A932" s="6"/>
      <c r="B932" s="7"/>
    </row>
    <row r="933" spans="1:2">
      <c r="A933" s="6"/>
      <c r="B933" s="7"/>
    </row>
    <row r="934" spans="1:2">
      <c r="A934" s="6"/>
      <c r="B934" s="7"/>
    </row>
    <row r="935" spans="1:2">
      <c r="A935" s="6"/>
      <c r="B935" s="7"/>
    </row>
    <row r="936" spans="1:2">
      <c r="A936" s="6"/>
      <c r="B936" s="7"/>
    </row>
    <row r="937" spans="1:2">
      <c r="A937" s="6"/>
      <c r="B937" s="7"/>
    </row>
    <row r="938" spans="1:2">
      <c r="A938" s="6"/>
      <c r="B938" s="7"/>
    </row>
    <row r="939" spans="1:2">
      <c r="A939" s="6"/>
      <c r="B939" s="7"/>
    </row>
    <row r="940" spans="1:2">
      <c r="A940" s="6"/>
      <c r="B940" s="7"/>
    </row>
    <row r="941" spans="1:2">
      <c r="A941" s="6"/>
      <c r="B941" s="7"/>
    </row>
    <row r="942" spans="1:2">
      <c r="A942" s="6"/>
      <c r="B942" s="7"/>
    </row>
    <row r="943" spans="1:2">
      <c r="A943" s="6"/>
      <c r="B943" s="7"/>
    </row>
    <row r="944" spans="1:2">
      <c r="A944" s="6"/>
      <c r="B944" s="7"/>
    </row>
    <row r="945" spans="1:2">
      <c r="A945" s="6"/>
      <c r="B945" s="7"/>
    </row>
    <row r="946" spans="1:2">
      <c r="A946" s="6"/>
      <c r="B946" s="7"/>
    </row>
    <row r="947" spans="1:2">
      <c r="A947" s="6"/>
      <c r="B947" s="7"/>
    </row>
    <row r="948" spans="1:2">
      <c r="A948" s="6"/>
      <c r="B948" s="7"/>
    </row>
    <row r="949" spans="1:2">
      <c r="A949" s="6"/>
      <c r="B949" s="7"/>
    </row>
    <row r="950" spans="1:2">
      <c r="A950" s="6"/>
      <c r="B950" s="7"/>
    </row>
    <row r="951" spans="1:2">
      <c r="A951" s="6"/>
      <c r="B951" s="7"/>
    </row>
    <row r="952" spans="1:2">
      <c r="A952" s="6"/>
      <c r="B952" s="7"/>
    </row>
    <row r="953" spans="1:2">
      <c r="A953" s="6"/>
      <c r="B953" s="7"/>
    </row>
    <row r="954" spans="1:2">
      <c r="A954" s="6"/>
      <c r="B954" s="7"/>
    </row>
    <row r="955" spans="1:2">
      <c r="A955" s="6"/>
      <c r="B955" s="7"/>
    </row>
    <row r="956" spans="1:2">
      <c r="A956" s="6"/>
      <c r="B956" s="7"/>
    </row>
    <row r="957" spans="1:2">
      <c r="A957" s="6"/>
      <c r="B957" s="7"/>
    </row>
    <row r="958" spans="1:2">
      <c r="A958" s="6"/>
      <c r="B958" s="7"/>
    </row>
    <row r="959" spans="1:2">
      <c r="A959" s="6"/>
      <c r="B959" s="7"/>
    </row>
    <row r="960" spans="1:2">
      <c r="A960" s="6"/>
      <c r="B960" s="7"/>
    </row>
    <row r="961" spans="1:2">
      <c r="A961" s="6"/>
      <c r="B961" s="7"/>
    </row>
    <row r="962" spans="1:2">
      <c r="A962" s="6"/>
      <c r="B962" s="7"/>
    </row>
    <row r="963" spans="1:2">
      <c r="A963" s="6"/>
      <c r="B963" s="7"/>
    </row>
    <row r="964" spans="1:2">
      <c r="A964" s="6"/>
      <c r="B964" s="7"/>
    </row>
    <row r="965" spans="1:2">
      <c r="A965" s="6"/>
      <c r="B965" s="7"/>
    </row>
    <row r="966" spans="1:2">
      <c r="A966" s="6"/>
      <c r="B966" s="7"/>
    </row>
    <row r="967" spans="1:2">
      <c r="A967" s="6"/>
      <c r="B967" s="7"/>
    </row>
    <row r="968" spans="1:2">
      <c r="A968" s="6"/>
      <c r="B968" s="7"/>
    </row>
    <row r="969" spans="1:2">
      <c r="A969" s="6"/>
      <c r="B969" s="7"/>
    </row>
    <row r="970" spans="1:2">
      <c r="A970" s="6"/>
      <c r="B970" s="7"/>
    </row>
    <row r="971" spans="1:2">
      <c r="A971" s="6"/>
      <c r="B971" s="7"/>
    </row>
    <row r="972" spans="1:2">
      <c r="A972" s="6"/>
      <c r="B972" s="7"/>
    </row>
    <row r="973" spans="1:2">
      <c r="A973" s="6"/>
      <c r="B973" s="7"/>
    </row>
    <row r="974" spans="1:2">
      <c r="A974" s="6"/>
      <c r="B974" s="7"/>
    </row>
    <row r="975" spans="1:2">
      <c r="A975" s="6"/>
      <c r="B975" s="7"/>
    </row>
    <row r="976" spans="1:2">
      <c r="A976" s="6"/>
      <c r="B976" s="7"/>
    </row>
    <row r="977" spans="1:2">
      <c r="A977" s="6"/>
      <c r="B977" s="7"/>
    </row>
    <row r="978" spans="1:2">
      <c r="A978" s="6"/>
      <c r="B978" s="7"/>
    </row>
    <row r="979" spans="1:2">
      <c r="A979" s="6"/>
      <c r="B979" s="7"/>
    </row>
    <row r="980" spans="1:2">
      <c r="A980" s="6"/>
      <c r="B980" s="7"/>
    </row>
    <row r="981" spans="1:2">
      <c r="A981" s="6"/>
      <c r="B981" s="7"/>
    </row>
    <row r="982" spans="1:2">
      <c r="A982" s="6"/>
      <c r="B982" s="7"/>
    </row>
    <row r="983" spans="1:2">
      <c r="A983" s="6"/>
      <c r="B983" s="7"/>
    </row>
    <row r="984" spans="1:2">
      <c r="A984" s="6"/>
      <c r="B984" s="7"/>
    </row>
    <row r="985" spans="1:2">
      <c r="A985" s="6"/>
      <c r="B985" s="7"/>
    </row>
    <row r="986" spans="1:2">
      <c r="A986" s="6"/>
      <c r="B986" s="7"/>
    </row>
    <row r="987" spans="1:2">
      <c r="A987" s="6"/>
      <c r="B987" s="7"/>
    </row>
    <row r="988" spans="1:2">
      <c r="A988" s="6"/>
      <c r="B988" s="7"/>
    </row>
    <row r="989" spans="1:2">
      <c r="A989" s="6"/>
      <c r="B989" s="7"/>
    </row>
    <row r="990" spans="1:2">
      <c r="A990" s="6"/>
      <c r="B990" s="7"/>
    </row>
    <row r="991" spans="1:2">
      <c r="A991" s="6"/>
      <c r="B991" s="7"/>
    </row>
    <row r="992" spans="1:2">
      <c r="A992" s="6"/>
      <c r="B992" s="7"/>
    </row>
    <row r="993" spans="1:2">
      <c r="A993" s="6"/>
      <c r="B993" s="7"/>
    </row>
    <row r="994" spans="1:2">
      <c r="A994" s="6"/>
      <c r="B994" s="7"/>
    </row>
    <row r="995" spans="1:2">
      <c r="A995" s="6"/>
      <c r="B995" s="7"/>
    </row>
    <row r="996" spans="1:2">
      <c r="A996" s="6"/>
      <c r="B996" s="7"/>
    </row>
    <row r="997" spans="1:2">
      <c r="A997" s="6"/>
      <c r="B997" s="7"/>
    </row>
    <row r="998" spans="1:2">
      <c r="A998" s="6"/>
      <c r="B998" s="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CX100"/>
  <sheetViews>
    <sheetView workbookViewId="0">
      <pane ySplit="1" topLeftCell="A2" activePane="bottomLeft" state="frozen"/>
      <selection pane="bottomLeft" activeCell="B3" sqref="B3"/>
    </sheetView>
  </sheetViews>
  <sheetFormatPr defaultColWidth="14.42578125" defaultRowHeight="15.75" customHeight="1"/>
  <cols>
    <col min="1" max="1" width="33.85546875" customWidth="1"/>
    <col min="8" max="9" width="37.5703125" customWidth="1"/>
    <col min="12" max="12" width="20.5703125" customWidth="1"/>
    <col min="64" max="73" width="16.140625" customWidth="1"/>
  </cols>
  <sheetData>
    <row r="1" spans="1:102" ht="45">
      <c r="A1" s="51" t="s">
        <v>210</v>
      </c>
      <c r="B1" s="52" t="s">
        <v>211</v>
      </c>
      <c r="C1" s="53" t="s">
        <v>206</v>
      </c>
      <c r="D1" s="51" t="s">
        <v>187</v>
      </c>
      <c r="E1" s="51" t="s">
        <v>48</v>
      </c>
      <c r="F1" s="51" t="s">
        <v>49</v>
      </c>
      <c r="G1" s="51" t="s">
        <v>50</v>
      </c>
      <c r="H1" s="51" t="s">
        <v>51</v>
      </c>
      <c r="I1" s="51" t="s">
        <v>176</v>
      </c>
      <c r="J1" s="51" t="s">
        <v>179</v>
      </c>
      <c r="K1" s="54" t="s">
        <v>52</v>
      </c>
      <c r="L1" s="55" t="s">
        <v>174</v>
      </c>
      <c r="M1" s="51" t="s">
        <v>212</v>
      </c>
      <c r="N1" s="51" t="s">
        <v>213</v>
      </c>
      <c r="O1" s="51" t="s">
        <v>214</v>
      </c>
      <c r="P1" s="51" t="s">
        <v>215</v>
      </c>
      <c r="Q1" s="51" t="s">
        <v>216</v>
      </c>
      <c r="R1" s="51" t="s">
        <v>217</v>
      </c>
      <c r="S1" s="51" t="s">
        <v>218</v>
      </c>
      <c r="T1" s="51" t="s">
        <v>219</v>
      </c>
      <c r="U1" s="51" t="s">
        <v>220</v>
      </c>
      <c r="V1" s="51" t="s">
        <v>221</v>
      </c>
      <c r="W1" s="51" t="s">
        <v>222</v>
      </c>
      <c r="X1" s="51" t="s">
        <v>223</v>
      </c>
      <c r="Y1" s="56" t="s">
        <v>55</v>
      </c>
      <c r="Z1" s="57" t="s">
        <v>56</v>
      </c>
      <c r="AA1" s="56" t="s">
        <v>57</v>
      </c>
      <c r="AB1" s="57" t="s">
        <v>58</v>
      </c>
      <c r="AC1" s="57" t="s">
        <v>59</v>
      </c>
      <c r="AD1" s="57" t="s">
        <v>60</v>
      </c>
      <c r="AE1" s="56" t="s">
        <v>61</v>
      </c>
      <c r="AF1" s="57" t="s">
        <v>62</v>
      </c>
      <c r="AG1" s="57" t="s">
        <v>63</v>
      </c>
      <c r="AH1" s="57" t="s">
        <v>64</v>
      </c>
      <c r="AI1" s="56" t="s">
        <v>65</v>
      </c>
      <c r="AJ1" s="57" t="s">
        <v>66</v>
      </c>
      <c r="AK1" s="57" t="s">
        <v>67</v>
      </c>
      <c r="AL1" s="57" t="s">
        <v>68</v>
      </c>
      <c r="AM1" s="57" t="s">
        <v>69</v>
      </c>
      <c r="AN1" s="57" t="s">
        <v>70</v>
      </c>
      <c r="AO1" s="57" t="s">
        <v>71</v>
      </c>
      <c r="AP1" s="57" t="s">
        <v>72</v>
      </c>
      <c r="AQ1" s="57" t="s">
        <v>73</v>
      </c>
      <c r="AR1" s="57" t="s">
        <v>74</v>
      </c>
      <c r="AS1" s="57" t="s">
        <v>75</v>
      </c>
      <c r="AT1" s="57" t="s">
        <v>76</v>
      </c>
      <c r="AU1" s="57" t="s">
        <v>77</v>
      </c>
      <c r="AV1" s="57" t="s">
        <v>78</v>
      </c>
      <c r="AW1" s="57" t="s">
        <v>79</v>
      </c>
      <c r="AX1" s="57" t="s">
        <v>80</v>
      </c>
      <c r="AY1" s="57" t="s">
        <v>81</v>
      </c>
      <c r="AZ1" s="57" t="s">
        <v>82</v>
      </c>
      <c r="BA1" s="57" t="s">
        <v>83</v>
      </c>
      <c r="BB1" s="57" t="s">
        <v>84</v>
      </c>
      <c r="BC1" s="51" t="s">
        <v>95</v>
      </c>
      <c r="BD1" s="51" t="s">
        <v>96</v>
      </c>
      <c r="BE1" s="58" t="s">
        <v>97</v>
      </c>
      <c r="BF1" s="59" t="s">
        <v>98</v>
      </c>
      <c r="BG1" s="60" t="s">
        <v>99</v>
      </c>
      <c r="BH1" s="60" t="s">
        <v>100</v>
      </c>
      <c r="BI1" s="60" t="s">
        <v>224</v>
      </c>
      <c r="BJ1" s="60" t="s">
        <v>225</v>
      </c>
      <c r="BK1" s="60" t="s">
        <v>226</v>
      </c>
      <c r="BL1" s="52" t="s">
        <v>123</v>
      </c>
      <c r="BM1" s="52" t="s">
        <v>124</v>
      </c>
      <c r="BN1" s="52" t="s">
        <v>125</v>
      </c>
      <c r="BO1" s="61" t="s">
        <v>126</v>
      </c>
      <c r="BP1" s="61" t="s">
        <v>127</v>
      </c>
      <c r="BQ1" s="52" t="s">
        <v>128</v>
      </c>
      <c r="BR1" s="52" t="s">
        <v>129</v>
      </c>
      <c r="BS1" s="52" t="s">
        <v>130</v>
      </c>
      <c r="BT1" s="61" t="s">
        <v>131</v>
      </c>
      <c r="BU1" s="61" t="s">
        <v>132</v>
      </c>
      <c r="BV1" s="52" t="s">
        <v>101</v>
      </c>
      <c r="BW1" s="52" t="s">
        <v>102</v>
      </c>
      <c r="BX1" s="61" t="s">
        <v>103</v>
      </c>
      <c r="BY1" s="61" t="s">
        <v>104</v>
      </c>
      <c r="BZ1" s="52" t="s">
        <v>105</v>
      </c>
      <c r="CA1" s="61" t="s">
        <v>106</v>
      </c>
      <c r="CB1" s="52" t="s">
        <v>107</v>
      </c>
      <c r="CC1" s="52" t="s">
        <v>108</v>
      </c>
      <c r="CD1" s="52" t="s">
        <v>109</v>
      </c>
      <c r="CE1" s="52" t="s">
        <v>110</v>
      </c>
      <c r="CF1" s="52" t="s">
        <v>111</v>
      </c>
      <c r="CG1" s="52" t="s">
        <v>112</v>
      </c>
      <c r="CH1" s="52" t="s">
        <v>113</v>
      </c>
      <c r="CI1" s="61" t="s">
        <v>114</v>
      </c>
      <c r="CJ1" s="61" t="s">
        <v>115</v>
      </c>
      <c r="CK1" s="52" t="s">
        <v>116</v>
      </c>
      <c r="CL1" s="61" t="s">
        <v>117</v>
      </c>
      <c r="CM1" s="52" t="s">
        <v>118</v>
      </c>
      <c r="CN1" s="52" t="s">
        <v>119</v>
      </c>
      <c r="CO1" s="52" t="s">
        <v>120</v>
      </c>
      <c r="CP1" s="52" t="s">
        <v>121</v>
      </c>
      <c r="CQ1" s="52" t="s">
        <v>122</v>
      </c>
      <c r="CR1" s="62" t="s">
        <v>180</v>
      </c>
      <c r="CS1" s="62" t="s">
        <v>181</v>
      </c>
      <c r="CT1" s="62" t="s">
        <v>143</v>
      </c>
      <c r="CU1" s="62" t="s">
        <v>144</v>
      </c>
      <c r="CV1" s="62" t="s">
        <v>145</v>
      </c>
      <c r="CW1" s="63" t="s">
        <v>146</v>
      </c>
      <c r="CX1" s="64" t="s">
        <v>147</v>
      </c>
    </row>
    <row r="2" spans="1:102" ht="15.75" customHeight="1">
      <c r="C2" s="65"/>
      <c r="K2" s="66"/>
      <c r="L2" s="67"/>
      <c r="Y2" s="68"/>
      <c r="AA2" s="68"/>
      <c r="AB2" s="69"/>
      <c r="AC2" s="68"/>
      <c r="AD2" s="68"/>
      <c r="AE2" s="68"/>
      <c r="AF2" s="69"/>
      <c r="AG2" s="68"/>
      <c r="AH2" s="68"/>
      <c r="AI2" s="68"/>
      <c r="AJ2" s="69"/>
      <c r="AK2" s="69"/>
      <c r="AL2" s="69"/>
      <c r="AM2" s="69"/>
      <c r="AN2" s="69"/>
      <c r="AO2" s="69"/>
      <c r="AP2" s="69"/>
      <c r="AQ2" s="69"/>
      <c r="AR2" s="69"/>
      <c r="AS2" s="69"/>
      <c r="AT2" s="69"/>
      <c r="AU2" s="69"/>
      <c r="AV2" s="69"/>
      <c r="AW2" s="69"/>
      <c r="AX2" s="69"/>
      <c r="AY2" s="69"/>
      <c r="AZ2" s="69"/>
      <c r="BA2" s="69"/>
      <c r="BB2" s="69"/>
      <c r="BE2" s="70"/>
      <c r="BF2" s="71"/>
      <c r="BH2" s="69"/>
      <c r="BI2" s="69"/>
      <c r="BJ2" s="69"/>
      <c r="BK2" s="69"/>
      <c r="BO2" s="72"/>
      <c r="BP2" s="72"/>
      <c r="BT2" s="72"/>
      <c r="BU2" s="72"/>
      <c r="BX2" s="72"/>
      <c r="BY2" s="72"/>
      <c r="CA2" s="72"/>
      <c r="CI2" s="72"/>
      <c r="CJ2" s="72"/>
      <c r="CL2" s="72"/>
      <c r="CR2" s="73" t="str">
        <f>IF(L2="","",IF(CS2="not a match","",IF(CS2="full_name",VLOOKUP(L2,'Internal -- Trademark Countries'!A:E,5,FALSE),IF(CS2="polity_shortest_name",VLOOKUP(L2,'Internal -- Trademark Countries'!B:E,4,FALSE),IF(CS2="polity_full_name",VLOOKUP(L2,'Internal -- Trademark Countries'!C:E,3,FALSE),IF(CS2="polity_common_name",VLOOKUP(L2,'Internal -- Trademark Countries'!D:E,2,FALSE),IF(CS2="shortest_name",L2)))))))</f>
        <v/>
      </c>
      <c r="CS2" s="73" t="str">
        <f>IF(L2="","",IF(COUNTIF('Internal -- Trademark Countries'!A:A,L2)&gt;0,"full_name",IF(COUNTIF('Internal -- Trademark Countries'!B:B,L2)&gt;0,"polity_shortest_name",IF(COUNTIF('Internal -- Trademark Countries'!C:C,L2)&gt;0,"polity_full_name",IF(COUNTIF('Internal -- Trademark Countries'!D:D,L2)&gt;0,"polity_common_name",IF(COUNTIF('Internal -- Trademark Countries'!E:E,L2)&gt;0,"shortest_name","not a match"))))))</f>
        <v/>
      </c>
      <c r="CT2" s="73"/>
      <c r="CU2" s="73"/>
      <c r="CV2" s="73"/>
      <c r="CW2" s="73"/>
      <c r="CX2" s="74"/>
    </row>
    <row r="3" spans="1:102" ht="15.75" customHeight="1">
      <c r="C3" s="65"/>
      <c r="K3" s="66"/>
      <c r="L3" s="67"/>
      <c r="Y3" s="68"/>
      <c r="AA3" s="68"/>
      <c r="AB3" s="69"/>
      <c r="AC3" s="68"/>
      <c r="AD3" s="68"/>
      <c r="AE3" s="68"/>
      <c r="AF3" s="69"/>
      <c r="AG3" s="68"/>
      <c r="AH3" s="68"/>
      <c r="AI3" s="68"/>
      <c r="AJ3" s="69"/>
      <c r="AK3" s="69"/>
      <c r="AL3" s="69"/>
      <c r="AM3" s="69"/>
      <c r="AN3" s="69"/>
      <c r="AO3" s="69"/>
      <c r="AP3" s="69"/>
      <c r="AQ3" s="69"/>
      <c r="AR3" s="69"/>
      <c r="AS3" s="69"/>
      <c r="AT3" s="69"/>
      <c r="AU3" s="69"/>
      <c r="AV3" s="69"/>
      <c r="AW3" s="69"/>
      <c r="AX3" s="69"/>
      <c r="AY3" s="69"/>
      <c r="AZ3" s="69"/>
      <c r="BA3" s="69"/>
      <c r="BB3" s="69"/>
      <c r="BE3" s="70"/>
      <c r="BF3" s="71"/>
      <c r="BH3" s="69"/>
      <c r="BI3" s="69"/>
      <c r="BJ3" s="69"/>
      <c r="BK3" s="69"/>
      <c r="BO3" s="72"/>
      <c r="BP3" s="72"/>
      <c r="BT3" s="72"/>
      <c r="BU3" s="72"/>
      <c r="BX3" s="72"/>
      <c r="BY3" s="72"/>
      <c r="CA3" s="72"/>
      <c r="CI3" s="72"/>
      <c r="CJ3" s="72"/>
      <c r="CL3" s="72"/>
      <c r="CR3" s="73" t="str">
        <f>IF(L3="","",IF(CS3="not a match","",IF(CS3="full_name",VLOOKUP(L3,'Internal -- Trademark Countries'!A:E,5,FALSE),IF(CS3="polity_shortest_name",VLOOKUP(L3,'Internal -- Trademark Countries'!B:E,4,FALSE),IF(CS3="polity_full_name",VLOOKUP(L3,'Internal -- Trademark Countries'!C:E,3,FALSE),IF(CS3="polity_common_name",VLOOKUP(L3,'Internal -- Trademark Countries'!D:E,2,FALSE),IF(CS3="shortest_name",L3)))))))</f>
        <v/>
      </c>
      <c r="CS3" s="73" t="str">
        <f>IF(L3="","",IF(COUNTIF('Internal -- Trademark Countries'!A:A,L3)&gt;0,"full_name",IF(COUNTIF('Internal -- Trademark Countries'!B:B,L3)&gt;0,"polity_shortest_name",IF(COUNTIF('Internal -- Trademark Countries'!C:C,L3)&gt;0,"polity_full_name",IF(COUNTIF('Internal -- Trademark Countries'!D:D,L3)&gt;0,"polity_common_name",IF(COUNTIF('Internal -- Trademark Countries'!E:E,L3)&gt;0,"shortest_name","not a match"))))))</f>
        <v/>
      </c>
      <c r="CT3" s="73"/>
      <c r="CU3" s="73"/>
      <c r="CV3" s="73"/>
      <c r="CW3" s="73"/>
      <c r="CX3" s="74"/>
    </row>
    <row r="4" spans="1:102" ht="15.75" customHeight="1">
      <c r="C4" s="65"/>
      <c r="K4" s="66"/>
      <c r="L4" s="67"/>
      <c r="Y4" s="68"/>
      <c r="AA4" s="68"/>
      <c r="AB4" s="69"/>
      <c r="AC4" s="68"/>
      <c r="AD4" s="68"/>
      <c r="AE4" s="68"/>
      <c r="AF4" s="69"/>
      <c r="AG4" s="68"/>
      <c r="AH4" s="68"/>
      <c r="AI4" s="68"/>
      <c r="AJ4" s="69"/>
      <c r="AK4" s="69"/>
      <c r="AL4" s="69"/>
      <c r="AM4" s="69"/>
      <c r="AN4" s="69"/>
      <c r="AO4" s="69"/>
      <c r="AP4" s="69"/>
      <c r="AQ4" s="69"/>
      <c r="AR4" s="69"/>
      <c r="AS4" s="69"/>
      <c r="AT4" s="69"/>
      <c r="AU4" s="69"/>
      <c r="AV4" s="69"/>
      <c r="AW4" s="69"/>
      <c r="AX4" s="69"/>
      <c r="AY4" s="69"/>
      <c r="AZ4" s="69"/>
      <c r="BA4" s="69"/>
      <c r="BB4" s="69"/>
      <c r="BE4" s="70"/>
      <c r="BF4" s="71"/>
      <c r="BH4" s="69"/>
      <c r="BI4" s="69"/>
      <c r="BJ4" s="69"/>
      <c r="BK4" s="69"/>
      <c r="BO4" s="72"/>
      <c r="BP4" s="72"/>
      <c r="BT4" s="72"/>
      <c r="BU4" s="72"/>
      <c r="BX4" s="72"/>
      <c r="BY4" s="72"/>
      <c r="CA4" s="72"/>
      <c r="CI4" s="72"/>
      <c r="CJ4" s="72"/>
      <c r="CL4" s="72"/>
      <c r="CR4" s="73" t="str">
        <f>IF(L4="","",IF(CS4="not a match","",IF(CS4="full_name",VLOOKUP(L4,'Internal -- Trademark Countries'!A:E,5,FALSE),IF(CS4="polity_shortest_name",VLOOKUP(L4,'Internal -- Trademark Countries'!B:E,4,FALSE),IF(CS4="polity_full_name",VLOOKUP(L4,'Internal -- Trademark Countries'!C:E,3,FALSE),IF(CS4="polity_common_name",VLOOKUP(L4,'Internal -- Trademark Countries'!D:E,2,FALSE),IF(CS4="shortest_name",L4)))))))</f>
        <v/>
      </c>
      <c r="CS4" s="73" t="str">
        <f>IF(L4="","",IF(COUNTIF('Internal -- Trademark Countries'!A:A,L4)&gt;0,"full_name",IF(COUNTIF('Internal -- Trademark Countries'!B:B,L4)&gt;0,"polity_shortest_name",IF(COUNTIF('Internal -- Trademark Countries'!C:C,L4)&gt;0,"polity_full_name",IF(COUNTIF('Internal -- Trademark Countries'!D:D,L4)&gt;0,"polity_common_name",IF(COUNTIF('Internal -- Trademark Countries'!E:E,L4)&gt;0,"shortest_name","not a match"))))))</f>
        <v/>
      </c>
      <c r="CT4" s="73"/>
      <c r="CU4" s="73"/>
      <c r="CV4" s="73"/>
      <c r="CW4" s="73"/>
      <c r="CX4" s="74"/>
    </row>
    <row r="5" spans="1:102" ht="15.75" customHeight="1">
      <c r="C5" s="65"/>
      <c r="K5" s="66"/>
      <c r="L5" s="67"/>
      <c r="Y5" s="68"/>
      <c r="AA5" s="68"/>
      <c r="AB5" s="69"/>
      <c r="AC5" s="68"/>
      <c r="AD5" s="68"/>
      <c r="AE5" s="68"/>
      <c r="AF5" s="69"/>
      <c r="AG5" s="68"/>
      <c r="AH5" s="68"/>
      <c r="AI5" s="68"/>
      <c r="AJ5" s="69"/>
      <c r="AK5" s="69"/>
      <c r="AL5" s="69"/>
      <c r="AM5" s="69"/>
      <c r="AN5" s="69"/>
      <c r="AO5" s="69"/>
      <c r="AP5" s="69"/>
      <c r="AQ5" s="69"/>
      <c r="AR5" s="69"/>
      <c r="AS5" s="69"/>
      <c r="AT5" s="69"/>
      <c r="AU5" s="69"/>
      <c r="AV5" s="69"/>
      <c r="AW5" s="69"/>
      <c r="AX5" s="69"/>
      <c r="AY5" s="69"/>
      <c r="AZ5" s="69"/>
      <c r="BA5" s="69"/>
      <c r="BB5" s="69"/>
      <c r="BE5" s="70"/>
      <c r="BF5" s="71"/>
      <c r="BH5" s="69"/>
      <c r="BI5" s="69"/>
      <c r="BJ5" s="69"/>
      <c r="BK5" s="69"/>
      <c r="BO5" s="72"/>
      <c r="BP5" s="72"/>
      <c r="BT5" s="72"/>
      <c r="BU5" s="72"/>
      <c r="BX5" s="72"/>
      <c r="BY5" s="72"/>
      <c r="CA5" s="72"/>
      <c r="CI5" s="72"/>
      <c r="CJ5" s="72"/>
      <c r="CL5" s="72"/>
      <c r="CR5" s="73" t="str">
        <f>IF(L5="","",IF(CS5="not a match","",IF(CS5="full_name",VLOOKUP(L5,'Internal -- Trademark Countries'!A:E,5,FALSE),IF(CS5="polity_shortest_name",VLOOKUP(L5,'Internal -- Trademark Countries'!B:E,4,FALSE),IF(CS5="polity_full_name",VLOOKUP(L5,'Internal -- Trademark Countries'!C:E,3,FALSE),IF(CS5="polity_common_name",VLOOKUP(L5,'Internal -- Trademark Countries'!D:E,2,FALSE),IF(CS5="shortest_name",L5)))))))</f>
        <v/>
      </c>
      <c r="CS5" s="73" t="str">
        <f>IF(L5="","",IF(COUNTIF('Internal -- Trademark Countries'!A:A,L5)&gt;0,"full_name",IF(COUNTIF('Internal -- Trademark Countries'!B:B,L5)&gt;0,"polity_shortest_name",IF(COUNTIF('Internal -- Trademark Countries'!C:C,L5)&gt;0,"polity_full_name",IF(COUNTIF('Internal -- Trademark Countries'!D:D,L5)&gt;0,"polity_common_name",IF(COUNTIF('Internal -- Trademark Countries'!E:E,L5)&gt;0,"shortest_name","not a match"))))))</f>
        <v/>
      </c>
      <c r="CT5" s="73"/>
      <c r="CU5" s="73"/>
      <c r="CV5" s="73"/>
      <c r="CW5" s="73"/>
      <c r="CX5" s="74"/>
    </row>
    <row r="6" spans="1:102" ht="15.75" customHeight="1">
      <c r="C6" s="65"/>
      <c r="K6" s="66"/>
      <c r="L6" s="67"/>
      <c r="Y6" s="68"/>
      <c r="AA6" s="68"/>
      <c r="AB6" s="69"/>
      <c r="AC6" s="68"/>
      <c r="AD6" s="68"/>
      <c r="AE6" s="68"/>
      <c r="AF6" s="69"/>
      <c r="AG6" s="68"/>
      <c r="AH6" s="68"/>
      <c r="AI6" s="68"/>
      <c r="AJ6" s="69"/>
      <c r="AK6" s="69"/>
      <c r="AL6" s="69"/>
      <c r="AM6" s="69"/>
      <c r="AN6" s="69"/>
      <c r="AO6" s="69"/>
      <c r="AP6" s="69"/>
      <c r="AQ6" s="69"/>
      <c r="AR6" s="69"/>
      <c r="AS6" s="69"/>
      <c r="AT6" s="69"/>
      <c r="AU6" s="69"/>
      <c r="AV6" s="69"/>
      <c r="AW6" s="69"/>
      <c r="AX6" s="69"/>
      <c r="AY6" s="69"/>
      <c r="AZ6" s="69"/>
      <c r="BA6" s="69"/>
      <c r="BB6" s="69"/>
      <c r="BE6" s="70"/>
      <c r="BF6" s="71"/>
      <c r="BH6" s="69"/>
      <c r="BI6" s="69"/>
      <c r="BJ6" s="69"/>
      <c r="BK6" s="69"/>
      <c r="BO6" s="72"/>
      <c r="BP6" s="72"/>
      <c r="BT6" s="72"/>
      <c r="BU6" s="72"/>
      <c r="BX6" s="72"/>
      <c r="BY6" s="72"/>
      <c r="CA6" s="72"/>
      <c r="CI6" s="72"/>
      <c r="CJ6" s="72"/>
      <c r="CL6" s="72"/>
      <c r="CR6" s="73" t="str">
        <f>IF(L6="","",IF(CS6="not a match","",IF(CS6="full_name",VLOOKUP(L6,'Internal -- Trademark Countries'!A:E,5,FALSE),IF(CS6="polity_shortest_name",VLOOKUP(L6,'Internal -- Trademark Countries'!B:E,4,FALSE),IF(CS6="polity_full_name",VLOOKUP(L6,'Internal -- Trademark Countries'!C:E,3,FALSE),IF(CS6="polity_common_name",VLOOKUP(L6,'Internal -- Trademark Countries'!D:E,2,FALSE),IF(CS6="shortest_name",L6)))))))</f>
        <v/>
      </c>
      <c r="CS6" s="73" t="str">
        <f>IF(L6="","",IF(COUNTIF('Internal -- Trademark Countries'!A:A,L6)&gt;0,"full_name",IF(COUNTIF('Internal -- Trademark Countries'!B:B,L6)&gt;0,"polity_shortest_name",IF(COUNTIF('Internal -- Trademark Countries'!C:C,L6)&gt;0,"polity_full_name",IF(COUNTIF('Internal -- Trademark Countries'!D:D,L6)&gt;0,"polity_common_name",IF(COUNTIF('Internal -- Trademark Countries'!E:E,L6)&gt;0,"shortest_name","not a match"))))))</f>
        <v/>
      </c>
      <c r="CT6" s="73"/>
      <c r="CU6" s="73"/>
      <c r="CV6" s="73"/>
      <c r="CW6" s="73"/>
      <c r="CX6" s="74"/>
    </row>
    <row r="7" spans="1:102" ht="15.75" customHeight="1">
      <c r="C7" s="65"/>
      <c r="K7" s="66"/>
      <c r="L7" s="67"/>
      <c r="Y7" s="68"/>
      <c r="AA7" s="68"/>
      <c r="AB7" s="69"/>
      <c r="AC7" s="68"/>
      <c r="AD7" s="68"/>
      <c r="AE7" s="68"/>
      <c r="AF7" s="69"/>
      <c r="AG7" s="68"/>
      <c r="AH7" s="68"/>
      <c r="AI7" s="68"/>
      <c r="AJ7" s="69"/>
      <c r="AK7" s="69"/>
      <c r="AL7" s="69"/>
      <c r="AM7" s="69"/>
      <c r="AN7" s="69"/>
      <c r="AO7" s="69"/>
      <c r="AP7" s="69"/>
      <c r="AQ7" s="69"/>
      <c r="AR7" s="69"/>
      <c r="AS7" s="69"/>
      <c r="AT7" s="69"/>
      <c r="AU7" s="69"/>
      <c r="AV7" s="69"/>
      <c r="AW7" s="69"/>
      <c r="AX7" s="69"/>
      <c r="AY7" s="69"/>
      <c r="AZ7" s="69"/>
      <c r="BA7" s="69"/>
      <c r="BB7" s="69"/>
      <c r="BE7" s="70"/>
      <c r="BF7" s="71"/>
      <c r="BH7" s="69"/>
      <c r="BI7" s="69"/>
      <c r="BJ7" s="69"/>
      <c r="BK7" s="69"/>
      <c r="BO7" s="72"/>
      <c r="BP7" s="72"/>
      <c r="BT7" s="72"/>
      <c r="BU7" s="72"/>
      <c r="BX7" s="72"/>
      <c r="BY7" s="72"/>
      <c r="CA7" s="72"/>
      <c r="CI7" s="72"/>
      <c r="CJ7" s="72"/>
      <c r="CL7" s="72"/>
      <c r="CR7" s="73" t="str">
        <f>IF(L7="","",IF(CS7="not a match","",IF(CS7="full_name",VLOOKUP(L7,'Internal -- Trademark Countries'!A:E,5,FALSE),IF(CS7="polity_shortest_name",VLOOKUP(L7,'Internal -- Trademark Countries'!B:E,4,FALSE),IF(CS7="polity_full_name",VLOOKUP(L7,'Internal -- Trademark Countries'!C:E,3,FALSE),IF(CS7="polity_common_name",VLOOKUP(L7,'Internal -- Trademark Countries'!D:E,2,FALSE),IF(CS7="shortest_name",L7)))))))</f>
        <v/>
      </c>
      <c r="CS7" s="73" t="str">
        <f>IF(L7="","",IF(COUNTIF('Internal -- Trademark Countries'!A:A,L7)&gt;0,"full_name",IF(COUNTIF('Internal -- Trademark Countries'!B:B,L7)&gt;0,"polity_shortest_name",IF(COUNTIF('Internal -- Trademark Countries'!C:C,L7)&gt;0,"polity_full_name",IF(COUNTIF('Internal -- Trademark Countries'!D:D,L7)&gt;0,"polity_common_name",IF(COUNTIF('Internal -- Trademark Countries'!E:E,L7)&gt;0,"shortest_name","not a match"))))))</f>
        <v/>
      </c>
      <c r="CT7" s="73"/>
      <c r="CU7" s="73"/>
      <c r="CV7" s="73"/>
      <c r="CW7" s="73"/>
      <c r="CX7" s="74"/>
    </row>
    <row r="8" spans="1:102" ht="15.75" customHeight="1">
      <c r="C8" s="65"/>
      <c r="K8" s="66"/>
      <c r="L8" s="67"/>
      <c r="Y8" s="68"/>
      <c r="AA8" s="68"/>
      <c r="AB8" s="69"/>
      <c r="AC8" s="68"/>
      <c r="AD8" s="68"/>
      <c r="AE8" s="68"/>
      <c r="AF8" s="69"/>
      <c r="AG8" s="68"/>
      <c r="AH8" s="68"/>
      <c r="AI8" s="68"/>
      <c r="AJ8" s="69"/>
      <c r="AK8" s="69"/>
      <c r="AL8" s="69"/>
      <c r="AM8" s="69"/>
      <c r="AN8" s="69"/>
      <c r="AO8" s="69"/>
      <c r="AP8" s="69"/>
      <c r="AQ8" s="69"/>
      <c r="AR8" s="69"/>
      <c r="AS8" s="69"/>
      <c r="AT8" s="69"/>
      <c r="AU8" s="69"/>
      <c r="AV8" s="69"/>
      <c r="AW8" s="69"/>
      <c r="AX8" s="69"/>
      <c r="AY8" s="69"/>
      <c r="AZ8" s="69"/>
      <c r="BA8" s="69"/>
      <c r="BB8" s="69"/>
      <c r="BE8" s="70"/>
      <c r="BF8" s="71"/>
      <c r="BH8" s="69"/>
      <c r="BI8" s="69"/>
      <c r="BJ8" s="69"/>
      <c r="BK8" s="69"/>
      <c r="BO8" s="72"/>
      <c r="BP8" s="72"/>
      <c r="BT8" s="72"/>
      <c r="BU8" s="72"/>
      <c r="BX8" s="72"/>
      <c r="BY8" s="72"/>
      <c r="CA8" s="72"/>
      <c r="CI8" s="72"/>
      <c r="CJ8" s="72"/>
      <c r="CL8" s="72"/>
      <c r="CR8" s="73" t="str">
        <f>IF(L8="","",IF(CS8="not a match","",IF(CS8="full_name",VLOOKUP(L8,'Internal -- Trademark Countries'!A:E,5,FALSE),IF(CS8="polity_shortest_name",VLOOKUP(L8,'Internal -- Trademark Countries'!B:E,4,FALSE),IF(CS8="polity_full_name",VLOOKUP(L8,'Internal -- Trademark Countries'!C:E,3,FALSE),IF(CS8="polity_common_name",VLOOKUP(L8,'Internal -- Trademark Countries'!D:E,2,FALSE),IF(CS8="shortest_name",L8)))))))</f>
        <v/>
      </c>
      <c r="CS8" s="73" t="str">
        <f>IF(L8="","",IF(COUNTIF('Internal -- Trademark Countries'!A:A,L8)&gt;0,"full_name",IF(COUNTIF('Internal -- Trademark Countries'!B:B,L8)&gt;0,"polity_shortest_name",IF(COUNTIF('Internal -- Trademark Countries'!C:C,L8)&gt;0,"polity_full_name",IF(COUNTIF('Internal -- Trademark Countries'!D:D,L8)&gt;0,"polity_common_name",IF(COUNTIF('Internal -- Trademark Countries'!E:E,L8)&gt;0,"shortest_name","not a match"))))))</f>
        <v/>
      </c>
      <c r="CT8" s="73"/>
      <c r="CU8" s="73"/>
      <c r="CV8" s="73"/>
      <c r="CW8" s="73"/>
      <c r="CX8" s="74"/>
    </row>
    <row r="9" spans="1:102" ht="15.75" customHeight="1">
      <c r="C9" s="65"/>
      <c r="K9" s="66"/>
      <c r="L9" s="67"/>
      <c r="Y9" s="68"/>
      <c r="AA9" s="68"/>
      <c r="AB9" s="69"/>
      <c r="AC9" s="68"/>
      <c r="AD9" s="68"/>
      <c r="AE9" s="68"/>
      <c r="AF9" s="69"/>
      <c r="AG9" s="68"/>
      <c r="AH9" s="68"/>
      <c r="AI9" s="68"/>
      <c r="AJ9" s="69"/>
      <c r="AK9" s="69"/>
      <c r="AL9" s="69"/>
      <c r="AM9" s="69"/>
      <c r="AN9" s="69"/>
      <c r="AO9" s="69"/>
      <c r="AP9" s="69"/>
      <c r="AQ9" s="69"/>
      <c r="AR9" s="69"/>
      <c r="AS9" s="69"/>
      <c r="AT9" s="69"/>
      <c r="AU9" s="69"/>
      <c r="AV9" s="69"/>
      <c r="AW9" s="69"/>
      <c r="AX9" s="69"/>
      <c r="AY9" s="69"/>
      <c r="AZ9" s="69"/>
      <c r="BA9" s="69"/>
      <c r="BB9" s="69"/>
      <c r="BE9" s="70"/>
      <c r="BF9" s="71"/>
      <c r="BH9" s="69"/>
      <c r="BI9" s="69"/>
      <c r="BJ9" s="69"/>
      <c r="BK9" s="69"/>
      <c r="BO9" s="72"/>
      <c r="BP9" s="72"/>
      <c r="BT9" s="72"/>
      <c r="BU9" s="72"/>
      <c r="BX9" s="72"/>
      <c r="BY9" s="72"/>
      <c r="CA9" s="72"/>
      <c r="CI9" s="72"/>
      <c r="CJ9" s="72"/>
      <c r="CL9" s="72"/>
      <c r="CR9" s="73" t="str">
        <f>IF(L9="","",IF(CS9="not a match","",IF(CS9="full_name",VLOOKUP(L9,'Internal -- Trademark Countries'!A:E,5,FALSE),IF(CS9="polity_shortest_name",VLOOKUP(L9,'Internal -- Trademark Countries'!B:E,4,FALSE),IF(CS9="polity_full_name",VLOOKUP(L9,'Internal -- Trademark Countries'!C:E,3,FALSE),IF(CS9="polity_common_name",VLOOKUP(L9,'Internal -- Trademark Countries'!D:E,2,FALSE),IF(CS9="shortest_name",L9)))))))</f>
        <v/>
      </c>
      <c r="CS9" s="73" t="str">
        <f>IF(L9="","",IF(COUNTIF('Internal -- Trademark Countries'!A:A,L9)&gt;0,"full_name",IF(COUNTIF('Internal -- Trademark Countries'!B:B,L9)&gt;0,"polity_shortest_name",IF(COUNTIF('Internal -- Trademark Countries'!C:C,L9)&gt;0,"polity_full_name",IF(COUNTIF('Internal -- Trademark Countries'!D:D,L9)&gt;0,"polity_common_name",IF(COUNTIF('Internal -- Trademark Countries'!E:E,L9)&gt;0,"shortest_name","not a match"))))))</f>
        <v/>
      </c>
      <c r="CT9" s="73"/>
      <c r="CU9" s="73"/>
      <c r="CV9" s="73"/>
      <c r="CW9" s="73"/>
      <c r="CX9" s="74"/>
    </row>
    <row r="10" spans="1:102" ht="15.75" customHeight="1">
      <c r="C10" s="65"/>
      <c r="K10" s="66"/>
      <c r="L10" s="67"/>
      <c r="Y10" s="68"/>
      <c r="AA10" s="68"/>
      <c r="AB10" s="69"/>
      <c r="AC10" s="68"/>
      <c r="AD10" s="68"/>
      <c r="AE10" s="68"/>
      <c r="AF10" s="69"/>
      <c r="AG10" s="68"/>
      <c r="AH10" s="68"/>
      <c r="AI10" s="68"/>
      <c r="AJ10" s="69"/>
      <c r="AK10" s="69"/>
      <c r="AL10" s="69"/>
      <c r="AM10" s="69"/>
      <c r="AN10" s="69"/>
      <c r="AO10" s="69"/>
      <c r="AP10" s="69"/>
      <c r="AQ10" s="69"/>
      <c r="AR10" s="69"/>
      <c r="AS10" s="69"/>
      <c r="AT10" s="69"/>
      <c r="AU10" s="69"/>
      <c r="AV10" s="69"/>
      <c r="AW10" s="69"/>
      <c r="AX10" s="69"/>
      <c r="AY10" s="69"/>
      <c r="AZ10" s="69"/>
      <c r="BA10" s="69"/>
      <c r="BB10" s="69"/>
      <c r="BE10" s="70"/>
      <c r="BF10" s="71"/>
      <c r="BH10" s="69"/>
      <c r="BI10" s="69"/>
      <c r="BJ10" s="69"/>
      <c r="BK10" s="69"/>
      <c r="BO10" s="72"/>
      <c r="BP10" s="72"/>
      <c r="BT10" s="72"/>
      <c r="BU10" s="72"/>
      <c r="BX10" s="72"/>
      <c r="BY10" s="72"/>
      <c r="CA10" s="72"/>
      <c r="CI10" s="72"/>
      <c r="CJ10" s="72"/>
      <c r="CL10" s="72"/>
      <c r="CR10" s="73" t="str">
        <f>IF(L10="","",IF(CS10="not a match","",IF(CS10="full_name",VLOOKUP(L10,'Internal -- Trademark Countries'!A:E,5,FALSE),IF(CS10="polity_shortest_name",VLOOKUP(L10,'Internal -- Trademark Countries'!B:E,4,FALSE),IF(CS10="polity_full_name",VLOOKUP(L10,'Internal -- Trademark Countries'!C:E,3,FALSE),IF(CS10="polity_common_name",VLOOKUP(L10,'Internal -- Trademark Countries'!D:E,2,FALSE),IF(CS10="shortest_name",L10)))))))</f>
        <v/>
      </c>
      <c r="CS10" s="73" t="str">
        <f>IF(L10="","",IF(COUNTIF('Internal -- Trademark Countries'!A:A,L10)&gt;0,"full_name",IF(COUNTIF('Internal -- Trademark Countries'!B:B,L10)&gt;0,"polity_shortest_name",IF(COUNTIF('Internal -- Trademark Countries'!C:C,L10)&gt;0,"polity_full_name",IF(COUNTIF('Internal -- Trademark Countries'!D:D,L10)&gt;0,"polity_common_name",IF(COUNTIF('Internal -- Trademark Countries'!E:E,L10)&gt;0,"shortest_name","not a match"))))))</f>
        <v/>
      </c>
      <c r="CT10" s="73"/>
      <c r="CU10" s="73"/>
      <c r="CV10" s="73"/>
      <c r="CW10" s="73"/>
      <c r="CX10" s="74"/>
    </row>
    <row r="11" spans="1:102" ht="15.75" customHeight="1">
      <c r="C11" s="65"/>
      <c r="K11" s="66"/>
      <c r="L11" s="67"/>
      <c r="Y11" s="68"/>
      <c r="AA11" s="68"/>
      <c r="AB11" s="69"/>
      <c r="AC11" s="68"/>
      <c r="AD11" s="68"/>
      <c r="AE11" s="68"/>
      <c r="AF11" s="69"/>
      <c r="AG11" s="68"/>
      <c r="AH11" s="68"/>
      <c r="AI11" s="68"/>
      <c r="AJ11" s="69"/>
      <c r="AK11" s="69"/>
      <c r="AL11" s="69"/>
      <c r="AM11" s="69"/>
      <c r="AN11" s="69"/>
      <c r="AO11" s="69"/>
      <c r="AP11" s="69"/>
      <c r="AQ11" s="69"/>
      <c r="AR11" s="69"/>
      <c r="AS11" s="69"/>
      <c r="AT11" s="69"/>
      <c r="AU11" s="69"/>
      <c r="AV11" s="69"/>
      <c r="AW11" s="69"/>
      <c r="AX11" s="69"/>
      <c r="AY11" s="69"/>
      <c r="AZ11" s="69"/>
      <c r="BA11" s="69"/>
      <c r="BB11" s="69"/>
      <c r="BE11" s="70"/>
      <c r="BF11" s="71"/>
      <c r="BH11" s="69"/>
      <c r="BI11" s="69"/>
      <c r="BJ11" s="69"/>
      <c r="BK11" s="69"/>
      <c r="BO11" s="72"/>
      <c r="BP11" s="72"/>
      <c r="BT11" s="72"/>
      <c r="BU11" s="72"/>
      <c r="BX11" s="72"/>
      <c r="BY11" s="72"/>
      <c r="CA11" s="72"/>
      <c r="CI11" s="72"/>
      <c r="CJ11" s="72"/>
      <c r="CL11" s="72"/>
      <c r="CR11" s="73" t="str">
        <f>IF(L11="","",IF(CS11="not a match","",IF(CS11="full_name",VLOOKUP(L11,'Internal -- Trademark Countries'!A:E,5,FALSE),IF(CS11="polity_shortest_name",VLOOKUP(L11,'Internal -- Trademark Countries'!B:E,4,FALSE),IF(CS11="polity_full_name",VLOOKUP(L11,'Internal -- Trademark Countries'!C:E,3,FALSE),IF(CS11="polity_common_name",VLOOKUP(L11,'Internal -- Trademark Countries'!D:E,2,FALSE),IF(CS11="shortest_name",L11)))))))</f>
        <v/>
      </c>
      <c r="CS11" s="73" t="str">
        <f>IF(L11="","",IF(COUNTIF('Internal -- Trademark Countries'!A:A,L11)&gt;0,"full_name",IF(COUNTIF('Internal -- Trademark Countries'!B:B,L11)&gt;0,"polity_shortest_name",IF(COUNTIF('Internal -- Trademark Countries'!C:C,L11)&gt;0,"polity_full_name",IF(COUNTIF('Internal -- Trademark Countries'!D:D,L11)&gt;0,"polity_common_name",IF(COUNTIF('Internal -- Trademark Countries'!E:E,L11)&gt;0,"shortest_name","not a match"))))))</f>
        <v/>
      </c>
      <c r="CT11" s="73"/>
      <c r="CU11" s="73"/>
      <c r="CV11" s="73"/>
      <c r="CW11" s="73"/>
      <c r="CX11" s="74"/>
    </row>
    <row r="12" spans="1:102" ht="15.75" customHeight="1">
      <c r="C12" s="65"/>
      <c r="K12" s="66"/>
      <c r="L12" s="67"/>
      <c r="Y12" s="68"/>
      <c r="AA12" s="68"/>
      <c r="AB12" s="69"/>
      <c r="AC12" s="68"/>
      <c r="AD12" s="68"/>
      <c r="AE12" s="68"/>
      <c r="AF12" s="69"/>
      <c r="AG12" s="68"/>
      <c r="AH12" s="68"/>
      <c r="AI12" s="68"/>
      <c r="AJ12" s="69"/>
      <c r="AK12" s="69"/>
      <c r="AL12" s="69"/>
      <c r="AM12" s="69"/>
      <c r="AN12" s="69"/>
      <c r="AO12" s="69"/>
      <c r="AP12" s="69"/>
      <c r="AQ12" s="69"/>
      <c r="AR12" s="69"/>
      <c r="AS12" s="69"/>
      <c r="AT12" s="69"/>
      <c r="AU12" s="69"/>
      <c r="AV12" s="69"/>
      <c r="AW12" s="69"/>
      <c r="AX12" s="69"/>
      <c r="AY12" s="69"/>
      <c r="AZ12" s="69"/>
      <c r="BA12" s="69"/>
      <c r="BB12" s="69"/>
      <c r="BE12" s="70"/>
      <c r="BF12" s="71"/>
      <c r="BH12" s="69"/>
      <c r="BI12" s="69"/>
      <c r="BJ12" s="69"/>
      <c r="BK12" s="69"/>
      <c r="BO12" s="72"/>
      <c r="BP12" s="72"/>
      <c r="BT12" s="72"/>
      <c r="BU12" s="72"/>
      <c r="BX12" s="72"/>
      <c r="BY12" s="72"/>
      <c r="CA12" s="72"/>
      <c r="CI12" s="72"/>
      <c r="CJ12" s="72"/>
      <c r="CL12" s="72"/>
      <c r="CR12" s="73" t="str">
        <f>IF(L12="","",IF(CS12="not a match","",IF(CS12="full_name",VLOOKUP(L12,'Internal -- Trademark Countries'!A:E,5,FALSE),IF(CS12="polity_shortest_name",VLOOKUP(L12,'Internal -- Trademark Countries'!B:E,4,FALSE),IF(CS12="polity_full_name",VLOOKUP(L12,'Internal -- Trademark Countries'!C:E,3,FALSE),IF(CS12="polity_common_name",VLOOKUP(L12,'Internal -- Trademark Countries'!D:E,2,FALSE),IF(CS12="shortest_name",L12)))))))</f>
        <v/>
      </c>
      <c r="CS12" s="73" t="str">
        <f>IF(L12="","",IF(COUNTIF('Internal -- Trademark Countries'!A:A,L12)&gt;0,"full_name",IF(COUNTIF('Internal -- Trademark Countries'!B:B,L12)&gt;0,"polity_shortest_name",IF(COUNTIF('Internal -- Trademark Countries'!C:C,L12)&gt;0,"polity_full_name",IF(COUNTIF('Internal -- Trademark Countries'!D:D,L12)&gt;0,"polity_common_name",IF(COUNTIF('Internal -- Trademark Countries'!E:E,L12)&gt;0,"shortest_name","not a match"))))))</f>
        <v/>
      </c>
      <c r="CT12" s="73"/>
      <c r="CU12" s="73"/>
      <c r="CV12" s="73"/>
      <c r="CW12" s="73"/>
      <c r="CX12" s="74"/>
    </row>
    <row r="13" spans="1:102" ht="15.75" customHeight="1">
      <c r="C13" s="65"/>
      <c r="K13" s="66"/>
      <c r="L13" s="67"/>
      <c r="Y13" s="68"/>
      <c r="AA13" s="68"/>
      <c r="AB13" s="69"/>
      <c r="AC13" s="68"/>
      <c r="AD13" s="68"/>
      <c r="AE13" s="68"/>
      <c r="AF13" s="69"/>
      <c r="AG13" s="68"/>
      <c r="AH13" s="68"/>
      <c r="AI13" s="68"/>
      <c r="AJ13" s="69"/>
      <c r="AK13" s="69"/>
      <c r="AL13" s="69"/>
      <c r="AM13" s="69"/>
      <c r="AN13" s="69"/>
      <c r="AO13" s="69"/>
      <c r="AP13" s="69"/>
      <c r="AQ13" s="69"/>
      <c r="AR13" s="69"/>
      <c r="AS13" s="69"/>
      <c r="AT13" s="69"/>
      <c r="AU13" s="69"/>
      <c r="AV13" s="69"/>
      <c r="AW13" s="69"/>
      <c r="AX13" s="69"/>
      <c r="AY13" s="69"/>
      <c r="AZ13" s="69"/>
      <c r="BA13" s="69"/>
      <c r="BB13" s="69"/>
      <c r="BE13" s="70"/>
      <c r="BF13" s="71"/>
      <c r="BH13" s="69"/>
      <c r="BI13" s="69"/>
      <c r="BJ13" s="69"/>
      <c r="BK13" s="69"/>
      <c r="BO13" s="72"/>
      <c r="BP13" s="72"/>
      <c r="BT13" s="72"/>
      <c r="BU13" s="72"/>
      <c r="BX13" s="72"/>
      <c r="BY13" s="72"/>
      <c r="CA13" s="72"/>
      <c r="CI13" s="72"/>
      <c r="CJ13" s="72"/>
      <c r="CL13" s="72"/>
      <c r="CR13" s="73" t="str">
        <f>IF(L13="","",IF(CS13="not a match","",IF(CS13="full_name",VLOOKUP(L13,'Internal -- Trademark Countries'!A:E,5,FALSE),IF(CS13="polity_shortest_name",VLOOKUP(L13,'Internal -- Trademark Countries'!B:E,4,FALSE),IF(CS13="polity_full_name",VLOOKUP(L13,'Internal -- Trademark Countries'!C:E,3,FALSE),IF(CS13="polity_common_name",VLOOKUP(L13,'Internal -- Trademark Countries'!D:E,2,FALSE),IF(CS13="shortest_name",L13)))))))</f>
        <v/>
      </c>
      <c r="CS13" s="73" t="str">
        <f>IF(L13="","",IF(COUNTIF('Internal -- Trademark Countries'!A:A,L13)&gt;0,"full_name",IF(COUNTIF('Internal -- Trademark Countries'!B:B,L13)&gt;0,"polity_shortest_name",IF(COUNTIF('Internal -- Trademark Countries'!C:C,L13)&gt;0,"polity_full_name",IF(COUNTIF('Internal -- Trademark Countries'!D:D,L13)&gt;0,"polity_common_name",IF(COUNTIF('Internal -- Trademark Countries'!E:E,L13)&gt;0,"shortest_name","not a match"))))))</f>
        <v/>
      </c>
      <c r="CT13" s="73"/>
      <c r="CU13" s="73"/>
      <c r="CV13" s="73"/>
      <c r="CW13" s="73"/>
      <c r="CX13" s="74"/>
    </row>
    <row r="14" spans="1:102" ht="15.75" customHeight="1">
      <c r="C14" s="65"/>
      <c r="K14" s="66"/>
      <c r="L14" s="67"/>
      <c r="Y14" s="68"/>
      <c r="AA14" s="68"/>
      <c r="AB14" s="69"/>
      <c r="AC14" s="68"/>
      <c r="AD14" s="68"/>
      <c r="AE14" s="68"/>
      <c r="AF14" s="69"/>
      <c r="AG14" s="68"/>
      <c r="AH14" s="68"/>
      <c r="AI14" s="68"/>
      <c r="AJ14" s="69"/>
      <c r="AK14" s="69"/>
      <c r="AL14" s="69"/>
      <c r="AM14" s="69"/>
      <c r="AN14" s="69"/>
      <c r="AO14" s="69"/>
      <c r="AP14" s="69"/>
      <c r="AQ14" s="69"/>
      <c r="AR14" s="69"/>
      <c r="AS14" s="69"/>
      <c r="AT14" s="69"/>
      <c r="AU14" s="69"/>
      <c r="AV14" s="69"/>
      <c r="AW14" s="69"/>
      <c r="AX14" s="69"/>
      <c r="AY14" s="69"/>
      <c r="AZ14" s="69"/>
      <c r="BA14" s="69"/>
      <c r="BB14" s="69"/>
      <c r="BE14" s="70"/>
      <c r="BF14" s="71"/>
      <c r="BH14" s="69"/>
      <c r="BI14" s="69"/>
      <c r="BJ14" s="69"/>
      <c r="BK14" s="69"/>
      <c r="BO14" s="72"/>
      <c r="BP14" s="72"/>
      <c r="BT14" s="72"/>
      <c r="BU14" s="72"/>
      <c r="BX14" s="72"/>
      <c r="BY14" s="72"/>
      <c r="CA14" s="72"/>
      <c r="CI14" s="72"/>
      <c r="CJ14" s="72"/>
      <c r="CL14" s="72"/>
      <c r="CR14" s="73" t="str">
        <f>IF(L14="","",IF(CS14="not a match","",IF(CS14="full_name",VLOOKUP(L14,'Internal -- Trademark Countries'!A:E,5,FALSE),IF(CS14="polity_shortest_name",VLOOKUP(L14,'Internal -- Trademark Countries'!B:E,4,FALSE),IF(CS14="polity_full_name",VLOOKUP(L14,'Internal -- Trademark Countries'!C:E,3,FALSE),IF(CS14="polity_common_name",VLOOKUP(L14,'Internal -- Trademark Countries'!D:E,2,FALSE),IF(CS14="shortest_name",L14)))))))</f>
        <v/>
      </c>
      <c r="CS14" s="73" t="str">
        <f>IF(L14="","",IF(COUNTIF('Internal -- Trademark Countries'!A:A,L14)&gt;0,"full_name",IF(COUNTIF('Internal -- Trademark Countries'!B:B,L14)&gt;0,"polity_shortest_name",IF(COUNTIF('Internal -- Trademark Countries'!C:C,L14)&gt;0,"polity_full_name",IF(COUNTIF('Internal -- Trademark Countries'!D:D,L14)&gt;0,"polity_common_name",IF(COUNTIF('Internal -- Trademark Countries'!E:E,L14)&gt;0,"shortest_name","not a match"))))))</f>
        <v/>
      </c>
      <c r="CT14" s="73"/>
      <c r="CU14" s="73"/>
      <c r="CV14" s="73"/>
      <c r="CW14" s="73"/>
      <c r="CX14" s="74"/>
    </row>
    <row r="15" spans="1:102" ht="15.75" customHeight="1">
      <c r="C15" s="65"/>
      <c r="K15" s="66"/>
      <c r="L15" s="67"/>
      <c r="Y15" s="68"/>
      <c r="AA15" s="68"/>
      <c r="AB15" s="69"/>
      <c r="AC15" s="68"/>
      <c r="AD15" s="68"/>
      <c r="AE15" s="68"/>
      <c r="AF15" s="69"/>
      <c r="AG15" s="68"/>
      <c r="AH15" s="68"/>
      <c r="AI15" s="68"/>
      <c r="AJ15" s="69"/>
      <c r="AK15" s="69"/>
      <c r="AL15" s="69"/>
      <c r="AM15" s="69"/>
      <c r="AN15" s="69"/>
      <c r="AO15" s="69"/>
      <c r="AP15" s="69"/>
      <c r="AQ15" s="69"/>
      <c r="AR15" s="69"/>
      <c r="AS15" s="69"/>
      <c r="AT15" s="69"/>
      <c r="AU15" s="69"/>
      <c r="AV15" s="69"/>
      <c r="AW15" s="69"/>
      <c r="AX15" s="69"/>
      <c r="AY15" s="69"/>
      <c r="AZ15" s="69"/>
      <c r="BA15" s="69"/>
      <c r="BB15" s="69"/>
      <c r="BE15" s="70"/>
      <c r="BF15" s="71"/>
      <c r="BH15" s="69"/>
      <c r="BI15" s="69"/>
      <c r="BJ15" s="69"/>
      <c r="BK15" s="69"/>
      <c r="BO15" s="72"/>
      <c r="BP15" s="72"/>
      <c r="BT15" s="72"/>
      <c r="BU15" s="72"/>
      <c r="BX15" s="72"/>
      <c r="BY15" s="72"/>
      <c r="CA15" s="72"/>
      <c r="CI15" s="72"/>
      <c r="CJ15" s="72"/>
      <c r="CL15" s="72"/>
      <c r="CR15" s="73" t="str">
        <f>IF(L15="","",IF(CS15="not a match","",IF(CS15="full_name",VLOOKUP(L15,'Internal -- Trademark Countries'!A:E,5,FALSE),IF(CS15="polity_shortest_name",VLOOKUP(L15,'Internal -- Trademark Countries'!B:E,4,FALSE),IF(CS15="polity_full_name",VLOOKUP(L15,'Internal -- Trademark Countries'!C:E,3,FALSE),IF(CS15="polity_common_name",VLOOKUP(L15,'Internal -- Trademark Countries'!D:E,2,FALSE),IF(CS15="shortest_name",L15)))))))</f>
        <v/>
      </c>
      <c r="CS15" s="73" t="str">
        <f>IF(L15="","",IF(COUNTIF('Internal -- Trademark Countries'!A:A,L15)&gt;0,"full_name",IF(COUNTIF('Internal -- Trademark Countries'!B:B,L15)&gt;0,"polity_shortest_name",IF(COUNTIF('Internal -- Trademark Countries'!C:C,L15)&gt;0,"polity_full_name",IF(COUNTIF('Internal -- Trademark Countries'!D:D,L15)&gt;0,"polity_common_name",IF(COUNTIF('Internal -- Trademark Countries'!E:E,L15)&gt;0,"shortest_name","not a match"))))))</f>
        <v/>
      </c>
      <c r="CT15" s="73"/>
      <c r="CU15" s="73"/>
      <c r="CV15" s="73"/>
      <c r="CW15" s="73"/>
      <c r="CX15" s="74"/>
    </row>
    <row r="16" spans="1:102" ht="15.75" customHeight="1">
      <c r="C16" s="65"/>
      <c r="K16" s="66"/>
      <c r="L16" s="67"/>
      <c r="Y16" s="68"/>
      <c r="AA16" s="68"/>
      <c r="AB16" s="69"/>
      <c r="AC16" s="68"/>
      <c r="AD16" s="68"/>
      <c r="AE16" s="68"/>
      <c r="AF16" s="69"/>
      <c r="AG16" s="68"/>
      <c r="AH16" s="68"/>
      <c r="AI16" s="68"/>
      <c r="AJ16" s="69"/>
      <c r="AK16" s="69"/>
      <c r="AL16" s="69"/>
      <c r="AM16" s="69"/>
      <c r="AN16" s="69"/>
      <c r="AO16" s="69"/>
      <c r="AP16" s="69"/>
      <c r="AQ16" s="69"/>
      <c r="AR16" s="69"/>
      <c r="AS16" s="69"/>
      <c r="AT16" s="69"/>
      <c r="AU16" s="69"/>
      <c r="AV16" s="69"/>
      <c r="AW16" s="69"/>
      <c r="AX16" s="69"/>
      <c r="AY16" s="69"/>
      <c r="AZ16" s="69"/>
      <c r="BA16" s="69"/>
      <c r="BB16" s="69"/>
      <c r="BE16" s="70"/>
      <c r="BF16" s="71"/>
      <c r="BH16" s="69"/>
      <c r="BI16" s="69"/>
      <c r="BJ16" s="69"/>
      <c r="BK16" s="69"/>
      <c r="BO16" s="72"/>
      <c r="BP16" s="72"/>
      <c r="BT16" s="72"/>
      <c r="BU16" s="72"/>
      <c r="BX16" s="72"/>
      <c r="BY16" s="72"/>
      <c r="CA16" s="72"/>
      <c r="CI16" s="72"/>
      <c r="CJ16" s="72"/>
      <c r="CL16" s="72"/>
      <c r="CR16" s="73" t="str">
        <f>IF(L16="","",IF(CS16="not a match","",IF(CS16="full_name",VLOOKUP(L16,'Internal -- Trademark Countries'!A:E,5,FALSE),IF(CS16="polity_shortest_name",VLOOKUP(L16,'Internal -- Trademark Countries'!B:E,4,FALSE),IF(CS16="polity_full_name",VLOOKUP(L16,'Internal -- Trademark Countries'!C:E,3,FALSE),IF(CS16="polity_common_name",VLOOKUP(L16,'Internal -- Trademark Countries'!D:E,2,FALSE),IF(CS16="shortest_name",L16)))))))</f>
        <v/>
      </c>
      <c r="CS16" s="73" t="str">
        <f>IF(L16="","",IF(COUNTIF('Internal -- Trademark Countries'!A:A,L16)&gt;0,"full_name",IF(COUNTIF('Internal -- Trademark Countries'!B:B,L16)&gt;0,"polity_shortest_name",IF(COUNTIF('Internal -- Trademark Countries'!C:C,L16)&gt;0,"polity_full_name",IF(COUNTIF('Internal -- Trademark Countries'!D:D,L16)&gt;0,"polity_common_name",IF(COUNTIF('Internal -- Trademark Countries'!E:E,L16)&gt;0,"shortest_name","not a match"))))))</f>
        <v/>
      </c>
      <c r="CT16" s="73"/>
      <c r="CU16" s="73"/>
      <c r="CV16" s="73"/>
      <c r="CW16" s="73"/>
      <c r="CX16" s="74"/>
    </row>
    <row r="17" spans="3:102" ht="15.75" customHeight="1">
      <c r="C17" s="65"/>
      <c r="K17" s="66"/>
      <c r="L17" s="67"/>
      <c r="Y17" s="68"/>
      <c r="AA17" s="68"/>
      <c r="AB17" s="69"/>
      <c r="AC17" s="68"/>
      <c r="AD17" s="68"/>
      <c r="AE17" s="68"/>
      <c r="AF17" s="69"/>
      <c r="AG17" s="68"/>
      <c r="AH17" s="68"/>
      <c r="AI17" s="68"/>
      <c r="AJ17" s="69"/>
      <c r="AK17" s="69"/>
      <c r="AL17" s="69"/>
      <c r="AM17" s="69"/>
      <c r="AN17" s="69"/>
      <c r="AO17" s="69"/>
      <c r="AP17" s="69"/>
      <c r="AQ17" s="69"/>
      <c r="AR17" s="69"/>
      <c r="AS17" s="69"/>
      <c r="AT17" s="69"/>
      <c r="AU17" s="69"/>
      <c r="AV17" s="69"/>
      <c r="AW17" s="69"/>
      <c r="AX17" s="69"/>
      <c r="AY17" s="69"/>
      <c r="AZ17" s="69"/>
      <c r="BA17" s="69"/>
      <c r="BB17" s="69"/>
      <c r="BE17" s="70"/>
      <c r="BF17" s="71"/>
      <c r="BH17" s="69"/>
      <c r="BI17" s="69"/>
      <c r="BJ17" s="69"/>
      <c r="BK17" s="69"/>
      <c r="BO17" s="72"/>
      <c r="BP17" s="72"/>
      <c r="BT17" s="72"/>
      <c r="BU17" s="72"/>
      <c r="BX17" s="72"/>
      <c r="BY17" s="72"/>
      <c r="CA17" s="72"/>
      <c r="CI17" s="72"/>
      <c r="CJ17" s="72"/>
      <c r="CL17" s="72"/>
      <c r="CR17" s="73" t="str">
        <f>IF(L17="","",IF(CS17="not a match","",IF(CS17="full_name",VLOOKUP(L17,'Internal -- Trademark Countries'!A:E,5,FALSE),IF(CS17="polity_shortest_name",VLOOKUP(L17,'Internal -- Trademark Countries'!B:E,4,FALSE),IF(CS17="polity_full_name",VLOOKUP(L17,'Internal -- Trademark Countries'!C:E,3,FALSE),IF(CS17="polity_common_name",VLOOKUP(L17,'Internal -- Trademark Countries'!D:E,2,FALSE),IF(CS17="shortest_name",L17)))))))</f>
        <v/>
      </c>
      <c r="CS17" s="73" t="str">
        <f>IF(L17="","",IF(COUNTIF('Internal -- Trademark Countries'!A:A,L17)&gt;0,"full_name",IF(COUNTIF('Internal -- Trademark Countries'!B:B,L17)&gt;0,"polity_shortest_name",IF(COUNTIF('Internal -- Trademark Countries'!C:C,L17)&gt;0,"polity_full_name",IF(COUNTIF('Internal -- Trademark Countries'!D:D,L17)&gt;0,"polity_common_name",IF(COUNTIF('Internal -- Trademark Countries'!E:E,L17)&gt;0,"shortest_name","not a match"))))))</f>
        <v/>
      </c>
      <c r="CT17" s="73"/>
      <c r="CU17" s="73"/>
      <c r="CV17" s="73"/>
      <c r="CW17" s="73"/>
      <c r="CX17" s="74"/>
    </row>
    <row r="18" spans="3:102" ht="15.75" customHeight="1">
      <c r="C18" s="65"/>
      <c r="K18" s="66"/>
      <c r="L18" s="67"/>
      <c r="Y18" s="68"/>
      <c r="AA18" s="68"/>
      <c r="AB18" s="69"/>
      <c r="AC18" s="68"/>
      <c r="AD18" s="68"/>
      <c r="AE18" s="68"/>
      <c r="AF18" s="69"/>
      <c r="AG18" s="68"/>
      <c r="AH18" s="68"/>
      <c r="AI18" s="68"/>
      <c r="AJ18" s="69"/>
      <c r="AK18" s="69"/>
      <c r="AL18" s="69"/>
      <c r="AM18" s="69"/>
      <c r="AN18" s="69"/>
      <c r="AO18" s="69"/>
      <c r="AP18" s="69"/>
      <c r="AQ18" s="69"/>
      <c r="AR18" s="69"/>
      <c r="AS18" s="69"/>
      <c r="AT18" s="69"/>
      <c r="AU18" s="69"/>
      <c r="AV18" s="69"/>
      <c r="AW18" s="69"/>
      <c r="AX18" s="69"/>
      <c r="AY18" s="69"/>
      <c r="AZ18" s="69"/>
      <c r="BA18" s="69"/>
      <c r="BB18" s="69"/>
      <c r="BE18" s="70"/>
      <c r="BF18" s="71"/>
      <c r="BH18" s="69"/>
      <c r="BI18" s="69"/>
      <c r="BJ18" s="69"/>
      <c r="BK18" s="69"/>
      <c r="BO18" s="72"/>
      <c r="BP18" s="72"/>
      <c r="BT18" s="72"/>
      <c r="BU18" s="72"/>
      <c r="BX18" s="72"/>
      <c r="BY18" s="72"/>
      <c r="CA18" s="72"/>
      <c r="CI18" s="72"/>
      <c r="CJ18" s="72"/>
      <c r="CL18" s="72"/>
      <c r="CR18" s="73" t="str">
        <f>IF(L18="","",IF(CS18="not a match","",IF(CS18="full_name",VLOOKUP(L18,'Internal -- Trademark Countries'!A:E,5,FALSE),IF(CS18="polity_shortest_name",VLOOKUP(L18,'Internal -- Trademark Countries'!B:E,4,FALSE),IF(CS18="polity_full_name",VLOOKUP(L18,'Internal -- Trademark Countries'!C:E,3,FALSE),IF(CS18="polity_common_name",VLOOKUP(L18,'Internal -- Trademark Countries'!D:E,2,FALSE),IF(CS18="shortest_name",L18)))))))</f>
        <v/>
      </c>
      <c r="CS18" s="73" t="str">
        <f>IF(L18="","",IF(COUNTIF('Internal -- Trademark Countries'!A:A,L18)&gt;0,"full_name",IF(COUNTIF('Internal -- Trademark Countries'!B:B,L18)&gt;0,"polity_shortest_name",IF(COUNTIF('Internal -- Trademark Countries'!C:C,L18)&gt;0,"polity_full_name",IF(COUNTIF('Internal -- Trademark Countries'!D:D,L18)&gt;0,"polity_common_name",IF(COUNTIF('Internal -- Trademark Countries'!E:E,L18)&gt;0,"shortest_name","not a match"))))))</f>
        <v/>
      </c>
      <c r="CT18" s="73"/>
      <c r="CU18" s="73"/>
      <c r="CV18" s="73"/>
      <c r="CW18" s="73"/>
      <c r="CX18" s="74"/>
    </row>
    <row r="19" spans="3:102" ht="15.75" customHeight="1">
      <c r="C19" s="65"/>
      <c r="K19" s="66"/>
      <c r="L19" s="67"/>
      <c r="Y19" s="68"/>
      <c r="AA19" s="68"/>
      <c r="AB19" s="69"/>
      <c r="AC19" s="68"/>
      <c r="AD19" s="68"/>
      <c r="AE19" s="68"/>
      <c r="AF19" s="69"/>
      <c r="AG19" s="68"/>
      <c r="AH19" s="68"/>
      <c r="AI19" s="68"/>
      <c r="AJ19" s="69"/>
      <c r="AK19" s="69"/>
      <c r="AL19" s="69"/>
      <c r="AM19" s="69"/>
      <c r="AN19" s="69"/>
      <c r="AO19" s="69"/>
      <c r="AP19" s="69"/>
      <c r="AQ19" s="69"/>
      <c r="AR19" s="69"/>
      <c r="AS19" s="69"/>
      <c r="AT19" s="69"/>
      <c r="AU19" s="69"/>
      <c r="AV19" s="69"/>
      <c r="AW19" s="69"/>
      <c r="AX19" s="69"/>
      <c r="AY19" s="69"/>
      <c r="AZ19" s="69"/>
      <c r="BA19" s="69"/>
      <c r="BB19" s="69"/>
      <c r="BE19" s="70"/>
      <c r="BF19" s="71"/>
      <c r="BH19" s="69"/>
      <c r="BI19" s="69"/>
      <c r="BJ19" s="69"/>
      <c r="BK19" s="69"/>
      <c r="BO19" s="72"/>
      <c r="BP19" s="72"/>
      <c r="BT19" s="72"/>
      <c r="BU19" s="72"/>
      <c r="BX19" s="72"/>
      <c r="BY19" s="72"/>
      <c r="CA19" s="72"/>
      <c r="CI19" s="72"/>
      <c r="CJ19" s="72"/>
      <c r="CL19" s="72"/>
      <c r="CR19" s="73" t="str">
        <f>IF(L19="","",IF(CS19="not a match","",IF(CS19="full_name",VLOOKUP(L19,'Internal -- Trademark Countries'!A:E,5,FALSE),IF(CS19="polity_shortest_name",VLOOKUP(L19,'Internal -- Trademark Countries'!B:E,4,FALSE),IF(CS19="polity_full_name",VLOOKUP(L19,'Internal -- Trademark Countries'!C:E,3,FALSE),IF(CS19="polity_common_name",VLOOKUP(L19,'Internal -- Trademark Countries'!D:E,2,FALSE),IF(CS19="shortest_name",L19)))))))</f>
        <v/>
      </c>
      <c r="CS19" s="73" t="str">
        <f>IF(L19="","",IF(COUNTIF('Internal -- Trademark Countries'!A:A,L19)&gt;0,"full_name",IF(COUNTIF('Internal -- Trademark Countries'!B:B,L19)&gt;0,"polity_shortest_name",IF(COUNTIF('Internal -- Trademark Countries'!C:C,L19)&gt;0,"polity_full_name",IF(COUNTIF('Internal -- Trademark Countries'!D:D,L19)&gt;0,"polity_common_name",IF(COUNTIF('Internal -- Trademark Countries'!E:E,L19)&gt;0,"shortest_name","not a match"))))))</f>
        <v/>
      </c>
      <c r="CT19" s="73"/>
      <c r="CU19" s="73"/>
      <c r="CV19" s="73"/>
      <c r="CW19" s="73"/>
      <c r="CX19" s="74"/>
    </row>
    <row r="20" spans="3:102" ht="15.75" customHeight="1">
      <c r="C20" s="65"/>
      <c r="K20" s="66"/>
      <c r="L20" s="67"/>
      <c r="Y20" s="68"/>
      <c r="AA20" s="68"/>
      <c r="AB20" s="69"/>
      <c r="AC20" s="68"/>
      <c r="AD20" s="68"/>
      <c r="AE20" s="68"/>
      <c r="AF20" s="69"/>
      <c r="AG20" s="68"/>
      <c r="AH20" s="68"/>
      <c r="AI20" s="68"/>
      <c r="AJ20" s="69"/>
      <c r="AK20" s="69"/>
      <c r="AL20" s="69"/>
      <c r="AM20" s="69"/>
      <c r="AN20" s="69"/>
      <c r="AO20" s="69"/>
      <c r="AP20" s="69"/>
      <c r="AQ20" s="69"/>
      <c r="AR20" s="69"/>
      <c r="AS20" s="69"/>
      <c r="AT20" s="69"/>
      <c r="AU20" s="69"/>
      <c r="AV20" s="69"/>
      <c r="AW20" s="69"/>
      <c r="AX20" s="69"/>
      <c r="AY20" s="69"/>
      <c r="AZ20" s="69"/>
      <c r="BA20" s="69"/>
      <c r="BB20" s="69"/>
      <c r="BE20" s="70"/>
      <c r="BF20" s="71"/>
      <c r="BH20" s="69"/>
      <c r="BI20" s="69"/>
      <c r="BJ20" s="69"/>
      <c r="BK20" s="69"/>
      <c r="BO20" s="72"/>
      <c r="BP20" s="72"/>
      <c r="BT20" s="72"/>
      <c r="BU20" s="72"/>
      <c r="BX20" s="72"/>
      <c r="BY20" s="72"/>
      <c r="CA20" s="72"/>
      <c r="CI20" s="72"/>
      <c r="CJ20" s="72"/>
      <c r="CL20" s="72"/>
      <c r="CR20" s="73" t="str">
        <f>IF(L20="","",IF(CS20="not a match","",IF(CS20="full_name",VLOOKUP(L20,'Internal -- Trademark Countries'!A:E,5,FALSE),IF(CS20="polity_shortest_name",VLOOKUP(L20,'Internal -- Trademark Countries'!B:E,4,FALSE),IF(CS20="polity_full_name",VLOOKUP(L20,'Internal -- Trademark Countries'!C:E,3,FALSE),IF(CS20="polity_common_name",VLOOKUP(L20,'Internal -- Trademark Countries'!D:E,2,FALSE),IF(CS20="shortest_name",L20)))))))</f>
        <v/>
      </c>
      <c r="CS20" s="73" t="str">
        <f>IF(L20="","",IF(COUNTIF('Internal -- Trademark Countries'!A:A,L20)&gt;0,"full_name",IF(COUNTIF('Internal -- Trademark Countries'!B:B,L20)&gt;0,"polity_shortest_name",IF(COUNTIF('Internal -- Trademark Countries'!C:C,L20)&gt;0,"polity_full_name",IF(COUNTIF('Internal -- Trademark Countries'!D:D,L20)&gt;0,"polity_common_name",IF(COUNTIF('Internal -- Trademark Countries'!E:E,L20)&gt;0,"shortest_name","not a match"))))))</f>
        <v/>
      </c>
      <c r="CT20" s="73"/>
      <c r="CU20" s="73"/>
      <c r="CV20" s="73"/>
      <c r="CW20" s="73"/>
      <c r="CX20" s="74"/>
    </row>
    <row r="21" spans="3:102" ht="15.75" customHeight="1">
      <c r="C21" s="65"/>
      <c r="K21" s="66"/>
      <c r="L21" s="67"/>
      <c r="Y21" s="68"/>
      <c r="AA21" s="68"/>
      <c r="AB21" s="69"/>
      <c r="AC21" s="68"/>
      <c r="AD21" s="68"/>
      <c r="AE21" s="68"/>
      <c r="AF21" s="69"/>
      <c r="AG21" s="68"/>
      <c r="AH21" s="68"/>
      <c r="AI21" s="68"/>
      <c r="AJ21" s="69"/>
      <c r="AK21" s="69"/>
      <c r="AL21" s="69"/>
      <c r="AM21" s="69"/>
      <c r="AN21" s="69"/>
      <c r="AO21" s="69"/>
      <c r="AP21" s="69"/>
      <c r="AQ21" s="69"/>
      <c r="AR21" s="69"/>
      <c r="AS21" s="69"/>
      <c r="AT21" s="69"/>
      <c r="AU21" s="69"/>
      <c r="AV21" s="69"/>
      <c r="AW21" s="69"/>
      <c r="AX21" s="69"/>
      <c r="AY21" s="69"/>
      <c r="AZ21" s="69"/>
      <c r="BA21" s="69"/>
      <c r="BB21" s="69"/>
      <c r="BE21" s="70"/>
      <c r="BF21" s="71"/>
      <c r="BH21" s="69"/>
      <c r="BI21" s="69"/>
      <c r="BJ21" s="69"/>
      <c r="BK21" s="69"/>
      <c r="BO21" s="72"/>
      <c r="BP21" s="72"/>
      <c r="BT21" s="72"/>
      <c r="BU21" s="72"/>
      <c r="BX21" s="72"/>
      <c r="BY21" s="72"/>
      <c r="CA21" s="72"/>
      <c r="CI21" s="72"/>
      <c r="CJ21" s="72"/>
      <c r="CL21" s="72"/>
      <c r="CR21" s="73" t="str">
        <f>IF(L21="","",IF(CS21="not a match","",IF(CS21="full_name",VLOOKUP(L21,'Internal -- Trademark Countries'!A:E,5,FALSE),IF(CS21="polity_shortest_name",VLOOKUP(L21,'Internal -- Trademark Countries'!B:E,4,FALSE),IF(CS21="polity_full_name",VLOOKUP(L21,'Internal -- Trademark Countries'!C:E,3,FALSE),IF(CS21="polity_common_name",VLOOKUP(L21,'Internal -- Trademark Countries'!D:E,2,FALSE),IF(CS21="shortest_name",L21)))))))</f>
        <v/>
      </c>
      <c r="CS21" s="73" t="str">
        <f>IF(L21="","",IF(COUNTIF('Internal -- Trademark Countries'!A:A,L21)&gt;0,"full_name",IF(COUNTIF('Internal -- Trademark Countries'!B:B,L21)&gt;0,"polity_shortest_name",IF(COUNTIF('Internal -- Trademark Countries'!C:C,L21)&gt;0,"polity_full_name",IF(COUNTIF('Internal -- Trademark Countries'!D:D,L21)&gt;0,"polity_common_name",IF(COUNTIF('Internal -- Trademark Countries'!E:E,L21)&gt;0,"shortest_name","not a match"))))))</f>
        <v/>
      </c>
      <c r="CT21" s="73"/>
      <c r="CU21" s="73"/>
      <c r="CV21" s="73"/>
      <c r="CW21" s="73"/>
      <c r="CX21" s="74"/>
    </row>
    <row r="22" spans="3:102" ht="15.75" customHeight="1">
      <c r="C22" s="65"/>
      <c r="K22" s="66"/>
      <c r="L22" s="67"/>
      <c r="Y22" s="68"/>
      <c r="AA22" s="68"/>
      <c r="AB22" s="69"/>
      <c r="AC22" s="68"/>
      <c r="AD22" s="68"/>
      <c r="AE22" s="68"/>
      <c r="AF22" s="69"/>
      <c r="AG22" s="68"/>
      <c r="AH22" s="68"/>
      <c r="AI22" s="68"/>
      <c r="AJ22" s="69"/>
      <c r="AK22" s="69"/>
      <c r="AL22" s="69"/>
      <c r="AM22" s="69"/>
      <c r="AN22" s="69"/>
      <c r="AO22" s="69"/>
      <c r="AP22" s="69"/>
      <c r="AQ22" s="69"/>
      <c r="AR22" s="69"/>
      <c r="AS22" s="69"/>
      <c r="AT22" s="69"/>
      <c r="AU22" s="69"/>
      <c r="AV22" s="69"/>
      <c r="AW22" s="69"/>
      <c r="AX22" s="69"/>
      <c r="AY22" s="69"/>
      <c r="AZ22" s="69"/>
      <c r="BA22" s="69"/>
      <c r="BB22" s="69"/>
      <c r="BE22" s="70"/>
      <c r="BF22" s="71"/>
      <c r="BH22" s="69"/>
      <c r="BI22" s="69"/>
      <c r="BJ22" s="69"/>
      <c r="BK22" s="69"/>
      <c r="BO22" s="72"/>
      <c r="BP22" s="72"/>
      <c r="BT22" s="72"/>
      <c r="BU22" s="72"/>
      <c r="BX22" s="72"/>
      <c r="BY22" s="72"/>
      <c r="CA22" s="72"/>
      <c r="CI22" s="72"/>
      <c r="CJ22" s="72"/>
      <c r="CL22" s="72"/>
      <c r="CR22" s="73" t="str">
        <f>IF(L22="","",IF(CS22="not a match","",IF(CS22="full_name",VLOOKUP(L22,'Internal -- Trademark Countries'!A:E,5,FALSE),IF(CS22="polity_shortest_name",VLOOKUP(L22,'Internal -- Trademark Countries'!B:E,4,FALSE),IF(CS22="polity_full_name",VLOOKUP(L22,'Internal -- Trademark Countries'!C:E,3,FALSE),IF(CS22="polity_common_name",VLOOKUP(L22,'Internal -- Trademark Countries'!D:E,2,FALSE),IF(CS22="shortest_name",L22)))))))</f>
        <v/>
      </c>
      <c r="CS22" s="73" t="str">
        <f>IF(L22="","",IF(COUNTIF('Internal -- Trademark Countries'!A:A,L22)&gt;0,"full_name",IF(COUNTIF('Internal -- Trademark Countries'!B:B,L22)&gt;0,"polity_shortest_name",IF(COUNTIF('Internal -- Trademark Countries'!C:C,L22)&gt;0,"polity_full_name",IF(COUNTIF('Internal -- Trademark Countries'!D:D,L22)&gt;0,"polity_common_name",IF(COUNTIF('Internal -- Trademark Countries'!E:E,L22)&gt;0,"shortest_name","not a match"))))))</f>
        <v/>
      </c>
      <c r="CT22" s="73"/>
      <c r="CU22" s="73"/>
      <c r="CV22" s="73"/>
      <c r="CW22" s="73"/>
      <c r="CX22" s="74"/>
    </row>
    <row r="23" spans="3:102" ht="15.75" customHeight="1">
      <c r="C23" s="65"/>
      <c r="K23" s="66"/>
      <c r="L23" s="67"/>
      <c r="Y23" s="68"/>
      <c r="AA23" s="68"/>
      <c r="AB23" s="69"/>
      <c r="AC23" s="68"/>
      <c r="AD23" s="68"/>
      <c r="AE23" s="68"/>
      <c r="AF23" s="69"/>
      <c r="AG23" s="68"/>
      <c r="AH23" s="68"/>
      <c r="AI23" s="68"/>
      <c r="AJ23" s="69"/>
      <c r="AK23" s="69"/>
      <c r="AL23" s="69"/>
      <c r="AM23" s="69"/>
      <c r="AN23" s="69"/>
      <c r="AO23" s="69"/>
      <c r="AP23" s="69"/>
      <c r="AQ23" s="69"/>
      <c r="AR23" s="69"/>
      <c r="AS23" s="69"/>
      <c r="AT23" s="69"/>
      <c r="AU23" s="69"/>
      <c r="AV23" s="69"/>
      <c r="AW23" s="69"/>
      <c r="AX23" s="69"/>
      <c r="AY23" s="69"/>
      <c r="AZ23" s="69"/>
      <c r="BA23" s="69"/>
      <c r="BB23" s="69"/>
      <c r="BE23" s="70"/>
      <c r="BF23" s="71"/>
      <c r="BH23" s="69"/>
      <c r="BI23" s="69"/>
      <c r="BJ23" s="69"/>
      <c r="BK23" s="69"/>
      <c r="BO23" s="72"/>
      <c r="BP23" s="72"/>
      <c r="BT23" s="72"/>
      <c r="BU23" s="72"/>
      <c r="BX23" s="72"/>
      <c r="BY23" s="72"/>
      <c r="CA23" s="72"/>
      <c r="CI23" s="72"/>
      <c r="CJ23" s="72"/>
      <c r="CL23" s="72"/>
      <c r="CR23" s="73" t="str">
        <f>IF(L23="","",IF(CS23="not a match","",IF(CS23="full_name",VLOOKUP(L23,'Internal -- Trademark Countries'!A:E,5,FALSE),IF(CS23="polity_shortest_name",VLOOKUP(L23,'Internal -- Trademark Countries'!B:E,4,FALSE),IF(CS23="polity_full_name",VLOOKUP(L23,'Internal -- Trademark Countries'!C:E,3,FALSE),IF(CS23="polity_common_name",VLOOKUP(L23,'Internal -- Trademark Countries'!D:E,2,FALSE),IF(CS23="shortest_name",L23)))))))</f>
        <v/>
      </c>
      <c r="CS23" s="73" t="str">
        <f>IF(L23="","",IF(COUNTIF('Internal -- Trademark Countries'!A:A,L23)&gt;0,"full_name",IF(COUNTIF('Internal -- Trademark Countries'!B:B,L23)&gt;0,"polity_shortest_name",IF(COUNTIF('Internal -- Trademark Countries'!C:C,L23)&gt;0,"polity_full_name",IF(COUNTIF('Internal -- Trademark Countries'!D:D,L23)&gt;0,"polity_common_name",IF(COUNTIF('Internal -- Trademark Countries'!E:E,L23)&gt;0,"shortest_name","not a match"))))))</f>
        <v/>
      </c>
      <c r="CT23" s="73"/>
      <c r="CU23" s="73"/>
      <c r="CV23" s="73"/>
      <c r="CW23" s="73"/>
      <c r="CX23" s="74"/>
    </row>
    <row r="24" spans="3:102" ht="15.75" customHeight="1">
      <c r="C24" s="65"/>
      <c r="K24" s="66"/>
      <c r="L24" s="67"/>
      <c r="Y24" s="68"/>
      <c r="AA24" s="68"/>
      <c r="AB24" s="69"/>
      <c r="AC24" s="68"/>
      <c r="AD24" s="68"/>
      <c r="AE24" s="68"/>
      <c r="AF24" s="69"/>
      <c r="AG24" s="68"/>
      <c r="AH24" s="68"/>
      <c r="AI24" s="68"/>
      <c r="AJ24" s="69"/>
      <c r="AK24" s="69"/>
      <c r="AL24" s="69"/>
      <c r="AM24" s="69"/>
      <c r="AN24" s="69"/>
      <c r="AO24" s="69"/>
      <c r="AP24" s="69"/>
      <c r="AQ24" s="69"/>
      <c r="AR24" s="69"/>
      <c r="AS24" s="69"/>
      <c r="AT24" s="69"/>
      <c r="AU24" s="69"/>
      <c r="AV24" s="69"/>
      <c r="AW24" s="69"/>
      <c r="AX24" s="69"/>
      <c r="AY24" s="69"/>
      <c r="AZ24" s="69"/>
      <c r="BA24" s="69"/>
      <c r="BB24" s="69"/>
      <c r="BE24" s="70"/>
      <c r="BF24" s="71"/>
      <c r="BH24" s="69"/>
      <c r="BI24" s="69"/>
      <c r="BJ24" s="69"/>
      <c r="BK24" s="69"/>
      <c r="BO24" s="72"/>
      <c r="BP24" s="72"/>
      <c r="BT24" s="72"/>
      <c r="BU24" s="72"/>
      <c r="BX24" s="72"/>
      <c r="BY24" s="72"/>
      <c r="CA24" s="72"/>
      <c r="CI24" s="72"/>
      <c r="CJ24" s="72"/>
      <c r="CL24" s="72"/>
      <c r="CR24" s="73" t="str">
        <f>IF(L24="","",IF(CS24="not a match","",IF(CS24="full_name",VLOOKUP(L24,'Internal -- Trademark Countries'!A:E,5,FALSE),IF(CS24="polity_shortest_name",VLOOKUP(L24,'Internal -- Trademark Countries'!B:E,4,FALSE),IF(CS24="polity_full_name",VLOOKUP(L24,'Internal -- Trademark Countries'!C:E,3,FALSE),IF(CS24="polity_common_name",VLOOKUP(L24,'Internal -- Trademark Countries'!D:E,2,FALSE),IF(CS24="shortest_name",L24)))))))</f>
        <v/>
      </c>
      <c r="CS24" s="73" t="str">
        <f>IF(L24="","",IF(COUNTIF('Internal -- Trademark Countries'!A:A,L24)&gt;0,"full_name",IF(COUNTIF('Internal -- Trademark Countries'!B:B,L24)&gt;0,"polity_shortest_name",IF(COUNTIF('Internal -- Trademark Countries'!C:C,L24)&gt;0,"polity_full_name",IF(COUNTIF('Internal -- Trademark Countries'!D:D,L24)&gt;0,"polity_common_name",IF(COUNTIF('Internal -- Trademark Countries'!E:E,L24)&gt;0,"shortest_name","not a match"))))))</f>
        <v/>
      </c>
      <c r="CT24" s="73"/>
      <c r="CU24" s="73"/>
      <c r="CV24" s="73"/>
      <c r="CW24" s="73"/>
      <c r="CX24" s="74"/>
    </row>
    <row r="25" spans="3:102" ht="15.75" customHeight="1">
      <c r="C25" s="65"/>
      <c r="K25" s="66"/>
      <c r="L25" s="67"/>
      <c r="Y25" s="68"/>
      <c r="AA25" s="68"/>
      <c r="AB25" s="69"/>
      <c r="AC25" s="68"/>
      <c r="AD25" s="68"/>
      <c r="AE25" s="68"/>
      <c r="AF25" s="69"/>
      <c r="AG25" s="68"/>
      <c r="AH25" s="68"/>
      <c r="AI25" s="68"/>
      <c r="AJ25" s="69"/>
      <c r="AK25" s="69"/>
      <c r="AL25" s="69"/>
      <c r="AM25" s="69"/>
      <c r="AN25" s="69"/>
      <c r="AO25" s="69"/>
      <c r="AP25" s="69"/>
      <c r="AQ25" s="69"/>
      <c r="AR25" s="69"/>
      <c r="AS25" s="69"/>
      <c r="AT25" s="69"/>
      <c r="AU25" s="69"/>
      <c r="AV25" s="69"/>
      <c r="AW25" s="69"/>
      <c r="AX25" s="69"/>
      <c r="AY25" s="69"/>
      <c r="AZ25" s="69"/>
      <c r="BA25" s="69"/>
      <c r="BB25" s="69"/>
      <c r="BE25" s="70"/>
      <c r="BF25" s="71"/>
      <c r="BH25" s="69"/>
      <c r="BI25" s="69"/>
      <c r="BJ25" s="69"/>
      <c r="BK25" s="69"/>
      <c r="BO25" s="72"/>
      <c r="BP25" s="72"/>
      <c r="BT25" s="72"/>
      <c r="BU25" s="72"/>
      <c r="BX25" s="72"/>
      <c r="BY25" s="72"/>
      <c r="CA25" s="72"/>
      <c r="CI25" s="72"/>
      <c r="CJ25" s="72"/>
      <c r="CL25" s="72"/>
      <c r="CR25" s="73" t="str">
        <f>IF(L25="","",IF(CS25="not a match","",IF(CS25="full_name",VLOOKUP(L25,'Internal -- Trademark Countries'!A:E,5,FALSE),IF(CS25="polity_shortest_name",VLOOKUP(L25,'Internal -- Trademark Countries'!B:E,4,FALSE),IF(CS25="polity_full_name",VLOOKUP(L25,'Internal -- Trademark Countries'!C:E,3,FALSE),IF(CS25="polity_common_name",VLOOKUP(L25,'Internal -- Trademark Countries'!D:E,2,FALSE),IF(CS25="shortest_name",L25)))))))</f>
        <v/>
      </c>
      <c r="CS25" s="73" t="str">
        <f>IF(L25="","",IF(COUNTIF('Internal -- Trademark Countries'!A:A,L25)&gt;0,"full_name",IF(COUNTIF('Internal -- Trademark Countries'!B:B,L25)&gt;0,"polity_shortest_name",IF(COUNTIF('Internal -- Trademark Countries'!C:C,L25)&gt;0,"polity_full_name",IF(COUNTIF('Internal -- Trademark Countries'!D:D,L25)&gt;0,"polity_common_name",IF(COUNTIF('Internal -- Trademark Countries'!E:E,L25)&gt;0,"shortest_name","not a match"))))))</f>
        <v/>
      </c>
      <c r="CT25" s="73"/>
      <c r="CU25" s="73"/>
      <c r="CV25" s="73"/>
      <c r="CW25" s="73"/>
      <c r="CX25" s="74"/>
    </row>
    <row r="26" spans="3:102" ht="15.75" customHeight="1">
      <c r="C26" s="65"/>
      <c r="K26" s="66"/>
      <c r="L26" s="67"/>
      <c r="Y26" s="68"/>
      <c r="AA26" s="68"/>
      <c r="AB26" s="69"/>
      <c r="AC26" s="68"/>
      <c r="AD26" s="68"/>
      <c r="AE26" s="68"/>
      <c r="AF26" s="69"/>
      <c r="AG26" s="68"/>
      <c r="AH26" s="68"/>
      <c r="AI26" s="68"/>
      <c r="AJ26" s="69"/>
      <c r="AK26" s="69"/>
      <c r="AL26" s="69"/>
      <c r="AM26" s="69"/>
      <c r="AN26" s="69"/>
      <c r="AO26" s="69"/>
      <c r="AP26" s="69"/>
      <c r="AQ26" s="69"/>
      <c r="AR26" s="69"/>
      <c r="AS26" s="69"/>
      <c r="AT26" s="69"/>
      <c r="AU26" s="69"/>
      <c r="AV26" s="69"/>
      <c r="AW26" s="69"/>
      <c r="AX26" s="69"/>
      <c r="AY26" s="69"/>
      <c r="AZ26" s="69"/>
      <c r="BA26" s="69"/>
      <c r="BB26" s="69"/>
      <c r="BE26" s="70"/>
      <c r="BF26" s="71"/>
      <c r="BH26" s="69"/>
      <c r="BI26" s="69"/>
      <c r="BJ26" s="69"/>
      <c r="BK26" s="69"/>
      <c r="BO26" s="72"/>
      <c r="BP26" s="72"/>
      <c r="BT26" s="72"/>
      <c r="BU26" s="72"/>
      <c r="BX26" s="72"/>
      <c r="BY26" s="72"/>
      <c r="CA26" s="72"/>
      <c r="CI26" s="72"/>
      <c r="CJ26" s="72"/>
      <c r="CL26" s="72"/>
      <c r="CR26" s="73" t="str">
        <f>IF(L26="","",IF(CS26="not a match","",IF(CS26="full_name",VLOOKUP(L26,'Internal -- Trademark Countries'!A:E,5,FALSE),IF(CS26="polity_shortest_name",VLOOKUP(L26,'Internal -- Trademark Countries'!B:E,4,FALSE),IF(CS26="polity_full_name",VLOOKUP(L26,'Internal -- Trademark Countries'!C:E,3,FALSE),IF(CS26="polity_common_name",VLOOKUP(L26,'Internal -- Trademark Countries'!D:E,2,FALSE),IF(CS26="shortest_name",L26)))))))</f>
        <v/>
      </c>
      <c r="CS26" s="73" t="str">
        <f>IF(L26="","",IF(COUNTIF('Internal -- Trademark Countries'!A:A,L26)&gt;0,"full_name",IF(COUNTIF('Internal -- Trademark Countries'!B:B,L26)&gt;0,"polity_shortest_name",IF(COUNTIF('Internal -- Trademark Countries'!C:C,L26)&gt;0,"polity_full_name",IF(COUNTIF('Internal -- Trademark Countries'!D:D,L26)&gt;0,"polity_common_name",IF(COUNTIF('Internal -- Trademark Countries'!E:E,L26)&gt;0,"shortest_name","not a match"))))))</f>
        <v/>
      </c>
      <c r="CT26" s="73"/>
      <c r="CU26" s="73"/>
      <c r="CV26" s="73"/>
      <c r="CW26" s="73"/>
      <c r="CX26" s="74"/>
    </row>
    <row r="27" spans="3:102" ht="15.75" customHeight="1">
      <c r="C27" s="65"/>
      <c r="K27" s="66"/>
      <c r="L27" s="67"/>
      <c r="Y27" s="68"/>
      <c r="AA27" s="68"/>
      <c r="AB27" s="69"/>
      <c r="AC27" s="68"/>
      <c r="AD27" s="68"/>
      <c r="AE27" s="68"/>
      <c r="AF27" s="69"/>
      <c r="AG27" s="68"/>
      <c r="AH27" s="68"/>
      <c r="AI27" s="68"/>
      <c r="AJ27" s="69"/>
      <c r="AK27" s="69"/>
      <c r="AL27" s="69"/>
      <c r="AM27" s="69"/>
      <c r="AN27" s="69"/>
      <c r="AO27" s="69"/>
      <c r="AP27" s="69"/>
      <c r="AQ27" s="69"/>
      <c r="AR27" s="69"/>
      <c r="AS27" s="69"/>
      <c r="AT27" s="69"/>
      <c r="AU27" s="69"/>
      <c r="AV27" s="69"/>
      <c r="AW27" s="69"/>
      <c r="AX27" s="69"/>
      <c r="AY27" s="69"/>
      <c r="AZ27" s="69"/>
      <c r="BA27" s="69"/>
      <c r="BB27" s="69"/>
      <c r="BE27" s="70"/>
      <c r="BF27" s="71"/>
      <c r="BH27" s="69"/>
      <c r="BI27" s="69"/>
      <c r="BJ27" s="69"/>
      <c r="BK27" s="69"/>
      <c r="BO27" s="72"/>
      <c r="BP27" s="72"/>
      <c r="BT27" s="72"/>
      <c r="BU27" s="72"/>
      <c r="BX27" s="72"/>
      <c r="BY27" s="72"/>
      <c r="CA27" s="72"/>
      <c r="CI27" s="72"/>
      <c r="CJ27" s="72"/>
      <c r="CL27" s="72"/>
      <c r="CR27" s="73" t="str">
        <f>IF(L27="","",IF(CS27="not a match","",IF(CS27="full_name",VLOOKUP(L27,'Internal -- Trademark Countries'!A:E,5,FALSE),IF(CS27="polity_shortest_name",VLOOKUP(L27,'Internal -- Trademark Countries'!B:E,4,FALSE),IF(CS27="polity_full_name",VLOOKUP(L27,'Internal -- Trademark Countries'!C:E,3,FALSE),IF(CS27="polity_common_name",VLOOKUP(L27,'Internal -- Trademark Countries'!D:E,2,FALSE),IF(CS27="shortest_name",L27)))))))</f>
        <v/>
      </c>
      <c r="CS27" s="73" t="str">
        <f>IF(L27="","",IF(COUNTIF('Internal -- Trademark Countries'!A:A,L27)&gt;0,"full_name",IF(COUNTIF('Internal -- Trademark Countries'!B:B,L27)&gt;0,"polity_shortest_name",IF(COUNTIF('Internal -- Trademark Countries'!C:C,L27)&gt;0,"polity_full_name",IF(COUNTIF('Internal -- Trademark Countries'!D:D,L27)&gt;0,"polity_common_name",IF(COUNTIF('Internal -- Trademark Countries'!E:E,L27)&gt;0,"shortest_name","not a match"))))))</f>
        <v/>
      </c>
      <c r="CT27" s="73"/>
      <c r="CU27" s="73"/>
      <c r="CV27" s="73"/>
      <c r="CW27" s="73"/>
      <c r="CX27" s="74"/>
    </row>
    <row r="28" spans="3:102" ht="15.75" customHeight="1">
      <c r="C28" s="65"/>
      <c r="K28" s="66"/>
      <c r="L28" s="67"/>
      <c r="Y28" s="68"/>
      <c r="AA28" s="68"/>
      <c r="AB28" s="69"/>
      <c r="AC28" s="68"/>
      <c r="AD28" s="68"/>
      <c r="AE28" s="68"/>
      <c r="AF28" s="69"/>
      <c r="AG28" s="68"/>
      <c r="AH28" s="68"/>
      <c r="AI28" s="68"/>
      <c r="AJ28" s="69"/>
      <c r="AK28" s="69"/>
      <c r="AL28" s="69"/>
      <c r="AM28" s="69"/>
      <c r="AN28" s="69"/>
      <c r="AO28" s="69"/>
      <c r="AP28" s="69"/>
      <c r="AQ28" s="69"/>
      <c r="AR28" s="69"/>
      <c r="AS28" s="69"/>
      <c r="AT28" s="69"/>
      <c r="AU28" s="69"/>
      <c r="AV28" s="69"/>
      <c r="AW28" s="69"/>
      <c r="AX28" s="69"/>
      <c r="AY28" s="69"/>
      <c r="AZ28" s="69"/>
      <c r="BA28" s="69"/>
      <c r="BB28" s="69"/>
      <c r="BE28" s="70"/>
      <c r="BF28" s="71"/>
      <c r="BH28" s="69"/>
      <c r="BI28" s="69"/>
      <c r="BJ28" s="69"/>
      <c r="BK28" s="69"/>
      <c r="BO28" s="72"/>
      <c r="BP28" s="72"/>
      <c r="BT28" s="72"/>
      <c r="BU28" s="72"/>
      <c r="BX28" s="72"/>
      <c r="BY28" s="72"/>
      <c r="CA28" s="72"/>
      <c r="CI28" s="72"/>
      <c r="CJ28" s="72"/>
      <c r="CL28" s="72"/>
      <c r="CR28" s="73" t="str">
        <f>IF(L28="","",IF(CS28="not a match","",IF(CS28="full_name",VLOOKUP(L28,'Internal -- Trademark Countries'!A:E,5,FALSE),IF(CS28="polity_shortest_name",VLOOKUP(L28,'Internal -- Trademark Countries'!B:E,4,FALSE),IF(CS28="polity_full_name",VLOOKUP(L28,'Internal -- Trademark Countries'!C:E,3,FALSE),IF(CS28="polity_common_name",VLOOKUP(L28,'Internal -- Trademark Countries'!D:E,2,FALSE),IF(CS28="shortest_name",L28)))))))</f>
        <v/>
      </c>
      <c r="CS28" s="73" t="str">
        <f>IF(L28="","",IF(COUNTIF('Internal -- Trademark Countries'!A:A,L28)&gt;0,"full_name",IF(COUNTIF('Internal -- Trademark Countries'!B:B,L28)&gt;0,"polity_shortest_name",IF(COUNTIF('Internal -- Trademark Countries'!C:C,L28)&gt;0,"polity_full_name",IF(COUNTIF('Internal -- Trademark Countries'!D:D,L28)&gt;0,"polity_common_name",IF(COUNTIF('Internal -- Trademark Countries'!E:E,L28)&gt;0,"shortest_name","not a match"))))))</f>
        <v/>
      </c>
      <c r="CT28" s="73"/>
      <c r="CU28" s="73"/>
      <c r="CV28" s="73"/>
      <c r="CW28" s="73"/>
      <c r="CX28" s="74"/>
    </row>
    <row r="29" spans="3:102" ht="15.75" customHeight="1">
      <c r="C29" s="65"/>
      <c r="K29" s="66"/>
      <c r="L29" s="67"/>
      <c r="Y29" s="68"/>
      <c r="AA29" s="68"/>
      <c r="AB29" s="69"/>
      <c r="AC29" s="68"/>
      <c r="AD29" s="68"/>
      <c r="AE29" s="68"/>
      <c r="AF29" s="69"/>
      <c r="AG29" s="68"/>
      <c r="AH29" s="68"/>
      <c r="AI29" s="68"/>
      <c r="AJ29" s="69"/>
      <c r="AK29" s="69"/>
      <c r="AL29" s="69"/>
      <c r="AM29" s="69"/>
      <c r="AN29" s="69"/>
      <c r="AO29" s="69"/>
      <c r="AP29" s="69"/>
      <c r="AQ29" s="69"/>
      <c r="AR29" s="69"/>
      <c r="AS29" s="69"/>
      <c r="AT29" s="69"/>
      <c r="AU29" s="69"/>
      <c r="AV29" s="69"/>
      <c r="AW29" s="69"/>
      <c r="AX29" s="69"/>
      <c r="AY29" s="69"/>
      <c r="AZ29" s="69"/>
      <c r="BA29" s="69"/>
      <c r="BB29" s="69"/>
      <c r="BE29" s="70"/>
      <c r="BF29" s="71"/>
      <c r="BH29" s="69"/>
      <c r="BI29" s="69"/>
      <c r="BJ29" s="69"/>
      <c r="BK29" s="69"/>
      <c r="BO29" s="72"/>
      <c r="BP29" s="72"/>
      <c r="BT29" s="72"/>
      <c r="BU29" s="72"/>
      <c r="BX29" s="72"/>
      <c r="BY29" s="72"/>
      <c r="CA29" s="72"/>
      <c r="CI29" s="72"/>
      <c r="CJ29" s="72"/>
      <c r="CL29" s="72"/>
      <c r="CR29" s="73" t="str">
        <f>IF(L29="","",IF(CS29="not a match","",IF(CS29="full_name",VLOOKUP(L29,'Internal -- Trademark Countries'!A:E,5,FALSE),IF(CS29="polity_shortest_name",VLOOKUP(L29,'Internal -- Trademark Countries'!B:E,4,FALSE),IF(CS29="polity_full_name",VLOOKUP(L29,'Internal -- Trademark Countries'!C:E,3,FALSE),IF(CS29="polity_common_name",VLOOKUP(L29,'Internal -- Trademark Countries'!D:E,2,FALSE),IF(CS29="shortest_name",L29)))))))</f>
        <v/>
      </c>
      <c r="CS29" s="73" t="str">
        <f>IF(L29="","",IF(COUNTIF('Internal -- Trademark Countries'!A:A,L29)&gt;0,"full_name",IF(COUNTIF('Internal -- Trademark Countries'!B:B,L29)&gt;0,"polity_shortest_name",IF(COUNTIF('Internal -- Trademark Countries'!C:C,L29)&gt;0,"polity_full_name",IF(COUNTIF('Internal -- Trademark Countries'!D:D,L29)&gt;0,"polity_common_name",IF(COUNTIF('Internal -- Trademark Countries'!E:E,L29)&gt;0,"shortest_name","not a match"))))))</f>
        <v/>
      </c>
      <c r="CT29" s="73"/>
      <c r="CU29" s="73"/>
      <c r="CV29" s="73"/>
      <c r="CW29" s="73"/>
      <c r="CX29" s="74"/>
    </row>
    <row r="30" spans="3:102" ht="15.75" customHeight="1">
      <c r="C30" s="65"/>
      <c r="K30" s="66"/>
      <c r="L30" s="67"/>
      <c r="Y30" s="68"/>
      <c r="AA30" s="68"/>
      <c r="AB30" s="69"/>
      <c r="AC30" s="68"/>
      <c r="AD30" s="68"/>
      <c r="AE30" s="68"/>
      <c r="AF30" s="69"/>
      <c r="AG30" s="68"/>
      <c r="AH30" s="68"/>
      <c r="AI30" s="68"/>
      <c r="AJ30" s="69"/>
      <c r="AK30" s="69"/>
      <c r="AL30" s="69"/>
      <c r="AM30" s="69"/>
      <c r="AN30" s="69"/>
      <c r="AO30" s="69"/>
      <c r="AP30" s="69"/>
      <c r="AQ30" s="69"/>
      <c r="AR30" s="69"/>
      <c r="AS30" s="69"/>
      <c r="AT30" s="69"/>
      <c r="AU30" s="69"/>
      <c r="AV30" s="69"/>
      <c r="AW30" s="69"/>
      <c r="AX30" s="69"/>
      <c r="AY30" s="69"/>
      <c r="AZ30" s="69"/>
      <c r="BA30" s="69"/>
      <c r="BB30" s="69"/>
      <c r="BE30" s="70"/>
      <c r="BF30" s="71"/>
      <c r="BH30" s="69"/>
      <c r="BI30" s="69"/>
      <c r="BJ30" s="69"/>
      <c r="BK30" s="69"/>
      <c r="BO30" s="72"/>
      <c r="BP30" s="72"/>
      <c r="BT30" s="72"/>
      <c r="BU30" s="72"/>
      <c r="BX30" s="72"/>
      <c r="BY30" s="72"/>
      <c r="CA30" s="72"/>
      <c r="CI30" s="72"/>
      <c r="CJ30" s="72"/>
      <c r="CL30" s="72"/>
      <c r="CR30" s="73" t="str">
        <f>IF(L30="","",IF(CS30="not a match","",IF(CS30="full_name",VLOOKUP(L30,'Internal -- Trademark Countries'!A:E,5,FALSE),IF(CS30="polity_shortest_name",VLOOKUP(L30,'Internal -- Trademark Countries'!B:E,4,FALSE),IF(CS30="polity_full_name",VLOOKUP(L30,'Internal -- Trademark Countries'!C:E,3,FALSE),IF(CS30="polity_common_name",VLOOKUP(L30,'Internal -- Trademark Countries'!D:E,2,FALSE),IF(CS30="shortest_name",L30)))))))</f>
        <v/>
      </c>
      <c r="CS30" s="73" t="str">
        <f>IF(L30="","",IF(COUNTIF('Internal -- Trademark Countries'!A:A,L30)&gt;0,"full_name",IF(COUNTIF('Internal -- Trademark Countries'!B:B,L30)&gt;0,"polity_shortest_name",IF(COUNTIF('Internal -- Trademark Countries'!C:C,L30)&gt;0,"polity_full_name",IF(COUNTIF('Internal -- Trademark Countries'!D:D,L30)&gt;0,"polity_common_name",IF(COUNTIF('Internal -- Trademark Countries'!E:E,L30)&gt;0,"shortest_name","not a match"))))))</f>
        <v/>
      </c>
      <c r="CT30" s="73"/>
      <c r="CU30" s="73"/>
      <c r="CV30" s="73"/>
      <c r="CW30" s="73"/>
      <c r="CX30" s="74"/>
    </row>
    <row r="31" spans="3:102" ht="15.75" customHeight="1">
      <c r="C31" s="65"/>
      <c r="K31" s="66"/>
      <c r="L31" s="67"/>
      <c r="Y31" s="68"/>
      <c r="AA31" s="68"/>
      <c r="AB31" s="69"/>
      <c r="AC31" s="68"/>
      <c r="AD31" s="68"/>
      <c r="AE31" s="68"/>
      <c r="AF31" s="69"/>
      <c r="AG31" s="68"/>
      <c r="AH31" s="68"/>
      <c r="AI31" s="68"/>
      <c r="AJ31" s="69"/>
      <c r="AK31" s="69"/>
      <c r="AL31" s="69"/>
      <c r="AM31" s="69"/>
      <c r="AN31" s="69"/>
      <c r="AO31" s="69"/>
      <c r="AP31" s="69"/>
      <c r="AQ31" s="69"/>
      <c r="AR31" s="69"/>
      <c r="AS31" s="69"/>
      <c r="AT31" s="69"/>
      <c r="AU31" s="69"/>
      <c r="AV31" s="69"/>
      <c r="AW31" s="69"/>
      <c r="AX31" s="69"/>
      <c r="AY31" s="69"/>
      <c r="AZ31" s="69"/>
      <c r="BA31" s="69"/>
      <c r="BB31" s="69"/>
      <c r="BE31" s="70"/>
      <c r="BF31" s="71"/>
      <c r="BH31" s="69"/>
      <c r="BI31" s="69"/>
      <c r="BJ31" s="69"/>
      <c r="BK31" s="69"/>
      <c r="BO31" s="72"/>
      <c r="BP31" s="72"/>
      <c r="BT31" s="72"/>
      <c r="BU31" s="72"/>
      <c r="BX31" s="72"/>
      <c r="BY31" s="72"/>
      <c r="CA31" s="72"/>
      <c r="CI31" s="72"/>
      <c r="CJ31" s="72"/>
      <c r="CL31" s="72"/>
      <c r="CR31" s="73" t="str">
        <f>IF(L31="","",IF(CS31="not a match","",IF(CS31="full_name",VLOOKUP(L31,'Internal -- Trademark Countries'!A:E,5,FALSE),IF(CS31="polity_shortest_name",VLOOKUP(L31,'Internal -- Trademark Countries'!B:E,4,FALSE),IF(CS31="polity_full_name",VLOOKUP(L31,'Internal -- Trademark Countries'!C:E,3,FALSE),IF(CS31="polity_common_name",VLOOKUP(L31,'Internal -- Trademark Countries'!D:E,2,FALSE),IF(CS31="shortest_name",L31)))))))</f>
        <v/>
      </c>
      <c r="CS31" s="73" t="str">
        <f>IF(L31="","",IF(COUNTIF('Internal -- Trademark Countries'!A:A,L31)&gt;0,"full_name",IF(COUNTIF('Internal -- Trademark Countries'!B:B,L31)&gt;0,"polity_shortest_name",IF(COUNTIF('Internal -- Trademark Countries'!C:C,L31)&gt;0,"polity_full_name",IF(COUNTIF('Internal -- Trademark Countries'!D:D,L31)&gt;0,"polity_common_name",IF(COUNTIF('Internal -- Trademark Countries'!E:E,L31)&gt;0,"shortest_name","not a match"))))))</f>
        <v/>
      </c>
      <c r="CT31" s="73"/>
      <c r="CU31" s="73"/>
      <c r="CV31" s="73"/>
      <c r="CW31" s="73"/>
      <c r="CX31" s="74"/>
    </row>
    <row r="32" spans="3:102" ht="15.75" customHeight="1">
      <c r="C32" s="65"/>
      <c r="K32" s="66"/>
      <c r="L32" s="67"/>
      <c r="Y32" s="68"/>
      <c r="AA32" s="68"/>
      <c r="AB32" s="69"/>
      <c r="AC32" s="68"/>
      <c r="AD32" s="68"/>
      <c r="AE32" s="68"/>
      <c r="AF32" s="69"/>
      <c r="AG32" s="68"/>
      <c r="AH32" s="68"/>
      <c r="AI32" s="68"/>
      <c r="AJ32" s="69"/>
      <c r="AK32" s="69"/>
      <c r="AL32" s="69"/>
      <c r="AM32" s="69"/>
      <c r="AN32" s="69"/>
      <c r="AO32" s="69"/>
      <c r="AP32" s="69"/>
      <c r="AQ32" s="69"/>
      <c r="AR32" s="69"/>
      <c r="AS32" s="69"/>
      <c r="AT32" s="69"/>
      <c r="AU32" s="69"/>
      <c r="AV32" s="69"/>
      <c r="AW32" s="69"/>
      <c r="AX32" s="69"/>
      <c r="AY32" s="69"/>
      <c r="AZ32" s="69"/>
      <c r="BA32" s="69"/>
      <c r="BB32" s="69"/>
      <c r="BE32" s="70"/>
      <c r="BF32" s="71"/>
      <c r="BH32" s="69"/>
      <c r="BI32" s="69"/>
      <c r="BJ32" s="69"/>
      <c r="BK32" s="69"/>
      <c r="BO32" s="72"/>
      <c r="BP32" s="72"/>
      <c r="BT32" s="72"/>
      <c r="BU32" s="72"/>
      <c r="BX32" s="72"/>
      <c r="BY32" s="72"/>
      <c r="CA32" s="72"/>
      <c r="CI32" s="72"/>
      <c r="CJ32" s="72"/>
      <c r="CL32" s="72"/>
      <c r="CR32" s="73" t="str">
        <f>IF(L32="","",IF(CS32="not a match","",IF(CS32="full_name",VLOOKUP(L32,'Internal -- Trademark Countries'!A:E,5,FALSE),IF(CS32="polity_shortest_name",VLOOKUP(L32,'Internal -- Trademark Countries'!B:E,4,FALSE),IF(CS32="polity_full_name",VLOOKUP(L32,'Internal -- Trademark Countries'!C:E,3,FALSE),IF(CS32="polity_common_name",VLOOKUP(L32,'Internal -- Trademark Countries'!D:E,2,FALSE),IF(CS32="shortest_name",L32)))))))</f>
        <v/>
      </c>
      <c r="CS32" s="73" t="str">
        <f>IF(L32="","",IF(COUNTIF('Internal -- Trademark Countries'!A:A,L32)&gt;0,"full_name",IF(COUNTIF('Internal -- Trademark Countries'!B:B,L32)&gt;0,"polity_shortest_name",IF(COUNTIF('Internal -- Trademark Countries'!C:C,L32)&gt;0,"polity_full_name",IF(COUNTIF('Internal -- Trademark Countries'!D:D,L32)&gt;0,"polity_common_name",IF(COUNTIF('Internal -- Trademark Countries'!E:E,L32)&gt;0,"shortest_name","not a match"))))))</f>
        <v/>
      </c>
      <c r="CT32" s="73"/>
      <c r="CU32" s="73"/>
      <c r="CV32" s="73"/>
      <c r="CW32" s="73"/>
      <c r="CX32" s="74"/>
    </row>
    <row r="33" spans="3:102" ht="15.75" customHeight="1">
      <c r="C33" s="65"/>
      <c r="K33" s="66"/>
      <c r="L33" s="67"/>
      <c r="Y33" s="68"/>
      <c r="AA33" s="68"/>
      <c r="AB33" s="69"/>
      <c r="AC33" s="68"/>
      <c r="AD33" s="68"/>
      <c r="AE33" s="68"/>
      <c r="AF33" s="69"/>
      <c r="AG33" s="68"/>
      <c r="AH33" s="68"/>
      <c r="AI33" s="68"/>
      <c r="AJ33" s="69"/>
      <c r="AK33" s="69"/>
      <c r="AL33" s="69"/>
      <c r="AM33" s="69"/>
      <c r="AN33" s="69"/>
      <c r="AO33" s="69"/>
      <c r="AP33" s="69"/>
      <c r="AQ33" s="69"/>
      <c r="AR33" s="69"/>
      <c r="AS33" s="69"/>
      <c r="AT33" s="69"/>
      <c r="AU33" s="69"/>
      <c r="AV33" s="69"/>
      <c r="AW33" s="69"/>
      <c r="AX33" s="69"/>
      <c r="AY33" s="69"/>
      <c r="AZ33" s="69"/>
      <c r="BA33" s="69"/>
      <c r="BB33" s="69"/>
      <c r="BE33" s="70"/>
      <c r="BF33" s="71"/>
      <c r="BH33" s="69"/>
      <c r="BI33" s="69"/>
      <c r="BJ33" s="69"/>
      <c r="BK33" s="69"/>
      <c r="BO33" s="72"/>
      <c r="BP33" s="72"/>
      <c r="BT33" s="72"/>
      <c r="BU33" s="72"/>
      <c r="BX33" s="72"/>
      <c r="BY33" s="72"/>
      <c r="CA33" s="72"/>
      <c r="CI33" s="72"/>
      <c r="CJ33" s="72"/>
      <c r="CL33" s="72"/>
      <c r="CR33" s="73" t="str">
        <f>IF(L33="","",IF(CS33="not a match","",IF(CS33="full_name",VLOOKUP(L33,'Internal -- Trademark Countries'!A:E,5,FALSE),IF(CS33="polity_shortest_name",VLOOKUP(L33,'Internal -- Trademark Countries'!B:E,4,FALSE),IF(CS33="polity_full_name",VLOOKUP(L33,'Internal -- Trademark Countries'!C:E,3,FALSE),IF(CS33="polity_common_name",VLOOKUP(L33,'Internal -- Trademark Countries'!D:E,2,FALSE),IF(CS33="shortest_name",L33)))))))</f>
        <v/>
      </c>
      <c r="CS33" s="73" t="str">
        <f>IF(L33="","",IF(COUNTIF('Internal -- Trademark Countries'!A:A,L33)&gt;0,"full_name",IF(COUNTIF('Internal -- Trademark Countries'!B:B,L33)&gt;0,"polity_shortest_name",IF(COUNTIF('Internal -- Trademark Countries'!C:C,L33)&gt;0,"polity_full_name",IF(COUNTIF('Internal -- Trademark Countries'!D:D,L33)&gt;0,"polity_common_name",IF(COUNTIF('Internal -- Trademark Countries'!E:E,L33)&gt;0,"shortest_name","not a match"))))))</f>
        <v/>
      </c>
      <c r="CT33" s="73"/>
      <c r="CU33" s="73"/>
      <c r="CV33" s="73"/>
      <c r="CW33" s="73"/>
      <c r="CX33" s="74"/>
    </row>
    <row r="34" spans="3:102" ht="15.75" customHeight="1">
      <c r="C34" s="65"/>
      <c r="K34" s="66"/>
      <c r="L34" s="67"/>
      <c r="Y34" s="68"/>
      <c r="AA34" s="68"/>
      <c r="AB34" s="69"/>
      <c r="AC34" s="68"/>
      <c r="AD34" s="68"/>
      <c r="AE34" s="68"/>
      <c r="AF34" s="69"/>
      <c r="AG34" s="68"/>
      <c r="AH34" s="68"/>
      <c r="AI34" s="68"/>
      <c r="AJ34" s="69"/>
      <c r="AK34" s="69"/>
      <c r="AL34" s="69"/>
      <c r="AM34" s="69"/>
      <c r="AN34" s="69"/>
      <c r="AO34" s="69"/>
      <c r="AP34" s="69"/>
      <c r="AQ34" s="69"/>
      <c r="AR34" s="69"/>
      <c r="AS34" s="69"/>
      <c r="AT34" s="69"/>
      <c r="AU34" s="69"/>
      <c r="AV34" s="69"/>
      <c r="AW34" s="69"/>
      <c r="AX34" s="69"/>
      <c r="AY34" s="69"/>
      <c r="AZ34" s="69"/>
      <c r="BA34" s="69"/>
      <c r="BB34" s="69"/>
      <c r="BE34" s="70"/>
      <c r="BF34" s="71"/>
      <c r="BH34" s="69"/>
      <c r="BI34" s="69"/>
      <c r="BJ34" s="69"/>
      <c r="BK34" s="69"/>
      <c r="BO34" s="72"/>
      <c r="BP34" s="72"/>
      <c r="BT34" s="72"/>
      <c r="BU34" s="72"/>
      <c r="BX34" s="72"/>
      <c r="BY34" s="72"/>
      <c r="CA34" s="72"/>
      <c r="CI34" s="72"/>
      <c r="CJ34" s="72"/>
      <c r="CL34" s="72"/>
      <c r="CR34" s="73" t="str">
        <f>IF(L34="","",IF(CS34="not a match","",IF(CS34="full_name",VLOOKUP(L34,'Internal -- Trademark Countries'!A:E,5,FALSE),IF(CS34="polity_shortest_name",VLOOKUP(L34,'Internal -- Trademark Countries'!B:E,4,FALSE),IF(CS34="polity_full_name",VLOOKUP(L34,'Internal -- Trademark Countries'!C:E,3,FALSE),IF(CS34="polity_common_name",VLOOKUP(L34,'Internal -- Trademark Countries'!D:E,2,FALSE),IF(CS34="shortest_name",L34)))))))</f>
        <v/>
      </c>
      <c r="CS34" s="73" t="str">
        <f>IF(L34="","",IF(COUNTIF('Internal -- Trademark Countries'!A:A,L34)&gt;0,"full_name",IF(COUNTIF('Internal -- Trademark Countries'!B:B,L34)&gt;0,"polity_shortest_name",IF(COUNTIF('Internal -- Trademark Countries'!C:C,L34)&gt;0,"polity_full_name",IF(COUNTIF('Internal -- Trademark Countries'!D:D,L34)&gt;0,"polity_common_name",IF(COUNTIF('Internal -- Trademark Countries'!E:E,L34)&gt;0,"shortest_name","not a match"))))))</f>
        <v/>
      </c>
      <c r="CT34" s="73"/>
      <c r="CU34" s="73"/>
      <c r="CV34" s="73"/>
      <c r="CW34" s="73"/>
      <c r="CX34" s="74"/>
    </row>
    <row r="35" spans="3:102" ht="15.75" customHeight="1">
      <c r="C35" s="65"/>
      <c r="K35" s="66"/>
      <c r="L35" s="67"/>
      <c r="Y35" s="68"/>
      <c r="AA35" s="68"/>
      <c r="AB35" s="69"/>
      <c r="AC35" s="68"/>
      <c r="AD35" s="68"/>
      <c r="AE35" s="68"/>
      <c r="AF35" s="69"/>
      <c r="AG35" s="68"/>
      <c r="AH35" s="68"/>
      <c r="AI35" s="68"/>
      <c r="AJ35" s="69"/>
      <c r="AK35" s="69"/>
      <c r="AL35" s="69"/>
      <c r="AM35" s="69"/>
      <c r="AN35" s="69"/>
      <c r="AO35" s="69"/>
      <c r="AP35" s="69"/>
      <c r="AQ35" s="69"/>
      <c r="AR35" s="69"/>
      <c r="AS35" s="69"/>
      <c r="AT35" s="69"/>
      <c r="AU35" s="69"/>
      <c r="AV35" s="69"/>
      <c r="AW35" s="69"/>
      <c r="AX35" s="69"/>
      <c r="AY35" s="69"/>
      <c r="AZ35" s="69"/>
      <c r="BA35" s="69"/>
      <c r="BB35" s="69"/>
      <c r="BE35" s="70"/>
      <c r="BF35" s="71"/>
      <c r="BH35" s="69"/>
      <c r="BI35" s="69"/>
      <c r="BJ35" s="69"/>
      <c r="BK35" s="69"/>
      <c r="BO35" s="72"/>
      <c r="BP35" s="72"/>
      <c r="BT35" s="72"/>
      <c r="BU35" s="72"/>
      <c r="BX35" s="72"/>
      <c r="BY35" s="72"/>
      <c r="CA35" s="72"/>
      <c r="CI35" s="72"/>
      <c r="CJ35" s="72"/>
      <c r="CL35" s="72"/>
      <c r="CR35" s="73" t="str">
        <f>IF(L35="","",IF(CS35="not a match","",IF(CS35="full_name",VLOOKUP(L35,'Internal -- Trademark Countries'!A:E,5,FALSE),IF(CS35="polity_shortest_name",VLOOKUP(L35,'Internal -- Trademark Countries'!B:E,4,FALSE),IF(CS35="polity_full_name",VLOOKUP(L35,'Internal -- Trademark Countries'!C:E,3,FALSE),IF(CS35="polity_common_name",VLOOKUP(L35,'Internal -- Trademark Countries'!D:E,2,FALSE),IF(CS35="shortest_name",L35)))))))</f>
        <v/>
      </c>
      <c r="CS35" s="73" t="str">
        <f>IF(L35="","",IF(COUNTIF('Internal -- Trademark Countries'!A:A,L35)&gt;0,"full_name",IF(COUNTIF('Internal -- Trademark Countries'!B:B,L35)&gt;0,"polity_shortest_name",IF(COUNTIF('Internal -- Trademark Countries'!C:C,L35)&gt;0,"polity_full_name",IF(COUNTIF('Internal -- Trademark Countries'!D:D,L35)&gt;0,"polity_common_name",IF(COUNTIF('Internal -- Trademark Countries'!E:E,L35)&gt;0,"shortest_name","not a match"))))))</f>
        <v/>
      </c>
      <c r="CT35" s="73"/>
      <c r="CU35" s="73"/>
      <c r="CV35" s="73"/>
      <c r="CW35" s="73"/>
      <c r="CX35" s="74"/>
    </row>
    <row r="36" spans="3:102" ht="15.75" customHeight="1">
      <c r="C36" s="65"/>
      <c r="K36" s="66"/>
      <c r="L36" s="67"/>
      <c r="Y36" s="68"/>
      <c r="AA36" s="68"/>
      <c r="AB36" s="69"/>
      <c r="AC36" s="68"/>
      <c r="AD36" s="68"/>
      <c r="AE36" s="68"/>
      <c r="AF36" s="69"/>
      <c r="AG36" s="68"/>
      <c r="AH36" s="68"/>
      <c r="AI36" s="68"/>
      <c r="AJ36" s="69"/>
      <c r="AK36" s="69"/>
      <c r="AL36" s="69"/>
      <c r="AM36" s="69"/>
      <c r="AN36" s="69"/>
      <c r="AO36" s="69"/>
      <c r="AP36" s="69"/>
      <c r="AQ36" s="69"/>
      <c r="AR36" s="69"/>
      <c r="AS36" s="69"/>
      <c r="AT36" s="69"/>
      <c r="AU36" s="69"/>
      <c r="AV36" s="69"/>
      <c r="AW36" s="69"/>
      <c r="AX36" s="69"/>
      <c r="AY36" s="69"/>
      <c r="AZ36" s="69"/>
      <c r="BA36" s="69"/>
      <c r="BB36" s="69"/>
      <c r="BE36" s="70"/>
      <c r="BF36" s="71"/>
      <c r="BH36" s="69"/>
      <c r="BI36" s="69"/>
      <c r="BJ36" s="69"/>
      <c r="BK36" s="69"/>
      <c r="BO36" s="72"/>
      <c r="BP36" s="72"/>
      <c r="BT36" s="72"/>
      <c r="BU36" s="72"/>
      <c r="BX36" s="72"/>
      <c r="BY36" s="72"/>
      <c r="CA36" s="72"/>
      <c r="CI36" s="72"/>
      <c r="CJ36" s="72"/>
      <c r="CL36" s="72"/>
      <c r="CR36" s="73" t="str">
        <f>IF(L36="","",IF(CS36="not a match","",IF(CS36="full_name",VLOOKUP(L36,'Internal -- Trademark Countries'!A:E,5,FALSE),IF(CS36="polity_shortest_name",VLOOKUP(L36,'Internal -- Trademark Countries'!B:E,4,FALSE),IF(CS36="polity_full_name",VLOOKUP(L36,'Internal -- Trademark Countries'!C:E,3,FALSE),IF(CS36="polity_common_name",VLOOKUP(L36,'Internal -- Trademark Countries'!D:E,2,FALSE),IF(CS36="shortest_name",L36)))))))</f>
        <v/>
      </c>
      <c r="CS36" s="73" t="str">
        <f>IF(L36="","",IF(COUNTIF('Internal -- Trademark Countries'!A:A,L36)&gt;0,"full_name",IF(COUNTIF('Internal -- Trademark Countries'!B:B,L36)&gt;0,"polity_shortest_name",IF(COUNTIF('Internal -- Trademark Countries'!C:C,L36)&gt;0,"polity_full_name",IF(COUNTIF('Internal -- Trademark Countries'!D:D,L36)&gt;0,"polity_common_name",IF(COUNTIF('Internal -- Trademark Countries'!E:E,L36)&gt;0,"shortest_name","not a match"))))))</f>
        <v/>
      </c>
      <c r="CT36" s="73"/>
      <c r="CU36" s="73"/>
      <c r="CV36" s="73"/>
      <c r="CW36" s="73"/>
      <c r="CX36" s="74"/>
    </row>
    <row r="37" spans="3:102" ht="15.75" customHeight="1">
      <c r="C37" s="65"/>
      <c r="K37" s="66"/>
      <c r="L37" s="67"/>
      <c r="Y37" s="68"/>
      <c r="AA37" s="68"/>
      <c r="AB37" s="69"/>
      <c r="AC37" s="68"/>
      <c r="AD37" s="68"/>
      <c r="AE37" s="68"/>
      <c r="AF37" s="69"/>
      <c r="AG37" s="68"/>
      <c r="AH37" s="68"/>
      <c r="AI37" s="68"/>
      <c r="AJ37" s="69"/>
      <c r="AK37" s="69"/>
      <c r="AL37" s="69"/>
      <c r="AM37" s="69"/>
      <c r="AN37" s="69"/>
      <c r="AO37" s="69"/>
      <c r="AP37" s="69"/>
      <c r="AQ37" s="69"/>
      <c r="AR37" s="69"/>
      <c r="AS37" s="69"/>
      <c r="AT37" s="69"/>
      <c r="AU37" s="69"/>
      <c r="AV37" s="69"/>
      <c r="AW37" s="69"/>
      <c r="AX37" s="69"/>
      <c r="AY37" s="69"/>
      <c r="AZ37" s="69"/>
      <c r="BA37" s="69"/>
      <c r="BB37" s="69"/>
      <c r="BE37" s="70"/>
      <c r="BF37" s="71"/>
      <c r="BH37" s="69"/>
      <c r="BI37" s="69"/>
      <c r="BJ37" s="69"/>
      <c r="BK37" s="69"/>
      <c r="BO37" s="72"/>
      <c r="BP37" s="72"/>
      <c r="BT37" s="72"/>
      <c r="BU37" s="72"/>
      <c r="BX37" s="72"/>
      <c r="BY37" s="72"/>
      <c r="CA37" s="72"/>
      <c r="CI37" s="72"/>
      <c r="CJ37" s="72"/>
      <c r="CL37" s="72"/>
      <c r="CR37" s="73" t="str">
        <f>IF(L37="","",IF(CS37="not a match","",IF(CS37="full_name",VLOOKUP(L37,'Internal -- Trademark Countries'!A:E,5,FALSE),IF(CS37="polity_shortest_name",VLOOKUP(L37,'Internal -- Trademark Countries'!B:E,4,FALSE),IF(CS37="polity_full_name",VLOOKUP(L37,'Internal -- Trademark Countries'!C:E,3,FALSE),IF(CS37="polity_common_name",VLOOKUP(L37,'Internal -- Trademark Countries'!D:E,2,FALSE),IF(CS37="shortest_name",L37)))))))</f>
        <v/>
      </c>
      <c r="CS37" s="73" t="str">
        <f>IF(L37="","",IF(COUNTIF('Internal -- Trademark Countries'!A:A,L37)&gt;0,"full_name",IF(COUNTIF('Internal -- Trademark Countries'!B:B,L37)&gt;0,"polity_shortest_name",IF(COUNTIF('Internal -- Trademark Countries'!C:C,L37)&gt;0,"polity_full_name",IF(COUNTIF('Internal -- Trademark Countries'!D:D,L37)&gt;0,"polity_common_name",IF(COUNTIF('Internal -- Trademark Countries'!E:E,L37)&gt;0,"shortest_name","not a match"))))))</f>
        <v/>
      </c>
      <c r="CT37" s="73"/>
      <c r="CU37" s="73"/>
      <c r="CV37" s="73"/>
      <c r="CW37" s="73"/>
      <c r="CX37" s="74"/>
    </row>
    <row r="38" spans="3:102" ht="15.75" customHeight="1">
      <c r="C38" s="65"/>
      <c r="K38" s="66"/>
      <c r="L38" s="67"/>
      <c r="Y38" s="68"/>
      <c r="AA38" s="68"/>
      <c r="AB38" s="69"/>
      <c r="AC38" s="68"/>
      <c r="AD38" s="68"/>
      <c r="AE38" s="68"/>
      <c r="AF38" s="69"/>
      <c r="AG38" s="68"/>
      <c r="AH38" s="68"/>
      <c r="AI38" s="68"/>
      <c r="AJ38" s="69"/>
      <c r="AK38" s="69"/>
      <c r="AL38" s="69"/>
      <c r="AM38" s="69"/>
      <c r="AN38" s="69"/>
      <c r="AO38" s="69"/>
      <c r="AP38" s="69"/>
      <c r="AQ38" s="69"/>
      <c r="AR38" s="69"/>
      <c r="AS38" s="69"/>
      <c r="AT38" s="69"/>
      <c r="AU38" s="69"/>
      <c r="AV38" s="69"/>
      <c r="AW38" s="69"/>
      <c r="AX38" s="69"/>
      <c r="AY38" s="69"/>
      <c r="AZ38" s="69"/>
      <c r="BA38" s="69"/>
      <c r="BB38" s="69"/>
      <c r="BE38" s="70"/>
      <c r="BF38" s="71"/>
      <c r="BH38" s="69"/>
      <c r="BI38" s="69"/>
      <c r="BJ38" s="69"/>
      <c r="BK38" s="69"/>
      <c r="BO38" s="72"/>
      <c r="BP38" s="72"/>
      <c r="BT38" s="72"/>
      <c r="BU38" s="72"/>
      <c r="BX38" s="72"/>
      <c r="BY38" s="72"/>
      <c r="CA38" s="72"/>
      <c r="CI38" s="72"/>
      <c r="CJ38" s="72"/>
      <c r="CL38" s="72"/>
      <c r="CR38" s="73" t="str">
        <f>IF(L38="","",IF(CS38="not a match","",IF(CS38="full_name",VLOOKUP(L38,'Internal -- Trademark Countries'!A:E,5,FALSE),IF(CS38="polity_shortest_name",VLOOKUP(L38,'Internal -- Trademark Countries'!B:E,4,FALSE),IF(CS38="polity_full_name",VLOOKUP(L38,'Internal -- Trademark Countries'!C:E,3,FALSE),IF(CS38="polity_common_name",VLOOKUP(L38,'Internal -- Trademark Countries'!D:E,2,FALSE),IF(CS38="shortest_name",L38)))))))</f>
        <v/>
      </c>
      <c r="CS38" s="73" t="str">
        <f>IF(L38="","",IF(COUNTIF('Internal -- Trademark Countries'!A:A,L38)&gt;0,"full_name",IF(COUNTIF('Internal -- Trademark Countries'!B:B,L38)&gt;0,"polity_shortest_name",IF(COUNTIF('Internal -- Trademark Countries'!C:C,L38)&gt;0,"polity_full_name",IF(COUNTIF('Internal -- Trademark Countries'!D:D,L38)&gt;0,"polity_common_name",IF(COUNTIF('Internal -- Trademark Countries'!E:E,L38)&gt;0,"shortest_name","not a match"))))))</f>
        <v/>
      </c>
      <c r="CT38" s="73"/>
      <c r="CU38" s="73"/>
      <c r="CV38" s="73"/>
      <c r="CW38" s="73"/>
      <c r="CX38" s="74"/>
    </row>
    <row r="39" spans="3:102" ht="15.75" customHeight="1">
      <c r="C39" s="65"/>
      <c r="K39" s="66"/>
      <c r="L39" s="67"/>
      <c r="Y39" s="68"/>
      <c r="AA39" s="68"/>
      <c r="AB39" s="69"/>
      <c r="AC39" s="68"/>
      <c r="AD39" s="68"/>
      <c r="AE39" s="68"/>
      <c r="AF39" s="69"/>
      <c r="AG39" s="68"/>
      <c r="AH39" s="68"/>
      <c r="AI39" s="68"/>
      <c r="AJ39" s="69"/>
      <c r="AK39" s="69"/>
      <c r="AL39" s="69"/>
      <c r="AM39" s="69"/>
      <c r="AN39" s="69"/>
      <c r="AO39" s="69"/>
      <c r="AP39" s="69"/>
      <c r="AQ39" s="69"/>
      <c r="AR39" s="69"/>
      <c r="AS39" s="69"/>
      <c r="AT39" s="69"/>
      <c r="AU39" s="69"/>
      <c r="AV39" s="69"/>
      <c r="AW39" s="69"/>
      <c r="AX39" s="69"/>
      <c r="AY39" s="69"/>
      <c r="AZ39" s="69"/>
      <c r="BA39" s="69"/>
      <c r="BB39" s="69"/>
      <c r="BE39" s="70"/>
      <c r="BF39" s="71"/>
      <c r="BH39" s="69"/>
      <c r="BI39" s="69"/>
      <c r="BJ39" s="69"/>
      <c r="BK39" s="69"/>
      <c r="BO39" s="72"/>
      <c r="BP39" s="72"/>
      <c r="BT39" s="72"/>
      <c r="BU39" s="72"/>
      <c r="BX39" s="72"/>
      <c r="BY39" s="72"/>
      <c r="CA39" s="72"/>
      <c r="CI39" s="72"/>
      <c r="CJ39" s="72"/>
      <c r="CL39" s="72"/>
      <c r="CR39" s="73" t="str">
        <f>IF(L39="","",IF(CS39="not a match","",IF(CS39="full_name",VLOOKUP(L39,'Internal -- Trademark Countries'!A:E,5,FALSE),IF(CS39="polity_shortest_name",VLOOKUP(L39,'Internal -- Trademark Countries'!B:E,4,FALSE),IF(CS39="polity_full_name",VLOOKUP(L39,'Internal -- Trademark Countries'!C:E,3,FALSE),IF(CS39="polity_common_name",VLOOKUP(L39,'Internal -- Trademark Countries'!D:E,2,FALSE),IF(CS39="shortest_name",L39)))))))</f>
        <v/>
      </c>
      <c r="CS39" s="73" t="str">
        <f>IF(L39="","",IF(COUNTIF('Internal -- Trademark Countries'!A:A,L39)&gt;0,"full_name",IF(COUNTIF('Internal -- Trademark Countries'!B:B,L39)&gt;0,"polity_shortest_name",IF(COUNTIF('Internal -- Trademark Countries'!C:C,L39)&gt;0,"polity_full_name",IF(COUNTIF('Internal -- Trademark Countries'!D:D,L39)&gt;0,"polity_common_name",IF(COUNTIF('Internal -- Trademark Countries'!E:E,L39)&gt;0,"shortest_name","not a match"))))))</f>
        <v/>
      </c>
      <c r="CT39" s="73"/>
      <c r="CU39" s="73"/>
      <c r="CV39" s="73"/>
      <c r="CW39" s="73"/>
      <c r="CX39" s="74"/>
    </row>
    <row r="40" spans="3:102" ht="15.75" customHeight="1">
      <c r="C40" s="65"/>
      <c r="K40" s="66"/>
      <c r="L40" s="67"/>
      <c r="Y40" s="68"/>
      <c r="AA40" s="68"/>
      <c r="AB40" s="69"/>
      <c r="AC40" s="68"/>
      <c r="AD40" s="68"/>
      <c r="AE40" s="68"/>
      <c r="AF40" s="69"/>
      <c r="AG40" s="68"/>
      <c r="AH40" s="68"/>
      <c r="AI40" s="68"/>
      <c r="AJ40" s="69"/>
      <c r="AK40" s="69"/>
      <c r="AL40" s="69"/>
      <c r="AM40" s="69"/>
      <c r="AN40" s="69"/>
      <c r="AO40" s="69"/>
      <c r="AP40" s="69"/>
      <c r="AQ40" s="69"/>
      <c r="AR40" s="69"/>
      <c r="AS40" s="69"/>
      <c r="AT40" s="69"/>
      <c r="AU40" s="69"/>
      <c r="AV40" s="69"/>
      <c r="AW40" s="69"/>
      <c r="AX40" s="69"/>
      <c r="AY40" s="69"/>
      <c r="AZ40" s="69"/>
      <c r="BA40" s="69"/>
      <c r="BB40" s="69"/>
      <c r="BE40" s="70"/>
      <c r="BF40" s="71"/>
      <c r="BH40" s="69"/>
      <c r="BI40" s="69"/>
      <c r="BJ40" s="69"/>
      <c r="BK40" s="69"/>
      <c r="BO40" s="72"/>
      <c r="BP40" s="72"/>
      <c r="BT40" s="72"/>
      <c r="BU40" s="72"/>
      <c r="BX40" s="72"/>
      <c r="BY40" s="72"/>
      <c r="CA40" s="72"/>
      <c r="CI40" s="72"/>
      <c r="CJ40" s="72"/>
      <c r="CL40" s="72"/>
      <c r="CR40" s="73" t="str">
        <f>IF(L40="","",IF(CS40="not a match","",IF(CS40="full_name",VLOOKUP(L40,'Internal -- Trademark Countries'!A:E,5,FALSE),IF(CS40="polity_shortest_name",VLOOKUP(L40,'Internal -- Trademark Countries'!B:E,4,FALSE),IF(CS40="polity_full_name",VLOOKUP(L40,'Internal -- Trademark Countries'!C:E,3,FALSE),IF(CS40="polity_common_name",VLOOKUP(L40,'Internal -- Trademark Countries'!D:E,2,FALSE),IF(CS40="shortest_name",L40)))))))</f>
        <v/>
      </c>
      <c r="CS40" s="73" t="str">
        <f>IF(L40="","",IF(COUNTIF('Internal -- Trademark Countries'!A:A,L40)&gt;0,"full_name",IF(COUNTIF('Internal -- Trademark Countries'!B:B,L40)&gt;0,"polity_shortest_name",IF(COUNTIF('Internal -- Trademark Countries'!C:C,L40)&gt;0,"polity_full_name",IF(COUNTIF('Internal -- Trademark Countries'!D:D,L40)&gt;0,"polity_common_name",IF(COUNTIF('Internal -- Trademark Countries'!E:E,L40)&gt;0,"shortest_name","not a match"))))))</f>
        <v/>
      </c>
      <c r="CT40" s="73"/>
      <c r="CU40" s="73"/>
      <c r="CV40" s="73"/>
      <c r="CW40" s="73"/>
      <c r="CX40" s="74"/>
    </row>
    <row r="41" spans="3:102" ht="15.75" customHeight="1">
      <c r="C41" s="65"/>
      <c r="K41" s="66"/>
      <c r="L41" s="67"/>
      <c r="Y41" s="68"/>
      <c r="AA41" s="68"/>
      <c r="AB41" s="69"/>
      <c r="AC41" s="68"/>
      <c r="AD41" s="68"/>
      <c r="AE41" s="68"/>
      <c r="AF41" s="69"/>
      <c r="AG41" s="68"/>
      <c r="AH41" s="68"/>
      <c r="AI41" s="68"/>
      <c r="AJ41" s="69"/>
      <c r="AK41" s="69"/>
      <c r="AL41" s="69"/>
      <c r="AM41" s="69"/>
      <c r="AN41" s="69"/>
      <c r="AO41" s="69"/>
      <c r="AP41" s="69"/>
      <c r="AQ41" s="69"/>
      <c r="AR41" s="69"/>
      <c r="AS41" s="69"/>
      <c r="AT41" s="69"/>
      <c r="AU41" s="69"/>
      <c r="AV41" s="69"/>
      <c r="AW41" s="69"/>
      <c r="AX41" s="69"/>
      <c r="AY41" s="69"/>
      <c r="AZ41" s="69"/>
      <c r="BA41" s="69"/>
      <c r="BB41" s="69"/>
      <c r="BE41" s="70"/>
      <c r="BF41" s="71"/>
      <c r="BH41" s="69"/>
      <c r="BI41" s="69"/>
      <c r="BJ41" s="69"/>
      <c r="BK41" s="69"/>
      <c r="BO41" s="72"/>
      <c r="BP41" s="72"/>
      <c r="BT41" s="72"/>
      <c r="BU41" s="72"/>
      <c r="BX41" s="72"/>
      <c r="BY41" s="72"/>
      <c r="CA41" s="72"/>
      <c r="CI41" s="72"/>
      <c r="CJ41" s="72"/>
      <c r="CL41" s="72"/>
      <c r="CR41" s="73" t="str">
        <f>IF(L41="","",IF(CS41="not a match","",IF(CS41="full_name",VLOOKUP(L41,'Internal -- Trademark Countries'!A:E,5,FALSE),IF(CS41="polity_shortest_name",VLOOKUP(L41,'Internal -- Trademark Countries'!B:E,4,FALSE),IF(CS41="polity_full_name",VLOOKUP(L41,'Internal -- Trademark Countries'!C:E,3,FALSE),IF(CS41="polity_common_name",VLOOKUP(L41,'Internal -- Trademark Countries'!D:E,2,FALSE),IF(CS41="shortest_name",L41)))))))</f>
        <v/>
      </c>
      <c r="CS41" s="73" t="str">
        <f>IF(L41="","",IF(COUNTIF('Internal -- Trademark Countries'!A:A,L41)&gt;0,"full_name",IF(COUNTIF('Internal -- Trademark Countries'!B:B,L41)&gt;0,"polity_shortest_name",IF(COUNTIF('Internal -- Trademark Countries'!C:C,L41)&gt;0,"polity_full_name",IF(COUNTIF('Internal -- Trademark Countries'!D:D,L41)&gt;0,"polity_common_name",IF(COUNTIF('Internal -- Trademark Countries'!E:E,L41)&gt;0,"shortest_name","not a match"))))))</f>
        <v/>
      </c>
      <c r="CT41" s="73"/>
      <c r="CU41" s="73"/>
      <c r="CV41" s="73"/>
      <c r="CW41" s="73"/>
      <c r="CX41" s="74"/>
    </row>
    <row r="42" spans="3:102" ht="15.75" customHeight="1">
      <c r="C42" s="65"/>
      <c r="K42" s="66"/>
      <c r="L42" s="67"/>
      <c r="Y42" s="68"/>
      <c r="AA42" s="68"/>
      <c r="AB42" s="69"/>
      <c r="AC42" s="68"/>
      <c r="AD42" s="68"/>
      <c r="AE42" s="68"/>
      <c r="AF42" s="69"/>
      <c r="AG42" s="68"/>
      <c r="AH42" s="68"/>
      <c r="AI42" s="68"/>
      <c r="AJ42" s="69"/>
      <c r="AK42" s="69"/>
      <c r="AL42" s="69"/>
      <c r="AM42" s="69"/>
      <c r="AN42" s="69"/>
      <c r="AO42" s="69"/>
      <c r="AP42" s="69"/>
      <c r="AQ42" s="69"/>
      <c r="AR42" s="69"/>
      <c r="AS42" s="69"/>
      <c r="AT42" s="69"/>
      <c r="AU42" s="69"/>
      <c r="AV42" s="69"/>
      <c r="AW42" s="69"/>
      <c r="AX42" s="69"/>
      <c r="AY42" s="69"/>
      <c r="AZ42" s="69"/>
      <c r="BA42" s="69"/>
      <c r="BB42" s="69"/>
      <c r="BE42" s="70"/>
      <c r="BF42" s="71"/>
      <c r="BH42" s="69"/>
      <c r="BI42" s="69"/>
      <c r="BJ42" s="69"/>
      <c r="BK42" s="69"/>
      <c r="BO42" s="72"/>
      <c r="BP42" s="72"/>
      <c r="BT42" s="72"/>
      <c r="BU42" s="72"/>
      <c r="BX42" s="72"/>
      <c r="BY42" s="72"/>
      <c r="CA42" s="72"/>
      <c r="CI42" s="72"/>
      <c r="CJ42" s="72"/>
      <c r="CL42" s="72"/>
      <c r="CR42" s="73" t="str">
        <f>IF(L42="","",IF(CS42="not a match","",IF(CS42="full_name",VLOOKUP(L42,'Internal -- Trademark Countries'!A:E,5,FALSE),IF(CS42="polity_shortest_name",VLOOKUP(L42,'Internal -- Trademark Countries'!B:E,4,FALSE),IF(CS42="polity_full_name",VLOOKUP(L42,'Internal -- Trademark Countries'!C:E,3,FALSE),IF(CS42="polity_common_name",VLOOKUP(L42,'Internal -- Trademark Countries'!D:E,2,FALSE),IF(CS42="shortest_name",L42)))))))</f>
        <v/>
      </c>
      <c r="CS42" s="73" t="str">
        <f>IF(L42="","",IF(COUNTIF('Internal -- Trademark Countries'!A:A,L42)&gt;0,"full_name",IF(COUNTIF('Internal -- Trademark Countries'!B:B,L42)&gt;0,"polity_shortest_name",IF(COUNTIF('Internal -- Trademark Countries'!C:C,L42)&gt;0,"polity_full_name",IF(COUNTIF('Internal -- Trademark Countries'!D:D,L42)&gt;0,"polity_common_name",IF(COUNTIF('Internal -- Trademark Countries'!E:E,L42)&gt;0,"shortest_name","not a match"))))))</f>
        <v/>
      </c>
      <c r="CT42" s="73"/>
      <c r="CU42" s="73"/>
      <c r="CV42" s="73"/>
      <c r="CW42" s="73"/>
      <c r="CX42" s="74"/>
    </row>
    <row r="43" spans="3:102" ht="15.75" customHeight="1">
      <c r="C43" s="65"/>
      <c r="K43" s="66"/>
      <c r="L43" s="67"/>
      <c r="Y43" s="68"/>
      <c r="AA43" s="68"/>
      <c r="AB43" s="69"/>
      <c r="AC43" s="68"/>
      <c r="AD43" s="68"/>
      <c r="AE43" s="68"/>
      <c r="AF43" s="69"/>
      <c r="AG43" s="68"/>
      <c r="AH43" s="68"/>
      <c r="AI43" s="68"/>
      <c r="AJ43" s="69"/>
      <c r="AK43" s="69"/>
      <c r="AL43" s="69"/>
      <c r="AM43" s="69"/>
      <c r="AN43" s="69"/>
      <c r="AO43" s="69"/>
      <c r="AP43" s="69"/>
      <c r="AQ43" s="69"/>
      <c r="AR43" s="69"/>
      <c r="AS43" s="69"/>
      <c r="AT43" s="69"/>
      <c r="AU43" s="69"/>
      <c r="AV43" s="69"/>
      <c r="AW43" s="69"/>
      <c r="AX43" s="69"/>
      <c r="AY43" s="69"/>
      <c r="AZ43" s="69"/>
      <c r="BA43" s="69"/>
      <c r="BB43" s="69"/>
      <c r="BE43" s="70"/>
      <c r="BF43" s="71"/>
      <c r="BH43" s="69"/>
      <c r="BI43" s="69"/>
      <c r="BJ43" s="69"/>
      <c r="BK43" s="69"/>
      <c r="BO43" s="72"/>
      <c r="BP43" s="72"/>
      <c r="BT43" s="72"/>
      <c r="BU43" s="72"/>
      <c r="BX43" s="72"/>
      <c r="BY43" s="72"/>
      <c r="CA43" s="72"/>
      <c r="CI43" s="72"/>
      <c r="CJ43" s="72"/>
      <c r="CL43" s="72"/>
      <c r="CR43" s="73" t="str">
        <f>IF(L43="","",IF(CS43="not a match","",IF(CS43="full_name",VLOOKUP(L43,'Internal -- Trademark Countries'!A:E,5,FALSE),IF(CS43="polity_shortest_name",VLOOKUP(L43,'Internal -- Trademark Countries'!B:E,4,FALSE),IF(CS43="polity_full_name",VLOOKUP(L43,'Internal -- Trademark Countries'!C:E,3,FALSE),IF(CS43="polity_common_name",VLOOKUP(L43,'Internal -- Trademark Countries'!D:E,2,FALSE),IF(CS43="shortest_name",L43)))))))</f>
        <v/>
      </c>
      <c r="CS43" s="73" t="str">
        <f>IF(L43="","",IF(COUNTIF('Internal -- Trademark Countries'!A:A,L43)&gt;0,"full_name",IF(COUNTIF('Internal -- Trademark Countries'!B:B,L43)&gt;0,"polity_shortest_name",IF(COUNTIF('Internal -- Trademark Countries'!C:C,L43)&gt;0,"polity_full_name",IF(COUNTIF('Internal -- Trademark Countries'!D:D,L43)&gt;0,"polity_common_name",IF(COUNTIF('Internal -- Trademark Countries'!E:E,L43)&gt;0,"shortest_name","not a match"))))))</f>
        <v/>
      </c>
      <c r="CT43" s="73"/>
      <c r="CU43" s="73"/>
      <c r="CV43" s="73"/>
      <c r="CW43" s="73"/>
      <c r="CX43" s="74"/>
    </row>
    <row r="44" spans="3:102" ht="15.75" customHeight="1">
      <c r="C44" s="65"/>
      <c r="K44" s="66"/>
      <c r="L44" s="67"/>
      <c r="Y44" s="68"/>
      <c r="AA44" s="68"/>
      <c r="AB44" s="69"/>
      <c r="AC44" s="68"/>
      <c r="AD44" s="68"/>
      <c r="AE44" s="68"/>
      <c r="AF44" s="69"/>
      <c r="AG44" s="68"/>
      <c r="AH44" s="68"/>
      <c r="AI44" s="68"/>
      <c r="AJ44" s="69"/>
      <c r="AK44" s="69"/>
      <c r="AL44" s="69"/>
      <c r="AM44" s="69"/>
      <c r="AN44" s="69"/>
      <c r="AO44" s="69"/>
      <c r="AP44" s="69"/>
      <c r="AQ44" s="69"/>
      <c r="AR44" s="69"/>
      <c r="AS44" s="69"/>
      <c r="AT44" s="69"/>
      <c r="AU44" s="69"/>
      <c r="AV44" s="69"/>
      <c r="AW44" s="69"/>
      <c r="AX44" s="69"/>
      <c r="AY44" s="69"/>
      <c r="AZ44" s="69"/>
      <c r="BA44" s="69"/>
      <c r="BB44" s="69"/>
      <c r="BE44" s="70"/>
      <c r="BF44" s="71"/>
      <c r="BH44" s="69"/>
      <c r="BI44" s="69"/>
      <c r="BJ44" s="69"/>
      <c r="BK44" s="69"/>
      <c r="BO44" s="72"/>
      <c r="BP44" s="72"/>
      <c r="BT44" s="72"/>
      <c r="BU44" s="72"/>
      <c r="BX44" s="72"/>
      <c r="BY44" s="72"/>
      <c r="CA44" s="72"/>
      <c r="CI44" s="72"/>
      <c r="CJ44" s="72"/>
      <c r="CL44" s="72"/>
      <c r="CR44" s="73" t="str">
        <f>IF(L44="","",IF(CS44="not a match","",IF(CS44="full_name",VLOOKUP(L44,'Internal -- Trademark Countries'!A:E,5,FALSE),IF(CS44="polity_shortest_name",VLOOKUP(L44,'Internal -- Trademark Countries'!B:E,4,FALSE),IF(CS44="polity_full_name",VLOOKUP(L44,'Internal -- Trademark Countries'!C:E,3,FALSE),IF(CS44="polity_common_name",VLOOKUP(L44,'Internal -- Trademark Countries'!D:E,2,FALSE),IF(CS44="shortest_name",L44)))))))</f>
        <v/>
      </c>
      <c r="CS44" s="73" t="str">
        <f>IF(L44="","",IF(COUNTIF('Internal -- Trademark Countries'!A:A,L44)&gt;0,"full_name",IF(COUNTIF('Internal -- Trademark Countries'!B:B,L44)&gt;0,"polity_shortest_name",IF(COUNTIF('Internal -- Trademark Countries'!C:C,L44)&gt;0,"polity_full_name",IF(COUNTIF('Internal -- Trademark Countries'!D:D,L44)&gt;0,"polity_common_name",IF(COUNTIF('Internal -- Trademark Countries'!E:E,L44)&gt;0,"shortest_name","not a match"))))))</f>
        <v/>
      </c>
      <c r="CT44" s="73"/>
      <c r="CU44" s="73"/>
      <c r="CV44" s="73"/>
      <c r="CW44" s="73"/>
      <c r="CX44" s="74"/>
    </row>
    <row r="45" spans="3:102" ht="15.75" customHeight="1">
      <c r="C45" s="65"/>
      <c r="K45" s="66"/>
      <c r="L45" s="67"/>
      <c r="Y45" s="68"/>
      <c r="AA45" s="68"/>
      <c r="AB45" s="69"/>
      <c r="AC45" s="68"/>
      <c r="AD45" s="68"/>
      <c r="AE45" s="68"/>
      <c r="AF45" s="69"/>
      <c r="AG45" s="68"/>
      <c r="AH45" s="68"/>
      <c r="AI45" s="68"/>
      <c r="AJ45" s="69"/>
      <c r="AK45" s="69"/>
      <c r="AL45" s="69"/>
      <c r="AM45" s="69"/>
      <c r="AN45" s="69"/>
      <c r="AO45" s="69"/>
      <c r="AP45" s="69"/>
      <c r="AQ45" s="69"/>
      <c r="AR45" s="69"/>
      <c r="AS45" s="69"/>
      <c r="AT45" s="69"/>
      <c r="AU45" s="69"/>
      <c r="AV45" s="69"/>
      <c r="AW45" s="69"/>
      <c r="AX45" s="69"/>
      <c r="AY45" s="69"/>
      <c r="AZ45" s="69"/>
      <c r="BA45" s="69"/>
      <c r="BB45" s="69"/>
      <c r="BE45" s="70"/>
      <c r="BF45" s="71"/>
      <c r="BH45" s="69"/>
      <c r="BI45" s="69"/>
      <c r="BJ45" s="69"/>
      <c r="BK45" s="69"/>
      <c r="BO45" s="72"/>
      <c r="BP45" s="72"/>
      <c r="BT45" s="72"/>
      <c r="BU45" s="72"/>
      <c r="BX45" s="72"/>
      <c r="BY45" s="72"/>
      <c r="CA45" s="72"/>
      <c r="CI45" s="72"/>
      <c r="CJ45" s="72"/>
      <c r="CL45" s="72"/>
      <c r="CR45" s="73" t="str">
        <f>IF(L45="","",IF(CS45="not a match","",IF(CS45="full_name",VLOOKUP(L45,'Internal -- Trademark Countries'!A:E,5,FALSE),IF(CS45="polity_shortest_name",VLOOKUP(L45,'Internal -- Trademark Countries'!B:E,4,FALSE),IF(CS45="polity_full_name",VLOOKUP(L45,'Internal -- Trademark Countries'!C:E,3,FALSE),IF(CS45="polity_common_name",VLOOKUP(L45,'Internal -- Trademark Countries'!D:E,2,FALSE),IF(CS45="shortest_name",L45)))))))</f>
        <v/>
      </c>
      <c r="CS45" s="73" t="str">
        <f>IF(L45="","",IF(COUNTIF('Internal -- Trademark Countries'!A:A,L45)&gt;0,"full_name",IF(COUNTIF('Internal -- Trademark Countries'!B:B,L45)&gt;0,"polity_shortest_name",IF(COUNTIF('Internal -- Trademark Countries'!C:C,L45)&gt;0,"polity_full_name",IF(COUNTIF('Internal -- Trademark Countries'!D:D,L45)&gt;0,"polity_common_name",IF(COUNTIF('Internal -- Trademark Countries'!E:E,L45)&gt;0,"shortest_name","not a match"))))))</f>
        <v/>
      </c>
      <c r="CT45" s="73"/>
      <c r="CU45" s="73"/>
      <c r="CV45" s="73"/>
      <c r="CW45" s="73"/>
      <c r="CX45" s="74"/>
    </row>
    <row r="46" spans="3:102" ht="15.75" customHeight="1">
      <c r="C46" s="65"/>
      <c r="K46" s="66"/>
      <c r="L46" s="67"/>
      <c r="Y46" s="68"/>
      <c r="AA46" s="68"/>
      <c r="AB46" s="69"/>
      <c r="AC46" s="68"/>
      <c r="AD46" s="68"/>
      <c r="AE46" s="68"/>
      <c r="AF46" s="69"/>
      <c r="AG46" s="68"/>
      <c r="AH46" s="68"/>
      <c r="AI46" s="68"/>
      <c r="AJ46" s="69"/>
      <c r="AK46" s="69"/>
      <c r="AL46" s="69"/>
      <c r="AM46" s="69"/>
      <c r="AN46" s="69"/>
      <c r="AO46" s="69"/>
      <c r="AP46" s="69"/>
      <c r="AQ46" s="69"/>
      <c r="AR46" s="69"/>
      <c r="AS46" s="69"/>
      <c r="AT46" s="69"/>
      <c r="AU46" s="69"/>
      <c r="AV46" s="69"/>
      <c r="AW46" s="69"/>
      <c r="AX46" s="69"/>
      <c r="AY46" s="69"/>
      <c r="AZ46" s="69"/>
      <c r="BA46" s="69"/>
      <c r="BB46" s="69"/>
      <c r="BE46" s="70"/>
      <c r="BF46" s="71"/>
      <c r="BH46" s="69"/>
      <c r="BI46" s="69"/>
      <c r="BJ46" s="69"/>
      <c r="BK46" s="69"/>
      <c r="BO46" s="72"/>
      <c r="BP46" s="72"/>
      <c r="BT46" s="72"/>
      <c r="BU46" s="72"/>
      <c r="BX46" s="72"/>
      <c r="BY46" s="72"/>
      <c r="CA46" s="72"/>
      <c r="CI46" s="72"/>
      <c r="CJ46" s="72"/>
      <c r="CL46" s="72"/>
      <c r="CR46" s="73" t="str">
        <f>IF(L46="","",IF(CS46="not a match","",IF(CS46="full_name",VLOOKUP(L46,'Internal -- Trademark Countries'!A:E,5,FALSE),IF(CS46="polity_shortest_name",VLOOKUP(L46,'Internal -- Trademark Countries'!B:E,4,FALSE),IF(CS46="polity_full_name",VLOOKUP(L46,'Internal -- Trademark Countries'!C:E,3,FALSE),IF(CS46="polity_common_name",VLOOKUP(L46,'Internal -- Trademark Countries'!D:E,2,FALSE),IF(CS46="shortest_name",L46)))))))</f>
        <v/>
      </c>
      <c r="CS46" s="73" t="str">
        <f>IF(L46="","",IF(COUNTIF('Internal -- Trademark Countries'!A:A,L46)&gt;0,"full_name",IF(COUNTIF('Internal -- Trademark Countries'!B:B,L46)&gt;0,"polity_shortest_name",IF(COUNTIF('Internal -- Trademark Countries'!C:C,L46)&gt;0,"polity_full_name",IF(COUNTIF('Internal -- Trademark Countries'!D:D,L46)&gt;0,"polity_common_name",IF(COUNTIF('Internal -- Trademark Countries'!E:E,L46)&gt;0,"shortest_name","not a match"))))))</f>
        <v/>
      </c>
      <c r="CT46" s="73"/>
      <c r="CU46" s="73"/>
      <c r="CV46" s="73"/>
      <c r="CW46" s="73"/>
      <c r="CX46" s="74"/>
    </row>
    <row r="47" spans="3:102" ht="15.75" customHeight="1">
      <c r="C47" s="65"/>
      <c r="K47" s="66"/>
      <c r="L47" s="67"/>
      <c r="Y47" s="68"/>
      <c r="AA47" s="68"/>
      <c r="AB47" s="69"/>
      <c r="AC47" s="68"/>
      <c r="AD47" s="68"/>
      <c r="AE47" s="68"/>
      <c r="AF47" s="69"/>
      <c r="AG47" s="68"/>
      <c r="AH47" s="68"/>
      <c r="AI47" s="68"/>
      <c r="AJ47" s="69"/>
      <c r="AK47" s="69"/>
      <c r="AL47" s="69"/>
      <c r="AM47" s="69"/>
      <c r="AN47" s="69"/>
      <c r="AO47" s="69"/>
      <c r="AP47" s="69"/>
      <c r="AQ47" s="69"/>
      <c r="AR47" s="69"/>
      <c r="AS47" s="69"/>
      <c r="AT47" s="69"/>
      <c r="AU47" s="69"/>
      <c r="AV47" s="69"/>
      <c r="AW47" s="69"/>
      <c r="AX47" s="69"/>
      <c r="AY47" s="69"/>
      <c r="AZ47" s="69"/>
      <c r="BA47" s="69"/>
      <c r="BB47" s="69"/>
      <c r="BE47" s="70"/>
      <c r="BF47" s="71"/>
      <c r="BH47" s="69"/>
      <c r="BI47" s="69"/>
      <c r="BJ47" s="69"/>
      <c r="BK47" s="69"/>
      <c r="BO47" s="72"/>
      <c r="BP47" s="72"/>
      <c r="BT47" s="72"/>
      <c r="BU47" s="72"/>
      <c r="BX47" s="72"/>
      <c r="BY47" s="72"/>
      <c r="CA47" s="72"/>
      <c r="CI47" s="72"/>
      <c r="CJ47" s="72"/>
      <c r="CL47" s="72"/>
      <c r="CR47" s="73" t="str">
        <f>IF(L47="","",IF(CS47="not a match","",IF(CS47="full_name",VLOOKUP(L47,'Internal -- Trademark Countries'!A:E,5,FALSE),IF(CS47="polity_shortest_name",VLOOKUP(L47,'Internal -- Trademark Countries'!B:E,4,FALSE),IF(CS47="polity_full_name",VLOOKUP(L47,'Internal -- Trademark Countries'!C:E,3,FALSE),IF(CS47="polity_common_name",VLOOKUP(L47,'Internal -- Trademark Countries'!D:E,2,FALSE),IF(CS47="shortest_name",L47)))))))</f>
        <v/>
      </c>
      <c r="CS47" s="73" t="str">
        <f>IF(L47="","",IF(COUNTIF('Internal -- Trademark Countries'!A:A,L47)&gt;0,"full_name",IF(COUNTIF('Internal -- Trademark Countries'!B:B,L47)&gt;0,"polity_shortest_name",IF(COUNTIF('Internal -- Trademark Countries'!C:C,L47)&gt;0,"polity_full_name",IF(COUNTIF('Internal -- Trademark Countries'!D:D,L47)&gt;0,"polity_common_name",IF(COUNTIF('Internal -- Trademark Countries'!E:E,L47)&gt;0,"shortest_name","not a match"))))))</f>
        <v/>
      </c>
      <c r="CT47" s="73"/>
      <c r="CU47" s="73"/>
      <c r="CV47" s="73"/>
      <c r="CW47" s="73"/>
      <c r="CX47" s="74"/>
    </row>
    <row r="48" spans="3:102" ht="15.75" customHeight="1">
      <c r="C48" s="65"/>
      <c r="K48" s="66"/>
      <c r="L48" s="67"/>
      <c r="Y48" s="68"/>
      <c r="AA48" s="68"/>
      <c r="AB48" s="69"/>
      <c r="AC48" s="68"/>
      <c r="AD48" s="68"/>
      <c r="AE48" s="68"/>
      <c r="AF48" s="69"/>
      <c r="AG48" s="68"/>
      <c r="AH48" s="68"/>
      <c r="AI48" s="68"/>
      <c r="AJ48" s="69"/>
      <c r="AK48" s="69"/>
      <c r="AL48" s="69"/>
      <c r="AM48" s="69"/>
      <c r="AN48" s="69"/>
      <c r="AO48" s="69"/>
      <c r="AP48" s="69"/>
      <c r="AQ48" s="69"/>
      <c r="AR48" s="69"/>
      <c r="AS48" s="69"/>
      <c r="AT48" s="69"/>
      <c r="AU48" s="69"/>
      <c r="AV48" s="69"/>
      <c r="AW48" s="69"/>
      <c r="AX48" s="69"/>
      <c r="AY48" s="69"/>
      <c r="AZ48" s="69"/>
      <c r="BA48" s="69"/>
      <c r="BB48" s="69"/>
      <c r="BE48" s="70"/>
      <c r="BF48" s="71"/>
      <c r="BH48" s="69"/>
      <c r="BI48" s="69"/>
      <c r="BJ48" s="69"/>
      <c r="BK48" s="69"/>
      <c r="BO48" s="72"/>
      <c r="BP48" s="72"/>
      <c r="BT48" s="72"/>
      <c r="BU48" s="72"/>
      <c r="BX48" s="72"/>
      <c r="BY48" s="72"/>
      <c r="CA48" s="72"/>
      <c r="CI48" s="72"/>
      <c r="CJ48" s="72"/>
      <c r="CL48" s="72"/>
      <c r="CR48" s="73" t="str">
        <f>IF(L48="","",IF(CS48="not a match","",IF(CS48="full_name",VLOOKUP(L48,'Internal -- Trademark Countries'!A:E,5,FALSE),IF(CS48="polity_shortest_name",VLOOKUP(L48,'Internal -- Trademark Countries'!B:E,4,FALSE),IF(CS48="polity_full_name",VLOOKUP(L48,'Internal -- Trademark Countries'!C:E,3,FALSE),IF(CS48="polity_common_name",VLOOKUP(L48,'Internal -- Trademark Countries'!D:E,2,FALSE),IF(CS48="shortest_name",L48)))))))</f>
        <v/>
      </c>
      <c r="CS48" s="73" t="str">
        <f>IF(L48="","",IF(COUNTIF('Internal -- Trademark Countries'!A:A,L48)&gt;0,"full_name",IF(COUNTIF('Internal -- Trademark Countries'!B:B,L48)&gt;0,"polity_shortest_name",IF(COUNTIF('Internal -- Trademark Countries'!C:C,L48)&gt;0,"polity_full_name",IF(COUNTIF('Internal -- Trademark Countries'!D:D,L48)&gt;0,"polity_common_name",IF(COUNTIF('Internal -- Trademark Countries'!E:E,L48)&gt;0,"shortest_name","not a match"))))))</f>
        <v/>
      </c>
      <c r="CT48" s="73"/>
      <c r="CU48" s="73"/>
      <c r="CV48" s="73"/>
      <c r="CW48" s="73"/>
      <c r="CX48" s="74"/>
    </row>
    <row r="49" spans="3:102" ht="15.75" customHeight="1">
      <c r="C49" s="65"/>
      <c r="K49" s="66"/>
      <c r="L49" s="67"/>
      <c r="Y49" s="68"/>
      <c r="AA49" s="68"/>
      <c r="AB49" s="69"/>
      <c r="AC49" s="68"/>
      <c r="AD49" s="68"/>
      <c r="AE49" s="68"/>
      <c r="AF49" s="69"/>
      <c r="AG49" s="68"/>
      <c r="AH49" s="68"/>
      <c r="AI49" s="68"/>
      <c r="AJ49" s="69"/>
      <c r="AK49" s="69"/>
      <c r="AL49" s="69"/>
      <c r="AM49" s="69"/>
      <c r="AN49" s="69"/>
      <c r="AO49" s="69"/>
      <c r="AP49" s="69"/>
      <c r="AQ49" s="69"/>
      <c r="AR49" s="69"/>
      <c r="AS49" s="69"/>
      <c r="AT49" s="69"/>
      <c r="AU49" s="69"/>
      <c r="AV49" s="69"/>
      <c r="AW49" s="69"/>
      <c r="AX49" s="69"/>
      <c r="AY49" s="69"/>
      <c r="AZ49" s="69"/>
      <c r="BA49" s="69"/>
      <c r="BB49" s="69"/>
      <c r="BE49" s="70"/>
      <c r="BF49" s="71"/>
      <c r="BH49" s="69"/>
      <c r="BI49" s="69"/>
      <c r="BJ49" s="69"/>
      <c r="BK49" s="69"/>
      <c r="BO49" s="72"/>
      <c r="BP49" s="72"/>
      <c r="BT49" s="72"/>
      <c r="BU49" s="72"/>
      <c r="BX49" s="72"/>
      <c r="BY49" s="72"/>
      <c r="CA49" s="72"/>
      <c r="CI49" s="72"/>
      <c r="CJ49" s="72"/>
      <c r="CL49" s="72"/>
      <c r="CR49" s="73" t="str">
        <f>IF(L49="","",IF(CS49="not a match","",IF(CS49="full_name",VLOOKUP(L49,'Internal -- Trademark Countries'!A:E,5,FALSE),IF(CS49="polity_shortest_name",VLOOKUP(L49,'Internal -- Trademark Countries'!B:E,4,FALSE),IF(CS49="polity_full_name",VLOOKUP(L49,'Internal -- Trademark Countries'!C:E,3,FALSE),IF(CS49="polity_common_name",VLOOKUP(L49,'Internal -- Trademark Countries'!D:E,2,FALSE),IF(CS49="shortest_name",L49)))))))</f>
        <v/>
      </c>
      <c r="CS49" s="73" t="str">
        <f>IF(L49="","",IF(COUNTIF('Internal -- Trademark Countries'!A:A,L49)&gt;0,"full_name",IF(COUNTIF('Internal -- Trademark Countries'!B:B,L49)&gt;0,"polity_shortest_name",IF(COUNTIF('Internal -- Trademark Countries'!C:C,L49)&gt;0,"polity_full_name",IF(COUNTIF('Internal -- Trademark Countries'!D:D,L49)&gt;0,"polity_common_name",IF(COUNTIF('Internal -- Trademark Countries'!E:E,L49)&gt;0,"shortest_name","not a match"))))))</f>
        <v/>
      </c>
      <c r="CT49" s="73"/>
      <c r="CU49" s="73"/>
      <c r="CV49" s="73"/>
      <c r="CW49" s="73"/>
      <c r="CX49" s="74"/>
    </row>
    <row r="50" spans="3:102" ht="15.75" customHeight="1">
      <c r="C50" s="65"/>
      <c r="K50" s="66"/>
      <c r="L50" s="67"/>
      <c r="Y50" s="68"/>
      <c r="AA50" s="68"/>
      <c r="AB50" s="69"/>
      <c r="AC50" s="68"/>
      <c r="AD50" s="68"/>
      <c r="AE50" s="68"/>
      <c r="AF50" s="69"/>
      <c r="AG50" s="68"/>
      <c r="AH50" s="68"/>
      <c r="AI50" s="68"/>
      <c r="AJ50" s="69"/>
      <c r="AK50" s="69"/>
      <c r="AL50" s="69"/>
      <c r="AM50" s="69"/>
      <c r="AN50" s="69"/>
      <c r="AO50" s="69"/>
      <c r="AP50" s="69"/>
      <c r="AQ50" s="69"/>
      <c r="AR50" s="69"/>
      <c r="AS50" s="69"/>
      <c r="AT50" s="69"/>
      <c r="AU50" s="69"/>
      <c r="AV50" s="69"/>
      <c r="AW50" s="69"/>
      <c r="AX50" s="69"/>
      <c r="AY50" s="69"/>
      <c r="AZ50" s="69"/>
      <c r="BA50" s="69"/>
      <c r="BB50" s="69"/>
      <c r="BE50" s="70"/>
      <c r="BF50" s="71"/>
      <c r="BH50" s="69"/>
      <c r="BI50" s="69"/>
      <c r="BJ50" s="69"/>
      <c r="BK50" s="69"/>
      <c r="BO50" s="72"/>
      <c r="BP50" s="72"/>
      <c r="BT50" s="72"/>
      <c r="BU50" s="72"/>
      <c r="BX50" s="72"/>
      <c r="BY50" s="72"/>
      <c r="CA50" s="72"/>
      <c r="CI50" s="72"/>
      <c r="CJ50" s="72"/>
      <c r="CL50" s="72"/>
      <c r="CR50" s="73" t="str">
        <f>IF(L50="","",IF(CS50="not a match","",IF(CS50="full_name",VLOOKUP(L50,'Internal -- Trademark Countries'!A:E,5,FALSE),IF(CS50="polity_shortest_name",VLOOKUP(L50,'Internal -- Trademark Countries'!B:E,4,FALSE),IF(CS50="polity_full_name",VLOOKUP(L50,'Internal -- Trademark Countries'!C:E,3,FALSE),IF(CS50="polity_common_name",VLOOKUP(L50,'Internal -- Trademark Countries'!D:E,2,FALSE),IF(CS50="shortest_name",L50)))))))</f>
        <v/>
      </c>
      <c r="CS50" s="73" t="str">
        <f>IF(L50="","",IF(COUNTIF('Internal -- Trademark Countries'!A:A,L50)&gt;0,"full_name",IF(COUNTIF('Internal -- Trademark Countries'!B:B,L50)&gt;0,"polity_shortest_name",IF(COUNTIF('Internal -- Trademark Countries'!C:C,L50)&gt;0,"polity_full_name",IF(COUNTIF('Internal -- Trademark Countries'!D:D,L50)&gt;0,"polity_common_name",IF(COUNTIF('Internal -- Trademark Countries'!E:E,L50)&gt;0,"shortest_name","not a match"))))))</f>
        <v/>
      </c>
      <c r="CT50" s="73"/>
      <c r="CU50" s="73"/>
      <c r="CV50" s="73"/>
      <c r="CW50" s="73"/>
      <c r="CX50" s="74"/>
    </row>
    <row r="51" spans="3:102" ht="15.75" customHeight="1">
      <c r="C51" s="65"/>
      <c r="K51" s="66"/>
      <c r="L51" s="67"/>
      <c r="Y51" s="68"/>
      <c r="AA51" s="68"/>
      <c r="AB51" s="69"/>
      <c r="AC51" s="68"/>
      <c r="AD51" s="68"/>
      <c r="AE51" s="68"/>
      <c r="AF51" s="69"/>
      <c r="AG51" s="68"/>
      <c r="AH51" s="68"/>
      <c r="AI51" s="68"/>
      <c r="AJ51" s="69"/>
      <c r="AK51" s="69"/>
      <c r="AL51" s="69"/>
      <c r="AM51" s="69"/>
      <c r="AN51" s="69"/>
      <c r="AO51" s="69"/>
      <c r="AP51" s="69"/>
      <c r="AQ51" s="69"/>
      <c r="AR51" s="69"/>
      <c r="AS51" s="69"/>
      <c r="AT51" s="69"/>
      <c r="AU51" s="69"/>
      <c r="AV51" s="69"/>
      <c r="AW51" s="69"/>
      <c r="AX51" s="69"/>
      <c r="AY51" s="69"/>
      <c r="AZ51" s="69"/>
      <c r="BA51" s="69"/>
      <c r="BB51" s="69"/>
      <c r="BE51" s="70"/>
      <c r="BF51" s="71"/>
      <c r="BH51" s="69"/>
      <c r="BI51" s="69"/>
      <c r="BJ51" s="69"/>
      <c r="BK51" s="69"/>
      <c r="BO51" s="72"/>
      <c r="BP51" s="72"/>
      <c r="BT51" s="72"/>
      <c r="BU51" s="72"/>
      <c r="BX51" s="72"/>
      <c r="BY51" s="72"/>
      <c r="CA51" s="72"/>
      <c r="CI51" s="72"/>
      <c r="CJ51" s="72"/>
      <c r="CL51" s="72"/>
      <c r="CR51" s="73" t="str">
        <f>IF(L51="","",IF(CS51="not a match","",IF(CS51="full_name",VLOOKUP(L51,'Internal -- Trademark Countries'!A:E,5,FALSE),IF(CS51="polity_shortest_name",VLOOKUP(L51,'Internal -- Trademark Countries'!B:E,4,FALSE),IF(CS51="polity_full_name",VLOOKUP(L51,'Internal -- Trademark Countries'!C:E,3,FALSE),IF(CS51="polity_common_name",VLOOKUP(L51,'Internal -- Trademark Countries'!D:E,2,FALSE),IF(CS51="shortest_name",L51)))))))</f>
        <v/>
      </c>
      <c r="CS51" s="73" t="str">
        <f>IF(L51="","",IF(COUNTIF('Internal -- Trademark Countries'!A:A,L51)&gt;0,"full_name",IF(COUNTIF('Internal -- Trademark Countries'!B:B,L51)&gt;0,"polity_shortest_name",IF(COUNTIF('Internal -- Trademark Countries'!C:C,L51)&gt;0,"polity_full_name",IF(COUNTIF('Internal -- Trademark Countries'!D:D,L51)&gt;0,"polity_common_name",IF(COUNTIF('Internal -- Trademark Countries'!E:E,L51)&gt;0,"shortest_name","not a match"))))))</f>
        <v/>
      </c>
      <c r="CT51" s="73"/>
      <c r="CU51" s="73"/>
      <c r="CV51" s="73"/>
      <c r="CW51" s="73"/>
      <c r="CX51" s="74"/>
    </row>
    <row r="52" spans="3:102" ht="15.75" customHeight="1">
      <c r="C52" s="65"/>
      <c r="K52" s="66"/>
      <c r="L52" s="67"/>
      <c r="Y52" s="68"/>
      <c r="AA52" s="68"/>
      <c r="AB52" s="69"/>
      <c r="AC52" s="68"/>
      <c r="AD52" s="68"/>
      <c r="AE52" s="68"/>
      <c r="AF52" s="69"/>
      <c r="AG52" s="68"/>
      <c r="AH52" s="68"/>
      <c r="AI52" s="68"/>
      <c r="AJ52" s="69"/>
      <c r="AK52" s="69"/>
      <c r="AL52" s="69"/>
      <c r="AM52" s="69"/>
      <c r="AN52" s="69"/>
      <c r="AO52" s="69"/>
      <c r="AP52" s="69"/>
      <c r="AQ52" s="69"/>
      <c r="AR52" s="69"/>
      <c r="AS52" s="69"/>
      <c r="AT52" s="69"/>
      <c r="AU52" s="69"/>
      <c r="AV52" s="69"/>
      <c r="AW52" s="69"/>
      <c r="AX52" s="69"/>
      <c r="AY52" s="69"/>
      <c r="AZ52" s="69"/>
      <c r="BA52" s="69"/>
      <c r="BB52" s="69"/>
      <c r="BE52" s="70"/>
      <c r="BF52" s="71"/>
      <c r="BH52" s="69"/>
      <c r="BI52" s="69"/>
      <c r="BJ52" s="69"/>
      <c r="BK52" s="69"/>
      <c r="BO52" s="72"/>
      <c r="BP52" s="72"/>
      <c r="BT52" s="72"/>
      <c r="BU52" s="72"/>
      <c r="BX52" s="72"/>
      <c r="BY52" s="72"/>
      <c r="CA52" s="72"/>
      <c r="CI52" s="72"/>
      <c r="CJ52" s="72"/>
      <c r="CL52" s="72"/>
      <c r="CR52" s="73" t="str">
        <f>IF(L52="","",IF(CS52="not a match","",IF(CS52="full_name",VLOOKUP(L52,'Internal -- Trademark Countries'!A:E,5,FALSE),IF(CS52="polity_shortest_name",VLOOKUP(L52,'Internal -- Trademark Countries'!B:E,4,FALSE),IF(CS52="polity_full_name",VLOOKUP(L52,'Internal -- Trademark Countries'!C:E,3,FALSE),IF(CS52="polity_common_name",VLOOKUP(L52,'Internal -- Trademark Countries'!D:E,2,FALSE),IF(CS52="shortest_name",L52)))))))</f>
        <v/>
      </c>
      <c r="CS52" s="73" t="str">
        <f>IF(L52="","",IF(COUNTIF('Internal -- Trademark Countries'!A:A,L52)&gt;0,"full_name",IF(COUNTIF('Internal -- Trademark Countries'!B:B,L52)&gt;0,"polity_shortest_name",IF(COUNTIF('Internal -- Trademark Countries'!C:C,L52)&gt;0,"polity_full_name",IF(COUNTIF('Internal -- Trademark Countries'!D:D,L52)&gt;0,"polity_common_name",IF(COUNTIF('Internal -- Trademark Countries'!E:E,L52)&gt;0,"shortest_name","not a match"))))))</f>
        <v/>
      </c>
      <c r="CT52" s="73"/>
      <c r="CU52" s="73"/>
      <c r="CV52" s="73"/>
      <c r="CW52" s="73"/>
      <c r="CX52" s="74"/>
    </row>
    <row r="53" spans="3:102" ht="15.75" customHeight="1">
      <c r="C53" s="65"/>
      <c r="K53" s="66"/>
      <c r="L53" s="67"/>
      <c r="Y53" s="68"/>
      <c r="AA53" s="68"/>
      <c r="AB53" s="69"/>
      <c r="AC53" s="68"/>
      <c r="AD53" s="68"/>
      <c r="AE53" s="68"/>
      <c r="AF53" s="69"/>
      <c r="AG53" s="68"/>
      <c r="AH53" s="68"/>
      <c r="AI53" s="68"/>
      <c r="AJ53" s="69"/>
      <c r="AK53" s="69"/>
      <c r="AL53" s="69"/>
      <c r="AM53" s="69"/>
      <c r="AN53" s="69"/>
      <c r="AO53" s="69"/>
      <c r="AP53" s="69"/>
      <c r="AQ53" s="69"/>
      <c r="AR53" s="69"/>
      <c r="AS53" s="69"/>
      <c r="AT53" s="69"/>
      <c r="AU53" s="69"/>
      <c r="AV53" s="69"/>
      <c r="AW53" s="69"/>
      <c r="AX53" s="69"/>
      <c r="AY53" s="69"/>
      <c r="AZ53" s="69"/>
      <c r="BA53" s="69"/>
      <c r="BB53" s="69"/>
      <c r="BE53" s="70"/>
      <c r="BF53" s="71"/>
      <c r="BH53" s="69"/>
      <c r="BI53" s="69"/>
      <c r="BJ53" s="69"/>
      <c r="BK53" s="69"/>
      <c r="BO53" s="72"/>
      <c r="BP53" s="72"/>
      <c r="BT53" s="72"/>
      <c r="BU53" s="72"/>
      <c r="BX53" s="72"/>
      <c r="BY53" s="72"/>
      <c r="CA53" s="72"/>
      <c r="CI53" s="72"/>
      <c r="CJ53" s="72"/>
      <c r="CL53" s="72"/>
      <c r="CR53" s="73" t="str">
        <f>IF(L53="","",IF(CS53="not a match","",IF(CS53="full_name",VLOOKUP(L53,'Internal -- Trademark Countries'!A:E,5,FALSE),IF(CS53="polity_shortest_name",VLOOKUP(L53,'Internal -- Trademark Countries'!B:E,4,FALSE),IF(CS53="polity_full_name",VLOOKUP(L53,'Internal -- Trademark Countries'!C:E,3,FALSE),IF(CS53="polity_common_name",VLOOKUP(L53,'Internal -- Trademark Countries'!D:E,2,FALSE),IF(CS53="shortest_name",L53)))))))</f>
        <v/>
      </c>
      <c r="CS53" s="73" t="str">
        <f>IF(L53="","",IF(COUNTIF('Internal -- Trademark Countries'!A:A,L53)&gt;0,"full_name",IF(COUNTIF('Internal -- Trademark Countries'!B:B,L53)&gt;0,"polity_shortest_name",IF(COUNTIF('Internal -- Trademark Countries'!C:C,L53)&gt;0,"polity_full_name",IF(COUNTIF('Internal -- Trademark Countries'!D:D,L53)&gt;0,"polity_common_name",IF(COUNTIF('Internal -- Trademark Countries'!E:E,L53)&gt;0,"shortest_name","not a match"))))))</f>
        <v/>
      </c>
      <c r="CT53" s="73"/>
      <c r="CU53" s="73"/>
      <c r="CV53" s="73"/>
      <c r="CW53" s="73"/>
      <c r="CX53" s="74"/>
    </row>
    <row r="54" spans="3:102" ht="15.75" customHeight="1">
      <c r="C54" s="65"/>
      <c r="K54" s="66"/>
      <c r="L54" s="67"/>
      <c r="Y54" s="68"/>
      <c r="AA54" s="68"/>
      <c r="AB54" s="69"/>
      <c r="AC54" s="68"/>
      <c r="AD54" s="68"/>
      <c r="AE54" s="68"/>
      <c r="AF54" s="69"/>
      <c r="AG54" s="68"/>
      <c r="AH54" s="68"/>
      <c r="AI54" s="68"/>
      <c r="AJ54" s="69"/>
      <c r="AK54" s="69"/>
      <c r="AL54" s="69"/>
      <c r="AM54" s="69"/>
      <c r="AN54" s="69"/>
      <c r="AO54" s="69"/>
      <c r="AP54" s="69"/>
      <c r="AQ54" s="69"/>
      <c r="AR54" s="69"/>
      <c r="AS54" s="69"/>
      <c r="AT54" s="69"/>
      <c r="AU54" s="69"/>
      <c r="AV54" s="69"/>
      <c r="AW54" s="69"/>
      <c r="AX54" s="69"/>
      <c r="AY54" s="69"/>
      <c r="AZ54" s="69"/>
      <c r="BA54" s="69"/>
      <c r="BB54" s="69"/>
      <c r="BE54" s="70"/>
      <c r="BF54" s="71"/>
      <c r="BH54" s="69"/>
      <c r="BI54" s="69"/>
      <c r="BJ54" s="69"/>
      <c r="BK54" s="69"/>
      <c r="BO54" s="72"/>
      <c r="BP54" s="72"/>
      <c r="BT54" s="72"/>
      <c r="BU54" s="72"/>
      <c r="BX54" s="72"/>
      <c r="BY54" s="72"/>
      <c r="CA54" s="72"/>
      <c r="CI54" s="72"/>
      <c r="CJ54" s="72"/>
      <c r="CL54" s="72"/>
      <c r="CR54" s="73" t="str">
        <f>IF(L54="","",IF(CS54="not a match","",IF(CS54="full_name",VLOOKUP(L54,'Internal -- Trademark Countries'!A:E,5,FALSE),IF(CS54="polity_shortest_name",VLOOKUP(L54,'Internal -- Trademark Countries'!B:E,4,FALSE),IF(CS54="polity_full_name",VLOOKUP(L54,'Internal -- Trademark Countries'!C:E,3,FALSE),IF(CS54="polity_common_name",VLOOKUP(L54,'Internal -- Trademark Countries'!D:E,2,FALSE),IF(CS54="shortest_name",L54)))))))</f>
        <v/>
      </c>
      <c r="CS54" s="73" t="str">
        <f>IF(L54="","",IF(COUNTIF('Internal -- Trademark Countries'!A:A,L54)&gt;0,"full_name",IF(COUNTIF('Internal -- Trademark Countries'!B:B,L54)&gt;0,"polity_shortest_name",IF(COUNTIF('Internal -- Trademark Countries'!C:C,L54)&gt;0,"polity_full_name",IF(COUNTIF('Internal -- Trademark Countries'!D:D,L54)&gt;0,"polity_common_name",IF(COUNTIF('Internal -- Trademark Countries'!E:E,L54)&gt;0,"shortest_name","not a match"))))))</f>
        <v/>
      </c>
      <c r="CT54" s="73"/>
      <c r="CU54" s="73"/>
      <c r="CV54" s="73"/>
      <c r="CW54" s="73"/>
      <c r="CX54" s="74"/>
    </row>
    <row r="55" spans="3:102" ht="15.75" customHeight="1">
      <c r="C55" s="65"/>
      <c r="K55" s="66"/>
      <c r="L55" s="67"/>
      <c r="Y55" s="68"/>
      <c r="AA55" s="68"/>
      <c r="AB55" s="69"/>
      <c r="AC55" s="68"/>
      <c r="AD55" s="68"/>
      <c r="AE55" s="68"/>
      <c r="AF55" s="69"/>
      <c r="AG55" s="68"/>
      <c r="AH55" s="68"/>
      <c r="AI55" s="68"/>
      <c r="AJ55" s="69"/>
      <c r="AK55" s="69"/>
      <c r="AL55" s="69"/>
      <c r="AM55" s="69"/>
      <c r="AN55" s="69"/>
      <c r="AO55" s="69"/>
      <c r="AP55" s="69"/>
      <c r="AQ55" s="69"/>
      <c r="AR55" s="69"/>
      <c r="AS55" s="69"/>
      <c r="AT55" s="69"/>
      <c r="AU55" s="69"/>
      <c r="AV55" s="69"/>
      <c r="AW55" s="69"/>
      <c r="AX55" s="69"/>
      <c r="AY55" s="69"/>
      <c r="AZ55" s="69"/>
      <c r="BA55" s="69"/>
      <c r="BB55" s="69"/>
      <c r="BE55" s="70"/>
      <c r="BF55" s="71"/>
      <c r="BH55" s="69"/>
      <c r="BI55" s="69"/>
      <c r="BJ55" s="69"/>
      <c r="BK55" s="69"/>
      <c r="BO55" s="72"/>
      <c r="BP55" s="72"/>
      <c r="BT55" s="72"/>
      <c r="BU55" s="72"/>
      <c r="BX55" s="72"/>
      <c r="BY55" s="72"/>
      <c r="CA55" s="72"/>
      <c r="CI55" s="72"/>
      <c r="CJ55" s="72"/>
      <c r="CL55" s="72"/>
      <c r="CR55" s="73" t="str">
        <f>IF(L55="","",IF(CS55="not a match","",IF(CS55="full_name",VLOOKUP(L55,'Internal -- Trademark Countries'!A:E,5,FALSE),IF(CS55="polity_shortest_name",VLOOKUP(L55,'Internal -- Trademark Countries'!B:E,4,FALSE),IF(CS55="polity_full_name",VLOOKUP(L55,'Internal -- Trademark Countries'!C:E,3,FALSE),IF(CS55="polity_common_name",VLOOKUP(L55,'Internal -- Trademark Countries'!D:E,2,FALSE),IF(CS55="shortest_name",L55)))))))</f>
        <v/>
      </c>
      <c r="CS55" s="73" t="str">
        <f>IF(L55="","",IF(COUNTIF('Internal -- Trademark Countries'!A:A,L55)&gt;0,"full_name",IF(COUNTIF('Internal -- Trademark Countries'!B:B,L55)&gt;0,"polity_shortest_name",IF(COUNTIF('Internal -- Trademark Countries'!C:C,L55)&gt;0,"polity_full_name",IF(COUNTIF('Internal -- Trademark Countries'!D:D,L55)&gt;0,"polity_common_name",IF(COUNTIF('Internal -- Trademark Countries'!E:E,L55)&gt;0,"shortest_name","not a match"))))))</f>
        <v/>
      </c>
      <c r="CT55" s="73"/>
      <c r="CU55" s="73"/>
      <c r="CV55" s="73"/>
      <c r="CW55" s="73"/>
      <c r="CX55" s="74"/>
    </row>
    <row r="56" spans="3:102" ht="15.75" customHeight="1">
      <c r="C56" s="65"/>
      <c r="K56" s="66"/>
      <c r="L56" s="67"/>
      <c r="Y56" s="68"/>
      <c r="AA56" s="68"/>
      <c r="AB56" s="69"/>
      <c r="AC56" s="68"/>
      <c r="AD56" s="68"/>
      <c r="AE56" s="68"/>
      <c r="AF56" s="69"/>
      <c r="AG56" s="68"/>
      <c r="AH56" s="68"/>
      <c r="AI56" s="68"/>
      <c r="AJ56" s="69"/>
      <c r="AK56" s="69"/>
      <c r="AL56" s="69"/>
      <c r="AM56" s="69"/>
      <c r="AN56" s="69"/>
      <c r="AO56" s="69"/>
      <c r="AP56" s="69"/>
      <c r="AQ56" s="69"/>
      <c r="AR56" s="69"/>
      <c r="AS56" s="69"/>
      <c r="AT56" s="69"/>
      <c r="AU56" s="69"/>
      <c r="AV56" s="69"/>
      <c r="AW56" s="69"/>
      <c r="AX56" s="69"/>
      <c r="AY56" s="69"/>
      <c r="AZ56" s="69"/>
      <c r="BA56" s="69"/>
      <c r="BB56" s="69"/>
      <c r="BE56" s="70"/>
      <c r="BF56" s="71"/>
      <c r="BH56" s="69"/>
      <c r="BI56" s="69"/>
      <c r="BJ56" s="69"/>
      <c r="BK56" s="69"/>
      <c r="BO56" s="72"/>
      <c r="BP56" s="72"/>
      <c r="BT56" s="72"/>
      <c r="BU56" s="72"/>
      <c r="BX56" s="72"/>
      <c r="BY56" s="72"/>
      <c r="CA56" s="72"/>
      <c r="CI56" s="72"/>
      <c r="CJ56" s="72"/>
      <c r="CL56" s="72"/>
      <c r="CR56" s="73" t="str">
        <f>IF(L56="","",IF(CS56="not a match","",IF(CS56="full_name",VLOOKUP(L56,'Internal -- Trademark Countries'!A:E,5,FALSE),IF(CS56="polity_shortest_name",VLOOKUP(L56,'Internal -- Trademark Countries'!B:E,4,FALSE),IF(CS56="polity_full_name",VLOOKUP(L56,'Internal -- Trademark Countries'!C:E,3,FALSE),IF(CS56="polity_common_name",VLOOKUP(L56,'Internal -- Trademark Countries'!D:E,2,FALSE),IF(CS56="shortest_name",L56)))))))</f>
        <v/>
      </c>
      <c r="CS56" s="73" t="str">
        <f>IF(L56="","",IF(COUNTIF('Internal -- Trademark Countries'!A:A,L56)&gt;0,"full_name",IF(COUNTIF('Internal -- Trademark Countries'!B:B,L56)&gt;0,"polity_shortest_name",IF(COUNTIF('Internal -- Trademark Countries'!C:C,L56)&gt;0,"polity_full_name",IF(COUNTIF('Internal -- Trademark Countries'!D:D,L56)&gt;0,"polity_common_name",IF(COUNTIF('Internal -- Trademark Countries'!E:E,L56)&gt;0,"shortest_name","not a match"))))))</f>
        <v/>
      </c>
      <c r="CT56" s="73"/>
      <c r="CU56" s="73"/>
      <c r="CV56" s="73"/>
      <c r="CW56" s="73"/>
      <c r="CX56" s="74"/>
    </row>
    <row r="57" spans="3:102" ht="15.75" customHeight="1">
      <c r="C57" s="65"/>
      <c r="K57" s="66"/>
      <c r="L57" s="67"/>
      <c r="Y57" s="68"/>
      <c r="AA57" s="68"/>
      <c r="AB57" s="69"/>
      <c r="AC57" s="68"/>
      <c r="AD57" s="68"/>
      <c r="AE57" s="68"/>
      <c r="AF57" s="69"/>
      <c r="AG57" s="68"/>
      <c r="AH57" s="68"/>
      <c r="AI57" s="68"/>
      <c r="AJ57" s="69"/>
      <c r="AK57" s="69"/>
      <c r="AL57" s="69"/>
      <c r="AM57" s="69"/>
      <c r="AN57" s="69"/>
      <c r="AO57" s="69"/>
      <c r="AP57" s="69"/>
      <c r="AQ57" s="69"/>
      <c r="AR57" s="69"/>
      <c r="AS57" s="69"/>
      <c r="AT57" s="69"/>
      <c r="AU57" s="69"/>
      <c r="AV57" s="69"/>
      <c r="AW57" s="69"/>
      <c r="AX57" s="69"/>
      <c r="AY57" s="69"/>
      <c r="AZ57" s="69"/>
      <c r="BA57" s="69"/>
      <c r="BB57" s="69"/>
      <c r="BE57" s="70"/>
      <c r="BF57" s="71"/>
      <c r="BH57" s="69"/>
      <c r="BI57" s="69"/>
      <c r="BJ57" s="69"/>
      <c r="BK57" s="69"/>
      <c r="BO57" s="72"/>
      <c r="BP57" s="72"/>
      <c r="BT57" s="72"/>
      <c r="BU57" s="72"/>
      <c r="BX57" s="72"/>
      <c r="BY57" s="72"/>
      <c r="CA57" s="72"/>
      <c r="CI57" s="72"/>
      <c r="CJ57" s="72"/>
      <c r="CL57" s="72"/>
      <c r="CR57" s="73" t="str">
        <f>IF(L57="","",IF(CS57="not a match","",IF(CS57="full_name",VLOOKUP(L57,'Internal -- Trademark Countries'!A:E,5,FALSE),IF(CS57="polity_shortest_name",VLOOKUP(L57,'Internal -- Trademark Countries'!B:E,4,FALSE),IF(CS57="polity_full_name",VLOOKUP(L57,'Internal -- Trademark Countries'!C:E,3,FALSE),IF(CS57="polity_common_name",VLOOKUP(L57,'Internal -- Trademark Countries'!D:E,2,FALSE),IF(CS57="shortest_name",L57)))))))</f>
        <v/>
      </c>
      <c r="CS57" s="73" t="str">
        <f>IF(L57="","",IF(COUNTIF('Internal -- Trademark Countries'!A:A,L57)&gt;0,"full_name",IF(COUNTIF('Internal -- Trademark Countries'!B:B,L57)&gt;0,"polity_shortest_name",IF(COUNTIF('Internal -- Trademark Countries'!C:C,L57)&gt;0,"polity_full_name",IF(COUNTIF('Internal -- Trademark Countries'!D:D,L57)&gt;0,"polity_common_name",IF(COUNTIF('Internal -- Trademark Countries'!E:E,L57)&gt;0,"shortest_name","not a match"))))))</f>
        <v/>
      </c>
      <c r="CT57" s="73"/>
      <c r="CU57" s="73"/>
      <c r="CV57" s="73"/>
      <c r="CW57" s="73"/>
      <c r="CX57" s="74"/>
    </row>
    <row r="58" spans="3:102" ht="15.75" customHeight="1">
      <c r="C58" s="65"/>
      <c r="K58" s="66"/>
      <c r="L58" s="67"/>
      <c r="Y58" s="68"/>
      <c r="AA58" s="68"/>
      <c r="AB58" s="69"/>
      <c r="AC58" s="68"/>
      <c r="AD58" s="68"/>
      <c r="AE58" s="68"/>
      <c r="AF58" s="69"/>
      <c r="AG58" s="68"/>
      <c r="AH58" s="68"/>
      <c r="AI58" s="68"/>
      <c r="AJ58" s="69"/>
      <c r="AK58" s="69"/>
      <c r="AL58" s="69"/>
      <c r="AM58" s="69"/>
      <c r="AN58" s="69"/>
      <c r="AO58" s="69"/>
      <c r="AP58" s="69"/>
      <c r="AQ58" s="69"/>
      <c r="AR58" s="69"/>
      <c r="AS58" s="69"/>
      <c r="AT58" s="69"/>
      <c r="AU58" s="69"/>
      <c r="AV58" s="69"/>
      <c r="AW58" s="69"/>
      <c r="AX58" s="69"/>
      <c r="AY58" s="69"/>
      <c r="AZ58" s="69"/>
      <c r="BA58" s="69"/>
      <c r="BB58" s="69"/>
      <c r="BE58" s="70"/>
      <c r="BF58" s="71"/>
      <c r="BH58" s="69"/>
      <c r="BI58" s="69"/>
      <c r="BJ58" s="69"/>
      <c r="BK58" s="69"/>
      <c r="BO58" s="72"/>
      <c r="BP58" s="72"/>
      <c r="BT58" s="72"/>
      <c r="BU58" s="72"/>
      <c r="BX58" s="72"/>
      <c r="BY58" s="72"/>
      <c r="CA58" s="72"/>
      <c r="CI58" s="72"/>
      <c r="CJ58" s="72"/>
      <c r="CL58" s="72"/>
      <c r="CR58" s="73" t="str">
        <f>IF(L58="","",IF(CS58="not a match","",IF(CS58="full_name",VLOOKUP(L58,'Internal -- Trademark Countries'!A:E,5,FALSE),IF(CS58="polity_shortest_name",VLOOKUP(L58,'Internal -- Trademark Countries'!B:E,4,FALSE),IF(CS58="polity_full_name",VLOOKUP(L58,'Internal -- Trademark Countries'!C:E,3,FALSE),IF(CS58="polity_common_name",VLOOKUP(L58,'Internal -- Trademark Countries'!D:E,2,FALSE),IF(CS58="shortest_name",L58)))))))</f>
        <v/>
      </c>
      <c r="CS58" s="73" t="str">
        <f>IF(L58="","",IF(COUNTIF('Internal -- Trademark Countries'!A:A,L58)&gt;0,"full_name",IF(COUNTIF('Internal -- Trademark Countries'!B:B,L58)&gt;0,"polity_shortest_name",IF(COUNTIF('Internal -- Trademark Countries'!C:C,L58)&gt;0,"polity_full_name",IF(COUNTIF('Internal -- Trademark Countries'!D:D,L58)&gt;0,"polity_common_name",IF(COUNTIF('Internal -- Trademark Countries'!E:E,L58)&gt;0,"shortest_name","not a match"))))))</f>
        <v/>
      </c>
      <c r="CT58" s="73"/>
      <c r="CU58" s="73"/>
      <c r="CV58" s="73"/>
      <c r="CW58" s="73"/>
      <c r="CX58" s="74"/>
    </row>
    <row r="59" spans="3:102" ht="15.75" customHeight="1">
      <c r="C59" s="65"/>
      <c r="K59" s="66"/>
      <c r="L59" s="67"/>
      <c r="Y59" s="68"/>
      <c r="AA59" s="68"/>
      <c r="AB59" s="69"/>
      <c r="AC59" s="68"/>
      <c r="AD59" s="68"/>
      <c r="AE59" s="68"/>
      <c r="AF59" s="69"/>
      <c r="AG59" s="68"/>
      <c r="AH59" s="68"/>
      <c r="AI59" s="68"/>
      <c r="AJ59" s="69"/>
      <c r="AK59" s="69"/>
      <c r="AL59" s="69"/>
      <c r="AM59" s="69"/>
      <c r="AN59" s="69"/>
      <c r="AO59" s="69"/>
      <c r="AP59" s="69"/>
      <c r="AQ59" s="69"/>
      <c r="AR59" s="69"/>
      <c r="AS59" s="69"/>
      <c r="AT59" s="69"/>
      <c r="AU59" s="69"/>
      <c r="AV59" s="69"/>
      <c r="AW59" s="69"/>
      <c r="AX59" s="69"/>
      <c r="AY59" s="69"/>
      <c r="AZ59" s="69"/>
      <c r="BA59" s="69"/>
      <c r="BB59" s="69"/>
      <c r="BE59" s="70"/>
      <c r="BF59" s="71"/>
      <c r="BH59" s="69"/>
      <c r="BI59" s="69"/>
      <c r="BJ59" s="69"/>
      <c r="BK59" s="69"/>
      <c r="BO59" s="72"/>
      <c r="BP59" s="72"/>
      <c r="BT59" s="72"/>
      <c r="BU59" s="72"/>
      <c r="BX59" s="72"/>
      <c r="BY59" s="72"/>
      <c r="CA59" s="72"/>
      <c r="CI59" s="72"/>
      <c r="CJ59" s="72"/>
      <c r="CL59" s="72"/>
      <c r="CR59" s="73" t="str">
        <f>IF(L59="","",IF(CS59="not a match","",IF(CS59="full_name",VLOOKUP(L59,'Internal -- Trademark Countries'!A:E,5,FALSE),IF(CS59="polity_shortest_name",VLOOKUP(L59,'Internal -- Trademark Countries'!B:E,4,FALSE),IF(CS59="polity_full_name",VLOOKUP(L59,'Internal -- Trademark Countries'!C:E,3,FALSE),IF(CS59="polity_common_name",VLOOKUP(L59,'Internal -- Trademark Countries'!D:E,2,FALSE),IF(CS59="shortest_name",L59)))))))</f>
        <v/>
      </c>
      <c r="CS59" s="73" t="str">
        <f>IF(L59="","",IF(COUNTIF('Internal -- Trademark Countries'!A:A,L59)&gt;0,"full_name",IF(COUNTIF('Internal -- Trademark Countries'!B:B,L59)&gt;0,"polity_shortest_name",IF(COUNTIF('Internal -- Trademark Countries'!C:C,L59)&gt;0,"polity_full_name",IF(COUNTIF('Internal -- Trademark Countries'!D:D,L59)&gt;0,"polity_common_name",IF(COUNTIF('Internal -- Trademark Countries'!E:E,L59)&gt;0,"shortest_name","not a match"))))))</f>
        <v/>
      </c>
      <c r="CT59" s="73"/>
      <c r="CU59" s="73"/>
      <c r="CV59" s="73"/>
      <c r="CW59" s="73"/>
      <c r="CX59" s="74"/>
    </row>
    <row r="60" spans="3:102" ht="15.75" customHeight="1">
      <c r="C60" s="65"/>
      <c r="K60" s="66"/>
      <c r="L60" s="67"/>
      <c r="Y60" s="68"/>
      <c r="AA60" s="68"/>
      <c r="AB60" s="69"/>
      <c r="AC60" s="68"/>
      <c r="AD60" s="68"/>
      <c r="AE60" s="68"/>
      <c r="AF60" s="69"/>
      <c r="AG60" s="68"/>
      <c r="AH60" s="68"/>
      <c r="AI60" s="68"/>
      <c r="AJ60" s="69"/>
      <c r="AK60" s="69"/>
      <c r="AL60" s="69"/>
      <c r="AM60" s="69"/>
      <c r="AN60" s="69"/>
      <c r="AO60" s="69"/>
      <c r="AP60" s="69"/>
      <c r="AQ60" s="69"/>
      <c r="AR60" s="69"/>
      <c r="AS60" s="69"/>
      <c r="AT60" s="69"/>
      <c r="AU60" s="69"/>
      <c r="AV60" s="69"/>
      <c r="AW60" s="69"/>
      <c r="AX60" s="69"/>
      <c r="AY60" s="69"/>
      <c r="AZ60" s="69"/>
      <c r="BA60" s="69"/>
      <c r="BB60" s="69"/>
      <c r="BE60" s="70"/>
      <c r="BF60" s="71"/>
      <c r="BH60" s="69"/>
      <c r="BI60" s="69"/>
      <c r="BJ60" s="69"/>
      <c r="BK60" s="69"/>
      <c r="BO60" s="72"/>
      <c r="BP60" s="72"/>
      <c r="BT60" s="72"/>
      <c r="BU60" s="72"/>
      <c r="BX60" s="72"/>
      <c r="BY60" s="72"/>
      <c r="CA60" s="72"/>
      <c r="CI60" s="72"/>
      <c r="CJ60" s="72"/>
      <c r="CL60" s="72"/>
      <c r="CR60" s="73" t="str">
        <f>IF(L60="","",IF(CS60="not a match","",IF(CS60="full_name",VLOOKUP(L60,'Internal -- Trademark Countries'!A:E,5,FALSE),IF(CS60="polity_shortest_name",VLOOKUP(L60,'Internal -- Trademark Countries'!B:E,4,FALSE),IF(CS60="polity_full_name",VLOOKUP(L60,'Internal -- Trademark Countries'!C:E,3,FALSE),IF(CS60="polity_common_name",VLOOKUP(L60,'Internal -- Trademark Countries'!D:E,2,FALSE),IF(CS60="shortest_name",L60)))))))</f>
        <v/>
      </c>
      <c r="CS60" s="73" t="str">
        <f>IF(L60="","",IF(COUNTIF('Internal -- Trademark Countries'!A:A,L60)&gt;0,"full_name",IF(COUNTIF('Internal -- Trademark Countries'!B:B,L60)&gt;0,"polity_shortest_name",IF(COUNTIF('Internal -- Trademark Countries'!C:C,L60)&gt;0,"polity_full_name",IF(COUNTIF('Internal -- Trademark Countries'!D:D,L60)&gt;0,"polity_common_name",IF(COUNTIF('Internal -- Trademark Countries'!E:E,L60)&gt;0,"shortest_name","not a match"))))))</f>
        <v/>
      </c>
      <c r="CT60" s="73"/>
      <c r="CU60" s="73"/>
      <c r="CV60" s="73"/>
      <c r="CW60" s="73"/>
      <c r="CX60" s="74"/>
    </row>
    <row r="61" spans="3:102" ht="15.75" customHeight="1">
      <c r="C61" s="65"/>
      <c r="K61" s="66"/>
      <c r="L61" s="67"/>
      <c r="Y61" s="68"/>
      <c r="AA61" s="68"/>
      <c r="AB61" s="69"/>
      <c r="AC61" s="68"/>
      <c r="AD61" s="68"/>
      <c r="AE61" s="68"/>
      <c r="AF61" s="69"/>
      <c r="AG61" s="68"/>
      <c r="AH61" s="68"/>
      <c r="AI61" s="68"/>
      <c r="AJ61" s="69"/>
      <c r="AK61" s="69"/>
      <c r="AL61" s="69"/>
      <c r="AM61" s="69"/>
      <c r="AN61" s="69"/>
      <c r="AO61" s="69"/>
      <c r="AP61" s="69"/>
      <c r="AQ61" s="69"/>
      <c r="AR61" s="69"/>
      <c r="AS61" s="69"/>
      <c r="AT61" s="69"/>
      <c r="AU61" s="69"/>
      <c r="AV61" s="69"/>
      <c r="AW61" s="69"/>
      <c r="AX61" s="69"/>
      <c r="AY61" s="69"/>
      <c r="AZ61" s="69"/>
      <c r="BA61" s="69"/>
      <c r="BB61" s="69"/>
      <c r="BE61" s="70"/>
      <c r="BF61" s="71"/>
      <c r="BH61" s="69"/>
      <c r="BI61" s="69"/>
      <c r="BJ61" s="69"/>
      <c r="BK61" s="69"/>
      <c r="BO61" s="72"/>
      <c r="BP61" s="72"/>
      <c r="BT61" s="72"/>
      <c r="BU61" s="72"/>
      <c r="BX61" s="72"/>
      <c r="BY61" s="72"/>
      <c r="CA61" s="72"/>
      <c r="CI61" s="72"/>
      <c r="CJ61" s="72"/>
      <c r="CL61" s="72"/>
      <c r="CR61" s="73" t="str">
        <f>IF(L61="","",IF(CS61="not a match","",IF(CS61="full_name",VLOOKUP(L61,'Internal -- Trademark Countries'!A:E,5,FALSE),IF(CS61="polity_shortest_name",VLOOKUP(L61,'Internal -- Trademark Countries'!B:E,4,FALSE),IF(CS61="polity_full_name",VLOOKUP(L61,'Internal -- Trademark Countries'!C:E,3,FALSE),IF(CS61="polity_common_name",VLOOKUP(L61,'Internal -- Trademark Countries'!D:E,2,FALSE),IF(CS61="shortest_name",L61)))))))</f>
        <v/>
      </c>
      <c r="CS61" s="73" t="str">
        <f>IF(L61="","",IF(COUNTIF('Internal -- Trademark Countries'!A:A,L61)&gt;0,"full_name",IF(COUNTIF('Internal -- Trademark Countries'!B:B,L61)&gt;0,"polity_shortest_name",IF(COUNTIF('Internal -- Trademark Countries'!C:C,L61)&gt;0,"polity_full_name",IF(COUNTIF('Internal -- Trademark Countries'!D:D,L61)&gt;0,"polity_common_name",IF(COUNTIF('Internal -- Trademark Countries'!E:E,L61)&gt;0,"shortest_name","not a match"))))))</f>
        <v/>
      </c>
      <c r="CT61" s="73"/>
      <c r="CU61" s="73"/>
      <c r="CV61" s="73"/>
      <c r="CW61" s="73"/>
      <c r="CX61" s="74"/>
    </row>
    <row r="62" spans="3:102" ht="15.75" customHeight="1">
      <c r="C62" s="65"/>
      <c r="K62" s="66"/>
      <c r="L62" s="67"/>
      <c r="Y62" s="68"/>
      <c r="AA62" s="68"/>
      <c r="AB62" s="69"/>
      <c r="AC62" s="68"/>
      <c r="AD62" s="68"/>
      <c r="AE62" s="68"/>
      <c r="AF62" s="69"/>
      <c r="AG62" s="68"/>
      <c r="AH62" s="68"/>
      <c r="AI62" s="68"/>
      <c r="AJ62" s="69"/>
      <c r="AK62" s="69"/>
      <c r="AL62" s="69"/>
      <c r="AM62" s="69"/>
      <c r="AN62" s="69"/>
      <c r="AO62" s="69"/>
      <c r="AP62" s="69"/>
      <c r="AQ62" s="69"/>
      <c r="AR62" s="69"/>
      <c r="AS62" s="69"/>
      <c r="AT62" s="69"/>
      <c r="AU62" s="69"/>
      <c r="AV62" s="69"/>
      <c r="AW62" s="69"/>
      <c r="AX62" s="69"/>
      <c r="AY62" s="69"/>
      <c r="AZ62" s="69"/>
      <c r="BA62" s="69"/>
      <c r="BB62" s="69"/>
      <c r="BE62" s="70"/>
      <c r="BF62" s="71"/>
      <c r="BH62" s="69"/>
      <c r="BI62" s="69"/>
      <c r="BJ62" s="69"/>
      <c r="BK62" s="69"/>
      <c r="BO62" s="72"/>
      <c r="BP62" s="72"/>
      <c r="BT62" s="72"/>
      <c r="BU62" s="72"/>
      <c r="BX62" s="72"/>
      <c r="BY62" s="72"/>
      <c r="CA62" s="72"/>
      <c r="CI62" s="72"/>
      <c r="CJ62" s="72"/>
      <c r="CL62" s="72"/>
      <c r="CR62" s="73" t="str">
        <f>IF(L62="","",IF(CS62="not a match","",IF(CS62="full_name",VLOOKUP(L62,'Internal -- Trademark Countries'!A:E,5,FALSE),IF(CS62="polity_shortest_name",VLOOKUP(L62,'Internal -- Trademark Countries'!B:E,4,FALSE),IF(CS62="polity_full_name",VLOOKUP(L62,'Internal -- Trademark Countries'!C:E,3,FALSE),IF(CS62="polity_common_name",VLOOKUP(L62,'Internal -- Trademark Countries'!D:E,2,FALSE),IF(CS62="shortest_name",L62)))))))</f>
        <v/>
      </c>
      <c r="CS62" s="73" t="str">
        <f>IF(L62="","",IF(COUNTIF('Internal -- Trademark Countries'!A:A,L62)&gt;0,"full_name",IF(COUNTIF('Internal -- Trademark Countries'!B:B,L62)&gt;0,"polity_shortest_name",IF(COUNTIF('Internal -- Trademark Countries'!C:C,L62)&gt;0,"polity_full_name",IF(COUNTIF('Internal -- Trademark Countries'!D:D,L62)&gt;0,"polity_common_name",IF(COUNTIF('Internal -- Trademark Countries'!E:E,L62)&gt;0,"shortest_name","not a match"))))))</f>
        <v/>
      </c>
      <c r="CT62" s="73"/>
      <c r="CU62" s="73"/>
      <c r="CV62" s="73"/>
      <c r="CW62" s="73"/>
      <c r="CX62" s="74"/>
    </row>
    <row r="63" spans="3:102" ht="15.75" customHeight="1">
      <c r="C63" s="65"/>
      <c r="K63" s="66"/>
      <c r="L63" s="67"/>
      <c r="Y63" s="68"/>
      <c r="AA63" s="68"/>
      <c r="AB63" s="69"/>
      <c r="AC63" s="68"/>
      <c r="AD63" s="68"/>
      <c r="AE63" s="68"/>
      <c r="AF63" s="69"/>
      <c r="AG63" s="68"/>
      <c r="AH63" s="68"/>
      <c r="AI63" s="68"/>
      <c r="AJ63" s="69"/>
      <c r="AK63" s="69"/>
      <c r="AL63" s="69"/>
      <c r="AM63" s="69"/>
      <c r="AN63" s="69"/>
      <c r="AO63" s="69"/>
      <c r="AP63" s="69"/>
      <c r="AQ63" s="69"/>
      <c r="AR63" s="69"/>
      <c r="AS63" s="69"/>
      <c r="AT63" s="69"/>
      <c r="AU63" s="69"/>
      <c r="AV63" s="69"/>
      <c r="AW63" s="69"/>
      <c r="AX63" s="69"/>
      <c r="AY63" s="69"/>
      <c r="AZ63" s="69"/>
      <c r="BA63" s="69"/>
      <c r="BB63" s="69"/>
      <c r="BE63" s="70"/>
      <c r="BF63" s="71"/>
      <c r="BH63" s="69"/>
      <c r="BI63" s="69"/>
      <c r="BJ63" s="69"/>
      <c r="BK63" s="69"/>
      <c r="BO63" s="72"/>
      <c r="BP63" s="72"/>
      <c r="BT63" s="72"/>
      <c r="BU63" s="72"/>
      <c r="BX63" s="72"/>
      <c r="BY63" s="72"/>
      <c r="CA63" s="72"/>
      <c r="CI63" s="72"/>
      <c r="CJ63" s="72"/>
      <c r="CL63" s="72"/>
      <c r="CR63" s="73" t="str">
        <f>IF(L63="","",IF(CS63="not a match","",IF(CS63="full_name",VLOOKUP(L63,'Internal -- Trademark Countries'!A:E,5,FALSE),IF(CS63="polity_shortest_name",VLOOKUP(L63,'Internal -- Trademark Countries'!B:E,4,FALSE),IF(CS63="polity_full_name",VLOOKUP(L63,'Internal -- Trademark Countries'!C:E,3,FALSE),IF(CS63="polity_common_name",VLOOKUP(L63,'Internal -- Trademark Countries'!D:E,2,FALSE),IF(CS63="shortest_name",L63)))))))</f>
        <v/>
      </c>
      <c r="CS63" s="73" t="str">
        <f>IF(L63="","",IF(COUNTIF('Internal -- Trademark Countries'!A:A,L63)&gt;0,"full_name",IF(COUNTIF('Internal -- Trademark Countries'!B:B,L63)&gt;0,"polity_shortest_name",IF(COUNTIF('Internal -- Trademark Countries'!C:C,L63)&gt;0,"polity_full_name",IF(COUNTIF('Internal -- Trademark Countries'!D:D,L63)&gt;0,"polity_common_name",IF(COUNTIF('Internal -- Trademark Countries'!E:E,L63)&gt;0,"shortest_name","not a match"))))))</f>
        <v/>
      </c>
      <c r="CT63" s="73"/>
      <c r="CU63" s="73"/>
      <c r="CV63" s="73"/>
      <c r="CW63" s="73"/>
      <c r="CX63" s="74"/>
    </row>
    <row r="64" spans="3:102" ht="15.75" customHeight="1">
      <c r="C64" s="65"/>
      <c r="K64" s="66"/>
      <c r="L64" s="67"/>
      <c r="Y64" s="68"/>
      <c r="AA64" s="68"/>
      <c r="AB64" s="69"/>
      <c r="AC64" s="68"/>
      <c r="AD64" s="68"/>
      <c r="AE64" s="68"/>
      <c r="AF64" s="69"/>
      <c r="AG64" s="68"/>
      <c r="AH64" s="68"/>
      <c r="AI64" s="68"/>
      <c r="AJ64" s="69"/>
      <c r="AK64" s="69"/>
      <c r="AL64" s="69"/>
      <c r="AM64" s="69"/>
      <c r="AN64" s="69"/>
      <c r="AO64" s="69"/>
      <c r="AP64" s="69"/>
      <c r="AQ64" s="69"/>
      <c r="AR64" s="69"/>
      <c r="AS64" s="69"/>
      <c r="AT64" s="69"/>
      <c r="AU64" s="69"/>
      <c r="AV64" s="69"/>
      <c r="AW64" s="69"/>
      <c r="AX64" s="69"/>
      <c r="AY64" s="69"/>
      <c r="AZ64" s="69"/>
      <c r="BA64" s="69"/>
      <c r="BB64" s="69"/>
      <c r="BE64" s="70"/>
      <c r="BF64" s="71"/>
      <c r="BH64" s="69"/>
      <c r="BI64" s="69"/>
      <c r="BJ64" s="69"/>
      <c r="BK64" s="69"/>
      <c r="BO64" s="72"/>
      <c r="BP64" s="72"/>
      <c r="BT64" s="72"/>
      <c r="BU64" s="72"/>
      <c r="BX64" s="72"/>
      <c r="BY64" s="72"/>
      <c r="CA64" s="72"/>
      <c r="CI64" s="72"/>
      <c r="CJ64" s="72"/>
      <c r="CL64" s="72"/>
      <c r="CR64" s="73" t="str">
        <f>IF(L64="","",IF(CS64="not a match","",IF(CS64="full_name",VLOOKUP(L64,'Internal -- Trademark Countries'!A:E,5,FALSE),IF(CS64="polity_shortest_name",VLOOKUP(L64,'Internal -- Trademark Countries'!B:E,4,FALSE),IF(CS64="polity_full_name",VLOOKUP(L64,'Internal -- Trademark Countries'!C:E,3,FALSE),IF(CS64="polity_common_name",VLOOKUP(L64,'Internal -- Trademark Countries'!D:E,2,FALSE),IF(CS64="shortest_name",L64)))))))</f>
        <v/>
      </c>
      <c r="CS64" s="73" t="str">
        <f>IF(L64="","",IF(COUNTIF('Internal -- Trademark Countries'!A:A,L64)&gt;0,"full_name",IF(COUNTIF('Internal -- Trademark Countries'!B:B,L64)&gt;0,"polity_shortest_name",IF(COUNTIF('Internal -- Trademark Countries'!C:C,L64)&gt;0,"polity_full_name",IF(COUNTIF('Internal -- Trademark Countries'!D:D,L64)&gt;0,"polity_common_name",IF(COUNTIF('Internal -- Trademark Countries'!E:E,L64)&gt;0,"shortest_name","not a match"))))))</f>
        <v/>
      </c>
      <c r="CT64" s="73"/>
      <c r="CU64" s="73"/>
      <c r="CV64" s="73"/>
      <c r="CW64" s="73"/>
      <c r="CX64" s="74"/>
    </row>
    <row r="65" spans="3:102" ht="15.75" customHeight="1">
      <c r="C65" s="65"/>
      <c r="K65" s="66"/>
      <c r="L65" s="67"/>
      <c r="Y65" s="68"/>
      <c r="AA65" s="68"/>
      <c r="AB65" s="69"/>
      <c r="AC65" s="68"/>
      <c r="AD65" s="68"/>
      <c r="AE65" s="68"/>
      <c r="AF65" s="69"/>
      <c r="AG65" s="68"/>
      <c r="AH65" s="68"/>
      <c r="AI65" s="68"/>
      <c r="AJ65" s="69"/>
      <c r="AK65" s="69"/>
      <c r="AL65" s="69"/>
      <c r="AM65" s="69"/>
      <c r="AN65" s="69"/>
      <c r="AO65" s="69"/>
      <c r="AP65" s="69"/>
      <c r="AQ65" s="69"/>
      <c r="AR65" s="69"/>
      <c r="AS65" s="69"/>
      <c r="AT65" s="69"/>
      <c r="AU65" s="69"/>
      <c r="AV65" s="69"/>
      <c r="AW65" s="69"/>
      <c r="AX65" s="69"/>
      <c r="AY65" s="69"/>
      <c r="AZ65" s="69"/>
      <c r="BA65" s="69"/>
      <c r="BB65" s="69"/>
      <c r="BE65" s="70"/>
      <c r="BF65" s="71"/>
      <c r="BH65" s="69"/>
      <c r="BI65" s="69"/>
      <c r="BJ65" s="69"/>
      <c r="BK65" s="69"/>
      <c r="BO65" s="72"/>
      <c r="BP65" s="72"/>
      <c r="BT65" s="72"/>
      <c r="BU65" s="72"/>
      <c r="BX65" s="72"/>
      <c r="BY65" s="72"/>
      <c r="CA65" s="72"/>
      <c r="CI65" s="72"/>
      <c r="CJ65" s="72"/>
      <c r="CL65" s="72"/>
      <c r="CR65" s="73" t="str">
        <f>IF(L65="","",IF(CS65="not a match","",IF(CS65="full_name",VLOOKUP(L65,'Internal -- Trademark Countries'!A:E,5,FALSE),IF(CS65="polity_shortest_name",VLOOKUP(L65,'Internal -- Trademark Countries'!B:E,4,FALSE),IF(CS65="polity_full_name",VLOOKUP(L65,'Internal -- Trademark Countries'!C:E,3,FALSE),IF(CS65="polity_common_name",VLOOKUP(L65,'Internal -- Trademark Countries'!D:E,2,FALSE),IF(CS65="shortest_name",L65)))))))</f>
        <v/>
      </c>
      <c r="CS65" s="73" t="str">
        <f>IF(L65="","",IF(COUNTIF('Internal -- Trademark Countries'!A:A,L65)&gt;0,"full_name",IF(COUNTIF('Internal -- Trademark Countries'!B:B,L65)&gt;0,"polity_shortest_name",IF(COUNTIF('Internal -- Trademark Countries'!C:C,L65)&gt;0,"polity_full_name",IF(COUNTIF('Internal -- Trademark Countries'!D:D,L65)&gt;0,"polity_common_name",IF(COUNTIF('Internal -- Trademark Countries'!E:E,L65)&gt;0,"shortest_name","not a match"))))))</f>
        <v/>
      </c>
      <c r="CT65" s="73"/>
      <c r="CU65" s="73"/>
      <c r="CV65" s="73"/>
      <c r="CW65" s="73"/>
      <c r="CX65" s="74"/>
    </row>
    <row r="66" spans="3:102" ht="15.75" customHeight="1">
      <c r="C66" s="65"/>
      <c r="K66" s="66"/>
      <c r="L66" s="67"/>
      <c r="Y66" s="68"/>
      <c r="AA66" s="68"/>
      <c r="AB66" s="69"/>
      <c r="AC66" s="68"/>
      <c r="AD66" s="68"/>
      <c r="AE66" s="68"/>
      <c r="AF66" s="69"/>
      <c r="AG66" s="68"/>
      <c r="AH66" s="68"/>
      <c r="AI66" s="68"/>
      <c r="AJ66" s="69"/>
      <c r="AK66" s="69"/>
      <c r="AL66" s="69"/>
      <c r="AM66" s="69"/>
      <c r="AN66" s="69"/>
      <c r="AO66" s="69"/>
      <c r="AP66" s="69"/>
      <c r="AQ66" s="69"/>
      <c r="AR66" s="69"/>
      <c r="AS66" s="69"/>
      <c r="AT66" s="69"/>
      <c r="AU66" s="69"/>
      <c r="AV66" s="69"/>
      <c r="AW66" s="69"/>
      <c r="AX66" s="69"/>
      <c r="AY66" s="69"/>
      <c r="AZ66" s="69"/>
      <c r="BA66" s="69"/>
      <c r="BB66" s="69"/>
      <c r="BE66" s="70"/>
      <c r="BF66" s="71"/>
      <c r="BH66" s="69"/>
      <c r="BI66" s="69"/>
      <c r="BJ66" s="69"/>
      <c r="BK66" s="69"/>
      <c r="BO66" s="72"/>
      <c r="BP66" s="72"/>
      <c r="BT66" s="72"/>
      <c r="BU66" s="72"/>
      <c r="BX66" s="72"/>
      <c r="BY66" s="72"/>
      <c r="CA66" s="72"/>
      <c r="CI66" s="72"/>
      <c r="CJ66" s="72"/>
      <c r="CL66" s="72"/>
      <c r="CR66" s="73" t="str">
        <f>IF(L66="","",IF(CS66="not a match","",IF(CS66="full_name",VLOOKUP(L66,'Internal -- Trademark Countries'!A:E,5,FALSE),IF(CS66="polity_shortest_name",VLOOKUP(L66,'Internal -- Trademark Countries'!B:E,4,FALSE),IF(CS66="polity_full_name",VLOOKUP(L66,'Internal -- Trademark Countries'!C:E,3,FALSE),IF(CS66="polity_common_name",VLOOKUP(L66,'Internal -- Trademark Countries'!D:E,2,FALSE),IF(CS66="shortest_name",L66)))))))</f>
        <v/>
      </c>
      <c r="CS66" s="73" t="str">
        <f>IF(L66="","",IF(COUNTIF('Internal -- Trademark Countries'!A:A,L66)&gt;0,"full_name",IF(COUNTIF('Internal -- Trademark Countries'!B:B,L66)&gt;0,"polity_shortest_name",IF(COUNTIF('Internal -- Trademark Countries'!C:C,L66)&gt;0,"polity_full_name",IF(COUNTIF('Internal -- Trademark Countries'!D:D,L66)&gt;0,"polity_common_name",IF(COUNTIF('Internal -- Trademark Countries'!E:E,L66)&gt;0,"shortest_name","not a match"))))))</f>
        <v/>
      </c>
      <c r="CT66" s="73"/>
      <c r="CU66" s="73"/>
      <c r="CV66" s="73"/>
      <c r="CW66" s="73"/>
      <c r="CX66" s="74"/>
    </row>
    <row r="67" spans="3:102" ht="15.75" customHeight="1">
      <c r="C67" s="65"/>
      <c r="K67" s="66"/>
      <c r="L67" s="67"/>
      <c r="Y67" s="68"/>
      <c r="AA67" s="68"/>
      <c r="AB67" s="69"/>
      <c r="AC67" s="68"/>
      <c r="AD67" s="68"/>
      <c r="AE67" s="68"/>
      <c r="AF67" s="69"/>
      <c r="AG67" s="68"/>
      <c r="AH67" s="68"/>
      <c r="AI67" s="68"/>
      <c r="AJ67" s="69"/>
      <c r="AK67" s="69"/>
      <c r="AL67" s="69"/>
      <c r="AM67" s="69"/>
      <c r="AN67" s="69"/>
      <c r="AO67" s="69"/>
      <c r="AP67" s="69"/>
      <c r="AQ67" s="69"/>
      <c r="AR67" s="69"/>
      <c r="AS67" s="69"/>
      <c r="AT67" s="69"/>
      <c r="AU67" s="69"/>
      <c r="AV67" s="69"/>
      <c r="AW67" s="69"/>
      <c r="AX67" s="69"/>
      <c r="AY67" s="69"/>
      <c r="AZ67" s="69"/>
      <c r="BA67" s="69"/>
      <c r="BB67" s="69"/>
      <c r="BE67" s="70"/>
      <c r="BF67" s="71"/>
      <c r="BH67" s="69"/>
      <c r="BI67" s="69"/>
      <c r="BJ67" s="69"/>
      <c r="BK67" s="69"/>
      <c r="BO67" s="72"/>
      <c r="BP67" s="72"/>
      <c r="BT67" s="72"/>
      <c r="BU67" s="72"/>
      <c r="BX67" s="72"/>
      <c r="BY67" s="72"/>
      <c r="CA67" s="72"/>
      <c r="CI67" s="72"/>
      <c r="CJ67" s="72"/>
      <c r="CL67" s="72"/>
      <c r="CR67" s="73" t="str">
        <f>IF(L67="","",IF(CS67="not a match","",IF(CS67="full_name",VLOOKUP(L67,'Internal -- Trademark Countries'!A:E,5,FALSE),IF(CS67="polity_shortest_name",VLOOKUP(L67,'Internal -- Trademark Countries'!B:E,4,FALSE),IF(CS67="polity_full_name",VLOOKUP(L67,'Internal -- Trademark Countries'!C:E,3,FALSE),IF(CS67="polity_common_name",VLOOKUP(L67,'Internal -- Trademark Countries'!D:E,2,FALSE),IF(CS67="shortest_name",L67)))))))</f>
        <v/>
      </c>
      <c r="CS67" s="73" t="str">
        <f>IF(L67="","",IF(COUNTIF('Internal -- Trademark Countries'!A:A,L67)&gt;0,"full_name",IF(COUNTIF('Internal -- Trademark Countries'!B:B,L67)&gt;0,"polity_shortest_name",IF(COUNTIF('Internal -- Trademark Countries'!C:C,L67)&gt;0,"polity_full_name",IF(COUNTIF('Internal -- Trademark Countries'!D:D,L67)&gt;0,"polity_common_name",IF(COUNTIF('Internal -- Trademark Countries'!E:E,L67)&gt;0,"shortest_name","not a match"))))))</f>
        <v/>
      </c>
      <c r="CT67" s="73"/>
      <c r="CU67" s="73"/>
      <c r="CV67" s="73"/>
      <c r="CW67" s="73"/>
      <c r="CX67" s="74"/>
    </row>
    <row r="68" spans="3:102" ht="15.75" customHeight="1">
      <c r="C68" s="65"/>
      <c r="K68" s="66"/>
      <c r="L68" s="67"/>
      <c r="Y68" s="68"/>
      <c r="AA68" s="68"/>
      <c r="AB68" s="69"/>
      <c r="AC68" s="68"/>
      <c r="AD68" s="68"/>
      <c r="AE68" s="68"/>
      <c r="AF68" s="69"/>
      <c r="AG68" s="68"/>
      <c r="AH68" s="68"/>
      <c r="AI68" s="68"/>
      <c r="AJ68" s="69"/>
      <c r="AK68" s="69"/>
      <c r="AL68" s="69"/>
      <c r="AM68" s="69"/>
      <c r="AN68" s="69"/>
      <c r="AO68" s="69"/>
      <c r="AP68" s="69"/>
      <c r="AQ68" s="69"/>
      <c r="AR68" s="69"/>
      <c r="AS68" s="69"/>
      <c r="AT68" s="69"/>
      <c r="AU68" s="69"/>
      <c r="AV68" s="69"/>
      <c r="AW68" s="69"/>
      <c r="AX68" s="69"/>
      <c r="AY68" s="69"/>
      <c r="AZ68" s="69"/>
      <c r="BA68" s="69"/>
      <c r="BB68" s="69"/>
      <c r="BE68" s="70"/>
      <c r="BF68" s="71"/>
      <c r="BH68" s="69"/>
      <c r="BI68" s="69"/>
      <c r="BJ68" s="69"/>
      <c r="BK68" s="69"/>
      <c r="BO68" s="72"/>
      <c r="BP68" s="72"/>
      <c r="BT68" s="72"/>
      <c r="BU68" s="72"/>
      <c r="BX68" s="72"/>
      <c r="BY68" s="72"/>
      <c r="CA68" s="72"/>
      <c r="CI68" s="72"/>
      <c r="CJ68" s="72"/>
      <c r="CL68" s="72"/>
      <c r="CR68" s="73" t="str">
        <f>IF(L68="","",IF(CS68="not a match","",IF(CS68="full_name",VLOOKUP(L68,'Internal -- Trademark Countries'!A:E,5,FALSE),IF(CS68="polity_shortest_name",VLOOKUP(L68,'Internal -- Trademark Countries'!B:E,4,FALSE),IF(CS68="polity_full_name",VLOOKUP(L68,'Internal -- Trademark Countries'!C:E,3,FALSE),IF(CS68="polity_common_name",VLOOKUP(L68,'Internal -- Trademark Countries'!D:E,2,FALSE),IF(CS68="shortest_name",L68)))))))</f>
        <v/>
      </c>
      <c r="CS68" s="73" t="str">
        <f>IF(L68="","",IF(COUNTIF('Internal -- Trademark Countries'!A:A,L68)&gt;0,"full_name",IF(COUNTIF('Internal -- Trademark Countries'!B:B,L68)&gt;0,"polity_shortest_name",IF(COUNTIF('Internal -- Trademark Countries'!C:C,L68)&gt;0,"polity_full_name",IF(COUNTIF('Internal -- Trademark Countries'!D:D,L68)&gt;0,"polity_common_name",IF(COUNTIF('Internal -- Trademark Countries'!E:E,L68)&gt;0,"shortest_name","not a match"))))))</f>
        <v/>
      </c>
      <c r="CT68" s="73"/>
      <c r="CU68" s="73"/>
      <c r="CV68" s="73"/>
      <c r="CW68" s="73"/>
      <c r="CX68" s="74"/>
    </row>
    <row r="69" spans="3:102" ht="15.75" customHeight="1">
      <c r="C69" s="65"/>
      <c r="K69" s="66"/>
      <c r="L69" s="67"/>
      <c r="Y69" s="68"/>
      <c r="AA69" s="68"/>
      <c r="AB69" s="69"/>
      <c r="AC69" s="68"/>
      <c r="AD69" s="68"/>
      <c r="AE69" s="68"/>
      <c r="AF69" s="69"/>
      <c r="AG69" s="68"/>
      <c r="AH69" s="68"/>
      <c r="AI69" s="68"/>
      <c r="AJ69" s="69"/>
      <c r="AK69" s="69"/>
      <c r="AL69" s="69"/>
      <c r="AM69" s="69"/>
      <c r="AN69" s="69"/>
      <c r="AO69" s="69"/>
      <c r="AP69" s="69"/>
      <c r="AQ69" s="69"/>
      <c r="AR69" s="69"/>
      <c r="AS69" s="69"/>
      <c r="AT69" s="69"/>
      <c r="AU69" s="69"/>
      <c r="AV69" s="69"/>
      <c r="AW69" s="69"/>
      <c r="AX69" s="69"/>
      <c r="AY69" s="69"/>
      <c r="AZ69" s="69"/>
      <c r="BA69" s="69"/>
      <c r="BB69" s="69"/>
      <c r="BE69" s="70"/>
      <c r="BF69" s="71"/>
      <c r="BH69" s="69"/>
      <c r="BI69" s="69"/>
      <c r="BJ69" s="69"/>
      <c r="BK69" s="69"/>
      <c r="BO69" s="72"/>
      <c r="BP69" s="72"/>
      <c r="BT69" s="72"/>
      <c r="BU69" s="72"/>
      <c r="BX69" s="72"/>
      <c r="BY69" s="72"/>
      <c r="CA69" s="72"/>
      <c r="CI69" s="72"/>
      <c r="CJ69" s="72"/>
      <c r="CL69" s="72"/>
      <c r="CR69" s="73" t="str">
        <f>IF(L69="","",IF(CS69="not a match","",IF(CS69="full_name",VLOOKUP(L69,'Internal -- Trademark Countries'!A:E,5,FALSE),IF(CS69="polity_shortest_name",VLOOKUP(L69,'Internal -- Trademark Countries'!B:E,4,FALSE),IF(CS69="polity_full_name",VLOOKUP(L69,'Internal -- Trademark Countries'!C:E,3,FALSE),IF(CS69="polity_common_name",VLOOKUP(L69,'Internal -- Trademark Countries'!D:E,2,FALSE),IF(CS69="shortest_name",L69)))))))</f>
        <v/>
      </c>
      <c r="CS69" s="73" t="str">
        <f>IF(L69="","",IF(COUNTIF('Internal -- Trademark Countries'!A:A,L69)&gt;0,"full_name",IF(COUNTIF('Internal -- Trademark Countries'!B:B,L69)&gt;0,"polity_shortest_name",IF(COUNTIF('Internal -- Trademark Countries'!C:C,L69)&gt;0,"polity_full_name",IF(COUNTIF('Internal -- Trademark Countries'!D:D,L69)&gt;0,"polity_common_name",IF(COUNTIF('Internal -- Trademark Countries'!E:E,L69)&gt;0,"shortest_name","not a match"))))))</f>
        <v/>
      </c>
      <c r="CT69" s="73"/>
      <c r="CU69" s="73"/>
      <c r="CV69" s="73"/>
      <c r="CW69" s="73"/>
      <c r="CX69" s="74"/>
    </row>
    <row r="70" spans="3:102" ht="15.75" customHeight="1">
      <c r="C70" s="65"/>
      <c r="K70" s="66"/>
      <c r="L70" s="67"/>
      <c r="Y70" s="68"/>
      <c r="AA70" s="68"/>
      <c r="AB70" s="69"/>
      <c r="AC70" s="68"/>
      <c r="AD70" s="68"/>
      <c r="AE70" s="68"/>
      <c r="AF70" s="69"/>
      <c r="AG70" s="68"/>
      <c r="AH70" s="68"/>
      <c r="AI70" s="68"/>
      <c r="AJ70" s="69"/>
      <c r="AK70" s="69"/>
      <c r="AL70" s="69"/>
      <c r="AM70" s="69"/>
      <c r="AN70" s="69"/>
      <c r="AO70" s="69"/>
      <c r="AP70" s="69"/>
      <c r="AQ70" s="69"/>
      <c r="AR70" s="69"/>
      <c r="AS70" s="69"/>
      <c r="AT70" s="69"/>
      <c r="AU70" s="69"/>
      <c r="AV70" s="69"/>
      <c r="AW70" s="69"/>
      <c r="AX70" s="69"/>
      <c r="AY70" s="69"/>
      <c r="AZ70" s="69"/>
      <c r="BA70" s="69"/>
      <c r="BB70" s="69"/>
      <c r="BE70" s="70"/>
      <c r="BF70" s="71"/>
      <c r="BH70" s="69"/>
      <c r="BI70" s="69"/>
      <c r="BJ70" s="69"/>
      <c r="BK70" s="69"/>
      <c r="BO70" s="72"/>
      <c r="BP70" s="72"/>
      <c r="BT70" s="72"/>
      <c r="BU70" s="72"/>
      <c r="BX70" s="72"/>
      <c r="BY70" s="72"/>
      <c r="CA70" s="72"/>
      <c r="CI70" s="72"/>
      <c r="CJ70" s="72"/>
      <c r="CL70" s="72"/>
      <c r="CR70" s="73" t="str">
        <f>IF(L70="","",IF(CS70="not a match","",IF(CS70="full_name",VLOOKUP(L70,'Internal -- Trademark Countries'!A:E,5,FALSE),IF(CS70="polity_shortest_name",VLOOKUP(L70,'Internal -- Trademark Countries'!B:E,4,FALSE),IF(CS70="polity_full_name",VLOOKUP(L70,'Internal -- Trademark Countries'!C:E,3,FALSE),IF(CS70="polity_common_name",VLOOKUP(L70,'Internal -- Trademark Countries'!D:E,2,FALSE),IF(CS70="shortest_name",L70)))))))</f>
        <v/>
      </c>
      <c r="CS70" s="73" t="str">
        <f>IF(L70="","",IF(COUNTIF('Internal -- Trademark Countries'!A:A,L70)&gt;0,"full_name",IF(COUNTIF('Internal -- Trademark Countries'!B:B,L70)&gt;0,"polity_shortest_name",IF(COUNTIF('Internal -- Trademark Countries'!C:C,L70)&gt;0,"polity_full_name",IF(COUNTIF('Internal -- Trademark Countries'!D:D,L70)&gt;0,"polity_common_name",IF(COUNTIF('Internal -- Trademark Countries'!E:E,L70)&gt;0,"shortest_name","not a match"))))))</f>
        <v/>
      </c>
      <c r="CT70" s="73"/>
      <c r="CU70" s="73"/>
      <c r="CV70" s="73"/>
      <c r="CW70" s="73"/>
      <c r="CX70" s="74"/>
    </row>
    <row r="71" spans="3:102" ht="15.75" customHeight="1">
      <c r="C71" s="65"/>
      <c r="K71" s="66"/>
      <c r="L71" s="67"/>
      <c r="Y71" s="68"/>
      <c r="AA71" s="68"/>
      <c r="AB71" s="69"/>
      <c r="AC71" s="68"/>
      <c r="AD71" s="68"/>
      <c r="AE71" s="68"/>
      <c r="AF71" s="69"/>
      <c r="AG71" s="68"/>
      <c r="AH71" s="68"/>
      <c r="AI71" s="68"/>
      <c r="AJ71" s="69"/>
      <c r="AK71" s="69"/>
      <c r="AL71" s="69"/>
      <c r="AM71" s="69"/>
      <c r="AN71" s="69"/>
      <c r="AO71" s="69"/>
      <c r="AP71" s="69"/>
      <c r="AQ71" s="69"/>
      <c r="AR71" s="69"/>
      <c r="AS71" s="69"/>
      <c r="AT71" s="69"/>
      <c r="AU71" s="69"/>
      <c r="AV71" s="69"/>
      <c r="AW71" s="69"/>
      <c r="AX71" s="69"/>
      <c r="AY71" s="69"/>
      <c r="AZ71" s="69"/>
      <c r="BA71" s="69"/>
      <c r="BB71" s="69"/>
      <c r="BE71" s="70"/>
      <c r="BF71" s="71"/>
      <c r="BH71" s="69"/>
      <c r="BI71" s="69"/>
      <c r="BJ71" s="69"/>
      <c r="BK71" s="69"/>
      <c r="BO71" s="72"/>
      <c r="BP71" s="72"/>
      <c r="BT71" s="72"/>
      <c r="BU71" s="72"/>
      <c r="BX71" s="72"/>
      <c r="BY71" s="72"/>
      <c r="CA71" s="72"/>
      <c r="CI71" s="72"/>
      <c r="CJ71" s="72"/>
      <c r="CL71" s="72"/>
      <c r="CR71" s="73" t="str">
        <f>IF(L71="","",IF(CS71="not a match","",IF(CS71="full_name",VLOOKUP(L71,'Internal -- Trademark Countries'!A:E,5,FALSE),IF(CS71="polity_shortest_name",VLOOKUP(L71,'Internal -- Trademark Countries'!B:E,4,FALSE),IF(CS71="polity_full_name",VLOOKUP(L71,'Internal -- Trademark Countries'!C:E,3,FALSE),IF(CS71="polity_common_name",VLOOKUP(L71,'Internal -- Trademark Countries'!D:E,2,FALSE),IF(CS71="shortest_name",L71)))))))</f>
        <v/>
      </c>
      <c r="CS71" s="73" t="str">
        <f>IF(L71="","",IF(COUNTIF('Internal -- Trademark Countries'!A:A,L71)&gt;0,"full_name",IF(COUNTIF('Internal -- Trademark Countries'!B:B,L71)&gt;0,"polity_shortest_name",IF(COUNTIF('Internal -- Trademark Countries'!C:C,L71)&gt;0,"polity_full_name",IF(COUNTIF('Internal -- Trademark Countries'!D:D,L71)&gt;0,"polity_common_name",IF(COUNTIF('Internal -- Trademark Countries'!E:E,L71)&gt;0,"shortest_name","not a match"))))))</f>
        <v/>
      </c>
      <c r="CT71" s="73"/>
      <c r="CU71" s="73"/>
      <c r="CV71" s="73"/>
      <c r="CW71" s="73"/>
      <c r="CX71" s="74"/>
    </row>
    <row r="72" spans="3:102" ht="15.75" customHeight="1">
      <c r="C72" s="65"/>
      <c r="K72" s="66"/>
      <c r="L72" s="67"/>
      <c r="Y72" s="68"/>
      <c r="AA72" s="68"/>
      <c r="AB72" s="69"/>
      <c r="AC72" s="68"/>
      <c r="AD72" s="68"/>
      <c r="AE72" s="68"/>
      <c r="AF72" s="69"/>
      <c r="AG72" s="68"/>
      <c r="AH72" s="68"/>
      <c r="AI72" s="68"/>
      <c r="AJ72" s="69"/>
      <c r="AK72" s="69"/>
      <c r="AL72" s="69"/>
      <c r="AM72" s="69"/>
      <c r="AN72" s="69"/>
      <c r="AO72" s="69"/>
      <c r="AP72" s="69"/>
      <c r="AQ72" s="69"/>
      <c r="AR72" s="69"/>
      <c r="AS72" s="69"/>
      <c r="AT72" s="69"/>
      <c r="AU72" s="69"/>
      <c r="AV72" s="69"/>
      <c r="AW72" s="69"/>
      <c r="AX72" s="69"/>
      <c r="AY72" s="69"/>
      <c r="AZ72" s="69"/>
      <c r="BA72" s="69"/>
      <c r="BB72" s="69"/>
      <c r="BE72" s="70"/>
      <c r="BF72" s="71"/>
      <c r="BH72" s="69"/>
      <c r="BI72" s="69"/>
      <c r="BJ72" s="69"/>
      <c r="BK72" s="69"/>
      <c r="BO72" s="72"/>
      <c r="BP72" s="72"/>
      <c r="BT72" s="72"/>
      <c r="BU72" s="72"/>
      <c r="BX72" s="72"/>
      <c r="BY72" s="72"/>
      <c r="CA72" s="72"/>
      <c r="CI72" s="72"/>
      <c r="CJ72" s="72"/>
      <c r="CL72" s="72"/>
      <c r="CR72" s="73" t="str">
        <f>IF(L72="","",IF(CS72="not a match","",IF(CS72="full_name",VLOOKUP(L72,'Internal -- Trademark Countries'!A:E,5,FALSE),IF(CS72="polity_shortest_name",VLOOKUP(L72,'Internal -- Trademark Countries'!B:E,4,FALSE),IF(CS72="polity_full_name",VLOOKUP(L72,'Internal -- Trademark Countries'!C:E,3,FALSE),IF(CS72="polity_common_name",VLOOKUP(L72,'Internal -- Trademark Countries'!D:E,2,FALSE),IF(CS72="shortest_name",L72)))))))</f>
        <v/>
      </c>
      <c r="CS72" s="73" t="str">
        <f>IF(L72="","",IF(COUNTIF('Internal -- Trademark Countries'!A:A,L72)&gt;0,"full_name",IF(COUNTIF('Internal -- Trademark Countries'!B:B,L72)&gt;0,"polity_shortest_name",IF(COUNTIF('Internal -- Trademark Countries'!C:C,L72)&gt;0,"polity_full_name",IF(COUNTIF('Internal -- Trademark Countries'!D:D,L72)&gt;0,"polity_common_name",IF(COUNTIF('Internal -- Trademark Countries'!E:E,L72)&gt;0,"shortest_name","not a match"))))))</f>
        <v/>
      </c>
      <c r="CT72" s="73"/>
      <c r="CU72" s="73"/>
      <c r="CV72" s="73"/>
      <c r="CW72" s="73"/>
      <c r="CX72" s="74"/>
    </row>
    <row r="73" spans="3:102" ht="15.75" customHeight="1">
      <c r="C73" s="65"/>
      <c r="K73" s="66"/>
      <c r="L73" s="67"/>
      <c r="Y73" s="68"/>
      <c r="AA73" s="68"/>
      <c r="AB73" s="69"/>
      <c r="AC73" s="68"/>
      <c r="AD73" s="68"/>
      <c r="AE73" s="68"/>
      <c r="AF73" s="69"/>
      <c r="AG73" s="68"/>
      <c r="AH73" s="68"/>
      <c r="AI73" s="68"/>
      <c r="AJ73" s="69"/>
      <c r="AK73" s="69"/>
      <c r="AL73" s="69"/>
      <c r="AM73" s="69"/>
      <c r="AN73" s="69"/>
      <c r="AO73" s="69"/>
      <c r="AP73" s="69"/>
      <c r="AQ73" s="69"/>
      <c r="AR73" s="69"/>
      <c r="AS73" s="69"/>
      <c r="AT73" s="69"/>
      <c r="AU73" s="69"/>
      <c r="AV73" s="69"/>
      <c r="AW73" s="69"/>
      <c r="AX73" s="69"/>
      <c r="AY73" s="69"/>
      <c r="AZ73" s="69"/>
      <c r="BA73" s="69"/>
      <c r="BB73" s="69"/>
      <c r="BE73" s="70"/>
      <c r="BF73" s="71"/>
      <c r="BH73" s="69"/>
      <c r="BI73" s="69"/>
      <c r="BJ73" s="69"/>
      <c r="BK73" s="69"/>
      <c r="BO73" s="72"/>
      <c r="BP73" s="72"/>
      <c r="BT73" s="72"/>
      <c r="BU73" s="72"/>
      <c r="BX73" s="72"/>
      <c r="BY73" s="72"/>
      <c r="CA73" s="72"/>
      <c r="CI73" s="72"/>
      <c r="CJ73" s="72"/>
      <c r="CL73" s="72"/>
      <c r="CR73" s="73" t="str">
        <f>IF(L73="","",IF(CS73="not a match","",IF(CS73="full_name",VLOOKUP(L73,'Internal -- Trademark Countries'!A:E,5,FALSE),IF(CS73="polity_shortest_name",VLOOKUP(L73,'Internal -- Trademark Countries'!B:E,4,FALSE),IF(CS73="polity_full_name",VLOOKUP(L73,'Internal -- Trademark Countries'!C:E,3,FALSE),IF(CS73="polity_common_name",VLOOKUP(L73,'Internal -- Trademark Countries'!D:E,2,FALSE),IF(CS73="shortest_name",L73)))))))</f>
        <v/>
      </c>
      <c r="CS73" s="73" t="str">
        <f>IF(L73="","",IF(COUNTIF('Internal -- Trademark Countries'!A:A,L73)&gt;0,"full_name",IF(COUNTIF('Internal -- Trademark Countries'!B:B,L73)&gt;0,"polity_shortest_name",IF(COUNTIF('Internal -- Trademark Countries'!C:C,L73)&gt;0,"polity_full_name",IF(COUNTIF('Internal -- Trademark Countries'!D:D,L73)&gt;0,"polity_common_name",IF(COUNTIF('Internal -- Trademark Countries'!E:E,L73)&gt;0,"shortest_name","not a match"))))))</f>
        <v/>
      </c>
      <c r="CT73" s="73"/>
      <c r="CU73" s="73"/>
      <c r="CV73" s="73"/>
      <c r="CW73" s="73"/>
      <c r="CX73" s="74"/>
    </row>
    <row r="74" spans="3:102" ht="15.75" customHeight="1">
      <c r="C74" s="65"/>
      <c r="K74" s="66"/>
      <c r="L74" s="67"/>
      <c r="Y74" s="68"/>
      <c r="AA74" s="68"/>
      <c r="AB74" s="69"/>
      <c r="AC74" s="68"/>
      <c r="AD74" s="68"/>
      <c r="AE74" s="68"/>
      <c r="AF74" s="69"/>
      <c r="AG74" s="68"/>
      <c r="AH74" s="68"/>
      <c r="AI74" s="68"/>
      <c r="AJ74" s="69"/>
      <c r="AK74" s="69"/>
      <c r="AL74" s="69"/>
      <c r="AM74" s="69"/>
      <c r="AN74" s="69"/>
      <c r="AO74" s="69"/>
      <c r="AP74" s="69"/>
      <c r="AQ74" s="69"/>
      <c r="AR74" s="69"/>
      <c r="AS74" s="69"/>
      <c r="AT74" s="69"/>
      <c r="AU74" s="69"/>
      <c r="AV74" s="69"/>
      <c r="AW74" s="69"/>
      <c r="AX74" s="69"/>
      <c r="AY74" s="69"/>
      <c r="AZ74" s="69"/>
      <c r="BA74" s="69"/>
      <c r="BB74" s="69"/>
      <c r="BE74" s="70"/>
      <c r="BF74" s="71"/>
      <c r="BH74" s="69"/>
      <c r="BI74" s="69"/>
      <c r="BJ74" s="69"/>
      <c r="BK74" s="69"/>
      <c r="BO74" s="72"/>
      <c r="BP74" s="72"/>
      <c r="BT74" s="72"/>
      <c r="BU74" s="72"/>
      <c r="BX74" s="72"/>
      <c r="BY74" s="72"/>
      <c r="CA74" s="72"/>
      <c r="CI74" s="72"/>
      <c r="CJ74" s="72"/>
      <c r="CL74" s="72"/>
      <c r="CR74" s="73" t="str">
        <f>IF(L74="","",IF(CS74="not a match","",IF(CS74="full_name",VLOOKUP(L74,'Internal -- Trademark Countries'!A:E,5,FALSE),IF(CS74="polity_shortest_name",VLOOKUP(L74,'Internal -- Trademark Countries'!B:E,4,FALSE),IF(CS74="polity_full_name",VLOOKUP(L74,'Internal -- Trademark Countries'!C:E,3,FALSE),IF(CS74="polity_common_name",VLOOKUP(L74,'Internal -- Trademark Countries'!D:E,2,FALSE),IF(CS74="shortest_name",L74)))))))</f>
        <v/>
      </c>
      <c r="CS74" s="73" t="str">
        <f>IF(L74="","",IF(COUNTIF('Internal -- Trademark Countries'!A:A,L74)&gt;0,"full_name",IF(COUNTIF('Internal -- Trademark Countries'!B:B,L74)&gt;0,"polity_shortest_name",IF(COUNTIF('Internal -- Trademark Countries'!C:C,L74)&gt;0,"polity_full_name",IF(COUNTIF('Internal -- Trademark Countries'!D:D,L74)&gt;0,"polity_common_name",IF(COUNTIF('Internal -- Trademark Countries'!E:E,L74)&gt;0,"shortest_name","not a match"))))))</f>
        <v/>
      </c>
      <c r="CT74" s="73"/>
      <c r="CU74" s="73"/>
      <c r="CV74" s="73"/>
      <c r="CW74" s="73"/>
      <c r="CX74" s="74"/>
    </row>
    <row r="75" spans="3:102" ht="15.75" customHeight="1">
      <c r="C75" s="65"/>
      <c r="K75" s="66"/>
      <c r="L75" s="67"/>
      <c r="Y75" s="68"/>
      <c r="AA75" s="68"/>
      <c r="AB75" s="69"/>
      <c r="AC75" s="68"/>
      <c r="AD75" s="68"/>
      <c r="AE75" s="68"/>
      <c r="AF75" s="69"/>
      <c r="AG75" s="68"/>
      <c r="AH75" s="68"/>
      <c r="AI75" s="68"/>
      <c r="AJ75" s="69"/>
      <c r="AK75" s="69"/>
      <c r="AL75" s="69"/>
      <c r="AM75" s="69"/>
      <c r="AN75" s="69"/>
      <c r="AO75" s="69"/>
      <c r="AP75" s="69"/>
      <c r="AQ75" s="69"/>
      <c r="AR75" s="69"/>
      <c r="AS75" s="69"/>
      <c r="AT75" s="69"/>
      <c r="AU75" s="69"/>
      <c r="AV75" s="69"/>
      <c r="AW75" s="69"/>
      <c r="AX75" s="69"/>
      <c r="AY75" s="69"/>
      <c r="AZ75" s="69"/>
      <c r="BA75" s="69"/>
      <c r="BB75" s="69"/>
      <c r="BE75" s="70"/>
      <c r="BF75" s="71"/>
      <c r="BH75" s="69"/>
      <c r="BI75" s="69"/>
      <c r="BJ75" s="69"/>
      <c r="BK75" s="69"/>
      <c r="BO75" s="72"/>
      <c r="BP75" s="72"/>
      <c r="BT75" s="72"/>
      <c r="BU75" s="72"/>
      <c r="BX75" s="72"/>
      <c r="BY75" s="72"/>
      <c r="CA75" s="72"/>
      <c r="CI75" s="72"/>
      <c r="CJ75" s="72"/>
      <c r="CL75" s="72"/>
      <c r="CR75" s="73" t="str">
        <f>IF(L75="","",IF(CS75="not a match","",IF(CS75="full_name",VLOOKUP(L75,'Internal -- Trademark Countries'!A:E,5,FALSE),IF(CS75="polity_shortest_name",VLOOKUP(L75,'Internal -- Trademark Countries'!B:E,4,FALSE),IF(CS75="polity_full_name",VLOOKUP(L75,'Internal -- Trademark Countries'!C:E,3,FALSE),IF(CS75="polity_common_name",VLOOKUP(L75,'Internal -- Trademark Countries'!D:E,2,FALSE),IF(CS75="shortest_name",L75)))))))</f>
        <v/>
      </c>
      <c r="CS75" s="73" t="str">
        <f>IF(L75="","",IF(COUNTIF('Internal -- Trademark Countries'!A:A,L75)&gt;0,"full_name",IF(COUNTIF('Internal -- Trademark Countries'!B:B,L75)&gt;0,"polity_shortest_name",IF(COUNTIF('Internal -- Trademark Countries'!C:C,L75)&gt;0,"polity_full_name",IF(COUNTIF('Internal -- Trademark Countries'!D:D,L75)&gt;0,"polity_common_name",IF(COUNTIF('Internal -- Trademark Countries'!E:E,L75)&gt;0,"shortest_name","not a match"))))))</f>
        <v/>
      </c>
      <c r="CT75" s="73"/>
      <c r="CU75" s="73"/>
      <c r="CV75" s="73"/>
      <c r="CW75" s="73"/>
      <c r="CX75" s="74"/>
    </row>
    <row r="76" spans="3:102" ht="15.75" customHeight="1">
      <c r="C76" s="65"/>
      <c r="K76" s="66"/>
      <c r="L76" s="67"/>
      <c r="Y76" s="68"/>
      <c r="AA76" s="68"/>
      <c r="AB76" s="69"/>
      <c r="AC76" s="68"/>
      <c r="AD76" s="68"/>
      <c r="AE76" s="68"/>
      <c r="AF76" s="69"/>
      <c r="AG76" s="68"/>
      <c r="AH76" s="68"/>
      <c r="AI76" s="68"/>
      <c r="AJ76" s="69"/>
      <c r="AK76" s="69"/>
      <c r="AL76" s="69"/>
      <c r="AM76" s="69"/>
      <c r="AN76" s="69"/>
      <c r="AO76" s="69"/>
      <c r="AP76" s="69"/>
      <c r="AQ76" s="69"/>
      <c r="AR76" s="69"/>
      <c r="AS76" s="69"/>
      <c r="AT76" s="69"/>
      <c r="AU76" s="69"/>
      <c r="AV76" s="69"/>
      <c r="AW76" s="69"/>
      <c r="AX76" s="69"/>
      <c r="AY76" s="69"/>
      <c r="AZ76" s="69"/>
      <c r="BA76" s="69"/>
      <c r="BB76" s="69"/>
      <c r="BE76" s="70"/>
      <c r="BF76" s="71"/>
      <c r="BH76" s="69"/>
      <c r="BI76" s="69"/>
      <c r="BJ76" s="69"/>
      <c r="BK76" s="69"/>
      <c r="BO76" s="72"/>
      <c r="BP76" s="72"/>
      <c r="BT76" s="72"/>
      <c r="BU76" s="72"/>
      <c r="BX76" s="72"/>
      <c r="BY76" s="72"/>
      <c r="CA76" s="72"/>
      <c r="CI76" s="72"/>
      <c r="CJ76" s="72"/>
      <c r="CL76" s="72"/>
      <c r="CR76" s="73" t="str">
        <f>IF(L76="","",IF(CS76="not a match","",IF(CS76="full_name",VLOOKUP(L76,'Internal -- Trademark Countries'!A:E,5,FALSE),IF(CS76="polity_shortest_name",VLOOKUP(L76,'Internal -- Trademark Countries'!B:E,4,FALSE),IF(CS76="polity_full_name",VLOOKUP(L76,'Internal -- Trademark Countries'!C:E,3,FALSE),IF(CS76="polity_common_name",VLOOKUP(L76,'Internal -- Trademark Countries'!D:E,2,FALSE),IF(CS76="shortest_name",L76)))))))</f>
        <v/>
      </c>
      <c r="CS76" s="73" t="str">
        <f>IF(L76="","",IF(COUNTIF('Internal -- Trademark Countries'!A:A,L76)&gt;0,"full_name",IF(COUNTIF('Internal -- Trademark Countries'!B:B,L76)&gt;0,"polity_shortest_name",IF(COUNTIF('Internal -- Trademark Countries'!C:C,L76)&gt;0,"polity_full_name",IF(COUNTIF('Internal -- Trademark Countries'!D:D,L76)&gt;0,"polity_common_name",IF(COUNTIF('Internal -- Trademark Countries'!E:E,L76)&gt;0,"shortest_name","not a match"))))))</f>
        <v/>
      </c>
      <c r="CT76" s="73"/>
      <c r="CU76" s="73"/>
      <c r="CV76" s="73"/>
      <c r="CW76" s="73"/>
      <c r="CX76" s="74"/>
    </row>
    <row r="77" spans="3:102" ht="15.75" customHeight="1">
      <c r="C77" s="65"/>
      <c r="K77" s="66"/>
      <c r="L77" s="67"/>
      <c r="Y77" s="68"/>
      <c r="AA77" s="68"/>
      <c r="AB77" s="69"/>
      <c r="AC77" s="68"/>
      <c r="AD77" s="68"/>
      <c r="AE77" s="68"/>
      <c r="AF77" s="69"/>
      <c r="AG77" s="68"/>
      <c r="AH77" s="68"/>
      <c r="AI77" s="68"/>
      <c r="AJ77" s="69"/>
      <c r="AK77" s="69"/>
      <c r="AL77" s="69"/>
      <c r="AM77" s="69"/>
      <c r="AN77" s="69"/>
      <c r="AO77" s="69"/>
      <c r="AP77" s="69"/>
      <c r="AQ77" s="69"/>
      <c r="AR77" s="69"/>
      <c r="AS77" s="69"/>
      <c r="AT77" s="69"/>
      <c r="AU77" s="69"/>
      <c r="AV77" s="69"/>
      <c r="AW77" s="69"/>
      <c r="AX77" s="69"/>
      <c r="AY77" s="69"/>
      <c r="AZ77" s="69"/>
      <c r="BA77" s="69"/>
      <c r="BB77" s="69"/>
      <c r="BE77" s="70"/>
      <c r="BF77" s="71"/>
      <c r="BH77" s="69"/>
      <c r="BI77" s="69"/>
      <c r="BJ77" s="69"/>
      <c r="BK77" s="69"/>
      <c r="BO77" s="72"/>
      <c r="BP77" s="72"/>
      <c r="BT77" s="72"/>
      <c r="BU77" s="72"/>
      <c r="BX77" s="72"/>
      <c r="BY77" s="72"/>
      <c r="CA77" s="72"/>
      <c r="CI77" s="72"/>
      <c r="CJ77" s="72"/>
      <c r="CL77" s="72"/>
      <c r="CR77" s="73" t="str">
        <f>IF(L77="","",IF(CS77="not a match","",IF(CS77="full_name",VLOOKUP(L77,'Internal -- Trademark Countries'!A:E,5,FALSE),IF(CS77="polity_shortest_name",VLOOKUP(L77,'Internal -- Trademark Countries'!B:E,4,FALSE),IF(CS77="polity_full_name",VLOOKUP(L77,'Internal -- Trademark Countries'!C:E,3,FALSE),IF(CS77="polity_common_name",VLOOKUP(L77,'Internal -- Trademark Countries'!D:E,2,FALSE),IF(CS77="shortest_name",L77)))))))</f>
        <v/>
      </c>
      <c r="CS77" s="73" t="str">
        <f>IF(L77="","",IF(COUNTIF('Internal -- Trademark Countries'!A:A,L77)&gt;0,"full_name",IF(COUNTIF('Internal -- Trademark Countries'!B:B,L77)&gt;0,"polity_shortest_name",IF(COUNTIF('Internal -- Trademark Countries'!C:C,L77)&gt;0,"polity_full_name",IF(COUNTIF('Internal -- Trademark Countries'!D:D,L77)&gt;0,"polity_common_name",IF(COUNTIF('Internal -- Trademark Countries'!E:E,L77)&gt;0,"shortest_name","not a match"))))))</f>
        <v/>
      </c>
      <c r="CT77" s="73"/>
      <c r="CU77" s="73"/>
      <c r="CV77" s="73"/>
      <c r="CW77" s="73"/>
      <c r="CX77" s="74"/>
    </row>
    <row r="78" spans="3:102" ht="15.75" customHeight="1">
      <c r="C78" s="65"/>
      <c r="K78" s="66"/>
      <c r="L78" s="67"/>
      <c r="Y78" s="68"/>
      <c r="AA78" s="68"/>
      <c r="AB78" s="69"/>
      <c r="AC78" s="68"/>
      <c r="AD78" s="68"/>
      <c r="AE78" s="68"/>
      <c r="AF78" s="69"/>
      <c r="AG78" s="68"/>
      <c r="AH78" s="68"/>
      <c r="AI78" s="68"/>
      <c r="AJ78" s="69"/>
      <c r="AK78" s="69"/>
      <c r="AL78" s="69"/>
      <c r="AM78" s="69"/>
      <c r="AN78" s="69"/>
      <c r="AO78" s="69"/>
      <c r="AP78" s="69"/>
      <c r="AQ78" s="69"/>
      <c r="AR78" s="69"/>
      <c r="AS78" s="69"/>
      <c r="AT78" s="69"/>
      <c r="AU78" s="69"/>
      <c r="AV78" s="69"/>
      <c r="AW78" s="69"/>
      <c r="AX78" s="69"/>
      <c r="AY78" s="69"/>
      <c r="AZ78" s="69"/>
      <c r="BA78" s="69"/>
      <c r="BB78" s="69"/>
      <c r="BE78" s="70"/>
      <c r="BF78" s="71"/>
      <c r="BH78" s="69"/>
      <c r="BI78" s="69"/>
      <c r="BJ78" s="69"/>
      <c r="BK78" s="69"/>
      <c r="BO78" s="72"/>
      <c r="BP78" s="72"/>
      <c r="BT78" s="72"/>
      <c r="BU78" s="72"/>
      <c r="BX78" s="72"/>
      <c r="BY78" s="72"/>
      <c r="CA78" s="72"/>
      <c r="CI78" s="72"/>
      <c r="CJ78" s="72"/>
      <c r="CL78" s="72"/>
      <c r="CR78" s="73" t="str">
        <f>IF(L78="","",IF(CS78="not a match","",IF(CS78="full_name",VLOOKUP(L78,'Internal -- Trademark Countries'!A:E,5,FALSE),IF(CS78="polity_shortest_name",VLOOKUP(L78,'Internal -- Trademark Countries'!B:E,4,FALSE),IF(CS78="polity_full_name",VLOOKUP(L78,'Internal -- Trademark Countries'!C:E,3,FALSE),IF(CS78="polity_common_name",VLOOKUP(L78,'Internal -- Trademark Countries'!D:E,2,FALSE),IF(CS78="shortest_name",L78)))))))</f>
        <v/>
      </c>
      <c r="CS78" s="73" t="str">
        <f>IF(L78="","",IF(COUNTIF('Internal -- Trademark Countries'!A:A,L78)&gt;0,"full_name",IF(COUNTIF('Internal -- Trademark Countries'!B:B,L78)&gt;0,"polity_shortest_name",IF(COUNTIF('Internal -- Trademark Countries'!C:C,L78)&gt;0,"polity_full_name",IF(COUNTIF('Internal -- Trademark Countries'!D:D,L78)&gt;0,"polity_common_name",IF(COUNTIF('Internal -- Trademark Countries'!E:E,L78)&gt;0,"shortest_name","not a match"))))))</f>
        <v/>
      </c>
      <c r="CT78" s="73"/>
      <c r="CU78" s="73"/>
      <c r="CV78" s="73"/>
      <c r="CW78" s="73"/>
      <c r="CX78" s="74"/>
    </row>
    <row r="79" spans="3:102" ht="15.75" customHeight="1">
      <c r="C79" s="65"/>
      <c r="K79" s="66"/>
      <c r="L79" s="67"/>
      <c r="Y79" s="68"/>
      <c r="AA79" s="68"/>
      <c r="AB79" s="69"/>
      <c r="AC79" s="68"/>
      <c r="AD79" s="68"/>
      <c r="AE79" s="68"/>
      <c r="AF79" s="69"/>
      <c r="AG79" s="68"/>
      <c r="AH79" s="68"/>
      <c r="AI79" s="68"/>
      <c r="AJ79" s="69"/>
      <c r="AK79" s="69"/>
      <c r="AL79" s="69"/>
      <c r="AM79" s="69"/>
      <c r="AN79" s="69"/>
      <c r="AO79" s="69"/>
      <c r="AP79" s="69"/>
      <c r="AQ79" s="69"/>
      <c r="AR79" s="69"/>
      <c r="AS79" s="69"/>
      <c r="AT79" s="69"/>
      <c r="AU79" s="69"/>
      <c r="AV79" s="69"/>
      <c r="AW79" s="69"/>
      <c r="AX79" s="69"/>
      <c r="AY79" s="69"/>
      <c r="AZ79" s="69"/>
      <c r="BA79" s="69"/>
      <c r="BB79" s="69"/>
      <c r="BE79" s="70"/>
      <c r="BF79" s="71"/>
      <c r="BH79" s="69"/>
      <c r="BI79" s="69"/>
      <c r="BJ79" s="69"/>
      <c r="BK79" s="69"/>
      <c r="BO79" s="72"/>
      <c r="BP79" s="72"/>
      <c r="BT79" s="72"/>
      <c r="BU79" s="72"/>
      <c r="BX79" s="72"/>
      <c r="BY79" s="72"/>
      <c r="CA79" s="72"/>
      <c r="CI79" s="72"/>
      <c r="CJ79" s="72"/>
      <c r="CL79" s="72"/>
      <c r="CR79" s="73" t="str">
        <f>IF(L79="","",IF(CS79="not a match","",IF(CS79="full_name",VLOOKUP(L79,'Internal -- Trademark Countries'!A:E,5,FALSE),IF(CS79="polity_shortest_name",VLOOKUP(L79,'Internal -- Trademark Countries'!B:E,4,FALSE),IF(CS79="polity_full_name",VLOOKUP(L79,'Internal -- Trademark Countries'!C:E,3,FALSE),IF(CS79="polity_common_name",VLOOKUP(L79,'Internal -- Trademark Countries'!D:E,2,FALSE),IF(CS79="shortest_name",L79)))))))</f>
        <v/>
      </c>
      <c r="CS79" s="73" t="str">
        <f>IF(L79="","",IF(COUNTIF('Internal -- Trademark Countries'!A:A,L79)&gt;0,"full_name",IF(COUNTIF('Internal -- Trademark Countries'!B:B,L79)&gt;0,"polity_shortest_name",IF(COUNTIF('Internal -- Trademark Countries'!C:C,L79)&gt;0,"polity_full_name",IF(COUNTIF('Internal -- Trademark Countries'!D:D,L79)&gt;0,"polity_common_name",IF(COUNTIF('Internal -- Trademark Countries'!E:E,L79)&gt;0,"shortest_name","not a match"))))))</f>
        <v/>
      </c>
      <c r="CT79" s="73"/>
      <c r="CU79" s="73"/>
      <c r="CV79" s="73"/>
      <c r="CW79" s="73"/>
      <c r="CX79" s="74"/>
    </row>
    <row r="80" spans="3:102" ht="15.75" customHeight="1">
      <c r="C80" s="65"/>
      <c r="K80" s="66"/>
      <c r="L80" s="67"/>
      <c r="Y80" s="68"/>
      <c r="AA80" s="68"/>
      <c r="AB80" s="69"/>
      <c r="AC80" s="68"/>
      <c r="AD80" s="68"/>
      <c r="AE80" s="68"/>
      <c r="AF80" s="69"/>
      <c r="AG80" s="68"/>
      <c r="AH80" s="68"/>
      <c r="AI80" s="68"/>
      <c r="AJ80" s="69"/>
      <c r="AK80" s="69"/>
      <c r="AL80" s="69"/>
      <c r="AM80" s="69"/>
      <c r="AN80" s="69"/>
      <c r="AO80" s="69"/>
      <c r="AP80" s="69"/>
      <c r="AQ80" s="69"/>
      <c r="AR80" s="69"/>
      <c r="AS80" s="69"/>
      <c r="AT80" s="69"/>
      <c r="AU80" s="69"/>
      <c r="AV80" s="69"/>
      <c r="AW80" s="69"/>
      <c r="AX80" s="69"/>
      <c r="AY80" s="69"/>
      <c r="AZ80" s="69"/>
      <c r="BA80" s="69"/>
      <c r="BB80" s="69"/>
      <c r="BE80" s="70"/>
      <c r="BF80" s="71"/>
      <c r="BH80" s="69"/>
      <c r="BI80" s="69"/>
      <c r="BJ80" s="69"/>
      <c r="BK80" s="69"/>
      <c r="BO80" s="72"/>
      <c r="BP80" s="72"/>
      <c r="BT80" s="72"/>
      <c r="BU80" s="72"/>
      <c r="BX80" s="72"/>
      <c r="BY80" s="72"/>
      <c r="CA80" s="72"/>
      <c r="CI80" s="72"/>
      <c r="CJ80" s="72"/>
      <c r="CL80" s="72"/>
      <c r="CR80" s="73" t="str">
        <f>IF(L80="","",IF(CS80="not a match","",IF(CS80="full_name",VLOOKUP(L80,'Internal -- Trademark Countries'!A:E,5,FALSE),IF(CS80="polity_shortest_name",VLOOKUP(L80,'Internal -- Trademark Countries'!B:E,4,FALSE),IF(CS80="polity_full_name",VLOOKUP(L80,'Internal -- Trademark Countries'!C:E,3,FALSE),IF(CS80="polity_common_name",VLOOKUP(L80,'Internal -- Trademark Countries'!D:E,2,FALSE),IF(CS80="shortest_name",L80)))))))</f>
        <v/>
      </c>
      <c r="CS80" s="73" t="str">
        <f>IF(L80="","",IF(COUNTIF('Internal -- Trademark Countries'!A:A,L80)&gt;0,"full_name",IF(COUNTIF('Internal -- Trademark Countries'!B:B,L80)&gt;0,"polity_shortest_name",IF(COUNTIF('Internal -- Trademark Countries'!C:C,L80)&gt;0,"polity_full_name",IF(COUNTIF('Internal -- Trademark Countries'!D:D,L80)&gt;0,"polity_common_name",IF(COUNTIF('Internal -- Trademark Countries'!E:E,L80)&gt;0,"shortest_name","not a match"))))))</f>
        <v/>
      </c>
      <c r="CT80" s="73"/>
      <c r="CU80" s="73"/>
      <c r="CV80" s="73"/>
      <c r="CW80" s="73"/>
      <c r="CX80" s="74"/>
    </row>
    <row r="81" spans="3:102" ht="15.75" customHeight="1">
      <c r="C81" s="65"/>
      <c r="K81" s="66"/>
      <c r="L81" s="67"/>
      <c r="Y81" s="68"/>
      <c r="AA81" s="68"/>
      <c r="AB81" s="69"/>
      <c r="AC81" s="68"/>
      <c r="AD81" s="68"/>
      <c r="AE81" s="68"/>
      <c r="AF81" s="69"/>
      <c r="AG81" s="68"/>
      <c r="AH81" s="68"/>
      <c r="AI81" s="68"/>
      <c r="AJ81" s="69"/>
      <c r="AK81" s="69"/>
      <c r="AL81" s="69"/>
      <c r="AM81" s="69"/>
      <c r="AN81" s="69"/>
      <c r="AO81" s="69"/>
      <c r="AP81" s="69"/>
      <c r="AQ81" s="69"/>
      <c r="AR81" s="69"/>
      <c r="AS81" s="69"/>
      <c r="AT81" s="69"/>
      <c r="AU81" s="69"/>
      <c r="AV81" s="69"/>
      <c r="AW81" s="69"/>
      <c r="AX81" s="69"/>
      <c r="AY81" s="69"/>
      <c r="AZ81" s="69"/>
      <c r="BA81" s="69"/>
      <c r="BB81" s="69"/>
      <c r="BE81" s="70"/>
      <c r="BF81" s="71"/>
      <c r="BH81" s="69"/>
      <c r="BI81" s="69"/>
      <c r="BJ81" s="69"/>
      <c r="BK81" s="69"/>
      <c r="BO81" s="72"/>
      <c r="BP81" s="72"/>
      <c r="BT81" s="72"/>
      <c r="BU81" s="72"/>
      <c r="BX81" s="72"/>
      <c r="BY81" s="72"/>
      <c r="CA81" s="72"/>
      <c r="CI81" s="72"/>
      <c r="CJ81" s="72"/>
      <c r="CL81" s="72"/>
      <c r="CR81" s="73" t="str">
        <f>IF(L81="","",IF(CS81="not a match","",IF(CS81="full_name",VLOOKUP(L81,'Internal -- Trademark Countries'!A:E,5,FALSE),IF(CS81="polity_shortest_name",VLOOKUP(L81,'Internal -- Trademark Countries'!B:E,4,FALSE),IF(CS81="polity_full_name",VLOOKUP(L81,'Internal -- Trademark Countries'!C:E,3,FALSE),IF(CS81="polity_common_name",VLOOKUP(L81,'Internal -- Trademark Countries'!D:E,2,FALSE),IF(CS81="shortest_name",L81)))))))</f>
        <v/>
      </c>
      <c r="CS81" s="73" t="str">
        <f>IF(L81="","",IF(COUNTIF('Internal -- Trademark Countries'!A:A,L81)&gt;0,"full_name",IF(COUNTIF('Internal -- Trademark Countries'!B:B,L81)&gt;0,"polity_shortest_name",IF(COUNTIF('Internal -- Trademark Countries'!C:C,L81)&gt;0,"polity_full_name",IF(COUNTIF('Internal -- Trademark Countries'!D:D,L81)&gt;0,"polity_common_name",IF(COUNTIF('Internal -- Trademark Countries'!E:E,L81)&gt;0,"shortest_name","not a match"))))))</f>
        <v/>
      </c>
      <c r="CT81" s="73"/>
      <c r="CU81" s="73"/>
      <c r="CV81" s="73"/>
      <c r="CW81" s="73"/>
      <c r="CX81" s="74"/>
    </row>
    <row r="82" spans="3:102" ht="15.75" customHeight="1">
      <c r="C82" s="65"/>
      <c r="K82" s="66"/>
      <c r="L82" s="67"/>
      <c r="Y82" s="68"/>
      <c r="AA82" s="68"/>
      <c r="AB82" s="69"/>
      <c r="AC82" s="68"/>
      <c r="AD82" s="68"/>
      <c r="AE82" s="68"/>
      <c r="AF82" s="69"/>
      <c r="AG82" s="68"/>
      <c r="AH82" s="68"/>
      <c r="AI82" s="68"/>
      <c r="AJ82" s="69"/>
      <c r="AK82" s="69"/>
      <c r="AL82" s="69"/>
      <c r="AM82" s="69"/>
      <c r="AN82" s="69"/>
      <c r="AO82" s="69"/>
      <c r="AP82" s="69"/>
      <c r="AQ82" s="69"/>
      <c r="AR82" s="69"/>
      <c r="AS82" s="69"/>
      <c r="AT82" s="69"/>
      <c r="AU82" s="69"/>
      <c r="AV82" s="69"/>
      <c r="AW82" s="69"/>
      <c r="AX82" s="69"/>
      <c r="AY82" s="69"/>
      <c r="AZ82" s="69"/>
      <c r="BA82" s="69"/>
      <c r="BB82" s="69"/>
      <c r="BE82" s="70"/>
      <c r="BF82" s="71"/>
      <c r="BH82" s="69"/>
      <c r="BI82" s="69"/>
      <c r="BJ82" s="69"/>
      <c r="BK82" s="69"/>
      <c r="BO82" s="72"/>
      <c r="BP82" s="72"/>
      <c r="BT82" s="72"/>
      <c r="BU82" s="72"/>
      <c r="BX82" s="72"/>
      <c r="BY82" s="72"/>
      <c r="CA82" s="72"/>
      <c r="CI82" s="72"/>
      <c r="CJ82" s="72"/>
      <c r="CL82" s="72"/>
      <c r="CR82" s="73" t="str">
        <f>IF(L82="","",IF(CS82="not a match","",IF(CS82="full_name",VLOOKUP(L82,'Internal -- Trademark Countries'!A:E,5,FALSE),IF(CS82="polity_shortest_name",VLOOKUP(L82,'Internal -- Trademark Countries'!B:E,4,FALSE),IF(CS82="polity_full_name",VLOOKUP(L82,'Internal -- Trademark Countries'!C:E,3,FALSE),IF(CS82="polity_common_name",VLOOKUP(L82,'Internal -- Trademark Countries'!D:E,2,FALSE),IF(CS82="shortest_name",L82)))))))</f>
        <v/>
      </c>
      <c r="CS82" s="73" t="str">
        <f>IF(L82="","",IF(COUNTIF('Internal -- Trademark Countries'!A:A,L82)&gt;0,"full_name",IF(COUNTIF('Internal -- Trademark Countries'!B:B,L82)&gt;0,"polity_shortest_name",IF(COUNTIF('Internal -- Trademark Countries'!C:C,L82)&gt;0,"polity_full_name",IF(COUNTIF('Internal -- Trademark Countries'!D:D,L82)&gt;0,"polity_common_name",IF(COUNTIF('Internal -- Trademark Countries'!E:E,L82)&gt;0,"shortest_name","not a match"))))))</f>
        <v/>
      </c>
      <c r="CT82" s="73"/>
      <c r="CU82" s="73"/>
      <c r="CV82" s="73"/>
      <c r="CW82" s="73"/>
      <c r="CX82" s="74"/>
    </row>
    <row r="83" spans="3:102" ht="15.75" customHeight="1">
      <c r="C83" s="65"/>
      <c r="K83" s="66"/>
      <c r="L83" s="67"/>
      <c r="Y83" s="68"/>
      <c r="AA83" s="68"/>
      <c r="AB83" s="69"/>
      <c r="AC83" s="68"/>
      <c r="AD83" s="68"/>
      <c r="AE83" s="68"/>
      <c r="AF83" s="69"/>
      <c r="AG83" s="68"/>
      <c r="AH83" s="68"/>
      <c r="AI83" s="68"/>
      <c r="AJ83" s="69"/>
      <c r="AK83" s="69"/>
      <c r="AL83" s="69"/>
      <c r="AM83" s="69"/>
      <c r="AN83" s="69"/>
      <c r="AO83" s="69"/>
      <c r="AP83" s="69"/>
      <c r="AQ83" s="69"/>
      <c r="AR83" s="69"/>
      <c r="AS83" s="69"/>
      <c r="AT83" s="69"/>
      <c r="AU83" s="69"/>
      <c r="AV83" s="69"/>
      <c r="AW83" s="69"/>
      <c r="AX83" s="69"/>
      <c r="AY83" s="69"/>
      <c r="AZ83" s="69"/>
      <c r="BA83" s="69"/>
      <c r="BB83" s="69"/>
      <c r="BE83" s="70"/>
      <c r="BF83" s="71"/>
      <c r="BH83" s="69"/>
      <c r="BI83" s="69"/>
      <c r="BJ83" s="69"/>
      <c r="BK83" s="69"/>
      <c r="BO83" s="72"/>
      <c r="BP83" s="72"/>
      <c r="BT83" s="72"/>
      <c r="BU83" s="72"/>
      <c r="BX83" s="72"/>
      <c r="BY83" s="72"/>
      <c r="CA83" s="72"/>
      <c r="CI83" s="72"/>
      <c r="CJ83" s="72"/>
      <c r="CL83" s="72"/>
      <c r="CR83" s="73" t="str">
        <f>IF(L83="","",IF(CS83="not a match","",IF(CS83="full_name",VLOOKUP(L83,'Internal -- Trademark Countries'!A:E,5,FALSE),IF(CS83="polity_shortest_name",VLOOKUP(L83,'Internal -- Trademark Countries'!B:E,4,FALSE),IF(CS83="polity_full_name",VLOOKUP(L83,'Internal -- Trademark Countries'!C:E,3,FALSE),IF(CS83="polity_common_name",VLOOKUP(L83,'Internal -- Trademark Countries'!D:E,2,FALSE),IF(CS83="shortest_name",L83)))))))</f>
        <v/>
      </c>
      <c r="CS83" s="73" t="str">
        <f>IF(L83="","",IF(COUNTIF('Internal -- Trademark Countries'!A:A,L83)&gt;0,"full_name",IF(COUNTIF('Internal -- Trademark Countries'!B:B,L83)&gt;0,"polity_shortest_name",IF(COUNTIF('Internal -- Trademark Countries'!C:C,L83)&gt;0,"polity_full_name",IF(COUNTIF('Internal -- Trademark Countries'!D:D,L83)&gt;0,"polity_common_name",IF(COUNTIF('Internal -- Trademark Countries'!E:E,L83)&gt;0,"shortest_name","not a match"))))))</f>
        <v/>
      </c>
      <c r="CT83" s="73"/>
      <c r="CU83" s="73"/>
      <c r="CV83" s="73"/>
      <c r="CW83" s="73"/>
      <c r="CX83" s="74"/>
    </row>
    <row r="84" spans="3:102" ht="15.75" customHeight="1">
      <c r="C84" s="65"/>
      <c r="K84" s="66"/>
      <c r="L84" s="67"/>
      <c r="Y84" s="68"/>
      <c r="AA84" s="68"/>
      <c r="AB84" s="69"/>
      <c r="AC84" s="68"/>
      <c r="AD84" s="68"/>
      <c r="AE84" s="68"/>
      <c r="AF84" s="69"/>
      <c r="AG84" s="68"/>
      <c r="AH84" s="68"/>
      <c r="AI84" s="68"/>
      <c r="AJ84" s="69"/>
      <c r="AK84" s="69"/>
      <c r="AL84" s="69"/>
      <c r="AM84" s="69"/>
      <c r="AN84" s="69"/>
      <c r="AO84" s="69"/>
      <c r="AP84" s="69"/>
      <c r="AQ84" s="69"/>
      <c r="AR84" s="69"/>
      <c r="AS84" s="69"/>
      <c r="AT84" s="69"/>
      <c r="AU84" s="69"/>
      <c r="AV84" s="69"/>
      <c r="AW84" s="69"/>
      <c r="AX84" s="69"/>
      <c r="AY84" s="69"/>
      <c r="AZ84" s="69"/>
      <c r="BA84" s="69"/>
      <c r="BB84" s="69"/>
      <c r="BE84" s="70"/>
      <c r="BF84" s="71"/>
      <c r="BH84" s="69"/>
      <c r="BI84" s="69"/>
      <c r="BJ84" s="69"/>
      <c r="BK84" s="69"/>
      <c r="BO84" s="72"/>
      <c r="BP84" s="72"/>
      <c r="BT84" s="72"/>
      <c r="BU84" s="72"/>
      <c r="BX84" s="72"/>
      <c r="BY84" s="72"/>
      <c r="CA84" s="72"/>
      <c r="CI84" s="72"/>
      <c r="CJ84" s="72"/>
      <c r="CL84" s="72"/>
      <c r="CR84" s="73" t="str">
        <f>IF(L84="","",IF(CS84="not a match","",IF(CS84="full_name",VLOOKUP(L84,'Internal -- Trademark Countries'!A:E,5,FALSE),IF(CS84="polity_shortest_name",VLOOKUP(L84,'Internal -- Trademark Countries'!B:E,4,FALSE),IF(CS84="polity_full_name",VLOOKUP(L84,'Internal -- Trademark Countries'!C:E,3,FALSE),IF(CS84="polity_common_name",VLOOKUP(L84,'Internal -- Trademark Countries'!D:E,2,FALSE),IF(CS84="shortest_name",L84)))))))</f>
        <v/>
      </c>
      <c r="CS84" s="73" t="str">
        <f>IF(L84="","",IF(COUNTIF('Internal -- Trademark Countries'!A:A,L84)&gt;0,"full_name",IF(COUNTIF('Internal -- Trademark Countries'!B:B,L84)&gt;0,"polity_shortest_name",IF(COUNTIF('Internal -- Trademark Countries'!C:C,L84)&gt;0,"polity_full_name",IF(COUNTIF('Internal -- Trademark Countries'!D:D,L84)&gt;0,"polity_common_name",IF(COUNTIF('Internal -- Trademark Countries'!E:E,L84)&gt;0,"shortest_name","not a match"))))))</f>
        <v/>
      </c>
      <c r="CT84" s="73"/>
      <c r="CU84" s="73"/>
      <c r="CV84" s="73"/>
      <c r="CW84" s="73"/>
      <c r="CX84" s="74"/>
    </row>
    <row r="85" spans="3:102" ht="15.75" customHeight="1">
      <c r="C85" s="65"/>
      <c r="K85" s="66"/>
      <c r="L85" s="67"/>
      <c r="Y85" s="68"/>
      <c r="AA85" s="68"/>
      <c r="AB85" s="69"/>
      <c r="AC85" s="68"/>
      <c r="AD85" s="68"/>
      <c r="AE85" s="68"/>
      <c r="AF85" s="69"/>
      <c r="AG85" s="68"/>
      <c r="AH85" s="68"/>
      <c r="AI85" s="68"/>
      <c r="AJ85" s="69"/>
      <c r="AK85" s="69"/>
      <c r="AL85" s="69"/>
      <c r="AM85" s="69"/>
      <c r="AN85" s="69"/>
      <c r="AO85" s="69"/>
      <c r="AP85" s="69"/>
      <c r="AQ85" s="69"/>
      <c r="AR85" s="69"/>
      <c r="AS85" s="69"/>
      <c r="AT85" s="69"/>
      <c r="AU85" s="69"/>
      <c r="AV85" s="69"/>
      <c r="AW85" s="69"/>
      <c r="AX85" s="69"/>
      <c r="AY85" s="69"/>
      <c r="AZ85" s="69"/>
      <c r="BA85" s="69"/>
      <c r="BB85" s="69"/>
      <c r="BE85" s="70"/>
      <c r="BF85" s="71"/>
      <c r="BH85" s="69"/>
      <c r="BI85" s="69"/>
      <c r="BJ85" s="69"/>
      <c r="BK85" s="69"/>
      <c r="BO85" s="72"/>
      <c r="BP85" s="72"/>
      <c r="BT85" s="72"/>
      <c r="BU85" s="72"/>
      <c r="BX85" s="72"/>
      <c r="BY85" s="72"/>
      <c r="CA85" s="72"/>
      <c r="CI85" s="72"/>
      <c r="CJ85" s="72"/>
      <c r="CL85" s="72"/>
      <c r="CR85" s="73" t="str">
        <f>IF(L85="","",IF(CS85="not a match","",IF(CS85="full_name",VLOOKUP(L85,'Internal -- Trademark Countries'!A:E,5,FALSE),IF(CS85="polity_shortest_name",VLOOKUP(L85,'Internal -- Trademark Countries'!B:E,4,FALSE),IF(CS85="polity_full_name",VLOOKUP(L85,'Internal -- Trademark Countries'!C:E,3,FALSE),IF(CS85="polity_common_name",VLOOKUP(L85,'Internal -- Trademark Countries'!D:E,2,FALSE),IF(CS85="shortest_name",L85)))))))</f>
        <v/>
      </c>
      <c r="CS85" s="73" t="str">
        <f>IF(L85="","",IF(COUNTIF('Internal -- Trademark Countries'!A:A,L85)&gt;0,"full_name",IF(COUNTIF('Internal -- Trademark Countries'!B:B,L85)&gt;0,"polity_shortest_name",IF(COUNTIF('Internal -- Trademark Countries'!C:C,L85)&gt;0,"polity_full_name",IF(COUNTIF('Internal -- Trademark Countries'!D:D,L85)&gt;0,"polity_common_name",IF(COUNTIF('Internal -- Trademark Countries'!E:E,L85)&gt;0,"shortest_name","not a match"))))))</f>
        <v/>
      </c>
      <c r="CT85" s="73"/>
      <c r="CU85" s="73"/>
      <c r="CV85" s="73"/>
      <c r="CW85" s="73"/>
      <c r="CX85" s="74"/>
    </row>
    <row r="86" spans="3:102" ht="15.75" customHeight="1">
      <c r="C86" s="65"/>
      <c r="K86" s="66"/>
      <c r="L86" s="67"/>
      <c r="Y86" s="68"/>
      <c r="AA86" s="68"/>
      <c r="AB86" s="69"/>
      <c r="AC86" s="68"/>
      <c r="AD86" s="68"/>
      <c r="AE86" s="68"/>
      <c r="AF86" s="69"/>
      <c r="AG86" s="68"/>
      <c r="AH86" s="68"/>
      <c r="AI86" s="68"/>
      <c r="AJ86" s="69"/>
      <c r="AK86" s="69"/>
      <c r="AL86" s="69"/>
      <c r="AM86" s="69"/>
      <c r="AN86" s="69"/>
      <c r="AO86" s="69"/>
      <c r="AP86" s="69"/>
      <c r="AQ86" s="69"/>
      <c r="AR86" s="69"/>
      <c r="AS86" s="69"/>
      <c r="AT86" s="69"/>
      <c r="AU86" s="69"/>
      <c r="AV86" s="69"/>
      <c r="AW86" s="69"/>
      <c r="AX86" s="69"/>
      <c r="AY86" s="69"/>
      <c r="AZ86" s="69"/>
      <c r="BA86" s="69"/>
      <c r="BB86" s="69"/>
      <c r="BE86" s="70"/>
      <c r="BF86" s="71"/>
      <c r="BH86" s="69"/>
      <c r="BI86" s="69"/>
      <c r="BJ86" s="69"/>
      <c r="BK86" s="69"/>
      <c r="BO86" s="72"/>
      <c r="BP86" s="72"/>
      <c r="BT86" s="72"/>
      <c r="BU86" s="72"/>
      <c r="BX86" s="72"/>
      <c r="BY86" s="72"/>
      <c r="CA86" s="72"/>
      <c r="CI86" s="72"/>
      <c r="CJ86" s="72"/>
      <c r="CL86" s="72"/>
      <c r="CR86" s="73" t="str">
        <f>IF(L86="","",IF(CS86="not a match","",IF(CS86="full_name",VLOOKUP(L86,'Internal -- Trademark Countries'!A:E,5,FALSE),IF(CS86="polity_shortest_name",VLOOKUP(L86,'Internal -- Trademark Countries'!B:E,4,FALSE),IF(CS86="polity_full_name",VLOOKUP(L86,'Internal -- Trademark Countries'!C:E,3,FALSE),IF(CS86="polity_common_name",VLOOKUP(L86,'Internal -- Trademark Countries'!D:E,2,FALSE),IF(CS86="shortest_name",L86)))))))</f>
        <v/>
      </c>
      <c r="CS86" s="73" t="str">
        <f>IF(L86="","",IF(COUNTIF('Internal -- Trademark Countries'!A:A,L86)&gt;0,"full_name",IF(COUNTIF('Internal -- Trademark Countries'!B:B,L86)&gt;0,"polity_shortest_name",IF(COUNTIF('Internal -- Trademark Countries'!C:C,L86)&gt;0,"polity_full_name",IF(COUNTIF('Internal -- Trademark Countries'!D:D,L86)&gt;0,"polity_common_name",IF(COUNTIF('Internal -- Trademark Countries'!E:E,L86)&gt;0,"shortest_name","not a match"))))))</f>
        <v/>
      </c>
      <c r="CT86" s="73"/>
      <c r="CU86" s="73"/>
      <c r="CV86" s="73"/>
      <c r="CW86" s="73"/>
      <c r="CX86" s="74"/>
    </row>
    <row r="87" spans="3:102" ht="15.75" customHeight="1">
      <c r="C87" s="65"/>
      <c r="K87" s="66"/>
      <c r="L87" s="67"/>
      <c r="Y87" s="68"/>
      <c r="AA87" s="68"/>
      <c r="AB87" s="69"/>
      <c r="AC87" s="68"/>
      <c r="AD87" s="68"/>
      <c r="AE87" s="68"/>
      <c r="AF87" s="69"/>
      <c r="AG87" s="68"/>
      <c r="AH87" s="68"/>
      <c r="AI87" s="68"/>
      <c r="AJ87" s="69"/>
      <c r="AK87" s="69"/>
      <c r="AL87" s="69"/>
      <c r="AM87" s="69"/>
      <c r="AN87" s="69"/>
      <c r="AO87" s="69"/>
      <c r="AP87" s="69"/>
      <c r="AQ87" s="69"/>
      <c r="AR87" s="69"/>
      <c r="AS87" s="69"/>
      <c r="AT87" s="69"/>
      <c r="AU87" s="69"/>
      <c r="AV87" s="69"/>
      <c r="AW87" s="69"/>
      <c r="AX87" s="69"/>
      <c r="AY87" s="69"/>
      <c r="AZ87" s="69"/>
      <c r="BA87" s="69"/>
      <c r="BB87" s="69"/>
      <c r="BE87" s="70"/>
      <c r="BF87" s="71"/>
      <c r="BH87" s="69"/>
      <c r="BI87" s="69"/>
      <c r="BJ87" s="69"/>
      <c r="BK87" s="69"/>
      <c r="BO87" s="72"/>
      <c r="BP87" s="72"/>
      <c r="BT87" s="72"/>
      <c r="BU87" s="72"/>
      <c r="BX87" s="72"/>
      <c r="BY87" s="72"/>
      <c r="CA87" s="72"/>
      <c r="CI87" s="72"/>
      <c r="CJ87" s="72"/>
      <c r="CL87" s="72"/>
      <c r="CR87" s="73" t="str">
        <f>IF(L87="","",IF(CS87="not a match","",IF(CS87="full_name",VLOOKUP(L87,'Internal -- Trademark Countries'!A:E,5,FALSE),IF(CS87="polity_shortest_name",VLOOKUP(L87,'Internal -- Trademark Countries'!B:E,4,FALSE),IF(CS87="polity_full_name",VLOOKUP(L87,'Internal -- Trademark Countries'!C:E,3,FALSE),IF(CS87="polity_common_name",VLOOKUP(L87,'Internal -- Trademark Countries'!D:E,2,FALSE),IF(CS87="shortest_name",L87)))))))</f>
        <v/>
      </c>
      <c r="CS87" s="73" t="str">
        <f>IF(L87="","",IF(COUNTIF('Internal -- Trademark Countries'!A:A,L87)&gt;0,"full_name",IF(COUNTIF('Internal -- Trademark Countries'!B:B,L87)&gt;0,"polity_shortest_name",IF(COUNTIF('Internal -- Trademark Countries'!C:C,L87)&gt;0,"polity_full_name",IF(COUNTIF('Internal -- Trademark Countries'!D:D,L87)&gt;0,"polity_common_name",IF(COUNTIF('Internal -- Trademark Countries'!E:E,L87)&gt;0,"shortest_name","not a match"))))))</f>
        <v/>
      </c>
      <c r="CT87" s="73"/>
      <c r="CU87" s="73"/>
      <c r="CV87" s="73"/>
      <c r="CW87" s="73"/>
      <c r="CX87" s="74"/>
    </row>
    <row r="88" spans="3:102" ht="15.75" customHeight="1">
      <c r="C88" s="65"/>
      <c r="K88" s="66"/>
      <c r="L88" s="67"/>
      <c r="Y88" s="68"/>
      <c r="AA88" s="68"/>
      <c r="AB88" s="69"/>
      <c r="AC88" s="68"/>
      <c r="AD88" s="68"/>
      <c r="AE88" s="68"/>
      <c r="AF88" s="69"/>
      <c r="AG88" s="68"/>
      <c r="AH88" s="68"/>
      <c r="AI88" s="68"/>
      <c r="AJ88" s="69"/>
      <c r="AK88" s="69"/>
      <c r="AL88" s="69"/>
      <c r="AM88" s="69"/>
      <c r="AN88" s="69"/>
      <c r="AO88" s="69"/>
      <c r="AP88" s="69"/>
      <c r="AQ88" s="69"/>
      <c r="AR88" s="69"/>
      <c r="AS88" s="69"/>
      <c r="AT88" s="69"/>
      <c r="AU88" s="69"/>
      <c r="AV88" s="69"/>
      <c r="AW88" s="69"/>
      <c r="AX88" s="69"/>
      <c r="AY88" s="69"/>
      <c r="AZ88" s="69"/>
      <c r="BA88" s="69"/>
      <c r="BB88" s="69"/>
      <c r="BE88" s="70"/>
      <c r="BF88" s="71"/>
      <c r="BH88" s="69"/>
      <c r="BI88" s="69"/>
      <c r="BJ88" s="69"/>
      <c r="BK88" s="69"/>
      <c r="BO88" s="72"/>
      <c r="BP88" s="72"/>
      <c r="BT88" s="72"/>
      <c r="BU88" s="72"/>
      <c r="BX88" s="72"/>
      <c r="BY88" s="72"/>
      <c r="CA88" s="72"/>
      <c r="CI88" s="72"/>
      <c r="CJ88" s="72"/>
      <c r="CL88" s="72"/>
      <c r="CR88" s="73" t="str">
        <f>IF(L88="","",IF(CS88="not a match","",IF(CS88="full_name",VLOOKUP(L88,'Internal -- Trademark Countries'!A:E,5,FALSE),IF(CS88="polity_shortest_name",VLOOKUP(L88,'Internal -- Trademark Countries'!B:E,4,FALSE),IF(CS88="polity_full_name",VLOOKUP(L88,'Internal -- Trademark Countries'!C:E,3,FALSE),IF(CS88="polity_common_name",VLOOKUP(L88,'Internal -- Trademark Countries'!D:E,2,FALSE),IF(CS88="shortest_name",L88)))))))</f>
        <v/>
      </c>
      <c r="CS88" s="73" t="str">
        <f>IF(L88="","",IF(COUNTIF('Internal -- Trademark Countries'!A:A,L88)&gt;0,"full_name",IF(COUNTIF('Internal -- Trademark Countries'!B:B,L88)&gt;0,"polity_shortest_name",IF(COUNTIF('Internal -- Trademark Countries'!C:C,L88)&gt;0,"polity_full_name",IF(COUNTIF('Internal -- Trademark Countries'!D:D,L88)&gt;0,"polity_common_name",IF(COUNTIF('Internal -- Trademark Countries'!E:E,L88)&gt;0,"shortest_name","not a match"))))))</f>
        <v/>
      </c>
      <c r="CT88" s="73"/>
      <c r="CU88" s="73"/>
      <c r="CV88" s="73"/>
      <c r="CW88" s="73"/>
      <c r="CX88" s="74"/>
    </row>
    <row r="89" spans="3:102" ht="15.75" customHeight="1">
      <c r="C89" s="65"/>
      <c r="K89" s="66"/>
      <c r="L89" s="67"/>
      <c r="Y89" s="68"/>
      <c r="AA89" s="68"/>
      <c r="AB89" s="69"/>
      <c r="AC89" s="68"/>
      <c r="AD89" s="68"/>
      <c r="AE89" s="68"/>
      <c r="AF89" s="69"/>
      <c r="AG89" s="68"/>
      <c r="AH89" s="68"/>
      <c r="AI89" s="68"/>
      <c r="AJ89" s="69"/>
      <c r="AK89" s="69"/>
      <c r="AL89" s="69"/>
      <c r="AM89" s="69"/>
      <c r="AN89" s="69"/>
      <c r="AO89" s="69"/>
      <c r="AP89" s="69"/>
      <c r="AQ89" s="69"/>
      <c r="AR89" s="69"/>
      <c r="AS89" s="69"/>
      <c r="AT89" s="69"/>
      <c r="AU89" s="69"/>
      <c r="AV89" s="69"/>
      <c r="AW89" s="69"/>
      <c r="AX89" s="69"/>
      <c r="AY89" s="69"/>
      <c r="AZ89" s="69"/>
      <c r="BA89" s="69"/>
      <c r="BB89" s="69"/>
      <c r="BE89" s="70"/>
      <c r="BF89" s="71"/>
      <c r="BH89" s="69"/>
      <c r="BI89" s="69"/>
      <c r="BJ89" s="69"/>
      <c r="BK89" s="69"/>
      <c r="BO89" s="72"/>
      <c r="BP89" s="72"/>
      <c r="BT89" s="72"/>
      <c r="BU89" s="72"/>
      <c r="BX89" s="72"/>
      <c r="BY89" s="72"/>
      <c r="CA89" s="72"/>
      <c r="CI89" s="72"/>
      <c r="CJ89" s="72"/>
      <c r="CL89" s="72"/>
      <c r="CR89" s="73" t="str">
        <f>IF(L89="","",IF(CS89="not a match","",IF(CS89="full_name",VLOOKUP(L89,'Internal -- Trademark Countries'!A:E,5,FALSE),IF(CS89="polity_shortest_name",VLOOKUP(L89,'Internal -- Trademark Countries'!B:E,4,FALSE),IF(CS89="polity_full_name",VLOOKUP(L89,'Internal -- Trademark Countries'!C:E,3,FALSE),IF(CS89="polity_common_name",VLOOKUP(L89,'Internal -- Trademark Countries'!D:E,2,FALSE),IF(CS89="shortest_name",L89)))))))</f>
        <v/>
      </c>
      <c r="CS89" s="73" t="str">
        <f>IF(L89="","",IF(COUNTIF('Internal -- Trademark Countries'!A:A,L89)&gt;0,"full_name",IF(COUNTIF('Internal -- Trademark Countries'!B:B,L89)&gt;0,"polity_shortest_name",IF(COUNTIF('Internal -- Trademark Countries'!C:C,L89)&gt;0,"polity_full_name",IF(COUNTIF('Internal -- Trademark Countries'!D:D,L89)&gt;0,"polity_common_name",IF(COUNTIF('Internal -- Trademark Countries'!E:E,L89)&gt;0,"shortest_name","not a match"))))))</f>
        <v/>
      </c>
      <c r="CT89" s="73"/>
      <c r="CU89" s="73"/>
      <c r="CV89" s="73"/>
      <c r="CW89" s="73"/>
      <c r="CX89" s="74"/>
    </row>
    <row r="90" spans="3:102" ht="15.75" customHeight="1">
      <c r="C90" s="65"/>
      <c r="K90" s="66"/>
      <c r="L90" s="67"/>
      <c r="Y90" s="68"/>
      <c r="AA90" s="68"/>
      <c r="AB90" s="69"/>
      <c r="AC90" s="68"/>
      <c r="AD90" s="68"/>
      <c r="AE90" s="68"/>
      <c r="AF90" s="69"/>
      <c r="AG90" s="68"/>
      <c r="AH90" s="68"/>
      <c r="AI90" s="68"/>
      <c r="AJ90" s="69"/>
      <c r="AK90" s="69"/>
      <c r="AL90" s="69"/>
      <c r="AM90" s="69"/>
      <c r="AN90" s="69"/>
      <c r="AO90" s="69"/>
      <c r="AP90" s="69"/>
      <c r="AQ90" s="69"/>
      <c r="AR90" s="69"/>
      <c r="AS90" s="69"/>
      <c r="AT90" s="69"/>
      <c r="AU90" s="69"/>
      <c r="AV90" s="69"/>
      <c r="AW90" s="69"/>
      <c r="AX90" s="69"/>
      <c r="AY90" s="69"/>
      <c r="AZ90" s="69"/>
      <c r="BA90" s="69"/>
      <c r="BB90" s="69"/>
      <c r="BE90" s="70"/>
      <c r="BF90" s="71"/>
      <c r="BH90" s="69"/>
      <c r="BI90" s="69"/>
      <c r="BJ90" s="69"/>
      <c r="BK90" s="69"/>
      <c r="BO90" s="72"/>
      <c r="BP90" s="72"/>
      <c r="BT90" s="72"/>
      <c r="BU90" s="72"/>
      <c r="BX90" s="72"/>
      <c r="BY90" s="72"/>
      <c r="CA90" s="72"/>
      <c r="CI90" s="72"/>
      <c r="CJ90" s="72"/>
      <c r="CL90" s="72"/>
      <c r="CR90" s="73" t="str">
        <f>IF(L90="","",IF(CS90="not a match","",IF(CS90="full_name",VLOOKUP(L90,'Internal -- Trademark Countries'!A:E,5,FALSE),IF(CS90="polity_shortest_name",VLOOKUP(L90,'Internal -- Trademark Countries'!B:E,4,FALSE),IF(CS90="polity_full_name",VLOOKUP(L90,'Internal -- Trademark Countries'!C:E,3,FALSE),IF(CS90="polity_common_name",VLOOKUP(L90,'Internal -- Trademark Countries'!D:E,2,FALSE),IF(CS90="shortest_name",L90)))))))</f>
        <v/>
      </c>
      <c r="CS90" s="73" t="str">
        <f>IF(L90="","",IF(COUNTIF('Internal -- Trademark Countries'!A:A,L90)&gt;0,"full_name",IF(COUNTIF('Internal -- Trademark Countries'!B:B,L90)&gt;0,"polity_shortest_name",IF(COUNTIF('Internal -- Trademark Countries'!C:C,L90)&gt;0,"polity_full_name",IF(COUNTIF('Internal -- Trademark Countries'!D:D,L90)&gt;0,"polity_common_name",IF(COUNTIF('Internal -- Trademark Countries'!E:E,L90)&gt;0,"shortest_name","not a match"))))))</f>
        <v/>
      </c>
      <c r="CT90" s="73"/>
      <c r="CU90" s="73"/>
      <c r="CV90" s="73"/>
      <c r="CW90" s="73"/>
      <c r="CX90" s="74"/>
    </row>
    <row r="91" spans="3:102" ht="15.75" customHeight="1">
      <c r="C91" s="65"/>
      <c r="K91" s="66"/>
      <c r="L91" s="67"/>
      <c r="Y91" s="68"/>
      <c r="AA91" s="68"/>
      <c r="AB91" s="69"/>
      <c r="AC91" s="68"/>
      <c r="AD91" s="68"/>
      <c r="AE91" s="68"/>
      <c r="AF91" s="69"/>
      <c r="AG91" s="68"/>
      <c r="AH91" s="68"/>
      <c r="AI91" s="68"/>
      <c r="AJ91" s="69"/>
      <c r="AK91" s="69"/>
      <c r="AL91" s="69"/>
      <c r="AM91" s="69"/>
      <c r="AN91" s="69"/>
      <c r="AO91" s="69"/>
      <c r="AP91" s="69"/>
      <c r="AQ91" s="69"/>
      <c r="AR91" s="69"/>
      <c r="AS91" s="69"/>
      <c r="AT91" s="69"/>
      <c r="AU91" s="69"/>
      <c r="AV91" s="69"/>
      <c r="AW91" s="69"/>
      <c r="AX91" s="69"/>
      <c r="AY91" s="69"/>
      <c r="AZ91" s="69"/>
      <c r="BA91" s="69"/>
      <c r="BB91" s="69"/>
      <c r="BE91" s="70"/>
      <c r="BF91" s="71"/>
      <c r="BH91" s="69"/>
      <c r="BI91" s="69"/>
      <c r="BJ91" s="69"/>
      <c r="BK91" s="69"/>
      <c r="BO91" s="72"/>
      <c r="BP91" s="72"/>
      <c r="BT91" s="72"/>
      <c r="BU91" s="72"/>
      <c r="BX91" s="72"/>
      <c r="BY91" s="72"/>
      <c r="CA91" s="72"/>
      <c r="CI91" s="72"/>
      <c r="CJ91" s="72"/>
      <c r="CL91" s="72"/>
      <c r="CR91" s="73" t="str">
        <f>IF(L91="","",IF(CS91="not a match","",IF(CS91="full_name",VLOOKUP(L91,'Internal -- Trademark Countries'!A:E,5,FALSE),IF(CS91="polity_shortest_name",VLOOKUP(L91,'Internal -- Trademark Countries'!B:E,4,FALSE),IF(CS91="polity_full_name",VLOOKUP(L91,'Internal -- Trademark Countries'!C:E,3,FALSE),IF(CS91="polity_common_name",VLOOKUP(L91,'Internal -- Trademark Countries'!D:E,2,FALSE),IF(CS91="shortest_name",L91)))))))</f>
        <v/>
      </c>
      <c r="CS91" s="73" t="str">
        <f>IF(L91="","",IF(COUNTIF('Internal -- Trademark Countries'!A:A,L91)&gt;0,"full_name",IF(COUNTIF('Internal -- Trademark Countries'!B:B,L91)&gt;0,"polity_shortest_name",IF(COUNTIF('Internal -- Trademark Countries'!C:C,L91)&gt;0,"polity_full_name",IF(COUNTIF('Internal -- Trademark Countries'!D:D,L91)&gt;0,"polity_common_name",IF(COUNTIF('Internal -- Trademark Countries'!E:E,L91)&gt;0,"shortest_name","not a match"))))))</f>
        <v/>
      </c>
      <c r="CT91" s="73"/>
      <c r="CU91" s="73"/>
      <c r="CV91" s="73"/>
      <c r="CW91" s="73"/>
      <c r="CX91" s="74"/>
    </row>
    <row r="92" spans="3:102" ht="15.75" customHeight="1">
      <c r="C92" s="65"/>
      <c r="K92" s="66"/>
      <c r="L92" s="67"/>
      <c r="Y92" s="68"/>
      <c r="AA92" s="68"/>
      <c r="AB92" s="69"/>
      <c r="AC92" s="68"/>
      <c r="AD92" s="68"/>
      <c r="AE92" s="68"/>
      <c r="AF92" s="69"/>
      <c r="AG92" s="68"/>
      <c r="AH92" s="68"/>
      <c r="AI92" s="68"/>
      <c r="AJ92" s="69"/>
      <c r="AK92" s="69"/>
      <c r="AL92" s="69"/>
      <c r="AM92" s="69"/>
      <c r="AN92" s="69"/>
      <c r="AO92" s="69"/>
      <c r="AP92" s="69"/>
      <c r="AQ92" s="69"/>
      <c r="AR92" s="69"/>
      <c r="AS92" s="69"/>
      <c r="AT92" s="69"/>
      <c r="AU92" s="69"/>
      <c r="AV92" s="69"/>
      <c r="AW92" s="69"/>
      <c r="AX92" s="69"/>
      <c r="AY92" s="69"/>
      <c r="AZ92" s="69"/>
      <c r="BA92" s="69"/>
      <c r="BB92" s="69"/>
      <c r="BE92" s="70"/>
      <c r="BF92" s="71"/>
      <c r="BH92" s="69"/>
      <c r="BI92" s="69"/>
      <c r="BJ92" s="69"/>
      <c r="BK92" s="69"/>
      <c r="BO92" s="72"/>
      <c r="BP92" s="72"/>
      <c r="BT92" s="72"/>
      <c r="BU92" s="72"/>
      <c r="BX92" s="72"/>
      <c r="BY92" s="72"/>
      <c r="CA92" s="72"/>
      <c r="CI92" s="72"/>
      <c r="CJ92" s="72"/>
      <c r="CL92" s="72"/>
      <c r="CR92" s="73" t="str">
        <f>IF(L92="","",IF(CS92="not a match","",IF(CS92="full_name",VLOOKUP(L92,'Internal -- Trademark Countries'!A:E,5,FALSE),IF(CS92="polity_shortest_name",VLOOKUP(L92,'Internal -- Trademark Countries'!B:E,4,FALSE),IF(CS92="polity_full_name",VLOOKUP(L92,'Internal -- Trademark Countries'!C:E,3,FALSE),IF(CS92="polity_common_name",VLOOKUP(L92,'Internal -- Trademark Countries'!D:E,2,FALSE),IF(CS92="shortest_name",L92)))))))</f>
        <v/>
      </c>
      <c r="CS92" s="73" t="str">
        <f>IF(L92="","",IF(COUNTIF('Internal -- Trademark Countries'!A:A,L92)&gt;0,"full_name",IF(COUNTIF('Internal -- Trademark Countries'!B:B,L92)&gt;0,"polity_shortest_name",IF(COUNTIF('Internal -- Trademark Countries'!C:C,L92)&gt;0,"polity_full_name",IF(COUNTIF('Internal -- Trademark Countries'!D:D,L92)&gt;0,"polity_common_name",IF(COUNTIF('Internal -- Trademark Countries'!E:E,L92)&gt;0,"shortest_name","not a match"))))))</f>
        <v/>
      </c>
      <c r="CT92" s="73"/>
      <c r="CU92" s="73"/>
      <c r="CV92" s="73"/>
      <c r="CW92" s="73"/>
      <c r="CX92" s="74"/>
    </row>
    <row r="93" spans="3:102" ht="15.75" customHeight="1">
      <c r="C93" s="65"/>
      <c r="K93" s="66"/>
      <c r="L93" s="67"/>
      <c r="Y93" s="68"/>
      <c r="AA93" s="68"/>
      <c r="AB93" s="69"/>
      <c r="AC93" s="68"/>
      <c r="AD93" s="68"/>
      <c r="AE93" s="68"/>
      <c r="AF93" s="69"/>
      <c r="AG93" s="68"/>
      <c r="AH93" s="68"/>
      <c r="AI93" s="68"/>
      <c r="AJ93" s="69"/>
      <c r="AK93" s="69"/>
      <c r="AL93" s="69"/>
      <c r="AM93" s="69"/>
      <c r="AN93" s="69"/>
      <c r="AO93" s="69"/>
      <c r="AP93" s="69"/>
      <c r="AQ93" s="69"/>
      <c r="AR93" s="69"/>
      <c r="AS93" s="69"/>
      <c r="AT93" s="69"/>
      <c r="AU93" s="69"/>
      <c r="AV93" s="69"/>
      <c r="AW93" s="69"/>
      <c r="AX93" s="69"/>
      <c r="AY93" s="69"/>
      <c r="AZ93" s="69"/>
      <c r="BA93" s="69"/>
      <c r="BB93" s="69"/>
      <c r="BE93" s="70"/>
      <c r="BF93" s="71"/>
      <c r="BH93" s="69"/>
      <c r="BI93" s="69"/>
      <c r="BJ93" s="69"/>
      <c r="BK93" s="69"/>
      <c r="BO93" s="72"/>
      <c r="BP93" s="72"/>
      <c r="BT93" s="72"/>
      <c r="BU93" s="72"/>
      <c r="BX93" s="72"/>
      <c r="BY93" s="72"/>
      <c r="CA93" s="72"/>
      <c r="CI93" s="72"/>
      <c r="CJ93" s="72"/>
      <c r="CL93" s="72"/>
      <c r="CR93" s="73" t="str">
        <f>IF(L93="","",IF(CS93="not a match","",IF(CS93="full_name",VLOOKUP(L93,'Internal -- Trademark Countries'!A:E,5,FALSE),IF(CS93="polity_shortest_name",VLOOKUP(L93,'Internal -- Trademark Countries'!B:E,4,FALSE),IF(CS93="polity_full_name",VLOOKUP(L93,'Internal -- Trademark Countries'!C:E,3,FALSE),IF(CS93="polity_common_name",VLOOKUP(L93,'Internal -- Trademark Countries'!D:E,2,FALSE),IF(CS93="shortest_name",L93)))))))</f>
        <v/>
      </c>
      <c r="CS93" s="73" t="str">
        <f>IF(L93="","",IF(COUNTIF('Internal -- Trademark Countries'!A:A,L93)&gt;0,"full_name",IF(COUNTIF('Internal -- Trademark Countries'!B:B,L93)&gt;0,"polity_shortest_name",IF(COUNTIF('Internal -- Trademark Countries'!C:C,L93)&gt;0,"polity_full_name",IF(COUNTIF('Internal -- Trademark Countries'!D:D,L93)&gt;0,"polity_common_name",IF(COUNTIF('Internal -- Trademark Countries'!E:E,L93)&gt;0,"shortest_name","not a match"))))))</f>
        <v/>
      </c>
      <c r="CT93" s="73"/>
      <c r="CU93" s="73"/>
      <c r="CV93" s="73"/>
      <c r="CW93" s="73"/>
      <c r="CX93" s="74"/>
    </row>
    <row r="94" spans="3:102" ht="15.75" customHeight="1">
      <c r="C94" s="65"/>
      <c r="K94" s="66"/>
      <c r="L94" s="67"/>
      <c r="Y94" s="68"/>
      <c r="AA94" s="68"/>
      <c r="AB94" s="69"/>
      <c r="AC94" s="68"/>
      <c r="AD94" s="68"/>
      <c r="AE94" s="68"/>
      <c r="AF94" s="69"/>
      <c r="AG94" s="68"/>
      <c r="AH94" s="68"/>
      <c r="AI94" s="68"/>
      <c r="AJ94" s="69"/>
      <c r="AK94" s="69"/>
      <c r="AL94" s="69"/>
      <c r="AM94" s="69"/>
      <c r="AN94" s="69"/>
      <c r="AO94" s="69"/>
      <c r="AP94" s="69"/>
      <c r="AQ94" s="69"/>
      <c r="AR94" s="69"/>
      <c r="AS94" s="69"/>
      <c r="AT94" s="69"/>
      <c r="AU94" s="69"/>
      <c r="AV94" s="69"/>
      <c r="AW94" s="69"/>
      <c r="AX94" s="69"/>
      <c r="AY94" s="69"/>
      <c r="AZ94" s="69"/>
      <c r="BA94" s="69"/>
      <c r="BB94" s="69"/>
      <c r="BE94" s="70"/>
      <c r="BF94" s="71"/>
      <c r="BH94" s="69"/>
      <c r="BI94" s="69"/>
      <c r="BJ94" s="69"/>
      <c r="BK94" s="69"/>
      <c r="BO94" s="72"/>
      <c r="BP94" s="72"/>
      <c r="BT94" s="72"/>
      <c r="BU94" s="72"/>
      <c r="BX94" s="72"/>
      <c r="BY94" s="72"/>
      <c r="CA94" s="72"/>
      <c r="CI94" s="72"/>
      <c r="CJ94" s="72"/>
      <c r="CL94" s="72"/>
      <c r="CR94" s="73" t="str">
        <f>IF(L94="","",IF(CS94="not a match","",IF(CS94="full_name",VLOOKUP(L94,'Internal -- Trademark Countries'!A:E,5,FALSE),IF(CS94="polity_shortest_name",VLOOKUP(L94,'Internal -- Trademark Countries'!B:E,4,FALSE),IF(CS94="polity_full_name",VLOOKUP(L94,'Internal -- Trademark Countries'!C:E,3,FALSE),IF(CS94="polity_common_name",VLOOKUP(L94,'Internal -- Trademark Countries'!D:E,2,FALSE),IF(CS94="shortest_name",L94)))))))</f>
        <v/>
      </c>
      <c r="CS94" s="73" t="str">
        <f>IF(L94="","",IF(COUNTIF('Internal -- Trademark Countries'!A:A,L94)&gt;0,"full_name",IF(COUNTIF('Internal -- Trademark Countries'!B:B,L94)&gt;0,"polity_shortest_name",IF(COUNTIF('Internal -- Trademark Countries'!C:C,L94)&gt;0,"polity_full_name",IF(COUNTIF('Internal -- Trademark Countries'!D:D,L94)&gt;0,"polity_common_name",IF(COUNTIF('Internal -- Trademark Countries'!E:E,L94)&gt;0,"shortest_name","not a match"))))))</f>
        <v/>
      </c>
      <c r="CT94" s="73"/>
      <c r="CU94" s="73"/>
      <c r="CV94" s="73"/>
      <c r="CW94" s="73"/>
      <c r="CX94" s="74"/>
    </row>
    <row r="95" spans="3:102" ht="15.75" customHeight="1">
      <c r="C95" s="65"/>
      <c r="K95" s="66"/>
      <c r="L95" s="67"/>
      <c r="Y95" s="68"/>
      <c r="AA95" s="68"/>
      <c r="AB95" s="69"/>
      <c r="AC95" s="68"/>
      <c r="AD95" s="68"/>
      <c r="AE95" s="68"/>
      <c r="AF95" s="69"/>
      <c r="AG95" s="68"/>
      <c r="AH95" s="68"/>
      <c r="AI95" s="68"/>
      <c r="AJ95" s="69"/>
      <c r="AK95" s="69"/>
      <c r="AL95" s="69"/>
      <c r="AM95" s="69"/>
      <c r="AN95" s="69"/>
      <c r="AO95" s="69"/>
      <c r="AP95" s="69"/>
      <c r="AQ95" s="69"/>
      <c r="AR95" s="69"/>
      <c r="AS95" s="69"/>
      <c r="AT95" s="69"/>
      <c r="AU95" s="69"/>
      <c r="AV95" s="69"/>
      <c r="AW95" s="69"/>
      <c r="AX95" s="69"/>
      <c r="AY95" s="69"/>
      <c r="AZ95" s="69"/>
      <c r="BA95" s="69"/>
      <c r="BB95" s="69"/>
      <c r="BE95" s="70"/>
      <c r="BF95" s="71"/>
      <c r="BH95" s="69"/>
      <c r="BI95" s="69"/>
      <c r="BJ95" s="69"/>
      <c r="BK95" s="69"/>
      <c r="BO95" s="72"/>
      <c r="BP95" s="72"/>
      <c r="BT95" s="72"/>
      <c r="BU95" s="72"/>
      <c r="BX95" s="72"/>
      <c r="BY95" s="72"/>
      <c r="CA95" s="72"/>
      <c r="CI95" s="72"/>
      <c r="CJ95" s="72"/>
      <c r="CL95" s="72"/>
      <c r="CR95" s="73" t="str">
        <f>IF(L95="","",IF(CS95="not a match","",IF(CS95="full_name",VLOOKUP(L95,'Internal -- Trademark Countries'!A:E,5,FALSE),IF(CS95="polity_shortest_name",VLOOKUP(L95,'Internal -- Trademark Countries'!B:E,4,FALSE),IF(CS95="polity_full_name",VLOOKUP(L95,'Internal -- Trademark Countries'!C:E,3,FALSE),IF(CS95="polity_common_name",VLOOKUP(L95,'Internal -- Trademark Countries'!D:E,2,FALSE),IF(CS95="shortest_name",L95)))))))</f>
        <v/>
      </c>
      <c r="CS95" s="73" t="str">
        <f>IF(L95="","",IF(COUNTIF('Internal -- Trademark Countries'!A:A,L95)&gt;0,"full_name",IF(COUNTIF('Internal -- Trademark Countries'!B:B,L95)&gt;0,"polity_shortest_name",IF(COUNTIF('Internal -- Trademark Countries'!C:C,L95)&gt;0,"polity_full_name",IF(COUNTIF('Internal -- Trademark Countries'!D:D,L95)&gt;0,"polity_common_name",IF(COUNTIF('Internal -- Trademark Countries'!E:E,L95)&gt;0,"shortest_name","not a match"))))))</f>
        <v/>
      </c>
      <c r="CT95" s="73"/>
      <c r="CU95" s="73"/>
      <c r="CV95" s="73"/>
      <c r="CW95" s="73"/>
      <c r="CX95" s="74"/>
    </row>
    <row r="96" spans="3:102" ht="15.75" customHeight="1">
      <c r="C96" s="65"/>
      <c r="K96" s="66"/>
      <c r="L96" s="67"/>
      <c r="Y96" s="68"/>
      <c r="AA96" s="68"/>
      <c r="AB96" s="69"/>
      <c r="AC96" s="68"/>
      <c r="AD96" s="68"/>
      <c r="AE96" s="68"/>
      <c r="AF96" s="69"/>
      <c r="AG96" s="68"/>
      <c r="AH96" s="68"/>
      <c r="AI96" s="68"/>
      <c r="AJ96" s="69"/>
      <c r="AK96" s="69"/>
      <c r="AL96" s="69"/>
      <c r="AM96" s="69"/>
      <c r="AN96" s="69"/>
      <c r="AO96" s="69"/>
      <c r="AP96" s="69"/>
      <c r="AQ96" s="69"/>
      <c r="AR96" s="69"/>
      <c r="AS96" s="69"/>
      <c r="AT96" s="69"/>
      <c r="AU96" s="69"/>
      <c r="AV96" s="69"/>
      <c r="AW96" s="69"/>
      <c r="AX96" s="69"/>
      <c r="AY96" s="69"/>
      <c r="AZ96" s="69"/>
      <c r="BA96" s="69"/>
      <c r="BB96" s="69"/>
      <c r="BE96" s="70"/>
      <c r="BF96" s="71"/>
      <c r="BH96" s="69"/>
      <c r="BI96" s="69"/>
      <c r="BJ96" s="69"/>
      <c r="BK96" s="69"/>
      <c r="BO96" s="72"/>
      <c r="BP96" s="72"/>
      <c r="BT96" s="72"/>
      <c r="BU96" s="72"/>
      <c r="BX96" s="72"/>
      <c r="BY96" s="72"/>
      <c r="CA96" s="72"/>
      <c r="CI96" s="72"/>
      <c r="CJ96" s="72"/>
      <c r="CL96" s="72"/>
      <c r="CR96" s="73" t="str">
        <f>IF(L96="","",IF(CS96="not a match","",IF(CS96="full_name",VLOOKUP(L96,'Internal -- Trademark Countries'!A:E,5,FALSE),IF(CS96="polity_shortest_name",VLOOKUP(L96,'Internal -- Trademark Countries'!B:E,4,FALSE),IF(CS96="polity_full_name",VLOOKUP(L96,'Internal -- Trademark Countries'!C:E,3,FALSE),IF(CS96="polity_common_name",VLOOKUP(L96,'Internal -- Trademark Countries'!D:E,2,FALSE),IF(CS96="shortest_name",L96)))))))</f>
        <v/>
      </c>
      <c r="CS96" s="73" t="str">
        <f>IF(L96="","",IF(COUNTIF('Internal -- Trademark Countries'!A:A,L96)&gt;0,"full_name",IF(COUNTIF('Internal -- Trademark Countries'!B:B,L96)&gt;0,"polity_shortest_name",IF(COUNTIF('Internal -- Trademark Countries'!C:C,L96)&gt;0,"polity_full_name",IF(COUNTIF('Internal -- Trademark Countries'!D:D,L96)&gt;0,"polity_common_name",IF(COUNTIF('Internal -- Trademark Countries'!E:E,L96)&gt;0,"shortest_name","not a match"))))))</f>
        <v/>
      </c>
      <c r="CT96" s="73"/>
      <c r="CU96" s="73"/>
      <c r="CV96" s="73"/>
      <c r="CW96" s="73"/>
      <c r="CX96" s="74"/>
    </row>
    <row r="97" spans="3:102" ht="15.75" customHeight="1">
      <c r="C97" s="65"/>
      <c r="K97" s="66"/>
      <c r="L97" s="67"/>
      <c r="Y97" s="68"/>
      <c r="AA97" s="68"/>
      <c r="AB97" s="69"/>
      <c r="AC97" s="68"/>
      <c r="AD97" s="68"/>
      <c r="AE97" s="68"/>
      <c r="AF97" s="69"/>
      <c r="AG97" s="68"/>
      <c r="AH97" s="68"/>
      <c r="AI97" s="68"/>
      <c r="AJ97" s="69"/>
      <c r="AK97" s="69"/>
      <c r="AL97" s="69"/>
      <c r="AM97" s="69"/>
      <c r="AN97" s="69"/>
      <c r="AO97" s="69"/>
      <c r="AP97" s="69"/>
      <c r="AQ97" s="69"/>
      <c r="AR97" s="69"/>
      <c r="AS97" s="69"/>
      <c r="AT97" s="69"/>
      <c r="AU97" s="69"/>
      <c r="AV97" s="69"/>
      <c r="AW97" s="69"/>
      <c r="AX97" s="69"/>
      <c r="AY97" s="69"/>
      <c r="AZ97" s="69"/>
      <c r="BA97" s="69"/>
      <c r="BB97" s="69"/>
      <c r="BE97" s="70"/>
      <c r="BF97" s="71"/>
      <c r="BH97" s="69"/>
      <c r="BI97" s="69"/>
      <c r="BJ97" s="69"/>
      <c r="BK97" s="69"/>
      <c r="BO97" s="72"/>
      <c r="BP97" s="72"/>
      <c r="BT97" s="72"/>
      <c r="BU97" s="72"/>
      <c r="BX97" s="72"/>
      <c r="BY97" s="72"/>
      <c r="CA97" s="72"/>
      <c r="CI97" s="72"/>
      <c r="CJ97" s="72"/>
      <c r="CL97" s="72"/>
      <c r="CR97" s="73" t="str">
        <f>IF(L97="","",IF(CS97="not a match","",IF(CS97="full_name",VLOOKUP(L97,'Internal -- Trademark Countries'!A:E,5,FALSE),IF(CS97="polity_shortest_name",VLOOKUP(L97,'Internal -- Trademark Countries'!B:E,4,FALSE),IF(CS97="polity_full_name",VLOOKUP(L97,'Internal -- Trademark Countries'!C:E,3,FALSE),IF(CS97="polity_common_name",VLOOKUP(L97,'Internal -- Trademark Countries'!D:E,2,FALSE),IF(CS97="shortest_name",L97)))))))</f>
        <v/>
      </c>
      <c r="CS97" s="73" t="str">
        <f>IF(L97="","",IF(COUNTIF('Internal -- Trademark Countries'!A:A,L97)&gt;0,"full_name",IF(COUNTIF('Internal -- Trademark Countries'!B:B,L97)&gt;0,"polity_shortest_name",IF(COUNTIF('Internal -- Trademark Countries'!C:C,L97)&gt;0,"polity_full_name",IF(COUNTIF('Internal -- Trademark Countries'!D:D,L97)&gt;0,"polity_common_name",IF(COUNTIF('Internal -- Trademark Countries'!E:E,L97)&gt;0,"shortest_name","not a match"))))))</f>
        <v/>
      </c>
      <c r="CT97" s="73"/>
      <c r="CU97" s="73"/>
      <c r="CV97" s="73"/>
      <c r="CW97" s="73"/>
      <c r="CX97" s="74"/>
    </row>
    <row r="98" spans="3:102" ht="15.75" customHeight="1">
      <c r="C98" s="65"/>
      <c r="K98" s="66"/>
      <c r="L98" s="67"/>
      <c r="Y98" s="68"/>
      <c r="AA98" s="68"/>
      <c r="AB98" s="69"/>
      <c r="AC98" s="68"/>
      <c r="AD98" s="68"/>
      <c r="AE98" s="68"/>
      <c r="AF98" s="69"/>
      <c r="AG98" s="68"/>
      <c r="AH98" s="68"/>
      <c r="AI98" s="68"/>
      <c r="AJ98" s="69"/>
      <c r="AK98" s="69"/>
      <c r="AL98" s="69"/>
      <c r="AM98" s="69"/>
      <c r="AN98" s="69"/>
      <c r="AO98" s="69"/>
      <c r="AP98" s="69"/>
      <c r="AQ98" s="69"/>
      <c r="AR98" s="69"/>
      <c r="AS98" s="69"/>
      <c r="AT98" s="69"/>
      <c r="AU98" s="69"/>
      <c r="AV98" s="69"/>
      <c r="AW98" s="69"/>
      <c r="AX98" s="69"/>
      <c r="AY98" s="69"/>
      <c r="AZ98" s="69"/>
      <c r="BA98" s="69"/>
      <c r="BB98" s="69"/>
      <c r="BE98" s="70"/>
      <c r="BF98" s="71"/>
      <c r="BH98" s="69"/>
      <c r="BI98" s="69"/>
      <c r="BJ98" s="69"/>
      <c r="BK98" s="69"/>
      <c r="BO98" s="72"/>
      <c r="BP98" s="72"/>
      <c r="BT98" s="72"/>
      <c r="BU98" s="72"/>
      <c r="BX98" s="72"/>
      <c r="BY98" s="72"/>
      <c r="CA98" s="72"/>
      <c r="CI98" s="72"/>
      <c r="CJ98" s="72"/>
      <c r="CL98" s="72"/>
      <c r="CR98" s="73" t="str">
        <f>IF(L98="","",IF(CS98="not a match","",IF(CS98="full_name",VLOOKUP(L98,'Internal -- Trademark Countries'!A:E,5,FALSE),IF(CS98="polity_shortest_name",VLOOKUP(L98,'Internal -- Trademark Countries'!B:E,4,FALSE),IF(CS98="polity_full_name",VLOOKUP(L98,'Internal -- Trademark Countries'!C:E,3,FALSE),IF(CS98="polity_common_name",VLOOKUP(L98,'Internal -- Trademark Countries'!D:E,2,FALSE),IF(CS98="shortest_name",L98)))))))</f>
        <v/>
      </c>
      <c r="CS98" s="73" t="str">
        <f>IF(L98="","",IF(COUNTIF('Internal -- Trademark Countries'!A:A,L98)&gt;0,"full_name",IF(COUNTIF('Internal -- Trademark Countries'!B:B,L98)&gt;0,"polity_shortest_name",IF(COUNTIF('Internal -- Trademark Countries'!C:C,L98)&gt;0,"polity_full_name",IF(COUNTIF('Internal -- Trademark Countries'!D:D,L98)&gt;0,"polity_common_name",IF(COUNTIF('Internal -- Trademark Countries'!E:E,L98)&gt;0,"shortest_name","not a match"))))))</f>
        <v/>
      </c>
      <c r="CT98" s="73"/>
      <c r="CU98" s="73"/>
      <c r="CV98" s="73"/>
      <c r="CW98" s="73"/>
      <c r="CX98" s="74"/>
    </row>
    <row r="99" spans="3:102" ht="15.75" customHeight="1">
      <c r="C99" s="65"/>
      <c r="K99" s="66"/>
      <c r="L99" s="67"/>
      <c r="Y99" s="68"/>
      <c r="AA99" s="68"/>
      <c r="AB99" s="69"/>
      <c r="AC99" s="68"/>
      <c r="AD99" s="68"/>
      <c r="AE99" s="68"/>
      <c r="AF99" s="69"/>
      <c r="AG99" s="68"/>
      <c r="AH99" s="68"/>
      <c r="AI99" s="68"/>
      <c r="AJ99" s="69"/>
      <c r="AK99" s="69"/>
      <c r="AL99" s="69"/>
      <c r="AM99" s="69"/>
      <c r="AN99" s="69"/>
      <c r="AO99" s="69"/>
      <c r="AP99" s="69"/>
      <c r="AQ99" s="69"/>
      <c r="AR99" s="69"/>
      <c r="AS99" s="69"/>
      <c r="AT99" s="69"/>
      <c r="AU99" s="69"/>
      <c r="AV99" s="69"/>
      <c r="AW99" s="69"/>
      <c r="AX99" s="69"/>
      <c r="AY99" s="69"/>
      <c r="AZ99" s="69"/>
      <c r="BA99" s="69"/>
      <c r="BB99" s="69"/>
      <c r="BE99" s="70"/>
      <c r="BF99" s="71"/>
      <c r="BH99" s="69"/>
      <c r="BI99" s="69"/>
      <c r="BJ99" s="69"/>
      <c r="BK99" s="69"/>
      <c r="BO99" s="72"/>
      <c r="BP99" s="72"/>
      <c r="BT99" s="72"/>
      <c r="BU99" s="72"/>
      <c r="BX99" s="72"/>
      <c r="BY99" s="72"/>
      <c r="CA99" s="72"/>
      <c r="CI99" s="72"/>
      <c r="CJ99" s="72"/>
      <c r="CL99" s="72"/>
      <c r="CR99" s="73" t="str">
        <f>IF(L99="","",IF(CS99="not a match","",IF(CS99="full_name",VLOOKUP(L99,'Internal -- Trademark Countries'!A:E,5,FALSE),IF(CS99="polity_shortest_name",VLOOKUP(L99,'Internal -- Trademark Countries'!B:E,4,FALSE),IF(CS99="polity_full_name",VLOOKUP(L99,'Internal -- Trademark Countries'!C:E,3,FALSE),IF(CS99="polity_common_name",VLOOKUP(L99,'Internal -- Trademark Countries'!D:E,2,FALSE),IF(CS99="shortest_name",L99)))))))</f>
        <v/>
      </c>
      <c r="CS99" s="73" t="str">
        <f>IF(L99="","",IF(COUNTIF('Internal -- Trademark Countries'!A:A,L99)&gt;0,"full_name",IF(COUNTIF('Internal -- Trademark Countries'!B:B,L99)&gt;0,"polity_shortest_name",IF(COUNTIF('Internal -- Trademark Countries'!C:C,L99)&gt;0,"polity_full_name",IF(COUNTIF('Internal -- Trademark Countries'!D:D,L99)&gt;0,"polity_common_name",IF(COUNTIF('Internal -- Trademark Countries'!E:E,L99)&gt;0,"shortest_name","not a match"))))))</f>
        <v/>
      </c>
      <c r="CT99" s="73"/>
      <c r="CU99" s="73"/>
      <c r="CV99" s="73"/>
      <c r="CW99" s="73"/>
      <c r="CX99" s="74"/>
    </row>
    <row r="100" spans="3:102" ht="15.75" customHeight="1">
      <c r="C100" s="65"/>
      <c r="K100" s="66"/>
      <c r="L100" s="67"/>
      <c r="Y100" s="68"/>
      <c r="AA100" s="68"/>
      <c r="AB100" s="69"/>
      <c r="AC100" s="68"/>
      <c r="AD100" s="68"/>
      <c r="AE100" s="68"/>
      <c r="AF100" s="69"/>
      <c r="AG100" s="68"/>
      <c r="AH100" s="68"/>
      <c r="AI100" s="68"/>
      <c r="AJ100" s="69"/>
      <c r="AK100" s="69"/>
      <c r="AL100" s="69"/>
      <c r="AM100" s="69"/>
      <c r="AN100" s="69"/>
      <c r="AO100" s="69"/>
      <c r="AP100" s="69"/>
      <c r="AQ100" s="69"/>
      <c r="AR100" s="69"/>
      <c r="AS100" s="69"/>
      <c r="AT100" s="69"/>
      <c r="AU100" s="69"/>
      <c r="AV100" s="69"/>
      <c r="AW100" s="69"/>
      <c r="AX100" s="69"/>
      <c r="AY100" s="69"/>
      <c r="AZ100" s="69"/>
      <c r="BA100" s="69"/>
      <c r="BB100" s="69"/>
      <c r="BE100" s="70"/>
      <c r="BF100" s="71"/>
      <c r="BH100" s="69"/>
      <c r="BI100" s="69"/>
      <c r="BJ100" s="69"/>
      <c r="BK100" s="69"/>
      <c r="BO100" s="72"/>
      <c r="BP100" s="72"/>
      <c r="BT100" s="72"/>
      <c r="BU100" s="72"/>
      <c r="BX100" s="72"/>
      <c r="BY100" s="72"/>
      <c r="CA100" s="72"/>
      <c r="CI100" s="72"/>
      <c r="CJ100" s="72"/>
      <c r="CL100" s="72"/>
      <c r="CR100" s="73" t="str">
        <f>IF(L100="","",IF(CS100="not a match","",IF(CS100="full_name",VLOOKUP(L100,'Internal -- Trademark Countries'!A:E,5,FALSE),IF(CS100="polity_shortest_name",VLOOKUP(L100,'Internal -- Trademark Countries'!B:E,4,FALSE),IF(CS100="polity_full_name",VLOOKUP(L100,'Internal -- Trademark Countries'!C:E,3,FALSE),IF(CS100="polity_common_name",VLOOKUP(L100,'Internal -- Trademark Countries'!D:E,2,FALSE),IF(CS100="shortest_name",L100)))))))</f>
        <v/>
      </c>
      <c r="CS100" s="73" t="str">
        <f>IF(L100="","",IF(COUNTIF('Internal -- Trademark Countries'!A:A,L100)&gt;0,"full_name",IF(COUNTIF('Internal -- Trademark Countries'!B:B,L100)&gt;0,"polity_shortest_name",IF(COUNTIF('Internal -- Trademark Countries'!C:C,L100)&gt;0,"polity_full_name",IF(COUNTIF('Internal -- Trademark Countries'!D:D,L100)&gt;0,"polity_common_name",IF(COUNTIF('Internal -- Trademark Countries'!E:E,L100)&gt;0,"shortest_name","not a match"))))))</f>
        <v/>
      </c>
      <c r="CT100" s="73"/>
      <c r="CU100" s="73"/>
      <c r="CV100" s="73"/>
      <c r="CW100" s="73"/>
      <c r="CX100" s="74"/>
    </row>
  </sheetData>
  <autoFilter ref="A1:CX100" xr:uid="{00000000-0009-0000-0000-000009000000}"/>
  <conditionalFormatting sqref="K1:K100">
    <cfRule type="cellIs" dxfId="6" priority="2" operator="equal">
      <formula>"TRUE"</formula>
    </cfRule>
    <cfRule type="cellIs" dxfId="5" priority="3" operator="equal">
      <formula>"FALSE"</formula>
    </cfRule>
  </conditionalFormatting>
  <conditionalFormatting sqref="BX2:BY100 CI2:CJ100">
    <cfRule type="notContainsBlanks" dxfId="4" priority="1">
      <formula>LEN(TRIM(BX2))&gt;0</formula>
    </cfRule>
  </conditionalFormatting>
  <dataValidations count="3">
    <dataValidation type="list" allowBlank="1" showInputMessage="1" prompt="Select" sqref="BO2:BO100 BT2:BT100" xr:uid="{00000000-0002-0000-0900-000000000000}">
      <formula1>"read_only,collaborator,responsible_party"</formula1>
    </dataValidation>
    <dataValidation type="list" allowBlank="1" showInputMessage="1" prompt="Click and enter a value from the list of items" sqref="CA2:CA100 CL2:CL100" xr:uid="{00000000-0002-0000-0900-000001000000}">
      <formula1>"read_only,no_access"</formula1>
    </dataValidation>
    <dataValidation type="list" allowBlank="1" sqref="K2:K100 BP2:BP100 BU2:BU100 BX2:BY100 CI2:CJ100" xr:uid="{00000000-0002-0000-0900-000002000000}">
      <formula1>"TRUE,FALSE"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S100"/>
  <sheetViews>
    <sheetView workbookViewId="0"/>
  </sheetViews>
  <sheetFormatPr defaultColWidth="14.42578125" defaultRowHeight="15.75" customHeight="1" outlineLevelCol="1"/>
  <cols>
    <col min="1" max="1" width="27.140625" customWidth="1" outlineLevel="1"/>
    <col min="6" max="6" width="17.7109375" customWidth="1"/>
    <col min="10" max="10" width="19.85546875" customWidth="1"/>
    <col min="11" max="11" width="37.85546875" customWidth="1"/>
    <col min="13" max="13" width="18.85546875" customWidth="1"/>
    <col min="19" max="19" width="17.85546875" customWidth="1"/>
    <col min="22" max="22" width="50.28515625" customWidth="1"/>
    <col min="41" max="43" width="16.85546875" customWidth="1"/>
    <col min="45" max="45" width="16.85546875" customWidth="1"/>
    <col min="50" max="50" width="18.42578125" customWidth="1"/>
    <col min="51" max="51" width="16.85546875" customWidth="1"/>
    <col min="52" max="52" width="17.42578125" customWidth="1"/>
    <col min="53" max="54" width="18.5703125" customWidth="1"/>
    <col min="55" max="57" width="20.5703125" customWidth="1"/>
    <col min="58" max="58" width="16.140625" customWidth="1"/>
    <col min="59" max="59" width="16.28515625" customWidth="1"/>
    <col min="60" max="60" width="23.85546875" customWidth="1"/>
    <col min="61" max="61" width="20.5703125" customWidth="1"/>
    <col min="62" max="62" width="28.85546875" customWidth="1"/>
    <col min="63" max="64" width="20.5703125" customWidth="1"/>
  </cols>
  <sheetData>
    <row r="1" spans="1:71" ht="49.5">
      <c r="A1" s="75" t="s">
        <v>184</v>
      </c>
      <c r="B1" s="75" t="s">
        <v>227</v>
      </c>
      <c r="C1" s="75" t="s">
        <v>40</v>
      </c>
      <c r="D1" s="75" t="s">
        <v>41</v>
      </c>
      <c r="E1" s="75" t="s">
        <v>152</v>
      </c>
      <c r="F1" s="75" t="s">
        <v>153</v>
      </c>
      <c r="G1" s="75" t="s">
        <v>195</v>
      </c>
      <c r="H1" s="75" t="s">
        <v>156</v>
      </c>
      <c r="I1" s="76" t="s">
        <v>228</v>
      </c>
      <c r="J1" s="77" t="s">
        <v>52</v>
      </c>
      <c r="K1" s="75" t="s">
        <v>229</v>
      </c>
      <c r="L1" s="75" t="s">
        <v>198</v>
      </c>
      <c r="M1" s="78" t="s">
        <v>174</v>
      </c>
      <c r="N1" s="75" t="s">
        <v>230</v>
      </c>
      <c r="O1" s="75" t="s">
        <v>231</v>
      </c>
      <c r="P1" s="75" t="s">
        <v>232</v>
      </c>
      <c r="Q1" s="75" t="s">
        <v>233</v>
      </c>
      <c r="R1" s="75" t="s">
        <v>49</v>
      </c>
      <c r="S1" s="75" t="s">
        <v>50</v>
      </c>
      <c r="T1" s="79" t="s">
        <v>48</v>
      </c>
      <c r="U1" s="80" t="s">
        <v>55</v>
      </c>
      <c r="V1" s="81" t="s">
        <v>56</v>
      </c>
      <c r="W1" s="80" t="s">
        <v>57</v>
      </c>
      <c r="X1" s="81" t="s">
        <v>58</v>
      </c>
      <c r="Y1" s="81" t="s">
        <v>59</v>
      </c>
      <c r="Z1" s="81" t="s">
        <v>60</v>
      </c>
      <c r="AA1" s="80" t="s">
        <v>61</v>
      </c>
      <c r="AB1" s="81" t="s">
        <v>62</v>
      </c>
      <c r="AC1" s="81" t="s">
        <v>63</v>
      </c>
      <c r="AD1" s="81" t="s">
        <v>64</v>
      </c>
      <c r="AE1" s="81" t="s">
        <v>65</v>
      </c>
      <c r="AF1" s="81" t="s">
        <v>66</v>
      </c>
      <c r="AG1" s="81" t="s">
        <v>67</v>
      </c>
      <c r="AH1" s="81" t="s">
        <v>68</v>
      </c>
      <c r="AI1" s="81" t="s">
        <v>69</v>
      </c>
      <c r="AJ1" s="81" t="s">
        <v>70</v>
      </c>
      <c r="AK1" s="81" t="s">
        <v>71</v>
      </c>
      <c r="AL1" s="81" t="s">
        <v>72</v>
      </c>
      <c r="AM1" s="81" t="s">
        <v>73</v>
      </c>
      <c r="AN1" s="81" t="s">
        <v>74</v>
      </c>
      <c r="AO1" s="76" t="s">
        <v>96</v>
      </c>
      <c r="AP1" s="76" t="s">
        <v>97</v>
      </c>
      <c r="AQ1" s="76" t="s">
        <v>95</v>
      </c>
      <c r="AR1" s="82" t="s">
        <v>101</v>
      </c>
      <c r="AS1" s="82" t="s">
        <v>102</v>
      </c>
      <c r="AT1" s="83" t="s">
        <v>103</v>
      </c>
      <c r="AU1" s="83" t="s">
        <v>104</v>
      </c>
      <c r="AV1" s="82" t="s">
        <v>105</v>
      </c>
      <c r="AW1" s="83" t="s">
        <v>106</v>
      </c>
      <c r="AX1" s="76" t="s">
        <v>107</v>
      </c>
      <c r="AY1" s="76" t="s">
        <v>108</v>
      </c>
      <c r="AZ1" s="76" t="s">
        <v>109</v>
      </c>
      <c r="BA1" s="76" t="s">
        <v>110</v>
      </c>
      <c r="BB1" s="76" t="s">
        <v>111</v>
      </c>
      <c r="BC1" s="75" t="s">
        <v>123</v>
      </c>
      <c r="BD1" s="75" t="s">
        <v>124</v>
      </c>
      <c r="BE1" s="79" t="s">
        <v>125</v>
      </c>
      <c r="BF1" s="84" t="s">
        <v>126</v>
      </c>
      <c r="BG1" s="84" t="s">
        <v>127</v>
      </c>
      <c r="BH1" s="76" t="s">
        <v>128</v>
      </c>
      <c r="BI1" s="76" t="s">
        <v>129</v>
      </c>
      <c r="BJ1" s="76" t="s">
        <v>130</v>
      </c>
      <c r="BK1" s="85" t="s">
        <v>131</v>
      </c>
      <c r="BL1" s="85" t="s">
        <v>132</v>
      </c>
      <c r="BM1" s="86" t="s">
        <v>180</v>
      </c>
      <c r="BN1" s="87" t="s">
        <v>181</v>
      </c>
      <c r="BO1" s="87" t="s">
        <v>143</v>
      </c>
      <c r="BP1" s="87" t="s">
        <v>144</v>
      </c>
      <c r="BQ1" s="87" t="s">
        <v>145</v>
      </c>
      <c r="BR1" s="88" t="s">
        <v>146</v>
      </c>
      <c r="BS1" s="86" t="s">
        <v>147</v>
      </c>
    </row>
    <row r="2" spans="1:71" ht="16.5">
      <c r="A2" s="69"/>
      <c r="B2" s="68"/>
      <c r="C2" s="68"/>
      <c r="D2" s="68"/>
      <c r="F2" s="68"/>
      <c r="J2" s="89"/>
      <c r="K2" s="69"/>
      <c r="L2" s="68"/>
      <c r="M2" s="72"/>
      <c r="O2" s="68"/>
      <c r="P2" s="68"/>
      <c r="Q2" s="68"/>
      <c r="R2" s="68"/>
      <c r="S2" s="69"/>
      <c r="T2" s="90"/>
      <c r="U2" s="90"/>
      <c r="V2" s="90"/>
      <c r="W2" s="90"/>
      <c r="X2" s="91"/>
      <c r="Y2" s="91"/>
      <c r="Z2" s="91"/>
      <c r="AA2" s="91"/>
      <c r="AB2" s="91"/>
      <c r="AC2" s="91"/>
      <c r="AD2" s="91"/>
      <c r="AE2" s="91"/>
      <c r="AF2" s="91"/>
      <c r="AG2" s="91"/>
      <c r="AH2" s="91"/>
      <c r="AI2" s="91"/>
      <c r="AJ2" s="91"/>
      <c r="AK2" s="91"/>
      <c r="AL2" s="91"/>
      <c r="AM2" s="91"/>
      <c r="AN2" s="91"/>
      <c r="AR2" s="92"/>
      <c r="AS2" s="92"/>
      <c r="AT2" s="93" t="str">
        <f t="shared" ref="AT2:AT100" si="0">IF(AR2&lt;&gt;"","TRUE","")</f>
        <v/>
      </c>
      <c r="AU2" s="93"/>
      <c r="AV2" s="92"/>
      <c r="AW2" s="93" t="str">
        <f t="shared" ref="AW2:AW100" si="1">IF(AR2&lt;&gt;"","no_access","")</f>
        <v/>
      </c>
      <c r="BE2" s="69"/>
      <c r="BF2" s="72"/>
      <c r="BG2" s="72"/>
      <c r="BH2" s="91"/>
      <c r="BI2" s="91"/>
      <c r="BJ2" s="91"/>
      <c r="BK2" s="94"/>
      <c r="BL2" s="94"/>
      <c r="BM2" s="95" t="str">
        <f>IF(M2="","",IF(BN2="not a match","",IF(BN2="IP Office Full Name",VLOOKUP(M2,'Internal -- Copyright Countries'!A:E,5,FALSE),IF(BN2="Polity Shortest Name",VLOOKUP(M2,'Internal -- Copyright Countries'!B:E,4,FALSE),IF(BN2="Polity Full Name",VLOOKUP(M2,'Internal -- Copyright Countries'!C:E,3,FALSE),IF(BN2="Polity Common Name",VLOOKUP(M2,'Internal -- Copyright Countries'!D:E,2,FALSE),IF(BN2="IP Office Shortest Name",M2)))))))</f>
        <v/>
      </c>
      <c r="BN2" s="73" t="str">
        <f>IF(COUNTIF('Internal -- Copyright Countries'!A:A,M2)&gt;0,"IP Office Full Name",IF(COUNTIF('Internal -- Copyright Countries'!B:B,M2)&gt;0,"Polity Shortest Name",IF(COUNTIF('Internal -- Copyright Countries'!C:C,M2)&gt;0,"Polity Full Name",IF(COUNTIF('Internal -- Copyright Countries'!D:D,M2)&gt;0,"Polity Common Name",IF(COUNTIF('Internal -- Copyright Countries'!E:E,M2)&gt;0,"IP Office Shortest Name","Not a match")))))</f>
        <v>Not a match</v>
      </c>
      <c r="BO2" s="73"/>
      <c r="BP2" s="73"/>
      <c r="BQ2" s="73"/>
      <c r="BR2" s="73"/>
      <c r="BS2" s="74" t="str">
        <f t="shared" ref="BS2:BS100" si="2">IF(C2&lt;&gt;"",IF(COUNTIF($C$2:$BS100,$C$2:$C100)&gt;1,"Not Unique","Unique"),"")</f>
        <v/>
      </c>
    </row>
    <row r="3" spans="1:71" ht="16.5">
      <c r="A3" s="69"/>
      <c r="B3" s="68"/>
      <c r="C3" s="68"/>
      <c r="D3" s="68"/>
      <c r="F3" s="68"/>
      <c r="J3" s="89"/>
      <c r="K3" s="69"/>
      <c r="L3" s="68"/>
      <c r="M3" s="96"/>
      <c r="O3" s="68"/>
      <c r="P3" s="68"/>
      <c r="Q3" s="68"/>
      <c r="R3" s="68"/>
      <c r="S3" s="69"/>
      <c r="T3" s="69"/>
      <c r="U3" s="69"/>
      <c r="V3" s="69"/>
      <c r="W3" s="69"/>
      <c r="AR3" s="68"/>
      <c r="AT3" s="93" t="str">
        <f t="shared" si="0"/>
        <v/>
      </c>
      <c r="AU3" s="93"/>
      <c r="AV3" s="68"/>
      <c r="AW3" s="93" t="str">
        <f t="shared" si="1"/>
        <v/>
      </c>
      <c r="BE3" s="69"/>
      <c r="BF3" s="72"/>
      <c r="BG3" s="72"/>
      <c r="BK3" s="72"/>
      <c r="BL3" s="72"/>
      <c r="BM3" s="95" t="str">
        <f>IF(M3="","",IF(BN3="not a match","",IF(BN3="IP Office Full Name",VLOOKUP(M3,'Internal -- Copyright Countries'!A:E,5,FALSE),IF(BN3="Polity Shortest Name",VLOOKUP(M3,'Internal -- Copyright Countries'!B:E,4,FALSE),IF(BN3="Polity Full Name",VLOOKUP(M3,'Internal -- Copyright Countries'!C:E,3,FALSE),IF(BN3="Polity Common Name",VLOOKUP(M3,'Internal -- Copyright Countries'!D:E,2,FALSE),IF(BN3="IP Office Shortest Name",M3)))))))</f>
        <v/>
      </c>
      <c r="BN3" s="73" t="str">
        <f>IF(COUNTIF('Internal -- Copyright Countries'!A:A,M3)&gt;0,"IP Office Full Name",IF(COUNTIF('Internal -- Copyright Countries'!B:B,M3)&gt;0,"Polity Shortest Name",IF(COUNTIF('Internal -- Copyright Countries'!C:C,M3)&gt;0,"Polity Full Name",IF(COUNTIF('Internal -- Copyright Countries'!D:D,M3)&gt;0,"Polity Common Name",IF(COUNTIF('Internal -- Copyright Countries'!E:E,M3)&gt;0,"IP Office Shortest Name","Not a match")))))</f>
        <v>Not a match</v>
      </c>
      <c r="BO3" s="73"/>
      <c r="BP3" s="73"/>
      <c r="BQ3" s="73"/>
      <c r="BR3" s="73"/>
      <c r="BS3" s="74" t="str">
        <f t="shared" si="2"/>
        <v/>
      </c>
    </row>
    <row r="4" spans="1:71" ht="16.5">
      <c r="A4" s="69"/>
      <c r="B4" s="68"/>
      <c r="C4" s="68"/>
      <c r="D4" s="68"/>
      <c r="F4" s="68"/>
      <c r="J4" s="89"/>
      <c r="K4" s="69"/>
      <c r="L4" s="68"/>
      <c r="M4" s="96"/>
      <c r="O4" s="68"/>
      <c r="P4" s="68"/>
      <c r="Q4" s="68"/>
      <c r="R4" s="68"/>
      <c r="S4" s="69"/>
      <c r="T4" s="69"/>
      <c r="U4" s="69"/>
      <c r="V4" s="69"/>
      <c r="W4" s="69"/>
      <c r="AR4" s="68"/>
      <c r="AT4" s="93" t="str">
        <f t="shared" si="0"/>
        <v/>
      </c>
      <c r="AU4" s="93"/>
      <c r="AV4" s="68"/>
      <c r="AW4" s="93" t="str">
        <f t="shared" si="1"/>
        <v/>
      </c>
      <c r="BE4" s="69"/>
      <c r="BF4" s="72"/>
      <c r="BG4" s="72"/>
      <c r="BK4" s="72"/>
      <c r="BL4" s="72"/>
      <c r="BM4" s="95" t="str">
        <f>IF(M4="","",IF(BN4="not a match","",IF(BN4="IP Office Full Name",VLOOKUP(M4,'Internal -- Copyright Countries'!A:E,5,FALSE),IF(BN4="Polity Shortest Name",VLOOKUP(M4,'Internal -- Copyright Countries'!B:E,4,FALSE),IF(BN4="Polity Full Name",VLOOKUP(M4,'Internal -- Copyright Countries'!C:E,3,FALSE),IF(BN4="Polity Common Name",VLOOKUP(M4,'Internal -- Copyright Countries'!D:E,2,FALSE),IF(BN4="IP Office Shortest Name",M4)))))))</f>
        <v/>
      </c>
      <c r="BN4" s="73" t="str">
        <f>IF(COUNTIF('Internal -- Copyright Countries'!A:A,M4)&gt;0,"IP Office Full Name",IF(COUNTIF('Internal -- Copyright Countries'!B:B,M4)&gt;0,"Polity Shortest Name",IF(COUNTIF('Internal -- Copyright Countries'!C:C,M4)&gt;0,"Polity Full Name",IF(COUNTIF('Internal -- Copyright Countries'!D:D,M4)&gt;0,"Polity Common Name",IF(COUNTIF('Internal -- Copyright Countries'!E:E,M4)&gt;0,"IP Office Shortest Name","Not a match")))))</f>
        <v>Not a match</v>
      </c>
      <c r="BO4" s="73"/>
      <c r="BP4" s="73"/>
      <c r="BQ4" s="73"/>
      <c r="BR4" s="73"/>
      <c r="BS4" s="74" t="str">
        <f t="shared" si="2"/>
        <v/>
      </c>
    </row>
    <row r="5" spans="1:71" ht="16.5">
      <c r="A5" s="69"/>
      <c r="B5" s="68"/>
      <c r="C5" s="68"/>
      <c r="D5" s="68"/>
      <c r="F5" s="68"/>
      <c r="J5" s="89"/>
      <c r="K5" s="69"/>
      <c r="L5" s="68"/>
      <c r="M5" s="96"/>
      <c r="O5" s="68"/>
      <c r="P5" s="68"/>
      <c r="Q5" s="68"/>
      <c r="R5" s="68"/>
      <c r="S5" s="69"/>
      <c r="T5" s="69"/>
      <c r="U5" s="69"/>
      <c r="V5" s="69"/>
      <c r="W5" s="69"/>
      <c r="AR5" s="68"/>
      <c r="AT5" s="93" t="str">
        <f t="shared" si="0"/>
        <v/>
      </c>
      <c r="AU5" s="93"/>
      <c r="AV5" s="68"/>
      <c r="AW5" s="93" t="str">
        <f t="shared" si="1"/>
        <v/>
      </c>
      <c r="BE5" s="69"/>
      <c r="BF5" s="72"/>
      <c r="BG5" s="72"/>
      <c r="BK5" s="72"/>
      <c r="BL5" s="72"/>
      <c r="BM5" s="95" t="str">
        <f>IF(M5="","",IF(BN5="not a match","",IF(BN5="IP Office Full Name",VLOOKUP(M5,'Internal -- Copyright Countries'!A:E,5,FALSE),IF(BN5="Polity Shortest Name",VLOOKUP(M5,'Internal -- Copyright Countries'!B:E,4,FALSE),IF(BN5="Polity Full Name",VLOOKUP(M5,'Internal -- Copyright Countries'!C:E,3,FALSE),IF(BN5="Polity Common Name",VLOOKUP(M5,'Internal -- Copyright Countries'!D:E,2,FALSE),IF(BN5="IP Office Shortest Name",M5)))))))</f>
        <v/>
      </c>
      <c r="BN5" s="73" t="str">
        <f>IF(COUNTIF('Internal -- Copyright Countries'!A:A,M5)&gt;0,"IP Office Full Name",IF(COUNTIF('Internal -- Copyright Countries'!B:B,M5)&gt;0,"Polity Shortest Name",IF(COUNTIF('Internal -- Copyright Countries'!C:C,M5)&gt;0,"Polity Full Name",IF(COUNTIF('Internal -- Copyright Countries'!D:D,M5)&gt;0,"Polity Common Name",IF(COUNTIF('Internal -- Copyright Countries'!E:E,M5)&gt;0,"IP Office Shortest Name","Not a match")))))</f>
        <v>Not a match</v>
      </c>
      <c r="BO5" s="73"/>
      <c r="BP5" s="73"/>
      <c r="BQ5" s="73"/>
      <c r="BR5" s="73"/>
      <c r="BS5" s="74" t="str">
        <f t="shared" si="2"/>
        <v/>
      </c>
    </row>
    <row r="6" spans="1:71" ht="16.5">
      <c r="A6" s="69"/>
      <c r="B6" s="68"/>
      <c r="C6" s="68"/>
      <c r="D6" s="68"/>
      <c r="F6" s="68"/>
      <c r="J6" s="89"/>
      <c r="K6" s="69"/>
      <c r="L6" s="68"/>
      <c r="M6" s="96"/>
      <c r="O6" s="68"/>
      <c r="P6" s="68"/>
      <c r="Q6" s="68"/>
      <c r="R6" s="68"/>
      <c r="S6" s="69"/>
      <c r="T6" s="69"/>
      <c r="U6" s="69"/>
      <c r="V6" s="69"/>
      <c r="W6" s="69"/>
      <c r="AR6" s="68"/>
      <c r="AT6" s="93" t="str">
        <f t="shared" si="0"/>
        <v/>
      </c>
      <c r="AU6" s="93"/>
      <c r="AV6" s="68"/>
      <c r="AW6" s="93" t="str">
        <f t="shared" si="1"/>
        <v/>
      </c>
      <c r="BE6" s="69"/>
      <c r="BF6" s="72"/>
      <c r="BG6" s="72"/>
      <c r="BK6" s="72"/>
      <c r="BL6" s="72"/>
      <c r="BM6" s="95" t="str">
        <f>IF(M6="","",IF(BN6="not a match","",IF(BN6="IP Office Full Name",VLOOKUP(M6,'Internal -- Copyright Countries'!A:E,5,FALSE),IF(BN6="Polity Shortest Name",VLOOKUP(M6,'Internal -- Copyright Countries'!B:E,4,FALSE),IF(BN6="Polity Full Name",VLOOKUP(M6,'Internal -- Copyright Countries'!C:E,3,FALSE),IF(BN6="Polity Common Name",VLOOKUP(M6,'Internal -- Copyright Countries'!D:E,2,FALSE),IF(BN6="IP Office Shortest Name",M6)))))))</f>
        <v/>
      </c>
      <c r="BN6" s="73" t="str">
        <f>IF(COUNTIF('Internal -- Copyright Countries'!A:A,M6)&gt;0,"IP Office Full Name",IF(COUNTIF('Internal -- Copyright Countries'!B:B,M6)&gt;0,"Polity Shortest Name",IF(COUNTIF('Internal -- Copyright Countries'!C:C,M6)&gt;0,"Polity Full Name",IF(COUNTIF('Internal -- Copyright Countries'!D:D,M6)&gt;0,"Polity Common Name",IF(COUNTIF('Internal -- Copyright Countries'!E:E,M6)&gt;0,"IP Office Shortest Name","Not a match")))))</f>
        <v>Not a match</v>
      </c>
      <c r="BO6" s="73"/>
      <c r="BP6" s="73"/>
      <c r="BQ6" s="73"/>
      <c r="BR6" s="73"/>
      <c r="BS6" s="74" t="str">
        <f t="shared" si="2"/>
        <v/>
      </c>
    </row>
    <row r="7" spans="1:71" ht="16.5">
      <c r="A7" s="69"/>
      <c r="B7" s="68"/>
      <c r="C7" s="68"/>
      <c r="D7" s="68"/>
      <c r="F7" s="68"/>
      <c r="J7" s="89"/>
      <c r="K7" s="69"/>
      <c r="L7" s="68"/>
      <c r="M7" s="96"/>
      <c r="O7" s="68"/>
      <c r="P7" s="68"/>
      <c r="Q7" s="68"/>
      <c r="R7" s="68"/>
      <c r="S7" s="69"/>
      <c r="T7" s="69"/>
      <c r="U7" s="69"/>
      <c r="V7" s="69"/>
      <c r="W7" s="69"/>
      <c r="AR7" s="68"/>
      <c r="AT7" s="93" t="str">
        <f t="shared" si="0"/>
        <v/>
      </c>
      <c r="AU7" s="93"/>
      <c r="AV7" s="68"/>
      <c r="AW7" s="93" t="str">
        <f t="shared" si="1"/>
        <v/>
      </c>
      <c r="BE7" s="69"/>
      <c r="BF7" s="72"/>
      <c r="BG7" s="72"/>
      <c r="BK7" s="72"/>
      <c r="BL7" s="72"/>
      <c r="BM7" s="95" t="str">
        <f>IF(M7="","",IF(BN7="not a match","",IF(BN7="IP Office Full Name",VLOOKUP(M7,'Internal -- Copyright Countries'!A:E,5,FALSE),IF(BN7="Polity Shortest Name",VLOOKUP(M7,'Internal -- Copyright Countries'!B:E,4,FALSE),IF(BN7="Polity Full Name",VLOOKUP(M7,'Internal -- Copyright Countries'!C:E,3,FALSE),IF(BN7="Polity Common Name",VLOOKUP(M7,'Internal -- Copyright Countries'!D:E,2,FALSE),IF(BN7="IP Office Shortest Name",M7)))))))</f>
        <v/>
      </c>
      <c r="BN7" s="73" t="str">
        <f>IF(COUNTIF('Internal -- Copyright Countries'!A:A,M7)&gt;0,"IP Office Full Name",IF(COUNTIF('Internal -- Copyright Countries'!B:B,M7)&gt;0,"Polity Shortest Name",IF(COUNTIF('Internal -- Copyright Countries'!C:C,M7)&gt;0,"Polity Full Name",IF(COUNTIF('Internal -- Copyright Countries'!D:D,M7)&gt;0,"Polity Common Name",IF(COUNTIF('Internal -- Copyright Countries'!E:E,M7)&gt;0,"IP Office Shortest Name","Not a match")))))</f>
        <v>Not a match</v>
      </c>
      <c r="BO7" s="73"/>
      <c r="BP7" s="73"/>
      <c r="BQ7" s="73"/>
      <c r="BR7" s="73"/>
      <c r="BS7" s="74" t="str">
        <f t="shared" si="2"/>
        <v/>
      </c>
    </row>
    <row r="8" spans="1:71" ht="16.5">
      <c r="A8" s="69"/>
      <c r="B8" s="68"/>
      <c r="C8" s="68"/>
      <c r="D8" s="68"/>
      <c r="F8" s="68"/>
      <c r="J8" s="89"/>
      <c r="K8" s="69"/>
      <c r="L8" s="68"/>
      <c r="M8" s="96"/>
      <c r="O8" s="68"/>
      <c r="P8" s="68"/>
      <c r="Q8" s="68"/>
      <c r="R8" s="68"/>
      <c r="S8" s="69"/>
      <c r="T8" s="69"/>
      <c r="U8" s="69"/>
      <c r="V8" s="69"/>
      <c r="W8" s="69"/>
      <c r="AR8" s="68"/>
      <c r="AT8" s="93" t="str">
        <f t="shared" si="0"/>
        <v/>
      </c>
      <c r="AU8" s="93"/>
      <c r="AV8" s="68"/>
      <c r="AW8" s="93" t="str">
        <f t="shared" si="1"/>
        <v/>
      </c>
      <c r="BE8" s="69"/>
      <c r="BF8" s="72"/>
      <c r="BG8" s="72"/>
      <c r="BK8" s="72"/>
      <c r="BL8" s="72"/>
      <c r="BM8" s="95" t="str">
        <f>IF(M8="","",IF(BN8="not a match","",IF(BN8="IP Office Full Name",VLOOKUP(M8,'Internal -- Copyright Countries'!A:E,5,FALSE),IF(BN8="Polity Shortest Name",VLOOKUP(M8,'Internal -- Copyright Countries'!B:E,4,FALSE),IF(BN8="Polity Full Name",VLOOKUP(M8,'Internal -- Copyright Countries'!C:E,3,FALSE),IF(BN8="Polity Common Name",VLOOKUP(M8,'Internal -- Copyright Countries'!D:E,2,FALSE),IF(BN8="IP Office Shortest Name",M8)))))))</f>
        <v/>
      </c>
      <c r="BN8" s="73" t="str">
        <f>IF(COUNTIF('Internal -- Copyright Countries'!A:A,M8)&gt;0,"IP Office Full Name",IF(COUNTIF('Internal -- Copyright Countries'!B:B,M8)&gt;0,"Polity Shortest Name",IF(COUNTIF('Internal -- Copyright Countries'!C:C,M8)&gt;0,"Polity Full Name",IF(COUNTIF('Internal -- Copyright Countries'!D:D,M8)&gt;0,"Polity Common Name",IF(COUNTIF('Internal -- Copyright Countries'!E:E,M8)&gt;0,"IP Office Shortest Name","Not a match")))))</f>
        <v>Not a match</v>
      </c>
      <c r="BO8" s="73"/>
      <c r="BP8" s="73"/>
      <c r="BQ8" s="73"/>
      <c r="BR8" s="73"/>
      <c r="BS8" s="74" t="str">
        <f t="shared" si="2"/>
        <v/>
      </c>
    </row>
    <row r="9" spans="1:71" ht="16.5">
      <c r="A9" s="69"/>
      <c r="B9" s="68"/>
      <c r="C9" s="68"/>
      <c r="D9" s="68"/>
      <c r="F9" s="68"/>
      <c r="J9" s="89"/>
      <c r="K9" s="69"/>
      <c r="L9" s="68"/>
      <c r="M9" s="96"/>
      <c r="O9" s="68"/>
      <c r="P9" s="68"/>
      <c r="Q9" s="68"/>
      <c r="R9" s="68"/>
      <c r="S9" s="69"/>
      <c r="T9" s="69"/>
      <c r="U9" s="69"/>
      <c r="V9" s="69"/>
      <c r="W9" s="69"/>
      <c r="AR9" s="68"/>
      <c r="AT9" s="93" t="str">
        <f t="shared" si="0"/>
        <v/>
      </c>
      <c r="AU9" s="93"/>
      <c r="AV9" s="68"/>
      <c r="AW9" s="93" t="str">
        <f t="shared" si="1"/>
        <v/>
      </c>
      <c r="BE9" s="69"/>
      <c r="BF9" s="72"/>
      <c r="BG9" s="72"/>
      <c r="BK9" s="72"/>
      <c r="BL9" s="72"/>
      <c r="BM9" s="95" t="str">
        <f>IF(M9="","",IF(BN9="not a match","",IF(BN9="IP Office Full Name",VLOOKUP(M9,'Internal -- Copyright Countries'!A:E,5,FALSE),IF(BN9="Polity Shortest Name",VLOOKUP(M9,'Internal -- Copyright Countries'!B:E,4,FALSE),IF(BN9="Polity Full Name",VLOOKUP(M9,'Internal -- Copyright Countries'!C:E,3,FALSE),IF(BN9="Polity Common Name",VLOOKUP(M9,'Internal -- Copyright Countries'!D:E,2,FALSE),IF(BN9="IP Office Shortest Name",M9)))))))</f>
        <v/>
      </c>
      <c r="BN9" s="73" t="str">
        <f>IF(COUNTIF('Internal -- Copyright Countries'!A:A,M9)&gt;0,"IP Office Full Name",IF(COUNTIF('Internal -- Copyright Countries'!B:B,M9)&gt;0,"Polity Shortest Name",IF(COUNTIF('Internal -- Copyright Countries'!C:C,M9)&gt;0,"Polity Full Name",IF(COUNTIF('Internal -- Copyright Countries'!D:D,M9)&gt;0,"Polity Common Name",IF(COUNTIF('Internal -- Copyright Countries'!E:E,M9)&gt;0,"IP Office Shortest Name","Not a match")))))</f>
        <v>Not a match</v>
      </c>
      <c r="BO9" s="73"/>
      <c r="BP9" s="73"/>
      <c r="BQ9" s="73"/>
      <c r="BR9" s="73"/>
      <c r="BS9" s="74" t="str">
        <f t="shared" si="2"/>
        <v/>
      </c>
    </row>
    <row r="10" spans="1:71" ht="16.5">
      <c r="A10" s="69"/>
      <c r="B10" s="68"/>
      <c r="C10" s="68"/>
      <c r="D10" s="68"/>
      <c r="F10" s="68"/>
      <c r="J10" s="89"/>
      <c r="K10" s="69"/>
      <c r="L10" s="68"/>
      <c r="M10" s="96"/>
      <c r="O10" s="68"/>
      <c r="P10" s="68"/>
      <c r="Q10" s="68"/>
      <c r="R10" s="68"/>
      <c r="S10" s="69"/>
      <c r="T10" s="69"/>
      <c r="U10" s="69"/>
      <c r="V10" s="69"/>
      <c r="W10" s="69"/>
      <c r="AR10" s="68"/>
      <c r="AT10" s="93" t="str">
        <f t="shared" si="0"/>
        <v/>
      </c>
      <c r="AU10" s="93"/>
      <c r="AV10" s="68"/>
      <c r="AW10" s="93" t="str">
        <f t="shared" si="1"/>
        <v/>
      </c>
      <c r="BE10" s="69"/>
      <c r="BF10" s="72"/>
      <c r="BG10" s="72"/>
      <c r="BK10" s="72"/>
      <c r="BL10" s="72"/>
      <c r="BM10" s="95" t="str">
        <f>IF(M10="","",IF(BN10="not a match","",IF(BN10="IP Office Full Name",VLOOKUP(M10,'Internal -- Copyright Countries'!A:E,5,FALSE),IF(BN10="Polity Shortest Name",VLOOKUP(M10,'Internal -- Copyright Countries'!B:E,4,FALSE),IF(BN10="Polity Full Name",VLOOKUP(M10,'Internal -- Copyright Countries'!C:E,3,FALSE),IF(BN10="Polity Common Name",VLOOKUP(M10,'Internal -- Copyright Countries'!D:E,2,FALSE),IF(BN10="IP Office Shortest Name",M10)))))))</f>
        <v/>
      </c>
      <c r="BN10" s="73" t="str">
        <f>IF(COUNTIF('Internal -- Copyright Countries'!A:A,M10)&gt;0,"IP Office Full Name",IF(COUNTIF('Internal -- Copyright Countries'!B:B,M10)&gt;0,"Polity Shortest Name",IF(COUNTIF('Internal -- Copyright Countries'!C:C,M10)&gt;0,"Polity Full Name",IF(COUNTIF('Internal -- Copyright Countries'!D:D,M10)&gt;0,"Polity Common Name",IF(COUNTIF('Internal -- Copyright Countries'!E:E,M10)&gt;0,"IP Office Shortest Name","Not a match")))))</f>
        <v>Not a match</v>
      </c>
      <c r="BO10" s="73"/>
      <c r="BP10" s="73"/>
      <c r="BQ10" s="73"/>
      <c r="BR10" s="73"/>
      <c r="BS10" s="74" t="str">
        <f t="shared" si="2"/>
        <v/>
      </c>
    </row>
    <row r="11" spans="1:71" ht="16.5">
      <c r="A11" s="69"/>
      <c r="B11" s="68"/>
      <c r="C11" s="68"/>
      <c r="D11" s="68"/>
      <c r="F11" s="68"/>
      <c r="J11" s="89"/>
      <c r="K11" s="69"/>
      <c r="L11" s="68"/>
      <c r="M11" s="96"/>
      <c r="O11" s="68"/>
      <c r="P11" s="68"/>
      <c r="Q11" s="68"/>
      <c r="R11" s="68"/>
      <c r="S11" s="69"/>
      <c r="T11" s="69"/>
      <c r="U11" s="69"/>
      <c r="V11" s="69"/>
      <c r="W11" s="69"/>
      <c r="AR11" s="68"/>
      <c r="AT11" s="93" t="str">
        <f t="shared" si="0"/>
        <v/>
      </c>
      <c r="AU11" s="93"/>
      <c r="AV11" s="68"/>
      <c r="AW11" s="93" t="str">
        <f t="shared" si="1"/>
        <v/>
      </c>
      <c r="BE11" s="69"/>
      <c r="BF11" s="72"/>
      <c r="BG11" s="72"/>
      <c r="BK11" s="72"/>
      <c r="BL11" s="72"/>
      <c r="BM11" s="95" t="str">
        <f>IF(M11="","",IF(BN11="not a match","",IF(BN11="IP Office Full Name",VLOOKUP(M11,'Internal -- Copyright Countries'!A:E,5,FALSE),IF(BN11="Polity Shortest Name",VLOOKUP(M11,'Internal -- Copyright Countries'!B:E,4,FALSE),IF(BN11="Polity Full Name",VLOOKUP(M11,'Internal -- Copyright Countries'!C:E,3,FALSE),IF(BN11="Polity Common Name",VLOOKUP(M11,'Internal -- Copyright Countries'!D:E,2,FALSE),IF(BN11="IP Office Shortest Name",M11)))))))</f>
        <v/>
      </c>
      <c r="BN11" s="73" t="str">
        <f>IF(COUNTIF('Internal -- Copyright Countries'!A:A,M11)&gt;0,"IP Office Full Name",IF(COUNTIF('Internal -- Copyright Countries'!B:B,M11)&gt;0,"Polity Shortest Name",IF(COUNTIF('Internal -- Copyright Countries'!C:C,M11)&gt;0,"Polity Full Name",IF(COUNTIF('Internal -- Copyright Countries'!D:D,M11)&gt;0,"Polity Common Name",IF(COUNTIF('Internal -- Copyright Countries'!E:E,M11)&gt;0,"IP Office Shortest Name","Not a match")))))</f>
        <v>Not a match</v>
      </c>
      <c r="BO11" s="73"/>
      <c r="BP11" s="73"/>
      <c r="BQ11" s="73"/>
      <c r="BR11" s="73"/>
      <c r="BS11" s="74" t="str">
        <f t="shared" si="2"/>
        <v/>
      </c>
    </row>
    <row r="12" spans="1:71" ht="16.5">
      <c r="A12" s="69"/>
      <c r="B12" s="68"/>
      <c r="C12" s="68"/>
      <c r="D12" s="68"/>
      <c r="F12" s="68"/>
      <c r="J12" s="89"/>
      <c r="K12" s="69"/>
      <c r="L12" s="68"/>
      <c r="M12" s="96"/>
      <c r="O12" s="68"/>
      <c r="P12" s="68"/>
      <c r="Q12" s="68"/>
      <c r="R12" s="68"/>
      <c r="S12" s="69"/>
      <c r="T12" s="69"/>
      <c r="U12" s="69"/>
      <c r="V12" s="69"/>
      <c r="W12" s="69"/>
      <c r="AR12" s="68"/>
      <c r="AT12" s="93" t="str">
        <f t="shared" si="0"/>
        <v/>
      </c>
      <c r="AU12" s="93"/>
      <c r="AV12" s="68"/>
      <c r="AW12" s="93" t="str">
        <f t="shared" si="1"/>
        <v/>
      </c>
      <c r="BE12" s="69"/>
      <c r="BF12" s="72"/>
      <c r="BG12" s="72"/>
      <c r="BK12" s="72"/>
      <c r="BL12" s="72"/>
      <c r="BM12" s="95" t="str">
        <f>IF(M12="","",IF(BN12="not a match","",IF(BN12="IP Office Full Name",VLOOKUP(M12,'Internal -- Copyright Countries'!A:E,5,FALSE),IF(BN12="Polity Shortest Name",VLOOKUP(M12,'Internal -- Copyright Countries'!B:E,4,FALSE),IF(BN12="Polity Full Name",VLOOKUP(M12,'Internal -- Copyright Countries'!C:E,3,FALSE),IF(BN12="Polity Common Name",VLOOKUP(M12,'Internal -- Copyright Countries'!D:E,2,FALSE),IF(BN12="IP Office Shortest Name",M12)))))))</f>
        <v/>
      </c>
      <c r="BN12" s="73" t="str">
        <f>IF(COUNTIF('Internal -- Copyright Countries'!A:A,M12)&gt;0,"IP Office Full Name",IF(COUNTIF('Internal -- Copyright Countries'!B:B,M12)&gt;0,"Polity Shortest Name",IF(COUNTIF('Internal -- Copyright Countries'!C:C,M12)&gt;0,"Polity Full Name",IF(COUNTIF('Internal -- Copyright Countries'!D:D,M12)&gt;0,"Polity Common Name",IF(COUNTIF('Internal -- Copyright Countries'!E:E,M12)&gt;0,"IP Office Shortest Name","Not a match")))))</f>
        <v>Not a match</v>
      </c>
      <c r="BO12" s="73"/>
      <c r="BP12" s="73"/>
      <c r="BQ12" s="73"/>
      <c r="BR12" s="73"/>
      <c r="BS12" s="74" t="str">
        <f t="shared" si="2"/>
        <v/>
      </c>
    </row>
    <row r="13" spans="1:71" ht="16.5">
      <c r="A13" s="69"/>
      <c r="B13" s="68"/>
      <c r="C13" s="68"/>
      <c r="D13" s="68"/>
      <c r="F13" s="68"/>
      <c r="J13" s="89"/>
      <c r="K13" s="69"/>
      <c r="L13" s="68"/>
      <c r="M13" s="96"/>
      <c r="O13" s="68"/>
      <c r="P13" s="68"/>
      <c r="Q13" s="68"/>
      <c r="R13" s="68"/>
      <c r="S13" s="69"/>
      <c r="T13" s="69"/>
      <c r="U13" s="69"/>
      <c r="V13" s="69"/>
      <c r="W13" s="69"/>
      <c r="AR13" s="68"/>
      <c r="AT13" s="93" t="str">
        <f t="shared" si="0"/>
        <v/>
      </c>
      <c r="AU13" s="93"/>
      <c r="AV13" s="68"/>
      <c r="AW13" s="93" t="str">
        <f t="shared" si="1"/>
        <v/>
      </c>
      <c r="BE13" s="69"/>
      <c r="BF13" s="72"/>
      <c r="BG13" s="72"/>
      <c r="BK13" s="72"/>
      <c r="BL13" s="72"/>
      <c r="BM13" s="95" t="str">
        <f>IF(M13="","",IF(BN13="not a match","",IF(BN13="IP Office Full Name",VLOOKUP(M13,'Internal -- Copyright Countries'!A:E,5,FALSE),IF(BN13="Polity Shortest Name",VLOOKUP(M13,'Internal -- Copyright Countries'!B:E,4,FALSE),IF(BN13="Polity Full Name",VLOOKUP(M13,'Internal -- Copyright Countries'!C:E,3,FALSE),IF(BN13="Polity Common Name",VLOOKUP(M13,'Internal -- Copyright Countries'!D:E,2,FALSE),IF(BN13="IP Office Shortest Name",M13)))))))</f>
        <v/>
      </c>
      <c r="BN13" s="73" t="str">
        <f>IF(COUNTIF('Internal -- Copyright Countries'!A:A,M13)&gt;0,"IP Office Full Name",IF(COUNTIF('Internal -- Copyright Countries'!B:B,M13)&gt;0,"Polity Shortest Name",IF(COUNTIF('Internal -- Copyright Countries'!C:C,M13)&gt;0,"Polity Full Name",IF(COUNTIF('Internal -- Copyright Countries'!D:D,M13)&gt;0,"Polity Common Name",IF(COUNTIF('Internal -- Copyright Countries'!E:E,M13)&gt;0,"IP Office Shortest Name","Not a match")))))</f>
        <v>Not a match</v>
      </c>
      <c r="BO13" s="73"/>
      <c r="BP13" s="73"/>
      <c r="BQ13" s="73"/>
      <c r="BR13" s="73"/>
      <c r="BS13" s="74" t="str">
        <f t="shared" si="2"/>
        <v/>
      </c>
    </row>
    <row r="14" spans="1:71" ht="16.5">
      <c r="A14" s="69"/>
      <c r="B14" s="68"/>
      <c r="C14" s="68"/>
      <c r="D14" s="68"/>
      <c r="F14" s="68"/>
      <c r="J14" s="89"/>
      <c r="K14" s="69"/>
      <c r="L14" s="68"/>
      <c r="M14" s="96"/>
      <c r="O14" s="68"/>
      <c r="P14" s="68"/>
      <c r="Q14" s="68"/>
      <c r="R14" s="68"/>
      <c r="S14" s="69"/>
      <c r="T14" s="69"/>
      <c r="U14" s="69"/>
      <c r="V14" s="69"/>
      <c r="W14" s="69"/>
      <c r="AR14" s="68"/>
      <c r="AT14" s="93" t="str">
        <f t="shared" si="0"/>
        <v/>
      </c>
      <c r="AU14" s="93"/>
      <c r="AV14" s="68"/>
      <c r="AW14" s="93" t="str">
        <f t="shared" si="1"/>
        <v/>
      </c>
      <c r="BE14" s="69"/>
      <c r="BF14" s="72"/>
      <c r="BG14" s="72"/>
      <c r="BK14" s="72"/>
      <c r="BL14" s="72"/>
      <c r="BM14" s="95" t="str">
        <f>IF(M14="","",IF(BN14="not a match","",IF(BN14="IP Office Full Name",VLOOKUP(M14,'Internal -- Copyright Countries'!A:E,5,FALSE),IF(BN14="Polity Shortest Name",VLOOKUP(M14,'Internal -- Copyright Countries'!B:E,4,FALSE),IF(BN14="Polity Full Name",VLOOKUP(M14,'Internal -- Copyright Countries'!C:E,3,FALSE),IF(BN14="Polity Common Name",VLOOKUP(M14,'Internal -- Copyright Countries'!D:E,2,FALSE),IF(BN14="IP Office Shortest Name",M14)))))))</f>
        <v/>
      </c>
      <c r="BN14" s="73" t="str">
        <f>IF(COUNTIF('Internal -- Copyright Countries'!A:A,M14)&gt;0,"IP Office Full Name",IF(COUNTIF('Internal -- Copyright Countries'!B:B,M14)&gt;0,"Polity Shortest Name",IF(COUNTIF('Internal -- Copyright Countries'!C:C,M14)&gt;0,"Polity Full Name",IF(COUNTIF('Internal -- Copyright Countries'!D:D,M14)&gt;0,"Polity Common Name",IF(COUNTIF('Internal -- Copyright Countries'!E:E,M14)&gt;0,"IP Office Shortest Name","Not a match")))))</f>
        <v>Not a match</v>
      </c>
      <c r="BO14" s="73"/>
      <c r="BP14" s="73"/>
      <c r="BQ14" s="73"/>
      <c r="BR14" s="73"/>
      <c r="BS14" s="74" t="str">
        <f t="shared" si="2"/>
        <v/>
      </c>
    </row>
    <row r="15" spans="1:71" ht="16.5">
      <c r="A15" s="69"/>
      <c r="B15" s="68"/>
      <c r="C15" s="68"/>
      <c r="D15" s="68"/>
      <c r="F15" s="68"/>
      <c r="J15" s="89"/>
      <c r="K15" s="69"/>
      <c r="L15" s="68"/>
      <c r="M15" s="96"/>
      <c r="O15" s="68"/>
      <c r="P15" s="68"/>
      <c r="Q15" s="68"/>
      <c r="R15" s="68"/>
      <c r="S15" s="69"/>
      <c r="T15" s="69"/>
      <c r="U15" s="69"/>
      <c r="V15" s="69"/>
      <c r="W15" s="69"/>
      <c r="AR15" s="68"/>
      <c r="AT15" s="93" t="str">
        <f t="shared" si="0"/>
        <v/>
      </c>
      <c r="AU15" s="93"/>
      <c r="AV15" s="68"/>
      <c r="AW15" s="93" t="str">
        <f t="shared" si="1"/>
        <v/>
      </c>
      <c r="BE15" s="69"/>
      <c r="BF15" s="72"/>
      <c r="BG15" s="72"/>
      <c r="BK15" s="72"/>
      <c r="BL15" s="72"/>
      <c r="BM15" s="95" t="str">
        <f>IF(M15="","",IF(BN15="not a match","",IF(BN15="IP Office Full Name",VLOOKUP(M15,'Internal -- Copyright Countries'!A:E,5,FALSE),IF(BN15="Polity Shortest Name",VLOOKUP(M15,'Internal -- Copyright Countries'!B:E,4,FALSE),IF(BN15="Polity Full Name",VLOOKUP(M15,'Internal -- Copyright Countries'!C:E,3,FALSE),IF(BN15="Polity Common Name",VLOOKUP(M15,'Internal -- Copyright Countries'!D:E,2,FALSE),IF(BN15="IP Office Shortest Name",M15)))))))</f>
        <v/>
      </c>
      <c r="BN15" s="73" t="str">
        <f>IF(COUNTIF('Internal -- Copyright Countries'!A:A,M15)&gt;0,"IP Office Full Name",IF(COUNTIF('Internal -- Copyright Countries'!B:B,M15)&gt;0,"Polity Shortest Name",IF(COUNTIF('Internal -- Copyright Countries'!C:C,M15)&gt;0,"Polity Full Name",IF(COUNTIF('Internal -- Copyright Countries'!D:D,M15)&gt;0,"Polity Common Name",IF(COUNTIF('Internal -- Copyright Countries'!E:E,M15)&gt;0,"IP Office Shortest Name","Not a match")))))</f>
        <v>Not a match</v>
      </c>
      <c r="BO15" s="73"/>
      <c r="BP15" s="73"/>
      <c r="BQ15" s="73"/>
      <c r="BR15" s="73"/>
      <c r="BS15" s="74" t="str">
        <f t="shared" si="2"/>
        <v/>
      </c>
    </row>
    <row r="16" spans="1:71" ht="16.5">
      <c r="A16" s="69"/>
      <c r="B16" s="68"/>
      <c r="C16" s="68"/>
      <c r="D16" s="68"/>
      <c r="F16" s="68"/>
      <c r="J16" s="89"/>
      <c r="K16" s="69"/>
      <c r="L16" s="68"/>
      <c r="M16" s="96"/>
      <c r="O16" s="68"/>
      <c r="P16" s="68"/>
      <c r="Q16" s="68"/>
      <c r="R16" s="68"/>
      <c r="S16" s="69"/>
      <c r="T16" s="69"/>
      <c r="U16" s="69"/>
      <c r="V16" s="69"/>
      <c r="W16" s="69"/>
      <c r="AR16" s="68"/>
      <c r="AT16" s="93" t="str">
        <f t="shared" si="0"/>
        <v/>
      </c>
      <c r="AU16" s="93"/>
      <c r="AV16" s="68"/>
      <c r="AW16" s="93" t="str">
        <f t="shared" si="1"/>
        <v/>
      </c>
      <c r="BE16" s="69"/>
      <c r="BF16" s="72"/>
      <c r="BG16" s="72"/>
      <c r="BK16" s="72"/>
      <c r="BL16" s="72"/>
      <c r="BM16" s="95" t="str">
        <f>IF(M16="","",IF(BN16="not a match","",IF(BN16="IP Office Full Name",VLOOKUP(M16,'Internal -- Copyright Countries'!A:E,5,FALSE),IF(BN16="Polity Shortest Name",VLOOKUP(M16,'Internal -- Copyright Countries'!B:E,4,FALSE),IF(BN16="Polity Full Name",VLOOKUP(M16,'Internal -- Copyright Countries'!C:E,3,FALSE),IF(BN16="Polity Common Name",VLOOKUP(M16,'Internal -- Copyright Countries'!D:E,2,FALSE),IF(BN16="IP Office Shortest Name",M16)))))))</f>
        <v/>
      </c>
      <c r="BN16" s="73" t="str">
        <f>IF(COUNTIF('Internal -- Copyright Countries'!A:A,M16)&gt;0,"IP Office Full Name",IF(COUNTIF('Internal -- Copyright Countries'!B:B,M16)&gt;0,"Polity Shortest Name",IF(COUNTIF('Internal -- Copyright Countries'!C:C,M16)&gt;0,"Polity Full Name",IF(COUNTIF('Internal -- Copyright Countries'!D:D,M16)&gt;0,"Polity Common Name",IF(COUNTIF('Internal -- Copyright Countries'!E:E,M16)&gt;0,"IP Office Shortest Name","Not a match")))))</f>
        <v>Not a match</v>
      </c>
      <c r="BO16" s="73"/>
      <c r="BP16" s="73"/>
      <c r="BQ16" s="73"/>
      <c r="BR16" s="73"/>
      <c r="BS16" s="74" t="str">
        <f t="shared" si="2"/>
        <v/>
      </c>
    </row>
    <row r="17" spans="1:71" ht="16.5">
      <c r="A17" s="69"/>
      <c r="B17" s="68"/>
      <c r="C17" s="68"/>
      <c r="D17" s="68"/>
      <c r="F17" s="68"/>
      <c r="J17" s="89"/>
      <c r="K17" s="69"/>
      <c r="L17" s="68"/>
      <c r="M17" s="96"/>
      <c r="O17" s="68"/>
      <c r="P17" s="68"/>
      <c r="Q17" s="68"/>
      <c r="R17" s="68"/>
      <c r="S17" s="69"/>
      <c r="T17" s="69"/>
      <c r="U17" s="69"/>
      <c r="V17" s="69"/>
      <c r="W17" s="69"/>
      <c r="AR17" s="68"/>
      <c r="AT17" s="93" t="str">
        <f t="shared" si="0"/>
        <v/>
      </c>
      <c r="AU17" s="93"/>
      <c r="AV17" s="68"/>
      <c r="AW17" s="93" t="str">
        <f t="shared" si="1"/>
        <v/>
      </c>
      <c r="BE17" s="69"/>
      <c r="BF17" s="72"/>
      <c r="BG17" s="72"/>
      <c r="BK17" s="72"/>
      <c r="BL17" s="72"/>
      <c r="BM17" s="95" t="str">
        <f>IF(M17="","",IF(BN17="not a match","",IF(BN17="IP Office Full Name",VLOOKUP(M17,'Internal -- Copyright Countries'!A:E,5,FALSE),IF(BN17="Polity Shortest Name",VLOOKUP(M17,'Internal -- Copyright Countries'!B:E,4,FALSE),IF(BN17="Polity Full Name",VLOOKUP(M17,'Internal -- Copyright Countries'!C:E,3,FALSE),IF(BN17="Polity Common Name",VLOOKUP(M17,'Internal -- Copyright Countries'!D:E,2,FALSE),IF(BN17="IP Office Shortest Name",M17)))))))</f>
        <v/>
      </c>
      <c r="BN17" s="73" t="str">
        <f>IF(COUNTIF('Internal -- Copyright Countries'!A:A,M17)&gt;0,"IP Office Full Name",IF(COUNTIF('Internal -- Copyright Countries'!B:B,M17)&gt;0,"Polity Shortest Name",IF(COUNTIF('Internal -- Copyright Countries'!C:C,M17)&gt;0,"Polity Full Name",IF(COUNTIF('Internal -- Copyright Countries'!D:D,M17)&gt;0,"Polity Common Name",IF(COUNTIF('Internal -- Copyright Countries'!E:E,M17)&gt;0,"IP Office Shortest Name","Not a match")))))</f>
        <v>Not a match</v>
      </c>
      <c r="BO17" s="73"/>
      <c r="BP17" s="73"/>
      <c r="BQ17" s="73"/>
      <c r="BR17" s="73"/>
      <c r="BS17" s="74" t="str">
        <f t="shared" si="2"/>
        <v/>
      </c>
    </row>
    <row r="18" spans="1:71" ht="16.5">
      <c r="A18" s="69"/>
      <c r="B18" s="68"/>
      <c r="C18" s="68"/>
      <c r="D18" s="68"/>
      <c r="F18" s="68"/>
      <c r="J18" s="89"/>
      <c r="K18" s="69"/>
      <c r="L18" s="68"/>
      <c r="M18" s="96"/>
      <c r="O18" s="68"/>
      <c r="P18" s="68"/>
      <c r="Q18" s="68"/>
      <c r="R18" s="68"/>
      <c r="S18" s="69"/>
      <c r="T18" s="69"/>
      <c r="U18" s="69"/>
      <c r="V18" s="69"/>
      <c r="W18" s="69"/>
      <c r="AR18" s="68"/>
      <c r="AT18" s="93" t="str">
        <f t="shared" si="0"/>
        <v/>
      </c>
      <c r="AU18" s="93"/>
      <c r="AV18" s="68"/>
      <c r="AW18" s="93" t="str">
        <f t="shared" si="1"/>
        <v/>
      </c>
      <c r="BE18" s="69"/>
      <c r="BF18" s="72"/>
      <c r="BG18" s="72"/>
      <c r="BK18" s="72"/>
      <c r="BL18" s="72"/>
      <c r="BM18" s="95" t="str">
        <f>IF(M18="","",IF(BN18="not a match","",IF(BN18="IP Office Full Name",VLOOKUP(M18,'Internal -- Copyright Countries'!A:E,5,FALSE),IF(BN18="Polity Shortest Name",VLOOKUP(M18,'Internal -- Copyright Countries'!B:E,4,FALSE),IF(BN18="Polity Full Name",VLOOKUP(M18,'Internal -- Copyright Countries'!C:E,3,FALSE),IF(BN18="Polity Common Name",VLOOKUP(M18,'Internal -- Copyright Countries'!D:E,2,FALSE),IF(BN18="IP Office Shortest Name",M18)))))))</f>
        <v/>
      </c>
      <c r="BN18" s="73" t="str">
        <f>IF(COUNTIF('Internal -- Copyright Countries'!A:A,M18)&gt;0,"IP Office Full Name",IF(COUNTIF('Internal -- Copyright Countries'!B:B,M18)&gt;0,"Polity Shortest Name",IF(COUNTIF('Internal -- Copyright Countries'!C:C,M18)&gt;0,"Polity Full Name",IF(COUNTIF('Internal -- Copyright Countries'!D:D,M18)&gt;0,"Polity Common Name",IF(COUNTIF('Internal -- Copyright Countries'!E:E,M18)&gt;0,"IP Office Shortest Name","Not a match")))))</f>
        <v>Not a match</v>
      </c>
      <c r="BO18" s="73"/>
      <c r="BP18" s="73"/>
      <c r="BQ18" s="73"/>
      <c r="BR18" s="73"/>
      <c r="BS18" s="74" t="str">
        <f t="shared" si="2"/>
        <v/>
      </c>
    </row>
    <row r="19" spans="1:71" ht="16.5">
      <c r="A19" s="69"/>
      <c r="B19" s="68"/>
      <c r="C19" s="68"/>
      <c r="D19" s="68"/>
      <c r="F19" s="68"/>
      <c r="J19" s="89"/>
      <c r="K19" s="69"/>
      <c r="L19" s="68"/>
      <c r="M19" s="72"/>
      <c r="O19" s="68"/>
      <c r="P19" s="68"/>
      <c r="Q19" s="68"/>
      <c r="R19" s="68"/>
      <c r="S19" s="69"/>
      <c r="T19" s="69"/>
      <c r="U19" s="69"/>
      <c r="V19" s="69"/>
      <c r="W19" s="69"/>
      <c r="AR19" s="68"/>
      <c r="AT19" s="93" t="str">
        <f t="shared" si="0"/>
        <v/>
      </c>
      <c r="AU19" s="93"/>
      <c r="AV19" s="68"/>
      <c r="AW19" s="93" t="str">
        <f t="shared" si="1"/>
        <v/>
      </c>
      <c r="BE19" s="69"/>
      <c r="BF19" s="72"/>
      <c r="BG19" s="72"/>
      <c r="BK19" s="72"/>
      <c r="BL19" s="72"/>
      <c r="BM19" s="95" t="str">
        <f>IF(M19="","",IF(BN19="not a match","",IF(BN19="IP Office Full Name",VLOOKUP(M19,'Internal -- Copyright Countries'!A:E,5,FALSE),IF(BN19="Polity Shortest Name",VLOOKUP(M19,'Internal -- Copyright Countries'!B:E,4,FALSE),IF(BN19="Polity Full Name",VLOOKUP(M19,'Internal -- Copyright Countries'!C:E,3,FALSE),IF(BN19="Polity Common Name",VLOOKUP(M19,'Internal -- Copyright Countries'!D:E,2,FALSE),IF(BN19="IP Office Shortest Name",M19)))))))</f>
        <v/>
      </c>
      <c r="BN19" s="73" t="str">
        <f>IF(COUNTIF('Internal -- Copyright Countries'!A:A,M19)&gt;0,"IP Office Full Name",IF(COUNTIF('Internal -- Copyright Countries'!B:B,M19)&gt;0,"Polity Shortest Name",IF(COUNTIF('Internal -- Copyright Countries'!C:C,M19)&gt;0,"Polity Full Name",IF(COUNTIF('Internal -- Copyright Countries'!D:D,M19)&gt;0,"Polity Common Name",IF(COUNTIF('Internal -- Copyright Countries'!E:E,M19)&gt;0,"IP Office Shortest Name","Not a match")))))</f>
        <v>Not a match</v>
      </c>
      <c r="BO19" s="73"/>
      <c r="BP19" s="73"/>
      <c r="BQ19" s="73"/>
      <c r="BR19" s="73"/>
      <c r="BS19" s="74" t="str">
        <f t="shared" si="2"/>
        <v/>
      </c>
    </row>
    <row r="20" spans="1:71" ht="16.5">
      <c r="A20" s="69"/>
      <c r="B20" s="68"/>
      <c r="C20" s="68"/>
      <c r="D20" s="68"/>
      <c r="F20" s="68"/>
      <c r="J20" s="89"/>
      <c r="K20" s="69"/>
      <c r="L20" s="68"/>
      <c r="M20" s="96"/>
      <c r="O20" s="68"/>
      <c r="P20" s="68"/>
      <c r="Q20" s="68"/>
      <c r="R20" s="68"/>
      <c r="S20" s="69"/>
      <c r="T20" s="69"/>
      <c r="U20" s="69"/>
      <c r="V20" s="69"/>
      <c r="W20" s="69"/>
      <c r="AR20" s="68"/>
      <c r="AT20" s="93" t="str">
        <f t="shared" si="0"/>
        <v/>
      </c>
      <c r="AU20" s="93"/>
      <c r="AV20" s="68"/>
      <c r="AW20" s="93" t="str">
        <f t="shared" si="1"/>
        <v/>
      </c>
      <c r="BE20" s="69"/>
      <c r="BF20" s="72"/>
      <c r="BG20" s="72"/>
      <c r="BK20" s="72"/>
      <c r="BL20" s="72"/>
      <c r="BM20" s="95" t="str">
        <f>IF(M20="","",IF(BN20="not a match","",IF(BN20="IP Office Full Name",VLOOKUP(M20,'Internal -- Copyright Countries'!A:E,5,FALSE),IF(BN20="Polity Shortest Name",VLOOKUP(M20,'Internal -- Copyright Countries'!B:E,4,FALSE),IF(BN20="Polity Full Name",VLOOKUP(M20,'Internal -- Copyright Countries'!C:E,3,FALSE),IF(BN20="Polity Common Name",VLOOKUP(M20,'Internal -- Copyright Countries'!D:E,2,FALSE),IF(BN20="IP Office Shortest Name",M20)))))))</f>
        <v/>
      </c>
      <c r="BN20" s="73" t="str">
        <f>IF(COUNTIF('Internal -- Copyright Countries'!A:A,M20)&gt;0,"IP Office Full Name",IF(COUNTIF('Internal -- Copyright Countries'!B:B,M20)&gt;0,"Polity Shortest Name",IF(COUNTIF('Internal -- Copyright Countries'!C:C,M20)&gt;0,"Polity Full Name",IF(COUNTIF('Internal -- Copyright Countries'!D:D,M20)&gt;0,"Polity Common Name",IF(COUNTIF('Internal -- Copyright Countries'!E:E,M20)&gt;0,"IP Office Shortest Name","Not a match")))))</f>
        <v>Not a match</v>
      </c>
      <c r="BO20" s="73"/>
      <c r="BP20" s="73"/>
      <c r="BQ20" s="73"/>
      <c r="BR20" s="73"/>
      <c r="BS20" s="74" t="str">
        <f t="shared" si="2"/>
        <v/>
      </c>
    </row>
    <row r="21" spans="1:71" ht="16.5">
      <c r="A21" s="69"/>
      <c r="B21" s="68"/>
      <c r="C21" s="68"/>
      <c r="D21" s="68"/>
      <c r="F21" s="68"/>
      <c r="J21" s="89"/>
      <c r="K21" s="69"/>
      <c r="L21" s="68"/>
      <c r="M21" s="96"/>
      <c r="O21" s="68"/>
      <c r="P21" s="68"/>
      <c r="Q21" s="68"/>
      <c r="R21" s="68"/>
      <c r="S21" s="69"/>
      <c r="T21" s="69"/>
      <c r="U21" s="69"/>
      <c r="V21" s="69"/>
      <c r="W21" s="69"/>
      <c r="AR21" s="68"/>
      <c r="AT21" s="93" t="str">
        <f t="shared" si="0"/>
        <v/>
      </c>
      <c r="AU21" s="93"/>
      <c r="AV21" s="68"/>
      <c r="AW21" s="93" t="str">
        <f t="shared" si="1"/>
        <v/>
      </c>
      <c r="BE21" s="69"/>
      <c r="BF21" s="72"/>
      <c r="BG21" s="72"/>
      <c r="BK21" s="72"/>
      <c r="BL21" s="72"/>
      <c r="BM21" s="95" t="str">
        <f>IF(M21="","",IF(BN21="not a match","",IF(BN21="IP Office Full Name",VLOOKUP(M21,'Internal -- Copyright Countries'!A:E,5,FALSE),IF(BN21="Polity Shortest Name",VLOOKUP(M21,'Internal -- Copyright Countries'!B:E,4,FALSE),IF(BN21="Polity Full Name",VLOOKUP(M21,'Internal -- Copyright Countries'!C:E,3,FALSE),IF(BN21="Polity Common Name",VLOOKUP(M21,'Internal -- Copyright Countries'!D:E,2,FALSE),IF(BN21="IP Office Shortest Name",M21)))))))</f>
        <v/>
      </c>
      <c r="BN21" s="73" t="str">
        <f>IF(COUNTIF('Internal -- Copyright Countries'!A:A,M21)&gt;0,"IP Office Full Name",IF(COUNTIF('Internal -- Copyright Countries'!B:B,M21)&gt;0,"Polity Shortest Name",IF(COUNTIF('Internal -- Copyright Countries'!C:C,M21)&gt;0,"Polity Full Name",IF(COUNTIF('Internal -- Copyright Countries'!D:D,M21)&gt;0,"Polity Common Name",IF(COUNTIF('Internal -- Copyright Countries'!E:E,M21)&gt;0,"IP Office Shortest Name","Not a match")))))</f>
        <v>Not a match</v>
      </c>
      <c r="BO21" s="73"/>
      <c r="BP21" s="73"/>
      <c r="BQ21" s="73"/>
      <c r="BR21" s="73"/>
      <c r="BS21" s="74" t="str">
        <f t="shared" si="2"/>
        <v/>
      </c>
    </row>
    <row r="22" spans="1:71" ht="16.5">
      <c r="A22" s="69"/>
      <c r="B22" s="68"/>
      <c r="C22" s="68"/>
      <c r="D22" s="68"/>
      <c r="F22" s="68"/>
      <c r="J22" s="89"/>
      <c r="K22" s="69"/>
      <c r="L22" s="68"/>
      <c r="M22" s="96"/>
      <c r="O22" s="68"/>
      <c r="P22" s="68"/>
      <c r="Q22" s="68"/>
      <c r="R22" s="68"/>
      <c r="S22" s="69"/>
      <c r="T22" s="69"/>
      <c r="U22" s="69"/>
      <c r="V22" s="69"/>
      <c r="W22" s="69"/>
      <c r="AR22" s="68"/>
      <c r="AT22" s="93" t="str">
        <f t="shared" si="0"/>
        <v/>
      </c>
      <c r="AU22" s="93"/>
      <c r="AV22" s="68"/>
      <c r="AW22" s="93" t="str">
        <f t="shared" si="1"/>
        <v/>
      </c>
      <c r="BE22" s="69"/>
      <c r="BF22" s="72"/>
      <c r="BG22" s="72"/>
      <c r="BK22" s="72"/>
      <c r="BL22" s="72"/>
      <c r="BM22" s="95" t="str">
        <f>IF(M22="","",IF(BN22="not a match","",IF(BN22="IP Office Full Name",VLOOKUP(M22,'Internal -- Copyright Countries'!A:E,5,FALSE),IF(BN22="Polity Shortest Name",VLOOKUP(M22,'Internal -- Copyright Countries'!B:E,4,FALSE),IF(BN22="Polity Full Name",VLOOKUP(M22,'Internal -- Copyright Countries'!C:E,3,FALSE),IF(BN22="Polity Common Name",VLOOKUP(M22,'Internal -- Copyright Countries'!D:E,2,FALSE),IF(BN22="IP Office Shortest Name",M22)))))))</f>
        <v/>
      </c>
      <c r="BN22" s="73" t="str">
        <f>IF(COUNTIF('Internal -- Copyright Countries'!A:A,M22)&gt;0,"IP Office Full Name",IF(COUNTIF('Internal -- Copyright Countries'!B:B,M22)&gt;0,"Polity Shortest Name",IF(COUNTIF('Internal -- Copyright Countries'!C:C,M22)&gt;0,"Polity Full Name",IF(COUNTIF('Internal -- Copyright Countries'!D:D,M22)&gt;0,"Polity Common Name",IF(COUNTIF('Internal -- Copyright Countries'!E:E,M22)&gt;0,"IP Office Shortest Name","Not a match")))))</f>
        <v>Not a match</v>
      </c>
      <c r="BO22" s="73"/>
      <c r="BP22" s="73"/>
      <c r="BQ22" s="73"/>
      <c r="BR22" s="73"/>
      <c r="BS22" s="74" t="str">
        <f t="shared" si="2"/>
        <v/>
      </c>
    </row>
    <row r="23" spans="1:71" ht="16.5">
      <c r="A23" s="69"/>
      <c r="B23" s="68"/>
      <c r="C23" s="68"/>
      <c r="D23" s="68"/>
      <c r="F23" s="68"/>
      <c r="J23" s="89"/>
      <c r="K23" s="69"/>
      <c r="L23" s="68"/>
      <c r="M23" s="96"/>
      <c r="O23" s="68"/>
      <c r="P23" s="68"/>
      <c r="Q23" s="68"/>
      <c r="R23" s="68"/>
      <c r="S23" s="69"/>
      <c r="T23" s="69"/>
      <c r="U23" s="69"/>
      <c r="V23" s="69"/>
      <c r="W23" s="69"/>
      <c r="AR23" s="68"/>
      <c r="AT23" s="93" t="str">
        <f t="shared" si="0"/>
        <v/>
      </c>
      <c r="AU23" s="93"/>
      <c r="AV23" s="68"/>
      <c r="AW23" s="93" t="str">
        <f t="shared" si="1"/>
        <v/>
      </c>
      <c r="BE23" s="69"/>
      <c r="BF23" s="72"/>
      <c r="BG23" s="72"/>
      <c r="BK23" s="72"/>
      <c r="BL23" s="72"/>
      <c r="BM23" s="95" t="str">
        <f>IF(M23="","",IF(BN23="not a match","",IF(BN23="IP Office Full Name",VLOOKUP(M23,'Internal -- Copyright Countries'!A:E,5,FALSE),IF(BN23="Polity Shortest Name",VLOOKUP(M23,'Internal -- Copyright Countries'!B:E,4,FALSE),IF(BN23="Polity Full Name",VLOOKUP(M23,'Internal -- Copyright Countries'!C:E,3,FALSE),IF(BN23="Polity Common Name",VLOOKUP(M23,'Internal -- Copyright Countries'!D:E,2,FALSE),IF(BN23="IP Office Shortest Name",M23)))))))</f>
        <v/>
      </c>
      <c r="BN23" s="73" t="str">
        <f>IF(COUNTIF('Internal -- Copyright Countries'!A:A,M23)&gt;0,"IP Office Full Name",IF(COUNTIF('Internal -- Copyright Countries'!B:B,M23)&gt;0,"Polity Shortest Name",IF(COUNTIF('Internal -- Copyright Countries'!C:C,M23)&gt;0,"Polity Full Name",IF(COUNTIF('Internal -- Copyright Countries'!D:D,M23)&gt;0,"Polity Common Name",IF(COUNTIF('Internal -- Copyright Countries'!E:E,M23)&gt;0,"IP Office Shortest Name","Not a match")))))</f>
        <v>Not a match</v>
      </c>
      <c r="BO23" s="73"/>
      <c r="BP23" s="73"/>
      <c r="BQ23" s="73"/>
      <c r="BR23" s="73"/>
      <c r="BS23" s="74" t="str">
        <f t="shared" si="2"/>
        <v/>
      </c>
    </row>
    <row r="24" spans="1:71" ht="16.5">
      <c r="A24" s="69"/>
      <c r="B24" s="68"/>
      <c r="C24" s="68"/>
      <c r="D24" s="68"/>
      <c r="F24" s="68"/>
      <c r="J24" s="89"/>
      <c r="K24" s="69"/>
      <c r="L24" s="68"/>
      <c r="M24" s="96"/>
      <c r="O24" s="68"/>
      <c r="P24" s="68"/>
      <c r="Q24" s="68"/>
      <c r="R24" s="68"/>
      <c r="S24" s="69"/>
      <c r="T24" s="69"/>
      <c r="U24" s="69"/>
      <c r="V24" s="69"/>
      <c r="W24" s="69"/>
      <c r="AR24" s="68"/>
      <c r="AT24" s="93" t="str">
        <f t="shared" si="0"/>
        <v/>
      </c>
      <c r="AU24" s="93"/>
      <c r="AV24" s="68"/>
      <c r="AW24" s="93" t="str">
        <f t="shared" si="1"/>
        <v/>
      </c>
      <c r="BE24" s="69"/>
      <c r="BF24" s="72"/>
      <c r="BG24" s="72"/>
      <c r="BK24" s="72"/>
      <c r="BL24" s="72"/>
      <c r="BM24" s="95" t="str">
        <f>IF(M24="","",IF(BN24="not a match","",IF(BN24="IP Office Full Name",VLOOKUP(M24,'Internal -- Copyright Countries'!A:E,5,FALSE),IF(BN24="Polity Shortest Name",VLOOKUP(M24,'Internal -- Copyright Countries'!B:E,4,FALSE),IF(BN24="Polity Full Name",VLOOKUP(M24,'Internal -- Copyright Countries'!C:E,3,FALSE),IF(BN24="Polity Common Name",VLOOKUP(M24,'Internal -- Copyright Countries'!D:E,2,FALSE),IF(BN24="IP Office Shortest Name",M24)))))))</f>
        <v/>
      </c>
      <c r="BN24" s="73" t="str">
        <f>IF(COUNTIF('Internal -- Copyright Countries'!A:A,M24)&gt;0,"IP Office Full Name",IF(COUNTIF('Internal -- Copyright Countries'!B:B,M24)&gt;0,"Polity Shortest Name",IF(COUNTIF('Internal -- Copyright Countries'!C:C,M24)&gt;0,"Polity Full Name",IF(COUNTIF('Internal -- Copyright Countries'!D:D,M24)&gt;0,"Polity Common Name",IF(COUNTIF('Internal -- Copyright Countries'!E:E,M24)&gt;0,"IP Office Shortest Name","Not a match")))))</f>
        <v>Not a match</v>
      </c>
      <c r="BO24" s="73"/>
      <c r="BP24" s="73"/>
      <c r="BQ24" s="73"/>
      <c r="BR24" s="73"/>
      <c r="BS24" s="74" t="str">
        <f t="shared" si="2"/>
        <v/>
      </c>
    </row>
    <row r="25" spans="1:71" ht="16.5">
      <c r="A25" s="69"/>
      <c r="B25" s="68"/>
      <c r="C25" s="68"/>
      <c r="D25" s="68"/>
      <c r="F25" s="68"/>
      <c r="J25" s="89"/>
      <c r="K25" s="69"/>
      <c r="L25" s="68"/>
      <c r="M25" s="96"/>
      <c r="O25" s="68"/>
      <c r="P25" s="68"/>
      <c r="Q25" s="68"/>
      <c r="R25" s="68"/>
      <c r="S25" s="69"/>
      <c r="T25" s="69"/>
      <c r="U25" s="69"/>
      <c r="V25" s="69"/>
      <c r="W25" s="69"/>
      <c r="AR25" s="68"/>
      <c r="AT25" s="93" t="str">
        <f t="shared" si="0"/>
        <v/>
      </c>
      <c r="AU25" s="93"/>
      <c r="AV25" s="68"/>
      <c r="AW25" s="93" t="str">
        <f t="shared" si="1"/>
        <v/>
      </c>
      <c r="BE25" s="69"/>
      <c r="BF25" s="72"/>
      <c r="BG25" s="72"/>
      <c r="BK25" s="72"/>
      <c r="BL25" s="72"/>
      <c r="BM25" s="95" t="str">
        <f>IF(M25="","",IF(BN25="not a match","",IF(BN25="IP Office Full Name",VLOOKUP(M25,'Internal -- Copyright Countries'!A:E,5,FALSE),IF(BN25="Polity Shortest Name",VLOOKUP(M25,'Internal -- Copyright Countries'!B:E,4,FALSE),IF(BN25="Polity Full Name",VLOOKUP(M25,'Internal -- Copyright Countries'!C:E,3,FALSE),IF(BN25="Polity Common Name",VLOOKUP(M25,'Internal -- Copyright Countries'!D:E,2,FALSE),IF(BN25="IP Office Shortest Name",M25)))))))</f>
        <v/>
      </c>
      <c r="BN25" s="73" t="str">
        <f>IF(COUNTIF('Internal -- Copyright Countries'!A:A,M25)&gt;0,"IP Office Full Name",IF(COUNTIF('Internal -- Copyright Countries'!B:B,M25)&gt;0,"Polity Shortest Name",IF(COUNTIF('Internal -- Copyright Countries'!C:C,M25)&gt;0,"Polity Full Name",IF(COUNTIF('Internal -- Copyright Countries'!D:D,M25)&gt;0,"Polity Common Name",IF(COUNTIF('Internal -- Copyright Countries'!E:E,M25)&gt;0,"IP Office Shortest Name","Not a match")))))</f>
        <v>Not a match</v>
      </c>
      <c r="BO25" s="73"/>
      <c r="BP25" s="73"/>
      <c r="BQ25" s="73"/>
      <c r="BR25" s="73"/>
      <c r="BS25" s="74" t="str">
        <f t="shared" si="2"/>
        <v/>
      </c>
    </row>
    <row r="26" spans="1:71" ht="16.5">
      <c r="A26" s="69"/>
      <c r="B26" s="68"/>
      <c r="C26" s="68"/>
      <c r="D26" s="68"/>
      <c r="F26" s="68"/>
      <c r="J26" s="89"/>
      <c r="K26" s="69"/>
      <c r="L26" s="68"/>
      <c r="M26" s="96"/>
      <c r="O26" s="68"/>
      <c r="P26" s="68"/>
      <c r="Q26" s="68"/>
      <c r="R26" s="68"/>
      <c r="S26" s="69"/>
      <c r="T26" s="69"/>
      <c r="U26" s="69"/>
      <c r="V26" s="69"/>
      <c r="W26" s="69"/>
      <c r="AR26" s="68"/>
      <c r="AT26" s="93" t="str">
        <f t="shared" si="0"/>
        <v/>
      </c>
      <c r="AU26" s="93"/>
      <c r="AV26" s="68"/>
      <c r="AW26" s="93" t="str">
        <f t="shared" si="1"/>
        <v/>
      </c>
      <c r="BE26" s="69"/>
      <c r="BF26" s="72"/>
      <c r="BG26" s="72"/>
      <c r="BK26" s="72"/>
      <c r="BL26" s="72"/>
      <c r="BM26" s="95" t="str">
        <f>IF(M26="","",IF(BN26="not a match","",IF(BN26="IP Office Full Name",VLOOKUP(M26,'Internal -- Copyright Countries'!A:E,5,FALSE),IF(BN26="Polity Shortest Name",VLOOKUP(M26,'Internal -- Copyright Countries'!B:E,4,FALSE),IF(BN26="Polity Full Name",VLOOKUP(M26,'Internal -- Copyright Countries'!C:E,3,FALSE),IF(BN26="Polity Common Name",VLOOKUP(M26,'Internal -- Copyright Countries'!D:E,2,FALSE),IF(BN26="IP Office Shortest Name",M26)))))))</f>
        <v/>
      </c>
      <c r="BN26" s="73" t="str">
        <f>IF(COUNTIF('Internal -- Copyright Countries'!A:A,M26)&gt;0,"IP Office Full Name",IF(COUNTIF('Internal -- Copyright Countries'!B:B,M26)&gt;0,"Polity Shortest Name",IF(COUNTIF('Internal -- Copyright Countries'!C:C,M26)&gt;0,"Polity Full Name",IF(COUNTIF('Internal -- Copyright Countries'!D:D,M26)&gt;0,"Polity Common Name",IF(COUNTIF('Internal -- Copyright Countries'!E:E,M26)&gt;0,"IP Office Shortest Name","Not a match")))))</f>
        <v>Not a match</v>
      </c>
      <c r="BO26" s="73"/>
      <c r="BP26" s="73"/>
      <c r="BQ26" s="73"/>
      <c r="BR26" s="73"/>
      <c r="BS26" s="74" t="str">
        <f t="shared" si="2"/>
        <v/>
      </c>
    </row>
    <row r="27" spans="1:71" ht="16.5">
      <c r="A27" s="69"/>
      <c r="B27" s="68"/>
      <c r="C27" s="68"/>
      <c r="D27" s="68"/>
      <c r="F27" s="68"/>
      <c r="J27" s="89"/>
      <c r="K27" s="69"/>
      <c r="L27" s="68"/>
      <c r="M27" s="96"/>
      <c r="O27" s="68"/>
      <c r="P27" s="68"/>
      <c r="Q27" s="68"/>
      <c r="R27" s="68"/>
      <c r="S27" s="69"/>
      <c r="T27" s="69"/>
      <c r="U27" s="69"/>
      <c r="V27" s="69"/>
      <c r="W27" s="69"/>
      <c r="AR27" s="68"/>
      <c r="AT27" s="93" t="str">
        <f t="shared" si="0"/>
        <v/>
      </c>
      <c r="AU27" s="93"/>
      <c r="AV27" s="68"/>
      <c r="AW27" s="93" t="str">
        <f t="shared" si="1"/>
        <v/>
      </c>
      <c r="BE27" s="69"/>
      <c r="BF27" s="72"/>
      <c r="BG27" s="72"/>
      <c r="BK27" s="72"/>
      <c r="BL27" s="72"/>
      <c r="BM27" s="95" t="str">
        <f>IF(M27="","",IF(BN27="not a match","",IF(BN27="IP Office Full Name",VLOOKUP(M27,'Internal -- Copyright Countries'!A:E,5,FALSE),IF(BN27="Polity Shortest Name",VLOOKUP(M27,'Internal -- Copyright Countries'!B:E,4,FALSE),IF(BN27="Polity Full Name",VLOOKUP(M27,'Internal -- Copyright Countries'!C:E,3,FALSE),IF(BN27="Polity Common Name",VLOOKUP(M27,'Internal -- Copyright Countries'!D:E,2,FALSE),IF(BN27="IP Office Shortest Name",M27)))))))</f>
        <v/>
      </c>
      <c r="BN27" s="73" t="str">
        <f>IF(COUNTIF('Internal -- Copyright Countries'!A:A,M27)&gt;0,"IP Office Full Name",IF(COUNTIF('Internal -- Copyright Countries'!B:B,M27)&gt;0,"Polity Shortest Name",IF(COUNTIF('Internal -- Copyright Countries'!C:C,M27)&gt;0,"Polity Full Name",IF(COUNTIF('Internal -- Copyright Countries'!D:D,M27)&gt;0,"Polity Common Name",IF(COUNTIF('Internal -- Copyright Countries'!E:E,M27)&gt;0,"IP Office Shortest Name","Not a match")))))</f>
        <v>Not a match</v>
      </c>
      <c r="BO27" s="73"/>
      <c r="BP27" s="73"/>
      <c r="BQ27" s="73"/>
      <c r="BR27" s="73"/>
      <c r="BS27" s="74" t="str">
        <f t="shared" si="2"/>
        <v/>
      </c>
    </row>
    <row r="28" spans="1:71" ht="16.5">
      <c r="A28" s="69"/>
      <c r="B28" s="68"/>
      <c r="C28" s="68"/>
      <c r="D28" s="68"/>
      <c r="F28" s="68"/>
      <c r="J28" s="89"/>
      <c r="K28" s="69"/>
      <c r="L28" s="68"/>
      <c r="M28" s="96"/>
      <c r="O28" s="68"/>
      <c r="P28" s="68"/>
      <c r="Q28" s="68"/>
      <c r="R28" s="68"/>
      <c r="S28" s="69"/>
      <c r="T28" s="69"/>
      <c r="U28" s="69"/>
      <c r="V28" s="69"/>
      <c r="W28" s="69"/>
      <c r="AR28" s="68"/>
      <c r="AT28" s="93" t="str">
        <f t="shared" si="0"/>
        <v/>
      </c>
      <c r="AU28" s="93"/>
      <c r="AV28" s="68"/>
      <c r="AW28" s="93" t="str">
        <f t="shared" si="1"/>
        <v/>
      </c>
      <c r="BE28" s="69"/>
      <c r="BF28" s="72"/>
      <c r="BG28" s="72"/>
      <c r="BK28" s="72"/>
      <c r="BL28" s="72"/>
      <c r="BM28" s="95" t="str">
        <f>IF(M28="","",IF(BN28="not a match","",IF(BN28="IP Office Full Name",VLOOKUP(M28,'Internal -- Copyright Countries'!A:E,5,FALSE),IF(BN28="Polity Shortest Name",VLOOKUP(M28,'Internal -- Copyright Countries'!B:E,4,FALSE),IF(BN28="Polity Full Name",VLOOKUP(M28,'Internal -- Copyright Countries'!C:E,3,FALSE),IF(BN28="Polity Common Name",VLOOKUP(M28,'Internal -- Copyright Countries'!D:E,2,FALSE),IF(BN28="IP Office Shortest Name",M28)))))))</f>
        <v/>
      </c>
      <c r="BN28" s="73" t="str">
        <f>IF(COUNTIF('Internal -- Copyright Countries'!A:A,M28)&gt;0,"IP Office Full Name",IF(COUNTIF('Internal -- Copyright Countries'!B:B,M28)&gt;0,"Polity Shortest Name",IF(COUNTIF('Internal -- Copyright Countries'!C:C,M28)&gt;0,"Polity Full Name",IF(COUNTIF('Internal -- Copyright Countries'!D:D,M28)&gt;0,"Polity Common Name",IF(COUNTIF('Internal -- Copyright Countries'!E:E,M28)&gt;0,"IP Office Shortest Name","Not a match")))))</f>
        <v>Not a match</v>
      </c>
      <c r="BO28" s="73"/>
      <c r="BP28" s="73"/>
      <c r="BQ28" s="73"/>
      <c r="BR28" s="73"/>
      <c r="BS28" s="74" t="str">
        <f t="shared" si="2"/>
        <v/>
      </c>
    </row>
    <row r="29" spans="1:71" ht="16.5">
      <c r="A29" s="69"/>
      <c r="B29" s="68"/>
      <c r="C29" s="68"/>
      <c r="D29" s="68"/>
      <c r="F29" s="68"/>
      <c r="J29" s="89"/>
      <c r="K29" s="69"/>
      <c r="L29" s="68"/>
      <c r="M29" s="96"/>
      <c r="O29" s="68"/>
      <c r="P29" s="68"/>
      <c r="Q29" s="68"/>
      <c r="R29" s="68"/>
      <c r="S29" s="69"/>
      <c r="T29" s="69"/>
      <c r="U29" s="69"/>
      <c r="V29" s="69"/>
      <c r="W29" s="69"/>
      <c r="AR29" s="68"/>
      <c r="AT29" s="93" t="str">
        <f t="shared" si="0"/>
        <v/>
      </c>
      <c r="AU29" s="93"/>
      <c r="AV29" s="68"/>
      <c r="AW29" s="93" t="str">
        <f t="shared" si="1"/>
        <v/>
      </c>
      <c r="BE29" s="69"/>
      <c r="BF29" s="72"/>
      <c r="BG29" s="72"/>
      <c r="BK29" s="72"/>
      <c r="BL29" s="72"/>
      <c r="BM29" s="95" t="str">
        <f>IF(M29="","",IF(BN29="not a match","",IF(BN29="IP Office Full Name",VLOOKUP(M29,'Internal -- Copyright Countries'!A:E,5,FALSE),IF(BN29="Polity Shortest Name",VLOOKUP(M29,'Internal -- Copyright Countries'!B:E,4,FALSE),IF(BN29="Polity Full Name",VLOOKUP(M29,'Internal -- Copyright Countries'!C:E,3,FALSE),IF(BN29="Polity Common Name",VLOOKUP(M29,'Internal -- Copyright Countries'!D:E,2,FALSE),IF(BN29="IP Office Shortest Name",M29)))))))</f>
        <v/>
      </c>
      <c r="BN29" s="73" t="str">
        <f>IF(COUNTIF('Internal -- Copyright Countries'!A:A,M29)&gt;0,"IP Office Full Name",IF(COUNTIF('Internal -- Copyright Countries'!B:B,M29)&gt;0,"Polity Shortest Name",IF(COUNTIF('Internal -- Copyright Countries'!C:C,M29)&gt;0,"Polity Full Name",IF(COUNTIF('Internal -- Copyright Countries'!D:D,M29)&gt;0,"Polity Common Name",IF(COUNTIF('Internal -- Copyright Countries'!E:E,M29)&gt;0,"IP Office Shortest Name","Not a match")))))</f>
        <v>Not a match</v>
      </c>
      <c r="BO29" s="73"/>
      <c r="BP29" s="73"/>
      <c r="BQ29" s="73"/>
      <c r="BR29" s="73"/>
      <c r="BS29" s="74" t="str">
        <f t="shared" si="2"/>
        <v/>
      </c>
    </row>
    <row r="30" spans="1:71" ht="16.5">
      <c r="A30" s="69"/>
      <c r="B30" s="68"/>
      <c r="C30" s="68"/>
      <c r="D30" s="68"/>
      <c r="F30" s="68"/>
      <c r="J30" s="89"/>
      <c r="K30" s="69"/>
      <c r="L30" s="68"/>
      <c r="M30" s="96"/>
      <c r="O30" s="68"/>
      <c r="P30" s="68"/>
      <c r="Q30" s="68"/>
      <c r="R30" s="68"/>
      <c r="S30" s="69"/>
      <c r="T30" s="69"/>
      <c r="U30" s="69"/>
      <c r="V30" s="69"/>
      <c r="W30" s="69"/>
      <c r="AR30" s="68"/>
      <c r="AT30" s="93" t="str">
        <f t="shared" si="0"/>
        <v/>
      </c>
      <c r="AU30" s="93"/>
      <c r="AV30" s="68"/>
      <c r="AW30" s="93" t="str">
        <f t="shared" si="1"/>
        <v/>
      </c>
      <c r="BE30" s="69"/>
      <c r="BF30" s="72"/>
      <c r="BG30" s="72"/>
      <c r="BK30" s="72"/>
      <c r="BL30" s="72"/>
      <c r="BM30" s="95" t="str">
        <f>IF(M30="","",IF(BN30="not a match","",IF(BN30="IP Office Full Name",VLOOKUP(M30,'Internal -- Copyright Countries'!A:E,5,FALSE),IF(BN30="Polity Shortest Name",VLOOKUP(M30,'Internal -- Copyright Countries'!B:E,4,FALSE),IF(BN30="Polity Full Name",VLOOKUP(M30,'Internal -- Copyright Countries'!C:E,3,FALSE),IF(BN30="Polity Common Name",VLOOKUP(M30,'Internal -- Copyright Countries'!D:E,2,FALSE),IF(BN30="IP Office Shortest Name",M30)))))))</f>
        <v/>
      </c>
      <c r="BN30" s="73" t="str">
        <f>IF(COUNTIF('Internal -- Copyright Countries'!A:A,M30)&gt;0,"IP Office Full Name",IF(COUNTIF('Internal -- Copyright Countries'!B:B,M30)&gt;0,"Polity Shortest Name",IF(COUNTIF('Internal -- Copyright Countries'!C:C,M30)&gt;0,"Polity Full Name",IF(COUNTIF('Internal -- Copyright Countries'!D:D,M30)&gt;0,"Polity Common Name",IF(COUNTIF('Internal -- Copyright Countries'!E:E,M30)&gt;0,"IP Office Shortest Name","Not a match")))))</f>
        <v>Not a match</v>
      </c>
      <c r="BO30" s="73"/>
      <c r="BP30" s="73"/>
      <c r="BQ30" s="73"/>
      <c r="BR30" s="73"/>
      <c r="BS30" s="74" t="str">
        <f t="shared" si="2"/>
        <v/>
      </c>
    </row>
    <row r="31" spans="1:71" ht="16.5">
      <c r="A31" s="69"/>
      <c r="B31" s="68"/>
      <c r="C31" s="68"/>
      <c r="D31" s="68"/>
      <c r="F31" s="68"/>
      <c r="J31" s="89"/>
      <c r="K31" s="69"/>
      <c r="L31" s="68"/>
      <c r="M31" s="96"/>
      <c r="O31" s="68"/>
      <c r="P31" s="68"/>
      <c r="Q31" s="68"/>
      <c r="R31" s="68"/>
      <c r="S31" s="69"/>
      <c r="T31" s="69"/>
      <c r="U31" s="69"/>
      <c r="V31" s="69"/>
      <c r="W31" s="69"/>
      <c r="AR31" s="68"/>
      <c r="AT31" s="93" t="str">
        <f t="shared" si="0"/>
        <v/>
      </c>
      <c r="AU31" s="93"/>
      <c r="AV31" s="68"/>
      <c r="AW31" s="93" t="str">
        <f t="shared" si="1"/>
        <v/>
      </c>
      <c r="BE31" s="69"/>
      <c r="BF31" s="72"/>
      <c r="BG31" s="72"/>
      <c r="BK31" s="72"/>
      <c r="BL31" s="72"/>
      <c r="BM31" s="95" t="str">
        <f>IF(M31="","",IF(BN31="not a match","",IF(BN31="IP Office Full Name",VLOOKUP(M31,'Internal -- Copyright Countries'!A:E,5,FALSE),IF(BN31="Polity Shortest Name",VLOOKUP(M31,'Internal -- Copyright Countries'!B:E,4,FALSE),IF(BN31="Polity Full Name",VLOOKUP(M31,'Internal -- Copyright Countries'!C:E,3,FALSE),IF(BN31="Polity Common Name",VLOOKUP(M31,'Internal -- Copyright Countries'!D:E,2,FALSE),IF(BN31="IP Office Shortest Name",M31)))))))</f>
        <v/>
      </c>
      <c r="BN31" s="73" t="str">
        <f>IF(COUNTIF('Internal -- Copyright Countries'!A:A,M31)&gt;0,"IP Office Full Name",IF(COUNTIF('Internal -- Copyright Countries'!B:B,M31)&gt;0,"Polity Shortest Name",IF(COUNTIF('Internal -- Copyright Countries'!C:C,M31)&gt;0,"Polity Full Name",IF(COUNTIF('Internal -- Copyright Countries'!D:D,M31)&gt;0,"Polity Common Name",IF(COUNTIF('Internal -- Copyright Countries'!E:E,M31)&gt;0,"IP Office Shortest Name","Not a match")))))</f>
        <v>Not a match</v>
      </c>
      <c r="BO31" s="73"/>
      <c r="BP31" s="73"/>
      <c r="BQ31" s="73"/>
      <c r="BR31" s="73"/>
      <c r="BS31" s="74" t="str">
        <f t="shared" si="2"/>
        <v/>
      </c>
    </row>
    <row r="32" spans="1:71" ht="16.5">
      <c r="A32" s="69"/>
      <c r="B32" s="68"/>
      <c r="C32" s="68"/>
      <c r="D32" s="68"/>
      <c r="F32" s="68"/>
      <c r="J32" s="89"/>
      <c r="K32" s="69"/>
      <c r="L32" s="68"/>
      <c r="M32" s="96"/>
      <c r="O32" s="68"/>
      <c r="P32" s="68"/>
      <c r="Q32" s="68"/>
      <c r="R32" s="68"/>
      <c r="S32" s="69"/>
      <c r="T32" s="69"/>
      <c r="U32" s="69"/>
      <c r="V32" s="69"/>
      <c r="W32" s="69"/>
      <c r="AR32" s="68"/>
      <c r="AT32" s="93" t="str">
        <f t="shared" si="0"/>
        <v/>
      </c>
      <c r="AU32" s="93"/>
      <c r="AV32" s="68"/>
      <c r="AW32" s="93" t="str">
        <f t="shared" si="1"/>
        <v/>
      </c>
      <c r="BE32" s="69"/>
      <c r="BF32" s="72"/>
      <c r="BG32" s="72"/>
      <c r="BK32" s="72"/>
      <c r="BL32" s="72"/>
      <c r="BM32" s="95" t="str">
        <f>IF(M32="","",IF(BN32="not a match","",IF(BN32="IP Office Full Name",VLOOKUP(M32,'Internal -- Copyright Countries'!A:E,5,FALSE),IF(BN32="Polity Shortest Name",VLOOKUP(M32,'Internal -- Copyright Countries'!B:E,4,FALSE),IF(BN32="Polity Full Name",VLOOKUP(M32,'Internal -- Copyright Countries'!C:E,3,FALSE),IF(BN32="Polity Common Name",VLOOKUP(M32,'Internal -- Copyright Countries'!D:E,2,FALSE),IF(BN32="IP Office Shortest Name",M32)))))))</f>
        <v/>
      </c>
      <c r="BN32" s="73" t="str">
        <f>IF(COUNTIF('Internal -- Copyright Countries'!A:A,M32)&gt;0,"IP Office Full Name",IF(COUNTIF('Internal -- Copyright Countries'!B:B,M32)&gt;0,"Polity Shortest Name",IF(COUNTIF('Internal -- Copyright Countries'!C:C,M32)&gt;0,"Polity Full Name",IF(COUNTIF('Internal -- Copyright Countries'!D:D,M32)&gt;0,"Polity Common Name",IF(COUNTIF('Internal -- Copyright Countries'!E:E,M32)&gt;0,"IP Office Shortest Name","Not a match")))))</f>
        <v>Not a match</v>
      </c>
      <c r="BO32" s="73"/>
      <c r="BP32" s="73"/>
      <c r="BQ32" s="73"/>
      <c r="BR32" s="73"/>
      <c r="BS32" s="74" t="str">
        <f t="shared" si="2"/>
        <v/>
      </c>
    </row>
    <row r="33" spans="1:71" ht="16.5">
      <c r="A33" s="69"/>
      <c r="B33" s="68"/>
      <c r="C33" s="68"/>
      <c r="D33" s="68"/>
      <c r="F33" s="68"/>
      <c r="J33" s="89"/>
      <c r="K33" s="69"/>
      <c r="L33" s="68"/>
      <c r="M33" s="96"/>
      <c r="O33" s="68"/>
      <c r="P33" s="68"/>
      <c r="Q33" s="68"/>
      <c r="R33" s="68"/>
      <c r="S33" s="69"/>
      <c r="T33" s="69"/>
      <c r="U33" s="69"/>
      <c r="V33" s="69"/>
      <c r="W33" s="69"/>
      <c r="AR33" s="68"/>
      <c r="AT33" s="93" t="str">
        <f t="shared" si="0"/>
        <v/>
      </c>
      <c r="AU33" s="93"/>
      <c r="AV33" s="68"/>
      <c r="AW33" s="93" t="str">
        <f t="shared" si="1"/>
        <v/>
      </c>
      <c r="BE33" s="69"/>
      <c r="BF33" s="72"/>
      <c r="BG33" s="72"/>
      <c r="BK33" s="72"/>
      <c r="BL33" s="72"/>
      <c r="BM33" s="95" t="str">
        <f>IF(M33="","",IF(BN33="not a match","",IF(BN33="IP Office Full Name",VLOOKUP(M33,'Internal -- Copyright Countries'!A:E,5,FALSE),IF(BN33="Polity Shortest Name",VLOOKUP(M33,'Internal -- Copyright Countries'!B:E,4,FALSE),IF(BN33="Polity Full Name",VLOOKUP(M33,'Internal -- Copyright Countries'!C:E,3,FALSE),IF(BN33="Polity Common Name",VLOOKUP(M33,'Internal -- Copyright Countries'!D:E,2,FALSE),IF(BN33="IP Office Shortest Name",M33)))))))</f>
        <v/>
      </c>
      <c r="BN33" s="73" t="str">
        <f>IF(COUNTIF('Internal -- Copyright Countries'!A:A,M33)&gt;0,"IP Office Full Name",IF(COUNTIF('Internal -- Copyright Countries'!B:B,M33)&gt;0,"Polity Shortest Name",IF(COUNTIF('Internal -- Copyright Countries'!C:C,M33)&gt;0,"Polity Full Name",IF(COUNTIF('Internal -- Copyright Countries'!D:D,M33)&gt;0,"Polity Common Name",IF(COUNTIF('Internal -- Copyright Countries'!E:E,M33)&gt;0,"IP Office Shortest Name","Not a match")))))</f>
        <v>Not a match</v>
      </c>
      <c r="BO33" s="73"/>
      <c r="BP33" s="73"/>
      <c r="BQ33" s="73"/>
      <c r="BR33" s="73"/>
      <c r="BS33" s="74" t="str">
        <f t="shared" si="2"/>
        <v/>
      </c>
    </row>
    <row r="34" spans="1:71" ht="16.5">
      <c r="A34" s="69"/>
      <c r="B34" s="68"/>
      <c r="C34" s="68"/>
      <c r="D34" s="68"/>
      <c r="F34" s="68"/>
      <c r="J34" s="89"/>
      <c r="K34" s="69"/>
      <c r="L34" s="68"/>
      <c r="M34" s="96"/>
      <c r="O34" s="68"/>
      <c r="P34" s="68"/>
      <c r="Q34" s="68"/>
      <c r="R34" s="68"/>
      <c r="S34" s="69"/>
      <c r="T34" s="69"/>
      <c r="U34" s="69"/>
      <c r="V34" s="69"/>
      <c r="W34" s="69"/>
      <c r="AR34" s="68"/>
      <c r="AT34" s="93" t="str">
        <f t="shared" si="0"/>
        <v/>
      </c>
      <c r="AU34" s="93"/>
      <c r="AV34" s="68"/>
      <c r="AW34" s="93" t="str">
        <f t="shared" si="1"/>
        <v/>
      </c>
      <c r="BE34" s="69"/>
      <c r="BF34" s="72"/>
      <c r="BG34" s="72"/>
      <c r="BK34" s="72"/>
      <c r="BL34" s="72"/>
      <c r="BM34" s="95" t="str">
        <f>IF(M34="","",IF(BN34="not a match","",IF(BN34="IP Office Full Name",VLOOKUP(M34,'Internal -- Copyright Countries'!A:E,5,FALSE),IF(BN34="Polity Shortest Name",VLOOKUP(M34,'Internal -- Copyright Countries'!B:E,4,FALSE),IF(BN34="Polity Full Name",VLOOKUP(M34,'Internal -- Copyright Countries'!C:E,3,FALSE),IF(BN34="Polity Common Name",VLOOKUP(M34,'Internal -- Copyright Countries'!D:E,2,FALSE),IF(BN34="IP Office Shortest Name",M34)))))))</f>
        <v/>
      </c>
      <c r="BN34" s="73" t="str">
        <f>IF(COUNTIF('Internal -- Copyright Countries'!A:A,M34)&gt;0,"IP Office Full Name",IF(COUNTIF('Internal -- Copyright Countries'!B:B,M34)&gt;0,"Polity Shortest Name",IF(COUNTIF('Internal -- Copyright Countries'!C:C,M34)&gt;0,"Polity Full Name",IF(COUNTIF('Internal -- Copyright Countries'!D:D,M34)&gt;0,"Polity Common Name",IF(COUNTIF('Internal -- Copyright Countries'!E:E,M34)&gt;0,"IP Office Shortest Name","Not a match")))))</f>
        <v>Not a match</v>
      </c>
      <c r="BO34" s="73"/>
      <c r="BP34" s="73"/>
      <c r="BQ34" s="73"/>
      <c r="BR34" s="73"/>
      <c r="BS34" s="74" t="str">
        <f t="shared" si="2"/>
        <v/>
      </c>
    </row>
    <row r="35" spans="1:71" ht="16.5">
      <c r="A35" s="69"/>
      <c r="B35" s="68"/>
      <c r="C35" s="68"/>
      <c r="D35" s="68"/>
      <c r="F35" s="68"/>
      <c r="J35" s="89"/>
      <c r="K35" s="69"/>
      <c r="L35" s="68"/>
      <c r="M35" s="96"/>
      <c r="O35" s="68"/>
      <c r="P35" s="68"/>
      <c r="Q35" s="68"/>
      <c r="R35" s="68"/>
      <c r="S35" s="69"/>
      <c r="T35" s="69"/>
      <c r="U35" s="69"/>
      <c r="V35" s="69"/>
      <c r="W35" s="69"/>
      <c r="AR35" s="68"/>
      <c r="AT35" s="93" t="str">
        <f t="shared" si="0"/>
        <v/>
      </c>
      <c r="AU35" s="93"/>
      <c r="AV35" s="68"/>
      <c r="AW35" s="93" t="str">
        <f t="shared" si="1"/>
        <v/>
      </c>
      <c r="BE35" s="69"/>
      <c r="BF35" s="72"/>
      <c r="BG35" s="72"/>
      <c r="BK35" s="72"/>
      <c r="BL35" s="72"/>
      <c r="BM35" s="95" t="str">
        <f>IF(M35="","",IF(BN35="not a match","",IF(BN35="IP Office Full Name",VLOOKUP(M35,'Internal -- Copyright Countries'!A:E,5,FALSE),IF(BN35="Polity Shortest Name",VLOOKUP(M35,'Internal -- Copyright Countries'!B:E,4,FALSE),IF(BN35="Polity Full Name",VLOOKUP(M35,'Internal -- Copyright Countries'!C:E,3,FALSE),IF(BN35="Polity Common Name",VLOOKUP(M35,'Internal -- Copyright Countries'!D:E,2,FALSE),IF(BN35="IP Office Shortest Name",M35)))))))</f>
        <v/>
      </c>
      <c r="BN35" s="73" t="str">
        <f>IF(COUNTIF('Internal -- Copyright Countries'!A:A,M35)&gt;0,"IP Office Full Name",IF(COUNTIF('Internal -- Copyright Countries'!B:B,M35)&gt;0,"Polity Shortest Name",IF(COUNTIF('Internal -- Copyright Countries'!C:C,M35)&gt;0,"Polity Full Name",IF(COUNTIF('Internal -- Copyright Countries'!D:D,M35)&gt;0,"Polity Common Name",IF(COUNTIF('Internal -- Copyright Countries'!E:E,M35)&gt;0,"IP Office Shortest Name","Not a match")))))</f>
        <v>Not a match</v>
      </c>
      <c r="BO35" s="73"/>
      <c r="BP35" s="73"/>
      <c r="BQ35" s="73"/>
      <c r="BR35" s="73"/>
      <c r="BS35" s="74" t="str">
        <f t="shared" si="2"/>
        <v/>
      </c>
    </row>
    <row r="36" spans="1:71" ht="16.5">
      <c r="A36" s="69"/>
      <c r="B36" s="68"/>
      <c r="C36" s="68"/>
      <c r="D36" s="68"/>
      <c r="F36" s="68"/>
      <c r="J36" s="89"/>
      <c r="K36" s="69"/>
      <c r="L36" s="68"/>
      <c r="M36" s="96"/>
      <c r="O36" s="68"/>
      <c r="P36" s="68"/>
      <c r="Q36" s="68"/>
      <c r="R36" s="68"/>
      <c r="S36" s="69"/>
      <c r="T36" s="69"/>
      <c r="U36" s="69"/>
      <c r="V36" s="69"/>
      <c r="W36" s="69"/>
      <c r="AR36" s="68"/>
      <c r="AT36" s="93" t="str">
        <f t="shared" si="0"/>
        <v/>
      </c>
      <c r="AU36" s="93"/>
      <c r="AV36" s="68"/>
      <c r="AW36" s="93" t="str">
        <f t="shared" si="1"/>
        <v/>
      </c>
      <c r="BE36" s="69"/>
      <c r="BF36" s="72"/>
      <c r="BG36" s="72"/>
      <c r="BK36" s="72"/>
      <c r="BL36" s="72"/>
      <c r="BM36" s="95" t="str">
        <f>IF(M36="","",IF(BN36="not a match","",IF(BN36="IP Office Full Name",VLOOKUP(M36,'Internal -- Copyright Countries'!A:E,5,FALSE),IF(BN36="Polity Shortest Name",VLOOKUP(M36,'Internal -- Copyright Countries'!B:E,4,FALSE),IF(BN36="Polity Full Name",VLOOKUP(M36,'Internal -- Copyright Countries'!C:E,3,FALSE),IF(BN36="Polity Common Name",VLOOKUP(M36,'Internal -- Copyright Countries'!D:E,2,FALSE),IF(BN36="IP Office Shortest Name",M36)))))))</f>
        <v/>
      </c>
      <c r="BN36" s="73" t="str">
        <f>IF(COUNTIF('Internal -- Copyright Countries'!A:A,M36)&gt;0,"IP Office Full Name",IF(COUNTIF('Internal -- Copyright Countries'!B:B,M36)&gt;0,"Polity Shortest Name",IF(COUNTIF('Internal -- Copyright Countries'!C:C,M36)&gt;0,"Polity Full Name",IF(COUNTIF('Internal -- Copyright Countries'!D:D,M36)&gt;0,"Polity Common Name",IF(COUNTIF('Internal -- Copyright Countries'!E:E,M36)&gt;0,"IP Office Shortest Name","Not a match")))))</f>
        <v>Not a match</v>
      </c>
      <c r="BO36" s="73"/>
      <c r="BP36" s="73"/>
      <c r="BQ36" s="73"/>
      <c r="BR36" s="73"/>
      <c r="BS36" s="74" t="str">
        <f t="shared" si="2"/>
        <v/>
      </c>
    </row>
    <row r="37" spans="1:71" ht="16.5">
      <c r="A37" s="69"/>
      <c r="B37" s="68"/>
      <c r="C37" s="68"/>
      <c r="D37" s="68"/>
      <c r="F37" s="68"/>
      <c r="J37" s="89"/>
      <c r="K37" s="69"/>
      <c r="L37" s="68"/>
      <c r="M37" s="96"/>
      <c r="O37" s="68"/>
      <c r="P37" s="68"/>
      <c r="Q37" s="68"/>
      <c r="R37" s="68"/>
      <c r="S37" s="69"/>
      <c r="T37" s="69"/>
      <c r="U37" s="69"/>
      <c r="V37" s="69"/>
      <c r="W37" s="69"/>
      <c r="AR37" s="68"/>
      <c r="AT37" s="93" t="str">
        <f t="shared" si="0"/>
        <v/>
      </c>
      <c r="AU37" s="93"/>
      <c r="AV37" s="68"/>
      <c r="AW37" s="93" t="str">
        <f t="shared" si="1"/>
        <v/>
      </c>
      <c r="BE37" s="69"/>
      <c r="BF37" s="72"/>
      <c r="BG37" s="72"/>
      <c r="BK37" s="72"/>
      <c r="BL37" s="72"/>
      <c r="BM37" s="95" t="str">
        <f>IF(M37="","",IF(BN37="not a match","",IF(BN37="IP Office Full Name",VLOOKUP(M37,'Internal -- Copyright Countries'!A:E,5,FALSE),IF(BN37="Polity Shortest Name",VLOOKUP(M37,'Internal -- Copyright Countries'!B:E,4,FALSE),IF(BN37="Polity Full Name",VLOOKUP(M37,'Internal -- Copyright Countries'!C:E,3,FALSE),IF(BN37="Polity Common Name",VLOOKUP(M37,'Internal -- Copyright Countries'!D:E,2,FALSE),IF(BN37="IP Office Shortest Name",M37)))))))</f>
        <v/>
      </c>
      <c r="BN37" s="73" t="str">
        <f>IF(COUNTIF('Internal -- Copyright Countries'!A:A,M37)&gt;0,"IP Office Full Name",IF(COUNTIF('Internal -- Copyright Countries'!B:B,M37)&gt;0,"Polity Shortest Name",IF(COUNTIF('Internal -- Copyright Countries'!C:C,M37)&gt;0,"Polity Full Name",IF(COUNTIF('Internal -- Copyright Countries'!D:D,M37)&gt;0,"Polity Common Name",IF(COUNTIF('Internal -- Copyright Countries'!E:E,M37)&gt;0,"IP Office Shortest Name","Not a match")))))</f>
        <v>Not a match</v>
      </c>
      <c r="BO37" s="73"/>
      <c r="BP37" s="73"/>
      <c r="BQ37" s="73"/>
      <c r="BR37" s="73"/>
      <c r="BS37" s="74" t="str">
        <f t="shared" si="2"/>
        <v/>
      </c>
    </row>
    <row r="38" spans="1:71" ht="16.5">
      <c r="A38" s="69"/>
      <c r="B38" s="68"/>
      <c r="C38" s="68"/>
      <c r="D38" s="68"/>
      <c r="F38" s="68"/>
      <c r="J38" s="89"/>
      <c r="K38" s="69"/>
      <c r="L38" s="68"/>
      <c r="M38" s="96"/>
      <c r="O38" s="68"/>
      <c r="P38" s="68"/>
      <c r="Q38" s="68"/>
      <c r="R38" s="68"/>
      <c r="S38" s="69"/>
      <c r="T38" s="69"/>
      <c r="U38" s="69"/>
      <c r="V38" s="69"/>
      <c r="W38" s="69"/>
      <c r="AR38" s="68"/>
      <c r="AT38" s="93" t="str">
        <f t="shared" si="0"/>
        <v/>
      </c>
      <c r="AU38" s="93"/>
      <c r="AV38" s="68"/>
      <c r="AW38" s="93" t="str">
        <f t="shared" si="1"/>
        <v/>
      </c>
      <c r="BE38" s="69"/>
      <c r="BF38" s="72"/>
      <c r="BG38" s="72"/>
      <c r="BK38" s="72"/>
      <c r="BL38" s="72"/>
      <c r="BM38" s="95" t="str">
        <f>IF(M38="","",IF(BN38="not a match","",IF(BN38="IP Office Full Name",VLOOKUP(M38,'Internal -- Copyright Countries'!A:E,5,FALSE),IF(BN38="Polity Shortest Name",VLOOKUP(M38,'Internal -- Copyright Countries'!B:E,4,FALSE),IF(BN38="Polity Full Name",VLOOKUP(M38,'Internal -- Copyright Countries'!C:E,3,FALSE),IF(BN38="Polity Common Name",VLOOKUP(M38,'Internal -- Copyright Countries'!D:E,2,FALSE),IF(BN38="IP Office Shortest Name",M38)))))))</f>
        <v/>
      </c>
      <c r="BN38" s="73" t="str">
        <f>IF(COUNTIF('Internal -- Copyright Countries'!A:A,M38)&gt;0,"IP Office Full Name",IF(COUNTIF('Internal -- Copyright Countries'!B:B,M38)&gt;0,"Polity Shortest Name",IF(COUNTIF('Internal -- Copyright Countries'!C:C,M38)&gt;0,"Polity Full Name",IF(COUNTIF('Internal -- Copyright Countries'!D:D,M38)&gt;0,"Polity Common Name",IF(COUNTIF('Internal -- Copyright Countries'!E:E,M38)&gt;0,"IP Office Shortest Name","Not a match")))))</f>
        <v>Not a match</v>
      </c>
      <c r="BO38" s="73"/>
      <c r="BP38" s="73"/>
      <c r="BQ38" s="73"/>
      <c r="BR38" s="73"/>
      <c r="BS38" s="74" t="str">
        <f t="shared" si="2"/>
        <v/>
      </c>
    </row>
    <row r="39" spans="1:71" ht="16.5">
      <c r="A39" s="69"/>
      <c r="B39" s="68"/>
      <c r="C39" s="68"/>
      <c r="D39" s="68"/>
      <c r="F39" s="68"/>
      <c r="J39" s="89"/>
      <c r="K39" s="69"/>
      <c r="L39" s="68"/>
      <c r="M39" s="96"/>
      <c r="O39" s="68"/>
      <c r="P39" s="68"/>
      <c r="Q39" s="68"/>
      <c r="R39" s="68"/>
      <c r="S39" s="69"/>
      <c r="T39" s="69"/>
      <c r="U39" s="69"/>
      <c r="V39" s="69"/>
      <c r="W39" s="69"/>
      <c r="AR39" s="68"/>
      <c r="AT39" s="93" t="str">
        <f t="shared" si="0"/>
        <v/>
      </c>
      <c r="AU39" s="93"/>
      <c r="AV39" s="68"/>
      <c r="AW39" s="93" t="str">
        <f t="shared" si="1"/>
        <v/>
      </c>
      <c r="BE39" s="69"/>
      <c r="BF39" s="72"/>
      <c r="BG39" s="72"/>
      <c r="BK39" s="72"/>
      <c r="BL39" s="72"/>
      <c r="BM39" s="95" t="str">
        <f>IF(M39="","",IF(BN39="not a match","",IF(BN39="IP Office Full Name",VLOOKUP(M39,'Internal -- Copyright Countries'!A:E,5,FALSE),IF(BN39="Polity Shortest Name",VLOOKUP(M39,'Internal -- Copyright Countries'!B:E,4,FALSE),IF(BN39="Polity Full Name",VLOOKUP(M39,'Internal -- Copyright Countries'!C:E,3,FALSE),IF(BN39="Polity Common Name",VLOOKUP(M39,'Internal -- Copyright Countries'!D:E,2,FALSE),IF(BN39="IP Office Shortest Name",M39)))))))</f>
        <v/>
      </c>
      <c r="BN39" s="73" t="str">
        <f>IF(COUNTIF('Internal -- Copyright Countries'!A:A,M39)&gt;0,"IP Office Full Name",IF(COUNTIF('Internal -- Copyright Countries'!B:B,M39)&gt;0,"Polity Shortest Name",IF(COUNTIF('Internal -- Copyright Countries'!C:C,M39)&gt;0,"Polity Full Name",IF(COUNTIF('Internal -- Copyright Countries'!D:D,M39)&gt;0,"Polity Common Name",IF(COUNTIF('Internal -- Copyright Countries'!E:E,M39)&gt;0,"IP Office Shortest Name","Not a match")))))</f>
        <v>Not a match</v>
      </c>
      <c r="BO39" s="73"/>
      <c r="BP39" s="73"/>
      <c r="BQ39" s="73"/>
      <c r="BR39" s="73"/>
      <c r="BS39" s="74" t="str">
        <f t="shared" si="2"/>
        <v/>
      </c>
    </row>
    <row r="40" spans="1:71" ht="16.5">
      <c r="A40" s="69"/>
      <c r="B40" s="68"/>
      <c r="C40" s="68"/>
      <c r="D40" s="68"/>
      <c r="F40" s="68"/>
      <c r="J40" s="89"/>
      <c r="K40" s="69"/>
      <c r="L40" s="68"/>
      <c r="M40" s="96"/>
      <c r="O40" s="68"/>
      <c r="P40" s="68"/>
      <c r="Q40" s="68"/>
      <c r="R40" s="68"/>
      <c r="S40" s="69"/>
      <c r="T40" s="69"/>
      <c r="U40" s="69"/>
      <c r="V40" s="69"/>
      <c r="W40" s="69"/>
      <c r="AR40" s="68"/>
      <c r="AT40" s="93" t="str">
        <f t="shared" si="0"/>
        <v/>
      </c>
      <c r="AU40" s="93"/>
      <c r="AV40" s="68"/>
      <c r="AW40" s="93" t="str">
        <f t="shared" si="1"/>
        <v/>
      </c>
      <c r="BE40" s="69"/>
      <c r="BF40" s="72"/>
      <c r="BG40" s="72"/>
      <c r="BK40" s="72"/>
      <c r="BL40" s="72"/>
      <c r="BM40" s="95" t="str">
        <f>IF(M40="","",IF(BN40="not a match","",IF(BN40="IP Office Full Name",VLOOKUP(M40,'Internal -- Copyright Countries'!A:E,5,FALSE),IF(BN40="Polity Shortest Name",VLOOKUP(M40,'Internal -- Copyright Countries'!B:E,4,FALSE),IF(BN40="Polity Full Name",VLOOKUP(M40,'Internal -- Copyright Countries'!C:E,3,FALSE),IF(BN40="Polity Common Name",VLOOKUP(M40,'Internal -- Copyright Countries'!D:E,2,FALSE),IF(BN40="IP Office Shortest Name",M40)))))))</f>
        <v/>
      </c>
      <c r="BN40" s="73" t="str">
        <f>IF(COUNTIF('Internal -- Copyright Countries'!A:A,M40)&gt;0,"IP Office Full Name",IF(COUNTIF('Internal -- Copyright Countries'!B:B,M40)&gt;0,"Polity Shortest Name",IF(COUNTIF('Internal -- Copyright Countries'!C:C,M40)&gt;0,"Polity Full Name",IF(COUNTIF('Internal -- Copyright Countries'!D:D,M40)&gt;0,"Polity Common Name",IF(COUNTIF('Internal -- Copyright Countries'!E:E,M40)&gt;0,"IP Office Shortest Name","Not a match")))))</f>
        <v>Not a match</v>
      </c>
      <c r="BO40" s="73"/>
      <c r="BP40" s="73"/>
      <c r="BQ40" s="73"/>
      <c r="BR40" s="73"/>
      <c r="BS40" s="74" t="str">
        <f t="shared" si="2"/>
        <v/>
      </c>
    </row>
    <row r="41" spans="1:71" ht="16.5">
      <c r="A41" s="69"/>
      <c r="B41" s="68"/>
      <c r="C41" s="68"/>
      <c r="D41" s="68"/>
      <c r="F41" s="68"/>
      <c r="J41" s="89"/>
      <c r="K41" s="69"/>
      <c r="L41" s="68"/>
      <c r="M41" s="96"/>
      <c r="O41" s="68"/>
      <c r="P41" s="68"/>
      <c r="Q41" s="68"/>
      <c r="R41" s="68"/>
      <c r="S41" s="69"/>
      <c r="T41" s="69"/>
      <c r="U41" s="69"/>
      <c r="V41" s="69"/>
      <c r="W41" s="69"/>
      <c r="AR41" s="68"/>
      <c r="AT41" s="93" t="str">
        <f t="shared" si="0"/>
        <v/>
      </c>
      <c r="AU41" s="93"/>
      <c r="AV41" s="68"/>
      <c r="AW41" s="93" t="str">
        <f t="shared" si="1"/>
        <v/>
      </c>
      <c r="BE41" s="69"/>
      <c r="BF41" s="72"/>
      <c r="BG41" s="72"/>
      <c r="BK41" s="72"/>
      <c r="BL41" s="72"/>
      <c r="BM41" s="95" t="str">
        <f>IF(M41="","",IF(BN41="not a match","",IF(BN41="IP Office Full Name",VLOOKUP(M41,'Internal -- Copyright Countries'!A:E,5,FALSE),IF(BN41="Polity Shortest Name",VLOOKUP(M41,'Internal -- Copyright Countries'!B:E,4,FALSE),IF(BN41="Polity Full Name",VLOOKUP(M41,'Internal -- Copyright Countries'!C:E,3,FALSE),IF(BN41="Polity Common Name",VLOOKUP(M41,'Internal -- Copyright Countries'!D:E,2,FALSE),IF(BN41="IP Office Shortest Name",M41)))))))</f>
        <v/>
      </c>
      <c r="BN41" s="73" t="str">
        <f>IF(COUNTIF('Internal -- Copyright Countries'!A:A,M41)&gt;0,"IP Office Full Name",IF(COUNTIF('Internal -- Copyright Countries'!B:B,M41)&gt;0,"Polity Shortest Name",IF(COUNTIF('Internal -- Copyright Countries'!C:C,M41)&gt;0,"Polity Full Name",IF(COUNTIF('Internal -- Copyright Countries'!D:D,M41)&gt;0,"Polity Common Name",IF(COUNTIF('Internal -- Copyright Countries'!E:E,M41)&gt;0,"IP Office Shortest Name","Not a match")))))</f>
        <v>Not a match</v>
      </c>
      <c r="BO41" s="73"/>
      <c r="BP41" s="73"/>
      <c r="BQ41" s="73"/>
      <c r="BR41" s="73"/>
      <c r="BS41" s="74" t="str">
        <f t="shared" si="2"/>
        <v/>
      </c>
    </row>
    <row r="42" spans="1:71" ht="16.5">
      <c r="A42" s="69"/>
      <c r="B42" s="68"/>
      <c r="C42" s="68"/>
      <c r="D42" s="68"/>
      <c r="F42" s="68"/>
      <c r="J42" s="89"/>
      <c r="K42" s="69"/>
      <c r="L42" s="68"/>
      <c r="M42" s="96"/>
      <c r="O42" s="68"/>
      <c r="P42" s="68"/>
      <c r="Q42" s="68"/>
      <c r="R42" s="68"/>
      <c r="S42" s="69"/>
      <c r="T42" s="69"/>
      <c r="U42" s="69"/>
      <c r="V42" s="69"/>
      <c r="W42" s="69"/>
      <c r="AR42" s="68"/>
      <c r="AT42" s="93" t="str">
        <f t="shared" si="0"/>
        <v/>
      </c>
      <c r="AU42" s="93"/>
      <c r="AV42" s="68"/>
      <c r="AW42" s="93" t="str">
        <f t="shared" si="1"/>
        <v/>
      </c>
      <c r="BE42" s="69"/>
      <c r="BF42" s="72"/>
      <c r="BG42" s="72"/>
      <c r="BK42" s="72"/>
      <c r="BL42" s="72"/>
      <c r="BM42" s="95" t="str">
        <f>IF(M42="","",IF(BN42="not a match","",IF(BN42="IP Office Full Name",VLOOKUP(M42,'Internal -- Copyright Countries'!A:E,5,FALSE),IF(BN42="Polity Shortest Name",VLOOKUP(M42,'Internal -- Copyright Countries'!B:E,4,FALSE),IF(BN42="Polity Full Name",VLOOKUP(M42,'Internal -- Copyright Countries'!C:E,3,FALSE),IF(BN42="Polity Common Name",VLOOKUP(M42,'Internal -- Copyright Countries'!D:E,2,FALSE),IF(BN42="IP Office Shortest Name",M42)))))))</f>
        <v/>
      </c>
      <c r="BN42" s="73" t="str">
        <f>IF(COUNTIF('Internal -- Copyright Countries'!A:A,M42)&gt;0,"IP Office Full Name",IF(COUNTIF('Internal -- Copyright Countries'!B:B,M42)&gt;0,"Polity Shortest Name",IF(COUNTIF('Internal -- Copyright Countries'!C:C,M42)&gt;0,"Polity Full Name",IF(COUNTIF('Internal -- Copyright Countries'!D:D,M42)&gt;0,"Polity Common Name",IF(COUNTIF('Internal -- Copyright Countries'!E:E,M42)&gt;0,"IP Office Shortest Name","Not a match")))))</f>
        <v>Not a match</v>
      </c>
      <c r="BO42" s="73"/>
      <c r="BP42" s="73"/>
      <c r="BQ42" s="73"/>
      <c r="BR42" s="73"/>
      <c r="BS42" s="74" t="str">
        <f t="shared" si="2"/>
        <v/>
      </c>
    </row>
    <row r="43" spans="1:71" ht="16.5">
      <c r="A43" s="69"/>
      <c r="B43" s="68"/>
      <c r="C43" s="68"/>
      <c r="D43" s="68"/>
      <c r="F43" s="68"/>
      <c r="J43" s="89"/>
      <c r="K43" s="69"/>
      <c r="L43" s="68"/>
      <c r="M43" s="96"/>
      <c r="O43" s="68"/>
      <c r="P43" s="68"/>
      <c r="Q43" s="68"/>
      <c r="R43" s="68"/>
      <c r="S43" s="69"/>
      <c r="T43" s="69"/>
      <c r="U43" s="69"/>
      <c r="V43" s="69"/>
      <c r="W43" s="69"/>
      <c r="AR43" s="68"/>
      <c r="AT43" s="93" t="str">
        <f t="shared" si="0"/>
        <v/>
      </c>
      <c r="AU43" s="93"/>
      <c r="AV43" s="68"/>
      <c r="AW43" s="93" t="str">
        <f t="shared" si="1"/>
        <v/>
      </c>
      <c r="BE43" s="69"/>
      <c r="BF43" s="72"/>
      <c r="BG43" s="72"/>
      <c r="BK43" s="72"/>
      <c r="BL43" s="72"/>
      <c r="BM43" s="95" t="str">
        <f>IF(M43="","",IF(BN43="not a match","",IF(BN43="IP Office Full Name",VLOOKUP(M43,'Internal -- Copyright Countries'!A:E,5,FALSE),IF(BN43="Polity Shortest Name",VLOOKUP(M43,'Internal -- Copyright Countries'!B:E,4,FALSE),IF(BN43="Polity Full Name",VLOOKUP(M43,'Internal -- Copyright Countries'!C:E,3,FALSE),IF(BN43="Polity Common Name",VLOOKUP(M43,'Internal -- Copyright Countries'!D:E,2,FALSE),IF(BN43="IP Office Shortest Name",M43)))))))</f>
        <v/>
      </c>
      <c r="BN43" s="73" t="str">
        <f>IF(COUNTIF('Internal -- Copyright Countries'!A:A,M43)&gt;0,"IP Office Full Name",IF(COUNTIF('Internal -- Copyright Countries'!B:B,M43)&gt;0,"Polity Shortest Name",IF(COUNTIF('Internal -- Copyright Countries'!C:C,M43)&gt;0,"Polity Full Name",IF(COUNTIF('Internal -- Copyright Countries'!D:D,M43)&gt;0,"Polity Common Name",IF(COUNTIF('Internal -- Copyright Countries'!E:E,M43)&gt;0,"IP Office Shortest Name","Not a match")))))</f>
        <v>Not a match</v>
      </c>
      <c r="BO43" s="73"/>
      <c r="BP43" s="73"/>
      <c r="BQ43" s="73"/>
      <c r="BR43" s="73"/>
      <c r="BS43" s="74" t="str">
        <f t="shared" si="2"/>
        <v/>
      </c>
    </row>
    <row r="44" spans="1:71" ht="16.5">
      <c r="A44" s="69"/>
      <c r="B44" s="68"/>
      <c r="C44" s="68"/>
      <c r="D44" s="68"/>
      <c r="F44" s="68"/>
      <c r="J44" s="89"/>
      <c r="K44" s="69"/>
      <c r="L44" s="68"/>
      <c r="M44" s="96"/>
      <c r="O44" s="68"/>
      <c r="P44" s="68"/>
      <c r="Q44" s="68"/>
      <c r="R44" s="68"/>
      <c r="S44" s="69"/>
      <c r="T44" s="69"/>
      <c r="U44" s="69"/>
      <c r="V44" s="69"/>
      <c r="W44" s="69"/>
      <c r="AR44" s="68"/>
      <c r="AT44" s="93" t="str">
        <f t="shared" si="0"/>
        <v/>
      </c>
      <c r="AU44" s="93"/>
      <c r="AV44" s="68"/>
      <c r="AW44" s="93" t="str">
        <f t="shared" si="1"/>
        <v/>
      </c>
      <c r="BE44" s="69"/>
      <c r="BF44" s="72"/>
      <c r="BG44" s="72"/>
      <c r="BK44" s="72"/>
      <c r="BL44" s="72"/>
      <c r="BM44" s="95" t="str">
        <f>IF(M44="","",IF(BN44="not a match","",IF(BN44="IP Office Full Name",VLOOKUP(M44,'Internal -- Copyright Countries'!A:E,5,FALSE),IF(BN44="Polity Shortest Name",VLOOKUP(M44,'Internal -- Copyright Countries'!B:E,4,FALSE),IF(BN44="Polity Full Name",VLOOKUP(M44,'Internal -- Copyright Countries'!C:E,3,FALSE),IF(BN44="Polity Common Name",VLOOKUP(M44,'Internal -- Copyright Countries'!D:E,2,FALSE),IF(BN44="IP Office Shortest Name",M44)))))))</f>
        <v/>
      </c>
      <c r="BN44" s="73" t="str">
        <f>IF(COUNTIF('Internal -- Copyright Countries'!A:A,M44)&gt;0,"IP Office Full Name",IF(COUNTIF('Internal -- Copyright Countries'!B:B,M44)&gt;0,"Polity Shortest Name",IF(COUNTIF('Internal -- Copyright Countries'!C:C,M44)&gt;0,"Polity Full Name",IF(COUNTIF('Internal -- Copyright Countries'!D:D,M44)&gt;0,"Polity Common Name",IF(COUNTIF('Internal -- Copyright Countries'!E:E,M44)&gt;0,"IP Office Shortest Name","Not a match")))))</f>
        <v>Not a match</v>
      </c>
      <c r="BO44" s="73"/>
      <c r="BP44" s="73"/>
      <c r="BQ44" s="73"/>
      <c r="BR44" s="73"/>
      <c r="BS44" s="74" t="str">
        <f t="shared" si="2"/>
        <v/>
      </c>
    </row>
    <row r="45" spans="1:71" ht="16.5">
      <c r="A45" s="69"/>
      <c r="B45" s="68"/>
      <c r="C45" s="68"/>
      <c r="D45" s="68"/>
      <c r="F45" s="68"/>
      <c r="J45" s="89"/>
      <c r="K45" s="69"/>
      <c r="L45" s="68"/>
      <c r="M45" s="96"/>
      <c r="O45" s="68"/>
      <c r="P45" s="68"/>
      <c r="Q45" s="68"/>
      <c r="R45" s="68"/>
      <c r="S45" s="69"/>
      <c r="T45" s="69"/>
      <c r="U45" s="69"/>
      <c r="V45" s="69"/>
      <c r="W45" s="69"/>
      <c r="AR45" s="68"/>
      <c r="AT45" s="93" t="str">
        <f t="shared" si="0"/>
        <v/>
      </c>
      <c r="AU45" s="93"/>
      <c r="AV45" s="68"/>
      <c r="AW45" s="93" t="str">
        <f t="shared" si="1"/>
        <v/>
      </c>
      <c r="BE45" s="69"/>
      <c r="BF45" s="72"/>
      <c r="BG45" s="72"/>
      <c r="BK45" s="72"/>
      <c r="BL45" s="72"/>
      <c r="BM45" s="95" t="str">
        <f>IF(M45="","",IF(BN45="not a match","",IF(BN45="IP Office Full Name",VLOOKUP(M45,'Internal -- Copyright Countries'!A:E,5,FALSE),IF(BN45="Polity Shortest Name",VLOOKUP(M45,'Internal -- Copyright Countries'!B:E,4,FALSE),IF(BN45="Polity Full Name",VLOOKUP(M45,'Internal -- Copyright Countries'!C:E,3,FALSE),IF(BN45="Polity Common Name",VLOOKUP(M45,'Internal -- Copyright Countries'!D:E,2,FALSE),IF(BN45="IP Office Shortest Name",M45)))))))</f>
        <v/>
      </c>
      <c r="BN45" s="73" t="str">
        <f>IF(COUNTIF('Internal -- Copyright Countries'!A:A,M45)&gt;0,"IP Office Full Name",IF(COUNTIF('Internal -- Copyright Countries'!B:B,M45)&gt;0,"Polity Shortest Name",IF(COUNTIF('Internal -- Copyright Countries'!C:C,M45)&gt;0,"Polity Full Name",IF(COUNTIF('Internal -- Copyright Countries'!D:D,M45)&gt;0,"Polity Common Name",IF(COUNTIF('Internal -- Copyright Countries'!E:E,M45)&gt;0,"IP Office Shortest Name","Not a match")))))</f>
        <v>Not a match</v>
      </c>
      <c r="BO45" s="73"/>
      <c r="BP45" s="73"/>
      <c r="BQ45" s="73"/>
      <c r="BR45" s="73"/>
      <c r="BS45" s="74" t="str">
        <f t="shared" si="2"/>
        <v/>
      </c>
    </row>
    <row r="46" spans="1:71" ht="16.5">
      <c r="A46" s="69"/>
      <c r="B46" s="68"/>
      <c r="C46" s="68"/>
      <c r="D46" s="68"/>
      <c r="F46" s="68"/>
      <c r="J46" s="89"/>
      <c r="K46" s="69"/>
      <c r="L46" s="68"/>
      <c r="M46" s="96"/>
      <c r="O46" s="68"/>
      <c r="P46" s="68"/>
      <c r="Q46" s="68"/>
      <c r="R46" s="68"/>
      <c r="S46" s="69"/>
      <c r="T46" s="69"/>
      <c r="U46" s="69"/>
      <c r="V46" s="69"/>
      <c r="W46" s="69"/>
      <c r="AR46" s="68"/>
      <c r="AT46" s="93" t="str">
        <f t="shared" si="0"/>
        <v/>
      </c>
      <c r="AU46" s="93"/>
      <c r="AV46" s="68"/>
      <c r="AW46" s="93" t="str">
        <f t="shared" si="1"/>
        <v/>
      </c>
      <c r="BE46" s="69"/>
      <c r="BF46" s="72"/>
      <c r="BG46" s="72"/>
      <c r="BK46" s="72"/>
      <c r="BL46" s="72"/>
      <c r="BM46" s="95" t="str">
        <f>IF(M46="","",IF(BN46="not a match","",IF(BN46="IP Office Full Name",VLOOKUP(M46,'Internal -- Copyright Countries'!A:E,5,FALSE),IF(BN46="Polity Shortest Name",VLOOKUP(M46,'Internal -- Copyright Countries'!B:E,4,FALSE),IF(BN46="Polity Full Name",VLOOKUP(M46,'Internal -- Copyright Countries'!C:E,3,FALSE),IF(BN46="Polity Common Name",VLOOKUP(M46,'Internal -- Copyright Countries'!D:E,2,FALSE),IF(BN46="IP Office Shortest Name",M46)))))))</f>
        <v/>
      </c>
      <c r="BN46" s="73" t="str">
        <f>IF(COUNTIF('Internal -- Copyright Countries'!A:A,M46)&gt;0,"IP Office Full Name",IF(COUNTIF('Internal -- Copyright Countries'!B:B,M46)&gt;0,"Polity Shortest Name",IF(COUNTIF('Internal -- Copyright Countries'!C:C,M46)&gt;0,"Polity Full Name",IF(COUNTIF('Internal -- Copyright Countries'!D:D,M46)&gt;0,"Polity Common Name",IF(COUNTIF('Internal -- Copyright Countries'!E:E,M46)&gt;0,"IP Office Shortest Name","Not a match")))))</f>
        <v>Not a match</v>
      </c>
      <c r="BO46" s="73"/>
      <c r="BP46" s="73"/>
      <c r="BQ46" s="73"/>
      <c r="BR46" s="73"/>
      <c r="BS46" s="74" t="str">
        <f t="shared" si="2"/>
        <v/>
      </c>
    </row>
    <row r="47" spans="1:71" ht="16.5">
      <c r="A47" s="69"/>
      <c r="B47" s="68"/>
      <c r="C47" s="68"/>
      <c r="D47" s="68"/>
      <c r="F47" s="68"/>
      <c r="J47" s="89"/>
      <c r="K47" s="69"/>
      <c r="L47" s="68"/>
      <c r="M47" s="96"/>
      <c r="O47" s="68"/>
      <c r="P47" s="68"/>
      <c r="Q47" s="68"/>
      <c r="R47" s="68"/>
      <c r="S47" s="69"/>
      <c r="T47" s="69"/>
      <c r="U47" s="69"/>
      <c r="V47" s="69"/>
      <c r="W47" s="69"/>
      <c r="AR47" s="68"/>
      <c r="AT47" s="93" t="str">
        <f t="shared" si="0"/>
        <v/>
      </c>
      <c r="AU47" s="93"/>
      <c r="AV47" s="68"/>
      <c r="AW47" s="93" t="str">
        <f t="shared" si="1"/>
        <v/>
      </c>
      <c r="BE47" s="69"/>
      <c r="BF47" s="72"/>
      <c r="BG47" s="72"/>
      <c r="BK47" s="72"/>
      <c r="BL47" s="72"/>
      <c r="BM47" s="95" t="str">
        <f>IF(M47="","",IF(BN47="not a match","",IF(BN47="IP Office Full Name",VLOOKUP(M47,'Internal -- Copyright Countries'!A:E,5,FALSE),IF(BN47="Polity Shortest Name",VLOOKUP(M47,'Internal -- Copyright Countries'!B:E,4,FALSE),IF(BN47="Polity Full Name",VLOOKUP(M47,'Internal -- Copyright Countries'!C:E,3,FALSE),IF(BN47="Polity Common Name",VLOOKUP(M47,'Internal -- Copyright Countries'!D:E,2,FALSE),IF(BN47="IP Office Shortest Name",M47)))))))</f>
        <v/>
      </c>
      <c r="BN47" s="73" t="str">
        <f>IF(COUNTIF('Internal -- Copyright Countries'!A:A,M47)&gt;0,"IP Office Full Name",IF(COUNTIF('Internal -- Copyright Countries'!B:B,M47)&gt;0,"Polity Shortest Name",IF(COUNTIF('Internal -- Copyright Countries'!C:C,M47)&gt;0,"Polity Full Name",IF(COUNTIF('Internal -- Copyright Countries'!D:D,M47)&gt;0,"Polity Common Name",IF(COUNTIF('Internal -- Copyright Countries'!E:E,M47)&gt;0,"IP Office Shortest Name","Not a match")))))</f>
        <v>Not a match</v>
      </c>
      <c r="BO47" s="73"/>
      <c r="BP47" s="73"/>
      <c r="BQ47" s="73"/>
      <c r="BR47" s="73"/>
      <c r="BS47" s="74" t="str">
        <f t="shared" si="2"/>
        <v/>
      </c>
    </row>
    <row r="48" spans="1:71" ht="16.5">
      <c r="A48" s="69"/>
      <c r="B48" s="68"/>
      <c r="C48" s="68"/>
      <c r="D48" s="68"/>
      <c r="F48" s="68"/>
      <c r="J48" s="89"/>
      <c r="K48" s="69"/>
      <c r="L48" s="68"/>
      <c r="M48" s="96"/>
      <c r="O48" s="68"/>
      <c r="P48" s="68"/>
      <c r="Q48" s="68"/>
      <c r="R48" s="68"/>
      <c r="S48" s="69"/>
      <c r="T48" s="69"/>
      <c r="U48" s="69"/>
      <c r="V48" s="69"/>
      <c r="W48" s="69"/>
      <c r="AR48" s="68"/>
      <c r="AT48" s="93" t="str">
        <f t="shared" si="0"/>
        <v/>
      </c>
      <c r="AU48" s="93"/>
      <c r="AV48" s="68"/>
      <c r="AW48" s="93" t="str">
        <f t="shared" si="1"/>
        <v/>
      </c>
      <c r="BE48" s="69"/>
      <c r="BF48" s="72"/>
      <c r="BG48" s="72"/>
      <c r="BK48" s="72"/>
      <c r="BL48" s="72"/>
      <c r="BM48" s="95" t="str">
        <f>IF(M48="","",IF(BN48="not a match","",IF(BN48="IP Office Full Name",VLOOKUP(M48,'Internal -- Copyright Countries'!A:E,5,FALSE),IF(BN48="Polity Shortest Name",VLOOKUP(M48,'Internal -- Copyright Countries'!B:E,4,FALSE),IF(BN48="Polity Full Name",VLOOKUP(M48,'Internal -- Copyright Countries'!C:E,3,FALSE),IF(BN48="Polity Common Name",VLOOKUP(M48,'Internal -- Copyright Countries'!D:E,2,FALSE),IF(BN48="IP Office Shortest Name",M48)))))))</f>
        <v/>
      </c>
      <c r="BN48" s="73" t="str">
        <f>IF(COUNTIF('Internal -- Copyright Countries'!A:A,M48)&gt;0,"IP Office Full Name",IF(COUNTIF('Internal -- Copyright Countries'!B:B,M48)&gt;0,"Polity Shortest Name",IF(COUNTIF('Internal -- Copyright Countries'!C:C,M48)&gt;0,"Polity Full Name",IF(COUNTIF('Internal -- Copyright Countries'!D:D,M48)&gt;0,"Polity Common Name",IF(COUNTIF('Internal -- Copyright Countries'!E:E,M48)&gt;0,"IP Office Shortest Name","Not a match")))))</f>
        <v>Not a match</v>
      </c>
      <c r="BO48" s="73"/>
      <c r="BP48" s="73"/>
      <c r="BQ48" s="73"/>
      <c r="BR48" s="73"/>
      <c r="BS48" s="74" t="str">
        <f t="shared" si="2"/>
        <v/>
      </c>
    </row>
    <row r="49" spans="1:71" ht="16.5">
      <c r="A49" s="69"/>
      <c r="B49" s="68"/>
      <c r="C49" s="68"/>
      <c r="D49" s="68"/>
      <c r="F49" s="68"/>
      <c r="J49" s="89"/>
      <c r="K49" s="69"/>
      <c r="L49" s="68"/>
      <c r="M49" s="96"/>
      <c r="O49" s="68"/>
      <c r="P49" s="68"/>
      <c r="Q49" s="68"/>
      <c r="R49" s="68"/>
      <c r="S49" s="69"/>
      <c r="T49" s="69"/>
      <c r="U49" s="69"/>
      <c r="V49" s="69"/>
      <c r="W49" s="69"/>
      <c r="AR49" s="68"/>
      <c r="AT49" s="93" t="str">
        <f t="shared" si="0"/>
        <v/>
      </c>
      <c r="AU49" s="93"/>
      <c r="AV49" s="68"/>
      <c r="AW49" s="93" t="str">
        <f t="shared" si="1"/>
        <v/>
      </c>
      <c r="BE49" s="69"/>
      <c r="BF49" s="72"/>
      <c r="BG49" s="72"/>
      <c r="BK49" s="72"/>
      <c r="BL49" s="72"/>
      <c r="BM49" s="95" t="str">
        <f>IF(M49="","",IF(BN49="not a match","",IF(BN49="IP Office Full Name",VLOOKUP(M49,'Internal -- Copyright Countries'!A:E,5,FALSE),IF(BN49="Polity Shortest Name",VLOOKUP(M49,'Internal -- Copyright Countries'!B:E,4,FALSE),IF(BN49="Polity Full Name",VLOOKUP(M49,'Internal -- Copyright Countries'!C:E,3,FALSE),IF(BN49="Polity Common Name",VLOOKUP(M49,'Internal -- Copyright Countries'!D:E,2,FALSE),IF(BN49="IP Office Shortest Name",M49)))))))</f>
        <v/>
      </c>
      <c r="BN49" s="73" t="str">
        <f>IF(COUNTIF('Internal -- Copyright Countries'!A:A,M49)&gt;0,"IP Office Full Name",IF(COUNTIF('Internal -- Copyright Countries'!B:B,M49)&gt;0,"Polity Shortest Name",IF(COUNTIF('Internal -- Copyright Countries'!C:C,M49)&gt;0,"Polity Full Name",IF(COUNTIF('Internal -- Copyright Countries'!D:D,M49)&gt;0,"Polity Common Name",IF(COUNTIF('Internal -- Copyright Countries'!E:E,M49)&gt;0,"IP Office Shortest Name","Not a match")))))</f>
        <v>Not a match</v>
      </c>
      <c r="BO49" s="73"/>
      <c r="BP49" s="73"/>
      <c r="BQ49" s="73"/>
      <c r="BR49" s="73"/>
      <c r="BS49" s="74" t="str">
        <f t="shared" si="2"/>
        <v/>
      </c>
    </row>
    <row r="50" spans="1:71" ht="16.5">
      <c r="A50" s="69"/>
      <c r="B50" s="68"/>
      <c r="C50" s="68"/>
      <c r="D50" s="68"/>
      <c r="F50" s="68"/>
      <c r="J50" s="89"/>
      <c r="K50" s="69"/>
      <c r="L50" s="68"/>
      <c r="M50" s="96"/>
      <c r="O50" s="68"/>
      <c r="P50" s="68"/>
      <c r="Q50" s="68"/>
      <c r="R50" s="68"/>
      <c r="S50" s="69"/>
      <c r="T50" s="69"/>
      <c r="U50" s="69"/>
      <c r="V50" s="69"/>
      <c r="W50" s="69"/>
      <c r="AR50" s="68"/>
      <c r="AT50" s="93" t="str">
        <f t="shared" si="0"/>
        <v/>
      </c>
      <c r="AU50" s="93"/>
      <c r="AV50" s="68"/>
      <c r="AW50" s="93" t="str">
        <f t="shared" si="1"/>
        <v/>
      </c>
      <c r="BE50" s="69"/>
      <c r="BF50" s="72"/>
      <c r="BG50" s="72"/>
      <c r="BK50" s="72"/>
      <c r="BL50" s="72"/>
      <c r="BM50" s="95" t="str">
        <f>IF(M50="","",IF(BN50="not a match","",IF(BN50="IP Office Full Name",VLOOKUP(M50,'Internal -- Copyright Countries'!A:E,5,FALSE),IF(BN50="Polity Shortest Name",VLOOKUP(M50,'Internal -- Copyright Countries'!B:E,4,FALSE),IF(BN50="Polity Full Name",VLOOKUP(M50,'Internal -- Copyright Countries'!C:E,3,FALSE),IF(BN50="Polity Common Name",VLOOKUP(M50,'Internal -- Copyright Countries'!D:E,2,FALSE),IF(BN50="IP Office Shortest Name",M50)))))))</f>
        <v/>
      </c>
      <c r="BN50" s="73" t="str">
        <f>IF(COUNTIF('Internal -- Copyright Countries'!A:A,M50)&gt;0,"IP Office Full Name",IF(COUNTIF('Internal -- Copyright Countries'!B:B,M50)&gt;0,"Polity Shortest Name",IF(COUNTIF('Internal -- Copyright Countries'!C:C,M50)&gt;0,"Polity Full Name",IF(COUNTIF('Internal -- Copyright Countries'!D:D,M50)&gt;0,"Polity Common Name",IF(COUNTIF('Internal -- Copyright Countries'!E:E,M50)&gt;0,"IP Office Shortest Name","Not a match")))))</f>
        <v>Not a match</v>
      </c>
      <c r="BO50" s="73"/>
      <c r="BP50" s="73"/>
      <c r="BQ50" s="73"/>
      <c r="BR50" s="73"/>
      <c r="BS50" s="74" t="str">
        <f t="shared" si="2"/>
        <v/>
      </c>
    </row>
    <row r="51" spans="1:71" ht="16.5">
      <c r="A51" s="69"/>
      <c r="B51" s="68"/>
      <c r="C51" s="68"/>
      <c r="D51" s="68"/>
      <c r="F51" s="68"/>
      <c r="J51" s="89"/>
      <c r="K51" s="69"/>
      <c r="L51" s="68"/>
      <c r="M51" s="96"/>
      <c r="O51" s="68"/>
      <c r="P51" s="68"/>
      <c r="Q51" s="68"/>
      <c r="R51" s="68"/>
      <c r="S51" s="69"/>
      <c r="T51" s="69"/>
      <c r="U51" s="69"/>
      <c r="V51" s="69"/>
      <c r="W51" s="69"/>
      <c r="AR51" s="68"/>
      <c r="AT51" s="93" t="str">
        <f t="shared" si="0"/>
        <v/>
      </c>
      <c r="AU51" s="93"/>
      <c r="AV51" s="68"/>
      <c r="AW51" s="93" t="str">
        <f t="shared" si="1"/>
        <v/>
      </c>
      <c r="BE51" s="69"/>
      <c r="BF51" s="72"/>
      <c r="BG51" s="72"/>
      <c r="BK51" s="72"/>
      <c r="BL51" s="72"/>
      <c r="BM51" s="95" t="str">
        <f>IF(M51="","",IF(BN51="not a match","",IF(BN51="IP Office Full Name",VLOOKUP(M51,'Internal -- Copyright Countries'!A:E,5,FALSE),IF(BN51="Polity Shortest Name",VLOOKUP(M51,'Internal -- Copyright Countries'!B:E,4,FALSE),IF(BN51="Polity Full Name",VLOOKUP(M51,'Internal -- Copyright Countries'!C:E,3,FALSE),IF(BN51="Polity Common Name",VLOOKUP(M51,'Internal -- Copyright Countries'!D:E,2,FALSE),IF(BN51="IP Office Shortest Name",M51)))))))</f>
        <v/>
      </c>
      <c r="BN51" s="73" t="str">
        <f>IF(COUNTIF('Internal -- Copyright Countries'!A:A,M51)&gt;0,"IP Office Full Name",IF(COUNTIF('Internal -- Copyright Countries'!B:B,M51)&gt;0,"Polity Shortest Name",IF(COUNTIF('Internal -- Copyright Countries'!C:C,M51)&gt;0,"Polity Full Name",IF(COUNTIF('Internal -- Copyright Countries'!D:D,M51)&gt;0,"Polity Common Name",IF(COUNTIF('Internal -- Copyright Countries'!E:E,M51)&gt;0,"IP Office Shortest Name","Not a match")))))</f>
        <v>Not a match</v>
      </c>
      <c r="BO51" s="73"/>
      <c r="BP51" s="73"/>
      <c r="BQ51" s="73"/>
      <c r="BR51" s="73"/>
      <c r="BS51" s="74" t="str">
        <f t="shared" si="2"/>
        <v/>
      </c>
    </row>
    <row r="52" spans="1:71" ht="16.5">
      <c r="A52" s="69"/>
      <c r="B52" s="68"/>
      <c r="C52" s="68"/>
      <c r="D52" s="68"/>
      <c r="F52" s="68"/>
      <c r="J52" s="89"/>
      <c r="K52" s="69"/>
      <c r="L52" s="68"/>
      <c r="M52" s="96"/>
      <c r="O52" s="68"/>
      <c r="P52" s="68"/>
      <c r="Q52" s="68"/>
      <c r="R52" s="68"/>
      <c r="S52" s="69"/>
      <c r="T52" s="69"/>
      <c r="U52" s="69"/>
      <c r="V52" s="69"/>
      <c r="W52" s="69"/>
      <c r="AR52" s="68"/>
      <c r="AT52" s="93" t="str">
        <f t="shared" si="0"/>
        <v/>
      </c>
      <c r="AU52" s="93"/>
      <c r="AV52" s="68"/>
      <c r="AW52" s="93" t="str">
        <f t="shared" si="1"/>
        <v/>
      </c>
      <c r="BE52" s="69"/>
      <c r="BF52" s="72"/>
      <c r="BG52" s="72"/>
      <c r="BK52" s="72"/>
      <c r="BL52" s="72"/>
      <c r="BM52" s="95" t="str">
        <f>IF(M52="","",IF(BN52="not a match","",IF(BN52="IP Office Full Name",VLOOKUP(M52,'Internal -- Copyright Countries'!A:E,5,FALSE),IF(BN52="Polity Shortest Name",VLOOKUP(M52,'Internal -- Copyright Countries'!B:E,4,FALSE),IF(BN52="Polity Full Name",VLOOKUP(M52,'Internal -- Copyright Countries'!C:E,3,FALSE),IF(BN52="Polity Common Name",VLOOKUP(M52,'Internal -- Copyright Countries'!D:E,2,FALSE),IF(BN52="IP Office Shortest Name",M52)))))))</f>
        <v/>
      </c>
      <c r="BN52" s="73" t="str">
        <f>IF(COUNTIF('Internal -- Copyright Countries'!A:A,M52)&gt;0,"IP Office Full Name",IF(COUNTIF('Internal -- Copyright Countries'!B:B,M52)&gt;0,"Polity Shortest Name",IF(COUNTIF('Internal -- Copyright Countries'!C:C,M52)&gt;0,"Polity Full Name",IF(COUNTIF('Internal -- Copyright Countries'!D:D,M52)&gt;0,"Polity Common Name",IF(COUNTIF('Internal -- Copyright Countries'!E:E,M52)&gt;0,"IP Office Shortest Name","Not a match")))))</f>
        <v>Not a match</v>
      </c>
      <c r="BO52" s="73"/>
      <c r="BP52" s="73"/>
      <c r="BQ52" s="73"/>
      <c r="BR52" s="73"/>
      <c r="BS52" s="74" t="str">
        <f t="shared" si="2"/>
        <v/>
      </c>
    </row>
    <row r="53" spans="1:71" ht="16.5">
      <c r="A53" s="69"/>
      <c r="B53" s="68"/>
      <c r="C53" s="68"/>
      <c r="D53" s="68"/>
      <c r="F53" s="68"/>
      <c r="J53" s="89"/>
      <c r="K53" s="69"/>
      <c r="L53" s="68"/>
      <c r="M53" s="96"/>
      <c r="O53" s="68"/>
      <c r="P53" s="68"/>
      <c r="Q53" s="68"/>
      <c r="R53" s="68"/>
      <c r="S53" s="69"/>
      <c r="T53" s="69"/>
      <c r="U53" s="69"/>
      <c r="V53" s="69"/>
      <c r="W53" s="69"/>
      <c r="AR53" s="68"/>
      <c r="AT53" s="93" t="str">
        <f t="shared" si="0"/>
        <v/>
      </c>
      <c r="AU53" s="93"/>
      <c r="AV53" s="68"/>
      <c r="AW53" s="93" t="str">
        <f t="shared" si="1"/>
        <v/>
      </c>
      <c r="BE53" s="69"/>
      <c r="BF53" s="72"/>
      <c r="BG53" s="72"/>
      <c r="BK53" s="72"/>
      <c r="BL53" s="72"/>
      <c r="BM53" s="95" t="str">
        <f>IF(M53="","",IF(BN53="not a match","",IF(BN53="IP Office Full Name",VLOOKUP(M53,'Internal -- Copyright Countries'!A:E,5,FALSE),IF(BN53="Polity Shortest Name",VLOOKUP(M53,'Internal -- Copyright Countries'!B:E,4,FALSE),IF(BN53="Polity Full Name",VLOOKUP(M53,'Internal -- Copyright Countries'!C:E,3,FALSE),IF(BN53="Polity Common Name",VLOOKUP(M53,'Internal -- Copyright Countries'!D:E,2,FALSE),IF(BN53="IP Office Shortest Name",M53)))))))</f>
        <v/>
      </c>
      <c r="BN53" s="73" t="str">
        <f>IF(COUNTIF('Internal -- Copyright Countries'!A:A,M53)&gt;0,"IP Office Full Name",IF(COUNTIF('Internal -- Copyright Countries'!B:B,M53)&gt;0,"Polity Shortest Name",IF(COUNTIF('Internal -- Copyright Countries'!C:C,M53)&gt;0,"Polity Full Name",IF(COUNTIF('Internal -- Copyright Countries'!D:D,M53)&gt;0,"Polity Common Name",IF(COUNTIF('Internal -- Copyright Countries'!E:E,M53)&gt;0,"IP Office Shortest Name","Not a match")))))</f>
        <v>Not a match</v>
      </c>
      <c r="BO53" s="73"/>
      <c r="BP53" s="73"/>
      <c r="BQ53" s="73"/>
      <c r="BR53" s="73"/>
      <c r="BS53" s="74" t="str">
        <f t="shared" si="2"/>
        <v/>
      </c>
    </row>
    <row r="54" spans="1:71" ht="16.5">
      <c r="A54" s="69"/>
      <c r="B54" s="68"/>
      <c r="C54" s="68"/>
      <c r="D54" s="68"/>
      <c r="F54" s="68"/>
      <c r="J54" s="89"/>
      <c r="K54" s="69"/>
      <c r="L54" s="68"/>
      <c r="M54" s="96"/>
      <c r="O54" s="68"/>
      <c r="P54" s="68"/>
      <c r="Q54" s="68"/>
      <c r="R54" s="68"/>
      <c r="S54" s="69"/>
      <c r="T54" s="69"/>
      <c r="U54" s="69"/>
      <c r="V54" s="69"/>
      <c r="W54" s="69"/>
      <c r="AR54" s="68"/>
      <c r="AT54" s="93" t="str">
        <f t="shared" si="0"/>
        <v/>
      </c>
      <c r="AU54" s="93"/>
      <c r="AV54" s="68"/>
      <c r="AW54" s="93" t="str">
        <f t="shared" si="1"/>
        <v/>
      </c>
      <c r="BE54" s="69"/>
      <c r="BF54" s="72"/>
      <c r="BG54" s="72"/>
      <c r="BK54" s="72"/>
      <c r="BL54" s="72"/>
      <c r="BM54" s="95" t="str">
        <f>IF(M54="","",IF(BN54="not a match","",IF(BN54="IP Office Full Name",VLOOKUP(M54,'Internal -- Copyright Countries'!A:E,5,FALSE),IF(BN54="Polity Shortest Name",VLOOKUP(M54,'Internal -- Copyright Countries'!B:E,4,FALSE),IF(BN54="Polity Full Name",VLOOKUP(M54,'Internal -- Copyright Countries'!C:E,3,FALSE),IF(BN54="Polity Common Name",VLOOKUP(M54,'Internal -- Copyright Countries'!D:E,2,FALSE),IF(BN54="IP Office Shortest Name",M54)))))))</f>
        <v/>
      </c>
      <c r="BN54" s="73" t="str">
        <f>IF(COUNTIF('Internal -- Copyright Countries'!A:A,M54)&gt;0,"IP Office Full Name",IF(COUNTIF('Internal -- Copyright Countries'!B:B,M54)&gt;0,"Polity Shortest Name",IF(COUNTIF('Internal -- Copyright Countries'!C:C,M54)&gt;0,"Polity Full Name",IF(COUNTIF('Internal -- Copyright Countries'!D:D,M54)&gt;0,"Polity Common Name",IF(COUNTIF('Internal -- Copyright Countries'!E:E,M54)&gt;0,"IP Office Shortest Name","Not a match")))))</f>
        <v>Not a match</v>
      </c>
      <c r="BO54" s="73"/>
      <c r="BP54" s="73"/>
      <c r="BQ54" s="73"/>
      <c r="BR54" s="73"/>
      <c r="BS54" s="74" t="str">
        <f t="shared" si="2"/>
        <v/>
      </c>
    </row>
    <row r="55" spans="1:71" ht="16.5">
      <c r="A55" s="69"/>
      <c r="B55" s="68"/>
      <c r="C55" s="68"/>
      <c r="D55" s="68"/>
      <c r="F55" s="68"/>
      <c r="J55" s="89"/>
      <c r="K55" s="69"/>
      <c r="L55" s="68"/>
      <c r="M55" s="96"/>
      <c r="O55" s="68"/>
      <c r="P55" s="68"/>
      <c r="Q55" s="68"/>
      <c r="R55" s="68"/>
      <c r="S55" s="69"/>
      <c r="T55" s="69"/>
      <c r="U55" s="69"/>
      <c r="V55" s="69"/>
      <c r="W55" s="69"/>
      <c r="AR55" s="68"/>
      <c r="AT55" s="93" t="str">
        <f t="shared" si="0"/>
        <v/>
      </c>
      <c r="AU55" s="93"/>
      <c r="AV55" s="68"/>
      <c r="AW55" s="93" t="str">
        <f t="shared" si="1"/>
        <v/>
      </c>
      <c r="BE55" s="69"/>
      <c r="BF55" s="72"/>
      <c r="BG55" s="72"/>
      <c r="BK55" s="72"/>
      <c r="BL55" s="72"/>
      <c r="BM55" s="95" t="str">
        <f>IF(M55="","",IF(BN55="not a match","",IF(BN55="IP Office Full Name",VLOOKUP(M55,'Internal -- Copyright Countries'!A:E,5,FALSE),IF(BN55="Polity Shortest Name",VLOOKUP(M55,'Internal -- Copyright Countries'!B:E,4,FALSE),IF(BN55="Polity Full Name",VLOOKUP(M55,'Internal -- Copyright Countries'!C:E,3,FALSE),IF(BN55="Polity Common Name",VLOOKUP(M55,'Internal -- Copyright Countries'!D:E,2,FALSE),IF(BN55="IP Office Shortest Name",M55)))))))</f>
        <v/>
      </c>
      <c r="BN55" s="73" t="str">
        <f>IF(COUNTIF('Internal -- Copyright Countries'!A:A,M55)&gt;0,"IP Office Full Name",IF(COUNTIF('Internal -- Copyright Countries'!B:B,M55)&gt;0,"Polity Shortest Name",IF(COUNTIF('Internal -- Copyright Countries'!C:C,M55)&gt;0,"Polity Full Name",IF(COUNTIF('Internal -- Copyright Countries'!D:D,M55)&gt;0,"Polity Common Name",IF(COUNTIF('Internal -- Copyright Countries'!E:E,M55)&gt;0,"IP Office Shortest Name","Not a match")))))</f>
        <v>Not a match</v>
      </c>
      <c r="BO55" s="73"/>
      <c r="BP55" s="73"/>
      <c r="BQ55" s="73"/>
      <c r="BR55" s="73"/>
      <c r="BS55" s="74" t="str">
        <f t="shared" si="2"/>
        <v/>
      </c>
    </row>
    <row r="56" spans="1:71" ht="16.5">
      <c r="A56" s="69"/>
      <c r="B56" s="68"/>
      <c r="C56" s="68"/>
      <c r="D56" s="68"/>
      <c r="F56" s="68"/>
      <c r="J56" s="89"/>
      <c r="K56" s="69"/>
      <c r="L56" s="68"/>
      <c r="M56" s="96"/>
      <c r="O56" s="68"/>
      <c r="P56" s="68"/>
      <c r="Q56" s="68"/>
      <c r="R56" s="68"/>
      <c r="S56" s="69"/>
      <c r="T56" s="69"/>
      <c r="U56" s="69"/>
      <c r="V56" s="69"/>
      <c r="W56" s="69"/>
      <c r="AR56" s="68"/>
      <c r="AT56" s="93" t="str">
        <f t="shared" si="0"/>
        <v/>
      </c>
      <c r="AU56" s="93"/>
      <c r="AV56" s="68"/>
      <c r="AW56" s="93" t="str">
        <f t="shared" si="1"/>
        <v/>
      </c>
      <c r="BE56" s="69"/>
      <c r="BF56" s="72"/>
      <c r="BG56" s="72"/>
      <c r="BK56" s="72"/>
      <c r="BL56" s="72"/>
      <c r="BM56" s="95" t="str">
        <f>IF(M56="","",IF(BN56="not a match","",IF(BN56="IP Office Full Name",VLOOKUP(M56,'Internal -- Copyright Countries'!A:E,5,FALSE),IF(BN56="Polity Shortest Name",VLOOKUP(M56,'Internal -- Copyright Countries'!B:E,4,FALSE),IF(BN56="Polity Full Name",VLOOKUP(M56,'Internal -- Copyright Countries'!C:E,3,FALSE),IF(BN56="Polity Common Name",VLOOKUP(M56,'Internal -- Copyright Countries'!D:E,2,FALSE),IF(BN56="IP Office Shortest Name",M56)))))))</f>
        <v/>
      </c>
      <c r="BN56" s="73" t="str">
        <f>IF(COUNTIF('Internal -- Copyright Countries'!A:A,M56)&gt;0,"IP Office Full Name",IF(COUNTIF('Internal -- Copyright Countries'!B:B,M56)&gt;0,"Polity Shortest Name",IF(COUNTIF('Internal -- Copyright Countries'!C:C,M56)&gt;0,"Polity Full Name",IF(COUNTIF('Internal -- Copyright Countries'!D:D,M56)&gt;0,"Polity Common Name",IF(COUNTIF('Internal -- Copyright Countries'!E:E,M56)&gt;0,"IP Office Shortest Name","Not a match")))))</f>
        <v>Not a match</v>
      </c>
      <c r="BO56" s="73"/>
      <c r="BP56" s="73"/>
      <c r="BQ56" s="73"/>
      <c r="BR56" s="73"/>
      <c r="BS56" s="74" t="str">
        <f t="shared" si="2"/>
        <v/>
      </c>
    </row>
    <row r="57" spans="1:71" ht="16.5">
      <c r="A57" s="69"/>
      <c r="B57" s="68"/>
      <c r="C57" s="68"/>
      <c r="D57" s="68"/>
      <c r="F57" s="68"/>
      <c r="J57" s="89"/>
      <c r="K57" s="69"/>
      <c r="L57" s="68"/>
      <c r="M57" s="96"/>
      <c r="O57" s="68"/>
      <c r="P57" s="68"/>
      <c r="Q57" s="68"/>
      <c r="R57" s="68"/>
      <c r="S57" s="69"/>
      <c r="T57" s="69"/>
      <c r="U57" s="69"/>
      <c r="V57" s="69"/>
      <c r="W57" s="69"/>
      <c r="AR57" s="68"/>
      <c r="AT57" s="93" t="str">
        <f t="shared" si="0"/>
        <v/>
      </c>
      <c r="AU57" s="93"/>
      <c r="AV57" s="68"/>
      <c r="AW57" s="93" t="str">
        <f t="shared" si="1"/>
        <v/>
      </c>
      <c r="BE57" s="69"/>
      <c r="BF57" s="72"/>
      <c r="BG57" s="72"/>
      <c r="BK57" s="72"/>
      <c r="BL57" s="72"/>
      <c r="BM57" s="95" t="str">
        <f>IF(M57="","",IF(BN57="not a match","",IF(BN57="IP Office Full Name",VLOOKUP(M57,'Internal -- Copyright Countries'!A:E,5,FALSE),IF(BN57="Polity Shortest Name",VLOOKUP(M57,'Internal -- Copyright Countries'!B:E,4,FALSE),IF(BN57="Polity Full Name",VLOOKUP(M57,'Internal -- Copyright Countries'!C:E,3,FALSE),IF(BN57="Polity Common Name",VLOOKUP(M57,'Internal -- Copyright Countries'!D:E,2,FALSE),IF(BN57="IP Office Shortest Name",M57)))))))</f>
        <v/>
      </c>
      <c r="BN57" s="73" t="str">
        <f>IF(COUNTIF('Internal -- Copyright Countries'!A:A,M57)&gt;0,"IP Office Full Name",IF(COUNTIF('Internal -- Copyright Countries'!B:B,M57)&gt;0,"Polity Shortest Name",IF(COUNTIF('Internal -- Copyright Countries'!C:C,M57)&gt;0,"Polity Full Name",IF(COUNTIF('Internal -- Copyright Countries'!D:D,M57)&gt;0,"Polity Common Name",IF(COUNTIF('Internal -- Copyright Countries'!E:E,M57)&gt;0,"IP Office Shortest Name","Not a match")))))</f>
        <v>Not a match</v>
      </c>
      <c r="BO57" s="73"/>
      <c r="BP57" s="73"/>
      <c r="BQ57" s="73"/>
      <c r="BR57" s="73"/>
      <c r="BS57" s="74" t="str">
        <f t="shared" si="2"/>
        <v/>
      </c>
    </row>
    <row r="58" spans="1:71" ht="16.5">
      <c r="A58" s="69"/>
      <c r="B58" s="68"/>
      <c r="C58" s="68"/>
      <c r="D58" s="68"/>
      <c r="F58" s="68"/>
      <c r="J58" s="89"/>
      <c r="K58" s="69"/>
      <c r="L58" s="68"/>
      <c r="M58" s="96"/>
      <c r="O58" s="68"/>
      <c r="P58" s="68"/>
      <c r="Q58" s="68"/>
      <c r="R58" s="68"/>
      <c r="S58" s="69"/>
      <c r="T58" s="69"/>
      <c r="U58" s="69"/>
      <c r="V58" s="69"/>
      <c r="W58" s="69"/>
      <c r="AR58" s="68"/>
      <c r="AT58" s="93" t="str">
        <f t="shared" si="0"/>
        <v/>
      </c>
      <c r="AU58" s="93"/>
      <c r="AV58" s="68"/>
      <c r="AW58" s="93" t="str">
        <f t="shared" si="1"/>
        <v/>
      </c>
      <c r="BE58" s="69"/>
      <c r="BF58" s="72"/>
      <c r="BG58" s="72"/>
      <c r="BK58" s="72"/>
      <c r="BL58" s="72"/>
      <c r="BM58" s="95" t="str">
        <f>IF(M58="","",IF(BN58="not a match","",IF(BN58="IP Office Full Name",VLOOKUP(M58,'Internal -- Copyright Countries'!A:E,5,FALSE),IF(BN58="Polity Shortest Name",VLOOKUP(M58,'Internal -- Copyright Countries'!B:E,4,FALSE),IF(BN58="Polity Full Name",VLOOKUP(M58,'Internal -- Copyright Countries'!C:E,3,FALSE),IF(BN58="Polity Common Name",VLOOKUP(M58,'Internal -- Copyright Countries'!D:E,2,FALSE),IF(BN58="IP Office Shortest Name",M58)))))))</f>
        <v/>
      </c>
      <c r="BN58" s="73" t="str">
        <f>IF(COUNTIF('Internal -- Copyright Countries'!A:A,M58)&gt;0,"IP Office Full Name",IF(COUNTIF('Internal -- Copyright Countries'!B:B,M58)&gt;0,"Polity Shortest Name",IF(COUNTIF('Internal -- Copyright Countries'!C:C,M58)&gt;0,"Polity Full Name",IF(COUNTIF('Internal -- Copyright Countries'!D:D,M58)&gt;0,"Polity Common Name",IF(COUNTIF('Internal -- Copyright Countries'!E:E,M58)&gt;0,"IP Office Shortest Name","Not a match")))))</f>
        <v>Not a match</v>
      </c>
      <c r="BO58" s="73"/>
      <c r="BP58" s="73"/>
      <c r="BQ58" s="73"/>
      <c r="BR58" s="73"/>
      <c r="BS58" s="74" t="str">
        <f t="shared" si="2"/>
        <v/>
      </c>
    </row>
    <row r="59" spans="1:71" ht="16.5">
      <c r="A59" s="69"/>
      <c r="B59" s="68"/>
      <c r="C59" s="68"/>
      <c r="D59" s="68"/>
      <c r="F59" s="68"/>
      <c r="J59" s="89"/>
      <c r="K59" s="69"/>
      <c r="L59" s="68"/>
      <c r="M59" s="96"/>
      <c r="O59" s="68"/>
      <c r="P59" s="68"/>
      <c r="Q59" s="68"/>
      <c r="R59" s="68"/>
      <c r="S59" s="69"/>
      <c r="T59" s="69"/>
      <c r="U59" s="69"/>
      <c r="V59" s="69"/>
      <c r="W59" s="69"/>
      <c r="AR59" s="68"/>
      <c r="AT59" s="93" t="str">
        <f t="shared" si="0"/>
        <v/>
      </c>
      <c r="AU59" s="93"/>
      <c r="AV59" s="68"/>
      <c r="AW59" s="93" t="str">
        <f t="shared" si="1"/>
        <v/>
      </c>
      <c r="BE59" s="69"/>
      <c r="BF59" s="72"/>
      <c r="BG59" s="72"/>
      <c r="BK59" s="72"/>
      <c r="BL59" s="72"/>
      <c r="BM59" s="95" t="str">
        <f>IF(M59="","",IF(BN59="not a match","",IF(BN59="IP Office Full Name",VLOOKUP(M59,'Internal -- Copyright Countries'!A:E,5,FALSE),IF(BN59="Polity Shortest Name",VLOOKUP(M59,'Internal -- Copyright Countries'!B:E,4,FALSE),IF(BN59="Polity Full Name",VLOOKUP(M59,'Internal -- Copyright Countries'!C:E,3,FALSE),IF(BN59="Polity Common Name",VLOOKUP(M59,'Internal -- Copyright Countries'!D:E,2,FALSE),IF(BN59="IP Office Shortest Name",M59)))))))</f>
        <v/>
      </c>
      <c r="BN59" s="73" t="str">
        <f>IF(COUNTIF('Internal -- Copyright Countries'!A:A,M59)&gt;0,"IP Office Full Name",IF(COUNTIF('Internal -- Copyright Countries'!B:B,M59)&gt;0,"Polity Shortest Name",IF(COUNTIF('Internal -- Copyright Countries'!C:C,M59)&gt;0,"Polity Full Name",IF(COUNTIF('Internal -- Copyright Countries'!D:D,M59)&gt;0,"Polity Common Name",IF(COUNTIF('Internal -- Copyright Countries'!E:E,M59)&gt;0,"IP Office Shortest Name","Not a match")))))</f>
        <v>Not a match</v>
      </c>
      <c r="BO59" s="73"/>
      <c r="BP59" s="73"/>
      <c r="BQ59" s="73"/>
      <c r="BR59" s="73"/>
      <c r="BS59" s="74" t="str">
        <f t="shared" si="2"/>
        <v/>
      </c>
    </row>
    <row r="60" spans="1:71" ht="16.5">
      <c r="A60" s="69"/>
      <c r="B60" s="68"/>
      <c r="C60" s="68"/>
      <c r="D60" s="68"/>
      <c r="F60" s="68"/>
      <c r="J60" s="89"/>
      <c r="K60" s="69"/>
      <c r="L60" s="68"/>
      <c r="M60" s="96"/>
      <c r="O60" s="68"/>
      <c r="P60" s="68"/>
      <c r="Q60" s="68"/>
      <c r="R60" s="68"/>
      <c r="S60" s="69"/>
      <c r="T60" s="69"/>
      <c r="U60" s="69"/>
      <c r="V60" s="69"/>
      <c r="W60" s="69"/>
      <c r="AR60" s="68"/>
      <c r="AT60" s="93" t="str">
        <f t="shared" si="0"/>
        <v/>
      </c>
      <c r="AU60" s="93"/>
      <c r="AV60" s="68"/>
      <c r="AW60" s="93" t="str">
        <f t="shared" si="1"/>
        <v/>
      </c>
      <c r="BE60" s="69"/>
      <c r="BF60" s="72"/>
      <c r="BG60" s="72"/>
      <c r="BK60" s="72"/>
      <c r="BL60" s="72"/>
      <c r="BM60" s="95" t="str">
        <f>IF(M60="","",IF(BN60="not a match","",IF(BN60="IP Office Full Name",VLOOKUP(M60,'Internal -- Copyright Countries'!A:E,5,FALSE),IF(BN60="Polity Shortest Name",VLOOKUP(M60,'Internal -- Copyright Countries'!B:E,4,FALSE),IF(BN60="Polity Full Name",VLOOKUP(M60,'Internal -- Copyright Countries'!C:E,3,FALSE),IF(BN60="Polity Common Name",VLOOKUP(M60,'Internal -- Copyright Countries'!D:E,2,FALSE),IF(BN60="IP Office Shortest Name",M60)))))))</f>
        <v/>
      </c>
      <c r="BN60" s="73" t="str">
        <f>IF(COUNTIF('Internal -- Copyright Countries'!A:A,M60)&gt;0,"IP Office Full Name",IF(COUNTIF('Internal -- Copyright Countries'!B:B,M60)&gt;0,"Polity Shortest Name",IF(COUNTIF('Internal -- Copyright Countries'!C:C,M60)&gt;0,"Polity Full Name",IF(COUNTIF('Internal -- Copyright Countries'!D:D,M60)&gt;0,"Polity Common Name",IF(COUNTIF('Internal -- Copyright Countries'!E:E,M60)&gt;0,"IP Office Shortest Name","Not a match")))))</f>
        <v>Not a match</v>
      </c>
      <c r="BO60" s="73"/>
      <c r="BP60" s="73"/>
      <c r="BQ60" s="73"/>
      <c r="BR60" s="73"/>
      <c r="BS60" s="74" t="str">
        <f t="shared" si="2"/>
        <v/>
      </c>
    </row>
    <row r="61" spans="1:71" ht="16.5">
      <c r="A61" s="69"/>
      <c r="B61" s="68"/>
      <c r="C61" s="68"/>
      <c r="D61" s="68"/>
      <c r="F61" s="68"/>
      <c r="J61" s="89"/>
      <c r="K61" s="69"/>
      <c r="L61" s="68"/>
      <c r="M61" s="96"/>
      <c r="O61" s="68"/>
      <c r="P61" s="68"/>
      <c r="Q61" s="68"/>
      <c r="R61" s="68"/>
      <c r="S61" s="69"/>
      <c r="T61" s="69"/>
      <c r="U61" s="69"/>
      <c r="V61" s="69"/>
      <c r="W61" s="69"/>
      <c r="AR61" s="68"/>
      <c r="AT61" s="93" t="str">
        <f t="shared" si="0"/>
        <v/>
      </c>
      <c r="AU61" s="93"/>
      <c r="AV61" s="68"/>
      <c r="AW61" s="93" t="str">
        <f t="shared" si="1"/>
        <v/>
      </c>
      <c r="BE61" s="69"/>
      <c r="BF61" s="72"/>
      <c r="BG61" s="72"/>
      <c r="BK61" s="72"/>
      <c r="BL61" s="72"/>
      <c r="BM61" s="95" t="str">
        <f>IF(M61="","",IF(BN61="not a match","",IF(BN61="IP Office Full Name",VLOOKUP(M61,'Internal -- Copyright Countries'!A:E,5,FALSE),IF(BN61="Polity Shortest Name",VLOOKUP(M61,'Internal -- Copyright Countries'!B:E,4,FALSE),IF(BN61="Polity Full Name",VLOOKUP(M61,'Internal -- Copyright Countries'!C:E,3,FALSE),IF(BN61="Polity Common Name",VLOOKUP(M61,'Internal -- Copyright Countries'!D:E,2,FALSE),IF(BN61="IP Office Shortest Name",M61)))))))</f>
        <v/>
      </c>
      <c r="BN61" s="73" t="str">
        <f>IF(COUNTIF('Internal -- Copyright Countries'!A:A,M61)&gt;0,"IP Office Full Name",IF(COUNTIF('Internal -- Copyright Countries'!B:B,M61)&gt;0,"Polity Shortest Name",IF(COUNTIF('Internal -- Copyright Countries'!C:C,M61)&gt;0,"Polity Full Name",IF(COUNTIF('Internal -- Copyright Countries'!D:D,M61)&gt;0,"Polity Common Name",IF(COUNTIF('Internal -- Copyright Countries'!E:E,M61)&gt;0,"IP Office Shortest Name","Not a match")))))</f>
        <v>Not a match</v>
      </c>
      <c r="BO61" s="73"/>
      <c r="BP61" s="73"/>
      <c r="BQ61" s="73"/>
      <c r="BR61" s="73"/>
      <c r="BS61" s="74" t="str">
        <f t="shared" si="2"/>
        <v/>
      </c>
    </row>
    <row r="62" spans="1:71" ht="16.5">
      <c r="A62" s="69"/>
      <c r="B62" s="68"/>
      <c r="C62" s="68"/>
      <c r="D62" s="68"/>
      <c r="F62" s="68"/>
      <c r="J62" s="89"/>
      <c r="K62" s="69"/>
      <c r="L62" s="68"/>
      <c r="M62" s="96"/>
      <c r="O62" s="68"/>
      <c r="P62" s="68"/>
      <c r="Q62" s="68"/>
      <c r="R62" s="68"/>
      <c r="S62" s="69"/>
      <c r="T62" s="69"/>
      <c r="U62" s="69"/>
      <c r="V62" s="69"/>
      <c r="W62" s="69"/>
      <c r="AR62" s="68"/>
      <c r="AT62" s="93" t="str">
        <f t="shared" si="0"/>
        <v/>
      </c>
      <c r="AU62" s="93"/>
      <c r="AV62" s="68"/>
      <c r="AW62" s="93" t="str">
        <f t="shared" si="1"/>
        <v/>
      </c>
      <c r="BE62" s="69"/>
      <c r="BF62" s="72"/>
      <c r="BG62" s="72"/>
      <c r="BK62" s="72"/>
      <c r="BL62" s="72"/>
      <c r="BM62" s="95" t="str">
        <f>IF(M62="","",IF(BN62="not a match","",IF(BN62="IP Office Full Name",VLOOKUP(M62,'Internal -- Copyright Countries'!A:E,5,FALSE),IF(BN62="Polity Shortest Name",VLOOKUP(M62,'Internal -- Copyright Countries'!B:E,4,FALSE),IF(BN62="Polity Full Name",VLOOKUP(M62,'Internal -- Copyright Countries'!C:E,3,FALSE),IF(BN62="Polity Common Name",VLOOKUP(M62,'Internal -- Copyright Countries'!D:E,2,FALSE),IF(BN62="IP Office Shortest Name",M62)))))))</f>
        <v/>
      </c>
      <c r="BN62" s="73" t="str">
        <f>IF(COUNTIF('Internal -- Copyright Countries'!A:A,M62)&gt;0,"IP Office Full Name",IF(COUNTIF('Internal -- Copyright Countries'!B:B,M62)&gt;0,"Polity Shortest Name",IF(COUNTIF('Internal -- Copyright Countries'!C:C,M62)&gt;0,"Polity Full Name",IF(COUNTIF('Internal -- Copyright Countries'!D:D,M62)&gt;0,"Polity Common Name",IF(COUNTIF('Internal -- Copyright Countries'!E:E,M62)&gt;0,"IP Office Shortest Name","Not a match")))))</f>
        <v>Not a match</v>
      </c>
      <c r="BO62" s="73"/>
      <c r="BP62" s="73"/>
      <c r="BQ62" s="73"/>
      <c r="BR62" s="73"/>
      <c r="BS62" s="74" t="str">
        <f t="shared" si="2"/>
        <v/>
      </c>
    </row>
    <row r="63" spans="1:71" ht="16.5">
      <c r="A63" s="69"/>
      <c r="B63" s="68"/>
      <c r="C63" s="68"/>
      <c r="D63" s="68"/>
      <c r="F63" s="68"/>
      <c r="J63" s="89"/>
      <c r="K63" s="69"/>
      <c r="L63" s="68"/>
      <c r="M63" s="96"/>
      <c r="O63" s="68"/>
      <c r="P63" s="68"/>
      <c r="Q63" s="68"/>
      <c r="R63" s="68"/>
      <c r="S63" s="69"/>
      <c r="T63" s="69"/>
      <c r="U63" s="69"/>
      <c r="V63" s="69"/>
      <c r="W63" s="69"/>
      <c r="AR63" s="68"/>
      <c r="AT63" s="93" t="str">
        <f t="shared" si="0"/>
        <v/>
      </c>
      <c r="AU63" s="93"/>
      <c r="AV63" s="68"/>
      <c r="AW63" s="93" t="str">
        <f t="shared" si="1"/>
        <v/>
      </c>
      <c r="BE63" s="69"/>
      <c r="BF63" s="72"/>
      <c r="BG63" s="72"/>
      <c r="BK63" s="72"/>
      <c r="BL63" s="72"/>
      <c r="BM63" s="95" t="str">
        <f>IF(M63="","",IF(BN63="not a match","",IF(BN63="IP Office Full Name",VLOOKUP(M63,'Internal -- Copyright Countries'!A:E,5,FALSE),IF(BN63="Polity Shortest Name",VLOOKUP(M63,'Internal -- Copyright Countries'!B:E,4,FALSE),IF(BN63="Polity Full Name",VLOOKUP(M63,'Internal -- Copyright Countries'!C:E,3,FALSE),IF(BN63="Polity Common Name",VLOOKUP(M63,'Internal -- Copyright Countries'!D:E,2,FALSE),IF(BN63="IP Office Shortest Name",M63)))))))</f>
        <v/>
      </c>
      <c r="BN63" s="73" t="str">
        <f>IF(COUNTIF('Internal -- Copyright Countries'!A:A,M63)&gt;0,"IP Office Full Name",IF(COUNTIF('Internal -- Copyright Countries'!B:B,M63)&gt;0,"Polity Shortest Name",IF(COUNTIF('Internal -- Copyright Countries'!C:C,M63)&gt;0,"Polity Full Name",IF(COUNTIF('Internal -- Copyright Countries'!D:D,M63)&gt;0,"Polity Common Name",IF(COUNTIF('Internal -- Copyright Countries'!E:E,M63)&gt;0,"IP Office Shortest Name","Not a match")))))</f>
        <v>Not a match</v>
      </c>
      <c r="BO63" s="73"/>
      <c r="BP63" s="73"/>
      <c r="BQ63" s="73"/>
      <c r="BR63" s="73"/>
      <c r="BS63" s="74" t="str">
        <f t="shared" si="2"/>
        <v/>
      </c>
    </row>
    <row r="64" spans="1:71" ht="16.5">
      <c r="A64" s="69"/>
      <c r="B64" s="68"/>
      <c r="C64" s="68"/>
      <c r="D64" s="68"/>
      <c r="F64" s="68"/>
      <c r="J64" s="89"/>
      <c r="K64" s="69"/>
      <c r="L64" s="68"/>
      <c r="M64" s="96"/>
      <c r="O64" s="68"/>
      <c r="P64" s="68"/>
      <c r="Q64" s="68"/>
      <c r="R64" s="68"/>
      <c r="S64" s="69"/>
      <c r="T64" s="69"/>
      <c r="U64" s="69"/>
      <c r="V64" s="69"/>
      <c r="W64" s="69"/>
      <c r="AR64" s="68"/>
      <c r="AT64" s="93" t="str">
        <f t="shared" si="0"/>
        <v/>
      </c>
      <c r="AU64" s="93"/>
      <c r="AV64" s="68"/>
      <c r="AW64" s="93" t="str">
        <f t="shared" si="1"/>
        <v/>
      </c>
      <c r="BE64" s="69"/>
      <c r="BF64" s="72"/>
      <c r="BG64" s="72"/>
      <c r="BK64" s="72"/>
      <c r="BL64" s="72"/>
      <c r="BM64" s="95" t="str">
        <f>IF(M64="","",IF(BN64="not a match","",IF(BN64="IP Office Full Name",VLOOKUP(M64,'Internal -- Copyright Countries'!A:E,5,FALSE),IF(BN64="Polity Shortest Name",VLOOKUP(M64,'Internal -- Copyright Countries'!B:E,4,FALSE),IF(BN64="Polity Full Name",VLOOKUP(M64,'Internal -- Copyright Countries'!C:E,3,FALSE),IF(BN64="Polity Common Name",VLOOKUP(M64,'Internal -- Copyright Countries'!D:E,2,FALSE),IF(BN64="IP Office Shortest Name",M64)))))))</f>
        <v/>
      </c>
      <c r="BN64" s="73" t="str">
        <f>IF(COUNTIF('Internal -- Copyright Countries'!A:A,M64)&gt;0,"IP Office Full Name",IF(COUNTIF('Internal -- Copyright Countries'!B:B,M64)&gt;0,"Polity Shortest Name",IF(COUNTIF('Internal -- Copyright Countries'!C:C,M64)&gt;0,"Polity Full Name",IF(COUNTIF('Internal -- Copyright Countries'!D:D,M64)&gt;0,"Polity Common Name",IF(COUNTIF('Internal -- Copyright Countries'!E:E,M64)&gt;0,"IP Office Shortest Name","Not a match")))))</f>
        <v>Not a match</v>
      </c>
      <c r="BO64" s="73"/>
      <c r="BP64" s="73"/>
      <c r="BQ64" s="73"/>
      <c r="BR64" s="73"/>
      <c r="BS64" s="74" t="str">
        <f t="shared" si="2"/>
        <v/>
      </c>
    </row>
    <row r="65" spans="1:71" ht="16.5">
      <c r="A65" s="69"/>
      <c r="B65" s="68"/>
      <c r="C65" s="68"/>
      <c r="D65" s="68"/>
      <c r="F65" s="68"/>
      <c r="J65" s="89"/>
      <c r="K65" s="69"/>
      <c r="L65" s="68"/>
      <c r="M65" s="96"/>
      <c r="O65" s="68"/>
      <c r="P65" s="68"/>
      <c r="Q65" s="68"/>
      <c r="R65" s="68"/>
      <c r="S65" s="69"/>
      <c r="T65" s="69"/>
      <c r="U65" s="69"/>
      <c r="V65" s="69"/>
      <c r="W65" s="69"/>
      <c r="AR65" s="68"/>
      <c r="AT65" s="93" t="str">
        <f t="shared" si="0"/>
        <v/>
      </c>
      <c r="AU65" s="93"/>
      <c r="AV65" s="68"/>
      <c r="AW65" s="93" t="str">
        <f t="shared" si="1"/>
        <v/>
      </c>
      <c r="BE65" s="69"/>
      <c r="BF65" s="72"/>
      <c r="BG65" s="72"/>
      <c r="BK65" s="72"/>
      <c r="BL65" s="72"/>
      <c r="BM65" s="95" t="str">
        <f>IF(M65="","",IF(BN65="not a match","",IF(BN65="IP Office Full Name",VLOOKUP(M65,'Internal -- Copyright Countries'!A:E,5,FALSE),IF(BN65="Polity Shortest Name",VLOOKUP(M65,'Internal -- Copyright Countries'!B:E,4,FALSE),IF(BN65="Polity Full Name",VLOOKUP(M65,'Internal -- Copyright Countries'!C:E,3,FALSE),IF(BN65="Polity Common Name",VLOOKUP(M65,'Internal -- Copyright Countries'!D:E,2,FALSE),IF(BN65="IP Office Shortest Name",M65)))))))</f>
        <v/>
      </c>
      <c r="BN65" s="73" t="str">
        <f>IF(COUNTIF('Internal -- Copyright Countries'!A:A,M65)&gt;0,"IP Office Full Name",IF(COUNTIF('Internal -- Copyright Countries'!B:B,M65)&gt;0,"Polity Shortest Name",IF(COUNTIF('Internal -- Copyright Countries'!C:C,M65)&gt;0,"Polity Full Name",IF(COUNTIF('Internal -- Copyright Countries'!D:D,M65)&gt;0,"Polity Common Name",IF(COUNTIF('Internal -- Copyright Countries'!E:E,M65)&gt;0,"IP Office Shortest Name","Not a match")))))</f>
        <v>Not a match</v>
      </c>
      <c r="BO65" s="73"/>
      <c r="BP65" s="73"/>
      <c r="BQ65" s="73"/>
      <c r="BR65" s="73"/>
      <c r="BS65" s="74" t="str">
        <f t="shared" si="2"/>
        <v/>
      </c>
    </row>
    <row r="66" spans="1:71" ht="16.5">
      <c r="A66" s="69"/>
      <c r="B66" s="68"/>
      <c r="C66" s="68"/>
      <c r="D66" s="68"/>
      <c r="F66" s="68"/>
      <c r="J66" s="89"/>
      <c r="K66" s="69"/>
      <c r="L66" s="68"/>
      <c r="M66" s="96"/>
      <c r="O66" s="68"/>
      <c r="P66" s="68"/>
      <c r="Q66" s="68"/>
      <c r="R66" s="68"/>
      <c r="S66" s="69"/>
      <c r="T66" s="69"/>
      <c r="U66" s="69"/>
      <c r="V66" s="69"/>
      <c r="W66" s="69"/>
      <c r="AR66" s="68"/>
      <c r="AT66" s="93" t="str">
        <f t="shared" si="0"/>
        <v/>
      </c>
      <c r="AU66" s="93"/>
      <c r="AV66" s="68"/>
      <c r="AW66" s="93" t="str">
        <f t="shared" si="1"/>
        <v/>
      </c>
      <c r="BE66" s="69"/>
      <c r="BF66" s="72"/>
      <c r="BG66" s="72"/>
      <c r="BK66" s="72"/>
      <c r="BL66" s="72"/>
      <c r="BM66" s="95" t="str">
        <f>IF(M66="","",IF(BN66="not a match","",IF(BN66="IP Office Full Name",VLOOKUP(M66,'Internal -- Copyright Countries'!A:E,5,FALSE),IF(BN66="Polity Shortest Name",VLOOKUP(M66,'Internal -- Copyright Countries'!B:E,4,FALSE),IF(BN66="Polity Full Name",VLOOKUP(M66,'Internal -- Copyright Countries'!C:E,3,FALSE),IF(BN66="Polity Common Name",VLOOKUP(M66,'Internal -- Copyright Countries'!D:E,2,FALSE),IF(BN66="IP Office Shortest Name",M66)))))))</f>
        <v/>
      </c>
      <c r="BN66" s="73" t="str">
        <f>IF(COUNTIF('Internal -- Copyright Countries'!A:A,M66)&gt;0,"IP Office Full Name",IF(COUNTIF('Internal -- Copyright Countries'!B:B,M66)&gt;0,"Polity Shortest Name",IF(COUNTIF('Internal -- Copyright Countries'!C:C,M66)&gt;0,"Polity Full Name",IF(COUNTIF('Internal -- Copyright Countries'!D:D,M66)&gt;0,"Polity Common Name",IF(COUNTIF('Internal -- Copyright Countries'!E:E,M66)&gt;0,"IP Office Shortest Name","Not a match")))))</f>
        <v>Not a match</v>
      </c>
      <c r="BO66" s="73"/>
      <c r="BP66" s="73"/>
      <c r="BQ66" s="73"/>
      <c r="BR66" s="73"/>
      <c r="BS66" s="74" t="str">
        <f t="shared" si="2"/>
        <v/>
      </c>
    </row>
    <row r="67" spans="1:71" ht="16.5">
      <c r="A67" s="69"/>
      <c r="B67" s="68"/>
      <c r="C67" s="68"/>
      <c r="D67" s="68"/>
      <c r="F67" s="68"/>
      <c r="J67" s="89"/>
      <c r="K67" s="69"/>
      <c r="L67" s="68"/>
      <c r="M67" s="96"/>
      <c r="O67" s="68"/>
      <c r="P67" s="68"/>
      <c r="Q67" s="68"/>
      <c r="R67" s="68"/>
      <c r="S67" s="69"/>
      <c r="T67" s="69"/>
      <c r="U67" s="69"/>
      <c r="V67" s="69"/>
      <c r="W67" s="69"/>
      <c r="AR67" s="68"/>
      <c r="AT67" s="93" t="str">
        <f t="shared" si="0"/>
        <v/>
      </c>
      <c r="AU67" s="93"/>
      <c r="AV67" s="68"/>
      <c r="AW67" s="93" t="str">
        <f t="shared" si="1"/>
        <v/>
      </c>
      <c r="BE67" s="69"/>
      <c r="BF67" s="72"/>
      <c r="BG67" s="72"/>
      <c r="BK67" s="72"/>
      <c r="BL67" s="72"/>
      <c r="BM67" s="95" t="str">
        <f>IF(M67="","",IF(BN67="not a match","",IF(BN67="IP Office Full Name",VLOOKUP(M67,'Internal -- Copyright Countries'!A:E,5,FALSE),IF(BN67="Polity Shortest Name",VLOOKUP(M67,'Internal -- Copyright Countries'!B:E,4,FALSE),IF(BN67="Polity Full Name",VLOOKUP(M67,'Internal -- Copyright Countries'!C:E,3,FALSE),IF(BN67="Polity Common Name",VLOOKUP(M67,'Internal -- Copyright Countries'!D:E,2,FALSE),IF(BN67="IP Office Shortest Name",M67)))))))</f>
        <v/>
      </c>
      <c r="BN67" s="73" t="str">
        <f>IF(COUNTIF('Internal -- Copyright Countries'!A:A,M67)&gt;0,"IP Office Full Name",IF(COUNTIF('Internal -- Copyright Countries'!B:B,M67)&gt;0,"Polity Shortest Name",IF(COUNTIF('Internal -- Copyright Countries'!C:C,M67)&gt;0,"Polity Full Name",IF(COUNTIF('Internal -- Copyright Countries'!D:D,M67)&gt;0,"Polity Common Name",IF(COUNTIF('Internal -- Copyright Countries'!E:E,M67)&gt;0,"IP Office Shortest Name","Not a match")))))</f>
        <v>Not a match</v>
      </c>
      <c r="BO67" s="73"/>
      <c r="BP67" s="73"/>
      <c r="BQ67" s="73"/>
      <c r="BR67" s="73"/>
      <c r="BS67" s="74" t="str">
        <f t="shared" si="2"/>
        <v/>
      </c>
    </row>
    <row r="68" spans="1:71" ht="16.5">
      <c r="A68" s="69"/>
      <c r="B68" s="68"/>
      <c r="C68" s="68"/>
      <c r="D68" s="68"/>
      <c r="F68" s="68"/>
      <c r="J68" s="89"/>
      <c r="K68" s="69"/>
      <c r="L68" s="68"/>
      <c r="M68" s="96"/>
      <c r="O68" s="68"/>
      <c r="P68" s="68"/>
      <c r="Q68" s="68"/>
      <c r="R68" s="68"/>
      <c r="S68" s="69"/>
      <c r="T68" s="69"/>
      <c r="U68" s="69"/>
      <c r="V68" s="69"/>
      <c r="W68" s="69"/>
      <c r="AR68" s="68"/>
      <c r="AT68" s="93" t="str">
        <f t="shared" si="0"/>
        <v/>
      </c>
      <c r="AU68" s="93"/>
      <c r="AV68" s="68"/>
      <c r="AW68" s="93" t="str">
        <f t="shared" si="1"/>
        <v/>
      </c>
      <c r="BE68" s="69"/>
      <c r="BF68" s="72"/>
      <c r="BG68" s="72"/>
      <c r="BK68" s="72"/>
      <c r="BL68" s="72"/>
      <c r="BM68" s="95" t="str">
        <f>IF(M68="","",IF(BN68="not a match","",IF(BN68="IP Office Full Name",VLOOKUP(M68,'Internal -- Copyright Countries'!A:E,5,FALSE),IF(BN68="Polity Shortest Name",VLOOKUP(M68,'Internal -- Copyright Countries'!B:E,4,FALSE),IF(BN68="Polity Full Name",VLOOKUP(M68,'Internal -- Copyright Countries'!C:E,3,FALSE),IF(BN68="Polity Common Name",VLOOKUP(M68,'Internal -- Copyright Countries'!D:E,2,FALSE),IF(BN68="IP Office Shortest Name",M68)))))))</f>
        <v/>
      </c>
      <c r="BN68" s="73" t="str">
        <f>IF(COUNTIF('Internal -- Copyright Countries'!A:A,M68)&gt;0,"IP Office Full Name",IF(COUNTIF('Internal -- Copyright Countries'!B:B,M68)&gt;0,"Polity Shortest Name",IF(COUNTIF('Internal -- Copyright Countries'!C:C,M68)&gt;0,"Polity Full Name",IF(COUNTIF('Internal -- Copyright Countries'!D:D,M68)&gt;0,"Polity Common Name",IF(COUNTIF('Internal -- Copyright Countries'!E:E,M68)&gt;0,"IP Office Shortest Name","Not a match")))))</f>
        <v>Not a match</v>
      </c>
      <c r="BO68" s="73"/>
      <c r="BP68" s="73"/>
      <c r="BQ68" s="73"/>
      <c r="BR68" s="73"/>
      <c r="BS68" s="74" t="str">
        <f t="shared" si="2"/>
        <v/>
      </c>
    </row>
    <row r="69" spans="1:71" ht="16.5">
      <c r="A69" s="69"/>
      <c r="B69" s="68"/>
      <c r="C69" s="68"/>
      <c r="D69" s="68"/>
      <c r="F69" s="68"/>
      <c r="J69" s="89"/>
      <c r="K69" s="69"/>
      <c r="L69" s="68"/>
      <c r="M69" s="96"/>
      <c r="O69" s="68"/>
      <c r="P69" s="68"/>
      <c r="Q69" s="68"/>
      <c r="R69" s="68"/>
      <c r="S69" s="69"/>
      <c r="T69" s="69"/>
      <c r="U69" s="69"/>
      <c r="V69" s="69"/>
      <c r="W69" s="69"/>
      <c r="AR69" s="68"/>
      <c r="AT69" s="93" t="str">
        <f t="shared" si="0"/>
        <v/>
      </c>
      <c r="AU69" s="93"/>
      <c r="AV69" s="68"/>
      <c r="AW69" s="93" t="str">
        <f t="shared" si="1"/>
        <v/>
      </c>
      <c r="BE69" s="69"/>
      <c r="BF69" s="72"/>
      <c r="BG69" s="72"/>
      <c r="BK69" s="72"/>
      <c r="BL69" s="72"/>
      <c r="BM69" s="95" t="str">
        <f>IF(M69="","",IF(BN69="not a match","",IF(BN69="IP Office Full Name",VLOOKUP(M69,'Internal -- Copyright Countries'!A:E,5,FALSE),IF(BN69="Polity Shortest Name",VLOOKUP(M69,'Internal -- Copyright Countries'!B:E,4,FALSE),IF(BN69="Polity Full Name",VLOOKUP(M69,'Internal -- Copyright Countries'!C:E,3,FALSE),IF(BN69="Polity Common Name",VLOOKUP(M69,'Internal -- Copyright Countries'!D:E,2,FALSE),IF(BN69="IP Office Shortest Name",M69)))))))</f>
        <v/>
      </c>
      <c r="BN69" s="73" t="str">
        <f>IF(COUNTIF('Internal -- Copyright Countries'!A:A,M69)&gt;0,"IP Office Full Name",IF(COUNTIF('Internal -- Copyright Countries'!B:B,M69)&gt;0,"Polity Shortest Name",IF(COUNTIF('Internal -- Copyright Countries'!C:C,M69)&gt;0,"Polity Full Name",IF(COUNTIF('Internal -- Copyright Countries'!D:D,M69)&gt;0,"Polity Common Name",IF(COUNTIF('Internal -- Copyright Countries'!E:E,M69)&gt;0,"IP Office Shortest Name","Not a match")))))</f>
        <v>Not a match</v>
      </c>
      <c r="BO69" s="73"/>
      <c r="BP69" s="73"/>
      <c r="BQ69" s="73"/>
      <c r="BR69" s="73"/>
      <c r="BS69" s="74" t="str">
        <f t="shared" si="2"/>
        <v/>
      </c>
    </row>
    <row r="70" spans="1:71" ht="16.5">
      <c r="A70" s="69"/>
      <c r="B70" s="68"/>
      <c r="C70" s="68"/>
      <c r="D70" s="68"/>
      <c r="F70" s="68"/>
      <c r="J70" s="89"/>
      <c r="K70" s="69"/>
      <c r="L70" s="68"/>
      <c r="M70" s="96"/>
      <c r="O70" s="68"/>
      <c r="P70" s="68"/>
      <c r="Q70" s="68"/>
      <c r="R70" s="68"/>
      <c r="S70" s="69"/>
      <c r="T70" s="69"/>
      <c r="U70" s="69"/>
      <c r="V70" s="69"/>
      <c r="W70" s="69"/>
      <c r="AR70" s="68"/>
      <c r="AT70" s="93" t="str">
        <f t="shared" si="0"/>
        <v/>
      </c>
      <c r="AU70" s="93"/>
      <c r="AV70" s="68"/>
      <c r="AW70" s="93" t="str">
        <f t="shared" si="1"/>
        <v/>
      </c>
      <c r="BE70" s="69"/>
      <c r="BF70" s="72"/>
      <c r="BG70" s="72"/>
      <c r="BK70" s="72"/>
      <c r="BL70" s="72"/>
      <c r="BM70" s="95" t="str">
        <f>IF(M70="","",IF(BN70="not a match","",IF(BN70="IP Office Full Name",VLOOKUP(M70,'Internal -- Copyright Countries'!A:E,5,FALSE),IF(BN70="Polity Shortest Name",VLOOKUP(M70,'Internal -- Copyright Countries'!B:E,4,FALSE),IF(BN70="Polity Full Name",VLOOKUP(M70,'Internal -- Copyright Countries'!C:E,3,FALSE),IF(BN70="Polity Common Name",VLOOKUP(M70,'Internal -- Copyright Countries'!D:E,2,FALSE),IF(BN70="IP Office Shortest Name",M70)))))))</f>
        <v/>
      </c>
      <c r="BN70" s="73" t="str">
        <f>IF(COUNTIF('Internal -- Copyright Countries'!A:A,M70)&gt;0,"IP Office Full Name",IF(COUNTIF('Internal -- Copyright Countries'!B:B,M70)&gt;0,"Polity Shortest Name",IF(COUNTIF('Internal -- Copyright Countries'!C:C,M70)&gt;0,"Polity Full Name",IF(COUNTIF('Internal -- Copyright Countries'!D:D,M70)&gt;0,"Polity Common Name",IF(COUNTIF('Internal -- Copyright Countries'!E:E,M70)&gt;0,"IP Office Shortest Name","Not a match")))))</f>
        <v>Not a match</v>
      </c>
      <c r="BO70" s="73"/>
      <c r="BP70" s="73"/>
      <c r="BQ70" s="73"/>
      <c r="BR70" s="73"/>
      <c r="BS70" s="74" t="str">
        <f t="shared" si="2"/>
        <v/>
      </c>
    </row>
    <row r="71" spans="1:71" ht="16.5">
      <c r="A71" s="69"/>
      <c r="B71" s="68"/>
      <c r="C71" s="68"/>
      <c r="D71" s="68"/>
      <c r="F71" s="68"/>
      <c r="J71" s="89"/>
      <c r="K71" s="69"/>
      <c r="L71" s="68"/>
      <c r="M71" s="96"/>
      <c r="O71" s="68"/>
      <c r="P71" s="68"/>
      <c r="Q71" s="68"/>
      <c r="R71" s="68"/>
      <c r="S71" s="69"/>
      <c r="T71" s="69"/>
      <c r="U71" s="69"/>
      <c r="V71" s="69"/>
      <c r="W71" s="69"/>
      <c r="AR71" s="68"/>
      <c r="AT71" s="93" t="str">
        <f t="shared" si="0"/>
        <v/>
      </c>
      <c r="AU71" s="93"/>
      <c r="AV71" s="68"/>
      <c r="AW71" s="93" t="str">
        <f t="shared" si="1"/>
        <v/>
      </c>
      <c r="BE71" s="69"/>
      <c r="BF71" s="72"/>
      <c r="BG71" s="72"/>
      <c r="BK71" s="72"/>
      <c r="BL71" s="72"/>
      <c r="BM71" s="95" t="str">
        <f>IF(M71="","",IF(BN71="not a match","",IF(BN71="IP Office Full Name",VLOOKUP(M71,'Internal -- Copyright Countries'!A:E,5,FALSE),IF(BN71="Polity Shortest Name",VLOOKUP(M71,'Internal -- Copyright Countries'!B:E,4,FALSE),IF(BN71="Polity Full Name",VLOOKUP(M71,'Internal -- Copyright Countries'!C:E,3,FALSE),IF(BN71="Polity Common Name",VLOOKUP(M71,'Internal -- Copyright Countries'!D:E,2,FALSE),IF(BN71="IP Office Shortest Name",M71)))))))</f>
        <v/>
      </c>
      <c r="BN71" s="73" t="str">
        <f>IF(COUNTIF('Internal -- Copyright Countries'!A:A,M71)&gt;0,"IP Office Full Name",IF(COUNTIF('Internal -- Copyright Countries'!B:B,M71)&gt;0,"Polity Shortest Name",IF(COUNTIF('Internal -- Copyright Countries'!C:C,M71)&gt;0,"Polity Full Name",IF(COUNTIF('Internal -- Copyright Countries'!D:D,M71)&gt;0,"Polity Common Name",IF(COUNTIF('Internal -- Copyright Countries'!E:E,M71)&gt;0,"IP Office Shortest Name","Not a match")))))</f>
        <v>Not a match</v>
      </c>
      <c r="BO71" s="73"/>
      <c r="BP71" s="73"/>
      <c r="BQ71" s="73"/>
      <c r="BR71" s="73"/>
      <c r="BS71" s="74" t="str">
        <f t="shared" si="2"/>
        <v/>
      </c>
    </row>
    <row r="72" spans="1:71" ht="16.5">
      <c r="A72" s="69"/>
      <c r="B72" s="68"/>
      <c r="C72" s="68"/>
      <c r="D72" s="68"/>
      <c r="F72" s="68"/>
      <c r="J72" s="89"/>
      <c r="K72" s="69"/>
      <c r="L72" s="68"/>
      <c r="M72" s="96"/>
      <c r="O72" s="68"/>
      <c r="P72" s="68"/>
      <c r="Q72" s="68"/>
      <c r="R72" s="68"/>
      <c r="S72" s="69"/>
      <c r="T72" s="69"/>
      <c r="U72" s="69"/>
      <c r="V72" s="69"/>
      <c r="W72" s="69"/>
      <c r="AR72" s="68"/>
      <c r="AT72" s="93" t="str">
        <f t="shared" si="0"/>
        <v/>
      </c>
      <c r="AU72" s="93"/>
      <c r="AV72" s="68"/>
      <c r="AW72" s="93" t="str">
        <f t="shared" si="1"/>
        <v/>
      </c>
      <c r="BE72" s="69"/>
      <c r="BF72" s="72"/>
      <c r="BG72" s="72"/>
      <c r="BK72" s="72"/>
      <c r="BL72" s="72"/>
      <c r="BM72" s="95" t="str">
        <f>IF(M72="","",IF(BN72="not a match","",IF(BN72="IP Office Full Name",VLOOKUP(M72,'Internal -- Copyright Countries'!A:E,5,FALSE),IF(BN72="Polity Shortest Name",VLOOKUP(M72,'Internal -- Copyright Countries'!B:E,4,FALSE),IF(BN72="Polity Full Name",VLOOKUP(M72,'Internal -- Copyright Countries'!C:E,3,FALSE),IF(BN72="Polity Common Name",VLOOKUP(M72,'Internal -- Copyright Countries'!D:E,2,FALSE),IF(BN72="IP Office Shortest Name",M72)))))))</f>
        <v/>
      </c>
      <c r="BN72" s="73" t="str">
        <f>IF(COUNTIF('Internal -- Copyright Countries'!A:A,M72)&gt;0,"IP Office Full Name",IF(COUNTIF('Internal -- Copyright Countries'!B:B,M72)&gt;0,"Polity Shortest Name",IF(COUNTIF('Internal -- Copyright Countries'!C:C,M72)&gt;0,"Polity Full Name",IF(COUNTIF('Internal -- Copyright Countries'!D:D,M72)&gt;0,"Polity Common Name",IF(COUNTIF('Internal -- Copyright Countries'!E:E,M72)&gt;0,"IP Office Shortest Name","Not a match")))))</f>
        <v>Not a match</v>
      </c>
      <c r="BO72" s="73"/>
      <c r="BP72" s="73"/>
      <c r="BQ72" s="73"/>
      <c r="BR72" s="73"/>
      <c r="BS72" s="74" t="str">
        <f t="shared" si="2"/>
        <v/>
      </c>
    </row>
    <row r="73" spans="1:71" ht="16.5">
      <c r="A73" s="69"/>
      <c r="B73" s="68"/>
      <c r="C73" s="68"/>
      <c r="D73" s="68"/>
      <c r="F73" s="68"/>
      <c r="J73" s="89"/>
      <c r="K73" s="69"/>
      <c r="L73" s="68"/>
      <c r="M73" s="96"/>
      <c r="O73" s="68"/>
      <c r="P73" s="68"/>
      <c r="Q73" s="68"/>
      <c r="R73" s="68"/>
      <c r="S73" s="69"/>
      <c r="T73" s="69"/>
      <c r="U73" s="69"/>
      <c r="V73" s="69"/>
      <c r="W73" s="69"/>
      <c r="AR73" s="68"/>
      <c r="AT73" s="93" t="str">
        <f t="shared" si="0"/>
        <v/>
      </c>
      <c r="AU73" s="93"/>
      <c r="AV73" s="68"/>
      <c r="AW73" s="93" t="str">
        <f t="shared" si="1"/>
        <v/>
      </c>
      <c r="BE73" s="69"/>
      <c r="BF73" s="72"/>
      <c r="BG73" s="72"/>
      <c r="BK73" s="72"/>
      <c r="BL73" s="72"/>
      <c r="BM73" s="95" t="str">
        <f>IF(M73="","",IF(BN73="not a match","",IF(BN73="IP Office Full Name",VLOOKUP(M73,'Internal -- Copyright Countries'!A:E,5,FALSE),IF(BN73="Polity Shortest Name",VLOOKUP(M73,'Internal -- Copyright Countries'!B:E,4,FALSE),IF(BN73="Polity Full Name",VLOOKUP(M73,'Internal -- Copyright Countries'!C:E,3,FALSE),IF(BN73="Polity Common Name",VLOOKUP(M73,'Internal -- Copyright Countries'!D:E,2,FALSE),IF(BN73="IP Office Shortest Name",M73)))))))</f>
        <v/>
      </c>
      <c r="BN73" s="73" t="str">
        <f>IF(COUNTIF('Internal -- Copyright Countries'!A:A,M73)&gt;0,"IP Office Full Name",IF(COUNTIF('Internal -- Copyright Countries'!B:B,M73)&gt;0,"Polity Shortest Name",IF(COUNTIF('Internal -- Copyright Countries'!C:C,M73)&gt;0,"Polity Full Name",IF(COUNTIF('Internal -- Copyright Countries'!D:D,M73)&gt;0,"Polity Common Name",IF(COUNTIF('Internal -- Copyright Countries'!E:E,M73)&gt;0,"IP Office Shortest Name","Not a match")))))</f>
        <v>Not a match</v>
      </c>
      <c r="BO73" s="73"/>
      <c r="BP73" s="73"/>
      <c r="BQ73" s="73"/>
      <c r="BR73" s="73"/>
      <c r="BS73" s="74" t="str">
        <f t="shared" si="2"/>
        <v/>
      </c>
    </row>
    <row r="74" spans="1:71" ht="16.5">
      <c r="A74" s="69"/>
      <c r="B74" s="68"/>
      <c r="C74" s="68"/>
      <c r="D74" s="68"/>
      <c r="F74" s="68"/>
      <c r="J74" s="89"/>
      <c r="K74" s="69"/>
      <c r="L74" s="68"/>
      <c r="M74" s="96"/>
      <c r="O74" s="68"/>
      <c r="P74" s="68"/>
      <c r="Q74" s="68"/>
      <c r="R74" s="68"/>
      <c r="S74" s="69"/>
      <c r="T74" s="69"/>
      <c r="U74" s="69"/>
      <c r="V74" s="69"/>
      <c r="W74" s="69"/>
      <c r="AR74" s="68"/>
      <c r="AT74" s="93" t="str">
        <f t="shared" si="0"/>
        <v/>
      </c>
      <c r="AU74" s="93"/>
      <c r="AV74" s="68"/>
      <c r="AW74" s="93" t="str">
        <f t="shared" si="1"/>
        <v/>
      </c>
      <c r="BE74" s="69"/>
      <c r="BF74" s="72"/>
      <c r="BG74" s="72"/>
      <c r="BK74" s="72"/>
      <c r="BL74" s="72"/>
      <c r="BM74" s="95" t="str">
        <f>IF(M74="","",IF(BN74="not a match","",IF(BN74="IP Office Full Name",VLOOKUP(M74,'Internal -- Copyright Countries'!A:E,5,FALSE),IF(BN74="Polity Shortest Name",VLOOKUP(M74,'Internal -- Copyright Countries'!B:E,4,FALSE),IF(BN74="Polity Full Name",VLOOKUP(M74,'Internal -- Copyright Countries'!C:E,3,FALSE),IF(BN74="Polity Common Name",VLOOKUP(M74,'Internal -- Copyright Countries'!D:E,2,FALSE),IF(BN74="IP Office Shortest Name",M74)))))))</f>
        <v/>
      </c>
      <c r="BN74" s="73" t="str">
        <f>IF(COUNTIF('Internal -- Copyright Countries'!A:A,M74)&gt;0,"IP Office Full Name",IF(COUNTIF('Internal -- Copyright Countries'!B:B,M74)&gt;0,"Polity Shortest Name",IF(COUNTIF('Internal -- Copyright Countries'!C:C,M74)&gt;0,"Polity Full Name",IF(COUNTIF('Internal -- Copyright Countries'!D:D,M74)&gt;0,"Polity Common Name",IF(COUNTIF('Internal -- Copyright Countries'!E:E,M74)&gt;0,"IP Office Shortest Name","Not a match")))))</f>
        <v>Not a match</v>
      </c>
      <c r="BO74" s="73"/>
      <c r="BP74" s="73"/>
      <c r="BQ74" s="73"/>
      <c r="BR74" s="73"/>
      <c r="BS74" s="74" t="str">
        <f t="shared" si="2"/>
        <v/>
      </c>
    </row>
    <row r="75" spans="1:71" ht="16.5">
      <c r="A75" s="69"/>
      <c r="B75" s="68"/>
      <c r="C75" s="68"/>
      <c r="D75" s="68"/>
      <c r="F75" s="68"/>
      <c r="J75" s="89"/>
      <c r="K75" s="69"/>
      <c r="L75" s="68"/>
      <c r="M75" s="96"/>
      <c r="O75" s="68"/>
      <c r="P75" s="68"/>
      <c r="Q75" s="68"/>
      <c r="R75" s="68"/>
      <c r="S75" s="69"/>
      <c r="T75" s="69"/>
      <c r="U75" s="69"/>
      <c r="V75" s="69"/>
      <c r="W75" s="69"/>
      <c r="AR75" s="68"/>
      <c r="AT75" s="93" t="str">
        <f t="shared" si="0"/>
        <v/>
      </c>
      <c r="AU75" s="93"/>
      <c r="AV75" s="68"/>
      <c r="AW75" s="93" t="str">
        <f t="shared" si="1"/>
        <v/>
      </c>
      <c r="BE75" s="69"/>
      <c r="BF75" s="72"/>
      <c r="BG75" s="72"/>
      <c r="BK75" s="72"/>
      <c r="BL75" s="72"/>
      <c r="BM75" s="95" t="str">
        <f>IF(M75="","",IF(BN75="not a match","",IF(BN75="IP Office Full Name",VLOOKUP(M75,'Internal -- Copyright Countries'!A:E,5,FALSE),IF(BN75="Polity Shortest Name",VLOOKUP(M75,'Internal -- Copyright Countries'!B:E,4,FALSE),IF(BN75="Polity Full Name",VLOOKUP(M75,'Internal -- Copyright Countries'!C:E,3,FALSE),IF(BN75="Polity Common Name",VLOOKUP(M75,'Internal -- Copyright Countries'!D:E,2,FALSE),IF(BN75="IP Office Shortest Name",M75)))))))</f>
        <v/>
      </c>
      <c r="BN75" s="73" t="str">
        <f>IF(COUNTIF('Internal -- Copyright Countries'!A:A,M75)&gt;0,"IP Office Full Name",IF(COUNTIF('Internal -- Copyright Countries'!B:B,M75)&gt;0,"Polity Shortest Name",IF(COUNTIF('Internal -- Copyright Countries'!C:C,M75)&gt;0,"Polity Full Name",IF(COUNTIF('Internal -- Copyright Countries'!D:D,M75)&gt;0,"Polity Common Name",IF(COUNTIF('Internal -- Copyright Countries'!E:E,M75)&gt;0,"IP Office Shortest Name","Not a match")))))</f>
        <v>Not a match</v>
      </c>
      <c r="BO75" s="73"/>
      <c r="BP75" s="73"/>
      <c r="BQ75" s="73"/>
      <c r="BR75" s="73"/>
      <c r="BS75" s="74" t="str">
        <f t="shared" si="2"/>
        <v/>
      </c>
    </row>
    <row r="76" spans="1:71" ht="16.5">
      <c r="A76" s="69"/>
      <c r="B76" s="68"/>
      <c r="C76" s="68"/>
      <c r="D76" s="68"/>
      <c r="F76" s="68"/>
      <c r="J76" s="89"/>
      <c r="K76" s="69"/>
      <c r="L76" s="68"/>
      <c r="M76" s="96"/>
      <c r="O76" s="68"/>
      <c r="P76" s="68"/>
      <c r="Q76" s="68"/>
      <c r="R76" s="68"/>
      <c r="S76" s="69"/>
      <c r="T76" s="69"/>
      <c r="U76" s="69"/>
      <c r="V76" s="69"/>
      <c r="W76" s="69"/>
      <c r="AR76" s="68"/>
      <c r="AT76" s="93" t="str">
        <f t="shared" si="0"/>
        <v/>
      </c>
      <c r="AU76" s="93"/>
      <c r="AV76" s="68"/>
      <c r="AW76" s="93" t="str">
        <f t="shared" si="1"/>
        <v/>
      </c>
      <c r="BE76" s="69"/>
      <c r="BF76" s="72"/>
      <c r="BG76" s="72"/>
      <c r="BK76" s="72"/>
      <c r="BL76" s="72"/>
      <c r="BM76" s="95" t="str">
        <f>IF(M76="","",IF(BN76="not a match","",IF(BN76="IP Office Full Name",VLOOKUP(M76,'Internal -- Copyright Countries'!A:E,5,FALSE),IF(BN76="Polity Shortest Name",VLOOKUP(M76,'Internal -- Copyright Countries'!B:E,4,FALSE),IF(BN76="Polity Full Name",VLOOKUP(M76,'Internal -- Copyright Countries'!C:E,3,FALSE),IF(BN76="Polity Common Name",VLOOKUP(M76,'Internal -- Copyright Countries'!D:E,2,FALSE),IF(BN76="IP Office Shortest Name",M76)))))))</f>
        <v/>
      </c>
      <c r="BN76" s="73" t="str">
        <f>IF(COUNTIF('Internal -- Copyright Countries'!A:A,M76)&gt;0,"IP Office Full Name",IF(COUNTIF('Internal -- Copyright Countries'!B:B,M76)&gt;0,"Polity Shortest Name",IF(COUNTIF('Internal -- Copyright Countries'!C:C,M76)&gt;0,"Polity Full Name",IF(COUNTIF('Internal -- Copyright Countries'!D:D,M76)&gt;0,"Polity Common Name",IF(COUNTIF('Internal -- Copyright Countries'!E:E,M76)&gt;0,"IP Office Shortest Name","Not a match")))))</f>
        <v>Not a match</v>
      </c>
      <c r="BO76" s="73"/>
      <c r="BP76" s="73"/>
      <c r="BQ76" s="73"/>
      <c r="BR76" s="73"/>
      <c r="BS76" s="74" t="str">
        <f t="shared" si="2"/>
        <v/>
      </c>
    </row>
    <row r="77" spans="1:71" ht="16.5">
      <c r="A77" s="69"/>
      <c r="B77" s="68"/>
      <c r="C77" s="68"/>
      <c r="D77" s="68"/>
      <c r="F77" s="68"/>
      <c r="J77" s="89"/>
      <c r="K77" s="69"/>
      <c r="L77" s="68"/>
      <c r="M77" s="96"/>
      <c r="O77" s="68"/>
      <c r="P77" s="68"/>
      <c r="Q77" s="68"/>
      <c r="R77" s="68"/>
      <c r="S77" s="69"/>
      <c r="T77" s="69"/>
      <c r="U77" s="69"/>
      <c r="V77" s="69"/>
      <c r="W77" s="69"/>
      <c r="AR77" s="68"/>
      <c r="AT77" s="93" t="str">
        <f t="shared" si="0"/>
        <v/>
      </c>
      <c r="AU77" s="93"/>
      <c r="AV77" s="68"/>
      <c r="AW77" s="93" t="str">
        <f t="shared" si="1"/>
        <v/>
      </c>
      <c r="BE77" s="69"/>
      <c r="BF77" s="72"/>
      <c r="BG77" s="72"/>
      <c r="BK77" s="72"/>
      <c r="BL77" s="72"/>
      <c r="BM77" s="95" t="str">
        <f>IF(M77="","",IF(BN77="not a match","",IF(BN77="IP Office Full Name",VLOOKUP(M77,'Internal -- Copyright Countries'!A:E,5,FALSE),IF(BN77="Polity Shortest Name",VLOOKUP(M77,'Internal -- Copyright Countries'!B:E,4,FALSE),IF(BN77="Polity Full Name",VLOOKUP(M77,'Internal -- Copyright Countries'!C:E,3,FALSE),IF(BN77="Polity Common Name",VLOOKUP(M77,'Internal -- Copyright Countries'!D:E,2,FALSE),IF(BN77="IP Office Shortest Name",M77)))))))</f>
        <v/>
      </c>
      <c r="BN77" s="73" t="str">
        <f>IF(COUNTIF('Internal -- Copyright Countries'!A:A,M77)&gt;0,"IP Office Full Name",IF(COUNTIF('Internal -- Copyright Countries'!B:B,M77)&gt;0,"Polity Shortest Name",IF(COUNTIF('Internal -- Copyright Countries'!C:C,M77)&gt;0,"Polity Full Name",IF(COUNTIF('Internal -- Copyright Countries'!D:D,M77)&gt;0,"Polity Common Name",IF(COUNTIF('Internal -- Copyright Countries'!E:E,M77)&gt;0,"IP Office Shortest Name","Not a match")))))</f>
        <v>Not a match</v>
      </c>
      <c r="BO77" s="73"/>
      <c r="BP77" s="73"/>
      <c r="BQ77" s="73"/>
      <c r="BR77" s="73"/>
      <c r="BS77" s="74" t="str">
        <f t="shared" si="2"/>
        <v/>
      </c>
    </row>
    <row r="78" spans="1:71" ht="16.5">
      <c r="A78" s="69"/>
      <c r="B78" s="68"/>
      <c r="C78" s="68"/>
      <c r="D78" s="68"/>
      <c r="F78" s="68"/>
      <c r="J78" s="89"/>
      <c r="K78" s="69"/>
      <c r="L78" s="68"/>
      <c r="M78" s="96"/>
      <c r="O78" s="68"/>
      <c r="P78" s="68"/>
      <c r="Q78" s="68"/>
      <c r="R78" s="68"/>
      <c r="S78" s="69"/>
      <c r="T78" s="69"/>
      <c r="U78" s="69"/>
      <c r="V78" s="69"/>
      <c r="W78" s="69"/>
      <c r="AR78" s="68"/>
      <c r="AT78" s="93" t="str">
        <f t="shared" si="0"/>
        <v/>
      </c>
      <c r="AU78" s="93"/>
      <c r="AV78" s="68"/>
      <c r="AW78" s="93" t="str">
        <f t="shared" si="1"/>
        <v/>
      </c>
      <c r="BE78" s="69"/>
      <c r="BF78" s="72"/>
      <c r="BG78" s="72"/>
      <c r="BK78" s="72"/>
      <c r="BL78" s="72"/>
      <c r="BM78" s="95" t="str">
        <f>IF(M78="","",IF(BN78="not a match","",IF(BN78="IP Office Full Name",VLOOKUP(M78,'Internal -- Copyright Countries'!A:E,5,FALSE),IF(BN78="Polity Shortest Name",VLOOKUP(M78,'Internal -- Copyright Countries'!B:E,4,FALSE),IF(BN78="Polity Full Name",VLOOKUP(M78,'Internal -- Copyright Countries'!C:E,3,FALSE),IF(BN78="Polity Common Name",VLOOKUP(M78,'Internal -- Copyright Countries'!D:E,2,FALSE),IF(BN78="IP Office Shortest Name",M78)))))))</f>
        <v/>
      </c>
      <c r="BN78" s="73" t="str">
        <f>IF(COUNTIF('Internal -- Copyright Countries'!A:A,M78)&gt;0,"IP Office Full Name",IF(COUNTIF('Internal -- Copyright Countries'!B:B,M78)&gt;0,"Polity Shortest Name",IF(COUNTIF('Internal -- Copyright Countries'!C:C,M78)&gt;0,"Polity Full Name",IF(COUNTIF('Internal -- Copyright Countries'!D:D,M78)&gt;0,"Polity Common Name",IF(COUNTIF('Internal -- Copyright Countries'!E:E,M78)&gt;0,"IP Office Shortest Name","Not a match")))))</f>
        <v>Not a match</v>
      </c>
      <c r="BO78" s="73"/>
      <c r="BP78" s="73"/>
      <c r="BQ78" s="73"/>
      <c r="BR78" s="73"/>
      <c r="BS78" s="74" t="str">
        <f t="shared" si="2"/>
        <v/>
      </c>
    </row>
    <row r="79" spans="1:71" ht="16.5">
      <c r="A79" s="69"/>
      <c r="B79" s="68"/>
      <c r="C79" s="68"/>
      <c r="D79" s="68"/>
      <c r="F79" s="68"/>
      <c r="J79" s="89"/>
      <c r="K79" s="69"/>
      <c r="L79" s="68"/>
      <c r="M79" s="96"/>
      <c r="O79" s="68"/>
      <c r="P79" s="68"/>
      <c r="Q79" s="68"/>
      <c r="R79" s="68"/>
      <c r="S79" s="69"/>
      <c r="T79" s="69"/>
      <c r="U79" s="69"/>
      <c r="V79" s="69"/>
      <c r="W79" s="69"/>
      <c r="AR79" s="68"/>
      <c r="AT79" s="93" t="str">
        <f t="shared" si="0"/>
        <v/>
      </c>
      <c r="AU79" s="93"/>
      <c r="AV79" s="68"/>
      <c r="AW79" s="93" t="str">
        <f t="shared" si="1"/>
        <v/>
      </c>
      <c r="BE79" s="69"/>
      <c r="BF79" s="72"/>
      <c r="BG79" s="72"/>
      <c r="BK79" s="72"/>
      <c r="BL79" s="72"/>
      <c r="BM79" s="95" t="str">
        <f>IF(M79="","",IF(BN79="not a match","",IF(BN79="IP Office Full Name",VLOOKUP(M79,'Internal -- Copyright Countries'!A:E,5,FALSE),IF(BN79="Polity Shortest Name",VLOOKUP(M79,'Internal -- Copyright Countries'!B:E,4,FALSE),IF(BN79="Polity Full Name",VLOOKUP(M79,'Internal -- Copyright Countries'!C:E,3,FALSE),IF(BN79="Polity Common Name",VLOOKUP(M79,'Internal -- Copyright Countries'!D:E,2,FALSE),IF(BN79="IP Office Shortest Name",M79)))))))</f>
        <v/>
      </c>
      <c r="BN79" s="73" t="str">
        <f>IF(COUNTIF('Internal -- Copyright Countries'!A:A,M79)&gt;0,"IP Office Full Name",IF(COUNTIF('Internal -- Copyright Countries'!B:B,M79)&gt;0,"Polity Shortest Name",IF(COUNTIF('Internal -- Copyright Countries'!C:C,M79)&gt;0,"Polity Full Name",IF(COUNTIF('Internal -- Copyright Countries'!D:D,M79)&gt;0,"Polity Common Name",IF(COUNTIF('Internal -- Copyright Countries'!E:E,M79)&gt;0,"IP Office Shortest Name","Not a match")))))</f>
        <v>Not a match</v>
      </c>
      <c r="BO79" s="73"/>
      <c r="BP79" s="73"/>
      <c r="BQ79" s="73"/>
      <c r="BR79" s="73"/>
      <c r="BS79" s="74" t="str">
        <f t="shared" si="2"/>
        <v/>
      </c>
    </row>
    <row r="80" spans="1:71" ht="16.5">
      <c r="A80" s="69"/>
      <c r="B80" s="68"/>
      <c r="C80" s="68"/>
      <c r="D80" s="68"/>
      <c r="F80" s="68"/>
      <c r="J80" s="89"/>
      <c r="K80" s="69"/>
      <c r="L80" s="68"/>
      <c r="M80" s="96"/>
      <c r="O80" s="68"/>
      <c r="P80" s="68"/>
      <c r="Q80" s="68"/>
      <c r="R80" s="68"/>
      <c r="S80" s="69"/>
      <c r="T80" s="69"/>
      <c r="U80" s="69"/>
      <c r="V80" s="69"/>
      <c r="W80" s="69"/>
      <c r="AR80" s="68"/>
      <c r="AT80" s="93" t="str">
        <f t="shared" si="0"/>
        <v/>
      </c>
      <c r="AU80" s="93"/>
      <c r="AV80" s="68"/>
      <c r="AW80" s="93" t="str">
        <f t="shared" si="1"/>
        <v/>
      </c>
      <c r="BE80" s="69"/>
      <c r="BF80" s="72"/>
      <c r="BG80" s="72"/>
      <c r="BK80" s="72"/>
      <c r="BL80" s="72"/>
      <c r="BM80" s="95" t="str">
        <f>IF(M80="","",IF(BN80="not a match","",IF(BN80="IP Office Full Name",VLOOKUP(M80,'Internal -- Copyright Countries'!A:E,5,FALSE),IF(BN80="Polity Shortest Name",VLOOKUP(M80,'Internal -- Copyright Countries'!B:E,4,FALSE),IF(BN80="Polity Full Name",VLOOKUP(M80,'Internal -- Copyright Countries'!C:E,3,FALSE),IF(BN80="Polity Common Name",VLOOKUP(M80,'Internal -- Copyright Countries'!D:E,2,FALSE),IF(BN80="IP Office Shortest Name",M80)))))))</f>
        <v/>
      </c>
      <c r="BN80" s="73" t="str">
        <f>IF(COUNTIF('Internal -- Copyright Countries'!A:A,M80)&gt;0,"IP Office Full Name",IF(COUNTIF('Internal -- Copyright Countries'!B:B,M80)&gt;0,"Polity Shortest Name",IF(COUNTIF('Internal -- Copyright Countries'!C:C,M80)&gt;0,"Polity Full Name",IF(COUNTIF('Internal -- Copyright Countries'!D:D,M80)&gt;0,"Polity Common Name",IF(COUNTIF('Internal -- Copyright Countries'!E:E,M80)&gt;0,"IP Office Shortest Name","Not a match")))))</f>
        <v>Not a match</v>
      </c>
      <c r="BO80" s="73"/>
      <c r="BP80" s="73"/>
      <c r="BQ80" s="73"/>
      <c r="BR80" s="73"/>
      <c r="BS80" s="74" t="str">
        <f t="shared" si="2"/>
        <v/>
      </c>
    </row>
    <row r="81" spans="1:71" ht="16.5">
      <c r="A81" s="69"/>
      <c r="B81" s="68"/>
      <c r="C81" s="68"/>
      <c r="D81" s="68"/>
      <c r="F81" s="68"/>
      <c r="J81" s="89"/>
      <c r="K81" s="69"/>
      <c r="L81" s="68"/>
      <c r="M81" s="96"/>
      <c r="O81" s="68"/>
      <c r="P81" s="68"/>
      <c r="Q81" s="68"/>
      <c r="R81" s="68"/>
      <c r="S81" s="69"/>
      <c r="T81" s="69"/>
      <c r="U81" s="69"/>
      <c r="V81" s="69"/>
      <c r="W81" s="69"/>
      <c r="AR81" s="68"/>
      <c r="AT81" s="93" t="str">
        <f t="shared" si="0"/>
        <v/>
      </c>
      <c r="AU81" s="93"/>
      <c r="AV81" s="68"/>
      <c r="AW81" s="93" t="str">
        <f t="shared" si="1"/>
        <v/>
      </c>
      <c r="BE81" s="69"/>
      <c r="BF81" s="72"/>
      <c r="BG81" s="72"/>
      <c r="BK81" s="72"/>
      <c r="BL81" s="72"/>
      <c r="BM81" s="95" t="str">
        <f>IF(M81="","",IF(BN81="not a match","",IF(BN81="IP Office Full Name",VLOOKUP(M81,'Internal -- Copyright Countries'!A:E,5,FALSE),IF(BN81="Polity Shortest Name",VLOOKUP(M81,'Internal -- Copyright Countries'!B:E,4,FALSE),IF(BN81="Polity Full Name",VLOOKUP(M81,'Internal -- Copyright Countries'!C:E,3,FALSE),IF(BN81="Polity Common Name",VLOOKUP(M81,'Internal -- Copyright Countries'!D:E,2,FALSE),IF(BN81="IP Office Shortest Name",M81)))))))</f>
        <v/>
      </c>
      <c r="BN81" s="73" t="str">
        <f>IF(COUNTIF('Internal -- Copyright Countries'!A:A,M81)&gt;0,"IP Office Full Name",IF(COUNTIF('Internal -- Copyright Countries'!B:B,M81)&gt;0,"Polity Shortest Name",IF(COUNTIF('Internal -- Copyright Countries'!C:C,M81)&gt;0,"Polity Full Name",IF(COUNTIF('Internal -- Copyright Countries'!D:D,M81)&gt;0,"Polity Common Name",IF(COUNTIF('Internal -- Copyright Countries'!E:E,M81)&gt;0,"IP Office Shortest Name","Not a match")))))</f>
        <v>Not a match</v>
      </c>
      <c r="BO81" s="73"/>
      <c r="BP81" s="73"/>
      <c r="BQ81" s="73"/>
      <c r="BR81" s="73"/>
      <c r="BS81" s="74" t="str">
        <f t="shared" si="2"/>
        <v/>
      </c>
    </row>
    <row r="82" spans="1:71" ht="16.5">
      <c r="A82" s="69"/>
      <c r="B82" s="68"/>
      <c r="C82" s="68"/>
      <c r="D82" s="68"/>
      <c r="F82" s="68"/>
      <c r="J82" s="89"/>
      <c r="K82" s="69"/>
      <c r="L82" s="68"/>
      <c r="M82" s="96"/>
      <c r="O82" s="68"/>
      <c r="P82" s="68"/>
      <c r="Q82" s="68"/>
      <c r="R82" s="68"/>
      <c r="S82" s="69"/>
      <c r="T82" s="69"/>
      <c r="U82" s="69"/>
      <c r="V82" s="69"/>
      <c r="W82" s="69"/>
      <c r="AR82" s="68"/>
      <c r="AT82" s="93" t="str">
        <f t="shared" si="0"/>
        <v/>
      </c>
      <c r="AU82" s="93"/>
      <c r="AV82" s="68"/>
      <c r="AW82" s="93" t="str">
        <f t="shared" si="1"/>
        <v/>
      </c>
      <c r="BE82" s="69"/>
      <c r="BF82" s="72"/>
      <c r="BG82" s="72"/>
      <c r="BK82" s="72"/>
      <c r="BL82" s="72"/>
      <c r="BM82" s="95" t="str">
        <f>IF(M82="","",IF(BN82="not a match","",IF(BN82="IP Office Full Name",VLOOKUP(M82,'Internal -- Copyright Countries'!A:E,5,FALSE),IF(BN82="Polity Shortest Name",VLOOKUP(M82,'Internal -- Copyright Countries'!B:E,4,FALSE),IF(BN82="Polity Full Name",VLOOKUP(M82,'Internal -- Copyright Countries'!C:E,3,FALSE),IF(BN82="Polity Common Name",VLOOKUP(M82,'Internal -- Copyright Countries'!D:E,2,FALSE),IF(BN82="IP Office Shortest Name",M82)))))))</f>
        <v/>
      </c>
      <c r="BN82" s="73" t="str">
        <f>IF(COUNTIF('Internal -- Copyright Countries'!A:A,M82)&gt;0,"IP Office Full Name",IF(COUNTIF('Internal -- Copyright Countries'!B:B,M82)&gt;0,"Polity Shortest Name",IF(COUNTIF('Internal -- Copyright Countries'!C:C,M82)&gt;0,"Polity Full Name",IF(COUNTIF('Internal -- Copyright Countries'!D:D,M82)&gt;0,"Polity Common Name",IF(COUNTIF('Internal -- Copyright Countries'!E:E,M82)&gt;0,"IP Office Shortest Name","Not a match")))))</f>
        <v>Not a match</v>
      </c>
      <c r="BO82" s="73"/>
      <c r="BP82" s="73"/>
      <c r="BQ82" s="73"/>
      <c r="BR82" s="73"/>
      <c r="BS82" s="74" t="str">
        <f t="shared" si="2"/>
        <v/>
      </c>
    </row>
    <row r="83" spans="1:71" ht="16.5">
      <c r="A83" s="69"/>
      <c r="B83" s="68"/>
      <c r="C83" s="68"/>
      <c r="D83" s="68"/>
      <c r="F83" s="68"/>
      <c r="J83" s="89"/>
      <c r="K83" s="69"/>
      <c r="L83" s="68"/>
      <c r="M83" s="96"/>
      <c r="O83" s="68"/>
      <c r="P83" s="68"/>
      <c r="Q83" s="68"/>
      <c r="R83" s="68"/>
      <c r="S83" s="69"/>
      <c r="T83" s="69"/>
      <c r="U83" s="69"/>
      <c r="V83" s="69"/>
      <c r="W83" s="69"/>
      <c r="AR83" s="68"/>
      <c r="AT83" s="93" t="str">
        <f t="shared" si="0"/>
        <v/>
      </c>
      <c r="AU83" s="93"/>
      <c r="AV83" s="68"/>
      <c r="AW83" s="93" t="str">
        <f t="shared" si="1"/>
        <v/>
      </c>
      <c r="BE83" s="69"/>
      <c r="BF83" s="72"/>
      <c r="BG83" s="72"/>
      <c r="BK83" s="72"/>
      <c r="BL83" s="72"/>
      <c r="BM83" s="95" t="str">
        <f>IF(M83="","",IF(BN83="not a match","",IF(BN83="IP Office Full Name",VLOOKUP(M83,'Internal -- Copyright Countries'!A:E,5,FALSE),IF(BN83="Polity Shortest Name",VLOOKUP(M83,'Internal -- Copyright Countries'!B:E,4,FALSE),IF(BN83="Polity Full Name",VLOOKUP(M83,'Internal -- Copyright Countries'!C:E,3,FALSE),IF(BN83="Polity Common Name",VLOOKUP(M83,'Internal -- Copyright Countries'!D:E,2,FALSE),IF(BN83="IP Office Shortest Name",M83)))))))</f>
        <v/>
      </c>
      <c r="BN83" s="73" t="str">
        <f>IF(COUNTIF('Internal -- Copyright Countries'!A:A,M83)&gt;0,"IP Office Full Name",IF(COUNTIF('Internal -- Copyright Countries'!B:B,M83)&gt;0,"Polity Shortest Name",IF(COUNTIF('Internal -- Copyright Countries'!C:C,M83)&gt;0,"Polity Full Name",IF(COUNTIF('Internal -- Copyright Countries'!D:D,M83)&gt;0,"Polity Common Name",IF(COUNTIF('Internal -- Copyright Countries'!E:E,M83)&gt;0,"IP Office Shortest Name","Not a match")))))</f>
        <v>Not a match</v>
      </c>
      <c r="BO83" s="73"/>
      <c r="BP83" s="73"/>
      <c r="BQ83" s="73"/>
      <c r="BR83" s="73"/>
      <c r="BS83" s="74" t="str">
        <f t="shared" si="2"/>
        <v/>
      </c>
    </row>
    <row r="84" spans="1:71" ht="16.5">
      <c r="A84" s="69"/>
      <c r="B84" s="68"/>
      <c r="C84" s="68"/>
      <c r="D84" s="68"/>
      <c r="F84" s="68"/>
      <c r="J84" s="89"/>
      <c r="K84" s="69"/>
      <c r="L84" s="68"/>
      <c r="M84" s="96"/>
      <c r="O84" s="68"/>
      <c r="P84" s="68"/>
      <c r="Q84" s="68"/>
      <c r="R84" s="68"/>
      <c r="S84" s="69"/>
      <c r="T84" s="69"/>
      <c r="U84" s="69"/>
      <c r="V84" s="69"/>
      <c r="W84" s="69"/>
      <c r="AR84" s="68"/>
      <c r="AT84" s="93" t="str">
        <f t="shared" si="0"/>
        <v/>
      </c>
      <c r="AU84" s="93"/>
      <c r="AV84" s="68"/>
      <c r="AW84" s="93" t="str">
        <f t="shared" si="1"/>
        <v/>
      </c>
      <c r="BE84" s="69"/>
      <c r="BF84" s="72"/>
      <c r="BG84" s="72"/>
      <c r="BK84" s="72"/>
      <c r="BL84" s="72"/>
      <c r="BM84" s="95" t="str">
        <f>IF(M84="","",IF(BN84="not a match","",IF(BN84="IP Office Full Name",VLOOKUP(M84,'Internal -- Copyright Countries'!A:E,5,FALSE),IF(BN84="Polity Shortest Name",VLOOKUP(M84,'Internal -- Copyright Countries'!B:E,4,FALSE),IF(BN84="Polity Full Name",VLOOKUP(M84,'Internal -- Copyright Countries'!C:E,3,FALSE),IF(BN84="Polity Common Name",VLOOKUP(M84,'Internal -- Copyright Countries'!D:E,2,FALSE),IF(BN84="IP Office Shortest Name",M84)))))))</f>
        <v/>
      </c>
      <c r="BN84" s="73" t="str">
        <f>IF(COUNTIF('Internal -- Copyright Countries'!A:A,M84)&gt;0,"IP Office Full Name",IF(COUNTIF('Internal -- Copyright Countries'!B:B,M84)&gt;0,"Polity Shortest Name",IF(COUNTIF('Internal -- Copyright Countries'!C:C,M84)&gt;0,"Polity Full Name",IF(COUNTIF('Internal -- Copyright Countries'!D:D,M84)&gt;0,"Polity Common Name",IF(COUNTIF('Internal -- Copyright Countries'!E:E,M84)&gt;0,"IP Office Shortest Name","Not a match")))))</f>
        <v>Not a match</v>
      </c>
      <c r="BO84" s="73"/>
      <c r="BP84" s="73"/>
      <c r="BQ84" s="73"/>
      <c r="BR84" s="73"/>
      <c r="BS84" s="74" t="str">
        <f t="shared" si="2"/>
        <v/>
      </c>
    </row>
    <row r="85" spans="1:71" ht="16.5">
      <c r="A85" s="69"/>
      <c r="B85" s="68"/>
      <c r="C85" s="68"/>
      <c r="D85" s="68"/>
      <c r="F85" s="68"/>
      <c r="J85" s="89"/>
      <c r="K85" s="69"/>
      <c r="L85" s="68"/>
      <c r="M85" s="96"/>
      <c r="O85" s="68"/>
      <c r="P85" s="68"/>
      <c r="Q85" s="68"/>
      <c r="R85" s="68"/>
      <c r="S85" s="69"/>
      <c r="T85" s="69"/>
      <c r="U85" s="69"/>
      <c r="V85" s="69"/>
      <c r="W85" s="69"/>
      <c r="AR85" s="68"/>
      <c r="AT85" s="93" t="str">
        <f t="shared" si="0"/>
        <v/>
      </c>
      <c r="AU85" s="93"/>
      <c r="AV85" s="68"/>
      <c r="AW85" s="93" t="str">
        <f t="shared" si="1"/>
        <v/>
      </c>
      <c r="BE85" s="69"/>
      <c r="BF85" s="72"/>
      <c r="BG85" s="72"/>
      <c r="BK85" s="72"/>
      <c r="BL85" s="72"/>
      <c r="BM85" s="95" t="str">
        <f>IF(M85="","",IF(BN85="not a match","",IF(BN85="IP Office Full Name",VLOOKUP(M85,'Internal -- Copyright Countries'!A:E,5,FALSE),IF(BN85="Polity Shortest Name",VLOOKUP(M85,'Internal -- Copyright Countries'!B:E,4,FALSE),IF(BN85="Polity Full Name",VLOOKUP(M85,'Internal -- Copyright Countries'!C:E,3,FALSE),IF(BN85="Polity Common Name",VLOOKUP(M85,'Internal -- Copyright Countries'!D:E,2,FALSE),IF(BN85="IP Office Shortest Name",M85)))))))</f>
        <v/>
      </c>
      <c r="BN85" s="73" t="str">
        <f>IF(COUNTIF('Internal -- Copyright Countries'!A:A,M85)&gt;0,"IP Office Full Name",IF(COUNTIF('Internal -- Copyright Countries'!B:B,M85)&gt;0,"Polity Shortest Name",IF(COUNTIF('Internal -- Copyright Countries'!C:C,M85)&gt;0,"Polity Full Name",IF(COUNTIF('Internal -- Copyright Countries'!D:D,M85)&gt;0,"Polity Common Name",IF(COUNTIF('Internal -- Copyright Countries'!E:E,M85)&gt;0,"IP Office Shortest Name","Not a match")))))</f>
        <v>Not a match</v>
      </c>
      <c r="BO85" s="73"/>
      <c r="BP85" s="73"/>
      <c r="BQ85" s="73"/>
      <c r="BR85" s="73"/>
      <c r="BS85" s="74" t="str">
        <f t="shared" si="2"/>
        <v/>
      </c>
    </row>
    <row r="86" spans="1:71" ht="16.5">
      <c r="A86" s="69"/>
      <c r="B86" s="68"/>
      <c r="C86" s="68"/>
      <c r="D86" s="68"/>
      <c r="F86" s="68"/>
      <c r="J86" s="89"/>
      <c r="K86" s="69"/>
      <c r="L86" s="68"/>
      <c r="M86" s="96"/>
      <c r="O86" s="68"/>
      <c r="P86" s="68"/>
      <c r="Q86" s="68"/>
      <c r="R86" s="68"/>
      <c r="S86" s="69"/>
      <c r="T86" s="69"/>
      <c r="U86" s="69"/>
      <c r="V86" s="69"/>
      <c r="W86" s="69"/>
      <c r="AR86" s="68"/>
      <c r="AT86" s="93" t="str">
        <f t="shared" si="0"/>
        <v/>
      </c>
      <c r="AU86" s="93"/>
      <c r="AV86" s="68"/>
      <c r="AW86" s="93" t="str">
        <f t="shared" si="1"/>
        <v/>
      </c>
      <c r="BE86" s="69"/>
      <c r="BF86" s="72"/>
      <c r="BG86" s="72"/>
      <c r="BK86" s="72"/>
      <c r="BL86" s="72"/>
      <c r="BM86" s="95" t="str">
        <f>IF(M86="","",IF(BN86="not a match","",IF(BN86="IP Office Full Name",VLOOKUP(M86,'Internal -- Copyright Countries'!A:E,5,FALSE),IF(BN86="Polity Shortest Name",VLOOKUP(M86,'Internal -- Copyright Countries'!B:E,4,FALSE),IF(BN86="Polity Full Name",VLOOKUP(M86,'Internal -- Copyright Countries'!C:E,3,FALSE),IF(BN86="Polity Common Name",VLOOKUP(M86,'Internal -- Copyright Countries'!D:E,2,FALSE),IF(BN86="IP Office Shortest Name",M86)))))))</f>
        <v/>
      </c>
      <c r="BN86" s="73" t="str">
        <f>IF(COUNTIF('Internal -- Copyright Countries'!A:A,M86)&gt;0,"IP Office Full Name",IF(COUNTIF('Internal -- Copyright Countries'!B:B,M86)&gt;0,"Polity Shortest Name",IF(COUNTIF('Internal -- Copyright Countries'!C:C,M86)&gt;0,"Polity Full Name",IF(COUNTIF('Internal -- Copyright Countries'!D:D,M86)&gt;0,"Polity Common Name",IF(COUNTIF('Internal -- Copyright Countries'!E:E,M86)&gt;0,"IP Office Shortest Name","Not a match")))))</f>
        <v>Not a match</v>
      </c>
      <c r="BO86" s="73"/>
      <c r="BP86" s="73"/>
      <c r="BQ86" s="73"/>
      <c r="BR86" s="73"/>
      <c r="BS86" s="74" t="str">
        <f t="shared" si="2"/>
        <v/>
      </c>
    </row>
    <row r="87" spans="1:71" ht="16.5">
      <c r="A87" s="69"/>
      <c r="B87" s="68"/>
      <c r="C87" s="68"/>
      <c r="D87" s="68"/>
      <c r="F87" s="68"/>
      <c r="J87" s="89"/>
      <c r="K87" s="69"/>
      <c r="L87" s="68"/>
      <c r="M87" s="96"/>
      <c r="O87" s="68"/>
      <c r="P87" s="68"/>
      <c r="Q87" s="68"/>
      <c r="R87" s="68"/>
      <c r="S87" s="69"/>
      <c r="T87" s="69"/>
      <c r="U87" s="69"/>
      <c r="V87" s="69"/>
      <c r="W87" s="69"/>
      <c r="AR87" s="68"/>
      <c r="AT87" s="93" t="str">
        <f t="shared" si="0"/>
        <v/>
      </c>
      <c r="AU87" s="93"/>
      <c r="AV87" s="68"/>
      <c r="AW87" s="93" t="str">
        <f t="shared" si="1"/>
        <v/>
      </c>
      <c r="BE87" s="69"/>
      <c r="BF87" s="72"/>
      <c r="BG87" s="72"/>
      <c r="BK87" s="72"/>
      <c r="BL87" s="72"/>
      <c r="BM87" s="95" t="str">
        <f>IF(M87="","",IF(BN87="not a match","",IF(BN87="IP Office Full Name",VLOOKUP(M87,'Internal -- Copyright Countries'!A:E,5,FALSE),IF(BN87="Polity Shortest Name",VLOOKUP(M87,'Internal -- Copyright Countries'!B:E,4,FALSE),IF(BN87="Polity Full Name",VLOOKUP(M87,'Internal -- Copyright Countries'!C:E,3,FALSE),IF(BN87="Polity Common Name",VLOOKUP(M87,'Internal -- Copyright Countries'!D:E,2,FALSE),IF(BN87="IP Office Shortest Name",M87)))))))</f>
        <v/>
      </c>
      <c r="BN87" s="73" t="str">
        <f>IF(COUNTIF('Internal -- Copyright Countries'!A:A,M87)&gt;0,"IP Office Full Name",IF(COUNTIF('Internal -- Copyright Countries'!B:B,M87)&gt;0,"Polity Shortest Name",IF(COUNTIF('Internal -- Copyright Countries'!C:C,M87)&gt;0,"Polity Full Name",IF(COUNTIF('Internal -- Copyright Countries'!D:D,M87)&gt;0,"Polity Common Name",IF(COUNTIF('Internal -- Copyright Countries'!E:E,M87)&gt;0,"IP Office Shortest Name","Not a match")))))</f>
        <v>Not a match</v>
      </c>
      <c r="BO87" s="73"/>
      <c r="BP87" s="73"/>
      <c r="BQ87" s="73"/>
      <c r="BR87" s="73"/>
      <c r="BS87" s="74" t="str">
        <f t="shared" si="2"/>
        <v/>
      </c>
    </row>
    <row r="88" spans="1:71" ht="16.5">
      <c r="A88" s="69"/>
      <c r="B88" s="68"/>
      <c r="C88" s="68"/>
      <c r="D88" s="68"/>
      <c r="F88" s="68"/>
      <c r="J88" s="89"/>
      <c r="K88" s="69"/>
      <c r="L88" s="68"/>
      <c r="M88" s="96"/>
      <c r="O88" s="68"/>
      <c r="P88" s="68"/>
      <c r="Q88" s="68"/>
      <c r="R88" s="68"/>
      <c r="S88" s="69"/>
      <c r="T88" s="69"/>
      <c r="U88" s="69"/>
      <c r="V88" s="69"/>
      <c r="W88" s="69"/>
      <c r="AR88" s="68"/>
      <c r="AT88" s="93" t="str">
        <f t="shared" si="0"/>
        <v/>
      </c>
      <c r="AU88" s="93"/>
      <c r="AV88" s="68"/>
      <c r="AW88" s="93" t="str">
        <f t="shared" si="1"/>
        <v/>
      </c>
      <c r="BE88" s="69"/>
      <c r="BF88" s="72"/>
      <c r="BG88" s="72"/>
      <c r="BK88" s="72"/>
      <c r="BL88" s="72"/>
      <c r="BM88" s="95" t="str">
        <f>IF(M88="","",IF(BN88="not a match","",IF(BN88="IP Office Full Name",VLOOKUP(M88,'Internal -- Copyright Countries'!A:E,5,FALSE),IF(BN88="Polity Shortest Name",VLOOKUP(M88,'Internal -- Copyright Countries'!B:E,4,FALSE),IF(BN88="Polity Full Name",VLOOKUP(M88,'Internal -- Copyright Countries'!C:E,3,FALSE),IF(BN88="Polity Common Name",VLOOKUP(M88,'Internal -- Copyright Countries'!D:E,2,FALSE),IF(BN88="IP Office Shortest Name",M88)))))))</f>
        <v/>
      </c>
      <c r="BN88" s="73" t="str">
        <f>IF(COUNTIF('Internal -- Copyright Countries'!A:A,M88)&gt;0,"IP Office Full Name",IF(COUNTIF('Internal -- Copyright Countries'!B:B,M88)&gt;0,"Polity Shortest Name",IF(COUNTIF('Internal -- Copyright Countries'!C:C,M88)&gt;0,"Polity Full Name",IF(COUNTIF('Internal -- Copyright Countries'!D:D,M88)&gt;0,"Polity Common Name",IF(COUNTIF('Internal -- Copyright Countries'!E:E,M88)&gt;0,"IP Office Shortest Name","Not a match")))))</f>
        <v>Not a match</v>
      </c>
      <c r="BO88" s="73"/>
      <c r="BP88" s="73"/>
      <c r="BQ88" s="73"/>
      <c r="BR88" s="73"/>
      <c r="BS88" s="74" t="str">
        <f t="shared" si="2"/>
        <v/>
      </c>
    </row>
    <row r="89" spans="1:71" ht="16.5">
      <c r="A89" s="69"/>
      <c r="B89" s="68"/>
      <c r="C89" s="68"/>
      <c r="D89" s="68"/>
      <c r="F89" s="68"/>
      <c r="J89" s="89"/>
      <c r="K89" s="69"/>
      <c r="L89" s="68"/>
      <c r="M89" s="96"/>
      <c r="O89" s="68"/>
      <c r="P89" s="68"/>
      <c r="Q89" s="68"/>
      <c r="R89" s="68"/>
      <c r="S89" s="69"/>
      <c r="T89" s="69"/>
      <c r="U89" s="69"/>
      <c r="V89" s="69"/>
      <c r="W89" s="69"/>
      <c r="AR89" s="68"/>
      <c r="AT89" s="93" t="str">
        <f t="shared" si="0"/>
        <v/>
      </c>
      <c r="AU89" s="93"/>
      <c r="AV89" s="68"/>
      <c r="AW89" s="93" t="str">
        <f t="shared" si="1"/>
        <v/>
      </c>
      <c r="BE89" s="69"/>
      <c r="BF89" s="72"/>
      <c r="BG89" s="72"/>
      <c r="BK89" s="72"/>
      <c r="BL89" s="72"/>
      <c r="BM89" s="95" t="str">
        <f>IF(M89="","",IF(BN89="not a match","",IF(BN89="IP Office Full Name",VLOOKUP(M89,'Internal -- Copyright Countries'!A:E,5,FALSE),IF(BN89="Polity Shortest Name",VLOOKUP(M89,'Internal -- Copyright Countries'!B:E,4,FALSE),IF(BN89="Polity Full Name",VLOOKUP(M89,'Internal -- Copyright Countries'!C:E,3,FALSE),IF(BN89="Polity Common Name",VLOOKUP(M89,'Internal -- Copyright Countries'!D:E,2,FALSE),IF(BN89="IP Office Shortest Name",M89)))))))</f>
        <v/>
      </c>
      <c r="BN89" s="73" t="str">
        <f>IF(COUNTIF('Internal -- Copyright Countries'!A:A,M89)&gt;0,"IP Office Full Name",IF(COUNTIF('Internal -- Copyright Countries'!B:B,M89)&gt;0,"Polity Shortest Name",IF(COUNTIF('Internal -- Copyright Countries'!C:C,M89)&gt;0,"Polity Full Name",IF(COUNTIF('Internal -- Copyright Countries'!D:D,M89)&gt;0,"Polity Common Name",IF(COUNTIF('Internal -- Copyright Countries'!E:E,M89)&gt;0,"IP Office Shortest Name","Not a match")))))</f>
        <v>Not a match</v>
      </c>
      <c r="BO89" s="73"/>
      <c r="BP89" s="73"/>
      <c r="BQ89" s="73"/>
      <c r="BR89" s="73"/>
      <c r="BS89" s="74" t="str">
        <f t="shared" si="2"/>
        <v/>
      </c>
    </row>
    <row r="90" spans="1:71" ht="16.5">
      <c r="A90" s="69"/>
      <c r="B90" s="68"/>
      <c r="C90" s="68"/>
      <c r="D90" s="68"/>
      <c r="F90" s="68"/>
      <c r="J90" s="89"/>
      <c r="K90" s="69"/>
      <c r="L90" s="68"/>
      <c r="M90" s="96"/>
      <c r="O90" s="68"/>
      <c r="P90" s="68"/>
      <c r="Q90" s="68"/>
      <c r="R90" s="68"/>
      <c r="S90" s="69"/>
      <c r="T90" s="69"/>
      <c r="U90" s="69"/>
      <c r="V90" s="69"/>
      <c r="W90" s="69"/>
      <c r="AR90" s="68"/>
      <c r="AT90" s="93" t="str">
        <f t="shared" si="0"/>
        <v/>
      </c>
      <c r="AU90" s="93"/>
      <c r="AV90" s="68"/>
      <c r="AW90" s="93" t="str">
        <f t="shared" si="1"/>
        <v/>
      </c>
      <c r="BE90" s="69"/>
      <c r="BF90" s="72"/>
      <c r="BG90" s="72"/>
      <c r="BK90" s="72"/>
      <c r="BL90" s="72"/>
      <c r="BM90" s="95" t="str">
        <f>IF(M90="","",IF(BN90="not a match","",IF(BN90="IP Office Full Name",VLOOKUP(M90,'Internal -- Copyright Countries'!A:E,5,FALSE),IF(BN90="Polity Shortest Name",VLOOKUP(M90,'Internal -- Copyright Countries'!B:E,4,FALSE),IF(BN90="Polity Full Name",VLOOKUP(M90,'Internal -- Copyright Countries'!C:E,3,FALSE),IF(BN90="Polity Common Name",VLOOKUP(M90,'Internal -- Copyright Countries'!D:E,2,FALSE),IF(BN90="IP Office Shortest Name",M90)))))))</f>
        <v/>
      </c>
      <c r="BN90" s="73" t="str">
        <f>IF(COUNTIF('Internal -- Copyright Countries'!A:A,M90)&gt;0,"IP Office Full Name",IF(COUNTIF('Internal -- Copyright Countries'!B:B,M90)&gt;0,"Polity Shortest Name",IF(COUNTIF('Internal -- Copyright Countries'!C:C,M90)&gt;0,"Polity Full Name",IF(COUNTIF('Internal -- Copyright Countries'!D:D,M90)&gt;0,"Polity Common Name",IF(COUNTIF('Internal -- Copyright Countries'!E:E,M90)&gt;0,"IP Office Shortest Name","Not a match")))))</f>
        <v>Not a match</v>
      </c>
      <c r="BO90" s="73"/>
      <c r="BP90" s="73"/>
      <c r="BQ90" s="73"/>
      <c r="BR90" s="73"/>
      <c r="BS90" s="74" t="str">
        <f t="shared" si="2"/>
        <v/>
      </c>
    </row>
    <row r="91" spans="1:71" ht="16.5">
      <c r="A91" s="69"/>
      <c r="B91" s="68"/>
      <c r="C91" s="68"/>
      <c r="D91" s="68"/>
      <c r="F91" s="68"/>
      <c r="J91" s="89"/>
      <c r="K91" s="69"/>
      <c r="L91" s="68"/>
      <c r="M91" s="96"/>
      <c r="O91" s="68"/>
      <c r="P91" s="68"/>
      <c r="Q91" s="68"/>
      <c r="R91" s="68"/>
      <c r="S91" s="69"/>
      <c r="T91" s="69"/>
      <c r="U91" s="69"/>
      <c r="V91" s="69"/>
      <c r="W91" s="69"/>
      <c r="AR91" s="68"/>
      <c r="AT91" s="93" t="str">
        <f t="shared" si="0"/>
        <v/>
      </c>
      <c r="AU91" s="93"/>
      <c r="AV91" s="68"/>
      <c r="AW91" s="93" t="str">
        <f t="shared" si="1"/>
        <v/>
      </c>
      <c r="BE91" s="69"/>
      <c r="BF91" s="72"/>
      <c r="BG91" s="72"/>
      <c r="BK91" s="72"/>
      <c r="BL91" s="72"/>
      <c r="BM91" s="95" t="str">
        <f>IF(M91="","",IF(BN91="not a match","",IF(BN91="IP Office Full Name",VLOOKUP(M91,'Internal -- Copyright Countries'!A:E,5,FALSE),IF(BN91="Polity Shortest Name",VLOOKUP(M91,'Internal -- Copyright Countries'!B:E,4,FALSE),IF(BN91="Polity Full Name",VLOOKUP(M91,'Internal -- Copyright Countries'!C:E,3,FALSE),IF(BN91="Polity Common Name",VLOOKUP(M91,'Internal -- Copyright Countries'!D:E,2,FALSE),IF(BN91="IP Office Shortest Name",M91)))))))</f>
        <v/>
      </c>
      <c r="BN91" s="73" t="str">
        <f>IF(COUNTIF('Internal -- Copyright Countries'!A:A,M91)&gt;0,"IP Office Full Name",IF(COUNTIF('Internal -- Copyright Countries'!B:B,M91)&gt;0,"Polity Shortest Name",IF(COUNTIF('Internal -- Copyright Countries'!C:C,M91)&gt;0,"Polity Full Name",IF(COUNTIF('Internal -- Copyright Countries'!D:D,M91)&gt;0,"Polity Common Name",IF(COUNTIF('Internal -- Copyright Countries'!E:E,M91)&gt;0,"IP Office Shortest Name","Not a match")))))</f>
        <v>Not a match</v>
      </c>
      <c r="BO91" s="73"/>
      <c r="BP91" s="73"/>
      <c r="BQ91" s="73"/>
      <c r="BR91" s="73"/>
      <c r="BS91" s="74" t="str">
        <f t="shared" si="2"/>
        <v/>
      </c>
    </row>
    <row r="92" spans="1:71" ht="16.5">
      <c r="A92" s="69"/>
      <c r="B92" s="68"/>
      <c r="C92" s="68"/>
      <c r="D92" s="68"/>
      <c r="F92" s="68"/>
      <c r="J92" s="89"/>
      <c r="K92" s="69"/>
      <c r="L92" s="68"/>
      <c r="M92" s="96"/>
      <c r="O92" s="68"/>
      <c r="P92" s="68"/>
      <c r="Q92" s="68"/>
      <c r="R92" s="68"/>
      <c r="S92" s="69"/>
      <c r="T92" s="69"/>
      <c r="U92" s="69"/>
      <c r="V92" s="69"/>
      <c r="W92" s="69"/>
      <c r="AR92" s="68"/>
      <c r="AT92" s="93" t="str">
        <f t="shared" si="0"/>
        <v/>
      </c>
      <c r="AU92" s="93"/>
      <c r="AV92" s="68"/>
      <c r="AW92" s="93" t="str">
        <f t="shared" si="1"/>
        <v/>
      </c>
      <c r="BE92" s="69"/>
      <c r="BF92" s="72"/>
      <c r="BG92" s="72"/>
      <c r="BK92" s="72"/>
      <c r="BL92" s="72"/>
      <c r="BM92" s="95" t="str">
        <f>IF(M92="","",IF(BN92="not a match","",IF(BN92="IP Office Full Name",VLOOKUP(M92,'Internal -- Copyright Countries'!A:E,5,FALSE),IF(BN92="Polity Shortest Name",VLOOKUP(M92,'Internal -- Copyright Countries'!B:E,4,FALSE),IF(BN92="Polity Full Name",VLOOKUP(M92,'Internal -- Copyright Countries'!C:E,3,FALSE),IF(BN92="Polity Common Name",VLOOKUP(M92,'Internal -- Copyright Countries'!D:E,2,FALSE),IF(BN92="IP Office Shortest Name",M92)))))))</f>
        <v/>
      </c>
      <c r="BN92" s="73" t="str">
        <f>IF(COUNTIF('Internal -- Copyright Countries'!A:A,M92)&gt;0,"IP Office Full Name",IF(COUNTIF('Internal -- Copyright Countries'!B:B,M92)&gt;0,"Polity Shortest Name",IF(COUNTIF('Internal -- Copyright Countries'!C:C,M92)&gt;0,"Polity Full Name",IF(COUNTIF('Internal -- Copyright Countries'!D:D,M92)&gt;0,"Polity Common Name",IF(COUNTIF('Internal -- Copyright Countries'!E:E,M92)&gt;0,"IP Office Shortest Name","Not a match")))))</f>
        <v>Not a match</v>
      </c>
      <c r="BO92" s="73"/>
      <c r="BP92" s="73"/>
      <c r="BQ92" s="73"/>
      <c r="BR92" s="73"/>
      <c r="BS92" s="74" t="str">
        <f t="shared" si="2"/>
        <v/>
      </c>
    </row>
    <row r="93" spans="1:71" ht="16.5">
      <c r="A93" s="69"/>
      <c r="B93" s="68"/>
      <c r="C93" s="68"/>
      <c r="D93" s="68"/>
      <c r="F93" s="68"/>
      <c r="J93" s="89"/>
      <c r="K93" s="69"/>
      <c r="L93" s="68"/>
      <c r="M93" s="96"/>
      <c r="O93" s="68"/>
      <c r="P93" s="68"/>
      <c r="Q93" s="68"/>
      <c r="R93" s="68"/>
      <c r="S93" s="69"/>
      <c r="T93" s="69"/>
      <c r="U93" s="69"/>
      <c r="V93" s="69"/>
      <c r="W93" s="69"/>
      <c r="AR93" s="68"/>
      <c r="AT93" s="93" t="str">
        <f t="shared" si="0"/>
        <v/>
      </c>
      <c r="AU93" s="93"/>
      <c r="AV93" s="68"/>
      <c r="AW93" s="93" t="str">
        <f t="shared" si="1"/>
        <v/>
      </c>
      <c r="BE93" s="69"/>
      <c r="BF93" s="72"/>
      <c r="BG93" s="72"/>
      <c r="BK93" s="72"/>
      <c r="BL93" s="72"/>
      <c r="BM93" s="95" t="str">
        <f>IF(M93="","",IF(BN93="not a match","",IF(BN93="IP Office Full Name",VLOOKUP(M93,'Internal -- Copyright Countries'!A:E,5,FALSE),IF(BN93="Polity Shortest Name",VLOOKUP(M93,'Internal -- Copyright Countries'!B:E,4,FALSE),IF(BN93="Polity Full Name",VLOOKUP(M93,'Internal -- Copyright Countries'!C:E,3,FALSE),IF(BN93="Polity Common Name",VLOOKUP(M93,'Internal -- Copyright Countries'!D:E,2,FALSE),IF(BN93="IP Office Shortest Name",M93)))))))</f>
        <v/>
      </c>
      <c r="BN93" s="73" t="str">
        <f>IF(COUNTIF('Internal -- Copyright Countries'!A:A,M93)&gt;0,"IP Office Full Name",IF(COUNTIF('Internal -- Copyright Countries'!B:B,M93)&gt;0,"Polity Shortest Name",IF(COUNTIF('Internal -- Copyright Countries'!C:C,M93)&gt;0,"Polity Full Name",IF(COUNTIF('Internal -- Copyright Countries'!D:D,M93)&gt;0,"Polity Common Name",IF(COUNTIF('Internal -- Copyright Countries'!E:E,M93)&gt;0,"IP Office Shortest Name","Not a match")))))</f>
        <v>Not a match</v>
      </c>
      <c r="BO93" s="73"/>
      <c r="BP93" s="73"/>
      <c r="BQ93" s="73"/>
      <c r="BR93" s="73"/>
      <c r="BS93" s="74" t="str">
        <f t="shared" si="2"/>
        <v/>
      </c>
    </row>
    <row r="94" spans="1:71" ht="16.5">
      <c r="A94" s="69"/>
      <c r="B94" s="68"/>
      <c r="C94" s="68"/>
      <c r="D94" s="68"/>
      <c r="F94" s="68"/>
      <c r="J94" s="89"/>
      <c r="K94" s="69"/>
      <c r="L94" s="68"/>
      <c r="M94" s="96"/>
      <c r="O94" s="68"/>
      <c r="P94" s="68"/>
      <c r="Q94" s="68"/>
      <c r="R94" s="68"/>
      <c r="S94" s="69"/>
      <c r="T94" s="69"/>
      <c r="U94" s="69"/>
      <c r="V94" s="69"/>
      <c r="W94" s="69"/>
      <c r="AR94" s="68"/>
      <c r="AT94" s="93" t="str">
        <f t="shared" si="0"/>
        <v/>
      </c>
      <c r="AU94" s="93"/>
      <c r="AV94" s="68"/>
      <c r="AW94" s="93" t="str">
        <f t="shared" si="1"/>
        <v/>
      </c>
      <c r="BE94" s="69"/>
      <c r="BF94" s="72"/>
      <c r="BG94" s="72"/>
      <c r="BK94" s="72"/>
      <c r="BL94" s="72"/>
      <c r="BM94" s="95" t="str">
        <f>IF(M94="","",IF(BN94="not a match","",IF(BN94="IP Office Full Name",VLOOKUP(M94,'Internal -- Copyright Countries'!A:E,5,FALSE),IF(BN94="Polity Shortest Name",VLOOKUP(M94,'Internal -- Copyright Countries'!B:E,4,FALSE),IF(BN94="Polity Full Name",VLOOKUP(M94,'Internal -- Copyright Countries'!C:E,3,FALSE),IF(BN94="Polity Common Name",VLOOKUP(M94,'Internal -- Copyright Countries'!D:E,2,FALSE),IF(BN94="IP Office Shortest Name",M94)))))))</f>
        <v/>
      </c>
      <c r="BN94" s="73" t="str">
        <f>IF(COUNTIF('Internal -- Copyright Countries'!A:A,M94)&gt;0,"IP Office Full Name",IF(COUNTIF('Internal -- Copyright Countries'!B:B,M94)&gt;0,"Polity Shortest Name",IF(COUNTIF('Internal -- Copyright Countries'!C:C,M94)&gt;0,"Polity Full Name",IF(COUNTIF('Internal -- Copyright Countries'!D:D,M94)&gt;0,"Polity Common Name",IF(COUNTIF('Internal -- Copyright Countries'!E:E,M94)&gt;0,"IP Office Shortest Name","Not a match")))))</f>
        <v>Not a match</v>
      </c>
      <c r="BO94" s="73"/>
      <c r="BP94" s="73"/>
      <c r="BQ94" s="73"/>
      <c r="BR94" s="73"/>
      <c r="BS94" s="74" t="str">
        <f t="shared" si="2"/>
        <v/>
      </c>
    </row>
    <row r="95" spans="1:71" ht="16.5">
      <c r="A95" s="69"/>
      <c r="B95" s="68"/>
      <c r="C95" s="68"/>
      <c r="D95" s="68"/>
      <c r="F95" s="68"/>
      <c r="J95" s="89"/>
      <c r="K95" s="69"/>
      <c r="L95" s="68"/>
      <c r="M95" s="96"/>
      <c r="O95" s="68"/>
      <c r="P95" s="68"/>
      <c r="Q95" s="68"/>
      <c r="R95" s="68"/>
      <c r="S95" s="69"/>
      <c r="T95" s="69"/>
      <c r="U95" s="69"/>
      <c r="V95" s="69"/>
      <c r="W95" s="69"/>
      <c r="AR95" s="68"/>
      <c r="AT95" s="93" t="str">
        <f t="shared" si="0"/>
        <v/>
      </c>
      <c r="AU95" s="93"/>
      <c r="AV95" s="68"/>
      <c r="AW95" s="93" t="str">
        <f t="shared" si="1"/>
        <v/>
      </c>
      <c r="BE95" s="69"/>
      <c r="BF95" s="72"/>
      <c r="BG95" s="72"/>
      <c r="BK95" s="72"/>
      <c r="BL95" s="72"/>
      <c r="BM95" s="95" t="str">
        <f>IF(M95="","",IF(BN95="not a match","",IF(BN95="IP Office Full Name",VLOOKUP(M95,'Internal -- Copyright Countries'!A:E,5,FALSE),IF(BN95="Polity Shortest Name",VLOOKUP(M95,'Internal -- Copyright Countries'!B:E,4,FALSE),IF(BN95="Polity Full Name",VLOOKUP(M95,'Internal -- Copyright Countries'!C:E,3,FALSE),IF(BN95="Polity Common Name",VLOOKUP(M95,'Internal -- Copyright Countries'!D:E,2,FALSE),IF(BN95="IP Office Shortest Name",M95)))))))</f>
        <v/>
      </c>
      <c r="BN95" s="73" t="str">
        <f>IF(COUNTIF('Internal -- Copyright Countries'!A:A,M95)&gt;0,"IP Office Full Name",IF(COUNTIF('Internal -- Copyright Countries'!B:B,M95)&gt;0,"Polity Shortest Name",IF(COUNTIF('Internal -- Copyright Countries'!C:C,M95)&gt;0,"Polity Full Name",IF(COUNTIF('Internal -- Copyright Countries'!D:D,M95)&gt;0,"Polity Common Name",IF(COUNTIF('Internal -- Copyright Countries'!E:E,M95)&gt;0,"IP Office Shortest Name","Not a match")))))</f>
        <v>Not a match</v>
      </c>
      <c r="BO95" s="73"/>
      <c r="BP95" s="73"/>
      <c r="BQ95" s="73"/>
      <c r="BR95" s="73"/>
      <c r="BS95" s="74" t="str">
        <f t="shared" si="2"/>
        <v/>
      </c>
    </row>
    <row r="96" spans="1:71" ht="16.5">
      <c r="A96" s="69"/>
      <c r="B96" s="68"/>
      <c r="C96" s="68"/>
      <c r="D96" s="68"/>
      <c r="F96" s="68"/>
      <c r="J96" s="89"/>
      <c r="K96" s="69"/>
      <c r="L96" s="68"/>
      <c r="M96" s="96"/>
      <c r="O96" s="68"/>
      <c r="P96" s="68"/>
      <c r="Q96" s="68"/>
      <c r="R96" s="68"/>
      <c r="S96" s="69"/>
      <c r="T96" s="69"/>
      <c r="U96" s="69"/>
      <c r="V96" s="69"/>
      <c r="W96" s="69"/>
      <c r="AR96" s="68"/>
      <c r="AT96" s="93" t="str">
        <f t="shared" si="0"/>
        <v/>
      </c>
      <c r="AU96" s="93"/>
      <c r="AV96" s="68"/>
      <c r="AW96" s="93" t="str">
        <f t="shared" si="1"/>
        <v/>
      </c>
      <c r="BE96" s="69"/>
      <c r="BF96" s="72"/>
      <c r="BG96" s="72"/>
      <c r="BK96" s="72"/>
      <c r="BL96" s="72"/>
      <c r="BM96" s="95" t="str">
        <f>IF(M96="","",IF(BN96="not a match","",IF(BN96="IP Office Full Name",VLOOKUP(M96,'Internal -- Copyright Countries'!A:E,5,FALSE),IF(BN96="Polity Shortest Name",VLOOKUP(M96,'Internal -- Copyright Countries'!B:E,4,FALSE),IF(BN96="Polity Full Name",VLOOKUP(M96,'Internal -- Copyright Countries'!C:E,3,FALSE),IF(BN96="Polity Common Name",VLOOKUP(M96,'Internal -- Copyright Countries'!D:E,2,FALSE),IF(BN96="IP Office Shortest Name",M96)))))))</f>
        <v/>
      </c>
      <c r="BN96" s="73" t="str">
        <f>IF(COUNTIF('Internal -- Copyright Countries'!A:A,M96)&gt;0,"IP Office Full Name",IF(COUNTIF('Internal -- Copyright Countries'!B:B,M96)&gt;0,"Polity Shortest Name",IF(COUNTIF('Internal -- Copyright Countries'!C:C,M96)&gt;0,"Polity Full Name",IF(COUNTIF('Internal -- Copyright Countries'!D:D,M96)&gt;0,"Polity Common Name",IF(COUNTIF('Internal -- Copyright Countries'!E:E,M96)&gt;0,"IP Office Shortest Name","Not a match")))))</f>
        <v>Not a match</v>
      </c>
      <c r="BO96" s="73"/>
      <c r="BP96" s="73"/>
      <c r="BQ96" s="73"/>
      <c r="BR96" s="73"/>
      <c r="BS96" s="74" t="str">
        <f t="shared" si="2"/>
        <v/>
      </c>
    </row>
    <row r="97" spans="1:71" ht="16.5">
      <c r="A97" s="69"/>
      <c r="B97" s="68"/>
      <c r="C97" s="68"/>
      <c r="D97" s="68"/>
      <c r="F97" s="68"/>
      <c r="J97" s="89"/>
      <c r="K97" s="69"/>
      <c r="L97" s="68"/>
      <c r="M97" s="96"/>
      <c r="O97" s="68"/>
      <c r="P97" s="68"/>
      <c r="Q97" s="68"/>
      <c r="R97" s="68"/>
      <c r="S97" s="69"/>
      <c r="T97" s="69"/>
      <c r="U97" s="69"/>
      <c r="V97" s="69"/>
      <c r="W97" s="69"/>
      <c r="AR97" s="68"/>
      <c r="AT97" s="93" t="str">
        <f t="shared" si="0"/>
        <v/>
      </c>
      <c r="AU97" s="93"/>
      <c r="AV97" s="68"/>
      <c r="AW97" s="93" t="str">
        <f t="shared" si="1"/>
        <v/>
      </c>
      <c r="BE97" s="69"/>
      <c r="BF97" s="72"/>
      <c r="BG97" s="72"/>
      <c r="BK97" s="72"/>
      <c r="BL97" s="72"/>
      <c r="BM97" s="95" t="str">
        <f>IF(M97="","",IF(BN97="not a match","",IF(BN97="IP Office Full Name",VLOOKUP(M97,'Internal -- Copyright Countries'!A:E,5,FALSE),IF(BN97="Polity Shortest Name",VLOOKUP(M97,'Internal -- Copyright Countries'!B:E,4,FALSE),IF(BN97="Polity Full Name",VLOOKUP(M97,'Internal -- Copyright Countries'!C:E,3,FALSE),IF(BN97="Polity Common Name",VLOOKUP(M97,'Internal -- Copyright Countries'!D:E,2,FALSE),IF(BN97="IP Office Shortest Name",M97)))))))</f>
        <v/>
      </c>
      <c r="BN97" s="73" t="str">
        <f>IF(COUNTIF('Internal -- Copyright Countries'!A:A,M97)&gt;0,"IP Office Full Name",IF(COUNTIF('Internal -- Copyright Countries'!B:B,M97)&gt;0,"Polity Shortest Name",IF(COUNTIF('Internal -- Copyright Countries'!C:C,M97)&gt;0,"Polity Full Name",IF(COUNTIF('Internal -- Copyright Countries'!D:D,M97)&gt;0,"Polity Common Name",IF(COUNTIF('Internal -- Copyright Countries'!E:E,M97)&gt;0,"IP Office Shortest Name","Not a match")))))</f>
        <v>Not a match</v>
      </c>
      <c r="BO97" s="73"/>
      <c r="BP97" s="73"/>
      <c r="BQ97" s="73"/>
      <c r="BR97" s="73"/>
      <c r="BS97" s="74" t="str">
        <f t="shared" si="2"/>
        <v/>
      </c>
    </row>
    <row r="98" spans="1:71" ht="16.5">
      <c r="A98" s="69"/>
      <c r="B98" s="68"/>
      <c r="C98" s="68"/>
      <c r="D98" s="68"/>
      <c r="F98" s="68"/>
      <c r="J98" s="89"/>
      <c r="K98" s="69"/>
      <c r="L98" s="68"/>
      <c r="M98" s="96"/>
      <c r="O98" s="68"/>
      <c r="P98" s="68"/>
      <c r="Q98" s="68"/>
      <c r="R98" s="68"/>
      <c r="S98" s="69"/>
      <c r="T98" s="69"/>
      <c r="U98" s="69"/>
      <c r="V98" s="69"/>
      <c r="W98" s="69"/>
      <c r="AR98" s="68"/>
      <c r="AT98" s="93" t="str">
        <f t="shared" si="0"/>
        <v/>
      </c>
      <c r="AU98" s="93"/>
      <c r="AV98" s="68"/>
      <c r="AW98" s="93" t="str">
        <f t="shared" si="1"/>
        <v/>
      </c>
      <c r="BE98" s="69"/>
      <c r="BF98" s="72"/>
      <c r="BG98" s="72"/>
      <c r="BK98" s="72"/>
      <c r="BL98" s="72"/>
      <c r="BM98" s="95" t="str">
        <f>IF(M98="","",IF(BN98="not a match","",IF(BN98="IP Office Full Name",VLOOKUP(M98,'Internal -- Copyright Countries'!A:E,5,FALSE),IF(BN98="Polity Shortest Name",VLOOKUP(M98,'Internal -- Copyright Countries'!B:E,4,FALSE),IF(BN98="Polity Full Name",VLOOKUP(M98,'Internal -- Copyright Countries'!C:E,3,FALSE),IF(BN98="Polity Common Name",VLOOKUP(M98,'Internal -- Copyright Countries'!D:E,2,FALSE),IF(BN98="IP Office Shortest Name",M98)))))))</f>
        <v/>
      </c>
      <c r="BN98" s="73" t="str">
        <f>IF(COUNTIF('Internal -- Copyright Countries'!A:A,M98)&gt;0,"IP Office Full Name",IF(COUNTIF('Internal -- Copyright Countries'!B:B,M98)&gt;0,"Polity Shortest Name",IF(COUNTIF('Internal -- Copyright Countries'!C:C,M98)&gt;0,"Polity Full Name",IF(COUNTIF('Internal -- Copyright Countries'!D:D,M98)&gt;0,"Polity Common Name",IF(COUNTIF('Internal -- Copyright Countries'!E:E,M98)&gt;0,"IP Office Shortest Name","Not a match")))))</f>
        <v>Not a match</v>
      </c>
      <c r="BO98" s="73"/>
      <c r="BP98" s="73"/>
      <c r="BQ98" s="73"/>
      <c r="BR98" s="73"/>
      <c r="BS98" s="74" t="str">
        <f t="shared" si="2"/>
        <v/>
      </c>
    </row>
    <row r="99" spans="1:71" ht="16.5">
      <c r="A99" s="69"/>
      <c r="B99" s="68"/>
      <c r="C99" s="68"/>
      <c r="D99" s="68"/>
      <c r="F99" s="68"/>
      <c r="J99" s="89"/>
      <c r="K99" s="69"/>
      <c r="L99" s="68"/>
      <c r="M99" s="96"/>
      <c r="O99" s="68"/>
      <c r="P99" s="68"/>
      <c r="Q99" s="68"/>
      <c r="R99" s="68"/>
      <c r="S99" s="69"/>
      <c r="T99" s="69"/>
      <c r="U99" s="69"/>
      <c r="V99" s="69"/>
      <c r="W99" s="69"/>
      <c r="AR99" s="68"/>
      <c r="AT99" s="93" t="str">
        <f t="shared" si="0"/>
        <v/>
      </c>
      <c r="AU99" s="93"/>
      <c r="AV99" s="68"/>
      <c r="AW99" s="93" t="str">
        <f t="shared" si="1"/>
        <v/>
      </c>
      <c r="BE99" s="69"/>
      <c r="BF99" s="72"/>
      <c r="BG99" s="72"/>
      <c r="BK99" s="72"/>
      <c r="BL99" s="72"/>
      <c r="BM99" s="95" t="str">
        <f>IF(M99="","",IF(BN99="not a match","",IF(BN99="IP Office Full Name",VLOOKUP(M99,'Internal -- Copyright Countries'!A:E,5,FALSE),IF(BN99="Polity Shortest Name",VLOOKUP(M99,'Internal -- Copyright Countries'!B:E,4,FALSE),IF(BN99="Polity Full Name",VLOOKUP(M99,'Internal -- Copyright Countries'!C:E,3,FALSE),IF(BN99="Polity Common Name",VLOOKUP(M99,'Internal -- Copyright Countries'!D:E,2,FALSE),IF(BN99="IP Office Shortest Name",M99)))))))</f>
        <v/>
      </c>
      <c r="BN99" s="73" t="str">
        <f>IF(COUNTIF('Internal -- Copyright Countries'!A:A,M99)&gt;0,"IP Office Full Name",IF(COUNTIF('Internal -- Copyright Countries'!B:B,M99)&gt;0,"Polity Shortest Name",IF(COUNTIF('Internal -- Copyright Countries'!C:C,M99)&gt;0,"Polity Full Name",IF(COUNTIF('Internal -- Copyright Countries'!D:D,M99)&gt;0,"Polity Common Name",IF(COUNTIF('Internal -- Copyright Countries'!E:E,M99)&gt;0,"IP Office Shortest Name","Not a match")))))</f>
        <v>Not a match</v>
      </c>
      <c r="BO99" s="73"/>
      <c r="BP99" s="73"/>
      <c r="BQ99" s="73"/>
      <c r="BR99" s="73"/>
      <c r="BS99" s="74" t="str">
        <f t="shared" si="2"/>
        <v/>
      </c>
    </row>
    <row r="100" spans="1:71" ht="17.25" customHeight="1">
      <c r="A100" s="69"/>
      <c r="B100" s="68"/>
      <c r="C100" s="68"/>
      <c r="D100" s="68"/>
      <c r="F100" s="68"/>
      <c r="J100" s="89"/>
      <c r="K100" s="69"/>
      <c r="L100" s="68"/>
      <c r="M100" s="96"/>
      <c r="O100" s="68"/>
      <c r="P100" s="68"/>
      <c r="Q100" s="68"/>
      <c r="R100" s="68"/>
      <c r="S100" s="69"/>
      <c r="T100" s="69"/>
      <c r="U100" s="69"/>
      <c r="V100" s="69"/>
      <c r="W100" s="69"/>
      <c r="AR100" s="68"/>
      <c r="AT100" s="93" t="str">
        <f t="shared" si="0"/>
        <v/>
      </c>
      <c r="AU100" s="93"/>
      <c r="AV100" s="68"/>
      <c r="AW100" s="93" t="str">
        <f t="shared" si="1"/>
        <v/>
      </c>
      <c r="BE100" s="69"/>
      <c r="BF100" s="72"/>
      <c r="BG100" s="72"/>
      <c r="BK100" s="72"/>
      <c r="BL100" s="72"/>
      <c r="BM100" s="95" t="str">
        <f>IF(M100="","",IF(BN100="not a match","",IF(BN100="IP Office Full Name",VLOOKUP(M100,'Internal -- Copyright Countries'!A:E,5,FALSE),IF(BN100="Polity Shortest Name",VLOOKUP(M100,'Internal -- Copyright Countries'!B:E,4,FALSE),IF(BN100="Polity Full Name",VLOOKUP(M100,'Internal -- Copyright Countries'!C:E,3,FALSE),IF(BN100="Polity Common Name",VLOOKUP(M100,'Internal -- Copyright Countries'!D:E,2,FALSE),IF(BN100="IP Office Shortest Name",M100)))))))</f>
        <v/>
      </c>
      <c r="BN100" s="73" t="str">
        <f>IF(COUNTIF('Internal -- Copyright Countries'!A:A,M100)&gt;0,"IP Office Full Name",IF(COUNTIF('Internal -- Copyright Countries'!B:B,M100)&gt;0,"Polity Shortest Name",IF(COUNTIF('Internal -- Copyright Countries'!C:C,M100)&gt;0,"Polity Full Name",IF(COUNTIF('Internal -- Copyright Countries'!D:D,M100)&gt;0,"Polity Common Name",IF(COUNTIF('Internal -- Copyright Countries'!E:E,M100)&gt;0,"IP Office Shortest Name","Not a match")))))</f>
        <v>Not a match</v>
      </c>
      <c r="BO100" s="73"/>
      <c r="BP100" s="73"/>
      <c r="BQ100" s="73"/>
      <c r="BR100" s="73"/>
      <c r="BS100" s="74" t="str">
        <f t="shared" si="2"/>
        <v/>
      </c>
    </row>
  </sheetData>
  <autoFilter ref="A1:BS1" xr:uid="{00000000-0009-0000-0000-00000A000000}"/>
  <conditionalFormatting sqref="J1:J100">
    <cfRule type="cellIs" dxfId="3" priority="2" operator="equal">
      <formula>"FALSE"</formula>
    </cfRule>
  </conditionalFormatting>
  <conditionalFormatting sqref="AT2:AU100">
    <cfRule type="notContainsBlanks" dxfId="2" priority="1">
      <formula>LEN(TRIM(AT2))&gt;0</formula>
    </cfRule>
  </conditionalFormatting>
  <dataValidations count="3">
    <dataValidation type="list" allowBlank="1" showInputMessage="1" prompt="Select" sqref="BF2:BF100 BK2:BK100" xr:uid="{00000000-0002-0000-0A00-000000000000}">
      <formula1>"read_only,collaborator,responsible_party"</formula1>
    </dataValidation>
    <dataValidation type="list" allowBlank="1" showInputMessage="1" prompt="Click and enter a value from the list of items" sqref="AW2:AW100" xr:uid="{00000000-0002-0000-0A00-000001000000}">
      <formula1>"read_only,no_access"</formula1>
    </dataValidation>
    <dataValidation type="list" allowBlank="1" sqref="J2:J100 AT2:AU100 BG2:BG100 BL2:BL100" xr:uid="{00000000-0002-0000-0A00-000002000000}">
      <formula1>"TRUE,FALSE"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CS100"/>
  <sheetViews>
    <sheetView workbookViewId="0">
      <pane ySplit="1" topLeftCell="A2" activePane="bottomLeft" state="frozen"/>
      <selection pane="bottomLeft" activeCell="B3" sqref="B3"/>
    </sheetView>
  </sheetViews>
  <sheetFormatPr defaultColWidth="14.42578125" defaultRowHeight="15.75" customHeight="1" outlineLevelCol="1"/>
  <cols>
    <col min="1" max="1" width="25.85546875" customWidth="1"/>
    <col min="2" max="2" width="24.85546875" customWidth="1"/>
    <col min="6" max="6" width="17.7109375" customWidth="1"/>
    <col min="8" max="8" width="21.5703125" customWidth="1"/>
    <col min="9" max="10" width="18.42578125" customWidth="1"/>
    <col min="11" max="11" width="33.28515625" customWidth="1"/>
    <col min="13" max="13" width="22.28515625" customWidth="1"/>
    <col min="15" max="15" width="32" customWidth="1"/>
    <col min="17" max="17" width="37.85546875" customWidth="1"/>
    <col min="18" max="20" width="14.42578125" outlineLevel="1"/>
    <col min="21" max="21" width="27.140625" customWidth="1" outlineLevel="1"/>
    <col min="22" max="24" width="14.42578125" outlineLevel="1"/>
    <col min="25" max="25" width="37" customWidth="1" outlineLevel="1"/>
    <col min="46" max="46" width="50" customWidth="1"/>
    <col min="47" max="48" width="14.42578125" outlineLevel="1"/>
    <col min="49" max="49" width="50.28515625" customWidth="1" outlineLevel="1"/>
    <col min="50" max="51" width="14.42578125" outlineLevel="1"/>
    <col min="52" max="52" width="50.28515625" customWidth="1" outlineLevel="1"/>
    <col min="54" max="54" width="14.42578125" collapsed="1"/>
    <col min="55" max="58" width="14.42578125" hidden="1" outlineLevel="1"/>
    <col min="59" max="59" width="18.42578125" customWidth="1"/>
    <col min="60" max="60" width="16.85546875" customWidth="1"/>
    <col min="61" max="61" width="17.42578125" customWidth="1"/>
    <col min="62" max="63" width="18.5703125" customWidth="1"/>
    <col min="64" max="69" width="16.85546875" customWidth="1"/>
  </cols>
  <sheetData>
    <row r="1" spans="1:97" ht="15.75" customHeight="1">
      <c r="A1" s="97" t="s">
        <v>234</v>
      </c>
      <c r="B1" s="98" t="s">
        <v>184</v>
      </c>
      <c r="C1" s="99" t="s">
        <v>49</v>
      </c>
      <c r="D1" s="99" t="s">
        <v>50</v>
      </c>
      <c r="E1" s="99" t="s">
        <v>235</v>
      </c>
      <c r="F1" s="100" t="s">
        <v>52</v>
      </c>
      <c r="G1" s="99" t="s">
        <v>48</v>
      </c>
      <c r="H1" s="99" t="s">
        <v>40</v>
      </c>
      <c r="I1" s="99" t="s">
        <v>152</v>
      </c>
      <c r="J1" s="99" t="s">
        <v>156</v>
      </c>
      <c r="K1" s="99" t="s">
        <v>176</v>
      </c>
      <c r="L1" s="99" t="s">
        <v>198</v>
      </c>
      <c r="M1" s="101" t="s">
        <v>174</v>
      </c>
      <c r="N1" s="102" t="s">
        <v>55</v>
      </c>
      <c r="O1" s="103" t="s">
        <v>56</v>
      </c>
      <c r="P1" s="102" t="s">
        <v>57</v>
      </c>
      <c r="Q1" s="103" t="s">
        <v>58</v>
      </c>
      <c r="R1" s="103" t="s">
        <v>59</v>
      </c>
      <c r="S1" s="103" t="s">
        <v>60</v>
      </c>
      <c r="T1" s="102" t="s">
        <v>61</v>
      </c>
      <c r="U1" s="103" t="s">
        <v>62</v>
      </c>
      <c r="V1" s="103" t="s">
        <v>63</v>
      </c>
      <c r="W1" s="103" t="s">
        <v>64</v>
      </c>
      <c r="X1" s="102" t="s">
        <v>65</v>
      </c>
      <c r="Y1" s="103" t="s">
        <v>66</v>
      </c>
      <c r="Z1" s="103" t="s">
        <v>67</v>
      </c>
      <c r="AA1" s="103" t="s">
        <v>68</v>
      </c>
      <c r="AB1" s="103" t="s">
        <v>69</v>
      </c>
      <c r="AC1" s="103" t="s">
        <v>70</v>
      </c>
      <c r="AD1" s="103" t="s">
        <v>71</v>
      </c>
      <c r="AE1" s="103" t="s">
        <v>72</v>
      </c>
      <c r="AF1" s="103" t="s">
        <v>73</v>
      </c>
      <c r="AG1" s="103" t="s">
        <v>74</v>
      </c>
      <c r="AH1" s="103" t="s">
        <v>75</v>
      </c>
      <c r="AI1" s="103" t="s">
        <v>76</v>
      </c>
      <c r="AJ1" s="103" t="s">
        <v>77</v>
      </c>
      <c r="AK1" s="103" t="s">
        <v>78</v>
      </c>
      <c r="AL1" s="103" t="s">
        <v>79</v>
      </c>
      <c r="AM1" s="103" t="s">
        <v>80</v>
      </c>
      <c r="AN1" s="103" t="s">
        <v>81</v>
      </c>
      <c r="AO1" s="103" t="s">
        <v>82</v>
      </c>
      <c r="AP1" s="103" t="s">
        <v>83</v>
      </c>
      <c r="AQ1" s="103" t="s">
        <v>84</v>
      </c>
      <c r="AR1" s="104" t="s">
        <v>95</v>
      </c>
      <c r="AS1" s="104" t="s">
        <v>96</v>
      </c>
      <c r="AT1" s="104" t="s">
        <v>97</v>
      </c>
      <c r="AU1" s="105" t="s">
        <v>98</v>
      </c>
      <c r="AV1" s="105" t="s">
        <v>99</v>
      </c>
      <c r="AW1" s="105" t="s">
        <v>100</v>
      </c>
      <c r="AX1" s="105" t="s">
        <v>224</v>
      </c>
      <c r="AY1" s="105" t="s">
        <v>225</v>
      </c>
      <c r="AZ1" s="105" t="s">
        <v>226</v>
      </c>
      <c r="BA1" s="106" t="s">
        <v>208</v>
      </c>
      <c r="BB1" s="105" t="s">
        <v>209</v>
      </c>
      <c r="BC1" s="106" t="s">
        <v>236</v>
      </c>
      <c r="BD1" s="105" t="s">
        <v>237</v>
      </c>
      <c r="BE1" s="105" t="s">
        <v>238</v>
      </c>
      <c r="BF1" s="105" t="s">
        <v>239</v>
      </c>
      <c r="BG1" s="104" t="s">
        <v>123</v>
      </c>
      <c r="BH1" s="104" t="s">
        <v>124</v>
      </c>
      <c r="BI1" s="104" t="s">
        <v>125</v>
      </c>
      <c r="BJ1" s="107" t="s">
        <v>126</v>
      </c>
      <c r="BK1" s="107" t="s">
        <v>127</v>
      </c>
      <c r="BL1" s="104" t="s">
        <v>128</v>
      </c>
      <c r="BM1" s="104" t="s">
        <v>129</v>
      </c>
      <c r="BN1" s="104" t="s">
        <v>130</v>
      </c>
      <c r="BO1" s="107" t="s">
        <v>131</v>
      </c>
      <c r="BP1" s="107" t="s">
        <v>132</v>
      </c>
      <c r="BQ1" s="104" t="s">
        <v>101</v>
      </c>
      <c r="BR1" s="104" t="s">
        <v>102</v>
      </c>
      <c r="BS1" s="107" t="s">
        <v>103</v>
      </c>
      <c r="BT1" s="107" t="s">
        <v>104</v>
      </c>
      <c r="BU1" s="104" t="s">
        <v>105</v>
      </c>
      <c r="BV1" s="107" t="s">
        <v>106</v>
      </c>
      <c r="BW1" s="104" t="s">
        <v>107</v>
      </c>
      <c r="BX1" s="104" t="s">
        <v>108</v>
      </c>
      <c r="BY1" s="104" t="s">
        <v>109</v>
      </c>
      <c r="BZ1" s="104" t="s">
        <v>110</v>
      </c>
      <c r="CA1" s="104" t="s">
        <v>111</v>
      </c>
      <c r="CB1" s="104" t="s">
        <v>112</v>
      </c>
      <c r="CC1" s="104" t="s">
        <v>113</v>
      </c>
      <c r="CD1" s="107" t="s">
        <v>114</v>
      </c>
      <c r="CE1" s="107" t="s">
        <v>115</v>
      </c>
      <c r="CF1" s="104" t="s">
        <v>116</v>
      </c>
      <c r="CG1" s="107" t="s">
        <v>117</v>
      </c>
      <c r="CH1" s="104" t="s">
        <v>118</v>
      </c>
      <c r="CI1" s="104" t="s">
        <v>119</v>
      </c>
      <c r="CJ1" s="104" t="s">
        <v>120</v>
      </c>
      <c r="CK1" s="104" t="s">
        <v>121</v>
      </c>
      <c r="CL1" s="104" t="s">
        <v>122</v>
      </c>
      <c r="CM1" s="39" t="s">
        <v>180</v>
      </c>
      <c r="CN1" s="39" t="s">
        <v>181</v>
      </c>
      <c r="CO1" s="108" t="s">
        <v>143</v>
      </c>
      <c r="CP1" s="108" t="s">
        <v>144</v>
      </c>
      <c r="CQ1" s="108" t="s">
        <v>145</v>
      </c>
      <c r="CR1" s="39" t="s">
        <v>146</v>
      </c>
      <c r="CS1" s="108" t="s">
        <v>147</v>
      </c>
    </row>
    <row r="2" spans="1:97" ht="15.75" customHeight="1">
      <c r="A2" s="109"/>
      <c r="B2" s="40"/>
      <c r="C2" s="92"/>
      <c r="D2" s="92"/>
      <c r="E2" s="92"/>
      <c r="F2" s="110"/>
      <c r="G2" s="92"/>
      <c r="H2" s="92"/>
      <c r="I2" s="92"/>
      <c r="J2" s="92"/>
      <c r="K2" s="92"/>
      <c r="L2" s="92"/>
      <c r="M2" s="111"/>
      <c r="N2" s="112"/>
      <c r="O2" s="92"/>
      <c r="P2" s="112"/>
      <c r="Q2" s="113"/>
      <c r="R2" s="112"/>
      <c r="S2" s="112"/>
      <c r="T2" s="112"/>
      <c r="U2" s="113"/>
      <c r="V2" s="112"/>
      <c r="W2" s="112"/>
      <c r="X2" s="112"/>
      <c r="Y2" s="113"/>
      <c r="Z2" s="113"/>
      <c r="AA2" s="113"/>
      <c r="AB2" s="113"/>
      <c r="AC2" s="113"/>
      <c r="AD2" s="113"/>
      <c r="AE2" s="113"/>
      <c r="AF2" s="113"/>
      <c r="AG2" s="113"/>
      <c r="AH2" s="113"/>
      <c r="AI2" s="113"/>
      <c r="AJ2" s="113"/>
      <c r="AK2" s="113"/>
      <c r="AL2" s="113"/>
      <c r="AM2" s="113"/>
      <c r="AN2" s="113"/>
      <c r="AO2" s="113"/>
      <c r="AP2" s="113"/>
      <c r="AQ2" s="113"/>
      <c r="AR2" s="113"/>
      <c r="AS2" s="92"/>
      <c r="AT2" s="92"/>
      <c r="AU2" s="113"/>
      <c r="AV2" s="113"/>
      <c r="AW2" s="113"/>
      <c r="AX2" s="113"/>
      <c r="AY2" s="113"/>
      <c r="AZ2" s="113"/>
      <c r="BA2" s="113"/>
      <c r="BB2" s="92"/>
      <c r="BC2" s="112"/>
      <c r="BD2" s="92"/>
      <c r="BE2" s="112"/>
      <c r="BF2" s="92"/>
      <c r="BG2" s="92"/>
      <c r="BH2" s="92"/>
      <c r="BI2" s="92"/>
      <c r="BJ2" s="93"/>
      <c r="BK2" s="93"/>
      <c r="BL2" s="92"/>
      <c r="BM2" s="92"/>
      <c r="BN2" s="92"/>
      <c r="BO2" s="93"/>
      <c r="BP2" s="93"/>
      <c r="BQ2" s="92"/>
      <c r="BR2" s="92"/>
      <c r="BS2" s="93" t="str">
        <f t="shared" ref="BS2:BS23" si="0">IF(BQ2&lt;&gt;"","TRUE","")</f>
        <v/>
      </c>
      <c r="BT2" s="93"/>
      <c r="BU2" s="92"/>
      <c r="BV2" s="93" t="str">
        <f t="shared" ref="BV2:BV23" si="1">IF(BQ2&lt;&gt;"","no_access","")</f>
        <v/>
      </c>
      <c r="BW2" s="92"/>
      <c r="BX2" s="92"/>
      <c r="BY2" s="92"/>
      <c r="BZ2" s="92"/>
      <c r="CA2" s="92"/>
      <c r="CB2" s="92"/>
      <c r="CC2" s="92"/>
      <c r="CD2" s="93" t="str">
        <f t="shared" ref="CD2:CD23" si="2">IF(CB2&lt;&gt;"","TRUE","")</f>
        <v/>
      </c>
      <c r="CE2" s="93"/>
      <c r="CF2" s="92"/>
      <c r="CG2" s="93"/>
      <c r="CH2" s="92"/>
      <c r="CI2" s="92"/>
      <c r="CJ2" s="92"/>
      <c r="CK2" s="92"/>
      <c r="CL2" s="92"/>
      <c r="CM2" s="114" t="str">
        <f>IF(M2="","",IF(CN2="not a match","",IF(CN2="full_name",VLOOKUP(M2,'Internal -- Trademark Countries'!A:E,5,FALSE),IF(CN2="polity_shortest_name",VLOOKUP(M2,'Internal -- Trademark Countries'!B:E,4,FALSE),IF(CN2="polity_full_name",VLOOKUP(M2,'Internal -- Trademark Countries'!C:E,3,FALSE),IF(CN2="polity_common_name",VLOOKUP(M2,'Internal -- Trademark Countries'!D:E,2,FALSE),IF(CN2="shortest_name",M2)))))))</f>
        <v/>
      </c>
      <c r="CN2" s="114" t="str">
        <f>IF(M2="","",IF(COUNTIF('Internal -- Trademark Countries'!A:A,M2)&gt;0,"full_name",IF(COUNTIF('Internal -- Trademark Countries'!B:B,M2)&gt;0,"polity_shortest_name",IF(COUNTIF('Internal -- Trademark Countries'!C:C,M2)&gt;0,"polity_full_name",IF(COUNTIF('Internal -- Trademark Countries'!D:D,M2)&gt;0,"polity_common_name",IF(COUNTIF('Internal -- Trademark Countries'!E:E,M2)&gt;0,"shortest_name","not a match"))))))</f>
        <v/>
      </c>
      <c r="CO2" s="115"/>
      <c r="CP2" s="115"/>
      <c r="CQ2" s="115"/>
      <c r="CR2" s="115"/>
      <c r="CS2" s="114" t="str">
        <f t="shared" ref="CS2:CS23" si="3">IF(H2&lt;&gt;"",IF(COUNTIF($H$2:$H100,$H$2:$H100)&gt;1,"Not Unique","Unique"),"")</f>
        <v/>
      </c>
    </row>
    <row r="3" spans="1:97" ht="15.75" customHeight="1">
      <c r="A3" s="109"/>
      <c r="B3" s="40"/>
      <c r="C3" s="92"/>
      <c r="D3" s="92"/>
      <c r="E3" s="92"/>
      <c r="F3" s="110"/>
      <c r="G3" s="92"/>
      <c r="H3" s="92"/>
      <c r="I3" s="92"/>
      <c r="J3" s="92"/>
      <c r="K3" s="92"/>
      <c r="L3" s="92"/>
      <c r="M3" s="111"/>
      <c r="N3" s="112"/>
      <c r="O3" s="92"/>
      <c r="P3" s="112"/>
      <c r="Q3" s="113"/>
      <c r="R3" s="112"/>
      <c r="S3" s="112"/>
      <c r="T3" s="112"/>
      <c r="U3" s="113"/>
      <c r="V3" s="112"/>
      <c r="W3" s="112"/>
      <c r="X3" s="112"/>
      <c r="Y3" s="113"/>
      <c r="Z3" s="113"/>
      <c r="AA3" s="113"/>
      <c r="AB3" s="113"/>
      <c r="AC3" s="113"/>
      <c r="AD3" s="113"/>
      <c r="AE3" s="113"/>
      <c r="AF3" s="113"/>
      <c r="AG3" s="113"/>
      <c r="AH3" s="113"/>
      <c r="AI3" s="113"/>
      <c r="AJ3" s="113"/>
      <c r="AK3" s="113"/>
      <c r="AL3" s="113"/>
      <c r="AM3" s="113"/>
      <c r="AN3" s="113"/>
      <c r="AO3" s="113"/>
      <c r="AP3" s="113"/>
      <c r="AQ3" s="113"/>
      <c r="AR3" s="113"/>
      <c r="AS3" s="92"/>
      <c r="AT3" s="92"/>
      <c r="AU3" s="113"/>
      <c r="AV3" s="113"/>
      <c r="AW3" s="113"/>
      <c r="AX3" s="113"/>
      <c r="AY3" s="113"/>
      <c r="AZ3" s="113"/>
      <c r="BA3" s="113"/>
      <c r="BB3" s="92"/>
      <c r="BC3" s="112"/>
      <c r="BD3" s="92"/>
      <c r="BE3" s="112"/>
      <c r="BF3" s="92"/>
      <c r="BG3" s="92"/>
      <c r="BH3" s="92"/>
      <c r="BI3" s="92"/>
      <c r="BJ3" s="93"/>
      <c r="BK3" s="93"/>
      <c r="BL3" s="92"/>
      <c r="BM3" s="92"/>
      <c r="BN3" s="92"/>
      <c r="BO3" s="93"/>
      <c r="BP3" s="93"/>
      <c r="BQ3" s="92"/>
      <c r="BR3" s="92"/>
      <c r="BS3" s="93" t="str">
        <f t="shared" si="0"/>
        <v/>
      </c>
      <c r="BT3" s="93"/>
      <c r="BU3" s="92"/>
      <c r="BV3" s="93" t="str">
        <f t="shared" si="1"/>
        <v/>
      </c>
      <c r="BW3" s="92"/>
      <c r="BX3" s="92"/>
      <c r="BY3" s="92"/>
      <c r="BZ3" s="92"/>
      <c r="CA3" s="92"/>
      <c r="CB3" s="92"/>
      <c r="CC3" s="92"/>
      <c r="CD3" s="93" t="str">
        <f t="shared" si="2"/>
        <v/>
      </c>
      <c r="CE3" s="93"/>
      <c r="CF3" s="92"/>
      <c r="CG3" s="93"/>
      <c r="CH3" s="92"/>
      <c r="CI3" s="92"/>
      <c r="CJ3" s="92"/>
      <c r="CK3" s="92"/>
      <c r="CL3" s="92"/>
      <c r="CM3" s="114" t="str">
        <f>IF(M3="","",IF(CN3="not a match","",IF(CN3="full_name",VLOOKUP(M3,'Internal -- Trademark Countries'!A:E,5,FALSE),IF(CN3="polity_shortest_name",VLOOKUP(M3,'Internal -- Trademark Countries'!B:E,4,FALSE),IF(CN3="polity_full_name",VLOOKUP(M3,'Internal -- Trademark Countries'!C:E,3,FALSE),IF(CN3="polity_common_name",VLOOKUP(M3,'Internal -- Trademark Countries'!D:E,2,FALSE),IF(CN3="shortest_name",M3)))))))</f>
        <v/>
      </c>
      <c r="CN3" s="114" t="str">
        <f>IF(M3="","",IF(COUNTIF('Internal -- Trademark Countries'!A:A,M3)&gt;0,"full_name",IF(COUNTIF('Internal -- Trademark Countries'!B:B,M3)&gt;0,"polity_shortest_name",IF(COUNTIF('Internal -- Trademark Countries'!C:C,M3)&gt;0,"polity_full_name",IF(COUNTIF('Internal -- Trademark Countries'!D:D,M3)&gt;0,"polity_common_name",IF(COUNTIF('Internal -- Trademark Countries'!E:E,M3)&gt;0,"shortest_name","not a match"))))))</f>
        <v/>
      </c>
      <c r="CO3" s="115"/>
      <c r="CP3" s="115"/>
      <c r="CQ3" s="115"/>
      <c r="CR3" s="115"/>
      <c r="CS3" s="114" t="str">
        <f t="shared" si="3"/>
        <v/>
      </c>
    </row>
    <row r="4" spans="1:97" ht="15.75" customHeight="1">
      <c r="A4" s="116"/>
      <c r="B4" s="40"/>
      <c r="C4" s="92"/>
      <c r="D4" s="92"/>
      <c r="E4" s="92"/>
      <c r="F4" s="110"/>
      <c r="G4" s="92"/>
      <c r="H4" s="92"/>
      <c r="I4" s="92"/>
      <c r="J4" s="92"/>
      <c r="K4" s="92"/>
      <c r="L4" s="92"/>
      <c r="M4" s="111"/>
      <c r="N4" s="112"/>
      <c r="O4" s="92"/>
      <c r="P4" s="112"/>
      <c r="Q4" s="113"/>
      <c r="R4" s="112"/>
      <c r="S4" s="112"/>
      <c r="T4" s="112"/>
      <c r="U4" s="113"/>
      <c r="V4" s="112"/>
      <c r="W4" s="112"/>
      <c r="X4" s="112"/>
      <c r="Y4" s="113"/>
      <c r="Z4" s="113"/>
      <c r="AA4" s="113"/>
      <c r="AB4" s="113"/>
      <c r="AC4" s="113"/>
      <c r="AD4" s="113"/>
      <c r="AE4" s="113"/>
      <c r="AF4" s="113"/>
      <c r="AG4" s="113"/>
      <c r="AH4" s="113"/>
      <c r="AI4" s="113"/>
      <c r="AJ4" s="113"/>
      <c r="AK4" s="113"/>
      <c r="AL4" s="113"/>
      <c r="AM4" s="113"/>
      <c r="AN4" s="113"/>
      <c r="AO4" s="113"/>
      <c r="AP4" s="113"/>
      <c r="AQ4" s="113"/>
      <c r="AR4" s="113"/>
      <c r="AS4" s="92"/>
      <c r="AT4" s="92"/>
      <c r="AU4" s="113"/>
      <c r="AV4" s="113"/>
      <c r="AW4" s="113"/>
      <c r="AX4" s="113"/>
      <c r="AY4" s="113"/>
      <c r="AZ4" s="113"/>
      <c r="BA4" s="113"/>
      <c r="BB4" s="92"/>
      <c r="BC4" s="112"/>
      <c r="BD4" s="92"/>
      <c r="BE4" s="112"/>
      <c r="BF4" s="92"/>
      <c r="BG4" s="92"/>
      <c r="BH4" s="92"/>
      <c r="BI4" s="92"/>
      <c r="BJ4" s="93"/>
      <c r="BK4" s="93"/>
      <c r="BL4" s="92"/>
      <c r="BM4" s="92"/>
      <c r="BN4" s="92"/>
      <c r="BO4" s="93"/>
      <c r="BP4" s="93"/>
      <c r="BQ4" s="92"/>
      <c r="BR4" s="92"/>
      <c r="BS4" s="93" t="str">
        <f t="shared" si="0"/>
        <v/>
      </c>
      <c r="BT4" s="93"/>
      <c r="BU4" s="92"/>
      <c r="BV4" s="93" t="str">
        <f t="shared" si="1"/>
        <v/>
      </c>
      <c r="BW4" s="92"/>
      <c r="BX4" s="92"/>
      <c r="BY4" s="92"/>
      <c r="BZ4" s="92"/>
      <c r="CA4" s="92"/>
      <c r="CB4" s="92"/>
      <c r="CC4" s="92"/>
      <c r="CD4" s="93" t="str">
        <f t="shared" si="2"/>
        <v/>
      </c>
      <c r="CE4" s="93"/>
      <c r="CF4" s="92"/>
      <c r="CG4" s="93"/>
      <c r="CH4" s="92"/>
      <c r="CI4" s="92"/>
      <c r="CJ4" s="92"/>
      <c r="CK4" s="92"/>
      <c r="CL4" s="92"/>
      <c r="CM4" s="114" t="str">
        <f>IF(M4="","",IF(CN4="not a match","",IF(CN4="full_name",VLOOKUP(M4,'Internal -- Trademark Countries'!A:E,5,FALSE),IF(CN4="polity_shortest_name",VLOOKUP(M4,'Internal -- Trademark Countries'!B:E,4,FALSE),IF(CN4="polity_full_name",VLOOKUP(M4,'Internal -- Trademark Countries'!C:E,3,FALSE),IF(CN4="polity_common_name",VLOOKUP(M4,'Internal -- Trademark Countries'!D:E,2,FALSE),IF(CN4="shortest_name",M4)))))))</f>
        <v/>
      </c>
      <c r="CN4" s="114" t="str">
        <f>IF(M4="","",IF(COUNTIF('Internal -- Trademark Countries'!A:A,M4)&gt;0,"full_name",IF(COUNTIF('Internal -- Trademark Countries'!B:B,M4)&gt;0,"polity_shortest_name",IF(COUNTIF('Internal -- Trademark Countries'!C:C,M4)&gt;0,"polity_full_name",IF(COUNTIF('Internal -- Trademark Countries'!D:D,M4)&gt;0,"polity_common_name",IF(COUNTIF('Internal -- Trademark Countries'!E:E,M4)&gt;0,"shortest_name","not a match"))))))</f>
        <v/>
      </c>
      <c r="CO4" s="115"/>
      <c r="CP4" s="115"/>
      <c r="CQ4" s="115"/>
      <c r="CR4" s="115"/>
      <c r="CS4" s="114" t="str">
        <f t="shared" si="3"/>
        <v/>
      </c>
    </row>
    <row r="5" spans="1:97" ht="15.75" customHeight="1">
      <c r="A5" s="109"/>
      <c r="B5" s="40"/>
      <c r="C5" s="92"/>
      <c r="D5" s="92"/>
      <c r="E5" s="92"/>
      <c r="F5" s="110"/>
      <c r="G5" s="92"/>
      <c r="H5" s="92"/>
      <c r="I5" s="92"/>
      <c r="J5" s="92"/>
      <c r="K5" s="92"/>
      <c r="L5" s="92"/>
      <c r="M5" s="111"/>
      <c r="N5" s="112"/>
      <c r="O5" s="92"/>
      <c r="P5" s="112"/>
      <c r="Q5" s="113"/>
      <c r="R5" s="112"/>
      <c r="S5" s="112"/>
      <c r="T5" s="112"/>
      <c r="U5" s="113"/>
      <c r="V5" s="112"/>
      <c r="W5" s="112"/>
      <c r="X5" s="112"/>
      <c r="Y5" s="113"/>
      <c r="Z5" s="113"/>
      <c r="AA5" s="113"/>
      <c r="AB5" s="113"/>
      <c r="AC5" s="113"/>
      <c r="AD5" s="113"/>
      <c r="AE5" s="113"/>
      <c r="AF5" s="113"/>
      <c r="AG5" s="113"/>
      <c r="AH5" s="113"/>
      <c r="AI5" s="113"/>
      <c r="AJ5" s="113"/>
      <c r="AK5" s="113"/>
      <c r="AL5" s="113"/>
      <c r="AM5" s="113"/>
      <c r="AN5" s="113"/>
      <c r="AO5" s="113"/>
      <c r="AP5" s="113"/>
      <c r="AQ5" s="113"/>
      <c r="AR5" s="113"/>
      <c r="AS5" s="92"/>
      <c r="AT5" s="92"/>
      <c r="AU5" s="113"/>
      <c r="AV5" s="113"/>
      <c r="AW5" s="113"/>
      <c r="AX5" s="113"/>
      <c r="AY5" s="113"/>
      <c r="AZ5" s="113"/>
      <c r="BA5" s="113"/>
      <c r="BB5" s="92"/>
      <c r="BC5" s="112"/>
      <c r="BD5" s="92"/>
      <c r="BE5" s="112"/>
      <c r="BF5" s="92"/>
      <c r="BG5" s="92"/>
      <c r="BH5" s="92"/>
      <c r="BI5" s="92"/>
      <c r="BJ5" s="93"/>
      <c r="BK5" s="93"/>
      <c r="BL5" s="92"/>
      <c r="BM5" s="92"/>
      <c r="BN5" s="92"/>
      <c r="BO5" s="93"/>
      <c r="BP5" s="93"/>
      <c r="BQ5" s="92"/>
      <c r="BR5" s="92"/>
      <c r="BS5" s="93" t="str">
        <f t="shared" si="0"/>
        <v/>
      </c>
      <c r="BT5" s="93"/>
      <c r="BU5" s="92"/>
      <c r="BV5" s="93" t="str">
        <f t="shared" si="1"/>
        <v/>
      </c>
      <c r="BW5" s="92"/>
      <c r="BX5" s="92"/>
      <c r="BY5" s="92"/>
      <c r="BZ5" s="92"/>
      <c r="CA5" s="92"/>
      <c r="CB5" s="92"/>
      <c r="CC5" s="92"/>
      <c r="CD5" s="93" t="str">
        <f t="shared" si="2"/>
        <v/>
      </c>
      <c r="CE5" s="93"/>
      <c r="CF5" s="92"/>
      <c r="CG5" s="93"/>
      <c r="CH5" s="92"/>
      <c r="CI5" s="92"/>
      <c r="CJ5" s="92"/>
      <c r="CK5" s="92"/>
      <c r="CL5" s="92"/>
      <c r="CM5" s="114" t="str">
        <f>IF(M5="","",IF(CN5="not a match","",IF(CN5="full_name",VLOOKUP(M5,'Internal -- Trademark Countries'!A:E,5,FALSE),IF(CN5="polity_shortest_name",VLOOKUP(M5,'Internal -- Trademark Countries'!B:E,4,FALSE),IF(CN5="polity_full_name",VLOOKUP(M5,'Internal -- Trademark Countries'!C:E,3,FALSE),IF(CN5="polity_common_name",VLOOKUP(M5,'Internal -- Trademark Countries'!D:E,2,FALSE),IF(CN5="shortest_name",M5)))))))</f>
        <v/>
      </c>
      <c r="CN5" s="114" t="str">
        <f>IF(M5="","",IF(COUNTIF('Internal -- Trademark Countries'!A:A,M5)&gt;0,"full_name",IF(COUNTIF('Internal -- Trademark Countries'!B:B,M5)&gt;0,"polity_shortest_name",IF(COUNTIF('Internal -- Trademark Countries'!C:C,M5)&gt;0,"polity_full_name",IF(COUNTIF('Internal -- Trademark Countries'!D:D,M5)&gt;0,"polity_common_name",IF(COUNTIF('Internal -- Trademark Countries'!E:E,M5)&gt;0,"shortest_name","not a match"))))))</f>
        <v/>
      </c>
      <c r="CO5" s="115"/>
      <c r="CP5" s="115"/>
      <c r="CQ5" s="115"/>
      <c r="CR5" s="115"/>
      <c r="CS5" s="114" t="str">
        <f t="shared" si="3"/>
        <v/>
      </c>
    </row>
    <row r="6" spans="1:97" ht="15.75" customHeight="1">
      <c r="A6" s="109"/>
      <c r="B6" s="40"/>
      <c r="C6" s="92"/>
      <c r="D6" s="92"/>
      <c r="E6" s="92"/>
      <c r="F6" s="110"/>
      <c r="G6" s="92"/>
      <c r="H6" s="92"/>
      <c r="I6" s="92"/>
      <c r="J6" s="92"/>
      <c r="K6" s="92"/>
      <c r="L6" s="92"/>
      <c r="M6" s="111"/>
      <c r="N6" s="112"/>
      <c r="O6" s="92"/>
      <c r="P6" s="112"/>
      <c r="Q6" s="113"/>
      <c r="R6" s="112"/>
      <c r="S6" s="112"/>
      <c r="T6" s="112"/>
      <c r="U6" s="113"/>
      <c r="V6" s="112"/>
      <c r="W6" s="112"/>
      <c r="X6" s="112"/>
      <c r="Y6" s="113"/>
      <c r="Z6" s="113"/>
      <c r="AA6" s="113"/>
      <c r="AB6" s="113"/>
      <c r="AC6" s="113"/>
      <c r="AD6" s="113"/>
      <c r="AE6" s="113"/>
      <c r="AF6" s="113"/>
      <c r="AG6" s="113"/>
      <c r="AH6" s="113"/>
      <c r="AI6" s="113"/>
      <c r="AJ6" s="113"/>
      <c r="AK6" s="113"/>
      <c r="AL6" s="113"/>
      <c r="AM6" s="113"/>
      <c r="AN6" s="113"/>
      <c r="AO6" s="113"/>
      <c r="AP6" s="113"/>
      <c r="AQ6" s="113"/>
      <c r="AR6" s="113"/>
      <c r="AS6" s="92"/>
      <c r="AT6" s="92"/>
      <c r="AU6" s="113"/>
      <c r="AV6" s="113"/>
      <c r="AW6" s="113"/>
      <c r="AX6" s="113"/>
      <c r="AY6" s="113"/>
      <c r="AZ6" s="113"/>
      <c r="BA6" s="113"/>
      <c r="BB6" s="92"/>
      <c r="BC6" s="112"/>
      <c r="BD6" s="92"/>
      <c r="BE6" s="112"/>
      <c r="BF6" s="92"/>
      <c r="BG6" s="92"/>
      <c r="BH6" s="92"/>
      <c r="BI6" s="92"/>
      <c r="BJ6" s="93"/>
      <c r="BK6" s="93"/>
      <c r="BL6" s="92"/>
      <c r="BM6" s="92"/>
      <c r="BN6" s="92"/>
      <c r="BO6" s="93"/>
      <c r="BP6" s="93"/>
      <c r="BQ6" s="92"/>
      <c r="BR6" s="92"/>
      <c r="BS6" s="93" t="str">
        <f t="shared" si="0"/>
        <v/>
      </c>
      <c r="BT6" s="93"/>
      <c r="BU6" s="92"/>
      <c r="BV6" s="93" t="str">
        <f t="shared" si="1"/>
        <v/>
      </c>
      <c r="BW6" s="92"/>
      <c r="BX6" s="92"/>
      <c r="BY6" s="92"/>
      <c r="BZ6" s="92"/>
      <c r="CA6" s="92"/>
      <c r="CB6" s="92"/>
      <c r="CC6" s="92"/>
      <c r="CD6" s="93" t="str">
        <f t="shared" si="2"/>
        <v/>
      </c>
      <c r="CE6" s="93"/>
      <c r="CF6" s="92"/>
      <c r="CG6" s="93"/>
      <c r="CH6" s="92"/>
      <c r="CI6" s="92"/>
      <c r="CJ6" s="92"/>
      <c r="CK6" s="92"/>
      <c r="CL6" s="92"/>
      <c r="CM6" s="114" t="str">
        <f>IF(M6="","",IF(CN6="not a match","",IF(CN6="full_name",VLOOKUP(M6,'Internal -- Trademark Countries'!A:E,5,FALSE),IF(CN6="polity_shortest_name",VLOOKUP(M6,'Internal -- Trademark Countries'!B:E,4,FALSE),IF(CN6="polity_full_name",VLOOKUP(M6,'Internal -- Trademark Countries'!C:E,3,FALSE),IF(CN6="polity_common_name",VLOOKUP(M6,'Internal -- Trademark Countries'!D:E,2,FALSE),IF(CN6="shortest_name",M6)))))))</f>
        <v/>
      </c>
      <c r="CN6" s="114" t="str">
        <f>IF(M6="","",IF(COUNTIF('Internal -- Trademark Countries'!A:A,M6)&gt;0,"full_name",IF(COUNTIF('Internal -- Trademark Countries'!B:B,M6)&gt;0,"polity_shortest_name",IF(COUNTIF('Internal -- Trademark Countries'!C:C,M6)&gt;0,"polity_full_name",IF(COUNTIF('Internal -- Trademark Countries'!D:D,M6)&gt;0,"polity_common_name",IF(COUNTIF('Internal -- Trademark Countries'!E:E,M6)&gt;0,"shortest_name","not a match"))))))</f>
        <v/>
      </c>
      <c r="CO6" s="115"/>
      <c r="CP6" s="115"/>
      <c r="CQ6" s="115"/>
      <c r="CR6" s="115"/>
      <c r="CS6" s="114" t="str">
        <f t="shared" si="3"/>
        <v/>
      </c>
    </row>
    <row r="7" spans="1:97" ht="15.75" customHeight="1">
      <c r="A7" s="109"/>
      <c r="B7" s="40"/>
      <c r="C7" s="92"/>
      <c r="D7" s="92"/>
      <c r="E7" s="92"/>
      <c r="F7" s="110"/>
      <c r="G7" s="92"/>
      <c r="H7" s="92"/>
      <c r="I7" s="92"/>
      <c r="J7" s="92"/>
      <c r="K7" s="92"/>
      <c r="L7" s="92"/>
      <c r="M7" s="111"/>
      <c r="N7" s="112"/>
      <c r="O7" s="92"/>
      <c r="P7" s="112"/>
      <c r="Q7" s="113"/>
      <c r="R7" s="112"/>
      <c r="S7" s="112"/>
      <c r="T7" s="112"/>
      <c r="U7" s="113"/>
      <c r="V7" s="112"/>
      <c r="W7" s="112"/>
      <c r="X7" s="112"/>
      <c r="Y7" s="113"/>
      <c r="Z7" s="113"/>
      <c r="AA7" s="113"/>
      <c r="AB7" s="113"/>
      <c r="AC7" s="113"/>
      <c r="AD7" s="113"/>
      <c r="AE7" s="113"/>
      <c r="AF7" s="113"/>
      <c r="AG7" s="113"/>
      <c r="AH7" s="113"/>
      <c r="AI7" s="113"/>
      <c r="AJ7" s="113"/>
      <c r="AK7" s="113"/>
      <c r="AL7" s="113"/>
      <c r="AM7" s="113"/>
      <c r="AN7" s="113"/>
      <c r="AO7" s="113"/>
      <c r="AP7" s="113"/>
      <c r="AQ7" s="113"/>
      <c r="AR7" s="113"/>
      <c r="AS7" s="92"/>
      <c r="AT7" s="92"/>
      <c r="AU7" s="113"/>
      <c r="AV7" s="113"/>
      <c r="AW7" s="113"/>
      <c r="AX7" s="113"/>
      <c r="AY7" s="113"/>
      <c r="AZ7" s="113"/>
      <c r="BA7" s="113"/>
      <c r="BB7" s="92"/>
      <c r="BC7" s="112"/>
      <c r="BD7" s="92"/>
      <c r="BE7" s="112"/>
      <c r="BF7" s="92"/>
      <c r="BG7" s="92"/>
      <c r="BH7" s="92"/>
      <c r="BI7" s="92"/>
      <c r="BJ7" s="93"/>
      <c r="BK7" s="93"/>
      <c r="BL7" s="92"/>
      <c r="BM7" s="92"/>
      <c r="BN7" s="92"/>
      <c r="BO7" s="93"/>
      <c r="BP7" s="93"/>
      <c r="BQ7" s="92"/>
      <c r="BR7" s="92"/>
      <c r="BS7" s="93" t="str">
        <f t="shared" si="0"/>
        <v/>
      </c>
      <c r="BT7" s="93"/>
      <c r="BU7" s="92"/>
      <c r="BV7" s="93" t="str">
        <f t="shared" si="1"/>
        <v/>
      </c>
      <c r="BW7" s="92"/>
      <c r="BX7" s="92"/>
      <c r="BY7" s="92"/>
      <c r="BZ7" s="92"/>
      <c r="CA7" s="92"/>
      <c r="CB7" s="92"/>
      <c r="CC7" s="92"/>
      <c r="CD7" s="93" t="str">
        <f t="shared" si="2"/>
        <v/>
      </c>
      <c r="CE7" s="93"/>
      <c r="CF7" s="92"/>
      <c r="CG7" s="93"/>
      <c r="CH7" s="92"/>
      <c r="CI7" s="92"/>
      <c r="CJ7" s="92"/>
      <c r="CK7" s="92"/>
      <c r="CL7" s="92"/>
      <c r="CM7" s="114" t="str">
        <f>IF(M7="","",IF(CN7="not a match","",IF(CN7="full_name",VLOOKUP(M7,'Internal -- Trademark Countries'!A:E,5,FALSE),IF(CN7="polity_shortest_name",VLOOKUP(M7,'Internal -- Trademark Countries'!B:E,4,FALSE),IF(CN7="polity_full_name",VLOOKUP(M7,'Internal -- Trademark Countries'!C:E,3,FALSE),IF(CN7="polity_common_name",VLOOKUP(M7,'Internal -- Trademark Countries'!D:E,2,FALSE),IF(CN7="shortest_name",M7)))))))</f>
        <v/>
      </c>
      <c r="CN7" s="114" t="str">
        <f>IF(M7="","",IF(COUNTIF('Internal -- Trademark Countries'!A:A,M7)&gt;0,"full_name",IF(COUNTIF('Internal -- Trademark Countries'!B:B,M7)&gt;0,"polity_shortest_name",IF(COUNTIF('Internal -- Trademark Countries'!C:C,M7)&gt;0,"polity_full_name",IF(COUNTIF('Internal -- Trademark Countries'!D:D,M7)&gt;0,"polity_common_name",IF(COUNTIF('Internal -- Trademark Countries'!E:E,M7)&gt;0,"shortest_name","not a match"))))))</f>
        <v/>
      </c>
      <c r="CO7" s="115"/>
      <c r="CP7" s="115"/>
      <c r="CQ7" s="115"/>
      <c r="CR7" s="115"/>
      <c r="CS7" s="114" t="str">
        <f t="shared" si="3"/>
        <v/>
      </c>
    </row>
    <row r="8" spans="1:97" ht="15.75" customHeight="1">
      <c r="A8" s="116"/>
      <c r="B8" s="40"/>
      <c r="C8" s="92"/>
      <c r="D8" s="92"/>
      <c r="E8" s="92"/>
      <c r="F8" s="110"/>
      <c r="G8" s="92"/>
      <c r="H8" s="92"/>
      <c r="I8" s="92"/>
      <c r="J8" s="92"/>
      <c r="K8" s="92"/>
      <c r="L8" s="92"/>
      <c r="M8" s="111"/>
      <c r="N8" s="112"/>
      <c r="O8" s="92"/>
      <c r="P8" s="112"/>
      <c r="Q8" s="113"/>
      <c r="R8" s="112"/>
      <c r="S8" s="112"/>
      <c r="T8" s="112"/>
      <c r="U8" s="113"/>
      <c r="V8" s="112"/>
      <c r="W8" s="112"/>
      <c r="X8" s="112"/>
      <c r="Y8" s="113"/>
      <c r="Z8" s="113"/>
      <c r="AA8" s="113"/>
      <c r="AB8" s="113"/>
      <c r="AC8" s="113"/>
      <c r="AD8" s="113"/>
      <c r="AE8" s="113"/>
      <c r="AF8" s="113"/>
      <c r="AG8" s="113"/>
      <c r="AH8" s="113"/>
      <c r="AI8" s="113"/>
      <c r="AJ8" s="113"/>
      <c r="AK8" s="113"/>
      <c r="AL8" s="113"/>
      <c r="AM8" s="113"/>
      <c r="AN8" s="113"/>
      <c r="AO8" s="113"/>
      <c r="AP8" s="113"/>
      <c r="AQ8" s="113"/>
      <c r="AR8" s="113"/>
      <c r="AS8" s="92"/>
      <c r="AT8" s="92"/>
      <c r="AU8" s="113"/>
      <c r="AV8" s="113"/>
      <c r="AW8" s="113"/>
      <c r="AX8" s="113"/>
      <c r="AY8" s="113"/>
      <c r="AZ8" s="113"/>
      <c r="BA8" s="113"/>
      <c r="BB8" s="92"/>
      <c r="BC8" s="112"/>
      <c r="BD8" s="92"/>
      <c r="BE8" s="112"/>
      <c r="BF8" s="92"/>
      <c r="BG8" s="92"/>
      <c r="BH8" s="92"/>
      <c r="BI8" s="92"/>
      <c r="BJ8" s="93"/>
      <c r="BK8" s="93"/>
      <c r="BL8" s="92"/>
      <c r="BM8" s="92"/>
      <c r="BN8" s="92"/>
      <c r="BO8" s="93"/>
      <c r="BP8" s="93"/>
      <c r="BQ8" s="92"/>
      <c r="BR8" s="92"/>
      <c r="BS8" s="93" t="str">
        <f t="shared" si="0"/>
        <v/>
      </c>
      <c r="BT8" s="93"/>
      <c r="BU8" s="92"/>
      <c r="BV8" s="93" t="str">
        <f t="shared" si="1"/>
        <v/>
      </c>
      <c r="BW8" s="92"/>
      <c r="BX8" s="92"/>
      <c r="BY8" s="92"/>
      <c r="BZ8" s="92"/>
      <c r="CA8" s="92"/>
      <c r="CB8" s="92"/>
      <c r="CC8" s="92"/>
      <c r="CD8" s="93" t="str">
        <f t="shared" si="2"/>
        <v/>
      </c>
      <c r="CE8" s="93"/>
      <c r="CF8" s="92"/>
      <c r="CG8" s="93"/>
      <c r="CH8" s="92"/>
      <c r="CI8" s="92"/>
      <c r="CJ8" s="92"/>
      <c r="CK8" s="92"/>
      <c r="CL8" s="92"/>
      <c r="CM8" s="114" t="str">
        <f>IF(M8="","",IF(CN8="not a match","",IF(CN8="full_name",VLOOKUP(M8,'Internal -- Trademark Countries'!A:E,5,FALSE),IF(CN8="polity_shortest_name",VLOOKUP(M8,'Internal -- Trademark Countries'!B:E,4,FALSE),IF(CN8="polity_full_name",VLOOKUP(M8,'Internal -- Trademark Countries'!C:E,3,FALSE),IF(CN8="polity_common_name",VLOOKUP(M8,'Internal -- Trademark Countries'!D:E,2,FALSE),IF(CN8="shortest_name",M8)))))))</f>
        <v/>
      </c>
      <c r="CN8" s="114" t="str">
        <f>IF(M8="","",IF(COUNTIF('Internal -- Trademark Countries'!A:A,M8)&gt;0,"full_name",IF(COUNTIF('Internal -- Trademark Countries'!B:B,M8)&gt;0,"polity_shortest_name",IF(COUNTIF('Internal -- Trademark Countries'!C:C,M8)&gt;0,"polity_full_name",IF(COUNTIF('Internal -- Trademark Countries'!D:D,M8)&gt;0,"polity_common_name",IF(COUNTIF('Internal -- Trademark Countries'!E:E,M8)&gt;0,"shortest_name","not a match"))))))</f>
        <v/>
      </c>
      <c r="CO8" s="115"/>
      <c r="CP8" s="115"/>
      <c r="CQ8" s="115"/>
      <c r="CR8" s="115"/>
      <c r="CS8" s="114" t="str">
        <f t="shared" si="3"/>
        <v/>
      </c>
    </row>
    <row r="9" spans="1:97" ht="15.75" customHeight="1">
      <c r="A9" s="109"/>
      <c r="B9" s="40"/>
      <c r="C9" s="92"/>
      <c r="D9" s="92"/>
      <c r="E9" s="92"/>
      <c r="F9" s="110"/>
      <c r="G9" s="92"/>
      <c r="H9" s="92"/>
      <c r="I9" s="92"/>
      <c r="J9" s="92"/>
      <c r="K9" s="92"/>
      <c r="L9" s="92"/>
      <c r="M9" s="111"/>
      <c r="N9" s="112"/>
      <c r="O9" s="92"/>
      <c r="P9" s="112"/>
      <c r="Q9" s="113"/>
      <c r="R9" s="112"/>
      <c r="S9" s="112"/>
      <c r="T9" s="112"/>
      <c r="U9" s="113"/>
      <c r="V9" s="112"/>
      <c r="W9" s="112"/>
      <c r="X9" s="112"/>
      <c r="Y9" s="113"/>
      <c r="Z9" s="113"/>
      <c r="AA9" s="113"/>
      <c r="AB9" s="113"/>
      <c r="AC9" s="113"/>
      <c r="AD9" s="113"/>
      <c r="AE9" s="113"/>
      <c r="AF9" s="113"/>
      <c r="AG9" s="113"/>
      <c r="AH9" s="113"/>
      <c r="AI9" s="113"/>
      <c r="AJ9" s="113"/>
      <c r="AK9" s="113"/>
      <c r="AL9" s="113"/>
      <c r="AM9" s="113"/>
      <c r="AN9" s="113"/>
      <c r="AO9" s="113"/>
      <c r="AP9" s="113"/>
      <c r="AQ9" s="113"/>
      <c r="AR9" s="113"/>
      <c r="AS9" s="92"/>
      <c r="AT9" s="92"/>
      <c r="AU9" s="113"/>
      <c r="AV9" s="113"/>
      <c r="AW9" s="113"/>
      <c r="AX9" s="113"/>
      <c r="AY9" s="113"/>
      <c r="AZ9" s="113"/>
      <c r="BA9" s="113"/>
      <c r="BB9" s="92"/>
      <c r="BC9" s="112"/>
      <c r="BD9" s="92"/>
      <c r="BE9" s="112"/>
      <c r="BF9" s="92"/>
      <c r="BG9" s="92"/>
      <c r="BH9" s="92"/>
      <c r="BI9" s="92"/>
      <c r="BJ9" s="93"/>
      <c r="BK9" s="93"/>
      <c r="BL9" s="92"/>
      <c r="BM9" s="92"/>
      <c r="BN9" s="92"/>
      <c r="BO9" s="93"/>
      <c r="BP9" s="93"/>
      <c r="BQ9" s="92"/>
      <c r="BR9" s="92"/>
      <c r="BS9" s="93" t="str">
        <f t="shared" si="0"/>
        <v/>
      </c>
      <c r="BT9" s="93"/>
      <c r="BU9" s="92"/>
      <c r="BV9" s="93" t="str">
        <f t="shared" si="1"/>
        <v/>
      </c>
      <c r="BW9" s="92"/>
      <c r="BX9" s="92"/>
      <c r="BY9" s="92"/>
      <c r="BZ9" s="92"/>
      <c r="CA9" s="92"/>
      <c r="CB9" s="92"/>
      <c r="CC9" s="92"/>
      <c r="CD9" s="93" t="str">
        <f t="shared" si="2"/>
        <v/>
      </c>
      <c r="CE9" s="93"/>
      <c r="CF9" s="92"/>
      <c r="CG9" s="93"/>
      <c r="CH9" s="92"/>
      <c r="CI9" s="92"/>
      <c r="CJ9" s="92"/>
      <c r="CK9" s="92"/>
      <c r="CL9" s="92"/>
      <c r="CM9" s="114" t="str">
        <f>IF(M9="","",IF(CN9="not a match","",IF(CN9="full_name",VLOOKUP(M9,'Internal -- Trademark Countries'!A:E,5,FALSE),IF(CN9="polity_shortest_name",VLOOKUP(M9,'Internal -- Trademark Countries'!B:E,4,FALSE),IF(CN9="polity_full_name",VLOOKUP(M9,'Internal -- Trademark Countries'!C:E,3,FALSE),IF(CN9="polity_common_name",VLOOKUP(M9,'Internal -- Trademark Countries'!D:E,2,FALSE),IF(CN9="shortest_name",M9)))))))</f>
        <v/>
      </c>
      <c r="CN9" s="114" t="str">
        <f>IF(M9="","",IF(COUNTIF('Internal -- Trademark Countries'!A:A,M9)&gt;0,"full_name",IF(COUNTIF('Internal -- Trademark Countries'!B:B,M9)&gt;0,"polity_shortest_name",IF(COUNTIF('Internal -- Trademark Countries'!C:C,M9)&gt;0,"polity_full_name",IF(COUNTIF('Internal -- Trademark Countries'!D:D,M9)&gt;0,"polity_common_name",IF(COUNTIF('Internal -- Trademark Countries'!E:E,M9)&gt;0,"shortest_name","not a match"))))))</f>
        <v/>
      </c>
      <c r="CO9" s="115"/>
      <c r="CP9" s="115"/>
      <c r="CQ9" s="115"/>
      <c r="CR9" s="115"/>
      <c r="CS9" s="114" t="str">
        <f t="shared" si="3"/>
        <v/>
      </c>
    </row>
    <row r="10" spans="1:97" ht="15.75" customHeight="1">
      <c r="A10" s="116"/>
      <c r="B10" s="40"/>
      <c r="C10" s="92"/>
      <c r="D10" s="92"/>
      <c r="E10" s="92"/>
      <c r="F10" s="110"/>
      <c r="G10" s="92"/>
      <c r="H10" s="92"/>
      <c r="I10" s="92"/>
      <c r="J10" s="92"/>
      <c r="K10" s="92"/>
      <c r="L10" s="92"/>
      <c r="M10" s="111"/>
      <c r="N10" s="112"/>
      <c r="O10" s="92"/>
      <c r="P10" s="112"/>
      <c r="Q10" s="113"/>
      <c r="R10" s="112"/>
      <c r="S10" s="112"/>
      <c r="T10" s="112"/>
      <c r="U10" s="113"/>
      <c r="V10" s="112"/>
      <c r="W10" s="112"/>
      <c r="X10" s="112"/>
      <c r="Y10" s="113"/>
      <c r="Z10" s="113"/>
      <c r="AA10" s="113"/>
      <c r="AB10" s="113"/>
      <c r="AC10" s="113"/>
      <c r="AD10" s="113"/>
      <c r="AE10" s="113"/>
      <c r="AF10" s="113"/>
      <c r="AG10" s="113"/>
      <c r="AH10" s="113"/>
      <c r="AI10" s="113"/>
      <c r="AJ10" s="113"/>
      <c r="AK10" s="113"/>
      <c r="AL10" s="113"/>
      <c r="AM10" s="113"/>
      <c r="AN10" s="113"/>
      <c r="AO10" s="113"/>
      <c r="AP10" s="113"/>
      <c r="AQ10" s="113"/>
      <c r="AR10" s="113"/>
      <c r="AS10" s="92"/>
      <c r="AT10" s="92"/>
      <c r="AU10" s="113"/>
      <c r="AV10" s="113"/>
      <c r="AW10" s="113"/>
      <c r="AX10" s="113"/>
      <c r="AY10" s="113"/>
      <c r="AZ10" s="113"/>
      <c r="BA10" s="113"/>
      <c r="BB10" s="92"/>
      <c r="BC10" s="112"/>
      <c r="BD10" s="92"/>
      <c r="BE10" s="112"/>
      <c r="BF10" s="92"/>
      <c r="BG10" s="92"/>
      <c r="BH10" s="92"/>
      <c r="BI10" s="92"/>
      <c r="BJ10" s="93"/>
      <c r="BK10" s="93"/>
      <c r="BL10" s="92"/>
      <c r="BM10" s="92"/>
      <c r="BN10" s="92"/>
      <c r="BO10" s="93"/>
      <c r="BP10" s="93"/>
      <c r="BQ10" s="92"/>
      <c r="BR10" s="92"/>
      <c r="BS10" s="93" t="str">
        <f t="shared" si="0"/>
        <v/>
      </c>
      <c r="BT10" s="93"/>
      <c r="BU10" s="92"/>
      <c r="BV10" s="93" t="str">
        <f t="shared" si="1"/>
        <v/>
      </c>
      <c r="BW10" s="92"/>
      <c r="BX10" s="92"/>
      <c r="BY10" s="92"/>
      <c r="BZ10" s="92"/>
      <c r="CA10" s="92"/>
      <c r="CB10" s="92"/>
      <c r="CC10" s="92"/>
      <c r="CD10" s="93" t="str">
        <f t="shared" si="2"/>
        <v/>
      </c>
      <c r="CE10" s="93"/>
      <c r="CF10" s="92"/>
      <c r="CG10" s="93"/>
      <c r="CH10" s="92"/>
      <c r="CI10" s="92"/>
      <c r="CJ10" s="92"/>
      <c r="CK10" s="92"/>
      <c r="CL10" s="92"/>
      <c r="CM10" s="114" t="str">
        <f>IF(M10="","",IF(CN10="not a match","",IF(CN10="full_name",VLOOKUP(M10,'Internal -- Trademark Countries'!A:E,5,FALSE),IF(CN10="polity_shortest_name",VLOOKUP(M10,'Internal -- Trademark Countries'!B:E,4,FALSE),IF(CN10="polity_full_name",VLOOKUP(M10,'Internal -- Trademark Countries'!C:E,3,FALSE),IF(CN10="polity_common_name",VLOOKUP(M10,'Internal -- Trademark Countries'!D:E,2,FALSE),IF(CN10="shortest_name",M10)))))))</f>
        <v/>
      </c>
      <c r="CN10" s="114" t="str">
        <f>IF(M10="","",IF(COUNTIF('Internal -- Trademark Countries'!A:A,M10)&gt;0,"full_name",IF(COUNTIF('Internal -- Trademark Countries'!B:B,M10)&gt;0,"polity_shortest_name",IF(COUNTIF('Internal -- Trademark Countries'!C:C,M10)&gt;0,"polity_full_name",IF(COUNTIF('Internal -- Trademark Countries'!D:D,M10)&gt;0,"polity_common_name",IF(COUNTIF('Internal -- Trademark Countries'!E:E,M10)&gt;0,"shortest_name","not a match"))))))</f>
        <v/>
      </c>
      <c r="CO10" s="115"/>
      <c r="CP10" s="115"/>
      <c r="CQ10" s="115"/>
      <c r="CR10" s="115"/>
      <c r="CS10" s="114" t="str">
        <f t="shared" si="3"/>
        <v/>
      </c>
    </row>
    <row r="11" spans="1:97" ht="15.75" customHeight="1">
      <c r="A11" s="116"/>
      <c r="B11" s="40"/>
      <c r="C11" s="92"/>
      <c r="D11" s="92"/>
      <c r="E11" s="92"/>
      <c r="F11" s="110"/>
      <c r="G11" s="92"/>
      <c r="H11" s="92"/>
      <c r="I11" s="92"/>
      <c r="J11" s="92"/>
      <c r="K11" s="92"/>
      <c r="L11" s="92"/>
      <c r="M11" s="111"/>
      <c r="N11" s="112"/>
      <c r="O11" s="92"/>
      <c r="P11" s="112"/>
      <c r="Q11" s="113"/>
      <c r="R11" s="112"/>
      <c r="S11" s="112"/>
      <c r="T11" s="112"/>
      <c r="U11" s="113"/>
      <c r="V11" s="112"/>
      <c r="W11" s="112"/>
      <c r="X11" s="112"/>
      <c r="Y11" s="113"/>
      <c r="Z11" s="113"/>
      <c r="AA11" s="113"/>
      <c r="AB11" s="113"/>
      <c r="AC11" s="113"/>
      <c r="AD11" s="113"/>
      <c r="AE11" s="113"/>
      <c r="AF11" s="113"/>
      <c r="AG11" s="113"/>
      <c r="AH11" s="113"/>
      <c r="AI11" s="113"/>
      <c r="AJ11" s="113"/>
      <c r="AK11" s="113"/>
      <c r="AL11" s="113"/>
      <c r="AM11" s="113"/>
      <c r="AN11" s="113"/>
      <c r="AO11" s="113"/>
      <c r="AP11" s="113"/>
      <c r="AQ11" s="113"/>
      <c r="AR11" s="113"/>
      <c r="AS11" s="92"/>
      <c r="AT11" s="92"/>
      <c r="AU11" s="113"/>
      <c r="AV11" s="113"/>
      <c r="AW11" s="113"/>
      <c r="AX11" s="113"/>
      <c r="AY11" s="113"/>
      <c r="AZ11" s="113"/>
      <c r="BA11" s="113"/>
      <c r="BB11" s="92"/>
      <c r="BC11" s="112"/>
      <c r="BD11" s="92"/>
      <c r="BE11" s="112"/>
      <c r="BF11" s="92"/>
      <c r="BG11" s="92"/>
      <c r="BH11" s="92"/>
      <c r="BI11" s="92"/>
      <c r="BJ11" s="93"/>
      <c r="BK11" s="93"/>
      <c r="BL11" s="92"/>
      <c r="BM11" s="92"/>
      <c r="BN11" s="92"/>
      <c r="BO11" s="93"/>
      <c r="BP11" s="93"/>
      <c r="BQ11" s="92"/>
      <c r="BR11" s="92"/>
      <c r="BS11" s="93" t="str">
        <f t="shared" si="0"/>
        <v/>
      </c>
      <c r="BT11" s="93"/>
      <c r="BU11" s="92"/>
      <c r="BV11" s="93" t="str">
        <f t="shared" si="1"/>
        <v/>
      </c>
      <c r="BW11" s="92"/>
      <c r="BX11" s="92"/>
      <c r="BY11" s="92"/>
      <c r="BZ11" s="92"/>
      <c r="CA11" s="92"/>
      <c r="CB11" s="92"/>
      <c r="CC11" s="92"/>
      <c r="CD11" s="93" t="str">
        <f t="shared" si="2"/>
        <v/>
      </c>
      <c r="CE11" s="93"/>
      <c r="CF11" s="92"/>
      <c r="CG11" s="93"/>
      <c r="CH11" s="92"/>
      <c r="CI11" s="92"/>
      <c r="CJ11" s="92"/>
      <c r="CK11" s="92"/>
      <c r="CL11" s="92"/>
      <c r="CM11" s="114" t="str">
        <f>IF(M11="","",IF(CN11="not a match","",IF(CN11="full_name",VLOOKUP(M11,'Internal -- Trademark Countries'!A:E,5,FALSE),IF(CN11="polity_shortest_name",VLOOKUP(M11,'Internal -- Trademark Countries'!B:E,4,FALSE),IF(CN11="polity_full_name",VLOOKUP(M11,'Internal -- Trademark Countries'!C:E,3,FALSE),IF(CN11="polity_common_name",VLOOKUP(M11,'Internal -- Trademark Countries'!D:E,2,FALSE),IF(CN11="shortest_name",M11)))))))</f>
        <v/>
      </c>
      <c r="CN11" s="114" t="str">
        <f>IF(M11="","",IF(COUNTIF('Internal -- Trademark Countries'!A:A,M11)&gt;0,"full_name",IF(COUNTIF('Internal -- Trademark Countries'!B:B,M11)&gt;0,"polity_shortest_name",IF(COUNTIF('Internal -- Trademark Countries'!C:C,M11)&gt;0,"polity_full_name",IF(COUNTIF('Internal -- Trademark Countries'!D:D,M11)&gt;0,"polity_common_name",IF(COUNTIF('Internal -- Trademark Countries'!E:E,M11)&gt;0,"shortest_name","not a match"))))))</f>
        <v/>
      </c>
      <c r="CO11" s="115"/>
      <c r="CP11" s="115"/>
      <c r="CQ11" s="115"/>
      <c r="CR11" s="115"/>
      <c r="CS11" s="114" t="str">
        <f t="shared" si="3"/>
        <v/>
      </c>
    </row>
    <row r="12" spans="1:97" ht="15.75" customHeight="1">
      <c r="A12" s="116"/>
      <c r="B12" s="40"/>
      <c r="C12" s="92"/>
      <c r="D12" s="92"/>
      <c r="E12" s="92"/>
      <c r="F12" s="110"/>
      <c r="G12" s="92"/>
      <c r="H12" s="92"/>
      <c r="I12" s="92"/>
      <c r="J12" s="92"/>
      <c r="K12" s="92"/>
      <c r="L12" s="92"/>
      <c r="M12" s="111"/>
      <c r="N12" s="112"/>
      <c r="O12" s="92"/>
      <c r="P12" s="112"/>
      <c r="Q12" s="113"/>
      <c r="R12" s="112"/>
      <c r="S12" s="112"/>
      <c r="T12" s="112"/>
      <c r="U12" s="113"/>
      <c r="V12" s="112"/>
      <c r="W12" s="112"/>
      <c r="X12" s="112"/>
      <c r="Y12" s="113"/>
      <c r="Z12" s="113"/>
      <c r="AA12" s="113"/>
      <c r="AB12" s="113"/>
      <c r="AC12" s="113"/>
      <c r="AD12" s="113"/>
      <c r="AE12" s="113"/>
      <c r="AF12" s="113"/>
      <c r="AG12" s="113"/>
      <c r="AH12" s="113"/>
      <c r="AI12" s="113"/>
      <c r="AJ12" s="113"/>
      <c r="AK12" s="113"/>
      <c r="AL12" s="113"/>
      <c r="AM12" s="113"/>
      <c r="AN12" s="113"/>
      <c r="AO12" s="113"/>
      <c r="AP12" s="113"/>
      <c r="AQ12" s="113"/>
      <c r="AR12" s="113"/>
      <c r="AS12" s="92"/>
      <c r="AT12" s="92"/>
      <c r="AU12" s="113"/>
      <c r="AV12" s="113"/>
      <c r="AW12" s="113"/>
      <c r="AX12" s="113"/>
      <c r="AY12" s="113"/>
      <c r="AZ12" s="113"/>
      <c r="BA12" s="113"/>
      <c r="BB12" s="92"/>
      <c r="BC12" s="112"/>
      <c r="BD12" s="92"/>
      <c r="BE12" s="112"/>
      <c r="BF12" s="92"/>
      <c r="BG12" s="92"/>
      <c r="BH12" s="92"/>
      <c r="BI12" s="92"/>
      <c r="BJ12" s="93"/>
      <c r="BK12" s="93"/>
      <c r="BL12" s="92"/>
      <c r="BM12" s="92"/>
      <c r="BN12" s="92"/>
      <c r="BO12" s="93"/>
      <c r="BP12" s="93"/>
      <c r="BQ12" s="92"/>
      <c r="BR12" s="92"/>
      <c r="BS12" s="93" t="str">
        <f t="shared" si="0"/>
        <v/>
      </c>
      <c r="BT12" s="93"/>
      <c r="BU12" s="92"/>
      <c r="BV12" s="93" t="str">
        <f t="shared" si="1"/>
        <v/>
      </c>
      <c r="BW12" s="92"/>
      <c r="BX12" s="92"/>
      <c r="BY12" s="92"/>
      <c r="BZ12" s="92"/>
      <c r="CA12" s="92"/>
      <c r="CB12" s="92"/>
      <c r="CC12" s="92"/>
      <c r="CD12" s="93" t="str">
        <f t="shared" si="2"/>
        <v/>
      </c>
      <c r="CE12" s="93"/>
      <c r="CF12" s="92"/>
      <c r="CG12" s="93"/>
      <c r="CH12" s="92"/>
      <c r="CI12" s="92"/>
      <c r="CJ12" s="92"/>
      <c r="CK12" s="92"/>
      <c r="CL12" s="92"/>
      <c r="CM12" s="114" t="str">
        <f>IF(M12="","",IF(CN12="not a match","",IF(CN12="full_name",VLOOKUP(M12,'Internal -- Trademark Countries'!A:E,5,FALSE),IF(CN12="polity_shortest_name",VLOOKUP(M12,'Internal -- Trademark Countries'!B:E,4,FALSE),IF(CN12="polity_full_name",VLOOKUP(M12,'Internal -- Trademark Countries'!C:E,3,FALSE),IF(CN12="polity_common_name",VLOOKUP(M12,'Internal -- Trademark Countries'!D:E,2,FALSE),IF(CN12="shortest_name",M12)))))))</f>
        <v/>
      </c>
      <c r="CN12" s="114" t="str">
        <f>IF(M12="","",IF(COUNTIF('Internal -- Trademark Countries'!A:A,M12)&gt;0,"full_name",IF(COUNTIF('Internal -- Trademark Countries'!B:B,M12)&gt;0,"polity_shortest_name",IF(COUNTIF('Internal -- Trademark Countries'!C:C,M12)&gt;0,"polity_full_name",IF(COUNTIF('Internal -- Trademark Countries'!D:D,M12)&gt;0,"polity_common_name",IF(COUNTIF('Internal -- Trademark Countries'!E:E,M12)&gt;0,"shortest_name","not a match"))))))</f>
        <v/>
      </c>
      <c r="CO12" s="115"/>
      <c r="CP12" s="115"/>
      <c r="CQ12" s="115"/>
      <c r="CR12" s="115"/>
      <c r="CS12" s="114" t="str">
        <f t="shared" si="3"/>
        <v/>
      </c>
    </row>
    <row r="13" spans="1:97" ht="15.75" customHeight="1">
      <c r="A13" s="116"/>
      <c r="B13" s="40"/>
      <c r="C13" s="92"/>
      <c r="D13" s="92"/>
      <c r="E13" s="92"/>
      <c r="F13" s="110"/>
      <c r="G13" s="92"/>
      <c r="H13" s="92"/>
      <c r="I13" s="92"/>
      <c r="J13" s="92"/>
      <c r="K13" s="92"/>
      <c r="L13" s="92"/>
      <c r="M13" s="111"/>
      <c r="N13" s="112"/>
      <c r="O13" s="92"/>
      <c r="P13" s="112"/>
      <c r="Q13" s="113"/>
      <c r="R13" s="112"/>
      <c r="S13" s="112"/>
      <c r="T13" s="112"/>
      <c r="U13" s="113"/>
      <c r="V13" s="112"/>
      <c r="W13" s="112"/>
      <c r="X13" s="112"/>
      <c r="Y13" s="113"/>
      <c r="Z13" s="113"/>
      <c r="AA13" s="113"/>
      <c r="AB13" s="113"/>
      <c r="AC13" s="113"/>
      <c r="AD13" s="113"/>
      <c r="AE13" s="113"/>
      <c r="AF13" s="113"/>
      <c r="AG13" s="113"/>
      <c r="AH13" s="113"/>
      <c r="AI13" s="113"/>
      <c r="AJ13" s="113"/>
      <c r="AK13" s="113"/>
      <c r="AL13" s="113"/>
      <c r="AM13" s="113"/>
      <c r="AN13" s="113"/>
      <c r="AO13" s="113"/>
      <c r="AP13" s="113"/>
      <c r="AQ13" s="113"/>
      <c r="AR13" s="113"/>
      <c r="AS13" s="92"/>
      <c r="AT13" s="92"/>
      <c r="AU13" s="113"/>
      <c r="AV13" s="113"/>
      <c r="AW13" s="113"/>
      <c r="AX13" s="113"/>
      <c r="AY13" s="113"/>
      <c r="AZ13" s="113"/>
      <c r="BA13" s="113"/>
      <c r="BB13" s="92"/>
      <c r="BC13" s="112"/>
      <c r="BD13" s="92"/>
      <c r="BE13" s="112"/>
      <c r="BF13" s="92"/>
      <c r="BG13" s="92"/>
      <c r="BH13" s="92"/>
      <c r="BI13" s="92"/>
      <c r="BJ13" s="93"/>
      <c r="BK13" s="93"/>
      <c r="BL13" s="92"/>
      <c r="BM13" s="92"/>
      <c r="BN13" s="92"/>
      <c r="BO13" s="93"/>
      <c r="BP13" s="93"/>
      <c r="BQ13" s="92"/>
      <c r="BR13" s="92"/>
      <c r="BS13" s="93" t="str">
        <f t="shared" si="0"/>
        <v/>
      </c>
      <c r="BT13" s="93"/>
      <c r="BU13" s="92"/>
      <c r="BV13" s="93" t="str">
        <f t="shared" si="1"/>
        <v/>
      </c>
      <c r="BW13" s="92"/>
      <c r="BX13" s="92"/>
      <c r="BY13" s="92"/>
      <c r="BZ13" s="92"/>
      <c r="CA13" s="92"/>
      <c r="CB13" s="92"/>
      <c r="CC13" s="92"/>
      <c r="CD13" s="93" t="str">
        <f t="shared" si="2"/>
        <v/>
      </c>
      <c r="CE13" s="93"/>
      <c r="CF13" s="92"/>
      <c r="CG13" s="93"/>
      <c r="CH13" s="92"/>
      <c r="CI13" s="92"/>
      <c r="CJ13" s="92"/>
      <c r="CK13" s="92"/>
      <c r="CL13" s="92"/>
      <c r="CM13" s="114" t="str">
        <f>IF(M13="","",IF(CN13="not a match","",IF(CN13="full_name",VLOOKUP(M13,'Internal -- Trademark Countries'!A:E,5,FALSE),IF(CN13="polity_shortest_name",VLOOKUP(M13,'Internal -- Trademark Countries'!B:E,4,FALSE),IF(CN13="polity_full_name",VLOOKUP(M13,'Internal -- Trademark Countries'!C:E,3,FALSE),IF(CN13="polity_common_name",VLOOKUP(M13,'Internal -- Trademark Countries'!D:E,2,FALSE),IF(CN13="shortest_name",M13)))))))</f>
        <v/>
      </c>
      <c r="CN13" s="114" t="str">
        <f>IF(M13="","",IF(COUNTIF('Internal -- Trademark Countries'!A:A,M13)&gt;0,"full_name",IF(COUNTIF('Internal -- Trademark Countries'!B:B,M13)&gt;0,"polity_shortest_name",IF(COUNTIF('Internal -- Trademark Countries'!C:C,M13)&gt;0,"polity_full_name",IF(COUNTIF('Internal -- Trademark Countries'!D:D,M13)&gt;0,"polity_common_name",IF(COUNTIF('Internal -- Trademark Countries'!E:E,M13)&gt;0,"shortest_name","not a match"))))))</f>
        <v/>
      </c>
      <c r="CO13" s="115"/>
      <c r="CP13" s="115"/>
      <c r="CQ13" s="115"/>
      <c r="CR13" s="115"/>
      <c r="CS13" s="114" t="str">
        <f t="shared" si="3"/>
        <v/>
      </c>
    </row>
    <row r="14" spans="1:97" ht="15.75" customHeight="1">
      <c r="A14" s="116"/>
      <c r="B14" s="40"/>
      <c r="C14" s="92"/>
      <c r="D14" s="92"/>
      <c r="E14" s="92"/>
      <c r="F14" s="110"/>
      <c r="G14" s="92"/>
      <c r="H14" s="92"/>
      <c r="I14" s="92"/>
      <c r="J14" s="92"/>
      <c r="K14" s="92"/>
      <c r="L14" s="92"/>
      <c r="M14" s="111"/>
      <c r="N14" s="112"/>
      <c r="O14" s="92"/>
      <c r="P14" s="112"/>
      <c r="Q14" s="113"/>
      <c r="R14" s="112"/>
      <c r="S14" s="112"/>
      <c r="T14" s="112"/>
      <c r="U14" s="113"/>
      <c r="V14" s="112"/>
      <c r="W14" s="112"/>
      <c r="X14" s="112"/>
      <c r="Y14" s="113"/>
      <c r="Z14" s="113"/>
      <c r="AA14" s="113"/>
      <c r="AB14" s="113"/>
      <c r="AC14" s="113"/>
      <c r="AD14" s="113"/>
      <c r="AE14" s="113"/>
      <c r="AF14" s="113"/>
      <c r="AG14" s="113"/>
      <c r="AH14" s="113"/>
      <c r="AI14" s="113"/>
      <c r="AJ14" s="113"/>
      <c r="AK14" s="113"/>
      <c r="AL14" s="113"/>
      <c r="AM14" s="113"/>
      <c r="AN14" s="113"/>
      <c r="AO14" s="113"/>
      <c r="AP14" s="113"/>
      <c r="AQ14" s="113"/>
      <c r="AR14" s="113"/>
      <c r="AS14" s="92"/>
      <c r="AT14" s="92"/>
      <c r="AU14" s="113"/>
      <c r="AV14" s="113"/>
      <c r="AW14" s="113"/>
      <c r="AX14" s="113"/>
      <c r="AY14" s="113"/>
      <c r="AZ14" s="113"/>
      <c r="BA14" s="113"/>
      <c r="BB14" s="92"/>
      <c r="BC14" s="112"/>
      <c r="BD14" s="92"/>
      <c r="BE14" s="112"/>
      <c r="BF14" s="92"/>
      <c r="BG14" s="92"/>
      <c r="BH14" s="92"/>
      <c r="BI14" s="92"/>
      <c r="BJ14" s="93"/>
      <c r="BK14" s="93"/>
      <c r="BL14" s="92"/>
      <c r="BM14" s="92"/>
      <c r="BN14" s="92"/>
      <c r="BO14" s="93"/>
      <c r="BP14" s="93"/>
      <c r="BQ14" s="92"/>
      <c r="BR14" s="92"/>
      <c r="BS14" s="93" t="str">
        <f t="shared" si="0"/>
        <v/>
      </c>
      <c r="BT14" s="93"/>
      <c r="BU14" s="92"/>
      <c r="BV14" s="93" t="str">
        <f t="shared" si="1"/>
        <v/>
      </c>
      <c r="BW14" s="92"/>
      <c r="BX14" s="92"/>
      <c r="BY14" s="92"/>
      <c r="BZ14" s="92"/>
      <c r="CA14" s="92"/>
      <c r="CB14" s="92"/>
      <c r="CC14" s="92"/>
      <c r="CD14" s="93" t="str">
        <f t="shared" si="2"/>
        <v/>
      </c>
      <c r="CE14" s="93"/>
      <c r="CF14" s="92"/>
      <c r="CG14" s="93"/>
      <c r="CH14" s="92"/>
      <c r="CI14" s="92"/>
      <c r="CJ14" s="92"/>
      <c r="CK14" s="92"/>
      <c r="CL14" s="92"/>
      <c r="CM14" s="114" t="str">
        <f>IF(M14="","",IF(CN14="not a match","",IF(CN14="full_name",VLOOKUP(M14,'Internal -- Trademark Countries'!A:E,5,FALSE),IF(CN14="polity_shortest_name",VLOOKUP(M14,'Internal -- Trademark Countries'!B:E,4,FALSE),IF(CN14="polity_full_name",VLOOKUP(M14,'Internal -- Trademark Countries'!C:E,3,FALSE),IF(CN14="polity_common_name",VLOOKUP(M14,'Internal -- Trademark Countries'!D:E,2,FALSE),IF(CN14="shortest_name",M14)))))))</f>
        <v/>
      </c>
      <c r="CN14" s="114" t="str">
        <f>IF(M14="","",IF(COUNTIF('Internal -- Trademark Countries'!A:A,M14)&gt;0,"full_name",IF(COUNTIF('Internal -- Trademark Countries'!B:B,M14)&gt;0,"polity_shortest_name",IF(COUNTIF('Internal -- Trademark Countries'!C:C,M14)&gt;0,"polity_full_name",IF(COUNTIF('Internal -- Trademark Countries'!D:D,M14)&gt;0,"polity_common_name",IF(COUNTIF('Internal -- Trademark Countries'!E:E,M14)&gt;0,"shortest_name","not a match"))))))</f>
        <v/>
      </c>
      <c r="CO14" s="115"/>
      <c r="CP14" s="115"/>
      <c r="CQ14" s="115"/>
      <c r="CR14" s="115"/>
      <c r="CS14" s="114" t="str">
        <f t="shared" si="3"/>
        <v/>
      </c>
    </row>
    <row r="15" spans="1:97" ht="15.75" customHeight="1">
      <c r="A15" s="116"/>
      <c r="B15" s="40"/>
      <c r="C15" s="92"/>
      <c r="D15" s="92"/>
      <c r="E15" s="92"/>
      <c r="F15" s="110"/>
      <c r="G15" s="92"/>
      <c r="H15" s="92"/>
      <c r="I15" s="92"/>
      <c r="J15" s="92"/>
      <c r="K15" s="92"/>
      <c r="L15" s="92"/>
      <c r="M15" s="111"/>
      <c r="N15" s="112"/>
      <c r="O15" s="92"/>
      <c r="P15" s="112"/>
      <c r="Q15" s="113"/>
      <c r="R15" s="112"/>
      <c r="S15" s="112"/>
      <c r="T15" s="112"/>
      <c r="U15" s="113"/>
      <c r="V15" s="112"/>
      <c r="W15" s="112"/>
      <c r="X15" s="112"/>
      <c r="Y15" s="113"/>
      <c r="Z15" s="113"/>
      <c r="AA15" s="113"/>
      <c r="AB15" s="113"/>
      <c r="AC15" s="113"/>
      <c r="AD15" s="113"/>
      <c r="AE15" s="113"/>
      <c r="AF15" s="113"/>
      <c r="AG15" s="113"/>
      <c r="AH15" s="113"/>
      <c r="AI15" s="113"/>
      <c r="AJ15" s="113"/>
      <c r="AK15" s="113"/>
      <c r="AL15" s="113"/>
      <c r="AM15" s="113"/>
      <c r="AN15" s="113"/>
      <c r="AO15" s="113"/>
      <c r="AP15" s="113"/>
      <c r="AQ15" s="113"/>
      <c r="AR15" s="113"/>
      <c r="AS15" s="92"/>
      <c r="AT15" s="92"/>
      <c r="AU15" s="113"/>
      <c r="AV15" s="113"/>
      <c r="AW15" s="113"/>
      <c r="AX15" s="113"/>
      <c r="AY15" s="113"/>
      <c r="AZ15" s="113"/>
      <c r="BA15" s="113"/>
      <c r="BB15" s="92"/>
      <c r="BC15" s="112"/>
      <c r="BD15" s="92"/>
      <c r="BE15" s="112"/>
      <c r="BF15" s="92"/>
      <c r="BG15" s="92"/>
      <c r="BH15" s="92"/>
      <c r="BI15" s="92"/>
      <c r="BJ15" s="93"/>
      <c r="BK15" s="93"/>
      <c r="BL15" s="92"/>
      <c r="BM15" s="92"/>
      <c r="BN15" s="92"/>
      <c r="BO15" s="93"/>
      <c r="BP15" s="93"/>
      <c r="BQ15" s="92"/>
      <c r="BR15" s="92"/>
      <c r="BS15" s="93" t="str">
        <f t="shared" si="0"/>
        <v/>
      </c>
      <c r="BT15" s="93"/>
      <c r="BU15" s="92"/>
      <c r="BV15" s="93" t="str">
        <f t="shared" si="1"/>
        <v/>
      </c>
      <c r="BW15" s="92"/>
      <c r="BX15" s="92"/>
      <c r="BY15" s="92"/>
      <c r="BZ15" s="92"/>
      <c r="CA15" s="92"/>
      <c r="CB15" s="92"/>
      <c r="CC15" s="92"/>
      <c r="CD15" s="93" t="str">
        <f t="shared" si="2"/>
        <v/>
      </c>
      <c r="CE15" s="93"/>
      <c r="CF15" s="92"/>
      <c r="CG15" s="93"/>
      <c r="CH15" s="92"/>
      <c r="CI15" s="92"/>
      <c r="CJ15" s="92"/>
      <c r="CK15" s="92"/>
      <c r="CL15" s="92"/>
      <c r="CM15" s="114" t="str">
        <f>IF(M15="","",IF(CN15="not a match","",IF(CN15="full_name",VLOOKUP(M15,'Internal -- Trademark Countries'!A:E,5,FALSE),IF(CN15="polity_shortest_name",VLOOKUP(M15,'Internal -- Trademark Countries'!B:E,4,FALSE),IF(CN15="polity_full_name",VLOOKUP(M15,'Internal -- Trademark Countries'!C:E,3,FALSE),IF(CN15="polity_common_name",VLOOKUP(M15,'Internal -- Trademark Countries'!D:E,2,FALSE),IF(CN15="shortest_name",M15)))))))</f>
        <v/>
      </c>
      <c r="CN15" s="114" t="str">
        <f>IF(M15="","",IF(COUNTIF('Internal -- Trademark Countries'!A:A,M15)&gt;0,"full_name",IF(COUNTIF('Internal -- Trademark Countries'!B:B,M15)&gt;0,"polity_shortest_name",IF(COUNTIF('Internal -- Trademark Countries'!C:C,M15)&gt;0,"polity_full_name",IF(COUNTIF('Internal -- Trademark Countries'!D:D,M15)&gt;0,"polity_common_name",IF(COUNTIF('Internal -- Trademark Countries'!E:E,M15)&gt;0,"shortest_name","not a match"))))))</f>
        <v/>
      </c>
      <c r="CO15" s="115"/>
      <c r="CP15" s="115"/>
      <c r="CQ15" s="115"/>
      <c r="CR15" s="115"/>
      <c r="CS15" s="114" t="str">
        <f t="shared" si="3"/>
        <v/>
      </c>
    </row>
    <row r="16" spans="1:97" ht="15.75" customHeight="1">
      <c r="A16" s="116"/>
      <c r="B16" s="40"/>
      <c r="C16" s="92"/>
      <c r="D16" s="92"/>
      <c r="E16" s="92"/>
      <c r="F16" s="110"/>
      <c r="G16" s="92"/>
      <c r="H16" s="92"/>
      <c r="I16" s="92"/>
      <c r="J16" s="92"/>
      <c r="K16" s="92"/>
      <c r="L16" s="92"/>
      <c r="M16" s="111"/>
      <c r="N16" s="112"/>
      <c r="O16" s="92"/>
      <c r="P16" s="112"/>
      <c r="Q16" s="113"/>
      <c r="R16" s="112"/>
      <c r="S16" s="112"/>
      <c r="T16" s="112"/>
      <c r="U16" s="113"/>
      <c r="V16" s="112"/>
      <c r="W16" s="112"/>
      <c r="X16" s="112"/>
      <c r="Y16" s="113"/>
      <c r="Z16" s="113"/>
      <c r="AA16" s="113"/>
      <c r="AB16" s="113"/>
      <c r="AC16" s="113"/>
      <c r="AD16" s="113"/>
      <c r="AE16" s="113"/>
      <c r="AF16" s="113"/>
      <c r="AG16" s="113"/>
      <c r="AH16" s="113"/>
      <c r="AI16" s="113"/>
      <c r="AJ16" s="113"/>
      <c r="AK16" s="113"/>
      <c r="AL16" s="113"/>
      <c r="AM16" s="113"/>
      <c r="AN16" s="113"/>
      <c r="AO16" s="113"/>
      <c r="AP16" s="113"/>
      <c r="AQ16" s="113"/>
      <c r="AR16" s="113"/>
      <c r="AS16" s="92"/>
      <c r="AT16" s="92"/>
      <c r="AU16" s="113"/>
      <c r="AV16" s="113"/>
      <c r="AW16" s="113"/>
      <c r="AX16" s="113"/>
      <c r="AY16" s="113"/>
      <c r="AZ16" s="113"/>
      <c r="BA16" s="113"/>
      <c r="BB16" s="92"/>
      <c r="BC16" s="112"/>
      <c r="BD16" s="92"/>
      <c r="BE16" s="112"/>
      <c r="BF16" s="92"/>
      <c r="BG16" s="92"/>
      <c r="BH16" s="92"/>
      <c r="BI16" s="92"/>
      <c r="BJ16" s="93"/>
      <c r="BK16" s="93"/>
      <c r="BL16" s="92"/>
      <c r="BM16" s="92"/>
      <c r="BN16" s="92"/>
      <c r="BO16" s="93"/>
      <c r="BP16" s="93"/>
      <c r="BQ16" s="92"/>
      <c r="BR16" s="92"/>
      <c r="BS16" s="93" t="str">
        <f t="shared" si="0"/>
        <v/>
      </c>
      <c r="BT16" s="93"/>
      <c r="BU16" s="92"/>
      <c r="BV16" s="93" t="str">
        <f t="shared" si="1"/>
        <v/>
      </c>
      <c r="BW16" s="92"/>
      <c r="BX16" s="92"/>
      <c r="BY16" s="92"/>
      <c r="BZ16" s="92"/>
      <c r="CA16" s="92"/>
      <c r="CB16" s="92"/>
      <c r="CC16" s="92"/>
      <c r="CD16" s="93" t="str">
        <f t="shared" si="2"/>
        <v/>
      </c>
      <c r="CE16" s="93"/>
      <c r="CF16" s="92"/>
      <c r="CG16" s="93"/>
      <c r="CH16" s="92"/>
      <c r="CI16" s="92"/>
      <c r="CJ16" s="92"/>
      <c r="CK16" s="92"/>
      <c r="CL16" s="92"/>
      <c r="CM16" s="114" t="str">
        <f>IF(M16="","",IF(CN16="not a match","",IF(CN16="full_name",VLOOKUP(M16,'Internal -- Trademark Countries'!A:E,5,FALSE),IF(CN16="polity_shortest_name",VLOOKUP(M16,'Internal -- Trademark Countries'!B:E,4,FALSE),IF(CN16="polity_full_name",VLOOKUP(M16,'Internal -- Trademark Countries'!C:E,3,FALSE),IF(CN16="polity_common_name",VLOOKUP(M16,'Internal -- Trademark Countries'!D:E,2,FALSE),IF(CN16="shortest_name",M16)))))))</f>
        <v/>
      </c>
      <c r="CN16" s="114" t="str">
        <f>IF(M16="","",IF(COUNTIF('Internal -- Trademark Countries'!A:A,M16)&gt;0,"full_name",IF(COUNTIF('Internal -- Trademark Countries'!B:B,M16)&gt;0,"polity_shortest_name",IF(COUNTIF('Internal -- Trademark Countries'!C:C,M16)&gt;0,"polity_full_name",IF(COUNTIF('Internal -- Trademark Countries'!D:D,M16)&gt;0,"polity_common_name",IF(COUNTIF('Internal -- Trademark Countries'!E:E,M16)&gt;0,"shortest_name","not a match"))))))</f>
        <v/>
      </c>
      <c r="CO16" s="115"/>
      <c r="CP16" s="115"/>
      <c r="CQ16" s="115"/>
      <c r="CR16" s="115"/>
      <c r="CS16" s="114" t="str">
        <f t="shared" si="3"/>
        <v/>
      </c>
    </row>
    <row r="17" spans="1:97" ht="15.75" customHeight="1">
      <c r="A17" s="116"/>
      <c r="B17" s="40"/>
      <c r="C17" s="92"/>
      <c r="D17" s="92"/>
      <c r="E17" s="92"/>
      <c r="F17" s="110"/>
      <c r="G17" s="92"/>
      <c r="H17" s="92"/>
      <c r="I17" s="92"/>
      <c r="J17" s="92"/>
      <c r="K17" s="92"/>
      <c r="L17" s="92"/>
      <c r="M17" s="111"/>
      <c r="N17" s="112"/>
      <c r="O17" s="92"/>
      <c r="P17" s="112"/>
      <c r="Q17" s="113"/>
      <c r="R17" s="112"/>
      <c r="S17" s="112"/>
      <c r="T17" s="112"/>
      <c r="U17" s="113"/>
      <c r="V17" s="112"/>
      <c r="W17" s="112"/>
      <c r="X17" s="112"/>
      <c r="Y17" s="113"/>
      <c r="Z17" s="113"/>
      <c r="AA17" s="113"/>
      <c r="AB17" s="113"/>
      <c r="AC17" s="113"/>
      <c r="AD17" s="113"/>
      <c r="AE17" s="113"/>
      <c r="AF17" s="113"/>
      <c r="AG17" s="113"/>
      <c r="AH17" s="113"/>
      <c r="AI17" s="113"/>
      <c r="AJ17" s="113"/>
      <c r="AK17" s="113"/>
      <c r="AL17" s="113"/>
      <c r="AM17" s="113"/>
      <c r="AN17" s="113"/>
      <c r="AO17" s="113"/>
      <c r="AP17" s="113"/>
      <c r="AQ17" s="113"/>
      <c r="AR17" s="113"/>
      <c r="AS17" s="92"/>
      <c r="AT17" s="92"/>
      <c r="AU17" s="113"/>
      <c r="AV17" s="113"/>
      <c r="AW17" s="113"/>
      <c r="AX17" s="113"/>
      <c r="AY17" s="113"/>
      <c r="AZ17" s="113"/>
      <c r="BA17" s="113"/>
      <c r="BB17" s="92"/>
      <c r="BC17" s="112"/>
      <c r="BD17" s="92"/>
      <c r="BE17" s="112"/>
      <c r="BF17" s="92"/>
      <c r="BG17" s="92"/>
      <c r="BH17" s="92"/>
      <c r="BI17" s="92"/>
      <c r="BJ17" s="93"/>
      <c r="BK17" s="93"/>
      <c r="BL17" s="92"/>
      <c r="BM17" s="92"/>
      <c r="BN17" s="92"/>
      <c r="BO17" s="93"/>
      <c r="BP17" s="93"/>
      <c r="BQ17" s="92"/>
      <c r="BR17" s="92"/>
      <c r="BS17" s="93" t="str">
        <f t="shared" si="0"/>
        <v/>
      </c>
      <c r="BT17" s="93"/>
      <c r="BU17" s="92"/>
      <c r="BV17" s="93" t="str">
        <f t="shared" si="1"/>
        <v/>
      </c>
      <c r="BW17" s="92"/>
      <c r="BX17" s="92"/>
      <c r="BY17" s="92"/>
      <c r="BZ17" s="92"/>
      <c r="CA17" s="92"/>
      <c r="CB17" s="92"/>
      <c r="CC17" s="92"/>
      <c r="CD17" s="93" t="str">
        <f t="shared" si="2"/>
        <v/>
      </c>
      <c r="CE17" s="93"/>
      <c r="CF17" s="92"/>
      <c r="CG17" s="93"/>
      <c r="CH17" s="92"/>
      <c r="CI17" s="92"/>
      <c r="CJ17" s="92"/>
      <c r="CK17" s="92"/>
      <c r="CL17" s="92"/>
      <c r="CM17" s="114" t="str">
        <f>IF(M17="","",IF(CN17="not a match","",IF(CN17="full_name",VLOOKUP(M17,'Internal -- Trademark Countries'!A:E,5,FALSE),IF(CN17="polity_shortest_name",VLOOKUP(M17,'Internal -- Trademark Countries'!B:E,4,FALSE),IF(CN17="polity_full_name",VLOOKUP(M17,'Internal -- Trademark Countries'!C:E,3,FALSE),IF(CN17="polity_common_name",VLOOKUP(M17,'Internal -- Trademark Countries'!D:E,2,FALSE),IF(CN17="shortest_name",M17)))))))</f>
        <v/>
      </c>
      <c r="CN17" s="114" t="str">
        <f>IF(M17="","",IF(COUNTIF('Internal -- Trademark Countries'!A:A,M17)&gt;0,"full_name",IF(COUNTIF('Internal -- Trademark Countries'!B:B,M17)&gt;0,"polity_shortest_name",IF(COUNTIF('Internal -- Trademark Countries'!C:C,M17)&gt;0,"polity_full_name",IF(COUNTIF('Internal -- Trademark Countries'!D:D,M17)&gt;0,"polity_common_name",IF(COUNTIF('Internal -- Trademark Countries'!E:E,M17)&gt;0,"shortest_name","not a match"))))))</f>
        <v/>
      </c>
      <c r="CO17" s="115"/>
      <c r="CP17" s="115"/>
      <c r="CQ17" s="115"/>
      <c r="CR17" s="115"/>
      <c r="CS17" s="114" t="str">
        <f t="shared" si="3"/>
        <v/>
      </c>
    </row>
    <row r="18" spans="1:97" ht="15.75" customHeight="1">
      <c r="A18" s="116"/>
      <c r="B18" s="40"/>
      <c r="C18" s="92"/>
      <c r="D18" s="92"/>
      <c r="E18" s="92"/>
      <c r="F18" s="110"/>
      <c r="G18" s="92"/>
      <c r="H18" s="92"/>
      <c r="I18" s="92"/>
      <c r="J18" s="92"/>
      <c r="K18" s="92"/>
      <c r="L18" s="92"/>
      <c r="M18" s="111"/>
      <c r="N18" s="112"/>
      <c r="O18" s="92"/>
      <c r="P18" s="112"/>
      <c r="Q18" s="113"/>
      <c r="R18" s="112"/>
      <c r="S18" s="112"/>
      <c r="T18" s="112"/>
      <c r="U18" s="113"/>
      <c r="V18" s="112"/>
      <c r="W18" s="112"/>
      <c r="X18" s="112"/>
      <c r="Y18" s="113"/>
      <c r="Z18" s="113"/>
      <c r="AA18" s="113"/>
      <c r="AB18" s="113"/>
      <c r="AC18" s="113"/>
      <c r="AD18" s="113"/>
      <c r="AE18" s="113"/>
      <c r="AF18" s="113"/>
      <c r="AG18" s="113"/>
      <c r="AH18" s="113"/>
      <c r="AI18" s="113"/>
      <c r="AJ18" s="113"/>
      <c r="AK18" s="113"/>
      <c r="AL18" s="113"/>
      <c r="AM18" s="113"/>
      <c r="AN18" s="113"/>
      <c r="AO18" s="113"/>
      <c r="AP18" s="113"/>
      <c r="AQ18" s="113"/>
      <c r="AR18" s="113"/>
      <c r="AS18" s="92"/>
      <c r="AT18" s="92"/>
      <c r="AU18" s="113"/>
      <c r="AV18" s="113"/>
      <c r="AW18" s="113"/>
      <c r="AX18" s="113"/>
      <c r="AY18" s="113"/>
      <c r="AZ18" s="113"/>
      <c r="BA18" s="113"/>
      <c r="BB18" s="92"/>
      <c r="BC18" s="112"/>
      <c r="BD18" s="92"/>
      <c r="BE18" s="112"/>
      <c r="BF18" s="92"/>
      <c r="BG18" s="92"/>
      <c r="BH18" s="92"/>
      <c r="BI18" s="92"/>
      <c r="BJ18" s="93"/>
      <c r="BK18" s="93"/>
      <c r="BL18" s="92"/>
      <c r="BM18" s="92"/>
      <c r="BN18" s="92"/>
      <c r="BO18" s="93"/>
      <c r="BP18" s="93"/>
      <c r="BQ18" s="92"/>
      <c r="BR18" s="92"/>
      <c r="BS18" s="93" t="str">
        <f t="shared" si="0"/>
        <v/>
      </c>
      <c r="BT18" s="93"/>
      <c r="BU18" s="92"/>
      <c r="BV18" s="93" t="str">
        <f t="shared" si="1"/>
        <v/>
      </c>
      <c r="BW18" s="92"/>
      <c r="BX18" s="92"/>
      <c r="BY18" s="92"/>
      <c r="BZ18" s="92"/>
      <c r="CA18" s="92"/>
      <c r="CB18" s="92"/>
      <c r="CC18" s="92"/>
      <c r="CD18" s="93" t="str">
        <f t="shared" si="2"/>
        <v/>
      </c>
      <c r="CE18" s="93"/>
      <c r="CF18" s="92"/>
      <c r="CG18" s="93"/>
      <c r="CH18" s="92"/>
      <c r="CI18" s="92"/>
      <c r="CJ18" s="92"/>
      <c r="CK18" s="92"/>
      <c r="CL18" s="92"/>
      <c r="CM18" s="114" t="str">
        <f>IF(M18="","",IF(CN18="not a match","",IF(CN18="full_name",VLOOKUP(M18,'Internal -- Trademark Countries'!A:E,5,FALSE),IF(CN18="polity_shortest_name",VLOOKUP(M18,'Internal -- Trademark Countries'!B:E,4,FALSE),IF(CN18="polity_full_name",VLOOKUP(M18,'Internal -- Trademark Countries'!C:E,3,FALSE),IF(CN18="polity_common_name",VLOOKUP(M18,'Internal -- Trademark Countries'!D:E,2,FALSE),IF(CN18="shortest_name",M18)))))))</f>
        <v/>
      </c>
      <c r="CN18" s="114" t="str">
        <f>IF(M18="","",IF(COUNTIF('Internal -- Trademark Countries'!A:A,M18)&gt;0,"full_name",IF(COUNTIF('Internal -- Trademark Countries'!B:B,M18)&gt;0,"polity_shortest_name",IF(COUNTIF('Internal -- Trademark Countries'!C:C,M18)&gt;0,"polity_full_name",IF(COUNTIF('Internal -- Trademark Countries'!D:D,M18)&gt;0,"polity_common_name",IF(COUNTIF('Internal -- Trademark Countries'!E:E,M18)&gt;0,"shortest_name","not a match"))))))</f>
        <v/>
      </c>
      <c r="CO18" s="115"/>
      <c r="CP18" s="115"/>
      <c r="CQ18" s="115"/>
      <c r="CR18" s="115"/>
      <c r="CS18" s="114" t="str">
        <f t="shared" si="3"/>
        <v/>
      </c>
    </row>
    <row r="19" spans="1:97" ht="15.75" customHeight="1">
      <c r="A19" s="116"/>
      <c r="B19" s="40"/>
      <c r="C19" s="92"/>
      <c r="D19" s="92"/>
      <c r="E19" s="92"/>
      <c r="F19" s="110"/>
      <c r="G19" s="92"/>
      <c r="H19" s="92"/>
      <c r="I19" s="92"/>
      <c r="J19" s="92"/>
      <c r="K19" s="92"/>
      <c r="L19" s="92"/>
      <c r="M19" s="111"/>
      <c r="N19" s="112"/>
      <c r="O19" s="92"/>
      <c r="P19" s="112"/>
      <c r="Q19" s="113"/>
      <c r="R19" s="112"/>
      <c r="S19" s="112"/>
      <c r="T19" s="112"/>
      <c r="U19" s="113"/>
      <c r="V19" s="112"/>
      <c r="W19" s="112"/>
      <c r="X19" s="112"/>
      <c r="Y19" s="113"/>
      <c r="Z19" s="113"/>
      <c r="AA19" s="113"/>
      <c r="AB19" s="113"/>
      <c r="AC19" s="113"/>
      <c r="AD19" s="113"/>
      <c r="AE19" s="113"/>
      <c r="AF19" s="113"/>
      <c r="AG19" s="113"/>
      <c r="AH19" s="113"/>
      <c r="AI19" s="113"/>
      <c r="AJ19" s="113"/>
      <c r="AK19" s="113"/>
      <c r="AL19" s="113"/>
      <c r="AM19" s="113"/>
      <c r="AN19" s="113"/>
      <c r="AO19" s="113"/>
      <c r="AP19" s="113"/>
      <c r="AQ19" s="113"/>
      <c r="AR19" s="113"/>
      <c r="AS19" s="92"/>
      <c r="AT19" s="92"/>
      <c r="AU19" s="113"/>
      <c r="AV19" s="113"/>
      <c r="AW19" s="113"/>
      <c r="AX19" s="113"/>
      <c r="AY19" s="113"/>
      <c r="AZ19" s="113"/>
      <c r="BA19" s="113"/>
      <c r="BB19" s="92"/>
      <c r="BC19" s="112"/>
      <c r="BD19" s="92"/>
      <c r="BE19" s="112"/>
      <c r="BF19" s="92"/>
      <c r="BG19" s="92"/>
      <c r="BH19" s="92"/>
      <c r="BI19" s="92"/>
      <c r="BJ19" s="93"/>
      <c r="BK19" s="93"/>
      <c r="BL19" s="92"/>
      <c r="BM19" s="92"/>
      <c r="BN19" s="92"/>
      <c r="BO19" s="93"/>
      <c r="BP19" s="93"/>
      <c r="BQ19" s="92"/>
      <c r="BR19" s="92"/>
      <c r="BS19" s="93" t="str">
        <f t="shared" si="0"/>
        <v/>
      </c>
      <c r="BT19" s="93"/>
      <c r="BU19" s="92"/>
      <c r="BV19" s="93" t="str">
        <f t="shared" si="1"/>
        <v/>
      </c>
      <c r="BW19" s="92"/>
      <c r="BX19" s="92"/>
      <c r="BY19" s="92"/>
      <c r="BZ19" s="92"/>
      <c r="CA19" s="92"/>
      <c r="CB19" s="92"/>
      <c r="CC19" s="92"/>
      <c r="CD19" s="93" t="str">
        <f t="shared" si="2"/>
        <v/>
      </c>
      <c r="CE19" s="93"/>
      <c r="CF19" s="92"/>
      <c r="CG19" s="93"/>
      <c r="CH19" s="92"/>
      <c r="CI19" s="92"/>
      <c r="CJ19" s="92"/>
      <c r="CK19" s="92"/>
      <c r="CL19" s="92"/>
      <c r="CM19" s="114" t="str">
        <f>IF(M19="","",IF(CN19="not a match","",IF(CN19="full_name",VLOOKUP(M19,'Internal -- Trademark Countries'!A:E,5,FALSE),IF(CN19="polity_shortest_name",VLOOKUP(M19,'Internal -- Trademark Countries'!B:E,4,FALSE),IF(CN19="polity_full_name",VLOOKUP(M19,'Internal -- Trademark Countries'!C:E,3,FALSE),IF(CN19="polity_common_name",VLOOKUP(M19,'Internal -- Trademark Countries'!D:E,2,FALSE),IF(CN19="shortest_name",M19)))))))</f>
        <v/>
      </c>
      <c r="CN19" s="114" t="str">
        <f>IF(M19="","",IF(COUNTIF('Internal -- Trademark Countries'!A:A,M19)&gt;0,"full_name",IF(COUNTIF('Internal -- Trademark Countries'!B:B,M19)&gt;0,"polity_shortest_name",IF(COUNTIF('Internal -- Trademark Countries'!C:C,M19)&gt;0,"polity_full_name",IF(COUNTIF('Internal -- Trademark Countries'!D:D,M19)&gt;0,"polity_common_name",IF(COUNTIF('Internal -- Trademark Countries'!E:E,M19)&gt;0,"shortest_name","not a match"))))))</f>
        <v/>
      </c>
      <c r="CO19" s="115"/>
      <c r="CP19" s="115"/>
      <c r="CQ19" s="115"/>
      <c r="CR19" s="115"/>
      <c r="CS19" s="114" t="str">
        <f t="shared" si="3"/>
        <v/>
      </c>
    </row>
    <row r="20" spans="1:97" ht="15.75" customHeight="1">
      <c r="A20" s="116"/>
      <c r="B20" s="40"/>
      <c r="C20" s="92"/>
      <c r="D20" s="92"/>
      <c r="E20" s="92"/>
      <c r="F20" s="110"/>
      <c r="G20" s="92"/>
      <c r="H20" s="92"/>
      <c r="I20" s="92"/>
      <c r="J20" s="92"/>
      <c r="K20" s="92"/>
      <c r="L20" s="92"/>
      <c r="M20" s="111"/>
      <c r="N20" s="112"/>
      <c r="O20" s="92"/>
      <c r="P20" s="112"/>
      <c r="Q20" s="113"/>
      <c r="R20" s="112"/>
      <c r="S20" s="112"/>
      <c r="T20" s="112"/>
      <c r="U20" s="113"/>
      <c r="V20" s="112"/>
      <c r="W20" s="112"/>
      <c r="X20" s="112"/>
      <c r="Y20" s="113"/>
      <c r="Z20" s="113"/>
      <c r="AA20" s="113"/>
      <c r="AB20" s="113"/>
      <c r="AC20" s="113"/>
      <c r="AD20" s="113"/>
      <c r="AE20" s="113"/>
      <c r="AF20" s="113"/>
      <c r="AG20" s="113"/>
      <c r="AH20" s="113"/>
      <c r="AI20" s="113"/>
      <c r="AJ20" s="113"/>
      <c r="AK20" s="113"/>
      <c r="AL20" s="113"/>
      <c r="AM20" s="113"/>
      <c r="AN20" s="113"/>
      <c r="AO20" s="113"/>
      <c r="AP20" s="113"/>
      <c r="AQ20" s="113"/>
      <c r="AR20" s="113"/>
      <c r="AS20" s="92"/>
      <c r="AT20" s="92"/>
      <c r="AU20" s="113"/>
      <c r="AV20" s="113"/>
      <c r="AW20" s="113"/>
      <c r="AX20" s="113"/>
      <c r="AY20" s="113"/>
      <c r="AZ20" s="113"/>
      <c r="BA20" s="113"/>
      <c r="BB20" s="92"/>
      <c r="BC20" s="112"/>
      <c r="BD20" s="92"/>
      <c r="BE20" s="112"/>
      <c r="BF20" s="92"/>
      <c r="BG20" s="92"/>
      <c r="BH20" s="92"/>
      <c r="BI20" s="92"/>
      <c r="BJ20" s="93"/>
      <c r="BK20" s="93"/>
      <c r="BL20" s="92"/>
      <c r="BM20" s="92"/>
      <c r="BN20" s="92"/>
      <c r="BO20" s="93"/>
      <c r="BP20" s="93"/>
      <c r="BQ20" s="92"/>
      <c r="BR20" s="92"/>
      <c r="BS20" s="93" t="str">
        <f t="shared" si="0"/>
        <v/>
      </c>
      <c r="BT20" s="93"/>
      <c r="BU20" s="92"/>
      <c r="BV20" s="93" t="str">
        <f t="shared" si="1"/>
        <v/>
      </c>
      <c r="BW20" s="92"/>
      <c r="BX20" s="92"/>
      <c r="BY20" s="92"/>
      <c r="BZ20" s="92"/>
      <c r="CA20" s="92"/>
      <c r="CB20" s="92"/>
      <c r="CC20" s="92"/>
      <c r="CD20" s="93" t="str">
        <f t="shared" si="2"/>
        <v/>
      </c>
      <c r="CE20" s="93"/>
      <c r="CF20" s="92"/>
      <c r="CG20" s="93"/>
      <c r="CH20" s="92"/>
      <c r="CI20" s="92"/>
      <c r="CJ20" s="92"/>
      <c r="CK20" s="92"/>
      <c r="CL20" s="92"/>
      <c r="CM20" s="114" t="str">
        <f>IF(M20="","",IF(CN20="not a match","",IF(CN20="full_name",VLOOKUP(M20,'Internal -- Trademark Countries'!A:E,5,FALSE),IF(CN20="polity_shortest_name",VLOOKUP(M20,'Internal -- Trademark Countries'!B:E,4,FALSE),IF(CN20="polity_full_name",VLOOKUP(M20,'Internal -- Trademark Countries'!C:E,3,FALSE),IF(CN20="polity_common_name",VLOOKUP(M20,'Internal -- Trademark Countries'!D:E,2,FALSE),IF(CN20="shortest_name",M20)))))))</f>
        <v/>
      </c>
      <c r="CN20" s="114" t="str">
        <f>IF(M20="","",IF(COUNTIF('Internal -- Trademark Countries'!A:A,M20)&gt;0,"full_name",IF(COUNTIF('Internal -- Trademark Countries'!B:B,M20)&gt;0,"polity_shortest_name",IF(COUNTIF('Internal -- Trademark Countries'!C:C,M20)&gt;0,"polity_full_name",IF(COUNTIF('Internal -- Trademark Countries'!D:D,M20)&gt;0,"polity_common_name",IF(COUNTIF('Internal -- Trademark Countries'!E:E,M20)&gt;0,"shortest_name","not a match"))))))</f>
        <v/>
      </c>
      <c r="CO20" s="115"/>
      <c r="CP20" s="115"/>
      <c r="CQ20" s="115"/>
      <c r="CR20" s="115"/>
      <c r="CS20" s="114" t="str">
        <f t="shared" si="3"/>
        <v/>
      </c>
    </row>
    <row r="21" spans="1:97" ht="15.75" customHeight="1">
      <c r="A21" s="116"/>
      <c r="B21" s="40"/>
      <c r="C21" s="92"/>
      <c r="D21" s="92"/>
      <c r="E21" s="92"/>
      <c r="F21" s="110"/>
      <c r="G21" s="92"/>
      <c r="H21" s="92"/>
      <c r="I21" s="92"/>
      <c r="J21" s="92"/>
      <c r="K21" s="92"/>
      <c r="L21" s="92"/>
      <c r="M21" s="111"/>
      <c r="N21" s="112"/>
      <c r="O21" s="92"/>
      <c r="P21" s="112"/>
      <c r="Q21" s="113"/>
      <c r="R21" s="112"/>
      <c r="S21" s="112"/>
      <c r="T21" s="112"/>
      <c r="U21" s="113"/>
      <c r="V21" s="112"/>
      <c r="W21" s="112"/>
      <c r="X21" s="112"/>
      <c r="Y21" s="113"/>
      <c r="Z21" s="113"/>
      <c r="AA21" s="113"/>
      <c r="AB21" s="113"/>
      <c r="AC21" s="113"/>
      <c r="AD21" s="113"/>
      <c r="AE21" s="113"/>
      <c r="AF21" s="113"/>
      <c r="AG21" s="113"/>
      <c r="AH21" s="113"/>
      <c r="AI21" s="113"/>
      <c r="AJ21" s="113"/>
      <c r="AK21" s="113"/>
      <c r="AL21" s="113"/>
      <c r="AM21" s="113"/>
      <c r="AN21" s="113"/>
      <c r="AO21" s="113"/>
      <c r="AP21" s="113"/>
      <c r="AQ21" s="113"/>
      <c r="AR21" s="113"/>
      <c r="AS21" s="92"/>
      <c r="AT21" s="92"/>
      <c r="AU21" s="113"/>
      <c r="AV21" s="113"/>
      <c r="AW21" s="113"/>
      <c r="AX21" s="113"/>
      <c r="AY21" s="113"/>
      <c r="AZ21" s="113"/>
      <c r="BA21" s="113"/>
      <c r="BB21" s="92"/>
      <c r="BC21" s="112"/>
      <c r="BD21" s="92"/>
      <c r="BE21" s="112"/>
      <c r="BF21" s="92"/>
      <c r="BG21" s="92"/>
      <c r="BH21" s="92"/>
      <c r="BI21" s="92"/>
      <c r="BJ21" s="93"/>
      <c r="BK21" s="93"/>
      <c r="BL21" s="92"/>
      <c r="BM21" s="92"/>
      <c r="BN21" s="92"/>
      <c r="BO21" s="93"/>
      <c r="BP21" s="93"/>
      <c r="BQ21" s="92"/>
      <c r="BR21" s="92"/>
      <c r="BS21" s="93" t="str">
        <f t="shared" si="0"/>
        <v/>
      </c>
      <c r="BT21" s="93"/>
      <c r="BU21" s="92"/>
      <c r="BV21" s="93" t="str">
        <f t="shared" si="1"/>
        <v/>
      </c>
      <c r="BW21" s="92"/>
      <c r="BX21" s="92"/>
      <c r="BY21" s="92"/>
      <c r="BZ21" s="92"/>
      <c r="CA21" s="92"/>
      <c r="CB21" s="92"/>
      <c r="CC21" s="92"/>
      <c r="CD21" s="93" t="str">
        <f t="shared" si="2"/>
        <v/>
      </c>
      <c r="CE21" s="93"/>
      <c r="CF21" s="92"/>
      <c r="CG21" s="93"/>
      <c r="CH21" s="92"/>
      <c r="CI21" s="92"/>
      <c r="CJ21" s="92"/>
      <c r="CK21" s="92"/>
      <c r="CL21" s="92"/>
      <c r="CM21" s="114" t="str">
        <f>IF(M21="","",IF(CN21="not a match","",IF(CN21="full_name",VLOOKUP(M21,'Internal -- Trademark Countries'!A:E,5,FALSE),IF(CN21="polity_shortest_name",VLOOKUP(M21,'Internal -- Trademark Countries'!B:E,4,FALSE),IF(CN21="polity_full_name",VLOOKUP(M21,'Internal -- Trademark Countries'!C:E,3,FALSE),IF(CN21="polity_common_name",VLOOKUP(M21,'Internal -- Trademark Countries'!D:E,2,FALSE),IF(CN21="shortest_name",M21)))))))</f>
        <v/>
      </c>
      <c r="CN21" s="114" t="str">
        <f>IF(M21="","",IF(COUNTIF('Internal -- Trademark Countries'!A:A,M21)&gt;0,"full_name",IF(COUNTIF('Internal -- Trademark Countries'!B:B,M21)&gt;0,"polity_shortest_name",IF(COUNTIF('Internal -- Trademark Countries'!C:C,M21)&gt;0,"polity_full_name",IF(COUNTIF('Internal -- Trademark Countries'!D:D,M21)&gt;0,"polity_common_name",IF(COUNTIF('Internal -- Trademark Countries'!E:E,M21)&gt;0,"shortest_name","not a match"))))))</f>
        <v/>
      </c>
      <c r="CO21" s="115"/>
      <c r="CP21" s="115"/>
      <c r="CQ21" s="115"/>
      <c r="CR21" s="115"/>
      <c r="CS21" s="114" t="str">
        <f t="shared" si="3"/>
        <v/>
      </c>
    </row>
    <row r="22" spans="1:97" ht="15.75" customHeight="1">
      <c r="A22" s="116"/>
      <c r="B22" s="40"/>
      <c r="C22" s="92"/>
      <c r="D22" s="92"/>
      <c r="E22" s="92"/>
      <c r="F22" s="110"/>
      <c r="G22" s="92"/>
      <c r="H22" s="92"/>
      <c r="I22" s="92"/>
      <c r="J22" s="92"/>
      <c r="K22" s="92"/>
      <c r="L22" s="92"/>
      <c r="M22" s="111"/>
      <c r="N22" s="112"/>
      <c r="O22" s="92"/>
      <c r="P22" s="112"/>
      <c r="Q22" s="113"/>
      <c r="R22" s="112"/>
      <c r="S22" s="112"/>
      <c r="T22" s="112"/>
      <c r="U22" s="113"/>
      <c r="V22" s="112"/>
      <c r="W22" s="112"/>
      <c r="X22" s="112"/>
      <c r="Y22" s="113"/>
      <c r="Z22" s="113"/>
      <c r="AA22" s="113"/>
      <c r="AB22" s="113"/>
      <c r="AC22" s="113"/>
      <c r="AD22" s="113"/>
      <c r="AE22" s="113"/>
      <c r="AF22" s="113"/>
      <c r="AG22" s="113"/>
      <c r="AH22" s="113"/>
      <c r="AI22" s="113"/>
      <c r="AJ22" s="113"/>
      <c r="AK22" s="113"/>
      <c r="AL22" s="113"/>
      <c r="AM22" s="113"/>
      <c r="AN22" s="113"/>
      <c r="AO22" s="113"/>
      <c r="AP22" s="113"/>
      <c r="AQ22" s="113"/>
      <c r="AR22" s="113"/>
      <c r="AS22" s="92"/>
      <c r="AT22" s="92"/>
      <c r="AU22" s="113"/>
      <c r="AV22" s="113"/>
      <c r="AW22" s="113"/>
      <c r="AX22" s="113"/>
      <c r="AY22" s="113"/>
      <c r="AZ22" s="113"/>
      <c r="BA22" s="113"/>
      <c r="BB22" s="92"/>
      <c r="BC22" s="112"/>
      <c r="BD22" s="92"/>
      <c r="BE22" s="112"/>
      <c r="BF22" s="92"/>
      <c r="BG22" s="92"/>
      <c r="BH22" s="92"/>
      <c r="BI22" s="92"/>
      <c r="BJ22" s="93"/>
      <c r="BK22" s="93"/>
      <c r="BL22" s="92"/>
      <c r="BM22" s="92"/>
      <c r="BN22" s="92"/>
      <c r="BO22" s="93"/>
      <c r="BP22" s="93"/>
      <c r="BQ22" s="92"/>
      <c r="BR22" s="92"/>
      <c r="BS22" s="93" t="str">
        <f t="shared" si="0"/>
        <v/>
      </c>
      <c r="BT22" s="93"/>
      <c r="BU22" s="92"/>
      <c r="BV22" s="93" t="str">
        <f t="shared" si="1"/>
        <v/>
      </c>
      <c r="BW22" s="92"/>
      <c r="BX22" s="92"/>
      <c r="BY22" s="92"/>
      <c r="BZ22" s="92"/>
      <c r="CA22" s="92"/>
      <c r="CB22" s="92"/>
      <c r="CC22" s="92"/>
      <c r="CD22" s="93" t="str">
        <f t="shared" si="2"/>
        <v/>
      </c>
      <c r="CE22" s="93"/>
      <c r="CF22" s="92"/>
      <c r="CG22" s="93"/>
      <c r="CH22" s="92"/>
      <c r="CI22" s="92"/>
      <c r="CJ22" s="92"/>
      <c r="CK22" s="92"/>
      <c r="CL22" s="92"/>
      <c r="CM22" s="114" t="str">
        <f>IF(M22="","",IF(CN22="not a match","",IF(CN22="full_name",VLOOKUP(M22,'Internal -- Trademark Countries'!A:E,5,FALSE),IF(CN22="polity_shortest_name",VLOOKUP(M22,'Internal -- Trademark Countries'!B:E,4,FALSE),IF(CN22="polity_full_name",VLOOKUP(M22,'Internal -- Trademark Countries'!C:E,3,FALSE),IF(CN22="polity_common_name",VLOOKUP(M22,'Internal -- Trademark Countries'!D:E,2,FALSE),IF(CN22="shortest_name",M22)))))))</f>
        <v/>
      </c>
      <c r="CN22" s="114" t="str">
        <f>IF(M22="","",IF(COUNTIF('Internal -- Trademark Countries'!A:A,M22)&gt;0,"full_name",IF(COUNTIF('Internal -- Trademark Countries'!B:B,M22)&gt;0,"polity_shortest_name",IF(COUNTIF('Internal -- Trademark Countries'!C:C,M22)&gt;0,"polity_full_name",IF(COUNTIF('Internal -- Trademark Countries'!D:D,M22)&gt;0,"polity_common_name",IF(COUNTIF('Internal -- Trademark Countries'!E:E,M22)&gt;0,"shortest_name","not a match"))))))</f>
        <v/>
      </c>
      <c r="CO22" s="115"/>
      <c r="CP22" s="115"/>
      <c r="CQ22" s="115"/>
      <c r="CR22" s="115"/>
      <c r="CS22" s="114" t="str">
        <f t="shared" si="3"/>
        <v/>
      </c>
    </row>
    <row r="23" spans="1:97" ht="15.75" customHeight="1">
      <c r="A23" s="116"/>
      <c r="B23" s="40"/>
      <c r="C23" s="92"/>
      <c r="D23" s="92"/>
      <c r="E23" s="92"/>
      <c r="F23" s="110"/>
      <c r="G23" s="92"/>
      <c r="H23" s="92"/>
      <c r="I23" s="92"/>
      <c r="J23" s="92"/>
      <c r="K23" s="92"/>
      <c r="L23" s="92"/>
      <c r="M23" s="111"/>
      <c r="N23" s="112"/>
      <c r="O23" s="92"/>
      <c r="P23" s="112"/>
      <c r="Q23" s="113"/>
      <c r="R23" s="112"/>
      <c r="S23" s="112"/>
      <c r="T23" s="112"/>
      <c r="U23" s="113"/>
      <c r="V23" s="112"/>
      <c r="W23" s="112"/>
      <c r="X23" s="112"/>
      <c r="Y23" s="113"/>
      <c r="Z23" s="113"/>
      <c r="AA23" s="113"/>
      <c r="AB23" s="113"/>
      <c r="AC23" s="113"/>
      <c r="AD23" s="113"/>
      <c r="AE23" s="113"/>
      <c r="AF23" s="113"/>
      <c r="AG23" s="113"/>
      <c r="AH23" s="113"/>
      <c r="AI23" s="113"/>
      <c r="AJ23" s="113"/>
      <c r="AK23" s="113"/>
      <c r="AL23" s="113"/>
      <c r="AM23" s="113"/>
      <c r="AN23" s="113"/>
      <c r="AO23" s="113"/>
      <c r="AP23" s="113"/>
      <c r="AQ23" s="113"/>
      <c r="AR23" s="113"/>
      <c r="AS23" s="92"/>
      <c r="AT23" s="92"/>
      <c r="AU23" s="113"/>
      <c r="AV23" s="113"/>
      <c r="AW23" s="113"/>
      <c r="AX23" s="113"/>
      <c r="AY23" s="113"/>
      <c r="AZ23" s="113"/>
      <c r="BA23" s="113"/>
      <c r="BB23" s="92"/>
      <c r="BC23" s="112"/>
      <c r="BD23" s="92"/>
      <c r="BE23" s="112"/>
      <c r="BF23" s="92"/>
      <c r="BG23" s="92"/>
      <c r="BH23" s="92"/>
      <c r="BI23" s="92"/>
      <c r="BJ23" s="93"/>
      <c r="BK23" s="93"/>
      <c r="BL23" s="92"/>
      <c r="BM23" s="92"/>
      <c r="BN23" s="92"/>
      <c r="BO23" s="93"/>
      <c r="BP23" s="93"/>
      <c r="BQ23" s="92"/>
      <c r="BR23" s="92"/>
      <c r="BS23" s="93" t="str">
        <f t="shared" si="0"/>
        <v/>
      </c>
      <c r="BT23" s="93"/>
      <c r="BU23" s="92"/>
      <c r="BV23" s="93" t="str">
        <f t="shared" si="1"/>
        <v/>
      </c>
      <c r="BW23" s="92"/>
      <c r="BX23" s="92"/>
      <c r="BY23" s="92"/>
      <c r="BZ23" s="92"/>
      <c r="CA23" s="92"/>
      <c r="CB23" s="92"/>
      <c r="CC23" s="92"/>
      <c r="CD23" s="93" t="str">
        <f t="shared" si="2"/>
        <v/>
      </c>
      <c r="CE23" s="93"/>
      <c r="CF23" s="92"/>
      <c r="CG23" s="93"/>
      <c r="CH23" s="92"/>
      <c r="CI23" s="92"/>
      <c r="CJ23" s="92"/>
      <c r="CK23" s="92"/>
      <c r="CL23" s="92"/>
      <c r="CM23" s="114" t="str">
        <f>IF(M23="","",IF(CN23="not a match","",IF(CN23="full_name",VLOOKUP(M23,'Internal -- Trademark Countries'!A:E,5,FALSE),IF(CN23="polity_shortest_name",VLOOKUP(M23,'Internal -- Trademark Countries'!B:E,4,FALSE),IF(CN23="polity_full_name",VLOOKUP(M23,'Internal -- Trademark Countries'!C:E,3,FALSE),IF(CN23="polity_common_name",VLOOKUP(M23,'Internal -- Trademark Countries'!D:E,2,FALSE),IF(CN23="shortest_name",M23)))))))</f>
        <v/>
      </c>
      <c r="CN23" s="114" t="str">
        <f>IF(M23="","",IF(COUNTIF('Internal -- Trademark Countries'!A:A,M23)&gt;0,"full_name",IF(COUNTIF('Internal -- Trademark Countries'!B:B,M23)&gt;0,"polity_shortest_name",IF(COUNTIF('Internal -- Trademark Countries'!C:C,M23)&gt;0,"polity_full_name",IF(COUNTIF('Internal -- Trademark Countries'!D:D,M23)&gt;0,"polity_common_name",IF(COUNTIF('Internal -- Trademark Countries'!E:E,M23)&gt;0,"shortest_name","not a match"))))))</f>
        <v/>
      </c>
      <c r="CO23" s="115"/>
      <c r="CP23" s="115"/>
      <c r="CQ23" s="115"/>
      <c r="CR23" s="115"/>
      <c r="CS23" s="114" t="str">
        <f t="shared" si="3"/>
        <v/>
      </c>
    </row>
    <row r="24" spans="1:97" ht="15.75" customHeight="1">
      <c r="A24" s="116"/>
      <c r="B24" s="40"/>
      <c r="C24" s="92"/>
      <c r="D24" s="92"/>
      <c r="E24" s="92"/>
      <c r="F24" s="110"/>
      <c r="G24" s="92"/>
      <c r="H24" s="92"/>
      <c r="I24" s="92"/>
      <c r="J24" s="92"/>
      <c r="K24" s="92"/>
      <c r="L24" s="92"/>
      <c r="M24" s="111"/>
      <c r="N24" s="112"/>
      <c r="O24" s="92"/>
      <c r="P24" s="112"/>
      <c r="Q24" s="113"/>
      <c r="R24" s="112"/>
      <c r="S24" s="112"/>
      <c r="T24" s="112"/>
      <c r="U24" s="113"/>
      <c r="V24" s="112"/>
      <c r="W24" s="112"/>
      <c r="X24" s="112"/>
      <c r="Y24" s="113"/>
      <c r="Z24" s="113"/>
      <c r="AA24" s="113"/>
      <c r="AB24" s="113"/>
      <c r="AC24" s="113"/>
      <c r="AD24" s="113"/>
      <c r="AE24" s="113"/>
      <c r="AF24" s="113"/>
      <c r="AG24" s="113"/>
      <c r="AH24" s="113"/>
      <c r="AI24" s="113"/>
      <c r="AJ24" s="113"/>
      <c r="AK24" s="113"/>
      <c r="AL24" s="113"/>
      <c r="AM24" s="113"/>
      <c r="AN24" s="113"/>
      <c r="AO24" s="113"/>
      <c r="AP24" s="113"/>
      <c r="AQ24" s="113"/>
      <c r="AR24" s="113"/>
      <c r="AS24" s="92"/>
      <c r="AT24" s="92"/>
      <c r="AU24" s="113"/>
      <c r="AV24" s="113"/>
      <c r="AW24" s="113"/>
      <c r="AX24" s="113"/>
      <c r="AY24" s="113"/>
      <c r="AZ24" s="113"/>
      <c r="BA24" s="113"/>
      <c r="BB24" s="92"/>
      <c r="BC24" s="112"/>
      <c r="BD24" s="92"/>
      <c r="BE24" s="112"/>
      <c r="BF24" s="92"/>
      <c r="BG24" s="92"/>
      <c r="BH24" s="92"/>
      <c r="BI24" s="92"/>
      <c r="BJ24" s="93"/>
      <c r="BK24" s="93"/>
      <c r="BL24" s="92"/>
      <c r="BM24" s="92"/>
      <c r="BN24" s="92"/>
      <c r="BO24" s="93"/>
      <c r="BP24" s="93"/>
      <c r="BQ24" s="92"/>
      <c r="BR24" s="92"/>
      <c r="BS24" s="93"/>
      <c r="BT24" s="93"/>
      <c r="BU24" s="92"/>
      <c r="BV24" s="93"/>
      <c r="BW24" s="92"/>
      <c r="BX24" s="92"/>
      <c r="BY24" s="92"/>
      <c r="BZ24" s="92"/>
      <c r="CA24" s="92"/>
      <c r="CB24" s="92"/>
      <c r="CC24" s="92"/>
      <c r="CD24" s="93"/>
      <c r="CE24" s="93"/>
      <c r="CF24" s="92"/>
      <c r="CG24" s="93"/>
      <c r="CH24" s="92"/>
      <c r="CI24" s="92"/>
      <c r="CJ24" s="92"/>
      <c r="CK24" s="92"/>
      <c r="CL24" s="92"/>
      <c r="CM24" s="114"/>
      <c r="CN24" s="114"/>
      <c r="CO24" s="115"/>
      <c r="CP24" s="115"/>
      <c r="CQ24" s="115"/>
      <c r="CR24" s="115"/>
      <c r="CS24" s="114"/>
    </row>
    <row r="25" spans="1:97" ht="15.75" customHeight="1">
      <c r="A25" s="116"/>
      <c r="B25" s="40"/>
      <c r="C25" s="92"/>
      <c r="D25" s="92"/>
      <c r="E25" s="92"/>
      <c r="F25" s="110"/>
      <c r="G25" s="92"/>
      <c r="H25" s="92"/>
      <c r="I25" s="92"/>
      <c r="J25" s="92"/>
      <c r="K25" s="92"/>
      <c r="L25" s="92"/>
      <c r="M25" s="111"/>
      <c r="N25" s="112"/>
      <c r="O25" s="92"/>
      <c r="P25" s="112"/>
      <c r="Q25" s="113"/>
      <c r="R25" s="112"/>
      <c r="S25" s="112"/>
      <c r="T25" s="112"/>
      <c r="U25" s="113"/>
      <c r="V25" s="112"/>
      <c r="W25" s="112"/>
      <c r="X25" s="112"/>
      <c r="Y25" s="113"/>
      <c r="Z25" s="113"/>
      <c r="AA25" s="113"/>
      <c r="AB25" s="113"/>
      <c r="AC25" s="113"/>
      <c r="AD25" s="113"/>
      <c r="AE25" s="113"/>
      <c r="AF25" s="113"/>
      <c r="AG25" s="113"/>
      <c r="AH25" s="113"/>
      <c r="AI25" s="113"/>
      <c r="AJ25" s="113"/>
      <c r="AK25" s="113"/>
      <c r="AL25" s="113"/>
      <c r="AM25" s="113"/>
      <c r="AN25" s="113"/>
      <c r="AO25" s="113"/>
      <c r="AP25" s="113"/>
      <c r="AQ25" s="113"/>
      <c r="AR25" s="113"/>
      <c r="AS25" s="92"/>
      <c r="AT25" s="92"/>
      <c r="AU25" s="113"/>
      <c r="AV25" s="113"/>
      <c r="AW25" s="113"/>
      <c r="AX25" s="113"/>
      <c r="AY25" s="113"/>
      <c r="AZ25" s="113"/>
      <c r="BA25" s="113"/>
      <c r="BB25" s="92"/>
      <c r="BC25" s="112"/>
      <c r="BD25" s="92"/>
      <c r="BE25" s="112"/>
      <c r="BF25" s="92"/>
      <c r="BG25" s="92"/>
      <c r="BH25" s="92"/>
      <c r="BI25" s="92"/>
      <c r="BJ25" s="93"/>
      <c r="BK25" s="93"/>
      <c r="BL25" s="92"/>
      <c r="BM25" s="92"/>
      <c r="BN25" s="92"/>
      <c r="BO25" s="93"/>
      <c r="BP25" s="93"/>
      <c r="BQ25" s="92"/>
      <c r="BR25" s="92"/>
      <c r="BS25" s="93"/>
      <c r="BT25" s="93"/>
      <c r="BU25" s="92"/>
      <c r="BV25" s="93"/>
      <c r="BW25" s="92"/>
      <c r="BX25" s="92"/>
      <c r="BY25" s="92"/>
      <c r="BZ25" s="92"/>
      <c r="CA25" s="92"/>
      <c r="CB25" s="92"/>
      <c r="CC25" s="92"/>
      <c r="CD25" s="93"/>
      <c r="CE25" s="93"/>
      <c r="CF25" s="92"/>
      <c r="CG25" s="93"/>
      <c r="CH25" s="92"/>
      <c r="CI25" s="92"/>
      <c r="CJ25" s="92"/>
      <c r="CK25" s="92"/>
      <c r="CL25" s="92"/>
      <c r="CM25" s="114"/>
      <c r="CN25" s="114"/>
      <c r="CO25" s="115"/>
      <c r="CP25" s="115"/>
      <c r="CQ25" s="115"/>
      <c r="CR25" s="115"/>
      <c r="CS25" s="114"/>
    </row>
    <row r="26" spans="1:97" ht="15.75" customHeight="1">
      <c r="A26" s="116"/>
      <c r="B26" s="40"/>
      <c r="C26" s="92"/>
      <c r="D26" s="92"/>
      <c r="E26" s="92"/>
      <c r="F26" s="110"/>
      <c r="G26" s="92"/>
      <c r="H26" s="92"/>
      <c r="I26" s="92"/>
      <c r="J26" s="92"/>
      <c r="K26" s="92"/>
      <c r="L26" s="92"/>
      <c r="M26" s="111"/>
      <c r="N26" s="112"/>
      <c r="O26" s="92"/>
      <c r="P26" s="112"/>
      <c r="Q26" s="113"/>
      <c r="R26" s="112"/>
      <c r="S26" s="112"/>
      <c r="T26" s="112"/>
      <c r="U26" s="113"/>
      <c r="V26" s="112"/>
      <c r="W26" s="112"/>
      <c r="X26" s="112"/>
      <c r="Y26" s="113"/>
      <c r="Z26" s="113"/>
      <c r="AA26" s="113"/>
      <c r="AB26" s="113"/>
      <c r="AC26" s="113"/>
      <c r="AD26" s="113"/>
      <c r="AE26" s="113"/>
      <c r="AF26" s="113"/>
      <c r="AG26" s="113"/>
      <c r="AH26" s="113"/>
      <c r="AI26" s="113"/>
      <c r="AJ26" s="113"/>
      <c r="AK26" s="113"/>
      <c r="AL26" s="113"/>
      <c r="AM26" s="113"/>
      <c r="AN26" s="113"/>
      <c r="AO26" s="113"/>
      <c r="AP26" s="113"/>
      <c r="AQ26" s="113"/>
      <c r="AR26" s="113"/>
      <c r="AS26" s="92"/>
      <c r="AT26" s="92"/>
      <c r="AU26" s="113"/>
      <c r="AV26" s="113"/>
      <c r="AW26" s="113"/>
      <c r="AX26" s="113"/>
      <c r="AY26" s="113"/>
      <c r="AZ26" s="113"/>
      <c r="BA26" s="113"/>
      <c r="BB26" s="92"/>
      <c r="BC26" s="112"/>
      <c r="BD26" s="92"/>
      <c r="BE26" s="112"/>
      <c r="BF26" s="92"/>
      <c r="BG26" s="92"/>
      <c r="BH26" s="92"/>
      <c r="BI26" s="92"/>
      <c r="BJ26" s="93"/>
      <c r="BK26" s="93"/>
      <c r="BL26" s="92"/>
      <c r="BM26" s="92"/>
      <c r="BN26" s="92"/>
      <c r="BO26" s="93"/>
      <c r="BP26" s="93"/>
      <c r="BQ26" s="92"/>
      <c r="BR26" s="92"/>
      <c r="BS26" s="93"/>
      <c r="BT26" s="93"/>
      <c r="BU26" s="92"/>
      <c r="BV26" s="93"/>
      <c r="BW26" s="92"/>
      <c r="BX26" s="92"/>
      <c r="BY26" s="92"/>
      <c r="BZ26" s="92"/>
      <c r="CA26" s="92"/>
      <c r="CB26" s="92"/>
      <c r="CC26" s="92"/>
      <c r="CD26" s="93"/>
      <c r="CE26" s="93"/>
      <c r="CF26" s="92"/>
      <c r="CG26" s="93"/>
      <c r="CH26" s="92"/>
      <c r="CI26" s="92"/>
      <c r="CJ26" s="92"/>
      <c r="CK26" s="92"/>
      <c r="CL26" s="92"/>
      <c r="CM26" s="114"/>
      <c r="CN26" s="114"/>
      <c r="CO26" s="115"/>
      <c r="CP26" s="115"/>
      <c r="CQ26" s="115"/>
      <c r="CR26" s="115"/>
      <c r="CS26" s="114"/>
    </row>
    <row r="27" spans="1:97" ht="15.75" customHeight="1">
      <c r="A27" s="116"/>
      <c r="B27" s="40"/>
      <c r="C27" s="92"/>
      <c r="D27" s="92"/>
      <c r="E27" s="92"/>
      <c r="F27" s="110"/>
      <c r="G27" s="92"/>
      <c r="H27" s="92"/>
      <c r="I27" s="92"/>
      <c r="J27" s="92"/>
      <c r="K27" s="92"/>
      <c r="L27" s="92"/>
      <c r="M27" s="111"/>
      <c r="N27" s="112"/>
      <c r="O27" s="92"/>
      <c r="P27" s="112"/>
      <c r="Q27" s="113"/>
      <c r="R27" s="112"/>
      <c r="S27" s="112"/>
      <c r="T27" s="112"/>
      <c r="U27" s="113"/>
      <c r="V27" s="112"/>
      <c r="W27" s="112"/>
      <c r="X27" s="112"/>
      <c r="Y27" s="113"/>
      <c r="Z27" s="113"/>
      <c r="AA27" s="113"/>
      <c r="AB27" s="113"/>
      <c r="AC27" s="113"/>
      <c r="AD27" s="113"/>
      <c r="AE27" s="113"/>
      <c r="AF27" s="113"/>
      <c r="AG27" s="113"/>
      <c r="AH27" s="113"/>
      <c r="AI27" s="113"/>
      <c r="AJ27" s="113"/>
      <c r="AK27" s="113"/>
      <c r="AL27" s="113"/>
      <c r="AM27" s="113"/>
      <c r="AN27" s="113"/>
      <c r="AO27" s="113"/>
      <c r="AP27" s="113"/>
      <c r="AQ27" s="113"/>
      <c r="AR27" s="113"/>
      <c r="AS27" s="92"/>
      <c r="AT27" s="92"/>
      <c r="AU27" s="113"/>
      <c r="AV27" s="113"/>
      <c r="AW27" s="113"/>
      <c r="AX27" s="113"/>
      <c r="AY27" s="113"/>
      <c r="AZ27" s="113"/>
      <c r="BA27" s="113"/>
      <c r="BB27" s="92"/>
      <c r="BC27" s="112"/>
      <c r="BD27" s="92"/>
      <c r="BE27" s="112"/>
      <c r="BF27" s="92"/>
      <c r="BG27" s="92"/>
      <c r="BH27" s="92"/>
      <c r="BI27" s="92"/>
      <c r="BJ27" s="93"/>
      <c r="BK27" s="93"/>
      <c r="BL27" s="92"/>
      <c r="BM27" s="92"/>
      <c r="BN27" s="92"/>
      <c r="BO27" s="93"/>
      <c r="BP27" s="93"/>
      <c r="BQ27" s="92"/>
      <c r="BR27" s="92"/>
      <c r="BS27" s="93"/>
      <c r="BT27" s="93"/>
      <c r="BU27" s="92"/>
      <c r="BV27" s="93"/>
      <c r="BW27" s="92"/>
      <c r="BX27" s="92"/>
      <c r="BY27" s="92"/>
      <c r="BZ27" s="92"/>
      <c r="CA27" s="92"/>
      <c r="CB27" s="92"/>
      <c r="CC27" s="92"/>
      <c r="CD27" s="93"/>
      <c r="CE27" s="93"/>
      <c r="CF27" s="92"/>
      <c r="CG27" s="93"/>
      <c r="CH27" s="92"/>
      <c r="CI27" s="92"/>
      <c r="CJ27" s="92"/>
      <c r="CK27" s="92"/>
      <c r="CL27" s="92"/>
      <c r="CM27" s="114"/>
      <c r="CN27" s="114"/>
      <c r="CO27" s="115"/>
      <c r="CP27" s="115"/>
      <c r="CQ27" s="115"/>
      <c r="CR27" s="115"/>
      <c r="CS27" s="114"/>
    </row>
    <row r="28" spans="1:97" ht="15.75" customHeight="1">
      <c r="A28" s="116"/>
      <c r="B28" s="40"/>
      <c r="C28" s="92"/>
      <c r="D28" s="92"/>
      <c r="E28" s="92"/>
      <c r="F28" s="110"/>
      <c r="G28" s="92"/>
      <c r="H28" s="92"/>
      <c r="I28" s="92"/>
      <c r="J28" s="92"/>
      <c r="K28" s="92"/>
      <c r="L28" s="92"/>
      <c r="M28" s="111"/>
      <c r="N28" s="112"/>
      <c r="O28" s="92"/>
      <c r="P28" s="112"/>
      <c r="Q28" s="113"/>
      <c r="R28" s="112"/>
      <c r="S28" s="112"/>
      <c r="T28" s="112"/>
      <c r="U28" s="113"/>
      <c r="V28" s="112"/>
      <c r="W28" s="112"/>
      <c r="X28" s="112"/>
      <c r="Y28" s="113"/>
      <c r="Z28" s="113"/>
      <c r="AA28" s="113"/>
      <c r="AB28" s="113"/>
      <c r="AC28" s="113"/>
      <c r="AD28" s="113"/>
      <c r="AE28" s="113"/>
      <c r="AF28" s="113"/>
      <c r="AG28" s="113"/>
      <c r="AH28" s="113"/>
      <c r="AI28" s="113"/>
      <c r="AJ28" s="113"/>
      <c r="AK28" s="113"/>
      <c r="AL28" s="113"/>
      <c r="AM28" s="113"/>
      <c r="AN28" s="113"/>
      <c r="AO28" s="113"/>
      <c r="AP28" s="113"/>
      <c r="AQ28" s="113"/>
      <c r="AR28" s="113"/>
      <c r="AS28" s="92"/>
      <c r="AT28" s="92"/>
      <c r="AU28" s="113"/>
      <c r="AV28" s="113"/>
      <c r="AW28" s="113"/>
      <c r="AX28" s="113"/>
      <c r="AY28" s="113"/>
      <c r="AZ28" s="113"/>
      <c r="BA28" s="113"/>
      <c r="BB28" s="92"/>
      <c r="BC28" s="112"/>
      <c r="BD28" s="92"/>
      <c r="BE28" s="112"/>
      <c r="BF28" s="92"/>
      <c r="BG28" s="92"/>
      <c r="BH28" s="92"/>
      <c r="BI28" s="92"/>
      <c r="BJ28" s="93"/>
      <c r="BK28" s="93"/>
      <c r="BL28" s="92"/>
      <c r="BM28" s="92"/>
      <c r="BN28" s="92"/>
      <c r="BO28" s="93"/>
      <c r="BP28" s="93"/>
      <c r="BQ28" s="92"/>
      <c r="BR28" s="92"/>
      <c r="BS28" s="93"/>
      <c r="BT28" s="93"/>
      <c r="BU28" s="92"/>
      <c r="BV28" s="93"/>
      <c r="BW28" s="92"/>
      <c r="BX28" s="92"/>
      <c r="BY28" s="92"/>
      <c r="BZ28" s="92"/>
      <c r="CA28" s="92"/>
      <c r="CB28" s="92"/>
      <c r="CC28" s="92"/>
      <c r="CD28" s="93"/>
      <c r="CE28" s="93"/>
      <c r="CF28" s="92"/>
      <c r="CG28" s="93"/>
      <c r="CH28" s="92"/>
      <c r="CI28" s="92"/>
      <c r="CJ28" s="92"/>
      <c r="CK28" s="92"/>
      <c r="CL28" s="92"/>
      <c r="CM28" s="114"/>
      <c r="CN28" s="114"/>
      <c r="CO28" s="115"/>
      <c r="CP28" s="115"/>
      <c r="CQ28" s="115"/>
      <c r="CR28" s="115"/>
      <c r="CS28" s="114"/>
    </row>
    <row r="29" spans="1:97" ht="15.75" customHeight="1">
      <c r="A29" s="116"/>
      <c r="B29" s="40"/>
      <c r="C29" s="92"/>
      <c r="D29" s="92"/>
      <c r="E29" s="92"/>
      <c r="F29" s="110"/>
      <c r="G29" s="92"/>
      <c r="H29" s="92"/>
      <c r="I29" s="92"/>
      <c r="J29" s="92"/>
      <c r="K29" s="92"/>
      <c r="L29" s="92"/>
      <c r="M29" s="111"/>
      <c r="N29" s="112"/>
      <c r="O29" s="92"/>
      <c r="P29" s="112"/>
      <c r="Q29" s="113"/>
      <c r="R29" s="112"/>
      <c r="S29" s="112"/>
      <c r="T29" s="112"/>
      <c r="U29" s="113"/>
      <c r="V29" s="112"/>
      <c r="W29" s="112"/>
      <c r="X29" s="112"/>
      <c r="Y29" s="113"/>
      <c r="Z29" s="113"/>
      <c r="AA29" s="113"/>
      <c r="AB29" s="113"/>
      <c r="AC29" s="113"/>
      <c r="AD29" s="113"/>
      <c r="AE29" s="113"/>
      <c r="AF29" s="113"/>
      <c r="AG29" s="113"/>
      <c r="AH29" s="113"/>
      <c r="AI29" s="113"/>
      <c r="AJ29" s="113"/>
      <c r="AK29" s="113"/>
      <c r="AL29" s="113"/>
      <c r="AM29" s="113"/>
      <c r="AN29" s="113"/>
      <c r="AO29" s="113"/>
      <c r="AP29" s="113"/>
      <c r="AQ29" s="113"/>
      <c r="AR29" s="113"/>
      <c r="AS29" s="92"/>
      <c r="AT29" s="92"/>
      <c r="AU29" s="113"/>
      <c r="AV29" s="113"/>
      <c r="AW29" s="113"/>
      <c r="AX29" s="113"/>
      <c r="AY29" s="113"/>
      <c r="AZ29" s="113"/>
      <c r="BA29" s="113"/>
      <c r="BB29" s="92"/>
      <c r="BC29" s="112"/>
      <c r="BD29" s="92"/>
      <c r="BE29" s="112"/>
      <c r="BF29" s="92"/>
      <c r="BG29" s="92"/>
      <c r="BH29" s="92"/>
      <c r="BI29" s="92"/>
      <c r="BJ29" s="93"/>
      <c r="BK29" s="93"/>
      <c r="BL29" s="92"/>
      <c r="BM29" s="92"/>
      <c r="BN29" s="92"/>
      <c r="BO29" s="93"/>
      <c r="BP29" s="93"/>
      <c r="BQ29" s="92"/>
      <c r="BR29" s="92"/>
      <c r="BS29" s="93"/>
      <c r="BT29" s="93"/>
      <c r="BU29" s="92"/>
      <c r="BV29" s="93"/>
      <c r="BW29" s="92"/>
      <c r="BX29" s="92"/>
      <c r="BY29" s="92"/>
      <c r="BZ29" s="92"/>
      <c r="CA29" s="92"/>
      <c r="CB29" s="92"/>
      <c r="CC29" s="92"/>
      <c r="CD29" s="93"/>
      <c r="CE29" s="93"/>
      <c r="CF29" s="92"/>
      <c r="CG29" s="93"/>
      <c r="CH29" s="92"/>
      <c r="CI29" s="92"/>
      <c r="CJ29" s="92"/>
      <c r="CK29" s="92"/>
      <c r="CL29" s="92"/>
      <c r="CM29" s="114"/>
      <c r="CN29" s="114"/>
      <c r="CO29" s="115"/>
      <c r="CP29" s="115"/>
      <c r="CQ29" s="115"/>
      <c r="CR29" s="115"/>
      <c r="CS29" s="114"/>
    </row>
    <row r="30" spans="1:97" ht="15.75" customHeight="1">
      <c r="A30" s="116"/>
      <c r="B30" s="40"/>
      <c r="C30" s="92"/>
      <c r="D30" s="92"/>
      <c r="E30" s="92"/>
      <c r="F30" s="110"/>
      <c r="G30" s="92"/>
      <c r="H30" s="92"/>
      <c r="I30" s="92"/>
      <c r="J30" s="92"/>
      <c r="K30" s="92"/>
      <c r="L30" s="92"/>
      <c r="M30" s="111"/>
      <c r="N30" s="112"/>
      <c r="O30" s="92"/>
      <c r="P30" s="112"/>
      <c r="Q30" s="113"/>
      <c r="R30" s="112"/>
      <c r="S30" s="112"/>
      <c r="T30" s="112"/>
      <c r="U30" s="113"/>
      <c r="V30" s="112"/>
      <c r="W30" s="112"/>
      <c r="X30" s="112"/>
      <c r="Y30" s="113"/>
      <c r="Z30" s="113"/>
      <c r="AA30" s="113"/>
      <c r="AB30" s="113"/>
      <c r="AC30" s="113"/>
      <c r="AD30" s="113"/>
      <c r="AE30" s="113"/>
      <c r="AF30" s="113"/>
      <c r="AG30" s="113"/>
      <c r="AH30" s="113"/>
      <c r="AI30" s="113"/>
      <c r="AJ30" s="113"/>
      <c r="AK30" s="113"/>
      <c r="AL30" s="113"/>
      <c r="AM30" s="113"/>
      <c r="AN30" s="113"/>
      <c r="AO30" s="113"/>
      <c r="AP30" s="113"/>
      <c r="AQ30" s="113"/>
      <c r="AR30" s="113"/>
      <c r="AS30" s="92"/>
      <c r="AT30" s="92"/>
      <c r="AU30" s="113"/>
      <c r="AV30" s="113"/>
      <c r="AW30" s="113"/>
      <c r="AX30" s="113"/>
      <c r="AY30" s="113"/>
      <c r="AZ30" s="113"/>
      <c r="BA30" s="113"/>
      <c r="BB30" s="92"/>
      <c r="BC30" s="112"/>
      <c r="BD30" s="92"/>
      <c r="BE30" s="112"/>
      <c r="BF30" s="92"/>
      <c r="BG30" s="92"/>
      <c r="BH30" s="92"/>
      <c r="BI30" s="92"/>
      <c r="BJ30" s="93"/>
      <c r="BK30" s="93"/>
      <c r="BL30" s="92"/>
      <c r="BM30" s="92"/>
      <c r="BN30" s="92"/>
      <c r="BO30" s="93"/>
      <c r="BP30" s="93"/>
      <c r="BQ30" s="92"/>
      <c r="BR30" s="92"/>
      <c r="BS30" s="93"/>
      <c r="BT30" s="93"/>
      <c r="BU30" s="92"/>
      <c r="BV30" s="93"/>
      <c r="BW30" s="92"/>
      <c r="BX30" s="92"/>
      <c r="BY30" s="92"/>
      <c r="BZ30" s="92"/>
      <c r="CA30" s="92"/>
      <c r="CB30" s="92"/>
      <c r="CC30" s="92"/>
      <c r="CD30" s="93"/>
      <c r="CE30" s="93"/>
      <c r="CF30" s="92"/>
      <c r="CG30" s="93"/>
      <c r="CH30" s="92"/>
      <c r="CI30" s="92"/>
      <c r="CJ30" s="92"/>
      <c r="CK30" s="92"/>
      <c r="CL30" s="92"/>
      <c r="CM30" s="114"/>
      <c r="CN30" s="114"/>
      <c r="CO30" s="115"/>
      <c r="CP30" s="115"/>
      <c r="CQ30" s="115"/>
      <c r="CR30" s="115"/>
      <c r="CS30" s="114"/>
    </row>
    <row r="31" spans="1:97" ht="16.5">
      <c r="A31" s="116"/>
      <c r="B31" s="40"/>
      <c r="C31" s="92"/>
      <c r="D31" s="92"/>
      <c r="E31" s="92"/>
      <c r="F31" s="110"/>
      <c r="G31" s="92"/>
      <c r="H31" s="92"/>
      <c r="I31" s="92"/>
      <c r="J31" s="92"/>
      <c r="K31" s="92"/>
      <c r="L31" s="92"/>
      <c r="M31" s="111"/>
      <c r="N31" s="112"/>
      <c r="O31" s="92"/>
      <c r="P31" s="112"/>
      <c r="Q31" s="113"/>
      <c r="R31" s="112"/>
      <c r="S31" s="112"/>
      <c r="T31" s="112"/>
      <c r="U31" s="113"/>
      <c r="V31" s="112"/>
      <c r="W31" s="112"/>
      <c r="X31" s="112"/>
      <c r="Y31" s="113"/>
      <c r="Z31" s="113"/>
      <c r="AA31" s="113"/>
      <c r="AB31" s="113"/>
      <c r="AC31" s="113"/>
      <c r="AD31" s="113"/>
      <c r="AE31" s="113"/>
      <c r="AF31" s="113"/>
      <c r="AG31" s="113"/>
      <c r="AH31" s="113"/>
      <c r="AI31" s="113"/>
      <c r="AJ31" s="113"/>
      <c r="AK31" s="113"/>
      <c r="AL31" s="113"/>
      <c r="AM31" s="113"/>
      <c r="AN31" s="113"/>
      <c r="AO31" s="113"/>
      <c r="AP31" s="113"/>
      <c r="AQ31" s="113"/>
      <c r="AR31" s="113"/>
      <c r="AS31" s="92"/>
      <c r="AT31" s="92"/>
      <c r="AU31" s="113"/>
      <c r="AV31" s="113"/>
      <c r="AW31" s="113"/>
      <c r="AX31" s="113"/>
      <c r="AY31" s="113"/>
      <c r="AZ31" s="113"/>
      <c r="BA31" s="113"/>
      <c r="BB31" s="92"/>
      <c r="BC31" s="112"/>
      <c r="BD31" s="92"/>
      <c r="BE31" s="112"/>
      <c r="BF31" s="92"/>
      <c r="BG31" s="92"/>
      <c r="BH31" s="92"/>
      <c r="BI31" s="92"/>
      <c r="BJ31" s="93"/>
      <c r="BK31" s="93"/>
      <c r="BL31" s="92"/>
      <c r="BM31" s="92"/>
      <c r="BN31" s="92"/>
      <c r="BO31" s="93"/>
      <c r="BP31" s="93"/>
      <c r="BQ31" s="92"/>
      <c r="BR31" s="92"/>
      <c r="BS31" s="93"/>
      <c r="BT31" s="93"/>
      <c r="BU31" s="92"/>
      <c r="BV31" s="93"/>
      <c r="BW31" s="92"/>
      <c r="BX31" s="92"/>
      <c r="BY31" s="92"/>
      <c r="BZ31" s="92"/>
      <c r="CA31" s="92"/>
      <c r="CB31" s="92"/>
      <c r="CC31" s="92"/>
      <c r="CD31" s="93"/>
      <c r="CE31" s="93"/>
      <c r="CF31" s="92"/>
      <c r="CG31" s="93"/>
      <c r="CH31" s="92"/>
      <c r="CI31" s="92"/>
      <c r="CJ31" s="92"/>
      <c r="CK31" s="92"/>
      <c r="CL31" s="92"/>
      <c r="CM31" s="114"/>
      <c r="CN31" s="114"/>
      <c r="CO31" s="115"/>
      <c r="CP31" s="115"/>
      <c r="CQ31" s="115"/>
      <c r="CR31" s="115"/>
      <c r="CS31" s="114"/>
    </row>
    <row r="32" spans="1:97" ht="16.5">
      <c r="A32" s="116"/>
      <c r="B32" s="40"/>
      <c r="C32" s="92"/>
      <c r="D32" s="92"/>
      <c r="E32" s="92"/>
      <c r="F32" s="110"/>
      <c r="G32" s="92"/>
      <c r="H32" s="92"/>
      <c r="I32" s="92"/>
      <c r="J32" s="92"/>
      <c r="K32" s="92"/>
      <c r="L32" s="92"/>
      <c r="M32" s="111"/>
      <c r="N32" s="112"/>
      <c r="O32" s="92"/>
      <c r="P32" s="112"/>
      <c r="Q32" s="113"/>
      <c r="R32" s="112"/>
      <c r="S32" s="112"/>
      <c r="T32" s="112"/>
      <c r="U32" s="113"/>
      <c r="V32" s="112"/>
      <c r="W32" s="112"/>
      <c r="X32" s="112"/>
      <c r="Y32" s="113"/>
      <c r="Z32" s="113"/>
      <c r="AA32" s="113"/>
      <c r="AB32" s="113"/>
      <c r="AC32" s="113"/>
      <c r="AD32" s="113"/>
      <c r="AE32" s="113"/>
      <c r="AF32" s="113"/>
      <c r="AG32" s="113"/>
      <c r="AH32" s="113"/>
      <c r="AI32" s="113"/>
      <c r="AJ32" s="113"/>
      <c r="AK32" s="113"/>
      <c r="AL32" s="113"/>
      <c r="AM32" s="113"/>
      <c r="AN32" s="113"/>
      <c r="AO32" s="113"/>
      <c r="AP32" s="113"/>
      <c r="AQ32" s="113"/>
      <c r="AR32" s="113"/>
      <c r="AS32" s="92"/>
      <c r="AT32" s="92"/>
      <c r="AU32" s="113"/>
      <c r="AV32" s="113"/>
      <c r="AW32" s="113"/>
      <c r="AX32" s="113"/>
      <c r="AY32" s="113"/>
      <c r="AZ32" s="113"/>
      <c r="BA32" s="113"/>
      <c r="BB32" s="92"/>
      <c r="BC32" s="112"/>
      <c r="BD32" s="92"/>
      <c r="BE32" s="112"/>
      <c r="BF32" s="92"/>
      <c r="BG32" s="92"/>
      <c r="BH32" s="92"/>
      <c r="BI32" s="92"/>
      <c r="BJ32" s="93"/>
      <c r="BK32" s="93"/>
      <c r="BL32" s="92"/>
      <c r="BM32" s="92"/>
      <c r="BN32" s="92"/>
      <c r="BO32" s="93"/>
      <c r="BP32" s="93"/>
      <c r="BQ32" s="92"/>
      <c r="BR32" s="92"/>
      <c r="BS32" s="93"/>
      <c r="BT32" s="93"/>
      <c r="BU32" s="92"/>
      <c r="BV32" s="93"/>
      <c r="BW32" s="92"/>
      <c r="BX32" s="92"/>
      <c r="BY32" s="92"/>
      <c r="BZ32" s="92"/>
      <c r="CA32" s="92"/>
      <c r="CB32" s="92"/>
      <c r="CC32" s="92"/>
      <c r="CD32" s="93"/>
      <c r="CE32" s="93"/>
      <c r="CF32" s="92"/>
      <c r="CG32" s="93"/>
      <c r="CH32" s="92"/>
      <c r="CI32" s="92"/>
      <c r="CJ32" s="92"/>
      <c r="CK32" s="92"/>
      <c r="CL32" s="92"/>
      <c r="CM32" s="114"/>
      <c r="CN32" s="114"/>
      <c r="CO32" s="115"/>
      <c r="CP32" s="115"/>
      <c r="CQ32" s="115"/>
      <c r="CR32" s="115"/>
      <c r="CS32" s="114"/>
    </row>
    <row r="33" spans="1:97" ht="16.5">
      <c r="A33" s="116"/>
      <c r="B33" s="40"/>
      <c r="C33" s="92"/>
      <c r="D33" s="92"/>
      <c r="E33" s="92"/>
      <c r="F33" s="110"/>
      <c r="G33" s="92"/>
      <c r="H33" s="92"/>
      <c r="I33" s="92"/>
      <c r="J33" s="92"/>
      <c r="K33" s="92"/>
      <c r="L33" s="92"/>
      <c r="M33" s="111"/>
      <c r="N33" s="112"/>
      <c r="O33" s="92"/>
      <c r="P33" s="112"/>
      <c r="Q33" s="113"/>
      <c r="R33" s="112"/>
      <c r="S33" s="112"/>
      <c r="T33" s="112"/>
      <c r="U33" s="113"/>
      <c r="V33" s="112"/>
      <c r="W33" s="112"/>
      <c r="X33" s="112"/>
      <c r="Y33" s="113"/>
      <c r="Z33" s="113"/>
      <c r="AA33" s="113"/>
      <c r="AB33" s="113"/>
      <c r="AC33" s="113"/>
      <c r="AD33" s="113"/>
      <c r="AE33" s="113"/>
      <c r="AF33" s="113"/>
      <c r="AG33" s="113"/>
      <c r="AH33" s="113"/>
      <c r="AI33" s="113"/>
      <c r="AJ33" s="113"/>
      <c r="AK33" s="113"/>
      <c r="AL33" s="113"/>
      <c r="AM33" s="113"/>
      <c r="AN33" s="113"/>
      <c r="AO33" s="113"/>
      <c r="AP33" s="113"/>
      <c r="AQ33" s="113"/>
      <c r="AR33" s="113"/>
      <c r="AS33" s="92"/>
      <c r="AT33" s="92"/>
      <c r="AU33" s="113"/>
      <c r="AV33" s="113"/>
      <c r="AW33" s="113"/>
      <c r="AX33" s="113"/>
      <c r="AY33" s="113"/>
      <c r="AZ33" s="113"/>
      <c r="BA33" s="113"/>
      <c r="BB33" s="92"/>
      <c r="BC33" s="112"/>
      <c r="BD33" s="92"/>
      <c r="BE33" s="112"/>
      <c r="BF33" s="92"/>
      <c r="BG33" s="92"/>
      <c r="BH33" s="92"/>
      <c r="BI33" s="92"/>
      <c r="BJ33" s="93"/>
      <c r="BK33" s="93"/>
      <c r="BL33" s="92"/>
      <c r="BM33" s="92"/>
      <c r="BN33" s="92"/>
      <c r="BO33" s="93"/>
      <c r="BP33" s="93"/>
      <c r="BQ33" s="92"/>
      <c r="BR33" s="92"/>
      <c r="BS33" s="93"/>
      <c r="BT33" s="93"/>
      <c r="BU33" s="92"/>
      <c r="BV33" s="93"/>
      <c r="BW33" s="92"/>
      <c r="BX33" s="92"/>
      <c r="BY33" s="92"/>
      <c r="BZ33" s="92"/>
      <c r="CA33" s="92"/>
      <c r="CB33" s="92"/>
      <c r="CC33" s="92"/>
      <c r="CD33" s="93"/>
      <c r="CE33" s="93"/>
      <c r="CF33" s="92"/>
      <c r="CG33" s="93"/>
      <c r="CH33" s="92"/>
      <c r="CI33" s="92"/>
      <c r="CJ33" s="92"/>
      <c r="CK33" s="92"/>
      <c r="CL33" s="92"/>
      <c r="CM33" s="114"/>
      <c r="CN33" s="114"/>
      <c r="CO33" s="115"/>
      <c r="CP33" s="115"/>
      <c r="CQ33" s="115"/>
      <c r="CR33" s="115"/>
      <c r="CS33" s="114"/>
    </row>
    <row r="34" spans="1:97" ht="16.5">
      <c r="A34" s="116"/>
      <c r="B34" s="40"/>
      <c r="C34" s="92"/>
      <c r="D34" s="92"/>
      <c r="E34" s="92"/>
      <c r="F34" s="110"/>
      <c r="G34" s="92"/>
      <c r="H34" s="92"/>
      <c r="I34" s="92"/>
      <c r="J34" s="92"/>
      <c r="K34" s="92"/>
      <c r="L34" s="92"/>
      <c r="M34" s="111"/>
      <c r="N34" s="112"/>
      <c r="O34" s="92"/>
      <c r="P34" s="112"/>
      <c r="Q34" s="113"/>
      <c r="R34" s="112"/>
      <c r="S34" s="112"/>
      <c r="T34" s="112"/>
      <c r="U34" s="113"/>
      <c r="V34" s="112"/>
      <c r="W34" s="112"/>
      <c r="X34" s="112"/>
      <c r="Y34" s="113"/>
      <c r="Z34" s="113"/>
      <c r="AA34" s="113"/>
      <c r="AB34" s="113"/>
      <c r="AC34" s="113"/>
      <c r="AD34" s="113"/>
      <c r="AE34" s="113"/>
      <c r="AF34" s="113"/>
      <c r="AG34" s="113"/>
      <c r="AH34" s="113"/>
      <c r="AI34" s="113"/>
      <c r="AJ34" s="113"/>
      <c r="AK34" s="113"/>
      <c r="AL34" s="113"/>
      <c r="AM34" s="113"/>
      <c r="AN34" s="113"/>
      <c r="AO34" s="113"/>
      <c r="AP34" s="113"/>
      <c r="AQ34" s="113"/>
      <c r="AR34" s="113"/>
      <c r="AS34" s="92"/>
      <c r="AT34" s="92"/>
      <c r="AU34" s="113"/>
      <c r="AV34" s="113"/>
      <c r="AW34" s="113"/>
      <c r="AX34" s="113"/>
      <c r="AY34" s="113"/>
      <c r="AZ34" s="113"/>
      <c r="BA34" s="113"/>
      <c r="BB34" s="92"/>
      <c r="BC34" s="112"/>
      <c r="BD34" s="92"/>
      <c r="BE34" s="112"/>
      <c r="BF34" s="92"/>
      <c r="BG34" s="92"/>
      <c r="BH34" s="92"/>
      <c r="BI34" s="92"/>
      <c r="BJ34" s="93"/>
      <c r="BK34" s="93"/>
      <c r="BL34" s="92"/>
      <c r="BM34" s="92"/>
      <c r="BN34" s="92"/>
      <c r="BO34" s="93"/>
      <c r="BP34" s="93"/>
      <c r="BQ34" s="92"/>
      <c r="BR34" s="92"/>
      <c r="BS34" s="93"/>
      <c r="BT34" s="93"/>
      <c r="BU34" s="92"/>
      <c r="BV34" s="93"/>
      <c r="BW34" s="92"/>
      <c r="BX34" s="92"/>
      <c r="BY34" s="92"/>
      <c r="BZ34" s="92"/>
      <c r="CA34" s="92"/>
      <c r="CB34" s="92"/>
      <c r="CC34" s="92"/>
      <c r="CD34" s="93"/>
      <c r="CE34" s="93"/>
      <c r="CF34" s="92"/>
      <c r="CG34" s="93"/>
      <c r="CH34" s="92"/>
      <c r="CI34" s="92"/>
      <c r="CJ34" s="92"/>
      <c r="CK34" s="92"/>
      <c r="CL34" s="92"/>
      <c r="CM34" s="114"/>
      <c r="CN34" s="114"/>
      <c r="CO34" s="115"/>
      <c r="CP34" s="115"/>
      <c r="CQ34" s="115"/>
      <c r="CR34" s="115"/>
      <c r="CS34" s="114"/>
    </row>
    <row r="35" spans="1:97" ht="16.5">
      <c r="A35" s="116"/>
      <c r="B35" s="40"/>
      <c r="C35" s="92"/>
      <c r="D35" s="92"/>
      <c r="E35" s="92"/>
      <c r="F35" s="110"/>
      <c r="G35" s="92"/>
      <c r="H35" s="92"/>
      <c r="I35" s="92"/>
      <c r="J35" s="92"/>
      <c r="K35" s="92"/>
      <c r="L35" s="92"/>
      <c r="M35" s="111"/>
      <c r="N35" s="112"/>
      <c r="O35" s="92"/>
      <c r="P35" s="112"/>
      <c r="Q35" s="113"/>
      <c r="R35" s="112"/>
      <c r="S35" s="112"/>
      <c r="T35" s="112"/>
      <c r="U35" s="113"/>
      <c r="V35" s="112"/>
      <c r="W35" s="112"/>
      <c r="X35" s="112"/>
      <c r="Y35" s="113"/>
      <c r="Z35" s="113"/>
      <c r="AA35" s="113"/>
      <c r="AB35" s="113"/>
      <c r="AC35" s="113"/>
      <c r="AD35" s="113"/>
      <c r="AE35" s="113"/>
      <c r="AF35" s="113"/>
      <c r="AG35" s="113"/>
      <c r="AH35" s="113"/>
      <c r="AI35" s="113"/>
      <c r="AJ35" s="113"/>
      <c r="AK35" s="113"/>
      <c r="AL35" s="113"/>
      <c r="AM35" s="113"/>
      <c r="AN35" s="113"/>
      <c r="AO35" s="113"/>
      <c r="AP35" s="113"/>
      <c r="AQ35" s="113"/>
      <c r="AR35" s="113"/>
      <c r="AS35" s="92"/>
      <c r="AT35" s="92"/>
      <c r="AU35" s="113"/>
      <c r="AV35" s="113"/>
      <c r="AW35" s="113"/>
      <c r="AX35" s="113"/>
      <c r="AY35" s="113"/>
      <c r="AZ35" s="113"/>
      <c r="BA35" s="113"/>
      <c r="BB35" s="92"/>
      <c r="BC35" s="112"/>
      <c r="BD35" s="92"/>
      <c r="BE35" s="112"/>
      <c r="BF35" s="92"/>
      <c r="BG35" s="92"/>
      <c r="BH35" s="92"/>
      <c r="BI35" s="92"/>
      <c r="BJ35" s="93"/>
      <c r="BK35" s="93"/>
      <c r="BL35" s="92"/>
      <c r="BM35" s="92"/>
      <c r="BN35" s="92"/>
      <c r="BO35" s="93"/>
      <c r="BP35" s="93"/>
      <c r="BQ35" s="92"/>
      <c r="BR35" s="92"/>
      <c r="BS35" s="93"/>
      <c r="BT35" s="93"/>
      <c r="BU35" s="92"/>
      <c r="BV35" s="93"/>
      <c r="BW35" s="92"/>
      <c r="BX35" s="92"/>
      <c r="BY35" s="92"/>
      <c r="BZ35" s="92"/>
      <c r="CA35" s="92"/>
      <c r="CB35" s="92"/>
      <c r="CC35" s="92"/>
      <c r="CD35" s="93"/>
      <c r="CE35" s="93"/>
      <c r="CF35" s="92"/>
      <c r="CG35" s="93"/>
      <c r="CH35" s="92"/>
      <c r="CI35" s="92"/>
      <c r="CJ35" s="92"/>
      <c r="CK35" s="92"/>
      <c r="CL35" s="92"/>
      <c r="CM35" s="114"/>
      <c r="CN35" s="114"/>
      <c r="CO35" s="115"/>
      <c r="CP35" s="115"/>
      <c r="CQ35" s="115"/>
      <c r="CR35" s="115"/>
      <c r="CS35" s="114"/>
    </row>
    <row r="36" spans="1:97" ht="16.5">
      <c r="A36" s="116"/>
      <c r="B36" s="40"/>
      <c r="C36" s="92"/>
      <c r="D36" s="92"/>
      <c r="E36" s="92"/>
      <c r="F36" s="110"/>
      <c r="G36" s="92"/>
      <c r="H36" s="92"/>
      <c r="I36" s="92"/>
      <c r="J36" s="92"/>
      <c r="K36" s="92"/>
      <c r="L36" s="92"/>
      <c r="M36" s="111"/>
      <c r="N36" s="112"/>
      <c r="O36" s="92"/>
      <c r="P36" s="112"/>
      <c r="Q36" s="113"/>
      <c r="R36" s="112"/>
      <c r="S36" s="112"/>
      <c r="T36" s="112"/>
      <c r="U36" s="113"/>
      <c r="V36" s="112"/>
      <c r="W36" s="112"/>
      <c r="X36" s="112"/>
      <c r="Y36" s="113"/>
      <c r="Z36" s="113"/>
      <c r="AA36" s="113"/>
      <c r="AB36" s="113"/>
      <c r="AC36" s="113"/>
      <c r="AD36" s="113"/>
      <c r="AE36" s="113"/>
      <c r="AF36" s="113"/>
      <c r="AG36" s="113"/>
      <c r="AH36" s="113"/>
      <c r="AI36" s="113"/>
      <c r="AJ36" s="113"/>
      <c r="AK36" s="113"/>
      <c r="AL36" s="113"/>
      <c r="AM36" s="113"/>
      <c r="AN36" s="113"/>
      <c r="AO36" s="113"/>
      <c r="AP36" s="113"/>
      <c r="AQ36" s="113"/>
      <c r="AR36" s="113"/>
      <c r="AS36" s="92"/>
      <c r="AT36" s="92"/>
      <c r="AU36" s="113"/>
      <c r="AV36" s="113"/>
      <c r="AW36" s="113"/>
      <c r="AX36" s="113"/>
      <c r="AY36" s="113"/>
      <c r="AZ36" s="113"/>
      <c r="BA36" s="113"/>
      <c r="BB36" s="92"/>
      <c r="BC36" s="112"/>
      <c r="BD36" s="92"/>
      <c r="BE36" s="112"/>
      <c r="BF36" s="92"/>
      <c r="BG36" s="92"/>
      <c r="BH36" s="92"/>
      <c r="BI36" s="92"/>
      <c r="BJ36" s="93"/>
      <c r="BK36" s="93"/>
      <c r="BL36" s="92"/>
      <c r="BM36" s="92"/>
      <c r="BN36" s="92"/>
      <c r="BO36" s="93"/>
      <c r="BP36" s="93"/>
      <c r="BQ36" s="92"/>
      <c r="BR36" s="92"/>
      <c r="BS36" s="93"/>
      <c r="BT36" s="93"/>
      <c r="BU36" s="92"/>
      <c r="BV36" s="93"/>
      <c r="BW36" s="92"/>
      <c r="BX36" s="92"/>
      <c r="BY36" s="92"/>
      <c r="BZ36" s="92"/>
      <c r="CA36" s="92"/>
      <c r="CB36" s="92"/>
      <c r="CC36" s="92"/>
      <c r="CD36" s="93"/>
      <c r="CE36" s="93"/>
      <c r="CF36" s="92"/>
      <c r="CG36" s="93"/>
      <c r="CH36" s="92"/>
      <c r="CI36" s="92"/>
      <c r="CJ36" s="92"/>
      <c r="CK36" s="92"/>
      <c r="CL36" s="92"/>
      <c r="CM36" s="114"/>
      <c r="CN36" s="114"/>
      <c r="CO36" s="115"/>
      <c r="CP36" s="115"/>
      <c r="CQ36" s="115"/>
      <c r="CR36" s="115"/>
      <c r="CS36" s="114"/>
    </row>
    <row r="37" spans="1:97" ht="16.5">
      <c r="A37" s="116"/>
      <c r="B37" s="40"/>
      <c r="C37" s="92"/>
      <c r="D37" s="92"/>
      <c r="E37" s="92"/>
      <c r="F37" s="110"/>
      <c r="G37" s="92"/>
      <c r="H37" s="92"/>
      <c r="I37" s="92"/>
      <c r="J37" s="92"/>
      <c r="K37" s="92"/>
      <c r="L37" s="92"/>
      <c r="M37" s="111"/>
      <c r="N37" s="112"/>
      <c r="O37" s="92"/>
      <c r="P37" s="112"/>
      <c r="Q37" s="113"/>
      <c r="R37" s="112"/>
      <c r="S37" s="112"/>
      <c r="T37" s="112"/>
      <c r="U37" s="113"/>
      <c r="V37" s="112"/>
      <c r="W37" s="112"/>
      <c r="X37" s="112"/>
      <c r="Y37" s="113"/>
      <c r="Z37" s="113"/>
      <c r="AA37" s="113"/>
      <c r="AB37" s="113"/>
      <c r="AC37" s="113"/>
      <c r="AD37" s="113"/>
      <c r="AE37" s="113"/>
      <c r="AF37" s="113"/>
      <c r="AG37" s="113"/>
      <c r="AH37" s="113"/>
      <c r="AI37" s="113"/>
      <c r="AJ37" s="113"/>
      <c r="AK37" s="113"/>
      <c r="AL37" s="113"/>
      <c r="AM37" s="113"/>
      <c r="AN37" s="113"/>
      <c r="AO37" s="113"/>
      <c r="AP37" s="113"/>
      <c r="AQ37" s="113"/>
      <c r="AR37" s="113"/>
      <c r="AS37" s="92"/>
      <c r="AT37" s="92"/>
      <c r="AU37" s="113"/>
      <c r="AV37" s="113"/>
      <c r="AW37" s="113"/>
      <c r="AX37" s="113"/>
      <c r="AY37" s="113"/>
      <c r="AZ37" s="113"/>
      <c r="BA37" s="113"/>
      <c r="BB37" s="92"/>
      <c r="BC37" s="112"/>
      <c r="BD37" s="92"/>
      <c r="BE37" s="112"/>
      <c r="BF37" s="92"/>
      <c r="BG37" s="92"/>
      <c r="BH37" s="92"/>
      <c r="BI37" s="92"/>
      <c r="BJ37" s="93"/>
      <c r="BK37" s="93"/>
      <c r="BL37" s="92"/>
      <c r="BM37" s="92"/>
      <c r="BN37" s="92"/>
      <c r="BO37" s="93"/>
      <c r="BP37" s="93"/>
      <c r="BQ37" s="92"/>
      <c r="BR37" s="92"/>
      <c r="BS37" s="93"/>
      <c r="BT37" s="93"/>
      <c r="BU37" s="92"/>
      <c r="BV37" s="93"/>
      <c r="BW37" s="92"/>
      <c r="BX37" s="92"/>
      <c r="BY37" s="92"/>
      <c r="BZ37" s="92"/>
      <c r="CA37" s="92"/>
      <c r="CB37" s="92"/>
      <c r="CC37" s="92"/>
      <c r="CD37" s="93"/>
      <c r="CE37" s="93"/>
      <c r="CF37" s="92"/>
      <c r="CG37" s="93"/>
      <c r="CH37" s="92"/>
      <c r="CI37" s="92"/>
      <c r="CJ37" s="92"/>
      <c r="CK37" s="92"/>
      <c r="CL37" s="92"/>
      <c r="CM37" s="114"/>
      <c r="CN37" s="114"/>
      <c r="CO37" s="115"/>
      <c r="CP37" s="115"/>
      <c r="CQ37" s="115"/>
      <c r="CR37" s="115"/>
      <c r="CS37" s="114"/>
    </row>
    <row r="38" spans="1:97" ht="16.5">
      <c r="A38" s="116"/>
      <c r="B38" s="40"/>
      <c r="C38" s="92"/>
      <c r="D38" s="92"/>
      <c r="E38" s="92"/>
      <c r="F38" s="110"/>
      <c r="G38" s="92"/>
      <c r="H38" s="92"/>
      <c r="I38" s="92"/>
      <c r="J38" s="92"/>
      <c r="K38" s="92"/>
      <c r="L38" s="92"/>
      <c r="M38" s="111"/>
      <c r="N38" s="112"/>
      <c r="O38" s="92"/>
      <c r="P38" s="112"/>
      <c r="Q38" s="113"/>
      <c r="R38" s="112"/>
      <c r="S38" s="112"/>
      <c r="T38" s="112"/>
      <c r="U38" s="113"/>
      <c r="V38" s="112"/>
      <c r="W38" s="112"/>
      <c r="X38" s="112"/>
      <c r="Y38" s="113"/>
      <c r="Z38" s="113"/>
      <c r="AA38" s="113"/>
      <c r="AB38" s="113"/>
      <c r="AC38" s="113"/>
      <c r="AD38" s="113"/>
      <c r="AE38" s="113"/>
      <c r="AF38" s="113"/>
      <c r="AG38" s="113"/>
      <c r="AH38" s="113"/>
      <c r="AI38" s="113"/>
      <c r="AJ38" s="113"/>
      <c r="AK38" s="113"/>
      <c r="AL38" s="113"/>
      <c r="AM38" s="113"/>
      <c r="AN38" s="113"/>
      <c r="AO38" s="113"/>
      <c r="AP38" s="113"/>
      <c r="AQ38" s="113"/>
      <c r="AR38" s="113"/>
      <c r="AS38" s="92"/>
      <c r="AT38" s="92"/>
      <c r="AU38" s="113"/>
      <c r="AV38" s="113"/>
      <c r="AW38" s="113"/>
      <c r="AX38" s="113"/>
      <c r="AY38" s="113"/>
      <c r="AZ38" s="113"/>
      <c r="BA38" s="113"/>
      <c r="BB38" s="92"/>
      <c r="BC38" s="112"/>
      <c r="BD38" s="92"/>
      <c r="BE38" s="112"/>
      <c r="BF38" s="92"/>
      <c r="BG38" s="92"/>
      <c r="BH38" s="92"/>
      <c r="BI38" s="92"/>
      <c r="BJ38" s="93"/>
      <c r="BK38" s="93"/>
      <c r="BL38" s="92"/>
      <c r="BM38" s="92"/>
      <c r="BN38" s="92"/>
      <c r="BO38" s="93"/>
      <c r="BP38" s="93"/>
      <c r="BQ38" s="92"/>
      <c r="BR38" s="92"/>
      <c r="BS38" s="93"/>
      <c r="BT38" s="93"/>
      <c r="BU38" s="92"/>
      <c r="BV38" s="93"/>
      <c r="BW38" s="92"/>
      <c r="BX38" s="92"/>
      <c r="BY38" s="92"/>
      <c r="BZ38" s="92"/>
      <c r="CA38" s="92"/>
      <c r="CB38" s="92"/>
      <c r="CC38" s="92"/>
      <c r="CD38" s="93"/>
      <c r="CE38" s="93"/>
      <c r="CF38" s="92"/>
      <c r="CG38" s="93"/>
      <c r="CH38" s="92"/>
      <c r="CI38" s="92"/>
      <c r="CJ38" s="92"/>
      <c r="CK38" s="92"/>
      <c r="CL38" s="92"/>
      <c r="CM38" s="114"/>
      <c r="CN38" s="114"/>
      <c r="CO38" s="115"/>
      <c r="CP38" s="115"/>
      <c r="CQ38" s="115"/>
      <c r="CR38" s="115"/>
      <c r="CS38" s="114"/>
    </row>
    <row r="39" spans="1:97" ht="16.5">
      <c r="A39" s="116"/>
      <c r="B39" s="40"/>
      <c r="C39" s="92"/>
      <c r="D39" s="92"/>
      <c r="E39" s="92"/>
      <c r="F39" s="110"/>
      <c r="G39" s="92"/>
      <c r="H39" s="92"/>
      <c r="I39" s="92"/>
      <c r="J39" s="92"/>
      <c r="K39" s="92"/>
      <c r="L39" s="92"/>
      <c r="M39" s="111"/>
      <c r="N39" s="112"/>
      <c r="O39" s="92"/>
      <c r="P39" s="112"/>
      <c r="Q39" s="113"/>
      <c r="R39" s="112"/>
      <c r="S39" s="112"/>
      <c r="T39" s="112"/>
      <c r="U39" s="113"/>
      <c r="V39" s="112"/>
      <c r="W39" s="112"/>
      <c r="X39" s="112"/>
      <c r="Y39" s="113"/>
      <c r="Z39" s="113"/>
      <c r="AA39" s="113"/>
      <c r="AB39" s="113"/>
      <c r="AC39" s="113"/>
      <c r="AD39" s="113"/>
      <c r="AE39" s="113"/>
      <c r="AF39" s="113"/>
      <c r="AG39" s="113"/>
      <c r="AH39" s="113"/>
      <c r="AI39" s="113"/>
      <c r="AJ39" s="113"/>
      <c r="AK39" s="113"/>
      <c r="AL39" s="113"/>
      <c r="AM39" s="113"/>
      <c r="AN39" s="113"/>
      <c r="AO39" s="113"/>
      <c r="AP39" s="113"/>
      <c r="AQ39" s="113"/>
      <c r="AR39" s="113"/>
      <c r="AS39" s="92"/>
      <c r="AT39" s="92"/>
      <c r="AU39" s="113"/>
      <c r="AV39" s="113"/>
      <c r="AW39" s="113"/>
      <c r="AX39" s="113"/>
      <c r="AY39" s="113"/>
      <c r="AZ39" s="113"/>
      <c r="BA39" s="113"/>
      <c r="BB39" s="92"/>
      <c r="BC39" s="112"/>
      <c r="BD39" s="92"/>
      <c r="BE39" s="112"/>
      <c r="BF39" s="92"/>
      <c r="BG39" s="92"/>
      <c r="BH39" s="92"/>
      <c r="BI39" s="92"/>
      <c r="BJ39" s="93"/>
      <c r="BK39" s="93"/>
      <c r="BL39" s="92"/>
      <c r="BM39" s="92"/>
      <c r="BN39" s="92"/>
      <c r="BO39" s="93"/>
      <c r="BP39" s="93"/>
      <c r="BQ39" s="92"/>
      <c r="BR39" s="92"/>
      <c r="BS39" s="93"/>
      <c r="BT39" s="93"/>
      <c r="BU39" s="92"/>
      <c r="BV39" s="93"/>
      <c r="BW39" s="92"/>
      <c r="BX39" s="92"/>
      <c r="BY39" s="92"/>
      <c r="BZ39" s="92"/>
      <c r="CA39" s="92"/>
      <c r="CB39" s="92"/>
      <c r="CC39" s="92"/>
      <c r="CD39" s="93"/>
      <c r="CE39" s="93"/>
      <c r="CF39" s="92"/>
      <c r="CG39" s="93"/>
      <c r="CH39" s="92"/>
      <c r="CI39" s="92"/>
      <c r="CJ39" s="92"/>
      <c r="CK39" s="92"/>
      <c r="CL39" s="92"/>
      <c r="CM39" s="114"/>
      <c r="CN39" s="114"/>
      <c r="CO39" s="115"/>
      <c r="CP39" s="115"/>
      <c r="CQ39" s="115"/>
      <c r="CR39" s="115"/>
      <c r="CS39" s="114"/>
    </row>
    <row r="40" spans="1:97" ht="16.5">
      <c r="A40" s="116"/>
      <c r="B40" s="40"/>
      <c r="C40" s="92"/>
      <c r="D40" s="92"/>
      <c r="E40" s="92"/>
      <c r="F40" s="110"/>
      <c r="G40" s="92"/>
      <c r="H40" s="92"/>
      <c r="I40" s="92"/>
      <c r="J40" s="92"/>
      <c r="K40" s="92"/>
      <c r="L40" s="92"/>
      <c r="M40" s="111"/>
      <c r="N40" s="112"/>
      <c r="O40" s="92"/>
      <c r="P40" s="112"/>
      <c r="Q40" s="113"/>
      <c r="R40" s="112"/>
      <c r="S40" s="112"/>
      <c r="T40" s="112"/>
      <c r="U40" s="113"/>
      <c r="V40" s="112"/>
      <c r="W40" s="112"/>
      <c r="X40" s="112"/>
      <c r="Y40" s="113"/>
      <c r="Z40" s="113"/>
      <c r="AA40" s="113"/>
      <c r="AB40" s="113"/>
      <c r="AC40" s="113"/>
      <c r="AD40" s="113"/>
      <c r="AE40" s="113"/>
      <c r="AF40" s="113"/>
      <c r="AG40" s="113"/>
      <c r="AH40" s="113"/>
      <c r="AI40" s="113"/>
      <c r="AJ40" s="113"/>
      <c r="AK40" s="113"/>
      <c r="AL40" s="113"/>
      <c r="AM40" s="113"/>
      <c r="AN40" s="113"/>
      <c r="AO40" s="113"/>
      <c r="AP40" s="113"/>
      <c r="AQ40" s="113"/>
      <c r="AR40" s="113"/>
      <c r="AS40" s="92"/>
      <c r="AT40" s="92"/>
      <c r="AU40" s="113"/>
      <c r="AV40" s="113"/>
      <c r="AW40" s="113"/>
      <c r="AX40" s="113"/>
      <c r="AY40" s="113"/>
      <c r="AZ40" s="113"/>
      <c r="BA40" s="113"/>
      <c r="BB40" s="92"/>
      <c r="BC40" s="112"/>
      <c r="BD40" s="92"/>
      <c r="BE40" s="112"/>
      <c r="BF40" s="92"/>
      <c r="BG40" s="92"/>
      <c r="BH40" s="92"/>
      <c r="BI40" s="92"/>
      <c r="BJ40" s="93"/>
      <c r="BK40" s="93"/>
      <c r="BL40" s="92"/>
      <c r="BM40" s="92"/>
      <c r="BN40" s="92"/>
      <c r="BO40" s="93"/>
      <c r="BP40" s="93"/>
      <c r="BQ40" s="92"/>
      <c r="BR40" s="92"/>
      <c r="BS40" s="93"/>
      <c r="BT40" s="93"/>
      <c r="BU40" s="92"/>
      <c r="BV40" s="93"/>
      <c r="BW40" s="92"/>
      <c r="BX40" s="92"/>
      <c r="BY40" s="92"/>
      <c r="BZ40" s="92"/>
      <c r="CA40" s="92"/>
      <c r="CB40" s="92"/>
      <c r="CC40" s="92"/>
      <c r="CD40" s="93"/>
      <c r="CE40" s="93"/>
      <c r="CF40" s="92"/>
      <c r="CG40" s="93"/>
      <c r="CH40" s="92"/>
      <c r="CI40" s="92"/>
      <c r="CJ40" s="92"/>
      <c r="CK40" s="92"/>
      <c r="CL40" s="92"/>
      <c r="CM40" s="114"/>
      <c r="CN40" s="114"/>
      <c r="CO40" s="115"/>
      <c r="CP40" s="115"/>
      <c r="CQ40" s="115"/>
      <c r="CR40" s="115"/>
      <c r="CS40" s="114"/>
    </row>
    <row r="41" spans="1:97" ht="16.5">
      <c r="A41" s="116"/>
      <c r="B41" s="40"/>
      <c r="C41" s="92"/>
      <c r="D41" s="92"/>
      <c r="E41" s="92"/>
      <c r="F41" s="110"/>
      <c r="G41" s="92"/>
      <c r="H41" s="92"/>
      <c r="I41" s="92"/>
      <c r="J41" s="92"/>
      <c r="K41" s="92"/>
      <c r="L41" s="92"/>
      <c r="M41" s="111"/>
      <c r="N41" s="112"/>
      <c r="O41" s="92"/>
      <c r="P41" s="112"/>
      <c r="Q41" s="113"/>
      <c r="R41" s="112"/>
      <c r="S41" s="112"/>
      <c r="T41" s="112"/>
      <c r="U41" s="113"/>
      <c r="V41" s="112"/>
      <c r="W41" s="112"/>
      <c r="X41" s="112"/>
      <c r="Y41" s="113"/>
      <c r="Z41" s="113"/>
      <c r="AA41" s="113"/>
      <c r="AB41" s="113"/>
      <c r="AC41" s="113"/>
      <c r="AD41" s="113"/>
      <c r="AE41" s="113"/>
      <c r="AF41" s="113"/>
      <c r="AG41" s="113"/>
      <c r="AH41" s="113"/>
      <c r="AI41" s="113"/>
      <c r="AJ41" s="113"/>
      <c r="AK41" s="113"/>
      <c r="AL41" s="113"/>
      <c r="AM41" s="113"/>
      <c r="AN41" s="113"/>
      <c r="AO41" s="113"/>
      <c r="AP41" s="113"/>
      <c r="AQ41" s="113"/>
      <c r="AR41" s="113"/>
      <c r="AS41" s="92"/>
      <c r="AT41" s="92"/>
      <c r="AU41" s="113"/>
      <c r="AV41" s="113"/>
      <c r="AW41" s="113"/>
      <c r="AX41" s="113"/>
      <c r="AY41" s="113"/>
      <c r="AZ41" s="113"/>
      <c r="BA41" s="113"/>
      <c r="BB41" s="92"/>
      <c r="BC41" s="112"/>
      <c r="BD41" s="92"/>
      <c r="BE41" s="112"/>
      <c r="BF41" s="92"/>
      <c r="BG41" s="92"/>
      <c r="BH41" s="92"/>
      <c r="BI41" s="92"/>
      <c r="BJ41" s="93"/>
      <c r="BK41" s="93"/>
      <c r="BL41" s="92"/>
      <c r="BM41" s="92"/>
      <c r="BN41" s="92"/>
      <c r="BO41" s="93"/>
      <c r="BP41" s="93"/>
      <c r="BQ41" s="92"/>
      <c r="BR41" s="92"/>
      <c r="BS41" s="93"/>
      <c r="BT41" s="93"/>
      <c r="BU41" s="92"/>
      <c r="BV41" s="93"/>
      <c r="BW41" s="92"/>
      <c r="BX41" s="92"/>
      <c r="BY41" s="92"/>
      <c r="BZ41" s="92"/>
      <c r="CA41" s="92"/>
      <c r="CB41" s="92"/>
      <c r="CC41" s="92"/>
      <c r="CD41" s="93"/>
      <c r="CE41" s="93"/>
      <c r="CF41" s="92"/>
      <c r="CG41" s="93"/>
      <c r="CH41" s="92"/>
      <c r="CI41" s="92"/>
      <c r="CJ41" s="92"/>
      <c r="CK41" s="92"/>
      <c r="CL41" s="92"/>
      <c r="CM41" s="114"/>
      <c r="CN41" s="114"/>
      <c r="CO41" s="115"/>
      <c r="CP41" s="115"/>
      <c r="CQ41" s="115"/>
      <c r="CR41" s="115"/>
      <c r="CS41" s="114"/>
    </row>
    <row r="42" spans="1:97" ht="16.5">
      <c r="A42" s="116"/>
      <c r="B42" s="40"/>
      <c r="C42" s="92"/>
      <c r="D42" s="92"/>
      <c r="E42" s="92"/>
      <c r="F42" s="110"/>
      <c r="G42" s="92"/>
      <c r="H42" s="92"/>
      <c r="I42" s="92"/>
      <c r="J42" s="92"/>
      <c r="K42" s="92"/>
      <c r="L42" s="92"/>
      <c r="M42" s="111"/>
      <c r="N42" s="112"/>
      <c r="O42" s="92"/>
      <c r="P42" s="112"/>
      <c r="Q42" s="113"/>
      <c r="R42" s="112"/>
      <c r="S42" s="112"/>
      <c r="T42" s="112"/>
      <c r="U42" s="113"/>
      <c r="V42" s="112"/>
      <c r="W42" s="112"/>
      <c r="X42" s="112"/>
      <c r="Y42" s="113"/>
      <c r="Z42" s="113"/>
      <c r="AA42" s="113"/>
      <c r="AB42" s="113"/>
      <c r="AC42" s="113"/>
      <c r="AD42" s="113"/>
      <c r="AE42" s="113"/>
      <c r="AF42" s="113"/>
      <c r="AG42" s="113"/>
      <c r="AH42" s="113"/>
      <c r="AI42" s="113"/>
      <c r="AJ42" s="113"/>
      <c r="AK42" s="113"/>
      <c r="AL42" s="113"/>
      <c r="AM42" s="113"/>
      <c r="AN42" s="113"/>
      <c r="AO42" s="113"/>
      <c r="AP42" s="113"/>
      <c r="AQ42" s="113"/>
      <c r="AR42" s="113"/>
      <c r="AS42" s="92"/>
      <c r="AT42" s="92"/>
      <c r="AU42" s="113"/>
      <c r="AV42" s="113"/>
      <c r="AW42" s="113"/>
      <c r="AX42" s="113"/>
      <c r="AY42" s="113"/>
      <c r="AZ42" s="113"/>
      <c r="BA42" s="113"/>
      <c r="BB42" s="92"/>
      <c r="BC42" s="112"/>
      <c r="BD42" s="92"/>
      <c r="BE42" s="112"/>
      <c r="BF42" s="92"/>
      <c r="BG42" s="92"/>
      <c r="BH42" s="92"/>
      <c r="BI42" s="92"/>
      <c r="BJ42" s="93"/>
      <c r="BK42" s="93"/>
      <c r="BL42" s="92"/>
      <c r="BM42" s="92"/>
      <c r="BN42" s="92"/>
      <c r="BO42" s="93"/>
      <c r="BP42" s="93"/>
      <c r="BQ42" s="92"/>
      <c r="BR42" s="92"/>
      <c r="BS42" s="93"/>
      <c r="BT42" s="93"/>
      <c r="BU42" s="92"/>
      <c r="BV42" s="93"/>
      <c r="BW42" s="92"/>
      <c r="BX42" s="92"/>
      <c r="BY42" s="92"/>
      <c r="BZ42" s="92"/>
      <c r="CA42" s="92"/>
      <c r="CB42" s="92"/>
      <c r="CC42" s="92"/>
      <c r="CD42" s="93"/>
      <c r="CE42" s="93"/>
      <c r="CF42" s="92"/>
      <c r="CG42" s="93"/>
      <c r="CH42" s="92"/>
      <c r="CI42" s="92"/>
      <c r="CJ42" s="92"/>
      <c r="CK42" s="92"/>
      <c r="CL42" s="92"/>
      <c r="CM42" s="114"/>
      <c r="CN42" s="114"/>
      <c r="CO42" s="115"/>
      <c r="CP42" s="115"/>
      <c r="CQ42" s="115"/>
      <c r="CR42" s="115"/>
      <c r="CS42" s="114"/>
    </row>
    <row r="43" spans="1:97" ht="16.5">
      <c r="A43" s="116"/>
      <c r="B43" s="40"/>
      <c r="C43" s="92"/>
      <c r="D43" s="92"/>
      <c r="E43" s="92"/>
      <c r="F43" s="110"/>
      <c r="G43" s="92"/>
      <c r="H43" s="92"/>
      <c r="I43" s="92"/>
      <c r="J43" s="92"/>
      <c r="K43" s="92"/>
      <c r="L43" s="92"/>
      <c r="M43" s="111"/>
      <c r="N43" s="112"/>
      <c r="O43" s="92"/>
      <c r="P43" s="112"/>
      <c r="Q43" s="113"/>
      <c r="R43" s="112"/>
      <c r="S43" s="112"/>
      <c r="T43" s="112"/>
      <c r="U43" s="113"/>
      <c r="V43" s="112"/>
      <c r="W43" s="112"/>
      <c r="X43" s="112"/>
      <c r="Y43" s="113"/>
      <c r="Z43" s="113"/>
      <c r="AA43" s="113"/>
      <c r="AB43" s="113"/>
      <c r="AC43" s="113"/>
      <c r="AD43" s="113"/>
      <c r="AE43" s="113"/>
      <c r="AF43" s="113"/>
      <c r="AG43" s="113"/>
      <c r="AH43" s="113"/>
      <c r="AI43" s="113"/>
      <c r="AJ43" s="113"/>
      <c r="AK43" s="113"/>
      <c r="AL43" s="113"/>
      <c r="AM43" s="113"/>
      <c r="AN43" s="113"/>
      <c r="AO43" s="113"/>
      <c r="AP43" s="113"/>
      <c r="AQ43" s="113"/>
      <c r="AR43" s="113"/>
      <c r="AS43" s="92"/>
      <c r="AT43" s="92"/>
      <c r="AU43" s="113"/>
      <c r="AV43" s="113"/>
      <c r="AW43" s="113"/>
      <c r="AX43" s="113"/>
      <c r="AY43" s="113"/>
      <c r="AZ43" s="113"/>
      <c r="BA43" s="113"/>
      <c r="BB43" s="92"/>
      <c r="BC43" s="112"/>
      <c r="BD43" s="92"/>
      <c r="BE43" s="112"/>
      <c r="BF43" s="92"/>
      <c r="BG43" s="92"/>
      <c r="BH43" s="92"/>
      <c r="BI43" s="92"/>
      <c r="BJ43" s="93"/>
      <c r="BK43" s="93"/>
      <c r="BL43" s="92"/>
      <c r="BM43" s="92"/>
      <c r="BN43" s="92"/>
      <c r="BO43" s="93"/>
      <c r="BP43" s="93"/>
      <c r="BQ43" s="92"/>
      <c r="BR43" s="92"/>
      <c r="BS43" s="93"/>
      <c r="BT43" s="93"/>
      <c r="BU43" s="92"/>
      <c r="BV43" s="93"/>
      <c r="BW43" s="92"/>
      <c r="BX43" s="92"/>
      <c r="BY43" s="92"/>
      <c r="BZ43" s="92"/>
      <c r="CA43" s="92"/>
      <c r="CB43" s="92"/>
      <c r="CC43" s="92"/>
      <c r="CD43" s="93"/>
      <c r="CE43" s="93"/>
      <c r="CF43" s="92"/>
      <c r="CG43" s="93"/>
      <c r="CH43" s="92"/>
      <c r="CI43" s="92"/>
      <c r="CJ43" s="92"/>
      <c r="CK43" s="92"/>
      <c r="CL43" s="92"/>
      <c r="CM43" s="114"/>
      <c r="CN43" s="114"/>
      <c r="CO43" s="115"/>
      <c r="CP43" s="115"/>
      <c r="CQ43" s="115"/>
      <c r="CR43" s="115"/>
      <c r="CS43" s="114"/>
    </row>
    <row r="44" spans="1:97" ht="16.5">
      <c r="A44" s="116"/>
      <c r="B44" s="40"/>
      <c r="C44" s="92"/>
      <c r="D44" s="92"/>
      <c r="E44" s="92"/>
      <c r="F44" s="110"/>
      <c r="G44" s="92"/>
      <c r="H44" s="92"/>
      <c r="I44" s="92"/>
      <c r="J44" s="92"/>
      <c r="K44" s="92"/>
      <c r="L44" s="92"/>
      <c r="M44" s="111"/>
      <c r="N44" s="112"/>
      <c r="O44" s="92"/>
      <c r="P44" s="112"/>
      <c r="Q44" s="113"/>
      <c r="R44" s="112"/>
      <c r="S44" s="112"/>
      <c r="T44" s="112"/>
      <c r="U44" s="113"/>
      <c r="V44" s="112"/>
      <c r="W44" s="112"/>
      <c r="X44" s="112"/>
      <c r="Y44" s="113"/>
      <c r="Z44" s="113"/>
      <c r="AA44" s="113"/>
      <c r="AB44" s="113"/>
      <c r="AC44" s="113"/>
      <c r="AD44" s="113"/>
      <c r="AE44" s="113"/>
      <c r="AF44" s="113"/>
      <c r="AG44" s="113"/>
      <c r="AH44" s="113"/>
      <c r="AI44" s="113"/>
      <c r="AJ44" s="113"/>
      <c r="AK44" s="113"/>
      <c r="AL44" s="113"/>
      <c r="AM44" s="113"/>
      <c r="AN44" s="113"/>
      <c r="AO44" s="113"/>
      <c r="AP44" s="113"/>
      <c r="AQ44" s="113"/>
      <c r="AR44" s="113"/>
      <c r="AS44" s="92"/>
      <c r="AT44" s="92"/>
      <c r="AU44" s="113"/>
      <c r="AV44" s="113"/>
      <c r="AW44" s="113"/>
      <c r="AX44" s="113"/>
      <c r="AY44" s="113"/>
      <c r="AZ44" s="113"/>
      <c r="BA44" s="113"/>
      <c r="BB44" s="92"/>
      <c r="BC44" s="112"/>
      <c r="BD44" s="92"/>
      <c r="BE44" s="112"/>
      <c r="BF44" s="92"/>
      <c r="BG44" s="92"/>
      <c r="BH44" s="92"/>
      <c r="BI44" s="92"/>
      <c r="BJ44" s="93"/>
      <c r="BK44" s="93"/>
      <c r="BL44" s="92"/>
      <c r="BM44" s="92"/>
      <c r="BN44" s="92"/>
      <c r="BO44" s="93"/>
      <c r="BP44" s="93"/>
      <c r="BQ44" s="92"/>
      <c r="BR44" s="92"/>
      <c r="BS44" s="93"/>
      <c r="BT44" s="93"/>
      <c r="BU44" s="92"/>
      <c r="BV44" s="93"/>
      <c r="BW44" s="92"/>
      <c r="BX44" s="92"/>
      <c r="BY44" s="92"/>
      <c r="BZ44" s="92"/>
      <c r="CA44" s="92"/>
      <c r="CB44" s="92"/>
      <c r="CC44" s="92"/>
      <c r="CD44" s="93"/>
      <c r="CE44" s="93"/>
      <c r="CF44" s="92"/>
      <c r="CG44" s="93"/>
      <c r="CH44" s="92"/>
      <c r="CI44" s="92"/>
      <c r="CJ44" s="92"/>
      <c r="CK44" s="92"/>
      <c r="CL44" s="92"/>
      <c r="CM44" s="114"/>
      <c r="CN44" s="114"/>
      <c r="CO44" s="115"/>
      <c r="CP44" s="115"/>
      <c r="CQ44" s="115"/>
      <c r="CR44" s="115"/>
      <c r="CS44" s="114"/>
    </row>
    <row r="45" spans="1:97" ht="16.5">
      <c r="A45" s="116"/>
      <c r="B45" s="40"/>
      <c r="C45" s="92"/>
      <c r="D45" s="92"/>
      <c r="E45" s="92"/>
      <c r="F45" s="110"/>
      <c r="G45" s="92"/>
      <c r="H45" s="92"/>
      <c r="I45" s="92"/>
      <c r="J45" s="92"/>
      <c r="K45" s="92"/>
      <c r="L45" s="92"/>
      <c r="M45" s="111"/>
      <c r="N45" s="112"/>
      <c r="O45" s="92"/>
      <c r="P45" s="112"/>
      <c r="Q45" s="113"/>
      <c r="R45" s="112"/>
      <c r="S45" s="112"/>
      <c r="T45" s="112"/>
      <c r="U45" s="113"/>
      <c r="V45" s="112"/>
      <c r="W45" s="112"/>
      <c r="X45" s="112"/>
      <c r="Y45" s="113"/>
      <c r="Z45" s="113"/>
      <c r="AA45" s="113"/>
      <c r="AB45" s="113"/>
      <c r="AC45" s="113"/>
      <c r="AD45" s="113"/>
      <c r="AE45" s="113"/>
      <c r="AF45" s="113"/>
      <c r="AG45" s="113"/>
      <c r="AH45" s="113"/>
      <c r="AI45" s="113"/>
      <c r="AJ45" s="113"/>
      <c r="AK45" s="113"/>
      <c r="AL45" s="113"/>
      <c r="AM45" s="113"/>
      <c r="AN45" s="113"/>
      <c r="AO45" s="113"/>
      <c r="AP45" s="113"/>
      <c r="AQ45" s="113"/>
      <c r="AR45" s="113"/>
      <c r="AS45" s="92"/>
      <c r="AT45" s="92"/>
      <c r="AU45" s="113"/>
      <c r="AV45" s="113"/>
      <c r="AW45" s="113"/>
      <c r="AX45" s="113"/>
      <c r="AY45" s="113"/>
      <c r="AZ45" s="113"/>
      <c r="BA45" s="113"/>
      <c r="BB45" s="92"/>
      <c r="BC45" s="112"/>
      <c r="BD45" s="92"/>
      <c r="BE45" s="112"/>
      <c r="BF45" s="92"/>
      <c r="BG45" s="92"/>
      <c r="BH45" s="92"/>
      <c r="BI45" s="92"/>
      <c r="BJ45" s="93"/>
      <c r="BK45" s="93"/>
      <c r="BL45" s="92"/>
      <c r="BM45" s="92"/>
      <c r="BN45" s="92"/>
      <c r="BO45" s="93"/>
      <c r="BP45" s="93"/>
      <c r="BQ45" s="92"/>
      <c r="BR45" s="92"/>
      <c r="BS45" s="93"/>
      <c r="BT45" s="93"/>
      <c r="BU45" s="92"/>
      <c r="BV45" s="93"/>
      <c r="BW45" s="92"/>
      <c r="BX45" s="92"/>
      <c r="BY45" s="92"/>
      <c r="BZ45" s="92"/>
      <c r="CA45" s="92"/>
      <c r="CB45" s="92"/>
      <c r="CC45" s="92"/>
      <c r="CD45" s="93"/>
      <c r="CE45" s="93"/>
      <c r="CF45" s="92"/>
      <c r="CG45" s="93"/>
      <c r="CH45" s="92"/>
      <c r="CI45" s="92"/>
      <c r="CJ45" s="92"/>
      <c r="CK45" s="92"/>
      <c r="CL45" s="92"/>
      <c r="CM45" s="114"/>
      <c r="CN45" s="114"/>
      <c r="CO45" s="115"/>
      <c r="CP45" s="115"/>
      <c r="CQ45" s="115"/>
      <c r="CR45" s="115"/>
      <c r="CS45" s="114"/>
    </row>
    <row r="46" spans="1:97" ht="16.5">
      <c r="A46" s="116"/>
      <c r="B46" s="40"/>
      <c r="C46" s="92"/>
      <c r="D46" s="92"/>
      <c r="E46" s="92"/>
      <c r="F46" s="110"/>
      <c r="G46" s="92"/>
      <c r="H46" s="92"/>
      <c r="I46" s="92"/>
      <c r="J46" s="92"/>
      <c r="K46" s="92"/>
      <c r="L46" s="92"/>
      <c r="M46" s="111"/>
      <c r="N46" s="112"/>
      <c r="O46" s="92"/>
      <c r="P46" s="112"/>
      <c r="Q46" s="113"/>
      <c r="R46" s="112"/>
      <c r="S46" s="112"/>
      <c r="T46" s="112"/>
      <c r="U46" s="113"/>
      <c r="V46" s="112"/>
      <c r="W46" s="112"/>
      <c r="X46" s="112"/>
      <c r="Y46" s="113"/>
      <c r="Z46" s="113"/>
      <c r="AA46" s="113"/>
      <c r="AB46" s="113"/>
      <c r="AC46" s="113"/>
      <c r="AD46" s="113"/>
      <c r="AE46" s="113"/>
      <c r="AF46" s="113"/>
      <c r="AG46" s="113"/>
      <c r="AH46" s="113"/>
      <c r="AI46" s="113"/>
      <c r="AJ46" s="113"/>
      <c r="AK46" s="113"/>
      <c r="AL46" s="113"/>
      <c r="AM46" s="113"/>
      <c r="AN46" s="113"/>
      <c r="AO46" s="113"/>
      <c r="AP46" s="113"/>
      <c r="AQ46" s="113"/>
      <c r="AR46" s="113"/>
      <c r="AS46" s="92"/>
      <c r="AT46" s="92"/>
      <c r="AU46" s="113"/>
      <c r="AV46" s="113"/>
      <c r="AW46" s="113"/>
      <c r="AX46" s="113"/>
      <c r="AY46" s="113"/>
      <c r="AZ46" s="113"/>
      <c r="BA46" s="113"/>
      <c r="BB46" s="92"/>
      <c r="BC46" s="112"/>
      <c r="BD46" s="92"/>
      <c r="BE46" s="112"/>
      <c r="BF46" s="92"/>
      <c r="BG46" s="92"/>
      <c r="BH46" s="92"/>
      <c r="BI46" s="92"/>
      <c r="BJ46" s="93"/>
      <c r="BK46" s="93"/>
      <c r="BL46" s="92"/>
      <c r="BM46" s="92"/>
      <c r="BN46" s="92"/>
      <c r="BO46" s="93"/>
      <c r="BP46" s="93"/>
      <c r="BQ46" s="92"/>
      <c r="BR46" s="92"/>
      <c r="BS46" s="93"/>
      <c r="BT46" s="93"/>
      <c r="BU46" s="92"/>
      <c r="BV46" s="93"/>
      <c r="BW46" s="92"/>
      <c r="BX46" s="92"/>
      <c r="BY46" s="92"/>
      <c r="BZ46" s="92"/>
      <c r="CA46" s="92"/>
      <c r="CB46" s="92"/>
      <c r="CC46" s="92"/>
      <c r="CD46" s="93"/>
      <c r="CE46" s="93"/>
      <c r="CF46" s="92"/>
      <c r="CG46" s="93"/>
      <c r="CH46" s="92"/>
      <c r="CI46" s="92"/>
      <c r="CJ46" s="92"/>
      <c r="CK46" s="92"/>
      <c r="CL46" s="92"/>
      <c r="CM46" s="114"/>
      <c r="CN46" s="114"/>
      <c r="CO46" s="115"/>
      <c r="CP46" s="115"/>
      <c r="CQ46" s="115"/>
      <c r="CR46" s="115"/>
      <c r="CS46" s="114"/>
    </row>
    <row r="47" spans="1:97" ht="16.5">
      <c r="A47" s="116"/>
      <c r="B47" s="40"/>
      <c r="C47" s="92"/>
      <c r="D47" s="92"/>
      <c r="E47" s="92"/>
      <c r="F47" s="110"/>
      <c r="G47" s="92"/>
      <c r="H47" s="92"/>
      <c r="I47" s="92"/>
      <c r="J47" s="92"/>
      <c r="K47" s="92"/>
      <c r="L47" s="92"/>
      <c r="M47" s="111"/>
      <c r="N47" s="112"/>
      <c r="O47" s="92"/>
      <c r="P47" s="112"/>
      <c r="Q47" s="113"/>
      <c r="R47" s="112"/>
      <c r="S47" s="112"/>
      <c r="T47" s="112"/>
      <c r="U47" s="113"/>
      <c r="V47" s="112"/>
      <c r="W47" s="112"/>
      <c r="X47" s="112"/>
      <c r="Y47" s="113"/>
      <c r="Z47" s="113"/>
      <c r="AA47" s="113"/>
      <c r="AB47" s="113"/>
      <c r="AC47" s="113"/>
      <c r="AD47" s="113"/>
      <c r="AE47" s="113"/>
      <c r="AF47" s="113"/>
      <c r="AG47" s="113"/>
      <c r="AH47" s="113"/>
      <c r="AI47" s="113"/>
      <c r="AJ47" s="113"/>
      <c r="AK47" s="113"/>
      <c r="AL47" s="113"/>
      <c r="AM47" s="113"/>
      <c r="AN47" s="113"/>
      <c r="AO47" s="113"/>
      <c r="AP47" s="113"/>
      <c r="AQ47" s="113"/>
      <c r="AR47" s="113"/>
      <c r="AS47" s="92"/>
      <c r="AT47" s="92"/>
      <c r="AU47" s="113"/>
      <c r="AV47" s="113"/>
      <c r="AW47" s="113"/>
      <c r="AX47" s="113"/>
      <c r="AY47" s="113"/>
      <c r="AZ47" s="113"/>
      <c r="BA47" s="113"/>
      <c r="BB47" s="92"/>
      <c r="BC47" s="112"/>
      <c r="BD47" s="92"/>
      <c r="BE47" s="112"/>
      <c r="BF47" s="92"/>
      <c r="BG47" s="92"/>
      <c r="BH47" s="92"/>
      <c r="BI47" s="92"/>
      <c r="BJ47" s="93"/>
      <c r="BK47" s="93"/>
      <c r="BL47" s="92"/>
      <c r="BM47" s="92"/>
      <c r="BN47" s="92"/>
      <c r="BO47" s="93"/>
      <c r="BP47" s="93"/>
      <c r="BQ47" s="92"/>
      <c r="BR47" s="92"/>
      <c r="BS47" s="93"/>
      <c r="BT47" s="93"/>
      <c r="BU47" s="92"/>
      <c r="BV47" s="93"/>
      <c r="BW47" s="92"/>
      <c r="BX47" s="92"/>
      <c r="BY47" s="92"/>
      <c r="BZ47" s="92"/>
      <c r="CA47" s="92"/>
      <c r="CB47" s="92"/>
      <c r="CC47" s="92"/>
      <c r="CD47" s="93"/>
      <c r="CE47" s="93"/>
      <c r="CF47" s="92"/>
      <c r="CG47" s="93"/>
      <c r="CH47" s="92"/>
      <c r="CI47" s="92"/>
      <c r="CJ47" s="92"/>
      <c r="CK47" s="92"/>
      <c r="CL47" s="92"/>
      <c r="CM47" s="114"/>
      <c r="CN47" s="114"/>
      <c r="CO47" s="115"/>
      <c r="CP47" s="115"/>
      <c r="CQ47" s="115"/>
      <c r="CR47" s="115"/>
      <c r="CS47" s="114"/>
    </row>
    <row r="48" spans="1:97" ht="16.5">
      <c r="A48" s="116"/>
      <c r="B48" s="40"/>
      <c r="C48" s="92"/>
      <c r="D48" s="92"/>
      <c r="E48" s="92"/>
      <c r="F48" s="110"/>
      <c r="G48" s="92"/>
      <c r="H48" s="92"/>
      <c r="I48" s="92"/>
      <c r="J48" s="92"/>
      <c r="K48" s="92"/>
      <c r="L48" s="92"/>
      <c r="M48" s="111"/>
      <c r="N48" s="112"/>
      <c r="O48" s="92"/>
      <c r="P48" s="112"/>
      <c r="Q48" s="113"/>
      <c r="R48" s="112"/>
      <c r="S48" s="112"/>
      <c r="T48" s="112"/>
      <c r="U48" s="113"/>
      <c r="V48" s="112"/>
      <c r="W48" s="112"/>
      <c r="X48" s="112"/>
      <c r="Y48" s="113"/>
      <c r="Z48" s="113"/>
      <c r="AA48" s="113"/>
      <c r="AB48" s="113"/>
      <c r="AC48" s="113"/>
      <c r="AD48" s="113"/>
      <c r="AE48" s="113"/>
      <c r="AF48" s="113"/>
      <c r="AG48" s="113"/>
      <c r="AH48" s="113"/>
      <c r="AI48" s="113"/>
      <c r="AJ48" s="113"/>
      <c r="AK48" s="113"/>
      <c r="AL48" s="113"/>
      <c r="AM48" s="113"/>
      <c r="AN48" s="113"/>
      <c r="AO48" s="113"/>
      <c r="AP48" s="113"/>
      <c r="AQ48" s="113"/>
      <c r="AR48" s="113"/>
      <c r="AS48" s="92"/>
      <c r="AT48" s="92"/>
      <c r="AU48" s="113"/>
      <c r="AV48" s="113"/>
      <c r="AW48" s="113"/>
      <c r="AX48" s="113"/>
      <c r="AY48" s="113"/>
      <c r="AZ48" s="113"/>
      <c r="BA48" s="113"/>
      <c r="BB48" s="92"/>
      <c r="BC48" s="112"/>
      <c r="BD48" s="92"/>
      <c r="BE48" s="112"/>
      <c r="BF48" s="92"/>
      <c r="BG48" s="92"/>
      <c r="BH48" s="92"/>
      <c r="BI48" s="92"/>
      <c r="BJ48" s="93"/>
      <c r="BK48" s="93"/>
      <c r="BL48" s="92"/>
      <c r="BM48" s="92"/>
      <c r="BN48" s="92"/>
      <c r="BO48" s="93"/>
      <c r="BP48" s="93"/>
      <c r="BQ48" s="92"/>
      <c r="BR48" s="92"/>
      <c r="BS48" s="93"/>
      <c r="BT48" s="93"/>
      <c r="BU48" s="92"/>
      <c r="BV48" s="93"/>
      <c r="BW48" s="92"/>
      <c r="BX48" s="92"/>
      <c r="BY48" s="92"/>
      <c r="BZ48" s="92"/>
      <c r="CA48" s="92"/>
      <c r="CB48" s="92"/>
      <c r="CC48" s="92"/>
      <c r="CD48" s="93"/>
      <c r="CE48" s="93"/>
      <c r="CF48" s="92"/>
      <c r="CG48" s="93"/>
      <c r="CH48" s="92"/>
      <c r="CI48" s="92"/>
      <c r="CJ48" s="92"/>
      <c r="CK48" s="92"/>
      <c r="CL48" s="92"/>
      <c r="CM48" s="114"/>
      <c r="CN48" s="114"/>
      <c r="CO48" s="115"/>
      <c r="CP48" s="115"/>
      <c r="CQ48" s="115"/>
      <c r="CR48" s="115"/>
      <c r="CS48" s="114"/>
    </row>
    <row r="49" spans="1:97" ht="16.5">
      <c r="A49" s="116"/>
      <c r="B49" s="40"/>
      <c r="C49" s="92"/>
      <c r="D49" s="92"/>
      <c r="E49" s="92"/>
      <c r="F49" s="110"/>
      <c r="G49" s="92"/>
      <c r="H49" s="92"/>
      <c r="I49" s="92"/>
      <c r="J49" s="92"/>
      <c r="K49" s="92"/>
      <c r="L49" s="92"/>
      <c r="M49" s="111"/>
      <c r="N49" s="112"/>
      <c r="O49" s="92"/>
      <c r="P49" s="112"/>
      <c r="Q49" s="113"/>
      <c r="R49" s="112"/>
      <c r="S49" s="112"/>
      <c r="T49" s="112"/>
      <c r="U49" s="113"/>
      <c r="V49" s="112"/>
      <c r="W49" s="112"/>
      <c r="X49" s="112"/>
      <c r="Y49" s="113"/>
      <c r="Z49" s="113"/>
      <c r="AA49" s="113"/>
      <c r="AB49" s="113"/>
      <c r="AC49" s="113"/>
      <c r="AD49" s="113"/>
      <c r="AE49" s="113"/>
      <c r="AF49" s="113"/>
      <c r="AG49" s="113"/>
      <c r="AH49" s="113"/>
      <c r="AI49" s="113"/>
      <c r="AJ49" s="113"/>
      <c r="AK49" s="113"/>
      <c r="AL49" s="113"/>
      <c r="AM49" s="113"/>
      <c r="AN49" s="113"/>
      <c r="AO49" s="113"/>
      <c r="AP49" s="113"/>
      <c r="AQ49" s="113"/>
      <c r="AR49" s="113"/>
      <c r="AS49" s="92"/>
      <c r="AT49" s="92"/>
      <c r="AU49" s="113"/>
      <c r="AV49" s="113"/>
      <c r="AW49" s="113"/>
      <c r="AX49" s="113"/>
      <c r="AY49" s="113"/>
      <c r="AZ49" s="113"/>
      <c r="BA49" s="113"/>
      <c r="BB49" s="92"/>
      <c r="BC49" s="112"/>
      <c r="BD49" s="92"/>
      <c r="BE49" s="112"/>
      <c r="BF49" s="92"/>
      <c r="BG49" s="92"/>
      <c r="BH49" s="92"/>
      <c r="BI49" s="92"/>
      <c r="BJ49" s="93"/>
      <c r="BK49" s="93"/>
      <c r="BL49" s="92"/>
      <c r="BM49" s="92"/>
      <c r="BN49" s="92"/>
      <c r="BO49" s="93"/>
      <c r="BP49" s="93"/>
      <c r="BQ49" s="92"/>
      <c r="BR49" s="92"/>
      <c r="BS49" s="93"/>
      <c r="BT49" s="93"/>
      <c r="BU49" s="92"/>
      <c r="BV49" s="93"/>
      <c r="BW49" s="92"/>
      <c r="BX49" s="92"/>
      <c r="BY49" s="92"/>
      <c r="BZ49" s="92"/>
      <c r="CA49" s="92"/>
      <c r="CB49" s="92"/>
      <c r="CC49" s="92"/>
      <c r="CD49" s="93"/>
      <c r="CE49" s="93"/>
      <c r="CF49" s="92"/>
      <c r="CG49" s="93"/>
      <c r="CH49" s="92"/>
      <c r="CI49" s="92"/>
      <c r="CJ49" s="92"/>
      <c r="CK49" s="92"/>
      <c r="CL49" s="92"/>
      <c r="CM49" s="114"/>
      <c r="CN49" s="114"/>
      <c r="CO49" s="115"/>
      <c r="CP49" s="115"/>
      <c r="CQ49" s="115"/>
      <c r="CR49" s="115"/>
      <c r="CS49" s="114"/>
    </row>
    <row r="50" spans="1:97" ht="16.5">
      <c r="A50" s="116"/>
      <c r="B50" s="40"/>
      <c r="C50" s="92"/>
      <c r="D50" s="92"/>
      <c r="E50" s="92"/>
      <c r="F50" s="110"/>
      <c r="G50" s="92"/>
      <c r="H50" s="92"/>
      <c r="I50" s="92"/>
      <c r="J50" s="92"/>
      <c r="K50" s="92"/>
      <c r="L50" s="92"/>
      <c r="M50" s="111"/>
      <c r="N50" s="112"/>
      <c r="O50" s="92"/>
      <c r="P50" s="112"/>
      <c r="Q50" s="113"/>
      <c r="R50" s="112"/>
      <c r="S50" s="112"/>
      <c r="T50" s="112"/>
      <c r="U50" s="113"/>
      <c r="V50" s="112"/>
      <c r="W50" s="112"/>
      <c r="X50" s="112"/>
      <c r="Y50" s="113"/>
      <c r="Z50" s="113"/>
      <c r="AA50" s="113"/>
      <c r="AB50" s="113"/>
      <c r="AC50" s="113"/>
      <c r="AD50" s="113"/>
      <c r="AE50" s="113"/>
      <c r="AF50" s="113"/>
      <c r="AG50" s="113"/>
      <c r="AH50" s="113"/>
      <c r="AI50" s="113"/>
      <c r="AJ50" s="113"/>
      <c r="AK50" s="113"/>
      <c r="AL50" s="113"/>
      <c r="AM50" s="113"/>
      <c r="AN50" s="113"/>
      <c r="AO50" s="113"/>
      <c r="AP50" s="113"/>
      <c r="AQ50" s="113"/>
      <c r="AR50" s="113"/>
      <c r="AS50" s="92"/>
      <c r="AT50" s="92"/>
      <c r="AU50" s="113"/>
      <c r="AV50" s="113"/>
      <c r="AW50" s="113"/>
      <c r="AX50" s="113"/>
      <c r="AY50" s="113"/>
      <c r="AZ50" s="113"/>
      <c r="BA50" s="113"/>
      <c r="BB50" s="92"/>
      <c r="BC50" s="112"/>
      <c r="BD50" s="92"/>
      <c r="BE50" s="112"/>
      <c r="BF50" s="92"/>
      <c r="BG50" s="92"/>
      <c r="BH50" s="92"/>
      <c r="BI50" s="92"/>
      <c r="BJ50" s="93"/>
      <c r="BK50" s="93"/>
      <c r="BL50" s="92"/>
      <c r="BM50" s="92"/>
      <c r="BN50" s="92"/>
      <c r="BO50" s="93"/>
      <c r="BP50" s="93"/>
      <c r="BQ50" s="92"/>
      <c r="BR50" s="92"/>
      <c r="BS50" s="93"/>
      <c r="BT50" s="93"/>
      <c r="BU50" s="92"/>
      <c r="BV50" s="93"/>
      <c r="BW50" s="92"/>
      <c r="BX50" s="92"/>
      <c r="BY50" s="92"/>
      <c r="BZ50" s="92"/>
      <c r="CA50" s="92"/>
      <c r="CB50" s="92"/>
      <c r="CC50" s="92"/>
      <c r="CD50" s="93"/>
      <c r="CE50" s="93"/>
      <c r="CF50" s="92"/>
      <c r="CG50" s="93"/>
      <c r="CH50" s="92"/>
      <c r="CI50" s="92"/>
      <c r="CJ50" s="92"/>
      <c r="CK50" s="92"/>
      <c r="CL50" s="92"/>
      <c r="CM50" s="114"/>
      <c r="CN50" s="114"/>
      <c r="CO50" s="115"/>
      <c r="CP50" s="115"/>
      <c r="CQ50" s="115"/>
      <c r="CR50" s="115"/>
      <c r="CS50" s="114"/>
    </row>
    <row r="51" spans="1:97" ht="16.5">
      <c r="A51" s="116"/>
      <c r="B51" s="40"/>
      <c r="C51" s="92"/>
      <c r="D51" s="92"/>
      <c r="E51" s="92"/>
      <c r="F51" s="110"/>
      <c r="G51" s="92"/>
      <c r="H51" s="92"/>
      <c r="I51" s="92"/>
      <c r="J51" s="92"/>
      <c r="K51" s="92"/>
      <c r="L51" s="92"/>
      <c r="M51" s="111"/>
      <c r="N51" s="112"/>
      <c r="O51" s="92"/>
      <c r="P51" s="112"/>
      <c r="Q51" s="113"/>
      <c r="R51" s="112"/>
      <c r="S51" s="112"/>
      <c r="T51" s="112"/>
      <c r="U51" s="113"/>
      <c r="V51" s="112"/>
      <c r="W51" s="112"/>
      <c r="X51" s="112"/>
      <c r="Y51" s="113"/>
      <c r="Z51" s="113"/>
      <c r="AA51" s="113"/>
      <c r="AB51" s="113"/>
      <c r="AC51" s="113"/>
      <c r="AD51" s="113"/>
      <c r="AE51" s="113"/>
      <c r="AF51" s="113"/>
      <c r="AG51" s="113"/>
      <c r="AH51" s="113"/>
      <c r="AI51" s="113"/>
      <c r="AJ51" s="113"/>
      <c r="AK51" s="113"/>
      <c r="AL51" s="113"/>
      <c r="AM51" s="113"/>
      <c r="AN51" s="113"/>
      <c r="AO51" s="113"/>
      <c r="AP51" s="113"/>
      <c r="AQ51" s="113"/>
      <c r="AR51" s="113"/>
      <c r="AS51" s="92"/>
      <c r="AT51" s="92"/>
      <c r="AU51" s="113"/>
      <c r="AV51" s="113"/>
      <c r="AW51" s="113"/>
      <c r="AX51" s="113"/>
      <c r="AY51" s="113"/>
      <c r="AZ51" s="113"/>
      <c r="BA51" s="113"/>
      <c r="BB51" s="92"/>
      <c r="BC51" s="112"/>
      <c r="BD51" s="92"/>
      <c r="BE51" s="112"/>
      <c r="BF51" s="92"/>
      <c r="BG51" s="92"/>
      <c r="BH51" s="92"/>
      <c r="BI51" s="92"/>
      <c r="BJ51" s="93"/>
      <c r="BK51" s="93"/>
      <c r="BL51" s="92"/>
      <c r="BM51" s="92"/>
      <c r="BN51" s="92"/>
      <c r="BO51" s="93"/>
      <c r="BP51" s="93"/>
      <c r="BQ51" s="92"/>
      <c r="BR51" s="92"/>
      <c r="BS51" s="93"/>
      <c r="BT51" s="93"/>
      <c r="BU51" s="92"/>
      <c r="BV51" s="93"/>
      <c r="BW51" s="92"/>
      <c r="BX51" s="92"/>
      <c r="BY51" s="92"/>
      <c r="BZ51" s="92"/>
      <c r="CA51" s="92"/>
      <c r="CB51" s="92"/>
      <c r="CC51" s="92"/>
      <c r="CD51" s="93"/>
      <c r="CE51" s="93"/>
      <c r="CF51" s="92"/>
      <c r="CG51" s="93"/>
      <c r="CH51" s="92"/>
      <c r="CI51" s="92"/>
      <c r="CJ51" s="92"/>
      <c r="CK51" s="92"/>
      <c r="CL51" s="92"/>
      <c r="CM51" s="114"/>
      <c r="CN51" s="114"/>
      <c r="CO51" s="115"/>
      <c r="CP51" s="115"/>
      <c r="CQ51" s="115"/>
      <c r="CR51" s="115"/>
      <c r="CS51" s="114"/>
    </row>
    <row r="52" spans="1:97" ht="16.5">
      <c r="A52" s="116"/>
      <c r="B52" s="40"/>
      <c r="C52" s="92"/>
      <c r="D52" s="92"/>
      <c r="E52" s="92"/>
      <c r="F52" s="110"/>
      <c r="G52" s="92"/>
      <c r="H52" s="92"/>
      <c r="I52" s="92"/>
      <c r="J52" s="92"/>
      <c r="K52" s="92"/>
      <c r="L52" s="92"/>
      <c r="M52" s="111"/>
      <c r="N52" s="112"/>
      <c r="O52" s="92"/>
      <c r="P52" s="112"/>
      <c r="Q52" s="113"/>
      <c r="R52" s="112"/>
      <c r="S52" s="112"/>
      <c r="T52" s="112"/>
      <c r="U52" s="113"/>
      <c r="V52" s="112"/>
      <c r="W52" s="112"/>
      <c r="X52" s="112"/>
      <c r="Y52" s="113"/>
      <c r="Z52" s="113"/>
      <c r="AA52" s="113"/>
      <c r="AB52" s="113"/>
      <c r="AC52" s="113"/>
      <c r="AD52" s="113"/>
      <c r="AE52" s="113"/>
      <c r="AF52" s="113"/>
      <c r="AG52" s="113"/>
      <c r="AH52" s="113"/>
      <c r="AI52" s="113"/>
      <c r="AJ52" s="113"/>
      <c r="AK52" s="113"/>
      <c r="AL52" s="113"/>
      <c r="AM52" s="113"/>
      <c r="AN52" s="113"/>
      <c r="AO52" s="113"/>
      <c r="AP52" s="113"/>
      <c r="AQ52" s="113"/>
      <c r="AR52" s="113"/>
      <c r="AS52" s="92"/>
      <c r="AT52" s="92"/>
      <c r="AU52" s="113"/>
      <c r="AV52" s="113"/>
      <c r="AW52" s="113"/>
      <c r="AX52" s="113"/>
      <c r="AY52" s="113"/>
      <c r="AZ52" s="113"/>
      <c r="BA52" s="113"/>
      <c r="BB52" s="92"/>
      <c r="BC52" s="112"/>
      <c r="BD52" s="92"/>
      <c r="BE52" s="112"/>
      <c r="BF52" s="92"/>
      <c r="BG52" s="92"/>
      <c r="BH52" s="92"/>
      <c r="BI52" s="92"/>
      <c r="BJ52" s="93"/>
      <c r="BK52" s="93"/>
      <c r="BL52" s="92"/>
      <c r="BM52" s="92"/>
      <c r="BN52" s="92"/>
      <c r="BO52" s="93"/>
      <c r="BP52" s="93"/>
      <c r="BQ52" s="92"/>
      <c r="BR52" s="92"/>
      <c r="BS52" s="93"/>
      <c r="BT52" s="93"/>
      <c r="BU52" s="92"/>
      <c r="BV52" s="93"/>
      <c r="BW52" s="92"/>
      <c r="BX52" s="92"/>
      <c r="BY52" s="92"/>
      <c r="BZ52" s="92"/>
      <c r="CA52" s="92"/>
      <c r="CB52" s="92"/>
      <c r="CC52" s="92"/>
      <c r="CD52" s="93"/>
      <c r="CE52" s="93"/>
      <c r="CF52" s="92"/>
      <c r="CG52" s="93"/>
      <c r="CH52" s="92"/>
      <c r="CI52" s="92"/>
      <c r="CJ52" s="92"/>
      <c r="CK52" s="92"/>
      <c r="CL52" s="92"/>
      <c r="CM52" s="114"/>
      <c r="CN52" s="114"/>
      <c r="CO52" s="115"/>
      <c r="CP52" s="115"/>
      <c r="CQ52" s="115"/>
      <c r="CR52" s="115"/>
      <c r="CS52" s="114"/>
    </row>
    <row r="53" spans="1:97" ht="16.5">
      <c r="A53" s="116"/>
      <c r="B53" s="40"/>
      <c r="C53" s="92"/>
      <c r="D53" s="92"/>
      <c r="E53" s="92"/>
      <c r="F53" s="110"/>
      <c r="G53" s="92"/>
      <c r="H53" s="92"/>
      <c r="I53" s="92"/>
      <c r="J53" s="92"/>
      <c r="K53" s="92"/>
      <c r="L53" s="92"/>
      <c r="M53" s="111"/>
      <c r="N53" s="112"/>
      <c r="O53" s="92"/>
      <c r="P53" s="112"/>
      <c r="Q53" s="113"/>
      <c r="R53" s="112"/>
      <c r="S53" s="112"/>
      <c r="T53" s="112"/>
      <c r="U53" s="113"/>
      <c r="V53" s="112"/>
      <c r="W53" s="112"/>
      <c r="X53" s="112"/>
      <c r="Y53" s="113"/>
      <c r="Z53" s="113"/>
      <c r="AA53" s="113"/>
      <c r="AB53" s="113"/>
      <c r="AC53" s="113"/>
      <c r="AD53" s="113"/>
      <c r="AE53" s="113"/>
      <c r="AF53" s="113"/>
      <c r="AG53" s="113"/>
      <c r="AH53" s="113"/>
      <c r="AI53" s="113"/>
      <c r="AJ53" s="113"/>
      <c r="AK53" s="113"/>
      <c r="AL53" s="113"/>
      <c r="AM53" s="113"/>
      <c r="AN53" s="113"/>
      <c r="AO53" s="113"/>
      <c r="AP53" s="113"/>
      <c r="AQ53" s="113"/>
      <c r="AR53" s="113"/>
      <c r="AS53" s="92"/>
      <c r="AT53" s="92"/>
      <c r="AU53" s="113"/>
      <c r="AV53" s="113"/>
      <c r="AW53" s="113"/>
      <c r="AX53" s="113"/>
      <c r="AY53" s="113"/>
      <c r="AZ53" s="113"/>
      <c r="BA53" s="113"/>
      <c r="BB53" s="92"/>
      <c r="BC53" s="112"/>
      <c r="BD53" s="92"/>
      <c r="BE53" s="112"/>
      <c r="BF53" s="92"/>
      <c r="BG53" s="92"/>
      <c r="BH53" s="92"/>
      <c r="BI53" s="92"/>
      <c r="BJ53" s="93"/>
      <c r="BK53" s="93"/>
      <c r="BL53" s="92"/>
      <c r="BM53" s="92"/>
      <c r="BN53" s="92"/>
      <c r="BO53" s="93"/>
      <c r="BP53" s="93"/>
      <c r="BQ53" s="92"/>
      <c r="BR53" s="92"/>
      <c r="BS53" s="93"/>
      <c r="BT53" s="93"/>
      <c r="BU53" s="92"/>
      <c r="BV53" s="93"/>
      <c r="BW53" s="92"/>
      <c r="BX53" s="92"/>
      <c r="BY53" s="92"/>
      <c r="BZ53" s="92"/>
      <c r="CA53" s="92"/>
      <c r="CB53" s="92"/>
      <c r="CC53" s="92"/>
      <c r="CD53" s="93"/>
      <c r="CE53" s="93"/>
      <c r="CF53" s="92"/>
      <c r="CG53" s="93"/>
      <c r="CH53" s="92"/>
      <c r="CI53" s="92"/>
      <c r="CJ53" s="92"/>
      <c r="CK53" s="92"/>
      <c r="CL53" s="92"/>
      <c r="CM53" s="114"/>
      <c r="CN53" s="114"/>
      <c r="CO53" s="115"/>
      <c r="CP53" s="115"/>
      <c r="CQ53" s="115"/>
      <c r="CR53" s="115"/>
      <c r="CS53" s="114"/>
    </row>
    <row r="54" spans="1:97" ht="16.5">
      <c r="A54" s="116"/>
      <c r="B54" s="40"/>
      <c r="C54" s="92"/>
      <c r="D54" s="92"/>
      <c r="E54" s="92"/>
      <c r="F54" s="110"/>
      <c r="G54" s="92"/>
      <c r="H54" s="92"/>
      <c r="I54" s="92"/>
      <c r="J54" s="92"/>
      <c r="K54" s="92"/>
      <c r="L54" s="92"/>
      <c r="M54" s="111"/>
      <c r="N54" s="112"/>
      <c r="O54" s="92"/>
      <c r="P54" s="112"/>
      <c r="Q54" s="113"/>
      <c r="R54" s="112"/>
      <c r="S54" s="112"/>
      <c r="T54" s="112"/>
      <c r="U54" s="113"/>
      <c r="V54" s="112"/>
      <c r="W54" s="112"/>
      <c r="X54" s="112"/>
      <c r="Y54" s="113"/>
      <c r="Z54" s="113"/>
      <c r="AA54" s="113"/>
      <c r="AB54" s="113"/>
      <c r="AC54" s="113"/>
      <c r="AD54" s="113"/>
      <c r="AE54" s="113"/>
      <c r="AF54" s="113"/>
      <c r="AG54" s="113"/>
      <c r="AH54" s="113"/>
      <c r="AI54" s="113"/>
      <c r="AJ54" s="113"/>
      <c r="AK54" s="113"/>
      <c r="AL54" s="113"/>
      <c r="AM54" s="113"/>
      <c r="AN54" s="113"/>
      <c r="AO54" s="113"/>
      <c r="AP54" s="113"/>
      <c r="AQ54" s="113"/>
      <c r="AR54" s="113"/>
      <c r="AS54" s="92"/>
      <c r="AT54" s="92"/>
      <c r="AU54" s="113"/>
      <c r="AV54" s="113"/>
      <c r="AW54" s="113"/>
      <c r="AX54" s="113"/>
      <c r="AY54" s="113"/>
      <c r="AZ54" s="113"/>
      <c r="BA54" s="113"/>
      <c r="BB54" s="92"/>
      <c r="BC54" s="112"/>
      <c r="BD54" s="92"/>
      <c r="BE54" s="112"/>
      <c r="BF54" s="92"/>
      <c r="BG54" s="92"/>
      <c r="BH54" s="92"/>
      <c r="BI54" s="92"/>
      <c r="BJ54" s="93"/>
      <c r="BK54" s="93"/>
      <c r="BL54" s="92"/>
      <c r="BM54" s="92"/>
      <c r="BN54" s="92"/>
      <c r="BO54" s="93"/>
      <c r="BP54" s="93"/>
      <c r="BQ54" s="92"/>
      <c r="BR54" s="92"/>
      <c r="BS54" s="93"/>
      <c r="BT54" s="93"/>
      <c r="BU54" s="92"/>
      <c r="BV54" s="93"/>
      <c r="BW54" s="92"/>
      <c r="BX54" s="92"/>
      <c r="BY54" s="92"/>
      <c r="BZ54" s="92"/>
      <c r="CA54" s="92"/>
      <c r="CB54" s="92"/>
      <c r="CC54" s="92"/>
      <c r="CD54" s="93"/>
      <c r="CE54" s="93"/>
      <c r="CF54" s="92"/>
      <c r="CG54" s="93"/>
      <c r="CH54" s="92"/>
      <c r="CI54" s="92"/>
      <c r="CJ54" s="92"/>
      <c r="CK54" s="92"/>
      <c r="CL54" s="92"/>
      <c r="CM54" s="114"/>
      <c r="CN54" s="114"/>
      <c r="CO54" s="115"/>
      <c r="CP54" s="115"/>
      <c r="CQ54" s="115"/>
      <c r="CR54" s="115"/>
      <c r="CS54" s="114"/>
    </row>
    <row r="55" spans="1:97" ht="16.5">
      <c r="A55" s="116"/>
      <c r="B55" s="40"/>
      <c r="C55" s="92"/>
      <c r="D55" s="92"/>
      <c r="E55" s="92"/>
      <c r="F55" s="110"/>
      <c r="G55" s="92"/>
      <c r="H55" s="92"/>
      <c r="I55" s="92"/>
      <c r="J55" s="92"/>
      <c r="K55" s="92"/>
      <c r="L55" s="92"/>
      <c r="M55" s="111"/>
      <c r="N55" s="112"/>
      <c r="O55" s="92"/>
      <c r="P55" s="112"/>
      <c r="Q55" s="113"/>
      <c r="R55" s="112"/>
      <c r="S55" s="112"/>
      <c r="T55" s="112"/>
      <c r="U55" s="113"/>
      <c r="V55" s="112"/>
      <c r="W55" s="112"/>
      <c r="X55" s="112"/>
      <c r="Y55" s="113"/>
      <c r="Z55" s="113"/>
      <c r="AA55" s="113"/>
      <c r="AB55" s="113"/>
      <c r="AC55" s="113"/>
      <c r="AD55" s="113"/>
      <c r="AE55" s="113"/>
      <c r="AF55" s="113"/>
      <c r="AG55" s="113"/>
      <c r="AH55" s="113"/>
      <c r="AI55" s="113"/>
      <c r="AJ55" s="113"/>
      <c r="AK55" s="113"/>
      <c r="AL55" s="113"/>
      <c r="AM55" s="113"/>
      <c r="AN55" s="113"/>
      <c r="AO55" s="113"/>
      <c r="AP55" s="113"/>
      <c r="AQ55" s="113"/>
      <c r="AR55" s="113"/>
      <c r="AS55" s="92"/>
      <c r="AT55" s="92"/>
      <c r="AU55" s="113"/>
      <c r="AV55" s="113"/>
      <c r="AW55" s="113"/>
      <c r="AX55" s="113"/>
      <c r="AY55" s="113"/>
      <c r="AZ55" s="113"/>
      <c r="BA55" s="113"/>
      <c r="BB55" s="92"/>
      <c r="BC55" s="112"/>
      <c r="BD55" s="92"/>
      <c r="BE55" s="112"/>
      <c r="BF55" s="92"/>
      <c r="BG55" s="92"/>
      <c r="BH55" s="92"/>
      <c r="BI55" s="92"/>
      <c r="BJ55" s="93"/>
      <c r="BK55" s="93"/>
      <c r="BL55" s="92"/>
      <c r="BM55" s="92"/>
      <c r="BN55" s="92"/>
      <c r="BO55" s="93"/>
      <c r="BP55" s="93"/>
      <c r="BQ55" s="92"/>
      <c r="BR55" s="92"/>
      <c r="BS55" s="93"/>
      <c r="BT55" s="93"/>
      <c r="BU55" s="92"/>
      <c r="BV55" s="93"/>
      <c r="BW55" s="92"/>
      <c r="BX55" s="92"/>
      <c r="BY55" s="92"/>
      <c r="BZ55" s="92"/>
      <c r="CA55" s="92"/>
      <c r="CB55" s="92"/>
      <c r="CC55" s="92"/>
      <c r="CD55" s="93"/>
      <c r="CE55" s="93"/>
      <c r="CF55" s="92"/>
      <c r="CG55" s="93"/>
      <c r="CH55" s="92"/>
      <c r="CI55" s="92"/>
      <c r="CJ55" s="92"/>
      <c r="CK55" s="92"/>
      <c r="CL55" s="92"/>
      <c r="CM55" s="114"/>
      <c r="CN55" s="114"/>
      <c r="CO55" s="115"/>
      <c r="CP55" s="115"/>
      <c r="CQ55" s="115"/>
      <c r="CR55" s="115"/>
      <c r="CS55" s="114"/>
    </row>
    <row r="56" spans="1:97" ht="16.5">
      <c r="A56" s="116"/>
      <c r="B56" s="40"/>
      <c r="C56" s="92"/>
      <c r="D56" s="92"/>
      <c r="E56" s="92"/>
      <c r="F56" s="110"/>
      <c r="G56" s="92"/>
      <c r="H56" s="92"/>
      <c r="I56" s="92"/>
      <c r="J56" s="92"/>
      <c r="K56" s="92"/>
      <c r="L56" s="92"/>
      <c r="M56" s="111"/>
      <c r="N56" s="112"/>
      <c r="O56" s="92"/>
      <c r="P56" s="112"/>
      <c r="Q56" s="113"/>
      <c r="R56" s="112"/>
      <c r="S56" s="112"/>
      <c r="T56" s="112"/>
      <c r="U56" s="113"/>
      <c r="V56" s="112"/>
      <c r="W56" s="112"/>
      <c r="X56" s="112"/>
      <c r="Y56" s="113"/>
      <c r="Z56" s="113"/>
      <c r="AA56" s="113"/>
      <c r="AB56" s="113"/>
      <c r="AC56" s="113"/>
      <c r="AD56" s="113"/>
      <c r="AE56" s="113"/>
      <c r="AF56" s="113"/>
      <c r="AG56" s="113"/>
      <c r="AH56" s="113"/>
      <c r="AI56" s="113"/>
      <c r="AJ56" s="113"/>
      <c r="AK56" s="113"/>
      <c r="AL56" s="113"/>
      <c r="AM56" s="113"/>
      <c r="AN56" s="113"/>
      <c r="AO56" s="113"/>
      <c r="AP56" s="113"/>
      <c r="AQ56" s="113"/>
      <c r="AR56" s="113"/>
      <c r="AS56" s="92"/>
      <c r="AT56" s="92"/>
      <c r="AU56" s="113"/>
      <c r="AV56" s="113"/>
      <c r="AW56" s="113"/>
      <c r="AX56" s="113"/>
      <c r="AY56" s="113"/>
      <c r="AZ56" s="113"/>
      <c r="BA56" s="113"/>
      <c r="BB56" s="92"/>
      <c r="BC56" s="112"/>
      <c r="BD56" s="92"/>
      <c r="BE56" s="112"/>
      <c r="BF56" s="92"/>
      <c r="BG56" s="92"/>
      <c r="BH56" s="92"/>
      <c r="BI56" s="92"/>
      <c r="BJ56" s="93"/>
      <c r="BK56" s="93"/>
      <c r="BL56" s="92"/>
      <c r="BM56" s="92"/>
      <c r="BN56" s="92"/>
      <c r="BO56" s="93"/>
      <c r="BP56" s="93"/>
      <c r="BQ56" s="92"/>
      <c r="BR56" s="92"/>
      <c r="BS56" s="93"/>
      <c r="BT56" s="93"/>
      <c r="BU56" s="92"/>
      <c r="BV56" s="93"/>
      <c r="BW56" s="92"/>
      <c r="BX56" s="92"/>
      <c r="BY56" s="92"/>
      <c r="BZ56" s="92"/>
      <c r="CA56" s="92"/>
      <c r="CB56" s="92"/>
      <c r="CC56" s="92"/>
      <c r="CD56" s="93"/>
      <c r="CE56" s="93"/>
      <c r="CF56" s="92"/>
      <c r="CG56" s="93"/>
      <c r="CH56" s="92"/>
      <c r="CI56" s="92"/>
      <c r="CJ56" s="92"/>
      <c r="CK56" s="92"/>
      <c r="CL56" s="92"/>
      <c r="CM56" s="114"/>
      <c r="CN56" s="114"/>
      <c r="CO56" s="115"/>
      <c r="CP56" s="115"/>
      <c r="CQ56" s="115"/>
      <c r="CR56" s="115"/>
      <c r="CS56" s="114"/>
    </row>
    <row r="57" spans="1:97" ht="16.5">
      <c r="A57" s="116"/>
      <c r="B57" s="40"/>
      <c r="C57" s="92"/>
      <c r="D57" s="92"/>
      <c r="E57" s="92"/>
      <c r="F57" s="110"/>
      <c r="G57" s="92"/>
      <c r="H57" s="92"/>
      <c r="I57" s="92"/>
      <c r="J57" s="92"/>
      <c r="K57" s="92"/>
      <c r="L57" s="92"/>
      <c r="M57" s="111"/>
      <c r="N57" s="112"/>
      <c r="O57" s="92"/>
      <c r="P57" s="112"/>
      <c r="Q57" s="113"/>
      <c r="R57" s="112"/>
      <c r="S57" s="112"/>
      <c r="T57" s="112"/>
      <c r="U57" s="113"/>
      <c r="V57" s="112"/>
      <c r="W57" s="112"/>
      <c r="X57" s="112"/>
      <c r="Y57" s="113"/>
      <c r="Z57" s="113"/>
      <c r="AA57" s="113"/>
      <c r="AB57" s="113"/>
      <c r="AC57" s="113"/>
      <c r="AD57" s="113"/>
      <c r="AE57" s="113"/>
      <c r="AF57" s="113"/>
      <c r="AG57" s="113"/>
      <c r="AH57" s="113"/>
      <c r="AI57" s="113"/>
      <c r="AJ57" s="113"/>
      <c r="AK57" s="113"/>
      <c r="AL57" s="113"/>
      <c r="AM57" s="113"/>
      <c r="AN57" s="113"/>
      <c r="AO57" s="113"/>
      <c r="AP57" s="113"/>
      <c r="AQ57" s="113"/>
      <c r="AR57" s="113"/>
      <c r="AS57" s="92"/>
      <c r="AT57" s="92"/>
      <c r="AU57" s="113"/>
      <c r="AV57" s="113"/>
      <c r="AW57" s="113"/>
      <c r="AX57" s="113"/>
      <c r="AY57" s="113"/>
      <c r="AZ57" s="113"/>
      <c r="BA57" s="113"/>
      <c r="BB57" s="92"/>
      <c r="BC57" s="112"/>
      <c r="BD57" s="92"/>
      <c r="BE57" s="112"/>
      <c r="BF57" s="92"/>
      <c r="BG57" s="92"/>
      <c r="BH57" s="92"/>
      <c r="BI57" s="92"/>
      <c r="BJ57" s="93"/>
      <c r="BK57" s="93"/>
      <c r="BL57" s="92"/>
      <c r="BM57" s="92"/>
      <c r="BN57" s="92"/>
      <c r="BO57" s="93"/>
      <c r="BP57" s="93"/>
      <c r="BQ57" s="92"/>
      <c r="BR57" s="92"/>
      <c r="BS57" s="93"/>
      <c r="BT57" s="93"/>
      <c r="BU57" s="92"/>
      <c r="BV57" s="93"/>
      <c r="BW57" s="92"/>
      <c r="BX57" s="92"/>
      <c r="BY57" s="92"/>
      <c r="BZ57" s="92"/>
      <c r="CA57" s="92"/>
      <c r="CB57" s="92"/>
      <c r="CC57" s="92"/>
      <c r="CD57" s="93"/>
      <c r="CE57" s="93"/>
      <c r="CF57" s="92"/>
      <c r="CG57" s="93"/>
      <c r="CH57" s="92"/>
      <c r="CI57" s="92"/>
      <c r="CJ57" s="92"/>
      <c r="CK57" s="92"/>
      <c r="CL57" s="92"/>
      <c r="CM57" s="114"/>
      <c r="CN57" s="114"/>
      <c r="CO57" s="115"/>
      <c r="CP57" s="115"/>
      <c r="CQ57" s="115"/>
      <c r="CR57" s="115"/>
      <c r="CS57" s="114"/>
    </row>
    <row r="58" spans="1:97" ht="16.5">
      <c r="A58" s="116"/>
      <c r="B58" s="40"/>
      <c r="C58" s="92"/>
      <c r="D58" s="92"/>
      <c r="E58" s="92"/>
      <c r="F58" s="110"/>
      <c r="G58" s="92"/>
      <c r="H58" s="92"/>
      <c r="I58" s="92"/>
      <c r="J58" s="92"/>
      <c r="K58" s="92"/>
      <c r="L58" s="92"/>
      <c r="M58" s="111"/>
      <c r="N58" s="112"/>
      <c r="O58" s="92"/>
      <c r="P58" s="112"/>
      <c r="Q58" s="113"/>
      <c r="R58" s="112"/>
      <c r="S58" s="112"/>
      <c r="T58" s="112"/>
      <c r="U58" s="113"/>
      <c r="V58" s="112"/>
      <c r="W58" s="112"/>
      <c r="X58" s="112"/>
      <c r="Y58" s="113"/>
      <c r="Z58" s="113"/>
      <c r="AA58" s="113"/>
      <c r="AB58" s="113"/>
      <c r="AC58" s="113"/>
      <c r="AD58" s="113"/>
      <c r="AE58" s="113"/>
      <c r="AF58" s="113"/>
      <c r="AG58" s="113"/>
      <c r="AH58" s="113"/>
      <c r="AI58" s="113"/>
      <c r="AJ58" s="113"/>
      <c r="AK58" s="113"/>
      <c r="AL58" s="113"/>
      <c r="AM58" s="113"/>
      <c r="AN58" s="113"/>
      <c r="AO58" s="113"/>
      <c r="AP58" s="113"/>
      <c r="AQ58" s="113"/>
      <c r="AR58" s="113"/>
      <c r="AS58" s="92"/>
      <c r="AT58" s="92"/>
      <c r="AU58" s="113"/>
      <c r="AV58" s="113"/>
      <c r="AW58" s="113"/>
      <c r="AX58" s="113"/>
      <c r="AY58" s="113"/>
      <c r="AZ58" s="113"/>
      <c r="BA58" s="113"/>
      <c r="BB58" s="92"/>
      <c r="BC58" s="112"/>
      <c r="BD58" s="92"/>
      <c r="BE58" s="112"/>
      <c r="BF58" s="92"/>
      <c r="BG58" s="92"/>
      <c r="BH58" s="92"/>
      <c r="BI58" s="92"/>
      <c r="BJ58" s="93"/>
      <c r="BK58" s="93"/>
      <c r="BL58" s="92"/>
      <c r="BM58" s="92"/>
      <c r="BN58" s="92"/>
      <c r="BO58" s="93"/>
      <c r="BP58" s="93"/>
      <c r="BQ58" s="92"/>
      <c r="BR58" s="92"/>
      <c r="BS58" s="93"/>
      <c r="BT58" s="93"/>
      <c r="BU58" s="92"/>
      <c r="BV58" s="93"/>
      <c r="BW58" s="92"/>
      <c r="BX58" s="92"/>
      <c r="BY58" s="92"/>
      <c r="BZ58" s="92"/>
      <c r="CA58" s="92"/>
      <c r="CB58" s="92"/>
      <c r="CC58" s="92"/>
      <c r="CD58" s="93"/>
      <c r="CE58" s="93"/>
      <c r="CF58" s="92"/>
      <c r="CG58" s="93"/>
      <c r="CH58" s="92"/>
      <c r="CI58" s="92"/>
      <c r="CJ58" s="92"/>
      <c r="CK58" s="92"/>
      <c r="CL58" s="92"/>
      <c r="CM58" s="114"/>
      <c r="CN58" s="114"/>
      <c r="CO58" s="115"/>
      <c r="CP58" s="115"/>
      <c r="CQ58" s="115"/>
      <c r="CR58" s="115"/>
      <c r="CS58" s="114"/>
    </row>
    <row r="59" spans="1:97" ht="16.5">
      <c r="A59" s="116"/>
      <c r="B59" s="40"/>
      <c r="C59" s="92"/>
      <c r="D59" s="92"/>
      <c r="E59" s="92"/>
      <c r="F59" s="110"/>
      <c r="G59" s="92"/>
      <c r="H59" s="92"/>
      <c r="I59" s="92"/>
      <c r="J59" s="92"/>
      <c r="K59" s="92"/>
      <c r="L59" s="92"/>
      <c r="M59" s="111"/>
      <c r="N59" s="112"/>
      <c r="O59" s="92"/>
      <c r="P59" s="112"/>
      <c r="Q59" s="113"/>
      <c r="R59" s="112"/>
      <c r="S59" s="112"/>
      <c r="T59" s="112"/>
      <c r="U59" s="113"/>
      <c r="V59" s="112"/>
      <c r="W59" s="112"/>
      <c r="X59" s="112"/>
      <c r="Y59" s="113"/>
      <c r="Z59" s="113"/>
      <c r="AA59" s="113"/>
      <c r="AB59" s="113"/>
      <c r="AC59" s="113"/>
      <c r="AD59" s="113"/>
      <c r="AE59" s="113"/>
      <c r="AF59" s="113"/>
      <c r="AG59" s="113"/>
      <c r="AH59" s="113"/>
      <c r="AI59" s="113"/>
      <c r="AJ59" s="113"/>
      <c r="AK59" s="113"/>
      <c r="AL59" s="113"/>
      <c r="AM59" s="113"/>
      <c r="AN59" s="113"/>
      <c r="AO59" s="113"/>
      <c r="AP59" s="113"/>
      <c r="AQ59" s="113"/>
      <c r="AR59" s="113"/>
      <c r="AS59" s="92"/>
      <c r="AT59" s="92"/>
      <c r="AU59" s="113"/>
      <c r="AV59" s="113"/>
      <c r="AW59" s="113"/>
      <c r="AX59" s="113"/>
      <c r="AY59" s="113"/>
      <c r="AZ59" s="113"/>
      <c r="BA59" s="113"/>
      <c r="BB59" s="92"/>
      <c r="BC59" s="112"/>
      <c r="BD59" s="92"/>
      <c r="BE59" s="112"/>
      <c r="BF59" s="92"/>
      <c r="BG59" s="92"/>
      <c r="BH59" s="92"/>
      <c r="BI59" s="92"/>
      <c r="BJ59" s="93"/>
      <c r="BK59" s="93"/>
      <c r="BL59" s="92"/>
      <c r="BM59" s="92"/>
      <c r="BN59" s="92"/>
      <c r="BO59" s="93"/>
      <c r="BP59" s="93"/>
      <c r="BQ59" s="92"/>
      <c r="BR59" s="92"/>
      <c r="BS59" s="93"/>
      <c r="BT59" s="93"/>
      <c r="BU59" s="92"/>
      <c r="BV59" s="93"/>
      <c r="BW59" s="92"/>
      <c r="BX59" s="92"/>
      <c r="BY59" s="92"/>
      <c r="BZ59" s="92"/>
      <c r="CA59" s="92"/>
      <c r="CB59" s="92"/>
      <c r="CC59" s="92"/>
      <c r="CD59" s="93"/>
      <c r="CE59" s="93"/>
      <c r="CF59" s="92"/>
      <c r="CG59" s="93"/>
      <c r="CH59" s="92"/>
      <c r="CI59" s="92"/>
      <c r="CJ59" s="92"/>
      <c r="CK59" s="92"/>
      <c r="CL59" s="92"/>
      <c r="CM59" s="114"/>
      <c r="CN59" s="114"/>
      <c r="CO59" s="115"/>
      <c r="CP59" s="115"/>
      <c r="CQ59" s="115"/>
      <c r="CR59" s="115"/>
      <c r="CS59" s="114"/>
    </row>
    <row r="60" spans="1:97" ht="16.5">
      <c r="A60" s="116"/>
      <c r="B60" s="40"/>
      <c r="C60" s="92"/>
      <c r="D60" s="92"/>
      <c r="E60" s="92"/>
      <c r="F60" s="110"/>
      <c r="G60" s="92"/>
      <c r="H60" s="92"/>
      <c r="I60" s="92"/>
      <c r="J60" s="92"/>
      <c r="K60" s="92"/>
      <c r="L60" s="92"/>
      <c r="M60" s="111"/>
      <c r="N60" s="112"/>
      <c r="O60" s="92"/>
      <c r="P60" s="112"/>
      <c r="Q60" s="113"/>
      <c r="R60" s="112"/>
      <c r="S60" s="112"/>
      <c r="T60" s="112"/>
      <c r="U60" s="113"/>
      <c r="V60" s="112"/>
      <c r="W60" s="112"/>
      <c r="X60" s="112"/>
      <c r="Y60" s="113"/>
      <c r="Z60" s="113"/>
      <c r="AA60" s="113"/>
      <c r="AB60" s="113"/>
      <c r="AC60" s="113"/>
      <c r="AD60" s="113"/>
      <c r="AE60" s="113"/>
      <c r="AF60" s="113"/>
      <c r="AG60" s="113"/>
      <c r="AH60" s="113"/>
      <c r="AI60" s="113"/>
      <c r="AJ60" s="113"/>
      <c r="AK60" s="113"/>
      <c r="AL60" s="113"/>
      <c r="AM60" s="113"/>
      <c r="AN60" s="113"/>
      <c r="AO60" s="113"/>
      <c r="AP60" s="113"/>
      <c r="AQ60" s="113"/>
      <c r="AR60" s="113"/>
      <c r="AS60" s="92"/>
      <c r="AT60" s="92"/>
      <c r="AU60" s="113"/>
      <c r="AV60" s="113"/>
      <c r="AW60" s="113"/>
      <c r="AX60" s="113"/>
      <c r="AY60" s="113"/>
      <c r="AZ60" s="113"/>
      <c r="BA60" s="113"/>
      <c r="BB60" s="92"/>
      <c r="BC60" s="112"/>
      <c r="BD60" s="92"/>
      <c r="BE60" s="112"/>
      <c r="BF60" s="92"/>
      <c r="BG60" s="92"/>
      <c r="BH60" s="92"/>
      <c r="BI60" s="92"/>
      <c r="BJ60" s="93"/>
      <c r="BK60" s="93"/>
      <c r="BL60" s="92"/>
      <c r="BM60" s="92"/>
      <c r="BN60" s="92"/>
      <c r="BO60" s="93"/>
      <c r="BP60" s="93"/>
      <c r="BQ60" s="92"/>
      <c r="BR60" s="92"/>
      <c r="BS60" s="93"/>
      <c r="BT60" s="93"/>
      <c r="BU60" s="92"/>
      <c r="BV60" s="93"/>
      <c r="BW60" s="92"/>
      <c r="BX60" s="92"/>
      <c r="BY60" s="92"/>
      <c r="BZ60" s="92"/>
      <c r="CA60" s="92"/>
      <c r="CB60" s="92"/>
      <c r="CC60" s="92"/>
      <c r="CD60" s="93"/>
      <c r="CE60" s="93"/>
      <c r="CF60" s="92"/>
      <c r="CG60" s="93"/>
      <c r="CH60" s="92"/>
      <c r="CI60" s="92"/>
      <c r="CJ60" s="92"/>
      <c r="CK60" s="92"/>
      <c r="CL60" s="92"/>
      <c r="CM60" s="114"/>
      <c r="CN60" s="114"/>
      <c r="CO60" s="115"/>
      <c r="CP60" s="115"/>
      <c r="CQ60" s="115"/>
      <c r="CR60" s="115"/>
      <c r="CS60" s="114"/>
    </row>
    <row r="61" spans="1:97" ht="16.5">
      <c r="A61" s="116"/>
      <c r="B61" s="40"/>
      <c r="C61" s="92"/>
      <c r="D61" s="92"/>
      <c r="E61" s="92"/>
      <c r="F61" s="110"/>
      <c r="G61" s="92"/>
      <c r="H61" s="92"/>
      <c r="I61" s="92"/>
      <c r="J61" s="92"/>
      <c r="K61" s="92"/>
      <c r="L61" s="92"/>
      <c r="M61" s="111"/>
      <c r="N61" s="112"/>
      <c r="O61" s="92"/>
      <c r="P61" s="112"/>
      <c r="Q61" s="113"/>
      <c r="R61" s="112"/>
      <c r="S61" s="112"/>
      <c r="T61" s="112"/>
      <c r="U61" s="113"/>
      <c r="V61" s="112"/>
      <c r="W61" s="112"/>
      <c r="X61" s="112"/>
      <c r="Y61" s="113"/>
      <c r="Z61" s="113"/>
      <c r="AA61" s="113"/>
      <c r="AB61" s="113"/>
      <c r="AC61" s="113"/>
      <c r="AD61" s="113"/>
      <c r="AE61" s="113"/>
      <c r="AF61" s="113"/>
      <c r="AG61" s="113"/>
      <c r="AH61" s="113"/>
      <c r="AI61" s="113"/>
      <c r="AJ61" s="113"/>
      <c r="AK61" s="113"/>
      <c r="AL61" s="113"/>
      <c r="AM61" s="113"/>
      <c r="AN61" s="113"/>
      <c r="AO61" s="113"/>
      <c r="AP61" s="113"/>
      <c r="AQ61" s="113"/>
      <c r="AR61" s="113"/>
      <c r="AS61" s="92"/>
      <c r="AT61" s="92"/>
      <c r="AU61" s="113"/>
      <c r="AV61" s="113"/>
      <c r="AW61" s="113"/>
      <c r="AX61" s="113"/>
      <c r="AY61" s="113"/>
      <c r="AZ61" s="113"/>
      <c r="BA61" s="113"/>
      <c r="BB61" s="92"/>
      <c r="BC61" s="112"/>
      <c r="BD61" s="92"/>
      <c r="BE61" s="112"/>
      <c r="BF61" s="92"/>
      <c r="BG61" s="92"/>
      <c r="BH61" s="92"/>
      <c r="BI61" s="92"/>
      <c r="BJ61" s="93"/>
      <c r="BK61" s="93"/>
      <c r="BL61" s="92"/>
      <c r="BM61" s="92"/>
      <c r="BN61" s="92"/>
      <c r="BO61" s="93"/>
      <c r="BP61" s="93"/>
      <c r="BQ61" s="92"/>
      <c r="BR61" s="92"/>
      <c r="BS61" s="93"/>
      <c r="BT61" s="93"/>
      <c r="BU61" s="92"/>
      <c r="BV61" s="93"/>
      <c r="BW61" s="92"/>
      <c r="BX61" s="92"/>
      <c r="BY61" s="92"/>
      <c r="BZ61" s="92"/>
      <c r="CA61" s="92"/>
      <c r="CB61" s="92"/>
      <c r="CC61" s="92"/>
      <c r="CD61" s="93"/>
      <c r="CE61" s="93"/>
      <c r="CF61" s="92"/>
      <c r="CG61" s="93"/>
      <c r="CH61" s="92"/>
      <c r="CI61" s="92"/>
      <c r="CJ61" s="92"/>
      <c r="CK61" s="92"/>
      <c r="CL61" s="92"/>
      <c r="CM61" s="114"/>
      <c r="CN61" s="114"/>
      <c r="CO61" s="115"/>
      <c r="CP61" s="115"/>
      <c r="CQ61" s="115"/>
      <c r="CR61" s="115"/>
      <c r="CS61" s="114"/>
    </row>
    <row r="62" spans="1:97" ht="16.5">
      <c r="A62" s="116"/>
      <c r="B62" s="40"/>
      <c r="C62" s="92"/>
      <c r="D62" s="92"/>
      <c r="E62" s="92"/>
      <c r="F62" s="110"/>
      <c r="G62" s="92"/>
      <c r="H62" s="92"/>
      <c r="I62" s="92"/>
      <c r="J62" s="92"/>
      <c r="K62" s="92"/>
      <c r="L62" s="92"/>
      <c r="M62" s="111"/>
      <c r="N62" s="112"/>
      <c r="O62" s="92"/>
      <c r="P62" s="112"/>
      <c r="Q62" s="113"/>
      <c r="R62" s="112"/>
      <c r="S62" s="112"/>
      <c r="T62" s="112"/>
      <c r="U62" s="113"/>
      <c r="V62" s="112"/>
      <c r="W62" s="112"/>
      <c r="X62" s="112"/>
      <c r="Y62" s="113"/>
      <c r="Z62" s="113"/>
      <c r="AA62" s="113"/>
      <c r="AB62" s="113"/>
      <c r="AC62" s="113"/>
      <c r="AD62" s="113"/>
      <c r="AE62" s="113"/>
      <c r="AF62" s="113"/>
      <c r="AG62" s="113"/>
      <c r="AH62" s="113"/>
      <c r="AI62" s="113"/>
      <c r="AJ62" s="113"/>
      <c r="AK62" s="113"/>
      <c r="AL62" s="113"/>
      <c r="AM62" s="113"/>
      <c r="AN62" s="113"/>
      <c r="AO62" s="113"/>
      <c r="AP62" s="113"/>
      <c r="AQ62" s="113"/>
      <c r="AR62" s="113"/>
      <c r="AS62" s="92"/>
      <c r="AT62" s="92"/>
      <c r="AU62" s="113"/>
      <c r="AV62" s="113"/>
      <c r="AW62" s="113"/>
      <c r="AX62" s="113"/>
      <c r="AY62" s="113"/>
      <c r="AZ62" s="113"/>
      <c r="BA62" s="113"/>
      <c r="BB62" s="92"/>
      <c r="BC62" s="112"/>
      <c r="BD62" s="92"/>
      <c r="BE62" s="112"/>
      <c r="BF62" s="92"/>
      <c r="BG62" s="92"/>
      <c r="BH62" s="92"/>
      <c r="BI62" s="92"/>
      <c r="BJ62" s="93"/>
      <c r="BK62" s="93"/>
      <c r="BL62" s="92"/>
      <c r="BM62" s="92"/>
      <c r="BN62" s="92"/>
      <c r="BO62" s="93"/>
      <c r="BP62" s="93"/>
      <c r="BQ62" s="92"/>
      <c r="BR62" s="92"/>
      <c r="BS62" s="93"/>
      <c r="BT62" s="93"/>
      <c r="BU62" s="92"/>
      <c r="BV62" s="93"/>
      <c r="BW62" s="92"/>
      <c r="BX62" s="92"/>
      <c r="BY62" s="92"/>
      <c r="BZ62" s="92"/>
      <c r="CA62" s="92"/>
      <c r="CB62" s="92"/>
      <c r="CC62" s="92"/>
      <c r="CD62" s="93"/>
      <c r="CE62" s="93"/>
      <c r="CF62" s="92"/>
      <c r="CG62" s="93"/>
      <c r="CH62" s="92"/>
      <c r="CI62" s="92"/>
      <c r="CJ62" s="92"/>
      <c r="CK62" s="92"/>
      <c r="CL62" s="92"/>
      <c r="CM62" s="114"/>
      <c r="CN62" s="114"/>
      <c r="CO62" s="115"/>
      <c r="CP62" s="115"/>
      <c r="CQ62" s="115"/>
      <c r="CR62" s="115"/>
      <c r="CS62" s="114"/>
    </row>
    <row r="63" spans="1:97" ht="16.5">
      <c r="A63" s="116"/>
      <c r="B63" s="40"/>
      <c r="C63" s="92"/>
      <c r="D63" s="92"/>
      <c r="E63" s="92"/>
      <c r="F63" s="110"/>
      <c r="G63" s="92"/>
      <c r="H63" s="92"/>
      <c r="I63" s="92"/>
      <c r="J63" s="92"/>
      <c r="K63" s="92"/>
      <c r="L63" s="92"/>
      <c r="M63" s="111"/>
      <c r="N63" s="112"/>
      <c r="O63" s="92"/>
      <c r="P63" s="112"/>
      <c r="Q63" s="113"/>
      <c r="R63" s="112"/>
      <c r="S63" s="112"/>
      <c r="T63" s="112"/>
      <c r="U63" s="113"/>
      <c r="V63" s="112"/>
      <c r="W63" s="112"/>
      <c r="X63" s="112"/>
      <c r="Y63" s="113"/>
      <c r="Z63" s="113"/>
      <c r="AA63" s="113"/>
      <c r="AB63" s="113"/>
      <c r="AC63" s="113"/>
      <c r="AD63" s="113"/>
      <c r="AE63" s="113"/>
      <c r="AF63" s="113"/>
      <c r="AG63" s="113"/>
      <c r="AH63" s="113"/>
      <c r="AI63" s="113"/>
      <c r="AJ63" s="113"/>
      <c r="AK63" s="113"/>
      <c r="AL63" s="113"/>
      <c r="AM63" s="113"/>
      <c r="AN63" s="113"/>
      <c r="AO63" s="113"/>
      <c r="AP63" s="113"/>
      <c r="AQ63" s="113"/>
      <c r="AR63" s="113"/>
      <c r="AS63" s="92"/>
      <c r="AT63" s="92"/>
      <c r="AU63" s="113"/>
      <c r="AV63" s="113"/>
      <c r="AW63" s="113"/>
      <c r="AX63" s="113"/>
      <c r="AY63" s="113"/>
      <c r="AZ63" s="113"/>
      <c r="BA63" s="113"/>
      <c r="BB63" s="92"/>
      <c r="BC63" s="112"/>
      <c r="BD63" s="92"/>
      <c r="BE63" s="112"/>
      <c r="BF63" s="92"/>
      <c r="BG63" s="92"/>
      <c r="BH63" s="92"/>
      <c r="BI63" s="92"/>
      <c r="BJ63" s="93"/>
      <c r="BK63" s="93"/>
      <c r="BL63" s="92"/>
      <c r="BM63" s="92"/>
      <c r="BN63" s="92"/>
      <c r="BO63" s="93"/>
      <c r="BP63" s="93"/>
      <c r="BQ63" s="92"/>
      <c r="BR63" s="92"/>
      <c r="BS63" s="93"/>
      <c r="BT63" s="93"/>
      <c r="BU63" s="92"/>
      <c r="BV63" s="93"/>
      <c r="BW63" s="92"/>
      <c r="BX63" s="92"/>
      <c r="BY63" s="92"/>
      <c r="BZ63" s="92"/>
      <c r="CA63" s="92"/>
      <c r="CB63" s="92"/>
      <c r="CC63" s="92"/>
      <c r="CD63" s="93"/>
      <c r="CE63" s="93"/>
      <c r="CF63" s="92"/>
      <c r="CG63" s="93"/>
      <c r="CH63" s="92"/>
      <c r="CI63" s="92"/>
      <c r="CJ63" s="92"/>
      <c r="CK63" s="92"/>
      <c r="CL63" s="92"/>
      <c r="CM63" s="114"/>
      <c r="CN63" s="114"/>
      <c r="CO63" s="115"/>
      <c r="CP63" s="115"/>
      <c r="CQ63" s="115"/>
      <c r="CR63" s="115"/>
      <c r="CS63" s="114"/>
    </row>
    <row r="64" spans="1:97" ht="16.5">
      <c r="A64" s="116"/>
      <c r="B64" s="40"/>
      <c r="C64" s="92"/>
      <c r="D64" s="92"/>
      <c r="E64" s="92"/>
      <c r="F64" s="110"/>
      <c r="G64" s="92"/>
      <c r="H64" s="92"/>
      <c r="I64" s="92"/>
      <c r="J64" s="92"/>
      <c r="K64" s="92"/>
      <c r="L64" s="92"/>
      <c r="M64" s="111"/>
      <c r="N64" s="112"/>
      <c r="O64" s="92"/>
      <c r="P64" s="112"/>
      <c r="Q64" s="113"/>
      <c r="R64" s="112"/>
      <c r="S64" s="112"/>
      <c r="T64" s="112"/>
      <c r="U64" s="113"/>
      <c r="V64" s="112"/>
      <c r="W64" s="112"/>
      <c r="X64" s="112"/>
      <c r="Y64" s="113"/>
      <c r="Z64" s="113"/>
      <c r="AA64" s="113"/>
      <c r="AB64" s="113"/>
      <c r="AC64" s="113"/>
      <c r="AD64" s="113"/>
      <c r="AE64" s="113"/>
      <c r="AF64" s="113"/>
      <c r="AG64" s="113"/>
      <c r="AH64" s="113"/>
      <c r="AI64" s="113"/>
      <c r="AJ64" s="113"/>
      <c r="AK64" s="113"/>
      <c r="AL64" s="113"/>
      <c r="AM64" s="113"/>
      <c r="AN64" s="113"/>
      <c r="AO64" s="113"/>
      <c r="AP64" s="113"/>
      <c r="AQ64" s="113"/>
      <c r="AR64" s="113"/>
      <c r="AS64" s="92"/>
      <c r="AT64" s="92"/>
      <c r="AU64" s="113"/>
      <c r="AV64" s="113"/>
      <c r="AW64" s="113"/>
      <c r="AX64" s="113"/>
      <c r="AY64" s="113"/>
      <c r="AZ64" s="113"/>
      <c r="BA64" s="113"/>
      <c r="BB64" s="92"/>
      <c r="BC64" s="112"/>
      <c r="BD64" s="92"/>
      <c r="BE64" s="112"/>
      <c r="BF64" s="92"/>
      <c r="BG64" s="92"/>
      <c r="BH64" s="92"/>
      <c r="BI64" s="92"/>
      <c r="BJ64" s="93"/>
      <c r="BK64" s="93"/>
      <c r="BL64" s="92"/>
      <c r="BM64" s="92"/>
      <c r="BN64" s="92"/>
      <c r="BO64" s="93"/>
      <c r="BP64" s="93"/>
      <c r="BQ64" s="92"/>
      <c r="BR64" s="92"/>
      <c r="BS64" s="93"/>
      <c r="BT64" s="93"/>
      <c r="BU64" s="92"/>
      <c r="BV64" s="93"/>
      <c r="BW64" s="92"/>
      <c r="BX64" s="92"/>
      <c r="BY64" s="92"/>
      <c r="BZ64" s="92"/>
      <c r="CA64" s="92"/>
      <c r="CB64" s="92"/>
      <c r="CC64" s="92"/>
      <c r="CD64" s="93"/>
      <c r="CE64" s="93"/>
      <c r="CF64" s="92"/>
      <c r="CG64" s="93"/>
      <c r="CH64" s="92"/>
      <c r="CI64" s="92"/>
      <c r="CJ64" s="92"/>
      <c r="CK64" s="92"/>
      <c r="CL64" s="92"/>
      <c r="CM64" s="114"/>
      <c r="CN64" s="114"/>
      <c r="CO64" s="115"/>
      <c r="CP64" s="115"/>
      <c r="CQ64" s="115"/>
      <c r="CR64" s="115"/>
      <c r="CS64" s="114"/>
    </row>
    <row r="65" spans="1:97" ht="16.5">
      <c r="A65" s="116"/>
      <c r="B65" s="40"/>
      <c r="C65" s="92"/>
      <c r="D65" s="92"/>
      <c r="E65" s="92"/>
      <c r="F65" s="110"/>
      <c r="G65" s="92"/>
      <c r="H65" s="92"/>
      <c r="I65" s="92"/>
      <c r="J65" s="92"/>
      <c r="K65" s="92"/>
      <c r="L65" s="92"/>
      <c r="M65" s="111"/>
      <c r="N65" s="112"/>
      <c r="O65" s="92"/>
      <c r="P65" s="112"/>
      <c r="Q65" s="113"/>
      <c r="R65" s="112"/>
      <c r="S65" s="112"/>
      <c r="T65" s="112"/>
      <c r="U65" s="113"/>
      <c r="V65" s="112"/>
      <c r="W65" s="112"/>
      <c r="X65" s="112"/>
      <c r="Y65" s="113"/>
      <c r="Z65" s="113"/>
      <c r="AA65" s="113"/>
      <c r="AB65" s="113"/>
      <c r="AC65" s="113"/>
      <c r="AD65" s="113"/>
      <c r="AE65" s="113"/>
      <c r="AF65" s="113"/>
      <c r="AG65" s="113"/>
      <c r="AH65" s="113"/>
      <c r="AI65" s="113"/>
      <c r="AJ65" s="113"/>
      <c r="AK65" s="113"/>
      <c r="AL65" s="113"/>
      <c r="AM65" s="113"/>
      <c r="AN65" s="113"/>
      <c r="AO65" s="113"/>
      <c r="AP65" s="113"/>
      <c r="AQ65" s="113"/>
      <c r="AR65" s="113"/>
      <c r="AS65" s="92"/>
      <c r="AT65" s="92"/>
      <c r="AU65" s="113"/>
      <c r="AV65" s="113"/>
      <c r="AW65" s="113"/>
      <c r="AX65" s="113"/>
      <c r="AY65" s="113"/>
      <c r="AZ65" s="113"/>
      <c r="BA65" s="113"/>
      <c r="BB65" s="92"/>
      <c r="BC65" s="112"/>
      <c r="BD65" s="92"/>
      <c r="BE65" s="112"/>
      <c r="BF65" s="92"/>
      <c r="BG65" s="92"/>
      <c r="BH65" s="92"/>
      <c r="BI65" s="92"/>
      <c r="BJ65" s="93"/>
      <c r="BK65" s="93"/>
      <c r="BL65" s="92"/>
      <c r="BM65" s="92"/>
      <c r="BN65" s="92"/>
      <c r="BO65" s="93"/>
      <c r="BP65" s="93"/>
      <c r="BQ65" s="92"/>
      <c r="BR65" s="92"/>
      <c r="BS65" s="93"/>
      <c r="BT65" s="93"/>
      <c r="BU65" s="92"/>
      <c r="BV65" s="93"/>
      <c r="BW65" s="92"/>
      <c r="BX65" s="92"/>
      <c r="BY65" s="92"/>
      <c r="BZ65" s="92"/>
      <c r="CA65" s="92"/>
      <c r="CB65" s="92"/>
      <c r="CC65" s="92"/>
      <c r="CD65" s="93"/>
      <c r="CE65" s="93"/>
      <c r="CF65" s="92"/>
      <c r="CG65" s="93"/>
      <c r="CH65" s="92"/>
      <c r="CI65" s="92"/>
      <c r="CJ65" s="92"/>
      <c r="CK65" s="92"/>
      <c r="CL65" s="92"/>
      <c r="CM65" s="114"/>
      <c r="CN65" s="114"/>
      <c r="CO65" s="115"/>
      <c r="CP65" s="115"/>
      <c r="CQ65" s="115"/>
      <c r="CR65" s="115"/>
      <c r="CS65" s="114"/>
    </row>
    <row r="66" spans="1:97" ht="16.5">
      <c r="A66" s="116"/>
      <c r="B66" s="40"/>
      <c r="C66" s="92"/>
      <c r="D66" s="92"/>
      <c r="E66" s="92"/>
      <c r="F66" s="110"/>
      <c r="G66" s="92"/>
      <c r="H66" s="92"/>
      <c r="I66" s="92"/>
      <c r="J66" s="92"/>
      <c r="K66" s="92"/>
      <c r="L66" s="92"/>
      <c r="M66" s="111"/>
      <c r="N66" s="112"/>
      <c r="O66" s="92"/>
      <c r="P66" s="112"/>
      <c r="Q66" s="113"/>
      <c r="R66" s="112"/>
      <c r="S66" s="112"/>
      <c r="T66" s="112"/>
      <c r="U66" s="113"/>
      <c r="V66" s="112"/>
      <c r="W66" s="112"/>
      <c r="X66" s="112"/>
      <c r="Y66" s="113"/>
      <c r="Z66" s="113"/>
      <c r="AA66" s="113"/>
      <c r="AB66" s="113"/>
      <c r="AC66" s="113"/>
      <c r="AD66" s="113"/>
      <c r="AE66" s="113"/>
      <c r="AF66" s="113"/>
      <c r="AG66" s="113"/>
      <c r="AH66" s="113"/>
      <c r="AI66" s="113"/>
      <c r="AJ66" s="113"/>
      <c r="AK66" s="113"/>
      <c r="AL66" s="113"/>
      <c r="AM66" s="113"/>
      <c r="AN66" s="113"/>
      <c r="AO66" s="113"/>
      <c r="AP66" s="113"/>
      <c r="AQ66" s="113"/>
      <c r="AR66" s="113"/>
      <c r="AS66" s="92"/>
      <c r="AT66" s="92"/>
      <c r="AU66" s="113"/>
      <c r="AV66" s="113"/>
      <c r="AW66" s="113"/>
      <c r="AX66" s="113"/>
      <c r="AY66" s="113"/>
      <c r="AZ66" s="113"/>
      <c r="BA66" s="113"/>
      <c r="BB66" s="92"/>
      <c r="BC66" s="112"/>
      <c r="BD66" s="92"/>
      <c r="BE66" s="112"/>
      <c r="BF66" s="92"/>
      <c r="BG66" s="92"/>
      <c r="BH66" s="92"/>
      <c r="BI66" s="92"/>
      <c r="BJ66" s="93"/>
      <c r="BK66" s="93"/>
      <c r="BL66" s="92"/>
      <c r="BM66" s="92"/>
      <c r="BN66" s="92"/>
      <c r="BO66" s="93"/>
      <c r="BP66" s="93"/>
      <c r="BQ66" s="92"/>
      <c r="BR66" s="92"/>
      <c r="BS66" s="93"/>
      <c r="BT66" s="93"/>
      <c r="BU66" s="92"/>
      <c r="BV66" s="93"/>
      <c r="BW66" s="92"/>
      <c r="BX66" s="92"/>
      <c r="BY66" s="92"/>
      <c r="BZ66" s="92"/>
      <c r="CA66" s="92"/>
      <c r="CB66" s="92"/>
      <c r="CC66" s="92"/>
      <c r="CD66" s="93"/>
      <c r="CE66" s="93"/>
      <c r="CF66" s="92"/>
      <c r="CG66" s="93"/>
      <c r="CH66" s="92"/>
      <c r="CI66" s="92"/>
      <c r="CJ66" s="92"/>
      <c r="CK66" s="92"/>
      <c r="CL66" s="92"/>
      <c r="CM66" s="114"/>
      <c r="CN66" s="114"/>
      <c r="CO66" s="115"/>
      <c r="CP66" s="115"/>
      <c r="CQ66" s="115"/>
      <c r="CR66" s="115"/>
      <c r="CS66" s="114"/>
    </row>
    <row r="67" spans="1:97" ht="16.5">
      <c r="A67" s="116"/>
      <c r="B67" s="40"/>
      <c r="C67" s="92"/>
      <c r="D67" s="92"/>
      <c r="E67" s="92"/>
      <c r="F67" s="110"/>
      <c r="G67" s="92"/>
      <c r="H67" s="92"/>
      <c r="I67" s="92"/>
      <c r="J67" s="92"/>
      <c r="K67" s="92"/>
      <c r="L67" s="92"/>
      <c r="M67" s="111"/>
      <c r="N67" s="112"/>
      <c r="O67" s="92"/>
      <c r="P67" s="112"/>
      <c r="Q67" s="113"/>
      <c r="R67" s="112"/>
      <c r="S67" s="112"/>
      <c r="T67" s="112"/>
      <c r="U67" s="113"/>
      <c r="V67" s="112"/>
      <c r="W67" s="112"/>
      <c r="X67" s="112"/>
      <c r="Y67" s="113"/>
      <c r="Z67" s="113"/>
      <c r="AA67" s="113"/>
      <c r="AB67" s="113"/>
      <c r="AC67" s="113"/>
      <c r="AD67" s="113"/>
      <c r="AE67" s="113"/>
      <c r="AF67" s="113"/>
      <c r="AG67" s="113"/>
      <c r="AH67" s="113"/>
      <c r="AI67" s="113"/>
      <c r="AJ67" s="113"/>
      <c r="AK67" s="113"/>
      <c r="AL67" s="113"/>
      <c r="AM67" s="113"/>
      <c r="AN67" s="113"/>
      <c r="AO67" s="113"/>
      <c r="AP67" s="113"/>
      <c r="AQ67" s="113"/>
      <c r="AR67" s="113"/>
      <c r="AS67" s="92"/>
      <c r="AT67" s="92"/>
      <c r="AU67" s="113"/>
      <c r="AV67" s="113"/>
      <c r="AW67" s="113"/>
      <c r="AX67" s="113"/>
      <c r="AY67" s="113"/>
      <c r="AZ67" s="113"/>
      <c r="BA67" s="113"/>
      <c r="BB67" s="92"/>
      <c r="BC67" s="112"/>
      <c r="BD67" s="92"/>
      <c r="BE67" s="112"/>
      <c r="BF67" s="92"/>
      <c r="BG67" s="92"/>
      <c r="BH67" s="92"/>
      <c r="BI67" s="92"/>
      <c r="BJ67" s="93"/>
      <c r="BK67" s="93"/>
      <c r="BL67" s="92"/>
      <c r="BM67" s="92"/>
      <c r="BN67" s="92"/>
      <c r="BO67" s="93"/>
      <c r="BP67" s="93"/>
      <c r="BQ67" s="92"/>
      <c r="BR67" s="92"/>
      <c r="BS67" s="93"/>
      <c r="BT67" s="93"/>
      <c r="BU67" s="92"/>
      <c r="BV67" s="93"/>
      <c r="BW67" s="92"/>
      <c r="BX67" s="92"/>
      <c r="BY67" s="92"/>
      <c r="BZ67" s="92"/>
      <c r="CA67" s="92"/>
      <c r="CB67" s="92"/>
      <c r="CC67" s="92"/>
      <c r="CD67" s="93"/>
      <c r="CE67" s="93"/>
      <c r="CF67" s="92"/>
      <c r="CG67" s="93"/>
      <c r="CH67" s="92"/>
      <c r="CI67" s="92"/>
      <c r="CJ67" s="92"/>
      <c r="CK67" s="92"/>
      <c r="CL67" s="92"/>
      <c r="CM67" s="114"/>
      <c r="CN67" s="114"/>
      <c r="CO67" s="115"/>
      <c r="CP67" s="115"/>
      <c r="CQ67" s="115"/>
      <c r="CR67" s="115"/>
      <c r="CS67" s="114"/>
    </row>
    <row r="68" spans="1:97" ht="16.5">
      <c r="A68" s="116"/>
      <c r="B68" s="40"/>
      <c r="C68" s="92"/>
      <c r="D68" s="92"/>
      <c r="E68" s="92"/>
      <c r="F68" s="110"/>
      <c r="G68" s="92"/>
      <c r="H68" s="92"/>
      <c r="I68" s="92"/>
      <c r="J68" s="92"/>
      <c r="K68" s="92"/>
      <c r="L68" s="92"/>
      <c r="M68" s="111"/>
      <c r="N68" s="112"/>
      <c r="O68" s="92"/>
      <c r="P68" s="112"/>
      <c r="Q68" s="113"/>
      <c r="R68" s="112"/>
      <c r="S68" s="112"/>
      <c r="T68" s="112"/>
      <c r="U68" s="113"/>
      <c r="V68" s="112"/>
      <c r="W68" s="112"/>
      <c r="X68" s="112"/>
      <c r="Y68" s="113"/>
      <c r="Z68" s="113"/>
      <c r="AA68" s="113"/>
      <c r="AB68" s="113"/>
      <c r="AC68" s="113"/>
      <c r="AD68" s="113"/>
      <c r="AE68" s="113"/>
      <c r="AF68" s="113"/>
      <c r="AG68" s="113"/>
      <c r="AH68" s="113"/>
      <c r="AI68" s="113"/>
      <c r="AJ68" s="113"/>
      <c r="AK68" s="113"/>
      <c r="AL68" s="113"/>
      <c r="AM68" s="113"/>
      <c r="AN68" s="113"/>
      <c r="AO68" s="113"/>
      <c r="AP68" s="113"/>
      <c r="AQ68" s="113"/>
      <c r="AR68" s="113"/>
      <c r="AS68" s="92"/>
      <c r="AT68" s="92"/>
      <c r="AU68" s="113"/>
      <c r="AV68" s="113"/>
      <c r="AW68" s="113"/>
      <c r="AX68" s="113"/>
      <c r="AY68" s="113"/>
      <c r="AZ68" s="113"/>
      <c r="BA68" s="113"/>
      <c r="BB68" s="92"/>
      <c r="BC68" s="112"/>
      <c r="BD68" s="92"/>
      <c r="BE68" s="112"/>
      <c r="BF68" s="92"/>
      <c r="BG68" s="92"/>
      <c r="BH68" s="92"/>
      <c r="BI68" s="92"/>
      <c r="BJ68" s="93"/>
      <c r="BK68" s="93"/>
      <c r="BL68" s="92"/>
      <c r="BM68" s="92"/>
      <c r="BN68" s="92"/>
      <c r="BO68" s="93"/>
      <c r="BP68" s="93"/>
      <c r="BQ68" s="92"/>
      <c r="BR68" s="92"/>
      <c r="BS68" s="93"/>
      <c r="BT68" s="93"/>
      <c r="BU68" s="92"/>
      <c r="BV68" s="93"/>
      <c r="BW68" s="92"/>
      <c r="BX68" s="92"/>
      <c r="BY68" s="92"/>
      <c r="BZ68" s="92"/>
      <c r="CA68" s="92"/>
      <c r="CB68" s="92"/>
      <c r="CC68" s="92"/>
      <c r="CD68" s="93"/>
      <c r="CE68" s="93"/>
      <c r="CF68" s="92"/>
      <c r="CG68" s="93"/>
      <c r="CH68" s="92"/>
      <c r="CI68" s="92"/>
      <c r="CJ68" s="92"/>
      <c r="CK68" s="92"/>
      <c r="CL68" s="92"/>
      <c r="CM68" s="114"/>
      <c r="CN68" s="114"/>
      <c r="CO68" s="115"/>
      <c r="CP68" s="115"/>
      <c r="CQ68" s="115"/>
      <c r="CR68" s="115"/>
      <c r="CS68" s="114"/>
    </row>
    <row r="69" spans="1:97" ht="16.5">
      <c r="A69" s="116"/>
      <c r="B69" s="40"/>
      <c r="C69" s="92"/>
      <c r="D69" s="92"/>
      <c r="E69" s="92"/>
      <c r="F69" s="110"/>
      <c r="G69" s="92"/>
      <c r="H69" s="92"/>
      <c r="I69" s="92"/>
      <c r="J69" s="92"/>
      <c r="K69" s="92"/>
      <c r="L69" s="92"/>
      <c r="M69" s="111"/>
      <c r="N69" s="112"/>
      <c r="O69" s="92"/>
      <c r="P69" s="112"/>
      <c r="Q69" s="113"/>
      <c r="R69" s="112"/>
      <c r="S69" s="112"/>
      <c r="T69" s="112"/>
      <c r="U69" s="113"/>
      <c r="V69" s="112"/>
      <c r="W69" s="112"/>
      <c r="X69" s="112"/>
      <c r="Y69" s="113"/>
      <c r="Z69" s="113"/>
      <c r="AA69" s="113"/>
      <c r="AB69" s="113"/>
      <c r="AC69" s="113"/>
      <c r="AD69" s="113"/>
      <c r="AE69" s="113"/>
      <c r="AF69" s="113"/>
      <c r="AG69" s="113"/>
      <c r="AH69" s="113"/>
      <c r="AI69" s="113"/>
      <c r="AJ69" s="113"/>
      <c r="AK69" s="113"/>
      <c r="AL69" s="113"/>
      <c r="AM69" s="113"/>
      <c r="AN69" s="113"/>
      <c r="AO69" s="113"/>
      <c r="AP69" s="113"/>
      <c r="AQ69" s="113"/>
      <c r="AR69" s="113"/>
      <c r="AS69" s="92"/>
      <c r="AT69" s="92"/>
      <c r="AU69" s="113"/>
      <c r="AV69" s="113"/>
      <c r="AW69" s="113"/>
      <c r="AX69" s="113"/>
      <c r="AY69" s="113"/>
      <c r="AZ69" s="113"/>
      <c r="BA69" s="113"/>
      <c r="BB69" s="92"/>
      <c r="BC69" s="112"/>
      <c r="BD69" s="92"/>
      <c r="BE69" s="112"/>
      <c r="BF69" s="92"/>
      <c r="BG69" s="92"/>
      <c r="BH69" s="92"/>
      <c r="BI69" s="92"/>
      <c r="BJ69" s="93"/>
      <c r="BK69" s="93"/>
      <c r="BL69" s="92"/>
      <c r="BM69" s="92"/>
      <c r="BN69" s="92"/>
      <c r="BO69" s="93"/>
      <c r="BP69" s="93"/>
      <c r="BQ69" s="92"/>
      <c r="BR69" s="92"/>
      <c r="BS69" s="93"/>
      <c r="BT69" s="93"/>
      <c r="BU69" s="92"/>
      <c r="BV69" s="93"/>
      <c r="BW69" s="92"/>
      <c r="BX69" s="92"/>
      <c r="BY69" s="92"/>
      <c r="BZ69" s="92"/>
      <c r="CA69" s="92"/>
      <c r="CB69" s="92"/>
      <c r="CC69" s="92"/>
      <c r="CD69" s="93"/>
      <c r="CE69" s="93"/>
      <c r="CF69" s="92"/>
      <c r="CG69" s="93"/>
      <c r="CH69" s="92"/>
      <c r="CI69" s="92"/>
      <c r="CJ69" s="92"/>
      <c r="CK69" s="92"/>
      <c r="CL69" s="92"/>
      <c r="CM69" s="114"/>
      <c r="CN69" s="114"/>
      <c r="CO69" s="115"/>
      <c r="CP69" s="115"/>
      <c r="CQ69" s="115"/>
      <c r="CR69" s="115"/>
      <c r="CS69" s="114"/>
    </row>
    <row r="70" spans="1:97" ht="16.5">
      <c r="A70" s="116"/>
      <c r="B70" s="40"/>
      <c r="C70" s="92"/>
      <c r="D70" s="92"/>
      <c r="E70" s="92"/>
      <c r="F70" s="110"/>
      <c r="G70" s="92"/>
      <c r="H70" s="92"/>
      <c r="I70" s="92"/>
      <c r="J70" s="92"/>
      <c r="K70" s="92"/>
      <c r="L70" s="92"/>
      <c r="M70" s="111"/>
      <c r="N70" s="112"/>
      <c r="O70" s="92"/>
      <c r="P70" s="112"/>
      <c r="Q70" s="113"/>
      <c r="R70" s="112"/>
      <c r="S70" s="112"/>
      <c r="T70" s="112"/>
      <c r="U70" s="113"/>
      <c r="V70" s="112"/>
      <c r="W70" s="112"/>
      <c r="X70" s="112"/>
      <c r="Y70" s="113"/>
      <c r="Z70" s="113"/>
      <c r="AA70" s="113"/>
      <c r="AB70" s="113"/>
      <c r="AC70" s="113"/>
      <c r="AD70" s="113"/>
      <c r="AE70" s="113"/>
      <c r="AF70" s="113"/>
      <c r="AG70" s="113"/>
      <c r="AH70" s="113"/>
      <c r="AI70" s="113"/>
      <c r="AJ70" s="113"/>
      <c r="AK70" s="113"/>
      <c r="AL70" s="113"/>
      <c r="AM70" s="113"/>
      <c r="AN70" s="113"/>
      <c r="AO70" s="113"/>
      <c r="AP70" s="113"/>
      <c r="AQ70" s="113"/>
      <c r="AR70" s="113"/>
      <c r="AS70" s="92"/>
      <c r="AT70" s="92"/>
      <c r="AU70" s="113"/>
      <c r="AV70" s="113"/>
      <c r="AW70" s="113"/>
      <c r="AX70" s="113"/>
      <c r="AY70" s="113"/>
      <c r="AZ70" s="113"/>
      <c r="BA70" s="113"/>
      <c r="BB70" s="92"/>
      <c r="BC70" s="112"/>
      <c r="BD70" s="92"/>
      <c r="BE70" s="112"/>
      <c r="BF70" s="92"/>
      <c r="BG70" s="92"/>
      <c r="BH70" s="92"/>
      <c r="BI70" s="92"/>
      <c r="BJ70" s="93"/>
      <c r="BK70" s="93"/>
      <c r="BL70" s="92"/>
      <c r="BM70" s="92"/>
      <c r="BN70" s="92"/>
      <c r="BO70" s="93"/>
      <c r="BP70" s="93"/>
      <c r="BQ70" s="92"/>
      <c r="BR70" s="92"/>
      <c r="BS70" s="93"/>
      <c r="BT70" s="93"/>
      <c r="BU70" s="92"/>
      <c r="BV70" s="93"/>
      <c r="BW70" s="92"/>
      <c r="BX70" s="92"/>
      <c r="BY70" s="92"/>
      <c r="BZ70" s="92"/>
      <c r="CA70" s="92"/>
      <c r="CB70" s="92"/>
      <c r="CC70" s="92"/>
      <c r="CD70" s="93"/>
      <c r="CE70" s="93"/>
      <c r="CF70" s="92"/>
      <c r="CG70" s="93"/>
      <c r="CH70" s="92"/>
      <c r="CI70" s="92"/>
      <c r="CJ70" s="92"/>
      <c r="CK70" s="92"/>
      <c r="CL70" s="92"/>
      <c r="CM70" s="114"/>
      <c r="CN70" s="114"/>
      <c r="CO70" s="115"/>
      <c r="CP70" s="115"/>
      <c r="CQ70" s="115"/>
      <c r="CR70" s="115"/>
      <c r="CS70" s="114"/>
    </row>
    <row r="71" spans="1:97" ht="16.5">
      <c r="A71" s="116"/>
      <c r="B71" s="40"/>
      <c r="C71" s="92"/>
      <c r="D71" s="92"/>
      <c r="E71" s="92"/>
      <c r="F71" s="110"/>
      <c r="G71" s="92"/>
      <c r="H71" s="92"/>
      <c r="I71" s="92"/>
      <c r="J71" s="92"/>
      <c r="K71" s="92"/>
      <c r="L71" s="92"/>
      <c r="M71" s="111"/>
      <c r="N71" s="112"/>
      <c r="O71" s="92"/>
      <c r="P71" s="112"/>
      <c r="Q71" s="113"/>
      <c r="R71" s="112"/>
      <c r="S71" s="112"/>
      <c r="T71" s="112"/>
      <c r="U71" s="113"/>
      <c r="V71" s="112"/>
      <c r="W71" s="112"/>
      <c r="X71" s="112"/>
      <c r="Y71" s="113"/>
      <c r="Z71" s="113"/>
      <c r="AA71" s="113"/>
      <c r="AB71" s="113"/>
      <c r="AC71" s="113"/>
      <c r="AD71" s="113"/>
      <c r="AE71" s="113"/>
      <c r="AF71" s="113"/>
      <c r="AG71" s="113"/>
      <c r="AH71" s="113"/>
      <c r="AI71" s="113"/>
      <c r="AJ71" s="113"/>
      <c r="AK71" s="113"/>
      <c r="AL71" s="113"/>
      <c r="AM71" s="113"/>
      <c r="AN71" s="113"/>
      <c r="AO71" s="113"/>
      <c r="AP71" s="113"/>
      <c r="AQ71" s="113"/>
      <c r="AR71" s="113"/>
      <c r="AS71" s="92"/>
      <c r="AT71" s="92"/>
      <c r="AU71" s="113"/>
      <c r="AV71" s="113"/>
      <c r="AW71" s="113"/>
      <c r="AX71" s="113"/>
      <c r="AY71" s="113"/>
      <c r="AZ71" s="113"/>
      <c r="BA71" s="113"/>
      <c r="BB71" s="92"/>
      <c r="BC71" s="112"/>
      <c r="BD71" s="92"/>
      <c r="BE71" s="112"/>
      <c r="BF71" s="92"/>
      <c r="BG71" s="92"/>
      <c r="BH71" s="92"/>
      <c r="BI71" s="92"/>
      <c r="BJ71" s="93"/>
      <c r="BK71" s="93"/>
      <c r="BL71" s="92"/>
      <c r="BM71" s="92"/>
      <c r="BN71" s="92"/>
      <c r="BO71" s="93"/>
      <c r="BP71" s="93"/>
      <c r="BQ71" s="92"/>
      <c r="BR71" s="92"/>
      <c r="BS71" s="93"/>
      <c r="BT71" s="93"/>
      <c r="BU71" s="92"/>
      <c r="BV71" s="93"/>
      <c r="BW71" s="92"/>
      <c r="BX71" s="92"/>
      <c r="BY71" s="92"/>
      <c r="BZ71" s="92"/>
      <c r="CA71" s="92"/>
      <c r="CB71" s="92"/>
      <c r="CC71" s="92"/>
      <c r="CD71" s="93"/>
      <c r="CE71" s="93"/>
      <c r="CF71" s="92"/>
      <c r="CG71" s="93"/>
      <c r="CH71" s="92"/>
      <c r="CI71" s="92"/>
      <c r="CJ71" s="92"/>
      <c r="CK71" s="92"/>
      <c r="CL71" s="92"/>
      <c r="CM71" s="114"/>
      <c r="CN71" s="114"/>
      <c r="CO71" s="115"/>
      <c r="CP71" s="115"/>
      <c r="CQ71" s="115"/>
      <c r="CR71" s="115"/>
      <c r="CS71" s="114"/>
    </row>
    <row r="72" spans="1:97" ht="16.5">
      <c r="A72" s="116"/>
      <c r="B72" s="40"/>
      <c r="C72" s="92"/>
      <c r="D72" s="92"/>
      <c r="E72" s="92"/>
      <c r="F72" s="110"/>
      <c r="G72" s="92"/>
      <c r="H72" s="92"/>
      <c r="I72" s="92"/>
      <c r="J72" s="92"/>
      <c r="K72" s="92"/>
      <c r="L72" s="92"/>
      <c r="M72" s="111"/>
      <c r="N72" s="112"/>
      <c r="O72" s="92"/>
      <c r="P72" s="112"/>
      <c r="Q72" s="113"/>
      <c r="R72" s="112"/>
      <c r="S72" s="112"/>
      <c r="T72" s="112"/>
      <c r="U72" s="113"/>
      <c r="V72" s="112"/>
      <c r="W72" s="112"/>
      <c r="X72" s="112"/>
      <c r="Y72" s="113"/>
      <c r="Z72" s="113"/>
      <c r="AA72" s="113"/>
      <c r="AB72" s="113"/>
      <c r="AC72" s="113"/>
      <c r="AD72" s="113"/>
      <c r="AE72" s="113"/>
      <c r="AF72" s="113"/>
      <c r="AG72" s="113"/>
      <c r="AH72" s="113"/>
      <c r="AI72" s="113"/>
      <c r="AJ72" s="113"/>
      <c r="AK72" s="113"/>
      <c r="AL72" s="113"/>
      <c r="AM72" s="113"/>
      <c r="AN72" s="113"/>
      <c r="AO72" s="113"/>
      <c r="AP72" s="113"/>
      <c r="AQ72" s="113"/>
      <c r="AR72" s="113"/>
      <c r="AS72" s="92"/>
      <c r="AT72" s="92"/>
      <c r="AU72" s="113"/>
      <c r="AV72" s="113"/>
      <c r="AW72" s="113"/>
      <c r="AX72" s="113"/>
      <c r="AY72" s="113"/>
      <c r="AZ72" s="113"/>
      <c r="BA72" s="113"/>
      <c r="BB72" s="92"/>
      <c r="BC72" s="112"/>
      <c r="BD72" s="92"/>
      <c r="BE72" s="112"/>
      <c r="BF72" s="92"/>
      <c r="BG72" s="92"/>
      <c r="BH72" s="92"/>
      <c r="BI72" s="92"/>
      <c r="BJ72" s="93"/>
      <c r="BK72" s="93"/>
      <c r="BL72" s="92"/>
      <c r="BM72" s="92"/>
      <c r="BN72" s="92"/>
      <c r="BO72" s="93"/>
      <c r="BP72" s="93"/>
      <c r="BQ72" s="92"/>
      <c r="BR72" s="92"/>
      <c r="BS72" s="93"/>
      <c r="BT72" s="93"/>
      <c r="BU72" s="92"/>
      <c r="BV72" s="93"/>
      <c r="BW72" s="92"/>
      <c r="BX72" s="92"/>
      <c r="BY72" s="92"/>
      <c r="BZ72" s="92"/>
      <c r="CA72" s="92"/>
      <c r="CB72" s="92"/>
      <c r="CC72" s="92"/>
      <c r="CD72" s="93"/>
      <c r="CE72" s="93"/>
      <c r="CF72" s="92"/>
      <c r="CG72" s="93"/>
      <c r="CH72" s="92"/>
      <c r="CI72" s="92"/>
      <c r="CJ72" s="92"/>
      <c r="CK72" s="92"/>
      <c r="CL72" s="92"/>
      <c r="CM72" s="114"/>
      <c r="CN72" s="114"/>
      <c r="CO72" s="115"/>
      <c r="CP72" s="115"/>
      <c r="CQ72" s="115"/>
      <c r="CR72" s="115"/>
      <c r="CS72" s="114"/>
    </row>
    <row r="73" spans="1:97" ht="16.5">
      <c r="A73" s="116"/>
      <c r="B73" s="40"/>
      <c r="C73" s="92"/>
      <c r="D73" s="92"/>
      <c r="E73" s="92"/>
      <c r="F73" s="110"/>
      <c r="G73" s="92"/>
      <c r="H73" s="92"/>
      <c r="I73" s="92"/>
      <c r="J73" s="92"/>
      <c r="K73" s="92"/>
      <c r="L73" s="92"/>
      <c r="M73" s="111"/>
      <c r="N73" s="112"/>
      <c r="O73" s="92"/>
      <c r="P73" s="112"/>
      <c r="Q73" s="113"/>
      <c r="R73" s="112"/>
      <c r="S73" s="112"/>
      <c r="T73" s="112"/>
      <c r="U73" s="113"/>
      <c r="V73" s="112"/>
      <c r="W73" s="112"/>
      <c r="X73" s="112"/>
      <c r="Y73" s="113"/>
      <c r="Z73" s="113"/>
      <c r="AA73" s="113"/>
      <c r="AB73" s="113"/>
      <c r="AC73" s="113"/>
      <c r="AD73" s="113"/>
      <c r="AE73" s="113"/>
      <c r="AF73" s="113"/>
      <c r="AG73" s="113"/>
      <c r="AH73" s="113"/>
      <c r="AI73" s="113"/>
      <c r="AJ73" s="113"/>
      <c r="AK73" s="113"/>
      <c r="AL73" s="113"/>
      <c r="AM73" s="113"/>
      <c r="AN73" s="113"/>
      <c r="AO73" s="113"/>
      <c r="AP73" s="113"/>
      <c r="AQ73" s="113"/>
      <c r="AR73" s="113"/>
      <c r="AS73" s="92"/>
      <c r="AT73" s="92"/>
      <c r="AU73" s="113"/>
      <c r="AV73" s="113"/>
      <c r="AW73" s="113"/>
      <c r="AX73" s="113"/>
      <c r="AY73" s="113"/>
      <c r="AZ73" s="113"/>
      <c r="BA73" s="113"/>
      <c r="BB73" s="92"/>
      <c r="BC73" s="112"/>
      <c r="BD73" s="92"/>
      <c r="BE73" s="112"/>
      <c r="BF73" s="92"/>
      <c r="BG73" s="92"/>
      <c r="BH73" s="92"/>
      <c r="BI73" s="92"/>
      <c r="BJ73" s="93"/>
      <c r="BK73" s="93"/>
      <c r="BL73" s="92"/>
      <c r="BM73" s="92"/>
      <c r="BN73" s="92"/>
      <c r="BO73" s="93"/>
      <c r="BP73" s="93"/>
      <c r="BQ73" s="92"/>
      <c r="BR73" s="92"/>
      <c r="BS73" s="93"/>
      <c r="BT73" s="93"/>
      <c r="BU73" s="92"/>
      <c r="BV73" s="93"/>
      <c r="BW73" s="92"/>
      <c r="BX73" s="92"/>
      <c r="BY73" s="92"/>
      <c r="BZ73" s="92"/>
      <c r="CA73" s="92"/>
      <c r="CB73" s="92"/>
      <c r="CC73" s="92"/>
      <c r="CD73" s="93"/>
      <c r="CE73" s="93"/>
      <c r="CF73" s="92"/>
      <c r="CG73" s="93"/>
      <c r="CH73" s="92"/>
      <c r="CI73" s="92"/>
      <c r="CJ73" s="92"/>
      <c r="CK73" s="92"/>
      <c r="CL73" s="92"/>
      <c r="CM73" s="114"/>
      <c r="CN73" s="114"/>
      <c r="CO73" s="115"/>
      <c r="CP73" s="115"/>
      <c r="CQ73" s="115"/>
      <c r="CR73" s="115"/>
      <c r="CS73" s="114"/>
    </row>
    <row r="74" spans="1:97" ht="16.5">
      <c r="A74" s="116"/>
      <c r="B74" s="40"/>
      <c r="C74" s="92"/>
      <c r="D74" s="92"/>
      <c r="E74" s="92"/>
      <c r="F74" s="110"/>
      <c r="G74" s="92"/>
      <c r="H74" s="92"/>
      <c r="I74" s="92"/>
      <c r="J74" s="92"/>
      <c r="K74" s="92"/>
      <c r="L74" s="92"/>
      <c r="M74" s="111"/>
      <c r="N74" s="112"/>
      <c r="O74" s="92"/>
      <c r="P74" s="112"/>
      <c r="Q74" s="113"/>
      <c r="R74" s="112"/>
      <c r="S74" s="112"/>
      <c r="T74" s="112"/>
      <c r="U74" s="113"/>
      <c r="V74" s="112"/>
      <c r="W74" s="112"/>
      <c r="X74" s="112"/>
      <c r="Y74" s="113"/>
      <c r="Z74" s="113"/>
      <c r="AA74" s="113"/>
      <c r="AB74" s="113"/>
      <c r="AC74" s="113"/>
      <c r="AD74" s="113"/>
      <c r="AE74" s="113"/>
      <c r="AF74" s="113"/>
      <c r="AG74" s="113"/>
      <c r="AH74" s="113"/>
      <c r="AI74" s="113"/>
      <c r="AJ74" s="113"/>
      <c r="AK74" s="113"/>
      <c r="AL74" s="113"/>
      <c r="AM74" s="113"/>
      <c r="AN74" s="113"/>
      <c r="AO74" s="113"/>
      <c r="AP74" s="113"/>
      <c r="AQ74" s="113"/>
      <c r="AR74" s="113"/>
      <c r="AS74" s="92"/>
      <c r="AT74" s="92"/>
      <c r="AU74" s="113"/>
      <c r="AV74" s="113"/>
      <c r="AW74" s="113"/>
      <c r="AX74" s="113"/>
      <c r="AY74" s="113"/>
      <c r="AZ74" s="113"/>
      <c r="BA74" s="113"/>
      <c r="BB74" s="92"/>
      <c r="BC74" s="112"/>
      <c r="BD74" s="92"/>
      <c r="BE74" s="112"/>
      <c r="BF74" s="92"/>
      <c r="BG74" s="92"/>
      <c r="BH74" s="92"/>
      <c r="BI74" s="92"/>
      <c r="BJ74" s="93"/>
      <c r="BK74" s="93"/>
      <c r="BL74" s="92"/>
      <c r="BM74" s="92"/>
      <c r="BN74" s="92"/>
      <c r="BO74" s="93"/>
      <c r="BP74" s="93"/>
      <c r="BQ74" s="92"/>
      <c r="BR74" s="92"/>
      <c r="BS74" s="93"/>
      <c r="BT74" s="93"/>
      <c r="BU74" s="92"/>
      <c r="BV74" s="93"/>
      <c r="BW74" s="92"/>
      <c r="BX74" s="92"/>
      <c r="BY74" s="92"/>
      <c r="BZ74" s="92"/>
      <c r="CA74" s="92"/>
      <c r="CB74" s="92"/>
      <c r="CC74" s="92"/>
      <c r="CD74" s="93"/>
      <c r="CE74" s="93"/>
      <c r="CF74" s="92"/>
      <c r="CG74" s="93"/>
      <c r="CH74" s="92"/>
      <c r="CI74" s="92"/>
      <c r="CJ74" s="92"/>
      <c r="CK74" s="92"/>
      <c r="CL74" s="92"/>
      <c r="CM74" s="114"/>
      <c r="CN74" s="114"/>
      <c r="CO74" s="115"/>
      <c r="CP74" s="115"/>
      <c r="CQ74" s="115"/>
      <c r="CR74" s="115"/>
      <c r="CS74" s="114"/>
    </row>
    <row r="75" spans="1:97" ht="16.5">
      <c r="A75" s="116"/>
      <c r="B75" s="40"/>
      <c r="C75" s="92"/>
      <c r="D75" s="92"/>
      <c r="E75" s="92"/>
      <c r="F75" s="110"/>
      <c r="G75" s="92"/>
      <c r="H75" s="92"/>
      <c r="I75" s="92"/>
      <c r="J75" s="92"/>
      <c r="K75" s="92"/>
      <c r="L75" s="92"/>
      <c r="M75" s="111"/>
      <c r="N75" s="112"/>
      <c r="O75" s="92"/>
      <c r="P75" s="112"/>
      <c r="Q75" s="113"/>
      <c r="R75" s="112"/>
      <c r="S75" s="112"/>
      <c r="T75" s="112"/>
      <c r="U75" s="113"/>
      <c r="V75" s="112"/>
      <c r="W75" s="112"/>
      <c r="X75" s="112"/>
      <c r="Y75" s="113"/>
      <c r="Z75" s="113"/>
      <c r="AA75" s="113"/>
      <c r="AB75" s="113"/>
      <c r="AC75" s="113"/>
      <c r="AD75" s="113"/>
      <c r="AE75" s="113"/>
      <c r="AF75" s="113"/>
      <c r="AG75" s="113"/>
      <c r="AH75" s="113"/>
      <c r="AI75" s="113"/>
      <c r="AJ75" s="113"/>
      <c r="AK75" s="113"/>
      <c r="AL75" s="113"/>
      <c r="AM75" s="113"/>
      <c r="AN75" s="113"/>
      <c r="AO75" s="113"/>
      <c r="AP75" s="113"/>
      <c r="AQ75" s="113"/>
      <c r="AR75" s="113"/>
      <c r="AS75" s="92"/>
      <c r="AT75" s="92"/>
      <c r="AU75" s="113"/>
      <c r="AV75" s="113"/>
      <c r="AW75" s="113"/>
      <c r="AX75" s="113"/>
      <c r="AY75" s="113"/>
      <c r="AZ75" s="113"/>
      <c r="BA75" s="113"/>
      <c r="BB75" s="92"/>
      <c r="BC75" s="112"/>
      <c r="BD75" s="92"/>
      <c r="BE75" s="112"/>
      <c r="BF75" s="92"/>
      <c r="BG75" s="92"/>
      <c r="BH75" s="92"/>
      <c r="BI75" s="92"/>
      <c r="BJ75" s="93"/>
      <c r="BK75" s="93"/>
      <c r="BL75" s="92"/>
      <c r="BM75" s="92"/>
      <c r="BN75" s="92"/>
      <c r="BO75" s="93"/>
      <c r="BP75" s="93"/>
      <c r="BQ75" s="92"/>
      <c r="BR75" s="92"/>
      <c r="BS75" s="93"/>
      <c r="BT75" s="93"/>
      <c r="BU75" s="92"/>
      <c r="BV75" s="93"/>
      <c r="BW75" s="92"/>
      <c r="BX75" s="92"/>
      <c r="BY75" s="92"/>
      <c r="BZ75" s="92"/>
      <c r="CA75" s="92"/>
      <c r="CB75" s="92"/>
      <c r="CC75" s="92"/>
      <c r="CD75" s="93"/>
      <c r="CE75" s="93"/>
      <c r="CF75" s="92"/>
      <c r="CG75" s="93"/>
      <c r="CH75" s="92"/>
      <c r="CI75" s="92"/>
      <c r="CJ75" s="92"/>
      <c r="CK75" s="92"/>
      <c r="CL75" s="92"/>
      <c r="CM75" s="114"/>
      <c r="CN75" s="114"/>
      <c r="CO75" s="115"/>
      <c r="CP75" s="115"/>
      <c r="CQ75" s="115"/>
      <c r="CR75" s="115"/>
      <c r="CS75" s="114"/>
    </row>
    <row r="76" spans="1:97" ht="16.5">
      <c r="A76" s="116"/>
      <c r="B76" s="40"/>
      <c r="C76" s="92"/>
      <c r="D76" s="92"/>
      <c r="E76" s="92"/>
      <c r="F76" s="110"/>
      <c r="G76" s="92"/>
      <c r="H76" s="92"/>
      <c r="I76" s="92"/>
      <c r="J76" s="92"/>
      <c r="K76" s="92"/>
      <c r="L76" s="92"/>
      <c r="M76" s="111"/>
      <c r="N76" s="112"/>
      <c r="O76" s="92"/>
      <c r="P76" s="112"/>
      <c r="Q76" s="113"/>
      <c r="R76" s="112"/>
      <c r="S76" s="112"/>
      <c r="T76" s="112"/>
      <c r="U76" s="113"/>
      <c r="V76" s="112"/>
      <c r="W76" s="112"/>
      <c r="X76" s="112"/>
      <c r="Y76" s="113"/>
      <c r="Z76" s="113"/>
      <c r="AA76" s="113"/>
      <c r="AB76" s="113"/>
      <c r="AC76" s="113"/>
      <c r="AD76" s="113"/>
      <c r="AE76" s="113"/>
      <c r="AF76" s="113"/>
      <c r="AG76" s="113"/>
      <c r="AH76" s="113"/>
      <c r="AI76" s="113"/>
      <c r="AJ76" s="113"/>
      <c r="AK76" s="113"/>
      <c r="AL76" s="113"/>
      <c r="AM76" s="113"/>
      <c r="AN76" s="113"/>
      <c r="AO76" s="113"/>
      <c r="AP76" s="113"/>
      <c r="AQ76" s="113"/>
      <c r="AR76" s="113"/>
      <c r="AS76" s="92"/>
      <c r="AT76" s="92"/>
      <c r="AU76" s="113"/>
      <c r="AV76" s="113"/>
      <c r="AW76" s="113"/>
      <c r="AX76" s="113"/>
      <c r="AY76" s="113"/>
      <c r="AZ76" s="113"/>
      <c r="BA76" s="113"/>
      <c r="BB76" s="92"/>
      <c r="BC76" s="112"/>
      <c r="BD76" s="92"/>
      <c r="BE76" s="112"/>
      <c r="BF76" s="92"/>
      <c r="BG76" s="92"/>
      <c r="BH76" s="92"/>
      <c r="BI76" s="92"/>
      <c r="BJ76" s="93"/>
      <c r="BK76" s="93"/>
      <c r="BL76" s="92"/>
      <c r="BM76" s="92"/>
      <c r="BN76" s="92"/>
      <c r="BO76" s="93"/>
      <c r="BP76" s="93"/>
      <c r="BQ76" s="92"/>
      <c r="BR76" s="92"/>
      <c r="BS76" s="93"/>
      <c r="BT76" s="93"/>
      <c r="BU76" s="92"/>
      <c r="BV76" s="93"/>
      <c r="BW76" s="92"/>
      <c r="BX76" s="92"/>
      <c r="BY76" s="92"/>
      <c r="BZ76" s="92"/>
      <c r="CA76" s="92"/>
      <c r="CB76" s="92"/>
      <c r="CC76" s="92"/>
      <c r="CD76" s="93"/>
      <c r="CE76" s="93"/>
      <c r="CF76" s="92"/>
      <c r="CG76" s="93"/>
      <c r="CH76" s="92"/>
      <c r="CI76" s="92"/>
      <c r="CJ76" s="92"/>
      <c r="CK76" s="92"/>
      <c r="CL76" s="92"/>
      <c r="CM76" s="114"/>
      <c r="CN76" s="114"/>
      <c r="CO76" s="115"/>
      <c r="CP76" s="115"/>
      <c r="CQ76" s="115"/>
      <c r="CR76" s="115"/>
      <c r="CS76" s="114"/>
    </row>
    <row r="77" spans="1:97" ht="16.5">
      <c r="A77" s="116"/>
      <c r="B77" s="40"/>
      <c r="C77" s="92"/>
      <c r="D77" s="92"/>
      <c r="E77" s="92"/>
      <c r="F77" s="110"/>
      <c r="G77" s="92"/>
      <c r="H77" s="92"/>
      <c r="I77" s="92"/>
      <c r="J77" s="92"/>
      <c r="K77" s="92"/>
      <c r="L77" s="92"/>
      <c r="M77" s="111"/>
      <c r="N77" s="112"/>
      <c r="O77" s="92"/>
      <c r="P77" s="112"/>
      <c r="Q77" s="113"/>
      <c r="R77" s="112"/>
      <c r="S77" s="112"/>
      <c r="T77" s="112"/>
      <c r="U77" s="113"/>
      <c r="V77" s="112"/>
      <c r="W77" s="112"/>
      <c r="X77" s="112"/>
      <c r="Y77" s="113"/>
      <c r="Z77" s="113"/>
      <c r="AA77" s="113"/>
      <c r="AB77" s="113"/>
      <c r="AC77" s="113"/>
      <c r="AD77" s="113"/>
      <c r="AE77" s="113"/>
      <c r="AF77" s="113"/>
      <c r="AG77" s="113"/>
      <c r="AH77" s="113"/>
      <c r="AI77" s="113"/>
      <c r="AJ77" s="113"/>
      <c r="AK77" s="113"/>
      <c r="AL77" s="113"/>
      <c r="AM77" s="113"/>
      <c r="AN77" s="113"/>
      <c r="AO77" s="113"/>
      <c r="AP77" s="113"/>
      <c r="AQ77" s="113"/>
      <c r="AR77" s="113"/>
      <c r="AS77" s="92"/>
      <c r="AT77" s="92"/>
      <c r="AU77" s="113"/>
      <c r="AV77" s="113"/>
      <c r="AW77" s="113"/>
      <c r="AX77" s="113"/>
      <c r="AY77" s="113"/>
      <c r="AZ77" s="113"/>
      <c r="BA77" s="113"/>
      <c r="BB77" s="92"/>
      <c r="BC77" s="112"/>
      <c r="BD77" s="92"/>
      <c r="BE77" s="112"/>
      <c r="BF77" s="92"/>
      <c r="BG77" s="92"/>
      <c r="BH77" s="92"/>
      <c r="BI77" s="92"/>
      <c r="BJ77" s="93"/>
      <c r="BK77" s="93"/>
      <c r="BL77" s="92"/>
      <c r="BM77" s="92"/>
      <c r="BN77" s="92"/>
      <c r="BO77" s="93"/>
      <c r="BP77" s="93"/>
      <c r="BQ77" s="92"/>
      <c r="BR77" s="92"/>
      <c r="BS77" s="93"/>
      <c r="BT77" s="93"/>
      <c r="BU77" s="92"/>
      <c r="BV77" s="93"/>
      <c r="BW77" s="92"/>
      <c r="BX77" s="92"/>
      <c r="BY77" s="92"/>
      <c r="BZ77" s="92"/>
      <c r="CA77" s="92"/>
      <c r="CB77" s="92"/>
      <c r="CC77" s="92"/>
      <c r="CD77" s="93"/>
      <c r="CE77" s="93"/>
      <c r="CF77" s="92"/>
      <c r="CG77" s="93"/>
      <c r="CH77" s="92"/>
      <c r="CI77" s="92"/>
      <c r="CJ77" s="92"/>
      <c r="CK77" s="92"/>
      <c r="CL77" s="92"/>
      <c r="CM77" s="114"/>
      <c r="CN77" s="114"/>
      <c r="CO77" s="115"/>
      <c r="CP77" s="115"/>
      <c r="CQ77" s="115"/>
      <c r="CR77" s="115"/>
      <c r="CS77" s="114"/>
    </row>
    <row r="78" spans="1:97" ht="16.5">
      <c r="A78" s="116"/>
      <c r="B78" s="40"/>
      <c r="C78" s="92"/>
      <c r="D78" s="92"/>
      <c r="E78" s="92"/>
      <c r="F78" s="110"/>
      <c r="G78" s="92"/>
      <c r="H78" s="92"/>
      <c r="I78" s="92"/>
      <c r="J78" s="92"/>
      <c r="K78" s="92"/>
      <c r="L78" s="92"/>
      <c r="M78" s="111"/>
      <c r="N78" s="112"/>
      <c r="O78" s="92"/>
      <c r="P78" s="112"/>
      <c r="Q78" s="113"/>
      <c r="R78" s="112"/>
      <c r="S78" s="112"/>
      <c r="T78" s="112"/>
      <c r="U78" s="113"/>
      <c r="V78" s="112"/>
      <c r="W78" s="112"/>
      <c r="X78" s="112"/>
      <c r="Y78" s="113"/>
      <c r="Z78" s="113"/>
      <c r="AA78" s="113"/>
      <c r="AB78" s="113"/>
      <c r="AC78" s="113"/>
      <c r="AD78" s="113"/>
      <c r="AE78" s="113"/>
      <c r="AF78" s="113"/>
      <c r="AG78" s="113"/>
      <c r="AH78" s="113"/>
      <c r="AI78" s="113"/>
      <c r="AJ78" s="113"/>
      <c r="AK78" s="113"/>
      <c r="AL78" s="113"/>
      <c r="AM78" s="113"/>
      <c r="AN78" s="113"/>
      <c r="AO78" s="113"/>
      <c r="AP78" s="113"/>
      <c r="AQ78" s="113"/>
      <c r="AR78" s="113"/>
      <c r="AS78" s="92"/>
      <c r="AT78" s="92"/>
      <c r="AU78" s="113"/>
      <c r="AV78" s="113"/>
      <c r="AW78" s="113"/>
      <c r="AX78" s="113"/>
      <c r="AY78" s="113"/>
      <c r="AZ78" s="113"/>
      <c r="BA78" s="113"/>
      <c r="BB78" s="92"/>
      <c r="BC78" s="112"/>
      <c r="BD78" s="92"/>
      <c r="BE78" s="112"/>
      <c r="BF78" s="92"/>
      <c r="BG78" s="92"/>
      <c r="BH78" s="92"/>
      <c r="BI78" s="92"/>
      <c r="BJ78" s="93"/>
      <c r="BK78" s="93"/>
      <c r="BL78" s="92"/>
      <c r="BM78" s="92"/>
      <c r="BN78" s="92"/>
      <c r="BO78" s="93"/>
      <c r="BP78" s="93"/>
      <c r="BQ78" s="92"/>
      <c r="BR78" s="92"/>
      <c r="BS78" s="93"/>
      <c r="BT78" s="93"/>
      <c r="BU78" s="92"/>
      <c r="BV78" s="93"/>
      <c r="BW78" s="92"/>
      <c r="BX78" s="92"/>
      <c r="BY78" s="92"/>
      <c r="BZ78" s="92"/>
      <c r="CA78" s="92"/>
      <c r="CB78" s="92"/>
      <c r="CC78" s="92"/>
      <c r="CD78" s="93"/>
      <c r="CE78" s="93"/>
      <c r="CF78" s="92"/>
      <c r="CG78" s="93"/>
      <c r="CH78" s="92"/>
      <c r="CI78" s="92"/>
      <c r="CJ78" s="92"/>
      <c r="CK78" s="92"/>
      <c r="CL78" s="92"/>
      <c r="CM78" s="114"/>
      <c r="CN78" s="114"/>
      <c r="CO78" s="115"/>
      <c r="CP78" s="115"/>
      <c r="CQ78" s="115"/>
      <c r="CR78" s="115"/>
      <c r="CS78" s="114"/>
    </row>
    <row r="79" spans="1:97" ht="16.5">
      <c r="A79" s="116"/>
      <c r="B79" s="40"/>
      <c r="C79" s="92"/>
      <c r="D79" s="92"/>
      <c r="E79" s="92"/>
      <c r="F79" s="110"/>
      <c r="G79" s="92"/>
      <c r="H79" s="92"/>
      <c r="I79" s="92"/>
      <c r="J79" s="92"/>
      <c r="K79" s="92"/>
      <c r="L79" s="92"/>
      <c r="M79" s="111"/>
      <c r="N79" s="112"/>
      <c r="O79" s="92"/>
      <c r="P79" s="112"/>
      <c r="Q79" s="113"/>
      <c r="R79" s="112"/>
      <c r="S79" s="112"/>
      <c r="T79" s="112"/>
      <c r="U79" s="113"/>
      <c r="V79" s="112"/>
      <c r="W79" s="112"/>
      <c r="X79" s="112"/>
      <c r="Y79" s="113"/>
      <c r="Z79" s="113"/>
      <c r="AA79" s="113"/>
      <c r="AB79" s="113"/>
      <c r="AC79" s="113"/>
      <c r="AD79" s="113"/>
      <c r="AE79" s="113"/>
      <c r="AF79" s="113"/>
      <c r="AG79" s="113"/>
      <c r="AH79" s="113"/>
      <c r="AI79" s="113"/>
      <c r="AJ79" s="113"/>
      <c r="AK79" s="113"/>
      <c r="AL79" s="113"/>
      <c r="AM79" s="113"/>
      <c r="AN79" s="113"/>
      <c r="AO79" s="113"/>
      <c r="AP79" s="113"/>
      <c r="AQ79" s="113"/>
      <c r="AR79" s="113"/>
      <c r="AS79" s="92"/>
      <c r="AT79" s="92"/>
      <c r="AU79" s="113"/>
      <c r="AV79" s="113"/>
      <c r="AW79" s="113"/>
      <c r="AX79" s="113"/>
      <c r="AY79" s="113"/>
      <c r="AZ79" s="113"/>
      <c r="BA79" s="113"/>
      <c r="BB79" s="92"/>
      <c r="BC79" s="112"/>
      <c r="BD79" s="92"/>
      <c r="BE79" s="112"/>
      <c r="BF79" s="92"/>
      <c r="BG79" s="92"/>
      <c r="BH79" s="92"/>
      <c r="BI79" s="92"/>
      <c r="BJ79" s="93"/>
      <c r="BK79" s="93"/>
      <c r="BL79" s="92"/>
      <c r="BM79" s="92"/>
      <c r="BN79" s="92"/>
      <c r="BO79" s="93"/>
      <c r="BP79" s="93"/>
      <c r="BQ79" s="92"/>
      <c r="BR79" s="92"/>
      <c r="BS79" s="93"/>
      <c r="BT79" s="93"/>
      <c r="BU79" s="92"/>
      <c r="BV79" s="93"/>
      <c r="BW79" s="92"/>
      <c r="BX79" s="92"/>
      <c r="BY79" s="92"/>
      <c r="BZ79" s="92"/>
      <c r="CA79" s="92"/>
      <c r="CB79" s="92"/>
      <c r="CC79" s="92"/>
      <c r="CD79" s="93"/>
      <c r="CE79" s="93"/>
      <c r="CF79" s="92"/>
      <c r="CG79" s="93"/>
      <c r="CH79" s="92"/>
      <c r="CI79" s="92"/>
      <c r="CJ79" s="92"/>
      <c r="CK79" s="92"/>
      <c r="CL79" s="92"/>
      <c r="CM79" s="114"/>
      <c r="CN79" s="114"/>
      <c r="CO79" s="115"/>
      <c r="CP79" s="115"/>
      <c r="CQ79" s="115"/>
      <c r="CR79" s="115"/>
      <c r="CS79" s="114"/>
    </row>
    <row r="80" spans="1:97" ht="16.5">
      <c r="A80" s="116"/>
      <c r="B80" s="40"/>
      <c r="C80" s="92"/>
      <c r="D80" s="92"/>
      <c r="E80" s="92"/>
      <c r="F80" s="110"/>
      <c r="G80" s="92"/>
      <c r="H80" s="92"/>
      <c r="I80" s="92"/>
      <c r="J80" s="92"/>
      <c r="K80" s="92"/>
      <c r="L80" s="92"/>
      <c r="M80" s="111"/>
      <c r="N80" s="112"/>
      <c r="O80" s="92"/>
      <c r="P80" s="112"/>
      <c r="Q80" s="113"/>
      <c r="R80" s="112"/>
      <c r="S80" s="112"/>
      <c r="T80" s="112"/>
      <c r="U80" s="113"/>
      <c r="V80" s="112"/>
      <c r="W80" s="112"/>
      <c r="X80" s="112"/>
      <c r="Y80" s="113"/>
      <c r="Z80" s="113"/>
      <c r="AA80" s="113"/>
      <c r="AB80" s="113"/>
      <c r="AC80" s="113"/>
      <c r="AD80" s="113"/>
      <c r="AE80" s="113"/>
      <c r="AF80" s="113"/>
      <c r="AG80" s="113"/>
      <c r="AH80" s="113"/>
      <c r="AI80" s="113"/>
      <c r="AJ80" s="113"/>
      <c r="AK80" s="113"/>
      <c r="AL80" s="113"/>
      <c r="AM80" s="113"/>
      <c r="AN80" s="113"/>
      <c r="AO80" s="113"/>
      <c r="AP80" s="113"/>
      <c r="AQ80" s="113"/>
      <c r="AR80" s="113"/>
      <c r="AS80" s="92"/>
      <c r="AT80" s="92"/>
      <c r="AU80" s="113"/>
      <c r="AV80" s="113"/>
      <c r="AW80" s="113"/>
      <c r="AX80" s="113"/>
      <c r="AY80" s="113"/>
      <c r="AZ80" s="113"/>
      <c r="BA80" s="113"/>
      <c r="BB80" s="92"/>
      <c r="BC80" s="112"/>
      <c r="BD80" s="92"/>
      <c r="BE80" s="112"/>
      <c r="BF80" s="92"/>
      <c r="BG80" s="92"/>
      <c r="BH80" s="92"/>
      <c r="BI80" s="92"/>
      <c r="BJ80" s="93"/>
      <c r="BK80" s="93"/>
      <c r="BL80" s="92"/>
      <c r="BM80" s="92"/>
      <c r="BN80" s="92"/>
      <c r="BO80" s="93"/>
      <c r="BP80" s="93"/>
      <c r="BQ80" s="92"/>
      <c r="BR80" s="92"/>
      <c r="BS80" s="93"/>
      <c r="BT80" s="93"/>
      <c r="BU80" s="92"/>
      <c r="BV80" s="93"/>
      <c r="BW80" s="92"/>
      <c r="BX80" s="92"/>
      <c r="BY80" s="92"/>
      <c r="BZ80" s="92"/>
      <c r="CA80" s="92"/>
      <c r="CB80" s="92"/>
      <c r="CC80" s="92"/>
      <c r="CD80" s="93"/>
      <c r="CE80" s="93"/>
      <c r="CF80" s="92"/>
      <c r="CG80" s="93"/>
      <c r="CH80" s="92"/>
      <c r="CI80" s="92"/>
      <c r="CJ80" s="92"/>
      <c r="CK80" s="92"/>
      <c r="CL80" s="92"/>
      <c r="CM80" s="114"/>
      <c r="CN80" s="114"/>
      <c r="CO80" s="115"/>
      <c r="CP80" s="115"/>
      <c r="CQ80" s="115"/>
      <c r="CR80" s="115"/>
      <c r="CS80" s="114"/>
    </row>
    <row r="81" spans="1:97" ht="16.5">
      <c r="A81" s="116"/>
      <c r="B81" s="40"/>
      <c r="C81" s="92"/>
      <c r="D81" s="92"/>
      <c r="E81" s="92"/>
      <c r="F81" s="110"/>
      <c r="G81" s="92"/>
      <c r="H81" s="92"/>
      <c r="I81" s="92"/>
      <c r="J81" s="92"/>
      <c r="K81" s="92"/>
      <c r="L81" s="92"/>
      <c r="M81" s="111"/>
      <c r="N81" s="112"/>
      <c r="O81" s="92"/>
      <c r="P81" s="112"/>
      <c r="Q81" s="113"/>
      <c r="R81" s="112"/>
      <c r="S81" s="112"/>
      <c r="T81" s="112"/>
      <c r="U81" s="113"/>
      <c r="V81" s="112"/>
      <c r="W81" s="112"/>
      <c r="X81" s="112"/>
      <c r="Y81" s="113"/>
      <c r="Z81" s="113"/>
      <c r="AA81" s="113"/>
      <c r="AB81" s="113"/>
      <c r="AC81" s="113"/>
      <c r="AD81" s="113"/>
      <c r="AE81" s="113"/>
      <c r="AF81" s="113"/>
      <c r="AG81" s="113"/>
      <c r="AH81" s="113"/>
      <c r="AI81" s="113"/>
      <c r="AJ81" s="113"/>
      <c r="AK81" s="113"/>
      <c r="AL81" s="113"/>
      <c r="AM81" s="113"/>
      <c r="AN81" s="113"/>
      <c r="AO81" s="113"/>
      <c r="AP81" s="113"/>
      <c r="AQ81" s="113"/>
      <c r="AR81" s="113"/>
      <c r="AS81" s="92"/>
      <c r="AT81" s="92"/>
      <c r="AU81" s="113"/>
      <c r="AV81" s="113"/>
      <c r="AW81" s="113"/>
      <c r="AX81" s="113"/>
      <c r="AY81" s="113"/>
      <c r="AZ81" s="113"/>
      <c r="BA81" s="113"/>
      <c r="BB81" s="92"/>
      <c r="BC81" s="112"/>
      <c r="BD81" s="92"/>
      <c r="BE81" s="112"/>
      <c r="BF81" s="92"/>
      <c r="BG81" s="92"/>
      <c r="BH81" s="92"/>
      <c r="BI81" s="92"/>
      <c r="BJ81" s="93"/>
      <c r="BK81" s="93"/>
      <c r="BL81" s="92"/>
      <c r="BM81" s="92"/>
      <c r="BN81" s="92"/>
      <c r="BO81" s="93"/>
      <c r="BP81" s="93"/>
      <c r="BQ81" s="92"/>
      <c r="BR81" s="92"/>
      <c r="BS81" s="93"/>
      <c r="BT81" s="93"/>
      <c r="BU81" s="92"/>
      <c r="BV81" s="93"/>
      <c r="BW81" s="92"/>
      <c r="BX81" s="92"/>
      <c r="BY81" s="92"/>
      <c r="BZ81" s="92"/>
      <c r="CA81" s="92"/>
      <c r="CB81" s="92"/>
      <c r="CC81" s="92"/>
      <c r="CD81" s="93"/>
      <c r="CE81" s="93"/>
      <c r="CF81" s="92"/>
      <c r="CG81" s="93"/>
      <c r="CH81" s="92"/>
      <c r="CI81" s="92"/>
      <c r="CJ81" s="92"/>
      <c r="CK81" s="92"/>
      <c r="CL81" s="92"/>
      <c r="CM81" s="114"/>
      <c r="CN81" s="114"/>
      <c r="CO81" s="115"/>
      <c r="CP81" s="115"/>
      <c r="CQ81" s="115"/>
      <c r="CR81" s="115"/>
      <c r="CS81" s="114"/>
    </row>
    <row r="82" spans="1:97" ht="16.5">
      <c r="A82" s="116"/>
      <c r="B82" s="40"/>
      <c r="C82" s="92"/>
      <c r="D82" s="92"/>
      <c r="E82" s="92"/>
      <c r="F82" s="110"/>
      <c r="G82" s="92"/>
      <c r="H82" s="92"/>
      <c r="I82" s="92"/>
      <c r="J82" s="92"/>
      <c r="K82" s="92"/>
      <c r="L82" s="92"/>
      <c r="M82" s="111"/>
      <c r="N82" s="112"/>
      <c r="O82" s="92"/>
      <c r="P82" s="112"/>
      <c r="Q82" s="113"/>
      <c r="R82" s="112"/>
      <c r="S82" s="112"/>
      <c r="T82" s="112"/>
      <c r="U82" s="113"/>
      <c r="V82" s="112"/>
      <c r="W82" s="112"/>
      <c r="X82" s="112"/>
      <c r="Y82" s="113"/>
      <c r="Z82" s="113"/>
      <c r="AA82" s="113"/>
      <c r="AB82" s="113"/>
      <c r="AC82" s="113"/>
      <c r="AD82" s="113"/>
      <c r="AE82" s="113"/>
      <c r="AF82" s="113"/>
      <c r="AG82" s="113"/>
      <c r="AH82" s="113"/>
      <c r="AI82" s="113"/>
      <c r="AJ82" s="113"/>
      <c r="AK82" s="113"/>
      <c r="AL82" s="113"/>
      <c r="AM82" s="113"/>
      <c r="AN82" s="113"/>
      <c r="AO82" s="113"/>
      <c r="AP82" s="113"/>
      <c r="AQ82" s="113"/>
      <c r="AR82" s="113"/>
      <c r="AS82" s="92"/>
      <c r="AT82" s="92"/>
      <c r="AU82" s="113"/>
      <c r="AV82" s="113"/>
      <c r="AW82" s="113"/>
      <c r="AX82" s="113"/>
      <c r="AY82" s="113"/>
      <c r="AZ82" s="113"/>
      <c r="BA82" s="113"/>
      <c r="BB82" s="92"/>
      <c r="BC82" s="112"/>
      <c r="BD82" s="92"/>
      <c r="BE82" s="112"/>
      <c r="BF82" s="92"/>
      <c r="BG82" s="92"/>
      <c r="BH82" s="92"/>
      <c r="BI82" s="92"/>
      <c r="BJ82" s="93"/>
      <c r="BK82" s="93"/>
      <c r="BL82" s="92"/>
      <c r="BM82" s="92"/>
      <c r="BN82" s="92"/>
      <c r="BO82" s="93"/>
      <c r="BP82" s="93"/>
      <c r="BQ82" s="92"/>
      <c r="BR82" s="92"/>
      <c r="BS82" s="93"/>
      <c r="BT82" s="93"/>
      <c r="BU82" s="92"/>
      <c r="BV82" s="93"/>
      <c r="BW82" s="92"/>
      <c r="BX82" s="92"/>
      <c r="BY82" s="92"/>
      <c r="BZ82" s="92"/>
      <c r="CA82" s="92"/>
      <c r="CB82" s="92"/>
      <c r="CC82" s="92"/>
      <c r="CD82" s="93"/>
      <c r="CE82" s="93"/>
      <c r="CF82" s="92"/>
      <c r="CG82" s="93"/>
      <c r="CH82" s="92"/>
      <c r="CI82" s="92"/>
      <c r="CJ82" s="92"/>
      <c r="CK82" s="92"/>
      <c r="CL82" s="92"/>
      <c r="CM82" s="114"/>
      <c r="CN82" s="114"/>
      <c r="CO82" s="115"/>
      <c r="CP82" s="115"/>
      <c r="CQ82" s="115"/>
      <c r="CR82" s="115"/>
      <c r="CS82" s="114"/>
    </row>
    <row r="83" spans="1:97" ht="16.5">
      <c r="A83" s="116"/>
      <c r="B83" s="40"/>
      <c r="C83" s="92"/>
      <c r="D83" s="92"/>
      <c r="E83" s="92"/>
      <c r="F83" s="110"/>
      <c r="G83" s="92"/>
      <c r="H83" s="92"/>
      <c r="I83" s="92"/>
      <c r="J83" s="92"/>
      <c r="K83" s="92"/>
      <c r="L83" s="92"/>
      <c r="M83" s="111"/>
      <c r="N83" s="112"/>
      <c r="O83" s="92"/>
      <c r="P83" s="112"/>
      <c r="Q83" s="113"/>
      <c r="R83" s="112"/>
      <c r="S83" s="112"/>
      <c r="T83" s="112"/>
      <c r="U83" s="113"/>
      <c r="V83" s="112"/>
      <c r="W83" s="112"/>
      <c r="X83" s="112"/>
      <c r="Y83" s="113"/>
      <c r="Z83" s="113"/>
      <c r="AA83" s="113"/>
      <c r="AB83" s="113"/>
      <c r="AC83" s="113"/>
      <c r="AD83" s="113"/>
      <c r="AE83" s="113"/>
      <c r="AF83" s="113"/>
      <c r="AG83" s="113"/>
      <c r="AH83" s="113"/>
      <c r="AI83" s="113"/>
      <c r="AJ83" s="113"/>
      <c r="AK83" s="113"/>
      <c r="AL83" s="113"/>
      <c r="AM83" s="113"/>
      <c r="AN83" s="113"/>
      <c r="AO83" s="113"/>
      <c r="AP83" s="113"/>
      <c r="AQ83" s="113"/>
      <c r="AR83" s="113"/>
      <c r="AS83" s="92"/>
      <c r="AT83" s="92"/>
      <c r="AU83" s="113"/>
      <c r="AV83" s="113"/>
      <c r="AW83" s="113"/>
      <c r="AX83" s="113"/>
      <c r="AY83" s="113"/>
      <c r="AZ83" s="113"/>
      <c r="BA83" s="113"/>
      <c r="BB83" s="92"/>
      <c r="BC83" s="112"/>
      <c r="BD83" s="92"/>
      <c r="BE83" s="112"/>
      <c r="BF83" s="92"/>
      <c r="BG83" s="92"/>
      <c r="BH83" s="92"/>
      <c r="BI83" s="92"/>
      <c r="BJ83" s="93"/>
      <c r="BK83" s="93"/>
      <c r="BL83" s="92"/>
      <c r="BM83" s="92"/>
      <c r="BN83" s="92"/>
      <c r="BO83" s="93"/>
      <c r="BP83" s="93"/>
      <c r="BQ83" s="92"/>
      <c r="BR83" s="92"/>
      <c r="BS83" s="93"/>
      <c r="BT83" s="93"/>
      <c r="BU83" s="92"/>
      <c r="BV83" s="93"/>
      <c r="BW83" s="92"/>
      <c r="BX83" s="92"/>
      <c r="BY83" s="92"/>
      <c r="BZ83" s="92"/>
      <c r="CA83" s="92"/>
      <c r="CB83" s="92"/>
      <c r="CC83" s="92"/>
      <c r="CD83" s="93"/>
      <c r="CE83" s="93"/>
      <c r="CF83" s="92"/>
      <c r="CG83" s="93"/>
      <c r="CH83" s="92"/>
      <c r="CI83" s="92"/>
      <c r="CJ83" s="92"/>
      <c r="CK83" s="92"/>
      <c r="CL83" s="92"/>
      <c r="CM83" s="114"/>
      <c r="CN83" s="114"/>
      <c r="CO83" s="115"/>
      <c r="CP83" s="115"/>
      <c r="CQ83" s="115"/>
      <c r="CR83" s="115"/>
      <c r="CS83" s="114"/>
    </row>
    <row r="84" spans="1:97" ht="16.5">
      <c r="A84" s="116"/>
      <c r="B84" s="40"/>
      <c r="C84" s="92"/>
      <c r="D84" s="92"/>
      <c r="E84" s="92"/>
      <c r="F84" s="110"/>
      <c r="G84" s="92"/>
      <c r="H84" s="92"/>
      <c r="I84" s="92"/>
      <c r="J84" s="92"/>
      <c r="K84" s="92"/>
      <c r="L84" s="92"/>
      <c r="M84" s="111"/>
      <c r="N84" s="112"/>
      <c r="O84" s="92"/>
      <c r="P84" s="112"/>
      <c r="Q84" s="113"/>
      <c r="R84" s="112"/>
      <c r="S84" s="112"/>
      <c r="T84" s="112"/>
      <c r="U84" s="113"/>
      <c r="V84" s="112"/>
      <c r="W84" s="112"/>
      <c r="X84" s="112"/>
      <c r="Y84" s="113"/>
      <c r="Z84" s="113"/>
      <c r="AA84" s="113"/>
      <c r="AB84" s="113"/>
      <c r="AC84" s="113"/>
      <c r="AD84" s="113"/>
      <c r="AE84" s="113"/>
      <c r="AF84" s="113"/>
      <c r="AG84" s="113"/>
      <c r="AH84" s="113"/>
      <c r="AI84" s="113"/>
      <c r="AJ84" s="113"/>
      <c r="AK84" s="113"/>
      <c r="AL84" s="113"/>
      <c r="AM84" s="113"/>
      <c r="AN84" s="113"/>
      <c r="AO84" s="113"/>
      <c r="AP84" s="113"/>
      <c r="AQ84" s="113"/>
      <c r="AR84" s="113"/>
      <c r="AS84" s="92"/>
      <c r="AT84" s="92"/>
      <c r="AU84" s="113"/>
      <c r="AV84" s="113"/>
      <c r="AW84" s="113"/>
      <c r="AX84" s="113"/>
      <c r="AY84" s="113"/>
      <c r="AZ84" s="113"/>
      <c r="BA84" s="113"/>
      <c r="BB84" s="92"/>
      <c r="BC84" s="112"/>
      <c r="BD84" s="92"/>
      <c r="BE84" s="112"/>
      <c r="BF84" s="92"/>
      <c r="BG84" s="92"/>
      <c r="BH84" s="92"/>
      <c r="BI84" s="92"/>
      <c r="BJ84" s="93"/>
      <c r="BK84" s="93"/>
      <c r="BL84" s="92"/>
      <c r="BM84" s="92"/>
      <c r="BN84" s="92"/>
      <c r="BO84" s="93"/>
      <c r="BP84" s="93"/>
      <c r="BQ84" s="92"/>
      <c r="BR84" s="92"/>
      <c r="BS84" s="93"/>
      <c r="BT84" s="93"/>
      <c r="BU84" s="92"/>
      <c r="BV84" s="93"/>
      <c r="BW84" s="92"/>
      <c r="BX84" s="92"/>
      <c r="BY84" s="92"/>
      <c r="BZ84" s="92"/>
      <c r="CA84" s="92"/>
      <c r="CB84" s="92"/>
      <c r="CC84" s="92"/>
      <c r="CD84" s="93"/>
      <c r="CE84" s="93"/>
      <c r="CF84" s="92"/>
      <c r="CG84" s="93"/>
      <c r="CH84" s="92"/>
      <c r="CI84" s="92"/>
      <c r="CJ84" s="92"/>
      <c r="CK84" s="92"/>
      <c r="CL84" s="92"/>
      <c r="CM84" s="114"/>
      <c r="CN84" s="114"/>
      <c r="CO84" s="115"/>
      <c r="CP84" s="115"/>
      <c r="CQ84" s="115"/>
      <c r="CR84" s="115"/>
      <c r="CS84" s="114"/>
    </row>
    <row r="85" spans="1:97" ht="16.5">
      <c r="A85" s="116"/>
      <c r="B85" s="40"/>
      <c r="C85" s="92"/>
      <c r="D85" s="92"/>
      <c r="E85" s="92"/>
      <c r="F85" s="110"/>
      <c r="G85" s="92"/>
      <c r="H85" s="92"/>
      <c r="I85" s="92"/>
      <c r="J85" s="92"/>
      <c r="K85" s="92"/>
      <c r="L85" s="92"/>
      <c r="M85" s="111"/>
      <c r="N85" s="112"/>
      <c r="O85" s="92"/>
      <c r="P85" s="112"/>
      <c r="Q85" s="113"/>
      <c r="R85" s="112"/>
      <c r="S85" s="112"/>
      <c r="T85" s="112"/>
      <c r="U85" s="113"/>
      <c r="V85" s="112"/>
      <c r="W85" s="112"/>
      <c r="X85" s="112"/>
      <c r="Y85" s="113"/>
      <c r="Z85" s="113"/>
      <c r="AA85" s="113"/>
      <c r="AB85" s="113"/>
      <c r="AC85" s="113"/>
      <c r="AD85" s="113"/>
      <c r="AE85" s="113"/>
      <c r="AF85" s="113"/>
      <c r="AG85" s="113"/>
      <c r="AH85" s="113"/>
      <c r="AI85" s="113"/>
      <c r="AJ85" s="113"/>
      <c r="AK85" s="113"/>
      <c r="AL85" s="113"/>
      <c r="AM85" s="113"/>
      <c r="AN85" s="113"/>
      <c r="AO85" s="113"/>
      <c r="AP85" s="113"/>
      <c r="AQ85" s="113"/>
      <c r="AR85" s="113"/>
      <c r="AS85" s="92"/>
      <c r="AT85" s="92"/>
      <c r="AU85" s="113"/>
      <c r="AV85" s="113"/>
      <c r="AW85" s="113"/>
      <c r="AX85" s="113"/>
      <c r="AY85" s="113"/>
      <c r="AZ85" s="113"/>
      <c r="BA85" s="113"/>
      <c r="BB85" s="92"/>
      <c r="BC85" s="112"/>
      <c r="BD85" s="92"/>
      <c r="BE85" s="112"/>
      <c r="BF85" s="92"/>
      <c r="BG85" s="92"/>
      <c r="BH85" s="92"/>
      <c r="BI85" s="92"/>
      <c r="BJ85" s="93"/>
      <c r="BK85" s="93"/>
      <c r="BL85" s="92"/>
      <c r="BM85" s="92"/>
      <c r="BN85" s="92"/>
      <c r="BO85" s="93"/>
      <c r="BP85" s="93"/>
      <c r="BQ85" s="92"/>
      <c r="BR85" s="92"/>
      <c r="BS85" s="93"/>
      <c r="BT85" s="93"/>
      <c r="BU85" s="92"/>
      <c r="BV85" s="93"/>
      <c r="BW85" s="92"/>
      <c r="BX85" s="92"/>
      <c r="BY85" s="92"/>
      <c r="BZ85" s="92"/>
      <c r="CA85" s="92"/>
      <c r="CB85" s="92"/>
      <c r="CC85" s="92"/>
      <c r="CD85" s="93"/>
      <c r="CE85" s="93"/>
      <c r="CF85" s="92"/>
      <c r="CG85" s="93"/>
      <c r="CH85" s="92"/>
      <c r="CI85" s="92"/>
      <c r="CJ85" s="92"/>
      <c r="CK85" s="92"/>
      <c r="CL85" s="92"/>
      <c r="CM85" s="114"/>
      <c r="CN85" s="114"/>
      <c r="CO85" s="115"/>
      <c r="CP85" s="115"/>
      <c r="CQ85" s="115"/>
      <c r="CR85" s="115"/>
      <c r="CS85" s="114"/>
    </row>
    <row r="86" spans="1:97" ht="16.5">
      <c r="A86" s="116"/>
      <c r="B86" s="40"/>
      <c r="C86" s="92"/>
      <c r="D86" s="92"/>
      <c r="E86" s="92"/>
      <c r="F86" s="110"/>
      <c r="G86" s="92"/>
      <c r="H86" s="92"/>
      <c r="I86" s="92"/>
      <c r="J86" s="92"/>
      <c r="K86" s="92"/>
      <c r="L86" s="92"/>
      <c r="M86" s="111"/>
      <c r="N86" s="112"/>
      <c r="O86" s="92"/>
      <c r="P86" s="112"/>
      <c r="Q86" s="113"/>
      <c r="R86" s="112"/>
      <c r="S86" s="112"/>
      <c r="T86" s="112"/>
      <c r="U86" s="113"/>
      <c r="V86" s="112"/>
      <c r="W86" s="112"/>
      <c r="X86" s="112"/>
      <c r="Y86" s="113"/>
      <c r="Z86" s="113"/>
      <c r="AA86" s="113"/>
      <c r="AB86" s="113"/>
      <c r="AC86" s="113"/>
      <c r="AD86" s="113"/>
      <c r="AE86" s="113"/>
      <c r="AF86" s="113"/>
      <c r="AG86" s="113"/>
      <c r="AH86" s="113"/>
      <c r="AI86" s="113"/>
      <c r="AJ86" s="113"/>
      <c r="AK86" s="113"/>
      <c r="AL86" s="113"/>
      <c r="AM86" s="113"/>
      <c r="AN86" s="113"/>
      <c r="AO86" s="113"/>
      <c r="AP86" s="113"/>
      <c r="AQ86" s="113"/>
      <c r="AR86" s="113"/>
      <c r="AS86" s="92"/>
      <c r="AT86" s="92"/>
      <c r="AU86" s="113"/>
      <c r="AV86" s="113"/>
      <c r="AW86" s="113"/>
      <c r="AX86" s="113"/>
      <c r="AY86" s="113"/>
      <c r="AZ86" s="113"/>
      <c r="BA86" s="113"/>
      <c r="BB86" s="92"/>
      <c r="BC86" s="112"/>
      <c r="BD86" s="92"/>
      <c r="BE86" s="112"/>
      <c r="BF86" s="92"/>
      <c r="BG86" s="92"/>
      <c r="BH86" s="92"/>
      <c r="BI86" s="92"/>
      <c r="BJ86" s="93"/>
      <c r="BK86" s="93"/>
      <c r="BL86" s="92"/>
      <c r="BM86" s="92"/>
      <c r="BN86" s="92"/>
      <c r="BO86" s="93"/>
      <c r="BP86" s="93"/>
      <c r="BQ86" s="92"/>
      <c r="BR86" s="92"/>
      <c r="BS86" s="93"/>
      <c r="BT86" s="93"/>
      <c r="BU86" s="92"/>
      <c r="BV86" s="93"/>
      <c r="BW86" s="92"/>
      <c r="BX86" s="92"/>
      <c r="BY86" s="92"/>
      <c r="BZ86" s="92"/>
      <c r="CA86" s="92"/>
      <c r="CB86" s="92"/>
      <c r="CC86" s="92"/>
      <c r="CD86" s="93"/>
      <c r="CE86" s="93"/>
      <c r="CF86" s="92"/>
      <c r="CG86" s="93"/>
      <c r="CH86" s="92"/>
      <c r="CI86" s="92"/>
      <c r="CJ86" s="92"/>
      <c r="CK86" s="92"/>
      <c r="CL86" s="92"/>
      <c r="CM86" s="114"/>
      <c r="CN86" s="114"/>
      <c r="CO86" s="115"/>
      <c r="CP86" s="115"/>
      <c r="CQ86" s="115"/>
      <c r="CR86" s="115"/>
      <c r="CS86" s="114"/>
    </row>
    <row r="87" spans="1:97" ht="16.5">
      <c r="A87" s="116"/>
      <c r="B87" s="40"/>
      <c r="C87" s="92"/>
      <c r="D87" s="92"/>
      <c r="E87" s="92"/>
      <c r="F87" s="110"/>
      <c r="G87" s="92"/>
      <c r="H87" s="92"/>
      <c r="I87" s="92"/>
      <c r="J87" s="92"/>
      <c r="K87" s="92"/>
      <c r="L87" s="92"/>
      <c r="M87" s="111"/>
      <c r="N87" s="112"/>
      <c r="O87" s="92"/>
      <c r="P87" s="112"/>
      <c r="Q87" s="113"/>
      <c r="R87" s="112"/>
      <c r="S87" s="112"/>
      <c r="T87" s="112"/>
      <c r="U87" s="113"/>
      <c r="V87" s="112"/>
      <c r="W87" s="112"/>
      <c r="X87" s="112"/>
      <c r="Y87" s="113"/>
      <c r="Z87" s="113"/>
      <c r="AA87" s="113"/>
      <c r="AB87" s="113"/>
      <c r="AC87" s="113"/>
      <c r="AD87" s="113"/>
      <c r="AE87" s="113"/>
      <c r="AF87" s="113"/>
      <c r="AG87" s="113"/>
      <c r="AH87" s="113"/>
      <c r="AI87" s="113"/>
      <c r="AJ87" s="113"/>
      <c r="AK87" s="113"/>
      <c r="AL87" s="113"/>
      <c r="AM87" s="113"/>
      <c r="AN87" s="113"/>
      <c r="AO87" s="113"/>
      <c r="AP87" s="113"/>
      <c r="AQ87" s="113"/>
      <c r="AR87" s="113"/>
      <c r="AS87" s="92"/>
      <c r="AT87" s="92"/>
      <c r="AU87" s="113"/>
      <c r="AV87" s="113"/>
      <c r="AW87" s="113"/>
      <c r="AX87" s="113"/>
      <c r="AY87" s="113"/>
      <c r="AZ87" s="113"/>
      <c r="BA87" s="113"/>
      <c r="BB87" s="92"/>
      <c r="BC87" s="112"/>
      <c r="BD87" s="92"/>
      <c r="BE87" s="112"/>
      <c r="BF87" s="92"/>
      <c r="BG87" s="92"/>
      <c r="BH87" s="92"/>
      <c r="BI87" s="92"/>
      <c r="BJ87" s="93"/>
      <c r="BK87" s="93"/>
      <c r="BL87" s="92"/>
      <c r="BM87" s="92"/>
      <c r="BN87" s="92"/>
      <c r="BO87" s="93"/>
      <c r="BP87" s="93"/>
      <c r="BQ87" s="92"/>
      <c r="BR87" s="92"/>
      <c r="BS87" s="93"/>
      <c r="BT87" s="93"/>
      <c r="BU87" s="92"/>
      <c r="BV87" s="93"/>
      <c r="BW87" s="92"/>
      <c r="BX87" s="92"/>
      <c r="BY87" s="92"/>
      <c r="BZ87" s="92"/>
      <c r="CA87" s="92"/>
      <c r="CB87" s="92"/>
      <c r="CC87" s="92"/>
      <c r="CD87" s="93"/>
      <c r="CE87" s="93"/>
      <c r="CF87" s="92"/>
      <c r="CG87" s="93"/>
      <c r="CH87" s="92"/>
      <c r="CI87" s="92"/>
      <c r="CJ87" s="92"/>
      <c r="CK87" s="92"/>
      <c r="CL87" s="92"/>
      <c r="CM87" s="114"/>
      <c r="CN87" s="114"/>
      <c r="CO87" s="115"/>
      <c r="CP87" s="115"/>
      <c r="CQ87" s="115"/>
      <c r="CR87" s="115"/>
      <c r="CS87" s="114"/>
    </row>
    <row r="88" spans="1:97" ht="16.5">
      <c r="A88" s="116"/>
      <c r="B88" s="40"/>
      <c r="C88" s="92"/>
      <c r="D88" s="92"/>
      <c r="E88" s="92"/>
      <c r="F88" s="110"/>
      <c r="G88" s="92"/>
      <c r="H88" s="92"/>
      <c r="I88" s="92"/>
      <c r="J88" s="92"/>
      <c r="K88" s="92"/>
      <c r="L88" s="92"/>
      <c r="M88" s="111"/>
      <c r="N88" s="112"/>
      <c r="O88" s="92"/>
      <c r="P88" s="112"/>
      <c r="Q88" s="113"/>
      <c r="R88" s="112"/>
      <c r="S88" s="112"/>
      <c r="T88" s="112"/>
      <c r="U88" s="113"/>
      <c r="V88" s="112"/>
      <c r="W88" s="112"/>
      <c r="X88" s="112"/>
      <c r="Y88" s="113"/>
      <c r="Z88" s="113"/>
      <c r="AA88" s="113"/>
      <c r="AB88" s="113"/>
      <c r="AC88" s="113"/>
      <c r="AD88" s="113"/>
      <c r="AE88" s="113"/>
      <c r="AF88" s="113"/>
      <c r="AG88" s="113"/>
      <c r="AH88" s="113"/>
      <c r="AI88" s="113"/>
      <c r="AJ88" s="113"/>
      <c r="AK88" s="113"/>
      <c r="AL88" s="113"/>
      <c r="AM88" s="113"/>
      <c r="AN88" s="113"/>
      <c r="AO88" s="113"/>
      <c r="AP88" s="113"/>
      <c r="AQ88" s="113"/>
      <c r="AR88" s="113"/>
      <c r="AS88" s="92"/>
      <c r="AT88" s="92"/>
      <c r="AU88" s="113"/>
      <c r="AV88" s="113"/>
      <c r="AW88" s="113"/>
      <c r="AX88" s="113"/>
      <c r="AY88" s="113"/>
      <c r="AZ88" s="113"/>
      <c r="BA88" s="113"/>
      <c r="BB88" s="92"/>
      <c r="BC88" s="112"/>
      <c r="BD88" s="92"/>
      <c r="BE88" s="112"/>
      <c r="BF88" s="92"/>
      <c r="BG88" s="92"/>
      <c r="BH88" s="92"/>
      <c r="BI88" s="92"/>
      <c r="BJ88" s="93"/>
      <c r="BK88" s="93"/>
      <c r="BL88" s="92"/>
      <c r="BM88" s="92"/>
      <c r="BN88" s="92"/>
      <c r="BO88" s="93"/>
      <c r="BP88" s="93"/>
      <c r="BQ88" s="92"/>
      <c r="BR88" s="92"/>
      <c r="BS88" s="93"/>
      <c r="BT88" s="93"/>
      <c r="BU88" s="92"/>
      <c r="BV88" s="93"/>
      <c r="BW88" s="92"/>
      <c r="BX88" s="92"/>
      <c r="BY88" s="92"/>
      <c r="BZ88" s="92"/>
      <c r="CA88" s="92"/>
      <c r="CB88" s="92"/>
      <c r="CC88" s="92"/>
      <c r="CD88" s="93"/>
      <c r="CE88" s="93"/>
      <c r="CF88" s="92"/>
      <c r="CG88" s="93"/>
      <c r="CH88" s="92"/>
      <c r="CI88" s="92"/>
      <c r="CJ88" s="92"/>
      <c r="CK88" s="92"/>
      <c r="CL88" s="92"/>
      <c r="CM88" s="114"/>
      <c r="CN88" s="114"/>
      <c r="CO88" s="115"/>
      <c r="CP88" s="115"/>
      <c r="CQ88" s="115"/>
      <c r="CR88" s="115"/>
      <c r="CS88" s="114"/>
    </row>
    <row r="89" spans="1:97" ht="16.5">
      <c r="A89" s="116"/>
      <c r="B89" s="40"/>
      <c r="C89" s="92"/>
      <c r="D89" s="92"/>
      <c r="E89" s="92"/>
      <c r="F89" s="110"/>
      <c r="G89" s="92"/>
      <c r="H89" s="92"/>
      <c r="I89" s="92"/>
      <c r="J89" s="92"/>
      <c r="K89" s="92"/>
      <c r="L89" s="92"/>
      <c r="M89" s="111"/>
      <c r="N89" s="112"/>
      <c r="O89" s="92"/>
      <c r="P89" s="112"/>
      <c r="Q89" s="113"/>
      <c r="R89" s="112"/>
      <c r="S89" s="112"/>
      <c r="T89" s="112"/>
      <c r="U89" s="113"/>
      <c r="V89" s="112"/>
      <c r="W89" s="112"/>
      <c r="X89" s="112"/>
      <c r="Y89" s="113"/>
      <c r="Z89" s="113"/>
      <c r="AA89" s="113"/>
      <c r="AB89" s="113"/>
      <c r="AC89" s="113"/>
      <c r="AD89" s="113"/>
      <c r="AE89" s="113"/>
      <c r="AF89" s="113"/>
      <c r="AG89" s="113"/>
      <c r="AH89" s="113"/>
      <c r="AI89" s="113"/>
      <c r="AJ89" s="113"/>
      <c r="AK89" s="113"/>
      <c r="AL89" s="113"/>
      <c r="AM89" s="113"/>
      <c r="AN89" s="113"/>
      <c r="AO89" s="113"/>
      <c r="AP89" s="113"/>
      <c r="AQ89" s="113"/>
      <c r="AR89" s="113"/>
      <c r="AS89" s="92"/>
      <c r="AT89" s="92"/>
      <c r="AU89" s="113"/>
      <c r="AV89" s="113"/>
      <c r="AW89" s="113"/>
      <c r="AX89" s="113"/>
      <c r="AY89" s="113"/>
      <c r="AZ89" s="113"/>
      <c r="BA89" s="113"/>
      <c r="BB89" s="92"/>
      <c r="BC89" s="112"/>
      <c r="BD89" s="92"/>
      <c r="BE89" s="112"/>
      <c r="BF89" s="92"/>
      <c r="BG89" s="92"/>
      <c r="BH89" s="92"/>
      <c r="BI89" s="92"/>
      <c r="BJ89" s="93"/>
      <c r="BK89" s="93"/>
      <c r="BL89" s="92"/>
      <c r="BM89" s="92"/>
      <c r="BN89" s="92"/>
      <c r="BO89" s="93"/>
      <c r="BP89" s="93"/>
      <c r="BQ89" s="92"/>
      <c r="BR89" s="92"/>
      <c r="BS89" s="93"/>
      <c r="BT89" s="93"/>
      <c r="BU89" s="92"/>
      <c r="BV89" s="93"/>
      <c r="BW89" s="92"/>
      <c r="BX89" s="92"/>
      <c r="BY89" s="92"/>
      <c r="BZ89" s="92"/>
      <c r="CA89" s="92"/>
      <c r="CB89" s="92"/>
      <c r="CC89" s="92"/>
      <c r="CD89" s="93"/>
      <c r="CE89" s="93"/>
      <c r="CF89" s="92"/>
      <c r="CG89" s="93"/>
      <c r="CH89" s="92"/>
      <c r="CI89" s="92"/>
      <c r="CJ89" s="92"/>
      <c r="CK89" s="92"/>
      <c r="CL89" s="92"/>
      <c r="CM89" s="114"/>
      <c r="CN89" s="114"/>
      <c r="CO89" s="115"/>
      <c r="CP89" s="115"/>
      <c r="CQ89" s="115"/>
      <c r="CR89" s="115"/>
      <c r="CS89" s="114"/>
    </row>
    <row r="90" spans="1:97" ht="16.5">
      <c r="A90" s="116"/>
      <c r="B90" s="40"/>
      <c r="C90" s="92"/>
      <c r="D90" s="92"/>
      <c r="E90" s="92"/>
      <c r="F90" s="110"/>
      <c r="G90" s="92"/>
      <c r="H90" s="92"/>
      <c r="I90" s="92"/>
      <c r="J90" s="92"/>
      <c r="K90" s="92"/>
      <c r="L90" s="92"/>
      <c r="M90" s="111"/>
      <c r="N90" s="112"/>
      <c r="O90" s="92"/>
      <c r="P90" s="112"/>
      <c r="Q90" s="113"/>
      <c r="R90" s="112"/>
      <c r="S90" s="112"/>
      <c r="T90" s="112"/>
      <c r="U90" s="113"/>
      <c r="V90" s="112"/>
      <c r="W90" s="112"/>
      <c r="X90" s="112"/>
      <c r="Y90" s="113"/>
      <c r="Z90" s="113"/>
      <c r="AA90" s="113"/>
      <c r="AB90" s="113"/>
      <c r="AC90" s="113"/>
      <c r="AD90" s="113"/>
      <c r="AE90" s="113"/>
      <c r="AF90" s="113"/>
      <c r="AG90" s="113"/>
      <c r="AH90" s="113"/>
      <c r="AI90" s="113"/>
      <c r="AJ90" s="113"/>
      <c r="AK90" s="113"/>
      <c r="AL90" s="113"/>
      <c r="AM90" s="113"/>
      <c r="AN90" s="113"/>
      <c r="AO90" s="113"/>
      <c r="AP90" s="113"/>
      <c r="AQ90" s="113"/>
      <c r="AR90" s="113"/>
      <c r="AS90" s="92"/>
      <c r="AT90" s="92"/>
      <c r="AU90" s="113"/>
      <c r="AV90" s="113"/>
      <c r="AW90" s="113"/>
      <c r="AX90" s="113"/>
      <c r="AY90" s="113"/>
      <c r="AZ90" s="113"/>
      <c r="BA90" s="113"/>
      <c r="BB90" s="92"/>
      <c r="BC90" s="112"/>
      <c r="BD90" s="92"/>
      <c r="BE90" s="112"/>
      <c r="BF90" s="92"/>
      <c r="BG90" s="92"/>
      <c r="BH90" s="92"/>
      <c r="BI90" s="92"/>
      <c r="BJ90" s="93"/>
      <c r="BK90" s="93"/>
      <c r="BL90" s="92"/>
      <c r="BM90" s="92"/>
      <c r="BN90" s="92"/>
      <c r="BO90" s="93"/>
      <c r="BP90" s="93"/>
      <c r="BQ90" s="92"/>
      <c r="BR90" s="92"/>
      <c r="BS90" s="93"/>
      <c r="BT90" s="93"/>
      <c r="BU90" s="92"/>
      <c r="BV90" s="93"/>
      <c r="BW90" s="92"/>
      <c r="BX90" s="92"/>
      <c r="BY90" s="92"/>
      <c r="BZ90" s="92"/>
      <c r="CA90" s="92"/>
      <c r="CB90" s="92"/>
      <c r="CC90" s="92"/>
      <c r="CD90" s="93"/>
      <c r="CE90" s="93"/>
      <c r="CF90" s="92"/>
      <c r="CG90" s="93"/>
      <c r="CH90" s="92"/>
      <c r="CI90" s="92"/>
      <c r="CJ90" s="92"/>
      <c r="CK90" s="92"/>
      <c r="CL90" s="92"/>
      <c r="CM90" s="114"/>
      <c r="CN90" s="114"/>
      <c r="CO90" s="115"/>
      <c r="CP90" s="115"/>
      <c r="CQ90" s="115"/>
      <c r="CR90" s="115"/>
      <c r="CS90" s="114"/>
    </row>
    <row r="91" spans="1:97" ht="16.5">
      <c r="A91" s="116"/>
      <c r="B91" s="40"/>
      <c r="C91" s="92"/>
      <c r="D91" s="92"/>
      <c r="E91" s="92"/>
      <c r="F91" s="110"/>
      <c r="G91" s="92"/>
      <c r="H91" s="92"/>
      <c r="I91" s="92"/>
      <c r="J91" s="92"/>
      <c r="K91" s="92"/>
      <c r="L91" s="92"/>
      <c r="M91" s="111"/>
      <c r="N91" s="112"/>
      <c r="O91" s="92"/>
      <c r="P91" s="112"/>
      <c r="Q91" s="113"/>
      <c r="R91" s="112"/>
      <c r="S91" s="112"/>
      <c r="T91" s="112"/>
      <c r="U91" s="113"/>
      <c r="V91" s="112"/>
      <c r="W91" s="112"/>
      <c r="X91" s="112"/>
      <c r="Y91" s="113"/>
      <c r="Z91" s="113"/>
      <c r="AA91" s="113"/>
      <c r="AB91" s="113"/>
      <c r="AC91" s="113"/>
      <c r="AD91" s="113"/>
      <c r="AE91" s="113"/>
      <c r="AF91" s="113"/>
      <c r="AG91" s="113"/>
      <c r="AH91" s="113"/>
      <c r="AI91" s="113"/>
      <c r="AJ91" s="113"/>
      <c r="AK91" s="113"/>
      <c r="AL91" s="113"/>
      <c r="AM91" s="113"/>
      <c r="AN91" s="113"/>
      <c r="AO91" s="113"/>
      <c r="AP91" s="113"/>
      <c r="AQ91" s="113"/>
      <c r="AR91" s="113"/>
      <c r="AS91" s="92"/>
      <c r="AT91" s="92"/>
      <c r="AU91" s="113"/>
      <c r="AV91" s="113"/>
      <c r="AW91" s="113"/>
      <c r="AX91" s="113"/>
      <c r="AY91" s="113"/>
      <c r="AZ91" s="113"/>
      <c r="BA91" s="113"/>
      <c r="BB91" s="92"/>
      <c r="BC91" s="112"/>
      <c r="BD91" s="92"/>
      <c r="BE91" s="112"/>
      <c r="BF91" s="92"/>
      <c r="BG91" s="92"/>
      <c r="BH91" s="92"/>
      <c r="BI91" s="92"/>
      <c r="BJ91" s="93"/>
      <c r="BK91" s="93"/>
      <c r="BL91" s="92"/>
      <c r="BM91" s="92"/>
      <c r="BN91" s="92"/>
      <c r="BO91" s="93"/>
      <c r="BP91" s="93"/>
      <c r="BQ91" s="92"/>
      <c r="BR91" s="92"/>
      <c r="BS91" s="93"/>
      <c r="BT91" s="93"/>
      <c r="BU91" s="92"/>
      <c r="BV91" s="93"/>
      <c r="BW91" s="92"/>
      <c r="BX91" s="92"/>
      <c r="BY91" s="92"/>
      <c r="BZ91" s="92"/>
      <c r="CA91" s="92"/>
      <c r="CB91" s="92"/>
      <c r="CC91" s="92"/>
      <c r="CD91" s="93"/>
      <c r="CE91" s="93"/>
      <c r="CF91" s="92"/>
      <c r="CG91" s="93"/>
      <c r="CH91" s="92"/>
      <c r="CI91" s="92"/>
      <c r="CJ91" s="92"/>
      <c r="CK91" s="92"/>
      <c r="CL91" s="92"/>
      <c r="CM91" s="114"/>
      <c r="CN91" s="114"/>
      <c r="CO91" s="115"/>
      <c r="CP91" s="115"/>
      <c r="CQ91" s="115"/>
      <c r="CR91" s="115"/>
      <c r="CS91" s="114"/>
    </row>
    <row r="92" spans="1:97" ht="16.5">
      <c r="A92" s="116"/>
      <c r="B92" s="40"/>
      <c r="C92" s="92"/>
      <c r="D92" s="92"/>
      <c r="E92" s="92"/>
      <c r="F92" s="110"/>
      <c r="G92" s="92"/>
      <c r="H92" s="92"/>
      <c r="I92" s="92"/>
      <c r="J92" s="92"/>
      <c r="K92" s="92"/>
      <c r="L92" s="92"/>
      <c r="M92" s="111"/>
      <c r="N92" s="112"/>
      <c r="O92" s="92"/>
      <c r="P92" s="112"/>
      <c r="Q92" s="113"/>
      <c r="R92" s="112"/>
      <c r="S92" s="112"/>
      <c r="T92" s="112"/>
      <c r="U92" s="113"/>
      <c r="V92" s="112"/>
      <c r="W92" s="112"/>
      <c r="X92" s="112"/>
      <c r="Y92" s="113"/>
      <c r="Z92" s="113"/>
      <c r="AA92" s="113"/>
      <c r="AB92" s="113"/>
      <c r="AC92" s="113"/>
      <c r="AD92" s="113"/>
      <c r="AE92" s="113"/>
      <c r="AF92" s="113"/>
      <c r="AG92" s="113"/>
      <c r="AH92" s="113"/>
      <c r="AI92" s="113"/>
      <c r="AJ92" s="113"/>
      <c r="AK92" s="113"/>
      <c r="AL92" s="113"/>
      <c r="AM92" s="113"/>
      <c r="AN92" s="113"/>
      <c r="AO92" s="113"/>
      <c r="AP92" s="113"/>
      <c r="AQ92" s="113"/>
      <c r="AR92" s="113"/>
      <c r="AS92" s="92"/>
      <c r="AT92" s="92"/>
      <c r="AU92" s="113"/>
      <c r="AV92" s="113"/>
      <c r="AW92" s="113"/>
      <c r="AX92" s="113"/>
      <c r="AY92" s="113"/>
      <c r="AZ92" s="113"/>
      <c r="BA92" s="113"/>
      <c r="BB92" s="92"/>
      <c r="BC92" s="112"/>
      <c r="BD92" s="92"/>
      <c r="BE92" s="112"/>
      <c r="BF92" s="92"/>
      <c r="BG92" s="92"/>
      <c r="BH92" s="92"/>
      <c r="BI92" s="92"/>
      <c r="BJ92" s="93"/>
      <c r="BK92" s="93"/>
      <c r="BL92" s="92"/>
      <c r="BM92" s="92"/>
      <c r="BN92" s="92"/>
      <c r="BO92" s="93"/>
      <c r="BP92" s="93"/>
      <c r="BQ92" s="92"/>
      <c r="BR92" s="92"/>
      <c r="BS92" s="93"/>
      <c r="BT92" s="93"/>
      <c r="BU92" s="92"/>
      <c r="BV92" s="93"/>
      <c r="BW92" s="92"/>
      <c r="BX92" s="92"/>
      <c r="BY92" s="92"/>
      <c r="BZ92" s="92"/>
      <c r="CA92" s="92"/>
      <c r="CB92" s="92"/>
      <c r="CC92" s="92"/>
      <c r="CD92" s="93"/>
      <c r="CE92" s="93"/>
      <c r="CF92" s="92"/>
      <c r="CG92" s="93"/>
      <c r="CH92" s="92"/>
      <c r="CI92" s="92"/>
      <c r="CJ92" s="92"/>
      <c r="CK92" s="92"/>
      <c r="CL92" s="92"/>
      <c r="CM92" s="114"/>
      <c r="CN92" s="114"/>
      <c r="CO92" s="115"/>
      <c r="CP92" s="115"/>
      <c r="CQ92" s="115"/>
      <c r="CR92" s="115"/>
      <c r="CS92" s="114"/>
    </row>
    <row r="93" spans="1:97" ht="16.5">
      <c r="A93" s="116"/>
      <c r="B93" s="40"/>
      <c r="C93" s="92"/>
      <c r="D93" s="92"/>
      <c r="E93" s="92"/>
      <c r="F93" s="110"/>
      <c r="G93" s="92"/>
      <c r="H93" s="92"/>
      <c r="I93" s="92"/>
      <c r="J93" s="92"/>
      <c r="K93" s="92"/>
      <c r="L93" s="92"/>
      <c r="M93" s="111"/>
      <c r="N93" s="112"/>
      <c r="O93" s="92"/>
      <c r="P93" s="112"/>
      <c r="Q93" s="113"/>
      <c r="R93" s="112"/>
      <c r="S93" s="112"/>
      <c r="T93" s="112"/>
      <c r="U93" s="113"/>
      <c r="V93" s="112"/>
      <c r="W93" s="112"/>
      <c r="X93" s="112"/>
      <c r="Y93" s="113"/>
      <c r="Z93" s="113"/>
      <c r="AA93" s="113"/>
      <c r="AB93" s="113"/>
      <c r="AC93" s="113"/>
      <c r="AD93" s="113"/>
      <c r="AE93" s="113"/>
      <c r="AF93" s="113"/>
      <c r="AG93" s="113"/>
      <c r="AH93" s="113"/>
      <c r="AI93" s="113"/>
      <c r="AJ93" s="113"/>
      <c r="AK93" s="113"/>
      <c r="AL93" s="113"/>
      <c r="AM93" s="113"/>
      <c r="AN93" s="113"/>
      <c r="AO93" s="113"/>
      <c r="AP93" s="113"/>
      <c r="AQ93" s="113"/>
      <c r="AR93" s="113"/>
      <c r="AS93" s="92"/>
      <c r="AT93" s="92"/>
      <c r="AU93" s="113"/>
      <c r="AV93" s="113"/>
      <c r="AW93" s="113"/>
      <c r="AX93" s="113"/>
      <c r="AY93" s="113"/>
      <c r="AZ93" s="113"/>
      <c r="BA93" s="113"/>
      <c r="BB93" s="92"/>
      <c r="BC93" s="112"/>
      <c r="BD93" s="92"/>
      <c r="BE93" s="112"/>
      <c r="BF93" s="92"/>
      <c r="BG93" s="92"/>
      <c r="BH93" s="92"/>
      <c r="BI93" s="92"/>
      <c r="BJ93" s="93"/>
      <c r="BK93" s="93"/>
      <c r="BL93" s="92"/>
      <c r="BM93" s="92"/>
      <c r="BN93" s="92"/>
      <c r="BO93" s="93"/>
      <c r="BP93" s="93"/>
      <c r="BQ93" s="92"/>
      <c r="BR93" s="92"/>
      <c r="BS93" s="93"/>
      <c r="BT93" s="93"/>
      <c r="BU93" s="92"/>
      <c r="BV93" s="93"/>
      <c r="BW93" s="92"/>
      <c r="BX93" s="92"/>
      <c r="BY93" s="92"/>
      <c r="BZ93" s="92"/>
      <c r="CA93" s="92"/>
      <c r="CB93" s="92"/>
      <c r="CC93" s="92"/>
      <c r="CD93" s="93"/>
      <c r="CE93" s="93"/>
      <c r="CF93" s="92"/>
      <c r="CG93" s="93"/>
      <c r="CH93" s="92"/>
      <c r="CI93" s="92"/>
      <c r="CJ93" s="92"/>
      <c r="CK93" s="92"/>
      <c r="CL93" s="92"/>
      <c r="CM93" s="114"/>
      <c r="CN93" s="114"/>
      <c r="CO93" s="115"/>
      <c r="CP93" s="115"/>
      <c r="CQ93" s="115"/>
      <c r="CR93" s="115"/>
      <c r="CS93" s="114"/>
    </row>
    <row r="94" spans="1:97" ht="16.5">
      <c r="A94" s="116"/>
      <c r="B94" s="40"/>
      <c r="C94" s="92"/>
      <c r="D94" s="92"/>
      <c r="E94" s="92"/>
      <c r="F94" s="110"/>
      <c r="G94" s="92"/>
      <c r="H94" s="92"/>
      <c r="I94" s="92"/>
      <c r="J94" s="92"/>
      <c r="K94" s="92"/>
      <c r="L94" s="92"/>
      <c r="M94" s="111"/>
      <c r="N94" s="112"/>
      <c r="O94" s="92"/>
      <c r="P94" s="112"/>
      <c r="Q94" s="113"/>
      <c r="R94" s="112"/>
      <c r="S94" s="112"/>
      <c r="T94" s="112"/>
      <c r="U94" s="113"/>
      <c r="V94" s="112"/>
      <c r="W94" s="112"/>
      <c r="X94" s="112"/>
      <c r="Y94" s="113"/>
      <c r="Z94" s="113"/>
      <c r="AA94" s="113"/>
      <c r="AB94" s="113"/>
      <c r="AC94" s="113"/>
      <c r="AD94" s="113"/>
      <c r="AE94" s="113"/>
      <c r="AF94" s="113"/>
      <c r="AG94" s="113"/>
      <c r="AH94" s="113"/>
      <c r="AI94" s="113"/>
      <c r="AJ94" s="113"/>
      <c r="AK94" s="113"/>
      <c r="AL94" s="113"/>
      <c r="AM94" s="113"/>
      <c r="AN94" s="113"/>
      <c r="AO94" s="113"/>
      <c r="AP94" s="113"/>
      <c r="AQ94" s="113"/>
      <c r="AR94" s="113"/>
      <c r="AS94" s="92"/>
      <c r="AT94" s="92"/>
      <c r="AU94" s="113"/>
      <c r="AV94" s="113"/>
      <c r="AW94" s="113"/>
      <c r="AX94" s="113"/>
      <c r="AY94" s="113"/>
      <c r="AZ94" s="113"/>
      <c r="BA94" s="113"/>
      <c r="BB94" s="92"/>
      <c r="BC94" s="112"/>
      <c r="BD94" s="92"/>
      <c r="BE94" s="112"/>
      <c r="BF94" s="92"/>
      <c r="BG94" s="92"/>
      <c r="BH94" s="92"/>
      <c r="BI94" s="92"/>
      <c r="BJ94" s="93"/>
      <c r="BK94" s="93"/>
      <c r="BL94" s="92"/>
      <c r="BM94" s="92"/>
      <c r="BN94" s="92"/>
      <c r="BO94" s="93"/>
      <c r="BP94" s="93"/>
      <c r="BQ94" s="92"/>
      <c r="BR94" s="92"/>
      <c r="BS94" s="93"/>
      <c r="BT94" s="93"/>
      <c r="BU94" s="92"/>
      <c r="BV94" s="93"/>
      <c r="BW94" s="92"/>
      <c r="BX94" s="92"/>
      <c r="BY94" s="92"/>
      <c r="BZ94" s="92"/>
      <c r="CA94" s="92"/>
      <c r="CB94" s="92"/>
      <c r="CC94" s="92"/>
      <c r="CD94" s="93"/>
      <c r="CE94" s="93"/>
      <c r="CF94" s="92"/>
      <c r="CG94" s="93"/>
      <c r="CH94" s="92"/>
      <c r="CI94" s="92"/>
      <c r="CJ94" s="92"/>
      <c r="CK94" s="92"/>
      <c r="CL94" s="92"/>
      <c r="CM94" s="114"/>
      <c r="CN94" s="114"/>
      <c r="CO94" s="115"/>
      <c r="CP94" s="115"/>
      <c r="CQ94" s="115"/>
      <c r="CR94" s="115"/>
      <c r="CS94" s="114"/>
    </row>
    <row r="95" spans="1:97" ht="16.5">
      <c r="A95" s="116"/>
      <c r="B95" s="40"/>
      <c r="C95" s="92"/>
      <c r="D95" s="92"/>
      <c r="E95" s="92"/>
      <c r="F95" s="110"/>
      <c r="G95" s="92"/>
      <c r="H95" s="92"/>
      <c r="I95" s="92"/>
      <c r="J95" s="92"/>
      <c r="K95" s="92"/>
      <c r="L95" s="92"/>
      <c r="M95" s="111"/>
      <c r="N95" s="112"/>
      <c r="O95" s="92"/>
      <c r="P95" s="112"/>
      <c r="Q95" s="113"/>
      <c r="R95" s="112"/>
      <c r="S95" s="112"/>
      <c r="T95" s="112"/>
      <c r="U95" s="113"/>
      <c r="V95" s="112"/>
      <c r="W95" s="112"/>
      <c r="X95" s="112"/>
      <c r="Y95" s="113"/>
      <c r="Z95" s="113"/>
      <c r="AA95" s="113"/>
      <c r="AB95" s="113"/>
      <c r="AC95" s="113"/>
      <c r="AD95" s="113"/>
      <c r="AE95" s="113"/>
      <c r="AF95" s="113"/>
      <c r="AG95" s="113"/>
      <c r="AH95" s="113"/>
      <c r="AI95" s="113"/>
      <c r="AJ95" s="113"/>
      <c r="AK95" s="113"/>
      <c r="AL95" s="113"/>
      <c r="AM95" s="113"/>
      <c r="AN95" s="113"/>
      <c r="AO95" s="113"/>
      <c r="AP95" s="113"/>
      <c r="AQ95" s="113"/>
      <c r="AR95" s="113"/>
      <c r="AS95" s="92"/>
      <c r="AT95" s="92"/>
      <c r="AU95" s="113"/>
      <c r="AV95" s="113"/>
      <c r="AW95" s="113"/>
      <c r="AX95" s="113"/>
      <c r="AY95" s="113"/>
      <c r="AZ95" s="113"/>
      <c r="BA95" s="113"/>
      <c r="BB95" s="92"/>
      <c r="BC95" s="112"/>
      <c r="BD95" s="92"/>
      <c r="BE95" s="112"/>
      <c r="BF95" s="92"/>
      <c r="BG95" s="92"/>
      <c r="BH95" s="92"/>
      <c r="BI95" s="92"/>
      <c r="BJ95" s="93"/>
      <c r="BK95" s="93"/>
      <c r="BL95" s="92"/>
      <c r="BM95" s="92"/>
      <c r="BN95" s="92"/>
      <c r="BO95" s="93"/>
      <c r="BP95" s="93"/>
      <c r="BQ95" s="92"/>
      <c r="BR95" s="92"/>
      <c r="BS95" s="93"/>
      <c r="BT95" s="93"/>
      <c r="BU95" s="92"/>
      <c r="BV95" s="93"/>
      <c r="BW95" s="92"/>
      <c r="BX95" s="92"/>
      <c r="BY95" s="92"/>
      <c r="BZ95" s="92"/>
      <c r="CA95" s="92"/>
      <c r="CB95" s="92"/>
      <c r="CC95" s="92"/>
      <c r="CD95" s="93"/>
      <c r="CE95" s="93"/>
      <c r="CF95" s="92"/>
      <c r="CG95" s="93"/>
      <c r="CH95" s="92"/>
      <c r="CI95" s="92"/>
      <c r="CJ95" s="92"/>
      <c r="CK95" s="92"/>
      <c r="CL95" s="92"/>
      <c r="CM95" s="114"/>
      <c r="CN95" s="114"/>
      <c r="CO95" s="115"/>
      <c r="CP95" s="115"/>
      <c r="CQ95" s="115"/>
      <c r="CR95" s="115"/>
      <c r="CS95" s="114"/>
    </row>
    <row r="96" spans="1:97" ht="16.5">
      <c r="A96" s="116"/>
      <c r="B96" s="40"/>
      <c r="C96" s="92"/>
      <c r="D96" s="92"/>
      <c r="E96" s="92"/>
      <c r="F96" s="110"/>
      <c r="G96" s="92"/>
      <c r="H96" s="92"/>
      <c r="I96" s="92"/>
      <c r="J96" s="92"/>
      <c r="K96" s="92"/>
      <c r="L96" s="92"/>
      <c r="M96" s="111"/>
      <c r="N96" s="112"/>
      <c r="O96" s="92"/>
      <c r="P96" s="112"/>
      <c r="Q96" s="113"/>
      <c r="R96" s="112"/>
      <c r="S96" s="112"/>
      <c r="T96" s="112"/>
      <c r="U96" s="113"/>
      <c r="V96" s="112"/>
      <c r="W96" s="112"/>
      <c r="X96" s="112"/>
      <c r="Y96" s="113"/>
      <c r="Z96" s="113"/>
      <c r="AA96" s="113"/>
      <c r="AB96" s="113"/>
      <c r="AC96" s="113"/>
      <c r="AD96" s="113"/>
      <c r="AE96" s="113"/>
      <c r="AF96" s="113"/>
      <c r="AG96" s="113"/>
      <c r="AH96" s="113"/>
      <c r="AI96" s="113"/>
      <c r="AJ96" s="113"/>
      <c r="AK96" s="113"/>
      <c r="AL96" s="113"/>
      <c r="AM96" s="113"/>
      <c r="AN96" s="113"/>
      <c r="AO96" s="113"/>
      <c r="AP96" s="113"/>
      <c r="AQ96" s="113"/>
      <c r="AR96" s="113"/>
      <c r="AS96" s="92"/>
      <c r="AT96" s="92"/>
      <c r="AU96" s="113"/>
      <c r="AV96" s="113"/>
      <c r="AW96" s="113"/>
      <c r="AX96" s="113"/>
      <c r="AY96" s="113"/>
      <c r="AZ96" s="113"/>
      <c r="BA96" s="113"/>
      <c r="BB96" s="92"/>
      <c r="BC96" s="112"/>
      <c r="BD96" s="92"/>
      <c r="BE96" s="112"/>
      <c r="BF96" s="92"/>
      <c r="BG96" s="92"/>
      <c r="BH96" s="92"/>
      <c r="BI96" s="92"/>
      <c r="BJ96" s="93"/>
      <c r="BK96" s="93"/>
      <c r="BL96" s="92"/>
      <c r="BM96" s="92"/>
      <c r="BN96" s="92"/>
      <c r="BO96" s="93"/>
      <c r="BP96" s="93"/>
      <c r="BQ96" s="92"/>
      <c r="BR96" s="92"/>
      <c r="BS96" s="93"/>
      <c r="BT96" s="93"/>
      <c r="BU96" s="92"/>
      <c r="BV96" s="93"/>
      <c r="BW96" s="92"/>
      <c r="BX96" s="92"/>
      <c r="BY96" s="92"/>
      <c r="BZ96" s="92"/>
      <c r="CA96" s="92"/>
      <c r="CB96" s="92"/>
      <c r="CC96" s="92"/>
      <c r="CD96" s="93"/>
      <c r="CE96" s="93"/>
      <c r="CF96" s="92"/>
      <c r="CG96" s="93"/>
      <c r="CH96" s="92"/>
      <c r="CI96" s="92"/>
      <c r="CJ96" s="92"/>
      <c r="CK96" s="92"/>
      <c r="CL96" s="92"/>
      <c r="CM96" s="114"/>
      <c r="CN96" s="114"/>
      <c r="CO96" s="115"/>
      <c r="CP96" s="115"/>
      <c r="CQ96" s="115"/>
      <c r="CR96" s="115"/>
      <c r="CS96" s="114"/>
    </row>
    <row r="97" spans="1:97" ht="16.5">
      <c r="A97" s="116"/>
      <c r="B97" s="40"/>
      <c r="C97" s="92"/>
      <c r="D97" s="92"/>
      <c r="E97" s="92"/>
      <c r="F97" s="110"/>
      <c r="G97" s="92"/>
      <c r="H97" s="92"/>
      <c r="I97" s="92"/>
      <c r="J97" s="92"/>
      <c r="K97" s="92"/>
      <c r="L97" s="92"/>
      <c r="M97" s="111"/>
      <c r="N97" s="112"/>
      <c r="O97" s="92"/>
      <c r="P97" s="112"/>
      <c r="Q97" s="113"/>
      <c r="R97" s="112"/>
      <c r="S97" s="112"/>
      <c r="T97" s="112"/>
      <c r="U97" s="113"/>
      <c r="V97" s="112"/>
      <c r="W97" s="112"/>
      <c r="X97" s="112"/>
      <c r="Y97" s="113"/>
      <c r="Z97" s="113"/>
      <c r="AA97" s="113"/>
      <c r="AB97" s="113"/>
      <c r="AC97" s="113"/>
      <c r="AD97" s="113"/>
      <c r="AE97" s="113"/>
      <c r="AF97" s="113"/>
      <c r="AG97" s="113"/>
      <c r="AH97" s="113"/>
      <c r="AI97" s="113"/>
      <c r="AJ97" s="113"/>
      <c r="AK97" s="113"/>
      <c r="AL97" s="113"/>
      <c r="AM97" s="113"/>
      <c r="AN97" s="113"/>
      <c r="AO97" s="113"/>
      <c r="AP97" s="113"/>
      <c r="AQ97" s="113"/>
      <c r="AR97" s="113"/>
      <c r="AS97" s="92"/>
      <c r="AT97" s="92"/>
      <c r="AU97" s="113"/>
      <c r="AV97" s="113"/>
      <c r="AW97" s="113"/>
      <c r="AX97" s="113"/>
      <c r="AY97" s="113"/>
      <c r="AZ97" s="113"/>
      <c r="BA97" s="113"/>
      <c r="BB97" s="92"/>
      <c r="BC97" s="112"/>
      <c r="BD97" s="92"/>
      <c r="BE97" s="112"/>
      <c r="BF97" s="92"/>
      <c r="BG97" s="92"/>
      <c r="BH97" s="92"/>
      <c r="BI97" s="92"/>
      <c r="BJ97" s="93"/>
      <c r="BK97" s="93"/>
      <c r="BL97" s="92"/>
      <c r="BM97" s="92"/>
      <c r="BN97" s="92"/>
      <c r="BO97" s="93"/>
      <c r="BP97" s="93"/>
      <c r="BQ97" s="92"/>
      <c r="BR97" s="92"/>
      <c r="BS97" s="93"/>
      <c r="BT97" s="93"/>
      <c r="BU97" s="92"/>
      <c r="BV97" s="93"/>
      <c r="BW97" s="92"/>
      <c r="BX97" s="92"/>
      <c r="BY97" s="92"/>
      <c r="BZ97" s="92"/>
      <c r="CA97" s="92"/>
      <c r="CB97" s="92"/>
      <c r="CC97" s="92"/>
      <c r="CD97" s="93"/>
      <c r="CE97" s="93"/>
      <c r="CF97" s="92"/>
      <c r="CG97" s="93"/>
      <c r="CH97" s="92"/>
      <c r="CI97" s="92"/>
      <c r="CJ97" s="92"/>
      <c r="CK97" s="92"/>
      <c r="CL97" s="92"/>
      <c r="CM97" s="114"/>
      <c r="CN97" s="114"/>
      <c r="CO97" s="115"/>
      <c r="CP97" s="115"/>
      <c r="CQ97" s="115"/>
      <c r="CR97" s="115"/>
      <c r="CS97" s="114"/>
    </row>
    <row r="98" spans="1:97" ht="16.5">
      <c r="A98" s="116"/>
      <c r="B98" s="40"/>
      <c r="C98" s="92"/>
      <c r="D98" s="92"/>
      <c r="E98" s="92"/>
      <c r="F98" s="110"/>
      <c r="G98" s="92"/>
      <c r="H98" s="92"/>
      <c r="I98" s="92"/>
      <c r="J98" s="92"/>
      <c r="K98" s="92"/>
      <c r="L98" s="92"/>
      <c r="M98" s="111"/>
      <c r="N98" s="112"/>
      <c r="O98" s="92"/>
      <c r="P98" s="112"/>
      <c r="Q98" s="113"/>
      <c r="R98" s="112"/>
      <c r="S98" s="112"/>
      <c r="T98" s="112"/>
      <c r="U98" s="113"/>
      <c r="V98" s="112"/>
      <c r="W98" s="112"/>
      <c r="X98" s="112"/>
      <c r="Y98" s="113"/>
      <c r="Z98" s="113"/>
      <c r="AA98" s="113"/>
      <c r="AB98" s="113"/>
      <c r="AC98" s="113"/>
      <c r="AD98" s="113"/>
      <c r="AE98" s="113"/>
      <c r="AF98" s="113"/>
      <c r="AG98" s="113"/>
      <c r="AH98" s="113"/>
      <c r="AI98" s="113"/>
      <c r="AJ98" s="113"/>
      <c r="AK98" s="113"/>
      <c r="AL98" s="113"/>
      <c r="AM98" s="113"/>
      <c r="AN98" s="113"/>
      <c r="AO98" s="113"/>
      <c r="AP98" s="113"/>
      <c r="AQ98" s="113"/>
      <c r="AR98" s="113"/>
      <c r="AS98" s="92"/>
      <c r="AT98" s="92"/>
      <c r="AU98" s="113"/>
      <c r="AV98" s="113"/>
      <c r="AW98" s="113"/>
      <c r="AX98" s="113"/>
      <c r="AY98" s="113"/>
      <c r="AZ98" s="113"/>
      <c r="BA98" s="113"/>
      <c r="BB98" s="92"/>
      <c r="BC98" s="112"/>
      <c r="BD98" s="92"/>
      <c r="BE98" s="112"/>
      <c r="BF98" s="92"/>
      <c r="BG98" s="92"/>
      <c r="BH98" s="92"/>
      <c r="BI98" s="92"/>
      <c r="BJ98" s="93"/>
      <c r="BK98" s="93"/>
      <c r="BL98" s="92"/>
      <c r="BM98" s="92"/>
      <c r="BN98" s="92"/>
      <c r="BO98" s="93"/>
      <c r="BP98" s="93"/>
      <c r="BQ98" s="92"/>
      <c r="BR98" s="92"/>
      <c r="BS98" s="93"/>
      <c r="BT98" s="93"/>
      <c r="BU98" s="92"/>
      <c r="BV98" s="93"/>
      <c r="BW98" s="92"/>
      <c r="BX98" s="92"/>
      <c r="BY98" s="92"/>
      <c r="BZ98" s="92"/>
      <c r="CA98" s="92"/>
      <c r="CB98" s="92"/>
      <c r="CC98" s="92"/>
      <c r="CD98" s="93"/>
      <c r="CE98" s="93"/>
      <c r="CF98" s="92"/>
      <c r="CG98" s="93"/>
      <c r="CH98" s="92"/>
      <c r="CI98" s="92"/>
      <c r="CJ98" s="92"/>
      <c r="CK98" s="92"/>
      <c r="CL98" s="92"/>
      <c r="CM98" s="114"/>
      <c r="CN98" s="114"/>
      <c r="CO98" s="115"/>
      <c r="CP98" s="115"/>
      <c r="CQ98" s="115"/>
      <c r="CR98" s="115"/>
      <c r="CS98" s="114"/>
    </row>
    <row r="99" spans="1:97" ht="16.5">
      <c r="A99" s="116"/>
      <c r="B99" s="40"/>
      <c r="C99" s="92"/>
      <c r="D99" s="92"/>
      <c r="E99" s="92"/>
      <c r="F99" s="110"/>
      <c r="G99" s="92"/>
      <c r="H99" s="92"/>
      <c r="I99" s="92"/>
      <c r="J99" s="92"/>
      <c r="K99" s="92"/>
      <c r="L99" s="92"/>
      <c r="M99" s="111"/>
      <c r="N99" s="112"/>
      <c r="O99" s="92"/>
      <c r="P99" s="112"/>
      <c r="Q99" s="113"/>
      <c r="R99" s="112"/>
      <c r="S99" s="112"/>
      <c r="T99" s="112"/>
      <c r="U99" s="113"/>
      <c r="V99" s="112"/>
      <c r="W99" s="112"/>
      <c r="X99" s="112"/>
      <c r="Y99" s="113"/>
      <c r="Z99" s="113"/>
      <c r="AA99" s="113"/>
      <c r="AB99" s="113"/>
      <c r="AC99" s="113"/>
      <c r="AD99" s="113"/>
      <c r="AE99" s="113"/>
      <c r="AF99" s="113"/>
      <c r="AG99" s="113"/>
      <c r="AH99" s="113"/>
      <c r="AI99" s="113"/>
      <c r="AJ99" s="113"/>
      <c r="AK99" s="113"/>
      <c r="AL99" s="113"/>
      <c r="AM99" s="113"/>
      <c r="AN99" s="113"/>
      <c r="AO99" s="113"/>
      <c r="AP99" s="113"/>
      <c r="AQ99" s="113"/>
      <c r="AR99" s="113"/>
      <c r="AS99" s="92"/>
      <c r="AT99" s="92"/>
      <c r="AU99" s="113"/>
      <c r="AV99" s="113"/>
      <c r="AW99" s="113"/>
      <c r="AX99" s="113"/>
      <c r="AY99" s="113"/>
      <c r="AZ99" s="113"/>
      <c r="BA99" s="113"/>
      <c r="BB99" s="92"/>
      <c r="BC99" s="112"/>
      <c r="BD99" s="92"/>
      <c r="BE99" s="112"/>
      <c r="BF99" s="92"/>
      <c r="BG99" s="92"/>
      <c r="BH99" s="92"/>
      <c r="BI99" s="92"/>
      <c r="BJ99" s="93"/>
      <c r="BK99" s="93"/>
      <c r="BL99" s="92"/>
      <c r="BM99" s="92"/>
      <c r="BN99" s="92"/>
      <c r="BO99" s="93"/>
      <c r="BP99" s="93"/>
      <c r="BQ99" s="92"/>
      <c r="BR99" s="92"/>
      <c r="BS99" s="93"/>
      <c r="BT99" s="93"/>
      <c r="BU99" s="92"/>
      <c r="BV99" s="93"/>
      <c r="BW99" s="92"/>
      <c r="BX99" s="92"/>
      <c r="BY99" s="92"/>
      <c r="BZ99" s="92"/>
      <c r="CA99" s="92"/>
      <c r="CB99" s="92"/>
      <c r="CC99" s="92"/>
      <c r="CD99" s="93"/>
      <c r="CE99" s="93"/>
      <c r="CF99" s="92"/>
      <c r="CG99" s="93"/>
      <c r="CH99" s="92"/>
      <c r="CI99" s="92"/>
      <c r="CJ99" s="92"/>
      <c r="CK99" s="92"/>
      <c r="CL99" s="92"/>
      <c r="CM99" s="114"/>
      <c r="CN99" s="114"/>
      <c r="CO99" s="115"/>
      <c r="CP99" s="115"/>
      <c r="CQ99" s="115"/>
      <c r="CR99" s="115"/>
      <c r="CS99" s="114"/>
    </row>
    <row r="100" spans="1:97" ht="16.5">
      <c r="A100" s="116"/>
      <c r="B100" s="40"/>
      <c r="C100" s="92"/>
      <c r="D100" s="92"/>
      <c r="E100" s="92"/>
      <c r="F100" s="110"/>
      <c r="G100" s="92"/>
      <c r="H100" s="92"/>
      <c r="I100" s="92"/>
      <c r="J100" s="92"/>
      <c r="K100" s="92"/>
      <c r="L100" s="92"/>
      <c r="M100" s="111"/>
      <c r="N100" s="112"/>
      <c r="O100" s="92"/>
      <c r="P100" s="112"/>
      <c r="Q100" s="113"/>
      <c r="R100" s="112"/>
      <c r="S100" s="112"/>
      <c r="T100" s="112"/>
      <c r="U100" s="113"/>
      <c r="V100" s="112"/>
      <c r="W100" s="112"/>
      <c r="X100" s="112"/>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92"/>
      <c r="AT100" s="92"/>
      <c r="AU100" s="113"/>
      <c r="AV100" s="113"/>
      <c r="AW100" s="113"/>
      <c r="AX100" s="113"/>
      <c r="AY100" s="113"/>
      <c r="AZ100" s="113"/>
      <c r="BA100" s="113"/>
      <c r="BB100" s="92"/>
      <c r="BC100" s="112"/>
      <c r="BD100" s="92"/>
      <c r="BE100" s="112"/>
      <c r="BF100" s="92"/>
      <c r="BG100" s="92"/>
      <c r="BH100" s="92"/>
      <c r="BI100" s="92"/>
      <c r="BJ100" s="93"/>
      <c r="BK100" s="93"/>
      <c r="BL100" s="92"/>
      <c r="BM100" s="92"/>
      <c r="BN100" s="92"/>
      <c r="BO100" s="93"/>
      <c r="BP100" s="93"/>
      <c r="BQ100" s="92"/>
      <c r="BR100" s="92"/>
      <c r="BS100" s="93"/>
      <c r="BT100" s="93"/>
      <c r="BU100" s="92"/>
      <c r="BV100" s="93"/>
      <c r="BW100" s="92"/>
      <c r="BX100" s="92"/>
      <c r="BY100" s="92"/>
      <c r="BZ100" s="92"/>
      <c r="CA100" s="92"/>
      <c r="CB100" s="92"/>
      <c r="CC100" s="92"/>
      <c r="CD100" s="93"/>
      <c r="CE100" s="93"/>
      <c r="CF100" s="92"/>
      <c r="CG100" s="93"/>
      <c r="CH100" s="92"/>
      <c r="CI100" s="92"/>
      <c r="CJ100" s="92"/>
      <c r="CK100" s="92"/>
      <c r="CL100" s="92"/>
      <c r="CM100" s="114"/>
      <c r="CN100" s="114"/>
      <c r="CO100" s="115"/>
      <c r="CP100" s="115"/>
      <c r="CQ100" s="115"/>
      <c r="CR100" s="115"/>
      <c r="CS100" s="114"/>
    </row>
  </sheetData>
  <autoFilter ref="A1:CS100" xr:uid="{00000000-0009-0000-0000-00000B000000}"/>
  <conditionalFormatting sqref="F1:F100">
    <cfRule type="cellIs" dxfId="1" priority="2" operator="equal">
      <formula>"FALSE"</formula>
    </cfRule>
  </conditionalFormatting>
  <conditionalFormatting sqref="BS2:BT100 CD2:CE100">
    <cfRule type="notContainsBlanks" dxfId="0" priority="1">
      <formula>LEN(TRIM(BS2))&gt;0</formula>
    </cfRule>
  </conditionalFormatting>
  <dataValidations count="3">
    <dataValidation type="list" allowBlank="1" showInputMessage="1" prompt="Select" sqref="BJ2:BJ100 BO2:BO100" xr:uid="{00000000-0002-0000-0B00-000000000000}">
      <formula1>"read_only,collaborator,responsible_party"</formula1>
    </dataValidation>
    <dataValidation type="list" allowBlank="1" showInputMessage="1" prompt="Click and enter a value from the list of items" sqref="BV2:BV100 CG2:CG100" xr:uid="{00000000-0002-0000-0B00-000001000000}">
      <formula1>"read_only,no_access"</formula1>
    </dataValidation>
    <dataValidation type="list" allowBlank="1" sqref="F2:F100 BK2:BK100 BP2:BP100 BS2:BT100 CD2:CE100" xr:uid="{00000000-0002-0000-0B00-000002000000}">
      <formula1>"TRUE,FALSE"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G100"/>
  <sheetViews>
    <sheetView workbookViewId="0">
      <pane ySplit="1" topLeftCell="A2" activePane="bottomLeft" state="frozen"/>
      <selection pane="bottomLeft" activeCell="B3" sqref="B3"/>
    </sheetView>
  </sheetViews>
  <sheetFormatPr defaultColWidth="14.42578125" defaultRowHeight="15.75" customHeight="1"/>
  <cols>
    <col min="1" max="1" width="25.85546875" customWidth="1"/>
    <col min="3" max="4" width="25.85546875" customWidth="1"/>
    <col min="7" max="7" width="20.140625" customWidth="1"/>
  </cols>
  <sheetData>
    <row r="1" spans="1:7" ht="31.5" customHeight="1">
      <c r="A1" s="24" t="s">
        <v>240</v>
      </c>
      <c r="B1" s="19" t="s">
        <v>241</v>
      </c>
      <c r="C1" s="19" t="s">
        <v>242</v>
      </c>
      <c r="D1" s="19" t="s">
        <v>243</v>
      </c>
      <c r="E1" s="19" t="s">
        <v>244</v>
      </c>
      <c r="F1" s="24" t="s">
        <v>245</v>
      </c>
      <c r="G1" s="25" t="s">
        <v>146</v>
      </c>
    </row>
    <row r="2" spans="1:7" ht="16.5">
      <c r="A2" s="117"/>
      <c r="B2" s="118"/>
      <c r="C2" s="10"/>
      <c r="D2" s="10"/>
      <c r="E2" s="119"/>
      <c r="F2" s="28"/>
      <c r="G2" s="120"/>
    </row>
    <row r="3" spans="1:7" ht="16.5">
      <c r="A3" s="117"/>
      <c r="B3" s="118"/>
      <c r="C3" s="10"/>
      <c r="D3" s="10"/>
      <c r="E3" s="119"/>
      <c r="F3" s="28"/>
      <c r="G3" s="120"/>
    </row>
    <row r="4" spans="1:7" ht="16.5">
      <c r="A4" s="117"/>
      <c r="B4" s="118"/>
      <c r="C4" s="10"/>
      <c r="D4" s="10"/>
      <c r="E4" s="119"/>
      <c r="F4" s="28"/>
      <c r="G4" s="120"/>
    </row>
    <row r="5" spans="1:7" ht="16.5">
      <c r="A5" s="117"/>
      <c r="B5" s="118"/>
      <c r="C5" s="10"/>
      <c r="D5" s="10"/>
      <c r="E5" s="119"/>
      <c r="F5" s="28"/>
      <c r="G5" s="120"/>
    </row>
    <row r="6" spans="1:7" ht="16.5">
      <c r="A6" s="117"/>
      <c r="B6" s="118"/>
      <c r="C6" s="10"/>
      <c r="D6" s="10"/>
      <c r="E6" s="119"/>
      <c r="F6" s="28"/>
      <c r="G6" s="120"/>
    </row>
    <row r="7" spans="1:7" ht="16.5">
      <c r="A7" s="117"/>
      <c r="B7" s="118"/>
      <c r="C7" s="10"/>
      <c r="D7" s="10"/>
      <c r="E7" s="119"/>
      <c r="F7" s="28"/>
      <c r="G7" s="120"/>
    </row>
    <row r="8" spans="1:7" ht="16.5">
      <c r="A8" s="117"/>
      <c r="B8" s="118"/>
      <c r="C8" s="10"/>
      <c r="D8" s="10"/>
      <c r="E8" s="119"/>
      <c r="F8" s="28"/>
      <c r="G8" s="120"/>
    </row>
    <row r="9" spans="1:7" ht="16.5">
      <c r="A9" s="117"/>
      <c r="B9" s="118"/>
      <c r="C9" s="10"/>
      <c r="D9" s="10"/>
      <c r="E9" s="119"/>
      <c r="F9" s="28"/>
      <c r="G9" s="120"/>
    </row>
    <row r="10" spans="1:7" ht="16.5">
      <c r="A10" s="117"/>
      <c r="B10" s="118"/>
      <c r="C10" s="10"/>
      <c r="D10" s="10"/>
      <c r="E10" s="119"/>
      <c r="F10" s="28"/>
      <c r="G10" s="120"/>
    </row>
    <row r="11" spans="1:7" ht="16.5">
      <c r="A11" s="117"/>
      <c r="B11" s="118"/>
      <c r="C11" s="10"/>
      <c r="D11" s="10"/>
      <c r="E11" s="119"/>
      <c r="F11" s="28"/>
      <c r="G11" s="120"/>
    </row>
    <row r="12" spans="1:7" ht="16.5">
      <c r="A12" s="117"/>
      <c r="B12" s="118"/>
      <c r="C12" s="10"/>
      <c r="D12" s="10"/>
      <c r="E12" s="119"/>
      <c r="F12" s="28"/>
      <c r="G12" s="120"/>
    </row>
    <row r="13" spans="1:7" ht="16.5">
      <c r="A13" s="117"/>
      <c r="B13" s="118"/>
      <c r="C13" s="10"/>
      <c r="D13" s="10"/>
      <c r="E13" s="119"/>
      <c r="F13" s="28"/>
      <c r="G13" s="120"/>
    </row>
    <row r="14" spans="1:7" ht="16.5">
      <c r="A14" s="117"/>
      <c r="B14" s="118"/>
      <c r="C14" s="10"/>
      <c r="D14" s="10"/>
      <c r="E14" s="119"/>
      <c r="F14" s="28"/>
      <c r="G14" s="120"/>
    </row>
    <row r="15" spans="1:7" ht="16.5">
      <c r="A15" s="117"/>
      <c r="B15" s="118"/>
      <c r="C15" s="10"/>
      <c r="D15" s="10"/>
      <c r="E15" s="119"/>
      <c r="F15" s="28"/>
      <c r="G15" s="120"/>
    </row>
    <row r="16" spans="1:7" ht="16.5">
      <c r="A16" s="117"/>
      <c r="B16" s="118"/>
      <c r="C16" s="10"/>
      <c r="D16" s="10"/>
      <c r="E16" s="119"/>
      <c r="F16" s="28"/>
      <c r="G16" s="120"/>
    </row>
    <row r="17" spans="1:7" ht="16.5">
      <c r="A17" s="117"/>
      <c r="B17" s="118"/>
      <c r="C17" s="10"/>
      <c r="D17" s="10"/>
      <c r="E17" s="119"/>
      <c r="F17" s="28"/>
      <c r="G17" s="120"/>
    </row>
    <row r="18" spans="1:7" ht="16.5">
      <c r="A18" s="117"/>
      <c r="B18" s="118"/>
      <c r="C18" s="10"/>
      <c r="D18" s="10"/>
      <c r="E18" s="119"/>
      <c r="F18" s="28"/>
      <c r="G18" s="120"/>
    </row>
    <row r="19" spans="1:7" ht="16.5">
      <c r="A19" s="117"/>
      <c r="B19" s="118"/>
      <c r="C19" s="10"/>
      <c r="D19" s="10"/>
      <c r="E19" s="119"/>
      <c r="F19" s="28"/>
      <c r="G19" s="120"/>
    </row>
    <row r="20" spans="1:7" ht="16.5">
      <c r="A20" s="117"/>
      <c r="B20" s="118"/>
      <c r="C20" s="10"/>
      <c r="D20" s="10"/>
      <c r="E20" s="119"/>
      <c r="F20" s="28"/>
      <c r="G20" s="120"/>
    </row>
    <row r="21" spans="1:7" ht="16.5">
      <c r="A21" s="117"/>
      <c r="B21" s="118"/>
      <c r="C21" s="10"/>
      <c r="D21" s="10"/>
      <c r="E21" s="119"/>
      <c r="F21" s="28"/>
      <c r="G21" s="120"/>
    </row>
    <row r="22" spans="1:7" ht="16.5">
      <c r="A22" s="117"/>
      <c r="B22" s="118"/>
      <c r="C22" s="10"/>
      <c r="D22" s="10"/>
      <c r="E22" s="119"/>
      <c r="F22" s="28"/>
      <c r="G22" s="120"/>
    </row>
    <row r="23" spans="1:7" ht="16.5">
      <c r="A23" s="117"/>
      <c r="B23" s="118"/>
      <c r="C23" s="10"/>
      <c r="D23" s="10"/>
      <c r="E23" s="119"/>
      <c r="F23" s="28"/>
      <c r="G23" s="120"/>
    </row>
    <row r="24" spans="1:7" ht="16.5">
      <c r="A24" s="117"/>
      <c r="B24" s="118"/>
      <c r="C24" s="10"/>
      <c r="D24" s="10"/>
      <c r="E24" s="119"/>
      <c r="F24" s="28"/>
      <c r="G24" s="120"/>
    </row>
    <row r="25" spans="1:7" ht="16.5">
      <c r="A25" s="117"/>
      <c r="B25" s="118"/>
      <c r="C25" s="10"/>
      <c r="D25" s="10"/>
      <c r="E25" s="119"/>
      <c r="F25" s="28"/>
      <c r="G25" s="120"/>
    </row>
    <row r="26" spans="1:7" ht="16.5">
      <c r="A26" s="117"/>
      <c r="B26" s="118"/>
      <c r="C26" s="10"/>
      <c r="D26" s="10"/>
      <c r="E26" s="119"/>
      <c r="F26" s="28"/>
      <c r="G26" s="120"/>
    </row>
    <row r="27" spans="1:7" ht="16.5">
      <c r="A27" s="117"/>
      <c r="B27" s="118"/>
      <c r="C27" s="10"/>
      <c r="D27" s="10"/>
      <c r="E27" s="119"/>
      <c r="F27" s="28"/>
      <c r="G27" s="120"/>
    </row>
    <row r="28" spans="1:7" ht="16.5">
      <c r="A28" s="117"/>
      <c r="B28" s="118"/>
      <c r="C28" s="10"/>
      <c r="D28" s="10"/>
      <c r="E28" s="119"/>
      <c r="F28" s="28"/>
      <c r="G28" s="120"/>
    </row>
    <row r="29" spans="1:7" ht="16.5">
      <c r="A29" s="117"/>
      <c r="B29" s="118"/>
      <c r="C29" s="10"/>
      <c r="D29" s="10"/>
      <c r="E29" s="119"/>
      <c r="F29" s="28"/>
      <c r="G29" s="120"/>
    </row>
    <row r="30" spans="1:7" ht="16.5">
      <c r="A30" s="117"/>
      <c r="B30" s="118"/>
      <c r="C30" s="10"/>
      <c r="D30" s="10"/>
      <c r="E30" s="119"/>
      <c r="F30" s="28"/>
      <c r="G30" s="120"/>
    </row>
    <row r="31" spans="1:7" ht="16.5">
      <c r="A31" s="117"/>
      <c r="B31" s="118"/>
      <c r="C31" s="10"/>
      <c r="D31" s="10"/>
      <c r="E31" s="119"/>
      <c r="F31" s="28"/>
      <c r="G31" s="120"/>
    </row>
    <row r="32" spans="1:7" ht="16.5">
      <c r="A32" s="117"/>
      <c r="B32" s="118"/>
      <c r="C32" s="10"/>
      <c r="D32" s="10"/>
      <c r="E32" s="119"/>
      <c r="F32" s="28"/>
      <c r="G32" s="120"/>
    </row>
    <row r="33" spans="1:7" ht="16.5">
      <c r="A33" s="117"/>
      <c r="B33" s="118"/>
      <c r="C33" s="10"/>
      <c r="D33" s="10"/>
      <c r="E33" s="119"/>
      <c r="F33" s="28"/>
      <c r="G33" s="120"/>
    </row>
    <row r="34" spans="1:7" ht="16.5">
      <c r="A34" s="117"/>
      <c r="B34" s="118"/>
      <c r="C34" s="10"/>
      <c r="D34" s="10"/>
      <c r="E34" s="119"/>
      <c r="F34" s="28"/>
      <c r="G34" s="120"/>
    </row>
    <row r="35" spans="1:7" ht="16.5">
      <c r="A35" s="117"/>
      <c r="B35" s="118"/>
      <c r="C35" s="10"/>
      <c r="D35" s="10"/>
      <c r="E35" s="119"/>
      <c r="F35" s="28"/>
      <c r="G35" s="120"/>
    </row>
    <row r="36" spans="1:7" ht="16.5">
      <c r="A36" s="117"/>
      <c r="B36" s="118"/>
      <c r="C36" s="10"/>
      <c r="D36" s="10"/>
      <c r="E36" s="119"/>
      <c r="F36" s="28"/>
      <c r="G36" s="120"/>
    </row>
    <row r="37" spans="1:7" ht="16.5">
      <c r="A37" s="117"/>
      <c r="B37" s="118"/>
      <c r="C37" s="10"/>
      <c r="D37" s="10"/>
      <c r="E37" s="119"/>
      <c r="F37" s="28"/>
      <c r="G37" s="120"/>
    </row>
    <row r="38" spans="1:7" ht="16.5">
      <c r="A38" s="117"/>
      <c r="B38" s="118"/>
      <c r="C38" s="10"/>
      <c r="D38" s="10"/>
      <c r="E38" s="119"/>
      <c r="F38" s="28"/>
      <c r="G38" s="120"/>
    </row>
    <row r="39" spans="1:7" ht="16.5">
      <c r="A39" s="117"/>
      <c r="B39" s="118"/>
      <c r="C39" s="10"/>
      <c r="D39" s="10"/>
      <c r="E39" s="119"/>
      <c r="F39" s="28"/>
      <c r="G39" s="120"/>
    </row>
    <row r="40" spans="1:7" ht="16.5">
      <c r="A40" s="117"/>
      <c r="B40" s="118"/>
      <c r="C40" s="10"/>
      <c r="D40" s="10"/>
      <c r="E40" s="119"/>
      <c r="F40" s="28"/>
      <c r="G40" s="120"/>
    </row>
    <row r="41" spans="1:7" ht="16.5">
      <c r="A41" s="117"/>
      <c r="B41" s="118"/>
      <c r="C41" s="10"/>
      <c r="D41" s="10"/>
      <c r="E41" s="119"/>
      <c r="F41" s="28"/>
      <c r="G41" s="120"/>
    </row>
    <row r="42" spans="1:7" ht="16.5">
      <c r="A42" s="117"/>
      <c r="B42" s="118"/>
      <c r="C42" s="10"/>
      <c r="D42" s="10"/>
      <c r="E42" s="119"/>
      <c r="F42" s="28"/>
      <c r="G42" s="120"/>
    </row>
    <row r="43" spans="1:7" ht="16.5">
      <c r="A43" s="117"/>
      <c r="B43" s="118"/>
      <c r="C43" s="10"/>
      <c r="D43" s="10"/>
      <c r="E43" s="119"/>
      <c r="F43" s="28"/>
      <c r="G43" s="120"/>
    </row>
    <row r="44" spans="1:7" ht="16.5">
      <c r="A44" s="117"/>
      <c r="B44" s="118"/>
      <c r="C44" s="10"/>
      <c r="D44" s="10"/>
      <c r="E44" s="119"/>
      <c r="F44" s="28"/>
      <c r="G44" s="120"/>
    </row>
    <row r="45" spans="1:7" ht="16.5">
      <c r="A45" s="117"/>
      <c r="B45" s="118"/>
      <c r="C45" s="10"/>
      <c r="D45" s="10"/>
      <c r="E45" s="119"/>
      <c r="F45" s="28"/>
      <c r="G45" s="120"/>
    </row>
    <row r="46" spans="1:7" ht="16.5">
      <c r="A46" s="117"/>
      <c r="B46" s="118"/>
      <c r="C46" s="10"/>
      <c r="D46" s="10"/>
      <c r="E46" s="119"/>
      <c r="F46" s="28"/>
      <c r="G46" s="120"/>
    </row>
    <row r="47" spans="1:7" ht="16.5">
      <c r="A47" s="117"/>
      <c r="B47" s="118"/>
      <c r="C47" s="10"/>
      <c r="D47" s="10"/>
      <c r="E47" s="119"/>
      <c r="F47" s="28"/>
      <c r="G47" s="120"/>
    </row>
    <row r="48" spans="1:7" ht="16.5">
      <c r="A48" s="117"/>
      <c r="B48" s="118"/>
      <c r="C48" s="10"/>
      <c r="D48" s="10"/>
      <c r="E48" s="119"/>
      <c r="F48" s="28"/>
      <c r="G48" s="120"/>
    </row>
    <row r="49" spans="1:7" ht="16.5">
      <c r="A49" s="117"/>
      <c r="B49" s="118"/>
      <c r="C49" s="10"/>
      <c r="D49" s="10"/>
      <c r="E49" s="119"/>
      <c r="F49" s="28"/>
      <c r="G49" s="120"/>
    </row>
    <row r="50" spans="1:7" ht="16.5">
      <c r="A50" s="117"/>
      <c r="B50" s="118"/>
      <c r="C50" s="10"/>
      <c r="D50" s="10"/>
      <c r="E50" s="119"/>
      <c r="F50" s="28"/>
      <c r="G50" s="120"/>
    </row>
    <row r="51" spans="1:7" ht="16.5">
      <c r="A51" s="117"/>
      <c r="B51" s="118"/>
      <c r="C51" s="10"/>
      <c r="D51" s="10"/>
      <c r="E51" s="119"/>
      <c r="F51" s="28"/>
      <c r="G51" s="120"/>
    </row>
    <row r="52" spans="1:7" ht="16.5">
      <c r="A52" s="117"/>
      <c r="B52" s="118"/>
      <c r="C52" s="10"/>
      <c r="D52" s="10"/>
      <c r="E52" s="119"/>
      <c r="F52" s="28"/>
      <c r="G52" s="120"/>
    </row>
    <row r="53" spans="1:7" ht="16.5">
      <c r="A53" s="117"/>
      <c r="B53" s="118"/>
      <c r="C53" s="10"/>
      <c r="D53" s="10"/>
      <c r="E53" s="119"/>
      <c r="F53" s="28"/>
      <c r="G53" s="120"/>
    </row>
    <row r="54" spans="1:7" ht="16.5">
      <c r="A54" s="117"/>
      <c r="B54" s="118"/>
      <c r="C54" s="10"/>
      <c r="D54" s="10"/>
      <c r="E54" s="119"/>
      <c r="F54" s="28"/>
      <c r="G54" s="120"/>
    </row>
    <row r="55" spans="1:7" ht="16.5">
      <c r="A55" s="117"/>
      <c r="B55" s="118"/>
      <c r="C55" s="10"/>
      <c r="D55" s="10"/>
      <c r="E55" s="119"/>
      <c r="F55" s="28"/>
      <c r="G55" s="120"/>
    </row>
    <row r="56" spans="1:7" ht="16.5">
      <c r="A56" s="117"/>
      <c r="B56" s="118"/>
      <c r="C56" s="10"/>
      <c r="D56" s="10"/>
      <c r="E56" s="119"/>
      <c r="F56" s="28"/>
      <c r="G56" s="120"/>
    </row>
    <row r="57" spans="1:7" ht="16.5">
      <c r="A57" s="117"/>
      <c r="B57" s="118"/>
      <c r="C57" s="10"/>
      <c r="D57" s="10"/>
      <c r="E57" s="119"/>
      <c r="F57" s="28"/>
      <c r="G57" s="120"/>
    </row>
    <row r="58" spans="1:7" ht="16.5">
      <c r="A58" s="117"/>
      <c r="B58" s="118"/>
      <c r="C58" s="10"/>
      <c r="D58" s="10"/>
      <c r="E58" s="119"/>
      <c r="F58" s="28"/>
      <c r="G58" s="120"/>
    </row>
    <row r="59" spans="1:7" ht="16.5">
      <c r="A59" s="117"/>
      <c r="B59" s="118"/>
      <c r="C59" s="10"/>
      <c r="D59" s="10"/>
      <c r="E59" s="119"/>
      <c r="F59" s="28"/>
      <c r="G59" s="120"/>
    </row>
    <row r="60" spans="1:7" ht="16.5">
      <c r="A60" s="117"/>
      <c r="B60" s="118"/>
      <c r="C60" s="10"/>
      <c r="D60" s="10"/>
      <c r="E60" s="119"/>
      <c r="F60" s="28"/>
      <c r="G60" s="120"/>
    </row>
    <row r="61" spans="1:7" ht="16.5">
      <c r="A61" s="117"/>
      <c r="B61" s="118"/>
      <c r="C61" s="10"/>
      <c r="D61" s="10"/>
      <c r="E61" s="119"/>
      <c r="F61" s="28"/>
      <c r="G61" s="120"/>
    </row>
    <row r="62" spans="1:7" ht="16.5">
      <c r="A62" s="117"/>
      <c r="B62" s="118"/>
      <c r="C62" s="10"/>
      <c r="D62" s="10"/>
      <c r="E62" s="119"/>
      <c r="F62" s="28"/>
      <c r="G62" s="120"/>
    </row>
    <row r="63" spans="1:7" ht="16.5">
      <c r="A63" s="117"/>
      <c r="B63" s="118"/>
      <c r="C63" s="10"/>
      <c r="D63" s="10"/>
      <c r="E63" s="119"/>
      <c r="F63" s="28"/>
      <c r="G63" s="120"/>
    </row>
    <row r="64" spans="1:7" ht="16.5">
      <c r="A64" s="117"/>
      <c r="B64" s="118"/>
      <c r="C64" s="10"/>
      <c r="D64" s="10"/>
      <c r="E64" s="119"/>
      <c r="F64" s="28"/>
      <c r="G64" s="120"/>
    </row>
    <row r="65" spans="1:7" ht="16.5">
      <c r="A65" s="117"/>
      <c r="B65" s="118"/>
      <c r="C65" s="10"/>
      <c r="D65" s="10"/>
      <c r="E65" s="119"/>
      <c r="F65" s="28"/>
      <c r="G65" s="120"/>
    </row>
    <row r="66" spans="1:7" ht="16.5">
      <c r="A66" s="117"/>
      <c r="B66" s="118"/>
      <c r="C66" s="10"/>
      <c r="D66" s="10"/>
      <c r="E66" s="119"/>
      <c r="F66" s="28"/>
      <c r="G66" s="120"/>
    </row>
    <row r="67" spans="1:7" ht="16.5">
      <c r="A67" s="117"/>
      <c r="B67" s="118"/>
      <c r="C67" s="10"/>
      <c r="D67" s="10"/>
      <c r="E67" s="119"/>
      <c r="F67" s="28"/>
      <c r="G67" s="120"/>
    </row>
    <row r="68" spans="1:7" ht="16.5">
      <c r="A68" s="117"/>
      <c r="B68" s="118"/>
      <c r="C68" s="10"/>
      <c r="D68" s="10"/>
      <c r="E68" s="119"/>
      <c r="F68" s="28"/>
      <c r="G68" s="120"/>
    </row>
    <row r="69" spans="1:7" ht="16.5">
      <c r="A69" s="117"/>
      <c r="B69" s="118"/>
      <c r="C69" s="10"/>
      <c r="D69" s="10"/>
      <c r="E69" s="119"/>
      <c r="F69" s="28"/>
      <c r="G69" s="120"/>
    </row>
    <row r="70" spans="1:7" ht="16.5">
      <c r="A70" s="117"/>
      <c r="B70" s="118"/>
      <c r="C70" s="10"/>
      <c r="D70" s="10"/>
      <c r="E70" s="119"/>
      <c r="F70" s="28"/>
      <c r="G70" s="120"/>
    </row>
    <row r="71" spans="1:7" ht="16.5">
      <c r="A71" s="117"/>
      <c r="B71" s="118"/>
      <c r="C71" s="10"/>
      <c r="D71" s="10"/>
      <c r="E71" s="119"/>
      <c r="F71" s="28"/>
      <c r="G71" s="120"/>
    </row>
    <row r="72" spans="1:7" ht="16.5">
      <c r="A72" s="117"/>
      <c r="B72" s="118"/>
      <c r="C72" s="10"/>
      <c r="D72" s="10"/>
      <c r="E72" s="119"/>
      <c r="F72" s="28"/>
      <c r="G72" s="120"/>
    </row>
    <row r="73" spans="1:7" ht="16.5">
      <c r="A73" s="117"/>
      <c r="B73" s="118"/>
      <c r="C73" s="10"/>
      <c r="D73" s="10"/>
      <c r="E73" s="119"/>
      <c r="F73" s="28"/>
      <c r="G73" s="120"/>
    </row>
    <row r="74" spans="1:7" ht="16.5">
      <c r="A74" s="117"/>
      <c r="B74" s="118"/>
      <c r="C74" s="10"/>
      <c r="D74" s="10"/>
      <c r="E74" s="119"/>
      <c r="F74" s="28"/>
      <c r="G74" s="120"/>
    </row>
    <row r="75" spans="1:7" ht="16.5">
      <c r="A75" s="117"/>
      <c r="B75" s="118"/>
      <c r="C75" s="10"/>
      <c r="D75" s="10"/>
      <c r="E75" s="119"/>
      <c r="F75" s="28"/>
      <c r="G75" s="120"/>
    </row>
    <row r="76" spans="1:7" ht="16.5">
      <c r="A76" s="117"/>
      <c r="B76" s="118"/>
      <c r="C76" s="10"/>
      <c r="D76" s="10"/>
      <c r="E76" s="119"/>
      <c r="F76" s="28"/>
      <c r="G76" s="120"/>
    </row>
    <row r="77" spans="1:7" ht="16.5">
      <c r="A77" s="117"/>
      <c r="B77" s="118"/>
      <c r="C77" s="10"/>
      <c r="D77" s="10"/>
      <c r="E77" s="119"/>
      <c r="F77" s="28"/>
      <c r="G77" s="120"/>
    </row>
    <row r="78" spans="1:7" ht="16.5">
      <c r="A78" s="117"/>
      <c r="B78" s="118"/>
      <c r="C78" s="10"/>
      <c r="D78" s="10"/>
      <c r="E78" s="119"/>
      <c r="F78" s="28"/>
      <c r="G78" s="120"/>
    </row>
    <row r="79" spans="1:7" ht="16.5">
      <c r="A79" s="117"/>
      <c r="B79" s="118"/>
      <c r="C79" s="10"/>
      <c r="D79" s="10"/>
      <c r="E79" s="119"/>
      <c r="F79" s="28"/>
      <c r="G79" s="120"/>
    </row>
    <row r="80" spans="1:7" ht="16.5">
      <c r="A80" s="117"/>
      <c r="B80" s="118"/>
      <c r="C80" s="10"/>
      <c r="D80" s="10"/>
      <c r="E80" s="119"/>
      <c r="F80" s="28"/>
      <c r="G80" s="120"/>
    </row>
    <row r="81" spans="1:7" ht="16.5">
      <c r="A81" s="117"/>
      <c r="B81" s="118"/>
      <c r="C81" s="10"/>
      <c r="D81" s="10"/>
      <c r="E81" s="119"/>
      <c r="F81" s="28"/>
      <c r="G81" s="120"/>
    </row>
    <row r="82" spans="1:7" ht="16.5">
      <c r="A82" s="117"/>
      <c r="B82" s="118"/>
      <c r="C82" s="10"/>
      <c r="D82" s="10"/>
      <c r="E82" s="119"/>
      <c r="F82" s="28"/>
      <c r="G82" s="120"/>
    </row>
    <row r="83" spans="1:7" ht="16.5">
      <c r="A83" s="117"/>
      <c r="B83" s="118"/>
      <c r="C83" s="10"/>
      <c r="D83" s="10"/>
      <c r="E83" s="119"/>
      <c r="F83" s="28"/>
      <c r="G83" s="120"/>
    </row>
    <row r="84" spans="1:7" ht="16.5">
      <c r="A84" s="117"/>
      <c r="B84" s="118"/>
      <c r="C84" s="10"/>
      <c r="D84" s="10"/>
      <c r="E84" s="119"/>
      <c r="F84" s="28"/>
      <c r="G84" s="120"/>
    </row>
    <row r="85" spans="1:7" ht="16.5">
      <c r="A85" s="117"/>
      <c r="B85" s="118"/>
      <c r="C85" s="10"/>
      <c r="D85" s="10"/>
      <c r="E85" s="119"/>
      <c r="F85" s="28"/>
      <c r="G85" s="120"/>
    </row>
    <row r="86" spans="1:7" ht="16.5">
      <c r="A86" s="117"/>
      <c r="B86" s="118"/>
      <c r="C86" s="10"/>
      <c r="D86" s="10"/>
      <c r="E86" s="119"/>
      <c r="F86" s="28"/>
      <c r="G86" s="120"/>
    </row>
    <row r="87" spans="1:7" ht="16.5">
      <c r="A87" s="117"/>
      <c r="B87" s="118"/>
      <c r="C87" s="10"/>
      <c r="D87" s="10"/>
      <c r="E87" s="119"/>
      <c r="F87" s="28"/>
      <c r="G87" s="120"/>
    </row>
    <row r="88" spans="1:7" ht="16.5">
      <c r="A88" s="117"/>
      <c r="B88" s="118"/>
      <c r="C88" s="10"/>
      <c r="D88" s="10"/>
      <c r="E88" s="119"/>
      <c r="F88" s="28"/>
      <c r="G88" s="120"/>
    </row>
    <row r="89" spans="1:7" ht="16.5">
      <c r="A89" s="117"/>
      <c r="B89" s="118"/>
      <c r="C89" s="10"/>
      <c r="D89" s="10"/>
      <c r="E89" s="119"/>
      <c r="F89" s="28"/>
      <c r="G89" s="120"/>
    </row>
    <row r="90" spans="1:7" ht="16.5">
      <c r="A90" s="117"/>
      <c r="B90" s="118"/>
      <c r="C90" s="10"/>
      <c r="D90" s="10"/>
      <c r="E90" s="119"/>
      <c r="F90" s="28"/>
      <c r="G90" s="120"/>
    </row>
    <row r="91" spans="1:7" ht="16.5">
      <c r="A91" s="117"/>
      <c r="B91" s="118"/>
      <c r="C91" s="10"/>
      <c r="D91" s="10"/>
      <c r="E91" s="119"/>
      <c r="F91" s="28"/>
      <c r="G91" s="120"/>
    </row>
    <row r="92" spans="1:7" ht="16.5">
      <c r="A92" s="117"/>
      <c r="B92" s="118"/>
      <c r="C92" s="10"/>
      <c r="D92" s="10"/>
      <c r="E92" s="119"/>
      <c r="F92" s="28"/>
      <c r="G92" s="120"/>
    </row>
    <row r="93" spans="1:7" ht="16.5">
      <c r="A93" s="117"/>
      <c r="B93" s="118"/>
      <c r="C93" s="10"/>
      <c r="D93" s="10"/>
      <c r="E93" s="119"/>
      <c r="F93" s="28"/>
      <c r="G93" s="120"/>
    </row>
    <row r="94" spans="1:7" ht="16.5">
      <c r="A94" s="117"/>
      <c r="B94" s="118"/>
      <c r="C94" s="10"/>
      <c r="D94" s="10"/>
      <c r="E94" s="119"/>
      <c r="F94" s="28"/>
      <c r="G94" s="120"/>
    </row>
    <row r="95" spans="1:7" ht="16.5">
      <c r="A95" s="117"/>
      <c r="B95" s="118"/>
      <c r="C95" s="10"/>
      <c r="D95" s="10"/>
      <c r="E95" s="119"/>
      <c r="F95" s="28"/>
      <c r="G95" s="120"/>
    </row>
    <row r="96" spans="1:7" ht="16.5">
      <c r="A96" s="117"/>
      <c r="B96" s="118"/>
      <c r="C96" s="10"/>
      <c r="D96" s="10"/>
      <c r="E96" s="119"/>
      <c r="F96" s="28"/>
      <c r="G96" s="120"/>
    </row>
    <row r="97" spans="1:7" ht="16.5">
      <c r="A97" s="117"/>
      <c r="B97" s="118"/>
      <c r="C97" s="10"/>
      <c r="D97" s="10"/>
      <c r="E97" s="119"/>
      <c r="F97" s="28"/>
      <c r="G97" s="120"/>
    </row>
    <row r="98" spans="1:7" ht="16.5">
      <c r="A98" s="117"/>
      <c r="B98" s="118"/>
      <c r="C98" s="10"/>
      <c r="D98" s="10"/>
      <c r="E98" s="119"/>
      <c r="F98" s="28"/>
      <c r="G98" s="120"/>
    </row>
    <row r="99" spans="1:7" ht="16.5">
      <c r="A99" s="117"/>
      <c r="B99" s="118"/>
      <c r="C99" s="10"/>
      <c r="D99" s="10"/>
      <c r="E99" s="119"/>
      <c r="F99" s="28"/>
      <c r="G99" s="120"/>
    </row>
    <row r="100" spans="1:7" ht="16.5">
      <c r="A100" s="117"/>
      <c r="B100" s="118"/>
      <c r="C100" s="10"/>
      <c r="D100" s="10"/>
      <c r="E100" s="119"/>
      <c r="F100" s="28"/>
      <c r="G100" s="120"/>
    </row>
  </sheetData>
  <autoFilter ref="A1:G1" xr:uid="{00000000-0009-0000-0000-00000C000000}"/>
  <dataValidations count="1">
    <dataValidation type="list" allowBlank="1" showErrorMessage="1" sqref="F2:F100" xr:uid="{00000000-0002-0000-0C00-000000000000}">
      <formula1>"TRUE,FALSE"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08E79"/>
    <outlinePr summaryBelow="0" summaryRight="0"/>
  </sheetPr>
  <dimension ref="A1"/>
  <sheetViews>
    <sheetView workbookViewId="0"/>
  </sheetViews>
  <sheetFormatPr defaultColWidth="14.42578125" defaultRowHeight="15.75" customHeight="1"/>
  <cols>
    <col min="1" max="1" width="17" customWidth="1"/>
  </cols>
  <sheetData>
    <row r="1" spans="1:1" ht="15.75" customHeight="1">
      <c r="A1" s="70" t="s">
        <v>40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08E79"/>
    <outlinePr summaryBelow="0" summaryRight="0"/>
  </sheetPr>
  <dimension ref="A1:E296"/>
  <sheetViews>
    <sheetView workbookViewId="0">
      <pane ySplit="1" topLeftCell="A2" activePane="bottomLeft" state="frozen"/>
      <selection pane="bottomLeft" activeCell="B3" sqref="B3"/>
    </sheetView>
  </sheetViews>
  <sheetFormatPr defaultColWidth="14.42578125" defaultRowHeight="15.75" customHeight="1"/>
  <cols>
    <col min="1" max="1" width="55" customWidth="1"/>
    <col min="2" max="2" width="29.5703125" customWidth="1"/>
    <col min="3" max="3" width="51.5703125" customWidth="1"/>
    <col min="4" max="4" width="29.5703125" customWidth="1"/>
    <col min="5" max="5" width="44.5703125" customWidth="1"/>
  </cols>
  <sheetData>
    <row r="1" spans="1:5" ht="15.75" customHeight="1">
      <c r="A1" s="121" t="s">
        <v>246</v>
      </c>
      <c r="B1" s="121" t="s">
        <v>174</v>
      </c>
      <c r="C1" s="121" t="s">
        <v>247</v>
      </c>
      <c r="D1" s="121" t="s">
        <v>248</v>
      </c>
      <c r="E1" s="121" t="s">
        <v>180</v>
      </c>
    </row>
    <row r="2" spans="1:5" ht="15.75" customHeight="1">
      <c r="A2" s="122" t="s">
        <v>249</v>
      </c>
      <c r="B2" s="122" t="s">
        <v>250</v>
      </c>
      <c r="C2" s="122" t="s">
        <v>251</v>
      </c>
      <c r="D2" s="122" t="s">
        <v>250</v>
      </c>
      <c r="E2" s="122" t="s">
        <v>252</v>
      </c>
    </row>
    <row r="3" spans="1:5" ht="15.75" customHeight="1">
      <c r="A3" s="123" t="s">
        <v>253</v>
      </c>
      <c r="B3" s="123" t="s">
        <v>254</v>
      </c>
      <c r="C3" s="123" t="s">
        <v>254</v>
      </c>
      <c r="D3" s="123" t="s">
        <v>254</v>
      </c>
      <c r="E3" s="123" t="s">
        <v>255</v>
      </c>
    </row>
    <row r="4" spans="1:5" ht="15.75" customHeight="1">
      <c r="A4" s="122" t="s">
        <v>256</v>
      </c>
      <c r="B4" s="122" t="s">
        <v>257</v>
      </c>
      <c r="C4" s="122" t="s">
        <v>257</v>
      </c>
      <c r="D4" s="122" t="s">
        <v>257</v>
      </c>
      <c r="E4" s="122" t="s">
        <v>258</v>
      </c>
    </row>
    <row r="5" spans="1:5" ht="15.75" customHeight="1">
      <c r="A5" s="123" t="s">
        <v>259</v>
      </c>
      <c r="B5" s="123" t="s">
        <v>260</v>
      </c>
      <c r="C5" s="123" t="s">
        <v>261</v>
      </c>
      <c r="D5" s="123" t="s">
        <v>260</v>
      </c>
      <c r="E5" s="123" t="s">
        <v>262</v>
      </c>
    </row>
    <row r="6" spans="1:5" ht="15.75" customHeight="1">
      <c r="A6" s="122" t="s">
        <v>263</v>
      </c>
      <c r="B6" s="122" t="s">
        <v>264</v>
      </c>
      <c r="C6" s="122" t="s">
        <v>265</v>
      </c>
      <c r="D6" s="122" t="s">
        <v>264</v>
      </c>
      <c r="E6" s="122" t="s">
        <v>266</v>
      </c>
    </row>
    <row r="7" spans="1:5" ht="15.75" customHeight="1">
      <c r="A7" s="123" t="s">
        <v>267</v>
      </c>
      <c r="B7" s="123" t="s">
        <v>268</v>
      </c>
      <c r="C7" s="123" t="s">
        <v>269</v>
      </c>
      <c r="D7" s="123" t="s">
        <v>268</v>
      </c>
      <c r="E7" s="123" t="s">
        <v>270</v>
      </c>
    </row>
    <row r="8" spans="1:5" ht="15.75" customHeight="1">
      <c r="A8" s="122" t="s">
        <v>271</v>
      </c>
      <c r="B8" s="122" t="s">
        <v>272</v>
      </c>
      <c r="C8" s="122" t="s">
        <v>273</v>
      </c>
      <c r="D8" s="122" t="s">
        <v>272</v>
      </c>
      <c r="E8" s="122" t="s">
        <v>274</v>
      </c>
    </row>
    <row r="9" spans="1:5" ht="15.75" customHeight="1">
      <c r="A9" s="123" t="s">
        <v>275</v>
      </c>
      <c r="B9" s="123" t="s">
        <v>276</v>
      </c>
      <c r="C9" s="123" t="s">
        <v>276</v>
      </c>
      <c r="D9" s="123" t="s">
        <v>276</v>
      </c>
      <c r="E9" s="123" t="s">
        <v>277</v>
      </c>
    </row>
    <row r="10" spans="1:5" ht="15.75" customHeight="1">
      <c r="A10" s="122" t="s">
        <v>278</v>
      </c>
      <c r="B10" s="122" t="s">
        <v>279</v>
      </c>
      <c r="C10" s="122" t="s">
        <v>279</v>
      </c>
      <c r="D10" s="122" t="s">
        <v>279</v>
      </c>
      <c r="E10" s="122" t="s">
        <v>280</v>
      </c>
    </row>
    <row r="11" spans="1:5" ht="15.75" customHeight="1">
      <c r="A11" s="123" t="s">
        <v>281</v>
      </c>
      <c r="B11" s="123" t="s">
        <v>282</v>
      </c>
      <c r="C11" s="123" t="s">
        <v>283</v>
      </c>
      <c r="D11" s="123" t="s">
        <v>282</v>
      </c>
      <c r="E11" s="123" t="s">
        <v>284</v>
      </c>
    </row>
    <row r="12" spans="1:5" ht="15.75" customHeight="1">
      <c r="A12" s="122" t="s">
        <v>285</v>
      </c>
      <c r="B12" s="122" t="s">
        <v>286</v>
      </c>
      <c r="C12" s="122" t="s">
        <v>287</v>
      </c>
      <c r="D12" s="122" t="s">
        <v>286</v>
      </c>
      <c r="E12" s="122" t="s">
        <v>286</v>
      </c>
    </row>
    <row r="13" spans="1:5" ht="15.75" customHeight="1">
      <c r="A13" s="123" t="s">
        <v>288</v>
      </c>
      <c r="B13" s="123" t="s">
        <v>289</v>
      </c>
      <c r="C13" s="123" t="s">
        <v>289</v>
      </c>
      <c r="D13" s="123" t="s">
        <v>289</v>
      </c>
      <c r="E13" s="123" t="s">
        <v>290</v>
      </c>
    </row>
    <row r="14" spans="1:5" ht="15.75" customHeight="1">
      <c r="A14" s="122" t="s">
        <v>291</v>
      </c>
      <c r="B14" s="122" t="s">
        <v>292</v>
      </c>
      <c r="C14" s="122" t="s">
        <v>292</v>
      </c>
      <c r="D14" s="122" t="s">
        <v>292</v>
      </c>
      <c r="E14" s="122" t="s">
        <v>290</v>
      </c>
    </row>
    <row r="15" spans="1:5" ht="15.75" customHeight="1">
      <c r="A15" s="123" t="s">
        <v>293</v>
      </c>
      <c r="B15" s="123" t="s">
        <v>294</v>
      </c>
      <c r="C15" s="123" t="s">
        <v>295</v>
      </c>
      <c r="D15" s="123" t="s">
        <v>296</v>
      </c>
      <c r="E15" s="123" t="s">
        <v>297</v>
      </c>
    </row>
    <row r="16" spans="1:5" ht="15.75" customHeight="1">
      <c r="A16" s="122" t="s">
        <v>298</v>
      </c>
      <c r="B16" s="122" t="s">
        <v>299</v>
      </c>
      <c r="C16" s="122" t="s">
        <v>300</v>
      </c>
      <c r="D16" s="122" t="s">
        <v>299</v>
      </c>
      <c r="E16" s="122" t="s">
        <v>299</v>
      </c>
    </row>
    <row r="17" spans="1:5" ht="15.75" customHeight="1">
      <c r="A17" s="123" t="s">
        <v>301</v>
      </c>
      <c r="B17" s="123" t="s">
        <v>302</v>
      </c>
      <c r="C17" s="123" t="s">
        <v>303</v>
      </c>
      <c r="D17" s="123" t="s">
        <v>302</v>
      </c>
      <c r="E17" s="123" t="s">
        <v>304</v>
      </c>
    </row>
    <row r="18" spans="1:5" ht="15.75" customHeight="1">
      <c r="A18" s="122" t="s">
        <v>305</v>
      </c>
      <c r="B18" s="122" t="s">
        <v>306</v>
      </c>
      <c r="C18" s="122" t="s">
        <v>307</v>
      </c>
      <c r="D18" s="122" t="s">
        <v>306</v>
      </c>
      <c r="E18" s="122" t="s">
        <v>308</v>
      </c>
    </row>
    <row r="19" spans="1:5" ht="15.75" customHeight="1">
      <c r="A19" s="123" t="s">
        <v>309</v>
      </c>
      <c r="B19" s="123" t="s">
        <v>310</v>
      </c>
      <c r="C19" s="123" t="s">
        <v>311</v>
      </c>
      <c r="D19" s="123" t="s">
        <v>310</v>
      </c>
      <c r="E19" s="123" t="s">
        <v>312</v>
      </c>
    </row>
    <row r="20" spans="1:5" ht="15.75" customHeight="1">
      <c r="A20" s="122" t="s">
        <v>313</v>
      </c>
      <c r="B20" s="122" t="s">
        <v>314</v>
      </c>
      <c r="C20" s="122" t="s">
        <v>315</v>
      </c>
      <c r="D20" s="122" t="s">
        <v>316</v>
      </c>
      <c r="E20" s="122" t="s">
        <v>317</v>
      </c>
    </row>
    <row r="21" spans="1:5" ht="15.75" customHeight="1">
      <c r="A21" s="123" t="s">
        <v>318</v>
      </c>
      <c r="B21" s="123" t="s">
        <v>319</v>
      </c>
      <c r="C21" s="123" t="s">
        <v>320</v>
      </c>
      <c r="D21" s="123" t="s">
        <v>319</v>
      </c>
      <c r="E21" s="123" t="s">
        <v>321</v>
      </c>
    </row>
    <row r="22" spans="1:5" ht="15.75" customHeight="1">
      <c r="A22" s="122" t="s">
        <v>322</v>
      </c>
      <c r="B22" s="122" t="s">
        <v>323</v>
      </c>
      <c r="C22" s="122" t="s">
        <v>324</v>
      </c>
      <c r="D22" s="122" t="s">
        <v>323</v>
      </c>
      <c r="E22" s="122" t="s">
        <v>325</v>
      </c>
    </row>
    <row r="23" spans="1:5" ht="15.75" customHeight="1">
      <c r="A23" s="123" t="s">
        <v>326</v>
      </c>
      <c r="B23" s="123" t="s">
        <v>327</v>
      </c>
      <c r="C23" s="123" t="s">
        <v>327</v>
      </c>
      <c r="D23" s="123" t="s">
        <v>327</v>
      </c>
      <c r="E23" s="123" t="s">
        <v>328</v>
      </c>
    </row>
    <row r="24" spans="1:5" ht="15.75" customHeight="1">
      <c r="A24" s="122" t="s">
        <v>329</v>
      </c>
      <c r="B24" s="122" t="s">
        <v>330</v>
      </c>
      <c r="C24" s="122" t="s">
        <v>331</v>
      </c>
      <c r="D24" s="122" t="s">
        <v>330</v>
      </c>
      <c r="E24" s="122" t="s">
        <v>332</v>
      </c>
    </row>
    <row r="25" spans="1:5" ht="15.75" customHeight="1">
      <c r="A25" s="123" t="s">
        <v>333</v>
      </c>
      <c r="B25" s="123" t="s">
        <v>334</v>
      </c>
      <c r="C25" s="123" t="s">
        <v>335</v>
      </c>
      <c r="D25" s="123" t="s">
        <v>334</v>
      </c>
      <c r="E25" s="123" t="s">
        <v>336</v>
      </c>
    </row>
    <row r="26" spans="1:5" ht="15.75" customHeight="1">
      <c r="A26" s="122" t="s">
        <v>337</v>
      </c>
      <c r="B26" s="122" t="s">
        <v>338</v>
      </c>
      <c r="C26" s="122" t="s">
        <v>338</v>
      </c>
      <c r="D26" s="122" t="s">
        <v>338</v>
      </c>
      <c r="E26" s="122" t="s">
        <v>339</v>
      </c>
    </row>
    <row r="27" spans="1:5" ht="15.75" customHeight="1">
      <c r="A27" s="123" t="s">
        <v>340</v>
      </c>
      <c r="B27" s="123" t="s">
        <v>341</v>
      </c>
      <c r="C27" s="123" t="s">
        <v>341</v>
      </c>
      <c r="D27" s="123" t="s">
        <v>341</v>
      </c>
      <c r="E27" s="123" t="s">
        <v>342</v>
      </c>
    </row>
    <row r="28" spans="1:5" ht="15.75" customHeight="1">
      <c r="A28" s="122" t="s">
        <v>343</v>
      </c>
      <c r="B28" s="122" t="s">
        <v>344</v>
      </c>
      <c r="C28" s="122" t="s">
        <v>345</v>
      </c>
      <c r="D28" s="122" t="s">
        <v>344</v>
      </c>
      <c r="E28" s="122" t="s">
        <v>346</v>
      </c>
    </row>
    <row r="29" spans="1:5" ht="15.75" customHeight="1">
      <c r="A29" s="123" t="s">
        <v>347</v>
      </c>
      <c r="B29" s="123" t="s">
        <v>348</v>
      </c>
      <c r="C29" s="123" t="s">
        <v>348</v>
      </c>
      <c r="D29" s="123" t="s">
        <v>348</v>
      </c>
      <c r="E29" s="123" t="s">
        <v>349</v>
      </c>
    </row>
    <row r="30" spans="1:5" ht="15.75" customHeight="1">
      <c r="A30" s="122" t="s">
        <v>350</v>
      </c>
      <c r="B30" s="122" t="s">
        <v>351</v>
      </c>
      <c r="C30" s="122" t="s">
        <v>352</v>
      </c>
      <c r="D30" s="122" t="s">
        <v>351</v>
      </c>
      <c r="E30" s="122" t="s">
        <v>353</v>
      </c>
    </row>
    <row r="31" spans="1:5" ht="16.5">
      <c r="A31" s="123" t="s">
        <v>354</v>
      </c>
      <c r="B31" s="123" t="s">
        <v>355</v>
      </c>
      <c r="C31" s="123" t="s">
        <v>356</v>
      </c>
      <c r="D31" s="123" t="s">
        <v>355</v>
      </c>
      <c r="E31" s="123" t="s">
        <v>357</v>
      </c>
    </row>
    <row r="32" spans="1:5" ht="16.5">
      <c r="A32" s="122" t="s">
        <v>358</v>
      </c>
      <c r="B32" s="122" t="s">
        <v>359</v>
      </c>
      <c r="C32" s="122" t="s">
        <v>359</v>
      </c>
      <c r="D32" s="122" t="s">
        <v>359</v>
      </c>
      <c r="E32" s="122" t="s">
        <v>360</v>
      </c>
    </row>
    <row r="33" spans="1:5" ht="16.5">
      <c r="A33" s="123" t="s">
        <v>361</v>
      </c>
      <c r="B33" s="123" t="s">
        <v>362</v>
      </c>
      <c r="C33" s="123" t="s">
        <v>363</v>
      </c>
      <c r="D33" s="123" t="s">
        <v>363</v>
      </c>
      <c r="E33" s="123" t="s">
        <v>364</v>
      </c>
    </row>
    <row r="34" spans="1:5" ht="16.5">
      <c r="A34" s="122" t="s">
        <v>365</v>
      </c>
      <c r="B34" s="122" t="s">
        <v>366</v>
      </c>
      <c r="C34" s="122" t="s">
        <v>367</v>
      </c>
      <c r="D34" s="122" t="s">
        <v>366</v>
      </c>
      <c r="E34" s="122" t="s">
        <v>368</v>
      </c>
    </row>
    <row r="35" spans="1:5" ht="16.5">
      <c r="A35" s="123" t="s">
        <v>369</v>
      </c>
      <c r="B35" s="123" t="s">
        <v>370</v>
      </c>
      <c r="C35" s="123" t="s">
        <v>371</v>
      </c>
      <c r="D35" s="123" t="s">
        <v>370</v>
      </c>
      <c r="E35" s="123" t="s">
        <v>284</v>
      </c>
    </row>
    <row r="36" spans="1:5" ht="16.5">
      <c r="A36" s="122" t="s">
        <v>372</v>
      </c>
      <c r="B36" s="122" t="s">
        <v>373</v>
      </c>
      <c r="C36" s="122" t="s">
        <v>374</v>
      </c>
      <c r="D36" s="122" t="s">
        <v>374</v>
      </c>
      <c r="E36" s="122" t="s">
        <v>375</v>
      </c>
    </row>
    <row r="37" spans="1:5" ht="16.5">
      <c r="A37" s="123" t="s">
        <v>376</v>
      </c>
      <c r="B37" s="123" t="s">
        <v>377</v>
      </c>
      <c r="C37" s="123" t="s">
        <v>378</v>
      </c>
      <c r="D37" s="123" t="s">
        <v>377</v>
      </c>
      <c r="E37" s="123" t="s">
        <v>379</v>
      </c>
    </row>
    <row r="38" spans="1:5" ht="16.5">
      <c r="A38" s="122" t="s">
        <v>380</v>
      </c>
      <c r="B38" s="122" t="s">
        <v>381</v>
      </c>
      <c r="C38" s="122" t="s">
        <v>381</v>
      </c>
      <c r="D38" s="122" t="s">
        <v>381</v>
      </c>
      <c r="E38" s="122" t="s">
        <v>382</v>
      </c>
    </row>
    <row r="39" spans="1:5" ht="16.5">
      <c r="A39" s="123" t="s">
        <v>383</v>
      </c>
      <c r="B39" s="123" t="s">
        <v>384</v>
      </c>
      <c r="C39" s="123" t="s">
        <v>385</v>
      </c>
      <c r="D39" s="123" t="s">
        <v>384</v>
      </c>
      <c r="E39" s="123" t="s">
        <v>386</v>
      </c>
    </row>
    <row r="40" spans="1:5" ht="16.5">
      <c r="A40" s="122" t="s">
        <v>387</v>
      </c>
      <c r="B40" s="122" t="s">
        <v>388</v>
      </c>
      <c r="C40" s="122" t="s">
        <v>389</v>
      </c>
      <c r="D40" s="122" t="s">
        <v>390</v>
      </c>
      <c r="E40" s="122" t="s">
        <v>391</v>
      </c>
    </row>
    <row r="41" spans="1:5" ht="16.5">
      <c r="A41" s="123" t="s">
        <v>392</v>
      </c>
      <c r="B41" s="123" t="s">
        <v>393</v>
      </c>
      <c r="C41" s="123" t="s">
        <v>394</v>
      </c>
      <c r="D41" s="123" t="s">
        <v>393</v>
      </c>
      <c r="E41" s="123" t="s">
        <v>395</v>
      </c>
    </row>
    <row r="42" spans="1:5" ht="16.5">
      <c r="A42" s="122" t="s">
        <v>396</v>
      </c>
      <c r="B42" s="122" t="s">
        <v>397</v>
      </c>
      <c r="C42" s="122" t="s">
        <v>397</v>
      </c>
      <c r="D42" s="122" t="s">
        <v>397</v>
      </c>
      <c r="E42" s="122" t="s">
        <v>290</v>
      </c>
    </row>
    <row r="43" spans="1:5" ht="16.5">
      <c r="A43" s="123" t="s">
        <v>398</v>
      </c>
      <c r="B43" s="123" t="s">
        <v>399</v>
      </c>
      <c r="C43" s="123" t="s">
        <v>400</v>
      </c>
      <c r="D43" s="123" t="s">
        <v>399</v>
      </c>
      <c r="E43" s="123" t="s">
        <v>401</v>
      </c>
    </row>
    <row r="44" spans="1:5" ht="16.5">
      <c r="A44" s="122" t="s">
        <v>402</v>
      </c>
      <c r="B44" s="122" t="s">
        <v>399</v>
      </c>
      <c r="C44" s="122" t="s">
        <v>400</v>
      </c>
      <c r="D44" s="122" t="s">
        <v>399</v>
      </c>
      <c r="E44" s="122" t="s">
        <v>403</v>
      </c>
    </row>
    <row r="45" spans="1:5" ht="16.5">
      <c r="A45" s="123" t="s">
        <v>404</v>
      </c>
      <c r="B45" s="123" t="s">
        <v>405</v>
      </c>
      <c r="C45" s="123" t="s">
        <v>406</v>
      </c>
      <c r="D45" s="123" t="s">
        <v>405</v>
      </c>
      <c r="E45" s="123" t="s">
        <v>407</v>
      </c>
    </row>
    <row r="46" spans="1:5" ht="16.5">
      <c r="A46" s="122" t="s">
        <v>408</v>
      </c>
      <c r="B46" s="122" t="s">
        <v>409</v>
      </c>
      <c r="C46" s="122" t="s">
        <v>409</v>
      </c>
      <c r="D46" s="122" t="s">
        <v>409</v>
      </c>
      <c r="E46" s="122" t="s">
        <v>410</v>
      </c>
    </row>
    <row r="47" spans="1:5" ht="16.5">
      <c r="A47" s="123" t="s">
        <v>411</v>
      </c>
      <c r="B47" s="123" t="s">
        <v>412</v>
      </c>
      <c r="C47" s="123" t="s">
        <v>413</v>
      </c>
      <c r="D47" s="123" t="s">
        <v>412</v>
      </c>
      <c r="E47" s="123" t="s">
        <v>414</v>
      </c>
    </row>
    <row r="48" spans="1:5" ht="16.5">
      <c r="A48" s="122" t="s">
        <v>415</v>
      </c>
      <c r="B48" s="122" t="s">
        <v>416</v>
      </c>
      <c r="C48" s="122" t="s">
        <v>417</v>
      </c>
      <c r="D48" s="122" t="s">
        <v>418</v>
      </c>
      <c r="E48" s="122" t="s">
        <v>419</v>
      </c>
    </row>
    <row r="49" spans="1:5" ht="16.5">
      <c r="A49" s="123" t="s">
        <v>420</v>
      </c>
      <c r="B49" s="123" t="s">
        <v>421</v>
      </c>
      <c r="C49" s="123" t="s">
        <v>421</v>
      </c>
      <c r="D49" s="123" t="s">
        <v>421</v>
      </c>
      <c r="E49" s="123" t="s">
        <v>422</v>
      </c>
    </row>
    <row r="50" spans="1:5" ht="16.5">
      <c r="A50" s="122" t="s">
        <v>423</v>
      </c>
      <c r="B50" s="122" t="s">
        <v>424</v>
      </c>
      <c r="C50" s="122" t="s">
        <v>425</v>
      </c>
      <c r="D50" s="122" t="s">
        <v>424</v>
      </c>
      <c r="E50" s="122" t="s">
        <v>426</v>
      </c>
    </row>
    <row r="51" spans="1:5" ht="16.5">
      <c r="A51" s="123" t="s">
        <v>427</v>
      </c>
      <c r="B51" s="123" t="s">
        <v>428</v>
      </c>
      <c r="C51" s="123" t="s">
        <v>429</v>
      </c>
      <c r="D51" s="123" t="s">
        <v>428</v>
      </c>
      <c r="E51" s="123" t="s">
        <v>266</v>
      </c>
    </row>
    <row r="52" spans="1:5" ht="16.5">
      <c r="A52" s="122" t="s">
        <v>430</v>
      </c>
      <c r="B52" s="122" t="s">
        <v>431</v>
      </c>
      <c r="C52" s="122" t="s">
        <v>432</v>
      </c>
      <c r="D52" s="122" t="s">
        <v>431</v>
      </c>
      <c r="E52" s="122" t="s">
        <v>433</v>
      </c>
    </row>
    <row r="53" spans="1:5" ht="16.5">
      <c r="A53" s="123" t="s">
        <v>434</v>
      </c>
      <c r="B53" s="123" t="s">
        <v>431</v>
      </c>
      <c r="C53" s="123" t="s">
        <v>432</v>
      </c>
      <c r="D53" s="123" t="s">
        <v>431</v>
      </c>
      <c r="E53" s="123" t="s">
        <v>435</v>
      </c>
    </row>
    <row r="54" spans="1:5" ht="16.5">
      <c r="A54" s="122" t="s">
        <v>436</v>
      </c>
      <c r="B54" s="122" t="s">
        <v>437</v>
      </c>
      <c r="C54" s="122" t="s">
        <v>438</v>
      </c>
      <c r="D54" s="122" t="s">
        <v>437</v>
      </c>
      <c r="E54" s="122" t="s">
        <v>439</v>
      </c>
    </row>
    <row r="55" spans="1:5" ht="16.5">
      <c r="A55" s="123" t="s">
        <v>440</v>
      </c>
      <c r="B55" s="123" t="s">
        <v>441</v>
      </c>
      <c r="C55" s="123" t="s">
        <v>441</v>
      </c>
      <c r="D55" s="123" t="s">
        <v>441</v>
      </c>
      <c r="E55" s="123" t="s">
        <v>290</v>
      </c>
    </row>
    <row r="56" spans="1:5" ht="16.5">
      <c r="A56" s="122" t="s">
        <v>442</v>
      </c>
      <c r="B56" s="122" t="s">
        <v>443</v>
      </c>
      <c r="C56" s="122" t="s">
        <v>444</v>
      </c>
      <c r="D56" s="122" t="s">
        <v>445</v>
      </c>
      <c r="E56" s="122" t="s">
        <v>446</v>
      </c>
    </row>
    <row r="57" spans="1:5" ht="16.5">
      <c r="A57" s="123" t="s">
        <v>447</v>
      </c>
      <c r="B57" s="123" t="s">
        <v>448</v>
      </c>
      <c r="C57" s="123" t="s">
        <v>448</v>
      </c>
      <c r="D57" s="123" t="s">
        <v>448</v>
      </c>
      <c r="E57" s="123" t="s">
        <v>290</v>
      </c>
    </row>
    <row r="58" spans="1:5" ht="16.5">
      <c r="A58" s="122" t="s">
        <v>449</v>
      </c>
      <c r="B58" s="122" t="s">
        <v>450</v>
      </c>
      <c r="C58" s="122" t="s">
        <v>450</v>
      </c>
      <c r="D58" s="122" t="s">
        <v>450</v>
      </c>
      <c r="E58" s="122" t="s">
        <v>451</v>
      </c>
    </row>
    <row r="59" spans="1:5" ht="16.5">
      <c r="A59" s="123" t="s">
        <v>452</v>
      </c>
      <c r="B59" s="123" t="s">
        <v>453</v>
      </c>
      <c r="C59" s="123" t="s">
        <v>454</v>
      </c>
      <c r="D59" s="123" t="s">
        <v>453</v>
      </c>
      <c r="E59" s="123" t="s">
        <v>455</v>
      </c>
    </row>
    <row r="60" spans="1:5" ht="16.5">
      <c r="A60" s="122" t="s">
        <v>456</v>
      </c>
      <c r="B60" s="122" t="s">
        <v>457</v>
      </c>
      <c r="C60" s="122" t="s">
        <v>458</v>
      </c>
      <c r="D60" s="122" t="s">
        <v>457</v>
      </c>
      <c r="E60" s="122" t="s">
        <v>459</v>
      </c>
    </row>
    <row r="61" spans="1:5" ht="16.5">
      <c r="A61" s="123" t="s">
        <v>460</v>
      </c>
      <c r="B61" s="123" t="s">
        <v>461</v>
      </c>
      <c r="C61" s="123" t="s">
        <v>462</v>
      </c>
      <c r="D61" s="123" t="s">
        <v>461</v>
      </c>
      <c r="E61" s="123" t="s">
        <v>463</v>
      </c>
    </row>
    <row r="62" spans="1:5" ht="16.5">
      <c r="A62" s="122" t="s">
        <v>464</v>
      </c>
      <c r="B62" s="122" t="s">
        <v>465</v>
      </c>
      <c r="C62" s="122" t="s">
        <v>466</v>
      </c>
      <c r="D62" s="122" t="s">
        <v>465</v>
      </c>
      <c r="E62" s="122" t="s">
        <v>446</v>
      </c>
    </row>
    <row r="63" spans="1:5" ht="16.5">
      <c r="A63" s="123" t="s">
        <v>467</v>
      </c>
      <c r="B63" s="123" t="s">
        <v>468</v>
      </c>
      <c r="C63" s="123" t="s">
        <v>468</v>
      </c>
      <c r="D63" s="123" t="s">
        <v>469</v>
      </c>
      <c r="E63" s="123" t="s">
        <v>470</v>
      </c>
    </row>
    <row r="64" spans="1:5" ht="16.5">
      <c r="A64" s="122" t="s">
        <v>471</v>
      </c>
      <c r="B64" s="122" t="s">
        <v>472</v>
      </c>
      <c r="C64" s="122" t="s">
        <v>473</v>
      </c>
      <c r="D64" s="122" t="s">
        <v>472</v>
      </c>
      <c r="E64" s="122" t="s">
        <v>474</v>
      </c>
    </row>
    <row r="65" spans="1:5" ht="16.5">
      <c r="A65" s="123" t="s">
        <v>475</v>
      </c>
      <c r="B65" s="123" t="s">
        <v>476</v>
      </c>
      <c r="C65" s="123" t="s">
        <v>477</v>
      </c>
      <c r="D65" s="123" t="s">
        <v>476</v>
      </c>
      <c r="E65" s="123" t="s">
        <v>410</v>
      </c>
    </row>
    <row r="66" spans="1:5" ht="16.5">
      <c r="A66" s="122" t="s">
        <v>478</v>
      </c>
      <c r="B66" s="122" t="s">
        <v>479</v>
      </c>
      <c r="C66" s="122" t="s">
        <v>479</v>
      </c>
      <c r="D66" s="122" t="s">
        <v>479</v>
      </c>
      <c r="E66" s="122" t="s">
        <v>480</v>
      </c>
    </row>
    <row r="67" spans="1:5" ht="16.5">
      <c r="A67" s="123" t="s">
        <v>481</v>
      </c>
      <c r="B67" s="123" t="s">
        <v>482</v>
      </c>
      <c r="C67" s="123" t="s">
        <v>483</v>
      </c>
      <c r="D67" s="123" t="s">
        <v>484</v>
      </c>
      <c r="E67" s="123" t="s">
        <v>485</v>
      </c>
    </row>
    <row r="68" spans="1:5" ht="16.5">
      <c r="A68" s="122" t="s">
        <v>486</v>
      </c>
      <c r="B68" s="122" t="s">
        <v>487</v>
      </c>
      <c r="C68" s="122" t="s">
        <v>488</v>
      </c>
      <c r="D68" s="122" t="s">
        <v>487</v>
      </c>
      <c r="E68" s="122" t="s">
        <v>489</v>
      </c>
    </row>
    <row r="69" spans="1:5" ht="16.5">
      <c r="A69" s="123" t="s">
        <v>490</v>
      </c>
      <c r="B69" s="123" t="s">
        <v>491</v>
      </c>
      <c r="C69" s="123" t="s">
        <v>491</v>
      </c>
      <c r="D69" s="123" t="s">
        <v>491</v>
      </c>
      <c r="E69" s="123" t="s">
        <v>491</v>
      </c>
    </row>
    <row r="70" spans="1:5" ht="16.5">
      <c r="A70" s="122" t="s">
        <v>492</v>
      </c>
      <c r="B70" s="122" t="s">
        <v>493</v>
      </c>
      <c r="C70" s="122" t="s">
        <v>494</v>
      </c>
      <c r="D70" s="122" t="s">
        <v>493</v>
      </c>
      <c r="E70" s="122" t="s">
        <v>495</v>
      </c>
    </row>
    <row r="71" spans="1:5" ht="16.5">
      <c r="A71" s="123" t="s">
        <v>496</v>
      </c>
      <c r="B71" s="123" t="s">
        <v>497</v>
      </c>
      <c r="C71" s="123" t="s">
        <v>498</v>
      </c>
      <c r="D71" s="123" t="s">
        <v>497</v>
      </c>
      <c r="E71" s="123" t="s">
        <v>410</v>
      </c>
    </row>
    <row r="72" spans="1:5" ht="16.5">
      <c r="A72" s="122" t="s">
        <v>499</v>
      </c>
      <c r="B72" s="122" t="s">
        <v>500</v>
      </c>
      <c r="C72" s="122" t="s">
        <v>501</v>
      </c>
      <c r="D72" s="122" t="s">
        <v>502</v>
      </c>
      <c r="E72" s="122" t="s">
        <v>503</v>
      </c>
    </row>
    <row r="73" spans="1:5" ht="16.5">
      <c r="A73" s="123" t="s">
        <v>504</v>
      </c>
      <c r="B73" s="123" t="s">
        <v>505</v>
      </c>
      <c r="C73" s="123" t="s">
        <v>506</v>
      </c>
      <c r="D73" s="123" t="s">
        <v>507</v>
      </c>
      <c r="E73" s="123" t="s">
        <v>508</v>
      </c>
    </row>
    <row r="74" spans="1:5" ht="16.5">
      <c r="A74" s="122" t="s">
        <v>509</v>
      </c>
      <c r="B74" s="122" t="s">
        <v>510</v>
      </c>
      <c r="C74" s="122" t="s">
        <v>511</v>
      </c>
      <c r="D74" s="122" t="s">
        <v>510</v>
      </c>
      <c r="E74" s="122" t="s">
        <v>512</v>
      </c>
    </row>
    <row r="75" spans="1:5" ht="16.5">
      <c r="A75" s="123" t="s">
        <v>513</v>
      </c>
      <c r="B75" s="123" t="s">
        <v>514</v>
      </c>
      <c r="C75" s="123" t="s">
        <v>515</v>
      </c>
      <c r="D75" s="123" t="s">
        <v>514</v>
      </c>
      <c r="E75" s="123" t="s">
        <v>516</v>
      </c>
    </row>
    <row r="76" spans="1:5" ht="16.5">
      <c r="A76" s="122" t="s">
        <v>517</v>
      </c>
      <c r="B76" s="122" t="s">
        <v>518</v>
      </c>
      <c r="C76" s="122" t="s">
        <v>519</v>
      </c>
      <c r="D76" s="122" t="s">
        <v>518</v>
      </c>
      <c r="E76" s="122" t="s">
        <v>520</v>
      </c>
    </row>
    <row r="77" spans="1:5" ht="16.5">
      <c r="A77" s="123" t="s">
        <v>521</v>
      </c>
      <c r="B77" s="123" t="s">
        <v>522</v>
      </c>
      <c r="C77" s="123" t="s">
        <v>523</v>
      </c>
      <c r="D77" s="123" t="s">
        <v>522</v>
      </c>
      <c r="E77" s="123" t="s">
        <v>524</v>
      </c>
    </row>
    <row r="78" spans="1:5" ht="16.5">
      <c r="A78" s="122" t="s">
        <v>525</v>
      </c>
      <c r="B78" s="122" t="s">
        <v>526</v>
      </c>
      <c r="C78" s="122" t="s">
        <v>527</v>
      </c>
      <c r="D78" s="122" t="s">
        <v>526</v>
      </c>
      <c r="E78" s="122" t="s">
        <v>528</v>
      </c>
    </row>
    <row r="79" spans="1:5" ht="16.5">
      <c r="A79" s="123" t="s">
        <v>529</v>
      </c>
      <c r="B79" s="123" t="s">
        <v>530</v>
      </c>
      <c r="C79" s="123" t="s">
        <v>531</v>
      </c>
      <c r="D79" s="123" t="s">
        <v>530</v>
      </c>
      <c r="E79" s="123" t="s">
        <v>463</v>
      </c>
    </row>
    <row r="80" spans="1:5" ht="16.5">
      <c r="A80" s="122" t="s">
        <v>532</v>
      </c>
      <c r="B80" s="122" t="s">
        <v>533</v>
      </c>
      <c r="C80" s="122" t="s">
        <v>534</v>
      </c>
      <c r="D80" s="122" t="s">
        <v>533</v>
      </c>
      <c r="E80" s="122" t="s">
        <v>524</v>
      </c>
    </row>
    <row r="81" spans="1:5" ht="16.5">
      <c r="A81" s="123" t="s">
        <v>535</v>
      </c>
      <c r="B81" s="123" t="s">
        <v>536</v>
      </c>
      <c r="C81" s="123" t="s">
        <v>537</v>
      </c>
      <c r="D81" s="123" t="s">
        <v>536</v>
      </c>
      <c r="E81" s="123" t="s">
        <v>538</v>
      </c>
    </row>
    <row r="82" spans="1:5" ht="16.5">
      <c r="A82" s="122" t="s">
        <v>539</v>
      </c>
      <c r="B82" s="122" t="s">
        <v>540</v>
      </c>
      <c r="C82" s="122" t="s">
        <v>541</v>
      </c>
      <c r="D82" s="122" t="s">
        <v>540</v>
      </c>
      <c r="E82" s="122" t="s">
        <v>542</v>
      </c>
    </row>
    <row r="83" spans="1:5" ht="16.5">
      <c r="A83" s="123" t="s">
        <v>543</v>
      </c>
      <c r="B83" s="123" t="s">
        <v>544</v>
      </c>
      <c r="C83" s="123" t="s">
        <v>545</v>
      </c>
      <c r="D83" s="123" t="s">
        <v>544</v>
      </c>
      <c r="E83" s="123" t="s">
        <v>546</v>
      </c>
    </row>
    <row r="84" spans="1:5" ht="16.5">
      <c r="A84" s="122" t="s">
        <v>547</v>
      </c>
      <c r="B84" s="122" t="s">
        <v>548</v>
      </c>
      <c r="C84" s="122" t="s">
        <v>548</v>
      </c>
      <c r="D84" s="122" t="s">
        <v>548</v>
      </c>
      <c r="E84" s="122" t="s">
        <v>549</v>
      </c>
    </row>
    <row r="85" spans="1:5" ht="16.5">
      <c r="A85" s="123" t="s">
        <v>550</v>
      </c>
      <c r="B85" s="123" t="s">
        <v>551</v>
      </c>
      <c r="C85" s="123" t="s">
        <v>552</v>
      </c>
      <c r="D85" s="123" t="s">
        <v>551</v>
      </c>
      <c r="E85" s="123" t="s">
        <v>284</v>
      </c>
    </row>
    <row r="86" spans="1:5" ht="16.5">
      <c r="A86" s="122" t="s">
        <v>553</v>
      </c>
      <c r="B86" s="122" t="s">
        <v>554</v>
      </c>
      <c r="C86" s="122" t="s">
        <v>554</v>
      </c>
      <c r="D86" s="122" t="s">
        <v>554</v>
      </c>
      <c r="E86" s="122" t="s">
        <v>555</v>
      </c>
    </row>
    <row r="87" spans="1:5" ht="16.5">
      <c r="A87" s="123" t="s">
        <v>556</v>
      </c>
      <c r="B87" s="123" t="s">
        <v>557</v>
      </c>
      <c r="C87" s="123" t="s">
        <v>558</v>
      </c>
      <c r="D87" s="123" t="s">
        <v>557</v>
      </c>
      <c r="E87" s="123" t="s">
        <v>559</v>
      </c>
    </row>
    <row r="88" spans="1:5" ht="16.5">
      <c r="A88" s="122" t="s">
        <v>560</v>
      </c>
      <c r="B88" s="122" t="s">
        <v>561</v>
      </c>
      <c r="C88" s="122" t="s">
        <v>562</v>
      </c>
      <c r="D88" s="122" t="s">
        <v>563</v>
      </c>
      <c r="E88" s="122" t="s">
        <v>564</v>
      </c>
    </row>
    <row r="89" spans="1:5" ht="16.5">
      <c r="A89" s="123" t="s">
        <v>565</v>
      </c>
      <c r="B89" s="123" t="s">
        <v>561</v>
      </c>
      <c r="C89" s="123" t="s">
        <v>562</v>
      </c>
      <c r="D89" s="123" t="s">
        <v>563</v>
      </c>
      <c r="E89" s="123" t="s">
        <v>566</v>
      </c>
    </row>
    <row r="90" spans="1:5" ht="16.5">
      <c r="A90" s="122" t="s">
        <v>567</v>
      </c>
      <c r="B90" s="122" t="s">
        <v>568</v>
      </c>
      <c r="C90" s="122" t="s">
        <v>567</v>
      </c>
      <c r="D90" s="122" t="s">
        <v>567</v>
      </c>
      <c r="E90" s="122" t="s">
        <v>568</v>
      </c>
    </row>
    <row r="91" spans="1:5" ht="16.5">
      <c r="A91" s="123" t="s">
        <v>569</v>
      </c>
      <c r="B91" s="123" t="s">
        <v>570</v>
      </c>
      <c r="C91" s="123" t="s">
        <v>570</v>
      </c>
      <c r="D91" s="123" t="s">
        <v>570</v>
      </c>
      <c r="E91" s="123" t="s">
        <v>571</v>
      </c>
    </row>
    <row r="92" spans="1:5" ht="16.5">
      <c r="A92" s="122" t="s">
        <v>572</v>
      </c>
      <c r="B92" s="122" t="s">
        <v>573</v>
      </c>
      <c r="C92" s="122" t="s">
        <v>573</v>
      </c>
      <c r="D92" s="122" t="s">
        <v>573</v>
      </c>
      <c r="E92" s="122" t="s">
        <v>290</v>
      </c>
    </row>
    <row r="93" spans="1:5" ht="16.5">
      <c r="A93" s="123" t="s">
        <v>574</v>
      </c>
      <c r="B93" s="123" t="s">
        <v>575</v>
      </c>
      <c r="C93" s="123" t="s">
        <v>576</v>
      </c>
      <c r="D93" s="123" t="s">
        <v>575</v>
      </c>
      <c r="E93" s="123" t="s">
        <v>577</v>
      </c>
    </row>
    <row r="94" spans="1:5" ht="16.5">
      <c r="A94" s="122" t="s">
        <v>578</v>
      </c>
      <c r="B94" s="122" t="s">
        <v>579</v>
      </c>
      <c r="C94" s="122" t="s">
        <v>580</v>
      </c>
      <c r="D94" s="122" t="s">
        <v>579</v>
      </c>
      <c r="E94" s="122" t="s">
        <v>317</v>
      </c>
    </row>
    <row r="95" spans="1:5" ht="16.5">
      <c r="A95" s="123" t="s">
        <v>581</v>
      </c>
      <c r="B95" s="123" t="s">
        <v>582</v>
      </c>
      <c r="C95" s="123" t="s">
        <v>582</v>
      </c>
      <c r="D95" s="123" t="s">
        <v>582</v>
      </c>
      <c r="E95" s="123" t="s">
        <v>583</v>
      </c>
    </row>
    <row r="96" spans="1:5" ht="16.5">
      <c r="A96" s="122" t="s">
        <v>584</v>
      </c>
      <c r="B96" s="122" t="s">
        <v>585</v>
      </c>
      <c r="C96" s="122" t="s">
        <v>586</v>
      </c>
      <c r="D96" s="122" t="s">
        <v>585</v>
      </c>
      <c r="E96" s="122" t="s">
        <v>587</v>
      </c>
    </row>
    <row r="97" spans="1:5" ht="16.5">
      <c r="A97" s="123" t="s">
        <v>588</v>
      </c>
      <c r="B97" s="123" t="s">
        <v>585</v>
      </c>
      <c r="C97" s="123" t="s">
        <v>586</v>
      </c>
      <c r="D97" s="123" t="s">
        <v>585</v>
      </c>
      <c r="E97" s="123" t="s">
        <v>589</v>
      </c>
    </row>
    <row r="98" spans="1:5" ht="16.5">
      <c r="A98" s="122" t="s">
        <v>590</v>
      </c>
      <c r="B98" s="122" t="s">
        <v>591</v>
      </c>
      <c r="C98" s="122" t="s">
        <v>591</v>
      </c>
      <c r="D98" s="122" t="s">
        <v>591</v>
      </c>
      <c r="E98" s="122" t="s">
        <v>328</v>
      </c>
    </row>
    <row r="99" spans="1:5" ht="16.5">
      <c r="A99" s="123" t="s">
        <v>592</v>
      </c>
      <c r="B99" s="123" t="s">
        <v>592</v>
      </c>
      <c r="C99" s="123" t="s">
        <v>593</v>
      </c>
      <c r="D99" s="123" t="s">
        <v>592</v>
      </c>
      <c r="E99" s="123" t="s">
        <v>592</v>
      </c>
    </row>
    <row r="100" spans="1:5" ht="16.5">
      <c r="A100" s="122" t="s">
        <v>594</v>
      </c>
      <c r="B100" s="122" t="s">
        <v>595</v>
      </c>
      <c r="C100" s="122" t="s">
        <v>596</v>
      </c>
      <c r="D100" s="122" t="s">
        <v>595</v>
      </c>
      <c r="E100" s="122" t="s">
        <v>597</v>
      </c>
    </row>
    <row r="101" spans="1:5" ht="16.5">
      <c r="A101" s="123" t="s">
        <v>598</v>
      </c>
      <c r="B101" s="123" t="s">
        <v>599</v>
      </c>
      <c r="C101" s="123" t="s">
        <v>600</v>
      </c>
      <c r="D101" s="123" t="s">
        <v>601</v>
      </c>
      <c r="E101" s="123" t="s">
        <v>520</v>
      </c>
    </row>
    <row r="102" spans="1:5" ht="16.5">
      <c r="A102" s="122" t="s">
        <v>602</v>
      </c>
      <c r="B102" s="122" t="s">
        <v>603</v>
      </c>
      <c r="C102" s="122" t="s">
        <v>604</v>
      </c>
      <c r="D102" s="122" t="s">
        <v>605</v>
      </c>
      <c r="E102" s="122" t="s">
        <v>606</v>
      </c>
    </row>
    <row r="103" spans="1:5" ht="16.5">
      <c r="A103" s="123" t="s">
        <v>607</v>
      </c>
      <c r="B103" s="123" t="s">
        <v>608</v>
      </c>
      <c r="C103" s="123" t="s">
        <v>609</v>
      </c>
      <c r="D103" s="123" t="s">
        <v>610</v>
      </c>
      <c r="E103" s="123" t="s">
        <v>262</v>
      </c>
    </row>
    <row r="104" spans="1:5" ht="16.5">
      <c r="A104" s="122" t="s">
        <v>611</v>
      </c>
      <c r="B104" s="122" t="s">
        <v>612</v>
      </c>
      <c r="C104" s="122" t="s">
        <v>613</v>
      </c>
      <c r="D104" s="122" t="s">
        <v>614</v>
      </c>
      <c r="E104" s="122" t="s">
        <v>615</v>
      </c>
    </row>
    <row r="105" spans="1:5" ht="16.5">
      <c r="A105" s="123" t="s">
        <v>616</v>
      </c>
      <c r="B105" s="123" t="s">
        <v>617</v>
      </c>
      <c r="C105" s="123" t="s">
        <v>618</v>
      </c>
      <c r="D105" s="123" t="s">
        <v>619</v>
      </c>
      <c r="E105" s="123" t="s">
        <v>620</v>
      </c>
    </row>
    <row r="106" spans="1:5" ht="16.5">
      <c r="A106" s="122" t="s">
        <v>621</v>
      </c>
      <c r="B106" s="122" t="s">
        <v>622</v>
      </c>
      <c r="C106" s="122" t="s">
        <v>622</v>
      </c>
      <c r="D106" s="122" t="s">
        <v>622</v>
      </c>
      <c r="E106" s="122" t="s">
        <v>623</v>
      </c>
    </row>
    <row r="107" spans="1:5" ht="16.5">
      <c r="A107" s="123" t="s">
        <v>624</v>
      </c>
      <c r="B107" s="123" t="s">
        <v>625</v>
      </c>
      <c r="C107" s="123" t="s">
        <v>626</v>
      </c>
      <c r="D107" s="123" t="s">
        <v>627</v>
      </c>
      <c r="E107" s="123" t="s">
        <v>628</v>
      </c>
    </row>
    <row r="108" spans="1:5" ht="16.5">
      <c r="A108" s="122" t="s">
        <v>629</v>
      </c>
      <c r="B108" s="122" t="s">
        <v>630</v>
      </c>
      <c r="C108" s="122" t="s">
        <v>631</v>
      </c>
      <c r="D108" s="122" t="s">
        <v>632</v>
      </c>
      <c r="E108" s="122" t="s">
        <v>633</v>
      </c>
    </row>
    <row r="109" spans="1:5" ht="16.5">
      <c r="A109" s="123" t="s">
        <v>634</v>
      </c>
      <c r="B109" s="123" t="s">
        <v>635</v>
      </c>
      <c r="C109" s="123" t="s">
        <v>636</v>
      </c>
      <c r="D109" s="123" t="s">
        <v>635</v>
      </c>
      <c r="E109" s="123" t="s">
        <v>637</v>
      </c>
    </row>
    <row r="110" spans="1:5" ht="16.5">
      <c r="A110" s="122" t="s">
        <v>638</v>
      </c>
      <c r="B110" s="122" t="s">
        <v>639</v>
      </c>
      <c r="C110" s="122" t="s">
        <v>639</v>
      </c>
      <c r="D110" s="122" t="s">
        <v>639</v>
      </c>
      <c r="E110" s="122" t="s">
        <v>640</v>
      </c>
    </row>
    <row r="111" spans="1:5" ht="16.5">
      <c r="A111" s="123" t="s">
        <v>641</v>
      </c>
      <c r="B111" s="123" t="s">
        <v>641</v>
      </c>
      <c r="C111" s="123" t="s">
        <v>641</v>
      </c>
      <c r="D111" s="123" t="s">
        <v>641</v>
      </c>
      <c r="E111" s="123" t="s">
        <v>641</v>
      </c>
    </row>
    <row r="112" spans="1:5" ht="16.5">
      <c r="A112" s="122" t="s">
        <v>642</v>
      </c>
      <c r="B112" s="122" t="s">
        <v>643</v>
      </c>
      <c r="C112" s="122" t="s">
        <v>644</v>
      </c>
      <c r="D112" s="122" t="s">
        <v>643</v>
      </c>
      <c r="E112" s="122" t="s">
        <v>645</v>
      </c>
    </row>
    <row r="113" spans="1:5" ht="16.5">
      <c r="A113" s="123" t="s">
        <v>642</v>
      </c>
      <c r="B113" s="123" t="s">
        <v>646</v>
      </c>
      <c r="C113" s="123" t="s">
        <v>644</v>
      </c>
      <c r="D113" s="123" t="s">
        <v>643</v>
      </c>
      <c r="E113" s="123" t="s">
        <v>645</v>
      </c>
    </row>
    <row r="114" spans="1:5" ht="16.5">
      <c r="A114" s="122" t="s">
        <v>647</v>
      </c>
      <c r="B114" s="122" t="s">
        <v>648</v>
      </c>
      <c r="C114" s="122" t="s">
        <v>648</v>
      </c>
      <c r="D114" s="122" t="s">
        <v>648</v>
      </c>
      <c r="E114" s="122" t="s">
        <v>290</v>
      </c>
    </row>
    <row r="115" spans="1:5" ht="16.5">
      <c r="A115" s="123" t="s">
        <v>649</v>
      </c>
      <c r="B115" s="123" t="s">
        <v>650</v>
      </c>
      <c r="C115" s="123" t="s">
        <v>650</v>
      </c>
      <c r="D115" s="123" t="s">
        <v>650</v>
      </c>
      <c r="E115" s="123" t="s">
        <v>290</v>
      </c>
    </row>
    <row r="116" spans="1:5" ht="16.5">
      <c r="A116" s="122" t="s">
        <v>651</v>
      </c>
      <c r="B116" s="122" t="s">
        <v>652</v>
      </c>
      <c r="C116" s="122" t="s">
        <v>653</v>
      </c>
      <c r="D116" s="122" t="s">
        <v>652</v>
      </c>
      <c r="E116" s="122" t="s">
        <v>654</v>
      </c>
    </row>
    <row r="117" spans="1:5" ht="16.5">
      <c r="A117" s="123" t="s">
        <v>655</v>
      </c>
      <c r="B117" s="123" t="s">
        <v>656</v>
      </c>
      <c r="C117" s="123" t="s">
        <v>656</v>
      </c>
      <c r="D117" s="123" t="s">
        <v>656</v>
      </c>
      <c r="E117" s="123" t="s">
        <v>290</v>
      </c>
    </row>
    <row r="118" spans="1:5" ht="16.5">
      <c r="A118" s="122" t="s">
        <v>657</v>
      </c>
      <c r="B118" s="122" t="s">
        <v>658</v>
      </c>
      <c r="C118" s="122" t="s">
        <v>659</v>
      </c>
      <c r="D118" s="122" t="s">
        <v>658</v>
      </c>
      <c r="E118" s="122" t="s">
        <v>660</v>
      </c>
    </row>
    <row r="119" spans="1:5" ht="16.5">
      <c r="A119" s="123" t="s">
        <v>661</v>
      </c>
      <c r="B119" s="123" t="s">
        <v>662</v>
      </c>
      <c r="C119" s="123" t="s">
        <v>662</v>
      </c>
      <c r="D119" s="123" t="s">
        <v>662</v>
      </c>
      <c r="E119" s="123" t="s">
        <v>290</v>
      </c>
    </row>
    <row r="120" spans="1:5" ht="16.5">
      <c r="A120" s="122" t="s">
        <v>663</v>
      </c>
      <c r="B120" s="122" t="s">
        <v>664</v>
      </c>
      <c r="C120" s="122" t="s">
        <v>665</v>
      </c>
      <c r="D120" s="122" t="s">
        <v>664</v>
      </c>
      <c r="E120" s="122" t="s">
        <v>666</v>
      </c>
    </row>
    <row r="121" spans="1:5" ht="16.5">
      <c r="A121" s="123" t="s">
        <v>667</v>
      </c>
      <c r="B121" s="123" t="s">
        <v>668</v>
      </c>
      <c r="C121" s="123" t="s">
        <v>669</v>
      </c>
      <c r="D121" s="123" t="s">
        <v>668</v>
      </c>
      <c r="E121" s="123" t="s">
        <v>670</v>
      </c>
    </row>
    <row r="122" spans="1:5" ht="16.5">
      <c r="A122" s="122" t="s">
        <v>671</v>
      </c>
      <c r="B122" s="122" t="s">
        <v>672</v>
      </c>
      <c r="C122" s="122" t="s">
        <v>673</v>
      </c>
      <c r="D122" s="122" t="s">
        <v>672</v>
      </c>
      <c r="E122" s="122" t="s">
        <v>520</v>
      </c>
    </row>
    <row r="123" spans="1:5" ht="16.5">
      <c r="A123" s="123" t="s">
        <v>674</v>
      </c>
      <c r="B123" s="123" t="s">
        <v>675</v>
      </c>
      <c r="C123" s="123" t="s">
        <v>676</v>
      </c>
      <c r="D123" s="123" t="s">
        <v>675</v>
      </c>
      <c r="E123" s="123" t="s">
        <v>520</v>
      </c>
    </row>
    <row r="124" spans="1:5" ht="16.5">
      <c r="A124" s="122" t="s">
        <v>677</v>
      </c>
      <c r="B124" s="122" t="s">
        <v>678</v>
      </c>
      <c r="C124" s="122" t="s">
        <v>679</v>
      </c>
      <c r="D124" s="122" t="s">
        <v>678</v>
      </c>
      <c r="E124" s="122" t="s">
        <v>680</v>
      </c>
    </row>
    <row r="125" spans="1:5" ht="16.5">
      <c r="A125" s="123" t="s">
        <v>681</v>
      </c>
      <c r="B125" s="123" t="s">
        <v>682</v>
      </c>
      <c r="C125" s="123" t="s">
        <v>682</v>
      </c>
      <c r="D125" s="123" t="s">
        <v>682</v>
      </c>
      <c r="E125" s="123" t="s">
        <v>683</v>
      </c>
    </row>
    <row r="126" spans="1:5" ht="16.5">
      <c r="A126" s="122" t="s">
        <v>684</v>
      </c>
      <c r="B126" s="122" t="s">
        <v>685</v>
      </c>
      <c r="C126" s="122" t="s">
        <v>685</v>
      </c>
      <c r="D126" s="122" t="s">
        <v>685</v>
      </c>
      <c r="E126" s="122" t="s">
        <v>686</v>
      </c>
    </row>
    <row r="127" spans="1:5" ht="16.5">
      <c r="A127" s="123" t="s">
        <v>687</v>
      </c>
      <c r="B127" s="123" t="s">
        <v>688</v>
      </c>
      <c r="C127" s="123" t="s">
        <v>689</v>
      </c>
      <c r="D127" s="123" t="s">
        <v>688</v>
      </c>
      <c r="E127" s="123" t="s">
        <v>364</v>
      </c>
    </row>
    <row r="128" spans="1:5" ht="16.5">
      <c r="A128" s="122" t="s">
        <v>687</v>
      </c>
      <c r="B128" s="122" t="s">
        <v>688</v>
      </c>
      <c r="C128" s="122" t="s">
        <v>688</v>
      </c>
      <c r="D128" s="122" t="s">
        <v>688</v>
      </c>
      <c r="E128" s="122" t="s">
        <v>364</v>
      </c>
    </row>
    <row r="129" spans="1:5" ht="16.5">
      <c r="A129" s="123" t="s">
        <v>690</v>
      </c>
      <c r="B129" s="123" t="s">
        <v>691</v>
      </c>
      <c r="C129" s="123" t="s">
        <v>692</v>
      </c>
      <c r="D129" s="123" t="s">
        <v>691</v>
      </c>
      <c r="E129" s="123" t="s">
        <v>693</v>
      </c>
    </row>
    <row r="130" spans="1:5" ht="16.5">
      <c r="A130" s="122" t="s">
        <v>694</v>
      </c>
      <c r="B130" s="122" t="s">
        <v>695</v>
      </c>
      <c r="C130" s="122" t="s">
        <v>695</v>
      </c>
      <c r="D130" s="122" t="s">
        <v>695</v>
      </c>
      <c r="E130" s="122" t="s">
        <v>290</v>
      </c>
    </row>
    <row r="131" spans="1:5" ht="16.5">
      <c r="A131" s="123" t="s">
        <v>696</v>
      </c>
      <c r="B131" s="123" t="s">
        <v>697</v>
      </c>
      <c r="C131" s="123" t="s">
        <v>698</v>
      </c>
      <c r="D131" s="123" t="s">
        <v>697</v>
      </c>
      <c r="E131" s="123" t="s">
        <v>699</v>
      </c>
    </row>
    <row r="132" spans="1:5" ht="16.5">
      <c r="A132" s="122" t="s">
        <v>700</v>
      </c>
      <c r="B132" s="122" t="s">
        <v>701</v>
      </c>
      <c r="C132" s="122" t="s">
        <v>701</v>
      </c>
      <c r="D132" s="122" t="s">
        <v>701</v>
      </c>
      <c r="E132" s="122" t="s">
        <v>290</v>
      </c>
    </row>
    <row r="133" spans="1:5" ht="16.5">
      <c r="A133" s="123" t="s">
        <v>702</v>
      </c>
      <c r="B133" s="123" t="s">
        <v>703</v>
      </c>
      <c r="C133" s="123" t="s">
        <v>704</v>
      </c>
      <c r="D133" s="123" t="s">
        <v>703</v>
      </c>
      <c r="E133" s="123" t="s">
        <v>705</v>
      </c>
    </row>
    <row r="134" spans="1:5" ht="16.5">
      <c r="A134" s="122" t="s">
        <v>706</v>
      </c>
      <c r="B134" s="122" t="s">
        <v>707</v>
      </c>
      <c r="C134" s="122" t="s">
        <v>708</v>
      </c>
      <c r="D134" s="122" t="s">
        <v>707</v>
      </c>
      <c r="E134" s="122" t="s">
        <v>709</v>
      </c>
    </row>
    <row r="135" spans="1:5" ht="16.5">
      <c r="A135" s="123" t="s">
        <v>710</v>
      </c>
      <c r="B135" s="123" t="s">
        <v>711</v>
      </c>
      <c r="C135" s="123" t="s">
        <v>712</v>
      </c>
      <c r="D135" s="123" t="s">
        <v>712</v>
      </c>
      <c r="E135" s="123" t="s">
        <v>713</v>
      </c>
    </row>
    <row r="136" spans="1:5" ht="16.5">
      <c r="A136" s="122" t="s">
        <v>714</v>
      </c>
      <c r="B136" s="122" t="s">
        <v>715</v>
      </c>
      <c r="C136" s="122" t="s">
        <v>716</v>
      </c>
      <c r="D136" s="122" t="s">
        <v>717</v>
      </c>
      <c r="E136" s="122" t="s">
        <v>718</v>
      </c>
    </row>
    <row r="137" spans="1:5" ht="16.5">
      <c r="A137" s="123" t="s">
        <v>719</v>
      </c>
      <c r="B137" s="123" t="s">
        <v>720</v>
      </c>
      <c r="C137" s="123" t="s">
        <v>721</v>
      </c>
      <c r="D137" s="123" t="s">
        <v>720</v>
      </c>
      <c r="E137" s="123" t="s">
        <v>722</v>
      </c>
    </row>
    <row r="138" spans="1:5" ht="16.5">
      <c r="A138" s="122" t="s">
        <v>723</v>
      </c>
      <c r="B138" s="122" t="s">
        <v>724</v>
      </c>
      <c r="C138" s="122" t="s">
        <v>725</v>
      </c>
      <c r="D138" s="122" t="s">
        <v>724</v>
      </c>
      <c r="E138" s="122" t="s">
        <v>726</v>
      </c>
    </row>
    <row r="139" spans="1:5" ht="16.5">
      <c r="A139" s="123" t="s">
        <v>727</v>
      </c>
      <c r="B139" s="123" t="s">
        <v>728</v>
      </c>
      <c r="C139" s="123" t="s">
        <v>729</v>
      </c>
      <c r="D139" s="123" t="s">
        <v>728</v>
      </c>
      <c r="E139" s="123" t="s">
        <v>730</v>
      </c>
    </row>
    <row r="140" spans="1:5" ht="16.5">
      <c r="A140" s="122" t="s">
        <v>731</v>
      </c>
      <c r="B140" s="122" t="s">
        <v>732</v>
      </c>
      <c r="C140" s="122" t="s">
        <v>733</v>
      </c>
      <c r="D140" s="122" t="s">
        <v>732</v>
      </c>
      <c r="E140" s="122" t="s">
        <v>734</v>
      </c>
    </row>
    <row r="141" spans="1:5" ht="16.5">
      <c r="A141" s="123" t="s">
        <v>735</v>
      </c>
      <c r="B141" s="123" t="s">
        <v>736</v>
      </c>
      <c r="C141" s="123" t="s">
        <v>737</v>
      </c>
      <c r="D141" s="123" t="s">
        <v>736</v>
      </c>
      <c r="E141" s="123" t="s">
        <v>738</v>
      </c>
    </row>
    <row r="142" spans="1:5" ht="16.5">
      <c r="A142" s="122" t="s">
        <v>739</v>
      </c>
      <c r="B142" s="122" t="s">
        <v>740</v>
      </c>
      <c r="C142" s="122" t="s">
        <v>741</v>
      </c>
      <c r="D142" s="122" t="s">
        <v>740</v>
      </c>
      <c r="E142" s="122" t="s">
        <v>742</v>
      </c>
    </row>
    <row r="143" spans="1:5" ht="16.5">
      <c r="A143" s="123" t="s">
        <v>743</v>
      </c>
      <c r="B143" s="123" t="s">
        <v>744</v>
      </c>
      <c r="C143" s="123" t="s">
        <v>745</v>
      </c>
      <c r="D143" s="123" t="s">
        <v>744</v>
      </c>
      <c r="E143" s="123" t="s">
        <v>746</v>
      </c>
    </row>
    <row r="144" spans="1:5" ht="16.5">
      <c r="A144" s="122" t="s">
        <v>747</v>
      </c>
      <c r="B144" s="122" t="s">
        <v>748</v>
      </c>
      <c r="C144" s="122" t="s">
        <v>748</v>
      </c>
      <c r="D144" s="122" t="s">
        <v>748</v>
      </c>
      <c r="E144" s="122" t="s">
        <v>749</v>
      </c>
    </row>
    <row r="145" spans="1:5" ht="16.5">
      <c r="A145" s="123" t="s">
        <v>750</v>
      </c>
      <c r="B145" s="123" t="s">
        <v>751</v>
      </c>
      <c r="C145" s="123" t="s">
        <v>752</v>
      </c>
      <c r="D145" s="123" t="s">
        <v>751</v>
      </c>
      <c r="E145" s="123" t="s">
        <v>753</v>
      </c>
    </row>
    <row r="146" spans="1:5" ht="16.5">
      <c r="A146" s="122" t="s">
        <v>754</v>
      </c>
      <c r="B146" s="122" t="s">
        <v>755</v>
      </c>
      <c r="C146" s="122" t="s">
        <v>756</v>
      </c>
      <c r="D146" s="122" t="s">
        <v>755</v>
      </c>
      <c r="E146" s="122" t="s">
        <v>757</v>
      </c>
    </row>
    <row r="147" spans="1:5" ht="16.5">
      <c r="A147" s="123" t="s">
        <v>758</v>
      </c>
      <c r="B147" s="123" t="s">
        <v>759</v>
      </c>
      <c r="C147" s="123" t="s">
        <v>759</v>
      </c>
      <c r="D147" s="123" t="s">
        <v>759</v>
      </c>
      <c r="E147" s="123" t="s">
        <v>290</v>
      </c>
    </row>
    <row r="148" spans="1:5" ht="16.5">
      <c r="A148" s="122" t="s">
        <v>760</v>
      </c>
      <c r="B148" s="122" t="s">
        <v>761</v>
      </c>
      <c r="C148" s="122" t="s">
        <v>762</v>
      </c>
      <c r="D148" s="122" t="s">
        <v>761</v>
      </c>
      <c r="E148" s="122" t="s">
        <v>763</v>
      </c>
    </row>
    <row r="149" spans="1:5" ht="16.5">
      <c r="A149" s="123" t="s">
        <v>764</v>
      </c>
      <c r="B149" s="123" t="s">
        <v>765</v>
      </c>
      <c r="C149" s="123" t="s">
        <v>765</v>
      </c>
      <c r="D149" s="123" t="s">
        <v>766</v>
      </c>
      <c r="E149" s="123" t="s">
        <v>767</v>
      </c>
    </row>
    <row r="150" spans="1:5" ht="16.5">
      <c r="A150" s="122" t="s">
        <v>768</v>
      </c>
      <c r="B150" s="122" t="s">
        <v>769</v>
      </c>
      <c r="C150" s="122" t="s">
        <v>770</v>
      </c>
      <c r="D150" s="122" t="s">
        <v>769</v>
      </c>
      <c r="E150" s="122" t="s">
        <v>771</v>
      </c>
    </row>
    <row r="151" spans="1:5" ht="16.5">
      <c r="A151" s="123" t="s">
        <v>772</v>
      </c>
      <c r="B151" s="123" t="s">
        <v>773</v>
      </c>
      <c r="C151" s="123" t="s">
        <v>773</v>
      </c>
      <c r="D151" s="123" t="s">
        <v>773</v>
      </c>
      <c r="E151" s="123" t="s">
        <v>774</v>
      </c>
    </row>
    <row r="152" spans="1:5" ht="16.5">
      <c r="A152" s="122" t="s">
        <v>775</v>
      </c>
      <c r="B152" s="122" t="s">
        <v>776</v>
      </c>
      <c r="C152" s="122" t="s">
        <v>777</v>
      </c>
      <c r="D152" s="122" t="s">
        <v>776</v>
      </c>
      <c r="E152" s="122" t="s">
        <v>778</v>
      </c>
    </row>
    <row r="153" spans="1:5" ht="16.5">
      <c r="A153" s="123" t="s">
        <v>779</v>
      </c>
      <c r="B153" s="123" t="s">
        <v>780</v>
      </c>
      <c r="C153" s="123" t="s">
        <v>780</v>
      </c>
      <c r="D153" s="123" t="s">
        <v>780</v>
      </c>
      <c r="E153" s="123" t="s">
        <v>781</v>
      </c>
    </row>
    <row r="154" spans="1:5" ht="16.5">
      <c r="A154" s="122" t="s">
        <v>782</v>
      </c>
      <c r="B154" s="122" t="s">
        <v>783</v>
      </c>
      <c r="C154" s="122" t="s">
        <v>783</v>
      </c>
      <c r="D154" s="122" t="s">
        <v>783</v>
      </c>
      <c r="E154" s="122" t="s">
        <v>784</v>
      </c>
    </row>
    <row r="155" spans="1:5" ht="16.5">
      <c r="A155" s="123" t="s">
        <v>785</v>
      </c>
      <c r="B155" s="123" t="s">
        <v>786</v>
      </c>
      <c r="C155" s="123" t="s">
        <v>787</v>
      </c>
      <c r="D155" s="123" t="s">
        <v>786</v>
      </c>
      <c r="E155" s="123" t="s">
        <v>788</v>
      </c>
    </row>
    <row r="156" spans="1:5" ht="16.5">
      <c r="A156" s="122" t="s">
        <v>789</v>
      </c>
      <c r="B156" s="122" t="s">
        <v>790</v>
      </c>
      <c r="C156" s="122" t="s">
        <v>791</v>
      </c>
      <c r="D156" s="122" t="s">
        <v>790</v>
      </c>
      <c r="E156" s="122" t="s">
        <v>792</v>
      </c>
    </row>
    <row r="157" spans="1:5" ht="16.5">
      <c r="A157" s="123" t="s">
        <v>793</v>
      </c>
      <c r="B157" s="123" t="s">
        <v>794</v>
      </c>
      <c r="C157" s="123" t="s">
        <v>795</v>
      </c>
      <c r="D157" s="123" t="s">
        <v>794</v>
      </c>
      <c r="E157" s="123" t="s">
        <v>796</v>
      </c>
    </row>
    <row r="158" spans="1:5" ht="16.5">
      <c r="A158" s="122" t="s">
        <v>797</v>
      </c>
      <c r="B158" s="122" t="s">
        <v>798</v>
      </c>
      <c r="C158" s="122" t="s">
        <v>797</v>
      </c>
      <c r="D158" s="122" t="s">
        <v>799</v>
      </c>
      <c r="E158" s="122" t="s">
        <v>800</v>
      </c>
    </row>
    <row r="159" spans="1:5" ht="16.5">
      <c r="A159" s="123" t="s">
        <v>801</v>
      </c>
      <c r="B159" s="123" t="s">
        <v>802</v>
      </c>
      <c r="C159" s="123" t="s">
        <v>802</v>
      </c>
      <c r="D159" s="123" t="s">
        <v>802</v>
      </c>
      <c r="E159" s="123" t="s">
        <v>290</v>
      </c>
    </row>
    <row r="160" spans="1:5" ht="16.5">
      <c r="A160" s="122" t="s">
        <v>803</v>
      </c>
      <c r="B160" s="122" t="s">
        <v>804</v>
      </c>
      <c r="C160" s="122" t="s">
        <v>804</v>
      </c>
      <c r="D160" s="122" t="s">
        <v>804</v>
      </c>
      <c r="E160" s="122" t="s">
        <v>805</v>
      </c>
    </row>
    <row r="161" spans="1:5" ht="16.5">
      <c r="A161" s="123" t="s">
        <v>806</v>
      </c>
      <c r="B161" s="123" t="s">
        <v>807</v>
      </c>
      <c r="C161" s="123" t="s">
        <v>808</v>
      </c>
      <c r="D161" s="123" t="s">
        <v>807</v>
      </c>
      <c r="E161" s="123" t="s">
        <v>771</v>
      </c>
    </row>
    <row r="162" spans="1:5" ht="16.5">
      <c r="A162" s="122" t="s">
        <v>809</v>
      </c>
      <c r="B162" s="122" t="s">
        <v>810</v>
      </c>
      <c r="C162" s="122" t="s">
        <v>811</v>
      </c>
      <c r="D162" s="122" t="s">
        <v>810</v>
      </c>
      <c r="E162" s="122" t="s">
        <v>520</v>
      </c>
    </row>
    <row r="163" spans="1:5" ht="16.5">
      <c r="A163" s="123" t="s">
        <v>812</v>
      </c>
      <c r="B163" s="123" t="s">
        <v>813</v>
      </c>
      <c r="C163" s="123" t="s">
        <v>814</v>
      </c>
      <c r="D163" s="123" t="s">
        <v>813</v>
      </c>
      <c r="E163" s="123" t="s">
        <v>815</v>
      </c>
    </row>
    <row r="164" spans="1:5" ht="16.5">
      <c r="A164" s="122" t="s">
        <v>816</v>
      </c>
      <c r="B164" s="122" t="s">
        <v>817</v>
      </c>
      <c r="C164" s="122" t="s">
        <v>817</v>
      </c>
      <c r="D164" s="122" t="s">
        <v>817</v>
      </c>
      <c r="E164" s="122" t="s">
        <v>818</v>
      </c>
    </row>
    <row r="165" spans="1:5" ht="16.5">
      <c r="A165" s="123" t="s">
        <v>819</v>
      </c>
      <c r="B165" s="123" t="s">
        <v>820</v>
      </c>
      <c r="C165" s="123" t="s">
        <v>819</v>
      </c>
      <c r="D165" s="123" t="s">
        <v>820</v>
      </c>
      <c r="E165" s="123" t="s">
        <v>821</v>
      </c>
    </row>
    <row r="166" spans="1:5" ht="16.5">
      <c r="A166" s="122" t="s">
        <v>822</v>
      </c>
      <c r="B166" s="122" t="s">
        <v>823</v>
      </c>
      <c r="C166" s="122" t="s">
        <v>823</v>
      </c>
      <c r="D166" s="122" t="s">
        <v>823</v>
      </c>
      <c r="E166" s="122" t="s">
        <v>290</v>
      </c>
    </row>
    <row r="167" spans="1:5" ht="16.5">
      <c r="A167" s="123" t="s">
        <v>824</v>
      </c>
      <c r="B167" s="123" t="s">
        <v>825</v>
      </c>
      <c r="C167" s="123" t="s">
        <v>825</v>
      </c>
      <c r="D167" s="123" t="s">
        <v>825</v>
      </c>
      <c r="E167" s="123" t="s">
        <v>290</v>
      </c>
    </row>
    <row r="168" spans="1:5" ht="16.5">
      <c r="A168" s="122" t="s">
        <v>826</v>
      </c>
      <c r="B168" s="122" t="s">
        <v>827</v>
      </c>
      <c r="C168" s="122" t="s">
        <v>827</v>
      </c>
      <c r="D168" s="122" t="s">
        <v>827</v>
      </c>
      <c r="E168" s="122" t="s">
        <v>290</v>
      </c>
    </row>
    <row r="169" spans="1:5" ht="16.5">
      <c r="A169" s="123" t="s">
        <v>828</v>
      </c>
      <c r="B169" s="123" t="s">
        <v>829</v>
      </c>
      <c r="C169" s="123" t="s">
        <v>830</v>
      </c>
      <c r="D169" s="123" t="s">
        <v>829</v>
      </c>
      <c r="E169" s="123" t="s">
        <v>831</v>
      </c>
    </row>
    <row r="170" spans="1:5" ht="16.5">
      <c r="A170" s="122" t="s">
        <v>832</v>
      </c>
      <c r="B170" s="122" t="s">
        <v>833</v>
      </c>
      <c r="C170" s="122" t="s">
        <v>834</v>
      </c>
      <c r="D170" s="122" t="s">
        <v>833</v>
      </c>
      <c r="E170" s="122" t="s">
        <v>835</v>
      </c>
    </row>
    <row r="171" spans="1:5" ht="16.5">
      <c r="A171" s="123" t="s">
        <v>836</v>
      </c>
      <c r="B171" s="123" t="s">
        <v>837</v>
      </c>
      <c r="C171" s="123" t="s">
        <v>837</v>
      </c>
      <c r="D171" s="123" t="s">
        <v>837</v>
      </c>
      <c r="E171" s="123" t="s">
        <v>838</v>
      </c>
    </row>
    <row r="172" spans="1:5" ht="16.5">
      <c r="A172" s="122" t="s">
        <v>839</v>
      </c>
      <c r="B172" s="122" t="s">
        <v>840</v>
      </c>
      <c r="C172" s="122" t="s">
        <v>840</v>
      </c>
      <c r="D172" s="122" t="s">
        <v>840</v>
      </c>
      <c r="E172" s="122" t="s">
        <v>290</v>
      </c>
    </row>
    <row r="173" spans="1:5" ht="16.5">
      <c r="A173" s="123" t="s">
        <v>841</v>
      </c>
      <c r="B173" s="123" t="s">
        <v>842</v>
      </c>
      <c r="C173" s="123" t="s">
        <v>842</v>
      </c>
      <c r="D173" s="123" t="s">
        <v>842</v>
      </c>
      <c r="E173" s="123" t="s">
        <v>843</v>
      </c>
    </row>
    <row r="174" spans="1:5" ht="16.5">
      <c r="A174" s="122" t="s">
        <v>844</v>
      </c>
      <c r="B174" s="122" t="s">
        <v>845</v>
      </c>
      <c r="C174" s="122" t="s">
        <v>845</v>
      </c>
      <c r="D174" s="122" t="s">
        <v>845</v>
      </c>
      <c r="E174" s="122" t="s">
        <v>846</v>
      </c>
    </row>
    <row r="175" spans="1:5" ht="16.5">
      <c r="A175" s="123" t="s">
        <v>847</v>
      </c>
      <c r="B175" s="123" t="s">
        <v>848</v>
      </c>
      <c r="C175" s="123" t="s">
        <v>849</v>
      </c>
      <c r="D175" s="123" t="s">
        <v>848</v>
      </c>
      <c r="E175" s="123" t="s">
        <v>850</v>
      </c>
    </row>
    <row r="176" spans="1:5" ht="16.5">
      <c r="A176" s="122" t="s">
        <v>851</v>
      </c>
      <c r="B176" s="122" t="s">
        <v>852</v>
      </c>
      <c r="C176" s="122" t="s">
        <v>853</v>
      </c>
      <c r="D176" s="122" t="s">
        <v>852</v>
      </c>
      <c r="E176" s="122" t="s">
        <v>654</v>
      </c>
    </row>
    <row r="177" spans="1:5" ht="16.5">
      <c r="A177" s="123" t="s">
        <v>854</v>
      </c>
      <c r="B177" s="123" t="s">
        <v>855</v>
      </c>
      <c r="C177" s="123" t="s">
        <v>856</v>
      </c>
      <c r="D177" s="123" t="s">
        <v>855</v>
      </c>
      <c r="E177" s="123" t="s">
        <v>520</v>
      </c>
    </row>
    <row r="178" spans="1:5" ht="16.5">
      <c r="A178" s="122" t="s">
        <v>857</v>
      </c>
      <c r="B178" s="122" t="s">
        <v>858</v>
      </c>
      <c r="C178" s="122" t="s">
        <v>859</v>
      </c>
      <c r="D178" s="122" t="s">
        <v>858</v>
      </c>
      <c r="E178" s="122" t="s">
        <v>860</v>
      </c>
    </row>
    <row r="179" spans="1:5" ht="16.5">
      <c r="A179" s="123" t="s">
        <v>861</v>
      </c>
      <c r="B179" s="123" t="s">
        <v>862</v>
      </c>
      <c r="C179" s="123" t="s">
        <v>863</v>
      </c>
      <c r="D179" s="123" t="s">
        <v>862</v>
      </c>
      <c r="E179" s="123" t="s">
        <v>864</v>
      </c>
    </row>
    <row r="180" spans="1:5" ht="16.5">
      <c r="A180" s="122" t="s">
        <v>865</v>
      </c>
      <c r="B180" s="122" t="s">
        <v>866</v>
      </c>
      <c r="C180" s="122" t="s">
        <v>866</v>
      </c>
      <c r="D180" s="122" t="s">
        <v>866</v>
      </c>
      <c r="E180" s="122" t="s">
        <v>290</v>
      </c>
    </row>
    <row r="181" spans="1:5" ht="16.5">
      <c r="A181" s="123" t="s">
        <v>867</v>
      </c>
      <c r="B181" s="123" t="s">
        <v>868</v>
      </c>
      <c r="C181" s="123" t="s">
        <v>869</v>
      </c>
      <c r="D181" s="123" t="s">
        <v>868</v>
      </c>
      <c r="E181" s="123" t="s">
        <v>870</v>
      </c>
    </row>
    <row r="182" spans="1:5" ht="16.5">
      <c r="A182" s="122" t="s">
        <v>871</v>
      </c>
      <c r="B182" s="122" t="s">
        <v>872</v>
      </c>
      <c r="C182" s="122" t="s">
        <v>873</v>
      </c>
      <c r="D182" s="122" t="s">
        <v>872</v>
      </c>
      <c r="E182" s="122" t="s">
        <v>874</v>
      </c>
    </row>
    <row r="183" spans="1:5" ht="16.5">
      <c r="A183" s="123" t="s">
        <v>875</v>
      </c>
      <c r="B183" s="123" t="s">
        <v>876</v>
      </c>
      <c r="C183" s="123" t="s">
        <v>876</v>
      </c>
      <c r="D183" s="123" t="s">
        <v>876</v>
      </c>
      <c r="E183" s="123" t="s">
        <v>290</v>
      </c>
    </row>
    <row r="184" spans="1:5" ht="16.5">
      <c r="A184" s="122" t="s">
        <v>877</v>
      </c>
      <c r="B184" s="122" t="s">
        <v>878</v>
      </c>
      <c r="C184" s="122" t="s">
        <v>878</v>
      </c>
      <c r="D184" s="122" t="s">
        <v>878</v>
      </c>
      <c r="E184" s="122" t="s">
        <v>290</v>
      </c>
    </row>
    <row r="185" spans="1:5" ht="16.5">
      <c r="A185" s="123" t="s">
        <v>879</v>
      </c>
      <c r="B185" s="123" t="s">
        <v>880</v>
      </c>
      <c r="C185" s="123" t="s">
        <v>880</v>
      </c>
      <c r="D185" s="123" t="s">
        <v>880</v>
      </c>
      <c r="E185" s="123" t="s">
        <v>881</v>
      </c>
    </row>
    <row r="186" spans="1:5" ht="16.5">
      <c r="A186" s="122" t="s">
        <v>882</v>
      </c>
      <c r="B186" s="122" t="s">
        <v>883</v>
      </c>
      <c r="C186" s="122" t="s">
        <v>883</v>
      </c>
      <c r="D186" s="122" t="s">
        <v>883</v>
      </c>
      <c r="E186" s="122" t="s">
        <v>290</v>
      </c>
    </row>
    <row r="187" spans="1:5" ht="16.5">
      <c r="A187" s="123" t="s">
        <v>884</v>
      </c>
      <c r="B187" s="123" t="s">
        <v>885</v>
      </c>
      <c r="C187" s="123" t="s">
        <v>885</v>
      </c>
      <c r="D187" s="123" t="s">
        <v>885</v>
      </c>
      <c r="E187" s="123" t="s">
        <v>886</v>
      </c>
    </row>
    <row r="188" spans="1:5" ht="16.5">
      <c r="A188" s="122" t="s">
        <v>887</v>
      </c>
      <c r="B188" s="122" t="s">
        <v>888</v>
      </c>
      <c r="C188" s="122" t="s">
        <v>888</v>
      </c>
      <c r="D188" s="122" t="s">
        <v>888</v>
      </c>
      <c r="E188" s="122" t="s">
        <v>889</v>
      </c>
    </row>
    <row r="189" spans="1:5" ht="16.5">
      <c r="A189" s="123" t="s">
        <v>890</v>
      </c>
      <c r="B189" s="123" t="s">
        <v>891</v>
      </c>
      <c r="C189" s="123" t="s">
        <v>892</v>
      </c>
      <c r="D189" s="123" t="s">
        <v>891</v>
      </c>
      <c r="E189" s="123" t="s">
        <v>893</v>
      </c>
    </row>
    <row r="190" spans="1:5" ht="16.5">
      <c r="A190" s="122" t="s">
        <v>894</v>
      </c>
      <c r="B190" s="122" t="s">
        <v>895</v>
      </c>
      <c r="C190" s="122" t="s">
        <v>896</v>
      </c>
      <c r="D190" s="122" t="s">
        <v>895</v>
      </c>
      <c r="E190" s="122" t="s">
        <v>597</v>
      </c>
    </row>
    <row r="191" spans="1:5" ht="16.5">
      <c r="A191" s="123" t="s">
        <v>897</v>
      </c>
      <c r="B191" s="123" t="s">
        <v>898</v>
      </c>
      <c r="C191" s="123" t="s">
        <v>899</v>
      </c>
      <c r="D191" s="123" t="s">
        <v>898</v>
      </c>
      <c r="E191" s="123" t="s">
        <v>900</v>
      </c>
    </row>
    <row r="192" spans="1:5" ht="16.5">
      <c r="A192" s="122" t="s">
        <v>901</v>
      </c>
      <c r="B192" s="122" t="s">
        <v>902</v>
      </c>
      <c r="C192" s="122" t="s">
        <v>903</v>
      </c>
      <c r="D192" s="122" t="s">
        <v>902</v>
      </c>
      <c r="E192" s="122" t="s">
        <v>520</v>
      </c>
    </row>
    <row r="193" spans="1:5" ht="16.5">
      <c r="A193" s="123" t="s">
        <v>904</v>
      </c>
      <c r="B193" s="123" t="s">
        <v>905</v>
      </c>
      <c r="C193" s="123" t="s">
        <v>905</v>
      </c>
      <c r="D193" s="123" t="s">
        <v>905</v>
      </c>
      <c r="E193" s="123" t="s">
        <v>906</v>
      </c>
    </row>
    <row r="194" spans="1:5" ht="16.5">
      <c r="A194" s="122" t="s">
        <v>907</v>
      </c>
      <c r="B194" s="122" t="s">
        <v>908</v>
      </c>
      <c r="C194" s="122" t="s">
        <v>908</v>
      </c>
      <c r="D194" s="122" t="s">
        <v>908</v>
      </c>
      <c r="E194" s="122" t="s">
        <v>909</v>
      </c>
    </row>
    <row r="195" spans="1:5" ht="16.5">
      <c r="A195" s="123" t="s">
        <v>910</v>
      </c>
      <c r="B195" s="123" t="s">
        <v>911</v>
      </c>
      <c r="C195" s="123" t="s">
        <v>911</v>
      </c>
      <c r="D195" s="123" t="s">
        <v>911</v>
      </c>
      <c r="E195" s="123" t="s">
        <v>290</v>
      </c>
    </row>
    <row r="196" spans="1:5" ht="16.5">
      <c r="A196" s="122" t="s">
        <v>912</v>
      </c>
      <c r="B196" s="122" t="s">
        <v>913</v>
      </c>
      <c r="C196" s="122" t="s">
        <v>914</v>
      </c>
      <c r="D196" s="122" t="s">
        <v>913</v>
      </c>
      <c r="E196" s="122" t="s">
        <v>915</v>
      </c>
    </row>
    <row r="197" spans="1:5" ht="16.5">
      <c r="A197" s="123" t="s">
        <v>916</v>
      </c>
      <c r="B197" s="123" t="s">
        <v>917</v>
      </c>
      <c r="C197" s="123" t="s">
        <v>918</v>
      </c>
      <c r="D197" s="123" t="s">
        <v>917</v>
      </c>
      <c r="E197" s="123" t="s">
        <v>919</v>
      </c>
    </row>
    <row r="198" spans="1:5" ht="16.5">
      <c r="A198" s="122" t="s">
        <v>920</v>
      </c>
      <c r="B198" s="122" t="s">
        <v>921</v>
      </c>
      <c r="C198" s="122" t="s">
        <v>922</v>
      </c>
      <c r="D198" s="122" t="s">
        <v>921</v>
      </c>
      <c r="E198" s="122" t="s">
        <v>923</v>
      </c>
    </row>
    <row r="199" spans="1:5" ht="16.5">
      <c r="A199" s="123" t="s">
        <v>924</v>
      </c>
      <c r="B199" s="123" t="s">
        <v>925</v>
      </c>
      <c r="C199" s="123" t="s">
        <v>926</v>
      </c>
      <c r="D199" s="123" t="s">
        <v>925</v>
      </c>
      <c r="E199" s="123" t="s">
        <v>927</v>
      </c>
    </row>
    <row r="200" spans="1:5" ht="16.5">
      <c r="A200" s="122" t="s">
        <v>928</v>
      </c>
      <c r="B200" s="122" t="s">
        <v>929</v>
      </c>
      <c r="C200" s="122" t="s">
        <v>928</v>
      </c>
      <c r="D200" s="122" t="s">
        <v>929</v>
      </c>
      <c r="E200" s="122" t="s">
        <v>929</v>
      </c>
    </row>
    <row r="201" spans="1:5" ht="16.5">
      <c r="A201" s="123" t="s">
        <v>930</v>
      </c>
      <c r="B201" s="123" t="s">
        <v>931</v>
      </c>
      <c r="C201" s="123" t="s">
        <v>931</v>
      </c>
      <c r="D201" s="123" t="s">
        <v>931</v>
      </c>
      <c r="E201" s="123" t="s">
        <v>290</v>
      </c>
    </row>
    <row r="202" spans="1:5" ht="16.5">
      <c r="A202" s="122" t="s">
        <v>932</v>
      </c>
      <c r="B202" s="122" t="s">
        <v>933</v>
      </c>
      <c r="C202" s="122" t="s">
        <v>933</v>
      </c>
      <c r="D202" s="122" t="s">
        <v>933</v>
      </c>
      <c r="E202" s="122" t="s">
        <v>290</v>
      </c>
    </row>
    <row r="203" spans="1:5" ht="16.5">
      <c r="A203" s="123" t="s">
        <v>934</v>
      </c>
      <c r="B203" s="123" t="s">
        <v>935</v>
      </c>
      <c r="C203" s="123" t="s">
        <v>936</v>
      </c>
      <c r="D203" s="123" t="s">
        <v>935</v>
      </c>
      <c r="E203" s="123" t="s">
        <v>937</v>
      </c>
    </row>
    <row r="204" spans="1:5" ht="16.5">
      <c r="A204" s="122" t="s">
        <v>938</v>
      </c>
      <c r="B204" s="122" t="s">
        <v>939</v>
      </c>
      <c r="C204" s="122" t="s">
        <v>939</v>
      </c>
      <c r="D204" s="122" t="s">
        <v>939</v>
      </c>
      <c r="E204" s="122" t="s">
        <v>290</v>
      </c>
    </row>
    <row r="205" spans="1:5" ht="16.5">
      <c r="A205" s="123" t="s">
        <v>940</v>
      </c>
      <c r="B205" s="123" t="s">
        <v>941</v>
      </c>
      <c r="C205" s="123" t="s">
        <v>942</v>
      </c>
      <c r="D205" s="123" t="s">
        <v>941</v>
      </c>
      <c r="E205" s="123" t="s">
        <v>943</v>
      </c>
    </row>
    <row r="206" spans="1:5" ht="16.5">
      <c r="A206" s="122" t="s">
        <v>944</v>
      </c>
      <c r="B206" s="122" t="s">
        <v>945</v>
      </c>
      <c r="C206" s="122" t="s">
        <v>946</v>
      </c>
      <c r="D206" s="122" t="s">
        <v>945</v>
      </c>
      <c r="E206" s="122" t="s">
        <v>947</v>
      </c>
    </row>
    <row r="207" spans="1:5" ht="16.5">
      <c r="A207" s="123" t="s">
        <v>948</v>
      </c>
      <c r="B207" s="123" t="s">
        <v>949</v>
      </c>
      <c r="C207" s="123" t="s">
        <v>950</v>
      </c>
      <c r="D207" s="123" t="s">
        <v>949</v>
      </c>
      <c r="E207" s="123" t="s">
        <v>951</v>
      </c>
    </row>
    <row r="208" spans="1:5" ht="16.5">
      <c r="A208" s="122" t="s">
        <v>952</v>
      </c>
      <c r="B208" s="122" t="s">
        <v>953</v>
      </c>
      <c r="C208" s="122" t="s">
        <v>954</v>
      </c>
      <c r="D208" s="122" t="s">
        <v>953</v>
      </c>
      <c r="E208" s="122" t="s">
        <v>660</v>
      </c>
    </row>
    <row r="209" spans="1:5" ht="16.5">
      <c r="A209" s="123" t="s">
        <v>955</v>
      </c>
      <c r="B209" s="123" t="s">
        <v>956</v>
      </c>
      <c r="C209" s="123" t="s">
        <v>957</v>
      </c>
      <c r="D209" s="123" t="s">
        <v>956</v>
      </c>
      <c r="E209" s="123" t="s">
        <v>958</v>
      </c>
    </row>
    <row r="210" spans="1:5" ht="16.5">
      <c r="A210" s="122" t="s">
        <v>959</v>
      </c>
      <c r="B210" s="122" t="s">
        <v>960</v>
      </c>
      <c r="C210" s="122" t="s">
        <v>961</v>
      </c>
      <c r="D210" s="122" t="s">
        <v>960</v>
      </c>
      <c r="E210" s="122" t="s">
        <v>962</v>
      </c>
    </row>
    <row r="211" spans="1:5" ht="16.5">
      <c r="A211" s="123" t="s">
        <v>963</v>
      </c>
      <c r="B211" s="123" t="s">
        <v>964</v>
      </c>
      <c r="C211" s="123" t="s">
        <v>964</v>
      </c>
      <c r="D211" s="123" t="s">
        <v>964</v>
      </c>
      <c r="E211" s="123" t="s">
        <v>965</v>
      </c>
    </row>
    <row r="212" spans="1:5" ht="16.5">
      <c r="A212" s="122" t="s">
        <v>966</v>
      </c>
      <c r="B212" s="122" t="s">
        <v>967</v>
      </c>
      <c r="C212" s="122" t="s">
        <v>968</v>
      </c>
      <c r="D212" s="122" t="s">
        <v>967</v>
      </c>
      <c r="E212" s="122" t="s">
        <v>969</v>
      </c>
    </row>
    <row r="213" spans="1:5" ht="16.5">
      <c r="A213" s="123" t="s">
        <v>970</v>
      </c>
      <c r="B213" s="123" t="s">
        <v>971</v>
      </c>
      <c r="C213" s="123" t="s">
        <v>972</v>
      </c>
      <c r="D213" s="123" t="s">
        <v>971</v>
      </c>
      <c r="E213" s="123" t="s">
        <v>973</v>
      </c>
    </row>
    <row r="214" spans="1:5" ht="16.5">
      <c r="A214" s="122" t="s">
        <v>974</v>
      </c>
      <c r="B214" s="122" t="s">
        <v>975</v>
      </c>
      <c r="C214" s="122" t="s">
        <v>976</v>
      </c>
      <c r="D214" s="122" t="s">
        <v>975</v>
      </c>
      <c r="E214" s="122" t="s">
        <v>977</v>
      </c>
    </row>
    <row r="215" spans="1:5" ht="16.5">
      <c r="A215" s="123" t="s">
        <v>978</v>
      </c>
      <c r="B215" s="123" t="s">
        <v>979</v>
      </c>
      <c r="C215" s="123" t="s">
        <v>980</v>
      </c>
      <c r="D215" s="123" t="s">
        <v>979</v>
      </c>
      <c r="E215" s="123" t="s">
        <v>284</v>
      </c>
    </row>
    <row r="216" spans="1:5" ht="16.5">
      <c r="A216" s="122" t="s">
        <v>981</v>
      </c>
      <c r="B216" s="122" t="s">
        <v>982</v>
      </c>
      <c r="C216" s="122" t="s">
        <v>983</v>
      </c>
      <c r="D216" s="122" t="s">
        <v>982</v>
      </c>
      <c r="E216" s="122" t="s">
        <v>984</v>
      </c>
    </row>
    <row r="217" spans="1:5" ht="16.5">
      <c r="A217" s="123" t="s">
        <v>985</v>
      </c>
      <c r="B217" s="123" t="s">
        <v>986</v>
      </c>
      <c r="C217" s="123" t="s">
        <v>987</v>
      </c>
      <c r="D217" s="123" t="s">
        <v>986</v>
      </c>
      <c r="E217" s="123" t="s">
        <v>988</v>
      </c>
    </row>
    <row r="218" spans="1:5" ht="16.5">
      <c r="A218" s="122" t="s">
        <v>989</v>
      </c>
      <c r="B218" s="122" t="s">
        <v>990</v>
      </c>
      <c r="C218" s="122" t="s">
        <v>990</v>
      </c>
      <c r="D218" s="122" t="s">
        <v>990</v>
      </c>
      <c r="E218" s="122" t="s">
        <v>965</v>
      </c>
    </row>
    <row r="219" spans="1:5" ht="16.5">
      <c r="A219" s="123" t="s">
        <v>991</v>
      </c>
      <c r="B219" s="123" t="s">
        <v>992</v>
      </c>
      <c r="C219" s="123" t="s">
        <v>992</v>
      </c>
      <c r="D219" s="123" t="s">
        <v>992</v>
      </c>
      <c r="E219" s="123" t="s">
        <v>993</v>
      </c>
    </row>
    <row r="220" spans="1:5" ht="16.5">
      <c r="A220" s="122" t="s">
        <v>994</v>
      </c>
      <c r="B220" s="122" t="s">
        <v>995</v>
      </c>
      <c r="C220" s="122" t="s">
        <v>996</v>
      </c>
      <c r="D220" s="122" t="s">
        <v>995</v>
      </c>
      <c r="E220" s="122" t="s">
        <v>997</v>
      </c>
    </row>
    <row r="221" spans="1:5" ht="16.5">
      <c r="A221" s="123" t="s">
        <v>998</v>
      </c>
      <c r="B221" s="123" t="s">
        <v>999</v>
      </c>
      <c r="C221" s="123" t="s">
        <v>1000</v>
      </c>
      <c r="D221" s="123" t="s">
        <v>999</v>
      </c>
      <c r="E221" s="123" t="s">
        <v>1001</v>
      </c>
    </row>
    <row r="222" spans="1:5" ht="16.5">
      <c r="A222" s="122" t="s">
        <v>1002</v>
      </c>
      <c r="B222" s="122" t="s">
        <v>1003</v>
      </c>
      <c r="C222" s="122" t="s">
        <v>1003</v>
      </c>
      <c r="D222" s="122" t="s">
        <v>1003</v>
      </c>
      <c r="E222" s="122" t="s">
        <v>1004</v>
      </c>
    </row>
    <row r="223" spans="1:5" ht="16.5">
      <c r="A223" s="123" t="s">
        <v>1005</v>
      </c>
      <c r="B223" s="123" t="s">
        <v>1006</v>
      </c>
      <c r="C223" s="123" t="s">
        <v>1005</v>
      </c>
      <c r="D223" s="123" t="s">
        <v>1006</v>
      </c>
      <c r="E223" s="123" t="s">
        <v>1006</v>
      </c>
    </row>
    <row r="224" spans="1:5" ht="16.5">
      <c r="A224" s="122" t="s">
        <v>1007</v>
      </c>
      <c r="B224" s="122" t="s">
        <v>1008</v>
      </c>
      <c r="C224" s="122" t="s">
        <v>1008</v>
      </c>
      <c r="D224" s="122" t="s">
        <v>1008</v>
      </c>
      <c r="E224" s="122" t="s">
        <v>410</v>
      </c>
    </row>
    <row r="225" spans="1:5" ht="16.5">
      <c r="A225" s="123" t="s">
        <v>1009</v>
      </c>
      <c r="B225" s="123" t="s">
        <v>1010</v>
      </c>
      <c r="C225" s="123" t="s">
        <v>1011</v>
      </c>
      <c r="D225" s="123" t="s">
        <v>1010</v>
      </c>
      <c r="E225" s="123" t="s">
        <v>1012</v>
      </c>
    </row>
    <row r="226" spans="1:5" ht="16.5">
      <c r="A226" s="122" t="s">
        <v>1013</v>
      </c>
      <c r="B226" s="122" t="s">
        <v>1014</v>
      </c>
      <c r="C226" s="122" t="s">
        <v>1015</v>
      </c>
      <c r="D226" s="122" t="s">
        <v>1014</v>
      </c>
      <c r="E226" s="122" t="s">
        <v>1016</v>
      </c>
    </row>
    <row r="227" spans="1:5" ht="16.5">
      <c r="A227" s="123" t="s">
        <v>1017</v>
      </c>
      <c r="B227" s="123" t="s">
        <v>1018</v>
      </c>
      <c r="C227" s="123" t="s">
        <v>1019</v>
      </c>
      <c r="D227" s="123" t="s">
        <v>1018</v>
      </c>
      <c r="E227" s="123" t="s">
        <v>357</v>
      </c>
    </row>
    <row r="228" spans="1:5" ht="16.5">
      <c r="A228" s="122" t="s">
        <v>1020</v>
      </c>
      <c r="B228" s="122" t="s">
        <v>1021</v>
      </c>
      <c r="C228" s="122" t="s">
        <v>1021</v>
      </c>
      <c r="D228" s="122" t="s">
        <v>1021</v>
      </c>
      <c r="E228" s="122" t="s">
        <v>1022</v>
      </c>
    </row>
    <row r="229" spans="1:5" ht="16.5">
      <c r="A229" s="123" t="s">
        <v>1023</v>
      </c>
      <c r="B229" s="123" t="s">
        <v>1024</v>
      </c>
      <c r="C229" s="123" t="s">
        <v>1025</v>
      </c>
      <c r="D229" s="123" t="s">
        <v>1024</v>
      </c>
      <c r="E229" s="123" t="s">
        <v>1026</v>
      </c>
    </row>
    <row r="230" spans="1:5" ht="16.5">
      <c r="A230" s="122" t="s">
        <v>1027</v>
      </c>
      <c r="B230" s="122" t="s">
        <v>1028</v>
      </c>
      <c r="C230" s="122" t="s">
        <v>1029</v>
      </c>
      <c r="D230" s="122" t="s">
        <v>1028</v>
      </c>
      <c r="E230" s="122" t="s">
        <v>1030</v>
      </c>
    </row>
    <row r="231" spans="1:5" ht="16.5">
      <c r="A231" s="123" t="s">
        <v>1031</v>
      </c>
      <c r="B231" s="123" t="s">
        <v>1032</v>
      </c>
      <c r="C231" s="123" t="s">
        <v>1033</v>
      </c>
      <c r="D231" s="123" t="s">
        <v>1032</v>
      </c>
      <c r="E231" s="123" t="s">
        <v>520</v>
      </c>
    </row>
    <row r="232" spans="1:5" ht="16.5">
      <c r="A232" s="122" t="s">
        <v>1034</v>
      </c>
      <c r="B232" s="122" t="s">
        <v>1035</v>
      </c>
      <c r="C232" s="122" t="s">
        <v>1036</v>
      </c>
      <c r="D232" s="122" t="s">
        <v>1035</v>
      </c>
      <c r="E232" s="122" t="s">
        <v>1037</v>
      </c>
    </row>
    <row r="233" spans="1:5" ht="16.5">
      <c r="A233" s="123" t="s">
        <v>1038</v>
      </c>
      <c r="B233" s="123" t="s">
        <v>1039</v>
      </c>
      <c r="C233" s="123" t="s">
        <v>1040</v>
      </c>
      <c r="D233" s="123" t="s">
        <v>1039</v>
      </c>
      <c r="E233" s="123" t="s">
        <v>1041</v>
      </c>
    </row>
    <row r="234" spans="1:5" ht="16.5">
      <c r="A234" s="122" t="s">
        <v>1042</v>
      </c>
      <c r="B234" s="122" t="s">
        <v>1043</v>
      </c>
      <c r="C234" s="122" t="s">
        <v>1044</v>
      </c>
      <c r="D234" s="122" t="s">
        <v>1043</v>
      </c>
      <c r="E234" s="122" t="s">
        <v>1045</v>
      </c>
    </row>
    <row r="235" spans="1:5" ht="16.5">
      <c r="A235" s="123" t="s">
        <v>1046</v>
      </c>
      <c r="B235" s="123" t="s">
        <v>1047</v>
      </c>
      <c r="C235" s="123" t="s">
        <v>1047</v>
      </c>
      <c r="D235" s="123" t="s">
        <v>1047</v>
      </c>
      <c r="E235" s="123" t="s">
        <v>1048</v>
      </c>
    </row>
    <row r="236" spans="1:5" ht="16.5">
      <c r="A236" s="122" t="s">
        <v>1049</v>
      </c>
      <c r="B236" s="122" t="s">
        <v>1050</v>
      </c>
      <c r="C236" s="122" t="s">
        <v>1051</v>
      </c>
      <c r="D236" s="122" t="s">
        <v>1050</v>
      </c>
      <c r="E236" s="122" t="s">
        <v>1052</v>
      </c>
    </row>
    <row r="237" spans="1:5" ht="16.5">
      <c r="A237" s="123" t="s">
        <v>1053</v>
      </c>
      <c r="B237" s="123" t="s">
        <v>1054</v>
      </c>
      <c r="C237" s="123" t="s">
        <v>1055</v>
      </c>
      <c r="D237" s="123" t="s">
        <v>1054</v>
      </c>
      <c r="E237" s="123" t="s">
        <v>463</v>
      </c>
    </row>
    <row r="238" spans="1:5" ht="16.5">
      <c r="A238" s="122" t="s">
        <v>1056</v>
      </c>
      <c r="B238" s="122" t="s">
        <v>1057</v>
      </c>
      <c r="C238" s="122" t="s">
        <v>1058</v>
      </c>
      <c r="D238" s="122" t="s">
        <v>1059</v>
      </c>
      <c r="E238" s="122" t="s">
        <v>1060</v>
      </c>
    </row>
    <row r="239" spans="1:5" ht="16.5">
      <c r="A239" s="123" t="s">
        <v>1056</v>
      </c>
      <c r="B239" s="123" t="s">
        <v>1057</v>
      </c>
      <c r="C239" s="123" t="s">
        <v>1057</v>
      </c>
      <c r="D239" s="123" t="s">
        <v>1057</v>
      </c>
      <c r="E239" s="123" t="s">
        <v>1060</v>
      </c>
    </row>
    <row r="240" spans="1:5" ht="16.5">
      <c r="A240" s="122" t="s">
        <v>1061</v>
      </c>
      <c r="B240" s="122" t="s">
        <v>1062</v>
      </c>
      <c r="C240" s="122" t="s">
        <v>1063</v>
      </c>
      <c r="D240" s="122" t="s">
        <v>1062</v>
      </c>
      <c r="E240" s="122" t="s">
        <v>1064</v>
      </c>
    </row>
    <row r="241" spans="1:5" ht="16.5">
      <c r="A241" s="123" t="s">
        <v>1065</v>
      </c>
      <c r="B241" s="123" t="s">
        <v>1066</v>
      </c>
      <c r="C241" s="123" t="s">
        <v>1067</v>
      </c>
      <c r="D241" s="123" t="s">
        <v>1066</v>
      </c>
      <c r="E241" s="123" t="s">
        <v>1068</v>
      </c>
    </row>
    <row r="242" spans="1:5" ht="16.5">
      <c r="A242" s="122" t="s">
        <v>1069</v>
      </c>
      <c r="B242" s="122" t="s">
        <v>1070</v>
      </c>
      <c r="C242" s="122" t="s">
        <v>1070</v>
      </c>
      <c r="D242" s="122" t="s">
        <v>1070</v>
      </c>
      <c r="E242" s="122" t="s">
        <v>290</v>
      </c>
    </row>
    <row r="243" spans="1:5" ht="16.5">
      <c r="A243" s="123" t="s">
        <v>1071</v>
      </c>
      <c r="B243" s="123" t="s">
        <v>1072</v>
      </c>
      <c r="C243" s="123" t="s">
        <v>1072</v>
      </c>
      <c r="D243" s="123" t="s">
        <v>1072</v>
      </c>
      <c r="E243" s="123" t="s">
        <v>290</v>
      </c>
    </row>
    <row r="244" spans="1:5" ht="16.5">
      <c r="A244" s="122" t="s">
        <v>1073</v>
      </c>
      <c r="B244" s="122" t="s">
        <v>1074</v>
      </c>
      <c r="C244" s="122" t="s">
        <v>1075</v>
      </c>
      <c r="D244" s="122" t="s">
        <v>1074</v>
      </c>
      <c r="E244" s="122" t="s">
        <v>1076</v>
      </c>
    </row>
    <row r="245" spans="1:5" ht="16.5">
      <c r="A245" s="123" t="s">
        <v>1077</v>
      </c>
      <c r="B245" s="123" t="s">
        <v>1078</v>
      </c>
      <c r="C245" s="123" t="s">
        <v>1079</v>
      </c>
      <c r="D245" s="123" t="s">
        <v>1078</v>
      </c>
      <c r="E245" s="123" t="s">
        <v>1080</v>
      </c>
    </row>
    <row r="246" spans="1:5" ht="16.5">
      <c r="A246" s="122" t="s">
        <v>1081</v>
      </c>
      <c r="B246" s="122" t="s">
        <v>1082</v>
      </c>
      <c r="C246" s="122" t="s">
        <v>1083</v>
      </c>
      <c r="D246" s="122" t="s">
        <v>1082</v>
      </c>
      <c r="E246" s="122" t="s">
        <v>1084</v>
      </c>
    </row>
    <row r="247" spans="1:5" ht="16.5">
      <c r="A247" s="123" t="s">
        <v>1085</v>
      </c>
      <c r="B247" s="123" t="s">
        <v>1086</v>
      </c>
      <c r="C247" s="123" t="s">
        <v>1087</v>
      </c>
      <c r="D247" s="123" t="s">
        <v>1087</v>
      </c>
      <c r="E247" s="123" t="s">
        <v>520</v>
      </c>
    </row>
    <row r="248" spans="1:5" ht="16.5">
      <c r="A248" s="122" t="s">
        <v>1088</v>
      </c>
      <c r="B248" s="122" t="s">
        <v>1089</v>
      </c>
      <c r="C248" s="122" t="s">
        <v>1090</v>
      </c>
      <c r="D248" s="122" t="s">
        <v>1090</v>
      </c>
      <c r="E248" s="122" t="s">
        <v>1012</v>
      </c>
    </row>
    <row r="249" spans="1:5" ht="16.5">
      <c r="A249" s="123" t="s">
        <v>1091</v>
      </c>
      <c r="B249" s="123" t="s">
        <v>1092</v>
      </c>
      <c r="C249" s="123" t="s">
        <v>1093</v>
      </c>
      <c r="D249" s="123" t="s">
        <v>1092</v>
      </c>
      <c r="E249" s="123" t="s">
        <v>1094</v>
      </c>
    </row>
    <row r="250" spans="1:5" ht="16.5">
      <c r="A250" s="122" t="s">
        <v>1095</v>
      </c>
      <c r="B250" s="122" t="s">
        <v>1096</v>
      </c>
      <c r="C250" s="122" t="s">
        <v>1097</v>
      </c>
      <c r="D250" s="122" t="s">
        <v>1096</v>
      </c>
      <c r="E250" s="122" t="s">
        <v>520</v>
      </c>
    </row>
    <row r="251" spans="1:5" ht="16.5">
      <c r="A251" s="123" t="s">
        <v>1098</v>
      </c>
      <c r="B251" s="123" t="s">
        <v>1099</v>
      </c>
      <c r="C251" s="123" t="s">
        <v>1100</v>
      </c>
      <c r="D251" s="123" t="s">
        <v>1099</v>
      </c>
      <c r="E251" s="123" t="s">
        <v>1101</v>
      </c>
    </row>
    <row r="252" spans="1:5" ht="16.5">
      <c r="A252" s="122" t="s">
        <v>1102</v>
      </c>
      <c r="B252" s="122" t="s">
        <v>1103</v>
      </c>
      <c r="C252" s="122" t="s">
        <v>1104</v>
      </c>
      <c r="D252" s="122" t="s">
        <v>1103</v>
      </c>
      <c r="E252" s="122" t="s">
        <v>1105</v>
      </c>
    </row>
    <row r="253" spans="1:5" ht="16.5">
      <c r="A253" s="123" t="s">
        <v>1106</v>
      </c>
      <c r="B253" s="123" t="s">
        <v>1107</v>
      </c>
      <c r="C253" s="123" t="s">
        <v>1108</v>
      </c>
      <c r="D253" s="123" t="s">
        <v>1107</v>
      </c>
      <c r="E253" s="123" t="s">
        <v>1109</v>
      </c>
    </row>
    <row r="254" spans="1:5" ht="16.5">
      <c r="A254" s="122" t="s">
        <v>1110</v>
      </c>
      <c r="B254" s="122" t="s">
        <v>1111</v>
      </c>
      <c r="C254" s="122" t="s">
        <v>1112</v>
      </c>
      <c r="D254" s="122" t="s">
        <v>1111</v>
      </c>
      <c r="E254" s="122" t="s">
        <v>1113</v>
      </c>
    </row>
    <row r="255" spans="1:5" ht="16.5">
      <c r="A255" s="123" t="s">
        <v>1114</v>
      </c>
      <c r="B255" s="123" t="s">
        <v>1115</v>
      </c>
      <c r="C255" s="123" t="s">
        <v>1116</v>
      </c>
      <c r="D255" s="123" t="s">
        <v>1115</v>
      </c>
      <c r="E255" s="123" t="s">
        <v>1117</v>
      </c>
    </row>
    <row r="256" spans="1:5" ht="16.5">
      <c r="A256" s="122" t="s">
        <v>1118</v>
      </c>
      <c r="B256" s="122" t="s">
        <v>1119</v>
      </c>
      <c r="C256" s="122" t="s">
        <v>1120</v>
      </c>
      <c r="D256" s="122" t="s">
        <v>1119</v>
      </c>
      <c r="E256" s="122" t="s">
        <v>1121</v>
      </c>
    </row>
    <row r="257" spans="1:5" ht="16.5">
      <c r="A257" s="123" t="s">
        <v>1122</v>
      </c>
      <c r="B257" s="123" t="s">
        <v>1123</v>
      </c>
      <c r="C257" s="123" t="s">
        <v>1124</v>
      </c>
      <c r="D257" s="123" t="s">
        <v>1123</v>
      </c>
      <c r="E257" s="123" t="s">
        <v>1125</v>
      </c>
    </row>
    <row r="258" spans="1:5" ht="16.5">
      <c r="A258" s="122" t="s">
        <v>1126</v>
      </c>
      <c r="B258" s="122" t="s">
        <v>1127</v>
      </c>
      <c r="C258" s="122" t="s">
        <v>1127</v>
      </c>
      <c r="D258" s="122" t="s">
        <v>1127</v>
      </c>
      <c r="E258" s="122" t="s">
        <v>290</v>
      </c>
    </row>
    <row r="259" spans="1:5" ht="16.5">
      <c r="A259" s="123" t="s">
        <v>1128</v>
      </c>
      <c r="B259" s="123" t="s">
        <v>1129</v>
      </c>
      <c r="C259" s="123" t="s">
        <v>1129</v>
      </c>
      <c r="D259" s="123" t="s">
        <v>1129</v>
      </c>
      <c r="E259" s="123" t="s">
        <v>290</v>
      </c>
    </row>
    <row r="260" spans="1:5" ht="16.5">
      <c r="A260" s="122" t="s">
        <v>1130</v>
      </c>
      <c r="B260" s="122" t="s">
        <v>1131</v>
      </c>
      <c r="C260" s="122" t="s">
        <v>1132</v>
      </c>
      <c r="D260" s="122" t="s">
        <v>1131</v>
      </c>
      <c r="E260" s="122" t="s">
        <v>401</v>
      </c>
    </row>
    <row r="261" spans="1:5" ht="16.5">
      <c r="A261" s="123" t="s">
        <v>1133</v>
      </c>
      <c r="B261" s="123" t="s">
        <v>1134</v>
      </c>
      <c r="C261" s="123" t="s">
        <v>1135</v>
      </c>
      <c r="D261" s="123" t="s">
        <v>1134</v>
      </c>
      <c r="E261" s="123" t="s">
        <v>1136</v>
      </c>
    </row>
    <row r="262" spans="1:5" ht="16.5">
      <c r="A262" s="122" t="s">
        <v>1137</v>
      </c>
      <c r="B262" s="122" t="s">
        <v>1138</v>
      </c>
      <c r="C262" s="122" t="s">
        <v>1139</v>
      </c>
      <c r="D262" s="122" t="s">
        <v>1138</v>
      </c>
      <c r="E262" s="122" t="s">
        <v>1140</v>
      </c>
    </row>
    <row r="263" spans="1:5" ht="16.5">
      <c r="A263" s="123" t="s">
        <v>1141</v>
      </c>
      <c r="B263" s="123" t="s">
        <v>1142</v>
      </c>
      <c r="C263" s="123" t="s">
        <v>1143</v>
      </c>
      <c r="D263" s="123" t="s">
        <v>1142</v>
      </c>
      <c r="E263" s="123" t="s">
        <v>1144</v>
      </c>
    </row>
    <row r="264" spans="1:5" ht="16.5">
      <c r="A264" s="122" t="s">
        <v>1145</v>
      </c>
      <c r="B264" s="122" t="s">
        <v>1146</v>
      </c>
      <c r="C264" s="122" t="s">
        <v>1146</v>
      </c>
      <c r="D264" s="122" t="s">
        <v>1146</v>
      </c>
      <c r="E264" s="122" t="s">
        <v>1147</v>
      </c>
    </row>
    <row r="265" spans="1:5" ht="16.5">
      <c r="A265" s="123" t="s">
        <v>1148</v>
      </c>
      <c r="B265" s="123" t="s">
        <v>1149</v>
      </c>
      <c r="C265" s="123" t="s">
        <v>1150</v>
      </c>
      <c r="D265" s="123" t="s">
        <v>1149</v>
      </c>
      <c r="E265" s="123" t="s">
        <v>1151</v>
      </c>
    </row>
    <row r="266" spans="1:5" ht="16.5">
      <c r="A266" s="122" t="s">
        <v>1152</v>
      </c>
      <c r="B266" s="122" t="s">
        <v>1153</v>
      </c>
      <c r="C266" s="122" t="s">
        <v>1154</v>
      </c>
      <c r="D266" s="122" t="s">
        <v>1153</v>
      </c>
      <c r="E266" s="122" t="s">
        <v>520</v>
      </c>
    </row>
    <row r="267" spans="1:5" ht="16.5">
      <c r="A267" s="123" t="s">
        <v>1155</v>
      </c>
      <c r="B267" s="123" t="s">
        <v>1156</v>
      </c>
      <c r="C267" s="123" t="s">
        <v>1157</v>
      </c>
      <c r="D267" s="123" t="s">
        <v>1156</v>
      </c>
      <c r="E267" s="123" t="s">
        <v>1158</v>
      </c>
    </row>
    <row r="268" spans="1:5" ht="16.5">
      <c r="A268" s="122" t="s">
        <v>1159</v>
      </c>
      <c r="B268" s="122" t="s">
        <v>1160</v>
      </c>
      <c r="C268" s="122" t="s">
        <v>1161</v>
      </c>
      <c r="D268" s="122" t="s">
        <v>1160</v>
      </c>
      <c r="E268" s="122" t="s">
        <v>1162</v>
      </c>
    </row>
    <row r="269" spans="1:5" ht="16.5">
      <c r="A269" s="123" t="s">
        <v>1163</v>
      </c>
      <c r="B269" s="123" t="s">
        <v>1164</v>
      </c>
      <c r="C269" s="123" t="s">
        <v>1164</v>
      </c>
      <c r="D269" s="123" t="s">
        <v>1164</v>
      </c>
      <c r="E269" s="123" t="s">
        <v>1165</v>
      </c>
    </row>
    <row r="270" spans="1:5" ht="16.5">
      <c r="A270" s="122" t="s">
        <v>1166</v>
      </c>
      <c r="B270" s="122" t="s">
        <v>1167</v>
      </c>
      <c r="C270" s="122" t="s">
        <v>1167</v>
      </c>
      <c r="D270" s="122" t="s">
        <v>1167</v>
      </c>
      <c r="E270" s="122" t="s">
        <v>1168</v>
      </c>
    </row>
    <row r="271" spans="1:5" ht="16.5">
      <c r="A271" s="123" t="s">
        <v>1169</v>
      </c>
      <c r="B271" s="123" t="s">
        <v>1170</v>
      </c>
      <c r="C271" s="123" t="s">
        <v>1170</v>
      </c>
      <c r="D271" s="123" t="s">
        <v>1170</v>
      </c>
      <c r="E271" s="123" t="s">
        <v>1171</v>
      </c>
    </row>
    <row r="272" spans="1:5" ht="16.5">
      <c r="A272" s="122" t="s">
        <v>1172</v>
      </c>
      <c r="B272" s="122" t="s">
        <v>1173</v>
      </c>
      <c r="C272" s="122" t="s">
        <v>1174</v>
      </c>
      <c r="D272" s="122" t="s">
        <v>1173</v>
      </c>
      <c r="E272" s="122" t="s">
        <v>1175</v>
      </c>
    </row>
    <row r="273" spans="1:5" ht="16.5">
      <c r="A273" s="123" t="s">
        <v>1176</v>
      </c>
      <c r="B273" s="123" t="s">
        <v>1177</v>
      </c>
      <c r="C273" s="123" t="s">
        <v>1177</v>
      </c>
      <c r="D273" s="123" t="s">
        <v>1177</v>
      </c>
      <c r="E273" s="123" t="s">
        <v>1178</v>
      </c>
    </row>
    <row r="274" spans="1:5" ht="16.5">
      <c r="A274" s="122" t="s">
        <v>1179</v>
      </c>
      <c r="B274" s="122" t="s">
        <v>1180</v>
      </c>
      <c r="C274" s="122" t="s">
        <v>1180</v>
      </c>
      <c r="D274" s="122" t="s">
        <v>1181</v>
      </c>
      <c r="E274" s="122" t="s">
        <v>353</v>
      </c>
    </row>
    <row r="275" spans="1:5" ht="16.5">
      <c r="A275" s="123" t="s">
        <v>1182</v>
      </c>
      <c r="B275" s="123" t="s">
        <v>1183</v>
      </c>
      <c r="C275" s="123" t="s">
        <v>1184</v>
      </c>
      <c r="D275" s="123" t="s">
        <v>1183</v>
      </c>
      <c r="E275" s="123" t="s">
        <v>1185</v>
      </c>
    </row>
    <row r="276" spans="1:5" ht="16.5">
      <c r="A276" s="122" t="s">
        <v>1186</v>
      </c>
      <c r="B276" s="122" t="s">
        <v>1187</v>
      </c>
      <c r="C276" s="124" t="s">
        <v>1188</v>
      </c>
      <c r="D276" s="122" t="s">
        <v>1187</v>
      </c>
      <c r="E276" s="122" t="s">
        <v>1189</v>
      </c>
    </row>
    <row r="277" spans="1:5" ht="16.5">
      <c r="A277" s="123" t="s">
        <v>1190</v>
      </c>
      <c r="B277" s="123" t="s">
        <v>1191</v>
      </c>
      <c r="C277" s="125" t="s">
        <v>1192</v>
      </c>
      <c r="D277" s="125" t="s">
        <v>1191</v>
      </c>
      <c r="E277" s="123" t="s">
        <v>1193</v>
      </c>
    </row>
    <row r="278" spans="1:5" ht="16.5">
      <c r="A278" s="122" t="s">
        <v>1194</v>
      </c>
      <c r="B278" s="122" t="s">
        <v>1195</v>
      </c>
      <c r="C278" s="122" t="s">
        <v>1196</v>
      </c>
      <c r="D278" s="122" t="s">
        <v>1197</v>
      </c>
      <c r="E278" s="122" t="s">
        <v>1197</v>
      </c>
    </row>
    <row r="279" spans="1:5" ht="16.5">
      <c r="A279" s="123" t="s">
        <v>1198</v>
      </c>
      <c r="B279" s="123" t="s">
        <v>1199</v>
      </c>
      <c r="C279" s="123" t="s">
        <v>1199</v>
      </c>
      <c r="D279" s="123" t="s">
        <v>1199</v>
      </c>
      <c r="E279" s="123" t="s">
        <v>1200</v>
      </c>
    </row>
    <row r="280" spans="1:5" ht="16.5">
      <c r="A280" s="122" t="s">
        <v>1201</v>
      </c>
      <c r="B280" s="122" t="s">
        <v>1202</v>
      </c>
      <c r="C280" s="122" t="s">
        <v>1203</v>
      </c>
      <c r="D280" s="122" t="s">
        <v>1202</v>
      </c>
      <c r="E280" s="122" t="s">
        <v>1204</v>
      </c>
    </row>
    <row r="281" spans="1:5" ht="16.5">
      <c r="A281" s="123" t="s">
        <v>1205</v>
      </c>
      <c r="B281" s="123" t="s">
        <v>1206</v>
      </c>
      <c r="C281" s="123" t="s">
        <v>1207</v>
      </c>
      <c r="D281" s="123" t="s">
        <v>1206</v>
      </c>
      <c r="E281" s="123" t="s">
        <v>1208</v>
      </c>
    </row>
    <row r="282" spans="1:5" ht="16.5">
      <c r="A282" s="122" t="s">
        <v>1209</v>
      </c>
      <c r="B282" s="122" t="s">
        <v>1210</v>
      </c>
      <c r="C282" s="122" t="s">
        <v>1210</v>
      </c>
      <c r="D282" s="122" t="s">
        <v>1210</v>
      </c>
      <c r="E282" s="122" t="s">
        <v>1211</v>
      </c>
    </row>
    <row r="283" spans="1:5" ht="16.5">
      <c r="A283" s="123" t="s">
        <v>1212</v>
      </c>
      <c r="B283" s="123" t="s">
        <v>1213</v>
      </c>
      <c r="C283" s="123" t="s">
        <v>1214</v>
      </c>
      <c r="D283" s="123" t="s">
        <v>1213</v>
      </c>
      <c r="E283" s="123" t="s">
        <v>1215</v>
      </c>
    </row>
    <row r="284" spans="1:5" ht="16.5">
      <c r="A284" s="122" t="s">
        <v>1216</v>
      </c>
      <c r="B284" s="122" t="s">
        <v>1217</v>
      </c>
      <c r="C284" s="122" t="s">
        <v>1217</v>
      </c>
      <c r="D284" s="122" t="s">
        <v>1217</v>
      </c>
      <c r="E284" s="122" t="s">
        <v>290</v>
      </c>
    </row>
    <row r="285" spans="1:5" ht="16.5">
      <c r="A285" s="123" t="s">
        <v>1218</v>
      </c>
      <c r="B285" s="123" t="s">
        <v>1219</v>
      </c>
      <c r="C285" s="123" t="s">
        <v>1220</v>
      </c>
      <c r="D285" s="123" t="s">
        <v>1221</v>
      </c>
      <c r="E285" s="123" t="s">
        <v>1222</v>
      </c>
    </row>
    <row r="286" spans="1:5" ht="16.5">
      <c r="A286" s="122" t="s">
        <v>1223</v>
      </c>
      <c r="B286" s="122" t="s">
        <v>1224</v>
      </c>
      <c r="C286" s="122" t="s">
        <v>1224</v>
      </c>
      <c r="D286" s="122" t="s">
        <v>1224</v>
      </c>
      <c r="E286" s="122" t="s">
        <v>1225</v>
      </c>
    </row>
    <row r="287" spans="1:5" ht="16.5">
      <c r="A287" s="123" t="s">
        <v>1226</v>
      </c>
      <c r="B287" s="123" t="s">
        <v>1227</v>
      </c>
      <c r="C287" s="123" t="s">
        <v>1227</v>
      </c>
      <c r="D287" s="123" t="s">
        <v>1227</v>
      </c>
      <c r="E287" s="123" t="s">
        <v>255</v>
      </c>
    </row>
    <row r="288" spans="1:5" ht="16.5">
      <c r="A288" s="122" t="s">
        <v>1228</v>
      </c>
      <c r="B288" s="122" t="s">
        <v>1228</v>
      </c>
      <c r="C288" s="122" t="s">
        <v>1228</v>
      </c>
      <c r="D288" s="122" t="s">
        <v>1228</v>
      </c>
      <c r="E288" s="122" t="s">
        <v>951</v>
      </c>
    </row>
    <row r="289" spans="1:5" ht="16.5">
      <c r="A289" s="123" t="s">
        <v>1229</v>
      </c>
      <c r="B289" s="123" t="s">
        <v>1230</v>
      </c>
      <c r="C289" s="123" t="s">
        <v>1230</v>
      </c>
      <c r="D289" s="123" t="s">
        <v>1230</v>
      </c>
      <c r="E289" s="123" t="s">
        <v>290</v>
      </c>
    </row>
    <row r="290" spans="1:5" ht="16.5">
      <c r="A290" s="122" t="s">
        <v>1231</v>
      </c>
      <c r="B290" s="122" t="s">
        <v>1232</v>
      </c>
      <c r="C290" s="122" t="s">
        <v>1233</v>
      </c>
      <c r="D290" s="122" t="s">
        <v>1231</v>
      </c>
      <c r="E290" s="122" t="s">
        <v>1231</v>
      </c>
    </row>
    <row r="291" spans="1:5" ht="16.5">
      <c r="A291" s="123" t="s">
        <v>1234</v>
      </c>
      <c r="B291" s="123" t="s">
        <v>1235</v>
      </c>
      <c r="C291" s="123" t="s">
        <v>1235</v>
      </c>
      <c r="D291" s="123" t="s">
        <v>1235</v>
      </c>
      <c r="E291" s="123" t="s">
        <v>1236</v>
      </c>
    </row>
    <row r="292" spans="1:5" ht="16.5">
      <c r="A292" s="122" t="s">
        <v>1237</v>
      </c>
      <c r="B292" s="122" t="s">
        <v>1238</v>
      </c>
      <c r="C292" s="122" t="s">
        <v>1238</v>
      </c>
      <c r="D292" s="122" t="s">
        <v>1238</v>
      </c>
      <c r="E292" s="122" t="s">
        <v>290</v>
      </c>
    </row>
    <row r="293" spans="1:5" ht="16.5">
      <c r="A293" s="123" t="s">
        <v>1239</v>
      </c>
      <c r="B293" s="123" t="s">
        <v>1240</v>
      </c>
      <c r="C293" s="123" t="s">
        <v>1241</v>
      </c>
      <c r="D293" s="123" t="s">
        <v>1240</v>
      </c>
      <c r="E293" s="123" t="s">
        <v>1242</v>
      </c>
    </row>
    <row r="294" spans="1:5" ht="16.5">
      <c r="A294" s="122" t="s">
        <v>1243</v>
      </c>
      <c r="B294" s="122" t="s">
        <v>1244</v>
      </c>
      <c r="C294" s="122" t="s">
        <v>1245</v>
      </c>
      <c r="D294" s="122" t="s">
        <v>1244</v>
      </c>
      <c r="E294" s="122" t="s">
        <v>1246</v>
      </c>
    </row>
    <row r="295" spans="1:5" ht="16.5">
      <c r="A295" s="123" t="s">
        <v>1247</v>
      </c>
      <c r="B295" s="123" t="s">
        <v>1248</v>
      </c>
      <c r="C295" s="123" t="s">
        <v>1248</v>
      </c>
      <c r="D295" s="123" t="s">
        <v>1248</v>
      </c>
      <c r="E295" s="123" t="s">
        <v>1249</v>
      </c>
    </row>
    <row r="296" spans="1:5" ht="16.5">
      <c r="A296" s="122" t="s">
        <v>1250</v>
      </c>
      <c r="B296" s="122" t="s">
        <v>1251</v>
      </c>
      <c r="C296" s="122" t="s">
        <v>1252</v>
      </c>
      <c r="D296" s="122" t="s">
        <v>1251</v>
      </c>
      <c r="E296" s="122" t="s">
        <v>1253</v>
      </c>
    </row>
  </sheetData>
  <autoFilter ref="A1:E296"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08E79"/>
    <outlinePr summaryBelow="0" summaryRight="0"/>
  </sheetPr>
  <dimension ref="A1:G599"/>
  <sheetViews>
    <sheetView workbookViewId="0">
      <pane ySplit="1" topLeftCell="A2" activePane="bottomLeft" state="frozen"/>
      <selection pane="bottomLeft" activeCell="B3" sqref="B3"/>
    </sheetView>
  </sheetViews>
  <sheetFormatPr defaultColWidth="14.42578125" defaultRowHeight="15.75" customHeight="1"/>
  <cols>
    <col min="1" max="1" width="34.7109375" customWidth="1"/>
    <col min="2" max="2" width="57.7109375" customWidth="1"/>
    <col min="3" max="7" width="17.28515625" customWidth="1"/>
  </cols>
  <sheetData>
    <row r="1" spans="1:7" ht="15.75" customHeight="1">
      <c r="A1" s="126" t="s">
        <v>174</v>
      </c>
      <c r="B1" s="126" t="s">
        <v>1254</v>
      </c>
      <c r="C1" s="126" t="s">
        <v>1255</v>
      </c>
      <c r="D1" s="126" t="s">
        <v>1256</v>
      </c>
      <c r="E1" s="126" t="s">
        <v>1257</v>
      </c>
      <c r="F1" s="126" t="s">
        <v>1258</v>
      </c>
      <c r="G1" s="126" t="s">
        <v>1259</v>
      </c>
    </row>
    <row r="2" spans="1:7" ht="15.75" customHeight="1">
      <c r="A2" s="124" t="s">
        <v>250</v>
      </c>
      <c r="B2" s="124" t="s">
        <v>1260</v>
      </c>
      <c r="C2" s="127" t="b">
        <v>0</v>
      </c>
      <c r="D2" s="128"/>
      <c r="E2" s="128"/>
      <c r="F2" s="128"/>
      <c r="G2" s="128"/>
    </row>
    <row r="3" spans="1:7" ht="15.75" customHeight="1">
      <c r="A3" s="129" t="s">
        <v>250</v>
      </c>
      <c r="B3" s="129" t="s">
        <v>1261</v>
      </c>
      <c r="C3" s="130" t="b">
        <v>0</v>
      </c>
      <c r="D3" s="131"/>
      <c r="E3" s="131"/>
      <c r="F3" s="131"/>
      <c r="G3" s="131"/>
    </row>
    <row r="4" spans="1:7" ht="15.75" customHeight="1">
      <c r="A4" s="124" t="s">
        <v>254</v>
      </c>
      <c r="B4" s="124" t="s">
        <v>1262</v>
      </c>
      <c r="C4" s="127" t="b">
        <v>0</v>
      </c>
      <c r="D4" s="128"/>
      <c r="E4" s="128"/>
      <c r="F4" s="128"/>
      <c r="G4" s="128"/>
    </row>
    <row r="5" spans="1:7" ht="15.75" customHeight="1">
      <c r="A5" s="125" t="s">
        <v>254</v>
      </c>
      <c r="B5" s="125" t="s">
        <v>1263</v>
      </c>
      <c r="C5" s="132" t="b">
        <v>0</v>
      </c>
      <c r="D5" s="133"/>
      <c r="E5" s="133"/>
      <c r="F5" s="133"/>
      <c r="G5" s="133"/>
    </row>
    <row r="6" spans="1:7" ht="15.75" customHeight="1">
      <c r="A6" s="124" t="s">
        <v>257</v>
      </c>
      <c r="B6" s="124" t="s">
        <v>1262</v>
      </c>
      <c r="C6" s="127" t="b">
        <v>0</v>
      </c>
      <c r="D6" s="128"/>
      <c r="E6" s="128"/>
      <c r="F6" s="128"/>
      <c r="G6" s="128"/>
    </row>
    <row r="7" spans="1:7" ht="15.75" customHeight="1">
      <c r="A7" s="125" t="s">
        <v>257</v>
      </c>
      <c r="B7" s="125" t="s">
        <v>1264</v>
      </c>
      <c r="C7" s="132" t="b">
        <v>0</v>
      </c>
      <c r="D7" s="133"/>
      <c r="E7" s="133"/>
      <c r="F7" s="133"/>
      <c r="G7" s="133"/>
    </row>
    <row r="8" spans="1:7" ht="15.75" customHeight="1">
      <c r="A8" s="124" t="s">
        <v>260</v>
      </c>
      <c r="B8" s="124" t="s">
        <v>1265</v>
      </c>
      <c r="C8" s="127" t="b">
        <v>0</v>
      </c>
      <c r="D8" s="128"/>
      <c r="E8" s="128"/>
      <c r="F8" s="128"/>
      <c r="G8" s="128"/>
    </row>
    <row r="9" spans="1:7" ht="15.75" customHeight="1">
      <c r="A9" s="125" t="s">
        <v>260</v>
      </c>
      <c r="B9" s="125" t="s">
        <v>1266</v>
      </c>
      <c r="C9" s="132" t="b">
        <v>0</v>
      </c>
      <c r="D9" s="133"/>
      <c r="E9" s="133"/>
      <c r="F9" s="133"/>
      <c r="G9" s="133"/>
    </row>
    <row r="10" spans="1:7" ht="15.75" customHeight="1">
      <c r="A10" s="124" t="s">
        <v>264</v>
      </c>
      <c r="B10" s="124" t="s">
        <v>1267</v>
      </c>
      <c r="C10" s="127" t="b">
        <v>0</v>
      </c>
      <c r="D10" s="128"/>
      <c r="E10" s="128"/>
      <c r="F10" s="128"/>
      <c r="G10" s="128"/>
    </row>
    <row r="11" spans="1:7" ht="15.75" customHeight="1">
      <c r="A11" s="125" t="s">
        <v>264</v>
      </c>
      <c r="B11" s="125" t="s">
        <v>1268</v>
      </c>
      <c r="C11" s="132" t="b">
        <v>0</v>
      </c>
      <c r="D11" s="133"/>
      <c r="E11" s="133"/>
      <c r="F11" s="133"/>
      <c r="G11" s="133"/>
    </row>
    <row r="12" spans="1:7" ht="15.75" customHeight="1">
      <c r="A12" s="124" t="s">
        <v>268</v>
      </c>
      <c r="B12" s="124" t="s">
        <v>1269</v>
      </c>
      <c r="C12" s="127" t="b">
        <v>0</v>
      </c>
      <c r="D12" s="128"/>
      <c r="E12" s="128"/>
      <c r="F12" s="128"/>
      <c r="G12" s="128"/>
    </row>
    <row r="13" spans="1:7" ht="15.75" customHeight="1">
      <c r="A13" s="125" t="s">
        <v>268</v>
      </c>
      <c r="B13" s="125" t="s">
        <v>1270</v>
      </c>
      <c r="C13" s="132" t="b">
        <v>0</v>
      </c>
      <c r="D13" s="133"/>
      <c r="E13" s="133"/>
      <c r="F13" s="133"/>
      <c r="G13" s="133"/>
    </row>
    <row r="14" spans="1:7" ht="15.75" customHeight="1">
      <c r="A14" s="124" t="s">
        <v>272</v>
      </c>
      <c r="B14" s="124" t="s">
        <v>1271</v>
      </c>
      <c r="C14" s="127" t="b">
        <v>0</v>
      </c>
      <c r="D14" s="128"/>
      <c r="E14" s="128"/>
      <c r="F14" s="128"/>
      <c r="G14" s="128"/>
    </row>
    <row r="15" spans="1:7" ht="15.75" customHeight="1">
      <c r="A15" s="125" t="s">
        <v>272</v>
      </c>
      <c r="B15" s="125" t="s">
        <v>1272</v>
      </c>
      <c r="C15" s="132" t="b">
        <v>0</v>
      </c>
      <c r="D15" s="133"/>
      <c r="E15" s="133"/>
      <c r="F15" s="133"/>
      <c r="G15" s="133"/>
    </row>
    <row r="16" spans="1:7" ht="15.75" customHeight="1">
      <c r="A16" s="124" t="s">
        <v>276</v>
      </c>
      <c r="B16" s="124" t="s">
        <v>1273</v>
      </c>
      <c r="C16" s="127" t="b">
        <v>0</v>
      </c>
      <c r="D16" s="128"/>
      <c r="E16" s="128"/>
      <c r="F16" s="128"/>
      <c r="G16" s="128"/>
    </row>
    <row r="17" spans="1:7" ht="15.75" customHeight="1">
      <c r="A17" s="125" t="s">
        <v>276</v>
      </c>
      <c r="B17" s="125" t="s">
        <v>1274</v>
      </c>
      <c r="C17" s="132" t="b">
        <v>0</v>
      </c>
      <c r="D17" s="133"/>
      <c r="E17" s="133"/>
      <c r="F17" s="133"/>
      <c r="G17" s="133">
        <v>44785</v>
      </c>
    </row>
    <row r="18" spans="1:7" ht="15.75" customHeight="1">
      <c r="A18" s="124" t="s">
        <v>276</v>
      </c>
      <c r="B18" s="124" t="s">
        <v>1275</v>
      </c>
      <c r="C18" s="127" t="b">
        <v>0</v>
      </c>
      <c r="D18" s="128"/>
      <c r="E18" s="128"/>
      <c r="F18" s="128">
        <v>44785</v>
      </c>
      <c r="G18" s="128"/>
    </row>
    <row r="19" spans="1:7" ht="15.75" customHeight="1">
      <c r="A19" s="125" t="s">
        <v>276</v>
      </c>
      <c r="B19" s="125" t="s">
        <v>1276</v>
      </c>
      <c r="C19" s="132" t="b">
        <v>1</v>
      </c>
      <c r="D19" s="133"/>
      <c r="E19" s="133"/>
      <c r="F19" s="133"/>
      <c r="G19" s="133"/>
    </row>
    <row r="20" spans="1:7" ht="15.75" customHeight="1">
      <c r="A20" s="124" t="s">
        <v>279</v>
      </c>
      <c r="B20" s="124" t="s">
        <v>1277</v>
      </c>
      <c r="C20" s="127" t="b">
        <v>0</v>
      </c>
      <c r="D20" s="128"/>
      <c r="E20" s="128"/>
      <c r="F20" s="128"/>
      <c r="G20" s="128"/>
    </row>
    <row r="21" spans="1:7" ht="15.75" customHeight="1">
      <c r="A21" s="125" t="s">
        <v>279</v>
      </c>
      <c r="B21" s="125" t="s">
        <v>1278</v>
      </c>
      <c r="C21" s="132" t="b">
        <v>0</v>
      </c>
      <c r="D21" s="133"/>
      <c r="E21" s="133"/>
      <c r="F21" s="133"/>
      <c r="G21" s="133">
        <v>39280</v>
      </c>
    </row>
    <row r="22" spans="1:7" ht="15.75" customHeight="1">
      <c r="A22" s="124" t="s">
        <v>279</v>
      </c>
      <c r="B22" s="124" t="s">
        <v>1279</v>
      </c>
      <c r="C22" s="127" t="b">
        <v>0</v>
      </c>
      <c r="D22" s="128"/>
      <c r="E22" s="128"/>
      <c r="F22" s="128">
        <v>39280</v>
      </c>
      <c r="G22" s="128"/>
    </row>
    <row r="23" spans="1:7" ht="15.75" customHeight="1">
      <c r="A23" s="125" t="s">
        <v>282</v>
      </c>
      <c r="B23" s="125" t="s">
        <v>1280</v>
      </c>
      <c r="C23" s="132" t="b">
        <v>0</v>
      </c>
      <c r="D23" s="133"/>
      <c r="E23" s="133"/>
      <c r="F23" s="133"/>
      <c r="G23" s="133"/>
    </row>
    <row r="24" spans="1:7" ht="15.75" customHeight="1">
      <c r="A24" s="124" t="s">
        <v>282</v>
      </c>
      <c r="B24" s="124" t="s">
        <v>1281</v>
      </c>
      <c r="C24" s="127" t="b">
        <v>0</v>
      </c>
      <c r="D24" s="128"/>
      <c r="E24" s="128"/>
      <c r="F24" s="128"/>
      <c r="G24" s="128">
        <v>41286</v>
      </c>
    </row>
    <row r="25" spans="1:7" ht="15.75" customHeight="1">
      <c r="A25" s="125" t="s">
        <v>282</v>
      </c>
      <c r="B25" s="125" t="s">
        <v>1282</v>
      </c>
      <c r="C25" s="132" t="b">
        <v>0</v>
      </c>
      <c r="D25" s="133"/>
      <c r="E25" s="133"/>
      <c r="F25" s="133">
        <v>41286</v>
      </c>
      <c r="G25" s="133"/>
    </row>
    <row r="26" spans="1:7" ht="15.75" customHeight="1">
      <c r="A26" s="124" t="s">
        <v>286</v>
      </c>
      <c r="B26" s="124" t="s">
        <v>1283</v>
      </c>
      <c r="C26" s="127" t="b">
        <v>0</v>
      </c>
      <c r="D26" s="128"/>
      <c r="E26" s="128"/>
      <c r="F26" s="128"/>
      <c r="G26" s="128"/>
    </row>
    <row r="27" spans="1:7" ht="15.75" customHeight="1">
      <c r="A27" s="125" t="s">
        <v>286</v>
      </c>
      <c r="B27" s="125" t="s">
        <v>1284</v>
      </c>
      <c r="C27" s="132" t="b">
        <v>0</v>
      </c>
      <c r="D27" s="133"/>
      <c r="E27" s="133"/>
      <c r="F27" s="133"/>
      <c r="G27" s="133"/>
    </row>
    <row r="28" spans="1:7" ht="15.75" customHeight="1">
      <c r="A28" s="124" t="s">
        <v>289</v>
      </c>
      <c r="B28" s="124" t="s">
        <v>1262</v>
      </c>
      <c r="C28" s="127" t="b">
        <v>0</v>
      </c>
      <c r="D28" s="128"/>
      <c r="E28" s="128"/>
      <c r="F28" s="128"/>
      <c r="G28" s="128"/>
    </row>
    <row r="29" spans="1:7" ht="15.75" customHeight="1">
      <c r="A29" s="125" t="s">
        <v>289</v>
      </c>
      <c r="B29" s="125" t="s">
        <v>1285</v>
      </c>
      <c r="C29" s="132" t="b">
        <v>0</v>
      </c>
      <c r="D29" s="133"/>
      <c r="E29" s="133"/>
      <c r="F29" s="133"/>
      <c r="G29" s="133"/>
    </row>
    <row r="30" spans="1:7" ht="15.75" customHeight="1">
      <c r="A30" s="124" t="s">
        <v>292</v>
      </c>
      <c r="B30" s="124" t="s">
        <v>1262</v>
      </c>
      <c r="C30" s="127" t="b">
        <v>0</v>
      </c>
      <c r="D30" s="128"/>
      <c r="E30" s="128"/>
      <c r="F30" s="128"/>
      <c r="G30" s="128"/>
    </row>
    <row r="31" spans="1:7" ht="16.5">
      <c r="A31" s="125" t="s">
        <v>292</v>
      </c>
      <c r="B31" s="125" t="s">
        <v>1286</v>
      </c>
      <c r="C31" s="132" t="b">
        <v>0</v>
      </c>
      <c r="D31" s="133"/>
      <c r="E31" s="133"/>
      <c r="F31" s="133"/>
      <c r="G31" s="133"/>
    </row>
    <row r="32" spans="1:7" ht="16.5">
      <c r="A32" s="124" t="s">
        <v>294</v>
      </c>
      <c r="B32" s="124" t="s">
        <v>1287</v>
      </c>
      <c r="C32" s="127" t="b">
        <v>0</v>
      </c>
      <c r="D32" s="128"/>
      <c r="E32" s="128"/>
      <c r="F32" s="128"/>
      <c r="G32" s="128"/>
    </row>
    <row r="33" spans="1:7" ht="16.5">
      <c r="A33" s="125" t="s">
        <v>294</v>
      </c>
      <c r="B33" s="125" t="s">
        <v>1288</v>
      </c>
      <c r="C33" s="132" t="b">
        <v>0</v>
      </c>
      <c r="D33" s="133"/>
      <c r="E33" s="133"/>
      <c r="F33" s="133"/>
      <c r="G33" s="133"/>
    </row>
    <row r="34" spans="1:7" ht="16.5">
      <c r="A34" s="124" t="s">
        <v>299</v>
      </c>
      <c r="B34" s="124" t="s">
        <v>1289</v>
      </c>
      <c r="C34" s="127" t="b">
        <v>0</v>
      </c>
      <c r="D34" s="128"/>
      <c r="E34" s="128"/>
      <c r="F34" s="128"/>
      <c r="G34" s="128"/>
    </row>
    <row r="35" spans="1:7" ht="16.5">
      <c r="A35" s="125" t="s">
        <v>299</v>
      </c>
      <c r="B35" s="125" t="s">
        <v>1290</v>
      </c>
      <c r="C35" s="132" t="b">
        <v>0</v>
      </c>
      <c r="D35" s="133"/>
      <c r="E35" s="133"/>
      <c r="F35" s="133"/>
      <c r="G35" s="133"/>
    </row>
    <row r="36" spans="1:7" ht="16.5">
      <c r="A36" s="124" t="s">
        <v>302</v>
      </c>
      <c r="B36" s="124" t="s">
        <v>1291</v>
      </c>
      <c r="C36" s="127" t="b">
        <v>0</v>
      </c>
      <c r="D36" s="128"/>
      <c r="E36" s="128"/>
      <c r="F36" s="128"/>
      <c r="G36" s="128"/>
    </row>
    <row r="37" spans="1:7" ht="16.5">
      <c r="A37" s="125" t="s">
        <v>302</v>
      </c>
      <c r="B37" s="125" t="s">
        <v>1292</v>
      </c>
      <c r="C37" s="132" t="b">
        <v>0</v>
      </c>
      <c r="D37" s="133"/>
      <c r="E37" s="133"/>
      <c r="F37" s="133"/>
      <c r="G37" s="133">
        <v>35065</v>
      </c>
    </row>
    <row r="38" spans="1:7" ht="16.5">
      <c r="A38" s="124" t="s">
        <v>302</v>
      </c>
      <c r="B38" s="124" t="s">
        <v>1293</v>
      </c>
      <c r="C38" s="127" t="b">
        <v>0</v>
      </c>
      <c r="D38" s="128"/>
      <c r="E38" s="128"/>
      <c r="F38" s="128">
        <v>35065</v>
      </c>
      <c r="G38" s="128"/>
    </row>
    <row r="39" spans="1:7" ht="16.5">
      <c r="A39" s="125" t="s">
        <v>306</v>
      </c>
      <c r="B39" s="125" t="s">
        <v>1294</v>
      </c>
      <c r="C39" s="132" t="b">
        <v>0</v>
      </c>
      <c r="D39" s="133"/>
      <c r="E39" s="133"/>
      <c r="F39" s="133"/>
      <c r="G39" s="133"/>
    </row>
    <row r="40" spans="1:7" ht="16.5">
      <c r="A40" s="124" t="s">
        <v>306</v>
      </c>
      <c r="B40" s="124" t="s">
        <v>1295</v>
      </c>
      <c r="C40" s="127" t="b">
        <v>0</v>
      </c>
      <c r="D40" s="128"/>
      <c r="E40" s="128"/>
      <c r="F40" s="128"/>
      <c r="G40" s="128">
        <v>43344</v>
      </c>
    </row>
    <row r="41" spans="1:7" ht="16.5">
      <c r="A41" s="125" t="s">
        <v>306</v>
      </c>
      <c r="B41" s="125" t="s">
        <v>1296</v>
      </c>
      <c r="C41" s="132" t="b">
        <v>0</v>
      </c>
      <c r="D41" s="133"/>
      <c r="E41" s="133"/>
      <c r="F41" s="133">
        <v>43344</v>
      </c>
      <c r="G41" s="133"/>
    </row>
    <row r="42" spans="1:7" ht="16.5">
      <c r="A42" s="124" t="s">
        <v>310</v>
      </c>
      <c r="B42" s="124" t="s">
        <v>1297</v>
      </c>
      <c r="C42" s="127" t="b">
        <v>0</v>
      </c>
      <c r="D42" s="128"/>
      <c r="E42" s="128"/>
      <c r="F42" s="128"/>
      <c r="G42" s="128"/>
    </row>
    <row r="43" spans="1:7" ht="16.5">
      <c r="A43" s="125" t="s">
        <v>310</v>
      </c>
      <c r="B43" s="125" t="s">
        <v>1298</v>
      </c>
      <c r="C43" s="132" t="b">
        <v>0</v>
      </c>
      <c r="D43" s="133"/>
      <c r="E43" s="133"/>
      <c r="F43" s="133"/>
      <c r="G43" s="133"/>
    </row>
    <row r="44" spans="1:7" ht="16.5">
      <c r="A44" s="124" t="s">
        <v>314</v>
      </c>
      <c r="B44" s="124" t="s">
        <v>1299</v>
      </c>
      <c r="C44" s="127" t="b">
        <v>0</v>
      </c>
      <c r="D44" s="128"/>
      <c r="E44" s="128"/>
      <c r="F44" s="128"/>
      <c r="G44" s="128"/>
    </row>
    <row r="45" spans="1:7" ht="16.5">
      <c r="A45" s="125" t="s">
        <v>314</v>
      </c>
      <c r="B45" s="125" t="s">
        <v>1300</v>
      </c>
      <c r="C45" s="132" t="b">
        <v>0</v>
      </c>
      <c r="D45" s="133"/>
      <c r="E45" s="133"/>
      <c r="F45" s="133"/>
      <c r="G45" s="133"/>
    </row>
    <row r="46" spans="1:7" ht="16.5">
      <c r="A46" s="124" t="s">
        <v>319</v>
      </c>
      <c r="B46" s="124" t="s">
        <v>1301</v>
      </c>
      <c r="C46" s="127" t="b">
        <v>0</v>
      </c>
      <c r="D46" s="128"/>
      <c r="E46" s="128"/>
      <c r="F46" s="128"/>
      <c r="G46" s="128"/>
    </row>
    <row r="47" spans="1:7" ht="16.5">
      <c r="A47" s="125" t="s">
        <v>319</v>
      </c>
      <c r="B47" s="125" t="s">
        <v>1302</v>
      </c>
      <c r="C47" s="132" t="b">
        <v>0</v>
      </c>
      <c r="D47" s="133"/>
      <c r="E47" s="133"/>
      <c r="F47" s="133"/>
      <c r="G47" s="133">
        <v>33543</v>
      </c>
    </row>
    <row r="48" spans="1:7" ht="16.5">
      <c r="A48" s="124" t="s">
        <v>319</v>
      </c>
      <c r="B48" s="124" t="s">
        <v>1303</v>
      </c>
      <c r="C48" s="127" t="b">
        <v>0</v>
      </c>
      <c r="D48" s="128"/>
      <c r="E48" s="128"/>
      <c r="F48" s="128">
        <v>33543</v>
      </c>
      <c r="G48" s="128"/>
    </row>
    <row r="49" spans="1:7" ht="16.5">
      <c r="A49" s="125" t="s">
        <v>323</v>
      </c>
      <c r="B49" s="125" t="s">
        <v>1304</v>
      </c>
      <c r="C49" s="132" t="b">
        <v>0</v>
      </c>
      <c r="D49" s="133"/>
      <c r="E49" s="133"/>
      <c r="F49" s="133"/>
      <c r="G49" s="133"/>
    </row>
    <row r="50" spans="1:7" ht="16.5">
      <c r="A50" s="124" t="s">
        <v>323</v>
      </c>
      <c r="B50" s="124" t="s">
        <v>1305</v>
      </c>
      <c r="C50" s="127" t="b">
        <v>0</v>
      </c>
      <c r="D50" s="128"/>
      <c r="E50" s="128"/>
      <c r="F50" s="128"/>
      <c r="G50" s="128">
        <v>39630</v>
      </c>
    </row>
    <row r="51" spans="1:7" ht="16.5">
      <c r="A51" s="125" t="s">
        <v>323</v>
      </c>
      <c r="B51" s="125" t="s">
        <v>1306</v>
      </c>
      <c r="C51" s="132" t="b">
        <v>0</v>
      </c>
      <c r="D51" s="133"/>
      <c r="E51" s="133"/>
      <c r="F51" s="133">
        <v>39630</v>
      </c>
      <c r="G51" s="133"/>
    </row>
    <row r="52" spans="1:7" ht="16.5">
      <c r="A52" s="124" t="s">
        <v>327</v>
      </c>
      <c r="B52" s="124" t="s">
        <v>1307</v>
      </c>
      <c r="C52" s="127" t="b">
        <v>0</v>
      </c>
      <c r="D52" s="128"/>
      <c r="E52" s="128"/>
      <c r="F52" s="128"/>
      <c r="G52" s="128"/>
    </row>
    <row r="53" spans="1:7" ht="16.5">
      <c r="A53" s="125" t="s">
        <v>327</v>
      </c>
      <c r="B53" s="125" t="s">
        <v>1308</v>
      </c>
      <c r="C53" s="132" t="b">
        <v>0</v>
      </c>
      <c r="D53" s="133"/>
      <c r="E53" s="133"/>
      <c r="F53" s="133"/>
      <c r="G53" s="133"/>
    </row>
    <row r="54" spans="1:7" ht="16.5">
      <c r="A54" s="124" t="s">
        <v>330</v>
      </c>
      <c r="B54" s="124" t="s">
        <v>1309</v>
      </c>
      <c r="C54" s="127" t="b">
        <v>0</v>
      </c>
      <c r="D54" s="128"/>
      <c r="E54" s="128"/>
      <c r="F54" s="128"/>
      <c r="G54" s="128"/>
    </row>
    <row r="55" spans="1:7" ht="16.5">
      <c r="A55" s="125" t="s">
        <v>330</v>
      </c>
      <c r="B55" s="125" t="s">
        <v>1310</v>
      </c>
      <c r="C55" s="132" t="b">
        <v>0</v>
      </c>
      <c r="D55" s="133"/>
      <c r="E55" s="133"/>
      <c r="F55" s="133"/>
      <c r="G55" s="133">
        <v>34005</v>
      </c>
    </row>
    <row r="56" spans="1:7" ht="16.5">
      <c r="A56" s="124" t="s">
        <v>330</v>
      </c>
      <c r="B56" s="124" t="s">
        <v>1311</v>
      </c>
      <c r="C56" s="127" t="b">
        <v>0</v>
      </c>
      <c r="D56" s="128"/>
      <c r="E56" s="128"/>
      <c r="F56" s="128">
        <v>34005</v>
      </c>
      <c r="G56" s="128"/>
    </row>
    <row r="57" spans="1:7" ht="16.5">
      <c r="A57" s="125" t="s">
        <v>338</v>
      </c>
      <c r="B57" s="125" t="s">
        <v>1312</v>
      </c>
      <c r="C57" s="132" t="b">
        <v>0</v>
      </c>
      <c r="D57" s="133"/>
      <c r="E57" s="133"/>
      <c r="F57" s="133"/>
      <c r="G57" s="133"/>
    </row>
    <row r="58" spans="1:7" ht="16.5">
      <c r="A58" s="124" t="s">
        <v>338</v>
      </c>
      <c r="B58" s="124" t="s">
        <v>1313</v>
      </c>
      <c r="C58" s="127" t="b">
        <v>0</v>
      </c>
      <c r="D58" s="128"/>
      <c r="E58" s="128"/>
      <c r="F58" s="128"/>
      <c r="G58" s="128"/>
    </row>
    <row r="59" spans="1:7" ht="16.5">
      <c r="A59" s="125" t="s">
        <v>341</v>
      </c>
      <c r="B59" s="125" t="s">
        <v>1314</v>
      </c>
      <c r="C59" s="132" t="b">
        <v>0</v>
      </c>
      <c r="D59" s="133"/>
      <c r="E59" s="133"/>
      <c r="F59" s="133"/>
      <c r="G59" s="133"/>
    </row>
    <row r="60" spans="1:7" ht="16.5">
      <c r="A60" s="124" t="s">
        <v>341</v>
      </c>
      <c r="B60" s="124" t="s">
        <v>1315</v>
      </c>
      <c r="C60" s="127" t="b">
        <v>0</v>
      </c>
      <c r="D60" s="128"/>
      <c r="E60" s="128"/>
      <c r="F60" s="128"/>
      <c r="G60" s="128"/>
    </row>
    <row r="61" spans="1:7" ht="16.5">
      <c r="A61" s="125" t="s">
        <v>341</v>
      </c>
      <c r="B61" s="125" t="s">
        <v>1316</v>
      </c>
      <c r="C61" s="132" t="b">
        <v>1</v>
      </c>
      <c r="D61" s="133"/>
      <c r="E61" s="133"/>
      <c r="F61" s="133"/>
      <c r="G61" s="133"/>
    </row>
    <row r="62" spans="1:7" ht="16.5">
      <c r="A62" s="124" t="s">
        <v>348</v>
      </c>
      <c r="B62" s="124" t="s">
        <v>1317</v>
      </c>
      <c r="C62" s="127" t="b">
        <v>0</v>
      </c>
      <c r="D62" s="128"/>
      <c r="E62" s="128"/>
      <c r="F62" s="128"/>
      <c r="G62" s="128"/>
    </row>
    <row r="63" spans="1:7" ht="16.5">
      <c r="A63" s="125" t="s">
        <v>348</v>
      </c>
      <c r="B63" s="125" t="s">
        <v>1318</v>
      </c>
      <c r="C63" s="132" t="b">
        <v>0</v>
      </c>
      <c r="D63" s="133"/>
      <c r="E63" s="133"/>
      <c r="F63" s="133"/>
      <c r="G63" s="133"/>
    </row>
    <row r="64" spans="1:7" ht="16.5">
      <c r="A64" s="124" t="s">
        <v>348</v>
      </c>
      <c r="B64" s="124" t="s">
        <v>1319</v>
      </c>
      <c r="C64" s="127" t="b">
        <v>1</v>
      </c>
      <c r="D64" s="128"/>
      <c r="E64" s="128"/>
      <c r="F64" s="128"/>
      <c r="G64" s="128"/>
    </row>
    <row r="65" spans="1:7" ht="16.5">
      <c r="A65" s="125" t="s">
        <v>351</v>
      </c>
      <c r="B65" s="125" t="s">
        <v>1320</v>
      </c>
      <c r="C65" s="132" t="b">
        <v>0</v>
      </c>
      <c r="D65" s="133"/>
      <c r="E65" s="133"/>
      <c r="F65" s="133"/>
      <c r="G65" s="133"/>
    </row>
    <row r="66" spans="1:7" ht="16.5">
      <c r="A66" s="124" t="s">
        <v>351</v>
      </c>
      <c r="B66" s="124" t="s">
        <v>1321</v>
      </c>
      <c r="C66" s="127" t="b">
        <v>0</v>
      </c>
      <c r="D66" s="128"/>
      <c r="E66" s="128"/>
      <c r="F66" s="128"/>
      <c r="G66" s="128"/>
    </row>
    <row r="67" spans="1:7" ht="16.5">
      <c r="A67" s="125" t="s">
        <v>355</v>
      </c>
      <c r="B67" s="125" t="s">
        <v>1322</v>
      </c>
      <c r="C67" s="132" t="b">
        <v>0</v>
      </c>
      <c r="D67" s="133"/>
      <c r="E67" s="133"/>
      <c r="F67" s="133"/>
      <c r="G67" s="133"/>
    </row>
    <row r="68" spans="1:7" ht="16.5">
      <c r="A68" s="124" t="s">
        <v>355</v>
      </c>
      <c r="B68" s="124" t="s">
        <v>1323</v>
      </c>
      <c r="C68" s="127" t="b">
        <v>0</v>
      </c>
      <c r="D68" s="128"/>
      <c r="E68" s="128"/>
      <c r="F68" s="128"/>
      <c r="G68" s="128"/>
    </row>
    <row r="69" spans="1:7" ht="16.5">
      <c r="A69" s="125" t="s">
        <v>362</v>
      </c>
      <c r="B69" s="125" t="s">
        <v>1324</v>
      </c>
      <c r="C69" s="132" t="b">
        <v>0</v>
      </c>
      <c r="D69" s="133"/>
      <c r="E69" s="133"/>
      <c r="F69" s="133"/>
      <c r="G69" s="133"/>
    </row>
    <row r="70" spans="1:7" ht="16.5">
      <c r="A70" s="124" t="s">
        <v>362</v>
      </c>
      <c r="B70" s="124" t="s">
        <v>1325</v>
      </c>
      <c r="C70" s="127" t="b">
        <v>0</v>
      </c>
      <c r="D70" s="128"/>
      <c r="E70" s="128"/>
      <c r="F70" s="128"/>
      <c r="G70" s="128"/>
    </row>
    <row r="71" spans="1:7" ht="16.5">
      <c r="A71" s="125" t="s">
        <v>366</v>
      </c>
      <c r="B71" s="125" t="s">
        <v>1326</v>
      </c>
      <c r="C71" s="132" t="b">
        <v>0</v>
      </c>
      <c r="D71" s="133"/>
      <c r="E71" s="133"/>
      <c r="F71" s="133"/>
      <c r="G71" s="133"/>
    </row>
    <row r="72" spans="1:7" ht="16.5">
      <c r="A72" s="124" t="s">
        <v>366</v>
      </c>
      <c r="B72" s="124" t="s">
        <v>1327</v>
      </c>
      <c r="C72" s="127" t="b">
        <v>0</v>
      </c>
      <c r="D72" s="128"/>
      <c r="E72" s="128"/>
      <c r="F72" s="128"/>
      <c r="G72" s="128"/>
    </row>
    <row r="73" spans="1:7" ht="16.5">
      <c r="A73" s="125" t="s">
        <v>370</v>
      </c>
      <c r="B73" s="125" t="s">
        <v>1328</v>
      </c>
      <c r="C73" s="132" t="b">
        <v>0</v>
      </c>
      <c r="D73" s="133"/>
      <c r="E73" s="133"/>
      <c r="F73" s="133"/>
      <c r="G73" s="133"/>
    </row>
    <row r="74" spans="1:7" ht="16.5">
      <c r="A74" s="124" t="s">
        <v>370</v>
      </c>
      <c r="B74" s="124" t="s">
        <v>1329</v>
      </c>
      <c r="C74" s="127" t="b">
        <v>0</v>
      </c>
      <c r="D74" s="128"/>
      <c r="E74" s="128"/>
      <c r="F74" s="128"/>
      <c r="G74" s="128"/>
    </row>
    <row r="75" spans="1:7" ht="16.5">
      <c r="A75" s="125" t="s">
        <v>373</v>
      </c>
      <c r="B75" s="125" t="s">
        <v>1330</v>
      </c>
      <c r="C75" s="132" t="b">
        <v>0</v>
      </c>
      <c r="D75" s="133"/>
      <c r="E75" s="133"/>
      <c r="F75" s="133"/>
      <c r="G75" s="133"/>
    </row>
    <row r="76" spans="1:7" ht="16.5">
      <c r="A76" s="124" t="s">
        <v>373</v>
      </c>
      <c r="B76" s="124" t="s">
        <v>1331</v>
      </c>
      <c r="C76" s="127" t="b">
        <v>0</v>
      </c>
      <c r="D76" s="128"/>
      <c r="E76" s="128"/>
      <c r="F76" s="128"/>
      <c r="G76" s="128">
        <v>36678</v>
      </c>
    </row>
    <row r="77" spans="1:7" ht="16.5">
      <c r="A77" s="125" t="s">
        <v>373</v>
      </c>
      <c r="B77" s="125" t="s">
        <v>1332</v>
      </c>
      <c r="C77" s="132" t="b">
        <v>0</v>
      </c>
      <c r="D77" s="133"/>
      <c r="E77" s="133"/>
      <c r="F77" s="133">
        <v>36678</v>
      </c>
      <c r="G77" s="133"/>
    </row>
    <row r="78" spans="1:7" ht="16.5">
      <c r="A78" s="124" t="s">
        <v>377</v>
      </c>
      <c r="B78" s="124" t="s">
        <v>1333</v>
      </c>
      <c r="C78" s="127" t="b">
        <v>0</v>
      </c>
      <c r="D78" s="128"/>
      <c r="E78" s="128"/>
      <c r="F78" s="128"/>
      <c r="G78" s="128"/>
    </row>
    <row r="79" spans="1:7" ht="16.5">
      <c r="A79" s="125" t="s">
        <v>377</v>
      </c>
      <c r="B79" s="125" t="s">
        <v>1334</v>
      </c>
      <c r="C79" s="132" t="b">
        <v>0</v>
      </c>
      <c r="D79" s="133"/>
      <c r="E79" s="133"/>
      <c r="F79" s="133"/>
      <c r="G79" s="133"/>
    </row>
    <row r="80" spans="1:7" ht="16.5">
      <c r="A80" s="124" t="s">
        <v>384</v>
      </c>
      <c r="B80" s="124" t="s">
        <v>1335</v>
      </c>
      <c r="C80" s="127" t="b">
        <v>0</v>
      </c>
      <c r="D80" s="128"/>
      <c r="E80" s="128"/>
      <c r="F80" s="128"/>
      <c r="G80" s="128"/>
    </row>
    <row r="81" spans="1:7" ht="16.5">
      <c r="A81" s="125" t="s">
        <v>384</v>
      </c>
      <c r="B81" s="125" t="s">
        <v>1336</v>
      </c>
      <c r="C81" s="132" t="b">
        <v>0</v>
      </c>
      <c r="D81" s="133"/>
      <c r="E81" s="133"/>
      <c r="F81" s="133"/>
      <c r="G81" s="133">
        <v>40023</v>
      </c>
    </row>
    <row r="82" spans="1:7" ht="16.5">
      <c r="A82" s="124" t="s">
        <v>384</v>
      </c>
      <c r="B82" s="124" t="s">
        <v>1337</v>
      </c>
      <c r="C82" s="127" t="b">
        <v>0</v>
      </c>
      <c r="D82" s="128"/>
      <c r="E82" s="128"/>
      <c r="F82" s="128">
        <v>40023</v>
      </c>
      <c r="G82" s="128"/>
    </row>
    <row r="83" spans="1:7" ht="16.5">
      <c r="A83" s="125" t="s">
        <v>388</v>
      </c>
      <c r="B83" s="125" t="s">
        <v>1338</v>
      </c>
      <c r="C83" s="132" t="b">
        <v>0</v>
      </c>
      <c r="D83" s="133"/>
      <c r="E83" s="133"/>
      <c r="F83" s="133"/>
      <c r="G83" s="133"/>
    </row>
    <row r="84" spans="1:7" ht="16.5">
      <c r="A84" s="124" t="s">
        <v>388</v>
      </c>
      <c r="B84" s="124" t="s">
        <v>1339</v>
      </c>
      <c r="C84" s="127" t="b">
        <v>0</v>
      </c>
      <c r="D84" s="128"/>
      <c r="E84" s="128"/>
      <c r="F84" s="128"/>
      <c r="G84" s="128">
        <v>42248</v>
      </c>
    </row>
    <row r="85" spans="1:7" ht="16.5">
      <c r="A85" s="125" t="s">
        <v>388</v>
      </c>
      <c r="B85" s="125" t="s">
        <v>1340</v>
      </c>
      <c r="C85" s="132" t="b">
        <v>0</v>
      </c>
      <c r="D85" s="133"/>
      <c r="E85" s="133"/>
      <c r="F85" s="133">
        <v>42248</v>
      </c>
      <c r="G85" s="133"/>
    </row>
    <row r="86" spans="1:7" ht="16.5">
      <c r="A86" s="124" t="s">
        <v>388</v>
      </c>
      <c r="B86" s="124" t="s">
        <v>1341</v>
      </c>
      <c r="C86" s="127" t="b">
        <v>1</v>
      </c>
      <c r="D86" s="128"/>
      <c r="E86" s="128"/>
      <c r="F86" s="128"/>
      <c r="G86" s="128"/>
    </row>
    <row r="87" spans="1:7" ht="16.5">
      <c r="A87" s="125" t="s">
        <v>388</v>
      </c>
      <c r="B87" s="125" t="s">
        <v>1342</v>
      </c>
      <c r="C87" s="132" t="b">
        <v>1</v>
      </c>
      <c r="D87" s="133"/>
      <c r="E87" s="133"/>
      <c r="F87" s="133"/>
      <c r="G87" s="133"/>
    </row>
    <row r="88" spans="1:7" ht="16.5">
      <c r="A88" s="124" t="s">
        <v>388</v>
      </c>
      <c r="B88" s="124" t="s">
        <v>1343</v>
      </c>
      <c r="C88" s="127" t="b">
        <v>1</v>
      </c>
      <c r="D88" s="128"/>
      <c r="E88" s="128"/>
      <c r="F88" s="128"/>
      <c r="G88" s="128"/>
    </row>
    <row r="89" spans="1:7" ht="16.5">
      <c r="A89" s="125" t="s">
        <v>393</v>
      </c>
      <c r="B89" s="125" t="s">
        <v>1344</v>
      </c>
      <c r="C89" s="132" t="b">
        <v>0</v>
      </c>
      <c r="D89" s="133"/>
      <c r="E89" s="133"/>
      <c r="F89" s="133"/>
      <c r="G89" s="133"/>
    </row>
    <row r="90" spans="1:7" ht="16.5">
      <c r="A90" s="124" t="s">
        <v>393</v>
      </c>
      <c r="B90" s="124" t="s">
        <v>1345</v>
      </c>
      <c r="C90" s="127" t="b">
        <v>0</v>
      </c>
      <c r="D90" s="128"/>
      <c r="E90" s="128"/>
      <c r="F90" s="128"/>
      <c r="G90" s="128"/>
    </row>
    <row r="91" spans="1:7" ht="16.5">
      <c r="A91" s="125" t="s">
        <v>397</v>
      </c>
      <c r="B91" s="125" t="s">
        <v>1262</v>
      </c>
      <c r="C91" s="132" t="b">
        <v>0</v>
      </c>
      <c r="D91" s="133"/>
      <c r="E91" s="133"/>
      <c r="F91" s="133"/>
      <c r="G91" s="133"/>
    </row>
    <row r="92" spans="1:7" ht="16.5">
      <c r="A92" s="124" t="s">
        <v>397</v>
      </c>
      <c r="B92" s="124" t="s">
        <v>1346</v>
      </c>
      <c r="C92" s="127" t="b">
        <v>0</v>
      </c>
      <c r="D92" s="128"/>
      <c r="E92" s="128"/>
      <c r="F92" s="128"/>
      <c r="G92" s="128"/>
    </row>
    <row r="93" spans="1:7" ht="16.5">
      <c r="A93" s="125" t="s">
        <v>399</v>
      </c>
      <c r="B93" s="125" t="s">
        <v>1347</v>
      </c>
      <c r="C93" s="132" t="b">
        <v>0</v>
      </c>
      <c r="D93" s="133"/>
      <c r="E93" s="133"/>
      <c r="F93" s="133"/>
      <c r="G93" s="133"/>
    </row>
    <row r="94" spans="1:7" ht="16.5">
      <c r="A94" s="124" t="s">
        <v>399</v>
      </c>
      <c r="B94" s="124" t="s">
        <v>1348</v>
      </c>
      <c r="C94" s="127" t="b">
        <v>0</v>
      </c>
      <c r="D94" s="128"/>
      <c r="E94" s="128"/>
      <c r="F94" s="128"/>
      <c r="G94" s="128"/>
    </row>
    <row r="95" spans="1:7" ht="16.5">
      <c r="A95" s="125" t="s">
        <v>412</v>
      </c>
      <c r="B95" s="125" t="s">
        <v>1349</v>
      </c>
      <c r="C95" s="132" t="b">
        <v>0</v>
      </c>
      <c r="D95" s="133"/>
      <c r="E95" s="133"/>
      <c r="F95" s="133"/>
      <c r="G95" s="133"/>
    </row>
    <row r="96" spans="1:7" ht="16.5">
      <c r="A96" s="124" t="s">
        <v>412</v>
      </c>
      <c r="B96" s="124" t="s">
        <v>1350</v>
      </c>
      <c r="C96" s="127" t="b">
        <v>0</v>
      </c>
      <c r="D96" s="128"/>
      <c r="E96" s="128"/>
      <c r="F96" s="128"/>
      <c r="G96" s="128"/>
    </row>
    <row r="97" spans="1:7" ht="16.5">
      <c r="A97" s="125" t="s">
        <v>412</v>
      </c>
      <c r="B97" s="125" t="s">
        <v>1351</v>
      </c>
      <c r="C97" s="132" t="b">
        <v>1</v>
      </c>
      <c r="D97" s="133"/>
      <c r="E97" s="133"/>
      <c r="F97" s="133"/>
      <c r="G97" s="133"/>
    </row>
    <row r="98" spans="1:7" ht="16.5">
      <c r="A98" s="124" t="s">
        <v>416</v>
      </c>
      <c r="B98" s="124" t="s">
        <v>1352</v>
      </c>
      <c r="C98" s="127" t="b">
        <v>0</v>
      </c>
      <c r="D98" s="128"/>
      <c r="E98" s="128"/>
      <c r="F98" s="128"/>
      <c r="G98" s="128"/>
    </row>
    <row r="99" spans="1:7" ht="16.5">
      <c r="A99" s="125" t="s">
        <v>416</v>
      </c>
      <c r="B99" s="125" t="s">
        <v>1353</v>
      </c>
      <c r="C99" s="132" t="b">
        <v>0</v>
      </c>
      <c r="D99" s="133"/>
      <c r="E99" s="133"/>
      <c r="F99" s="133"/>
      <c r="G99" s="133"/>
    </row>
    <row r="100" spans="1:7" ht="16.5">
      <c r="A100" s="124" t="s">
        <v>416</v>
      </c>
      <c r="B100" s="124" t="s">
        <v>1354</v>
      </c>
      <c r="C100" s="127" t="b">
        <v>1</v>
      </c>
      <c r="D100" s="128"/>
      <c r="E100" s="128"/>
      <c r="F100" s="128"/>
      <c r="G100" s="128"/>
    </row>
    <row r="101" spans="1:7" ht="16.5">
      <c r="A101" s="125" t="s">
        <v>428</v>
      </c>
      <c r="B101" s="125" t="s">
        <v>1355</v>
      </c>
      <c r="C101" s="132" t="b">
        <v>0</v>
      </c>
      <c r="D101" s="133"/>
      <c r="E101" s="133"/>
      <c r="F101" s="133"/>
      <c r="G101" s="133"/>
    </row>
    <row r="102" spans="1:7" ht="16.5">
      <c r="A102" s="124" t="s">
        <v>428</v>
      </c>
      <c r="B102" s="124" t="s">
        <v>1356</v>
      </c>
      <c r="C102" s="127" t="b">
        <v>0</v>
      </c>
      <c r="D102" s="128"/>
      <c r="E102" s="128"/>
      <c r="F102" s="128"/>
      <c r="G102" s="128">
        <v>38589</v>
      </c>
    </row>
    <row r="103" spans="1:7" ht="16.5">
      <c r="A103" s="125" t="s">
        <v>428</v>
      </c>
      <c r="B103" s="125" t="s">
        <v>1357</v>
      </c>
      <c r="C103" s="132" t="b">
        <v>0</v>
      </c>
      <c r="D103" s="133"/>
      <c r="E103" s="133"/>
      <c r="F103" s="133">
        <v>38589</v>
      </c>
      <c r="G103" s="133"/>
    </row>
    <row r="104" spans="1:7" ht="16.5">
      <c r="A104" s="124" t="s">
        <v>431</v>
      </c>
      <c r="B104" s="124" t="s">
        <v>1358</v>
      </c>
      <c r="C104" s="127" t="b">
        <v>0</v>
      </c>
      <c r="D104" s="128"/>
      <c r="E104" s="128"/>
      <c r="F104" s="128"/>
      <c r="G104" s="128"/>
    </row>
    <row r="105" spans="1:7" ht="16.5">
      <c r="A105" s="125" t="s">
        <v>431</v>
      </c>
      <c r="B105" s="125" t="s">
        <v>1359</v>
      </c>
      <c r="C105" s="132" t="b">
        <v>0</v>
      </c>
      <c r="D105" s="133"/>
      <c r="E105" s="133"/>
      <c r="F105" s="133"/>
      <c r="G105" s="133"/>
    </row>
    <row r="106" spans="1:7" ht="16.5">
      <c r="A106" s="124" t="s">
        <v>437</v>
      </c>
      <c r="B106" s="124" t="s">
        <v>1360</v>
      </c>
      <c r="C106" s="127" t="b">
        <v>0</v>
      </c>
      <c r="D106" s="128"/>
      <c r="E106" s="128"/>
      <c r="F106" s="128"/>
      <c r="G106" s="128"/>
    </row>
    <row r="107" spans="1:7" ht="16.5">
      <c r="A107" s="125" t="s">
        <v>437</v>
      </c>
      <c r="B107" s="125" t="s">
        <v>1361</v>
      </c>
      <c r="C107" s="132" t="b">
        <v>0</v>
      </c>
      <c r="D107" s="133"/>
      <c r="E107" s="133"/>
      <c r="F107" s="133"/>
      <c r="G107" s="133">
        <v>33584</v>
      </c>
    </row>
    <row r="108" spans="1:7" ht="16.5">
      <c r="A108" s="124" t="s">
        <v>437</v>
      </c>
      <c r="B108" s="124" t="s">
        <v>1362</v>
      </c>
      <c r="C108" s="127" t="b">
        <v>0</v>
      </c>
      <c r="D108" s="128"/>
      <c r="E108" s="128"/>
      <c r="F108" s="128">
        <v>33584</v>
      </c>
      <c r="G108" s="128"/>
    </row>
    <row r="109" spans="1:7" ht="16.5">
      <c r="A109" s="125" t="s">
        <v>441</v>
      </c>
      <c r="B109" s="125" t="s">
        <v>1262</v>
      </c>
      <c r="C109" s="132" t="b">
        <v>0</v>
      </c>
      <c r="D109" s="133"/>
      <c r="E109" s="133"/>
      <c r="F109" s="133"/>
      <c r="G109" s="133"/>
    </row>
    <row r="110" spans="1:7" ht="16.5">
      <c r="A110" s="124" t="s">
        <v>441</v>
      </c>
      <c r="B110" s="124" t="s">
        <v>1363</v>
      </c>
      <c r="C110" s="127" t="b">
        <v>0</v>
      </c>
      <c r="D110" s="128"/>
      <c r="E110" s="128"/>
      <c r="F110" s="128"/>
      <c r="G110" s="128"/>
    </row>
    <row r="111" spans="1:7" ht="16.5">
      <c r="A111" s="125" t="s">
        <v>448</v>
      </c>
      <c r="B111" s="125" t="s">
        <v>1262</v>
      </c>
      <c r="C111" s="132" t="b">
        <v>0</v>
      </c>
      <c r="D111" s="133"/>
      <c r="E111" s="133"/>
      <c r="F111" s="133"/>
      <c r="G111" s="133"/>
    </row>
    <row r="112" spans="1:7" ht="16.5">
      <c r="A112" s="124" t="s">
        <v>448</v>
      </c>
      <c r="B112" s="124" t="s">
        <v>1364</v>
      </c>
      <c r="C112" s="127" t="b">
        <v>0</v>
      </c>
      <c r="D112" s="128"/>
      <c r="E112" s="128"/>
      <c r="F112" s="128"/>
      <c r="G112" s="128"/>
    </row>
    <row r="113" spans="1:7" ht="16.5">
      <c r="A113" s="125" t="s">
        <v>450</v>
      </c>
      <c r="B113" s="125" t="s">
        <v>1365</v>
      </c>
      <c r="C113" s="132" t="b">
        <v>0</v>
      </c>
      <c r="D113" s="133"/>
      <c r="E113" s="133"/>
      <c r="F113" s="133"/>
      <c r="G113" s="133"/>
    </row>
    <row r="114" spans="1:7" ht="16.5">
      <c r="A114" s="124" t="s">
        <v>450</v>
      </c>
      <c r="B114" s="124" t="s">
        <v>1366</v>
      </c>
      <c r="C114" s="127" t="b">
        <v>0</v>
      </c>
      <c r="D114" s="128"/>
      <c r="E114" s="128"/>
      <c r="F114" s="128"/>
      <c r="G114" s="128"/>
    </row>
    <row r="115" spans="1:7" ht="16.5">
      <c r="A115" s="125" t="s">
        <v>453</v>
      </c>
      <c r="B115" s="125" t="s">
        <v>1367</v>
      </c>
      <c r="C115" s="132" t="b">
        <v>0</v>
      </c>
      <c r="D115" s="133"/>
      <c r="E115" s="133"/>
      <c r="F115" s="133"/>
      <c r="G115" s="133"/>
    </row>
    <row r="116" spans="1:7" ht="16.5">
      <c r="A116" s="124" t="s">
        <v>453</v>
      </c>
      <c r="B116" s="124" t="s">
        <v>1368</v>
      </c>
      <c r="C116" s="127" t="b">
        <v>0</v>
      </c>
      <c r="D116" s="128"/>
      <c r="E116" s="128"/>
      <c r="F116" s="128"/>
      <c r="G116" s="128"/>
    </row>
    <row r="117" spans="1:7" ht="16.5">
      <c r="A117" s="125" t="s">
        <v>461</v>
      </c>
      <c r="B117" s="125" t="s">
        <v>1369</v>
      </c>
      <c r="C117" s="132" t="b">
        <v>0</v>
      </c>
      <c r="D117" s="133"/>
      <c r="E117" s="133"/>
      <c r="F117" s="133"/>
      <c r="G117" s="133"/>
    </row>
    <row r="118" spans="1:7" ht="16.5">
      <c r="A118" s="124" t="s">
        <v>461</v>
      </c>
      <c r="B118" s="124" t="s">
        <v>1370</v>
      </c>
      <c r="C118" s="127" t="b">
        <v>0</v>
      </c>
      <c r="D118" s="128"/>
      <c r="E118" s="128"/>
      <c r="F118" s="128"/>
      <c r="G118" s="128"/>
    </row>
    <row r="119" spans="1:7" ht="16.5">
      <c r="A119" s="125" t="s">
        <v>465</v>
      </c>
      <c r="B119" s="125" t="s">
        <v>1371</v>
      </c>
      <c r="C119" s="132" t="b">
        <v>0</v>
      </c>
      <c r="D119" s="133"/>
      <c r="E119" s="133"/>
      <c r="F119" s="133"/>
      <c r="G119" s="133"/>
    </row>
    <row r="120" spans="1:7" ht="16.5">
      <c r="A120" s="124" t="s">
        <v>465</v>
      </c>
      <c r="B120" s="124" t="s">
        <v>1372</v>
      </c>
      <c r="C120" s="127" t="b">
        <v>0</v>
      </c>
      <c r="D120" s="128"/>
      <c r="E120" s="128"/>
      <c r="F120" s="128"/>
      <c r="G120" s="128"/>
    </row>
    <row r="121" spans="1:7" ht="16.5">
      <c r="A121" s="125" t="s">
        <v>468</v>
      </c>
      <c r="B121" s="125" t="s">
        <v>1373</v>
      </c>
      <c r="C121" s="132" t="b">
        <v>0</v>
      </c>
      <c r="D121" s="133"/>
      <c r="E121" s="133"/>
      <c r="F121" s="133"/>
      <c r="G121" s="133"/>
    </row>
    <row r="122" spans="1:7" ht="16.5">
      <c r="A122" s="124" t="s">
        <v>468</v>
      </c>
      <c r="B122" s="124" t="s">
        <v>1374</v>
      </c>
      <c r="C122" s="127" t="b">
        <v>0</v>
      </c>
      <c r="D122" s="128"/>
      <c r="E122" s="128"/>
      <c r="F122" s="128"/>
      <c r="G122" s="128"/>
    </row>
    <row r="123" spans="1:7" ht="16.5">
      <c r="A123" s="125" t="s">
        <v>472</v>
      </c>
      <c r="B123" s="125" t="s">
        <v>1375</v>
      </c>
      <c r="C123" s="132" t="b">
        <v>0</v>
      </c>
      <c r="D123" s="133"/>
      <c r="E123" s="133"/>
      <c r="F123" s="133"/>
      <c r="G123" s="133"/>
    </row>
    <row r="124" spans="1:7" ht="16.5">
      <c r="A124" s="124" t="s">
        <v>472</v>
      </c>
      <c r="B124" s="124" t="s">
        <v>1376</v>
      </c>
      <c r="C124" s="127" t="b">
        <v>0</v>
      </c>
      <c r="D124" s="128"/>
      <c r="E124" s="128"/>
      <c r="F124" s="128"/>
      <c r="G124" s="128">
        <v>43994</v>
      </c>
    </row>
    <row r="125" spans="1:7" ht="16.5">
      <c r="A125" s="125" t="s">
        <v>472</v>
      </c>
      <c r="B125" s="125" t="s">
        <v>1377</v>
      </c>
      <c r="C125" s="132" t="b">
        <v>0</v>
      </c>
      <c r="D125" s="133"/>
      <c r="E125" s="133"/>
      <c r="F125" s="133">
        <v>43994</v>
      </c>
      <c r="G125" s="133"/>
    </row>
    <row r="126" spans="1:7" ht="16.5">
      <c r="A126" s="124" t="s">
        <v>476</v>
      </c>
      <c r="B126" s="124" t="s">
        <v>1378</v>
      </c>
      <c r="C126" s="127" t="b">
        <v>0</v>
      </c>
      <c r="D126" s="128"/>
      <c r="E126" s="128"/>
      <c r="F126" s="128"/>
      <c r="G126" s="128"/>
    </row>
    <row r="127" spans="1:7" ht="16.5">
      <c r="A127" s="125" t="s">
        <v>476</v>
      </c>
      <c r="B127" s="125" t="s">
        <v>1379</v>
      </c>
      <c r="C127" s="132" t="b">
        <v>0</v>
      </c>
      <c r="D127" s="133"/>
      <c r="E127" s="133"/>
      <c r="F127" s="133"/>
      <c r="G127" s="133"/>
    </row>
    <row r="128" spans="1:7" ht="16.5">
      <c r="A128" s="124" t="s">
        <v>479</v>
      </c>
      <c r="B128" s="124" t="s">
        <v>1262</v>
      </c>
      <c r="C128" s="127" t="b">
        <v>0</v>
      </c>
      <c r="D128" s="128"/>
      <c r="E128" s="128"/>
      <c r="F128" s="128"/>
      <c r="G128" s="128"/>
    </row>
    <row r="129" spans="1:7" ht="16.5">
      <c r="A129" s="125" t="s">
        <v>479</v>
      </c>
      <c r="B129" s="125" t="s">
        <v>1380</v>
      </c>
      <c r="C129" s="132" t="b">
        <v>0</v>
      </c>
      <c r="D129" s="133"/>
      <c r="E129" s="133"/>
      <c r="F129" s="133"/>
      <c r="G129" s="133"/>
    </row>
    <row r="130" spans="1:7" ht="16.5">
      <c r="A130" s="124" t="s">
        <v>482</v>
      </c>
      <c r="B130" s="124" t="s">
        <v>1381</v>
      </c>
      <c r="C130" s="127" t="b">
        <v>0</v>
      </c>
      <c r="D130" s="128"/>
      <c r="E130" s="128"/>
      <c r="F130" s="128"/>
      <c r="G130" s="128"/>
    </row>
    <row r="131" spans="1:7" ht="16.5">
      <c r="A131" s="125" t="s">
        <v>482</v>
      </c>
      <c r="B131" s="125" t="s">
        <v>1382</v>
      </c>
      <c r="C131" s="132" t="b">
        <v>0</v>
      </c>
      <c r="D131" s="133"/>
      <c r="E131" s="133"/>
      <c r="F131" s="133"/>
      <c r="G131" s="133"/>
    </row>
    <row r="132" spans="1:7" ht="16.5">
      <c r="A132" s="124" t="s">
        <v>487</v>
      </c>
      <c r="B132" s="124" t="s">
        <v>1383</v>
      </c>
      <c r="C132" s="127" t="b">
        <v>0</v>
      </c>
      <c r="D132" s="128"/>
      <c r="E132" s="128"/>
      <c r="F132" s="128"/>
      <c r="G132" s="128"/>
    </row>
    <row r="133" spans="1:7" ht="16.5">
      <c r="A133" s="125" t="s">
        <v>487</v>
      </c>
      <c r="B133" s="125" t="s">
        <v>1384</v>
      </c>
      <c r="C133" s="132" t="b">
        <v>0</v>
      </c>
      <c r="D133" s="133"/>
      <c r="E133" s="133"/>
      <c r="F133" s="133"/>
      <c r="G133" s="133">
        <v>43466</v>
      </c>
    </row>
    <row r="134" spans="1:7" ht="16.5">
      <c r="A134" s="124" t="s">
        <v>487</v>
      </c>
      <c r="B134" s="124" t="s">
        <v>1385</v>
      </c>
      <c r="C134" s="127" t="b">
        <v>0</v>
      </c>
      <c r="D134" s="128"/>
      <c r="E134" s="128"/>
      <c r="F134" s="128">
        <v>43466</v>
      </c>
      <c r="G134" s="128"/>
    </row>
    <row r="135" spans="1:7" ht="16.5">
      <c r="A135" s="125" t="s">
        <v>493</v>
      </c>
      <c r="B135" s="125" t="s">
        <v>1386</v>
      </c>
      <c r="C135" s="132" t="b">
        <v>0</v>
      </c>
      <c r="D135" s="133"/>
      <c r="E135" s="133"/>
      <c r="F135" s="133"/>
      <c r="G135" s="133"/>
    </row>
    <row r="136" spans="1:7" ht="16.5">
      <c r="A136" s="124" t="s">
        <v>493</v>
      </c>
      <c r="B136" s="124" t="s">
        <v>1387</v>
      </c>
      <c r="C136" s="127" t="b">
        <v>0</v>
      </c>
      <c r="D136" s="128"/>
      <c r="E136" s="128"/>
      <c r="F136" s="128"/>
      <c r="G136" s="128"/>
    </row>
    <row r="137" spans="1:7" ht="16.5">
      <c r="A137" s="125" t="s">
        <v>497</v>
      </c>
      <c r="B137" s="125" t="s">
        <v>1388</v>
      </c>
      <c r="C137" s="132" t="b">
        <v>0</v>
      </c>
      <c r="D137" s="133"/>
      <c r="E137" s="133"/>
      <c r="F137" s="133"/>
      <c r="G137" s="133"/>
    </row>
    <row r="138" spans="1:7" ht="16.5">
      <c r="A138" s="124" t="s">
        <v>497</v>
      </c>
      <c r="B138" s="124" t="s">
        <v>1389</v>
      </c>
      <c r="C138" s="127" t="b">
        <v>0</v>
      </c>
      <c r="D138" s="128"/>
      <c r="E138" s="128"/>
      <c r="F138" s="128"/>
      <c r="G138" s="128">
        <v>39846</v>
      </c>
    </row>
    <row r="139" spans="1:7" ht="16.5">
      <c r="A139" s="125" t="s">
        <v>497</v>
      </c>
      <c r="B139" s="125" t="s">
        <v>1390</v>
      </c>
      <c r="C139" s="132" t="b">
        <v>0</v>
      </c>
      <c r="D139" s="133"/>
      <c r="E139" s="133"/>
      <c r="F139" s="133">
        <v>39846</v>
      </c>
      <c r="G139" s="133"/>
    </row>
    <row r="140" spans="1:7" ht="16.5">
      <c r="A140" s="124" t="s">
        <v>500</v>
      </c>
      <c r="B140" s="124" t="s">
        <v>1391</v>
      </c>
      <c r="C140" s="127" t="b">
        <v>0</v>
      </c>
      <c r="D140" s="128"/>
      <c r="E140" s="128"/>
      <c r="F140" s="128"/>
      <c r="G140" s="128"/>
    </row>
    <row r="141" spans="1:7" ht="16.5">
      <c r="A141" s="125" t="s">
        <v>500</v>
      </c>
      <c r="B141" s="125" t="s">
        <v>1392</v>
      </c>
      <c r="C141" s="132" t="b">
        <v>0</v>
      </c>
      <c r="D141" s="133"/>
      <c r="E141" s="133"/>
      <c r="F141" s="133"/>
      <c r="G141" s="133"/>
    </row>
    <row r="142" spans="1:7" ht="16.5">
      <c r="A142" s="124" t="s">
        <v>505</v>
      </c>
      <c r="B142" s="124" t="s">
        <v>1393</v>
      </c>
      <c r="C142" s="127" t="b">
        <v>0</v>
      </c>
      <c r="D142" s="128"/>
      <c r="E142" s="128"/>
      <c r="F142" s="128"/>
      <c r="G142" s="128"/>
    </row>
    <row r="143" spans="1:7" ht="16.5">
      <c r="A143" s="125" t="s">
        <v>505</v>
      </c>
      <c r="B143" s="125" t="s">
        <v>1394</v>
      </c>
      <c r="C143" s="132" t="b">
        <v>0</v>
      </c>
      <c r="D143" s="133"/>
      <c r="E143" s="133"/>
      <c r="F143" s="133"/>
      <c r="G143" s="133"/>
    </row>
    <row r="144" spans="1:7" ht="16.5">
      <c r="A144" s="124" t="s">
        <v>510</v>
      </c>
      <c r="B144" s="124" t="s">
        <v>1395</v>
      </c>
      <c r="C144" s="127" t="b">
        <v>0</v>
      </c>
      <c r="D144" s="128"/>
      <c r="E144" s="128"/>
      <c r="F144" s="128"/>
      <c r="G144" s="128"/>
    </row>
    <row r="145" spans="1:7" ht="16.5">
      <c r="A145" s="125" t="s">
        <v>510</v>
      </c>
      <c r="B145" s="125" t="s">
        <v>1396</v>
      </c>
      <c r="C145" s="132" t="b">
        <v>0</v>
      </c>
      <c r="D145" s="133"/>
      <c r="E145" s="133"/>
      <c r="F145" s="133"/>
      <c r="G145" s="133"/>
    </row>
    <row r="146" spans="1:7" ht="16.5">
      <c r="A146" s="124" t="s">
        <v>514</v>
      </c>
      <c r="B146" s="124" t="s">
        <v>1397</v>
      </c>
      <c r="C146" s="127" t="b">
        <v>0</v>
      </c>
      <c r="D146" s="128"/>
      <c r="E146" s="128"/>
      <c r="F146" s="128"/>
      <c r="G146" s="128"/>
    </row>
    <row r="147" spans="1:7" ht="16.5">
      <c r="A147" s="125" t="s">
        <v>514</v>
      </c>
      <c r="B147" s="125" t="s">
        <v>1398</v>
      </c>
      <c r="C147" s="132" t="b">
        <v>0</v>
      </c>
      <c r="D147" s="133"/>
      <c r="E147" s="133"/>
      <c r="F147" s="133"/>
      <c r="G147" s="133"/>
    </row>
    <row r="148" spans="1:7" ht="16.5">
      <c r="A148" s="124" t="s">
        <v>526</v>
      </c>
      <c r="B148" s="124" t="s">
        <v>1399</v>
      </c>
      <c r="C148" s="127" t="b">
        <v>0</v>
      </c>
      <c r="D148" s="128"/>
      <c r="E148" s="128"/>
      <c r="F148" s="128"/>
      <c r="G148" s="128"/>
    </row>
    <row r="149" spans="1:7" ht="16.5">
      <c r="A149" s="125" t="s">
        <v>526</v>
      </c>
      <c r="B149" s="125" t="s">
        <v>1400</v>
      </c>
      <c r="C149" s="132" t="b">
        <v>0</v>
      </c>
      <c r="D149" s="133"/>
      <c r="E149" s="133"/>
      <c r="F149" s="133"/>
      <c r="G149" s="133">
        <v>43556</v>
      </c>
    </row>
    <row r="150" spans="1:7" ht="16.5">
      <c r="A150" s="124" t="s">
        <v>526</v>
      </c>
      <c r="B150" s="124" t="s">
        <v>1401</v>
      </c>
      <c r="C150" s="127" t="b">
        <v>0</v>
      </c>
      <c r="D150" s="128"/>
      <c r="E150" s="128"/>
      <c r="F150" s="128">
        <v>43556</v>
      </c>
      <c r="G150" s="128"/>
    </row>
    <row r="151" spans="1:7" ht="16.5">
      <c r="A151" s="125" t="s">
        <v>530</v>
      </c>
      <c r="B151" s="125" t="s">
        <v>1402</v>
      </c>
      <c r="C151" s="132" t="b">
        <v>0</v>
      </c>
      <c r="D151" s="133"/>
      <c r="E151" s="133"/>
      <c r="F151" s="133"/>
      <c r="G151" s="133"/>
    </row>
    <row r="152" spans="1:7" ht="16.5">
      <c r="A152" s="124" t="s">
        <v>530</v>
      </c>
      <c r="B152" s="124" t="s">
        <v>1403</v>
      </c>
      <c r="C152" s="127" t="b">
        <v>0</v>
      </c>
      <c r="D152" s="128"/>
      <c r="E152" s="128"/>
      <c r="F152" s="128"/>
      <c r="G152" s="128"/>
    </row>
    <row r="153" spans="1:7" ht="16.5">
      <c r="A153" s="125" t="s">
        <v>533</v>
      </c>
      <c r="B153" s="125" t="s">
        <v>1404</v>
      </c>
      <c r="C153" s="132" t="b">
        <v>0</v>
      </c>
      <c r="D153" s="133"/>
      <c r="E153" s="133"/>
      <c r="F153" s="133"/>
      <c r="G153" s="133"/>
    </row>
    <row r="154" spans="1:7" ht="16.5">
      <c r="A154" s="124" t="s">
        <v>533</v>
      </c>
      <c r="B154" s="124" t="s">
        <v>1405</v>
      </c>
      <c r="C154" s="127" t="b">
        <v>0</v>
      </c>
      <c r="D154" s="128"/>
      <c r="E154" s="128"/>
      <c r="F154" s="128"/>
      <c r="G154" s="128"/>
    </row>
    <row r="155" spans="1:7" ht="16.5">
      <c r="A155" s="125" t="s">
        <v>536</v>
      </c>
      <c r="B155" s="125" t="s">
        <v>1406</v>
      </c>
      <c r="C155" s="132" t="b">
        <v>0</v>
      </c>
      <c r="D155" s="133"/>
      <c r="E155" s="133"/>
      <c r="F155" s="133"/>
      <c r="G155" s="133"/>
    </row>
    <row r="156" spans="1:7" ht="16.5">
      <c r="A156" s="124" t="s">
        <v>536</v>
      </c>
      <c r="B156" s="124" t="s">
        <v>1407</v>
      </c>
      <c r="C156" s="127" t="b">
        <v>0</v>
      </c>
      <c r="D156" s="128"/>
      <c r="E156" s="128"/>
      <c r="F156" s="128"/>
      <c r="G156" s="128"/>
    </row>
    <row r="157" spans="1:7" ht="16.5">
      <c r="A157" s="125" t="s">
        <v>540</v>
      </c>
      <c r="B157" s="125" t="s">
        <v>1408</v>
      </c>
      <c r="C157" s="132" t="b">
        <v>0</v>
      </c>
      <c r="D157" s="133"/>
      <c r="E157" s="133"/>
      <c r="F157" s="133"/>
      <c r="G157" s="133"/>
    </row>
    <row r="158" spans="1:7" ht="16.5">
      <c r="A158" s="124" t="s">
        <v>540</v>
      </c>
      <c r="B158" s="124" t="s">
        <v>1409</v>
      </c>
      <c r="C158" s="127" t="b">
        <v>0</v>
      </c>
      <c r="D158" s="128"/>
      <c r="E158" s="128"/>
      <c r="F158" s="128"/>
      <c r="G158" s="128"/>
    </row>
    <row r="159" spans="1:7" ht="16.5">
      <c r="A159" s="125" t="s">
        <v>540</v>
      </c>
      <c r="B159" s="125" t="s">
        <v>1410</v>
      </c>
      <c r="C159" s="132" t="b">
        <v>1</v>
      </c>
      <c r="D159" s="133"/>
      <c r="E159" s="133"/>
      <c r="F159" s="133"/>
      <c r="G159" s="133"/>
    </row>
    <row r="160" spans="1:7" ht="16.5">
      <c r="A160" s="124" t="s">
        <v>544</v>
      </c>
      <c r="B160" s="124" t="s">
        <v>1411</v>
      </c>
      <c r="C160" s="127" t="b">
        <v>0</v>
      </c>
      <c r="D160" s="128"/>
      <c r="E160" s="128"/>
      <c r="F160" s="128"/>
      <c r="G160" s="128"/>
    </row>
    <row r="161" spans="1:7" ht="16.5">
      <c r="A161" s="125" t="s">
        <v>544</v>
      </c>
      <c r="B161" s="125" t="s">
        <v>1412</v>
      </c>
      <c r="C161" s="132" t="b">
        <v>0</v>
      </c>
      <c r="D161" s="133"/>
      <c r="E161" s="133"/>
      <c r="F161" s="133"/>
      <c r="G161" s="133">
        <v>43586</v>
      </c>
    </row>
    <row r="162" spans="1:7" ht="16.5">
      <c r="A162" s="124" t="s">
        <v>544</v>
      </c>
      <c r="B162" s="124" t="s">
        <v>1413</v>
      </c>
      <c r="C162" s="127" t="b">
        <v>0</v>
      </c>
      <c r="D162" s="128"/>
      <c r="E162" s="128"/>
      <c r="F162" s="128">
        <v>43586</v>
      </c>
      <c r="G162" s="128"/>
    </row>
    <row r="163" spans="1:7" ht="16.5">
      <c r="A163" s="125" t="s">
        <v>548</v>
      </c>
      <c r="B163" s="125" t="s">
        <v>1262</v>
      </c>
      <c r="C163" s="132" t="b">
        <v>0</v>
      </c>
      <c r="D163" s="133"/>
      <c r="E163" s="133"/>
      <c r="F163" s="133"/>
      <c r="G163" s="133"/>
    </row>
    <row r="164" spans="1:7" ht="16.5">
      <c r="A164" s="124" t="s">
        <v>548</v>
      </c>
      <c r="B164" s="124" t="s">
        <v>1414</v>
      </c>
      <c r="C164" s="127" t="b">
        <v>0</v>
      </c>
      <c r="D164" s="128"/>
      <c r="E164" s="128"/>
      <c r="F164" s="128"/>
      <c r="G164" s="128"/>
    </row>
    <row r="165" spans="1:7" ht="16.5">
      <c r="A165" s="125" t="s">
        <v>551</v>
      </c>
      <c r="B165" s="125" t="s">
        <v>1415</v>
      </c>
      <c r="C165" s="132" t="b">
        <v>0</v>
      </c>
      <c r="D165" s="133"/>
      <c r="E165" s="133"/>
      <c r="F165" s="133"/>
      <c r="G165" s="133"/>
    </row>
    <row r="166" spans="1:7" ht="16.5">
      <c r="A166" s="124" t="s">
        <v>551</v>
      </c>
      <c r="B166" s="124" t="s">
        <v>1416</v>
      </c>
      <c r="C166" s="127" t="b">
        <v>0</v>
      </c>
      <c r="D166" s="128"/>
      <c r="E166" s="128"/>
      <c r="F166" s="128"/>
      <c r="G166" s="128"/>
    </row>
    <row r="167" spans="1:7" ht="16.5">
      <c r="A167" s="125" t="s">
        <v>561</v>
      </c>
      <c r="B167" s="125" t="s">
        <v>1417</v>
      </c>
      <c r="C167" s="132" t="b">
        <v>0</v>
      </c>
      <c r="D167" s="133"/>
      <c r="E167" s="133"/>
      <c r="F167" s="133"/>
      <c r="G167" s="133"/>
    </row>
    <row r="168" spans="1:7" ht="16.5">
      <c r="A168" s="124" t="s">
        <v>561</v>
      </c>
      <c r="B168" s="124" t="s">
        <v>1418</v>
      </c>
      <c r="C168" s="127" t="b">
        <v>0</v>
      </c>
      <c r="D168" s="128"/>
      <c r="E168" s="128">
        <v>39174</v>
      </c>
      <c r="F168" s="128"/>
      <c r="G168" s="128"/>
    </row>
    <row r="169" spans="1:7" ht="16.5">
      <c r="A169" s="125" t="s">
        <v>561</v>
      </c>
      <c r="B169" s="125" t="s">
        <v>1419</v>
      </c>
      <c r="C169" s="132" t="b">
        <v>0</v>
      </c>
      <c r="D169" s="133">
        <v>39174</v>
      </c>
      <c r="E169" s="133"/>
      <c r="F169" s="133"/>
      <c r="G169" s="133"/>
    </row>
    <row r="170" spans="1:7" ht="16.5">
      <c r="A170" s="124" t="s">
        <v>568</v>
      </c>
      <c r="B170" s="124" t="s">
        <v>1420</v>
      </c>
      <c r="C170" s="127" t="b">
        <v>0</v>
      </c>
      <c r="D170" s="128"/>
      <c r="E170" s="128"/>
      <c r="F170" s="128"/>
      <c r="G170" s="128"/>
    </row>
    <row r="171" spans="1:7" ht="16.5">
      <c r="A171" s="125" t="s">
        <v>568</v>
      </c>
      <c r="B171" s="125" t="s">
        <v>1421</v>
      </c>
      <c r="C171" s="132" t="b">
        <v>0</v>
      </c>
      <c r="D171" s="133"/>
      <c r="E171" s="133"/>
      <c r="F171" s="133"/>
      <c r="G171" s="133"/>
    </row>
    <row r="172" spans="1:7" ht="16.5">
      <c r="A172" s="124" t="s">
        <v>570</v>
      </c>
      <c r="B172" s="124" t="s">
        <v>1422</v>
      </c>
      <c r="C172" s="127" t="b">
        <v>0</v>
      </c>
      <c r="D172" s="128"/>
      <c r="E172" s="128"/>
      <c r="F172" s="128"/>
      <c r="G172" s="128"/>
    </row>
    <row r="173" spans="1:7" ht="16.5">
      <c r="A173" s="125" t="s">
        <v>570</v>
      </c>
      <c r="B173" s="125" t="s">
        <v>1423</v>
      </c>
      <c r="C173" s="132" t="b">
        <v>0</v>
      </c>
      <c r="D173" s="133"/>
      <c r="E173" s="133"/>
      <c r="F173" s="133"/>
      <c r="G173" s="133"/>
    </row>
    <row r="174" spans="1:7" ht="16.5">
      <c r="A174" s="124" t="s">
        <v>573</v>
      </c>
      <c r="B174" s="124" t="s">
        <v>1262</v>
      </c>
      <c r="C174" s="127" t="b">
        <v>0</v>
      </c>
      <c r="D174" s="128"/>
      <c r="E174" s="128"/>
      <c r="F174" s="128"/>
      <c r="G174" s="128"/>
    </row>
    <row r="175" spans="1:7" ht="16.5">
      <c r="A175" s="125" t="s">
        <v>573</v>
      </c>
      <c r="B175" s="125" t="s">
        <v>1424</v>
      </c>
      <c r="C175" s="132" t="b">
        <v>0</v>
      </c>
      <c r="D175" s="133"/>
      <c r="E175" s="133"/>
      <c r="F175" s="133"/>
      <c r="G175" s="133"/>
    </row>
    <row r="176" spans="1:7" ht="16.5">
      <c r="A176" s="124" t="s">
        <v>575</v>
      </c>
      <c r="B176" s="124" t="s">
        <v>1425</v>
      </c>
      <c r="C176" s="127" t="b">
        <v>0</v>
      </c>
      <c r="D176" s="128"/>
      <c r="E176" s="128"/>
      <c r="F176" s="128"/>
      <c r="G176" s="128"/>
    </row>
    <row r="177" spans="1:7" ht="16.5">
      <c r="A177" s="125" t="s">
        <v>575</v>
      </c>
      <c r="B177" s="125" t="s">
        <v>1426</v>
      </c>
      <c r="C177" s="132" t="b">
        <v>0</v>
      </c>
      <c r="D177" s="133"/>
      <c r="E177" s="133"/>
      <c r="F177" s="133"/>
      <c r="G177" s="133">
        <v>43479</v>
      </c>
    </row>
    <row r="178" spans="1:7" ht="16.5">
      <c r="A178" s="124" t="s">
        <v>575</v>
      </c>
      <c r="B178" s="124" t="s">
        <v>1427</v>
      </c>
      <c r="C178" s="127" t="b">
        <v>0</v>
      </c>
      <c r="D178" s="128"/>
      <c r="E178" s="128"/>
      <c r="F178" s="128">
        <v>43479</v>
      </c>
      <c r="G178" s="128"/>
    </row>
    <row r="179" spans="1:7" ht="16.5">
      <c r="A179" s="125" t="s">
        <v>579</v>
      </c>
      <c r="B179" s="125" t="s">
        <v>1428</v>
      </c>
      <c r="C179" s="132" t="b">
        <v>0</v>
      </c>
      <c r="D179" s="133"/>
      <c r="E179" s="133"/>
      <c r="F179" s="133"/>
      <c r="G179" s="133"/>
    </row>
    <row r="180" spans="1:7" ht="16.5">
      <c r="A180" s="124" t="s">
        <v>579</v>
      </c>
      <c r="B180" s="124" t="s">
        <v>1429</v>
      </c>
      <c r="C180" s="127" t="b">
        <v>0</v>
      </c>
      <c r="D180" s="128"/>
      <c r="E180" s="128"/>
      <c r="F180" s="128"/>
      <c r="G180" s="128">
        <v>38015</v>
      </c>
    </row>
    <row r="181" spans="1:7" ht="16.5">
      <c r="A181" s="125" t="s">
        <v>579</v>
      </c>
      <c r="B181" s="125" t="s">
        <v>1430</v>
      </c>
      <c r="C181" s="132" t="b">
        <v>0</v>
      </c>
      <c r="D181" s="133"/>
      <c r="E181" s="133"/>
      <c r="F181" s="133">
        <v>38015</v>
      </c>
      <c r="G181" s="133"/>
    </row>
    <row r="182" spans="1:7" ht="16.5">
      <c r="A182" s="124" t="s">
        <v>582</v>
      </c>
      <c r="B182" s="124" t="s">
        <v>1431</v>
      </c>
      <c r="C182" s="127" t="b">
        <v>0</v>
      </c>
      <c r="D182" s="128"/>
      <c r="E182" s="128"/>
      <c r="F182" s="128"/>
      <c r="G182" s="128"/>
    </row>
    <row r="183" spans="1:7" ht="16.5">
      <c r="A183" s="125" t="s">
        <v>582</v>
      </c>
      <c r="B183" s="125" t="s">
        <v>1432</v>
      </c>
      <c r="C183" s="132" t="b">
        <v>0</v>
      </c>
      <c r="D183" s="133"/>
      <c r="E183" s="133"/>
      <c r="F183" s="133"/>
      <c r="G183" s="133"/>
    </row>
    <row r="184" spans="1:7" ht="16.5">
      <c r="A184" s="124" t="s">
        <v>585</v>
      </c>
      <c r="B184" s="124" t="s">
        <v>1433</v>
      </c>
      <c r="C184" s="127" t="b">
        <v>0</v>
      </c>
      <c r="D184" s="128"/>
      <c r="E184" s="128"/>
      <c r="F184" s="128"/>
      <c r="G184" s="128"/>
    </row>
    <row r="185" spans="1:7" ht="16.5">
      <c r="A185" s="125" t="s">
        <v>585</v>
      </c>
      <c r="B185" s="125" t="s">
        <v>1434</v>
      </c>
      <c r="C185" s="132" t="b">
        <v>0</v>
      </c>
      <c r="D185" s="133"/>
      <c r="E185" s="133"/>
      <c r="F185" s="133"/>
      <c r="G185" s="133"/>
    </row>
    <row r="186" spans="1:7" ht="16.5">
      <c r="A186" s="124" t="s">
        <v>591</v>
      </c>
      <c r="B186" s="124" t="s">
        <v>1435</v>
      </c>
      <c r="C186" s="127" t="b">
        <v>0</v>
      </c>
      <c r="D186" s="128"/>
      <c r="E186" s="128"/>
      <c r="F186" s="128"/>
      <c r="G186" s="128"/>
    </row>
    <row r="187" spans="1:7" ht="16.5">
      <c r="A187" s="125" t="s">
        <v>591</v>
      </c>
      <c r="B187" s="125" t="s">
        <v>1436</v>
      </c>
      <c r="C187" s="132" t="b">
        <v>0</v>
      </c>
      <c r="D187" s="133"/>
      <c r="E187" s="133"/>
      <c r="F187" s="133"/>
      <c r="G187" s="133">
        <v>41121</v>
      </c>
    </row>
    <row r="188" spans="1:7" ht="16.5">
      <c r="A188" s="124" t="s">
        <v>591</v>
      </c>
      <c r="B188" s="124" t="s">
        <v>1437</v>
      </c>
      <c r="C188" s="127" t="b">
        <v>0</v>
      </c>
      <c r="D188" s="128"/>
      <c r="E188" s="128"/>
      <c r="F188" s="128">
        <v>41121</v>
      </c>
      <c r="G188" s="128"/>
    </row>
    <row r="189" spans="1:7" ht="16.5">
      <c r="A189" s="125" t="s">
        <v>592</v>
      </c>
      <c r="B189" s="125" t="s">
        <v>1438</v>
      </c>
      <c r="C189" s="132" t="b">
        <v>0</v>
      </c>
      <c r="D189" s="133"/>
      <c r="E189" s="133"/>
      <c r="F189" s="133"/>
      <c r="G189" s="133"/>
    </row>
    <row r="190" spans="1:7" ht="16.5">
      <c r="A190" s="124" t="s">
        <v>592</v>
      </c>
      <c r="B190" s="124" t="s">
        <v>1439</v>
      </c>
      <c r="C190" s="127" t="b">
        <v>0</v>
      </c>
      <c r="D190" s="128"/>
      <c r="E190" s="128"/>
      <c r="F190" s="128"/>
      <c r="G190" s="128"/>
    </row>
    <row r="191" spans="1:7" ht="16.5">
      <c r="A191" s="125" t="s">
        <v>595</v>
      </c>
      <c r="B191" s="125" t="s">
        <v>1440</v>
      </c>
      <c r="C191" s="132" t="b">
        <v>0</v>
      </c>
      <c r="D191" s="133"/>
      <c r="E191" s="133"/>
      <c r="F191" s="133"/>
      <c r="G191" s="133"/>
    </row>
    <row r="192" spans="1:7" ht="16.5">
      <c r="A192" s="124" t="s">
        <v>595</v>
      </c>
      <c r="B192" s="124" t="s">
        <v>1441</v>
      </c>
      <c r="C192" s="127" t="b">
        <v>0</v>
      </c>
      <c r="D192" s="128"/>
      <c r="E192" s="128"/>
      <c r="F192" s="128"/>
      <c r="G192" s="128"/>
    </row>
    <row r="193" spans="1:7" ht="16.5">
      <c r="A193" s="125" t="s">
        <v>599</v>
      </c>
      <c r="B193" s="125" t="s">
        <v>1442</v>
      </c>
      <c r="C193" s="132" t="b">
        <v>0</v>
      </c>
      <c r="D193" s="133"/>
      <c r="E193" s="133"/>
      <c r="F193" s="133"/>
      <c r="G193" s="133"/>
    </row>
    <row r="194" spans="1:7" ht="16.5">
      <c r="A194" s="124" t="s">
        <v>599</v>
      </c>
      <c r="B194" s="124" t="s">
        <v>1443</v>
      </c>
      <c r="C194" s="127" t="b">
        <v>0</v>
      </c>
      <c r="D194" s="128"/>
      <c r="E194" s="128"/>
      <c r="F194" s="128"/>
      <c r="G194" s="128"/>
    </row>
    <row r="195" spans="1:7" ht="16.5">
      <c r="A195" s="125" t="s">
        <v>599</v>
      </c>
      <c r="B195" s="125" t="s">
        <v>1444</v>
      </c>
      <c r="C195" s="132" t="b">
        <v>1</v>
      </c>
      <c r="D195" s="133"/>
      <c r="E195" s="133"/>
      <c r="F195" s="133"/>
      <c r="G195" s="133">
        <v>34638</v>
      </c>
    </row>
    <row r="196" spans="1:7" ht="16.5">
      <c r="A196" s="124" t="s">
        <v>599</v>
      </c>
      <c r="B196" s="124" t="s">
        <v>1445</v>
      </c>
      <c r="C196" s="127" t="b">
        <v>1</v>
      </c>
      <c r="D196" s="128"/>
      <c r="E196" s="128"/>
      <c r="F196" s="128">
        <v>34638</v>
      </c>
      <c r="G196" s="128"/>
    </row>
    <row r="197" spans="1:7" ht="16.5">
      <c r="A197" s="125" t="s">
        <v>612</v>
      </c>
      <c r="B197" s="125" t="s">
        <v>1446</v>
      </c>
      <c r="C197" s="132" t="b">
        <v>0</v>
      </c>
      <c r="D197" s="133"/>
      <c r="E197" s="133"/>
      <c r="F197" s="133"/>
      <c r="G197" s="133"/>
    </row>
    <row r="198" spans="1:7" ht="16.5">
      <c r="A198" s="124" t="s">
        <v>612</v>
      </c>
      <c r="B198" s="124" t="s">
        <v>1447</v>
      </c>
      <c r="C198" s="127" t="b">
        <v>0</v>
      </c>
      <c r="D198" s="128"/>
      <c r="E198" s="128"/>
      <c r="F198" s="128"/>
      <c r="G198" s="128"/>
    </row>
    <row r="199" spans="1:7" ht="16.5">
      <c r="A199" s="125" t="s">
        <v>612</v>
      </c>
      <c r="B199" s="125" t="s">
        <v>1448</v>
      </c>
      <c r="C199" s="132" t="b">
        <v>1</v>
      </c>
      <c r="D199" s="133"/>
      <c r="E199" s="133"/>
      <c r="F199" s="133"/>
      <c r="G199" s="133"/>
    </row>
    <row r="200" spans="1:7" ht="16.5">
      <c r="A200" s="124" t="s">
        <v>617</v>
      </c>
      <c r="B200" s="124" t="s">
        <v>1449</v>
      </c>
      <c r="C200" s="127" t="b">
        <v>0</v>
      </c>
      <c r="D200" s="128"/>
      <c r="E200" s="128"/>
      <c r="F200" s="128"/>
      <c r="G200" s="128"/>
    </row>
    <row r="201" spans="1:7" ht="16.5">
      <c r="A201" s="125" t="s">
        <v>617</v>
      </c>
      <c r="B201" s="125" t="s">
        <v>1450</v>
      </c>
      <c r="C201" s="132" t="b">
        <v>0</v>
      </c>
      <c r="D201" s="133"/>
      <c r="E201" s="133"/>
      <c r="F201" s="133"/>
      <c r="G201" s="133"/>
    </row>
    <row r="202" spans="1:7" ht="16.5">
      <c r="A202" s="124" t="s">
        <v>622</v>
      </c>
      <c r="B202" s="124" t="s">
        <v>1262</v>
      </c>
      <c r="C202" s="127" t="b">
        <v>0</v>
      </c>
      <c r="D202" s="128"/>
      <c r="E202" s="128"/>
      <c r="F202" s="128"/>
      <c r="G202" s="128"/>
    </row>
    <row r="203" spans="1:7" ht="16.5">
      <c r="A203" s="125" t="s">
        <v>622</v>
      </c>
      <c r="B203" s="125" t="s">
        <v>1451</v>
      </c>
      <c r="C203" s="132" t="b">
        <v>0</v>
      </c>
      <c r="D203" s="133"/>
      <c r="E203" s="133"/>
      <c r="F203" s="133"/>
      <c r="G203" s="133"/>
    </row>
    <row r="204" spans="1:7" ht="16.5">
      <c r="A204" s="124" t="s">
        <v>630</v>
      </c>
      <c r="B204" s="124" t="s">
        <v>1452</v>
      </c>
      <c r="C204" s="127" t="b">
        <v>0</v>
      </c>
      <c r="D204" s="128"/>
      <c r="E204" s="128"/>
      <c r="F204" s="128"/>
      <c r="G204" s="128"/>
    </row>
    <row r="205" spans="1:7" ht="16.5">
      <c r="A205" s="125" t="s">
        <v>630</v>
      </c>
      <c r="B205" s="125" t="s">
        <v>1453</v>
      </c>
      <c r="C205" s="132" t="b">
        <v>0</v>
      </c>
      <c r="D205" s="133"/>
      <c r="E205" s="133"/>
      <c r="F205" s="133"/>
      <c r="G205" s="133"/>
    </row>
    <row r="206" spans="1:7" ht="16.5">
      <c r="A206" s="124" t="s">
        <v>635</v>
      </c>
      <c r="B206" s="124" t="s">
        <v>1454</v>
      </c>
      <c r="C206" s="127" t="b">
        <v>0</v>
      </c>
      <c r="D206" s="128"/>
      <c r="E206" s="128"/>
      <c r="F206" s="128"/>
      <c r="G206" s="128"/>
    </row>
    <row r="207" spans="1:7" ht="16.5">
      <c r="A207" s="125" t="s">
        <v>635</v>
      </c>
      <c r="B207" s="125" t="s">
        <v>1455</v>
      </c>
      <c r="C207" s="132" t="b">
        <v>0</v>
      </c>
      <c r="D207" s="133"/>
      <c r="E207" s="133"/>
      <c r="F207" s="133"/>
      <c r="G207" s="133">
        <v>37715</v>
      </c>
    </row>
    <row r="208" spans="1:7" ht="16.5">
      <c r="A208" s="124" t="s">
        <v>635</v>
      </c>
      <c r="B208" s="124" t="s">
        <v>1456</v>
      </c>
      <c r="C208" s="127" t="b">
        <v>0</v>
      </c>
      <c r="D208" s="128"/>
      <c r="E208" s="128"/>
      <c r="F208" s="128">
        <v>37715</v>
      </c>
      <c r="G208" s="128"/>
    </row>
    <row r="209" spans="1:7" ht="16.5">
      <c r="A209" s="125" t="s">
        <v>639</v>
      </c>
      <c r="B209" s="125" t="s">
        <v>1457</v>
      </c>
      <c r="C209" s="132" t="b">
        <v>0</v>
      </c>
      <c r="D209" s="133"/>
      <c r="E209" s="133"/>
      <c r="F209" s="133"/>
      <c r="G209" s="133"/>
    </row>
    <row r="210" spans="1:7" ht="16.5">
      <c r="A210" s="124" t="s">
        <v>639</v>
      </c>
      <c r="B210" s="124" t="s">
        <v>1458</v>
      </c>
      <c r="C210" s="127" t="b">
        <v>0</v>
      </c>
      <c r="D210" s="128"/>
      <c r="E210" s="128"/>
      <c r="F210" s="128"/>
      <c r="G210" s="128"/>
    </row>
    <row r="211" spans="1:7" ht="16.5">
      <c r="A211" s="125" t="s">
        <v>643</v>
      </c>
      <c r="B211" s="125" t="s">
        <v>1459</v>
      </c>
      <c r="C211" s="132" t="b">
        <v>0</v>
      </c>
      <c r="D211" s="133"/>
      <c r="E211" s="133"/>
      <c r="F211" s="133"/>
      <c r="G211" s="133"/>
    </row>
    <row r="212" spans="1:7" ht="16.5">
      <c r="A212" s="124" t="s">
        <v>643</v>
      </c>
      <c r="B212" s="124" t="s">
        <v>1460</v>
      </c>
      <c r="C212" s="127" t="b">
        <v>0</v>
      </c>
      <c r="D212" s="128"/>
      <c r="E212" s="128"/>
      <c r="F212" s="128"/>
      <c r="G212" s="128">
        <v>44075</v>
      </c>
    </row>
    <row r="213" spans="1:7" ht="16.5">
      <c r="A213" s="125" t="s">
        <v>643</v>
      </c>
      <c r="B213" s="125" t="s">
        <v>1461</v>
      </c>
      <c r="C213" s="132" t="b">
        <v>0</v>
      </c>
      <c r="D213" s="133"/>
      <c r="E213" s="133"/>
      <c r="F213" s="133">
        <v>44075</v>
      </c>
      <c r="G213" s="133"/>
    </row>
    <row r="214" spans="1:7" ht="16.5">
      <c r="A214" s="124" t="s">
        <v>648</v>
      </c>
      <c r="B214" s="124" t="s">
        <v>1262</v>
      </c>
      <c r="C214" s="127" t="b">
        <v>0</v>
      </c>
      <c r="D214" s="128"/>
      <c r="E214" s="128"/>
      <c r="F214" s="128"/>
      <c r="G214" s="128"/>
    </row>
    <row r="215" spans="1:7" ht="16.5">
      <c r="A215" s="125" t="s">
        <v>648</v>
      </c>
      <c r="B215" s="125" t="s">
        <v>1462</v>
      </c>
      <c r="C215" s="132" t="b">
        <v>0</v>
      </c>
      <c r="D215" s="133"/>
      <c r="E215" s="133"/>
      <c r="F215" s="133"/>
      <c r="G215" s="133"/>
    </row>
    <row r="216" spans="1:7" ht="16.5">
      <c r="A216" s="124" t="s">
        <v>650</v>
      </c>
      <c r="B216" s="124" t="s">
        <v>1262</v>
      </c>
      <c r="C216" s="127" t="b">
        <v>0</v>
      </c>
      <c r="D216" s="128"/>
      <c r="E216" s="128"/>
      <c r="F216" s="128"/>
      <c r="G216" s="128"/>
    </row>
    <row r="217" spans="1:7" ht="16.5">
      <c r="A217" s="125" t="s">
        <v>650</v>
      </c>
      <c r="B217" s="125" t="s">
        <v>1463</v>
      </c>
      <c r="C217" s="132" t="b">
        <v>0</v>
      </c>
      <c r="D217" s="133"/>
      <c r="E217" s="133"/>
      <c r="F217" s="133"/>
      <c r="G217" s="133"/>
    </row>
    <row r="218" spans="1:7" ht="16.5">
      <c r="A218" s="124" t="s">
        <v>652</v>
      </c>
      <c r="B218" s="124" t="s">
        <v>1464</v>
      </c>
      <c r="C218" s="127" t="b">
        <v>0</v>
      </c>
      <c r="D218" s="128"/>
      <c r="E218" s="128"/>
      <c r="F218" s="128"/>
      <c r="G218" s="128"/>
    </row>
    <row r="219" spans="1:7" ht="16.5">
      <c r="A219" s="125" t="s">
        <v>652</v>
      </c>
      <c r="B219" s="125" t="s">
        <v>1465</v>
      </c>
      <c r="C219" s="132" t="b">
        <v>0</v>
      </c>
      <c r="D219" s="133"/>
      <c r="E219" s="133"/>
      <c r="F219" s="133"/>
      <c r="G219" s="133">
        <v>37879</v>
      </c>
    </row>
    <row r="220" spans="1:7" ht="16.5">
      <c r="A220" s="124" t="s">
        <v>652</v>
      </c>
      <c r="B220" s="124" t="s">
        <v>1466</v>
      </c>
      <c r="C220" s="127" t="b">
        <v>0</v>
      </c>
      <c r="D220" s="128"/>
      <c r="E220" s="128"/>
      <c r="F220" s="128">
        <v>37879</v>
      </c>
      <c r="G220" s="128"/>
    </row>
    <row r="221" spans="1:7" ht="16.5">
      <c r="A221" s="125" t="s">
        <v>656</v>
      </c>
      <c r="B221" s="125" t="s">
        <v>1262</v>
      </c>
      <c r="C221" s="132" t="b">
        <v>0</v>
      </c>
      <c r="D221" s="133"/>
      <c r="E221" s="133"/>
      <c r="F221" s="133"/>
      <c r="G221" s="133"/>
    </row>
    <row r="222" spans="1:7" ht="16.5">
      <c r="A222" s="124" t="s">
        <v>656</v>
      </c>
      <c r="B222" s="124" t="s">
        <v>1467</v>
      </c>
      <c r="C222" s="127" t="b">
        <v>0</v>
      </c>
      <c r="D222" s="128"/>
      <c r="E222" s="128"/>
      <c r="F222" s="128"/>
      <c r="G222" s="128"/>
    </row>
    <row r="223" spans="1:7" ht="16.5">
      <c r="A223" s="125" t="s">
        <v>658</v>
      </c>
      <c r="B223" s="125" t="s">
        <v>1468</v>
      </c>
      <c r="C223" s="132" t="b">
        <v>0</v>
      </c>
      <c r="D223" s="133"/>
      <c r="E223" s="133"/>
      <c r="F223" s="133"/>
      <c r="G223" s="133"/>
    </row>
    <row r="224" spans="1:7" ht="16.5">
      <c r="A224" s="124" t="s">
        <v>658</v>
      </c>
      <c r="B224" s="124" t="s">
        <v>1469</v>
      </c>
      <c r="C224" s="127" t="b">
        <v>0</v>
      </c>
      <c r="D224" s="128"/>
      <c r="E224" s="128">
        <v>34060</v>
      </c>
      <c r="F224" s="128"/>
      <c r="G224" s="128"/>
    </row>
    <row r="225" spans="1:7" ht="16.5">
      <c r="A225" s="125" t="s">
        <v>658</v>
      </c>
      <c r="B225" s="125" t="s">
        <v>1470</v>
      </c>
      <c r="C225" s="132" t="b">
        <v>0</v>
      </c>
      <c r="D225" s="133">
        <v>34060</v>
      </c>
      <c r="E225" s="133"/>
      <c r="F225" s="133"/>
      <c r="G225" s="133"/>
    </row>
    <row r="226" spans="1:7" ht="16.5">
      <c r="A226" s="124" t="s">
        <v>662</v>
      </c>
      <c r="B226" s="124" t="s">
        <v>1262</v>
      </c>
      <c r="C226" s="127" t="b">
        <v>0</v>
      </c>
      <c r="D226" s="128"/>
      <c r="E226" s="128"/>
      <c r="F226" s="128"/>
      <c r="G226" s="128"/>
    </row>
    <row r="227" spans="1:7" ht="16.5">
      <c r="A227" s="125" t="s">
        <v>662</v>
      </c>
      <c r="B227" s="125" t="s">
        <v>1471</v>
      </c>
      <c r="C227" s="132" t="b">
        <v>0</v>
      </c>
      <c r="D227" s="133"/>
      <c r="E227" s="133"/>
      <c r="F227" s="133"/>
      <c r="G227" s="133"/>
    </row>
    <row r="228" spans="1:7" ht="16.5">
      <c r="A228" s="124" t="s">
        <v>664</v>
      </c>
      <c r="B228" s="124" t="s">
        <v>1472</v>
      </c>
      <c r="C228" s="127" t="b">
        <v>0</v>
      </c>
      <c r="D228" s="128"/>
      <c r="E228" s="128"/>
      <c r="F228" s="128"/>
      <c r="G228" s="128"/>
    </row>
    <row r="229" spans="1:7" ht="16.5">
      <c r="A229" s="125" t="s">
        <v>664</v>
      </c>
      <c r="B229" s="125" t="s">
        <v>1473</v>
      </c>
      <c r="C229" s="132" t="b">
        <v>0</v>
      </c>
      <c r="D229" s="133"/>
      <c r="E229" s="133"/>
      <c r="F229" s="133"/>
      <c r="G229" s="133"/>
    </row>
    <row r="230" spans="1:7" ht="16.5">
      <c r="A230" s="124" t="s">
        <v>668</v>
      </c>
      <c r="B230" s="124" t="s">
        <v>1474</v>
      </c>
      <c r="C230" s="127" t="b">
        <v>0</v>
      </c>
      <c r="D230" s="128"/>
      <c r="E230" s="128"/>
      <c r="F230" s="128"/>
      <c r="G230" s="128"/>
    </row>
    <row r="231" spans="1:7" ht="16.5">
      <c r="A231" s="125" t="s">
        <v>668</v>
      </c>
      <c r="B231" s="125" t="s">
        <v>1475</v>
      </c>
      <c r="C231" s="132" t="b">
        <v>0</v>
      </c>
      <c r="D231" s="133"/>
      <c r="E231" s="133"/>
      <c r="F231" s="133"/>
      <c r="G231" s="133"/>
    </row>
    <row r="232" spans="1:7" ht="16.5">
      <c r="A232" s="124" t="s">
        <v>672</v>
      </c>
      <c r="B232" s="124" t="s">
        <v>1476</v>
      </c>
      <c r="C232" s="127" t="b">
        <v>0</v>
      </c>
      <c r="D232" s="128"/>
      <c r="E232" s="128"/>
      <c r="F232" s="128"/>
      <c r="G232" s="128"/>
    </row>
    <row r="233" spans="1:7" ht="16.5">
      <c r="A233" s="125" t="s">
        <v>672</v>
      </c>
      <c r="B233" s="125" t="s">
        <v>1477</v>
      </c>
      <c r="C233" s="132" t="b">
        <v>0</v>
      </c>
      <c r="D233" s="133"/>
      <c r="E233" s="133"/>
      <c r="F233" s="133"/>
      <c r="G233" s="133">
        <v>35247</v>
      </c>
    </row>
    <row r="234" spans="1:7" ht="16.5">
      <c r="A234" s="124" t="s">
        <v>672</v>
      </c>
      <c r="B234" s="124" t="s">
        <v>1478</v>
      </c>
      <c r="C234" s="127" t="b">
        <v>0</v>
      </c>
      <c r="D234" s="128"/>
      <c r="E234" s="128"/>
      <c r="F234" s="128">
        <v>35247</v>
      </c>
      <c r="G234" s="128"/>
    </row>
    <row r="235" spans="1:7" ht="16.5">
      <c r="A235" s="125" t="s">
        <v>675</v>
      </c>
      <c r="B235" s="125" t="s">
        <v>1479</v>
      </c>
      <c r="C235" s="132" t="b">
        <v>1</v>
      </c>
      <c r="D235" s="133"/>
      <c r="E235" s="133"/>
      <c r="F235" s="133"/>
      <c r="G235" s="133"/>
    </row>
    <row r="236" spans="1:7" ht="16.5">
      <c r="A236" s="124" t="s">
        <v>675</v>
      </c>
      <c r="B236" s="124" t="s">
        <v>1479</v>
      </c>
      <c r="C236" s="127" t="b">
        <v>1</v>
      </c>
      <c r="D236" s="128"/>
      <c r="E236" s="128"/>
      <c r="F236" s="128"/>
      <c r="G236" s="128"/>
    </row>
    <row r="237" spans="1:7" ht="16.5">
      <c r="A237" s="125" t="s">
        <v>675</v>
      </c>
      <c r="B237" s="125" t="s">
        <v>1480</v>
      </c>
      <c r="C237" s="132" t="b">
        <v>0</v>
      </c>
      <c r="D237" s="133"/>
      <c r="E237" s="133"/>
      <c r="F237" s="133"/>
      <c r="G237" s="133"/>
    </row>
    <row r="238" spans="1:7" ht="16.5">
      <c r="A238" s="124" t="s">
        <v>675</v>
      </c>
      <c r="B238" s="124" t="s">
        <v>1481</v>
      </c>
      <c r="C238" s="127" t="b">
        <v>0</v>
      </c>
      <c r="D238" s="128"/>
      <c r="E238" s="128"/>
      <c r="F238" s="128"/>
      <c r="G238" s="128">
        <v>40422</v>
      </c>
    </row>
    <row r="239" spans="1:7" ht="16.5">
      <c r="A239" s="125" t="s">
        <v>675</v>
      </c>
      <c r="B239" s="125" t="s">
        <v>1482</v>
      </c>
      <c r="C239" s="132" t="b">
        <v>0</v>
      </c>
      <c r="D239" s="133"/>
      <c r="E239" s="133"/>
      <c r="F239" s="133">
        <v>37622</v>
      </c>
      <c r="G239" s="133">
        <v>36892</v>
      </c>
    </row>
    <row r="240" spans="1:7" ht="16.5">
      <c r="A240" s="124" t="s">
        <v>675</v>
      </c>
      <c r="B240" s="124" t="s">
        <v>1483</v>
      </c>
      <c r="C240" s="127" t="b">
        <v>0</v>
      </c>
      <c r="D240" s="128"/>
      <c r="E240" s="128"/>
      <c r="F240" s="128">
        <v>40422</v>
      </c>
      <c r="G240" s="128"/>
    </row>
    <row r="241" spans="1:7" ht="16.5">
      <c r="A241" s="125" t="s">
        <v>678</v>
      </c>
      <c r="B241" s="125" t="s">
        <v>1484</v>
      </c>
      <c r="C241" s="132" t="b">
        <v>0</v>
      </c>
      <c r="D241" s="133"/>
      <c r="E241" s="133"/>
      <c r="F241" s="133"/>
      <c r="G241" s="133"/>
    </row>
    <row r="242" spans="1:7" ht="16.5">
      <c r="A242" s="124" t="s">
        <v>678</v>
      </c>
      <c r="B242" s="124" t="s">
        <v>1485</v>
      </c>
      <c r="C242" s="127" t="b">
        <v>0</v>
      </c>
      <c r="D242" s="128"/>
      <c r="E242" s="128"/>
      <c r="F242" s="128"/>
      <c r="G242" s="128"/>
    </row>
    <row r="243" spans="1:7" ht="16.5">
      <c r="A243" s="125" t="s">
        <v>682</v>
      </c>
      <c r="B243" s="125" t="s">
        <v>1486</v>
      </c>
      <c r="C243" s="132" t="b">
        <v>0</v>
      </c>
      <c r="D243" s="133"/>
      <c r="E243" s="133"/>
      <c r="F243" s="133"/>
      <c r="G243" s="133"/>
    </row>
    <row r="244" spans="1:7" ht="16.5">
      <c r="A244" s="124" t="s">
        <v>682</v>
      </c>
      <c r="B244" s="124" t="s">
        <v>1487</v>
      </c>
      <c r="C244" s="127" t="b">
        <v>0</v>
      </c>
      <c r="D244" s="128"/>
      <c r="E244" s="128"/>
      <c r="F244" s="128"/>
      <c r="G244" s="128">
        <v>36404</v>
      </c>
    </row>
    <row r="245" spans="1:7" ht="16.5">
      <c r="A245" s="125" t="s">
        <v>682</v>
      </c>
      <c r="B245" s="125" t="s">
        <v>1488</v>
      </c>
      <c r="C245" s="132" t="b">
        <v>0</v>
      </c>
      <c r="D245" s="133"/>
      <c r="E245" s="133"/>
      <c r="F245" s="133">
        <v>36404</v>
      </c>
      <c r="G245" s="133"/>
    </row>
    <row r="246" spans="1:7" ht="16.5">
      <c r="A246" s="124" t="s">
        <v>685</v>
      </c>
      <c r="B246" s="124" t="s">
        <v>1489</v>
      </c>
      <c r="C246" s="127" t="b">
        <v>0</v>
      </c>
      <c r="D246" s="128"/>
      <c r="E246" s="128"/>
      <c r="F246" s="128"/>
      <c r="G246" s="128"/>
    </row>
    <row r="247" spans="1:7" ht="16.5">
      <c r="A247" s="125" t="s">
        <v>685</v>
      </c>
      <c r="B247" s="125" t="s">
        <v>1490</v>
      </c>
      <c r="C247" s="132" t="b">
        <v>0</v>
      </c>
      <c r="D247" s="133"/>
      <c r="E247" s="133"/>
      <c r="F247" s="133"/>
      <c r="G247" s="133"/>
    </row>
    <row r="248" spans="1:7" ht="16.5">
      <c r="A248" s="124" t="s">
        <v>688</v>
      </c>
      <c r="B248" s="124" t="s">
        <v>1491</v>
      </c>
      <c r="C248" s="127" t="b">
        <v>0</v>
      </c>
      <c r="D248" s="128"/>
      <c r="E248" s="128"/>
      <c r="F248" s="128"/>
      <c r="G248" s="128"/>
    </row>
    <row r="249" spans="1:7" ht="16.5">
      <c r="A249" s="125" t="s">
        <v>688</v>
      </c>
      <c r="B249" s="125" t="s">
        <v>1492</v>
      </c>
      <c r="C249" s="132" t="b">
        <v>0</v>
      </c>
      <c r="D249" s="133"/>
      <c r="E249" s="133"/>
      <c r="F249" s="133"/>
      <c r="G249" s="133"/>
    </row>
    <row r="250" spans="1:7" ht="16.5">
      <c r="A250" s="124" t="s">
        <v>691</v>
      </c>
      <c r="B250" s="124" t="s">
        <v>1493</v>
      </c>
      <c r="C250" s="127" t="b">
        <v>0</v>
      </c>
      <c r="D250" s="128"/>
      <c r="E250" s="128"/>
      <c r="F250" s="128"/>
      <c r="G250" s="128"/>
    </row>
    <row r="251" spans="1:7" ht="16.5">
      <c r="A251" s="125" t="s">
        <v>691</v>
      </c>
      <c r="B251" s="125" t="s">
        <v>1494</v>
      </c>
      <c r="C251" s="132" t="b">
        <v>0</v>
      </c>
      <c r="D251" s="133"/>
      <c r="E251" s="133"/>
      <c r="F251" s="133"/>
      <c r="G251" s="133">
        <v>36495</v>
      </c>
    </row>
    <row r="252" spans="1:7" ht="16.5">
      <c r="A252" s="124" t="s">
        <v>691</v>
      </c>
      <c r="B252" s="124" t="s">
        <v>1495</v>
      </c>
      <c r="C252" s="127" t="b">
        <v>0</v>
      </c>
      <c r="D252" s="128"/>
      <c r="E252" s="128"/>
      <c r="F252" s="128">
        <v>36495</v>
      </c>
      <c r="G252" s="128"/>
    </row>
    <row r="253" spans="1:7" ht="16.5">
      <c r="A253" s="125" t="s">
        <v>695</v>
      </c>
      <c r="B253" s="125" t="s">
        <v>1262</v>
      </c>
      <c r="C253" s="132" t="b">
        <v>0</v>
      </c>
      <c r="D253" s="133"/>
      <c r="E253" s="133"/>
      <c r="F253" s="133"/>
      <c r="G253" s="133"/>
    </row>
    <row r="254" spans="1:7" ht="16.5">
      <c r="A254" s="124" t="s">
        <v>695</v>
      </c>
      <c r="B254" s="124" t="s">
        <v>1496</v>
      </c>
      <c r="C254" s="127" t="b">
        <v>0</v>
      </c>
      <c r="D254" s="128"/>
      <c r="E254" s="128"/>
      <c r="F254" s="128"/>
      <c r="G254" s="128"/>
    </row>
    <row r="255" spans="1:7" ht="16.5">
      <c r="A255" s="125" t="s">
        <v>697</v>
      </c>
      <c r="B255" s="125" t="s">
        <v>1497</v>
      </c>
      <c r="C255" s="132" t="b">
        <v>0</v>
      </c>
      <c r="D255" s="133"/>
      <c r="E255" s="133"/>
      <c r="F255" s="133"/>
      <c r="G255" s="133"/>
    </row>
    <row r="256" spans="1:7" ht="16.5">
      <c r="A256" s="124" t="s">
        <v>697</v>
      </c>
      <c r="B256" s="124" t="s">
        <v>1498</v>
      </c>
      <c r="C256" s="127" t="b">
        <v>0</v>
      </c>
      <c r="D256" s="128"/>
      <c r="E256" s="128"/>
      <c r="F256" s="128"/>
      <c r="G256" s="128"/>
    </row>
    <row r="257" spans="1:7" ht="16.5">
      <c r="A257" s="125" t="s">
        <v>701</v>
      </c>
      <c r="B257" s="125" t="s">
        <v>1262</v>
      </c>
      <c r="C257" s="132" t="b">
        <v>0</v>
      </c>
      <c r="D257" s="133"/>
      <c r="E257" s="133"/>
      <c r="F257" s="133"/>
      <c r="G257" s="133"/>
    </row>
    <row r="258" spans="1:7" ht="16.5">
      <c r="A258" s="124" t="s">
        <v>701</v>
      </c>
      <c r="B258" s="124" t="s">
        <v>1499</v>
      </c>
      <c r="C258" s="127" t="b">
        <v>0</v>
      </c>
      <c r="D258" s="128"/>
      <c r="E258" s="128"/>
      <c r="F258" s="128"/>
      <c r="G258" s="128"/>
    </row>
    <row r="259" spans="1:7" ht="16.5">
      <c r="A259" s="125" t="s">
        <v>703</v>
      </c>
      <c r="B259" s="125" t="s">
        <v>1500</v>
      </c>
      <c r="C259" s="132" t="b">
        <v>0</v>
      </c>
      <c r="D259" s="133"/>
      <c r="E259" s="133"/>
      <c r="F259" s="133"/>
      <c r="G259" s="133"/>
    </row>
    <row r="260" spans="1:7" ht="16.5">
      <c r="A260" s="124" t="s">
        <v>703</v>
      </c>
      <c r="B260" s="124" t="s">
        <v>1501</v>
      </c>
      <c r="C260" s="127" t="b">
        <v>0</v>
      </c>
      <c r="D260" s="128"/>
      <c r="E260" s="128"/>
      <c r="F260" s="128"/>
      <c r="G260" s="128">
        <v>37491</v>
      </c>
    </row>
    <row r="261" spans="1:7" ht="16.5">
      <c r="A261" s="125" t="s">
        <v>703</v>
      </c>
      <c r="B261" s="125" t="s">
        <v>1502</v>
      </c>
      <c r="C261" s="132" t="b">
        <v>0</v>
      </c>
      <c r="D261" s="133"/>
      <c r="E261" s="133"/>
      <c r="F261" s="133">
        <v>37491</v>
      </c>
      <c r="G261" s="133"/>
    </row>
    <row r="262" spans="1:7" ht="16.5">
      <c r="A262" s="124" t="s">
        <v>707</v>
      </c>
      <c r="B262" s="124" t="s">
        <v>1503</v>
      </c>
      <c r="C262" s="127" t="b">
        <v>0</v>
      </c>
      <c r="D262" s="128"/>
      <c r="E262" s="128"/>
      <c r="F262" s="128"/>
      <c r="G262" s="128"/>
    </row>
    <row r="263" spans="1:7" ht="16.5">
      <c r="A263" s="125" t="s">
        <v>707</v>
      </c>
      <c r="B263" s="125" t="s">
        <v>1504</v>
      </c>
      <c r="C263" s="132" t="b">
        <v>0</v>
      </c>
      <c r="D263" s="133"/>
      <c r="E263" s="133"/>
      <c r="F263" s="133"/>
      <c r="G263" s="133"/>
    </row>
    <row r="264" spans="1:7" ht="16.5">
      <c r="A264" s="124" t="s">
        <v>711</v>
      </c>
      <c r="B264" s="124" t="s">
        <v>1505</v>
      </c>
      <c r="C264" s="127" t="b">
        <v>0</v>
      </c>
      <c r="D264" s="128"/>
      <c r="E264" s="128"/>
      <c r="F264" s="128"/>
      <c r="G264" s="128"/>
    </row>
    <row r="265" spans="1:7" ht="16.5">
      <c r="A265" s="125" t="s">
        <v>711</v>
      </c>
      <c r="B265" s="125" t="s">
        <v>1506</v>
      </c>
      <c r="C265" s="132" t="b">
        <v>0</v>
      </c>
      <c r="D265" s="133"/>
      <c r="E265" s="133"/>
      <c r="F265" s="133"/>
      <c r="G265" s="133"/>
    </row>
    <row r="266" spans="1:7" ht="16.5">
      <c r="A266" s="124" t="s">
        <v>715</v>
      </c>
      <c r="B266" s="124" t="s">
        <v>1507</v>
      </c>
      <c r="C266" s="127" t="b">
        <v>0</v>
      </c>
      <c r="D266" s="128"/>
      <c r="E266" s="128"/>
      <c r="F266" s="128"/>
      <c r="G266" s="128"/>
    </row>
    <row r="267" spans="1:7" ht="16.5">
      <c r="A267" s="125" t="s">
        <v>715</v>
      </c>
      <c r="B267" s="125" t="s">
        <v>1508</v>
      </c>
      <c r="C267" s="132" t="b">
        <v>0</v>
      </c>
      <c r="D267" s="133"/>
      <c r="E267" s="133"/>
      <c r="F267" s="133"/>
      <c r="G267" s="133"/>
    </row>
    <row r="268" spans="1:7" ht="16.5">
      <c r="A268" s="124" t="s">
        <v>720</v>
      </c>
      <c r="B268" s="124" t="s">
        <v>1509</v>
      </c>
      <c r="C268" s="127" t="b">
        <v>0</v>
      </c>
      <c r="D268" s="128"/>
      <c r="E268" s="128"/>
      <c r="F268" s="128"/>
      <c r="G268" s="128"/>
    </row>
    <row r="269" spans="1:7" ht="16.5">
      <c r="A269" s="125" t="s">
        <v>720</v>
      </c>
      <c r="B269" s="125" t="s">
        <v>1510</v>
      </c>
      <c r="C269" s="132" t="b">
        <v>0</v>
      </c>
      <c r="D269" s="133"/>
      <c r="E269" s="133"/>
      <c r="F269" s="133"/>
      <c r="G269" s="133"/>
    </row>
    <row r="270" spans="1:7" ht="16.5">
      <c r="A270" s="124" t="s">
        <v>724</v>
      </c>
      <c r="B270" s="124" t="s">
        <v>1511</v>
      </c>
      <c r="C270" s="127" t="b">
        <v>0</v>
      </c>
      <c r="D270" s="128"/>
      <c r="E270" s="128"/>
      <c r="F270" s="128"/>
      <c r="G270" s="128"/>
    </row>
    <row r="271" spans="1:7" ht="16.5">
      <c r="A271" s="125" t="s">
        <v>724</v>
      </c>
      <c r="B271" s="125" t="s">
        <v>1512</v>
      </c>
      <c r="C271" s="132" t="b">
        <v>0</v>
      </c>
      <c r="D271" s="133"/>
      <c r="E271" s="133"/>
      <c r="F271" s="133"/>
      <c r="G271" s="133"/>
    </row>
    <row r="272" spans="1:7" ht="16.5">
      <c r="A272" s="124" t="s">
        <v>728</v>
      </c>
      <c r="B272" s="124" t="s">
        <v>1513</v>
      </c>
      <c r="C272" s="127" t="b">
        <v>0</v>
      </c>
      <c r="D272" s="128"/>
      <c r="E272" s="128"/>
      <c r="F272" s="128"/>
      <c r="G272" s="128"/>
    </row>
    <row r="273" spans="1:7" ht="16.5">
      <c r="A273" s="125" t="s">
        <v>728</v>
      </c>
      <c r="B273" s="125" t="s">
        <v>1514</v>
      </c>
      <c r="C273" s="132" t="b">
        <v>0</v>
      </c>
      <c r="D273" s="133"/>
      <c r="E273" s="133"/>
      <c r="F273" s="133"/>
      <c r="G273" s="133"/>
    </row>
    <row r="274" spans="1:7" ht="16.5">
      <c r="A274" s="124" t="s">
        <v>732</v>
      </c>
      <c r="B274" s="124" t="s">
        <v>1515</v>
      </c>
      <c r="C274" s="127" t="b">
        <v>0</v>
      </c>
      <c r="D274" s="128"/>
      <c r="E274" s="128"/>
      <c r="F274" s="128"/>
      <c r="G274" s="128"/>
    </row>
    <row r="275" spans="1:7" ht="16.5">
      <c r="A275" s="125" t="s">
        <v>732</v>
      </c>
      <c r="B275" s="125" t="s">
        <v>1516</v>
      </c>
      <c r="C275" s="132" t="b">
        <v>0</v>
      </c>
      <c r="D275" s="133"/>
      <c r="E275" s="133"/>
      <c r="F275" s="133"/>
      <c r="G275" s="133"/>
    </row>
    <row r="276" spans="1:7" ht="16.5">
      <c r="A276" s="124" t="s">
        <v>736</v>
      </c>
      <c r="B276" s="124" t="s">
        <v>1517</v>
      </c>
      <c r="C276" s="127" t="b">
        <v>0</v>
      </c>
      <c r="D276" s="128"/>
      <c r="E276" s="128"/>
      <c r="F276" s="128"/>
      <c r="G276" s="128"/>
    </row>
    <row r="277" spans="1:7" ht="16.5">
      <c r="A277" s="125" t="s">
        <v>736</v>
      </c>
      <c r="B277" s="125" t="s">
        <v>1518</v>
      </c>
      <c r="C277" s="132" t="b">
        <v>0</v>
      </c>
      <c r="D277" s="133"/>
      <c r="E277" s="133"/>
      <c r="F277" s="133"/>
      <c r="G277" s="133"/>
    </row>
    <row r="278" spans="1:7" ht="16.5">
      <c r="A278" s="124" t="s">
        <v>740</v>
      </c>
      <c r="B278" s="124" t="s">
        <v>1519</v>
      </c>
      <c r="C278" s="127" t="b">
        <v>0</v>
      </c>
      <c r="D278" s="128"/>
      <c r="E278" s="128"/>
      <c r="F278" s="128"/>
      <c r="G278" s="128"/>
    </row>
    <row r="279" spans="1:7" ht="16.5">
      <c r="A279" s="125" t="s">
        <v>740</v>
      </c>
      <c r="B279" s="125" t="s">
        <v>1520</v>
      </c>
      <c r="C279" s="132" t="b">
        <v>0</v>
      </c>
      <c r="D279" s="133"/>
      <c r="E279" s="133"/>
      <c r="F279" s="133"/>
      <c r="G279" s="133"/>
    </row>
    <row r="280" spans="1:7" ht="16.5">
      <c r="A280" s="124" t="s">
        <v>744</v>
      </c>
      <c r="B280" s="124" t="s">
        <v>1521</v>
      </c>
      <c r="C280" s="127" t="b">
        <v>0</v>
      </c>
      <c r="D280" s="128"/>
      <c r="E280" s="128"/>
      <c r="F280" s="128"/>
      <c r="G280" s="128"/>
    </row>
    <row r="281" spans="1:7" ht="16.5">
      <c r="A281" s="125" t="s">
        <v>744</v>
      </c>
      <c r="B281" s="125" t="s">
        <v>1522</v>
      </c>
      <c r="C281" s="132" t="b">
        <v>0</v>
      </c>
      <c r="D281" s="133"/>
      <c r="E281" s="133"/>
      <c r="F281" s="133"/>
      <c r="G281" s="133">
        <v>42574</v>
      </c>
    </row>
    <row r="282" spans="1:7" ht="16.5">
      <c r="A282" s="124" t="s">
        <v>744</v>
      </c>
      <c r="B282" s="124" t="s">
        <v>1523</v>
      </c>
      <c r="C282" s="127" t="b">
        <v>0</v>
      </c>
      <c r="D282" s="128"/>
      <c r="E282" s="128"/>
      <c r="F282" s="128">
        <v>42574</v>
      </c>
      <c r="G282" s="128">
        <v>37741</v>
      </c>
    </row>
    <row r="283" spans="1:7" ht="16.5">
      <c r="A283" s="125" t="s">
        <v>744</v>
      </c>
      <c r="B283" s="125" t="s">
        <v>1524</v>
      </c>
      <c r="C283" s="132" t="b">
        <v>0</v>
      </c>
      <c r="D283" s="133"/>
      <c r="E283" s="133"/>
      <c r="F283" s="133">
        <v>37741</v>
      </c>
      <c r="G283" s="133"/>
    </row>
    <row r="284" spans="1:7" ht="16.5">
      <c r="A284" s="124" t="s">
        <v>748</v>
      </c>
      <c r="B284" s="124" t="s">
        <v>1525</v>
      </c>
      <c r="C284" s="127" t="b">
        <v>0</v>
      </c>
      <c r="D284" s="128"/>
      <c r="E284" s="128"/>
      <c r="F284" s="128"/>
      <c r="G284" s="128"/>
    </row>
    <row r="285" spans="1:7" ht="16.5">
      <c r="A285" s="125" t="s">
        <v>748</v>
      </c>
      <c r="B285" s="125" t="s">
        <v>1526</v>
      </c>
      <c r="C285" s="132" t="b">
        <v>0</v>
      </c>
      <c r="D285" s="133"/>
      <c r="E285" s="133"/>
      <c r="F285" s="133"/>
      <c r="G285" s="133"/>
    </row>
    <row r="286" spans="1:7" ht="16.5">
      <c r="A286" s="124" t="s">
        <v>751</v>
      </c>
      <c r="B286" s="124" t="s">
        <v>1527</v>
      </c>
      <c r="C286" s="127" t="b">
        <v>0</v>
      </c>
      <c r="D286" s="128"/>
      <c r="E286" s="128"/>
      <c r="F286" s="128"/>
      <c r="G286" s="128"/>
    </row>
    <row r="287" spans="1:7" ht="16.5">
      <c r="A287" s="125" t="s">
        <v>751</v>
      </c>
      <c r="B287" s="125" t="s">
        <v>1528</v>
      </c>
      <c r="C287" s="132" t="b">
        <v>0</v>
      </c>
      <c r="D287" s="133"/>
      <c r="E287" s="133"/>
      <c r="F287" s="133"/>
      <c r="G287" s="133"/>
    </row>
    <row r="288" spans="1:7" ht="16.5">
      <c r="A288" s="124" t="s">
        <v>755</v>
      </c>
      <c r="B288" s="124" t="s">
        <v>1529</v>
      </c>
      <c r="C288" s="127" t="b">
        <v>0</v>
      </c>
      <c r="D288" s="128"/>
      <c r="E288" s="128"/>
      <c r="F288" s="128"/>
      <c r="G288" s="128"/>
    </row>
    <row r="289" spans="1:7" ht="16.5">
      <c r="A289" s="125" t="s">
        <v>755</v>
      </c>
      <c r="B289" s="125" t="s">
        <v>1530</v>
      </c>
      <c r="C289" s="132" t="b">
        <v>0</v>
      </c>
      <c r="D289" s="133"/>
      <c r="E289" s="133"/>
      <c r="F289" s="133"/>
      <c r="G289" s="133"/>
    </row>
    <row r="290" spans="1:7" ht="16.5">
      <c r="A290" s="124" t="s">
        <v>759</v>
      </c>
      <c r="B290" s="124" t="s">
        <v>1262</v>
      </c>
      <c r="C290" s="127" t="b">
        <v>0</v>
      </c>
      <c r="D290" s="128"/>
      <c r="E290" s="128"/>
      <c r="F290" s="128"/>
      <c r="G290" s="128"/>
    </row>
    <row r="291" spans="1:7" ht="16.5">
      <c r="A291" s="125" t="s">
        <v>759</v>
      </c>
      <c r="B291" s="125" t="s">
        <v>1531</v>
      </c>
      <c r="C291" s="132" t="b">
        <v>0</v>
      </c>
      <c r="D291" s="133"/>
      <c r="E291" s="133"/>
      <c r="F291" s="133"/>
      <c r="G291" s="133"/>
    </row>
    <row r="292" spans="1:7" ht="16.5">
      <c r="A292" s="124" t="s">
        <v>765</v>
      </c>
      <c r="B292" s="124" t="s">
        <v>1532</v>
      </c>
      <c r="C292" s="127" t="b">
        <v>0</v>
      </c>
      <c r="D292" s="128"/>
      <c r="E292" s="128"/>
      <c r="F292" s="128"/>
      <c r="G292" s="128"/>
    </row>
    <row r="293" spans="1:7" ht="16.5">
      <c r="A293" s="125" t="s">
        <v>765</v>
      </c>
      <c r="B293" s="125" t="s">
        <v>1533</v>
      </c>
      <c r="C293" s="132" t="b">
        <v>0</v>
      </c>
      <c r="D293" s="133"/>
      <c r="E293" s="133"/>
      <c r="F293" s="133"/>
      <c r="G293" s="133"/>
    </row>
    <row r="294" spans="1:7" ht="16.5">
      <c r="A294" s="124" t="s">
        <v>769</v>
      </c>
      <c r="B294" s="124" t="s">
        <v>1534</v>
      </c>
      <c r="C294" s="127" t="b">
        <v>0</v>
      </c>
      <c r="D294" s="128"/>
      <c r="E294" s="128"/>
      <c r="F294" s="128"/>
      <c r="G294" s="128"/>
    </row>
    <row r="295" spans="1:7" ht="16.5">
      <c r="A295" s="125" t="s">
        <v>769</v>
      </c>
      <c r="B295" s="125" t="s">
        <v>1535</v>
      </c>
      <c r="C295" s="132" t="b">
        <v>0</v>
      </c>
      <c r="D295" s="133"/>
      <c r="E295" s="133"/>
      <c r="F295" s="133"/>
      <c r="G295" s="133"/>
    </row>
    <row r="296" spans="1:7" ht="16.5">
      <c r="A296" s="124" t="s">
        <v>773</v>
      </c>
      <c r="B296" s="124" t="s">
        <v>1262</v>
      </c>
      <c r="C296" s="127" t="b">
        <v>0</v>
      </c>
      <c r="D296" s="128"/>
      <c r="E296" s="128"/>
      <c r="F296" s="128"/>
      <c r="G296" s="128"/>
    </row>
    <row r="297" spans="1:7" ht="16.5">
      <c r="A297" s="125" t="s">
        <v>773</v>
      </c>
      <c r="B297" s="125" t="s">
        <v>1536</v>
      </c>
      <c r="C297" s="132" t="b">
        <v>0</v>
      </c>
      <c r="D297" s="133"/>
      <c r="E297" s="133"/>
      <c r="F297" s="133"/>
      <c r="G297" s="133"/>
    </row>
    <row r="298" spans="1:7" ht="16.5">
      <c r="A298" s="124" t="s">
        <v>776</v>
      </c>
      <c r="B298" s="124" t="s">
        <v>1537</v>
      </c>
      <c r="C298" s="127" t="b">
        <v>0</v>
      </c>
      <c r="D298" s="128"/>
      <c r="E298" s="128"/>
      <c r="F298" s="128"/>
      <c r="G298" s="128"/>
    </row>
    <row r="299" spans="1:7" ht="16.5">
      <c r="A299" s="125" t="s">
        <v>776</v>
      </c>
      <c r="B299" s="125" t="s">
        <v>1538</v>
      </c>
      <c r="C299" s="132" t="b">
        <v>0</v>
      </c>
      <c r="D299" s="133"/>
      <c r="E299" s="133"/>
      <c r="F299" s="133"/>
      <c r="G299" s="133">
        <v>43374</v>
      </c>
    </row>
    <row r="300" spans="1:7" ht="16.5">
      <c r="A300" s="124" t="s">
        <v>776</v>
      </c>
      <c r="B300" s="124" t="s">
        <v>1539</v>
      </c>
      <c r="C300" s="127" t="b">
        <v>0</v>
      </c>
      <c r="D300" s="128"/>
      <c r="E300" s="128"/>
      <c r="F300" s="128">
        <v>43374</v>
      </c>
      <c r="G300" s="128"/>
    </row>
    <row r="301" spans="1:7" ht="16.5">
      <c r="A301" s="125" t="s">
        <v>780</v>
      </c>
      <c r="B301" s="125" t="s">
        <v>1540</v>
      </c>
      <c r="C301" s="132" t="b">
        <v>0</v>
      </c>
      <c r="D301" s="133"/>
      <c r="E301" s="133"/>
      <c r="F301" s="133"/>
      <c r="G301" s="133"/>
    </row>
    <row r="302" spans="1:7" ht="16.5">
      <c r="A302" s="124" t="s">
        <v>780</v>
      </c>
      <c r="B302" s="124" t="s">
        <v>1541</v>
      </c>
      <c r="C302" s="127" t="b">
        <v>0</v>
      </c>
      <c r="D302" s="128"/>
      <c r="E302" s="128"/>
      <c r="F302" s="128">
        <v>34700</v>
      </c>
      <c r="G302" s="128"/>
    </row>
    <row r="303" spans="1:7" ht="16.5">
      <c r="A303" s="125" t="s">
        <v>783</v>
      </c>
      <c r="B303" s="125" t="s">
        <v>1540</v>
      </c>
      <c r="C303" s="132" t="b">
        <v>0</v>
      </c>
      <c r="D303" s="133"/>
      <c r="E303" s="133"/>
      <c r="F303" s="133"/>
      <c r="G303" s="133"/>
    </row>
    <row r="304" spans="1:7" ht="16.5">
      <c r="A304" s="124" t="s">
        <v>783</v>
      </c>
      <c r="B304" s="124" t="s">
        <v>1542</v>
      </c>
      <c r="C304" s="127" t="b">
        <v>0</v>
      </c>
      <c r="D304" s="128"/>
      <c r="E304" s="128"/>
      <c r="F304" s="128"/>
      <c r="G304" s="128">
        <v>43826</v>
      </c>
    </row>
    <row r="305" spans="1:7" ht="16.5">
      <c r="A305" s="125" t="s">
        <v>783</v>
      </c>
      <c r="B305" s="125" t="s">
        <v>1543</v>
      </c>
      <c r="C305" s="132" t="b">
        <v>0</v>
      </c>
      <c r="D305" s="133"/>
      <c r="E305" s="133"/>
      <c r="F305" s="133">
        <v>35765</v>
      </c>
      <c r="G305" s="133"/>
    </row>
    <row r="306" spans="1:7" ht="16.5">
      <c r="A306" s="124" t="s">
        <v>783</v>
      </c>
      <c r="B306" s="124" t="s">
        <v>1544</v>
      </c>
      <c r="C306" s="127" t="b">
        <v>0</v>
      </c>
      <c r="D306" s="128"/>
      <c r="E306" s="128"/>
      <c r="F306" s="128"/>
      <c r="G306" s="128"/>
    </row>
    <row r="307" spans="1:7" ht="16.5">
      <c r="A307" s="125" t="s">
        <v>786</v>
      </c>
      <c r="B307" s="125" t="s">
        <v>1545</v>
      </c>
      <c r="C307" s="132" t="b">
        <v>0</v>
      </c>
      <c r="D307" s="133"/>
      <c r="E307" s="133"/>
      <c r="F307" s="133"/>
      <c r="G307" s="133"/>
    </row>
    <row r="308" spans="1:7" ht="16.5">
      <c r="A308" s="124" t="s">
        <v>786</v>
      </c>
      <c r="B308" s="124" t="s">
        <v>1546</v>
      </c>
      <c r="C308" s="127" t="b">
        <v>0</v>
      </c>
      <c r="D308" s="128"/>
      <c r="E308" s="128"/>
      <c r="F308" s="128"/>
      <c r="G308" s="128"/>
    </row>
    <row r="309" spans="1:7" ht="16.5">
      <c r="A309" s="125" t="s">
        <v>794</v>
      </c>
      <c r="B309" s="125" t="s">
        <v>1547</v>
      </c>
      <c r="C309" s="132" t="b">
        <v>0</v>
      </c>
      <c r="D309" s="133"/>
      <c r="E309" s="133"/>
      <c r="F309" s="133"/>
      <c r="G309" s="133"/>
    </row>
    <row r="310" spans="1:7" ht="16.5">
      <c r="A310" s="124" t="s">
        <v>794</v>
      </c>
      <c r="B310" s="124" t="s">
        <v>1548</v>
      </c>
      <c r="C310" s="127" t="b">
        <v>0</v>
      </c>
      <c r="D310" s="128"/>
      <c r="E310" s="128"/>
      <c r="F310" s="128"/>
      <c r="G310" s="128">
        <v>36892</v>
      </c>
    </row>
    <row r="311" spans="1:7" ht="16.5">
      <c r="A311" s="125" t="s">
        <v>794</v>
      </c>
      <c r="B311" s="125" t="s">
        <v>1549</v>
      </c>
      <c r="C311" s="132" t="b">
        <v>0</v>
      </c>
      <c r="D311" s="133"/>
      <c r="E311" s="133"/>
      <c r="F311" s="133">
        <v>36892</v>
      </c>
      <c r="G311" s="133"/>
    </row>
    <row r="312" spans="1:7" ht="16.5">
      <c r="A312" s="124" t="s">
        <v>798</v>
      </c>
      <c r="B312" s="124" t="s">
        <v>1550</v>
      </c>
      <c r="C312" s="127" t="b">
        <v>0</v>
      </c>
      <c r="D312" s="128"/>
      <c r="E312" s="128"/>
      <c r="F312" s="128"/>
      <c r="G312" s="128"/>
    </row>
    <row r="313" spans="1:7" ht="16.5">
      <c r="A313" s="125" t="s">
        <v>798</v>
      </c>
      <c r="B313" s="125" t="s">
        <v>1551</v>
      </c>
      <c r="C313" s="132" t="b">
        <v>0</v>
      </c>
      <c r="D313" s="133"/>
      <c r="E313" s="133"/>
      <c r="F313" s="133"/>
      <c r="G313" s="133"/>
    </row>
    <row r="314" spans="1:7" ht="16.5">
      <c r="A314" s="124" t="s">
        <v>802</v>
      </c>
      <c r="B314" s="124" t="s">
        <v>1262</v>
      </c>
      <c r="C314" s="127" t="b">
        <v>0</v>
      </c>
      <c r="D314" s="128"/>
      <c r="E314" s="128"/>
      <c r="F314" s="128"/>
      <c r="G314" s="128"/>
    </row>
    <row r="315" spans="1:7" ht="16.5">
      <c r="A315" s="125" t="s">
        <v>802</v>
      </c>
      <c r="B315" s="125" t="s">
        <v>1552</v>
      </c>
      <c r="C315" s="132" t="b">
        <v>0</v>
      </c>
      <c r="D315" s="133"/>
      <c r="E315" s="133"/>
      <c r="F315" s="133"/>
      <c r="G315" s="133"/>
    </row>
    <row r="316" spans="1:7" ht="16.5">
      <c r="A316" s="124" t="s">
        <v>804</v>
      </c>
      <c r="B316" s="124" t="s">
        <v>1262</v>
      </c>
      <c r="C316" s="127" t="b">
        <v>0</v>
      </c>
      <c r="D316" s="128"/>
      <c r="E316" s="128"/>
      <c r="F316" s="128"/>
      <c r="G316" s="128"/>
    </row>
    <row r="317" spans="1:7" ht="16.5">
      <c r="A317" s="125" t="s">
        <v>804</v>
      </c>
      <c r="B317" s="125" t="s">
        <v>1553</v>
      </c>
      <c r="C317" s="132" t="b">
        <v>0</v>
      </c>
      <c r="D317" s="133"/>
      <c r="E317" s="133"/>
      <c r="F317" s="133"/>
      <c r="G317" s="133"/>
    </row>
    <row r="318" spans="1:7" ht="16.5">
      <c r="A318" s="124" t="s">
        <v>810</v>
      </c>
      <c r="B318" s="124" t="s">
        <v>1554</v>
      </c>
      <c r="C318" s="127" t="b">
        <v>0</v>
      </c>
      <c r="D318" s="128"/>
      <c r="E318" s="128"/>
      <c r="F318" s="128"/>
      <c r="G318" s="128"/>
    </row>
    <row r="319" spans="1:7" ht="16.5">
      <c r="A319" s="125" t="s">
        <v>810</v>
      </c>
      <c r="B319" s="125" t="s">
        <v>1555</v>
      </c>
      <c r="C319" s="132" t="b">
        <v>0</v>
      </c>
      <c r="D319" s="133"/>
      <c r="E319" s="133"/>
      <c r="F319" s="133"/>
      <c r="G319" s="133"/>
    </row>
    <row r="320" spans="1:7" ht="16.5">
      <c r="A320" s="124" t="s">
        <v>813</v>
      </c>
      <c r="B320" s="124" t="s">
        <v>1556</v>
      </c>
      <c r="C320" s="127" t="b">
        <v>0</v>
      </c>
      <c r="D320" s="128"/>
      <c r="E320" s="128"/>
      <c r="F320" s="128"/>
      <c r="G320" s="128"/>
    </row>
    <row r="321" spans="1:7" ht="16.5">
      <c r="A321" s="125" t="s">
        <v>813</v>
      </c>
      <c r="B321" s="125" t="s">
        <v>1557</v>
      </c>
      <c r="C321" s="132" t="b">
        <v>0</v>
      </c>
      <c r="D321" s="133"/>
      <c r="E321" s="133"/>
      <c r="F321" s="133">
        <v>43323</v>
      </c>
      <c r="G321" s="133">
        <v>33416</v>
      </c>
    </row>
    <row r="322" spans="1:7" ht="16.5">
      <c r="A322" s="124" t="s">
        <v>813</v>
      </c>
      <c r="B322" s="124" t="s">
        <v>1558</v>
      </c>
      <c r="C322" s="127" t="b">
        <v>0</v>
      </c>
      <c r="D322" s="128">
        <v>44140</v>
      </c>
      <c r="E322" s="128"/>
      <c r="F322" s="128"/>
      <c r="G322" s="128">
        <v>43323</v>
      </c>
    </row>
    <row r="323" spans="1:7" ht="16.5">
      <c r="A323" s="125" t="s">
        <v>813</v>
      </c>
      <c r="B323" s="125" t="s">
        <v>1559</v>
      </c>
      <c r="C323" s="132" t="b">
        <v>0</v>
      </c>
      <c r="D323" s="133"/>
      <c r="E323" s="133">
        <v>44140</v>
      </c>
      <c r="F323" s="133"/>
      <c r="G323" s="133">
        <v>43323</v>
      </c>
    </row>
    <row r="324" spans="1:7" ht="16.5">
      <c r="A324" s="124" t="s">
        <v>813</v>
      </c>
      <c r="B324" s="124" t="s">
        <v>1560</v>
      </c>
      <c r="C324" s="127" t="b">
        <v>0</v>
      </c>
      <c r="D324" s="128"/>
      <c r="E324" s="128"/>
      <c r="F324" s="128">
        <v>33416</v>
      </c>
      <c r="G324" s="128"/>
    </row>
    <row r="325" spans="1:7" ht="16.5">
      <c r="A325" s="125" t="s">
        <v>817</v>
      </c>
      <c r="B325" s="125" t="s">
        <v>1262</v>
      </c>
      <c r="C325" s="132" t="b">
        <v>0</v>
      </c>
      <c r="D325" s="133"/>
      <c r="E325" s="133"/>
      <c r="F325" s="133"/>
      <c r="G325" s="133"/>
    </row>
    <row r="326" spans="1:7" ht="16.5">
      <c r="A326" s="124" t="s">
        <v>817</v>
      </c>
      <c r="B326" s="124" t="s">
        <v>1561</v>
      </c>
      <c r="C326" s="127" t="b">
        <v>0</v>
      </c>
      <c r="D326" s="128"/>
      <c r="E326" s="128"/>
      <c r="F326" s="128"/>
      <c r="G326" s="128"/>
    </row>
    <row r="327" spans="1:7" ht="16.5">
      <c r="A327" s="125" t="s">
        <v>820</v>
      </c>
      <c r="B327" s="125" t="s">
        <v>1562</v>
      </c>
      <c r="C327" s="132" t="b">
        <v>0</v>
      </c>
      <c r="D327" s="133"/>
      <c r="E327" s="133"/>
      <c r="F327" s="133"/>
      <c r="G327" s="133"/>
    </row>
    <row r="328" spans="1:7" ht="16.5">
      <c r="A328" s="124" t="s">
        <v>820</v>
      </c>
      <c r="B328" s="124" t="s">
        <v>1563</v>
      </c>
      <c r="C328" s="127" t="b">
        <v>0</v>
      </c>
      <c r="D328" s="128"/>
      <c r="E328" s="128"/>
      <c r="F328" s="128"/>
      <c r="G328" s="128"/>
    </row>
    <row r="329" spans="1:7" ht="16.5">
      <c r="A329" s="125" t="s">
        <v>823</v>
      </c>
      <c r="B329" s="125" t="s">
        <v>1262</v>
      </c>
      <c r="C329" s="132" t="b">
        <v>0</v>
      </c>
      <c r="D329" s="133"/>
      <c r="E329" s="133"/>
      <c r="F329" s="133"/>
      <c r="G329" s="133"/>
    </row>
    <row r="330" spans="1:7" ht="16.5">
      <c r="A330" s="124" t="s">
        <v>823</v>
      </c>
      <c r="B330" s="124" t="s">
        <v>1564</v>
      </c>
      <c r="C330" s="127" t="b">
        <v>0</v>
      </c>
      <c r="D330" s="128"/>
      <c r="E330" s="128"/>
      <c r="F330" s="128"/>
      <c r="G330" s="128"/>
    </row>
    <row r="331" spans="1:7" ht="16.5">
      <c r="A331" s="125" t="s">
        <v>825</v>
      </c>
      <c r="B331" s="125" t="s">
        <v>1262</v>
      </c>
      <c r="C331" s="132" t="b">
        <v>0</v>
      </c>
      <c r="D331" s="133"/>
      <c r="E331" s="133"/>
      <c r="F331" s="133"/>
      <c r="G331" s="133"/>
    </row>
    <row r="332" spans="1:7" ht="16.5">
      <c r="A332" s="124" t="s">
        <v>825</v>
      </c>
      <c r="B332" s="124" t="s">
        <v>1565</v>
      </c>
      <c r="C332" s="127" t="b">
        <v>0</v>
      </c>
      <c r="D332" s="128"/>
      <c r="E332" s="128"/>
      <c r="F332" s="128"/>
      <c r="G332" s="128"/>
    </row>
    <row r="333" spans="1:7" ht="16.5">
      <c r="A333" s="125" t="s">
        <v>827</v>
      </c>
      <c r="B333" s="125" t="s">
        <v>1262</v>
      </c>
      <c r="C333" s="132" t="b">
        <v>0</v>
      </c>
      <c r="D333" s="133"/>
      <c r="E333" s="133"/>
      <c r="F333" s="133"/>
      <c r="G333" s="133"/>
    </row>
    <row r="334" spans="1:7" ht="16.5">
      <c r="A334" s="124" t="s">
        <v>827</v>
      </c>
      <c r="B334" s="124" t="s">
        <v>1566</v>
      </c>
      <c r="C334" s="127" t="b">
        <v>0</v>
      </c>
      <c r="D334" s="128"/>
      <c r="E334" s="128"/>
      <c r="F334" s="128"/>
      <c r="G334" s="128"/>
    </row>
    <row r="335" spans="1:7" ht="16.5">
      <c r="A335" s="125" t="s">
        <v>829</v>
      </c>
      <c r="B335" s="125" t="s">
        <v>1567</v>
      </c>
      <c r="C335" s="132" t="b">
        <v>0</v>
      </c>
      <c r="D335" s="133"/>
      <c r="E335" s="133"/>
      <c r="F335" s="133"/>
      <c r="G335" s="133"/>
    </row>
    <row r="336" spans="1:7" ht="16.5">
      <c r="A336" s="124" t="s">
        <v>829</v>
      </c>
      <c r="B336" s="124" t="s">
        <v>1568</v>
      </c>
      <c r="C336" s="127" t="b">
        <v>0</v>
      </c>
      <c r="D336" s="128"/>
      <c r="E336" s="128"/>
      <c r="F336" s="128"/>
      <c r="G336" s="128"/>
    </row>
    <row r="337" spans="1:7" ht="16.5">
      <c r="A337" s="125" t="s">
        <v>833</v>
      </c>
      <c r="B337" s="125" t="s">
        <v>1569</v>
      </c>
      <c r="C337" s="132" t="b">
        <v>0</v>
      </c>
      <c r="D337" s="133"/>
      <c r="E337" s="133"/>
      <c r="F337" s="133"/>
      <c r="G337" s="133"/>
    </row>
    <row r="338" spans="1:7" ht="16.5">
      <c r="A338" s="124" t="s">
        <v>833</v>
      </c>
      <c r="B338" s="124" t="s">
        <v>1570</v>
      </c>
      <c r="C338" s="127" t="b">
        <v>0</v>
      </c>
      <c r="D338" s="128"/>
      <c r="E338" s="128"/>
      <c r="F338" s="128"/>
      <c r="G338" s="128"/>
    </row>
    <row r="339" spans="1:7" ht="16.5">
      <c r="A339" s="125" t="s">
        <v>837</v>
      </c>
      <c r="B339" s="125" t="s">
        <v>1571</v>
      </c>
      <c r="C339" s="132" t="b">
        <v>0</v>
      </c>
      <c r="D339" s="133"/>
      <c r="E339" s="133"/>
      <c r="F339" s="133"/>
      <c r="G339" s="133"/>
    </row>
    <row r="340" spans="1:7" ht="16.5">
      <c r="A340" s="124" t="s">
        <v>837</v>
      </c>
      <c r="B340" s="124" t="s">
        <v>1572</v>
      </c>
      <c r="C340" s="127" t="b">
        <v>0</v>
      </c>
      <c r="D340" s="128"/>
      <c r="E340" s="128"/>
      <c r="F340" s="128"/>
      <c r="G340" s="128"/>
    </row>
    <row r="341" spans="1:7" ht="16.5">
      <c r="A341" s="125" t="s">
        <v>840</v>
      </c>
      <c r="B341" s="125" t="s">
        <v>1262</v>
      </c>
      <c r="C341" s="132" t="b">
        <v>0</v>
      </c>
      <c r="D341" s="133"/>
      <c r="E341" s="133"/>
      <c r="F341" s="133"/>
      <c r="G341" s="133"/>
    </row>
    <row r="342" spans="1:7" ht="16.5">
      <c r="A342" s="124" t="s">
        <v>840</v>
      </c>
      <c r="B342" s="124" t="s">
        <v>1573</v>
      </c>
      <c r="C342" s="127" t="b">
        <v>0</v>
      </c>
      <c r="D342" s="128"/>
      <c r="E342" s="128"/>
      <c r="F342" s="128"/>
      <c r="G342" s="128"/>
    </row>
    <row r="343" spans="1:7" ht="16.5">
      <c r="A343" s="129" t="s">
        <v>842</v>
      </c>
      <c r="B343" s="129" t="s">
        <v>1574</v>
      </c>
      <c r="C343" s="130" t="b">
        <v>0</v>
      </c>
      <c r="D343" s="131"/>
      <c r="E343" s="131"/>
      <c r="F343" s="131"/>
      <c r="G343" s="131"/>
    </row>
    <row r="344" spans="1:7" ht="16.5">
      <c r="A344" s="31" t="s">
        <v>842</v>
      </c>
      <c r="B344" s="31" t="s">
        <v>1575</v>
      </c>
      <c r="C344" s="134" t="b">
        <v>0</v>
      </c>
      <c r="D344" s="135"/>
      <c r="E344" s="135"/>
      <c r="F344" s="135"/>
      <c r="G344" s="135"/>
    </row>
    <row r="345" spans="1:7" ht="16.5">
      <c r="A345" s="129" t="s">
        <v>845</v>
      </c>
      <c r="B345" s="129" t="s">
        <v>1576</v>
      </c>
      <c r="C345" s="130" t="b">
        <v>0</v>
      </c>
      <c r="D345" s="131"/>
      <c r="E345" s="131"/>
      <c r="F345" s="131"/>
      <c r="G345" s="131"/>
    </row>
    <row r="346" spans="1:7" ht="16.5">
      <c r="A346" s="31" t="s">
        <v>845</v>
      </c>
      <c r="B346" s="31" t="s">
        <v>1577</v>
      </c>
      <c r="C346" s="134" t="b">
        <v>0</v>
      </c>
      <c r="D346" s="135"/>
      <c r="E346" s="135"/>
      <c r="F346" s="135"/>
      <c r="G346" s="135">
        <v>40911</v>
      </c>
    </row>
    <row r="347" spans="1:7" ht="16.5">
      <c r="A347" s="129" t="s">
        <v>845</v>
      </c>
      <c r="B347" s="129" t="s">
        <v>1578</v>
      </c>
      <c r="C347" s="130" t="b">
        <v>0</v>
      </c>
      <c r="D347" s="131"/>
      <c r="E347" s="131"/>
      <c r="F347" s="131">
        <v>40911</v>
      </c>
      <c r="G347" s="131"/>
    </row>
    <row r="348" spans="1:7" ht="16.5">
      <c r="A348" s="31" t="s">
        <v>845</v>
      </c>
      <c r="B348" s="31" t="s">
        <v>1579</v>
      </c>
      <c r="C348" s="134" t="b">
        <v>1</v>
      </c>
      <c r="D348" s="135"/>
      <c r="E348" s="135"/>
      <c r="F348" s="135"/>
      <c r="G348" s="135"/>
    </row>
    <row r="349" spans="1:7" ht="16.5">
      <c r="A349" s="129" t="s">
        <v>845</v>
      </c>
      <c r="B349" s="129" t="s">
        <v>1580</v>
      </c>
      <c r="C349" s="130" t="b">
        <v>1</v>
      </c>
      <c r="D349" s="131"/>
      <c r="E349" s="131"/>
      <c r="F349" s="131"/>
      <c r="G349" s="131"/>
    </row>
    <row r="350" spans="1:7" ht="16.5">
      <c r="A350" s="31" t="s">
        <v>848</v>
      </c>
      <c r="B350" s="31" t="s">
        <v>1581</v>
      </c>
      <c r="C350" s="134" t="b">
        <v>0</v>
      </c>
      <c r="D350" s="135"/>
      <c r="E350" s="135"/>
      <c r="F350" s="135"/>
      <c r="G350" s="135"/>
    </row>
    <row r="351" spans="1:7" ht="16.5">
      <c r="A351" s="129" t="s">
        <v>848</v>
      </c>
      <c r="B351" s="129" t="s">
        <v>1582</v>
      </c>
      <c r="C351" s="130" t="b">
        <v>0</v>
      </c>
      <c r="D351" s="131"/>
      <c r="E351" s="131"/>
      <c r="F351" s="131"/>
      <c r="G351" s="131"/>
    </row>
    <row r="352" spans="1:7" ht="16.5">
      <c r="A352" s="31" t="s">
        <v>852</v>
      </c>
      <c r="B352" s="31" t="s">
        <v>1583</v>
      </c>
      <c r="C352" s="134" t="b">
        <v>0</v>
      </c>
      <c r="D352" s="135"/>
      <c r="E352" s="135"/>
      <c r="F352" s="135"/>
      <c r="G352" s="135"/>
    </row>
    <row r="353" spans="1:7" ht="16.5">
      <c r="A353" s="129" t="s">
        <v>852</v>
      </c>
      <c r="B353" s="129" t="s">
        <v>1584</v>
      </c>
      <c r="C353" s="130" t="b">
        <v>0</v>
      </c>
      <c r="D353" s="131"/>
      <c r="E353" s="131"/>
      <c r="F353" s="131"/>
      <c r="G353" s="131"/>
    </row>
    <row r="354" spans="1:7" ht="16.5">
      <c r="A354" s="31" t="s">
        <v>852</v>
      </c>
      <c r="B354" s="31" t="s">
        <v>1584</v>
      </c>
      <c r="C354" s="134" t="b">
        <v>0</v>
      </c>
      <c r="D354" s="135"/>
      <c r="E354" s="135"/>
      <c r="F354" s="135"/>
      <c r="G354" s="135"/>
    </row>
    <row r="355" spans="1:7" ht="16.5">
      <c r="A355" s="129" t="s">
        <v>855</v>
      </c>
      <c r="B355" s="129" t="s">
        <v>1585</v>
      </c>
      <c r="C355" s="130" t="b">
        <v>0</v>
      </c>
      <c r="D355" s="131"/>
      <c r="E355" s="131"/>
      <c r="F355" s="131"/>
      <c r="G355" s="131"/>
    </row>
    <row r="356" spans="1:7" ht="16.5">
      <c r="A356" s="31" t="s">
        <v>855</v>
      </c>
      <c r="B356" s="31" t="s">
        <v>1586</v>
      </c>
      <c r="C356" s="134" t="b">
        <v>0</v>
      </c>
      <c r="D356" s="135"/>
      <c r="E356" s="135"/>
      <c r="F356" s="135"/>
      <c r="G356" s="135">
        <v>43556</v>
      </c>
    </row>
    <row r="357" spans="1:7" ht="16.5">
      <c r="A357" s="129" t="s">
        <v>855</v>
      </c>
      <c r="B357" s="129" t="s">
        <v>1587</v>
      </c>
      <c r="C357" s="130" t="b">
        <v>0</v>
      </c>
      <c r="D357" s="131"/>
      <c r="E357" s="131"/>
      <c r="F357" s="131">
        <v>43556</v>
      </c>
      <c r="G357" s="131"/>
    </row>
    <row r="358" spans="1:7" ht="16.5">
      <c r="A358" s="31" t="s">
        <v>858</v>
      </c>
      <c r="B358" s="31" t="s">
        <v>1588</v>
      </c>
      <c r="C358" s="134" t="b">
        <v>0</v>
      </c>
      <c r="D358" s="135"/>
      <c r="E358" s="135"/>
      <c r="F358" s="135"/>
      <c r="G358" s="135"/>
    </row>
    <row r="359" spans="1:7" ht="16.5">
      <c r="A359" s="129" t="s">
        <v>858</v>
      </c>
      <c r="B359" s="129" t="s">
        <v>1589</v>
      </c>
      <c r="C359" s="130" t="b">
        <v>0</v>
      </c>
      <c r="D359" s="131"/>
      <c r="E359" s="131"/>
      <c r="F359" s="131"/>
      <c r="G359" s="131"/>
    </row>
    <row r="360" spans="1:7" ht="16.5">
      <c r="A360" s="31" t="s">
        <v>866</v>
      </c>
      <c r="B360" s="31" t="s">
        <v>1262</v>
      </c>
      <c r="C360" s="134" t="b">
        <v>0</v>
      </c>
      <c r="D360" s="135"/>
      <c r="E360" s="135"/>
      <c r="F360" s="135"/>
      <c r="G360" s="135"/>
    </row>
    <row r="361" spans="1:7" ht="16.5">
      <c r="A361" s="129" t="s">
        <v>866</v>
      </c>
      <c r="B361" s="129" t="s">
        <v>1590</v>
      </c>
      <c r="C361" s="130" t="b">
        <v>0</v>
      </c>
      <c r="D361" s="131"/>
      <c r="E361" s="131"/>
      <c r="F361" s="131"/>
      <c r="G361" s="131"/>
    </row>
    <row r="362" spans="1:7" ht="16.5">
      <c r="A362" s="31" t="s">
        <v>868</v>
      </c>
      <c r="B362" s="31" t="s">
        <v>1591</v>
      </c>
      <c r="C362" s="134" t="b">
        <v>0</v>
      </c>
      <c r="D362" s="135"/>
      <c r="E362" s="135"/>
      <c r="F362" s="135"/>
      <c r="G362" s="135"/>
    </row>
    <row r="363" spans="1:7" ht="16.5">
      <c r="A363" s="129" t="s">
        <v>868</v>
      </c>
      <c r="B363" s="129" t="s">
        <v>1592</v>
      </c>
      <c r="C363" s="130" t="b">
        <v>0</v>
      </c>
      <c r="D363" s="131"/>
      <c r="E363" s="131"/>
      <c r="F363" s="131"/>
      <c r="G363" s="131"/>
    </row>
    <row r="364" spans="1:7" ht="16.5">
      <c r="A364" s="31" t="s">
        <v>872</v>
      </c>
      <c r="B364" s="31" t="s">
        <v>1593</v>
      </c>
      <c r="C364" s="134" t="b">
        <v>0</v>
      </c>
      <c r="D364" s="135"/>
      <c r="E364" s="135"/>
      <c r="F364" s="135"/>
      <c r="G364" s="135"/>
    </row>
    <row r="365" spans="1:7" ht="16.5">
      <c r="A365" s="129" t="s">
        <v>872</v>
      </c>
      <c r="B365" s="129" t="s">
        <v>1594</v>
      </c>
      <c r="C365" s="130" t="b">
        <v>0</v>
      </c>
      <c r="D365" s="131"/>
      <c r="E365" s="131"/>
      <c r="F365" s="131"/>
      <c r="G365" s="131"/>
    </row>
    <row r="366" spans="1:7" ht="16.5">
      <c r="A366" s="31" t="s">
        <v>876</v>
      </c>
      <c r="B366" s="31" t="s">
        <v>1262</v>
      </c>
      <c r="C366" s="134" t="b">
        <v>0</v>
      </c>
      <c r="D366" s="135"/>
      <c r="E366" s="135"/>
      <c r="F366" s="135"/>
      <c r="G366" s="135"/>
    </row>
    <row r="367" spans="1:7" ht="16.5">
      <c r="A367" s="129" t="s">
        <v>876</v>
      </c>
      <c r="B367" s="129" t="s">
        <v>1595</v>
      </c>
      <c r="C367" s="130" t="b">
        <v>0</v>
      </c>
      <c r="D367" s="131"/>
      <c r="E367" s="131"/>
      <c r="F367" s="131"/>
      <c r="G367" s="131"/>
    </row>
    <row r="368" spans="1:7" ht="16.5">
      <c r="A368" s="31" t="s">
        <v>878</v>
      </c>
      <c r="B368" s="31" t="s">
        <v>1262</v>
      </c>
      <c r="C368" s="134" t="b">
        <v>0</v>
      </c>
      <c r="D368" s="135"/>
      <c r="E368" s="135"/>
      <c r="F368" s="135"/>
      <c r="G368" s="135"/>
    </row>
    <row r="369" spans="1:7" ht="16.5">
      <c r="A369" s="129" t="s">
        <v>878</v>
      </c>
      <c r="B369" s="129" t="s">
        <v>1596</v>
      </c>
      <c r="C369" s="130" t="b">
        <v>0</v>
      </c>
      <c r="D369" s="131"/>
      <c r="E369" s="131"/>
      <c r="F369" s="131"/>
      <c r="G369" s="131"/>
    </row>
    <row r="370" spans="1:7" ht="16.5">
      <c r="A370" s="31" t="s">
        <v>880</v>
      </c>
      <c r="B370" s="31" t="s">
        <v>1262</v>
      </c>
      <c r="C370" s="134" t="b">
        <v>0</v>
      </c>
      <c r="D370" s="135"/>
      <c r="E370" s="135"/>
      <c r="F370" s="135"/>
      <c r="G370" s="135"/>
    </row>
    <row r="371" spans="1:7" ht="16.5">
      <c r="A371" s="129" t="s">
        <v>880</v>
      </c>
      <c r="B371" s="129" t="s">
        <v>1597</v>
      </c>
      <c r="C371" s="130" t="b">
        <v>0</v>
      </c>
      <c r="D371" s="131"/>
      <c r="E371" s="131"/>
      <c r="F371" s="131"/>
      <c r="G371" s="131"/>
    </row>
    <row r="372" spans="1:7" ht="16.5">
      <c r="A372" s="31" t="s">
        <v>883</v>
      </c>
      <c r="B372" s="31" t="s">
        <v>1262</v>
      </c>
      <c r="C372" s="134" t="b">
        <v>0</v>
      </c>
      <c r="D372" s="135"/>
      <c r="E372" s="135"/>
      <c r="F372" s="135"/>
      <c r="G372" s="135"/>
    </row>
    <row r="373" spans="1:7" ht="16.5">
      <c r="A373" s="129" t="s">
        <v>883</v>
      </c>
      <c r="B373" s="129" t="s">
        <v>1598</v>
      </c>
      <c r="C373" s="130" t="b">
        <v>0</v>
      </c>
      <c r="D373" s="131"/>
      <c r="E373" s="131"/>
      <c r="F373" s="131"/>
      <c r="G373" s="131"/>
    </row>
    <row r="374" spans="1:7" ht="16.5">
      <c r="A374" s="31" t="s">
        <v>885</v>
      </c>
      <c r="B374" s="31" t="s">
        <v>1262</v>
      </c>
      <c r="C374" s="134" t="b">
        <v>0</v>
      </c>
      <c r="D374" s="135"/>
      <c r="E374" s="135"/>
      <c r="F374" s="135"/>
      <c r="G374" s="135"/>
    </row>
    <row r="375" spans="1:7" ht="16.5">
      <c r="A375" s="129" t="s">
        <v>885</v>
      </c>
      <c r="B375" s="129" t="s">
        <v>1599</v>
      </c>
      <c r="C375" s="130" t="b">
        <v>0</v>
      </c>
      <c r="D375" s="131"/>
      <c r="E375" s="131"/>
      <c r="F375" s="131"/>
      <c r="G375" s="131"/>
    </row>
    <row r="376" spans="1:7" ht="16.5">
      <c r="A376" s="31" t="s">
        <v>888</v>
      </c>
      <c r="B376" s="31" t="s">
        <v>1600</v>
      </c>
      <c r="C376" s="134" t="b">
        <v>0</v>
      </c>
      <c r="D376" s="135"/>
      <c r="E376" s="135"/>
      <c r="F376" s="135"/>
      <c r="G376" s="135"/>
    </row>
    <row r="377" spans="1:7" ht="16.5">
      <c r="A377" s="129" t="s">
        <v>888</v>
      </c>
      <c r="B377" s="129" t="s">
        <v>1601</v>
      </c>
      <c r="C377" s="130" t="b">
        <v>0</v>
      </c>
      <c r="D377" s="131"/>
      <c r="E377" s="131"/>
      <c r="F377" s="131"/>
      <c r="G377" s="131">
        <v>37853</v>
      </c>
    </row>
    <row r="378" spans="1:7" ht="16.5">
      <c r="A378" s="31" t="s">
        <v>888</v>
      </c>
      <c r="B378" s="31" t="s">
        <v>1602</v>
      </c>
      <c r="C378" s="134" t="b">
        <v>0</v>
      </c>
      <c r="D378" s="135"/>
      <c r="E378" s="135"/>
      <c r="F378" s="135">
        <v>37853</v>
      </c>
      <c r="G378" s="135"/>
    </row>
    <row r="379" spans="1:7" ht="16.5">
      <c r="A379" s="129" t="s">
        <v>895</v>
      </c>
      <c r="B379" s="129" t="s">
        <v>1603</v>
      </c>
      <c r="C379" s="130" t="b">
        <v>0</v>
      </c>
      <c r="D379" s="131"/>
      <c r="E379" s="131"/>
      <c r="F379" s="131"/>
      <c r="G379" s="131"/>
    </row>
    <row r="380" spans="1:7" ht="16.5">
      <c r="A380" s="31" t="s">
        <v>895</v>
      </c>
      <c r="B380" s="31" t="s">
        <v>1604</v>
      </c>
      <c r="C380" s="134" t="b">
        <v>0</v>
      </c>
      <c r="D380" s="135"/>
      <c r="E380" s="135"/>
      <c r="F380" s="135"/>
      <c r="G380" s="135"/>
    </row>
    <row r="381" spans="1:7" ht="16.5">
      <c r="A381" s="129" t="s">
        <v>902</v>
      </c>
      <c r="B381" s="129" t="s">
        <v>1605</v>
      </c>
      <c r="C381" s="130" t="b">
        <v>0</v>
      </c>
      <c r="D381" s="131"/>
      <c r="E381" s="131"/>
      <c r="F381" s="131"/>
      <c r="G381" s="131"/>
    </row>
    <row r="382" spans="1:7" ht="16.5">
      <c r="A382" s="31" t="s">
        <v>902</v>
      </c>
      <c r="B382" s="31" t="s">
        <v>1606</v>
      </c>
      <c r="C382" s="134" t="b">
        <v>0</v>
      </c>
      <c r="D382" s="135"/>
      <c r="E382" s="135"/>
      <c r="F382" s="135"/>
      <c r="G382" s="135"/>
    </row>
    <row r="383" spans="1:7" ht="16.5">
      <c r="A383" s="129" t="s">
        <v>908</v>
      </c>
      <c r="B383" s="129" t="s">
        <v>1262</v>
      </c>
      <c r="C383" s="130" t="b">
        <v>0</v>
      </c>
      <c r="D383" s="131"/>
      <c r="E383" s="131"/>
      <c r="F383" s="131"/>
      <c r="G383" s="131"/>
    </row>
    <row r="384" spans="1:7" ht="16.5">
      <c r="A384" s="31" t="s">
        <v>908</v>
      </c>
      <c r="B384" s="31" t="s">
        <v>1607</v>
      </c>
      <c r="C384" s="134" t="b">
        <v>0</v>
      </c>
      <c r="D384" s="135"/>
      <c r="E384" s="135"/>
      <c r="F384" s="135"/>
      <c r="G384" s="135"/>
    </row>
    <row r="385" spans="1:7" ht="16.5">
      <c r="A385" s="129" t="s">
        <v>911</v>
      </c>
      <c r="B385" s="129" t="s">
        <v>1262</v>
      </c>
      <c r="C385" s="130" t="b">
        <v>0</v>
      </c>
      <c r="D385" s="131"/>
      <c r="E385" s="131"/>
      <c r="F385" s="131"/>
      <c r="G385" s="131"/>
    </row>
    <row r="386" spans="1:7" ht="16.5">
      <c r="A386" s="31" t="s">
        <v>911</v>
      </c>
      <c r="B386" s="31" t="s">
        <v>1608</v>
      </c>
      <c r="C386" s="134" t="b">
        <v>0</v>
      </c>
      <c r="D386" s="135"/>
      <c r="E386" s="135"/>
      <c r="F386" s="135"/>
      <c r="G386" s="135"/>
    </row>
    <row r="387" spans="1:7" ht="16.5">
      <c r="A387" s="129" t="s">
        <v>913</v>
      </c>
      <c r="B387" s="129" t="s">
        <v>1609</v>
      </c>
      <c r="C387" s="130" t="b">
        <v>0</v>
      </c>
      <c r="D387" s="131"/>
      <c r="E387" s="131"/>
      <c r="F387" s="131"/>
      <c r="G387" s="131"/>
    </row>
    <row r="388" spans="1:7" ht="16.5">
      <c r="A388" s="31" t="s">
        <v>913</v>
      </c>
      <c r="B388" s="31" t="s">
        <v>1610</v>
      </c>
      <c r="C388" s="134" t="b">
        <v>0</v>
      </c>
      <c r="D388" s="135"/>
      <c r="E388" s="135"/>
      <c r="F388" s="135"/>
      <c r="G388" s="135"/>
    </row>
    <row r="389" spans="1:7" ht="16.5">
      <c r="A389" s="129" t="s">
        <v>913</v>
      </c>
      <c r="B389" s="129" t="s">
        <v>1610</v>
      </c>
      <c r="C389" s="130" t="b">
        <v>0</v>
      </c>
      <c r="D389" s="131"/>
      <c r="E389" s="131"/>
      <c r="F389" s="131"/>
      <c r="G389" s="131"/>
    </row>
    <row r="390" spans="1:7" ht="16.5">
      <c r="A390" s="31" t="s">
        <v>917</v>
      </c>
      <c r="B390" s="31" t="s">
        <v>1611</v>
      </c>
      <c r="C390" s="134" t="b">
        <v>0</v>
      </c>
      <c r="D390" s="135"/>
      <c r="E390" s="135"/>
      <c r="F390" s="135"/>
      <c r="G390" s="135"/>
    </row>
    <row r="391" spans="1:7" ht="16.5">
      <c r="A391" s="129" t="s">
        <v>917</v>
      </c>
      <c r="B391" s="129" t="s">
        <v>1612</v>
      </c>
      <c r="C391" s="130" t="b">
        <v>0</v>
      </c>
      <c r="D391" s="131"/>
      <c r="E391" s="131"/>
      <c r="F391" s="131"/>
      <c r="G391" s="131">
        <v>39869</v>
      </c>
    </row>
    <row r="392" spans="1:7" ht="16.5">
      <c r="A392" s="31" t="s">
        <v>917</v>
      </c>
      <c r="B392" s="31" t="s">
        <v>1613</v>
      </c>
      <c r="C392" s="134" t="b">
        <v>0</v>
      </c>
      <c r="D392" s="135"/>
      <c r="E392" s="135"/>
      <c r="F392" s="135">
        <v>39869</v>
      </c>
      <c r="G392" s="135"/>
    </row>
    <row r="393" spans="1:7" ht="16.5">
      <c r="A393" s="129" t="s">
        <v>921</v>
      </c>
      <c r="B393" s="129" t="s">
        <v>1614</v>
      </c>
      <c r="C393" s="130" t="b">
        <v>0</v>
      </c>
      <c r="D393" s="131"/>
      <c r="E393" s="131"/>
      <c r="F393" s="131"/>
      <c r="G393" s="131"/>
    </row>
    <row r="394" spans="1:7" ht="16.5">
      <c r="A394" s="31" t="s">
        <v>921</v>
      </c>
      <c r="B394" s="31" t="s">
        <v>1615</v>
      </c>
      <c r="C394" s="134" t="b">
        <v>0</v>
      </c>
      <c r="D394" s="135"/>
      <c r="E394" s="135"/>
      <c r="F394" s="135"/>
      <c r="G394" s="135"/>
    </row>
    <row r="395" spans="1:7" ht="16.5">
      <c r="A395" s="129" t="s">
        <v>925</v>
      </c>
      <c r="B395" s="129" t="s">
        <v>1616</v>
      </c>
      <c r="C395" s="130" t="b">
        <v>0</v>
      </c>
      <c r="D395" s="131"/>
      <c r="E395" s="131"/>
      <c r="F395" s="131"/>
      <c r="G395" s="131"/>
    </row>
    <row r="396" spans="1:7" ht="16.5">
      <c r="A396" s="31" t="s">
        <v>925</v>
      </c>
      <c r="B396" s="31" t="s">
        <v>1617</v>
      </c>
      <c r="C396" s="134" t="b">
        <v>0</v>
      </c>
      <c r="D396" s="135"/>
      <c r="E396" s="135"/>
      <c r="F396" s="135"/>
      <c r="G396" s="135">
        <v>40360</v>
      </c>
    </row>
    <row r="397" spans="1:7" ht="16.5">
      <c r="A397" s="129" t="s">
        <v>925</v>
      </c>
      <c r="B397" s="129" t="s">
        <v>1618</v>
      </c>
      <c r="C397" s="130" t="b">
        <v>0</v>
      </c>
      <c r="D397" s="131"/>
      <c r="E397" s="131"/>
      <c r="F397" s="131">
        <v>40360</v>
      </c>
      <c r="G397" s="131"/>
    </row>
    <row r="398" spans="1:7" ht="16.5">
      <c r="A398" s="31" t="s">
        <v>929</v>
      </c>
      <c r="B398" s="31" t="s">
        <v>1619</v>
      </c>
      <c r="C398" s="134" t="b">
        <v>0</v>
      </c>
      <c r="D398" s="135"/>
      <c r="E398" s="135"/>
      <c r="F398" s="135"/>
      <c r="G398" s="135"/>
    </row>
    <row r="399" spans="1:7" ht="16.5">
      <c r="A399" s="129" t="s">
        <v>929</v>
      </c>
      <c r="B399" s="129" t="s">
        <v>1620</v>
      </c>
      <c r="C399" s="130" t="b">
        <v>0</v>
      </c>
      <c r="D399" s="131"/>
      <c r="E399" s="131"/>
      <c r="F399" s="131"/>
      <c r="G399" s="131"/>
    </row>
    <row r="400" spans="1:7" ht="16.5">
      <c r="A400" s="31" t="s">
        <v>931</v>
      </c>
      <c r="B400" s="31" t="s">
        <v>1262</v>
      </c>
      <c r="C400" s="134" t="b">
        <v>0</v>
      </c>
      <c r="D400" s="135"/>
      <c r="E400" s="135"/>
      <c r="F400" s="135"/>
      <c r="G400" s="135"/>
    </row>
    <row r="401" spans="1:7" ht="16.5">
      <c r="A401" s="129" t="s">
        <v>931</v>
      </c>
      <c r="B401" s="129" t="s">
        <v>1621</v>
      </c>
      <c r="C401" s="130" t="b">
        <v>0</v>
      </c>
      <c r="D401" s="131"/>
      <c r="E401" s="131"/>
      <c r="F401" s="131"/>
      <c r="G401" s="131"/>
    </row>
    <row r="402" spans="1:7" ht="16.5">
      <c r="A402" s="31" t="s">
        <v>933</v>
      </c>
      <c r="B402" s="31" t="s">
        <v>1262</v>
      </c>
      <c r="C402" s="134" t="b">
        <v>0</v>
      </c>
      <c r="D402" s="135"/>
      <c r="E402" s="135"/>
      <c r="F402" s="135"/>
      <c r="G402" s="135"/>
    </row>
    <row r="403" spans="1:7" ht="16.5">
      <c r="A403" s="129" t="s">
        <v>933</v>
      </c>
      <c r="B403" s="129" t="s">
        <v>1622</v>
      </c>
      <c r="C403" s="130" t="b">
        <v>0</v>
      </c>
      <c r="D403" s="131"/>
      <c r="E403" s="131"/>
      <c r="F403" s="131"/>
      <c r="G403" s="131"/>
    </row>
    <row r="404" spans="1:7" ht="16.5">
      <c r="A404" s="31" t="s">
        <v>935</v>
      </c>
      <c r="B404" s="31" t="s">
        <v>1623</v>
      </c>
      <c r="C404" s="134" t="b">
        <v>0</v>
      </c>
      <c r="D404" s="135"/>
      <c r="E404" s="135"/>
      <c r="F404" s="135"/>
      <c r="G404" s="135"/>
    </row>
    <row r="405" spans="1:7" ht="16.5">
      <c r="A405" s="129" t="s">
        <v>935</v>
      </c>
      <c r="B405" s="129" t="s">
        <v>1624</v>
      </c>
      <c r="C405" s="130" t="b">
        <v>0</v>
      </c>
      <c r="D405" s="131"/>
      <c r="E405" s="131"/>
      <c r="F405" s="131"/>
      <c r="G405" s="131"/>
    </row>
    <row r="406" spans="1:7" ht="16.5">
      <c r="A406" s="31" t="s">
        <v>939</v>
      </c>
      <c r="B406" s="31" t="s">
        <v>1262</v>
      </c>
      <c r="C406" s="134" t="b">
        <v>0</v>
      </c>
      <c r="D406" s="135"/>
      <c r="E406" s="135"/>
      <c r="F406" s="135"/>
      <c r="G406" s="135"/>
    </row>
    <row r="407" spans="1:7" ht="16.5">
      <c r="A407" s="129" t="s">
        <v>939</v>
      </c>
      <c r="B407" s="129" t="s">
        <v>1625</v>
      </c>
      <c r="C407" s="130" t="b">
        <v>0</v>
      </c>
      <c r="D407" s="131"/>
      <c r="E407" s="131"/>
      <c r="F407" s="131"/>
      <c r="G407" s="131"/>
    </row>
    <row r="408" spans="1:7" ht="16.5">
      <c r="A408" s="31" t="s">
        <v>941</v>
      </c>
      <c r="B408" s="31" t="s">
        <v>1626</v>
      </c>
      <c r="C408" s="134" t="b">
        <v>0</v>
      </c>
      <c r="D408" s="135"/>
      <c r="E408" s="135"/>
      <c r="F408" s="135"/>
      <c r="G408" s="135"/>
    </row>
    <row r="409" spans="1:7" ht="16.5">
      <c r="A409" s="129" t="s">
        <v>941</v>
      </c>
      <c r="B409" s="129" t="s">
        <v>1627</v>
      </c>
      <c r="C409" s="130" t="b">
        <v>0</v>
      </c>
      <c r="D409" s="131"/>
      <c r="E409" s="131">
        <v>38089</v>
      </c>
      <c r="F409" s="131"/>
      <c r="G409" s="131"/>
    </row>
    <row r="410" spans="1:7" ht="16.5">
      <c r="A410" s="31" t="s">
        <v>941</v>
      </c>
      <c r="B410" s="31" t="s">
        <v>1628</v>
      </c>
      <c r="C410" s="134" t="b">
        <v>0</v>
      </c>
      <c r="D410" s="135">
        <v>38089</v>
      </c>
      <c r="E410" s="135"/>
      <c r="F410" s="135"/>
      <c r="G410" s="135"/>
    </row>
    <row r="411" spans="1:7" ht="16.5">
      <c r="A411" s="129" t="s">
        <v>945</v>
      </c>
      <c r="B411" s="129" t="s">
        <v>1629</v>
      </c>
      <c r="C411" s="130" t="b">
        <v>0</v>
      </c>
      <c r="D411" s="131"/>
      <c r="E411" s="131"/>
      <c r="F411" s="131"/>
      <c r="G411" s="131"/>
    </row>
    <row r="412" spans="1:7" ht="16.5">
      <c r="A412" s="31" t="s">
        <v>945</v>
      </c>
      <c r="B412" s="31" t="s">
        <v>1630</v>
      </c>
      <c r="C412" s="134" t="b">
        <v>0</v>
      </c>
      <c r="D412" s="135"/>
      <c r="E412" s="135"/>
      <c r="F412" s="135"/>
      <c r="G412" s="135"/>
    </row>
    <row r="413" spans="1:7" ht="16.5">
      <c r="A413" s="129" t="s">
        <v>949</v>
      </c>
      <c r="B413" s="129" t="s">
        <v>1631</v>
      </c>
      <c r="C413" s="130" t="b">
        <v>0</v>
      </c>
      <c r="D413" s="131"/>
      <c r="E413" s="131"/>
      <c r="F413" s="131"/>
      <c r="G413" s="131"/>
    </row>
    <row r="414" spans="1:7" ht="16.5">
      <c r="A414" s="31" t="s">
        <v>949</v>
      </c>
      <c r="B414" s="31" t="s">
        <v>1632</v>
      </c>
      <c r="C414" s="134" t="b">
        <v>0</v>
      </c>
      <c r="D414" s="135"/>
      <c r="E414" s="135"/>
      <c r="F414" s="135"/>
      <c r="G414" s="135"/>
    </row>
    <row r="415" spans="1:7" ht="16.5">
      <c r="A415" s="129" t="s">
        <v>953</v>
      </c>
      <c r="B415" s="129" t="s">
        <v>1633</v>
      </c>
      <c r="C415" s="130" t="b">
        <v>0</v>
      </c>
      <c r="D415" s="131"/>
      <c r="E415" s="131"/>
      <c r="F415" s="131"/>
      <c r="G415" s="131"/>
    </row>
    <row r="416" spans="1:7" ht="16.5">
      <c r="A416" s="31" t="s">
        <v>953</v>
      </c>
      <c r="B416" s="31" t="s">
        <v>1634</v>
      </c>
      <c r="C416" s="134" t="b">
        <v>0</v>
      </c>
      <c r="D416" s="135"/>
      <c r="E416" s="135"/>
      <c r="F416" s="135"/>
      <c r="G416" s="135">
        <v>35387</v>
      </c>
    </row>
    <row r="417" spans="1:7" ht="16.5">
      <c r="A417" s="129" t="s">
        <v>953</v>
      </c>
      <c r="B417" s="129" t="s">
        <v>1635</v>
      </c>
      <c r="C417" s="130" t="b">
        <v>0</v>
      </c>
      <c r="D417" s="131"/>
      <c r="E417" s="131"/>
      <c r="F417" s="131">
        <v>35387</v>
      </c>
      <c r="G417" s="131"/>
    </row>
    <row r="418" spans="1:7" ht="16.5">
      <c r="A418" s="31" t="s">
        <v>956</v>
      </c>
      <c r="B418" s="31" t="s">
        <v>1636</v>
      </c>
      <c r="C418" s="134" t="b">
        <v>0</v>
      </c>
      <c r="D418" s="135"/>
      <c r="E418" s="135"/>
      <c r="F418" s="135"/>
      <c r="G418" s="135"/>
    </row>
    <row r="419" spans="1:7" ht="16.5">
      <c r="A419" s="129" t="s">
        <v>956</v>
      </c>
      <c r="B419" s="129" t="s">
        <v>1637</v>
      </c>
      <c r="C419" s="130" t="b">
        <v>0</v>
      </c>
      <c r="D419" s="131"/>
      <c r="E419" s="131"/>
      <c r="F419" s="131"/>
      <c r="G419" s="131"/>
    </row>
    <row r="420" spans="1:7" ht="16.5">
      <c r="A420" s="31" t="s">
        <v>960</v>
      </c>
      <c r="B420" s="31" t="s">
        <v>1638</v>
      </c>
      <c r="C420" s="134" t="b">
        <v>0</v>
      </c>
      <c r="D420" s="135"/>
      <c r="E420" s="135"/>
      <c r="F420" s="135"/>
      <c r="G420" s="135"/>
    </row>
    <row r="421" spans="1:7" ht="16.5">
      <c r="A421" s="129" t="s">
        <v>960</v>
      </c>
      <c r="B421" s="129" t="s">
        <v>1639</v>
      </c>
      <c r="C421" s="130" t="b">
        <v>0</v>
      </c>
      <c r="D421" s="131"/>
      <c r="E421" s="131"/>
      <c r="F421" s="131"/>
      <c r="G421" s="131"/>
    </row>
    <row r="422" spans="1:7" ht="16.5">
      <c r="A422" s="31" t="s">
        <v>964</v>
      </c>
      <c r="B422" s="31" t="s">
        <v>1262</v>
      </c>
      <c r="C422" s="134" t="b">
        <v>0</v>
      </c>
      <c r="D422" s="135"/>
      <c r="E422" s="135"/>
      <c r="F422" s="135"/>
      <c r="G422" s="135"/>
    </row>
    <row r="423" spans="1:7" ht="16.5">
      <c r="A423" s="129" t="s">
        <v>964</v>
      </c>
      <c r="B423" s="129" t="s">
        <v>1640</v>
      </c>
      <c r="C423" s="130" t="b">
        <v>0</v>
      </c>
      <c r="D423" s="131"/>
      <c r="E423" s="131"/>
      <c r="F423" s="131"/>
      <c r="G423" s="131"/>
    </row>
    <row r="424" spans="1:7" ht="16.5">
      <c r="A424" s="31" t="s">
        <v>967</v>
      </c>
      <c r="B424" s="31" t="s">
        <v>1641</v>
      </c>
      <c r="C424" s="134" t="b">
        <v>0</v>
      </c>
      <c r="D424" s="135"/>
      <c r="E424" s="135"/>
      <c r="F424" s="135"/>
      <c r="G424" s="135"/>
    </row>
    <row r="425" spans="1:7" ht="16.5">
      <c r="A425" s="129" t="s">
        <v>967</v>
      </c>
      <c r="B425" s="129" t="s">
        <v>1642</v>
      </c>
      <c r="C425" s="130" t="b">
        <v>0</v>
      </c>
      <c r="D425" s="131"/>
      <c r="E425" s="131"/>
      <c r="F425" s="131"/>
      <c r="G425" s="131">
        <v>33584</v>
      </c>
    </row>
    <row r="426" spans="1:7" ht="16.5">
      <c r="A426" s="31" t="s">
        <v>967</v>
      </c>
      <c r="B426" s="31" t="s">
        <v>1643</v>
      </c>
      <c r="C426" s="134" t="b">
        <v>0</v>
      </c>
      <c r="D426" s="135"/>
      <c r="E426" s="135"/>
      <c r="F426" s="135">
        <v>33584</v>
      </c>
      <c r="G426" s="135"/>
    </row>
    <row r="427" spans="1:7" ht="16.5">
      <c r="A427" s="129" t="s">
        <v>971</v>
      </c>
      <c r="B427" s="129" t="s">
        <v>1644</v>
      </c>
      <c r="C427" s="130" t="b">
        <v>0</v>
      </c>
      <c r="D427" s="131"/>
      <c r="E427" s="131"/>
      <c r="F427" s="131"/>
      <c r="G427" s="131"/>
    </row>
    <row r="428" spans="1:7" ht="16.5">
      <c r="A428" s="31" t="s">
        <v>971</v>
      </c>
      <c r="B428" s="31" t="s">
        <v>1645</v>
      </c>
      <c r="C428" s="134" t="b">
        <v>0</v>
      </c>
      <c r="D428" s="135"/>
      <c r="E428" s="135"/>
      <c r="F428" s="135"/>
      <c r="G428" s="135"/>
    </row>
    <row r="429" spans="1:7" ht="16.5">
      <c r="A429" s="129" t="s">
        <v>975</v>
      </c>
      <c r="B429" s="129" t="s">
        <v>1646</v>
      </c>
      <c r="C429" s="130" t="b">
        <v>0</v>
      </c>
      <c r="D429" s="131"/>
      <c r="E429" s="131"/>
      <c r="F429" s="131"/>
      <c r="G429" s="131"/>
    </row>
    <row r="430" spans="1:7" ht="16.5">
      <c r="A430" s="31" t="s">
        <v>975</v>
      </c>
      <c r="B430" s="31" t="s">
        <v>1647</v>
      </c>
      <c r="C430" s="134" t="b">
        <v>0</v>
      </c>
      <c r="D430" s="135"/>
      <c r="E430" s="135"/>
      <c r="F430" s="135"/>
      <c r="G430" s="135"/>
    </row>
    <row r="431" spans="1:7" ht="16.5">
      <c r="A431" s="129" t="s">
        <v>979</v>
      </c>
      <c r="B431" s="129" t="s">
        <v>1648</v>
      </c>
      <c r="C431" s="130" t="b">
        <v>0</v>
      </c>
      <c r="D431" s="131"/>
      <c r="E431" s="131"/>
      <c r="F431" s="131"/>
      <c r="G431" s="131"/>
    </row>
    <row r="432" spans="1:7" ht="16.5">
      <c r="A432" s="31" t="s">
        <v>979</v>
      </c>
      <c r="B432" s="31" t="s">
        <v>1649</v>
      </c>
      <c r="C432" s="134" t="b">
        <v>0</v>
      </c>
      <c r="D432" s="135"/>
      <c r="E432" s="135"/>
      <c r="F432" s="135"/>
      <c r="G432" s="135">
        <v>43647</v>
      </c>
    </row>
    <row r="433" spans="1:7" ht="16.5">
      <c r="A433" s="129" t="s">
        <v>979</v>
      </c>
      <c r="B433" s="129" t="s">
        <v>1650</v>
      </c>
      <c r="C433" s="130" t="b">
        <v>0</v>
      </c>
      <c r="D433" s="131"/>
      <c r="E433" s="131"/>
      <c r="F433" s="131">
        <v>43647</v>
      </c>
      <c r="G433" s="131"/>
    </row>
    <row r="434" spans="1:7" ht="16.5">
      <c r="A434" s="31" t="s">
        <v>982</v>
      </c>
      <c r="B434" s="31" t="s">
        <v>1651</v>
      </c>
      <c r="C434" s="134" t="b">
        <v>0</v>
      </c>
      <c r="D434" s="135"/>
      <c r="E434" s="135"/>
      <c r="F434" s="135"/>
      <c r="G434" s="135"/>
    </row>
    <row r="435" spans="1:7" ht="16.5">
      <c r="A435" s="129" t="s">
        <v>982</v>
      </c>
      <c r="B435" s="129" t="s">
        <v>1652</v>
      </c>
      <c r="C435" s="130" t="b">
        <v>0</v>
      </c>
      <c r="D435" s="131"/>
      <c r="E435" s="131"/>
      <c r="F435" s="131"/>
      <c r="G435" s="131"/>
    </row>
    <row r="436" spans="1:7" ht="16.5">
      <c r="A436" s="31" t="s">
        <v>986</v>
      </c>
      <c r="B436" s="31" t="s">
        <v>1653</v>
      </c>
      <c r="C436" s="134" t="b">
        <v>0</v>
      </c>
      <c r="D436" s="135"/>
      <c r="E436" s="135"/>
      <c r="F436" s="135"/>
      <c r="G436" s="135"/>
    </row>
    <row r="437" spans="1:7" ht="16.5">
      <c r="A437" s="129" t="s">
        <v>986</v>
      </c>
      <c r="B437" s="129" t="s">
        <v>1654</v>
      </c>
      <c r="C437" s="130" t="b">
        <v>0</v>
      </c>
      <c r="D437" s="131"/>
      <c r="E437" s="131"/>
      <c r="F437" s="131"/>
      <c r="G437" s="131"/>
    </row>
    <row r="438" spans="1:7" ht="16.5">
      <c r="A438" s="31" t="s">
        <v>990</v>
      </c>
      <c r="B438" s="31" t="s">
        <v>1262</v>
      </c>
      <c r="C438" s="134" t="b">
        <v>0</v>
      </c>
      <c r="D438" s="135"/>
      <c r="E438" s="135"/>
      <c r="F438" s="135"/>
      <c r="G438" s="135"/>
    </row>
    <row r="439" spans="1:7" ht="16.5">
      <c r="A439" s="129" t="s">
        <v>990</v>
      </c>
      <c r="B439" s="129" t="s">
        <v>1655</v>
      </c>
      <c r="C439" s="130" t="b">
        <v>0</v>
      </c>
      <c r="D439" s="131"/>
      <c r="E439" s="131"/>
      <c r="F439" s="131"/>
      <c r="G439" s="131"/>
    </row>
    <row r="440" spans="1:7" ht="16.5">
      <c r="A440" s="31" t="s">
        <v>992</v>
      </c>
      <c r="B440" s="31" t="s">
        <v>1656</v>
      </c>
      <c r="C440" s="134" t="b">
        <v>0</v>
      </c>
      <c r="D440" s="135"/>
      <c r="E440" s="135"/>
      <c r="F440" s="135"/>
      <c r="G440" s="135"/>
    </row>
    <row r="441" spans="1:7" ht="16.5">
      <c r="A441" s="129" t="s">
        <v>992</v>
      </c>
      <c r="B441" s="129" t="s">
        <v>1657</v>
      </c>
      <c r="C441" s="130" t="b">
        <v>0</v>
      </c>
      <c r="D441" s="131"/>
      <c r="E441" s="131"/>
      <c r="F441" s="131"/>
      <c r="G441" s="131"/>
    </row>
    <row r="442" spans="1:7" ht="16.5">
      <c r="A442" s="31" t="s">
        <v>995</v>
      </c>
      <c r="B442" s="31" t="s">
        <v>1658</v>
      </c>
      <c r="C442" s="134" t="b">
        <v>0</v>
      </c>
      <c r="D442" s="135"/>
      <c r="E442" s="135"/>
      <c r="F442" s="135"/>
      <c r="G442" s="135"/>
    </row>
    <row r="443" spans="1:7" ht="16.5">
      <c r="A443" s="129" t="s">
        <v>995</v>
      </c>
      <c r="B443" s="129" t="s">
        <v>1659</v>
      </c>
      <c r="C443" s="130" t="b">
        <v>0</v>
      </c>
      <c r="D443" s="131"/>
      <c r="E443" s="131"/>
      <c r="F443" s="131"/>
      <c r="G443" s="131"/>
    </row>
    <row r="444" spans="1:7" ht="16.5">
      <c r="A444" s="31" t="s">
        <v>999</v>
      </c>
      <c r="B444" s="31" t="s">
        <v>1660</v>
      </c>
      <c r="C444" s="134" t="b">
        <v>0</v>
      </c>
      <c r="D444" s="135"/>
      <c r="E444" s="135"/>
      <c r="F444" s="135"/>
      <c r="G444" s="135"/>
    </row>
    <row r="445" spans="1:7" ht="16.5">
      <c r="A445" s="129" t="s">
        <v>999</v>
      </c>
      <c r="B445" s="129" t="s">
        <v>1661</v>
      </c>
      <c r="C445" s="130" t="b">
        <v>0</v>
      </c>
      <c r="D445" s="131"/>
      <c r="E445" s="131">
        <v>40161</v>
      </c>
      <c r="F445" s="131"/>
      <c r="G445" s="131"/>
    </row>
    <row r="446" spans="1:7" ht="16.5">
      <c r="A446" s="31" t="s">
        <v>999</v>
      </c>
      <c r="B446" s="31" t="s">
        <v>1662</v>
      </c>
      <c r="C446" s="134" t="b">
        <v>0</v>
      </c>
      <c r="D446" s="135">
        <v>40161</v>
      </c>
      <c r="E446" s="135"/>
      <c r="F446" s="135"/>
      <c r="G446" s="135"/>
    </row>
    <row r="447" spans="1:7" ht="16.5">
      <c r="A447" s="129" t="s">
        <v>1003</v>
      </c>
      <c r="B447" s="129" t="s">
        <v>1540</v>
      </c>
      <c r="C447" s="130" t="b">
        <v>0</v>
      </c>
      <c r="D447" s="131"/>
      <c r="E447" s="131"/>
      <c r="F447" s="131"/>
      <c r="G447" s="131"/>
    </row>
    <row r="448" spans="1:7" ht="16.5">
      <c r="A448" s="31" t="s">
        <v>1003</v>
      </c>
      <c r="B448" s="31" t="s">
        <v>1541</v>
      </c>
      <c r="C448" s="134" t="b">
        <v>0</v>
      </c>
      <c r="D448" s="135"/>
      <c r="E448" s="135"/>
      <c r="F448" s="135">
        <v>34700</v>
      </c>
      <c r="G448" s="135"/>
    </row>
    <row r="449" spans="1:7" ht="16.5">
      <c r="A449" s="129" t="s">
        <v>1006</v>
      </c>
      <c r="B449" s="129" t="s">
        <v>1663</v>
      </c>
      <c r="C449" s="130" t="b">
        <v>0</v>
      </c>
      <c r="D449" s="131"/>
      <c r="E449" s="131"/>
      <c r="F449" s="131"/>
      <c r="G449" s="131"/>
    </row>
    <row r="450" spans="1:7" ht="16.5">
      <c r="A450" s="31" t="s">
        <v>1006</v>
      </c>
      <c r="B450" s="31" t="s">
        <v>1664</v>
      </c>
      <c r="C450" s="134" t="b">
        <v>0</v>
      </c>
      <c r="D450" s="135"/>
      <c r="E450" s="135"/>
      <c r="F450" s="135"/>
      <c r="G450" s="135"/>
    </row>
    <row r="451" spans="1:7" ht="16.5">
      <c r="A451" s="129" t="s">
        <v>1008</v>
      </c>
      <c r="B451" s="129" t="s">
        <v>1665</v>
      </c>
      <c r="C451" s="130" t="b">
        <v>0</v>
      </c>
      <c r="D451" s="131"/>
      <c r="E451" s="131"/>
      <c r="F451" s="131"/>
      <c r="G451" s="131"/>
    </row>
    <row r="452" spans="1:7" ht="16.5">
      <c r="A452" s="31" t="s">
        <v>1008</v>
      </c>
      <c r="B452" s="31" t="s">
        <v>1666</v>
      </c>
      <c r="C452" s="134" t="b">
        <v>0</v>
      </c>
      <c r="D452" s="135"/>
      <c r="E452" s="135"/>
      <c r="F452" s="135"/>
      <c r="G452" s="135"/>
    </row>
    <row r="453" spans="1:7" ht="16.5">
      <c r="A453" s="129" t="s">
        <v>1008</v>
      </c>
      <c r="B453" s="129" t="s">
        <v>1667</v>
      </c>
      <c r="C453" s="130" t="b">
        <v>1</v>
      </c>
      <c r="D453" s="131"/>
      <c r="E453" s="131"/>
      <c r="F453" s="131"/>
      <c r="G453" s="131"/>
    </row>
    <row r="454" spans="1:7" ht="16.5">
      <c r="A454" s="31" t="s">
        <v>1010</v>
      </c>
      <c r="B454" s="31" t="s">
        <v>1668</v>
      </c>
      <c r="C454" s="134" t="b">
        <v>0</v>
      </c>
      <c r="D454" s="135"/>
      <c r="E454" s="135"/>
      <c r="F454" s="135"/>
      <c r="G454" s="135"/>
    </row>
    <row r="455" spans="1:7" ht="16.5">
      <c r="A455" s="129" t="s">
        <v>1010</v>
      </c>
      <c r="B455" s="129" t="s">
        <v>1669</v>
      </c>
      <c r="C455" s="130" t="b">
        <v>0</v>
      </c>
      <c r="D455" s="131"/>
      <c r="E455" s="131"/>
      <c r="F455" s="131"/>
      <c r="G455" s="131">
        <v>41183</v>
      </c>
    </row>
    <row r="456" spans="1:7" ht="16.5">
      <c r="A456" s="31" t="s">
        <v>1010</v>
      </c>
      <c r="B456" s="31" t="s">
        <v>1670</v>
      </c>
      <c r="C456" s="134" t="b">
        <v>0</v>
      </c>
      <c r="D456" s="135"/>
      <c r="E456" s="135"/>
      <c r="F456" s="135">
        <v>41183</v>
      </c>
      <c r="G456" s="135"/>
    </row>
    <row r="457" spans="1:7" ht="16.5">
      <c r="A457" s="129" t="s">
        <v>1014</v>
      </c>
      <c r="B457" s="129" t="s">
        <v>1671</v>
      </c>
      <c r="C457" s="130" t="b">
        <v>0</v>
      </c>
      <c r="D457" s="131"/>
      <c r="E457" s="131"/>
      <c r="F457" s="131"/>
      <c r="G457" s="131"/>
    </row>
    <row r="458" spans="1:7" ht="16.5">
      <c r="A458" s="31" t="s">
        <v>1014</v>
      </c>
      <c r="B458" s="31" t="s">
        <v>1672</v>
      </c>
      <c r="C458" s="134" t="b">
        <v>0</v>
      </c>
      <c r="D458" s="135"/>
      <c r="E458" s="135"/>
      <c r="F458" s="135"/>
      <c r="G458" s="135"/>
    </row>
    <row r="459" spans="1:7" ht="16.5">
      <c r="A459" s="129" t="s">
        <v>1018</v>
      </c>
      <c r="B459" s="129" t="s">
        <v>1673</v>
      </c>
      <c r="C459" s="130" t="b">
        <v>0</v>
      </c>
      <c r="D459" s="131"/>
      <c r="E459" s="131"/>
      <c r="F459" s="131"/>
      <c r="G459" s="131"/>
    </row>
    <row r="460" spans="1:7" ht="16.5">
      <c r="A460" s="31" t="s">
        <v>1018</v>
      </c>
      <c r="B460" s="31" t="s">
        <v>1674</v>
      </c>
      <c r="C460" s="134" t="b">
        <v>0</v>
      </c>
      <c r="D460" s="135"/>
      <c r="E460" s="135"/>
      <c r="F460" s="135"/>
      <c r="G460" s="135"/>
    </row>
    <row r="461" spans="1:7" ht="16.5">
      <c r="A461" s="129" t="s">
        <v>1021</v>
      </c>
      <c r="B461" s="129" t="s">
        <v>1540</v>
      </c>
      <c r="C461" s="130" t="b">
        <v>0</v>
      </c>
      <c r="D461" s="131"/>
      <c r="E461" s="131"/>
      <c r="F461" s="131"/>
      <c r="G461" s="131"/>
    </row>
    <row r="462" spans="1:7" ht="16.5">
      <c r="A462" s="31" t="s">
        <v>1021</v>
      </c>
      <c r="B462" s="31" t="s">
        <v>1541</v>
      </c>
      <c r="C462" s="134" t="b">
        <v>0</v>
      </c>
      <c r="D462" s="135"/>
      <c r="E462" s="135"/>
      <c r="F462" s="135">
        <v>34700</v>
      </c>
      <c r="G462" s="135"/>
    </row>
    <row r="463" spans="1:7" ht="16.5">
      <c r="A463" s="129" t="s">
        <v>1024</v>
      </c>
      <c r="B463" s="129" t="s">
        <v>1675</v>
      </c>
      <c r="C463" s="130" t="b">
        <v>0</v>
      </c>
      <c r="D463" s="131"/>
      <c r="E463" s="131"/>
      <c r="F463" s="131"/>
      <c r="G463" s="131"/>
    </row>
    <row r="464" spans="1:7" ht="16.5">
      <c r="A464" s="31" t="s">
        <v>1024</v>
      </c>
      <c r="B464" s="31" t="s">
        <v>1676</v>
      </c>
      <c r="C464" s="134" t="b">
        <v>0</v>
      </c>
      <c r="D464" s="135"/>
      <c r="E464" s="135"/>
      <c r="F464" s="135"/>
      <c r="G464" s="135"/>
    </row>
    <row r="465" spans="1:7" ht="16.5">
      <c r="A465" s="129" t="s">
        <v>1032</v>
      </c>
      <c r="B465" s="129" t="s">
        <v>1677</v>
      </c>
      <c r="C465" s="130" t="b">
        <v>0</v>
      </c>
      <c r="D465" s="131"/>
      <c r="E465" s="131"/>
      <c r="F465" s="131"/>
      <c r="G465" s="131"/>
    </row>
    <row r="466" spans="1:7" ht="16.5">
      <c r="A466" s="31" t="s">
        <v>1032</v>
      </c>
      <c r="B466" s="31" t="s">
        <v>1678</v>
      </c>
      <c r="C466" s="134" t="b">
        <v>0</v>
      </c>
      <c r="D466" s="135"/>
      <c r="E466" s="135"/>
      <c r="F466" s="135"/>
      <c r="G466" s="135"/>
    </row>
    <row r="467" spans="1:7" ht="16.5">
      <c r="A467" s="129" t="s">
        <v>1035</v>
      </c>
      <c r="B467" s="129" t="s">
        <v>1679</v>
      </c>
      <c r="C467" s="130" t="b">
        <v>0</v>
      </c>
      <c r="D467" s="131"/>
      <c r="E467" s="131"/>
      <c r="F467" s="131"/>
      <c r="G467" s="131"/>
    </row>
    <row r="468" spans="1:7" ht="16.5">
      <c r="A468" s="31" t="s">
        <v>1035</v>
      </c>
      <c r="B468" s="31" t="s">
        <v>1680</v>
      </c>
      <c r="C468" s="134" t="b">
        <v>0</v>
      </c>
      <c r="D468" s="135"/>
      <c r="E468" s="135"/>
      <c r="F468" s="135"/>
      <c r="G468" s="135"/>
    </row>
    <row r="469" spans="1:7" ht="16.5">
      <c r="A469" s="129" t="s">
        <v>1039</v>
      </c>
      <c r="B469" s="129" t="s">
        <v>1681</v>
      </c>
      <c r="C469" s="130" t="b">
        <v>0</v>
      </c>
      <c r="D469" s="131"/>
      <c r="E469" s="131"/>
      <c r="F469" s="131"/>
      <c r="G469" s="131"/>
    </row>
    <row r="470" spans="1:7" ht="16.5">
      <c r="A470" s="31" t="s">
        <v>1039</v>
      </c>
      <c r="B470" s="31" t="s">
        <v>1682</v>
      </c>
      <c r="C470" s="134" t="b">
        <v>0</v>
      </c>
      <c r="D470" s="135"/>
      <c r="E470" s="135">
        <v>43115</v>
      </c>
      <c r="F470" s="135"/>
      <c r="G470" s="135"/>
    </row>
    <row r="471" spans="1:7" ht="16.5">
      <c r="A471" s="129" t="s">
        <v>1039</v>
      </c>
      <c r="B471" s="129" t="s">
        <v>1683</v>
      </c>
      <c r="C471" s="130" t="b">
        <v>0</v>
      </c>
      <c r="D471" s="131">
        <v>43115</v>
      </c>
      <c r="E471" s="131"/>
      <c r="F471" s="131"/>
      <c r="G471" s="131"/>
    </row>
    <row r="472" spans="1:7" ht="16.5">
      <c r="A472" s="31" t="s">
        <v>1043</v>
      </c>
      <c r="B472" s="31" t="s">
        <v>1684</v>
      </c>
      <c r="C472" s="134" t="b">
        <v>0</v>
      </c>
      <c r="D472" s="135"/>
      <c r="E472" s="135"/>
      <c r="F472" s="135"/>
      <c r="G472" s="135"/>
    </row>
    <row r="473" spans="1:7" ht="16.5">
      <c r="A473" s="129" t="s">
        <v>1043</v>
      </c>
      <c r="B473" s="129" t="s">
        <v>1685</v>
      </c>
      <c r="C473" s="130" t="b">
        <v>0</v>
      </c>
      <c r="D473" s="131"/>
      <c r="E473" s="131"/>
      <c r="F473" s="131"/>
      <c r="G473" s="131">
        <v>33298</v>
      </c>
    </row>
    <row r="474" spans="1:7" ht="16.5">
      <c r="A474" s="31" t="s">
        <v>1043</v>
      </c>
      <c r="B474" s="31" t="s">
        <v>1686</v>
      </c>
      <c r="C474" s="134" t="b">
        <v>0</v>
      </c>
      <c r="D474" s="135"/>
      <c r="E474" s="135"/>
      <c r="F474" s="135">
        <v>33298</v>
      </c>
      <c r="G474" s="135"/>
    </row>
    <row r="475" spans="1:7" ht="16.5">
      <c r="A475" s="129" t="s">
        <v>1047</v>
      </c>
      <c r="B475" s="129" t="s">
        <v>1687</v>
      </c>
      <c r="C475" s="130" t="b">
        <v>0</v>
      </c>
      <c r="D475" s="131"/>
      <c r="E475" s="131"/>
      <c r="F475" s="131"/>
      <c r="G475" s="131"/>
    </row>
    <row r="476" spans="1:7" ht="16.5">
      <c r="A476" s="31" t="s">
        <v>1047</v>
      </c>
      <c r="B476" s="31" t="s">
        <v>1688</v>
      </c>
      <c r="C476" s="134" t="b">
        <v>0</v>
      </c>
      <c r="D476" s="135"/>
      <c r="E476" s="135"/>
      <c r="F476" s="135"/>
      <c r="G476" s="135"/>
    </row>
    <row r="477" spans="1:7" ht="16.5">
      <c r="A477" s="129" t="s">
        <v>1050</v>
      </c>
      <c r="B477" s="129" t="s">
        <v>1689</v>
      </c>
      <c r="C477" s="130" t="b">
        <v>0</v>
      </c>
      <c r="D477" s="131"/>
      <c r="E477" s="131"/>
      <c r="F477" s="131"/>
      <c r="G477" s="131"/>
    </row>
    <row r="478" spans="1:7" ht="16.5">
      <c r="A478" s="31" t="s">
        <v>1050</v>
      </c>
      <c r="B478" s="31" t="s">
        <v>1690</v>
      </c>
      <c r="C478" s="134" t="b">
        <v>0</v>
      </c>
      <c r="D478" s="135"/>
      <c r="E478" s="135"/>
      <c r="F478" s="135"/>
      <c r="G478" s="135"/>
    </row>
    <row r="479" spans="1:7" ht="16.5">
      <c r="A479" s="129" t="s">
        <v>1054</v>
      </c>
      <c r="B479" s="129" t="s">
        <v>1691</v>
      </c>
      <c r="C479" s="130" t="b">
        <v>0</v>
      </c>
      <c r="D479" s="131"/>
      <c r="E479" s="131"/>
      <c r="F479" s="131"/>
      <c r="G479" s="131"/>
    </row>
    <row r="480" spans="1:7" ht="16.5">
      <c r="A480" s="31" t="s">
        <v>1054</v>
      </c>
      <c r="B480" s="31" t="s">
        <v>1692</v>
      </c>
      <c r="C480" s="134" t="b">
        <v>0</v>
      </c>
      <c r="D480" s="135"/>
      <c r="E480" s="135"/>
      <c r="F480" s="135"/>
      <c r="G480" s="135"/>
    </row>
    <row r="481" spans="1:7" ht="16.5">
      <c r="A481" s="129" t="s">
        <v>1057</v>
      </c>
      <c r="B481" s="129" t="s">
        <v>1693</v>
      </c>
      <c r="C481" s="130" t="b">
        <v>1</v>
      </c>
      <c r="D481" s="131"/>
      <c r="E481" s="131"/>
      <c r="F481" s="131"/>
      <c r="G481" s="131"/>
    </row>
    <row r="482" spans="1:7" ht="16.5">
      <c r="A482" s="31" t="s">
        <v>1057</v>
      </c>
      <c r="B482" s="31" t="s">
        <v>1694</v>
      </c>
      <c r="C482" s="134" t="b">
        <v>1</v>
      </c>
      <c r="D482" s="135"/>
      <c r="E482" s="135"/>
      <c r="F482" s="135"/>
      <c r="G482" s="135"/>
    </row>
    <row r="483" spans="1:7" ht="16.5">
      <c r="A483" s="129" t="s">
        <v>1057</v>
      </c>
      <c r="B483" s="129" t="s">
        <v>1695</v>
      </c>
      <c r="C483" s="130" t="b">
        <v>1</v>
      </c>
      <c r="D483" s="131"/>
      <c r="E483" s="131"/>
      <c r="F483" s="131"/>
      <c r="G483" s="131">
        <v>34638</v>
      </c>
    </row>
    <row r="484" spans="1:7" ht="16.5">
      <c r="A484" s="31" t="s">
        <v>1057</v>
      </c>
      <c r="B484" s="31" t="s">
        <v>1696</v>
      </c>
      <c r="C484" s="134" t="b">
        <v>1</v>
      </c>
      <c r="D484" s="135"/>
      <c r="E484" s="135"/>
      <c r="F484" s="135">
        <v>34638</v>
      </c>
      <c r="G484" s="135"/>
    </row>
    <row r="485" spans="1:7" ht="16.5">
      <c r="A485" s="129" t="s">
        <v>1066</v>
      </c>
      <c r="B485" s="129" t="s">
        <v>1697</v>
      </c>
      <c r="C485" s="130" t="b">
        <v>0</v>
      </c>
      <c r="D485" s="131"/>
      <c r="E485" s="131"/>
      <c r="F485" s="131"/>
      <c r="G485" s="131"/>
    </row>
    <row r="486" spans="1:7" ht="16.5">
      <c r="A486" s="31" t="s">
        <v>1066</v>
      </c>
      <c r="B486" s="31" t="s">
        <v>1698</v>
      </c>
      <c r="C486" s="134" t="b">
        <v>0</v>
      </c>
      <c r="D486" s="135"/>
      <c r="E486" s="135"/>
      <c r="F486" s="135"/>
      <c r="G486" s="135">
        <v>34820</v>
      </c>
    </row>
    <row r="487" spans="1:7" ht="16.5">
      <c r="A487" s="129" t="s">
        <v>1066</v>
      </c>
      <c r="B487" s="129" t="s">
        <v>1699</v>
      </c>
      <c r="C487" s="130" t="b">
        <v>0</v>
      </c>
      <c r="D487" s="131"/>
      <c r="E487" s="131"/>
      <c r="F487" s="131">
        <v>34820</v>
      </c>
      <c r="G487" s="131"/>
    </row>
    <row r="488" spans="1:7" ht="16.5">
      <c r="A488" s="31" t="s">
        <v>1070</v>
      </c>
      <c r="B488" s="31" t="s">
        <v>1262</v>
      </c>
      <c r="C488" s="134" t="b">
        <v>0</v>
      </c>
      <c r="D488" s="135"/>
      <c r="E488" s="135"/>
      <c r="F488" s="135"/>
      <c r="G488" s="135"/>
    </row>
    <row r="489" spans="1:7" ht="16.5">
      <c r="A489" s="129" t="s">
        <v>1070</v>
      </c>
      <c r="B489" s="129" t="s">
        <v>1700</v>
      </c>
      <c r="C489" s="130" t="b">
        <v>0</v>
      </c>
      <c r="D489" s="131"/>
      <c r="E489" s="131"/>
      <c r="F489" s="131"/>
      <c r="G489" s="131"/>
    </row>
    <row r="490" spans="1:7" ht="16.5">
      <c r="A490" s="31" t="s">
        <v>1072</v>
      </c>
      <c r="B490" s="31" t="s">
        <v>1262</v>
      </c>
      <c r="C490" s="134" t="b">
        <v>0</v>
      </c>
      <c r="D490" s="135"/>
      <c r="E490" s="135"/>
      <c r="F490" s="135"/>
      <c r="G490" s="135"/>
    </row>
    <row r="491" spans="1:7" ht="16.5">
      <c r="A491" s="129" t="s">
        <v>1072</v>
      </c>
      <c r="B491" s="129" t="s">
        <v>1701</v>
      </c>
      <c r="C491" s="130" t="b">
        <v>0</v>
      </c>
      <c r="D491" s="131"/>
      <c r="E491" s="131"/>
      <c r="F491" s="131"/>
      <c r="G491" s="131"/>
    </row>
    <row r="492" spans="1:7" ht="16.5">
      <c r="A492" s="31" t="s">
        <v>1074</v>
      </c>
      <c r="B492" s="31" t="s">
        <v>1702</v>
      </c>
      <c r="C492" s="134" t="b">
        <v>0</v>
      </c>
      <c r="D492" s="135"/>
      <c r="E492" s="135"/>
      <c r="F492" s="135"/>
      <c r="G492" s="135"/>
    </row>
    <row r="493" spans="1:7" ht="16.5">
      <c r="A493" s="129" t="s">
        <v>1074</v>
      </c>
      <c r="B493" s="129" t="s">
        <v>1703</v>
      </c>
      <c r="C493" s="130" t="b">
        <v>0</v>
      </c>
      <c r="D493" s="131"/>
      <c r="E493" s="131"/>
      <c r="F493" s="131"/>
      <c r="G493" s="131"/>
    </row>
    <row r="494" spans="1:7" ht="16.5">
      <c r="A494" s="31" t="s">
        <v>1078</v>
      </c>
      <c r="B494" s="31" t="s">
        <v>1704</v>
      </c>
      <c r="C494" s="134" t="b">
        <v>0</v>
      </c>
      <c r="D494" s="135"/>
      <c r="E494" s="135"/>
      <c r="F494" s="135"/>
      <c r="G494" s="135"/>
    </row>
    <row r="495" spans="1:7" ht="16.5">
      <c r="A495" s="129" t="s">
        <v>1078</v>
      </c>
      <c r="B495" s="129" t="s">
        <v>1705</v>
      </c>
      <c r="C495" s="130" t="b">
        <v>0</v>
      </c>
      <c r="D495" s="131"/>
      <c r="E495" s="131"/>
      <c r="F495" s="131"/>
      <c r="G495" s="131"/>
    </row>
    <row r="496" spans="1:7" ht="16.5">
      <c r="A496" s="31" t="s">
        <v>1082</v>
      </c>
      <c r="B496" s="31" t="s">
        <v>1706</v>
      </c>
      <c r="C496" s="134" t="b">
        <v>0</v>
      </c>
      <c r="D496" s="135"/>
      <c r="E496" s="135"/>
      <c r="F496" s="135"/>
      <c r="G496" s="135"/>
    </row>
    <row r="497" spans="1:7" ht="16.5">
      <c r="A497" s="129" t="s">
        <v>1082</v>
      </c>
      <c r="B497" s="129" t="s">
        <v>1707</v>
      </c>
      <c r="C497" s="130" t="b">
        <v>0</v>
      </c>
      <c r="D497" s="131"/>
      <c r="E497" s="131"/>
      <c r="F497" s="131"/>
      <c r="G497" s="131"/>
    </row>
    <row r="498" spans="1:7" ht="16.5">
      <c r="A498" s="31" t="s">
        <v>1086</v>
      </c>
      <c r="B498" s="31" t="s">
        <v>1708</v>
      </c>
      <c r="C498" s="134" t="b">
        <v>0</v>
      </c>
      <c r="D498" s="135"/>
      <c r="E498" s="135"/>
      <c r="F498" s="135"/>
      <c r="G498" s="135"/>
    </row>
    <row r="499" spans="1:7" ht="16.5">
      <c r="A499" s="129" t="s">
        <v>1086</v>
      </c>
      <c r="B499" s="129" t="s">
        <v>1709</v>
      </c>
      <c r="C499" s="130" t="b">
        <v>0</v>
      </c>
      <c r="D499" s="131"/>
      <c r="E499" s="131"/>
      <c r="F499" s="131"/>
      <c r="G499" s="131"/>
    </row>
    <row r="500" spans="1:7" ht="16.5">
      <c r="A500" s="31" t="s">
        <v>1086</v>
      </c>
      <c r="B500" s="31" t="s">
        <v>1710</v>
      </c>
      <c r="C500" s="134" t="b">
        <v>1</v>
      </c>
      <c r="D500" s="135"/>
      <c r="E500" s="135"/>
      <c r="F500" s="135"/>
      <c r="G500" s="135"/>
    </row>
    <row r="501" spans="1:7" ht="16.5">
      <c r="A501" s="129" t="s">
        <v>1089</v>
      </c>
      <c r="B501" s="129" t="s">
        <v>1711</v>
      </c>
      <c r="C501" s="130" t="b">
        <v>0</v>
      </c>
      <c r="D501" s="131"/>
      <c r="E501" s="131"/>
      <c r="F501" s="131"/>
      <c r="G501" s="131"/>
    </row>
    <row r="502" spans="1:7" ht="16.5">
      <c r="A502" s="31" t="s">
        <v>1089</v>
      </c>
      <c r="B502" s="31" t="s">
        <v>1712</v>
      </c>
      <c r="C502" s="134" t="b">
        <v>0</v>
      </c>
      <c r="D502" s="135"/>
      <c r="E502" s="135"/>
      <c r="F502" s="135"/>
      <c r="G502" s="135"/>
    </row>
    <row r="503" spans="1:7" ht="16.5">
      <c r="A503" s="129" t="s">
        <v>1089</v>
      </c>
      <c r="B503" s="129" t="s">
        <v>1713</v>
      </c>
      <c r="C503" s="130" t="b">
        <v>1</v>
      </c>
      <c r="D503" s="131"/>
      <c r="E503" s="131"/>
      <c r="F503" s="131"/>
      <c r="G503" s="131"/>
    </row>
    <row r="504" spans="1:7" ht="16.5">
      <c r="A504" s="31" t="s">
        <v>1092</v>
      </c>
      <c r="B504" s="31" t="s">
        <v>1714</v>
      </c>
      <c r="C504" s="134" t="b">
        <v>0</v>
      </c>
      <c r="D504" s="135"/>
      <c r="E504" s="135"/>
      <c r="F504" s="135"/>
      <c r="G504" s="135"/>
    </row>
    <row r="505" spans="1:7" ht="16.5">
      <c r="A505" s="129" t="s">
        <v>1092</v>
      </c>
      <c r="B505" s="129" t="s">
        <v>1715</v>
      </c>
      <c r="C505" s="130" t="b">
        <v>0</v>
      </c>
      <c r="D505" s="131"/>
      <c r="E505" s="131"/>
      <c r="F505" s="131"/>
      <c r="G505" s="131"/>
    </row>
    <row r="506" spans="1:7" ht="16.5">
      <c r="A506" s="31" t="s">
        <v>1096</v>
      </c>
      <c r="B506" s="31" t="s">
        <v>1716</v>
      </c>
      <c r="C506" s="134" t="b">
        <v>0</v>
      </c>
      <c r="D506" s="135"/>
      <c r="E506" s="135"/>
      <c r="F506" s="135"/>
      <c r="G506" s="135"/>
    </row>
    <row r="507" spans="1:7" ht="16.5">
      <c r="A507" s="129" t="s">
        <v>1096</v>
      </c>
      <c r="B507" s="129" t="s">
        <v>1717</v>
      </c>
      <c r="C507" s="130" t="b">
        <v>0</v>
      </c>
      <c r="D507" s="131"/>
      <c r="E507" s="131"/>
      <c r="F507" s="131"/>
      <c r="G507" s="131"/>
    </row>
    <row r="508" spans="1:7" ht="16.5">
      <c r="A508" s="31" t="s">
        <v>1099</v>
      </c>
      <c r="B508" s="31" t="s">
        <v>1718</v>
      </c>
      <c r="C508" s="134" t="b">
        <v>0</v>
      </c>
      <c r="D508" s="135"/>
      <c r="E508" s="135"/>
      <c r="F508" s="135"/>
      <c r="G508" s="135"/>
    </row>
    <row r="509" spans="1:7" ht="16.5">
      <c r="A509" s="129" t="s">
        <v>1099</v>
      </c>
      <c r="B509" s="129" t="s">
        <v>1719</v>
      </c>
      <c r="C509" s="130" t="b">
        <v>0</v>
      </c>
      <c r="D509" s="131"/>
      <c r="E509" s="131"/>
      <c r="F509" s="131"/>
      <c r="G509" s="131">
        <v>43466</v>
      </c>
    </row>
    <row r="510" spans="1:7" ht="16.5">
      <c r="A510" s="31" t="s">
        <v>1099</v>
      </c>
      <c r="B510" s="31" t="s">
        <v>1720</v>
      </c>
      <c r="C510" s="134" t="b">
        <v>0</v>
      </c>
      <c r="D510" s="135"/>
      <c r="E510" s="135"/>
      <c r="F510" s="135">
        <v>43466</v>
      </c>
      <c r="G510" s="135"/>
    </row>
    <row r="511" spans="1:7" ht="16.5">
      <c r="A511" s="129" t="s">
        <v>1103</v>
      </c>
      <c r="B511" s="129" t="s">
        <v>1721</v>
      </c>
      <c r="C511" s="130" t="b">
        <v>0</v>
      </c>
      <c r="D511" s="131"/>
      <c r="E511" s="131"/>
      <c r="F511" s="131"/>
      <c r="G511" s="131"/>
    </row>
    <row r="512" spans="1:7" ht="16.5">
      <c r="A512" s="31" t="s">
        <v>1103</v>
      </c>
      <c r="B512" s="31" t="s">
        <v>1722</v>
      </c>
      <c r="C512" s="134" t="b">
        <v>0</v>
      </c>
      <c r="D512" s="135"/>
      <c r="E512" s="135"/>
      <c r="F512" s="135"/>
      <c r="G512" s="135"/>
    </row>
    <row r="513" spans="1:7" ht="16.5">
      <c r="A513" s="129" t="s">
        <v>1107</v>
      </c>
      <c r="B513" s="129" t="s">
        <v>1723</v>
      </c>
      <c r="C513" s="130" t="b">
        <v>0</v>
      </c>
      <c r="D513" s="131"/>
      <c r="E513" s="131"/>
      <c r="F513" s="131"/>
      <c r="G513" s="131"/>
    </row>
    <row r="514" spans="1:7" ht="16.5">
      <c r="A514" s="31" t="s">
        <v>1107</v>
      </c>
      <c r="B514" s="31" t="s">
        <v>1724</v>
      </c>
      <c r="C514" s="134" t="b">
        <v>0</v>
      </c>
      <c r="D514" s="135"/>
      <c r="E514" s="135"/>
      <c r="F514" s="135"/>
      <c r="G514" s="135"/>
    </row>
    <row r="515" spans="1:7" ht="16.5">
      <c r="A515" s="129" t="s">
        <v>1111</v>
      </c>
      <c r="B515" s="129" t="s">
        <v>1725</v>
      </c>
      <c r="C515" s="130" t="b">
        <v>0</v>
      </c>
      <c r="D515" s="131"/>
      <c r="E515" s="131"/>
      <c r="F515" s="131"/>
      <c r="G515" s="131"/>
    </row>
    <row r="516" spans="1:7" ht="16.5">
      <c r="A516" s="31" t="s">
        <v>1111</v>
      </c>
      <c r="B516" s="31" t="s">
        <v>1726</v>
      </c>
      <c r="C516" s="134" t="b">
        <v>0</v>
      </c>
      <c r="D516" s="135"/>
      <c r="E516" s="135"/>
      <c r="F516" s="135"/>
      <c r="G516" s="135"/>
    </row>
    <row r="517" spans="1:7" ht="16.5">
      <c r="A517" s="129" t="s">
        <v>1111</v>
      </c>
      <c r="B517" s="129" t="s">
        <v>1727</v>
      </c>
      <c r="C517" s="130" t="b">
        <v>1</v>
      </c>
      <c r="D517" s="131"/>
      <c r="E517" s="131"/>
      <c r="F517" s="131"/>
      <c r="G517" s="131"/>
    </row>
    <row r="518" spans="1:7" ht="16.5">
      <c r="A518" s="31" t="s">
        <v>1115</v>
      </c>
      <c r="B518" s="31" t="s">
        <v>1728</v>
      </c>
      <c r="C518" s="134" t="b">
        <v>0</v>
      </c>
      <c r="D518" s="135"/>
      <c r="E518" s="135"/>
      <c r="F518" s="135"/>
      <c r="G518" s="135"/>
    </row>
    <row r="519" spans="1:7" ht="16.5">
      <c r="A519" s="129" t="s">
        <v>1115</v>
      </c>
      <c r="B519" s="129" t="s">
        <v>1729</v>
      </c>
      <c r="C519" s="130" t="b">
        <v>0</v>
      </c>
      <c r="D519" s="131"/>
      <c r="E519" s="131"/>
      <c r="F519" s="131"/>
      <c r="G519" s="131"/>
    </row>
    <row r="520" spans="1:7" ht="16.5">
      <c r="A520" s="31" t="s">
        <v>1123</v>
      </c>
      <c r="B520" s="31" t="s">
        <v>1730</v>
      </c>
      <c r="C520" s="134" t="b">
        <v>0</v>
      </c>
      <c r="D520" s="135"/>
      <c r="E520" s="135"/>
      <c r="F520" s="135"/>
      <c r="G520" s="135"/>
    </row>
    <row r="521" spans="1:7" ht="16.5">
      <c r="A521" s="129" t="s">
        <v>1123</v>
      </c>
      <c r="B521" s="129" t="s">
        <v>1731</v>
      </c>
      <c r="C521" s="130" t="b">
        <v>0</v>
      </c>
      <c r="D521" s="131"/>
      <c r="E521" s="131"/>
      <c r="F521" s="131"/>
      <c r="G521" s="131">
        <v>34608</v>
      </c>
    </row>
    <row r="522" spans="1:7" ht="16.5">
      <c r="A522" s="31" t="s">
        <v>1123</v>
      </c>
      <c r="B522" s="31" t="s">
        <v>1732</v>
      </c>
      <c r="C522" s="134" t="b">
        <v>0</v>
      </c>
      <c r="D522" s="135"/>
      <c r="E522" s="135"/>
      <c r="F522" s="135">
        <v>34608</v>
      </c>
      <c r="G522" s="135"/>
    </row>
    <row r="523" spans="1:7" ht="16.5">
      <c r="A523" s="129" t="s">
        <v>1127</v>
      </c>
      <c r="B523" s="129" t="s">
        <v>1262</v>
      </c>
      <c r="C523" s="130" t="b">
        <v>0</v>
      </c>
      <c r="D523" s="131"/>
      <c r="E523" s="131"/>
      <c r="F523" s="131"/>
      <c r="G523" s="131"/>
    </row>
    <row r="524" spans="1:7" ht="16.5">
      <c r="A524" s="31" t="s">
        <v>1127</v>
      </c>
      <c r="B524" s="31" t="s">
        <v>1733</v>
      </c>
      <c r="C524" s="134" t="b">
        <v>0</v>
      </c>
      <c r="D524" s="135"/>
      <c r="E524" s="135"/>
      <c r="F524" s="135"/>
      <c r="G524" s="135"/>
    </row>
    <row r="525" spans="1:7" ht="16.5">
      <c r="A525" s="129" t="s">
        <v>1129</v>
      </c>
      <c r="B525" s="129" t="s">
        <v>1262</v>
      </c>
      <c r="C525" s="130" t="b">
        <v>0</v>
      </c>
      <c r="D525" s="131"/>
      <c r="E525" s="131"/>
      <c r="F525" s="131"/>
      <c r="G525" s="131"/>
    </row>
    <row r="526" spans="1:7" ht="16.5">
      <c r="A526" s="31" t="s">
        <v>1129</v>
      </c>
      <c r="B526" s="31" t="s">
        <v>1734</v>
      </c>
      <c r="C526" s="134" t="b">
        <v>0</v>
      </c>
      <c r="D526" s="135"/>
      <c r="E526" s="135"/>
      <c r="F526" s="135"/>
      <c r="G526" s="135"/>
    </row>
    <row r="527" spans="1:7" ht="16.5">
      <c r="A527" s="129" t="s">
        <v>1131</v>
      </c>
      <c r="B527" s="129" t="s">
        <v>1735</v>
      </c>
      <c r="C527" s="130" t="b">
        <v>0</v>
      </c>
      <c r="D527" s="131"/>
      <c r="E527" s="131"/>
      <c r="F527" s="131"/>
      <c r="G527" s="131"/>
    </row>
    <row r="528" spans="1:7" ht="16.5">
      <c r="A528" s="31" t="s">
        <v>1131</v>
      </c>
      <c r="B528" s="31" t="s">
        <v>1736</v>
      </c>
      <c r="C528" s="134" t="b">
        <v>0</v>
      </c>
      <c r="D528" s="135"/>
      <c r="E528" s="135"/>
      <c r="F528" s="135"/>
      <c r="G528" s="135"/>
    </row>
    <row r="529" spans="1:7" ht="16.5">
      <c r="A529" s="129" t="s">
        <v>1142</v>
      </c>
      <c r="B529" s="129" t="s">
        <v>1737</v>
      </c>
      <c r="C529" s="130" t="b">
        <v>0</v>
      </c>
      <c r="D529" s="131"/>
      <c r="E529" s="131"/>
      <c r="F529" s="131"/>
      <c r="G529" s="131"/>
    </row>
    <row r="530" spans="1:7" ht="16.5">
      <c r="A530" s="31" t="s">
        <v>1142</v>
      </c>
      <c r="B530" s="31" t="s">
        <v>1738</v>
      </c>
      <c r="C530" s="134" t="b">
        <v>0</v>
      </c>
      <c r="D530" s="135"/>
      <c r="E530" s="135"/>
      <c r="F530" s="135"/>
      <c r="G530" s="135"/>
    </row>
    <row r="531" spans="1:7" ht="16.5">
      <c r="A531" s="129" t="s">
        <v>1149</v>
      </c>
      <c r="B531" s="129" t="s">
        <v>1739</v>
      </c>
      <c r="C531" s="130" t="b">
        <v>0</v>
      </c>
      <c r="D531" s="131"/>
      <c r="E531" s="131"/>
      <c r="F531" s="131"/>
      <c r="G531" s="131"/>
    </row>
    <row r="532" spans="1:7" ht="16.5">
      <c r="A532" s="31" t="s">
        <v>1149</v>
      </c>
      <c r="B532" s="31" t="s">
        <v>1740</v>
      </c>
      <c r="C532" s="134" t="b">
        <v>0</v>
      </c>
      <c r="D532" s="135"/>
      <c r="E532" s="135"/>
      <c r="F532" s="135"/>
      <c r="G532" s="135"/>
    </row>
    <row r="533" spans="1:7" ht="16.5">
      <c r="A533" s="129" t="s">
        <v>1153</v>
      </c>
      <c r="B533" s="129" t="s">
        <v>1741</v>
      </c>
      <c r="C533" s="130" t="b">
        <v>0</v>
      </c>
      <c r="D533" s="131"/>
      <c r="E533" s="131"/>
      <c r="F533" s="131"/>
      <c r="G533" s="131"/>
    </row>
    <row r="534" spans="1:7" ht="16.5">
      <c r="A534" s="31" t="s">
        <v>1153</v>
      </c>
      <c r="B534" s="31" t="s">
        <v>1742</v>
      </c>
      <c r="C534" s="134" t="b">
        <v>0</v>
      </c>
      <c r="D534" s="135"/>
      <c r="E534" s="135"/>
      <c r="F534" s="135"/>
      <c r="G534" s="135">
        <v>35293</v>
      </c>
    </row>
    <row r="535" spans="1:7" ht="16.5">
      <c r="A535" s="129" t="s">
        <v>1153</v>
      </c>
      <c r="B535" s="129" t="s">
        <v>1743</v>
      </c>
      <c r="C535" s="130" t="b">
        <v>0</v>
      </c>
      <c r="D535" s="131"/>
      <c r="E535" s="131"/>
      <c r="F535" s="131">
        <v>35293</v>
      </c>
      <c r="G535" s="131"/>
    </row>
    <row r="536" spans="1:7" ht="16.5">
      <c r="A536" s="31" t="s">
        <v>1156</v>
      </c>
      <c r="B536" s="31" t="s">
        <v>1744</v>
      </c>
      <c r="C536" s="134" t="b">
        <v>0</v>
      </c>
      <c r="D536" s="135"/>
      <c r="E536" s="135"/>
      <c r="F536" s="135"/>
      <c r="G536" s="135"/>
    </row>
    <row r="537" spans="1:7" ht="16.5">
      <c r="A537" s="129" t="s">
        <v>1156</v>
      </c>
      <c r="B537" s="129" t="s">
        <v>1745</v>
      </c>
      <c r="C537" s="130" t="b">
        <v>0</v>
      </c>
      <c r="D537" s="131"/>
      <c r="E537" s="131"/>
      <c r="F537" s="131"/>
      <c r="G537" s="131">
        <v>36998</v>
      </c>
    </row>
    <row r="538" spans="1:7" ht="16.5">
      <c r="A538" s="31" t="s">
        <v>1156</v>
      </c>
      <c r="B538" s="31" t="s">
        <v>1746</v>
      </c>
      <c r="C538" s="134" t="b">
        <v>0</v>
      </c>
      <c r="D538" s="135"/>
      <c r="E538" s="135"/>
      <c r="F538" s="135">
        <v>36998</v>
      </c>
      <c r="G538" s="135"/>
    </row>
    <row r="539" spans="1:7" ht="16.5">
      <c r="A539" s="129" t="s">
        <v>1160</v>
      </c>
      <c r="B539" s="129" t="s">
        <v>1747</v>
      </c>
      <c r="C539" s="130" t="b">
        <v>0</v>
      </c>
      <c r="D539" s="131"/>
      <c r="E539" s="131"/>
      <c r="F539" s="131"/>
      <c r="G539" s="131"/>
    </row>
    <row r="540" spans="1:7" ht="16.5">
      <c r="A540" s="31" t="s">
        <v>1160</v>
      </c>
      <c r="B540" s="31" t="s">
        <v>1748</v>
      </c>
      <c r="C540" s="134" t="b">
        <v>0</v>
      </c>
      <c r="D540" s="135"/>
      <c r="E540" s="135"/>
      <c r="F540" s="135"/>
      <c r="G540" s="135">
        <v>43109</v>
      </c>
    </row>
    <row r="541" spans="1:7" ht="16.5">
      <c r="A541" s="129" t="s">
        <v>1160</v>
      </c>
      <c r="B541" s="129" t="s">
        <v>1749</v>
      </c>
      <c r="C541" s="130" t="b">
        <v>0</v>
      </c>
      <c r="D541" s="131"/>
      <c r="E541" s="131"/>
      <c r="F541" s="131">
        <v>43109</v>
      </c>
      <c r="G541" s="131"/>
    </row>
    <row r="542" spans="1:7" ht="16.5">
      <c r="A542" s="31" t="s">
        <v>1164</v>
      </c>
      <c r="B542" s="31" t="s">
        <v>1750</v>
      </c>
      <c r="C542" s="134" t="b">
        <v>0</v>
      </c>
      <c r="D542" s="135"/>
      <c r="E542" s="135"/>
      <c r="F542" s="135"/>
      <c r="G542" s="135"/>
    </row>
    <row r="543" spans="1:7" ht="16.5">
      <c r="A543" s="129" t="s">
        <v>1164</v>
      </c>
      <c r="B543" s="129" t="s">
        <v>1751</v>
      </c>
      <c r="C543" s="130" t="b">
        <v>0</v>
      </c>
      <c r="D543" s="131"/>
      <c r="E543" s="131"/>
      <c r="F543" s="131"/>
      <c r="G543" s="131">
        <v>39744</v>
      </c>
    </row>
    <row r="544" spans="1:7" ht="16.5">
      <c r="A544" s="31" t="s">
        <v>1164</v>
      </c>
      <c r="B544" s="31" t="s">
        <v>1752</v>
      </c>
      <c r="C544" s="134" t="b">
        <v>0</v>
      </c>
      <c r="D544" s="135"/>
      <c r="E544" s="135"/>
      <c r="F544" s="135">
        <v>39744</v>
      </c>
      <c r="G544" s="135"/>
    </row>
    <row r="545" spans="1:7" ht="16.5">
      <c r="A545" s="129" t="s">
        <v>1167</v>
      </c>
      <c r="B545" s="129" t="s">
        <v>1753</v>
      </c>
      <c r="C545" s="130" t="b">
        <v>0</v>
      </c>
      <c r="D545" s="131"/>
      <c r="E545" s="131"/>
      <c r="F545" s="131"/>
      <c r="G545" s="131"/>
    </row>
    <row r="546" spans="1:7" ht="16.5">
      <c r="A546" s="31" t="s">
        <v>1167</v>
      </c>
      <c r="B546" s="31" t="s">
        <v>1754</v>
      </c>
      <c r="C546" s="134" t="b">
        <v>0</v>
      </c>
      <c r="D546" s="135"/>
      <c r="E546" s="135"/>
      <c r="F546" s="135"/>
      <c r="G546" s="135"/>
    </row>
    <row r="547" spans="1:7" ht="16.5">
      <c r="A547" s="129" t="s">
        <v>1170</v>
      </c>
      <c r="B547" s="129" t="s">
        <v>1755</v>
      </c>
      <c r="C547" s="130" t="b">
        <v>1</v>
      </c>
      <c r="D547" s="131"/>
      <c r="E547" s="131"/>
      <c r="F547" s="131"/>
      <c r="G547" s="131"/>
    </row>
    <row r="548" spans="1:7" ht="16.5">
      <c r="A548" s="31" t="s">
        <v>1170</v>
      </c>
      <c r="B548" s="31" t="s">
        <v>1756</v>
      </c>
      <c r="C548" s="134" t="b">
        <v>1</v>
      </c>
      <c r="D548" s="135"/>
      <c r="E548" s="135"/>
      <c r="F548" s="135"/>
      <c r="G548" s="135"/>
    </row>
    <row r="549" spans="1:7" ht="16.5">
      <c r="A549" s="129" t="s">
        <v>1173</v>
      </c>
      <c r="B549" s="129" t="s">
        <v>1757</v>
      </c>
      <c r="C549" s="130" t="b">
        <v>0</v>
      </c>
      <c r="D549" s="131"/>
      <c r="E549" s="131"/>
      <c r="F549" s="131"/>
      <c r="G549" s="131"/>
    </row>
    <row r="550" spans="1:7" ht="16.5">
      <c r="A550" s="31" t="s">
        <v>1173</v>
      </c>
      <c r="B550" s="31" t="s">
        <v>1758</v>
      </c>
      <c r="C550" s="134" t="b">
        <v>0</v>
      </c>
      <c r="D550" s="135"/>
      <c r="E550" s="135"/>
      <c r="F550" s="135"/>
      <c r="G550" s="135">
        <v>40424</v>
      </c>
    </row>
    <row r="551" spans="1:7" ht="16.5">
      <c r="A551" s="129" t="s">
        <v>1173</v>
      </c>
      <c r="B551" s="129" t="s">
        <v>1759</v>
      </c>
      <c r="C551" s="130" t="b">
        <v>0</v>
      </c>
      <c r="D551" s="131"/>
      <c r="E551" s="131"/>
      <c r="F551" s="131">
        <v>40424</v>
      </c>
      <c r="G551" s="131"/>
    </row>
    <row r="552" spans="1:7" ht="16.5">
      <c r="A552" s="31" t="s">
        <v>1177</v>
      </c>
      <c r="B552" s="31" t="s">
        <v>1760</v>
      </c>
      <c r="C552" s="134" t="b">
        <v>0</v>
      </c>
      <c r="D552" s="135"/>
      <c r="E552" s="135"/>
      <c r="F552" s="135"/>
      <c r="G552" s="135"/>
    </row>
    <row r="553" spans="1:7" ht="16.5">
      <c r="A553" s="129" t="s">
        <v>1177</v>
      </c>
      <c r="B553" s="129" t="s">
        <v>1761</v>
      </c>
      <c r="C553" s="130" t="b">
        <v>0</v>
      </c>
      <c r="D553" s="131"/>
      <c r="E553" s="131"/>
      <c r="F553" s="131"/>
      <c r="G553" s="131"/>
    </row>
    <row r="554" spans="1:7" ht="16.5">
      <c r="A554" s="31" t="s">
        <v>1180</v>
      </c>
      <c r="B554" s="31" t="s">
        <v>1762</v>
      </c>
      <c r="C554" s="134" t="b">
        <v>0</v>
      </c>
      <c r="D554" s="135"/>
      <c r="E554" s="135"/>
      <c r="F554" s="135"/>
      <c r="G554" s="135"/>
    </row>
    <row r="555" spans="1:7" ht="16.5">
      <c r="A555" s="129" t="s">
        <v>1180</v>
      </c>
      <c r="B555" s="129" t="s">
        <v>1763</v>
      </c>
      <c r="C555" s="130" t="b">
        <v>0</v>
      </c>
      <c r="D555" s="131"/>
      <c r="E555" s="131"/>
      <c r="F555" s="131"/>
      <c r="G555" s="131"/>
    </row>
    <row r="556" spans="1:7" ht="16.5">
      <c r="A556" s="31" t="s">
        <v>1183</v>
      </c>
      <c r="B556" s="31" t="s">
        <v>1764</v>
      </c>
      <c r="C556" s="134" t="b">
        <v>0</v>
      </c>
      <c r="D556" s="135"/>
      <c r="E556" s="135"/>
      <c r="F556" s="135"/>
      <c r="G556" s="135"/>
    </row>
    <row r="557" spans="1:7" ht="16.5">
      <c r="A557" s="129" t="s">
        <v>1183</v>
      </c>
      <c r="B557" s="129" t="s">
        <v>1765</v>
      </c>
      <c r="C557" s="130" t="b">
        <v>0</v>
      </c>
      <c r="D557" s="131"/>
      <c r="E557" s="131"/>
      <c r="F557" s="131"/>
      <c r="G557" s="131">
        <v>34638</v>
      </c>
    </row>
    <row r="558" spans="1:7" ht="16.5">
      <c r="A558" s="31" t="s">
        <v>1183</v>
      </c>
      <c r="B558" s="31" t="s">
        <v>1766</v>
      </c>
      <c r="C558" s="134" t="b">
        <v>0</v>
      </c>
      <c r="D558" s="135"/>
      <c r="E558" s="135"/>
      <c r="F558" s="135">
        <v>34638</v>
      </c>
      <c r="G558" s="135"/>
    </row>
    <row r="559" spans="1:7" ht="16.5">
      <c r="A559" s="129" t="s">
        <v>1191</v>
      </c>
      <c r="B559" s="129" t="s">
        <v>1767</v>
      </c>
      <c r="C559" s="130" t="b">
        <v>0</v>
      </c>
      <c r="D559" s="131"/>
      <c r="E559" s="131"/>
      <c r="F559" s="131"/>
      <c r="G559" s="131"/>
    </row>
    <row r="560" spans="1:7" ht="16.5">
      <c r="A560" s="31" t="s">
        <v>1191</v>
      </c>
      <c r="B560" s="31" t="s">
        <v>1768</v>
      </c>
      <c r="C560" s="134" t="b">
        <v>0</v>
      </c>
      <c r="D560" s="135"/>
      <c r="E560" s="135"/>
      <c r="F560" s="135"/>
      <c r="G560" s="135"/>
    </row>
    <row r="561" spans="1:7" ht="16.5">
      <c r="A561" s="129" t="s">
        <v>1195</v>
      </c>
      <c r="B561" s="129" t="s">
        <v>1769</v>
      </c>
      <c r="C561" s="130" t="b">
        <v>0</v>
      </c>
      <c r="D561" s="131"/>
      <c r="E561" s="131"/>
      <c r="F561" s="131"/>
      <c r="G561" s="131"/>
    </row>
    <row r="562" spans="1:7" ht="16.5">
      <c r="A562" s="31" t="s">
        <v>1195</v>
      </c>
      <c r="B562" s="31" t="s">
        <v>1770</v>
      </c>
      <c r="C562" s="134" t="b">
        <v>0</v>
      </c>
      <c r="D562" s="135"/>
      <c r="E562" s="135"/>
      <c r="F562" s="135"/>
      <c r="G562" s="135"/>
    </row>
    <row r="563" spans="1:7" ht="16.5">
      <c r="A563" s="129" t="s">
        <v>1199</v>
      </c>
      <c r="B563" s="129" t="s">
        <v>1262</v>
      </c>
      <c r="C563" s="130" t="b">
        <v>0</v>
      </c>
      <c r="D563" s="131"/>
      <c r="E563" s="131"/>
      <c r="F563" s="131"/>
      <c r="G563" s="131"/>
    </row>
    <row r="564" spans="1:7" ht="16.5">
      <c r="A564" s="31" t="s">
        <v>1199</v>
      </c>
      <c r="B564" s="31" t="s">
        <v>1771</v>
      </c>
      <c r="C564" s="134" t="b">
        <v>0</v>
      </c>
      <c r="D564" s="135"/>
      <c r="E564" s="135"/>
      <c r="F564" s="135"/>
      <c r="G564" s="135"/>
    </row>
    <row r="565" spans="1:7" ht="16.5">
      <c r="A565" s="129" t="s">
        <v>1202</v>
      </c>
      <c r="B565" s="129" t="s">
        <v>1772</v>
      </c>
      <c r="C565" s="130" t="b">
        <v>0</v>
      </c>
      <c r="D565" s="131"/>
      <c r="E565" s="131"/>
      <c r="F565" s="131"/>
      <c r="G565" s="131"/>
    </row>
    <row r="566" spans="1:7" ht="16.5">
      <c r="A566" s="31" t="s">
        <v>1202</v>
      </c>
      <c r="B566" s="31" t="s">
        <v>1773</v>
      </c>
      <c r="C566" s="134" t="b">
        <v>0</v>
      </c>
      <c r="D566" s="135"/>
      <c r="E566" s="135"/>
      <c r="F566" s="135"/>
      <c r="G566" s="135"/>
    </row>
    <row r="567" spans="1:7" ht="16.5">
      <c r="A567" s="129" t="s">
        <v>1206</v>
      </c>
      <c r="B567" s="129" t="s">
        <v>1774</v>
      </c>
      <c r="C567" s="130" t="b">
        <v>0</v>
      </c>
      <c r="D567" s="131"/>
      <c r="E567" s="131"/>
      <c r="F567" s="131"/>
      <c r="G567" s="131"/>
    </row>
    <row r="568" spans="1:7" ht="16.5">
      <c r="A568" s="31" t="s">
        <v>1206</v>
      </c>
      <c r="B568" s="31" t="s">
        <v>1775</v>
      </c>
      <c r="C568" s="134" t="b">
        <v>0</v>
      </c>
      <c r="D568" s="135"/>
      <c r="E568" s="135"/>
      <c r="F568" s="135"/>
      <c r="G568" s="135"/>
    </row>
    <row r="569" spans="1:7" ht="16.5">
      <c r="A569" s="129" t="s">
        <v>1213</v>
      </c>
      <c r="B569" s="129" t="s">
        <v>1776</v>
      </c>
      <c r="C569" s="130" t="b">
        <v>0</v>
      </c>
      <c r="D569" s="131"/>
      <c r="E569" s="131"/>
      <c r="F569" s="131"/>
      <c r="G569" s="131"/>
    </row>
    <row r="570" spans="1:7" ht="16.5">
      <c r="A570" s="31" t="s">
        <v>1213</v>
      </c>
      <c r="B570" s="31" t="s">
        <v>1777</v>
      </c>
      <c r="C570" s="134" t="b">
        <v>0</v>
      </c>
      <c r="D570" s="135"/>
      <c r="E570" s="135"/>
      <c r="F570" s="135"/>
      <c r="G570" s="135">
        <v>39709</v>
      </c>
    </row>
    <row r="571" spans="1:7" ht="16.5">
      <c r="A571" s="129" t="s">
        <v>1213</v>
      </c>
      <c r="B571" s="129" t="s">
        <v>1778</v>
      </c>
      <c r="C571" s="130" t="b">
        <v>0</v>
      </c>
      <c r="D571" s="131"/>
      <c r="E571" s="131"/>
      <c r="F571" s="131">
        <v>39709</v>
      </c>
      <c r="G571" s="131">
        <v>33821</v>
      </c>
    </row>
    <row r="572" spans="1:7" ht="16.5">
      <c r="A572" s="31" t="s">
        <v>1213</v>
      </c>
      <c r="B572" s="31" t="s">
        <v>1779</v>
      </c>
      <c r="C572" s="134" t="b">
        <v>0</v>
      </c>
      <c r="D572" s="135"/>
      <c r="E572" s="135"/>
      <c r="F572" s="135">
        <v>33821</v>
      </c>
      <c r="G572" s="135"/>
    </row>
    <row r="573" spans="1:7" ht="16.5">
      <c r="A573" s="129" t="s">
        <v>1217</v>
      </c>
      <c r="B573" s="129" t="s">
        <v>1262</v>
      </c>
      <c r="C573" s="130" t="b">
        <v>0</v>
      </c>
      <c r="D573" s="131"/>
      <c r="E573" s="131"/>
      <c r="F573" s="131"/>
      <c r="G573" s="131"/>
    </row>
    <row r="574" spans="1:7" ht="16.5">
      <c r="A574" s="31" t="s">
        <v>1217</v>
      </c>
      <c r="B574" s="31" t="s">
        <v>1780</v>
      </c>
      <c r="C574" s="134" t="b">
        <v>0</v>
      </c>
      <c r="D574" s="135"/>
      <c r="E574" s="135"/>
      <c r="F574" s="135"/>
      <c r="G574" s="135"/>
    </row>
    <row r="575" spans="1:7" ht="16.5">
      <c r="A575" s="129" t="s">
        <v>1219</v>
      </c>
      <c r="B575" s="129" t="s">
        <v>1781</v>
      </c>
      <c r="C575" s="130" t="b">
        <v>0</v>
      </c>
      <c r="D575" s="131"/>
      <c r="E575" s="131"/>
      <c r="F575" s="131"/>
      <c r="G575" s="131"/>
    </row>
    <row r="576" spans="1:7" ht="16.5">
      <c r="A576" s="31" t="s">
        <v>1219</v>
      </c>
      <c r="B576" s="31" t="s">
        <v>1782</v>
      </c>
      <c r="C576" s="134" t="b">
        <v>0</v>
      </c>
      <c r="D576" s="135"/>
      <c r="E576" s="135"/>
      <c r="F576" s="135"/>
      <c r="G576" s="135"/>
    </row>
    <row r="577" spans="1:7" ht="16.5">
      <c r="A577" s="129" t="s">
        <v>1224</v>
      </c>
      <c r="B577" s="129" t="s">
        <v>1262</v>
      </c>
      <c r="C577" s="130" t="b">
        <v>0</v>
      </c>
      <c r="D577" s="131"/>
      <c r="E577" s="131"/>
      <c r="F577" s="131"/>
      <c r="G577" s="131"/>
    </row>
    <row r="578" spans="1:7" ht="16.5">
      <c r="A578" s="31" t="s">
        <v>1224</v>
      </c>
      <c r="B578" s="31" t="s">
        <v>1783</v>
      </c>
      <c r="C578" s="134" t="b">
        <v>0</v>
      </c>
      <c r="D578" s="135"/>
      <c r="E578" s="135"/>
      <c r="F578" s="135"/>
      <c r="G578" s="135"/>
    </row>
    <row r="579" spans="1:7" ht="16.5">
      <c r="A579" s="129" t="s">
        <v>1227</v>
      </c>
      <c r="B579" s="129" t="s">
        <v>1262</v>
      </c>
      <c r="C579" s="130" t="b">
        <v>0</v>
      </c>
      <c r="D579" s="131"/>
      <c r="E579" s="131"/>
      <c r="F579" s="131"/>
      <c r="G579" s="131"/>
    </row>
    <row r="580" spans="1:7" ht="16.5">
      <c r="A580" s="31" t="s">
        <v>1227</v>
      </c>
      <c r="B580" s="31" t="s">
        <v>1784</v>
      </c>
      <c r="C580" s="134" t="b">
        <v>0</v>
      </c>
      <c r="D580" s="135"/>
      <c r="E580" s="135"/>
      <c r="F580" s="135"/>
      <c r="G580" s="135"/>
    </row>
    <row r="581" spans="1:7" ht="16.5">
      <c r="A581" s="129" t="s">
        <v>1228</v>
      </c>
      <c r="B581" s="129" t="s">
        <v>1262</v>
      </c>
      <c r="C581" s="130" t="b">
        <v>0</v>
      </c>
      <c r="D581" s="131"/>
      <c r="E581" s="131"/>
      <c r="F581" s="131"/>
      <c r="G581" s="131"/>
    </row>
    <row r="582" spans="1:7" ht="16.5">
      <c r="A582" s="31" t="s">
        <v>1228</v>
      </c>
      <c r="B582" s="31" t="s">
        <v>1785</v>
      </c>
      <c r="C582" s="134" t="b">
        <v>0</v>
      </c>
      <c r="D582" s="135"/>
      <c r="E582" s="135"/>
      <c r="F582" s="135"/>
      <c r="G582" s="135"/>
    </row>
    <row r="583" spans="1:7" ht="16.5">
      <c r="A583" s="129" t="s">
        <v>1230</v>
      </c>
      <c r="B583" s="129" t="s">
        <v>1262</v>
      </c>
      <c r="C583" s="130" t="b">
        <v>0</v>
      </c>
      <c r="D583" s="131"/>
      <c r="E583" s="131"/>
      <c r="F583" s="131"/>
      <c r="G583" s="131"/>
    </row>
    <row r="584" spans="1:7" ht="16.5">
      <c r="A584" s="31" t="s">
        <v>1230</v>
      </c>
      <c r="B584" s="31" t="s">
        <v>1786</v>
      </c>
      <c r="C584" s="134" t="b">
        <v>0</v>
      </c>
      <c r="D584" s="135"/>
      <c r="E584" s="135"/>
      <c r="F584" s="135"/>
      <c r="G584" s="135"/>
    </row>
    <row r="585" spans="1:7" ht="16.5">
      <c r="A585" s="129" t="s">
        <v>1235</v>
      </c>
      <c r="B585" s="129" t="s">
        <v>1262</v>
      </c>
      <c r="C585" s="130" t="b">
        <v>0</v>
      </c>
      <c r="D585" s="131"/>
      <c r="E585" s="131"/>
      <c r="F585" s="131"/>
      <c r="G585" s="131"/>
    </row>
    <row r="586" spans="1:7" ht="16.5">
      <c r="A586" s="31" t="s">
        <v>1235</v>
      </c>
      <c r="B586" s="31" t="s">
        <v>1787</v>
      </c>
      <c r="C586" s="134" t="b">
        <v>0</v>
      </c>
      <c r="D586" s="135"/>
      <c r="E586" s="135"/>
      <c r="F586" s="135"/>
      <c r="G586" s="135"/>
    </row>
    <row r="587" spans="1:7" ht="16.5">
      <c r="A587" s="129" t="s">
        <v>1232</v>
      </c>
      <c r="B587" s="129" t="s">
        <v>1788</v>
      </c>
      <c r="C587" s="136" t="b">
        <v>0</v>
      </c>
      <c r="D587" s="131"/>
      <c r="E587" s="131"/>
      <c r="F587" s="131"/>
      <c r="G587" s="131"/>
    </row>
    <row r="588" spans="1:7" ht="16.5">
      <c r="A588" s="31" t="s">
        <v>1232</v>
      </c>
      <c r="B588" s="31" t="s">
        <v>1788</v>
      </c>
      <c r="C588" s="137" t="b">
        <v>0</v>
      </c>
      <c r="D588" s="135"/>
      <c r="E588" s="135"/>
      <c r="F588" s="135"/>
      <c r="G588" s="135"/>
    </row>
    <row r="589" spans="1:7" ht="16.5">
      <c r="A589" s="129" t="s">
        <v>1238</v>
      </c>
      <c r="B589" s="129" t="s">
        <v>1262</v>
      </c>
      <c r="C589" s="130" t="b">
        <v>0</v>
      </c>
      <c r="D589" s="131"/>
      <c r="E589" s="131"/>
      <c r="F589" s="131"/>
      <c r="G589" s="131"/>
    </row>
    <row r="590" spans="1:7" ht="16.5">
      <c r="A590" s="31" t="s">
        <v>1238</v>
      </c>
      <c r="B590" s="31" t="s">
        <v>1789</v>
      </c>
      <c r="C590" s="134" t="b">
        <v>0</v>
      </c>
      <c r="D590" s="135"/>
      <c r="E590" s="135"/>
      <c r="F590" s="135"/>
      <c r="G590" s="135"/>
    </row>
    <row r="591" spans="1:7" ht="16.5">
      <c r="A591" s="129" t="s">
        <v>1240</v>
      </c>
      <c r="B591" s="129" t="s">
        <v>1790</v>
      </c>
      <c r="C591" s="130" t="b">
        <v>0</v>
      </c>
      <c r="D591" s="131"/>
      <c r="E591" s="131"/>
      <c r="F591" s="131"/>
      <c r="G591" s="131"/>
    </row>
    <row r="592" spans="1:7" ht="16.5">
      <c r="A592" s="31" t="s">
        <v>1240</v>
      </c>
      <c r="B592" s="31" t="s">
        <v>1791</v>
      </c>
      <c r="C592" s="134" t="b">
        <v>0</v>
      </c>
      <c r="D592" s="135"/>
      <c r="E592" s="135"/>
      <c r="F592" s="135"/>
      <c r="G592" s="135"/>
    </row>
    <row r="593" spans="1:7" ht="16.5">
      <c r="A593" s="129" t="s">
        <v>1244</v>
      </c>
      <c r="B593" s="129" t="s">
        <v>1792</v>
      </c>
      <c r="C593" s="130" t="b">
        <v>0</v>
      </c>
      <c r="D593" s="131"/>
      <c r="E593" s="131"/>
      <c r="F593" s="131"/>
      <c r="G593" s="131"/>
    </row>
    <row r="594" spans="1:7" ht="16.5">
      <c r="A594" s="31" t="s">
        <v>1244</v>
      </c>
      <c r="B594" s="31" t="s">
        <v>1793</v>
      </c>
      <c r="C594" s="134" t="b">
        <v>0</v>
      </c>
      <c r="D594" s="135"/>
      <c r="E594" s="135"/>
      <c r="F594" s="135"/>
      <c r="G594" s="135"/>
    </row>
    <row r="595" spans="1:7" ht="16.5">
      <c r="A595" s="129" t="s">
        <v>1248</v>
      </c>
      <c r="B595" s="129" t="s">
        <v>1794</v>
      </c>
      <c r="C595" s="130" t="b">
        <v>0</v>
      </c>
      <c r="D595" s="131"/>
      <c r="E595" s="131"/>
      <c r="F595" s="131"/>
      <c r="G595" s="131"/>
    </row>
    <row r="596" spans="1:7" ht="16.5">
      <c r="A596" s="31" t="s">
        <v>1248</v>
      </c>
      <c r="B596" s="31" t="s">
        <v>1795</v>
      </c>
      <c r="C596" s="134" t="b">
        <v>0</v>
      </c>
      <c r="D596" s="135"/>
      <c r="E596" s="135"/>
      <c r="F596" s="135"/>
      <c r="G596" s="135">
        <v>39658</v>
      </c>
    </row>
    <row r="597" spans="1:7" ht="16.5">
      <c r="A597" s="129" t="s">
        <v>1248</v>
      </c>
      <c r="B597" s="129" t="s">
        <v>1796</v>
      </c>
      <c r="C597" s="130" t="b">
        <v>0</v>
      </c>
      <c r="D597" s="131"/>
      <c r="E597" s="131"/>
      <c r="F597" s="131">
        <v>39658</v>
      </c>
      <c r="G597" s="131"/>
    </row>
    <row r="598" spans="1:7" ht="16.5">
      <c r="A598" s="31" t="s">
        <v>1251</v>
      </c>
      <c r="B598" s="31" t="s">
        <v>1797</v>
      </c>
      <c r="C598" s="134" t="b">
        <v>0</v>
      </c>
      <c r="D598" s="135"/>
      <c r="E598" s="135"/>
      <c r="F598" s="135"/>
      <c r="G598" s="135"/>
    </row>
    <row r="599" spans="1:7" ht="16.5">
      <c r="A599" s="129" t="s">
        <v>1251</v>
      </c>
      <c r="B599" s="129" t="s">
        <v>1798</v>
      </c>
      <c r="C599" s="130" t="b">
        <v>0</v>
      </c>
      <c r="D599" s="131"/>
      <c r="E599" s="131"/>
      <c r="F599" s="131"/>
      <c r="G599" s="131"/>
    </row>
  </sheetData>
  <autoFilter ref="A1:G599"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workbookViewId="0"/>
  </sheetViews>
  <sheetFormatPr defaultColWidth="14.42578125" defaultRowHeight="15.75" customHeight="1"/>
  <sheetData>
    <row r="1" spans="1:26" ht="15.75" customHeight="1">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5.75" customHeight="1">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5.75" customHeight="1">
      <c r="A3" s="139" t="s">
        <v>39</v>
      </c>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15.75" customHeight="1">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26" ht="15.75" customHeight="1">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5.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row>
    <row r="7" spans="1:26" ht="15.75" customHeight="1">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5.75" customHeight="1">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5.75" customHeight="1">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5.75" customHeight="1">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5.75" customHeight="1">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5.75" customHeight="1">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5.75" customHeight="1">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5.75" customHeight="1">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5.75" customHeight="1">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5.75" customHeight="1">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5.75" customHeight="1">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5.75" customHeight="1">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5.75"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5.75" customHeight="1">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5.75" customHeight="1">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5.75" customHeight="1">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5.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5.75" customHeight="1">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5.75" customHeight="1">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5.75" customHeight="1">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5.75" customHeight="1">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5.75"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5.75" customHeight="1">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2.75">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2.75">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2.75">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2.75">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2.75">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2.75">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2.75">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2.75">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2.75">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2.75">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2.75">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2.7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2.7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2.75">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2.75">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2.75">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2.75">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2.7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2.75">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2.75">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2.7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2.7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2.7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2.7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2.7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2.7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2.7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2.7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2.7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2.7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2.7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2.7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2.7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2.75">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2.75">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2.75">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2.75">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2.75">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2.75">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2.75">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2.75">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2.75">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2.75">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2.7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2.7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2.75">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2.7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2.75">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2.75">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2.75">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2.75">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2.75">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2.75">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2.75">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2.7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2.7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2.75">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2.75">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2.75">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2.75">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2.75">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2.75">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2.75">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2.75">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2.75">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2.75">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2.75">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2.75">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2.75">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2.75">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2.75">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2.75">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2.75">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2.75">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2.75">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2.75">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2.75">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2.75">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2.75">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2.75">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2.7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2.7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2.7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2.75">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2.75">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2.75">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2.75">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2.75">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2.75">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2.75">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2.75">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2.75">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2.75">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2.75">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2.75">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2.75">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2.75">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2.75">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2.75">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2.75">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2.75">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2.75">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2.75">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2.75">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2.75">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2.75">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2.75">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2.75">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2.75">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2.75">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2.75">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2.75">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2.75">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2.75">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2.75">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2.75">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2.75">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2.75">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2.75">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2.75">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2.75">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2.75">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2.75">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2.75">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2.75">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2.75">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2.75">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2.75">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2.75">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2.75">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2.75">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2.75">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2.75">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2.75">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2.75">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2.75">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2.75">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2.75">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2.75">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2.75">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2.75">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2.75">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2.75">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2.75">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2.75">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2.75">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2.75">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2.75">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2.75">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2.75">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2.75">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2.75">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2.75">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2.75">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2.75">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2.75">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2.75">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2.75">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2.75">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2.75">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2.75">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2.75">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2.75">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2.75">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2.75">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2.75">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2.75">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2.75">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2.75">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2.75">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2.75">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2.75">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2.75">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2.75">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2.75">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2.75">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2.75">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2.75">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2.75">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2.75">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2.75">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2.75">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2.75">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2.75">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2.75">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2.75">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2.75">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2.75">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2.75">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2.75">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2.75">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2.75">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2.75">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2.75">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2.75">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2.75">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2.75">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2.75">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2.75">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2.75">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2.75">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2.75">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2.75">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2.75">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2.75">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2.75">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2.75">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2.75">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2.75">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2.75">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2.75">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2.75">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2.75">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2.75">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2.75">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2.75">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2.75">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2.75">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2.75">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2.75">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2.75">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2.75">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2.75">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2.75">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2.75">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2.75">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2.75">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2.75">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2.75">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2.75">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2.75">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2.75">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2.75">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2.75">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2.75">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2.75">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2.75">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2.75">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2.75">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2.75">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2.75">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2.75">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2.75">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2.75">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2.75">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2.75">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2.75">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2.75">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2.75">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2.75">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2.75">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2.75">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2.75">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2.75">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2.75">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2.75">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2.75">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2.75">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2.75">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2.75">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2.75">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2.75">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2.75">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2.75">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2.75">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2.75">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2.75">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2.75">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2.75">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2.75">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2.75">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2.75">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2.75">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2.75">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2.75">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2.75">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2.75">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2.75">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2.75">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2.75">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2.75">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2.75">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2.75">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2.75">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2.75">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2.75">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2.75">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2.75">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2.75">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2.75">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2.75">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2.75">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2.75">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2.75">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2.75">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2.75">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2.75">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2.75">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2.75">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2.75">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2.75">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2.75">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2.75">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2.7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2.7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2.7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2.7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2.7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2.7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2.7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2.7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2.7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2.7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2.7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2.7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2.7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2.7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2.7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2.7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2.7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2.7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2.7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2.7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2.7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2.7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2.7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2.7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2.7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2.7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2.7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2.7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2.7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2.7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2.7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2.7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2.7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2.7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2.7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2.7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2.7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2.7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2.7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2.7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2.7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2.7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2.7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2.7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2.7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2.7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2.7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2.7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2.7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2.7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2.7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2.7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2.7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2.7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2.7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2.7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2.7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2.7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2.7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2.7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2.7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2.7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2.7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2.7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2.7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2.7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2.7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2.7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2.7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2.7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2.7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2.7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2.7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2.7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2.7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2.7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2.7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2.7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2.7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2.7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2.7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2.7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2.7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2.7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2.7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2.7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2.7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2.7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2.7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2.7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2.7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2.7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2.7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2.7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2.7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2.7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2.7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2.7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2.7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2.7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2.7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2.7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2.7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2.7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2.7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2.7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2.7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2.7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2.7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2.7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2.7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2.7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2.7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2.7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2.7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2.7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2.7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2.7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2.7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2.7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2.7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2.7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2.7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2.7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2.7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2.7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2.7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2.7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2.7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2.7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2.7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2.7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2.7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2.7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2.7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2.7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2.7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2.7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2.7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2.7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2.7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2.7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2.7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2.7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2.7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2.7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2.7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2.7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2.7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2.7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2.7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2.7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2.7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2.7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2.7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2.7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2.7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2.7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2.7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2.7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2.7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2.7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2.7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2.7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2.7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2.7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2.7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2.7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2.7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2.7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2.7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2.7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2.7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2.7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2.7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2.7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2.7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2.7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2.7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2.7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2.7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2.7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2.7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2.7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2.7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2.7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2.7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2.7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2.7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2.7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2.7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2.7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2.7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2.7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2.7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2.7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2.7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2.7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2.7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2.7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2.7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2.7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2.7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2.7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2.7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2.7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2.7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2.7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2.7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2.7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2.7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2.7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2.7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2.7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2.7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2.7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2.7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2.7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2.7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2.7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2.7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2.7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2.7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2.7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2.7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2.7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2.7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2.7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2.7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2.7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2.7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2.7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2.7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2.7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2.7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2.7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2.7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2.7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2.7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2.7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2.7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2.7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2.7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2.7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2.7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2.7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2.7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2.7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2.7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2.7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2.7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2.7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2.7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2.7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2.7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2.7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2.7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2.7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2.7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2.7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2.7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2.7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2.7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2.7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2.7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2.7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2.7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2.7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2.7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2.7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2.7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2.7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2.7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2.7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2.7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2.7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2.7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2.7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2.7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2.7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2.7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2.7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2.7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2.7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2.7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2.7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2.7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2.7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2.7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2.7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2.7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2.7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2.7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2.7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2.7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2.7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2.7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2.7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2.7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2.7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2.7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2.7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2.7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2.7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2.7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2.7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2.7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2.7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2.7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2.7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2.7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2.7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2.7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2.7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2.7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2.7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2.7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2.7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2.7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2.7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2.7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2.7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2.7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2.7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2.7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2.7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2.7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2.7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2.7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2.7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2.7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2.7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2.7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2.7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2.7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2.7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2.7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2.7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2.7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2.7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2.7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2.7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2.7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2.7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2.7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2.7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2.7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2.7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2.7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2.7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2.7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2.7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2.7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2.7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2.7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2.7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2.7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2.7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2.7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2.7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2.7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2.7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2.7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2.7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2.7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2.7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2.7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2.7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2.7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2.7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2.7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2.7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2.7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2.7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2.7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2.7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2.7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2.7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2.7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2.7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2.7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2.7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2.7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2.7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2.7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2.7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2.7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2.7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2.7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2.7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2.7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2.7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2.7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2.7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2.7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2.7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2.7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2.7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2.7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2.7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2.7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2.7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2.7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2.7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2.7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2.7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2.7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2.7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2.7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2.7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2.7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2.7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2.7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2.7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2.7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2.7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2.7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2.7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2.7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2.7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2.7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2.7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2.7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2.7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2.7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2.7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2.7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2.7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2.7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2.7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2.7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2.7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2.7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2.7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2.7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2.7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2.7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2.7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2.7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2.7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2.7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2.7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2.7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2.7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2.7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2.7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2.7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2.7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2.7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2.7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2.7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2.7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2.7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2.7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2.7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2.7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2.7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2.7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2.7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2.7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2.7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2.7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2.7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2.7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2.7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2.7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2.7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2.7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2.7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2.7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2.7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2.7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2.7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2.7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2.7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2.7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2.7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2.7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2.7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2.7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2.7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2.7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2.7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2.7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2.7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2.7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2.7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2.7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2.7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2.7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2.7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2.7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2.7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2.7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2.7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2.7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2.7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2.7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2.7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2.7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2.7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2.7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2.7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2.7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2.7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2.7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2.7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2.7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2.7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2.7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2.7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2.7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2.7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2.7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2.7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2.7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2.7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2.7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2.7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2.7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2.7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2.7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2.7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2.7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2.7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2.7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2.7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2.7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2.7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2.7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2.7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2.7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2.7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2.7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2.7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2.7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2.7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2.7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2.7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2.7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2.7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2.7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2.7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2.7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2.7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2.7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2.7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2.7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2.7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2.7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2.7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2.7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2.7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2.7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2.7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2.7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2.7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2.7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2.7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2.7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2.7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2.7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2.7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2.7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2.7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2.7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2.7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2.7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2.7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2.7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2.7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2.7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2.7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2.7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2.7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2.7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2.7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2.7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2.7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2.7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2.7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2.7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2.7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2.7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2.7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2.7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2.7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2.7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2.7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2.7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2.7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2.7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2.7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2.7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2.7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2.7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2.7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2.7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2.7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2.7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2.7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2.7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2.7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2.7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2.7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2.7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2.7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2.7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2.7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2.7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2.7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2.7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2.7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2.7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2.7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2.7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2.7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2.7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2.7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2.7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2.7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2.7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2.7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2.7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2.7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2.7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2.7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2.7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2.7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2.7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2.7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2.7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2.7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2.7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2.7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2.7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2.7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2.7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2.7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2.7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2.7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2.7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2.7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2.7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2.7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2.7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2.7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2.7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2.7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2.7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2.7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2.7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2.7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2.7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2.7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2.7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2.7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2.7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2.7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2.7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2.7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2.7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2.7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2.7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2.7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2.7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2.7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2.7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E1"/>
  <sheetViews>
    <sheetView workbookViewId="0"/>
  </sheetViews>
  <sheetFormatPr defaultColWidth="14.42578125" defaultRowHeight="15.75" customHeight="1"/>
  <cols>
    <col min="1" max="1" width="18.42578125" customWidth="1"/>
    <col min="3" max="3" width="21.85546875" customWidth="1"/>
  </cols>
  <sheetData>
    <row r="1" spans="1:5" ht="15.75" customHeight="1">
      <c r="A1" s="70" t="s">
        <v>1799</v>
      </c>
      <c r="B1" s="70" t="s">
        <v>1800</v>
      </c>
      <c r="C1" s="70" t="s">
        <v>1801</v>
      </c>
      <c r="D1" s="70" t="s">
        <v>1802</v>
      </c>
      <c r="E1" s="70" t="s">
        <v>1803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
  <sheetViews>
    <sheetView workbookViewId="0"/>
  </sheetViews>
  <sheetFormatPr defaultColWidth="14.42578125" defaultRowHeight="15.7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08E79"/>
    <outlinePr summaryBelow="0" summaryRight="0"/>
  </sheetPr>
  <dimension ref="A1:I21770"/>
  <sheetViews>
    <sheetView workbookViewId="0">
      <pane ySplit="1" topLeftCell="A2" activePane="bottomLeft" state="frozen"/>
      <selection pane="bottomLeft" activeCell="B3" sqref="B3"/>
    </sheetView>
  </sheetViews>
  <sheetFormatPr defaultColWidth="14.42578125" defaultRowHeight="15.75" customHeight="1"/>
  <cols>
    <col min="1" max="5" width="14.42578125" customWidth="1"/>
    <col min="6" max="6" width="18" customWidth="1"/>
    <col min="7" max="7" width="14.42578125" customWidth="1"/>
    <col min="8" max="8" width="18" customWidth="1"/>
    <col min="9" max="9" width="14.42578125" customWidth="1"/>
  </cols>
  <sheetData>
    <row r="1" spans="1:9" ht="15.75" customHeight="1">
      <c r="A1" s="9" t="s">
        <v>16</v>
      </c>
      <c r="B1" s="9" t="s">
        <v>17</v>
      </c>
      <c r="C1" s="9" t="s">
        <v>18</v>
      </c>
      <c r="D1" s="9" t="s">
        <v>19</v>
      </c>
      <c r="E1" s="9" t="s">
        <v>20</v>
      </c>
      <c r="F1" s="9" t="s">
        <v>21</v>
      </c>
      <c r="G1" s="9" t="s">
        <v>22</v>
      </c>
      <c r="H1" s="9" t="s">
        <v>23</v>
      </c>
      <c r="I1" s="9" t="s">
        <v>24</v>
      </c>
    </row>
    <row r="2" spans="1:9" ht="15.75" customHeight="1">
      <c r="A2" s="10" t="b">
        <v>0</v>
      </c>
      <c r="B2" s="11" t="str">
        <f>IF(D2&lt;&gt;"",IF(COUNTIF('USPTO TMs'!A:A,D2)&gt;0,"Yes","No"),"")</f>
        <v/>
      </c>
      <c r="C2" s="11"/>
      <c r="D2" s="12"/>
      <c r="E2" s="13"/>
      <c r="F2" s="14"/>
      <c r="G2" s="11"/>
      <c r="H2" s="11"/>
      <c r="I2" s="15"/>
    </row>
    <row r="3" spans="1:9" ht="15.75" customHeight="1">
      <c r="A3" s="10" t="b">
        <v>0</v>
      </c>
      <c r="B3" s="11" t="str">
        <f>IF(D3&lt;&gt;"",IF(COUNTIF('USPTO TMs'!A:A,D3)&gt;0,"Yes","No"),"")</f>
        <v/>
      </c>
      <c r="C3" s="11"/>
      <c r="D3" s="12"/>
      <c r="E3" s="16"/>
      <c r="F3" s="14"/>
      <c r="G3" s="11"/>
      <c r="H3" s="11"/>
      <c r="I3" s="15"/>
    </row>
    <row r="4" spans="1:9" ht="15.75" customHeight="1">
      <c r="A4" s="10" t="b">
        <v>0</v>
      </c>
      <c r="B4" s="11" t="str">
        <f>IF(D4&lt;&gt;"",IF(COUNTIF('USPTO TMs'!A:A,D4)&gt;0,"Yes","No"),"")</f>
        <v/>
      </c>
      <c r="C4" s="11"/>
      <c r="D4" s="12"/>
      <c r="E4" s="16"/>
      <c r="F4" s="14"/>
      <c r="G4" s="11"/>
      <c r="H4" s="11"/>
      <c r="I4" s="15"/>
    </row>
    <row r="5" spans="1:9" ht="15.75" customHeight="1">
      <c r="A5" s="10" t="b">
        <v>0</v>
      </c>
      <c r="B5" s="11" t="str">
        <f>IF(D5&lt;&gt;"",IF(COUNTIF('USPTO TMs'!A:A,D5)&gt;0,"Yes","No"),"")</f>
        <v/>
      </c>
      <c r="C5" s="11"/>
      <c r="D5" s="12"/>
      <c r="E5" s="16"/>
      <c r="F5" s="14"/>
      <c r="G5" s="11"/>
      <c r="H5" s="11"/>
      <c r="I5" s="15"/>
    </row>
    <row r="6" spans="1:9" ht="15.75" customHeight="1">
      <c r="A6" s="10" t="b">
        <v>0</v>
      </c>
      <c r="B6" s="11" t="str">
        <f>IF(D6&lt;&gt;"",IF(COUNTIF('USPTO TMs'!A:A,D6)&gt;0,"Yes","No"),"")</f>
        <v/>
      </c>
      <c r="C6" s="11"/>
      <c r="D6" s="12"/>
      <c r="E6" s="16"/>
      <c r="F6" s="14"/>
      <c r="G6" s="11"/>
      <c r="H6" s="11"/>
      <c r="I6" s="15"/>
    </row>
    <row r="7" spans="1:9" ht="15.75" customHeight="1">
      <c r="A7" s="10" t="b">
        <v>0</v>
      </c>
      <c r="B7" s="11" t="str">
        <f>IF(D7&lt;&gt;"",IF(COUNTIF('USPTO TMs'!A:A,D7)&gt;0,"Yes","No"),"")</f>
        <v/>
      </c>
      <c r="C7" s="11"/>
      <c r="D7" s="12"/>
      <c r="E7" s="16"/>
      <c r="F7" s="14"/>
      <c r="G7" s="11"/>
      <c r="H7" s="11"/>
      <c r="I7" s="15"/>
    </row>
    <row r="8" spans="1:9" ht="15.75" customHeight="1">
      <c r="A8" s="10" t="b">
        <v>0</v>
      </c>
      <c r="B8" s="11" t="str">
        <f>IF(D8&lt;&gt;"",IF(COUNTIF('USPTO TMs'!A:A,D8)&gt;0,"Yes","No"),"")</f>
        <v/>
      </c>
      <c r="C8" s="11"/>
      <c r="D8" s="12"/>
      <c r="E8" s="16"/>
      <c r="F8" s="14"/>
      <c r="G8" s="11"/>
      <c r="H8" s="11"/>
      <c r="I8" s="15"/>
    </row>
    <row r="9" spans="1:9" ht="15.75" customHeight="1">
      <c r="A9" s="10" t="b">
        <v>0</v>
      </c>
      <c r="B9" s="11" t="str">
        <f>IF(D9&lt;&gt;"",IF(COUNTIF('USPTO TMs'!A:A,D9)&gt;0,"Yes","No"),"")</f>
        <v/>
      </c>
      <c r="C9" s="11"/>
      <c r="D9" s="12"/>
      <c r="E9" s="16"/>
      <c r="F9" s="14"/>
      <c r="G9" s="11"/>
      <c r="H9" s="11"/>
      <c r="I9" s="15"/>
    </row>
    <row r="10" spans="1:9" ht="15.75" customHeight="1">
      <c r="A10" s="10" t="b">
        <v>0</v>
      </c>
      <c r="B10" s="11" t="str">
        <f>IF(D10&lt;&gt;"",IF(COUNTIF('USPTO TMs'!A:A,D10)&gt;0,"Yes","No"),"")</f>
        <v/>
      </c>
      <c r="C10" s="11"/>
      <c r="D10" s="12"/>
      <c r="E10" s="16"/>
      <c r="F10" s="14"/>
      <c r="G10" s="11"/>
      <c r="H10" s="11"/>
      <c r="I10" s="15"/>
    </row>
    <row r="11" spans="1:9" ht="15.75" customHeight="1">
      <c r="A11" s="10" t="b">
        <v>0</v>
      </c>
      <c r="B11" s="11" t="str">
        <f>IF(D11&lt;&gt;"",IF(COUNTIF('USPTO TMs'!A:A,D11)&gt;0,"Yes","No"),"")</f>
        <v/>
      </c>
      <c r="C11" s="11"/>
      <c r="D11" s="12"/>
      <c r="E11" s="16"/>
      <c r="F11" s="14"/>
      <c r="G11" s="11"/>
      <c r="H11" s="11"/>
      <c r="I11" s="15"/>
    </row>
    <row r="12" spans="1:9" ht="15.75" customHeight="1">
      <c r="A12" s="10" t="b">
        <v>0</v>
      </c>
      <c r="B12" s="11" t="str">
        <f>IF(D12&lt;&gt;"",IF(COUNTIF('USPTO TMs'!A:A,D12)&gt;0,"Yes","No"),"")</f>
        <v/>
      </c>
      <c r="C12" s="11"/>
      <c r="D12" s="12"/>
      <c r="E12" s="16"/>
      <c r="F12" s="14"/>
      <c r="G12" s="11"/>
      <c r="H12" s="11"/>
      <c r="I12" s="15"/>
    </row>
    <row r="13" spans="1:9" ht="15.75" customHeight="1">
      <c r="A13" s="10" t="b">
        <v>0</v>
      </c>
      <c r="B13" s="11" t="str">
        <f>IF(D13&lt;&gt;"",IF(COUNTIF('USPTO TMs'!A:A,D13)&gt;0,"Yes","No"),"")</f>
        <v/>
      </c>
      <c r="C13" s="11"/>
      <c r="D13" s="12"/>
      <c r="E13" s="16"/>
      <c r="F13" s="14"/>
      <c r="G13" s="11"/>
      <c r="H13" s="11"/>
      <c r="I13" s="15"/>
    </row>
    <row r="14" spans="1:9" ht="15.75" customHeight="1">
      <c r="A14" s="10" t="b">
        <v>0</v>
      </c>
      <c r="B14" s="11" t="str">
        <f>IF(D14&lt;&gt;"",IF(COUNTIF('USPTO TMs'!A:A,D14)&gt;0,"Yes","No"),"")</f>
        <v/>
      </c>
      <c r="C14" s="11"/>
      <c r="D14" s="12"/>
      <c r="E14" s="16"/>
      <c r="F14" s="14"/>
      <c r="G14" s="11"/>
      <c r="H14" s="11"/>
      <c r="I14" s="15"/>
    </row>
    <row r="15" spans="1:9" ht="15.75" customHeight="1">
      <c r="A15" s="10" t="b">
        <v>0</v>
      </c>
      <c r="B15" s="11" t="str">
        <f>IF(D15&lt;&gt;"",IF(COUNTIF('USPTO TMs'!A:A,D15)&gt;0,"Yes","No"),"")</f>
        <v/>
      </c>
      <c r="C15" s="11"/>
      <c r="D15" s="12"/>
      <c r="E15" s="16"/>
      <c r="F15" s="14"/>
      <c r="G15" s="11"/>
      <c r="H15" s="11"/>
      <c r="I15" s="15"/>
    </row>
    <row r="16" spans="1:9" ht="15.75" customHeight="1">
      <c r="A16" s="10" t="b">
        <v>0</v>
      </c>
      <c r="B16" s="11" t="str">
        <f>IF(D16&lt;&gt;"",IF(COUNTIF('USPTO TMs'!A:A,D16)&gt;0,"Yes","No"),"")</f>
        <v/>
      </c>
      <c r="C16" s="11"/>
      <c r="D16" s="12"/>
      <c r="E16" s="16"/>
      <c r="F16" s="14"/>
      <c r="G16" s="11"/>
      <c r="H16" s="11"/>
      <c r="I16" s="15"/>
    </row>
    <row r="17" spans="1:9" ht="15.75" customHeight="1">
      <c r="A17" s="10" t="b">
        <v>0</v>
      </c>
      <c r="B17" s="11" t="str">
        <f>IF(D17&lt;&gt;"",IF(COUNTIF('USPTO TMs'!A:A,D17)&gt;0,"Yes","No"),"")</f>
        <v/>
      </c>
      <c r="C17" s="11"/>
      <c r="D17" s="12"/>
      <c r="E17" s="16"/>
      <c r="F17" s="14"/>
      <c r="G17" s="11"/>
      <c r="H17" s="11"/>
      <c r="I17" s="15"/>
    </row>
    <row r="18" spans="1:9" ht="15.75" customHeight="1">
      <c r="A18" s="10" t="b">
        <v>0</v>
      </c>
      <c r="B18" s="11" t="str">
        <f>IF(D18&lt;&gt;"",IF(COUNTIF('USPTO TMs'!A:A,D18)&gt;0,"Yes","No"),"")</f>
        <v/>
      </c>
      <c r="C18" s="11"/>
      <c r="D18" s="12"/>
      <c r="E18" s="16"/>
      <c r="F18" s="14"/>
      <c r="G18" s="11"/>
      <c r="H18" s="11"/>
      <c r="I18" s="15"/>
    </row>
    <row r="19" spans="1:9" ht="15.75" customHeight="1">
      <c r="A19" s="10" t="b">
        <v>0</v>
      </c>
      <c r="B19" s="11" t="str">
        <f>IF(D19&lt;&gt;"",IF(COUNTIF('USPTO TMs'!A:A,D19)&gt;0,"Yes","No"),"")</f>
        <v/>
      </c>
      <c r="C19" s="11"/>
      <c r="D19" s="12"/>
      <c r="E19" s="16"/>
      <c r="F19" s="14"/>
      <c r="G19" s="11"/>
      <c r="H19" s="11"/>
      <c r="I19" s="15"/>
    </row>
    <row r="20" spans="1:9" ht="15.75" customHeight="1">
      <c r="A20" s="10" t="b">
        <v>0</v>
      </c>
      <c r="B20" s="11" t="str">
        <f>IF(D20&lt;&gt;"",IF(COUNTIF('USPTO TMs'!A:A,D20)&gt;0,"Yes","No"),"")</f>
        <v/>
      </c>
      <c r="C20" s="11"/>
      <c r="D20" s="12"/>
      <c r="E20" s="16"/>
      <c r="F20" s="14"/>
      <c r="G20" s="11"/>
      <c r="H20" s="11"/>
      <c r="I20" s="15"/>
    </row>
    <row r="21" spans="1:9" ht="15.75" customHeight="1">
      <c r="A21" s="10" t="b">
        <v>0</v>
      </c>
      <c r="B21" s="11" t="str">
        <f>IF(D21&lt;&gt;"",IF(COUNTIF('USPTO TMs'!A:A,D21)&gt;0,"Yes","No"),"")</f>
        <v/>
      </c>
      <c r="C21" s="11"/>
      <c r="D21" s="12"/>
      <c r="E21" s="16"/>
      <c r="F21" s="14"/>
      <c r="G21" s="11"/>
      <c r="H21" s="11"/>
      <c r="I21" s="15"/>
    </row>
    <row r="22" spans="1:9" ht="15.75" customHeight="1">
      <c r="A22" s="10" t="b">
        <v>0</v>
      </c>
      <c r="B22" s="11" t="str">
        <f>IF(D22&lt;&gt;"",IF(COUNTIF('USPTO TMs'!A:A,D22)&gt;0,"Yes","No"),"")</f>
        <v/>
      </c>
      <c r="C22" s="11"/>
      <c r="D22" s="12"/>
      <c r="E22" s="16"/>
      <c r="F22" s="14"/>
      <c r="G22" s="11"/>
      <c r="H22" s="11"/>
      <c r="I22" s="15"/>
    </row>
    <row r="23" spans="1:9" ht="15.75" customHeight="1">
      <c r="A23" s="10" t="b">
        <v>0</v>
      </c>
      <c r="B23" s="11" t="str">
        <f>IF(D23&lt;&gt;"",IF(COUNTIF('USPTO TMs'!A:A,D23)&gt;0,"Yes","No"),"")</f>
        <v/>
      </c>
      <c r="C23" s="11"/>
      <c r="D23" s="12"/>
      <c r="E23" s="16"/>
      <c r="F23" s="14"/>
      <c r="G23" s="11"/>
      <c r="H23" s="11"/>
      <c r="I23" s="15"/>
    </row>
    <row r="24" spans="1:9" ht="15.75" customHeight="1">
      <c r="A24" s="10" t="b">
        <v>0</v>
      </c>
      <c r="B24" s="11" t="str">
        <f>IF(D24&lt;&gt;"",IF(COUNTIF('USPTO TMs'!A:A,D24)&gt;0,"Yes","No"),"")</f>
        <v/>
      </c>
      <c r="C24" s="11"/>
      <c r="D24" s="12"/>
      <c r="E24" s="16"/>
      <c r="F24" s="14"/>
      <c r="G24" s="11"/>
      <c r="H24" s="11"/>
      <c r="I24" s="15"/>
    </row>
    <row r="25" spans="1:9" ht="15.75" customHeight="1">
      <c r="A25" s="10" t="b">
        <v>0</v>
      </c>
      <c r="B25" s="11" t="str">
        <f>IF(D25&lt;&gt;"",IF(COUNTIF('USPTO TMs'!A:A,D25)&gt;0,"Yes","No"),"")</f>
        <v/>
      </c>
      <c r="C25" s="11"/>
      <c r="D25" s="12"/>
      <c r="E25" s="16"/>
      <c r="F25" s="14"/>
      <c r="G25" s="11"/>
      <c r="H25" s="11"/>
      <c r="I25" s="15"/>
    </row>
    <row r="26" spans="1:9" ht="15.75" customHeight="1">
      <c r="A26" s="10" t="b">
        <v>0</v>
      </c>
      <c r="B26" s="11" t="str">
        <f>IF(D26&lt;&gt;"",IF(COUNTIF('USPTO TMs'!A:A,D26)&gt;0,"Yes","No"),"")</f>
        <v/>
      </c>
      <c r="C26" s="11"/>
      <c r="D26" s="12"/>
      <c r="E26" s="16"/>
      <c r="F26" s="14"/>
      <c r="G26" s="11"/>
      <c r="H26" s="11"/>
      <c r="I26" s="15"/>
    </row>
    <row r="27" spans="1:9" ht="15.75" customHeight="1">
      <c r="A27" s="10" t="b">
        <v>0</v>
      </c>
      <c r="B27" s="11" t="str">
        <f>IF(D27&lt;&gt;"",IF(COUNTIF('USPTO TMs'!A:A,D27)&gt;0,"Yes","No"),"")</f>
        <v/>
      </c>
      <c r="C27" s="11"/>
      <c r="D27" s="12"/>
      <c r="E27" s="17"/>
      <c r="F27" s="14"/>
      <c r="G27" s="11"/>
      <c r="H27" s="11"/>
      <c r="I27" s="15"/>
    </row>
    <row r="28" spans="1:9" ht="15.75" customHeight="1">
      <c r="A28" s="10" t="b">
        <v>0</v>
      </c>
      <c r="B28" s="11" t="str">
        <f>IF(D28&lt;&gt;"",IF(COUNTIF('USPTO TMs'!A:A,D28)&gt;0,"Yes","No"),"")</f>
        <v/>
      </c>
      <c r="C28" s="11"/>
      <c r="D28" s="12"/>
      <c r="E28" s="16"/>
      <c r="F28" s="14"/>
      <c r="G28" s="11"/>
      <c r="H28" s="11"/>
      <c r="I28" s="15"/>
    </row>
    <row r="29" spans="1:9" ht="15.75" customHeight="1">
      <c r="A29" s="10" t="b">
        <v>0</v>
      </c>
      <c r="B29" s="11" t="str">
        <f>IF(D29&lt;&gt;"",IF(COUNTIF('USPTO TMs'!A:A,D29)&gt;0,"Yes","No"),"")</f>
        <v/>
      </c>
      <c r="C29" s="11"/>
      <c r="D29" s="18"/>
      <c r="E29" s="16"/>
      <c r="F29" s="14"/>
      <c r="G29" s="11"/>
      <c r="H29" s="11"/>
      <c r="I29" s="15"/>
    </row>
    <row r="30" spans="1:9" ht="15.75" customHeight="1">
      <c r="A30" s="10" t="b">
        <v>0</v>
      </c>
      <c r="B30" s="11" t="str">
        <f>IF(D30&lt;&gt;"",IF(COUNTIF('USPTO TMs'!A:A,D30)&gt;0,"Yes","No"),"")</f>
        <v/>
      </c>
      <c r="C30" s="11"/>
      <c r="D30" s="18"/>
      <c r="E30" s="16"/>
      <c r="F30" s="14"/>
      <c r="G30" s="11"/>
      <c r="H30" s="11"/>
      <c r="I30" s="15"/>
    </row>
    <row r="31" spans="1:9" ht="16.5">
      <c r="A31" s="10" t="b">
        <v>0</v>
      </c>
      <c r="B31" s="11" t="str">
        <f>IF(D31&lt;&gt;"",IF(COUNTIF('USPTO TMs'!A:A,D31)&gt;0,"Yes","No"),"")</f>
        <v/>
      </c>
      <c r="C31" s="11"/>
      <c r="D31" s="18"/>
      <c r="E31" s="16"/>
      <c r="F31" s="14"/>
      <c r="G31" s="11"/>
      <c r="H31" s="11"/>
      <c r="I31" s="15"/>
    </row>
    <row r="32" spans="1:9" ht="16.5">
      <c r="A32" s="10" t="b">
        <v>0</v>
      </c>
      <c r="B32" s="11" t="str">
        <f>IF(D32&lt;&gt;"",IF(COUNTIF('USPTO TMs'!A:A,D32)&gt;0,"Yes","No"),"")</f>
        <v/>
      </c>
      <c r="C32" s="11"/>
      <c r="D32" s="18"/>
      <c r="E32" s="16"/>
      <c r="F32" s="14"/>
      <c r="G32" s="11"/>
      <c r="H32" s="11"/>
      <c r="I32" s="15"/>
    </row>
    <row r="33" spans="1:9" ht="16.5">
      <c r="A33" s="10" t="b">
        <v>0</v>
      </c>
      <c r="B33" s="11" t="str">
        <f>IF(D33&lt;&gt;"",IF(COUNTIF('USPTO TMs'!A:A,D33)&gt;0,"Yes","No"),"")</f>
        <v/>
      </c>
      <c r="C33" s="11"/>
      <c r="D33" s="11"/>
      <c r="E33" s="11"/>
      <c r="F33" s="11"/>
      <c r="G33" s="11"/>
      <c r="H33" s="11"/>
      <c r="I33" s="15"/>
    </row>
    <row r="34" spans="1:9" ht="16.5">
      <c r="A34" s="10" t="b">
        <v>0</v>
      </c>
      <c r="B34" s="11" t="str">
        <f>IF(D34&lt;&gt;"",IF(COUNTIF('USPTO TMs'!A:A,D34)&gt;0,"Yes","No"),"")</f>
        <v/>
      </c>
      <c r="C34" s="11"/>
      <c r="D34" s="11"/>
      <c r="E34" s="11"/>
      <c r="F34" s="11"/>
      <c r="G34" s="11"/>
      <c r="H34" s="11"/>
      <c r="I34" s="15"/>
    </row>
    <row r="35" spans="1:9" ht="16.5">
      <c r="A35" s="10" t="b">
        <v>0</v>
      </c>
      <c r="B35" s="11" t="str">
        <f>IF(D35&lt;&gt;"",IF(COUNTIF('USPTO TMs'!A:A,D35)&gt;0,"Yes","No"),"")</f>
        <v/>
      </c>
      <c r="C35" s="11"/>
      <c r="D35" s="11"/>
      <c r="E35" s="11"/>
      <c r="F35" s="11"/>
      <c r="G35" s="11"/>
      <c r="H35" s="11"/>
      <c r="I35" s="15"/>
    </row>
    <row r="36" spans="1:9" ht="16.5">
      <c r="A36" s="10" t="b">
        <v>0</v>
      </c>
      <c r="B36" s="11" t="str">
        <f>IF(D36&lt;&gt;"",IF(COUNTIF('USPTO TMs'!A:A,D36)&gt;0,"Yes","No"),"")</f>
        <v/>
      </c>
      <c r="C36" s="11"/>
      <c r="D36" s="11"/>
      <c r="E36" s="11"/>
      <c r="F36" s="11"/>
      <c r="G36" s="11"/>
      <c r="H36" s="11"/>
      <c r="I36" s="15"/>
    </row>
    <row r="37" spans="1:9" ht="16.5">
      <c r="A37" s="10" t="b">
        <v>0</v>
      </c>
      <c r="B37" s="11" t="str">
        <f>IF(D37&lt;&gt;"",IF(COUNTIF('USPTO TMs'!A:A,D37)&gt;0,"Yes","No"),"")</f>
        <v/>
      </c>
      <c r="C37" s="11"/>
      <c r="D37" s="11"/>
      <c r="E37" s="11"/>
      <c r="F37" s="11"/>
      <c r="G37" s="11"/>
      <c r="H37" s="11"/>
      <c r="I37" s="15"/>
    </row>
    <row r="38" spans="1:9" ht="16.5">
      <c r="A38" s="10" t="b">
        <v>0</v>
      </c>
      <c r="B38" s="11" t="str">
        <f>IF(D38&lt;&gt;"",IF(COUNTIF('USPTO TMs'!A:A,D38)&gt;0,"Yes","No"),"")</f>
        <v/>
      </c>
      <c r="C38" s="11"/>
      <c r="D38" s="11"/>
      <c r="E38" s="11"/>
      <c r="F38" s="11"/>
      <c r="G38" s="11"/>
      <c r="H38" s="11"/>
      <c r="I38" s="15"/>
    </row>
    <row r="39" spans="1:9" ht="16.5">
      <c r="A39" s="10" t="b">
        <v>0</v>
      </c>
      <c r="B39" s="11" t="str">
        <f>IF(D39&lt;&gt;"",IF(COUNTIF('USPTO TMs'!A:A,D39)&gt;0,"Yes","No"),"")</f>
        <v/>
      </c>
      <c r="C39" s="11"/>
      <c r="D39" s="11"/>
      <c r="E39" s="11"/>
      <c r="F39" s="11"/>
      <c r="G39" s="11"/>
      <c r="H39" s="11"/>
      <c r="I39" s="15"/>
    </row>
    <row r="40" spans="1:9" ht="16.5">
      <c r="A40" s="10" t="b">
        <v>0</v>
      </c>
      <c r="B40" s="11" t="str">
        <f>IF(D40&lt;&gt;"",IF(COUNTIF('USPTO TMs'!A:A,D40)&gt;0,"Yes","No"),"")</f>
        <v/>
      </c>
      <c r="C40" s="11"/>
      <c r="D40" s="11"/>
      <c r="E40" s="11"/>
      <c r="F40" s="11"/>
      <c r="G40" s="11"/>
      <c r="H40" s="11"/>
      <c r="I40" s="15"/>
    </row>
    <row r="41" spans="1:9" ht="16.5">
      <c r="A41" s="10" t="b">
        <v>0</v>
      </c>
      <c r="B41" s="11" t="str">
        <f>IF(D41&lt;&gt;"",IF(COUNTIF('USPTO TMs'!A:A,D41)&gt;0,"Yes","No"),"")</f>
        <v/>
      </c>
      <c r="C41" s="11"/>
      <c r="D41" s="11"/>
      <c r="E41" s="11"/>
      <c r="F41" s="11"/>
      <c r="G41" s="11"/>
      <c r="H41" s="11"/>
      <c r="I41" s="15"/>
    </row>
    <row r="42" spans="1:9" ht="16.5">
      <c r="A42" s="10" t="b">
        <v>0</v>
      </c>
      <c r="B42" s="11" t="str">
        <f>IF(D42&lt;&gt;"",IF(COUNTIF('USPTO TMs'!A:A,D42)&gt;0,"Yes","No"),"")</f>
        <v/>
      </c>
      <c r="C42" s="11"/>
      <c r="D42" s="11"/>
      <c r="E42" s="11"/>
      <c r="F42" s="11"/>
      <c r="G42" s="11"/>
      <c r="H42" s="11"/>
      <c r="I42" s="15"/>
    </row>
    <row r="43" spans="1:9" ht="16.5">
      <c r="A43" s="10" t="b">
        <v>0</v>
      </c>
      <c r="B43" s="11" t="str">
        <f>IF(D43&lt;&gt;"",IF(COUNTIF('USPTO TMs'!A:A,D43)&gt;0,"Yes","No"),"")</f>
        <v/>
      </c>
      <c r="C43" s="11"/>
      <c r="D43" s="11"/>
      <c r="E43" s="11"/>
      <c r="F43" s="11"/>
      <c r="G43" s="11"/>
      <c r="H43" s="11"/>
      <c r="I43" s="15"/>
    </row>
    <row r="44" spans="1:9" ht="16.5">
      <c r="A44" s="10" t="b">
        <v>0</v>
      </c>
      <c r="B44" s="11" t="str">
        <f>IF(D44&lt;&gt;"",IF(COUNTIF('USPTO TMs'!A:A,D44)&gt;0,"Yes","No"),"")</f>
        <v/>
      </c>
      <c r="C44" s="11"/>
      <c r="D44" s="11"/>
      <c r="E44" s="11"/>
      <c r="F44" s="11"/>
      <c r="G44" s="11"/>
      <c r="H44" s="11"/>
      <c r="I44" s="15"/>
    </row>
    <row r="45" spans="1:9" ht="16.5">
      <c r="A45" s="10" t="b">
        <v>0</v>
      </c>
      <c r="B45" s="11" t="str">
        <f>IF(D45&lt;&gt;"",IF(COUNTIF('USPTO TMs'!A:A,D45)&gt;0,"Yes","No"),"")</f>
        <v/>
      </c>
      <c r="C45" s="11"/>
      <c r="D45" s="11"/>
      <c r="E45" s="11"/>
      <c r="F45" s="11"/>
      <c r="G45" s="11"/>
      <c r="H45" s="11"/>
      <c r="I45" s="15"/>
    </row>
    <row r="46" spans="1:9" ht="16.5">
      <c r="A46" s="10" t="b">
        <v>0</v>
      </c>
      <c r="B46" s="11" t="str">
        <f>IF(D46&lt;&gt;"",IF(COUNTIF('USPTO TMs'!A:A,D46)&gt;0,"Yes","No"),"")</f>
        <v/>
      </c>
      <c r="C46" s="11"/>
      <c r="D46" s="11"/>
      <c r="E46" s="11"/>
      <c r="F46" s="11"/>
      <c r="G46" s="11"/>
      <c r="H46" s="11"/>
      <c r="I46" s="15"/>
    </row>
    <row r="47" spans="1:9" ht="16.5">
      <c r="A47" s="10" t="b">
        <v>0</v>
      </c>
      <c r="B47" s="11" t="str">
        <f>IF(D47&lt;&gt;"",IF(COUNTIF('USPTO TMs'!A:A,D47)&gt;0,"Yes","No"),"")</f>
        <v/>
      </c>
      <c r="C47" s="11"/>
      <c r="D47" s="11"/>
      <c r="E47" s="11"/>
      <c r="F47" s="11"/>
      <c r="G47" s="11"/>
      <c r="H47" s="11"/>
      <c r="I47" s="15"/>
    </row>
    <row r="48" spans="1:9" ht="16.5">
      <c r="A48" s="10" t="b">
        <v>0</v>
      </c>
      <c r="B48" s="11" t="str">
        <f>IF(D48&lt;&gt;"",IF(COUNTIF('USPTO TMs'!A:A,D48)&gt;0,"Yes","No"),"")</f>
        <v/>
      </c>
      <c r="C48" s="11"/>
      <c r="D48" s="11"/>
      <c r="E48" s="11"/>
      <c r="F48" s="11"/>
      <c r="G48" s="11"/>
      <c r="H48" s="11"/>
      <c r="I48" s="15"/>
    </row>
    <row r="49" spans="1:9" ht="16.5">
      <c r="A49" s="10" t="b">
        <v>0</v>
      </c>
      <c r="B49" s="11" t="str">
        <f>IF(D49&lt;&gt;"",IF(COUNTIF('USPTO TMs'!A:A,D49)&gt;0,"Yes","No"),"")</f>
        <v/>
      </c>
      <c r="C49" s="11"/>
      <c r="D49" s="11"/>
      <c r="E49" s="11"/>
      <c r="F49" s="11"/>
      <c r="G49" s="11"/>
      <c r="H49" s="11"/>
      <c r="I49" s="15"/>
    </row>
    <row r="50" spans="1:9" ht="16.5">
      <c r="A50" s="10" t="b">
        <v>0</v>
      </c>
      <c r="B50" s="11" t="str">
        <f>IF(D50&lt;&gt;"",IF(COUNTIF('USPTO TMs'!A:A,D50)&gt;0,"Yes","No"),"")</f>
        <v/>
      </c>
      <c r="C50" s="11"/>
      <c r="D50" s="11"/>
      <c r="E50" s="11"/>
      <c r="F50" s="11"/>
      <c r="G50" s="11"/>
      <c r="H50" s="11"/>
      <c r="I50" s="15"/>
    </row>
    <row r="51" spans="1:9" ht="16.5">
      <c r="A51" s="10" t="b">
        <v>0</v>
      </c>
      <c r="B51" s="11" t="str">
        <f>IF(D51&lt;&gt;"",IF(COUNTIF('USPTO TMs'!A:A,D51)&gt;0,"Yes","No"),"")</f>
        <v/>
      </c>
      <c r="C51" s="11"/>
      <c r="D51" s="11"/>
      <c r="E51" s="11"/>
      <c r="F51" s="11"/>
      <c r="G51" s="11"/>
      <c r="H51" s="11"/>
      <c r="I51" s="15"/>
    </row>
    <row r="52" spans="1:9" ht="16.5">
      <c r="A52" s="10" t="b">
        <v>0</v>
      </c>
      <c r="B52" s="11" t="str">
        <f>IF(D52&lt;&gt;"",IF(COUNTIF('USPTO TMs'!A:A,D52)&gt;0,"Yes","No"),"")</f>
        <v/>
      </c>
      <c r="C52" s="11"/>
      <c r="D52" s="11"/>
      <c r="E52" s="11"/>
      <c r="F52" s="11"/>
      <c r="G52" s="11"/>
      <c r="H52" s="11"/>
      <c r="I52" s="15"/>
    </row>
    <row r="53" spans="1:9" ht="16.5">
      <c r="A53" s="10" t="b">
        <v>0</v>
      </c>
      <c r="B53" s="11" t="str">
        <f>IF(D53&lt;&gt;"",IF(COUNTIF('USPTO TMs'!A:A,D53)&gt;0,"Yes","No"),"")</f>
        <v/>
      </c>
      <c r="C53" s="11"/>
      <c r="D53" s="11"/>
      <c r="E53" s="11"/>
      <c r="F53" s="11"/>
      <c r="G53" s="11"/>
      <c r="H53" s="11"/>
      <c r="I53" s="15"/>
    </row>
    <row r="54" spans="1:9" ht="16.5">
      <c r="A54" s="10" t="b">
        <v>0</v>
      </c>
      <c r="B54" s="11" t="str">
        <f>IF(D54&lt;&gt;"",IF(COUNTIF('USPTO TMs'!A:A,D54)&gt;0,"Yes","No"),"")</f>
        <v/>
      </c>
      <c r="C54" s="11"/>
      <c r="D54" s="11"/>
      <c r="E54" s="11"/>
      <c r="F54" s="11"/>
      <c r="G54" s="11"/>
      <c r="H54" s="11"/>
      <c r="I54" s="15"/>
    </row>
    <row r="55" spans="1:9" ht="16.5">
      <c r="A55" s="10" t="b">
        <v>0</v>
      </c>
      <c r="B55" s="11" t="str">
        <f>IF(D55&lt;&gt;"",IF(COUNTIF('USPTO TMs'!A:A,D55)&gt;0,"Yes","No"),"")</f>
        <v/>
      </c>
      <c r="C55" s="11"/>
      <c r="D55" s="11"/>
      <c r="E55" s="11"/>
      <c r="F55" s="11"/>
      <c r="G55" s="11"/>
      <c r="H55" s="11"/>
      <c r="I55" s="15"/>
    </row>
    <row r="56" spans="1:9" ht="16.5">
      <c r="A56" s="10" t="b">
        <v>0</v>
      </c>
      <c r="B56" s="11" t="str">
        <f>IF(D56&lt;&gt;"",IF(COUNTIF('USPTO TMs'!A:A,D56)&gt;0,"Yes","No"),"")</f>
        <v/>
      </c>
      <c r="C56" s="11"/>
      <c r="D56" s="11"/>
      <c r="E56" s="11"/>
      <c r="F56" s="11"/>
      <c r="G56" s="11"/>
      <c r="H56" s="11"/>
      <c r="I56" s="15"/>
    </row>
    <row r="57" spans="1:9" ht="16.5">
      <c r="A57" s="10" t="b">
        <v>0</v>
      </c>
      <c r="B57" s="11" t="str">
        <f>IF(D57&lt;&gt;"",IF(COUNTIF('USPTO TMs'!A:A,D57)&gt;0,"Yes","No"),"")</f>
        <v/>
      </c>
      <c r="C57" s="11"/>
      <c r="D57" s="11"/>
      <c r="E57" s="11"/>
      <c r="F57" s="11"/>
      <c r="G57" s="11"/>
      <c r="H57" s="11"/>
      <c r="I57" s="15"/>
    </row>
    <row r="58" spans="1:9" ht="16.5">
      <c r="A58" s="10" t="b">
        <v>0</v>
      </c>
      <c r="B58" s="11" t="str">
        <f>IF(D58&lt;&gt;"",IF(COUNTIF('USPTO TMs'!A:A,D58)&gt;0,"Yes","No"),"")</f>
        <v/>
      </c>
      <c r="C58" s="11"/>
      <c r="D58" s="11"/>
      <c r="E58" s="11"/>
      <c r="F58" s="11"/>
      <c r="G58" s="11"/>
      <c r="H58" s="11"/>
      <c r="I58" s="15"/>
    </row>
    <row r="59" spans="1:9" ht="16.5">
      <c r="A59" s="10" t="b">
        <v>0</v>
      </c>
      <c r="B59" s="11" t="str">
        <f>IF(D59&lt;&gt;"",IF(COUNTIF('USPTO TMs'!A:A,D59)&gt;0,"Yes","No"),"")</f>
        <v/>
      </c>
      <c r="C59" s="11"/>
      <c r="D59" s="11"/>
      <c r="E59" s="11"/>
      <c r="F59" s="11"/>
      <c r="G59" s="11"/>
      <c r="H59" s="11"/>
      <c r="I59" s="15"/>
    </row>
    <row r="60" spans="1:9" ht="16.5">
      <c r="A60" s="10" t="b">
        <v>0</v>
      </c>
      <c r="B60" s="11" t="str">
        <f>IF(D60&lt;&gt;"",IF(COUNTIF('USPTO TMs'!A:A,D60)&gt;0,"Yes","No"),"")</f>
        <v/>
      </c>
      <c r="C60" s="11"/>
      <c r="D60" s="11"/>
      <c r="E60" s="11"/>
      <c r="F60" s="11"/>
      <c r="G60" s="11"/>
      <c r="H60" s="11"/>
      <c r="I60" s="15"/>
    </row>
    <row r="61" spans="1:9" ht="16.5">
      <c r="A61" s="10" t="b">
        <v>0</v>
      </c>
      <c r="B61" s="11" t="str">
        <f>IF(D61&lt;&gt;"",IF(COUNTIF('USPTO TMs'!A:A,D61)&gt;0,"Yes","No"),"")</f>
        <v/>
      </c>
      <c r="C61" s="11"/>
      <c r="D61" s="11"/>
      <c r="E61" s="11"/>
      <c r="F61" s="11"/>
      <c r="G61" s="11"/>
      <c r="H61" s="11"/>
      <c r="I61" s="15"/>
    </row>
    <row r="62" spans="1:9" ht="16.5">
      <c r="A62" s="10" t="b">
        <v>0</v>
      </c>
      <c r="B62" s="11" t="str">
        <f>IF(D62&lt;&gt;"",IF(COUNTIF('USPTO TMs'!A:A,D62)&gt;0,"Yes","No"),"")</f>
        <v/>
      </c>
      <c r="C62" s="11"/>
      <c r="D62" s="11"/>
      <c r="E62" s="11"/>
      <c r="F62" s="11"/>
      <c r="G62" s="11"/>
      <c r="H62" s="11"/>
      <c r="I62" s="15"/>
    </row>
    <row r="63" spans="1:9" ht="16.5">
      <c r="A63" s="10" t="b">
        <v>0</v>
      </c>
      <c r="B63" s="11" t="str">
        <f>IF(D63&lt;&gt;"",IF(COUNTIF('USPTO TMs'!A:A,D63)&gt;0,"Yes","No"),"")</f>
        <v/>
      </c>
      <c r="C63" s="11"/>
      <c r="D63" s="11"/>
      <c r="E63" s="11"/>
      <c r="F63" s="11"/>
      <c r="G63" s="11"/>
      <c r="H63" s="11"/>
      <c r="I63" s="15"/>
    </row>
    <row r="64" spans="1:9" ht="16.5">
      <c r="A64" s="10" t="b">
        <v>0</v>
      </c>
      <c r="B64" s="11" t="str">
        <f>IF(D64&lt;&gt;"",IF(COUNTIF('USPTO TMs'!A:A,D64)&gt;0,"Yes","No"),"")</f>
        <v/>
      </c>
      <c r="C64" s="11"/>
      <c r="D64" s="11"/>
      <c r="E64" s="11"/>
      <c r="F64" s="11"/>
      <c r="G64" s="11"/>
      <c r="H64" s="11"/>
      <c r="I64" s="15"/>
    </row>
    <row r="65" spans="1:9" ht="16.5">
      <c r="A65" s="10" t="b">
        <v>0</v>
      </c>
      <c r="B65" s="11" t="str">
        <f>IF(D65&lt;&gt;"",IF(COUNTIF('USPTO TMs'!A:A,D65)&gt;0,"Yes","No"),"")</f>
        <v/>
      </c>
      <c r="C65" s="11"/>
      <c r="D65" s="11"/>
      <c r="E65" s="11"/>
      <c r="F65" s="11"/>
      <c r="G65" s="11"/>
      <c r="H65" s="11"/>
      <c r="I65" s="15"/>
    </row>
    <row r="66" spans="1:9" ht="16.5">
      <c r="A66" s="10" t="b">
        <v>0</v>
      </c>
      <c r="B66" s="11" t="str">
        <f>IF(D66&lt;&gt;"",IF(COUNTIF('USPTO TMs'!A:A,D66)&gt;0,"Yes","No"),"")</f>
        <v/>
      </c>
      <c r="C66" s="11"/>
      <c r="D66" s="11"/>
      <c r="E66" s="11"/>
      <c r="F66" s="11"/>
      <c r="G66" s="11"/>
      <c r="H66" s="11"/>
      <c r="I66" s="15"/>
    </row>
    <row r="67" spans="1:9" ht="16.5">
      <c r="A67" s="10" t="b">
        <v>0</v>
      </c>
      <c r="B67" s="11" t="str">
        <f>IF(D67&lt;&gt;"",IF(COUNTIF('USPTO TMs'!A:A,D67)&gt;0,"Yes","No"),"")</f>
        <v/>
      </c>
      <c r="C67" s="11"/>
      <c r="D67" s="11"/>
      <c r="E67" s="11"/>
      <c r="F67" s="11"/>
      <c r="G67" s="11"/>
      <c r="H67" s="11"/>
      <c r="I67" s="15"/>
    </row>
    <row r="68" spans="1:9" ht="16.5">
      <c r="A68" s="10" t="b">
        <v>0</v>
      </c>
      <c r="B68" s="11" t="str">
        <f>IF(D68&lt;&gt;"",IF(COUNTIF('USPTO TMs'!A:A,D68)&gt;0,"Yes","No"),"")</f>
        <v/>
      </c>
      <c r="C68" s="11"/>
      <c r="D68" s="11"/>
      <c r="E68" s="11"/>
      <c r="F68" s="11"/>
      <c r="G68" s="11"/>
      <c r="H68" s="11"/>
      <c r="I68" s="15"/>
    </row>
    <row r="69" spans="1:9" ht="16.5">
      <c r="A69" s="10" t="b">
        <v>0</v>
      </c>
      <c r="B69" s="11" t="str">
        <f>IF(D69&lt;&gt;"",IF(COUNTIF('USPTO TMs'!A:A,D69)&gt;0,"Yes","No"),"")</f>
        <v/>
      </c>
      <c r="C69" s="11"/>
      <c r="D69" s="11"/>
      <c r="E69" s="11"/>
      <c r="F69" s="11"/>
      <c r="G69" s="11"/>
      <c r="H69" s="11"/>
      <c r="I69" s="15"/>
    </row>
    <row r="70" spans="1:9" ht="16.5">
      <c r="A70" s="10" t="b">
        <v>0</v>
      </c>
      <c r="B70" s="11" t="str">
        <f>IF(D70&lt;&gt;"",IF(COUNTIF('USPTO TMs'!A:A,D70)&gt;0,"Yes","No"),"")</f>
        <v/>
      </c>
      <c r="C70" s="11"/>
      <c r="D70" s="11"/>
      <c r="E70" s="11"/>
      <c r="F70" s="11"/>
      <c r="G70" s="11"/>
      <c r="H70" s="11"/>
      <c r="I70" s="15"/>
    </row>
    <row r="71" spans="1:9" ht="16.5">
      <c r="A71" s="10" t="b">
        <v>0</v>
      </c>
      <c r="B71" s="11" t="str">
        <f>IF(D71&lt;&gt;"",IF(COUNTIF('USPTO TMs'!A:A,D71)&gt;0,"Yes","No"),"")</f>
        <v/>
      </c>
      <c r="C71" s="11"/>
      <c r="D71" s="11"/>
      <c r="E71" s="11"/>
      <c r="F71" s="11"/>
      <c r="G71" s="11"/>
      <c r="H71" s="11"/>
      <c r="I71" s="15"/>
    </row>
    <row r="72" spans="1:9" ht="16.5">
      <c r="A72" s="10" t="b">
        <v>0</v>
      </c>
      <c r="B72" s="11" t="str">
        <f>IF(D72&lt;&gt;"",IF(COUNTIF('USPTO TMs'!A:A,D72)&gt;0,"Yes","No"),"")</f>
        <v/>
      </c>
      <c r="C72" s="11"/>
      <c r="D72" s="11"/>
      <c r="E72" s="11"/>
      <c r="F72" s="11"/>
      <c r="G72" s="11"/>
      <c r="H72" s="11"/>
      <c r="I72" s="15"/>
    </row>
    <row r="73" spans="1:9" ht="16.5">
      <c r="A73" s="10" t="b">
        <v>0</v>
      </c>
      <c r="B73" s="11" t="str">
        <f>IF(D73&lt;&gt;"",IF(COUNTIF('USPTO TMs'!A:A,D73)&gt;0,"Yes","No"),"")</f>
        <v/>
      </c>
      <c r="C73" s="11"/>
      <c r="D73" s="11"/>
      <c r="E73" s="11"/>
      <c r="F73" s="11"/>
      <c r="G73" s="11"/>
      <c r="H73" s="11"/>
      <c r="I73" s="15"/>
    </row>
    <row r="74" spans="1:9" ht="16.5">
      <c r="A74" s="10" t="b">
        <v>0</v>
      </c>
      <c r="B74" s="11" t="str">
        <f>IF(D74&lt;&gt;"",IF(COUNTIF('USPTO TMs'!A:A,D74)&gt;0,"Yes","No"),"")</f>
        <v/>
      </c>
      <c r="C74" s="11"/>
      <c r="D74" s="11"/>
      <c r="E74" s="11"/>
      <c r="F74" s="11"/>
      <c r="G74" s="11"/>
      <c r="H74" s="11"/>
      <c r="I74" s="15"/>
    </row>
    <row r="75" spans="1:9" ht="16.5">
      <c r="A75" s="10" t="b">
        <v>0</v>
      </c>
      <c r="B75" s="11" t="str">
        <f>IF(D75&lt;&gt;"",IF(COUNTIF('USPTO TMs'!A:A,D75)&gt;0,"Yes","No"),"")</f>
        <v/>
      </c>
      <c r="C75" s="11"/>
      <c r="D75" s="11"/>
      <c r="E75" s="11"/>
      <c r="F75" s="11"/>
      <c r="G75" s="11"/>
      <c r="H75" s="11"/>
      <c r="I75" s="15"/>
    </row>
    <row r="76" spans="1:9" ht="16.5">
      <c r="A76" s="10" t="b">
        <v>0</v>
      </c>
      <c r="B76" s="11" t="str">
        <f>IF(D76&lt;&gt;"",IF(COUNTIF('USPTO TMs'!A:A,D76)&gt;0,"Yes","No"),"")</f>
        <v/>
      </c>
      <c r="C76" s="11"/>
      <c r="D76" s="11"/>
      <c r="E76" s="11"/>
      <c r="F76" s="11"/>
      <c r="G76" s="11"/>
      <c r="H76" s="11"/>
      <c r="I76" s="15"/>
    </row>
    <row r="77" spans="1:9" ht="16.5">
      <c r="A77" s="10" t="b">
        <v>0</v>
      </c>
      <c r="B77" s="11" t="str">
        <f>IF(D77&lt;&gt;"",IF(COUNTIF('USPTO TMs'!A:A,D77)&gt;0,"Yes","No"),"")</f>
        <v/>
      </c>
      <c r="C77" s="11"/>
      <c r="D77" s="11"/>
      <c r="E77" s="11"/>
      <c r="F77" s="11"/>
      <c r="G77" s="11"/>
      <c r="H77" s="11"/>
      <c r="I77" s="15"/>
    </row>
    <row r="78" spans="1:9" ht="16.5">
      <c r="A78" s="10" t="b">
        <v>0</v>
      </c>
      <c r="B78" s="11" t="str">
        <f>IF(D78&lt;&gt;"",IF(COUNTIF('USPTO TMs'!A:A,D78)&gt;0,"Yes","No"),"")</f>
        <v/>
      </c>
      <c r="C78" s="11"/>
      <c r="D78" s="11"/>
      <c r="E78" s="11"/>
      <c r="F78" s="11"/>
      <c r="G78" s="11"/>
      <c r="H78" s="11"/>
      <c r="I78" s="15"/>
    </row>
    <row r="79" spans="1:9" ht="16.5">
      <c r="A79" s="10" t="b">
        <v>0</v>
      </c>
      <c r="B79" s="11" t="str">
        <f>IF(D79&lt;&gt;"",IF(COUNTIF('USPTO TMs'!A:A,D79)&gt;0,"Yes","No"),"")</f>
        <v/>
      </c>
      <c r="C79" s="11"/>
      <c r="D79" s="11"/>
      <c r="E79" s="11"/>
      <c r="F79" s="11"/>
      <c r="G79" s="11"/>
      <c r="H79" s="11"/>
      <c r="I79" s="15"/>
    </row>
    <row r="80" spans="1:9" ht="16.5">
      <c r="A80" s="10" t="b">
        <v>0</v>
      </c>
      <c r="B80" s="11" t="str">
        <f>IF(D80&lt;&gt;"",IF(COUNTIF('USPTO TMs'!A:A,D80)&gt;0,"Yes","No"),"")</f>
        <v/>
      </c>
      <c r="C80" s="11"/>
      <c r="D80" s="11"/>
      <c r="E80" s="11"/>
      <c r="F80" s="11"/>
      <c r="G80" s="11"/>
      <c r="H80" s="11"/>
      <c r="I80" s="15"/>
    </row>
    <row r="81" spans="1:9" ht="16.5">
      <c r="A81" s="10" t="b">
        <v>0</v>
      </c>
      <c r="B81" s="11" t="str">
        <f>IF(D81&lt;&gt;"",IF(COUNTIF('USPTO TMs'!A:A,D81)&gt;0,"Yes","No"),"")</f>
        <v/>
      </c>
      <c r="C81" s="11"/>
      <c r="D81" s="11"/>
      <c r="E81" s="11"/>
      <c r="F81" s="11"/>
      <c r="G81" s="11"/>
      <c r="H81" s="11"/>
      <c r="I81" s="15"/>
    </row>
    <row r="82" spans="1:9" ht="16.5">
      <c r="A82" s="10" t="b">
        <v>0</v>
      </c>
      <c r="B82" s="11" t="str">
        <f>IF(D82&lt;&gt;"",IF(COUNTIF('USPTO TMs'!A:A,D82)&gt;0,"Yes","No"),"")</f>
        <v/>
      </c>
      <c r="C82" s="11"/>
      <c r="D82" s="11"/>
      <c r="E82" s="11"/>
      <c r="F82" s="11"/>
      <c r="G82" s="11"/>
      <c r="H82" s="11"/>
      <c r="I82" s="15"/>
    </row>
    <row r="83" spans="1:9" ht="16.5">
      <c r="A83" s="10" t="b">
        <v>0</v>
      </c>
      <c r="B83" s="11" t="str">
        <f>IF(D83&lt;&gt;"",IF(COUNTIF('USPTO TMs'!A:A,D83)&gt;0,"Yes","No"),"")</f>
        <v/>
      </c>
      <c r="C83" s="11"/>
      <c r="D83" s="11"/>
      <c r="E83" s="11"/>
      <c r="F83" s="11"/>
      <c r="G83" s="11"/>
      <c r="H83" s="11"/>
      <c r="I83" s="15"/>
    </row>
    <row r="84" spans="1:9" ht="16.5">
      <c r="A84" s="10" t="b">
        <v>0</v>
      </c>
      <c r="B84" s="11" t="str">
        <f>IF(D84&lt;&gt;"",IF(COUNTIF('USPTO TMs'!A:A,D84)&gt;0,"Yes","No"),"")</f>
        <v/>
      </c>
      <c r="C84" s="11"/>
      <c r="D84" s="11"/>
      <c r="E84" s="11"/>
      <c r="F84" s="11"/>
      <c r="G84" s="11"/>
      <c r="H84" s="11"/>
      <c r="I84" s="15"/>
    </row>
    <row r="85" spans="1:9" ht="16.5">
      <c r="A85" s="10" t="b">
        <v>0</v>
      </c>
      <c r="B85" s="11" t="str">
        <f>IF(D85&lt;&gt;"",IF(COUNTIF('USPTO TMs'!A:A,D85)&gt;0,"Yes","No"),"")</f>
        <v/>
      </c>
      <c r="C85" s="11"/>
      <c r="D85" s="11"/>
      <c r="E85" s="11"/>
      <c r="F85" s="11"/>
      <c r="G85" s="11"/>
      <c r="H85" s="11"/>
      <c r="I85" s="15"/>
    </row>
    <row r="86" spans="1:9" ht="16.5">
      <c r="A86" s="10" t="b">
        <v>0</v>
      </c>
      <c r="B86" s="11" t="str">
        <f>IF(D86&lt;&gt;"",IF(COUNTIF('USPTO TMs'!A:A,D86)&gt;0,"Yes","No"),"")</f>
        <v/>
      </c>
      <c r="C86" s="11"/>
      <c r="D86" s="11"/>
      <c r="E86" s="11"/>
      <c r="F86" s="11"/>
      <c r="G86" s="11"/>
      <c r="H86" s="11"/>
      <c r="I86" s="15"/>
    </row>
    <row r="87" spans="1:9" ht="16.5">
      <c r="A87" s="10" t="b">
        <v>0</v>
      </c>
      <c r="B87" s="11" t="str">
        <f>IF(D87&lt;&gt;"",IF(COUNTIF('USPTO TMs'!A:A,D87)&gt;0,"Yes","No"),"")</f>
        <v/>
      </c>
      <c r="C87" s="11"/>
      <c r="D87" s="11"/>
      <c r="E87" s="11"/>
      <c r="F87" s="11"/>
      <c r="G87" s="11"/>
      <c r="H87" s="11"/>
      <c r="I87" s="15"/>
    </row>
    <row r="88" spans="1:9" ht="16.5">
      <c r="A88" s="10" t="b">
        <v>0</v>
      </c>
      <c r="B88" s="11" t="str">
        <f>IF(D88&lt;&gt;"",IF(COUNTIF('USPTO TMs'!A:A,D88)&gt;0,"Yes","No"),"")</f>
        <v/>
      </c>
      <c r="C88" s="11"/>
      <c r="D88" s="11"/>
      <c r="E88" s="11"/>
      <c r="F88" s="11"/>
      <c r="G88" s="11"/>
      <c r="H88" s="11"/>
      <c r="I88" s="15"/>
    </row>
    <row r="89" spans="1:9" ht="16.5">
      <c r="A89" s="10" t="b">
        <v>0</v>
      </c>
      <c r="B89" s="11" t="str">
        <f>IF(D89&lt;&gt;"",IF(COUNTIF('USPTO TMs'!A:A,D89)&gt;0,"Yes","No"),"")</f>
        <v/>
      </c>
      <c r="C89" s="11"/>
      <c r="D89" s="11"/>
      <c r="E89" s="11"/>
      <c r="F89" s="11"/>
      <c r="G89" s="11"/>
      <c r="H89" s="11"/>
      <c r="I89" s="15"/>
    </row>
    <row r="90" spans="1:9" ht="16.5">
      <c r="A90" s="10" t="b">
        <v>0</v>
      </c>
      <c r="B90" s="11" t="str">
        <f>IF(D90&lt;&gt;"",IF(COUNTIF('USPTO TMs'!A:A,D90)&gt;0,"Yes","No"),"")</f>
        <v/>
      </c>
      <c r="C90" s="11"/>
      <c r="D90" s="11"/>
      <c r="E90" s="11"/>
      <c r="F90" s="11"/>
      <c r="G90" s="11"/>
      <c r="H90" s="11"/>
      <c r="I90" s="15"/>
    </row>
    <row r="91" spans="1:9" ht="16.5">
      <c r="A91" s="10" t="b">
        <v>0</v>
      </c>
      <c r="B91" s="11" t="str">
        <f>IF(D91&lt;&gt;"",IF(COUNTIF('USPTO TMs'!A:A,D91)&gt;0,"Yes","No"),"")</f>
        <v/>
      </c>
      <c r="C91" s="11"/>
      <c r="D91" s="11"/>
      <c r="E91" s="11"/>
      <c r="F91" s="11"/>
      <c r="G91" s="11"/>
      <c r="H91" s="11"/>
      <c r="I91" s="15"/>
    </row>
    <row r="92" spans="1:9" ht="16.5">
      <c r="A92" s="10" t="b">
        <v>0</v>
      </c>
      <c r="B92" s="11" t="str">
        <f>IF(D92&lt;&gt;"",IF(COUNTIF('USPTO TMs'!A:A,D92)&gt;0,"Yes","No"),"")</f>
        <v/>
      </c>
      <c r="C92" s="11"/>
      <c r="D92" s="11"/>
      <c r="E92" s="11"/>
      <c r="F92" s="11"/>
      <c r="G92" s="11"/>
      <c r="H92" s="11"/>
      <c r="I92" s="15"/>
    </row>
    <row r="93" spans="1:9" ht="16.5">
      <c r="A93" s="10" t="b">
        <v>0</v>
      </c>
      <c r="B93" s="11" t="str">
        <f>IF(D93&lt;&gt;"",IF(COUNTIF('USPTO TMs'!A:A,D93)&gt;0,"Yes","No"),"")</f>
        <v/>
      </c>
      <c r="C93" s="11"/>
      <c r="D93" s="11"/>
      <c r="E93" s="11"/>
      <c r="F93" s="11"/>
      <c r="G93" s="11"/>
      <c r="H93" s="11"/>
      <c r="I93" s="15"/>
    </row>
    <row r="94" spans="1:9" ht="16.5">
      <c r="A94" s="10" t="b">
        <v>0</v>
      </c>
      <c r="B94" s="11" t="str">
        <f>IF(D94&lt;&gt;"",IF(COUNTIF('USPTO TMs'!A:A,D94)&gt;0,"Yes","No"),"")</f>
        <v/>
      </c>
      <c r="C94" s="11"/>
      <c r="D94" s="11"/>
      <c r="E94" s="11"/>
      <c r="F94" s="11"/>
      <c r="G94" s="11"/>
      <c r="H94" s="11"/>
      <c r="I94" s="15"/>
    </row>
    <row r="95" spans="1:9" ht="16.5">
      <c r="A95" s="10" t="b">
        <v>0</v>
      </c>
      <c r="B95" s="11" t="str">
        <f>IF(D95&lt;&gt;"",IF(COUNTIF('USPTO TMs'!A:A,D95)&gt;0,"Yes","No"),"")</f>
        <v/>
      </c>
      <c r="C95" s="11"/>
      <c r="D95" s="11"/>
      <c r="E95" s="11"/>
      <c r="F95" s="11"/>
      <c r="G95" s="11"/>
      <c r="H95" s="11"/>
      <c r="I95" s="15"/>
    </row>
    <row r="96" spans="1:9" ht="16.5">
      <c r="A96" s="10" t="b">
        <v>0</v>
      </c>
      <c r="B96" s="11" t="str">
        <f>IF(D96&lt;&gt;"",IF(COUNTIF('USPTO TMs'!A:A,D96)&gt;0,"Yes","No"),"")</f>
        <v/>
      </c>
      <c r="C96" s="11"/>
      <c r="D96" s="11"/>
      <c r="E96" s="11"/>
      <c r="F96" s="11"/>
      <c r="G96" s="11"/>
      <c r="H96" s="11"/>
      <c r="I96" s="15"/>
    </row>
    <row r="97" spans="1:9" ht="16.5">
      <c r="A97" s="10" t="b">
        <v>0</v>
      </c>
      <c r="B97" s="11" t="str">
        <f>IF(D97&lt;&gt;"",IF(COUNTIF('USPTO TMs'!A:A,D97)&gt;0,"Yes","No"),"")</f>
        <v/>
      </c>
      <c r="C97" s="11"/>
      <c r="D97" s="11"/>
      <c r="E97" s="11"/>
      <c r="F97" s="11"/>
      <c r="G97" s="11"/>
      <c r="H97" s="11"/>
      <c r="I97" s="15"/>
    </row>
    <row r="98" spans="1:9" ht="16.5">
      <c r="A98" s="10" t="b">
        <v>0</v>
      </c>
      <c r="B98" s="11" t="str">
        <f>IF(D98&lt;&gt;"",IF(COUNTIF('USPTO TMs'!A:A,D98)&gt;0,"Yes","No"),"")</f>
        <v/>
      </c>
      <c r="C98" s="11"/>
      <c r="D98" s="11"/>
      <c r="E98" s="11"/>
      <c r="F98" s="11"/>
      <c r="G98" s="11"/>
      <c r="H98" s="11"/>
      <c r="I98" s="15"/>
    </row>
    <row r="99" spans="1:9" ht="16.5">
      <c r="A99" s="10" t="b">
        <v>0</v>
      </c>
      <c r="B99" s="11" t="str">
        <f>IF(D99&lt;&gt;"",IF(COUNTIF('USPTO TMs'!A:A,D99)&gt;0,"Yes","No"),"")</f>
        <v/>
      </c>
      <c r="C99" s="11"/>
      <c r="D99" s="11"/>
      <c r="E99" s="11"/>
      <c r="F99" s="11"/>
      <c r="G99" s="11"/>
      <c r="H99" s="11"/>
      <c r="I99" s="15"/>
    </row>
    <row r="100" spans="1:9" ht="16.5">
      <c r="A100" s="10" t="b">
        <v>0</v>
      </c>
      <c r="B100" s="11" t="str">
        <f>IF(D100&lt;&gt;"",IF(COUNTIF('USPTO TMs'!A:A,D100)&gt;0,"Yes","No"),"")</f>
        <v/>
      </c>
      <c r="C100" s="11"/>
      <c r="D100" s="11"/>
      <c r="E100" s="11"/>
      <c r="F100" s="11"/>
      <c r="G100" s="11"/>
      <c r="H100" s="11"/>
      <c r="I100" s="15"/>
    </row>
    <row r="101" spans="1:9" ht="16.5">
      <c r="A101" s="10" t="b">
        <v>0</v>
      </c>
      <c r="B101" s="11" t="str">
        <f>IF(D101&lt;&gt;"",IF(COUNTIF('USPTO TMs'!A:A,D101)&gt;0,"Yes","No"),"")</f>
        <v/>
      </c>
      <c r="C101" s="11"/>
      <c r="D101" s="11"/>
      <c r="E101" s="11"/>
      <c r="F101" s="11"/>
      <c r="G101" s="11"/>
      <c r="H101" s="11"/>
      <c r="I101" s="15"/>
    </row>
    <row r="102" spans="1:9" ht="16.5">
      <c r="A102" s="10" t="b">
        <v>0</v>
      </c>
      <c r="B102" s="11" t="str">
        <f>IF(D102&lt;&gt;"",IF(COUNTIF('USPTO TMs'!A:A,D102)&gt;0,"Yes","No"),"")</f>
        <v/>
      </c>
      <c r="C102" s="11"/>
      <c r="D102" s="11"/>
      <c r="E102" s="11"/>
      <c r="F102" s="11"/>
      <c r="G102" s="11"/>
      <c r="H102" s="11"/>
      <c r="I102" s="15"/>
    </row>
    <row r="103" spans="1:9" ht="16.5">
      <c r="A103" s="10" t="b">
        <v>0</v>
      </c>
      <c r="B103" s="11" t="str">
        <f>IF(D103&lt;&gt;"",IF(COUNTIF('USPTO TMs'!A:A,D103)&gt;0,"Yes","No"),"")</f>
        <v/>
      </c>
      <c r="C103" s="11"/>
      <c r="D103" s="11"/>
      <c r="E103" s="11"/>
      <c r="F103" s="11"/>
      <c r="G103" s="11"/>
      <c r="H103" s="11"/>
      <c r="I103" s="15"/>
    </row>
    <row r="104" spans="1:9" ht="16.5">
      <c r="A104" s="10" t="b">
        <v>0</v>
      </c>
      <c r="B104" s="11" t="str">
        <f>IF(D104&lt;&gt;"",IF(COUNTIF('USPTO TMs'!A:A,D104)&gt;0,"Yes","No"),"")</f>
        <v/>
      </c>
      <c r="C104" s="11"/>
      <c r="D104" s="11"/>
      <c r="E104" s="11"/>
      <c r="F104" s="11"/>
      <c r="G104" s="11"/>
      <c r="H104" s="11"/>
      <c r="I104" s="15"/>
    </row>
    <row r="105" spans="1:9" ht="16.5">
      <c r="A105" s="10" t="b">
        <v>0</v>
      </c>
      <c r="B105" s="11" t="str">
        <f>IF(D105&lt;&gt;"",IF(COUNTIF('USPTO TMs'!A:A,D105)&gt;0,"Yes","No"),"")</f>
        <v/>
      </c>
      <c r="C105" s="11"/>
      <c r="D105" s="11"/>
      <c r="E105" s="11"/>
      <c r="F105" s="11"/>
      <c r="G105" s="11"/>
      <c r="H105" s="11"/>
      <c r="I105" s="15"/>
    </row>
    <row r="106" spans="1:9" ht="16.5">
      <c r="A106" s="10" t="b">
        <v>0</v>
      </c>
      <c r="B106" s="11" t="str">
        <f>IF(D106&lt;&gt;"",IF(COUNTIF('USPTO TMs'!A:A,D106)&gt;0,"Yes","No"),"")</f>
        <v/>
      </c>
      <c r="C106" s="11"/>
      <c r="D106" s="11"/>
      <c r="E106" s="11"/>
      <c r="F106" s="11"/>
      <c r="G106" s="11"/>
      <c r="H106" s="11"/>
      <c r="I106" s="15"/>
    </row>
    <row r="107" spans="1:9" ht="16.5">
      <c r="A107" s="10" t="b">
        <v>0</v>
      </c>
      <c r="B107" s="11" t="str">
        <f>IF(D107&lt;&gt;"",IF(COUNTIF('USPTO TMs'!A:A,D107)&gt;0,"Yes","No"),"")</f>
        <v/>
      </c>
      <c r="C107" s="11"/>
      <c r="D107" s="11"/>
      <c r="E107" s="11"/>
      <c r="F107" s="11"/>
      <c r="G107" s="11"/>
      <c r="H107" s="11"/>
      <c r="I107" s="15"/>
    </row>
    <row r="108" spans="1:9" ht="16.5">
      <c r="A108" s="10" t="b">
        <v>0</v>
      </c>
      <c r="B108" s="11" t="str">
        <f>IF(D108&lt;&gt;"",IF(COUNTIF('USPTO TMs'!A:A,D108)&gt;0,"Yes","No"),"")</f>
        <v/>
      </c>
      <c r="C108" s="11"/>
      <c r="D108" s="11"/>
      <c r="E108" s="11"/>
      <c r="F108" s="11"/>
      <c r="G108" s="11"/>
      <c r="H108" s="11"/>
      <c r="I108" s="15"/>
    </row>
    <row r="109" spans="1:9" ht="16.5">
      <c r="A109" s="10" t="b">
        <v>0</v>
      </c>
      <c r="B109" s="11" t="str">
        <f>IF(D109&lt;&gt;"",IF(COUNTIF('USPTO TMs'!A:A,D109)&gt;0,"Yes","No"),"")</f>
        <v/>
      </c>
      <c r="C109" s="11"/>
      <c r="D109" s="11"/>
      <c r="E109" s="11"/>
      <c r="F109" s="11"/>
      <c r="G109" s="11"/>
      <c r="H109" s="11"/>
      <c r="I109" s="15"/>
    </row>
    <row r="110" spans="1:9" ht="16.5">
      <c r="A110" s="10" t="b">
        <v>0</v>
      </c>
      <c r="B110" s="11" t="str">
        <f>IF(D110&lt;&gt;"",IF(COUNTIF('USPTO TMs'!A:A,D110)&gt;0,"Yes","No"),"")</f>
        <v/>
      </c>
      <c r="C110" s="11"/>
      <c r="D110" s="11"/>
      <c r="E110" s="11"/>
      <c r="F110" s="11"/>
      <c r="G110" s="11"/>
      <c r="H110" s="11"/>
      <c r="I110" s="15"/>
    </row>
    <row r="111" spans="1:9" ht="16.5">
      <c r="A111" s="10" t="b">
        <v>0</v>
      </c>
      <c r="B111" s="11" t="str">
        <f>IF(D111&lt;&gt;"",IF(COUNTIF('USPTO TMs'!A:A,D111)&gt;0,"Yes","No"),"")</f>
        <v/>
      </c>
      <c r="C111" s="11"/>
      <c r="D111" s="11"/>
      <c r="E111" s="11"/>
      <c r="F111" s="11"/>
      <c r="G111" s="11"/>
      <c r="H111" s="11"/>
      <c r="I111" s="15"/>
    </row>
    <row r="112" spans="1:9" ht="16.5">
      <c r="A112" s="10" t="b">
        <v>0</v>
      </c>
      <c r="B112" s="11" t="str">
        <f>IF(D112&lt;&gt;"",IF(COUNTIF('USPTO TMs'!A:A,D112)&gt;0,"Yes","No"),"")</f>
        <v/>
      </c>
      <c r="C112" s="11"/>
      <c r="D112" s="11"/>
      <c r="E112" s="11"/>
      <c r="F112" s="11"/>
      <c r="G112" s="11"/>
      <c r="H112" s="11"/>
      <c r="I112" s="15"/>
    </row>
    <row r="113" spans="1:9" ht="16.5">
      <c r="A113" s="10" t="b">
        <v>0</v>
      </c>
      <c r="B113" s="11" t="str">
        <f>IF(D113&lt;&gt;"",IF(COUNTIF('USPTO TMs'!A:A,D113)&gt;0,"Yes","No"),"")</f>
        <v/>
      </c>
      <c r="C113" s="11"/>
      <c r="D113" s="11"/>
      <c r="E113" s="11"/>
      <c r="F113" s="11"/>
      <c r="G113" s="11"/>
      <c r="H113" s="11"/>
      <c r="I113" s="15"/>
    </row>
    <row r="114" spans="1:9" ht="16.5">
      <c r="A114" s="10" t="b">
        <v>0</v>
      </c>
      <c r="B114" s="11" t="str">
        <f>IF(D114&lt;&gt;"",IF(COUNTIF('USPTO TMs'!A:A,D114)&gt;0,"Yes","No"),"")</f>
        <v/>
      </c>
      <c r="C114" s="11"/>
      <c r="D114" s="11"/>
      <c r="E114" s="11"/>
      <c r="F114" s="11"/>
      <c r="G114" s="11"/>
      <c r="H114" s="11"/>
      <c r="I114" s="15"/>
    </row>
    <row r="115" spans="1:9" ht="16.5">
      <c r="A115" s="10" t="b">
        <v>0</v>
      </c>
      <c r="B115" s="11" t="str">
        <f>IF(D115&lt;&gt;"",IF(COUNTIF('USPTO TMs'!A:A,D115)&gt;0,"Yes","No"),"")</f>
        <v/>
      </c>
      <c r="C115" s="11"/>
      <c r="D115" s="11"/>
      <c r="E115" s="11"/>
      <c r="F115" s="11"/>
      <c r="G115" s="11"/>
      <c r="H115" s="11"/>
      <c r="I115" s="15"/>
    </row>
    <row r="116" spans="1:9" ht="16.5">
      <c r="A116" s="10" t="b">
        <v>0</v>
      </c>
      <c r="B116" s="11" t="str">
        <f>IF(D116&lt;&gt;"",IF(COUNTIF('USPTO TMs'!A:A,D116)&gt;0,"Yes","No"),"")</f>
        <v/>
      </c>
      <c r="C116" s="11"/>
      <c r="D116" s="11"/>
      <c r="E116" s="11"/>
      <c r="F116" s="11"/>
      <c r="G116" s="11"/>
      <c r="H116" s="11"/>
      <c r="I116" s="15"/>
    </row>
    <row r="117" spans="1:9" ht="16.5">
      <c r="A117" s="10" t="b">
        <v>0</v>
      </c>
      <c r="B117" s="11" t="str">
        <f>IF(D117&lt;&gt;"",IF(COUNTIF('USPTO TMs'!A:A,D117)&gt;0,"Yes","No"),"")</f>
        <v/>
      </c>
      <c r="C117" s="11"/>
      <c r="D117" s="11"/>
      <c r="E117" s="11"/>
      <c r="F117" s="11"/>
      <c r="G117" s="11"/>
      <c r="H117" s="11"/>
      <c r="I117" s="15"/>
    </row>
    <row r="118" spans="1:9" ht="16.5">
      <c r="A118" s="10" t="b">
        <v>0</v>
      </c>
      <c r="B118" s="11" t="str">
        <f>IF(D118&lt;&gt;"",IF(COUNTIF('USPTO TMs'!A:A,D118)&gt;0,"Yes","No"),"")</f>
        <v/>
      </c>
      <c r="C118" s="11"/>
      <c r="D118" s="11"/>
      <c r="E118" s="11"/>
      <c r="F118" s="11"/>
      <c r="G118" s="11"/>
      <c r="H118" s="11"/>
      <c r="I118" s="15"/>
    </row>
    <row r="119" spans="1:9" ht="16.5">
      <c r="A119" s="10" t="b">
        <v>0</v>
      </c>
      <c r="B119" s="11" t="str">
        <f>IF(D119&lt;&gt;"",IF(COUNTIF('USPTO TMs'!A:A,D119)&gt;0,"Yes","No"),"")</f>
        <v/>
      </c>
      <c r="C119" s="11"/>
      <c r="D119" s="11"/>
      <c r="E119" s="11"/>
      <c r="F119" s="11"/>
      <c r="G119" s="11"/>
      <c r="H119" s="11"/>
      <c r="I119" s="15"/>
    </row>
    <row r="120" spans="1:9" ht="16.5">
      <c r="A120" s="10" t="b">
        <v>0</v>
      </c>
      <c r="B120" s="11" t="str">
        <f>IF(D120&lt;&gt;"",IF(COUNTIF('USPTO TMs'!A:A,D120)&gt;0,"Yes","No"),"")</f>
        <v/>
      </c>
      <c r="C120" s="11"/>
      <c r="D120" s="11"/>
      <c r="E120" s="11"/>
      <c r="F120" s="11"/>
      <c r="G120" s="11"/>
      <c r="H120" s="11"/>
      <c r="I120" s="15"/>
    </row>
    <row r="121" spans="1:9" ht="16.5">
      <c r="A121" s="10" t="b">
        <v>0</v>
      </c>
      <c r="B121" s="11" t="str">
        <f>IF(D121&lt;&gt;"",IF(COUNTIF('USPTO TMs'!A:A,D121)&gt;0,"Yes","No"),"")</f>
        <v/>
      </c>
      <c r="C121" s="11"/>
      <c r="D121" s="11"/>
      <c r="E121" s="11"/>
      <c r="F121" s="11"/>
      <c r="G121" s="11"/>
      <c r="H121" s="11"/>
      <c r="I121" s="15"/>
    </row>
    <row r="122" spans="1:9" ht="16.5">
      <c r="A122" s="10" t="b">
        <v>0</v>
      </c>
      <c r="B122" s="11" t="str">
        <f>IF(D122&lt;&gt;"",IF(COUNTIF('USPTO TMs'!A:A,D122)&gt;0,"Yes","No"),"")</f>
        <v/>
      </c>
      <c r="C122" s="11"/>
      <c r="D122" s="11"/>
      <c r="E122" s="11"/>
      <c r="F122" s="11"/>
      <c r="G122" s="11"/>
      <c r="H122" s="11"/>
      <c r="I122" s="15"/>
    </row>
    <row r="123" spans="1:9" ht="16.5">
      <c r="A123" s="10" t="b">
        <v>0</v>
      </c>
      <c r="B123" s="11" t="str">
        <f>IF(D123&lt;&gt;"",IF(COUNTIF('USPTO TMs'!A:A,D123)&gt;0,"Yes","No"),"")</f>
        <v/>
      </c>
      <c r="C123" s="11"/>
      <c r="D123" s="11"/>
      <c r="E123" s="11"/>
      <c r="F123" s="11"/>
      <c r="G123" s="11"/>
      <c r="H123" s="11"/>
      <c r="I123" s="15"/>
    </row>
    <row r="124" spans="1:9" ht="16.5">
      <c r="A124" s="10" t="b">
        <v>0</v>
      </c>
      <c r="B124" s="11" t="str">
        <f>IF(D124&lt;&gt;"",IF(COUNTIF('USPTO TMs'!A:A,D124)&gt;0,"Yes","No"),"")</f>
        <v/>
      </c>
      <c r="C124" s="11"/>
      <c r="D124" s="11"/>
      <c r="E124" s="11"/>
      <c r="F124" s="11"/>
      <c r="G124" s="11"/>
      <c r="H124" s="11"/>
      <c r="I124" s="15"/>
    </row>
    <row r="125" spans="1:9" ht="16.5">
      <c r="A125" s="10" t="b">
        <v>0</v>
      </c>
      <c r="B125" s="11" t="str">
        <f>IF(D125&lt;&gt;"",IF(COUNTIF('USPTO TMs'!A:A,D125)&gt;0,"Yes","No"),"")</f>
        <v/>
      </c>
      <c r="C125" s="11"/>
      <c r="D125" s="11"/>
      <c r="E125" s="11"/>
      <c r="F125" s="11"/>
      <c r="G125" s="11"/>
      <c r="H125" s="11"/>
      <c r="I125" s="15"/>
    </row>
    <row r="126" spans="1:9" ht="16.5">
      <c r="A126" s="10" t="b">
        <v>0</v>
      </c>
      <c r="B126" s="11" t="str">
        <f>IF(D126&lt;&gt;"",IF(COUNTIF('USPTO TMs'!A:A,D126)&gt;0,"Yes","No"),"")</f>
        <v/>
      </c>
      <c r="C126" s="11"/>
      <c r="D126" s="11"/>
      <c r="E126" s="11"/>
      <c r="F126" s="11"/>
      <c r="G126" s="11"/>
      <c r="H126" s="11"/>
      <c r="I126" s="15"/>
    </row>
    <row r="127" spans="1:9" ht="16.5">
      <c r="A127" s="10" t="b">
        <v>0</v>
      </c>
      <c r="B127" s="11" t="str">
        <f>IF(D127&lt;&gt;"",IF(COUNTIF('USPTO TMs'!A:A,D127)&gt;0,"Yes","No"),"")</f>
        <v/>
      </c>
      <c r="C127" s="11"/>
      <c r="D127" s="11"/>
      <c r="E127" s="11"/>
      <c r="F127" s="11"/>
      <c r="G127" s="11"/>
      <c r="H127" s="11"/>
      <c r="I127" s="15"/>
    </row>
    <row r="128" spans="1:9" ht="16.5">
      <c r="A128" s="10" t="b">
        <v>0</v>
      </c>
      <c r="B128" s="11" t="str">
        <f>IF(D128&lt;&gt;"",IF(COUNTIF('USPTO TMs'!A:A,D128)&gt;0,"Yes","No"),"")</f>
        <v/>
      </c>
      <c r="C128" s="11"/>
      <c r="D128" s="11"/>
      <c r="E128" s="11"/>
      <c r="F128" s="11"/>
      <c r="G128" s="11"/>
      <c r="H128" s="11"/>
      <c r="I128" s="15"/>
    </row>
    <row r="129" spans="1:9" ht="16.5">
      <c r="A129" s="10" t="b">
        <v>0</v>
      </c>
      <c r="B129" s="11" t="str">
        <f>IF(D129&lt;&gt;"",IF(COUNTIF('USPTO TMs'!A:A,D129)&gt;0,"Yes","No"),"")</f>
        <v/>
      </c>
      <c r="C129" s="11"/>
      <c r="D129" s="11"/>
      <c r="E129" s="11"/>
      <c r="F129" s="11"/>
      <c r="G129" s="11"/>
      <c r="H129" s="11"/>
      <c r="I129" s="15"/>
    </row>
    <row r="130" spans="1:9" ht="16.5">
      <c r="A130" s="10" t="b">
        <v>0</v>
      </c>
      <c r="B130" s="11" t="str">
        <f>IF(D130&lt;&gt;"",IF(COUNTIF('USPTO TMs'!A:A,D130)&gt;0,"Yes","No"),"")</f>
        <v/>
      </c>
      <c r="C130" s="11"/>
      <c r="D130" s="11"/>
      <c r="E130" s="11"/>
      <c r="F130" s="11"/>
      <c r="G130" s="11"/>
      <c r="H130" s="11"/>
      <c r="I130" s="15"/>
    </row>
    <row r="131" spans="1:9" ht="16.5">
      <c r="A131" s="10" t="b">
        <v>0</v>
      </c>
      <c r="B131" s="11" t="str">
        <f>IF(D131&lt;&gt;"",IF(COUNTIF('USPTO TMs'!A:A,D131)&gt;0,"Yes","No"),"")</f>
        <v/>
      </c>
      <c r="C131" s="11"/>
      <c r="D131" s="11"/>
      <c r="E131" s="11"/>
      <c r="F131" s="11"/>
      <c r="G131" s="11"/>
      <c r="H131" s="11"/>
      <c r="I131" s="15"/>
    </row>
    <row r="132" spans="1:9" ht="16.5">
      <c r="A132" s="10" t="b">
        <v>0</v>
      </c>
      <c r="B132" s="11" t="str">
        <f>IF(D132&lt;&gt;"",IF(COUNTIF('USPTO TMs'!A:A,D132)&gt;0,"Yes","No"),"")</f>
        <v/>
      </c>
      <c r="C132" s="11"/>
      <c r="D132" s="11"/>
      <c r="E132" s="11"/>
      <c r="F132" s="11"/>
      <c r="G132" s="11"/>
      <c r="H132" s="11"/>
      <c r="I132" s="15"/>
    </row>
    <row r="133" spans="1:9" ht="16.5">
      <c r="A133" s="10" t="b">
        <v>0</v>
      </c>
      <c r="B133" s="11" t="str">
        <f>IF(D133&lt;&gt;"",IF(COUNTIF('USPTO TMs'!A:A,D133)&gt;0,"Yes","No"),"")</f>
        <v/>
      </c>
      <c r="C133" s="11"/>
      <c r="D133" s="11"/>
      <c r="E133" s="11"/>
      <c r="F133" s="11"/>
      <c r="G133" s="11"/>
      <c r="H133" s="11"/>
      <c r="I133" s="15"/>
    </row>
    <row r="134" spans="1:9" ht="16.5">
      <c r="A134" s="10" t="b">
        <v>0</v>
      </c>
      <c r="B134" s="11" t="str">
        <f>IF(D134&lt;&gt;"",IF(COUNTIF('USPTO TMs'!A:A,D134)&gt;0,"Yes","No"),"")</f>
        <v/>
      </c>
      <c r="C134" s="11"/>
      <c r="D134" s="11"/>
      <c r="E134" s="11"/>
      <c r="F134" s="11"/>
      <c r="G134" s="11"/>
      <c r="H134" s="11"/>
      <c r="I134" s="15"/>
    </row>
    <row r="135" spans="1:9" ht="16.5">
      <c r="A135" s="10" t="b">
        <v>0</v>
      </c>
      <c r="B135" s="11" t="str">
        <f>IF(D135&lt;&gt;"",IF(COUNTIF('USPTO TMs'!A:A,D135)&gt;0,"Yes","No"),"")</f>
        <v/>
      </c>
      <c r="C135" s="11"/>
      <c r="D135" s="11"/>
      <c r="E135" s="11"/>
      <c r="F135" s="11"/>
      <c r="G135" s="11"/>
      <c r="H135" s="11"/>
      <c r="I135" s="15"/>
    </row>
    <row r="136" spans="1:9" ht="16.5">
      <c r="A136" s="10" t="b">
        <v>0</v>
      </c>
      <c r="B136" s="11" t="str">
        <f>IF(D136&lt;&gt;"",IF(COUNTIF('USPTO TMs'!A:A,D136)&gt;0,"Yes","No"),"")</f>
        <v/>
      </c>
      <c r="C136" s="11"/>
      <c r="D136" s="11"/>
      <c r="E136" s="11"/>
      <c r="F136" s="11"/>
      <c r="G136" s="11"/>
      <c r="H136" s="11"/>
      <c r="I136" s="15"/>
    </row>
    <row r="137" spans="1:9" ht="16.5">
      <c r="A137" s="10" t="b">
        <v>0</v>
      </c>
      <c r="B137" s="11" t="str">
        <f>IF(D137&lt;&gt;"",IF(COUNTIF('USPTO TMs'!A:A,D137)&gt;0,"Yes","No"),"")</f>
        <v/>
      </c>
      <c r="C137" s="11"/>
      <c r="D137" s="11"/>
      <c r="E137" s="11"/>
      <c r="F137" s="11"/>
      <c r="G137" s="11"/>
      <c r="H137" s="11"/>
      <c r="I137" s="15"/>
    </row>
    <row r="138" spans="1:9" ht="16.5">
      <c r="A138" s="10" t="b">
        <v>0</v>
      </c>
      <c r="B138" s="11" t="str">
        <f>IF(D138&lt;&gt;"",IF(COUNTIF('USPTO TMs'!A:A,D138)&gt;0,"Yes","No"),"")</f>
        <v/>
      </c>
      <c r="C138" s="11"/>
      <c r="D138" s="11"/>
      <c r="E138" s="11"/>
      <c r="F138" s="11"/>
      <c r="G138" s="11"/>
      <c r="H138" s="11"/>
      <c r="I138" s="15"/>
    </row>
    <row r="139" spans="1:9" ht="16.5">
      <c r="A139" s="10" t="b">
        <v>0</v>
      </c>
      <c r="B139" s="11" t="str">
        <f>IF(D139&lt;&gt;"",IF(COUNTIF('USPTO TMs'!A:A,D139)&gt;0,"Yes","No"),"")</f>
        <v/>
      </c>
      <c r="C139" s="11"/>
      <c r="D139" s="11"/>
      <c r="E139" s="11"/>
      <c r="F139" s="11"/>
      <c r="G139" s="11"/>
      <c r="H139" s="11"/>
      <c r="I139" s="15"/>
    </row>
    <row r="140" spans="1:9" ht="16.5">
      <c r="A140" s="10" t="b">
        <v>0</v>
      </c>
      <c r="B140" s="11" t="str">
        <f>IF(D140&lt;&gt;"",IF(COUNTIF('USPTO TMs'!A:A,D140)&gt;0,"Yes","No"),"")</f>
        <v/>
      </c>
      <c r="C140" s="11"/>
      <c r="D140" s="11"/>
      <c r="E140" s="11"/>
      <c r="F140" s="11"/>
      <c r="G140" s="11"/>
      <c r="H140" s="11"/>
      <c r="I140" s="15"/>
    </row>
    <row r="141" spans="1:9" ht="16.5">
      <c r="A141" s="10" t="b">
        <v>0</v>
      </c>
      <c r="B141" s="11" t="str">
        <f>IF(D141&lt;&gt;"",IF(COUNTIF('USPTO TMs'!A:A,D141)&gt;0,"Yes","No"),"")</f>
        <v/>
      </c>
      <c r="C141" s="11"/>
      <c r="D141" s="11"/>
      <c r="E141" s="11"/>
      <c r="F141" s="11"/>
      <c r="G141" s="11"/>
      <c r="H141" s="11"/>
      <c r="I141" s="15"/>
    </row>
    <row r="142" spans="1:9" ht="16.5">
      <c r="A142" s="10" t="b">
        <v>0</v>
      </c>
      <c r="B142" s="11" t="str">
        <f>IF(D142&lt;&gt;"",IF(COUNTIF('USPTO TMs'!A:A,D142)&gt;0,"Yes","No"),"")</f>
        <v/>
      </c>
      <c r="C142" s="11"/>
      <c r="D142" s="11"/>
      <c r="E142" s="11"/>
      <c r="F142" s="11"/>
      <c r="G142" s="11"/>
      <c r="H142" s="11"/>
      <c r="I142" s="15"/>
    </row>
    <row r="143" spans="1:9" ht="16.5">
      <c r="A143" s="10" t="b">
        <v>0</v>
      </c>
      <c r="B143" s="11" t="str">
        <f>IF(D143&lt;&gt;"",IF(COUNTIF('USPTO TMs'!A:A,D143)&gt;0,"Yes","No"),"")</f>
        <v/>
      </c>
      <c r="C143" s="11"/>
      <c r="D143" s="11"/>
      <c r="E143" s="11"/>
      <c r="F143" s="11"/>
      <c r="G143" s="11"/>
      <c r="H143" s="11"/>
      <c r="I143" s="15"/>
    </row>
    <row r="144" spans="1:9" ht="16.5">
      <c r="A144" s="10" t="b">
        <v>0</v>
      </c>
      <c r="B144" s="11" t="str">
        <f>IF(D144&lt;&gt;"",IF(COUNTIF('USPTO TMs'!A:A,D144)&gt;0,"Yes","No"),"")</f>
        <v/>
      </c>
      <c r="C144" s="11"/>
      <c r="D144" s="11"/>
      <c r="E144" s="11"/>
      <c r="F144" s="11"/>
      <c r="G144" s="11"/>
      <c r="H144" s="11"/>
      <c r="I144" s="15"/>
    </row>
    <row r="145" spans="1:9" ht="16.5">
      <c r="A145" s="10" t="b">
        <v>0</v>
      </c>
      <c r="B145" s="11" t="str">
        <f>IF(D145&lt;&gt;"",IF(COUNTIF('USPTO TMs'!A:A,D145)&gt;0,"Yes","No"),"")</f>
        <v/>
      </c>
      <c r="C145" s="11"/>
      <c r="D145" s="11"/>
      <c r="E145" s="11"/>
      <c r="F145" s="11"/>
      <c r="G145" s="11"/>
      <c r="H145" s="11"/>
      <c r="I145" s="15"/>
    </row>
    <row r="146" spans="1:9" ht="16.5">
      <c r="A146" s="10" t="b">
        <v>0</v>
      </c>
      <c r="B146" s="11" t="str">
        <f>IF(D146&lt;&gt;"",IF(COUNTIF('USPTO TMs'!A:A,D146)&gt;0,"Yes","No"),"")</f>
        <v/>
      </c>
      <c r="C146" s="11"/>
      <c r="D146" s="11"/>
      <c r="E146" s="11"/>
      <c r="F146" s="11"/>
      <c r="G146" s="11"/>
      <c r="H146" s="11"/>
      <c r="I146" s="15"/>
    </row>
    <row r="147" spans="1:9" ht="16.5">
      <c r="A147" s="10" t="b">
        <v>0</v>
      </c>
      <c r="B147" s="11" t="str">
        <f>IF(D147&lt;&gt;"",IF(COUNTIF('USPTO TMs'!A:A,D147)&gt;0,"Yes","No"),"")</f>
        <v/>
      </c>
      <c r="C147" s="11"/>
      <c r="D147" s="11"/>
      <c r="E147" s="11"/>
      <c r="F147" s="11"/>
      <c r="G147" s="11"/>
      <c r="H147" s="11"/>
      <c r="I147" s="15"/>
    </row>
    <row r="148" spans="1:9" ht="16.5">
      <c r="A148" s="10" t="b">
        <v>0</v>
      </c>
      <c r="B148" s="11" t="str">
        <f>IF(D148&lt;&gt;"",IF(COUNTIF('USPTO TMs'!A:A,D148)&gt;0,"Yes","No"),"")</f>
        <v/>
      </c>
      <c r="C148" s="11"/>
      <c r="D148" s="11"/>
      <c r="E148" s="11"/>
      <c r="F148" s="11"/>
      <c r="G148" s="11"/>
      <c r="H148" s="11"/>
      <c r="I148" s="15"/>
    </row>
    <row r="149" spans="1:9" ht="16.5">
      <c r="A149" s="10" t="b">
        <v>0</v>
      </c>
      <c r="B149" s="11" t="str">
        <f>IF(D149&lt;&gt;"",IF(COUNTIF('USPTO TMs'!A:A,D149)&gt;0,"Yes","No"),"")</f>
        <v/>
      </c>
      <c r="C149" s="11"/>
      <c r="D149" s="11"/>
      <c r="E149" s="11"/>
      <c r="F149" s="11"/>
      <c r="G149" s="11"/>
      <c r="H149" s="11"/>
      <c r="I149" s="15"/>
    </row>
    <row r="150" spans="1:9" ht="16.5">
      <c r="A150" s="10" t="b">
        <v>0</v>
      </c>
      <c r="B150" s="11" t="str">
        <f>IF(D150&lt;&gt;"",IF(COUNTIF('USPTO TMs'!A:A,D150)&gt;0,"Yes","No"),"")</f>
        <v/>
      </c>
      <c r="C150" s="11"/>
      <c r="D150" s="11"/>
      <c r="E150" s="11"/>
      <c r="F150" s="11"/>
      <c r="G150" s="11"/>
      <c r="H150" s="11"/>
      <c r="I150" s="15"/>
    </row>
    <row r="151" spans="1:9" ht="16.5">
      <c r="A151" s="10" t="b">
        <v>0</v>
      </c>
      <c r="B151" s="11" t="str">
        <f>IF(D151&lt;&gt;"",IF(COUNTIF('USPTO TMs'!A:A,D151)&gt;0,"Yes","No"),"")</f>
        <v/>
      </c>
      <c r="C151" s="11"/>
      <c r="D151" s="11"/>
      <c r="E151" s="11"/>
      <c r="F151" s="11"/>
      <c r="G151" s="11"/>
      <c r="H151" s="11"/>
      <c r="I151" s="15"/>
    </row>
    <row r="152" spans="1:9" ht="16.5">
      <c r="A152" s="10" t="b">
        <v>0</v>
      </c>
      <c r="B152" s="11" t="str">
        <f>IF(D152&lt;&gt;"",IF(COUNTIF('USPTO TMs'!A:A,D152)&gt;0,"Yes","No"),"")</f>
        <v/>
      </c>
      <c r="C152" s="11"/>
      <c r="D152" s="11"/>
      <c r="E152" s="11"/>
      <c r="F152" s="11"/>
      <c r="G152" s="11"/>
      <c r="H152" s="11"/>
      <c r="I152" s="15"/>
    </row>
    <row r="153" spans="1:9" ht="16.5">
      <c r="A153" s="10" t="b">
        <v>0</v>
      </c>
      <c r="B153" s="11" t="str">
        <f>IF(D153&lt;&gt;"",IF(COUNTIF('USPTO TMs'!A:A,D153)&gt;0,"Yes","No"),"")</f>
        <v/>
      </c>
      <c r="C153" s="11"/>
      <c r="D153" s="11"/>
      <c r="E153" s="11"/>
      <c r="F153" s="11"/>
      <c r="G153" s="11"/>
      <c r="H153" s="11"/>
      <c r="I153" s="15"/>
    </row>
    <row r="154" spans="1:9" ht="16.5">
      <c r="A154" s="10" t="b">
        <v>0</v>
      </c>
      <c r="B154" s="11" t="str">
        <f>IF(D154&lt;&gt;"",IF(COUNTIF('USPTO TMs'!A:A,D154)&gt;0,"Yes","No"),"")</f>
        <v/>
      </c>
      <c r="C154" s="11"/>
      <c r="D154" s="11"/>
      <c r="E154" s="11"/>
      <c r="F154" s="11"/>
      <c r="G154" s="11"/>
      <c r="H154" s="11"/>
      <c r="I154" s="15"/>
    </row>
    <row r="155" spans="1:9" ht="16.5">
      <c r="A155" s="10" t="b">
        <v>0</v>
      </c>
      <c r="B155" s="11" t="str">
        <f>IF(D155&lt;&gt;"",IF(COUNTIF('USPTO TMs'!A:A,D155)&gt;0,"Yes","No"),"")</f>
        <v/>
      </c>
      <c r="C155" s="11"/>
      <c r="D155" s="11"/>
      <c r="E155" s="11"/>
      <c r="F155" s="11"/>
      <c r="G155" s="11"/>
      <c r="H155" s="11"/>
      <c r="I155" s="15"/>
    </row>
    <row r="156" spans="1:9" ht="16.5">
      <c r="A156" s="10" t="b">
        <v>0</v>
      </c>
      <c r="B156" s="11" t="str">
        <f>IF(D156&lt;&gt;"",IF(COUNTIF('USPTO TMs'!A:A,D156)&gt;0,"Yes","No"),"")</f>
        <v/>
      </c>
      <c r="C156" s="11"/>
      <c r="D156" s="11"/>
      <c r="E156" s="11"/>
      <c r="F156" s="11"/>
      <c r="G156" s="11"/>
      <c r="H156" s="11"/>
      <c r="I156" s="15"/>
    </row>
    <row r="157" spans="1:9" ht="16.5">
      <c r="A157" s="10" t="b">
        <v>0</v>
      </c>
      <c r="B157" s="11" t="str">
        <f>IF(D157&lt;&gt;"",IF(COUNTIF('USPTO TMs'!A:A,D157)&gt;0,"Yes","No"),"")</f>
        <v/>
      </c>
      <c r="C157" s="11"/>
      <c r="D157" s="11"/>
      <c r="E157" s="11"/>
      <c r="F157" s="11"/>
      <c r="G157" s="11"/>
      <c r="H157" s="11"/>
      <c r="I157" s="15"/>
    </row>
    <row r="158" spans="1:9" ht="16.5">
      <c r="A158" s="10" t="b">
        <v>0</v>
      </c>
      <c r="B158" s="11" t="str">
        <f>IF(D158&lt;&gt;"",IF(COUNTIF('USPTO TMs'!A:A,D158)&gt;0,"Yes","No"),"")</f>
        <v/>
      </c>
      <c r="C158" s="11"/>
      <c r="D158" s="11"/>
      <c r="E158" s="11"/>
      <c r="F158" s="11"/>
      <c r="G158" s="11"/>
      <c r="H158" s="11"/>
      <c r="I158" s="15"/>
    </row>
    <row r="159" spans="1:9" ht="16.5">
      <c r="A159" s="10" t="b">
        <v>0</v>
      </c>
      <c r="B159" s="11" t="str">
        <f>IF(D159&lt;&gt;"",IF(COUNTIF('USPTO TMs'!A:A,D159)&gt;0,"Yes","No"),"")</f>
        <v/>
      </c>
      <c r="C159" s="11"/>
      <c r="D159" s="11"/>
      <c r="E159" s="11"/>
      <c r="F159" s="11"/>
      <c r="G159" s="11"/>
      <c r="H159" s="11"/>
      <c r="I159" s="15"/>
    </row>
    <row r="160" spans="1:9" ht="16.5">
      <c r="A160" s="10" t="b">
        <v>0</v>
      </c>
      <c r="B160" s="11" t="str">
        <f>IF(D160&lt;&gt;"",IF(COUNTIF('USPTO TMs'!A:A,D160)&gt;0,"Yes","No"),"")</f>
        <v/>
      </c>
      <c r="C160" s="11"/>
      <c r="D160" s="11"/>
      <c r="E160" s="11"/>
      <c r="F160" s="11"/>
      <c r="G160" s="11"/>
      <c r="H160" s="11"/>
      <c r="I160" s="15"/>
    </row>
    <row r="161" spans="1:9" ht="16.5">
      <c r="A161" s="10" t="b">
        <v>0</v>
      </c>
      <c r="B161" s="11" t="str">
        <f>IF(D161&lt;&gt;"",IF(COUNTIF('USPTO TMs'!A:A,D161)&gt;0,"Yes","No"),"")</f>
        <v/>
      </c>
      <c r="C161" s="11"/>
      <c r="D161" s="11"/>
      <c r="E161" s="11"/>
      <c r="F161" s="11"/>
      <c r="G161" s="11"/>
      <c r="H161" s="11"/>
      <c r="I161" s="15"/>
    </row>
    <row r="162" spans="1:9" ht="16.5">
      <c r="A162" s="10" t="b">
        <v>0</v>
      </c>
      <c r="B162" s="11" t="str">
        <f>IF(D162&lt;&gt;"",IF(COUNTIF('USPTO TMs'!A:A,D162)&gt;0,"Yes","No"),"")</f>
        <v/>
      </c>
      <c r="C162" s="11"/>
      <c r="D162" s="11"/>
      <c r="E162" s="11"/>
      <c r="F162" s="11"/>
      <c r="G162" s="11"/>
      <c r="H162" s="11"/>
      <c r="I162" s="15"/>
    </row>
    <row r="163" spans="1:9" ht="16.5">
      <c r="A163" s="10" t="b">
        <v>0</v>
      </c>
      <c r="B163" s="11" t="str">
        <f>IF(D163&lt;&gt;"",IF(COUNTIF('USPTO TMs'!A:A,D163)&gt;0,"Yes","No"),"")</f>
        <v/>
      </c>
      <c r="C163" s="11"/>
      <c r="D163" s="11"/>
      <c r="E163" s="11"/>
      <c r="F163" s="11"/>
      <c r="G163" s="11"/>
      <c r="H163" s="11"/>
      <c r="I163" s="15"/>
    </row>
    <row r="164" spans="1:9" ht="16.5">
      <c r="A164" s="10" t="b">
        <v>0</v>
      </c>
      <c r="B164" s="11" t="str">
        <f>IF(D164&lt;&gt;"",IF(COUNTIF('USPTO TMs'!A:A,D164)&gt;0,"Yes","No"),"")</f>
        <v/>
      </c>
      <c r="C164" s="11"/>
      <c r="D164" s="11"/>
      <c r="E164" s="11"/>
      <c r="F164" s="11"/>
      <c r="G164" s="11"/>
      <c r="H164" s="11"/>
      <c r="I164" s="15"/>
    </row>
    <row r="165" spans="1:9" ht="16.5">
      <c r="A165" s="10" t="b">
        <v>0</v>
      </c>
      <c r="B165" s="11" t="str">
        <f>IF(D165&lt;&gt;"",IF(COUNTIF('USPTO TMs'!A:A,D165)&gt;0,"Yes","No"),"")</f>
        <v/>
      </c>
      <c r="C165" s="11"/>
      <c r="D165" s="11"/>
      <c r="E165" s="11"/>
      <c r="F165" s="11"/>
      <c r="G165" s="11"/>
      <c r="H165" s="11"/>
      <c r="I165" s="15"/>
    </row>
    <row r="166" spans="1:9" ht="16.5">
      <c r="A166" s="10" t="b">
        <v>0</v>
      </c>
      <c r="B166" s="11" t="str">
        <f>IF(D166&lt;&gt;"",IF(COUNTIF('USPTO TMs'!A:A,D166)&gt;0,"Yes","No"),"")</f>
        <v/>
      </c>
      <c r="C166" s="11"/>
      <c r="D166" s="11"/>
      <c r="E166" s="11"/>
      <c r="F166" s="11"/>
      <c r="G166" s="11"/>
      <c r="H166" s="11"/>
      <c r="I166" s="15"/>
    </row>
    <row r="167" spans="1:9" ht="16.5">
      <c r="A167" s="10" t="b">
        <v>0</v>
      </c>
      <c r="B167" s="11" t="str">
        <f>IF(D167&lt;&gt;"",IF(COUNTIF('USPTO TMs'!A:A,D167)&gt;0,"Yes","No"),"")</f>
        <v/>
      </c>
      <c r="C167" s="11"/>
      <c r="D167" s="11"/>
      <c r="E167" s="11"/>
      <c r="F167" s="11"/>
      <c r="G167" s="11"/>
      <c r="H167" s="11"/>
      <c r="I167" s="15"/>
    </row>
    <row r="168" spans="1:9" ht="16.5">
      <c r="A168" s="10" t="b">
        <v>0</v>
      </c>
      <c r="B168" s="11" t="str">
        <f>IF(D168&lt;&gt;"",IF(COUNTIF('USPTO TMs'!A:A,D168)&gt;0,"Yes","No"),"")</f>
        <v/>
      </c>
      <c r="C168" s="11"/>
      <c r="D168" s="11"/>
      <c r="E168" s="11"/>
      <c r="F168" s="11"/>
      <c r="G168" s="11"/>
      <c r="H168" s="11"/>
      <c r="I168" s="15"/>
    </row>
    <row r="169" spans="1:9" ht="16.5">
      <c r="A169" s="10" t="b">
        <v>0</v>
      </c>
      <c r="B169" s="11" t="str">
        <f>IF(D169&lt;&gt;"",IF(COUNTIF('USPTO TMs'!A:A,D169)&gt;0,"Yes","No"),"")</f>
        <v/>
      </c>
      <c r="C169" s="11"/>
      <c r="D169" s="11"/>
      <c r="E169" s="11"/>
      <c r="F169" s="11"/>
      <c r="G169" s="11"/>
      <c r="H169" s="11"/>
      <c r="I169" s="15"/>
    </row>
    <row r="170" spans="1:9" ht="16.5">
      <c r="A170" s="10" t="b">
        <v>0</v>
      </c>
      <c r="B170" s="11" t="str">
        <f>IF(D170&lt;&gt;"",IF(COUNTIF('USPTO TMs'!A:A,D170)&gt;0,"Yes","No"),"")</f>
        <v/>
      </c>
      <c r="C170" s="11"/>
      <c r="D170" s="11"/>
      <c r="E170" s="11"/>
      <c r="F170" s="11"/>
      <c r="G170" s="11"/>
      <c r="H170" s="11"/>
      <c r="I170" s="15"/>
    </row>
    <row r="171" spans="1:9" ht="16.5">
      <c r="A171" s="10" t="b">
        <v>0</v>
      </c>
      <c r="B171" s="11" t="str">
        <f>IF(D171&lt;&gt;"",IF(COUNTIF('USPTO TMs'!A:A,D171)&gt;0,"Yes","No"),"")</f>
        <v/>
      </c>
      <c r="C171" s="11"/>
      <c r="D171" s="11"/>
      <c r="E171" s="11"/>
      <c r="F171" s="11"/>
      <c r="G171" s="11"/>
      <c r="H171" s="11"/>
      <c r="I171" s="15"/>
    </row>
    <row r="172" spans="1:9" ht="16.5">
      <c r="A172" s="10" t="b">
        <v>0</v>
      </c>
      <c r="B172" s="11" t="str">
        <f>IF(D172&lt;&gt;"",IF(COUNTIF('USPTO TMs'!A:A,D172)&gt;0,"Yes","No"),"")</f>
        <v/>
      </c>
      <c r="C172" s="11"/>
      <c r="D172" s="11"/>
      <c r="E172" s="11"/>
      <c r="F172" s="11"/>
      <c r="G172" s="11"/>
      <c r="H172" s="11"/>
      <c r="I172" s="15"/>
    </row>
    <row r="173" spans="1:9" ht="16.5">
      <c r="A173" s="10" t="b">
        <v>0</v>
      </c>
      <c r="B173" s="11" t="str">
        <f>IF(D173&lt;&gt;"",IF(COUNTIF('USPTO TMs'!A:A,D173)&gt;0,"Yes","No"),"")</f>
        <v/>
      </c>
      <c r="C173" s="11"/>
      <c r="D173" s="11"/>
      <c r="E173" s="11"/>
      <c r="F173" s="11"/>
      <c r="G173" s="11"/>
      <c r="H173" s="11"/>
      <c r="I173" s="15"/>
    </row>
    <row r="174" spans="1:9" ht="16.5">
      <c r="A174" s="10" t="b">
        <v>0</v>
      </c>
      <c r="B174" s="11" t="str">
        <f>IF(D174&lt;&gt;"",IF(COUNTIF('USPTO TMs'!A:A,D174)&gt;0,"Yes","No"),"")</f>
        <v/>
      </c>
      <c r="C174" s="11"/>
      <c r="D174" s="11"/>
      <c r="E174" s="11"/>
      <c r="F174" s="11"/>
      <c r="G174" s="11"/>
      <c r="H174" s="11"/>
      <c r="I174" s="15"/>
    </row>
    <row r="175" spans="1:9" ht="16.5">
      <c r="A175" s="10" t="b">
        <v>0</v>
      </c>
      <c r="B175" s="11" t="str">
        <f>IF(D175&lt;&gt;"",IF(COUNTIF('USPTO TMs'!A:A,D175)&gt;0,"Yes","No"),"")</f>
        <v/>
      </c>
      <c r="C175" s="11"/>
      <c r="D175" s="11"/>
      <c r="E175" s="11"/>
      <c r="F175" s="11"/>
      <c r="G175" s="11"/>
      <c r="H175" s="11"/>
      <c r="I175" s="15"/>
    </row>
    <row r="176" spans="1:9" ht="16.5">
      <c r="A176" s="10" t="b">
        <v>0</v>
      </c>
      <c r="B176" s="11" t="str">
        <f>IF(D176&lt;&gt;"",IF(COUNTIF('USPTO TMs'!A:A,D176)&gt;0,"Yes","No"),"")</f>
        <v/>
      </c>
      <c r="C176" s="11"/>
      <c r="D176" s="11"/>
      <c r="E176" s="11"/>
      <c r="F176" s="11"/>
      <c r="G176" s="11"/>
      <c r="H176" s="11"/>
      <c r="I176" s="15"/>
    </row>
    <row r="177" spans="1:9" ht="16.5">
      <c r="A177" s="10" t="b">
        <v>0</v>
      </c>
      <c r="B177" s="11" t="str">
        <f>IF(D177&lt;&gt;"",IF(COUNTIF('USPTO TMs'!A:A,D177)&gt;0,"Yes","No"),"")</f>
        <v/>
      </c>
      <c r="C177" s="11"/>
      <c r="D177" s="11"/>
      <c r="E177" s="11"/>
      <c r="F177" s="11"/>
      <c r="G177" s="11"/>
      <c r="H177" s="11"/>
      <c r="I177" s="15"/>
    </row>
    <row r="178" spans="1:9" ht="16.5">
      <c r="A178" s="10" t="b">
        <v>0</v>
      </c>
      <c r="B178" s="11" t="str">
        <f>IF(D178&lt;&gt;"",IF(COUNTIF('USPTO TMs'!A:A,D178)&gt;0,"Yes","No"),"")</f>
        <v/>
      </c>
      <c r="C178" s="11"/>
      <c r="D178" s="11"/>
      <c r="E178" s="11"/>
      <c r="F178" s="11"/>
      <c r="G178" s="11"/>
      <c r="H178" s="11"/>
      <c r="I178" s="15"/>
    </row>
    <row r="179" spans="1:9" ht="16.5">
      <c r="A179" s="10" t="b">
        <v>0</v>
      </c>
      <c r="B179" s="11" t="str">
        <f>IF(D179&lt;&gt;"",IF(COUNTIF('USPTO TMs'!A:A,D179)&gt;0,"Yes","No"),"")</f>
        <v/>
      </c>
      <c r="C179" s="11"/>
      <c r="D179" s="11"/>
      <c r="E179" s="11"/>
      <c r="F179" s="11"/>
      <c r="G179" s="11"/>
      <c r="H179" s="11"/>
      <c r="I179" s="15"/>
    </row>
    <row r="180" spans="1:9" ht="16.5">
      <c r="A180" s="10" t="b">
        <v>0</v>
      </c>
      <c r="B180" s="11" t="str">
        <f>IF(D180&lt;&gt;"",IF(COUNTIF('USPTO TMs'!A:A,D180)&gt;0,"Yes","No"),"")</f>
        <v/>
      </c>
      <c r="C180" s="11"/>
      <c r="D180" s="11"/>
      <c r="E180" s="11"/>
      <c r="F180" s="11"/>
      <c r="G180" s="11"/>
      <c r="H180" s="11"/>
      <c r="I180" s="15"/>
    </row>
    <row r="181" spans="1:9" ht="16.5">
      <c r="A181" s="10" t="b">
        <v>0</v>
      </c>
      <c r="B181" s="11" t="str">
        <f>IF(D181&lt;&gt;"",IF(COUNTIF('USPTO TMs'!A:A,D181)&gt;0,"Yes","No"),"")</f>
        <v/>
      </c>
      <c r="C181" s="11"/>
      <c r="D181" s="11"/>
      <c r="E181" s="11"/>
      <c r="F181" s="11"/>
      <c r="G181" s="11"/>
      <c r="H181" s="11"/>
      <c r="I181" s="15"/>
    </row>
    <row r="182" spans="1:9" ht="16.5">
      <c r="A182" s="10" t="b">
        <v>0</v>
      </c>
      <c r="B182" s="11" t="str">
        <f>IF(D182&lt;&gt;"",IF(COUNTIF('USPTO TMs'!A:A,D182)&gt;0,"Yes","No"),"")</f>
        <v/>
      </c>
      <c r="C182" s="11"/>
      <c r="D182" s="11"/>
      <c r="E182" s="11"/>
      <c r="F182" s="11"/>
      <c r="G182" s="11"/>
      <c r="H182" s="11"/>
      <c r="I182" s="15"/>
    </row>
    <row r="183" spans="1:9" ht="16.5">
      <c r="A183" s="10" t="b">
        <v>0</v>
      </c>
      <c r="B183" s="11" t="str">
        <f>IF(D183&lt;&gt;"",IF(COUNTIF('USPTO TMs'!A:A,D183)&gt;0,"Yes","No"),"")</f>
        <v/>
      </c>
      <c r="C183" s="11"/>
      <c r="D183" s="11"/>
      <c r="E183" s="11"/>
      <c r="F183" s="11"/>
      <c r="G183" s="11"/>
      <c r="H183" s="11"/>
      <c r="I183" s="15"/>
    </row>
    <row r="184" spans="1:9" ht="16.5">
      <c r="A184" s="10" t="b">
        <v>0</v>
      </c>
      <c r="B184" s="11" t="str">
        <f>IF(D184&lt;&gt;"",IF(COUNTIF('USPTO TMs'!A:A,D184)&gt;0,"Yes","No"),"")</f>
        <v/>
      </c>
      <c r="C184" s="11"/>
      <c r="D184" s="11"/>
      <c r="E184" s="11"/>
      <c r="F184" s="11"/>
      <c r="G184" s="11"/>
      <c r="H184" s="11"/>
      <c r="I184" s="15"/>
    </row>
    <row r="185" spans="1:9" ht="16.5">
      <c r="A185" s="10" t="b">
        <v>0</v>
      </c>
      <c r="B185" s="11" t="str">
        <f>IF(D185&lt;&gt;"",IF(COUNTIF('USPTO TMs'!A:A,D185)&gt;0,"Yes","No"),"")</f>
        <v/>
      </c>
      <c r="C185" s="11"/>
      <c r="D185" s="11"/>
      <c r="E185" s="11"/>
      <c r="F185" s="11"/>
      <c r="G185" s="11"/>
      <c r="H185" s="11"/>
      <c r="I185" s="15"/>
    </row>
    <row r="186" spans="1:9" ht="16.5">
      <c r="A186" s="10" t="b">
        <v>0</v>
      </c>
      <c r="B186" s="11" t="str">
        <f>IF(D186&lt;&gt;"",IF(COUNTIF('USPTO TMs'!A:A,D186)&gt;0,"Yes","No"),"")</f>
        <v/>
      </c>
      <c r="C186" s="11"/>
      <c r="D186" s="11"/>
      <c r="E186" s="11"/>
      <c r="F186" s="11"/>
      <c r="G186" s="11"/>
      <c r="H186" s="11"/>
      <c r="I186" s="15"/>
    </row>
    <row r="187" spans="1:9" ht="16.5">
      <c r="A187" s="10" t="b">
        <v>0</v>
      </c>
      <c r="B187" s="11" t="str">
        <f>IF(D187&lt;&gt;"",IF(COUNTIF('USPTO TMs'!A:A,D187)&gt;0,"Yes","No"),"")</f>
        <v/>
      </c>
      <c r="C187" s="11"/>
      <c r="D187" s="11"/>
      <c r="E187" s="11"/>
      <c r="F187" s="11"/>
      <c r="G187" s="11"/>
      <c r="H187" s="11"/>
      <c r="I187" s="15"/>
    </row>
    <row r="188" spans="1:9" ht="16.5">
      <c r="A188" s="10" t="b">
        <v>0</v>
      </c>
      <c r="B188" s="11" t="str">
        <f>IF(D188&lt;&gt;"",IF(COUNTIF('USPTO TMs'!A:A,D188)&gt;0,"Yes","No"),"")</f>
        <v/>
      </c>
      <c r="C188" s="11"/>
      <c r="D188" s="11"/>
      <c r="E188" s="11"/>
      <c r="F188" s="11"/>
      <c r="G188" s="11"/>
      <c r="H188" s="11"/>
      <c r="I188" s="15"/>
    </row>
    <row r="189" spans="1:9" ht="16.5">
      <c r="A189" s="10" t="b">
        <v>0</v>
      </c>
      <c r="B189" s="11" t="str">
        <f>IF(D189&lt;&gt;"",IF(COUNTIF('USPTO TMs'!A:A,D189)&gt;0,"Yes","No"),"")</f>
        <v/>
      </c>
      <c r="C189" s="11"/>
      <c r="D189" s="11"/>
      <c r="E189" s="11"/>
      <c r="F189" s="11"/>
      <c r="G189" s="11"/>
      <c r="H189" s="11"/>
      <c r="I189" s="15"/>
    </row>
    <row r="190" spans="1:9" ht="16.5">
      <c r="A190" s="10" t="b">
        <v>0</v>
      </c>
      <c r="B190" s="11" t="str">
        <f>IF(D190&lt;&gt;"",IF(COUNTIF('USPTO TMs'!A:A,D190)&gt;0,"Yes","No"),"")</f>
        <v/>
      </c>
      <c r="C190" s="11"/>
      <c r="D190" s="11"/>
      <c r="E190" s="11"/>
      <c r="F190" s="11"/>
      <c r="G190" s="11"/>
      <c r="H190" s="11"/>
      <c r="I190" s="15"/>
    </row>
    <row r="191" spans="1:9" ht="16.5">
      <c r="A191" s="10" t="b">
        <v>0</v>
      </c>
      <c r="B191" s="11" t="str">
        <f>IF(D191&lt;&gt;"",IF(COUNTIF('USPTO TMs'!A:A,D191)&gt;0,"Yes","No"),"")</f>
        <v/>
      </c>
      <c r="C191" s="11"/>
      <c r="D191" s="11"/>
      <c r="E191" s="11"/>
      <c r="F191" s="11"/>
      <c r="G191" s="11"/>
      <c r="H191" s="11"/>
      <c r="I191" s="15"/>
    </row>
    <row r="192" spans="1:9" ht="16.5">
      <c r="A192" s="10" t="b">
        <v>0</v>
      </c>
      <c r="B192" s="11" t="str">
        <f>IF(D192&lt;&gt;"",IF(COUNTIF('USPTO TMs'!A:A,D192)&gt;0,"Yes","No"),"")</f>
        <v/>
      </c>
      <c r="C192" s="11"/>
      <c r="D192" s="11"/>
      <c r="E192" s="11"/>
      <c r="F192" s="11"/>
      <c r="G192" s="11"/>
      <c r="H192" s="11"/>
      <c r="I192" s="15"/>
    </row>
    <row r="193" spans="1:9" ht="16.5">
      <c r="A193" s="10" t="b">
        <v>0</v>
      </c>
      <c r="B193" s="11" t="str">
        <f>IF(D193&lt;&gt;"",IF(COUNTIF('USPTO TMs'!A:A,D193)&gt;0,"Yes","No"),"")</f>
        <v/>
      </c>
      <c r="C193" s="11"/>
      <c r="D193" s="11"/>
      <c r="E193" s="11"/>
      <c r="F193" s="11"/>
      <c r="G193" s="11"/>
      <c r="H193" s="11"/>
      <c r="I193" s="15"/>
    </row>
    <row r="194" spans="1:9" ht="16.5">
      <c r="A194" s="10" t="b">
        <v>0</v>
      </c>
      <c r="B194" s="11" t="str">
        <f>IF(D194&lt;&gt;"",IF(COUNTIF('USPTO TMs'!A:A,D194)&gt;0,"Yes","No"),"")</f>
        <v/>
      </c>
      <c r="C194" s="11"/>
      <c r="D194" s="11"/>
      <c r="E194" s="11"/>
      <c r="F194" s="11"/>
      <c r="G194" s="11"/>
      <c r="H194" s="11"/>
      <c r="I194" s="15"/>
    </row>
    <row r="195" spans="1:9" ht="16.5">
      <c r="A195" s="10" t="b">
        <v>0</v>
      </c>
      <c r="B195" s="11" t="str">
        <f>IF(D195&lt;&gt;"",IF(COUNTIF('USPTO TMs'!A:A,D195)&gt;0,"Yes","No"),"")</f>
        <v/>
      </c>
      <c r="C195" s="11"/>
      <c r="D195" s="11"/>
      <c r="E195" s="11"/>
      <c r="F195" s="11"/>
      <c r="G195" s="11"/>
      <c r="H195" s="11"/>
      <c r="I195" s="15"/>
    </row>
    <row r="196" spans="1:9" ht="16.5">
      <c r="A196" s="10" t="b">
        <v>0</v>
      </c>
      <c r="B196" s="11" t="str">
        <f>IF(D196&lt;&gt;"",IF(COUNTIF('USPTO TMs'!A:A,D196)&gt;0,"Yes","No"),"")</f>
        <v/>
      </c>
      <c r="C196" s="11"/>
      <c r="D196" s="11"/>
      <c r="E196" s="11"/>
      <c r="F196" s="11"/>
      <c r="G196" s="11"/>
      <c r="H196" s="11"/>
      <c r="I196" s="15"/>
    </row>
    <row r="197" spans="1:9" ht="16.5">
      <c r="A197" s="10" t="b">
        <v>0</v>
      </c>
      <c r="B197" s="11" t="str">
        <f>IF(D197&lt;&gt;"",IF(COUNTIF('USPTO TMs'!A:A,D197)&gt;0,"Yes","No"),"")</f>
        <v/>
      </c>
      <c r="C197" s="11"/>
      <c r="D197" s="11"/>
      <c r="E197" s="11"/>
      <c r="F197" s="11"/>
      <c r="G197" s="11"/>
      <c r="H197" s="11"/>
      <c r="I197" s="15"/>
    </row>
    <row r="198" spans="1:9" ht="16.5">
      <c r="A198" s="10" t="b">
        <v>0</v>
      </c>
      <c r="B198" s="11" t="str">
        <f>IF(D198&lt;&gt;"",IF(COUNTIF('USPTO TMs'!A:A,D198)&gt;0,"Yes","No"),"")</f>
        <v/>
      </c>
      <c r="C198" s="11"/>
      <c r="D198" s="11"/>
      <c r="E198" s="11"/>
      <c r="F198" s="11"/>
      <c r="G198" s="11"/>
      <c r="H198" s="11"/>
      <c r="I198" s="15"/>
    </row>
    <row r="199" spans="1:9" ht="16.5">
      <c r="A199" s="10" t="b">
        <v>0</v>
      </c>
      <c r="B199" s="11" t="str">
        <f>IF(D199&lt;&gt;"",IF(COUNTIF('USPTO TMs'!A:A,D199)&gt;0,"Yes","No"),"")</f>
        <v/>
      </c>
      <c r="C199" s="11"/>
      <c r="D199" s="11"/>
      <c r="E199" s="11"/>
      <c r="F199" s="11"/>
      <c r="G199" s="11"/>
      <c r="H199" s="11"/>
      <c r="I199" s="15"/>
    </row>
    <row r="200" spans="1:9" ht="16.5">
      <c r="A200" s="10" t="b">
        <v>0</v>
      </c>
      <c r="B200" s="11" t="str">
        <f>IF(D200&lt;&gt;"",IF(COUNTIF('USPTO TMs'!A:A,D200)&gt;0,"Yes","No"),"")</f>
        <v/>
      </c>
      <c r="C200" s="11"/>
      <c r="D200" s="11"/>
      <c r="E200" s="11"/>
      <c r="F200" s="11"/>
      <c r="G200" s="11"/>
      <c r="H200" s="11"/>
      <c r="I200" s="15"/>
    </row>
    <row r="201" spans="1:9" ht="16.5">
      <c r="A201" s="10" t="b">
        <v>0</v>
      </c>
      <c r="B201" s="11" t="str">
        <f>IF(D201&lt;&gt;"",IF(COUNTIF('USPTO TMs'!A:A,D201)&gt;0,"Yes","No"),"")</f>
        <v/>
      </c>
      <c r="C201" s="11"/>
      <c r="D201" s="11"/>
      <c r="E201" s="11"/>
      <c r="F201" s="11"/>
      <c r="G201" s="11"/>
      <c r="H201" s="11"/>
      <c r="I201" s="15"/>
    </row>
    <row r="202" spans="1:9" ht="16.5">
      <c r="A202" s="10" t="b">
        <v>0</v>
      </c>
      <c r="B202" s="11" t="str">
        <f>IF(D202&lt;&gt;"",IF(COUNTIF('USPTO TMs'!A:A,D202)&gt;0,"Yes","No"),"")</f>
        <v/>
      </c>
      <c r="C202" s="11"/>
      <c r="D202" s="11"/>
      <c r="E202" s="11"/>
      <c r="F202" s="11"/>
      <c r="G202" s="11"/>
      <c r="H202" s="11"/>
      <c r="I202" s="15"/>
    </row>
    <row r="203" spans="1:9" ht="16.5">
      <c r="A203" s="10" t="b">
        <v>0</v>
      </c>
      <c r="B203" s="11" t="str">
        <f>IF(D203&lt;&gt;"",IF(COUNTIF('USPTO TMs'!A:A,D203)&gt;0,"Yes","No"),"")</f>
        <v/>
      </c>
      <c r="C203" s="11"/>
      <c r="D203" s="11"/>
      <c r="E203" s="11"/>
      <c r="F203" s="11"/>
      <c r="G203" s="11"/>
      <c r="H203" s="11"/>
      <c r="I203" s="15"/>
    </row>
    <row r="204" spans="1:9" ht="16.5">
      <c r="A204" s="10" t="b">
        <v>0</v>
      </c>
      <c r="B204" s="11" t="str">
        <f>IF(D204&lt;&gt;"",IF(COUNTIF('USPTO TMs'!A:A,D204)&gt;0,"Yes","No"),"")</f>
        <v/>
      </c>
      <c r="C204" s="11"/>
      <c r="D204" s="11"/>
      <c r="E204" s="11"/>
      <c r="F204" s="11"/>
      <c r="G204" s="11"/>
      <c r="H204" s="11"/>
      <c r="I204" s="15"/>
    </row>
    <row r="205" spans="1:9" ht="16.5">
      <c r="A205" s="10" t="b">
        <v>0</v>
      </c>
      <c r="B205" s="11" t="str">
        <f>IF(D205&lt;&gt;"",IF(COUNTIF('USPTO TMs'!A:A,D205)&gt;0,"Yes","No"),"")</f>
        <v/>
      </c>
      <c r="C205" s="11"/>
      <c r="D205" s="11"/>
      <c r="E205" s="11"/>
      <c r="F205" s="11"/>
      <c r="G205" s="11"/>
      <c r="H205" s="11"/>
      <c r="I205" s="15"/>
    </row>
    <row r="206" spans="1:9" ht="16.5">
      <c r="A206" s="10" t="b">
        <v>0</v>
      </c>
      <c r="B206" s="11" t="str">
        <f>IF(D206&lt;&gt;"",IF(COUNTIF('USPTO TMs'!A:A,D206)&gt;0,"Yes","No"),"")</f>
        <v/>
      </c>
      <c r="C206" s="11"/>
      <c r="D206" s="11"/>
      <c r="E206" s="11"/>
      <c r="F206" s="11"/>
      <c r="G206" s="11"/>
      <c r="H206" s="11"/>
      <c r="I206" s="15"/>
    </row>
    <row r="207" spans="1:9" ht="16.5">
      <c r="A207" s="10" t="b">
        <v>0</v>
      </c>
      <c r="B207" s="11" t="str">
        <f>IF(D207&lt;&gt;"",IF(COUNTIF('USPTO TMs'!A:A,D207)&gt;0,"Yes","No"),"")</f>
        <v/>
      </c>
      <c r="C207" s="11"/>
      <c r="D207" s="11"/>
      <c r="E207" s="11"/>
      <c r="F207" s="11"/>
      <c r="G207" s="11"/>
      <c r="H207" s="11"/>
      <c r="I207" s="15"/>
    </row>
    <row r="208" spans="1:9" ht="16.5">
      <c r="A208" s="10" t="b">
        <v>0</v>
      </c>
      <c r="B208" s="11" t="str">
        <f>IF(D208&lt;&gt;"",IF(COUNTIF('USPTO TMs'!A:A,D208)&gt;0,"Yes","No"),"")</f>
        <v/>
      </c>
      <c r="C208" s="11"/>
      <c r="D208" s="11"/>
      <c r="E208" s="11"/>
      <c r="F208" s="11"/>
      <c r="G208" s="11"/>
      <c r="H208" s="11"/>
      <c r="I208" s="15"/>
    </row>
    <row r="209" spans="1:9" ht="16.5">
      <c r="A209" s="10" t="b">
        <v>0</v>
      </c>
      <c r="B209" s="11" t="str">
        <f>IF(D209&lt;&gt;"",IF(COUNTIF('USPTO TMs'!A:A,D209)&gt;0,"Yes","No"),"")</f>
        <v/>
      </c>
      <c r="C209" s="11"/>
      <c r="D209" s="11"/>
      <c r="E209" s="11"/>
      <c r="F209" s="11"/>
      <c r="G209" s="11"/>
      <c r="H209" s="11"/>
      <c r="I209" s="15"/>
    </row>
    <row r="210" spans="1:9" ht="16.5">
      <c r="A210" s="10" t="b">
        <v>0</v>
      </c>
      <c r="B210" s="11" t="str">
        <f>IF(D210&lt;&gt;"",IF(COUNTIF('USPTO TMs'!A:A,D210)&gt;0,"Yes","No"),"")</f>
        <v/>
      </c>
      <c r="C210" s="11"/>
      <c r="D210" s="11"/>
      <c r="E210" s="11"/>
      <c r="F210" s="11"/>
      <c r="G210" s="11"/>
      <c r="H210" s="11"/>
      <c r="I210" s="15"/>
    </row>
    <row r="211" spans="1:9" ht="16.5">
      <c r="A211" s="10" t="b">
        <v>0</v>
      </c>
      <c r="B211" s="11" t="str">
        <f>IF(D211&lt;&gt;"",IF(COUNTIF('USPTO TMs'!A:A,D211)&gt;0,"Yes","No"),"")</f>
        <v/>
      </c>
      <c r="C211" s="11"/>
      <c r="D211" s="11"/>
      <c r="E211" s="11"/>
      <c r="F211" s="11"/>
      <c r="G211" s="11"/>
      <c r="H211" s="11"/>
      <c r="I211" s="15"/>
    </row>
    <row r="212" spans="1:9" ht="16.5">
      <c r="A212" s="10" t="b">
        <v>0</v>
      </c>
      <c r="B212" s="11" t="str">
        <f>IF(D212&lt;&gt;"",IF(COUNTIF('USPTO TMs'!A:A,D212)&gt;0,"Yes","No"),"")</f>
        <v/>
      </c>
      <c r="C212" s="11"/>
      <c r="D212" s="11"/>
      <c r="E212" s="11"/>
      <c r="F212" s="11"/>
      <c r="G212" s="11"/>
      <c r="H212" s="11"/>
      <c r="I212" s="15"/>
    </row>
    <row r="213" spans="1:9" ht="16.5">
      <c r="A213" s="10" t="b">
        <v>0</v>
      </c>
      <c r="B213" s="11" t="str">
        <f>IF(D213&lt;&gt;"",IF(COUNTIF('USPTO TMs'!A:A,D213)&gt;0,"Yes","No"),"")</f>
        <v/>
      </c>
      <c r="C213" s="11"/>
      <c r="D213" s="11"/>
      <c r="E213" s="11"/>
      <c r="F213" s="11"/>
      <c r="G213" s="11"/>
      <c r="H213" s="11"/>
      <c r="I213" s="15"/>
    </row>
    <row r="214" spans="1:9" ht="16.5">
      <c r="A214" s="10" t="b">
        <v>0</v>
      </c>
      <c r="B214" s="11" t="str">
        <f>IF(D214&lt;&gt;"",IF(COUNTIF('USPTO TMs'!A:A,D214)&gt;0,"Yes","No"),"")</f>
        <v/>
      </c>
      <c r="C214" s="11"/>
      <c r="D214" s="11"/>
      <c r="E214" s="11"/>
      <c r="F214" s="11"/>
      <c r="G214" s="11"/>
      <c r="H214" s="11"/>
      <c r="I214" s="15"/>
    </row>
    <row r="215" spans="1:9" ht="16.5">
      <c r="A215" s="10" t="b">
        <v>0</v>
      </c>
      <c r="B215" s="11" t="str">
        <f>IF(D215&lt;&gt;"",IF(COUNTIF('USPTO TMs'!A:A,D215)&gt;0,"Yes","No"),"")</f>
        <v/>
      </c>
      <c r="C215" s="11"/>
      <c r="D215" s="11"/>
      <c r="E215" s="11"/>
      <c r="F215" s="11"/>
      <c r="G215" s="11"/>
      <c r="H215" s="11"/>
      <c r="I215" s="15"/>
    </row>
    <row r="216" spans="1:9" ht="16.5">
      <c r="A216" s="10" t="b">
        <v>0</v>
      </c>
      <c r="B216" s="11" t="str">
        <f>IF(D216&lt;&gt;"",IF(COUNTIF('USPTO TMs'!A:A,D216)&gt;0,"Yes","No"),"")</f>
        <v/>
      </c>
      <c r="C216" s="11"/>
      <c r="D216" s="11"/>
      <c r="E216" s="11"/>
      <c r="F216" s="11"/>
      <c r="G216" s="11"/>
      <c r="H216" s="11"/>
      <c r="I216" s="15"/>
    </row>
    <row r="217" spans="1:9" ht="16.5">
      <c r="A217" s="10" t="b">
        <v>0</v>
      </c>
      <c r="B217" s="11" t="str">
        <f>IF(D217&lt;&gt;"",IF(COUNTIF('USPTO TMs'!A:A,D217)&gt;0,"Yes","No"),"")</f>
        <v/>
      </c>
      <c r="C217" s="11"/>
      <c r="D217" s="11"/>
      <c r="E217" s="11"/>
      <c r="F217" s="11"/>
      <c r="G217" s="11"/>
      <c r="H217" s="11"/>
      <c r="I217" s="15"/>
    </row>
    <row r="218" spans="1:9" ht="16.5">
      <c r="A218" s="10" t="b">
        <v>0</v>
      </c>
      <c r="B218" s="11" t="str">
        <f>IF(D218&lt;&gt;"",IF(COUNTIF('USPTO TMs'!A:A,D218)&gt;0,"Yes","No"),"")</f>
        <v/>
      </c>
      <c r="C218" s="11"/>
      <c r="D218" s="11"/>
      <c r="E218" s="11"/>
      <c r="F218" s="11"/>
      <c r="G218" s="11"/>
      <c r="H218" s="11"/>
      <c r="I218" s="15"/>
    </row>
    <row r="219" spans="1:9" ht="16.5">
      <c r="A219" s="10" t="b">
        <v>0</v>
      </c>
      <c r="B219" s="11" t="str">
        <f>IF(D219&lt;&gt;"",IF(COUNTIF('USPTO TMs'!A:A,D219)&gt;0,"Yes","No"),"")</f>
        <v/>
      </c>
      <c r="C219" s="11"/>
      <c r="D219" s="11"/>
      <c r="E219" s="11"/>
      <c r="F219" s="11"/>
      <c r="G219" s="11"/>
      <c r="H219" s="11"/>
      <c r="I219" s="15"/>
    </row>
    <row r="220" spans="1:9" ht="16.5">
      <c r="A220" s="10" t="b">
        <v>0</v>
      </c>
      <c r="B220" s="11" t="str">
        <f>IF(D220&lt;&gt;"",IF(COUNTIF('USPTO TMs'!A:A,D220)&gt;0,"Yes","No"),"")</f>
        <v/>
      </c>
      <c r="C220" s="11"/>
      <c r="D220" s="11"/>
      <c r="E220" s="11"/>
      <c r="F220" s="11"/>
      <c r="G220" s="11"/>
      <c r="H220" s="11"/>
      <c r="I220" s="15"/>
    </row>
    <row r="221" spans="1:9" ht="16.5">
      <c r="A221" s="10" t="b">
        <v>0</v>
      </c>
      <c r="B221" s="11" t="str">
        <f>IF(D221&lt;&gt;"",IF(COUNTIF('USPTO TMs'!A:A,D221)&gt;0,"Yes","No"),"")</f>
        <v/>
      </c>
      <c r="C221" s="11"/>
      <c r="D221" s="11"/>
      <c r="E221" s="11"/>
      <c r="F221" s="11"/>
      <c r="G221" s="11"/>
      <c r="H221" s="11"/>
      <c r="I221" s="15"/>
    </row>
    <row r="222" spans="1:9" ht="16.5">
      <c r="A222" s="10" t="b">
        <v>0</v>
      </c>
      <c r="B222" s="11" t="str">
        <f>IF(D222&lt;&gt;"",IF(COUNTIF('USPTO TMs'!A:A,D222)&gt;0,"Yes","No"),"")</f>
        <v/>
      </c>
      <c r="C222" s="11"/>
      <c r="D222" s="11"/>
      <c r="E222" s="11"/>
      <c r="F222" s="11"/>
      <c r="G222" s="11"/>
      <c r="H222" s="11"/>
      <c r="I222" s="15"/>
    </row>
    <row r="223" spans="1:9" ht="16.5">
      <c r="A223" s="10" t="b">
        <v>0</v>
      </c>
      <c r="B223" s="11" t="str">
        <f>IF(D223&lt;&gt;"",IF(COUNTIF('USPTO TMs'!A:A,D223)&gt;0,"Yes","No"),"")</f>
        <v/>
      </c>
      <c r="C223" s="11"/>
      <c r="D223" s="11"/>
      <c r="E223" s="11"/>
      <c r="F223" s="11"/>
      <c r="G223" s="11"/>
      <c r="H223" s="11"/>
      <c r="I223" s="15"/>
    </row>
    <row r="224" spans="1:9" ht="16.5">
      <c r="A224" s="10" t="b">
        <v>0</v>
      </c>
      <c r="B224" s="11" t="str">
        <f>IF(D224&lt;&gt;"",IF(COUNTIF('USPTO TMs'!A:A,D224)&gt;0,"Yes","No"),"")</f>
        <v/>
      </c>
      <c r="C224" s="11"/>
      <c r="D224" s="11"/>
      <c r="E224" s="11"/>
      <c r="F224" s="11"/>
      <c r="G224" s="11"/>
      <c r="H224" s="11"/>
      <c r="I224" s="15"/>
    </row>
    <row r="225" spans="1:9" ht="16.5">
      <c r="A225" s="10" t="b">
        <v>0</v>
      </c>
      <c r="B225" s="11" t="str">
        <f>IF(D225&lt;&gt;"",IF(COUNTIF('USPTO TMs'!A:A,D225)&gt;0,"Yes","No"),"")</f>
        <v/>
      </c>
      <c r="C225" s="11"/>
      <c r="D225" s="11"/>
      <c r="E225" s="11"/>
      <c r="F225" s="11"/>
      <c r="G225" s="11"/>
      <c r="H225" s="11"/>
      <c r="I225" s="15"/>
    </row>
    <row r="226" spans="1:9" ht="16.5">
      <c r="A226" s="10" t="b">
        <v>0</v>
      </c>
      <c r="B226" s="11" t="str">
        <f>IF(D226&lt;&gt;"",IF(COUNTIF('USPTO TMs'!A:A,D226)&gt;0,"Yes","No"),"")</f>
        <v/>
      </c>
      <c r="C226" s="11"/>
      <c r="D226" s="11"/>
      <c r="E226" s="11"/>
      <c r="F226" s="11"/>
      <c r="G226" s="11"/>
      <c r="H226" s="11"/>
      <c r="I226" s="15"/>
    </row>
    <row r="227" spans="1:9" ht="16.5">
      <c r="A227" s="10" t="b">
        <v>0</v>
      </c>
      <c r="B227" s="11" t="str">
        <f>IF(D227&lt;&gt;"",IF(COUNTIF('USPTO TMs'!A:A,D227)&gt;0,"Yes","No"),"")</f>
        <v/>
      </c>
      <c r="C227" s="11"/>
      <c r="D227" s="11"/>
      <c r="E227" s="11"/>
      <c r="F227" s="11"/>
      <c r="G227" s="11"/>
      <c r="H227" s="11"/>
      <c r="I227" s="15"/>
    </row>
    <row r="228" spans="1:9" ht="16.5">
      <c r="A228" s="10" t="b">
        <v>0</v>
      </c>
      <c r="B228" s="11" t="str">
        <f>IF(D228&lt;&gt;"",IF(COUNTIF('USPTO TMs'!A:A,D228)&gt;0,"Yes","No"),"")</f>
        <v/>
      </c>
      <c r="C228" s="11"/>
      <c r="D228" s="11"/>
      <c r="E228" s="11"/>
      <c r="F228" s="11"/>
      <c r="G228" s="11"/>
      <c r="H228" s="11"/>
      <c r="I228" s="15"/>
    </row>
    <row r="229" spans="1:9" ht="16.5">
      <c r="A229" s="10" t="b">
        <v>0</v>
      </c>
      <c r="B229" s="11" t="str">
        <f>IF(D229&lt;&gt;"",IF(COUNTIF('USPTO TMs'!A:A,D229)&gt;0,"Yes","No"),"")</f>
        <v/>
      </c>
      <c r="C229" s="11"/>
      <c r="D229" s="11"/>
      <c r="E229" s="11"/>
      <c r="F229" s="11"/>
      <c r="G229" s="11"/>
      <c r="H229" s="11"/>
      <c r="I229" s="15"/>
    </row>
    <row r="230" spans="1:9" ht="16.5">
      <c r="A230" s="10" t="b">
        <v>0</v>
      </c>
      <c r="B230" s="11" t="str">
        <f>IF(D230&lt;&gt;"",IF(COUNTIF('USPTO TMs'!A:A,D230)&gt;0,"Yes","No"),"")</f>
        <v/>
      </c>
      <c r="C230" s="11"/>
      <c r="D230" s="11"/>
      <c r="E230" s="11"/>
      <c r="F230" s="11"/>
      <c r="G230" s="11"/>
      <c r="H230" s="11"/>
      <c r="I230" s="15"/>
    </row>
    <row r="231" spans="1:9" ht="16.5">
      <c r="A231" s="10" t="b">
        <v>0</v>
      </c>
      <c r="B231" s="11" t="str">
        <f>IF(D231&lt;&gt;"",IF(COUNTIF('USPTO TMs'!A:A,D231)&gt;0,"Yes","No"),"")</f>
        <v/>
      </c>
      <c r="C231" s="11"/>
      <c r="D231" s="11"/>
      <c r="E231" s="11"/>
      <c r="F231" s="11"/>
      <c r="G231" s="11"/>
      <c r="H231" s="11"/>
      <c r="I231" s="15"/>
    </row>
    <row r="232" spans="1:9" ht="16.5">
      <c r="A232" s="10" t="b">
        <v>0</v>
      </c>
      <c r="B232" s="11" t="str">
        <f>IF(D232&lt;&gt;"",IF(COUNTIF('USPTO TMs'!A:A,D232)&gt;0,"Yes","No"),"")</f>
        <v/>
      </c>
      <c r="C232" s="11"/>
      <c r="D232" s="11"/>
      <c r="E232" s="11"/>
      <c r="F232" s="11"/>
      <c r="G232" s="11"/>
      <c r="H232" s="11"/>
      <c r="I232" s="15"/>
    </row>
    <row r="233" spans="1:9" ht="16.5">
      <c r="A233" s="10" t="b">
        <v>0</v>
      </c>
      <c r="B233" s="11" t="str">
        <f>IF(D233&lt;&gt;"",IF(COUNTIF('USPTO TMs'!A:A,D233)&gt;0,"Yes","No"),"")</f>
        <v/>
      </c>
      <c r="C233" s="11"/>
      <c r="D233" s="11"/>
      <c r="E233" s="11"/>
      <c r="F233" s="11"/>
      <c r="G233" s="11"/>
      <c r="H233" s="11"/>
      <c r="I233" s="15"/>
    </row>
    <row r="234" spans="1:9" ht="16.5">
      <c r="A234" s="10" t="b">
        <v>0</v>
      </c>
      <c r="B234" s="11" t="str">
        <f>IF(D234&lt;&gt;"",IF(COUNTIF('USPTO TMs'!A:A,D234)&gt;0,"Yes","No"),"")</f>
        <v/>
      </c>
      <c r="C234" s="11"/>
      <c r="D234" s="11"/>
      <c r="E234" s="11"/>
      <c r="F234" s="11"/>
      <c r="G234" s="11"/>
      <c r="H234" s="11"/>
      <c r="I234" s="15"/>
    </row>
    <row r="235" spans="1:9" ht="16.5">
      <c r="A235" s="10" t="b">
        <v>0</v>
      </c>
      <c r="B235" s="11" t="str">
        <f>IF(D235&lt;&gt;"",IF(COUNTIF('USPTO TMs'!A:A,D235)&gt;0,"Yes","No"),"")</f>
        <v/>
      </c>
      <c r="C235" s="11"/>
      <c r="D235" s="11"/>
      <c r="E235" s="11"/>
      <c r="F235" s="11"/>
      <c r="G235" s="11"/>
      <c r="H235" s="11"/>
      <c r="I235" s="15"/>
    </row>
    <row r="236" spans="1:9" ht="16.5">
      <c r="A236" s="10" t="b">
        <v>0</v>
      </c>
      <c r="B236" s="11" t="str">
        <f>IF(D236&lt;&gt;"",IF(COUNTIF('USPTO TMs'!A:A,D236)&gt;0,"Yes","No"),"")</f>
        <v/>
      </c>
      <c r="C236" s="11"/>
      <c r="D236" s="11"/>
      <c r="E236" s="11"/>
      <c r="F236" s="11"/>
      <c r="G236" s="11"/>
      <c r="H236" s="11"/>
      <c r="I236" s="15"/>
    </row>
    <row r="237" spans="1:9" ht="16.5">
      <c r="A237" s="10" t="b">
        <v>0</v>
      </c>
      <c r="B237" s="11" t="str">
        <f>IF(D237&lt;&gt;"",IF(COUNTIF('USPTO TMs'!A:A,D237)&gt;0,"Yes","No"),"")</f>
        <v/>
      </c>
      <c r="C237" s="11"/>
      <c r="D237" s="11"/>
      <c r="E237" s="11"/>
      <c r="F237" s="11"/>
      <c r="G237" s="11"/>
      <c r="H237" s="11"/>
      <c r="I237" s="15"/>
    </row>
    <row r="238" spans="1:9" ht="16.5">
      <c r="A238" s="10" t="b">
        <v>0</v>
      </c>
      <c r="B238" s="11" t="str">
        <f>IF(D238&lt;&gt;"",IF(COUNTIF('USPTO TMs'!A:A,D238)&gt;0,"Yes","No"),"")</f>
        <v/>
      </c>
      <c r="C238" s="11"/>
      <c r="D238" s="11"/>
      <c r="E238" s="11"/>
      <c r="F238" s="11"/>
      <c r="G238" s="11"/>
      <c r="H238" s="11"/>
      <c r="I238" s="15"/>
    </row>
    <row r="239" spans="1:9" ht="16.5">
      <c r="A239" s="10" t="b">
        <v>0</v>
      </c>
      <c r="B239" s="11" t="str">
        <f>IF(D239&lt;&gt;"",IF(COUNTIF('USPTO TMs'!A:A,D239)&gt;0,"Yes","No"),"")</f>
        <v/>
      </c>
      <c r="C239" s="11"/>
      <c r="D239" s="11"/>
      <c r="E239" s="11"/>
      <c r="F239" s="11"/>
      <c r="G239" s="11"/>
      <c r="H239" s="11"/>
      <c r="I239" s="15"/>
    </row>
    <row r="240" spans="1:9" ht="16.5">
      <c r="A240" s="10" t="b">
        <v>0</v>
      </c>
      <c r="B240" s="11" t="str">
        <f>IF(D240&lt;&gt;"",IF(COUNTIF('USPTO TMs'!A:A,D240)&gt;0,"Yes","No"),"")</f>
        <v/>
      </c>
      <c r="C240" s="11"/>
      <c r="D240" s="11"/>
      <c r="E240" s="11"/>
      <c r="F240" s="11"/>
      <c r="G240" s="11"/>
      <c r="H240" s="11"/>
      <c r="I240" s="15"/>
    </row>
    <row r="241" spans="1:9" ht="16.5">
      <c r="A241" s="10" t="b">
        <v>0</v>
      </c>
      <c r="B241" s="11" t="str">
        <f>IF(D241&lt;&gt;"",IF(COUNTIF('USPTO TMs'!A:A,D241)&gt;0,"Yes","No"),"")</f>
        <v/>
      </c>
      <c r="C241" s="11"/>
      <c r="D241" s="11"/>
      <c r="E241" s="11"/>
      <c r="F241" s="11"/>
      <c r="G241" s="11"/>
      <c r="H241" s="11"/>
      <c r="I241" s="15"/>
    </row>
    <row r="242" spans="1:9" ht="16.5">
      <c r="A242" s="10" t="b">
        <v>0</v>
      </c>
      <c r="B242" s="11" t="str">
        <f>IF(D242&lt;&gt;"",IF(COUNTIF('USPTO TMs'!A:A,D242)&gt;0,"Yes","No"),"")</f>
        <v/>
      </c>
      <c r="C242" s="11"/>
      <c r="D242" s="11"/>
      <c r="E242" s="11"/>
      <c r="F242" s="11"/>
      <c r="G242" s="11"/>
      <c r="H242" s="11"/>
      <c r="I242" s="15"/>
    </row>
    <row r="243" spans="1:9" ht="16.5">
      <c r="A243" s="10" t="b">
        <v>0</v>
      </c>
      <c r="B243" s="11" t="str">
        <f>IF(D243&lt;&gt;"",IF(COUNTIF('USPTO TMs'!A:A,D243)&gt;0,"Yes","No"),"")</f>
        <v/>
      </c>
      <c r="C243" s="11"/>
      <c r="D243" s="11"/>
      <c r="E243" s="11"/>
      <c r="F243" s="11"/>
      <c r="G243" s="11"/>
      <c r="H243" s="11"/>
      <c r="I243" s="15"/>
    </row>
    <row r="244" spans="1:9" ht="16.5">
      <c r="A244" s="10" t="b">
        <v>0</v>
      </c>
      <c r="B244" s="11" t="str">
        <f>IF(D244&lt;&gt;"",IF(COUNTIF('USPTO TMs'!A:A,D244)&gt;0,"Yes","No"),"")</f>
        <v/>
      </c>
      <c r="C244" s="11"/>
      <c r="D244" s="11"/>
      <c r="E244" s="11"/>
      <c r="F244" s="11"/>
      <c r="G244" s="11"/>
      <c r="H244" s="11"/>
      <c r="I244" s="15"/>
    </row>
    <row r="245" spans="1:9" ht="16.5">
      <c r="A245" s="10" t="b">
        <v>0</v>
      </c>
      <c r="B245" s="11" t="str">
        <f>IF(D245&lt;&gt;"",IF(COUNTIF('USPTO TMs'!A:A,D245)&gt;0,"Yes","No"),"")</f>
        <v/>
      </c>
      <c r="C245" s="11"/>
      <c r="D245" s="11"/>
      <c r="E245" s="11"/>
      <c r="F245" s="11"/>
      <c r="G245" s="11"/>
      <c r="H245" s="11"/>
      <c r="I245" s="15"/>
    </row>
    <row r="246" spans="1:9" ht="16.5">
      <c r="A246" s="10" t="b">
        <v>0</v>
      </c>
      <c r="B246" s="11" t="str">
        <f>IF(D246&lt;&gt;"",IF(COUNTIF('USPTO TMs'!A:A,D246)&gt;0,"Yes","No"),"")</f>
        <v/>
      </c>
      <c r="C246" s="11"/>
      <c r="D246" s="11"/>
      <c r="E246" s="11"/>
      <c r="F246" s="11"/>
      <c r="G246" s="11"/>
      <c r="H246" s="11"/>
      <c r="I246" s="15"/>
    </row>
    <row r="247" spans="1:9" ht="16.5">
      <c r="A247" s="10" t="b">
        <v>0</v>
      </c>
      <c r="B247" s="11" t="str">
        <f>IF(D247&lt;&gt;"",IF(COUNTIF('USPTO TMs'!A:A,D247)&gt;0,"Yes","No"),"")</f>
        <v/>
      </c>
      <c r="C247" s="11"/>
      <c r="D247" s="11"/>
      <c r="E247" s="11"/>
      <c r="F247" s="11"/>
      <c r="G247" s="11"/>
      <c r="H247" s="11"/>
      <c r="I247" s="15"/>
    </row>
    <row r="248" spans="1:9" ht="16.5">
      <c r="A248" s="10" t="b">
        <v>0</v>
      </c>
      <c r="B248" s="11" t="str">
        <f>IF(D248&lt;&gt;"",IF(COUNTIF('USPTO TMs'!A:A,D248)&gt;0,"Yes","No"),"")</f>
        <v/>
      </c>
      <c r="C248" s="11"/>
      <c r="D248" s="11"/>
      <c r="E248" s="11"/>
      <c r="F248" s="11"/>
      <c r="G248" s="11"/>
      <c r="H248" s="11"/>
      <c r="I248" s="15"/>
    </row>
    <row r="249" spans="1:9" ht="16.5">
      <c r="A249" s="10" t="b">
        <v>0</v>
      </c>
      <c r="B249" s="11" t="str">
        <f>IF(D249&lt;&gt;"",IF(COUNTIF('USPTO TMs'!A:A,D249)&gt;0,"Yes","No"),"")</f>
        <v/>
      </c>
      <c r="C249" s="11"/>
      <c r="D249" s="11"/>
      <c r="E249" s="11"/>
      <c r="F249" s="11"/>
      <c r="G249" s="11"/>
      <c r="H249" s="11"/>
      <c r="I249" s="15"/>
    </row>
    <row r="250" spans="1:9" ht="16.5">
      <c r="A250" s="10" t="b">
        <v>0</v>
      </c>
      <c r="B250" s="11" t="str">
        <f>IF(D250&lt;&gt;"",IF(COUNTIF('USPTO TMs'!A:A,D250)&gt;0,"Yes","No"),"")</f>
        <v/>
      </c>
      <c r="C250" s="11"/>
      <c r="D250" s="11"/>
      <c r="E250" s="11"/>
      <c r="F250" s="11"/>
      <c r="G250" s="11"/>
      <c r="H250" s="11"/>
      <c r="I250" s="15"/>
    </row>
    <row r="251" spans="1:9" ht="16.5">
      <c r="A251" s="10" t="b">
        <v>0</v>
      </c>
      <c r="B251" s="11" t="str">
        <f>IF(D251&lt;&gt;"",IF(COUNTIF('USPTO TMs'!A:A,D251)&gt;0,"Yes","No"),"")</f>
        <v/>
      </c>
      <c r="C251" s="11"/>
      <c r="D251" s="11"/>
      <c r="E251" s="11"/>
      <c r="F251" s="11"/>
      <c r="G251" s="11"/>
      <c r="H251" s="11"/>
      <c r="I251" s="15"/>
    </row>
    <row r="252" spans="1:9" ht="16.5">
      <c r="A252" s="10" t="b">
        <v>0</v>
      </c>
      <c r="B252" s="11" t="str">
        <f>IF(D252&lt;&gt;"",IF(COUNTIF('USPTO TMs'!A:A,D252)&gt;0,"Yes","No"),"")</f>
        <v/>
      </c>
      <c r="C252" s="11"/>
      <c r="D252" s="11"/>
      <c r="E252" s="11"/>
      <c r="F252" s="11"/>
      <c r="G252" s="11"/>
      <c r="H252" s="11"/>
      <c r="I252" s="15"/>
    </row>
    <row r="253" spans="1:9" ht="16.5">
      <c r="A253" s="10" t="b">
        <v>0</v>
      </c>
      <c r="B253" s="11" t="str">
        <f>IF(D253&lt;&gt;"",IF(COUNTIF('USPTO TMs'!A:A,D253)&gt;0,"Yes","No"),"")</f>
        <v/>
      </c>
      <c r="C253" s="11"/>
      <c r="D253" s="11"/>
      <c r="E253" s="11"/>
      <c r="F253" s="11"/>
      <c r="G253" s="11"/>
      <c r="H253" s="11"/>
      <c r="I253" s="15"/>
    </row>
    <row r="254" spans="1:9" ht="16.5">
      <c r="A254" s="10" t="b">
        <v>0</v>
      </c>
      <c r="B254" s="11" t="str">
        <f>IF(D254&lt;&gt;"",IF(COUNTIF('USPTO TMs'!A:A,D254)&gt;0,"Yes","No"),"")</f>
        <v/>
      </c>
      <c r="C254" s="11"/>
      <c r="D254" s="11"/>
      <c r="E254" s="11"/>
      <c r="F254" s="11"/>
      <c r="G254" s="11"/>
      <c r="H254" s="11"/>
      <c r="I254" s="15"/>
    </row>
    <row r="255" spans="1:9" ht="16.5">
      <c r="A255" s="10" t="b">
        <v>0</v>
      </c>
      <c r="B255" s="11" t="str">
        <f>IF(D255&lt;&gt;"",IF(COUNTIF('USPTO TMs'!A:A,D255)&gt;0,"Yes","No"),"")</f>
        <v/>
      </c>
      <c r="C255" s="11"/>
      <c r="D255" s="11"/>
      <c r="E255" s="11"/>
      <c r="F255" s="11"/>
      <c r="G255" s="11"/>
      <c r="H255" s="11"/>
      <c r="I255" s="15"/>
    </row>
    <row r="256" spans="1:9" ht="16.5">
      <c r="A256" s="10" t="b">
        <v>0</v>
      </c>
      <c r="B256" s="11" t="str">
        <f>IF(D256&lt;&gt;"",IF(COUNTIF('USPTO TMs'!A:A,D256)&gt;0,"Yes","No"),"")</f>
        <v/>
      </c>
      <c r="C256" s="11"/>
      <c r="D256" s="11"/>
      <c r="E256" s="11"/>
      <c r="F256" s="11"/>
      <c r="G256" s="11"/>
      <c r="H256" s="11"/>
      <c r="I256" s="15"/>
    </row>
    <row r="257" spans="1:9" ht="16.5">
      <c r="A257" s="10" t="b">
        <v>0</v>
      </c>
      <c r="B257" s="11" t="str">
        <f>IF(D257&lt;&gt;"",IF(COUNTIF('USPTO TMs'!A:A,D257)&gt;0,"Yes","No"),"")</f>
        <v/>
      </c>
      <c r="C257" s="11"/>
      <c r="D257" s="11"/>
      <c r="E257" s="11"/>
      <c r="F257" s="11"/>
      <c r="G257" s="11"/>
      <c r="H257" s="11"/>
      <c r="I257" s="15"/>
    </row>
    <row r="258" spans="1:9" ht="16.5">
      <c r="A258" s="10" t="b">
        <v>0</v>
      </c>
      <c r="B258" s="11" t="str">
        <f>IF(D258&lt;&gt;"",IF(COUNTIF('USPTO TMs'!A:A,D258)&gt;0,"Yes","No"),"")</f>
        <v/>
      </c>
      <c r="C258" s="11"/>
      <c r="D258" s="11"/>
      <c r="E258" s="11"/>
      <c r="F258" s="11"/>
      <c r="G258" s="11"/>
      <c r="H258" s="11"/>
      <c r="I258" s="15"/>
    </row>
    <row r="259" spans="1:9" ht="16.5">
      <c r="A259" s="10" t="b">
        <v>0</v>
      </c>
      <c r="B259" s="11" t="str">
        <f>IF(D259&lt;&gt;"",IF(COUNTIF('USPTO TMs'!A:A,D259)&gt;0,"Yes","No"),"")</f>
        <v/>
      </c>
      <c r="C259" s="11"/>
      <c r="D259" s="11"/>
      <c r="E259" s="11"/>
      <c r="F259" s="11"/>
      <c r="G259" s="11"/>
      <c r="H259" s="11"/>
      <c r="I259" s="15"/>
    </row>
    <row r="260" spans="1:9" ht="16.5">
      <c r="A260" s="10" t="b">
        <v>0</v>
      </c>
      <c r="B260" s="11" t="str">
        <f>IF(D260&lt;&gt;"",IF(COUNTIF('USPTO TMs'!A:A,D260)&gt;0,"Yes","No"),"")</f>
        <v/>
      </c>
      <c r="C260" s="11"/>
      <c r="D260" s="11"/>
      <c r="E260" s="11"/>
      <c r="F260" s="11"/>
      <c r="G260" s="11"/>
      <c r="H260" s="11"/>
      <c r="I260" s="15"/>
    </row>
    <row r="261" spans="1:9" ht="16.5">
      <c r="A261" s="10" t="b">
        <v>0</v>
      </c>
      <c r="B261" s="11" t="str">
        <f>IF(D261&lt;&gt;"",IF(COUNTIF('USPTO TMs'!A:A,D261)&gt;0,"Yes","No"),"")</f>
        <v/>
      </c>
      <c r="C261" s="11"/>
      <c r="D261" s="11"/>
      <c r="E261" s="11"/>
      <c r="F261" s="11"/>
      <c r="G261" s="11"/>
      <c r="H261" s="11"/>
      <c r="I261" s="15"/>
    </row>
    <row r="262" spans="1:9" ht="16.5">
      <c r="A262" s="10" t="b">
        <v>0</v>
      </c>
      <c r="B262" s="11" t="str">
        <f>IF(D262&lt;&gt;"",IF(COUNTIF('USPTO TMs'!A:A,D262)&gt;0,"Yes","No"),"")</f>
        <v/>
      </c>
      <c r="C262" s="11"/>
      <c r="D262" s="11"/>
      <c r="E262" s="11"/>
      <c r="F262" s="11"/>
      <c r="G262" s="11"/>
      <c r="H262" s="11"/>
      <c r="I262" s="15"/>
    </row>
    <row r="263" spans="1:9" ht="16.5">
      <c r="A263" s="10" t="b">
        <v>0</v>
      </c>
      <c r="B263" s="11" t="str">
        <f>IF(D263&lt;&gt;"",IF(COUNTIF('USPTO TMs'!A:A,D263)&gt;0,"Yes","No"),"")</f>
        <v/>
      </c>
      <c r="C263" s="11"/>
      <c r="D263" s="11"/>
      <c r="E263" s="11"/>
      <c r="F263" s="11"/>
      <c r="G263" s="11"/>
      <c r="H263" s="11"/>
      <c r="I263" s="15"/>
    </row>
    <row r="264" spans="1:9" ht="16.5">
      <c r="A264" s="10" t="b">
        <v>0</v>
      </c>
      <c r="B264" s="11" t="str">
        <f>IF(D264&lt;&gt;"",IF(COUNTIF('USPTO TMs'!A:A,D264)&gt;0,"Yes","No"),"")</f>
        <v/>
      </c>
      <c r="C264" s="11"/>
      <c r="D264" s="11"/>
      <c r="E264" s="11"/>
      <c r="F264" s="11"/>
      <c r="G264" s="11"/>
      <c r="H264" s="11"/>
      <c r="I264" s="15"/>
    </row>
    <row r="265" spans="1:9" ht="16.5">
      <c r="A265" s="10" t="b">
        <v>0</v>
      </c>
      <c r="B265" s="11" t="str">
        <f>IF(D265&lt;&gt;"",IF(COUNTIF('USPTO TMs'!A:A,D265)&gt;0,"Yes","No"),"")</f>
        <v/>
      </c>
      <c r="C265" s="11"/>
      <c r="D265" s="11"/>
      <c r="E265" s="11"/>
      <c r="F265" s="11"/>
      <c r="G265" s="11"/>
      <c r="H265" s="11"/>
      <c r="I265" s="15"/>
    </row>
    <row r="266" spans="1:9" ht="16.5">
      <c r="A266" s="10" t="b">
        <v>0</v>
      </c>
      <c r="B266" s="11" t="str">
        <f>IF(D266&lt;&gt;"",IF(COUNTIF('USPTO TMs'!A:A,D266)&gt;0,"Yes","No"),"")</f>
        <v/>
      </c>
      <c r="C266" s="11"/>
      <c r="D266" s="11"/>
      <c r="E266" s="11"/>
      <c r="F266" s="11"/>
      <c r="G266" s="11"/>
      <c r="H266" s="11"/>
      <c r="I266" s="15"/>
    </row>
    <row r="267" spans="1:9" ht="16.5">
      <c r="A267" s="10" t="b">
        <v>0</v>
      </c>
      <c r="B267" s="11" t="str">
        <f>IF(D267&lt;&gt;"",IF(COUNTIF('USPTO TMs'!A:A,D267)&gt;0,"Yes","No"),"")</f>
        <v/>
      </c>
      <c r="C267" s="11"/>
      <c r="D267" s="11"/>
      <c r="E267" s="11"/>
      <c r="F267" s="11"/>
      <c r="G267" s="11"/>
      <c r="H267" s="11"/>
      <c r="I267" s="15"/>
    </row>
    <row r="268" spans="1:9" ht="16.5">
      <c r="A268" s="10" t="b">
        <v>0</v>
      </c>
      <c r="B268" s="11" t="str">
        <f>IF(D268&lt;&gt;"",IF(COUNTIF('USPTO TMs'!A:A,D268)&gt;0,"Yes","No"),"")</f>
        <v/>
      </c>
      <c r="C268" s="11"/>
      <c r="D268" s="11"/>
      <c r="E268" s="11"/>
      <c r="F268" s="11"/>
      <c r="G268" s="11"/>
      <c r="H268" s="11"/>
      <c r="I268" s="15"/>
    </row>
    <row r="269" spans="1:9" ht="16.5">
      <c r="A269" s="10" t="b">
        <v>0</v>
      </c>
      <c r="B269" s="11" t="str">
        <f>IF(D269&lt;&gt;"",IF(COUNTIF('USPTO TMs'!A:A,D269)&gt;0,"Yes","No"),"")</f>
        <v/>
      </c>
      <c r="C269" s="11"/>
      <c r="D269" s="11"/>
      <c r="E269" s="11"/>
      <c r="F269" s="11"/>
      <c r="G269" s="11"/>
      <c r="H269" s="11"/>
      <c r="I269" s="15"/>
    </row>
    <row r="270" spans="1:9" ht="16.5">
      <c r="A270" s="10" t="b">
        <v>0</v>
      </c>
      <c r="B270" s="11" t="str">
        <f>IF(D270&lt;&gt;"",IF(COUNTIF('USPTO TMs'!A:A,D270)&gt;0,"Yes","No"),"")</f>
        <v/>
      </c>
      <c r="C270" s="11"/>
      <c r="D270" s="11"/>
      <c r="E270" s="11"/>
      <c r="F270" s="11"/>
      <c r="G270" s="11"/>
      <c r="H270" s="11"/>
      <c r="I270" s="15"/>
    </row>
    <row r="271" spans="1:9" ht="16.5">
      <c r="A271" s="10" t="b">
        <v>0</v>
      </c>
      <c r="B271" s="11" t="str">
        <f>IF(D271&lt;&gt;"",IF(COUNTIF('USPTO TMs'!A:A,D271)&gt;0,"Yes","No"),"")</f>
        <v/>
      </c>
      <c r="C271" s="11"/>
      <c r="D271" s="11"/>
      <c r="E271" s="11"/>
      <c r="F271" s="11"/>
      <c r="G271" s="11"/>
      <c r="H271" s="11"/>
      <c r="I271" s="15"/>
    </row>
    <row r="272" spans="1:9" ht="16.5">
      <c r="A272" s="10" t="b">
        <v>0</v>
      </c>
      <c r="B272" s="11" t="str">
        <f>IF(D272&lt;&gt;"",IF(COUNTIF('USPTO TMs'!A:A,D272)&gt;0,"Yes","No"),"")</f>
        <v/>
      </c>
      <c r="C272" s="11"/>
      <c r="D272" s="11"/>
      <c r="E272" s="11"/>
      <c r="F272" s="11"/>
      <c r="G272" s="11"/>
      <c r="H272" s="11"/>
      <c r="I272" s="15"/>
    </row>
    <row r="273" spans="1:9" ht="16.5">
      <c r="A273" s="10" t="b">
        <v>0</v>
      </c>
      <c r="B273" s="11" t="str">
        <f>IF(D273&lt;&gt;"",IF(COUNTIF('USPTO TMs'!A:A,D273)&gt;0,"Yes","No"),"")</f>
        <v/>
      </c>
      <c r="C273" s="11"/>
      <c r="D273" s="11"/>
      <c r="E273" s="11"/>
      <c r="F273" s="11"/>
      <c r="G273" s="11"/>
      <c r="H273" s="11"/>
      <c r="I273" s="15"/>
    </row>
    <row r="274" spans="1:9" ht="16.5">
      <c r="A274" s="10" t="b">
        <v>0</v>
      </c>
      <c r="B274" s="11" t="str">
        <f>IF(D274&lt;&gt;"",IF(COUNTIF('USPTO TMs'!A:A,D274)&gt;0,"Yes","No"),"")</f>
        <v/>
      </c>
      <c r="C274" s="11"/>
      <c r="D274" s="11"/>
      <c r="E274" s="11"/>
      <c r="F274" s="11"/>
      <c r="G274" s="11"/>
      <c r="H274" s="11"/>
      <c r="I274" s="15"/>
    </row>
    <row r="275" spans="1:9" ht="16.5">
      <c r="A275" s="10" t="b">
        <v>0</v>
      </c>
      <c r="B275" s="11" t="str">
        <f>IF(D275&lt;&gt;"",IF(COUNTIF('USPTO TMs'!A:A,D275)&gt;0,"Yes","No"),"")</f>
        <v/>
      </c>
      <c r="C275" s="11"/>
      <c r="D275" s="11"/>
      <c r="E275" s="11"/>
      <c r="F275" s="11"/>
      <c r="G275" s="11"/>
      <c r="H275" s="11"/>
      <c r="I275" s="15"/>
    </row>
    <row r="276" spans="1:9" ht="16.5">
      <c r="A276" s="10" t="b">
        <v>0</v>
      </c>
      <c r="B276" s="11" t="str">
        <f>IF(D276&lt;&gt;"",IF(COUNTIF('USPTO TMs'!A:A,D276)&gt;0,"Yes","No"),"")</f>
        <v/>
      </c>
      <c r="C276" s="11"/>
      <c r="D276" s="11"/>
      <c r="E276" s="11"/>
      <c r="F276" s="11"/>
      <c r="G276" s="11"/>
      <c r="H276" s="11"/>
      <c r="I276" s="15"/>
    </row>
    <row r="277" spans="1:9" ht="16.5">
      <c r="A277" s="10" t="b">
        <v>0</v>
      </c>
      <c r="B277" s="11" t="str">
        <f>IF(D277&lt;&gt;"",IF(COUNTIF('USPTO TMs'!A:A,D277)&gt;0,"Yes","No"),"")</f>
        <v/>
      </c>
      <c r="C277" s="11"/>
      <c r="D277" s="11"/>
      <c r="E277" s="11"/>
      <c r="F277" s="11"/>
      <c r="G277" s="11"/>
      <c r="H277" s="11"/>
      <c r="I277" s="15"/>
    </row>
    <row r="278" spans="1:9" ht="16.5">
      <c r="A278" s="10" t="b">
        <v>0</v>
      </c>
      <c r="B278" s="11" t="str">
        <f>IF(D278&lt;&gt;"",IF(COUNTIF('USPTO TMs'!A:A,D278)&gt;0,"Yes","No"),"")</f>
        <v/>
      </c>
      <c r="C278" s="11"/>
      <c r="D278" s="11"/>
      <c r="E278" s="11"/>
      <c r="F278" s="11"/>
      <c r="G278" s="11"/>
      <c r="H278" s="11"/>
      <c r="I278" s="15"/>
    </row>
    <row r="279" spans="1:9" ht="16.5">
      <c r="A279" s="10" t="b">
        <v>0</v>
      </c>
      <c r="B279" s="11" t="str">
        <f>IF(D279&lt;&gt;"",IF(COUNTIF('USPTO TMs'!A:A,D279)&gt;0,"Yes","No"),"")</f>
        <v/>
      </c>
      <c r="C279" s="11"/>
      <c r="D279" s="11"/>
      <c r="E279" s="11"/>
      <c r="F279" s="11"/>
      <c r="G279" s="11"/>
      <c r="H279" s="11"/>
      <c r="I279" s="15"/>
    </row>
    <row r="280" spans="1:9" ht="16.5">
      <c r="A280" s="10" t="b">
        <v>0</v>
      </c>
      <c r="B280" s="11" t="str">
        <f>IF(D280&lt;&gt;"",IF(COUNTIF('USPTO TMs'!A:A,D280)&gt;0,"Yes","No"),"")</f>
        <v/>
      </c>
      <c r="C280" s="11"/>
      <c r="D280" s="11"/>
      <c r="E280" s="11"/>
      <c r="F280" s="11"/>
      <c r="G280" s="11"/>
      <c r="H280" s="11"/>
      <c r="I280" s="15"/>
    </row>
    <row r="281" spans="1:9" ht="16.5">
      <c r="A281" s="10" t="b">
        <v>0</v>
      </c>
      <c r="B281" s="11" t="str">
        <f>IF(D281&lt;&gt;"",IF(COUNTIF('USPTO TMs'!A:A,D281)&gt;0,"Yes","No"),"")</f>
        <v/>
      </c>
      <c r="C281" s="11"/>
      <c r="D281" s="11"/>
      <c r="E281" s="11"/>
      <c r="F281" s="11"/>
      <c r="G281" s="11"/>
      <c r="H281" s="11"/>
      <c r="I281" s="15"/>
    </row>
    <row r="282" spans="1:9" ht="16.5">
      <c r="A282" s="10" t="b">
        <v>0</v>
      </c>
      <c r="B282" s="11" t="str">
        <f>IF(D282&lt;&gt;"",IF(COUNTIF('USPTO TMs'!A:A,D282)&gt;0,"Yes","No"),"")</f>
        <v/>
      </c>
      <c r="C282" s="11"/>
      <c r="D282" s="11"/>
      <c r="E282" s="11"/>
      <c r="F282" s="11"/>
      <c r="G282" s="11"/>
      <c r="H282" s="11"/>
      <c r="I282" s="15"/>
    </row>
    <row r="283" spans="1:9" ht="16.5">
      <c r="A283" s="10" t="b">
        <v>0</v>
      </c>
      <c r="B283" s="11" t="str">
        <f>IF(D283&lt;&gt;"",IF(COUNTIF('USPTO TMs'!A:A,D283)&gt;0,"Yes","No"),"")</f>
        <v/>
      </c>
      <c r="C283" s="11"/>
      <c r="D283" s="11"/>
      <c r="E283" s="11"/>
      <c r="F283" s="11"/>
      <c r="G283" s="11"/>
      <c r="H283" s="11"/>
      <c r="I283" s="15"/>
    </row>
    <row r="284" spans="1:9" ht="16.5">
      <c r="A284" s="10" t="b">
        <v>0</v>
      </c>
      <c r="B284" s="11" t="str">
        <f>IF(D284&lt;&gt;"",IF(COUNTIF('USPTO TMs'!A:A,D284)&gt;0,"Yes","No"),"")</f>
        <v/>
      </c>
      <c r="C284" s="11"/>
      <c r="D284" s="11"/>
      <c r="E284" s="11"/>
      <c r="F284" s="11"/>
      <c r="G284" s="11"/>
      <c r="H284" s="11"/>
      <c r="I284" s="15"/>
    </row>
    <row r="285" spans="1:9" ht="16.5">
      <c r="A285" s="10" t="b">
        <v>0</v>
      </c>
      <c r="B285" s="11" t="str">
        <f>IF(D285&lt;&gt;"",IF(COUNTIF('USPTO TMs'!A:A,D285)&gt;0,"Yes","No"),"")</f>
        <v/>
      </c>
      <c r="C285" s="11"/>
      <c r="D285" s="11"/>
      <c r="E285" s="11"/>
      <c r="F285" s="11"/>
      <c r="G285" s="11"/>
      <c r="H285" s="11"/>
      <c r="I285" s="15"/>
    </row>
    <row r="286" spans="1:9" ht="16.5">
      <c r="A286" s="10" t="b">
        <v>0</v>
      </c>
      <c r="B286" s="11" t="str">
        <f>IF(D286&lt;&gt;"",IF(COUNTIF('USPTO TMs'!A:A,D286)&gt;0,"Yes","No"),"")</f>
        <v/>
      </c>
      <c r="C286" s="11"/>
      <c r="D286" s="11"/>
      <c r="E286" s="11"/>
      <c r="F286" s="11"/>
      <c r="G286" s="11"/>
      <c r="H286" s="11"/>
      <c r="I286" s="15"/>
    </row>
    <row r="287" spans="1:9" ht="16.5">
      <c r="A287" s="10" t="b">
        <v>0</v>
      </c>
      <c r="B287" s="11" t="str">
        <f>IF(D287&lt;&gt;"",IF(COUNTIF('USPTO TMs'!A:A,D287)&gt;0,"Yes","No"),"")</f>
        <v/>
      </c>
      <c r="C287" s="11"/>
      <c r="D287" s="11"/>
      <c r="E287" s="11"/>
      <c r="F287" s="11"/>
      <c r="G287" s="11"/>
      <c r="H287" s="11"/>
      <c r="I287" s="15"/>
    </row>
    <row r="288" spans="1:9" ht="16.5">
      <c r="A288" s="10" t="b">
        <v>0</v>
      </c>
      <c r="B288" s="11" t="str">
        <f>IF(D288&lt;&gt;"",IF(COUNTIF('USPTO TMs'!A:A,D288)&gt;0,"Yes","No"),"")</f>
        <v/>
      </c>
      <c r="C288" s="11"/>
      <c r="D288" s="11"/>
      <c r="E288" s="11"/>
      <c r="F288" s="11"/>
      <c r="G288" s="11"/>
      <c r="H288" s="11"/>
      <c r="I288" s="15"/>
    </row>
    <row r="289" spans="1:9" ht="16.5">
      <c r="A289" s="10" t="b">
        <v>0</v>
      </c>
      <c r="B289" s="11" t="str">
        <f>IF(D289&lt;&gt;"",IF(COUNTIF('USPTO TMs'!A:A,D289)&gt;0,"Yes","No"),"")</f>
        <v/>
      </c>
      <c r="C289" s="11"/>
      <c r="D289" s="11"/>
      <c r="E289" s="11"/>
      <c r="F289" s="11"/>
      <c r="G289" s="11"/>
      <c r="H289" s="11"/>
      <c r="I289" s="15"/>
    </row>
    <row r="290" spans="1:9" ht="16.5">
      <c r="A290" s="10" t="b">
        <v>0</v>
      </c>
      <c r="B290" s="11" t="str">
        <f>IF(D290&lt;&gt;"",IF(COUNTIF('USPTO TMs'!A:A,D290)&gt;0,"Yes","No"),"")</f>
        <v/>
      </c>
      <c r="C290" s="11"/>
      <c r="D290" s="11"/>
      <c r="E290" s="11"/>
      <c r="F290" s="11"/>
      <c r="G290" s="11"/>
      <c r="H290" s="11"/>
      <c r="I290" s="15"/>
    </row>
    <row r="291" spans="1:9" ht="16.5">
      <c r="A291" s="10" t="b">
        <v>0</v>
      </c>
      <c r="B291" s="11" t="str">
        <f>IF(D291&lt;&gt;"",IF(COUNTIF('USPTO TMs'!A:A,D291)&gt;0,"Yes","No"),"")</f>
        <v/>
      </c>
      <c r="C291" s="11"/>
      <c r="D291" s="11"/>
      <c r="E291" s="11"/>
      <c r="F291" s="11"/>
      <c r="G291" s="11"/>
      <c r="H291" s="11"/>
      <c r="I291" s="15"/>
    </row>
    <row r="292" spans="1:9" ht="16.5">
      <c r="A292" s="10" t="b">
        <v>0</v>
      </c>
      <c r="B292" s="11" t="str">
        <f>IF(D292&lt;&gt;"",IF(COUNTIF('USPTO TMs'!A:A,D292)&gt;0,"Yes","No"),"")</f>
        <v/>
      </c>
      <c r="C292" s="11"/>
      <c r="D292" s="11"/>
      <c r="E292" s="11"/>
      <c r="F292" s="11"/>
      <c r="G292" s="11"/>
      <c r="H292" s="11"/>
      <c r="I292" s="15"/>
    </row>
    <row r="293" spans="1:9" ht="16.5">
      <c r="A293" s="10" t="b">
        <v>0</v>
      </c>
      <c r="B293" s="11" t="str">
        <f>IF(D293&lt;&gt;"",IF(COUNTIF('USPTO TMs'!A:A,D293)&gt;0,"Yes","No"),"")</f>
        <v/>
      </c>
      <c r="C293" s="11"/>
      <c r="D293" s="11"/>
      <c r="E293" s="11"/>
      <c r="F293" s="11"/>
      <c r="G293" s="11"/>
      <c r="H293" s="11"/>
      <c r="I293" s="15"/>
    </row>
    <row r="294" spans="1:9" ht="16.5">
      <c r="A294" s="10" t="b">
        <v>0</v>
      </c>
      <c r="B294" s="11" t="str">
        <f>IF(D294&lt;&gt;"",IF(COUNTIF('USPTO TMs'!A:A,D294)&gt;0,"Yes","No"),"")</f>
        <v/>
      </c>
      <c r="C294" s="11"/>
      <c r="D294" s="11"/>
      <c r="E294" s="11"/>
      <c r="F294" s="11"/>
      <c r="G294" s="11"/>
      <c r="H294" s="11"/>
      <c r="I294" s="15"/>
    </row>
    <row r="295" spans="1:9" ht="16.5">
      <c r="A295" s="10" t="b">
        <v>0</v>
      </c>
      <c r="B295" s="11" t="str">
        <f>IF(D295&lt;&gt;"",IF(COUNTIF('USPTO TMs'!A:A,D295)&gt;0,"Yes","No"),"")</f>
        <v/>
      </c>
      <c r="C295" s="11"/>
      <c r="D295" s="11"/>
      <c r="E295" s="11"/>
      <c r="F295" s="11"/>
      <c r="G295" s="11"/>
      <c r="H295" s="11"/>
      <c r="I295" s="15"/>
    </row>
    <row r="296" spans="1:9" ht="16.5">
      <c r="A296" s="10" t="b">
        <v>0</v>
      </c>
      <c r="B296" s="11" t="str">
        <f>IF(D296&lt;&gt;"",IF(COUNTIF('USPTO TMs'!A:A,D296)&gt;0,"Yes","No"),"")</f>
        <v/>
      </c>
      <c r="C296" s="11"/>
      <c r="D296" s="11"/>
      <c r="E296" s="11"/>
      <c r="F296" s="11"/>
      <c r="G296" s="11"/>
      <c r="H296" s="11"/>
      <c r="I296" s="15"/>
    </row>
    <row r="297" spans="1:9" ht="16.5">
      <c r="A297" s="10" t="b">
        <v>0</v>
      </c>
      <c r="B297" s="11" t="str">
        <f>IF(D297&lt;&gt;"",IF(COUNTIF('USPTO TMs'!A:A,D297)&gt;0,"Yes","No"),"")</f>
        <v/>
      </c>
      <c r="C297" s="11"/>
      <c r="D297" s="11"/>
      <c r="E297" s="11"/>
      <c r="F297" s="11"/>
      <c r="G297" s="11"/>
      <c r="H297" s="11"/>
      <c r="I297" s="15"/>
    </row>
    <row r="298" spans="1:9" ht="16.5">
      <c r="A298" s="10" t="b">
        <v>0</v>
      </c>
      <c r="B298" s="11" t="str">
        <f>IF(D298&lt;&gt;"",IF(COUNTIF('USPTO TMs'!A:A,D298)&gt;0,"Yes","No"),"")</f>
        <v/>
      </c>
      <c r="C298" s="11"/>
      <c r="D298" s="11"/>
      <c r="E298" s="11"/>
      <c r="F298" s="11"/>
      <c r="G298" s="11"/>
      <c r="H298" s="11"/>
      <c r="I298" s="15"/>
    </row>
    <row r="299" spans="1:9" ht="16.5">
      <c r="A299" s="10" t="b">
        <v>0</v>
      </c>
      <c r="B299" s="11" t="str">
        <f>IF(D299&lt;&gt;"",IF(COUNTIF('USPTO TMs'!A:A,D299)&gt;0,"Yes","No"),"")</f>
        <v/>
      </c>
      <c r="C299" s="11"/>
      <c r="D299" s="11"/>
      <c r="E299" s="11"/>
      <c r="F299" s="11"/>
      <c r="G299" s="11"/>
      <c r="H299" s="11"/>
      <c r="I299" s="15"/>
    </row>
    <row r="300" spans="1:9" ht="16.5">
      <c r="A300" s="10" t="b">
        <v>0</v>
      </c>
      <c r="B300" s="11" t="str">
        <f>IF(D300&lt;&gt;"",IF(COUNTIF('USPTO TMs'!A:A,D300)&gt;0,"Yes","No"),"")</f>
        <v/>
      </c>
      <c r="C300" s="11"/>
      <c r="D300" s="11"/>
      <c r="E300" s="11"/>
      <c r="F300" s="11"/>
      <c r="G300" s="11"/>
      <c r="H300" s="11"/>
      <c r="I300" s="15"/>
    </row>
    <row r="301" spans="1:9" ht="16.5">
      <c r="A301" s="10" t="b">
        <v>0</v>
      </c>
      <c r="B301" s="11" t="str">
        <f>IF(D301&lt;&gt;"",IF(COUNTIF('USPTO TMs'!A:A,D301)&gt;0,"Yes","No"),"")</f>
        <v/>
      </c>
      <c r="C301" s="11"/>
      <c r="D301" s="11"/>
      <c r="E301" s="11"/>
      <c r="F301" s="11"/>
      <c r="G301" s="11"/>
      <c r="H301" s="11"/>
      <c r="I301" s="15"/>
    </row>
    <row r="302" spans="1:9" ht="16.5">
      <c r="A302" s="10" t="b">
        <v>0</v>
      </c>
      <c r="B302" s="11" t="str">
        <f>IF(D302&lt;&gt;"",IF(COUNTIF('USPTO TMs'!A:A,D302)&gt;0,"Yes","No"),"")</f>
        <v/>
      </c>
      <c r="C302" s="11"/>
      <c r="D302" s="11"/>
      <c r="E302" s="11"/>
      <c r="F302" s="11"/>
      <c r="G302" s="11"/>
      <c r="H302" s="11"/>
      <c r="I302" s="15"/>
    </row>
    <row r="303" spans="1:9" ht="16.5">
      <c r="A303" s="10" t="b">
        <v>0</v>
      </c>
      <c r="B303" s="11" t="str">
        <f>IF(D303&lt;&gt;"",IF(COUNTIF('USPTO TMs'!A:A,D303)&gt;0,"Yes","No"),"")</f>
        <v/>
      </c>
      <c r="C303" s="11"/>
      <c r="D303" s="11"/>
      <c r="E303" s="11"/>
      <c r="F303" s="11"/>
      <c r="G303" s="11"/>
      <c r="H303" s="11"/>
      <c r="I303" s="15"/>
    </row>
    <row r="304" spans="1:9" ht="16.5">
      <c r="A304" s="10" t="b">
        <v>0</v>
      </c>
      <c r="B304" s="11" t="str">
        <f>IF(D304&lt;&gt;"",IF(COUNTIF('USPTO TMs'!A:A,D304)&gt;0,"Yes","No"),"")</f>
        <v/>
      </c>
      <c r="C304" s="11"/>
      <c r="D304" s="11"/>
      <c r="E304" s="11"/>
      <c r="F304" s="11"/>
      <c r="G304" s="11"/>
      <c r="H304" s="11"/>
      <c r="I304" s="15"/>
    </row>
    <row r="305" spans="1:9" ht="16.5">
      <c r="A305" s="10" t="b">
        <v>0</v>
      </c>
      <c r="B305" s="11" t="str">
        <f>IF(D305&lt;&gt;"",IF(COUNTIF('USPTO TMs'!A:A,D305)&gt;0,"Yes","No"),"")</f>
        <v/>
      </c>
      <c r="C305" s="11"/>
      <c r="D305" s="11"/>
      <c r="E305" s="11"/>
      <c r="F305" s="11"/>
      <c r="G305" s="11"/>
      <c r="H305" s="11"/>
      <c r="I305" s="15"/>
    </row>
    <row r="306" spans="1:9" ht="16.5">
      <c r="A306" s="10" t="b">
        <v>0</v>
      </c>
      <c r="B306" s="11" t="str">
        <f>IF(D306&lt;&gt;"",IF(COUNTIF('USPTO TMs'!A:A,D306)&gt;0,"Yes","No"),"")</f>
        <v/>
      </c>
      <c r="C306" s="11"/>
      <c r="D306" s="11"/>
      <c r="E306" s="11"/>
      <c r="F306" s="11"/>
      <c r="G306" s="11"/>
      <c r="H306" s="11"/>
      <c r="I306" s="15"/>
    </row>
    <row r="307" spans="1:9" ht="16.5">
      <c r="A307" s="10" t="b">
        <v>0</v>
      </c>
      <c r="B307" s="11" t="str">
        <f>IF(D307&lt;&gt;"",IF(COUNTIF('USPTO TMs'!A:A,D307)&gt;0,"Yes","No"),"")</f>
        <v/>
      </c>
      <c r="C307" s="11"/>
      <c r="D307" s="11"/>
      <c r="E307" s="11"/>
      <c r="F307" s="11"/>
      <c r="G307" s="11"/>
      <c r="H307" s="11"/>
      <c r="I307" s="15"/>
    </row>
    <row r="308" spans="1:9" ht="16.5">
      <c r="A308" s="10" t="b">
        <v>0</v>
      </c>
      <c r="B308" s="11" t="str">
        <f>IF(D308&lt;&gt;"",IF(COUNTIF('USPTO TMs'!A:A,D308)&gt;0,"Yes","No"),"")</f>
        <v/>
      </c>
      <c r="C308" s="11"/>
      <c r="D308" s="11"/>
      <c r="E308" s="11"/>
      <c r="F308" s="11"/>
      <c r="G308" s="11"/>
      <c r="H308" s="11"/>
      <c r="I308" s="15"/>
    </row>
    <row r="309" spans="1:9" ht="16.5">
      <c r="A309" s="10" t="b">
        <v>0</v>
      </c>
      <c r="B309" s="11" t="str">
        <f>IF(D309&lt;&gt;"",IF(COUNTIF('USPTO TMs'!A:A,D309)&gt;0,"Yes","No"),"")</f>
        <v/>
      </c>
      <c r="C309" s="11"/>
      <c r="D309" s="11"/>
      <c r="E309" s="11"/>
      <c r="F309" s="11"/>
      <c r="G309" s="11"/>
      <c r="H309" s="11"/>
      <c r="I309" s="15"/>
    </row>
    <row r="310" spans="1:9" ht="16.5">
      <c r="A310" s="10" t="b">
        <v>0</v>
      </c>
      <c r="B310" s="11" t="str">
        <f>IF(D310&lt;&gt;"",IF(COUNTIF('USPTO TMs'!A:A,D310)&gt;0,"Yes","No"),"")</f>
        <v/>
      </c>
      <c r="C310" s="11"/>
      <c r="D310" s="11"/>
      <c r="E310" s="11"/>
      <c r="F310" s="11"/>
      <c r="G310" s="11"/>
      <c r="H310" s="11"/>
      <c r="I310" s="15"/>
    </row>
    <row r="311" spans="1:9" ht="16.5">
      <c r="A311" s="10" t="b">
        <v>0</v>
      </c>
      <c r="B311" s="11" t="str">
        <f>IF(D311&lt;&gt;"",IF(COUNTIF('USPTO TMs'!A:A,D311)&gt;0,"Yes","No"),"")</f>
        <v/>
      </c>
      <c r="C311" s="11"/>
      <c r="D311" s="11"/>
      <c r="E311" s="11"/>
      <c r="F311" s="11"/>
      <c r="G311" s="11"/>
      <c r="H311" s="11"/>
      <c r="I311" s="15"/>
    </row>
    <row r="312" spans="1:9" ht="16.5">
      <c r="A312" s="10" t="b">
        <v>0</v>
      </c>
      <c r="B312" s="11" t="str">
        <f>IF(D312&lt;&gt;"",IF(COUNTIF('USPTO TMs'!A:A,D312)&gt;0,"Yes","No"),"")</f>
        <v/>
      </c>
      <c r="C312" s="11"/>
      <c r="D312" s="11"/>
      <c r="E312" s="11"/>
      <c r="F312" s="11"/>
      <c r="G312" s="11"/>
      <c r="H312" s="11"/>
      <c r="I312" s="15"/>
    </row>
    <row r="313" spans="1:9" ht="16.5">
      <c r="A313" s="10" t="b">
        <v>0</v>
      </c>
      <c r="B313" s="11" t="str">
        <f>IF(D313&lt;&gt;"",IF(COUNTIF('USPTO TMs'!A:A,D313)&gt;0,"Yes","No"),"")</f>
        <v/>
      </c>
      <c r="C313" s="11"/>
      <c r="D313" s="11"/>
      <c r="E313" s="11"/>
      <c r="F313" s="11"/>
      <c r="G313" s="11"/>
      <c r="H313" s="11"/>
      <c r="I313" s="15"/>
    </row>
    <row r="314" spans="1:9" ht="16.5">
      <c r="A314" s="10" t="b">
        <v>0</v>
      </c>
      <c r="B314" s="11" t="str">
        <f>IF(D314&lt;&gt;"",IF(COUNTIF('USPTO TMs'!A:A,D314)&gt;0,"Yes","No"),"")</f>
        <v/>
      </c>
      <c r="C314" s="11"/>
      <c r="D314" s="11"/>
      <c r="E314" s="11"/>
      <c r="F314" s="11"/>
      <c r="G314" s="11"/>
      <c r="H314" s="11"/>
      <c r="I314" s="15"/>
    </row>
    <row r="315" spans="1:9" ht="16.5">
      <c r="A315" s="10" t="b">
        <v>0</v>
      </c>
      <c r="B315" s="11" t="str">
        <f>IF(D315&lt;&gt;"",IF(COUNTIF('USPTO TMs'!A:A,D315)&gt;0,"Yes","No"),"")</f>
        <v/>
      </c>
      <c r="C315" s="11"/>
      <c r="D315" s="11"/>
      <c r="E315" s="11"/>
      <c r="F315" s="11"/>
      <c r="G315" s="11"/>
      <c r="H315" s="11"/>
      <c r="I315" s="15"/>
    </row>
    <row r="316" spans="1:9" ht="16.5">
      <c r="A316" s="10" t="b">
        <v>0</v>
      </c>
      <c r="B316" s="11" t="str">
        <f>IF(D316&lt;&gt;"",IF(COUNTIF('USPTO TMs'!A:A,D316)&gt;0,"Yes","No"),"")</f>
        <v/>
      </c>
      <c r="C316" s="11"/>
      <c r="D316" s="11"/>
      <c r="E316" s="11"/>
      <c r="F316" s="11"/>
      <c r="G316" s="11"/>
      <c r="H316" s="11"/>
      <c r="I316" s="15"/>
    </row>
    <row r="317" spans="1:9" ht="16.5">
      <c r="A317" s="10" t="b">
        <v>0</v>
      </c>
      <c r="B317" s="11" t="str">
        <f>IF(D317&lt;&gt;"",IF(COUNTIF('USPTO TMs'!A:A,D317)&gt;0,"Yes","No"),"")</f>
        <v/>
      </c>
      <c r="C317" s="11"/>
      <c r="D317" s="11"/>
      <c r="E317" s="11"/>
      <c r="F317" s="11"/>
      <c r="G317" s="11"/>
      <c r="H317" s="11"/>
      <c r="I317" s="15"/>
    </row>
    <row r="318" spans="1:9" ht="16.5">
      <c r="A318" s="10" t="b">
        <v>0</v>
      </c>
      <c r="B318" s="11" t="str">
        <f>IF(D318&lt;&gt;"",IF(COUNTIF('USPTO TMs'!A:A,D318)&gt;0,"Yes","No"),"")</f>
        <v/>
      </c>
      <c r="C318" s="11"/>
      <c r="D318" s="11"/>
      <c r="E318" s="11"/>
      <c r="F318" s="11"/>
      <c r="G318" s="11"/>
      <c r="H318" s="11"/>
      <c r="I318" s="15"/>
    </row>
    <row r="319" spans="1:9" ht="16.5">
      <c r="A319" s="10" t="b">
        <v>0</v>
      </c>
      <c r="B319" s="11" t="str">
        <f>IF(D319&lt;&gt;"",IF(COUNTIF('USPTO TMs'!A:A,D319)&gt;0,"Yes","No"),"")</f>
        <v/>
      </c>
      <c r="C319" s="11"/>
      <c r="D319" s="11"/>
      <c r="E319" s="11"/>
      <c r="F319" s="11"/>
      <c r="G319" s="11"/>
      <c r="H319" s="11"/>
      <c r="I319" s="15"/>
    </row>
    <row r="320" spans="1:9" ht="16.5">
      <c r="A320" s="10" t="b">
        <v>0</v>
      </c>
      <c r="B320" s="11" t="str">
        <f>IF(D320&lt;&gt;"",IF(COUNTIF('USPTO TMs'!A:A,D320)&gt;0,"Yes","No"),"")</f>
        <v/>
      </c>
      <c r="C320" s="11"/>
      <c r="D320" s="11"/>
      <c r="E320" s="11"/>
      <c r="F320" s="11"/>
      <c r="G320" s="11"/>
      <c r="H320" s="11"/>
      <c r="I320" s="15"/>
    </row>
    <row r="321" spans="1:9" ht="16.5">
      <c r="A321" s="10" t="b">
        <v>0</v>
      </c>
      <c r="B321" s="11" t="str">
        <f>IF(D321&lt;&gt;"",IF(COUNTIF('USPTO TMs'!A:A,D321)&gt;0,"Yes","No"),"")</f>
        <v/>
      </c>
      <c r="C321" s="11"/>
      <c r="D321" s="11"/>
      <c r="E321" s="11"/>
      <c r="F321" s="11"/>
      <c r="G321" s="11"/>
      <c r="H321" s="11"/>
      <c r="I321" s="15"/>
    </row>
    <row r="322" spans="1:9" ht="16.5">
      <c r="A322" s="10" t="b">
        <v>0</v>
      </c>
      <c r="B322" s="11" t="str">
        <f>IF(D322&lt;&gt;"",IF(COUNTIF('USPTO TMs'!A:A,D322)&gt;0,"Yes","No"),"")</f>
        <v/>
      </c>
      <c r="C322" s="11"/>
      <c r="D322" s="11"/>
      <c r="E322" s="11"/>
      <c r="F322" s="11"/>
      <c r="G322" s="11"/>
      <c r="H322" s="11"/>
      <c r="I322" s="15"/>
    </row>
    <row r="323" spans="1:9" ht="16.5">
      <c r="A323" s="10" t="b">
        <v>0</v>
      </c>
      <c r="B323" s="11" t="str">
        <f>IF(D323&lt;&gt;"",IF(COUNTIF('USPTO TMs'!A:A,D323)&gt;0,"Yes","No"),"")</f>
        <v/>
      </c>
      <c r="C323" s="11"/>
      <c r="D323" s="11"/>
      <c r="E323" s="11"/>
      <c r="F323" s="11"/>
      <c r="G323" s="11"/>
      <c r="H323" s="11"/>
      <c r="I323" s="15"/>
    </row>
    <row r="324" spans="1:9" ht="16.5">
      <c r="A324" s="10" t="b">
        <v>0</v>
      </c>
      <c r="B324" s="11" t="str">
        <f>IF(D324&lt;&gt;"",IF(COUNTIF('USPTO TMs'!A:A,D324)&gt;0,"Yes","No"),"")</f>
        <v/>
      </c>
      <c r="C324" s="11"/>
      <c r="D324" s="11"/>
      <c r="E324" s="11"/>
      <c r="F324" s="11"/>
      <c r="G324" s="11"/>
      <c r="H324" s="11"/>
      <c r="I324" s="15"/>
    </row>
    <row r="325" spans="1:9" ht="16.5">
      <c r="A325" s="10" t="b">
        <v>0</v>
      </c>
      <c r="B325" s="11" t="str">
        <f>IF(D325&lt;&gt;"",IF(COUNTIF('USPTO TMs'!A:A,D325)&gt;0,"Yes","No"),"")</f>
        <v/>
      </c>
      <c r="C325" s="11"/>
      <c r="D325" s="11"/>
      <c r="E325" s="11"/>
      <c r="F325" s="11"/>
      <c r="G325" s="11"/>
      <c r="H325" s="11"/>
      <c r="I325" s="15"/>
    </row>
    <row r="326" spans="1:9" ht="16.5">
      <c r="A326" s="10" t="b">
        <v>0</v>
      </c>
      <c r="B326" s="11" t="str">
        <f>IF(D326&lt;&gt;"",IF(COUNTIF('USPTO TMs'!A:A,D326)&gt;0,"Yes","No"),"")</f>
        <v/>
      </c>
      <c r="C326" s="11"/>
      <c r="D326" s="11"/>
      <c r="E326" s="11"/>
      <c r="F326" s="11"/>
      <c r="G326" s="11"/>
      <c r="H326" s="11"/>
      <c r="I326" s="15"/>
    </row>
    <row r="327" spans="1:9" ht="16.5">
      <c r="A327" s="10" t="b">
        <v>0</v>
      </c>
      <c r="B327" s="11" t="str">
        <f>IF(D327&lt;&gt;"",IF(COUNTIF('USPTO TMs'!A:A,D327)&gt;0,"Yes","No"),"")</f>
        <v/>
      </c>
      <c r="C327" s="11"/>
      <c r="D327" s="11"/>
      <c r="E327" s="11"/>
      <c r="F327" s="11"/>
      <c r="G327" s="11"/>
      <c r="H327" s="11"/>
      <c r="I327" s="15"/>
    </row>
    <row r="328" spans="1:9" ht="16.5">
      <c r="A328" s="10" t="b">
        <v>0</v>
      </c>
      <c r="B328" s="11" t="str">
        <f>IF(D328&lt;&gt;"",IF(COUNTIF('USPTO TMs'!A:A,D328)&gt;0,"Yes","No"),"")</f>
        <v/>
      </c>
      <c r="C328" s="11"/>
      <c r="D328" s="11"/>
      <c r="E328" s="11"/>
      <c r="F328" s="11"/>
      <c r="G328" s="11"/>
      <c r="H328" s="11"/>
      <c r="I328" s="15"/>
    </row>
    <row r="329" spans="1:9" ht="16.5">
      <c r="A329" s="10" t="b">
        <v>0</v>
      </c>
      <c r="B329" s="11" t="str">
        <f>IF(D329&lt;&gt;"",IF(COUNTIF('USPTO TMs'!A:A,D329)&gt;0,"Yes","No"),"")</f>
        <v/>
      </c>
      <c r="C329" s="11"/>
      <c r="D329" s="11"/>
      <c r="E329" s="11"/>
      <c r="F329" s="11"/>
      <c r="G329" s="11"/>
      <c r="H329" s="11"/>
      <c r="I329" s="15"/>
    </row>
    <row r="330" spans="1:9" ht="16.5">
      <c r="A330" s="10" t="b">
        <v>0</v>
      </c>
      <c r="B330" s="11" t="str">
        <f>IF(D330&lt;&gt;"",IF(COUNTIF('USPTO TMs'!A:A,D330)&gt;0,"Yes","No"),"")</f>
        <v/>
      </c>
      <c r="C330" s="11"/>
      <c r="D330" s="11"/>
      <c r="E330" s="11"/>
      <c r="F330" s="11"/>
      <c r="G330" s="11"/>
      <c r="H330" s="11"/>
      <c r="I330" s="15"/>
    </row>
    <row r="331" spans="1:9" ht="16.5">
      <c r="A331" s="10" t="b">
        <v>0</v>
      </c>
      <c r="B331" s="11" t="str">
        <f>IF(D331&lt;&gt;"",IF(COUNTIF('USPTO TMs'!A:A,D331)&gt;0,"Yes","No"),"")</f>
        <v/>
      </c>
      <c r="C331" s="11"/>
      <c r="D331" s="11"/>
      <c r="E331" s="11"/>
      <c r="F331" s="11"/>
      <c r="G331" s="11"/>
      <c r="H331" s="11"/>
      <c r="I331" s="15"/>
    </row>
    <row r="332" spans="1:9" ht="16.5">
      <c r="A332" s="10" t="b">
        <v>0</v>
      </c>
      <c r="B332" s="11" t="str">
        <f>IF(D332&lt;&gt;"",IF(COUNTIF('USPTO TMs'!A:A,D332)&gt;0,"Yes","No"),"")</f>
        <v/>
      </c>
      <c r="C332" s="11"/>
      <c r="D332" s="11"/>
      <c r="E332" s="11"/>
      <c r="F332" s="11"/>
      <c r="G332" s="11"/>
      <c r="H332" s="11"/>
      <c r="I332" s="15"/>
    </row>
    <row r="333" spans="1:9" ht="16.5">
      <c r="A333" s="10" t="b">
        <v>0</v>
      </c>
      <c r="B333" s="11" t="str">
        <f>IF(D333&lt;&gt;"",IF(COUNTIF('USPTO TMs'!A:A,D333)&gt;0,"Yes","No"),"")</f>
        <v/>
      </c>
      <c r="C333" s="11"/>
      <c r="D333" s="11"/>
      <c r="E333" s="11"/>
      <c r="F333" s="11"/>
      <c r="G333" s="11"/>
      <c r="H333" s="11"/>
      <c r="I333" s="15"/>
    </row>
    <row r="334" spans="1:9" ht="16.5">
      <c r="A334" s="10" t="b">
        <v>0</v>
      </c>
      <c r="B334" s="11" t="str">
        <f>IF(D334&lt;&gt;"",IF(COUNTIF('USPTO TMs'!A:A,D334)&gt;0,"Yes","No"),"")</f>
        <v/>
      </c>
      <c r="C334" s="11"/>
      <c r="D334" s="11"/>
      <c r="E334" s="11"/>
      <c r="F334" s="11"/>
      <c r="G334" s="11"/>
      <c r="H334" s="11"/>
      <c r="I334" s="15"/>
    </row>
    <row r="335" spans="1:9" ht="16.5">
      <c r="A335" s="10" t="b">
        <v>0</v>
      </c>
      <c r="B335" s="11" t="str">
        <f>IF(D335&lt;&gt;"",IF(COUNTIF('USPTO TMs'!A:A,D335)&gt;0,"Yes","No"),"")</f>
        <v/>
      </c>
      <c r="C335" s="11"/>
      <c r="D335" s="11"/>
      <c r="E335" s="11"/>
      <c r="F335" s="11"/>
      <c r="G335" s="11"/>
      <c r="H335" s="11"/>
      <c r="I335" s="15"/>
    </row>
    <row r="336" spans="1:9" ht="16.5">
      <c r="A336" s="10" t="b">
        <v>0</v>
      </c>
      <c r="B336" s="11" t="str">
        <f>IF(D336&lt;&gt;"",IF(COUNTIF('USPTO TMs'!A:A,D336)&gt;0,"Yes","No"),"")</f>
        <v/>
      </c>
      <c r="C336" s="11"/>
      <c r="D336" s="11"/>
      <c r="E336" s="11"/>
      <c r="F336" s="11"/>
      <c r="G336" s="11"/>
      <c r="H336" s="11"/>
      <c r="I336" s="15"/>
    </row>
    <row r="337" spans="1:9" ht="16.5">
      <c r="A337" s="10" t="b">
        <v>0</v>
      </c>
      <c r="B337" s="11" t="str">
        <f>IF(D337&lt;&gt;"",IF(COUNTIF('USPTO TMs'!A:A,D337)&gt;0,"Yes","No"),"")</f>
        <v/>
      </c>
      <c r="C337" s="11"/>
      <c r="D337" s="11"/>
      <c r="E337" s="11"/>
      <c r="F337" s="11"/>
      <c r="G337" s="11"/>
      <c r="H337" s="11"/>
      <c r="I337" s="15"/>
    </row>
    <row r="338" spans="1:9" ht="16.5">
      <c r="A338" s="10" t="b">
        <v>0</v>
      </c>
      <c r="B338" s="11" t="str">
        <f>IF(D338&lt;&gt;"",IF(COUNTIF('USPTO TMs'!A:A,D338)&gt;0,"Yes","No"),"")</f>
        <v/>
      </c>
      <c r="C338" s="11"/>
      <c r="D338" s="11"/>
      <c r="E338" s="11"/>
      <c r="F338" s="11"/>
      <c r="G338" s="11"/>
      <c r="H338" s="11"/>
      <c r="I338" s="15"/>
    </row>
    <row r="339" spans="1:9" ht="16.5">
      <c r="A339" s="10" t="b">
        <v>0</v>
      </c>
      <c r="B339" s="11" t="str">
        <f>IF(D339&lt;&gt;"",IF(COUNTIF('USPTO TMs'!A:A,D339)&gt;0,"Yes","No"),"")</f>
        <v/>
      </c>
      <c r="C339" s="11"/>
      <c r="D339" s="11"/>
      <c r="E339" s="11"/>
      <c r="F339" s="11"/>
      <c r="G339" s="11"/>
      <c r="H339" s="11"/>
      <c r="I339" s="15"/>
    </row>
    <row r="340" spans="1:9" ht="16.5">
      <c r="A340" s="10" t="b">
        <v>0</v>
      </c>
      <c r="B340" s="11" t="str">
        <f>IF(D340&lt;&gt;"",IF(COUNTIF('USPTO TMs'!A:A,D340)&gt;0,"Yes","No"),"")</f>
        <v/>
      </c>
      <c r="C340" s="11"/>
      <c r="D340" s="11"/>
      <c r="E340" s="11"/>
      <c r="F340" s="11"/>
      <c r="G340" s="11"/>
      <c r="H340" s="11"/>
      <c r="I340" s="15"/>
    </row>
    <row r="341" spans="1:9" ht="16.5">
      <c r="A341" s="10" t="b">
        <v>0</v>
      </c>
      <c r="B341" s="11" t="str">
        <f>IF(D341&lt;&gt;"",IF(COUNTIF('USPTO TMs'!A:A,D341)&gt;0,"Yes","No"),"")</f>
        <v/>
      </c>
      <c r="C341" s="11"/>
      <c r="D341" s="11"/>
      <c r="E341" s="11"/>
      <c r="F341" s="11"/>
      <c r="G341" s="11"/>
      <c r="H341" s="11"/>
      <c r="I341" s="15"/>
    </row>
    <row r="342" spans="1:9" ht="16.5">
      <c r="A342" s="10" t="b">
        <v>0</v>
      </c>
      <c r="B342" s="11" t="str">
        <f>IF(D342&lt;&gt;"",IF(COUNTIF('USPTO TMs'!A:A,D342)&gt;0,"Yes","No"),"")</f>
        <v/>
      </c>
      <c r="C342" s="11"/>
      <c r="D342" s="11"/>
      <c r="E342" s="11"/>
      <c r="F342" s="11"/>
      <c r="G342" s="11"/>
      <c r="H342" s="11"/>
      <c r="I342" s="15"/>
    </row>
    <row r="343" spans="1:9" ht="16.5">
      <c r="A343" s="10" t="b">
        <v>0</v>
      </c>
      <c r="B343" s="11" t="str">
        <f>IF(D343&lt;&gt;"",IF(COUNTIF('USPTO TMs'!A:A,D343)&gt;0,"Yes","No"),"")</f>
        <v/>
      </c>
      <c r="C343" s="11"/>
      <c r="D343" s="11"/>
      <c r="E343" s="11"/>
      <c r="F343" s="11"/>
      <c r="G343" s="11"/>
      <c r="H343" s="11"/>
      <c r="I343" s="15"/>
    </row>
    <row r="344" spans="1:9" ht="16.5">
      <c r="A344" s="10" t="b">
        <v>0</v>
      </c>
      <c r="B344" s="11" t="str">
        <f>IF(D344&lt;&gt;"",IF(COUNTIF('USPTO TMs'!A:A,D344)&gt;0,"Yes","No"),"")</f>
        <v/>
      </c>
      <c r="C344" s="11"/>
      <c r="D344" s="11"/>
      <c r="E344" s="11"/>
      <c r="F344" s="11"/>
      <c r="G344" s="11"/>
      <c r="H344" s="11"/>
      <c r="I344" s="15"/>
    </row>
    <row r="345" spans="1:9" ht="16.5">
      <c r="A345" s="10" t="b">
        <v>0</v>
      </c>
      <c r="B345" s="11" t="str">
        <f>IF(D345&lt;&gt;"",IF(COUNTIF('USPTO TMs'!A:A,D345)&gt;0,"Yes","No"),"")</f>
        <v/>
      </c>
      <c r="C345" s="11"/>
      <c r="D345" s="11"/>
      <c r="E345" s="11"/>
      <c r="F345" s="11"/>
      <c r="G345" s="11"/>
      <c r="H345" s="11"/>
      <c r="I345" s="15"/>
    </row>
    <row r="346" spans="1:9" ht="16.5">
      <c r="A346" s="10" t="b">
        <v>0</v>
      </c>
      <c r="B346" s="11" t="str">
        <f>IF(D346&lt;&gt;"",IF(COUNTIF('USPTO TMs'!A:A,D346)&gt;0,"Yes","No"),"")</f>
        <v/>
      </c>
      <c r="C346" s="11"/>
      <c r="D346" s="11"/>
      <c r="E346" s="11"/>
      <c r="F346" s="11"/>
      <c r="G346" s="11"/>
      <c r="H346" s="11"/>
      <c r="I346" s="15"/>
    </row>
    <row r="347" spans="1:9" ht="16.5">
      <c r="A347" s="10" t="b">
        <v>0</v>
      </c>
      <c r="B347" s="11" t="str">
        <f>IF(D347&lt;&gt;"",IF(COUNTIF('USPTO TMs'!A:A,D347)&gt;0,"Yes","No"),"")</f>
        <v/>
      </c>
      <c r="C347" s="11"/>
      <c r="D347" s="11"/>
      <c r="E347" s="11"/>
      <c r="F347" s="11"/>
      <c r="G347" s="11"/>
      <c r="H347" s="11"/>
      <c r="I347" s="15"/>
    </row>
    <row r="348" spans="1:9" ht="16.5">
      <c r="A348" s="10" t="b">
        <v>0</v>
      </c>
      <c r="B348" s="11" t="str">
        <f>IF(D348&lt;&gt;"",IF(COUNTIF('USPTO TMs'!A:A,D348)&gt;0,"Yes","No"),"")</f>
        <v/>
      </c>
      <c r="C348" s="11"/>
      <c r="D348" s="11"/>
      <c r="E348" s="11"/>
      <c r="F348" s="11"/>
      <c r="G348" s="11"/>
      <c r="H348" s="11"/>
      <c r="I348" s="15"/>
    </row>
    <row r="349" spans="1:9" ht="16.5">
      <c r="A349" s="10" t="b">
        <v>0</v>
      </c>
      <c r="B349" s="11" t="str">
        <f>IF(D349&lt;&gt;"",IF(COUNTIF('USPTO TMs'!A:A,D349)&gt;0,"Yes","No"),"")</f>
        <v/>
      </c>
      <c r="C349" s="11"/>
      <c r="D349" s="11"/>
      <c r="E349" s="11"/>
      <c r="F349" s="11"/>
      <c r="G349" s="11"/>
      <c r="H349" s="11"/>
      <c r="I349" s="15"/>
    </row>
    <row r="350" spans="1:9" ht="16.5">
      <c r="A350" s="10" t="b">
        <v>0</v>
      </c>
      <c r="B350" s="11" t="str">
        <f>IF(D350&lt;&gt;"",IF(COUNTIF('USPTO TMs'!A:A,D350)&gt;0,"Yes","No"),"")</f>
        <v/>
      </c>
      <c r="C350" s="11"/>
      <c r="D350" s="11"/>
      <c r="E350" s="11"/>
      <c r="F350" s="11"/>
      <c r="G350" s="11"/>
      <c r="H350" s="11"/>
      <c r="I350" s="15"/>
    </row>
    <row r="351" spans="1:9" ht="16.5">
      <c r="A351" s="10" t="b">
        <v>0</v>
      </c>
      <c r="B351" s="11" t="str">
        <f>IF(D351&lt;&gt;"",IF(COUNTIF('USPTO TMs'!A:A,D351)&gt;0,"Yes","No"),"")</f>
        <v/>
      </c>
      <c r="C351" s="11"/>
      <c r="D351" s="11"/>
      <c r="E351" s="11"/>
      <c r="F351" s="11"/>
      <c r="G351" s="11"/>
      <c r="H351" s="11"/>
      <c r="I351" s="15"/>
    </row>
    <row r="352" spans="1:9" ht="16.5">
      <c r="A352" s="10" t="b">
        <v>0</v>
      </c>
      <c r="B352" s="11" t="str">
        <f>IF(D352&lt;&gt;"",IF(COUNTIF('USPTO TMs'!A:A,D352)&gt;0,"Yes","No"),"")</f>
        <v/>
      </c>
      <c r="C352" s="11"/>
      <c r="D352" s="11"/>
      <c r="E352" s="11"/>
      <c r="F352" s="11"/>
      <c r="G352" s="11"/>
      <c r="H352" s="11"/>
      <c r="I352" s="15"/>
    </row>
    <row r="353" spans="1:9" ht="16.5">
      <c r="A353" s="10" t="b">
        <v>0</v>
      </c>
      <c r="B353" s="11" t="str">
        <f>IF(D353&lt;&gt;"",IF(COUNTIF('USPTO TMs'!A:A,D353)&gt;0,"Yes","No"),"")</f>
        <v/>
      </c>
      <c r="C353" s="11"/>
      <c r="D353" s="11"/>
      <c r="E353" s="11"/>
      <c r="F353" s="11"/>
      <c r="G353" s="11"/>
      <c r="H353" s="11"/>
      <c r="I353" s="15"/>
    </row>
    <row r="354" spans="1:9" ht="16.5">
      <c r="A354" s="10" t="b">
        <v>0</v>
      </c>
      <c r="B354" s="11" t="str">
        <f>IF(D354&lt;&gt;"",IF(COUNTIF('USPTO TMs'!A:A,D354)&gt;0,"Yes","No"),"")</f>
        <v/>
      </c>
      <c r="C354" s="11"/>
      <c r="D354" s="11"/>
      <c r="E354" s="11"/>
      <c r="F354" s="11"/>
      <c r="G354" s="11"/>
      <c r="H354" s="11"/>
      <c r="I354" s="15"/>
    </row>
    <row r="355" spans="1:9" ht="16.5">
      <c r="A355" s="10" t="b">
        <v>0</v>
      </c>
      <c r="B355" s="11" t="str">
        <f>IF(D355&lt;&gt;"",IF(COUNTIF('USPTO TMs'!A:A,D355)&gt;0,"Yes","No"),"")</f>
        <v/>
      </c>
      <c r="C355" s="11"/>
      <c r="D355" s="11"/>
      <c r="E355" s="11"/>
      <c r="F355" s="11"/>
      <c r="G355" s="11"/>
      <c r="H355" s="11"/>
      <c r="I355" s="15"/>
    </row>
    <row r="356" spans="1:9" ht="16.5">
      <c r="A356" s="10" t="b">
        <v>0</v>
      </c>
      <c r="B356" s="11" t="str">
        <f>IF(D356&lt;&gt;"",IF(COUNTIF('USPTO TMs'!A:A,D356)&gt;0,"Yes","No"),"")</f>
        <v/>
      </c>
      <c r="C356" s="11"/>
      <c r="D356" s="11"/>
      <c r="E356" s="11"/>
      <c r="F356" s="11"/>
      <c r="G356" s="11"/>
      <c r="H356" s="11"/>
      <c r="I356" s="15"/>
    </row>
    <row r="357" spans="1:9" ht="16.5">
      <c r="A357" s="10" t="b">
        <v>0</v>
      </c>
      <c r="B357" s="11" t="str">
        <f>IF(D357&lt;&gt;"",IF(COUNTIF('USPTO TMs'!A:A,D357)&gt;0,"Yes","No"),"")</f>
        <v/>
      </c>
      <c r="C357" s="11"/>
      <c r="D357" s="11"/>
      <c r="E357" s="11"/>
      <c r="F357" s="11"/>
      <c r="G357" s="11"/>
      <c r="H357" s="11"/>
      <c r="I357" s="15"/>
    </row>
    <row r="358" spans="1:9" ht="16.5">
      <c r="A358" s="10" t="b">
        <v>0</v>
      </c>
      <c r="B358" s="11" t="str">
        <f>IF(D358&lt;&gt;"",IF(COUNTIF('USPTO TMs'!A:A,D358)&gt;0,"Yes","No"),"")</f>
        <v/>
      </c>
      <c r="C358" s="11"/>
      <c r="D358" s="11"/>
      <c r="E358" s="11"/>
      <c r="F358" s="11"/>
      <c r="G358" s="11"/>
      <c r="H358" s="11"/>
      <c r="I358" s="15"/>
    </row>
    <row r="359" spans="1:9" ht="16.5">
      <c r="A359" s="10" t="b">
        <v>0</v>
      </c>
      <c r="B359" s="11" t="str">
        <f>IF(D359&lt;&gt;"",IF(COUNTIF('USPTO TMs'!A:A,D359)&gt;0,"Yes","No"),"")</f>
        <v/>
      </c>
      <c r="C359" s="11"/>
      <c r="D359" s="11"/>
      <c r="E359" s="11"/>
      <c r="F359" s="11"/>
      <c r="G359" s="11"/>
      <c r="H359" s="11"/>
      <c r="I359" s="15"/>
    </row>
    <row r="360" spans="1:9" ht="16.5">
      <c r="A360" s="10" t="b">
        <v>0</v>
      </c>
      <c r="B360" s="11" t="str">
        <f>IF(D360&lt;&gt;"",IF(COUNTIF('USPTO TMs'!A:A,D360)&gt;0,"Yes","No"),"")</f>
        <v/>
      </c>
      <c r="C360" s="11"/>
      <c r="D360" s="11"/>
      <c r="E360" s="11"/>
      <c r="F360" s="11"/>
      <c r="G360" s="11"/>
      <c r="H360" s="11"/>
      <c r="I360" s="15"/>
    </row>
    <row r="361" spans="1:9" ht="16.5">
      <c r="A361" s="10" t="b">
        <v>0</v>
      </c>
      <c r="B361" s="11" t="str">
        <f>IF(D361&lt;&gt;"",IF(COUNTIF('USPTO TMs'!A:A,D361)&gt;0,"Yes","No"),"")</f>
        <v/>
      </c>
      <c r="C361" s="11"/>
      <c r="D361" s="11"/>
      <c r="E361" s="11"/>
      <c r="F361" s="11"/>
      <c r="G361" s="11"/>
      <c r="H361" s="11"/>
      <c r="I361" s="15"/>
    </row>
    <row r="362" spans="1:9" ht="16.5">
      <c r="A362" s="10" t="b">
        <v>0</v>
      </c>
      <c r="B362" s="11" t="str">
        <f>IF(D362&lt;&gt;"",IF(COUNTIF('USPTO TMs'!A:A,D362)&gt;0,"Yes","No"),"")</f>
        <v/>
      </c>
      <c r="C362" s="11"/>
      <c r="D362" s="11"/>
      <c r="E362" s="11"/>
      <c r="F362" s="11"/>
      <c r="G362" s="11"/>
      <c r="H362" s="11"/>
      <c r="I362" s="15"/>
    </row>
    <row r="363" spans="1:9" ht="16.5">
      <c r="A363" s="10" t="b">
        <v>0</v>
      </c>
      <c r="B363" s="11" t="str">
        <f>IF(D363&lt;&gt;"",IF(COUNTIF('USPTO TMs'!A:A,D363)&gt;0,"Yes","No"),"")</f>
        <v/>
      </c>
      <c r="C363" s="11"/>
      <c r="D363" s="11"/>
      <c r="E363" s="11"/>
      <c r="F363" s="11"/>
      <c r="G363" s="11"/>
      <c r="H363" s="11"/>
      <c r="I363" s="15"/>
    </row>
    <row r="364" spans="1:9" ht="16.5">
      <c r="A364" s="10" t="b">
        <v>0</v>
      </c>
      <c r="B364" s="11" t="str">
        <f>IF(D364&lt;&gt;"",IF(COUNTIF('USPTO TMs'!A:A,D364)&gt;0,"Yes","No"),"")</f>
        <v/>
      </c>
      <c r="C364" s="11"/>
      <c r="D364" s="11"/>
      <c r="E364" s="11"/>
      <c r="F364" s="11"/>
      <c r="G364" s="11"/>
      <c r="H364" s="11"/>
      <c r="I364" s="15"/>
    </row>
    <row r="365" spans="1:9" ht="16.5">
      <c r="A365" s="10" t="b">
        <v>0</v>
      </c>
      <c r="B365" s="11" t="str">
        <f>IF(D365&lt;&gt;"",IF(COUNTIF('USPTO TMs'!A:A,D365)&gt;0,"Yes","No"),"")</f>
        <v/>
      </c>
      <c r="C365" s="11"/>
      <c r="D365" s="11"/>
      <c r="E365" s="11"/>
      <c r="F365" s="11"/>
      <c r="G365" s="11"/>
      <c r="H365" s="11"/>
      <c r="I365" s="15"/>
    </row>
    <row r="366" spans="1:9" ht="16.5">
      <c r="A366" s="10" t="b">
        <v>0</v>
      </c>
      <c r="B366" s="11" t="str">
        <f>IF(D366&lt;&gt;"",IF(COUNTIF('USPTO TMs'!A:A,D366)&gt;0,"Yes","No"),"")</f>
        <v/>
      </c>
      <c r="C366" s="11"/>
      <c r="D366" s="11"/>
      <c r="E366" s="11"/>
      <c r="F366" s="11"/>
      <c r="G366" s="11"/>
      <c r="H366" s="11"/>
      <c r="I366" s="15"/>
    </row>
    <row r="367" spans="1:9" ht="16.5">
      <c r="A367" s="10" t="b">
        <v>0</v>
      </c>
      <c r="B367" s="11" t="str">
        <f>IF(D367&lt;&gt;"",IF(COUNTIF('USPTO TMs'!A:A,D367)&gt;0,"Yes","No"),"")</f>
        <v/>
      </c>
      <c r="C367" s="11"/>
      <c r="D367" s="11"/>
      <c r="E367" s="11"/>
      <c r="F367" s="11"/>
      <c r="G367" s="11"/>
      <c r="H367" s="11"/>
      <c r="I367" s="15"/>
    </row>
    <row r="368" spans="1:9" ht="16.5">
      <c r="A368" s="10" t="b">
        <v>0</v>
      </c>
      <c r="B368" s="11" t="str">
        <f>IF(D368&lt;&gt;"",IF(COUNTIF('USPTO TMs'!A:A,D368)&gt;0,"Yes","No"),"")</f>
        <v/>
      </c>
      <c r="C368" s="11"/>
      <c r="D368" s="11"/>
      <c r="E368" s="11"/>
      <c r="F368" s="11"/>
      <c r="G368" s="11"/>
      <c r="H368" s="11"/>
      <c r="I368" s="15"/>
    </row>
    <row r="369" spans="1:9" ht="16.5">
      <c r="A369" s="10" t="b">
        <v>0</v>
      </c>
      <c r="B369" s="11" t="str">
        <f>IF(D369&lt;&gt;"",IF(COUNTIF('USPTO TMs'!A:A,D369)&gt;0,"Yes","No"),"")</f>
        <v/>
      </c>
      <c r="C369" s="11"/>
      <c r="D369" s="11"/>
      <c r="E369" s="11"/>
      <c r="F369" s="11"/>
      <c r="G369" s="11"/>
      <c r="H369" s="11"/>
      <c r="I369" s="15"/>
    </row>
    <row r="370" spans="1:9" ht="16.5">
      <c r="A370" s="10" t="b">
        <v>0</v>
      </c>
      <c r="B370" s="11" t="str">
        <f>IF(D370&lt;&gt;"",IF(COUNTIF('USPTO TMs'!A:A,D370)&gt;0,"Yes","No"),"")</f>
        <v/>
      </c>
      <c r="C370" s="11"/>
      <c r="D370" s="11"/>
      <c r="E370" s="11"/>
      <c r="F370" s="11"/>
      <c r="G370" s="11"/>
      <c r="H370" s="11"/>
      <c r="I370" s="15"/>
    </row>
    <row r="371" spans="1:9" ht="16.5">
      <c r="A371" s="10" t="b">
        <v>0</v>
      </c>
      <c r="B371" s="11" t="str">
        <f>IF(D371&lt;&gt;"",IF(COUNTIF('USPTO TMs'!A:A,D371)&gt;0,"Yes","No"),"")</f>
        <v/>
      </c>
      <c r="C371" s="11"/>
      <c r="D371" s="11"/>
      <c r="E371" s="11"/>
      <c r="F371" s="11"/>
      <c r="G371" s="11"/>
      <c r="H371" s="11"/>
      <c r="I371" s="15"/>
    </row>
    <row r="372" spans="1:9" ht="16.5">
      <c r="A372" s="10" t="b">
        <v>0</v>
      </c>
      <c r="B372" s="11" t="str">
        <f>IF(D372&lt;&gt;"",IF(COUNTIF('USPTO TMs'!A:A,D372)&gt;0,"Yes","No"),"")</f>
        <v/>
      </c>
      <c r="C372" s="11"/>
      <c r="D372" s="11"/>
      <c r="E372" s="11"/>
      <c r="F372" s="11"/>
      <c r="G372" s="11"/>
      <c r="H372" s="11"/>
      <c r="I372" s="15"/>
    </row>
    <row r="373" spans="1:9" ht="16.5">
      <c r="A373" s="10" t="b">
        <v>0</v>
      </c>
      <c r="B373" s="11" t="str">
        <f>IF(D373&lt;&gt;"",IF(COUNTIF('USPTO TMs'!A:A,D373)&gt;0,"Yes","No"),"")</f>
        <v/>
      </c>
      <c r="C373" s="11"/>
      <c r="D373" s="11"/>
      <c r="E373" s="11"/>
      <c r="F373" s="11"/>
      <c r="G373" s="11"/>
      <c r="H373" s="11"/>
      <c r="I373" s="15"/>
    </row>
    <row r="374" spans="1:9" ht="16.5">
      <c r="A374" s="10" t="b">
        <v>0</v>
      </c>
      <c r="B374" s="11" t="str">
        <f>IF(D374&lt;&gt;"",IF(COUNTIF('USPTO TMs'!A:A,D374)&gt;0,"Yes","No"),"")</f>
        <v/>
      </c>
      <c r="C374" s="11"/>
      <c r="D374" s="11"/>
      <c r="E374" s="11"/>
      <c r="F374" s="11"/>
      <c r="G374" s="11"/>
      <c r="H374" s="11"/>
      <c r="I374" s="15"/>
    </row>
    <row r="375" spans="1:9" ht="16.5">
      <c r="A375" s="10" t="b">
        <v>0</v>
      </c>
      <c r="B375" s="11" t="str">
        <f>IF(D375&lt;&gt;"",IF(COUNTIF('USPTO TMs'!A:A,D375)&gt;0,"Yes","No"),"")</f>
        <v/>
      </c>
      <c r="C375" s="11"/>
      <c r="D375" s="11"/>
      <c r="E375" s="11"/>
      <c r="F375" s="11"/>
      <c r="G375" s="11"/>
      <c r="H375" s="11"/>
      <c r="I375" s="15"/>
    </row>
    <row r="376" spans="1:9" ht="16.5">
      <c r="A376" s="10" t="b">
        <v>0</v>
      </c>
      <c r="B376" s="11" t="str">
        <f>IF(D376&lt;&gt;"",IF(COUNTIF('USPTO TMs'!A:A,D376)&gt;0,"Yes","No"),"")</f>
        <v/>
      </c>
      <c r="C376" s="11"/>
      <c r="D376" s="11"/>
      <c r="E376" s="11"/>
      <c r="F376" s="11"/>
      <c r="G376" s="11"/>
      <c r="H376" s="11"/>
      <c r="I376" s="15"/>
    </row>
    <row r="377" spans="1:9" ht="16.5">
      <c r="A377" s="10" t="b">
        <v>0</v>
      </c>
      <c r="B377" s="11" t="str">
        <f>IF(D377&lt;&gt;"",IF(COUNTIF('USPTO TMs'!A:A,D377)&gt;0,"Yes","No"),"")</f>
        <v/>
      </c>
      <c r="C377" s="11"/>
      <c r="D377" s="11"/>
      <c r="E377" s="11"/>
      <c r="F377" s="11"/>
      <c r="G377" s="11"/>
      <c r="H377" s="11"/>
      <c r="I377" s="15"/>
    </row>
    <row r="378" spans="1:9" ht="16.5">
      <c r="A378" s="10" t="b">
        <v>0</v>
      </c>
      <c r="B378" s="11" t="str">
        <f>IF(D378&lt;&gt;"",IF(COUNTIF('USPTO TMs'!A:A,D378)&gt;0,"Yes","No"),"")</f>
        <v/>
      </c>
      <c r="C378" s="11"/>
      <c r="D378" s="11"/>
      <c r="E378" s="11"/>
      <c r="F378" s="11"/>
      <c r="G378" s="11"/>
      <c r="H378" s="11"/>
      <c r="I378" s="15"/>
    </row>
    <row r="379" spans="1:9" ht="16.5">
      <c r="A379" s="10" t="b">
        <v>0</v>
      </c>
      <c r="B379" s="11" t="str">
        <f>IF(D379&lt;&gt;"",IF(COUNTIF('USPTO TMs'!A:A,D379)&gt;0,"Yes","No"),"")</f>
        <v/>
      </c>
      <c r="C379" s="11"/>
      <c r="D379" s="11"/>
      <c r="E379" s="11"/>
      <c r="F379" s="11"/>
      <c r="G379" s="11"/>
      <c r="H379" s="11"/>
      <c r="I379" s="15"/>
    </row>
    <row r="380" spans="1:9" ht="16.5">
      <c r="A380" s="10" t="b">
        <v>0</v>
      </c>
      <c r="B380" s="11" t="str">
        <f>IF(D380&lt;&gt;"",IF(COUNTIF('USPTO TMs'!A:A,D380)&gt;0,"Yes","No"),"")</f>
        <v/>
      </c>
      <c r="C380" s="11"/>
      <c r="D380" s="11"/>
      <c r="E380" s="11"/>
      <c r="F380" s="11"/>
      <c r="G380" s="11"/>
      <c r="H380" s="11"/>
      <c r="I380" s="15"/>
    </row>
    <row r="381" spans="1:9" ht="16.5">
      <c r="A381" s="10" t="b">
        <v>0</v>
      </c>
      <c r="B381" s="11" t="str">
        <f>IF(D381&lt;&gt;"",IF(COUNTIF('USPTO TMs'!A:A,D381)&gt;0,"Yes","No"),"")</f>
        <v/>
      </c>
      <c r="C381" s="11"/>
      <c r="D381" s="11"/>
      <c r="E381" s="11"/>
      <c r="F381" s="11"/>
      <c r="G381" s="11"/>
      <c r="H381" s="11"/>
      <c r="I381" s="15"/>
    </row>
    <row r="382" spans="1:9" ht="16.5">
      <c r="A382" s="10" t="b">
        <v>0</v>
      </c>
      <c r="B382" s="11" t="str">
        <f>IF(D382&lt;&gt;"",IF(COUNTIF('USPTO TMs'!A:A,D382)&gt;0,"Yes","No"),"")</f>
        <v/>
      </c>
      <c r="C382" s="11"/>
      <c r="D382" s="11"/>
      <c r="E382" s="11"/>
      <c r="F382" s="11"/>
      <c r="G382" s="11"/>
      <c r="H382" s="11"/>
      <c r="I382" s="15"/>
    </row>
    <row r="383" spans="1:9" ht="16.5">
      <c r="A383" s="10" t="b">
        <v>0</v>
      </c>
      <c r="B383" s="11" t="str">
        <f>IF(D383&lt;&gt;"",IF(COUNTIF('USPTO TMs'!A:A,D383)&gt;0,"Yes","No"),"")</f>
        <v/>
      </c>
      <c r="C383" s="11"/>
      <c r="D383" s="11"/>
      <c r="E383" s="11"/>
      <c r="F383" s="11"/>
      <c r="G383" s="11"/>
      <c r="H383" s="11"/>
      <c r="I383" s="15"/>
    </row>
    <row r="384" spans="1:9" ht="16.5">
      <c r="A384" s="10" t="b">
        <v>0</v>
      </c>
      <c r="B384" s="11" t="str">
        <f>IF(D384&lt;&gt;"",IF(COUNTIF('USPTO TMs'!A:A,D384)&gt;0,"Yes","No"),"")</f>
        <v/>
      </c>
      <c r="C384" s="11"/>
      <c r="D384" s="11"/>
      <c r="E384" s="11"/>
      <c r="F384" s="11"/>
      <c r="G384" s="11"/>
      <c r="H384" s="11"/>
      <c r="I384" s="15"/>
    </row>
    <row r="385" spans="1:9" ht="16.5">
      <c r="A385" s="10" t="b">
        <v>0</v>
      </c>
      <c r="B385" s="11" t="str">
        <f>IF(D385&lt;&gt;"",IF(COUNTIF('USPTO TMs'!A:A,D385)&gt;0,"Yes","No"),"")</f>
        <v/>
      </c>
      <c r="C385" s="11"/>
      <c r="D385" s="11"/>
      <c r="E385" s="11"/>
      <c r="F385" s="11"/>
      <c r="G385" s="11"/>
      <c r="H385" s="11"/>
      <c r="I385" s="15"/>
    </row>
    <row r="386" spans="1:9" ht="16.5">
      <c r="A386" s="10" t="b">
        <v>0</v>
      </c>
      <c r="B386" s="11" t="str">
        <f>IF(D386&lt;&gt;"",IF(COUNTIF('USPTO TMs'!A:A,D386)&gt;0,"Yes","No"),"")</f>
        <v/>
      </c>
      <c r="C386" s="11"/>
      <c r="D386" s="11"/>
      <c r="E386" s="11"/>
      <c r="F386" s="11"/>
      <c r="G386" s="11"/>
      <c r="H386" s="11"/>
      <c r="I386" s="15"/>
    </row>
    <row r="387" spans="1:9" ht="16.5">
      <c r="A387" s="10" t="b">
        <v>0</v>
      </c>
      <c r="B387" s="11" t="str">
        <f>IF(D387&lt;&gt;"",IF(COUNTIF('USPTO TMs'!A:A,D387)&gt;0,"Yes","No"),"")</f>
        <v/>
      </c>
      <c r="C387" s="11"/>
      <c r="D387" s="11"/>
      <c r="E387" s="11"/>
      <c r="F387" s="11"/>
      <c r="G387" s="11"/>
      <c r="H387" s="11"/>
      <c r="I387" s="15"/>
    </row>
    <row r="388" spans="1:9" ht="16.5">
      <c r="A388" s="10" t="b">
        <v>0</v>
      </c>
      <c r="B388" s="11" t="str">
        <f>IF(D388&lt;&gt;"",IF(COUNTIF('USPTO TMs'!A:A,D388)&gt;0,"Yes","No"),"")</f>
        <v/>
      </c>
      <c r="C388" s="11"/>
      <c r="D388" s="11"/>
      <c r="E388" s="11"/>
      <c r="F388" s="11"/>
      <c r="G388" s="11"/>
      <c r="H388" s="11"/>
      <c r="I388" s="15"/>
    </row>
    <row r="389" spans="1:9" ht="16.5">
      <c r="A389" s="10" t="b">
        <v>0</v>
      </c>
      <c r="B389" s="11" t="str">
        <f>IF(D389&lt;&gt;"",IF(COUNTIF('USPTO TMs'!A:A,D389)&gt;0,"Yes","No"),"")</f>
        <v/>
      </c>
      <c r="C389" s="11"/>
      <c r="D389" s="11"/>
      <c r="E389" s="11"/>
      <c r="F389" s="11"/>
      <c r="G389" s="11"/>
      <c r="H389" s="11"/>
      <c r="I389" s="15"/>
    </row>
    <row r="390" spans="1:9" ht="16.5">
      <c r="A390" s="10" t="b">
        <v>0</v>
      </c>
      <c r="B390" s="11" t="str">
        <f>IF(D390&lt;&gt;"",IF(COUNTIF('USPTO TMs'!A:A,D390)&gt;0,"Yes","No"),"")</f>
        <v/>
      </c>
      <c r="C390" s="11"/>
      <c r="D390" s="11"/>
      <c r="E390" s="11"/>
      <c r="F390" s="11"/>
      <c r="G390" s="11"/>
      <c r="H390" s="11"/>
      <c r="I390" s="15"/>
    </row>
    <row r="391" spans="1:9" ht="16.5">
      <c r="A391" s="10" t="b">
        <v>0</v>
      </c>
      <c r="B391" s="11" t="str">
        <f>IF(D391&lt;&gt;"",IF(COUNTIF('USPTO TMs'!A:A,D391)&gt;0,"Yes","No"),"")</f>
        <v/>
      </c>
      <c r="C391" s="11"/>
      <c r="D391" s="11"/>
      <c r="E391" s="11"/>
      <c r="F391" s="11"/>
      <c r="G391" s="11"/>
      <c r="H391" s="11"/>
      <c r="I391" s="15"/>
    </row>
    <row r="392" spans="1:9" ht="16.5">
      <c r="A392" s="10" t="b">
        <v>0</v>
      </c>
      <c r="B392" s="11" t="str">
        <f>IF(D392&lt;&gt;"",IF(COUNTIF('USPTO TMs'!A:A,D392)&gt;0,"Yes","No"),"")</f>
        <v/>
      </c>
      <c r="C392" s="11"/>
      <c r="D392" s="11"/>
      <c r="E392" s="11"/>
      <c r="F392" s="11"/>
      <c r="G392" s="11"/>
      <c r="H392" s="11"/>
      <c r="I392" s="15"/>
    </row>
    <row r="393" spans="1:9" ht="16.5">
      <c r="A393" s="10" t="b">
        <v>0</v>
      </c>
      <c r="B393" s="11" t="str">
        <f>IF(D393&lt;&gt;"",IF(COUNTIF('USPTO TMs'!A:A,D393)&gt;0,"Yes","No"),"")</f>
        <v/>
      </c>
      <c r="C393" s="11"/>
      <c r="D393" s="11"/>
      <c r="E393" s="11"/>
      <c r="F393" s="11"/>
      <c r="G393" s="11"/>
      <c r="H393" s="11"/>
      <c r="I393" s="15"/>
    </row>
    <row r="394" spans="1:9" ht="16.5">
      <c r="A394" s="10" t="b">
        <v>0</v>
      </c>
      <c r="B394" s="11" t="str">
        <f>IF(D394&lt;&gt;"",IF(COUNTIF('USPTO TMs'!A:A,D394)&gt;0,"Yes","No"),"")</f>
        <v/>
      </c>
      <c r="C394" s="11"/>
      <c r="D394" s="11"/>
      <c r="E394" s="11"/>
      <c r="F394" s="11"/>
      <c r="G394" s="11"/>
      <c r="H394" s="11"/>
      <c r="I394" s="15"/>
    </row>
    <row r="395" spans="1:9" ht="16.5">
      <c r="A395" s="10" t="b">
        <v>0</v>
      </c>
      <c r="B395" s="11" t="str">
        <f>IF(D395&lt;&gt;"",IF(COUNTIF('USPTO TMs'!A:A,D395)&gt;0,"Yes","No"),"")</f>
        <v/>
      </c>
      <c r="C395" s="11"/>
      <c r="D395" s="11"/>
      <c r="E395" s="11"/>
      <c r="F395" s="11"/>
      <c r="G395" s="11"/>
      <c r="H395" s="11"/>
      <c r="I395" s="15"/>
    </row>
    <row r="396" spans="1:9" ht="16.5">
      <c r="A396" s="10" t="b">
        <v>0</v>
      </c>
      <c r="B396" s="11" t="str">
        <f>IF(D396&lt;&gt;"",IF(COUNTIF('USPTO TMs'!A:A,D396)&gt;0,"Yes","No"),"")</f>
        <v/>
      </c>
      <c r="C396" s="11"/>
      <c r="D396" s="11"/>
      <c r="E396" s="11"/>
      <c r="F396" s="11"/>
      <c r="G396" s="11"/>
      <c r="H396" s="11"/>
      <c r="I396" s="15"/>
    </row>
    <row r="397" spans="1:9" ht="16.5">
      <c r="A397" s="10" t="b">
        <v>0</v>
      </c>
      <c r="B397" s="11" t="str">
        <f>IF(D397&lt;&gt;"",IF(COUNTIF('USPTO TMs'!A:A,D397)&gt;0,"Yes","No"),"")</f>
        <v/>
      </c>
      <c r="C397" s="11"/>
      <c r="D397" s="11"/>
      <c r="E397" s="11"/>
      <c r="F397" s="11"/>
      <c r="G397" s="11"/>
      <c r="H397" s="11"/>
      <c r="I397" s="15"/>
    </row>
    <row r="398" spans="1:9" ht="16.5">
      <c r="A398" s="10" t="b">
        <v>0</v>
      </c>
      <c r="B398" s="11" t="str">
        <f>IF(D398&lt;&gt;"",IF(COUNTIF('USPTO TMs'!A:A,D398)&gt;0,"Yes","No"),"")</f>
        <v/>
      </c>
      <c r="C398" s="11"/>
      <c r="D398" s="11"/>
      <c r="E398" s="11"/>
      <c r="F398" s="11"/>
      <c r="G398" s="11"/>
      <c r="H398" s="11"/>
      <c r="I398" s="15"/>
    </row>
    <row r="399" spans="1:9" ht="16.5">
      <c r="A399" s="10" t="b">
        <v>0</v>
      </c>
      <c r="B399" s="11" t="str">
        <f>IF(D399&lt;&gt;"",IF(COUNTIF('USPTO TMs'!A:A,D399)&gt;0,"Yes","No"),"")</f>
        <v/>
      </c>
      <c r="C399" s="11"/>
      <c r="D399" s="11"/>
      <c r="E399" s="11"/>
      <c r="F399" s="11"/>
      <c r="G399" s="11"/>
      <c r="H399" s="11"/>
      <c r="I399" s="15"/>
    </row>
    <row r="400" spans="1:9" ht="16.5">
      <c r="A400" s="10" t="b">
        <v>0</v>
      </c>
      <c r="B400" s="11" t="str">
        <f>IF(D400&lt;&gt;"",IF(COUNTIF('USPTO TMs'!A:A,D400)&gt;0,"Yes","No"),"")</f>
        <v/>
      </c>
      <c r="C400" s="11"/>
      <c r="D400" s="11"/>
      <c r="E400" s="11"/>
      <c r="F400" s="11"/>
      <c r="G400" s="11"/>
      <c r="H400" s="11"/>
      <c r="I400" s="15"/>
    </row>
    <row r="401" spans="1:9" ht="16.5">
      <c r="A401" s="10" t="b">
        <v>0</v>
      </c>
      <c r="B401" s="11" t="str">
        <f>IF(D401&lt;&gt;"",IF(COUNTIF('USPTO TMs'!A:A,D401)&gt;0,"Yes","No"),"")</f>
        <v/>
      </c>
      <c r="C401" s="11"/>
      <c r="D401" s="11"/>
      <c r="E401" s="11"/>
      <c r="F401" s="11"/>
      <c r="G401" s="11"/>
      <c r="H401" s="11"/>
      <c r="I401" s="15"/>
    </row>
    <row r="402" spans="1:9" ht="16.5">
      <c r="A402" s="10" t="b">
        <v>0</v>
      </c>
      <c r="B402" s="11" t="str">
        <f>IF(D402&lt;&gt;"",IF(COUNTIF('USPTO TMs'!A:A,D402)&gt;0,"Yes","No"),"")</f>
        <v/>
      </c>
      <c r="C402" s="11"/>
      <c r="D402" s="11"/>
      <c r="E402" s="11"/>
      <c r="F402" s="11"/>
      <c r="G402" s="11"/>
      <c r="H402" s="11"/>
      <c r="I402" s="15"/>
    </row>
    <row r="403" spans="1:9" ht="16.5">
      <c r="A403" s="10" t="b">
        <v>0</v>
      </c>
      <c r="B403" s="11" t="str">
        <f>IF(D403&lt;&gt;"",IF(COUNTIF('USPTO TMs'!A:A,D403)&gt;0,"Yes","No"),"")</f>
        <v/>
      </c>
      <c r="C403" s="11"/>
      <c r="D403" s="11"/>
      <c r="E403" s="11"/>
      <c r="F403" s="11"/>
      <c r="G403" s="11"/>
      <c r="H403" s="11"/>
      <c r="I403" s="15"/>
    </row>
    <row r="404" spans="1:9" ht="16.5">
      <c r="A404" s="10" t="b">
        <v>0</v>
      </c>
      <c r="B404" s="11" t="str">
        <f>IF(D404&lt;&gt;"",IF(COUNTIF('USPTO TMs'!A:A,D404)&gt;0,"Yes","No"),"")</f>
        <v/>
      </c>
      <c r="C404" s="11"/>
      <c r="D404" s="11"/>
      <c r="E404" s="11"/>
      <c r="F404" s="11"/>
      <c r="G404" s="11"/>
      <c r="H404" s="11"/>
      <c r="I404" s="15"/>
    </row>
    <row r="405" spans="1:9" ht="16.5">
      <c r="A405" s="10" t="b">
        <v>0</v>
      </c>
      <c r="B405" s="11" t="str">
        <f>IF(D405&lt;&gt;"",IF(COUNTIF('USPTO TMs'!A:A,D405)&gt;0,"Yes","No"),"")</f>
        <v/>
      </c>
      <c r="C405" s="11"/>
      <c r="D405" s="11"/>
      <c r="E405" s="11"/>
      <c r="F405" s="11"/>
      <c r="G405" s="11"/>
      <c r="H405" s="11"/>
      <c r="I405" s="15"/>
    </row>
    <row r="406" spans="1:9" ht="16.5">
      <c r="A406" s="10" t="b">
        <v>0</v>
      </c>
      <c r="B406" s="11" t="str">
        <f>IF(D406&lt;&gt;"",IF(COUNTIF('USPTO TMs'!A:A,D406)&gt;0,"Yes","No"),"")</f>
        <v/>
      </c>
      <c r="C406" s="11"/>
      <c r="D406" s="11"/>
      <c r="E406" s="11"/>
      <c r="F406" s="11"/>
      <c r="G406" s="11"/>
      <c r="H406" s="11"/>
      <c r="I406" s="15"/>
    </row>
    <row r="407" spans="1:9" ht="16.5">
      <c r="A407" s="10" t="b">
        <v>0</v>
      </c>
      <c r="B407" s="11" t="str">
        <f>IF(D407&lt;&gt;"",IF(COUNTIF('USPTO TMs'!A:A,D407)&gt;0,"Yes","No"),"")</f>
        <v/>
      </c>
      <c r="C407" s="11"/>
      <c r="D407" s="11"/>
      <c r="E407" s="11"/>
      <c r="F407" s="11"/>
      <c r="G407" s="11"/>
      <c r="H407" s="11"/>
      <c r="I407" s="15"/>
    </row>
    <row r="408" spans="1:9" ht="16.5">
      <c r="A408" s="10" t="b">
        <v>0</v>
      </c>
      <c r="B408" s="11" t="str">
        <f>IF(D408&lt;&gt;"",IF(COUNTIF('USPTO TMs'!A:A,D408)&gt;0,"Yes","No"),"")</f>
        <v/>
      </c>
      <c r="C408" s="11"/>
      <c r="D408" s="11"/>
      <c r="E408" s="11"/>
      <c r="F408" s="11"/>
      <c r="G408" s="11"/>
      <c r="H408" s="11"/>
      <c r="I408" s="15"/>
    </row>
    <row r="409" spans="1:9" ht="16.5">
      <c r="A409" s="10" t="b">
        <v>0</v>
      </c>
      <c r="B409" s="11" t="str">
        <f>IF(D409&lt;&gt;"",IF(COUNTIF('USPTO TMs'!A:A,D409)&gt;0,"Yes","No"),"")</f>
        <v/>
      </c>
      <c r="C409" s="11"/>
      <c r="D409" s="11"/>
      <c r="E409" s="11"/>
      <c r="F409" s="11"/>
      <c r="G409" s="11"/>
      <c r="H409" s="11"/>
      <c r="I409" s="15"/>
    </row>
    <row r="410" spans="1:9" ht="16.5">
      <c r="A410" s="10" t="b">
        <v>0</v>
      </c>
      <c r="B410" s="11" t="str">
        <f>IF(D410&lt;&gt;"",IF(COUNTIF('USPTO TMs'!A:A,D410)&gt;0,"Yes","No"),"")</f>
        <v/>
      </c>
      <c r="C410" s="11"/>
      <c r="D410" s="11"/>
      <c r="E410" s="11"/>
      <c r="F410" s="11"/>
      <c r="G410" s="11"/>
      <c r="H410" s="11"/>
      <c r="I410" s="15"/>
    </row>
    <row r="411" spans="1:9" ht="16.5">
      <c r="A411" s="10" t="b">
        <v>0</v>
      </c>
      <c r="B411" s="11" t="str">
        <f>IF(D411&lt;&gt;"",IF(COUNTIF('USPTO TMs'!A:A,D411)&gt;0,"Yes","No"),"")</f>
        <v/>
      </c>
      <c r="C411" s="11"/>
      <c r="D411" s="11"/>
      <c r="E411" s="11"/>
      <c r="F411" s="11"/>
      <c r="G411" s="11"/>
      <c r="H411" s="11"/>
      <c r="I411" s="15"/>
    </row>
    <row r="412" spans="1:9" ht="16.5">
      <c r="A412" s="10" t="b">
        <v>0</v>
      </c>
      <c r="B412" s="11" t="str">
        <f>IF(D412&lt;&gt;"",IF(COUNTIF('USPTO TMs'!A:A,D412)&gt;0,"Yes","No"),"")</f>
        <v/>
      </c>
      <c r="C412" s="11"/>
      <c r="D412" s="11"/>
      <c r="E412" s="11"/>
      <c r="F412" s="11"/>
      <c r="G412" s="11"/>
      <c r="H412" s="11"/>
      <c r="I412" s="15"/>
    </row>
    <row r="413" spans="1:9" ht="16.5">
      <c r="A413" s="10" t="b">
        <v>0</v>
      </c>
      <c r="B413" s="11" t="str">
        <f>IF(D413&lt;&gt;"",IF(COUNTIF('USPTO TMs'!A:A,D413)&gt;0,"Yes","No"),"")</f>
        <v/>
      </c>
      <c r="C413" s="11"/>
      <c r="D413" s="11"/>
      <c r="E413" s="11"/>
      <c r="F413" s="11"/>
      <c r="G413" s="11"/>
      <c r="H413" s="11"/>
      <c r="I413" s="15"/>
    </row>
    <row r="414" spans="1:9" ht="16.5">
      <c r="A414" s="10" t="b">
        <v>0</v>
      </c>
      <c r="B414" s="11" t="str">
        <f>IF(D414&lt;&gt;"",IF(COUNTIF('USPTO TMs'!A:A,D414)&gt;0,"Yes","No"),"")</f>
        <v/>
      </c>
      <c r="C414" s="11"/>
      <c r="D414" s="11"/>
      <c r="E414" s="11"/>
      <c r="F414" s="11"/>
      <c r="G414" s="11"/>
      <c r="H414" s="11"/>
      <c r="I414" s="15"/>
    </row>
    <row r="415" spans="1:9" ht="16.5">
      <c r="A415" s="10" t="b">
        <v>0</v>
      </c>
      <c r="B415" s="11" t="str">
        <f>IF(D415&lt;&gt;"",IF(COUNTIF('USPTO TMs'!A:A,D415)&gt;0,"Yes","No"),"")</f>
        <v/>
      </c>
      <c r="C415" s="11"/>
      <c r="D415" s="11"/>
      <c r="E415" s="11"/>
      <c r="F415" s="11"/>
      <c r="G415" s="11"/>
      <c r="H415" s="11"/>
      <c r="I415" s="15"/>
    </row>
    <row r="416" spans="1:9" ht="16.5">
      <c r="A416" s="10" t="b">
        <v>0</v>
      </c>
      <c r="B416" s="11" t="str">
        <f>IF(D416&lt;&gt;"",IF(COUNTIF('USPTO TMs'!A:A,D416)&gt;0,"Yes","No"),"")</f>
        <v/>
      </c>
      <c r="C416" s="11"/>
      <c r="D416" s="11"/>
      <c r="E416" s="11"/>
      <c r="F416" s="11"/>
      <c r="G416" s="11"/>
      <c r="H416" s="11"/>
      <c r="I416" s="15"/>
    </row>
    <row r="417" spans="1:9" ht="16.5">
      <c r="A417" s="10" t="b">
        <v>0</v>
      </c>
      <c r="B417" s="11" t="str">
        <f>IF(D417&lt;&gt;"",IF(COUNTIF('USPTO TMs'!A:A,D417)&gt;0,"Yes","No"),"")</f>
        <v/>
      </c>
      <c r="C417" s="11"/>
      <c r="D417" s="11"/>
      <c r="E417" s="11"/>
      <c r="F417" s="11"/>
      <c r="G417" s="11"/>
      <c r="H417" s="11"/>
      <c r="I417" s="15"/>
    </row>
    <row r="418" spans="1:9" ht="16.5">
      <c r="A418" s="10" t="b">
        <v>0</v>
      </c>
      <c r="B418" s="11" t="str">
        <f>IF(D418&lt;&gt;"",IF(COUNTIF('USPTO TMs'!A:A,D418)&gt;0,"Yes","No"),"")</f>
        <v/>
      </c>
      <c r="C418" s="11"/>
      <c r="D418" s="11"/>
      <c r="E418" s="11"/>
      <c r="F418" s="11"/>
      <c r="G418" s="11"/>
      <c r="H418" s="11"/>
      <c r="I418" s="15"/>
    </row>
    <row r="419" spans="1:9" ht="16.5">
      <c r="A419" s="10" t="b">
        <v>0</v>
      </c>
      <c r="B419" s="11" t="str">
        <f>IF(D419&lt;&gt;"",IF(COUNTIF('USPTO TMs'!A:A,D419)&gt;0,"Yes","No"),"")</f>
        <v/>
      </c>
      <c r="C419" s="11"/>
      <c r="D419" s="11"/>
      <c r="E419" s="11"/>
      <c r="F419" s="11"/>
      <c r="G419" s="11"/>
      <c r="H419" s="11"/>
      <c r="I419" s="15"/>
    </row>
    <row r="420" spans="1:9" ht="16.5">
      <c r="A420" s="10" t="b">
        <v>0</v>
      </c>
      <c r="B420" s="11" t="str">
        <f>IF(D420&lt;&gt;"",IF(COUNTIF('USPTO TMs'!A:A,D420)&gt;0,"Yes","No"),"")</f>
        <v/>
      </c>
      <c r="C420" s="11"/>
      <c r="D420" s="11"/>
      <c r="E420" s="11"/>
      <c r="F420" s="11"/>
      <c r="G420" s="11"/>
      <c r="H420" s="11"/>
      <c r="I420" s="15"/>
    </row>
    <row r="421" spans="1:9" ht="16.5">
      <c r="A421" s="10" t="b">
        <v>0</v>
      </c>
      <c r="B421" s="11" t="str">
        <f>IF(D421&lt;&gt;"",IF(COUNTIF('USPTO TMs'!A:A,D421)&gt;0,"Yes","No"),"")</f>
        <v/>
      </c>
      <c r="C421" s="11"/>
      <c r="D421" s="11"/>
      <c r="E421" s="11"/>
      <c r="F421" s="11"/>
      <c r="G421" s="11"/>
      <c r="H421" s="11"/>
      <c r="I421" s="15"/>
    </row>
    <row r="422" spans="1:9" ht="16.5">
      <c r="A422" s="10" t="b">
        <v>0</v>
      </c>
      <c r="B422" s="11" t="str">
        <f>IF(D422&lt;&gt;"",IF(COUNTIF('USPTO TMs'!A:A,D422)&gt;0,"Yes","No"),"")</f>
        <v/>
      </c>
      <c r="C422" s="11"/>
      <c r="D422" s="11"/>
      <c r="E422" s="11"/>
      <c r="F422" s="11"/>
      <c r="G422" s="11"/>
      <c r="H422" s="11"/>
      <c r="I422" s="15"/>
    </row>
    <row r="423" spans="1:9" ht="16.5">
      <c r="A423" s="10" t="b">
        <v>0</v>
      </c>
      <c r="B423" s="11" t="str">
        <f>IF(D423&lt;&gt;"",IF(COUNTIF('USPTO TMs'!A:A,D423)&gt;0,"Yes","No"),"")</f>
        <v/>
      </c>
      <c r="C423" s="11"/>
      <c r="D423" s="11"/>
      <c r="E423" s="11"/>
      <c r="F423" s="11"/>
      <c r="G423" s="11"/>
      <c r="H423" s="11"/>
      <c r="I423" s="15"/>
    </row>
    <row r="424" spans="1:9" ht="16.5">
      <c r="A424" s="10" t="b">
        <v>0</v>
      </c>
      <c r="B424" s="11" t="str">
        <f>IF(D424&lt;&gt;"",IF(COUNTIF('USPTO TMs'!A:A,D424)&gt;0,"Yes","No"),"")</f>
        <v/>
      </c>
      <c r="C424" s="11"/>
      <c r="D424" s="11"/>
      <c r="E424" s="11"/>
      <c r="F424" s="11"/>
      <c r="G424" s="11"/>
      <c r="H424" s="11"/>
      <c r="I424" s="15"/>
    </row>
    <row r="425" spans="1:9" ht="16.5">
      <c r="A425" s="10" t="b">
        <v>0</v>
      </c>
      <c r="B425" s="11" t="str">
        <f>IF(D425&lt;&gt;"",IF(COUNTIF('USPTO TMs'!A:A,D425)&gt;0,"Yes","No"),"")</f>
        <v/>
      </c>
      <c r="C425" s="11"/>
      <c r="D425" s="11"/>
      <c r="E425" s="11"/>
      <c r="F425" s="11"/>
      <c r="G425" s="11"/>
      <c r="H425" s="11"/>
      <c r="I425" s="15"/>
    </row>
    <row r="426" spans="1:9" ht="16.5">
      <c r="A426" s="10" t="b">
        <v>0</v>
      </c>
      <c r="B426" s="11" t="str">
        <f>IF(D426&lt;&gt;"",IF(COUNTIF('USPTO TMs'!A:A,D426)&gt;0,"Yes","No"),"")</f>
        <v/>
      </c>
      <c r="C426" s="11"/>
      <c r="D426" s="11"/>
      <c r="E426" s="11"/>
      <c r="F426" s="11"/>
      <c r="G426" s="11"/>
      <c r="H426" s="11"/>
      <c r="I426" s="15"/>
    </row>
    <row r="427" spans="1:9" ht="16.5">
      <c r="A427" s="10" t="b">
        <v>0</v>
      </c>
      <c r="B427" s="11" t="str">
        <f>IF(D427&lt;&gt;"",IF(COUNTIF('USPTO TMs'!A:A,D427)&gt;0,"Yes","No"),"")</f>
        <v/>
      </c>
      <c r="C427" s="11"/>
      <c r="D427" s="11"/>
      <c r="E427" s="11"/>
      <c r="F427" s="11"/>
      <c r="G427" s="11"/>
      <c r="H427" s="11"/>
      <c r="I427" s="15"/>
    </row>
    <row r="428" spans="1:9" ht="16.5">
      <c r="A428" s="10" t="b">
        <v>0</v>
      </c>
      <c r="B428" s="11" t="str">
        <f>IF(D428&lt;&gt;"",IF(COUNTIF('USPTO TMs'!A:A,D428)&gt;0,"Yes","No"),"")</f>
        <v/>
      </c>
      <c r="C428" s="11"/>
      <c r="D428" s="11"/>
      <c r="E428" s="11"/>
      <c r="F428" s="11"/>
      <c r="G428" s="11"/>
      <c r="H428" s="11"/>
      <c r="I428" s="15"/>
    </row>
    <row r="429" spans="1:9" ht="16.5">
      <c r="A429" s="10" t="b">
        <v>0</v>
      </c>
      <c r="B429" s="11" t="str">
        <f>IF(D429&lt;&gt;"",IF(COUNTIF('USPTO TMs'!A:A,D429)&gt;0,"Yes","No"),"")</f>
        <v/>
      </c>
      <c r="C429" s="11"/>
      <c r="D429" s="11"/>
      <c r="E429" s="11"/>
      <c r="F429" s="11"/>
      <c r="G429" s="11"/>
      <c r="H429" s="11"/>
      <c r="I429" s="15"/>
    </row>
    <row r="430" spans="1:9" ht="16.5">
      <c r="A430" s="10" t="b">
        <v>0</v>
      </c>
      <c r="B430" s="11" t="str">
        <f>IF(D430&lt;&gt;"",IF(COUNTIF('USPTO TMs'!A:A,D430)&gt;0,"Yes","No"),"")</f>
        <v/>
      </c>
      <c r="C430" s="11"/>
      <c r="D430" s="11"/>
      <c r="E430" s="11"/>
      <c r="F430" s="11"/>
      <c r="G430" s="11"/>
      <c r="H430" s="11"/>
      <c r="I430" s="15"/>
    </row>
    <row r="431" spans="1:9" ht="16.5">
      <c r="A431" s="10" t="b">
        <v>0</v>
      </c>
      <c r="B431" s="11" t="str">
        <f>IF(D431&lt;&gt;"",IF(COUNTIF('USPTO TMs'!A:A,D431)&gt;0,"Yes","No"),"")</f>
        <v/>
      </c>
      <c r="C431" s="11"/>
      <c r="D431" s="11"/>
      <c r="E431" s="11"/>
      <c r="F431" s="11"/>
      <c r="G431" s="11"/>
      <c r="H431" s="11"/>
      <c r="I431" s="15"/>
    </row>
    <row r="432" spans="1:9" ht="16.5">
      <c r="A432" s="10" t="b">
        <v>0</v>
      </c>
      <c r="B432" s="11" t="str">
        <f>IF(D432&lt;&gt;"",IF(COUNTIF('USPTO TMs'!A:A,D432)&gt;0,"Yes","No"),"")</f>
        <v/>
      </c>
      <c r="C432" s="11"/>
      <c r="D432" s="11"/>
      <c r="E432" s="11"/>
      <c r="F432" s="11"/>
      <c r="G432" s="11"/>
      <c r="H432" s="11"/>
      <c r="I432" s="15"/>
    </row>
    <row r="433" spans="1:9" ht="16.5">
      <c r="A433" s="10" t="b">
        <v>0</v>
      </c>
      <c r="B433" s="11" t="str">
        <f>IF(D433&lt;&gt;"",IF(COUNTIF('USPTO TMs'!A:A,D433)&gt;0,"Yes","No"),"")</f>
        <v/>
      </c>
      <c r="C433" s="11"/>
      <c r="D433" s="11"/>
      <c r="E433" s="11"/>
      <c r="F433" s="11"/>
      <c r="G433" s="11"/>
      <c r="H433" s="11"/>
      <c r="I433" s="15"/>
    </row>
    <row r="434" spans="1:9" ht="16.5">
      <c r="A434" s="10" t="b">
        <v>0</v>
      </c>
      <c r="B434" s="11" t="str">
        <f>IF(D434&lt;&gt;"",IF(COUNTIF('USPTO TMs'!A:A,D434)&gt;0,"Yes","No"),"")</f>
        <v/>
      </c>
      <c r="C434" s="11"/>
      <c r="D434" s="11"/>
      <c r="E434" s="11"/>
      <c r="F434" s="11"/>
      <c r="G434" s="11"/>
      <c r="H434" s="11"/>
      <c r="I434" s="15"/>
    </row>
    <row r="435" spans="1:9" ht="16.5">
      <c r="A435" s="10" t="b">
        <v>0</v>
      </c>
      <c r="B435" s="11" t="str">
        <f>IF(D435&lt;&gt;"",IF(COUNTIF('USPTO TMs'!A:A,D435)&gt;0,"Yes","No"),"")</f>
        <v/>
      </c>
      <c r="C435" s="11"/>
      <c r="D435" s="11"/>
      <c r="E435" s="11"/>
      <c r="F435" s="11"/>
      <c r="G435" s="11"/>
      <c r="H435" s="11"/>
      <c r="I435" s="15"/>
    </row>
    <row r="436" spans="1:9" ht="16.5">
      <c r="A436" s="10" t="b">
        <v>0</v>
      </c>
      <c r="B436" s="11" t="str">
        <f>IF(D436&lt;&gt;"",IF(COUNTIF('USPTO TMs'!A:A,D436)&gt;0,"Yes","No"),"")</f>
        <v/>
      </c>
      <c r="C436" s="11"/>
      <c r="D436" s="11"/>
      <c r="E436" s="11"/>
      <c r="F436" s="11"/>
      <c r="G436" s="11"/>
      <c r="H436" s="11"/>
      <c r="I436" s="15"/>
    </row>
    <row r="437" spans="1:9" ht="16.5">
      <c r="A437" s="10" t="b">
        <v>0</v>
      </c>
      <c r="B437" s="11" t="str">
        <f>IF(D437&lt;&gt;"",IF(COUNTIF('USPTO TMs'!A:A,D437)&gt;0,"Yes","No"),"")</f>
        <v/>
      </c>
      <c r="C437" s="11"/>
      <c r="D437" s="11"/>
      <c r="E437" s="11"/>
      <c r="F437" s="11"/>
      <c r="G437" s="11"/>
      <c r="H437" s="11"/>
      <c r="I437" s="15"/>
    </row>
    <row r="438" spans="1:9" ht="16.5">
      <c r="A438" s="10" t="b">
        <v>0</v>
      </c>
      <c r="B438" s="11" t="str">
        <f>IF(D438&lt;&gt;"",IF(COUNTIF('USPTO TMs'!A:A,D438)&gt;0,"Yes","No"),"")</f>
        <v/>
      </c>
      <c r="C438" s="11"/>
      <c r="D438" s="11"/>
      <c r="E438" s="11"/>
      <c r="F438" s="11"/>
      <c r="G438" s="11"/>
      <c r="H438" s="11"/>
      <c r="I438" s="15"/>
    </row>
    <row r="439" spans="1:9" ht="16.5">
      <c r="A439" s="10" t="b">
        <v>0</v>
      </c>
      <c r="B439" s="11" t="str">
        <f>IF(D439&lt;&gt;"",IF(COUNTIF('USPTO TMs'!A:A,D439)&gt;0,"Yes","No"),"")</f>
        <v/>
      </c>
      <c r="C439" s="11"/>
      <c r="D439" s="11"/>
      <c r="E439" s="11"/>
      <c r="F439" s="11"/>
      <c r="G439" s="11"/>
      <c r="H439" s="11"/>
      <c r="I439" s="15"/>
    </row>
    <row r="440" spans="1:9" ht="16.5">
      <c r="A440" s="10" t="b">
        <v>0</v>
      </c>
      <c r="B440" s="11" t="str">
        <f>IF(D440&lt;&gt;"",IF(COUNTIF('USPTO TMs'!A:A,D440)&gt;0,"Yes","No"),"")</f>
        <v/>
      </c>
      <c r="C440" s="11"/>
      <c r="D440" s="11"/>
      <c r="E440" s="11"/>
      <c r="F440" s="11"/>
      <c r="G440" s="11"/>
      <c r="H440" s="11"/>
      <c r="I440" s="15"/>
    </row>
    <row r="441" spans="1:9" ht="16.5">
      <c r="A441" s="10" t="b">
        <v>0</v>
      </c>
      <c r="B441" s="11" t="str">
        <f>IF(D441&lt;&gt;"",IF(COUNTIF('USPTO TMs'!A:A,D441)&gt;0,"Yes","No"),"")</f>
        <v/>
      </c>
      <c r="C441" s="11"/>
      <c r="D441" s="11"/>
      <c r="E441" s="11"/>
      <c r="F441" s="11"/>
      <c r="G441" s="11"/>
      <c r="H441" s="11"/>
      <c r="I441" s="15"/>
    </row>
    <row r="442" spans="1:9" ht="16.5">
      <c r="A442" s="10" t="b">
        <v>0</v>
      </c>
      <c r="B442" s="11" t="str">
        <f>IF(D442&lt;&gt;"",IF(COUNTIF('USPTO TMs'!A:A,D442)&gt;0,"Yes","No"),"")</f>
        <v/>
      </c>
      <c r="C442" s="11"/>
      <c r="D442" s="11"/>
      <c r="E442" s="11"/>
      <c r="F442" s="11"/>
      <c r="G442" s="11"/>
      <c r="H442" s="11"/>
      <c r="I442" s="15"/>
    </row>
    <row r="443" spans="1:9" ht="16.5">
      <c r="A443" s="10" t="b">
        <v>0</v>
      </c>
      <c r="B443" s="11" t="str">
        <f>IF(D443&lt;&gt;"",IF(COUNTIF('USPTO TMs'!A:A,D443)&gt;0,"Yes","No"),"")</f>
        <v/>
      </c>
      <c r="C443" s="11"/>
      <c r="D443" s="11"/>
      <c r="E443" s="11"/>
      <c r="F443" s="11"/>
      <c r="G443" s="11"/>
      <c r="H443" s="11"/>
      <c r="I443" s="15"/>
    </row>
    <row r="444" spans="1:9" ht="16.5">
      <c r="A444" s="10" t="b">
        <v>0</v>
      </c>
      <c r="B444" s="11" t="str">
        <f>IF(D444&lt;&gt;"",IF(COUNTIF('USPTO TMs'!A:A,D444)&gt;0,"Yes","No"),"")</f>
        <v/>
      </c>
      <c r="C444" s="11"/>
      <c r="D444" s="11"/>
      <c r="E444" s="11"/>
      <c r="F444" s="11"/>
      <c r="G444" s="11"/>
      <c r="H444" s="11"/>
      <c r="I444" s="15"/>
    </row>
    <row r="445" spans="1:9" ht="16.5">
      <c r="A445" s="10" t="b">
        <v>0</v>
      </c>
      <c r="B445" s="11" t="str">
        <f>IF(D445&lt;&gt;"",IF(COUNTIF('USPTO TMs'!A:A,D445)&gt;0,"Yes","No"),"")</f>
        <v/>
      </c>
      <c r="C445" s="11"/>
      <c r="D445" s="11"/>
      <c r="E445" s="11"/>
      <c r="F445" s="11"/>
      <c r="G445" s="11"/>
      <c r="H445" s="11"/>
      <c r="I445" s="15"/>
    </row>
    <row r="446" spans="1:9" ht="16.5">
      <c r="A446" s="10" t="b">
        <v>0</v>
      </c>
      <c r="B446" s="11" t="str">
        <f>IF(D446&lt;&gt;"",IF(COUNTIF('USPTO TMs'!A:A,D446)&gt;0,"Yes","No"),"")</f>
        <v/>
      </c>
      <c r="C446" s="11"/>
      <c r="D446" s="11"/>
      <c r="E446" s="11"/>
      <c r="F446" s="11"/>
      <c r="G446" s="11"/>
      <c r="H446" s="11"/>
      <c r="I446" s="15"/>
    </row>
    <row r="447" spans="1:9" ht="16.5">
      <c r="A447" s="10" t="b">
        <v>0</v>
      </c>
      <c r="B447" s="11" t="str">
        <f>IF(D447&lt;&gt;"",IF(COUNTIF('USPTO TMs'!A:A,D447)&gt;0,"Yes","No"),"")</f>
        <v/>
      </c>
      <c r="C447" s="11"/>
      <c r="D447" s="11"/>
      <c r="E447" s="11"/>
      <c r="F447" s="11"/>
      <c r="G447" s="11"/>
      <c r="H447" s="11"/>
      <c r="I447" s="15"/>
    </row>
    <row r="448" spans="1:9" ht="16.5">
      <c r="A448" s="10" t="b">
        <v>0</v>
      </c>
      <c r="B448" s="11" t="str">
        <f>IF(D448&lt;&gt;"",IF(COUNTIF('USPTO TMs'!A:A,D448)&gt;0,"Yes","No"),"")</f>
        <v/>
      </c>
      <c r="C448" s="11"/>
      <c r="D448" s="11"/>
      <c r="E448" s="11"/>
      <c r="F448" s="11"/>
      <c r="G448" s="11"/>
      <c r="H448" s="11"/>
      <c r="I448" s="15"/>
    </row>
    <row r="449" spans="1:9" ht="16.5">
      <c r="A449" s="10" t="b">
        <v>0</v>
      </c>
      <c r="B449" s="11" t="str">
        <f>IF(D449&lt;&gt;"",IF(COUNTIF('USPTO TMs'!A:A,D449)&gt;0,"Yes","No"),"")</f>
        <v/>
      </c>
      <c r="C449" s="11"/>
      <c r="D449" s="11"/>
      <c r="E449" s="11"/>
      <c r="F449" s="11"/>
      <c r="G449" s="11"/>
      <c r="H449" s="11"/>
      <c r="I449" s="15"/>
    </row>
    <row r="450" spans="1:9" ht="16.5">
      <c r="A450" s="10" t="b">
        <v>0</v>
      </c>
      <c r="B450" s="11" t="str">
        <f>IF(D450&lt;&gt;"",IF(COUNTIF('USPTO TMs'!A:A,D450)&gt;0,"Yes","No"),"")</f>
        <v/>
      </c>
      <c r="C450" s="11"/>
      <c r="D450" s="11"/>
      <c r="E450" s="11"/>
      <c r="F450" s="11"/>
      <c r="G450" s="11"/>
      <c r="H450" s="11"/>
      <c r="I450" s="15"/>
    </row>
    <row r="451" spans="1:9" ht="16.5">
      <c r="A451" s="10" t="b">
        <v>0</v>
      </c>
      <c r="B451" s="11" t="str">
        <f>IF(D451&lt;&gt;"",IF(COUNTIF('USPTO TMs'!A:A,D451)&gt;0,"Yes","No"),"")</f>
        <v/>
      </c>
      <c r="C451" s="11"/>
      <c r="D451" s="11"/>
      <c r="E451" s="11"/>
      <c r="F451" s="11"/>
      <c r="G451" s="11"/>
      <c r="H451" s="11"/>
      <c r="I451" s="15"/>
    </row>
    <row r="452" spans="1:9" ht="16.5">
      <c r="A452" s="10" t="b">
        <v>0</v>
      </c>
      <c r="B452" s="11" t="str">
        <f>IF(D452&lt;&gt;"",IF(COUNTIF('USPTO TMs'!A:A,D452)&gt;0,"Yes","No"),"")</f>
        <v/>
      </c>
      <c r="C452" s="11"/>
      <c r="D452" s="11"/>
      <c r="E452" s="11"/>
      <c r="F452" s="11"/>
      <c r="G452" s="11"/>
      <c r="H452" s="11"/>
      <c r="I452" s="15"/>
    </row>
    <row r="453" spans="1:9" ht="16.5">
      <c r="A453" s="10" t="b">
        <v>0</v>
      </c>
      <c r="B453" s="11" t="str">
        <f>IF(D453&lt;&gt;"",IF(COUNTIF('USPTO TMs'!A:A,D453)&gt;0,"Yes","No"),"")</f>
        <v/>
      </c>
      <c r="C453" s="11"/>
      <c r="D453" s="11"/>
      <c r="E453" s="11"/>
      <c r="F453" s="11"/>
      <c r="G453" s="11"/>
      <c r="H453" s="11"/>
      <c r="I453" s="15"/>
    </row>
    <row r="454" spans="1:9" ht="16.5">
      <c r="A454" s="10" t="b">
        <v>0</v>
      </c>
      <c r="B454" s="11" t="str">
        <f>IF(D454&lt;&gt;"",IF(COUNTIF('USPTO TMs'!A:A,D454)&gt;0,"Yes","No"),"")</f>
        <v/>
      </c>
      <c r="C454" s="11"/>
      <c r="D454" s="11"/>
      <c r="E454" s="11"/>
      <c r="F454" s="11"/>
      <c r="G454" s="11"/>
      <c r="H454" s="11"/>
      <c r="I454" s="15"/>
    </row>
    <row r="455" spans="1:9" ht="16.5">
      <c r="A455" s="10" t="b">
        <v>0</v>
      </c>
      <c r="B455" s="11" t="str">
        <f>IF(D455&lt;&gt;"",IF(COUNTIF('USPTO TMs'!A:A,D455)&gt;0,"Yes","No"),"")</f>
        <v/>
      </c>
      <c r="C455" s="11"/>
      <c r="D455" s="11"/>
      <c r="E455" s="11"/>
      <c r="F455" s="11"/>
      <c r="G455" s="11"/>
      <c r="H455" s="11"/>
      <c r="I455" s="15"/>
    </row>
    <row r="456" spans="1:9" ht="16.5">
      <c r="A456" s="10" t="b">
        <v>0</v>
      </c>
      <c r="B456" s="11" t="str">
        <f>IF(D456&lt;&gt;"",IF(COUNTIF('USPTO TMs'!A:A,D456)&gt;0,"Yes","No"),"")</f>
        <v/>
      </c>
      <c r="C456" s="11"/>
      <c r="D456" s="11"/>
      <c r="E456" s="11"/>
      <c r="F456" s="11"/>
      <c r="G456" s="11"/>
      <c r="H456" s="11"/>
      <c r="I456" s="15"/>
    </row>
    <row r="457" spans="1:9" ht="16.5">
      <c r="A457" s="10" t="b">
        <v>0</v>
      </c>
      <c r="B457" s="11" t="str">
        <f>IF(D457&lt;&gt;"",IF(COUNTIF('USPTO TMs'!A:A,D457)&gt;0,"Yes","No"),"")</f>
        <v/>
      </c>
      <c r="C457" s="11"/>
      <c r="D457" s="11"/>
      <c r="E457" s="11"/>
      <c r="F457" s="11"/>
      <c r="G457" s="11"/>
      <c r="H457" s="11"/>
      <c r="I457" s="15"/>
    </row>
    <row r="458" spans="1:9" ht="16.5">
      <c r="A458" s="10" t="b">
        <v>0</v>
      </c>
      <c r="B458" s="11" t="str">
        <f>IF(D458&lt;&gt;"",IF(COUNTIF('USPTO TMs'!A:A,D458)&gt;0,"Yes","No"),"")</f>
        <v/>
      </c>
      <c r="C458" s="11"/>
      <c r="D458" s="11"/>
      <c r="E458" s="11"/>
      <c r="F458" s="11"/>
      <c r="G458" s="11"/>
      <c r="H458" s="11"/>
      <c r="I458" s="15"/>
    </row>
    <row r="459" spans="1:9" ht="16.5">
      <c r="A459" s="10" t="b">
        <v>0</v>
      </c>
      <c r="B459" s="11" t="str">
        <f>IF(D459&lt;&gt;"",IF(COUNTIF('USPTO TMs'!A:A,D459)&gt;0,"Yes","No"),"")</f>
        <v/>
      </c>
      <c r="C459" s="11"/>
      <c r="D459" s="11"/>
      <c r="E459" s="11"/>
      <c r="F459" s="11"/>
      <c r="G459" s="11"/>
      <c r="H459" s="11"/>
      <c r="I459" s="15"/>
    </row>
    <row r="460" spans="1:9" ht="16.5">
      <c r="A460" s="10" t="b">
        <v>0</v>
      </c>
      <c r="B460" s="11" t="str">
        <f>IF(D460&lt;&gt;"",IF(COUNTIF('USPTO TMs'!A:A,D460)&gt;0,"Yes","No"),"")</f>
        <v/>
      </c>
      <c r="C460" s="11"/>
      <c r="D460" s="11"/>
      <c r="E460" s="11"/>
      <c r="F460" s="11"/>
      <c r="G460" s="11"/>
      <c r="H460" s="11"/>
      <c r="I460" s="15"/>
    </row>
    <row r="461" spans="1:9" ht="16.5">
      <c r="A461" s="10" t="b">
        <v>0</v>
      </c>
      <c r="B461" s="11" t="str">
        <f>IF(D461&lt;&gt;"",IF(COUNTIF('USPTO TMs'!A:A,D461)&gt;0,"Yes","No"),"")</f>
        <v/>
      </c>
      <c r="C461" s="11"/>
      <c r="D461" s="11"/>
      <c r="E461" s="11"/>
      <c r="F461" s="11"/>
      <c r="G461" s="11"/>
      <c r="H461" s="11"/>
      <c r="I461" s="15"/>
    </row>
    <row r="462" spans="1:9" ht="16.5">
      <c r="A462" s="10" t="b">
        <v>0</v>
      </c>
      <c r="B462" s="11" t="str">
        <f>IF(D462&lt;&gt;"",IF(COUNTIF('USPTO TMs'!A:A,D462)&gt;0,"Yes","No"),"")</f>
        <v/>
      </c>
      <c r="C462" s="11"/>
      <c r="D462" s="11"/>
      <c r="E462" s="11"/>
      <c r="F462" s="11"/>
      <c r="G462" s="11"/>
      <c r="H462" s="11"/>
      <c r="I462" s="15"/>
    </row>
    <row r="463" spans="1:9" ht="16.5">
      <c r="A463" s="10" t="b">
        <v>0</v>
      </c>
      <c r="B463" s="11" t="str">
        <f>IF(D463&lt;&gt;"",IF(COUNTIF('USPTO TMs'!A:A,D463)&gt;0,"Yes","No"),"")</f>
        <v/>
      </c>
      <c r="C463" s="11"/>
      <c r="D463" s="11"/>
      <c r="E463" s="11"/>
      <c r="F463" s="11"/>
      <c r="G463" s="11"/>
      <c r="H463" s="11"/>
      <c r="I463" s="15"/>
    </row>
    <row r="464" spans="1:9" ht="16.5">
      <c r="A464" s="10" t="b">
        <v>0</v>
      </c>
      <c r="B464" s="11" t="str">
        <f>IF(D464&lt;&gt;"",IF(COUNTIF('USPTO TMs'!A:A,D464)&gt;0,"Yes","No"),"")</f>
        <v/>
      </c>
      <c r="C464" s="11"/>
      <c r="D464" s="11"/>
      <c r="E464" s="11"/>
      <c r="F464" s="11"/>
      <c r="G464" s="11"/>
      <c r="H464" s="11"/>
      <c r="I464" s="15"/>
    </row>
    <row r="465" spans="1:9" ht="16.5">
      <c r="A465" s="10" t="b">
        <v>0</v>
      </c>
      <c r="B465" s="11" t="str">
        <f>IF(D465&lt;&gt;"",IF(COUNTIF('USPTO TMs'!A:A,D465)&gt;0,"Yes","No"),"")</f>
        <v/>
      </c>
      <c r="C465" s="11"/>
      <c r="D465" s="11"/>
      <c r="E465" s="11"/>
      <c r="F465" s="11"/>
      <c r="G465" s="11"/>
      <c r="H465" s="11"/>
      <c r="I465" s="15"/>
    </row>
    <row r="466" spans="1:9" ht="16.5">
      <c r="A466" s="10" t="b">
        <v>0</v>
      </c>
      <c r="B466" s="11" t="str">
        <f>IF(D466&lt;&gt;"",IF(COUNTIF('USPTO TMs'!A:A,D466)&gt;0,"Yes","No"),"")</f>
        <v/>
      </c>
      <c r="C466" s="11"/>
      <c r="D466" s="11"/>
      <c r="E466" s="11"/>
      <c r="F466" s="11"/>
      <c r="G466" s="11"/>
      <c r="H466" s="11"/>
      <c r="I466" s="15"/>
    </row>
    <row r="467" spans="1:9" ht="16.5">
      <c r="A467" s="10" t="b">
        <v>0</v>
      </c>
      <c r="B467" s="11" t="str">
        <f>IF(D467&lt;&gt;"",IF(COUNTIF('USPTO TMs'!A:A,D467)&gt;0,"Yes","No"),"")</f>
        <v/>
      </c>
      <c r="C467" s="11"/>
      <c r="D467" s="11"/>
      <c r="E467" s="11"/>
      <c r="F467" s="11"/>
      <c r="G467" s="11"/>
      <c r="H467" s="11"/>
      <c r="I467" s="15"/>
    </row>
    <row r="468" spans="1:9" ht="16.5">
      <c r="A468" s="10" t="b">
        <v>0</v>
      </c>
      <c r="B468" s="11" t="str">
        <f>IF(D468&lt;&gt;"",IF(COUNTIF('USPTO TMs'!A:A,D468)&gt;0,"Yes","No"),"")</f>
        <v/>
      </c>
      <c r="C468" s="11"/>
      <c r="D468" s="11"/>
      <c r="E468" s="11"/>
      <c r="F468" s="11"/>
      <c r="G468" s="11"/>
      <c r="H468" s="11"/>
      <c r="I468" s="15"/>
    </row>
    <row r="469" spans="1:9" ht="16.5">
      <c r="A469" s="10" t="b">
        <v>0</v>
      </c>
      <c r="B469" s="11" t="str">
        <f>IF(D469&lt;&gt;"",IF(COUNTIF('USPTO TMs'!A:A,D469)&gt;0,"Yes","No"),"")</f>
        <v/>
      </c>
      <c r="C469" s="11"/>
      <c r="D469" s="11"/>
      <c r="E469" s="11"/>
      <c r="F469" s="11"/>
      <c r="G469" s="11"/>
      <c r="H469" s="11"/>
      <c r="I469" s="15"/>
    </row>
    <row r="470" spans="1:9" ht="16.5">
      <c r="A470" s="10" t="b">
        <v>0</v>
      </c>
      <c r="B470" s="11" t="str">
        <f>IF(D470&lt;&gt;"",IF(COUNTIF('USPTO TMs'!A:A,D470)&gt;0,"Yes","No"),"")</f>
        <v/>
      </c>
      <c r="C470" s="11"/>
      <c r="D470" s="11"/>
      <c r="E470" s="11"/>
      <c r="F470" s="11"/>
      <c r="G470" s="11"/>
      <c r="H470" s="11"/>
      <c r="I470" s="15"/>
    </row>
    <row r="471" spans="1:9" ht="16.5">
      <c r="A471" s="10" t="b">
        <v>0</v>
      </c>
      <c r="B471" s="11" t="str">
        <f>IF(D471&lt;&gt;"",IF(COUNTIF('USPTO TMs'!A:A,D471)&gt;0,"Yes","No"),"")</f>
        <v/>
      </c>
      <c r="C471" s="11"/>
      <c r="D471" s="11"/>
      <c r="E471" s="11"/>
      <c r="F471" s="11"/>
      <c r="G471" s="11"/>
      <c r="H471" s="11"/>
      <c r="I471" s="15"/>
    </row>
    <row r="472" spans="1:9" ht="16.5">
      <c r="A472" s="10" t="b">
        <v>0</v>
      </c>
      <c r="B472" s="11" t="str">
        <f>IF(D472&lt;&gt;"",IF(COUNTIF('USPTO TMs'!A:A,D472)&gt;0,"Yes","No"),"")</f>
        <v/>
      </c>
      <c r="C472" s="11"/>
      <c r="D472" s="11"/>
      <c r="E472" s="11"/>
      <c r="F472" s="11"/>
      <c r="G472" s="11"/>
      <c r="H472" s="11"/>
      <c r="I472" s="15"/>
    </row>
    <row r="473" spans="1:9" ht="16.5">
      <c r="A473" s="10" t="b">
        <v>0</v>
      </c>
      <c r="B473" s="11" t="str">
        <f>IF(D473&lt;&gt;"",IF(COUNTIF('USPTO TMs'!A:A,D473)&gt;0,"Yes","No"),"")</f>
        <v/>
      </c>
      <c r="C473" s="11"/>
      <c r="D473" s="11"/>
      <c r="E473" s="11"/>
      <c r="F473" s="11"/>
      <c r="G473" s="11"/>
      <c r="H473" s="11"/>
      <c r="I473" s="15"/>
    </row>
    <row r="474" spans="1:9" ht="16.5">
      <c r="A474" s="10" t="b">
        <v>0</v>
      </c>
      <c r="B474" s="11" t="str">
        <f>IF(D474&lt;&gt;"",IF(COUNTIF('USPTO TMs'!A:A,D474)&gt;0,"Yes","No"),"")</f>
        <v/>
      </c>
      <c r="C474" s="11"/>
      <c r="D474" s="11"/>
      <c r="E474" s="11"/>
      <c r="F474" s="11"/>
      <c r="G474" s="11"/>
      <c r="H474" s="11"/>
      <c r="I474" s="15"/>
    </row>
    <row r="475" spans="1:9" ht="16.5">
      <c r="A475" s="10" t="b">
        <v>0</v>
      </c>
      <c r="B475" s="11" t="str">
        <f>IF(D475&lt;&gt;"",IF(COUNTIF('USPTO TMs'!A:A,D475)&gt;0,"Yes","No"),"")</f>
        <v/>
      </c>
      <c r="C475" s="11"/>
      <c r="D475" s="11"/>
      <c r="E475" s="11"/>
      <c r="F475" s="11"/>
      <c r="G475" s="11"/>
      <c r="H475" s="11"/>
      <c r="I475" s="15"/>
    </row>
    <row r="476" spans="1:9" ht="16.5">
      <c r="A476" s="10" t="b">
        <v>0</v>
      </c>
      <c r="B476" s="11" t="str">
        <f>IF(D476&lt;&gt;"",IF(COUNTIF('USPTO TMs'!A:A,D476)&gt;0,"Yes","No"),"")</f>
        <v/>
      </c>
      <c r="C476" s="11"/>
      <c r="D476" s="11"/>
      <c r="E476" s="11"/>
      <c r="F476" s="11"/>
      <c r="G476" s="11"/>
      <c r="H476" s="11"/>
      <c r="I476" s="15"/>
    </row>
    <row r="477" spans="1:9" ht="16.5">
      <c r="A477" s="10" t="b">
        <v>0</v>
      </c>
      <c r="B477" s="11" t="str">
        <f>IF(D477&lt;&gt;"",IF(COUNTIF('USPTO TMs'!A:A,D477)&gt;0,"Yes","No"),"")</f>
        <v/>
      </c>
      <c r="C477" s="11"/>
      <c r="D477" s="11"/>
      <c r="E477" s="11"/>
      <c r="F477" s="11"/>
      <c r="G477" s="11"/>
      <c r="H477" s="11"/>
      <c r="I477" s="15"/>
    </row>
    <row r="478" spans="1:9" ht="16.5">
      <c r="A478" s="10" t="b">
        <v>0</v>
      </c>
      <c r="B478" s="11" t="str">
        <f>IF(D478&lt;&gt;"",IF(COUNTIF('USPTO TMs'!A:A,D478)&gt;0,"Yes","No"),"")</f>
        <v/>
      </c>
      <c r="C478" s="11"/>
      <c r="D478" s="11"/>
      <c r="E478" s="11"/>
      <c r="F478" s="11"/>
      <c r="G478" s="11"/>
      <c r="H478" s="11"/>
      <c r="I478" s="15"/>
    </row>
    <row r="479" spans="1:9" ht="16.5">
      <c r="A479" s="10" t="b">
        <v>0</v>
      </c>
      <c r="B479" s="11" t="str">
        <f>IF(D479&lt;&gt;"",IF(COUNTIF('USPTO TMs'!A:A,D479)&gt;0,"Yes","No"),"")</f>
        <v/>
      </c>
      <c r="C479" s="11"/>
      <c r="D479" s="11"/>
      <c r="E479" s="11"/>
      <c r="F479" s="11"/>
      <c r="G479" s="11"/>
      <c r="H479" s="11"/>
      <c r="I479" s="15"/>
    </row>
    <row r="480" spans="1:9" ht="16.5">
      <c r="A480" s="10" t="b">
        <v>0</v>
      </c>
      <c r="B480" s="11" t="str">
        <f>IF(D480&lt;&gt;"",IF(COUNTIF('USPTO TMs'!A:A,D480)&gt;0,"Yes","No"),"")</f>
        <v/>
      </c>
      <c r="C480" s="11"/>
      <c r="D480" s="11"/>
      <c r="E480" s="11"/>
      <c r="F480" s="11"/>
      <c r="G480" s="11"/>
      <c r="H480" s="11"/>
      <c r="I480" s="15"/>
    </row>
    <row r="481" spans="1:9" ht="16.5">
      <c r="A481" s="10" t="b">
        <v>0</v>
      </c>
      <c r="B481" s="11" t="str">
        <f>IF(D481&lt;&gt;"",IF(COUNTIF('USPTO TMs'!A:A,D481)&gt;0,"Yes","No"),"")</f>
        <v/>
      </c>
      <c r="C481" s="11"/>
      <c r="D481" s="11"/>
      <c r="E481" s="11"/>
      <c r="F481" s="11"/>
      <c r="G481" s="11"/>
      <c r="H481" s="11"/>
      <c r="I481" s="15"/>
    </row>
    <row r="482" spans="1:9" ht="16.5">
      <c r="A482" s="10" t="b">
        <v>0</v>
      </c>
      <c r="B482" s="11" t="str">
        <f>IF(D482&lt;&gt;"",IF(COUNTIF('USPTO TMs'!A:A,D482)&gt;0,"Yes","No"),"")</f>
        <v/>
      </c>
      <c r="C482" s="11"/>
      <c r="D482" s="11"/>
      <c r="E482" s="11"/>
      <c r="F482" s="11"/>
      <c r="G482" s="11"/>
      <c r="H482" s="11"/>
      <c r="I482" s="15"/>
    </row>
    <row r="483" spans="1:9" ht="16.5">
      <c r="A483" s="10" t="b">
        <v>0</v>
      </c>
      <c r="B483" s="11" t="str">
        <f>IF(D483&lt;&gt;"",IF(COUNTIF('USPTO TMs'!A:A,D483)&gt;0,"Yes","No"),"")</f>
        <v/>
      </c>
      <c r="C483" s="11"/>
      <c r="D483" s="11"/>
      <c r="E483" s="11"/>
      <c r="F483" s="11"/>
      <c r="G483" s="11"/>
      <c r="H483" s="11"/>
      <c r="I483" s="15"/>
    </row>
    <row r="484" spans="1:9" ht="16.5">
      <c r="A484" s="10" t="b">
        <v>0</v>
      </c>
      <c r="B484" s="11" t="str">
        <f>IF(D484&lt;&gt;"",IF(COUNTIF('USPTO TMs'!A:A,D484)&gt;0,"Yes","No"),"")</f>
        <v/>
      </c>
      <c r="C484" s="11"/>
      <c r="D484" s="11"/>
      <c r="E484" s="11"/>
      <c r="F484" s="11"/>
      <c r="G484" s="11"/>
      <c r="H484" s="11"/>
      <c r="I484" s="15"/>
    </row>
    <row r="485" spans="1:9" ht="16.5">
      <c r="A485" s="10" t="b">
        <v>0</v>
      </c>
      <c r="B485" s="11" t="str">
        <f>IF(D485&lt;&gt;"",IF(COUNTIF('USPTO TMs'!A:A,D485)&gt;0,"Yes","No"),"")</f>
        <v/>
      </c>
      <c r="C485" s="11"/>
      <c r="D485" s="11"/>
      <c r="E485" s="11"/>
      <c r="F485" s="11"/>
      <c r="G485" s="11"/>
      <c r="H485" s="11"/>
      <c r="I485" s="15"/>
    </row>
    <row r="486" spans="1:9" ht="16.5">
      <c r="A486" s="10" t="b">
        <v>0</v>
      </c>
      <c r="B486" s="11" t="str">
        <f>IF(D486&lt;&gt;"",IF(COUNTIF('USPTO TMs'!A:A,D486)&gt;0,"Yes","No"),"")</f>
        <v/>
      </c>
      <c r="C486" s="11"/>
      <c r="D486" s="11"/>
      <c r="E486" s="11"/>
      <c r="F486" s="11"/>
      <c r="G486" s="11"/>
      <c r="H486" s="11"/>
      <c r="I486" s="15"/>
    </row>
    <row r="487" spans="1:9" ht="16.5">
      <c r="A487" s="10" t="b">
        <v>0</v>
      </c>
      <c r="B487" s="11" t="str">
        <f>IF(D487&lt;&gt;"",IF(COUNTIF('USPTO TMs'!A:A,D487)&gt;0,"Yes","No"),"")</f>
        <v/>
      </c>
      <c r="C487" s="11"/>
      <c r="D487" s="11"/>
      <c r="E487" s="11"/>
      <c r="F487" s="11"/>
      <c r="G487" s="11"/>
      <c r="H487" s="11"/>
      <c r="I487" s="15"/>
    </row>
    <row r="488" spans="1:9" ht="16.5">
      <c r="A488" s="10" t="b">
        <v>0</v>
      </c>
      <c r="B488" s="11" t="str">
        <f>IF(D488&lt;&gt;"",IF(COUNTIF('USPTO TMs'!A:A,D488)&gt;0,"Yes","No"),"")</f>
        <v/>
      </c>
      <c r="C488" s="11"/>
      <c r="D488" s="11"/>
      <c r="E488" s="11"/>
      <c r="F488" s="11"/>
      <c r="G488" s="11"/>
      <c r="H488" s="11"/>
      <c r="I488" s="15"/>
    </row>
    <row r="489" spans="1:9" ht="16.5">
      <c r="A489" s="10" t="b">
        <v>0</v>
      </c>
      <c r="B489" s="11" t="str">
        <f>IF(D489&lt;&gt;"",IF(COUNTIF('USPTO TMs'!A:A,D489)&gt;0,"Yes","No"),"")</f>
        <v/>
      </c>
      <c r="C489" s="11"/>
      <c r="D489" s="11"/>
      <c r="E489" s="11"/>
      <c r="F489" s="11"/>
      <c r="G489" s="11"/>
      <c r="H489" s="11"/>
      <c r="I489" s="15"/>
    </row>
    <row r="490" spans="1:9" ht="16.5">
      <c r="A490" s="10" t="b">
        <v>0</v>
      </c>
      <c r="B490" s="11" t="str">
        <f>IF(D490&lt;&gt;"",IF(COUNTIF('USPTO TMs'!A:A,D490)&gt;0,"Yes","No"),"")</f>
        <v/>
      </c>
      <c r="C490" s="11"/>
      <c r="D490" s="11"/>
      <c r="E490" s="11"/>
      <c r="F490" s="11"/>
      <c r="G490" s="11"/>
      <c r="H490" s="11"/>
      <c r="I490" s="15"/>
    </row>
    <row r="491" spans="1:9" ht="16.5">
      <c r="A491" s="10" t="b">
        <v>0</v>
      </c>
      <c r="B491" s="11" t="str">
        <f>IF(D491&lt;&gt;"",IF(COUNTIF('USPTO TMs'!A:A,D491)&gt;0,"Yes","No"),"")</f>
        <v/>
      </c>
      <c r="C491" s="11"/>
      <c r="D491" s="11"/>
      <c r="E491" s="11"/>
      <c r="F491" s="11"/>
      <c r="G491" s="11"/>
      <c r="H491" s="11"/>
      <c r="I491" s="15"/>
    </row>
    <row r="492" spans="1:9" ht="16.5">
      <c r="A492" s="10" t="b">
        <v>0</v>
      </c>
      <c r="B492" s="11" t="str">
        <f>IF(D492&lt;&gt;"",IF(COUNTIF('USPTO TMs'!A:A,D492)&gt;0,"Yes","No"),"")</f>
        <v/>
      </c>
      <c r="C492" s="11"/>
      <c r="D492" s="11"/>
      <c r="E492" s="11"/>
      <c r="F492" s="11"/>
      <c r="G492" s="11"/>
      <c r="H492" s="11"/>
      <c r="I492" s="15"/>
    </row>
    <row r="493" spans="1:9" ht="16.5">
      <c r="A493" s="10" t="b">
        <v>0</v>
      </c>
      <c r="B493" s="11" t="str">
        <f>IF(D493&lt;&gt;"",IF(COUNTIF('USPTO TMs'!A:A,D493)&gt;0,"Yes","No"),"")</f>
        <v/>
      </c>
      <c r="C493" s="11"/>
      <c r="D493" s="11"/>
      <c r="E493" s="11"/>
      <c r="F493" s="11"/>
      <c r="G493" s="11"/>
      <c r="H493" s="11"/>
      <c r="I493" s="15"/>
    </row>
    <row r="494" spans="1:9" ht="16.5">
      <c r="A494" s="10" t="b">
        <v>0</v>
      </c>
      <c r="B494" s="11" t="str">
        <f>IF(D494&lt;&gt;"",IF(COUNTIF('USPTO TMs'!A:A,D494)&gt;0,"Yes","No"),"")</f>
        <v/>
      </c>
      <c r="C494" s="11"/>
      <c r="D494" s="11"/>
      <c r="E494" s="11"/>
      <c r="F494" s="11"/>
      <c r="G494" s="11"/>
      <c r="H494" s="11"/>
      <c r="I494" s="15"/>
    </row>
    <row r="495" spans="1:9" ht="16.5">
      <c r="A495" s="10" t="b">
        <v>0</v>
      </c>
      <c r="B495" s="11" t="str">
        <f>IF(D495&lt;&gt;"",IF(COUNTIF('USPTO TMs'!A:A,D495)&gt;0,"Yes","No"),"")</f>
        <v/>
      </c>
      <c r="C495" s="11"/>
      <c r="D495" s="11"/>
      <c r="E495" s="11"/>
      <c r="F495" s="11"/>
      <c r="G495" s="11"/>
      <c r="H495" s="11"/>
      <c r="I495" s="15"/>
    </row>
    <row r="496" spans="1:9" ht="16.5">
      <c r="A496" s="10" t="b">
        <v>0</v>
      </c>
      <c r="B496" s="11" t="str">
        <f>IF(D496&lt;&gt;"",IF(COUNTIF('USPTO TMs'!A:A,D496)&gt;0,"Yes","No"),"")</f>
        <v/>
      </c>
      <c r="C496" s="11"/>
      <c r="D496" s="11"/>
      <c r="E496" s="11"/>
      <c r="F496" s="11"/>
      <c r="G496" s="11"/>
      <c r="H496" s="11"/>
      <c r="I496" s="15"/>
    </row>
    <row r="497" spans="1:9" ht="16.5">
      <c r="A497" s="10" t="b">
        <v>0</v>
      </c>
      <c r="B497" s="11" t="str">
        <f>IF(D497&lt;&gt;"",IF(COUNTIF('USPTO TMs'!A:A,D497)&gt;0,"Yes","No"),"")</f>
        <v/>
      </c>
      <c r="C497" s="11"/>
      <c r="D497" s="11"/>
      <c r="E497" s="11"/>
      <c r="F497" s="11"/>
      <c r="G497" s="11"/>
      <c r="H497" s="11"/>
      <c r="I497" s="15"/>
    </row>
    <row r="498" spans="1:9" ht="16.5">
      <c r="A498" s="10" t="b">
        <v>0</v>
      </c>
      <c r="B498" s="11" t="str">
        <f>IF(D498&lt;&gt;"",IF(COUNTIF('USPTO TMs'!A:A,D498)&gt;0,"Yes","No"),"")</f>
        <v/>
      </c>
      <c r="C498" s="11"/>
      <c r="D498" s="11"/>
      <c r="E498" s="11"/>
      <c r="F498" s="11"/>
      <c r="G498" s="11"/>
      <c r="H498" s="11"/>
      <c r="I498" s="15"/>
    </row>
    <row r="499" spans="1:9" ht="16.5">
      <c r="A499" s="10" t="b">
        <v>0</v>
      </c>
      <c r="B499" s="11" t="str">
        <f>IF(D499&lt;&gt;"",IF(COUNTIF('USPTO TMs'!A:A,D499)&gt;0,"Yes","No"),"")</f>
        <v/>
      </c>
      <c r="C499" s="11"/>
      <c r="D499" s="11"/>
      <c r="E499" s="11"/>
      <c r="F499" s="11"/>
      <c r="G499" s="11"/>
      <c r="H499" s="11"/>
      <c r="I499" s="15"/>
    </row>
    <row r="500" spans="1:9" ht="16.5">
      <c r="A500" s="10" t="b">
        <v>0</v>
      </c>
      <c r="B500" s="11" t="str">
        <f>IF(D500&lt;&gt;"",IF(COUNTIF('USPTO TMs'!A:A,D500)&gt;0,"Yes","No"),"")</f>
        <v/>
      </c>
      <c r="C500" s="11"/>
      <c r="D500" s="11"/>
      <c r="E500" s="11"/>
      <c r="F500" s="11"/>
      <c r="G500" s="11"/>
      <c r="H500" s="11"/>
      <c r="I500" s="15"/>
    </row>
    <row r="501" spans="1:9" ht="16.5">
      <c r="A501" s="10" t="b">
        <v>0</v>
      </c>
      <c r="B501" s="11" t="str">
        <f>IF(D501&lt;&gt;"",IF(COUNTIF('USPTO TMs'!A:A,D501)&gt;0,"Yes","No"),"")</f>
        <v/>
      </c>
      <c r="C501" s="11"/>
      <c r="D501" s="11"/>
      <c r="E501" s="11"/>
      <c r="F501" s="11"/>
      <c r="G501" s="11"/>
      <c r="H501" s="11"/>
      <c r="I501" s="15"/>
    </row>
    <row r="502" spans="1:9" ht="16.5">
      <c r="A502" s="10" t="b">
        <v>0</v>
      </c>
      <c r="B502" s="11" t="str">
        <f>IF(D502&lt;&gt;"",IF(COUNTIF('USPTO TMs'!A:A,D502)&gt;0,"Yes","No"),"")</f>
        <v/>
      </c>
      <c r="C502" s="11"/>
      <c r="D502" s="11"/>
      <c r="E502" s="11"/>
      <c r="F502" s="11"/>
      <c r="G502" s="11"/>
      <c r="H502" s="11"/>
      <c r="I502" s="15"/>
    </row>
    <row r="503" spans="1:9" ht="16.5">
      <c r="A503" s="10" t="b">
        <v>0</v>
      </c>
      <c r="B503" s="11" t="str">
        <f>IF(D503&lt;&gt;"",IF(COUNTIF('USPTO TMs'!A:A,D503)&gt;0,"Yes","No"),"")</f>
        <v/>
      </c>
      <c r="C503" s="11"/>
      <c r="D503" s="11"/>
      <c r="E503" s="11"/>
      <c r="F503" s="11"/>
      <c r="G503" s="11"/>
      <c r="H503" s="11"/>
      <c r="I503" s="15"/>
    </row>
    <row r="504" spans="1:9" ht="16.5">
      <c r="A504" s="10" t="b">
        <v>0</v>
      </c>
      <c r="B504" s="11" t="str">
        <f>IF(D504&lt;&gt;"",IF(COUNTIF('USPTO TMs'!A:A,D504)&gt;0,"Yes","No"),"")</f>
        <v/>
      </c>
      <c r="C504" s="11"/>
      <c r="D504" s="11"/>
      <c r="E504" s="11"/>
      <c r="F504" s="11"/>
      <c r="G504" s="11"/>
      <c r="H504" s="11"/>
      <c r="I504" s="15"/>
    </row>
    <row r="505" spans="1:9" ht="16.5">
      <c r="A505" s="10" t="b">
        <v>0</v>
      </c>
      <c r="B505" s="11" t="str">
        <f>IF(D505&lt;&gt;"",IF(COUNTIF('USPTO TMs'!A:A,D505)&gt;0,"Yes","No"),"")</f>
        <v/>
      </c>
      <c r="C505" s="11"/>
      <c r="D505" s="11"/>
      <c r="E505" s="11"/>
      <c r="F505" s="11"/>
      <c r="G505" s="11"/>
      <c r="H505" s="11"/>
      <c r="I505" s="15"/>
    </row>
    <row r="506" spans="1:9" ht="16.5">
      <c r="A506" s="10" t="b">
        <v>0</v>
      </c>
      <c r="B506" s="11" t="str">
        <f>IF(D506&lt;&gt;"",IF(COUNTIF('USPTO TMs'!A:A,D506)&gt;0,"Yes","No"),"")</f>
        <v/>
      </c>
      <c r="C506" s="11"/>
      <c r="D506" s="11"/>
      <c r="E506" s="11"/>
      <c r="F506" s="11"/>
      <c r="G506" s="11"/>
      <c r="H506" s="11"/>
      <c r="I506" s="15"/>
    </row>
    <row r="507" spans="1:9" ht="16.5">
      <c r="A507" s="10" t="b">
        <v>0</v>
      </c>
      <c r="B507" s="11" t="str">
        <f>IF(D507&lt;&gt;"",IF(COUNTIF('USPTO TMs'!A:A,D507)&gt;0,"Yes","No"),"")</f>
        <v/>
      </c>
      <c r="C507" s="11"/>
      <c r="D507" s="11"/>
      <c r="E507" s="11"/>
      <c r="F507" s="11"/>
      <c r="G507" s="11"/>
      <c r="H507" s="11"/>
      <c r="I507" s="15"/>
    </row>
    <row r="508" spans="1:9" ht="16.5">
      <c r="A508" s="10" t="b">
        <v>0</v>
      </c>
      <c r="B508" s="11" t="str">
        <f>IF(D508&lt;&gt;"",IF(COUNTIF('USPTO TMs'!A:A,D508)&gt;0,"Yes","No"),"")</f>
        <v/>
      </c>
      <c r="C508" s="11"/>
      <c r="D508" s="11"/>
      <c r="E508" s="11"/>
      <c r="F508" s="11"/>
      <c r="G508" s="11"/>
      <c r="H508" s="11"/>
      <c r="I508" s="15"/>
    </row>
    <row r="509" spans="1:9" ht="16.5">
      <c r="A509" s="10" t="b">
        <v>0</v>
      </c>
      <c r="B509" s="11" t="str">
        <f>IF(D509&lt;&gt;"",IF(COUNTIF('USPTO TMs'!A:A,D509)&gt;0,"Yes","No"),"")</f>
        <v/>
      </c>
      <c r="C509" s="11"/>
      <c r="D509" s="11"/>
      <c r="E509" s="11"/>
      <c r="F509" s="11"/>
      <c r="G509" s="11"/>
      <c r="H509" s="11"/>
      <c r="I509" s="15"/>
    </row>
    <row r="510" spans="1:9" ht="16.5">
      <c r="A510" s="10" t="b">
        <v>0</v>
      </c>
      <c r="B510" s="11" t="str">
        <f>IF(D510&lt;&gt;"",IF(COUNTIF('USPTO TMs'!A:A,D510)&gt;0,"Yes","No"),"")</f>
        <v/>
      </c>
      <c r="C510" s="11"/>
      <c r="D510" s="11"/>
      <c r="E510" s="11"/>
      <c r="F510" s="11"/>
      <c r="G510" s="11"/>
      <c r="H510" s="11"/>
      <c r="I510" s="15"/>
    </row>
    <row r="511" spans="1:9" ht="16.5">
      <c r="A511" s="10" t="b">
        <v>0</v>
      </c>
      <c r="B511" s="11" t="str">
        <f>IF(D511&lt;&gt;"",IF(COUNTIF('USPTO TMs'!A:A,D511)&gt;0,"Yes","No"),"")</f>
        <v/>
      </c>
      <c r="C511" s="11"/>
      <c r="D511" s="11"/>
      <c r="E511" s="11"/>
      <c r="F511" s="11"/>
      <c r="G511" s="11"/>
      <c r="H511" s="11"/>
      <c r="I511" s="15"/>
    </row>
    <row r="512" spans="1:9" ht="16.5">
      <c r="A512" s="10" t="b">
        <v>0</v>
      </c>
      <c r="B512" s="11" t="str">
        <f>IF(D512&lt;&gt;"",IF(COUNTIF('USPTO TMs'!A:A,D512)&gt;0,"Yes","No"),"")</f>
        <v/>
      </c>
      <c r="C512" s="11"/>
      <c r="D512" s="11"/>
      <c r="E512" s="11"/>
      <c r="F512" s="11"/>
      <c r="G512" s="11"/>
      <c r="H512" s="11"/>
      <c r="I512" s="15"/>
    </row>
    <row r="513" spans="1:9" ht="16.5">
      <c r="A513" s="10" t="b">
        <v>0</v>
      </c>
      <c r="B513" s="11" t="str">
        <f>IF(D513&lt;&gt;"",IF(COUNTIF('USPTO TMs'!A:A,D513)&gt;0,"Yes","No"),"")</f>
        <v/>
      </c>
      <c r="C513" s="11"/>
      <c r="D513" s="11"/>
      <c r="E513" s="11"/>
      <c r="F513" s="11"/>
      <c r="G513" s="11"/>
      <c r="H513" s="11"/>
      <c r="I513" s="15"/>
    </row>
    <row r="514" spans="1:9" ht="16.5">
      <c r="A514" s="10" t="b">
        <v>0</v>
      </c>
      <c r="B514" s="11" t="str">
        <f>IF(D514&lt;&gt;"",IF(COUNTIF('USPTO TMs'!A:A,D514)&gt;0,"Yes","No"),"")</f>
        <v/>
      </c>
      <c r="C514" s="11"/>
      <c r="D514" s="11"/>
      <c r="E514" s="11"/>
      <c r="F514" s="11"/>
      <c r="G514" s="11"/>
      <c r="H514" s="11"/>
      <c r="I514" s="15"/>
    </row>
    <row r="515" spans="1:9" ht="16.5">
      <c r="A515" s="10" t="b">
        <v>0</v>
      </c>
      <c r="B515" s="11" t="str">
        <f>IF(D515&lt;&gt;"",IF(COUNTIF('USPTO TMs'!A:A,D515)&gt;0,"Yes","No"),"")</f>
        <v/>
      </c>
      <c r="C515" s="11"/>
      <c r="D515" s="11"/>
      <c r="E515" s="11"/>
      <c r="F515" s="11"/>
      <c r="G515" s="11"/>
      <c r="H515" s="11"/>
      <c r="I515" s="15"/>
    </row>
    <row r="516" spans="1:9" ht="16.5">
      <c r="A516" s="10" t="b">
        <v>0</v>
      </c>
      <c r="B516" s="11" t="str">
        <f>IF(D516&lt;&gt;"",IF(COUNTIF('USPTO TMs'!A:A,D516)&gt;0,"Yes","No"),"")</f>
        <v/>
      </c>
      <c r="C516" s="11"/>
      <c r="D516" s="11"/>
      <c r="E516" s="11"/>
      <c r="F516" s="11"/>
      <c r="G516" s="11"/>
      <c r="H516" s="11"/>
      <c r="I516" s="15"/>
    </row>
    <row r="517" spans="1:9" ht="16.5">
      <c r="A517" s="10" t="b">
        <v>0</v>
      </c>
      <c r="B517" s="11" t="str">
        <f>IF(D517&lt;&gt;"",IF(COUNTIF('USPTO TMs'!A:A,D517)&gt;0,"Yes","No"),"")</f>
        <v/>
      </c>
      <c r="C517" s="11"/>
      <c r="D517" s="11"/>
      <c r="E517" s="11"/>
      <c r="F517" s="11"/>
      <c r="G517" s="11"/>
      <c r="H517" s="11"/>
      <c r="I517" s="15"/>
    </row>
    <row r="518" spans="1:9" ht="16.5">
      <c r="A518" s="10" t="b">
        <v>0</v>
      </c>
      <c r="B518" s="11" t="str">
        <f>IF(D518&lt;&gt;"",IF(COUNTIF('USPTO TMs'!A:A,D518)&gt;0,"Yes","No"),"")</f>
        <v/>
      </c>
      <c r="C518" s="11"/>
      <c r="D518" s="11"/>
      <c r="E518" s="11"/>
      <c r="F518" s="11"/>
      <c r="G518" s="11"/>
      <c r="H518" s="11"/>
      <c r="I518" s="15"/>
    </row>
    <row r="519" spans="1:9" ht="16.5">
      <c r="A519" s="10" t="b">
        <v>0</v>
      </c>
      <c r="B519" s="11" t="str">
        <f>IF(D519&lt;&gt;"",IF(COUNTIF('USPTO TMs'!A:A,D519)&gt;0,"Yes","No"),"")</f>
        <v/>
      </c>
      <c r="C519" s="11"/>
      <c r="D519" s="11"/>
      <c r="E519" s="11"/>
      <c r="F519" s="11"/>
      <c r="G519" s="11"/>
      <c r="H519" s="11"/>
      <c r="I519" s="15"/>
    </row>
    <row r="520" spans="1:9" ht="16.5">
      <c r="A520" s="10" t="b">
        <v>0</v>
      </c>
      <c r="B520" s="11" t="str">
        <f>IF(D520&lt;&gt;"",IF(COUNTIF('USPTO TMs'!A:A,D520)&gt;0,"Yes","No"),"")</f>
        <v/>
      </c>
      <c r="C520" s="11"/>
      <c r="D520" s="11"/>
      <c r="E520" s="11"/>
      <c r="F520" s="11"/>
      <c r="G520" s="11"/>
      <c r="H520" s="11"/>
      <c r="I520" s="15"/>
    </row>
    <row r="521" spans="1:9" ht="16.5">
      <c r="A521" s="10" t="b">
        <v>0</v>
      </c>
      <c r="B521" s="11" t="str">
        <f>IF(D521&lt;&gt;"",IF(COUNTIF('USPTO TMs'!A:A,D521)&gt;0,"Yes","No"),"")</f>
        <v/>
      </c>
      <c r="C521" s="11"/>
      <c r="D521" s="11"/>
      <c r="E521" s="11"/>
      <c r="F521" s="11"/>
      <c r="G521" s="11"/>
      <c r="H521" s="11"/>
      <c r="I521" s="15"/>
    </row>
    <row r="522" spans="1:9" ht="16.5">
      <c r="A522" s="10" t="b">
        <v>0</v>
      </c>
      <c r="B522" s="11" t="str">
        <f>IF(D522&lt;&gt;"",IF(COUNTIF('USPTO TMs'!A:A,D522)&gt;0,"Yes","No"),"")</f>
        <v/>
      </c>
      <c r="C522" s="11"/>
      <c r="D522" s="11"/>
      <c r="E522" s="11"/>
      <c r="F522" s="11"/>
      <c r="G522" s="11"/>
      <c r="H522" s="11"/>
      <c r="I522" s="15"/>
    </row>
    <row r="523" spans="1:9" ht="16.5">
      <c r="A523" s="10" t="b">
        <v>0</v>
      </c>
      <c r="B523" s="11" t="str">
        <f>IF(D523&lt;&gt;"",IF(COUNTIF('USPTO TMs'!A:A,D523)&gt;0,"Yes","No"),"")</f>
        <v/>
      </c>
      <c r="C523" s="11"/>
      <c r="D523" s="11"/>
      <c r="E523" s="11"/>
      <c r="F523" s="11"/>
      <c r="G523" s="11"/>
      <c r="H523" s="11"/>
      <c r="I523" s="15"/>
    </row>
    <row r="524" spans="1:9" ht="16.5">
      <c r="A524" s="10" t="b">
        <v>0</v>
      </c>
      <c r="B524" s="11" t="str">
        <f>IF(D524&lt;&gt;"",IF(COUNTIF('USPTO TMs'!A:A,D524)&gt;0,"Yes","No"),"")</f>
        <v/>
      </c>
      <c r="C524" s="11"/>
      <c r="D524" s="11"/>
      <c r="E524" s="11"/>
      <c r="F524" s="11"/>
      <c r="G524" s="11"/>
      <c r="H524" s="11"/>
      <c r="I524" s="15"/>
    </row>
    <row r="525" spans="1:9" ht="16.5">
      <c r="A525" s="10" t="b">
        <v>0</v>
      </c>
      <c r="B525" s="11" t="str">
        <f>IF(D525&lt;&gt;"",IF(COUNTIF('USPTO TMs'!A:A,D525)&gt;0,"Yes","No"),"")</f>
        <v/>
      </c>
      <c r="C525" s="11"/>
      <c r="D525" s="11"/>
      <c r="E525" s="11"/>
      <c r="F525" s="11"/>
      <c r="G525" s="11"/>
      <c r="H525" s="11"/>
      <c r="I525" s="15"/>
    </row>
    <row r="526" spans="1:9" ht="16.5">
      <c r="A526" s="10" t="b">
        <v>0</v>
      </c>
      <c r="B526" s="11" t="str">
        <f>IF(D526&lt;&gt;"",IF(COUNTIF('USPTO TMs'!A:A,D526)&gt;0,"Yes","No"),"")</f>
        <v/>
      </c>
      <c r="C526" s="11"/>
      <c r="D526" s="11"/>
      <c r="E526" s="11"/>
      <c r="F526" s="11"/>
      <c r="G526" s="11"/>
      <c r="H526" s="11"/>
      <c r="I526" s="15"/>
    </row>
    <row r="527" spans="1:9" ht="16.5">
      <c r="A527" s="10" t="b">
        <v>0</v>
      </c>
      <c r="B527" s="11" t="str">
        <f>IF(D527&lt;&gt;"",IF(COUNTIF('USPTO TMs'!A:A,D527)&gt;0,"Yes","No"),"")</f>
        <v/>
      </c>
      <c r="C527" s="11"/>
      <c r="D527" s="11"/>
      <c r="E527" s="11"/>
      <c r="F527" s="11"/>
      <c r="G527" s="11"/>
      <c r="H527" s="11"/>
      <c r="I527" s="15"/>
    </row>
    <row r="528" spans="1:9" ht="16.5">
      <c r="A528" s="10" t="b">
        <v>0</v>
      </c>
      <c r="B528" s="11" t="str">
        <f>IF(D528&lt;&gt;"",IF(COUNTIF('USPTO TMs'!A:A,D528)&gt;0,"Yes","No"),"")</f>
        <v/>
      </c>
      <c r="C528" s="11"/>
      <c r="D528" s="11"/>
      <c r="E528" s="11"/>
      <c r="F528" s="11"/>
      <c r="G528" s="11"/>
      <c r="H528" s="11"/>
      <c r="I528" s="15"/>
    </row>
    <row r="529" spans="1:9" ht="16.5">
      <c r="A529" s="10" t="b">
        <v>0</v>
      </c>
      <c r="B529" s="11" t="str">
        <f>IF(D529&lt;&gt;"",IF(COUNTIF('USPTO TMs'!A:A,D529)&gt;0,"Yes","No"),"")</f>
        <v/>
      </c>
      <c r="C529" s="11"/>
      <c r="D529" s="11"/>
      <c r="E529" s="11"/>
      <c r="F529" s="11"/>
      <c r="G529" s="11"/>
      <c r="H529" s="11"/>
      <c r="I529" s="15"/>
    </row>
    <row r="530" spans="1:9" ht="16.5">
      <c r="A530" s="10" t="b">
        <v>0</v>
      </c>
      <c r="B530" s="11" t="str">
        <f>IF(D530&lt;&gt;"",IF(COUNTIF('USPTO TMs'!A:A,D530)&gt;0,"Yes","No"),"")</f>
        <v/>
      </c>
      <c r="C530" s="11"/>
      <c r="D530" s="11"/>
      <c r="E530" s="11"/>
      <c r="F530" s="11"/>
      <c r="G530" s="11"/>
      <c r="H530" s="11"/>
      <c r="I530" s="15"/>
    </row>
    <row r="531" spans="1:9" ht="16.5">
      <c r="A531" s="10" t="b">
        <v>0</v>
      </c>
      <c r="B531" s="11" t="str">
        <f>IF(D531&lt;&gt;"",IF(COUNTIF('USPTO TMs'!A:A,D531)&gt;0,"Yes","No"),"")</f>
        <v/>
      </c>
      <c r="C531" s="11"/>
      <c r="D531" s="11"/>
      <c r="E531" s="11"/>
      <c r="F531" s="11"/>
      <c r="G531" s="11"/>
      <c r="H531" s="11"/>
      <c r="I531" s="15"/>
    </row>
    <row r="532" spans="1:9" ht="16.5">
      <c r="A532" s="10" t="b">
        <v>0</v>
      </c>
      <c r="B532" s="11" t="str">
        <f>IF(D532&lt;&gt;"",IF(COUNTIF('USPTO TMs'!A:A,D532)&gt;0,"Yes","No"),"")</f>
        <v/>
      </c>
      <c r="C532" s="11"/>
      <c r="D532" s="11"/>
      <c r="E532" s="11"/>
      <c r="F532" s="11"/>
      <c r="G532" s="11"/>
      <c r="H532" s="11"/>
      <c r="I532" s="15"/>
    </row>
    <row r="533" spans="1:9" ht="16.5">
      <c r="A533" s="10" t="b">
        <v>0</v>
      </c>
      <c r="B533" s="11" t="str">
        <f>IF(D533&lt;&gt;"",IF(COUNTIF('USPTO TMs'!A:A,D533)&gt;0,"Yes","No"),"")</f>
        <v/>
      </c>
      <c r="C533" s="11"/>
      <c r="D533" s="11"/>
      <c r="E533" s="11"/>
      <c r="F533" s="11"/>
      <c r="G533" s="11"/>
      <c r="H533" s="11"/>
      <c r="I533" s="15"/>
    </row>
    <row r="534" spans="1:9" ht="16.5">
      <c r="A534" s="10" t="b">
        <v>0</v>
      </c>
      <c r="B534" s="11" t="str">
        <f>IF(D534&lt;&gt;"",IF(COUNTIF('USPTO TMs'!A:A,D534)&gt;0,"Yes","No"),"")</f>
        <v/>
      </c>
      <c r="C534" s="11"/>
      <c r="D534" s="11"/>
      <c r="E534" s="11"/>
      <c r="F534" s="11"/>
      <c r="G534" s="11"/>
      <c r="H534" s="11"/>
      <c r="I534" s="15"/>
    </row>
    <row r="535" spans="1:9" ht="16.5">
      <c r="A535" s="10" t="b">
        <v>0</v>
      </c>
      <c r="B535" s="11" t="str">
        <f>IF(D535&lt;&gt;"",IF(COUNTIF('USPTO TMs'!A:A,D535)&gt;0,"Yes","No"),"")</f>
        <v/>
      </c>
      <c r="C535" s="11"/>
      <c r="D535" s="11"/>
      <c r="E535" s="11"/>
      <c r="F535" s="11"/>
      <c r="G535" s="11"/>
      <c r="H535" s="11"/>
      <c r="I535" s="15"/>
    </row>
    <row r="536" spans="1:9" ht="16.5">
      <c r="A536" s="10" t="b">
        <v>0</v>
      </c>
      <c r="B536" s="11" t="str">
        <f>IF(D536&lt;&gt;"",IF(COUNTIF('USPTO TMs'!A:A,D536)&gt;0,"Yes","No"),"")</f>
        <v/>
      </c>
      <c r="C536" s="11"/>
      <c r="D536" s="11"/>
      <c r="E536" s="11"/>
      <c r="F536" s="11"/>
      <c r="G536" s="11"/>
      <c r="H536" s="11"/>
      <c r="I536" s="15"/>
    </row>
    <row r="537" spans="1:9" ht="16.5">
      <c r="A537" s="10" t="b">
        <v>0</v>
      </c>
      <c r="B537" s="11" t="str">
        <f>IF(D537&lt;&gt;"",IF(COUNTIF('USPTO TMs'!A:A,D537)&gt;0,"Yes","No"),"")</f>
        <v/>
      </c>
      <c r="C537" s="11"/>
      <c r="D537" s="11"/>
      <c r="E537" s="11"/>
      <c r="F537" s="11"/>
      <c r="G537" s="11"/>
      <c r="H537" s="11"/>
      <c r="I537" s="15"/>
    </row>
    <row r="538" spans="1:9" ht="16.5">
      <c r="A538" s="10" t="b">
        <v>0</v>
      </c>
      <c r="B538" s="11" t="str">
        <f>IF(D538&lt;&gt;"",IF(COUNTIF('USPTO TMs'!A:A,D538)&gt;0,"Yes","No"),"")</f>
        <v/>
      </c>
      <c r="C538" s="11"/>
      <c r="D538" s="11"/>
      <c r="E538" s="11"/>
      <c r="F538" s="11"/>
      <c r="G538" s="11"/>
      <c r="H538" s="11"/>
      <c r="I538" s="15"/>
    </row>
    <row r="539" spans="1:9" ht="16.5">
      <c r="A539" s="10" t="b">
        <v>0</v>
      </c>
      <c r="B539" s="11" t="str">
        <f>IF(D539&lt;&gt;"",IF(COUNTIF('USPTO TMs'!A:A,D539)&gt;0,"Yes","No"),"")</f>
        <v/>
      </c>
      <c r="C539" s="11"/>
      <c r="D539" s="11"/>
      <c r="E539" s="11"/>
      <c r="F539" s="11"/>
      <c r="G539" s="11"/>
      <c r="H539" s="11"/>
      <c r="I539" s="15"/>
    </row>
    <row r="540" spans="1:9" ht="16.5">
      <c r="A540" s="10" t="b">
        <v>0</v>
      </c>
      <c r="B540" s="11" t="str">
        <f>IF(D540&lt;&gt;"",IF(COUNTIF('USPTO TMs'!A:A,D540)&gt;0,"Yes","No"),"")</f>
        <v/>
      </c>
      <c r="C540" s="11"/>
      <c r="D540" s="11"/>
      <c r="E540" s="11"/>
      <c r="F540" s="11"/>
      <c r="G540" s="11"/>
      <c r="H540" s="11"/>
      <c r="I540" s="15"/>
    </row>
    <row r="541" spans="1:9" ht="16.5">
      <c r="A541" s="10" t="b">
        <v>0</v>
      </c>
      <c r="B541" s="11" t="str">
        <f>IF(D541&lt;&gt;"",IF(COUNTIF('USPTO TMs'!A:A,D541)&gt;0,"Yes","No"),"")</f>
        <v/>
      </c>
      <c r="C541" s="11"/>
      <c r="D541" s="11"/>
      <c r="E541" s="11"/>
      <c r="F541" s="11"/>
      <c r="G541" s="11"/>
      <c r="H541" s="11"/>
      <c r="I541" s="15"/>
    </row>
    <row r="542" spans="1:9" ht="16.5">
      <c r="A542" s="10" t="b">
        <v>0</v>
      </c>
      <c r="B542" s="11" t="str">
        <f>IF(D542&lt;&gt;"",IF(COUNTIF('USPTO TMs'!A:A,D542)&gt;0,"Yes","No"),"")</f>
        <v/>
      </c>
      <c r="C542" s="11"/>
      <c r="D542" s="11"/>
      <c r="E542" s="11"/>
      <c r="F542" s="11"/>
      <c r="G542" s="11"/>
      <c r="H542" s="11"/>
      <c r="I542" s="15"/>
    </row>
    <row r="543" spans="1:9" ht="16.5">
      <c r="A543" s="10" t="b">
        <v>0</v>
      </c>
      <c r="B543" s="11" t="str">
        <f>IF(D543&lt;&gt;"",IF(COUNTIF('USPTO TMs'!A:A,D543)&gt;0,"Yes","No"),"")</f>
        <v/>
      </c>
      <c r="C543" s="11"/>
      <c r="D543" s="11"/>
      <c r="E543" s="11"/>
      <c r="F543" s="11"/>
      <c r="G543" s="11"/>
      <c r="H543" s="11"/>
      <c r="I543" s="15"/>
    </row>
    <row r="544" spans="1:9" ht="16.5">
      <c r="A544" s="10" t="b">
        <v>0</v>
      </c>
      <c r="B544" s="11" t="str">
        <f>IF(D544&lt;&gt;"",IF(COUNTIF('USPTO TMs'!A:A,D544)&gt;0,"Yes","No"),"")</f>
        <v/>
      </c>
      <c r="C544" s="11"/>
      <c r="D544" s="11"/>
      <c r="E544" s="11"/>
      <c r="F544" s="11"/>
      <c r="G544" s="11"/>
      <c r="H544" s="11"/>
      <c r="I544" s="15"/>
    </row>
    <row r="545" spans="1:9" ht="16.5">
      <c r="A545" s="10" t="b">
        <v>0</v>
      </c>
      <c r="B545" s="11" t="str">
        <f>IF(D545&lt;&gt;"",IF(COUNTIF('USPTO TMs'!A:A,D545)&gt;0,"Yes","No"),"")</f>
        <v/>
      </c>
      <c r="C545" s="11"/>
      <c r="D545" s="11"/>
      <c r="E545" s="11"/>
      <c r="F545" s="11"/>
      <c r="G545" s="11"/>
      <c r="H545" s="11"/>
      <c r="I545" s="15"/>
    </row>
    <row r="546" spans="1:9" ht="16.5">
      <c r="A546" s="10" t="b">
        <v>0</v>
      </c>
      <c r="B546" s="11" t="str">
        <f>IF(D546&lt;&gt;"",IF(COUNTIF('USPTO TMs'!A:A,D546)&gt;0,"Yes","No"),"")</f>
        <v/>
      </c>
      <c r="C546" s="11"/>
      <c r="D546" s="11"/>
      <c r="E546" s="11"/>
      <c r="F546" s="11"/>
      <c r="G546" s="11"/>
      <c r="H546" s="11"/>
      <c r="I546" s="15"/>
    </row>
    <row r="547" spans="1:9" ht="16.5">
      <c r="A547" s="10" t="b">
        <v>0</v>
      </c>
      <c r="B547" s="11" t="str">
        <f>IF(D547&lt;&gt;"",IF(COUNTIF('USPTO TMs'!A:A,D547)&gt;0,"Yes","No"),"")</f>
        <v/>
      </c>
      <c r="C547" s="11"/>
      <c r="D547" s="11"/>
      <c r="E547" s="11"/>
      <c r="F547" s="11"/>
      <c r="G547" s="11"/>
      <c r="H547" s="11"/>
      <c r="I547" s="15"/>
    </row>
    <row r="548" spans="1:9" ht="16.5">
      <c r="A548" s="10" t="b">
        <v>0</v>
      </c>
      <c r="B548" s="11" t="str">
        <f>IF(D548&lt;&gt;"",IF(COUNTIF('USPTO TMs'!A:A,D548)&gt;0,"Yes","No"),"")</f>
        <v/>
      </c>
      <c r="C548" s="11"/>
      <c r="D548" s="11"/>
      <c r="E548" s="11"/>
      <c r="F548" s="11"/>
      <c r="G548" s="11"/>
      <c r="H548" s="11"/>
      <c r="I548" s="15"/>
    </row>
    <row r="549" spans="1:9" ht="16.5">
      <c r="A549" s="10" t="b">
        <v>0</v>
      </c>
      <c r="B549" s="11" t="str">
        <f>IF(D549&lt;&gt;"",IF(COUNTIF('USPTO TMs'!A:A,D549)&gt;0,"Yes","No"),"")</f>
        <v/>
      </c>
      <c r="C549" s="11"/>
      <c r="D549" s="11"/>
      <c r="E549" s="11"/>
      <c r="F549" s="11"/>
      <c r="G549" s="11"/>
      <c r="H549" s="11"/>
      <c r="I549" s="15"/>
    </row>
    <row r="550" spans="1:9" ht="16.5">
      <c r="A550" s="10" t="b">
        <v>0</v>
      </c>
      <c r="B550" s="11" t="str">
        <f>IF(D550&lt;&gt;"",IF(COUNTIF('USPTO TMs'!A:A,D550)&gt;0,"Yes","No"),"")</f>
        <v/>
      </c>
      <c r="C550" s="11"/>
      <c r="D550" s="11"/>
      <c r="E550" s="11"/>
      <c r="F550" s="11"/>
      <c r="G550" s="11"/>
      <c r="H550" s="11"/>
      <c r="I550" s="15"/>
    </row>
    <row r="551" spans="1:9" ht="16.5">
      <c r="A551" s="10" t="b">
        <v>0</v>
      </c>
      <c r="B551" s="11" t="str">
        <f>IF(D551&lt;&gt;"",IF(COUNTIF('USPTO TMs'!A:A,D551)&gt;0,"Yes","No"),"")</f>
        <v/>
      </c>
      <c r="C551" s="11"/>
      <c r="D551" s="11"/>
      <c r="E551" s="11"/>
      <c r="F551" s="11"/>
      <c r="G551" s="11"/>
      <c r="H551" s="11"/>
      <c r="I551" s="15"/>
    </row>
    <row r="552" spans="1:9" ht="16.5">
      <c r="A552" s="10" t="b">
        <v>0</v>
      </c>
      <c r="B552" s="11" t="str">
        <f>IF(D552&lt;&gt;"",IF(COUNTIF('USPTO TMs'!A:A,D552)&gt;0,"Yes","No"),"")</f>
        <v/>
      </c>
      <c r="C552" s="11"/>
      <c r="D552" s="11"/>
      <c r="E552" s="11"/>
      <c r="F552" s="11"/>
      <c r="G552" s="11"/>
      <c r="H552" s="11"/>
      <c r="I552" s="15"/>
    </row>
    <row r="553" spans="1:9" ht="16.5">
      <c r="A553" s="10" t="b">
        <v>0</v>
      </c>
      <c r="B553" s="11" t="str">
        <f>IF(D553&lt;&gt;"",IF(COUNTIF('USPTO TMs'!A:A,D553)&gt;0,"Yes","No"),"")</f>
        <v/>
      </c>
      <c r="C553" s="11"/>
      <c r="D553" s="11"/>
      <c r="E553" s="11"/>
      <c r="F553" s="11"/>
      <c r="G553" s="11"/>
      <c r="H553" s="11"/>
      <c r="I553" s="15"/>
    </row>
    <row r="554" spans="1:9" ht="16.5">
      <c r="A554" s="10" t="b">
        <v>0</v>
      </c>
      <c r="B554" s="11" t="str">
        <f>IF(D554&lt;&gt;"",IF(COUNTIF('USPTO TMs'!A:A,D554)&gt;0,"Yes","No"),"")</f>
        <v/>
      </c>
      <c r="C554" s="11"/>
      <c r="D554" s="11"/>
      <c r="E554" s="11"/>
      <c r="F554" s="11"/>
      <c r="G554" s="11"/>
      <c r="H554" s="11"/>
      <c r="I554" s="15"/>
    </row>
    <row r="555" spans="1:9" ht="16.5">
      <c r="A555" s="10" t="b">
        <v>0</v>
      </c>
      <c r="B555" s="11" t="str">
        <f>IF(D555&lt;&gt;"",IF(COUNTIF('USPTO TMs'!A:A,D555)&gt;0,"Yes","No"),"")</f>
        <v/>
      </c>
      <c r="C555" s="11"/>
      <c r="D555" s="11"/>
      <c r="E555" s="11"/>
      <c r="F555" s="11"/>
      <c r="G555" s="11"/>
      <c r="H555" s="11"/>
      <c r="I555" s="15"/>
    </row>
    <row r="556" spans="1:9" ht="16.5">
      <c r="A556" s="10" t="b">
        <v>0</v>
      </c>
      <c r="B556" s="11" t="str">
        <f>IF(D556&lt;&gt;"",IF(COUNTIF('USPTO TMs'!A:A,D556)&gt;0,"Yes","No"),"")</f>
        <v/>
      </c>
      <c r="C556" s="11"/>
      <c r="D556" s="11"/>
      <c r="E556" s="11"/>
      <c r="F556" s="11"/>
      <c r="G556" s="11"/>
      <c r="H556" s="11"/>
      <c r="I556" s="15"/>
    </row>
    <row r="557" spans="1:9" ht="16.5">
      <c r="A557" s="10" t="b">
        <v>0</v>
      </c>
      <c r="B557" s="11" t="str">
        <f>IF(D557&lt;&gt;"",IF(COUNTIF('USPTO TMs'!A:A,D557)&gt;0,"Yes","No"),"")</f>
        <v/>
      </c>
      <c r="C557" s="11"/>
      <c r="D557" s="11"/>
      <c r="E557" s="11"/>
      <c r="F557" s="11"/>
      <c r="G557" s="11"/>
      <c r="H557" s="11"/>
      <c r="I557" s="15"/>
    </row>
    <row r="558" spans="1:9" ht="16.5">
      <c r="A558" s="10" t="b">
        <v>0</v>
      </c>
      <c r="B558" s="11" t="str">
        <f>IF(D558&lt;&gt;"",IF(COUNTIF('USPTO TMs'!A:A,D558)&gt;0,"Yes","No"),"")</f>
        <v/>
      </c>
      <c r="C558" s="11"/>
      <c r="D558" s="11"/>
      <c r="E558" s="11"/>
      <c r="F558" s="11"/>
      <c r="G558" s="11"/>
      <c r="H558" s="11"/>
      <c r="I558" s="15"/>
    </row>
    <row r="559" spans="1:9" ht="16.5">
      <c r="A559" s="10" t="b">
        <v>0</v>
      </c>
      <c r="B559" s="11" t="str">
        <f>IF(D559&lt;&gt;"",IF(COUNTIF('USPTO TMs'!A:A,D559)&gt;0,"Yes","No"),"")</f>
        <v/>
      </c>
      <c r="C559" s="11"/>
      <c r="D559" s="11"/>
      <c r="E559" s="11"/>
      <c r="F559" s="11"/>
      <c r="G559" s="11"/>
      <c r="H559" s="11"/>
      <c r="I559" s="15"/>
    </row>
    <row r="560" spans="1:9" ht="16.5">
      <c r="A560" s="10" t="b">
        <v>0</v>
      </c>
      <c r="B560" s="11" t="str">
        <f>IF(D560&lt;&gt;"",IF(COUNTIF('USPTO TMs'!A:A,D560)&gt;0,"Yes","No"),"")</f>
        <v/>
      </c>
      <c r="C560" s="11"/>
      <c r="D560" s="11"/>
      <c r="E560" s="11"/>
      <c r="F560" s="11"/>
      <c r="G560" s="11"/>
      <c r="H560" s="11"/>
      <c r="I560" s="15"/>
    </row>
    <row r="561" spans="1:9" ht="16.5">
      <c r="A561" s="10" t="b">
        <v>0</v>
      </c>
      <c r="B561" s="11" t="str">
        <f>IF(D561&lt;&gt;"",IF(COUNTIF('USPTO TMs'!A:A,D561)&gt;0,"Yes","No"),"")</f>
        <v/>
      </c>
      <c r="C561" s="11"/>
      <c r="D561" s="11"/>
      <c r="E561" s="11"/>
      <c r="F561" s="11"/>
      <c r="G561" s="11"/>
      <c r="H561" s="11"/>
      <c r="I561" s="15"/>
    </row>
    <row r="562" spans="1:9" ht="16.5">
      <c r="A562" s="10" t="b">
        <v>0</v>
      </c>
      <c r="B562" s="11" t="str">
        <f>IF(D562&lt;&gt;"",IF(COUNTIF('USPTO TMs'!A:A,D562)&gt;0,"Yes","No"),"")</f>
        <v/>
      </c>
      <c r="C562" s="11"/>
      <c r="D562" s="11"/>
      <c r="E562" s="11"/>
      <c r="F562" s="11"/>
      <c r="G562" s="11"/>
      <c r="H562" s="11"/>
      <c r="I562" s="15"/>
    </row>
    <row r="563" spans="1:9" ht="16.5">
      <c r="A563" s="10" t="b">
        <v>0</v>
      </c>
      <c r="B563" s="11" t="str">
        <f>IF(D563&lt;&gt;"",IF(COUNTIF('USPTO TMs'!A:A,D563)&gt;0,"Yes","No"),"")</f>
        <v/>
      </c>
      <c r="C563" s="11"/>
      <c r="D563" s="11"/>
      <c r="E563" s="11"/>
      <c r="F563" s="11"/>
      <c r="G563" s="11"/>
      <c r="H563" s="11"/>
      <c r="I563" s="15"/>
    </row>
    <row r="564" spans="1:9" ht="16.5">
      <c r="A564" s="10" t="b">
        <v>0</v>
      </c>
      <c r="B564" s="11" t="str">
        <f>IF(D564&lt;&gt;"",IF(COUNTIF('USPTO TMs'!A:A,D564)&gt;0,"Yes","No"),"")</f>
        <v/>
      </c>
      <c r="C564" s="11"/>
      <c r="D564" s="11"/>
      <c r="E564" s="11"/>
      <c r="F564" s="11"/>
      <c r="G564" s="11"/>
      <c r="H564" s="11"/>
      <c r="I564" s="15"/>
    </row>
    <row r="565" spans="1:9" ht="16.5">
      <c r="A565" s="10" t="b">
        <v>0</v>
      </c>
      <c r="B565" s="11" t="str">
        <f>IF(D565&lt;&gt;"",IF(COUNTIF('USPTO TMs'!A:A,D565)&gt;0,"Yes","No"),"")</f>
        <v/>
      </c>
      <c r="C565" s="11"/>
      <c r="D565" s="11"/>
      <c r="E565" s="11"/>
      <c r="F565" s="11"/>
      <c r="G565" s="11"/>
      <c r="H565" s="11"/>
      <c r="I565" s="15"/>
    </row>
    <row r="566" spans="1:9" ht="16.5">
      <c r="A566" s="10" t="b">
        <v>0</v>
      </c>
      <c r="B566" s="11" t="str">
        <f>IF(D566&lt;&gt;"",IF(COUNTIF('USPTO TMs'!A:A,D566)&gt;0,"Yes","No"),"")</f>
        <v/>
      </c>
      <c r="C566" s="11"/>
      <c r="D566" s="11"/>
      <c r="E566" s="11"/>
      <c r="F566" s="11"/>
      <c r="G566" s="11"/>
      <c r="H566" s="11"/>
      <c r="I566" s="15"/>
    </row>
    <row r="567" spans="1:9" ht="16.5">
      <c r="A567" s="10" t="b">
        <v>0</v>
      </c>
      <c r="B567" s="11" t="str">
        <f>IF(D567&lt;&gt;"",IF(COUNTIF('USPTO TMs'!A:A,D567)&gt;0,"Yes","No"),"")</f>
        <v/>
      </c>
      <c r="C567" s="11"/>
      <c r="D567" s="11"/>
      <c r="E567" s="11"/>
      <c r="F567" s="11"/>
      <c r="G567" s="11"/>
      <c r="H567" s="11"/>
      <c r="I567" s="15"/>
    </row>
    <row r="568" spans="1:9" ht="16.5">
      <c r="A568" s="10" t="b">
        <v>0</v>
      </c>
      <c r="B568" s="11" t="str">
        <f>IF(D568&lt;&gt;"",IF(COUNTIF('USPTO TMs'!A:A,D568)&gt;0,"Yes","No"),"")</f>
        <v/>
      </c>
      <c r="C568" s="11"/>
      <c r="D568" s="11"/>
      <c r="E568" s="11"/>
      <c r="F568" s="11"/>
      <c r="G568" s="11"/>
      <c r="H568" s="11"/>
      <c r="I568" s="15"/>
    </row>
    <row r="569" spans="1:9" ht="16.5">
      <c r="A569" s="10" t="b">
        <v>0</v>
      </c>
      <c r="B569" s="11" t="str">
        <f>IF(D569&lt;&gt;"",IF(COUNTIF('USPTO TMs'!A:A,D569)&gt;0,"Yes","No"),"")</f>
        <v/>
      </c>
      <c r="C569" s="11"/>
      <c r="D569" s="11"/>
      <c r="E569" s="11"/>
      <c r="F569" s="11"/>
      <c r="G569" s="11"/>
      <c r="H569" s="11"/>
      <c r="I569" s="15"/>
    </row>
    <row r="570" spans="1:9" ht="16.5">
      <c r="A570" s="10" t="b">
        <v>0</v>
      </c>
      <c r="B570" s="11" t="str">
        <f>IF(D570&lt;&gt;"",IF(COUNTIF('USPTO TMs'!A:A,D570)&gt;0,"Yes","No"),"")</f>
        <v/>
      </c>
      <c r="C570" s="11"/>
      <c r="D570" s="11"/>
      <c r="E570" s="11"/>
      <c r="F570" s="11"/>
      <c r="G570" s="11"/>
      <c r="H570" s="11"/>
      <c r="I570" s="15"/>
    </row>
    <row r="571" spans="1:9" ht="16.5">
      <c r="A571" s="10" t="b">
        <v>0</v>
      </c>
      <c r="B571" s="11" t="str">
        <f>IF(D571&lt;&gt;"",IF(COUNTIF('USPTO TMs'!A:A,D571)&gt;0,"Yes","No"),"")</f>
        <v/>
      </c>
      <c r="C571" s="11"/>
      <c r="D571" s="11"/>
      <c r="E571" s="11"/>
      <c r="F571" s="11"/>
      <c r="G571" s="11"/>
      <c r="H571" s="11"/>
      <c r="I571" s="15"/>
    </row>
    <row r="572" spans="1:9" ht="16.5">
      <c r="A572" s="10" t="b">
        <v>0</v>
      </c>
      <c r="B572" s="11" t="str">
        <f>IF(D572&lt;&gt;"",IF(COUNTIF('USPTO TMs'!A:A,D572)&gt;0,"Yes","No"),"")</f>
        <v/>
      </c>
      <c r="C572" s="11"/>
      <c r="D572" s="11"/>
      <c r="E572" s="11"/>
      <c r="F572" s="11"/>
      <c r="G572" s="11"/>
      <c r="H572" s="11"/>
      <c r="I572" s="15"/>
    </row>
    <row r="573" spans="1:9" ht="16.5">
      <c r="A573" s="10" t="b">
        <v>0</v>
      </c>
      <c r="B573" s="11" t="str">
        <f>IF(D573&lt;&gt;"",IF(COUNTIF('USPTO TMs'!A:A,D573)&gt;0,"Yes","No"),"")</f>
        <v/>
      </c>
      <c r="C573" s="11"/>
      <c r="D573" s="11"/>
      <c r="E573" s="11"/>
      <c r="F573" s="11"/>
      <c r="G573" s="11"/>
      <c r="H573" s="11"/>
      <c r="I573" s="15"/>
    </row>
    <row r="574" spans="1:9" ht="16.5">
      <c r="A574" s="10" t="b">
        <v>0</v>
      </c>
      <c r="B574" s="11" t="str">
        <f>IF(D574&lt;&gt;"",IF(COUNTIF('USPTO TMs'!A:A,D574)&gt;0,"Yes","No"),"")</f>
        <v/>
      </c>
      <c r="C574" s="11"/>
      <c r="D574" s="11"/>
      <c r="E574" s="11"/>
      <c r="F574" s="11"/>
      <c r="G574" s="11"/>
      <c r="H574" s="11"/>
      <c r="I574" s="15"/>
    </row>
    <row r="575" spans="1:9" ht="16.5">
      <c r="A575" s="10" t="b">
        <v>0</v>
      </c>
      <c r="B575" s="11" t="str">
        <f>IF(D575&lt;&gt;"",IF(COUNTIF('USPTO TMs'!A:A,D575)&gt;0,"Yes","No"),"")</f>
        <v/>
      </c>
      <c r="C575" s="11"/>
      <c r="D575" s="11"/>
      <c r="E575" s="11"/>
      <c r="F575" s="11"/>
      <c r="G575" s="11"/>
      <c r="H575" s="11"/>
      <c r="I575" s="15"/>
    </row>
    <row r="576" spans="1:9" ht="16.5">
      <c r="A576" s="10" t="b">
        <v>0</v>
      </c>
      <c r="B576" s="11" t="str">
        <f>IF(D576&lt;&gt;"",IF(COUNTIF('USPTO TMs'!A:A,D576)&gt;0,"Yes","No"),"")</f>
        <v/>
      </c>
      <c r="C576" s="11"/>
      <c r="D576" s="11"/>
      <c r="E576" s="11"/>
      <c r="F576" s="11"/>
      <c r="G576" s="11"/>
      <c r="H576" s="11"/>
      <c r="I576" s="15"/>
    </row>
    <row r="577" spans="1:9" ht="16.5">
      <c r="A577" s="10" t="b">
        <v>0</v>
      </c>
      <c r="B577" s="11" t="str">
        <f>IF(D577&lt;&gt;"",IF(COUNTIF('USPTO TMs'!A:A,D577)&gt;0,"Yes","No"),"")</f>
        <v/>
      </c>
      <c r="C577" s="11"/>
      <c r="D577" s="11"/>
      <c r="E577" s="11"/>
      <c r="F577" s="11"/>
      <c r="G577" s="11"/>
      <c r="H577" s="11"/>
      <c r="I577" s="15"/>
    </row>
    <row r="578" spans="1:9" ht="16.5">
      <c r="A578" s="10" t="b">
        <v>0</v>
      </c>
      <c r="B578" s="11" t="str">
        <f>IF(D578&lt;&gt;"",IF(COUNTIF('USPTO TMs'!A:A,D578)&gt;0,"Yes","No"),"")</f>
        <v/>
      </c>
      <c r="C578" s="11"/>
      <c r="D578" s="11"/>
      <c r="E578" s="11"/>
      <c r="F578" s="11"/>
      <c r="G578" s="11"/>
      <c r="H578" s="11"/>
      <c r="I578" s="15"/>
    </row>
    <row r="579" spans="1:9" ht="16.5">
      <c r="A579" s="10" t="b">
        <v>0</v>
      </c>
      <c r="B579" s="11" t="str">
        <f>IF(D579&lt;&gt;"",IF(COUNTIF('USPTO TMs'!A:A,D579)&gt;0,"Yes","No"),"")</f>
        <v/>
      </c>
      <c r="C579" s="11"/>
      <c r="D579" s="11"/>
      <c r="E579" s="11"/>
      <c r="F579" s="11"/>
      <c r="G579" s="11"/>
      <c r="H579" s="11"/>
      <c r="I579" s="15"/>
    </row>
    <row r="580" spans="1:9" ht="16.5">
      <c r="A580" s="10" t="b">
        <v>0</v>
      </c>
      <c r="B580" s="11" t="str">
        <f>IF(D580&lt;&gt;"",IF(COUNTIF('USPTO TMs'!A:A,D580)&gt;0,"Yes","No"),"")</f>
        <v/>
      </c>
      <c r="C580" s="11"/>
      <c r="D580" s="11"/>
      <c r="E580" s="11"/>
      <c r="F580" s="11"/>
      <c r="G580" s="11"/>
      <c r="H580" s="11"/>
      <c r="I580" s="15"/>
    </row>
    <row r="581" spans="1:9" ht="16.5">
      <c r="A581" s="10" t="b">
        <v>0</v>
      </c>
      <c r="B581" s="11" t="str">
        <f>IF(D581&lt;&gt;"",IF(COUNTIF('USPTO TMs'!A:A,D581)&gt;0,"Yes","No"),"")</f>
        <v/>
      </c>
      <c r="C581" s="11"/>
      <c r="D581" s="11"/>
      <c r="E581" s="11"/>
      <c r="F581" s="11"/>
      <c r="G581" s="11"/>
      <c r="H581" s="11"/>
      <c r="I581" s="15"/>
    </row>
    <row r="582" spans="1:9" ht="16.5">
      <c r="A582" s="10" t="b">
        <v>0</v>
      </c>
      <c r="B582" s="11" t="str">
        <f>IF(D582&lt;&gt;"",IF(COUNTIF('USPTO TMs'!A:A,D582)&gt;0,"Yes","No"),"")</f>
        <v/>
      </c>
      <c r="C582" s="11"/>
      <c r="D582" s="11"/>
      <c r="E582" s="11"/>
      <c r="F582" s="11"/>
      <c r="G582" s="11"/>
      <c r="H582" s="11"/>
      <c r="I582" s="15"/>
    </row>
    <row r="583" spans="1:9" ht="16.5">
      <c r="A583" s="10" t="b">
        <v>0</v>
      </c>
      <c r="B583" s="11" t="str">
        <f>IF(D583&lt;&gt;"",IF(COUNTIF('USPTO TMs'!A:A,D583)&gt;0,"Yes","No"),"")</f>
        <v/>
      </c>
      <c r="C583" s="11"/>
      <c r="D583" s="11"/>
      <c r="E583" s="11"/>
      <c r="F583" s="11"/>
      <c r="G583" s="11"/>
      <c r="H583" s="11"/>
      <c r="I583" s="15"/>
    </row>
    <row r="584" spans="1:9" ht="16.5">
      <c r="A584" s="10" t="b">
        <v>0</v>
      </c>
      <c r="B584" s="11" t="str">
        <f>IF(D584&lt;&gt;"",IF(COUNTIF('USPTO TMs'!A:A,D584)&gt;0,"Yes","No"),"")</f>
        <v/>
      </c>
      <c r="C584" s="11"/>
      <c r="D584" s="11"/>
      <c r="E584" s="11"/>
      <c r="F584" s="11"/>
      <c r="G584" s="11"/>
      <c r="H584" s="11"/>
      <c r="I584" s="15"/>
    </row>
    <row r="585" spans="1:9" ht="16.5">
      <c r="A585" s="10" t="b">
        <v>0</v>
      </c>
      <c r="B585" s="11" t="str">
        <f>IF(D585&lt;&gt;"",IF(COUNTIF('USPTO TMs'!A:A,D585)&gt;0,"Yes","No"),"")</f>
        <v/>
      </c>
      <c r="C585" s="11"/>
      <c r="D585" s="11"/>
      <c r="E585" s="11"/>
      <c r="F585" s="11"/>
      <c r="G585" s="11"/>
      <c r="H585" s="11"/>
      <c r="I585" s="15"/>
    </row>
    <row r="586" spans="1:9" ht="16.5">
      <c r="A586" s="10" t="b">
        <v>0</v>
      </c>
      <c r="B586" s="11" t="str">
        <f>IF(D586&lt;&gt;"",IF(COUNTIF('USPTO TMs'!A:A,D586)&gt;0,"Yes","No"),"")</f>
        <v/>
      </c>
      <c r="C586" s="11"/>
      <c r="D586" s="11"/>
      <c r="E586" s="11"/>
      <c r="F586" s="11"/>
      <c r="G586" s="11"/>
      <c r="H586" s="11"/>
      <c r="I586" s="15"/>
    </row>
    <row r="587" spans="1:9" ht="16.5">
      <c r="A587" s="10" t="b">
        <v>0</v>
      </c>
      <c r="B587" s="11" t="str">
        <f>IF(D587&lt;&gt;"",IF(COUNTIF('USPTO TMs'!A:A,D587)&gt;0,"Yes","No"),"")</f>
        <v/>
      </c>
      <c r="C587" s="11"/>
      <c r="D587" s="11"/>
      <c r="E587" s="11"/>
      <c r="F587" s="11"/>
      <c r="G587" s="11"/>
      <c r="H587" s="11"/>
      <c r="I587" s="15"/>
    </row>
    <row r="588" spans="1:9" ht="16.5">
      <c r="A588" s="10" t="b">
        <v>0</v>
      </c>
      <c r="B588" s="11" t="str">
        <f>IF(D588&lt;&gt;"",IF(COUNTIF('USPTO TMs'!A:A,D588)&gt;0,"Yes","No"),"")</f>
        <v/>
      </c>
      <c r="C588" s="11"/>
      <c r="D588" s="11"/>
      <c r="E588" s="11"/>
      <c r="F588" s="11"/>
      <c r="G588" s="11"/>
      <c r="H588" s="11"/>
      <c r="I588" s="15"/>
    </row>
    <row r="589" spans="1:9" ht="16.5">
      <c r="A589" s="10" t="b">
        <v>0</v>
      </c>
      <c r="B589" s="11" t="str">
        <f>IF(D589&lt;&gt;"",IF(COUNTIF('USPTO TMs'!A:A,D589)&gt;0,"Yes","No"),"")</f>
        <v/>
      </c>
      <c r="C589" s="11"/>
      <c r="D589" s="11"/>
      <c r="E589" s="11"/>
      <c r="F589" s="11"/>
      <c r="G589" s="11"/>
      <c r="H589" s="11"/>
      <c r="I589" s="15"/>
    </row>
    <row r="590" spans="1:9" ht="16.5">
      <c r="A590" s="10" t="b">
        <v>0</v>
      </c>
      <c r="B590" s="11" t="str">
        <f>IF(D590&lt;&gt;"",IF(COUNTIF('USPTO TMs'!A:A,D590)&gt;0,"Yes","No"),"")</f>
        <v/>
      </c>
      <c r="C590" s="11"/>
      <c r="D590" s="11"/>
      <c r="E590" s="11"/>
      <c r="F590" s="11"/>
      <c r="G590" s="11"/>
      <c r="H590" s="11"/>
      <c r="I590" s="15"/>
    </row>
    <row r="591" spans="1:9" ht="16.5">
      <c r="A591" s="10" t="b">
        <v>0</v>
      </c>
      <c r="B591" s="11" t="str">
        <f>IF(D591&lt;&gt;"",IF(COUNTIF('USPTO TMs'!A:A,D591)&gt;0,"Yes","No"),"")</f>
        <v/>
      </c>
      <c r="C591" s="11"/>
      <c r="D591" s="11"/>
      <c r="E591" s="11"/>
      <c r="F591" s="11"/>
      <c r="G591" s="11"/>
      <c r="H591" s="11"/>
      <c r="I591" s="15"/>
    </row>
    <row r="592" spans="1:9" ht="16.5">
      <c r="A592" s="10" t="b">
        <v>0</v>
      </c>
      <c r="B592" s="11" t="str">
        <f>IF(D592&lt;&gt;"",IF(COUNTIF('USPTO TMs'!A:A,D592)&gt;0,"Yes","No"),"")</f>
        <v/>
      </c>
      <c r="C592" s="11"/>
      <c r="D592" s="11"/>
      <c r="E592" s="11"/>
      <c r="F592" s="11"/>
      <c r="G592" s="11"/>
      <c r="H592" s="11"/>
      <c r="I592" s="15"/>
    </row>
    <row r="593" spans="1:9" ht="16.5">
      <c r="A593" s="10" t="b">
        <v>0</v>
      </c>
      <c r="B593" s="11" t="str">
        <f>IF(D593&lt;&gt;"",IF(COUNTIF('USPTO TMs'!A:A,D593)&gt;0,"Yes","No"),"")</f>
        <v/>
      </c>
      <c r="C593" s="11"/>
      <c r="D593" s="11"/>
      <c r="E593" s="11"/>
      <c r="F593" s="11"/>
      <c r="G593" s="11"/>
      <c r="H593" s="11"/>
      <c r="I593" s="15"/>
    </row>
    <row r="594" spans="1:9" ht="16.5">
      <c r="A594" s="10" t="b">
        <v>0</v>
      </c>
      <c r="B594" s="11" t="str">
        <f>IF(D594&lt;&gt;"",IF(COUNTIF('USPTO TMs'!A:A,D594)&gt;0,"Yes","No"),"")</f>
        <v/>
      </c>
      <c r="C594" s="11"/>
      <c r="D594" s="11"/>
      <c r="E594" s="11"/>
      <c r="F594" s="11"/>
      <c r="G594" s="11"/>
      <c r="H594" s="11"/>
      <c r="I594" s="15"/>
    </row>
    <row r="595" spans="1:9" ht="16.5">
      <c r="A595" s="10" t="b">
        <v>0</v>
      </c>
      <c r="B595" s="11" t="str">
        <f>IF(D595&lt;&gt;"",IF(COUNTIF('USPTO TMs'!A:A,D595)&gt;0,"Yes","No"),"")</f>
        <v/>
      </c>
      <c r="C595" s="11"/>
      <c r="D595" s="11"/>
      <c r="E595" s="11"/>
      <c r="F595" s="11"/>
      <c r="G595" s="11"/>
      <c r="H595" s="11"/>
      <c r="I595" s="15"/>
    </row>
    <row r="596" spans="1:9" ht="16.5">
      <c r="A596" s="10" t="b">
        <v>0</v>
      </c>
      <c r="B596" s="11" t="str">
        <f>IF(D596&lt;&gt;"",IF(COUNTIF('USPTO TMs'!A:A,D596)&gt;0,"Yes","No"),"")</f>
        <v/>
      </c>
      <c r="C596" s="11"/>
      <c r="D596" s="11"/>
      <c r="E596" s="11"/>
      <c r="F596" s="11"/>
      <c r="G596" s="11"/>
      <c r="H596" s="11"/>
      <c r="I596" s="15"/>
    </row>
    <row r="597" spans="1:9" ht="16.5">
      <c r="A597" s="10" t="b">
        <v>0</v>
      </c>
      <c r="B597" s="11" t="str">
        <f>IF(D597&lt;&gt;"",IF(COUNTIF('USPTO TMs'!A:A,D597)&gt;0,"Yes","No"),"")</f>
        <v/>
      </c>
      <c r="C597" s="11"/>
      <c r="D597" s="11"/>
      <c r="E597" s="11"/>
      <c r="F597" s="11"/>
      <c r="G597" s="11"/>
      <c r="H597" s="11"/>
      <c r="I597" s="15"/>
    </row>
    <row r="598" spans="1:9" ht="16.5">
      <c r="A598" s="10" t="b">
        <v>0</v>
      </c>
      <c r="B598" s="11" t="str">
        <f>IF(D598&lt;&gt;"",IF(COUNTIF('USPTO TMs'!A:A,D598)&gt;0,"Yes","No"),"")</f>
        <v/>
      </c>
      <c r="C598" s="11"/>
      <c r="D598" s="11"/>
      <c r="E598" s="11"/>
      <c r="F598" s="11"/>
      <c r="G598" s="11"/>
      <c r="H598" s="11"/>
      <c r="I598" s="15"/>
    </row>
    <row r="599" spans="1:9" ht="16.5">
      <c r="A599" s="10" t="b">
        <v>0</v>
      </c>
      <c r="B599" s="11" t="str">
        <f>IF(D599&lt;&gt;"",IF(COUNTIF('USPTO TMs'!A:A,D599)&gt;0,"Yes","No"),"")</f>
        <v/>
      </c>
      <c r="C599" s="11"/>
      <c r="D599" s="11"/>
      <c r="E599" s="11"/>
      <c r="F599" s="11"/>
      <c r="G599" s="11"/>
      <c r="H599" s="11"/>
      <c r="I599" s="15"/>
    </row>
    <row r="600" spans="1:9" ht="16.5">
      <c r="A600" s="10" t="b">
        <v>0</v>
      </c>
      <c r="B600" s="11" t="str">
        <f>IF(D600&lt;&gt;"",IF(COUNTIF('USPTO TMs'!A:A,D600)&gt;0,"Yes","No"),"")</f>
        <v/>
      </c>
      <c r="C600" s="11"/>
      <c r="D600" s="11"/>
      <c r="E600" s="11"/>
      <c r="F600" s="11"/>
      <c r="G600" s="11"/>
      <c r="H600" s="11"/>
      <c r="I600" s="15"/>
    </row>
    <row r="601" spans="1:9" ht="16.5">
      <c r="A601" s="10" t="b">
        <v>0</v>
      </c>
      <c r="B601" s="11" t="str">
        <f>IF(D601&lt;&gt;"",IF(COUNTIF('USPTO TMs'!A:A,D601)&gt;0,"Yes","No"),"")</f>
        <v/>
      </c>
      <c r="C601" s="11"/>
      <c r="D601" s="11"/>
      <c r="E601" s="11"/>
      <c r="F601" s="11"/>
      <c r="G601" s="11"/>
      <c r="H601" s="11"/>
      <c r="I601" s="15"/>
    </row>
    <row r="602" spans="1:9" ht="16.5">
      <c r="A602" s="10" t="b">
        <v>0</v>
      </c>
      <c r="B602" s="11" t="str">
        <f>IF(D602&lt;&gt;"",IF(COUNTIF('USPTO TMs'!A:A,D602)&gt;0,"Yes","No"),"")</f>
        <v/>
      </c>
      <c r="C602" s="11"/>
      <c r="D602" s="11"/>
      <c r="E602" s="11"/>
      <c r="F602" s="11"/>
      <c r="G602" s="11"/>
      <c r="H602" s="11"/>
      <c r="I602" s="15"/>
    </row>
    <row r="603" spans="1:9" ht="16.5">
      <c r="A603" s="10" t="b">
        <v>0</v>
      </c>
      <c r="B603" s="11" t="str">
        <f>IF(D603&lt;&gt;"",IF(COUNTIF('USPTO TMs'!A:A,D603)&gt;0,"Yes","No"),"")</f>
        <v/>
      </c>
      <c r="C603" s="11"/>
      <c r="D603" s="11"/>
      <c r="E603" s="11"/>
      <c r="F603" s="11"/>
      <c r="G603" s="11"/>
      <c r="H603" s="11"/>
      <c r="I603" s="15"/>
    </row>
    <row r="604" spans="1:9" ht="16.5">
      <c r="A604" s="10" t="b">
        <v>0</v>
      </c>
      <c r="B604" s="11" t="str">
        <f>IF(D604&lt;&gt;"",IF(COUNTIF('USPTO TMs'!A:A,D604)&gt;0,"Yes","No"),"")</f>
        <v/>
      </c>
      <c r="C604" s="11"/>
      <c r="D604" s="11"/>
      <c r="E604" s="11"/>
      <c r="F604" s="11"/>
      <c r="G604" s="11"/>
      <c r="H604" s="11"/>
      <c r="I604" s="15"/>
    </row>
    <row r="605" spans="1:9" ht="16.5">
      <c r="A605" s="10" t="b">
        <v>0</v>
      </c>
      <c r="B605" s="11" t="str">
        <f>IF(D605&lt;&gt;"",IF(COUNTIF('USPTO TMs'!A:A,D605)&gt;0,"Yes","No"),"")</f>
        <v/>
      </c>
      <c r="C605" s="11"/>
      <c r="D605" s="11"/>
      <c r="E605" s="11"/>
      <c r="F605" s="11"/>
      <c r="G605" s="11"/>
      <c r="H605" s="11"/>
      <c r="I605" s="15"/>
    </row>
    <row r="606" spans="1:9" ht="16.5">
      <c r="A606" s="10" t="b">
        <v>0</v>
      </c>
      <c r="B606" s="11" t="str">
        <f>IF(D606&lt;&gt;"",IF(COUNTIF('USPTO TMs'!A:A,D606)&gt;0,"Yes","No"),"")</f>
        <v/>
      </c>
      <c r="C606" s="11"/>
      <c r="D606" s="11"/>
      <c r="E606" s="11"/>
      <c r="F606" s="11"/>
      <c r="G606" s="11"/>
      <c r="H606" s="11"/>
      <c r="I606" s="15"/>
    </row>
    <row r="607" spans="1:9" ht="16.5">
      <c r="A607" s="10" t="b">
        <v>0</v>
      </c>
      <c r="B607" s="11" t="str">
        <f>IF(D607&lt;&gt;"",IF(COUNTIF('USPTO TMs'!A:A,D607)&gt;0,"Yes","No"),"")</f>
        <v/>
      </c>
      <c r="C607" s="11"/>
      <c r="D607" s="11"/>
      <c r="E607" s="11"/>
      <c r="F607" s="11"/>
      <c r="G607" s="11"/>
      <c r="H607" s="11"/>
      <c r="I607" s="15"/>
    </row>
    <row r="608" spans="1:9" ht="16.5">
      <c r="A608" s="10" t="b">
        <v>0</v>
      </c>
      <c r="B608" s="11" t="str">
        <f>IF(D608&lt;&gt;"",IF(COUNTIF('USPTO TMs'!A:A,D608)&gt;0,"Yes","No"),"")</f>
        <v/>
      </c>
      <c r="C608" s="11"/>
      <c r="D608" s="11"/>
      <c r="E608" s="11"/>
      <c r="F608" s="11"/>
      <c r="G608" s="11"/>
      <c r="H608" s="11"/>
      <c r="I608" s="15"/>
    </row>
    <row r="609" spans="1:9" ht="16.5">
      <c r="A609" s="10" t="b">
        <v>0</v>
      </c>
      <c r="B609" s="11" t="str">
        <f>IF(D609&lt;&gt;"",IF(COUNTIF('USPTO TMs'!A:A,D609)&gt;0,"Yes","No"),"")</f>
        <v/>
      </c>
      <c r="C609" s="11"/>
      <c r="D609" s="11"/>
      <c r="E609" s="11"/>
      <c r="F609" s="11"/>
      <c r="G609" s="11"/>
      <c r="H609" s="11"/>
      <c r="I609" s="15"/>
    </row>
    <row r="610" spans="1:9" ht="16.5">
      <c r="A610" s="10" t="b">
        <v>0</v>
      </c>
      <c r="B610" s="11" t="str">
        <f>IF(D610&lt;&gt;"",IF(COUNTIF('USPTO TMs'!A:A,D610)&gt;0,"Yes","No"),"")</f>
        <v/>
      </c>
      <c r="C610" s="11"/>
      <c r="D610" s="11"/>
      <c r="E610" s="11"/>
      <c r="F610" s="11"/>
      <c r="G610" s="11"/>
      <c r="H610" s="11"/>
      <c r="I610" s="15"/>
    </row>
    <row r="611" spans="1:9" ht="16.5">
      <c r="A611" s="10" t="b">
        <v>0</v>
      </c>
      <c r="B611" s="11" t="str">
        <f>IF(D611&lt;&gt;"",IF(COUNTIF('USPTO TMs'!A:A,D611)&gt;0,"Yes","No"),"")</f>
        <v/>
      </c>
      <c r="C611" s="11"/>
      <c r="D611" s="11"/>
      <c r="E611" s="11"/>
      <c r="F611" s="11"/>
      <c r="G611" s="11"/>
      <c r="H611" s="11"/>
      <c r="I611" s="15"/>
    </row>
    <row r="612" spans="1:9" ht="16.5">
      <c r="A612" s="10" t="b">
        <v>0</v>
      </c>
      <c r="B612" s="11" t="str">
        <f>IF(D612&lt;&gt;"",IF(COUNTIF('USPTO TMs'!A:A,D612)&gt;0,"Yes","No"),"")</f>
        <v/>
      </c>
      <c r="C612" s="11"/>
      <c r="D612" s="11"/>
      <c r="E612" s="11"/>
      <c r="F612" s="11"/>
      <c r="G612" s="11"/>
      <c r="H612" s="11"/>
      <c r="I612" s="15"/>
    </row>
    <row r="613" spans="1:9" ht="16.5">
      <c r="A613" s="10" t="b">
        <v>0</v>
      </c>
      <c r="B613" s="11" t="str">
        <f>IF(D613&lt;&gt;"",IF(COUNTIF('USPTO TMs'!A:A,D613)&gt;0,"Yes","No"),"")</f>
        <v/>
      </c>
      <c r="C613" s="11"/>
      <c r="D613" s="11"/>
      <c r="E613" s="11"/>
      <c r="F613" s="11"/>
      <c r="G613" s="11"/>
      <c r="H613" s="11"/>
      <c r="I613" s="15"/>
    </row>
    <row r="614" spans="1:9" ht="16.5">
      <c r="A614" s="10" t="b">
        <v>0</v>
      </c>
      <c r="B614" s="11" t="str">
        <f>IF(D614&lt;&gt;"",IF(COUNTIF('USPTO TMs'!A:A,D614)&gt;0,"Yes","No"),"")</f>
        <v/>
      </c>
      <c r="C614" s="11"/>
      <c r="D614" s="11"/>
      <c r="E614" s="11"/>
      <c r="F614" s="11"/>
      <c r="G614" s="11"/>
      <c r="H614" s="11"/>
      <c r="I614" s="15"/>
    </row>
    <row r="615" spans="1:9" ht="16.5">
      <c r="A615" s="10" t="b">
        <v>0</v>
      </c>
      <c r="B615" s="11" t="str">
        <f>IF(D615&lt;&gt;"",IF(COUNTIF('USPTO TMs'!A:A,D615)&gt;0,"Yes","No"),"")</f>
        <v/>
      </c>
      <c r="C615" s="11"/>
      <c r="D615" s="11"/>
      <c r="E615" s="11"/>
      <c r="F615" s="11"/>
      <c r="G615" s="11"/>
      <c r="H615" s="11"/>
      <c r="I615" s="15"/>
    </row>
    <row r="616" spans="1:9" ht="16.5">
      <c r="A616" s="10" t="b">
        <v>0</v>
      </c>
      <c r="B616" s="11" t="str">
        <f>IF(D616&lt;&gt;"",IF(COUNTIF('USPTO TMs'!A:A,D616)&gt;0,"Yes","No"),"")</f>
        <v/>
      </c>
      <c r="C616" s="11"/>
      <c r="D616" s="11"/>
      <c r="E616" s="11"/>
      <c r="F616" s="11"/>
      <c r="G616" s="11"/>
      <c r="H616" s="11"/>
      <c r="I616" s="15"/>
    </row>
    <row r="617" spans="1:9" ht="16.5">
      <c r="A617" s="10" t="b">
        <v>0</v>
      </c>
      <c r="B617" s="11" t="str">
        <f>IF(D617&lt;&gt;"",IF(COUNTIF('USPTO TMs'!A:A,D617)&gt;0,"Yes","No"),"")</f>
        <v/>
      </c>
      <c r="C617" s="11"/>
      <c r="D617" s="11"/>
      <c r="E617" s="11"/>
      <c r="F617" s="11"/>
      <c r="G617" s="11"/>
      <c r="H617" s="11"/>
      <c r="I617" s="15"/>
    </row>
    <row r="618" spans="1:9" ht="16.5">
      <c r="A618" s="10" t="b">
        <v>0</v>
      </c>
      <c r="B618" s="11" t="str">
        <f>IF(D618&lt;&gt;"",IF(COUNTIF('USPTO TMs'!A:A,D618)&gt;0,"Yes","No"),"")</f>
        <v/>
      </c>
      <c r="C618" s="11"/>
      <c r="D618" s="11"/>
      <c r="E618" s="11"/>
      <c r="F618" s="11"/>
      <c r="G618" s="11"/>
      <c r="H618" s="11"/>
      <c r="I618" s="15"/>
    </row>
    <row r="619" spans="1:9" ht="16.5">
      <c r="A619" s="10" t="b">
        <v>0</v>
      </c>
      <c r="B619" s="11" t="str">
        <f>IF(D619&lt;&gt;"",IF(COUNTIF('USPTO TMs'!A:A,D619)&gt;0,"Yes","No"),"")</f>
        <v/>
      </c>
      <c r="C619" s="11"/>
      <c r="D619" s="11"/>
      <c r="E619" s="11"/>
      <c r="F619" s="11"/>
      <c r="G619" s="11"/>
      <c r="H619" s="11"/>
      <c r="I619" s="15"/>
    </row>
    <row r="620" spans="1:9" ht="16.5">
      <c r="A620" s="10" t="b">
        <v>0</v>
      </c>
      <c r="B620" s="11" t="str">
        <f>IF(D620&lt;&gt;"",IF(COUNTIF('USPTO TMs'!A:A,D620)&gt;0,"Yes","No"),"")</f>
        <v/>
      </c>
      <c r="C620" s="11"/>
      <c r="D620" s="11"/>
      <c r="E620" s="11"/>
      <c r="F620" s="11"/>
      <c r="G620" s="11"/>
      <c r="H620" s="11"/>
      <c r="I620" s="15"/>
    </row>
    <row r="621" spans="1:9" ht="16.5">
      <c r="A621" s="10" t="b">
        <v>0</v>
      </c>
      <c r="B621" s="11" t="str">
        <f>IF(D621&lt;&gt;"",IF(COUNTIF('USPTO TMs'!A:A,D621)&gt;0,"Yes","No"),"")</f>
        <v/>
      </c>
      <c r="C621" s="11"/>
      <c r="D621" s="11"/>
      <c r="E621" s="11"/>
      <c r="F621" s="11"/>
      <c r="G621" s="11"/>
      <c r="H621" s="11"/>
      <c r="I621" s="15"/>
    </row>
    <row r="622" spans="1:9" ht="16.5">
      <c r="A622" s="10" t="b">
        <v>0</v>
      </c>
      <c r="B622" s="11" t="str">
        <f>IF(D622&lt;&gt;"",IF(COUNTIF('USPTO TMs'!A:A,D622)&gt;0,"Yes","No"),"")</f>
        <v/>
      </c>
      <c r="C622" s="11"/>
      <c r="D622" s="11"/>
      <c r="E622" s="11"/>
      <c r="F622" s="11"/>
      <c r="G622" s="11"/>
      <c r="H622" s="11"/>
      <c r="I622" s="15"/>
    </row>
    <row r="623" spans="1:9" ht="16.5">
      <c r="A623" s="10" t="b">
        <v>0</v>
      </c>
      <c r="B623" s="11" t="str">
        <f>IF(D623&lt;&gt;"",IF(COUNTIF('USPTO TMs'!A:A,D623)&gt;0,"Yes","No"),"")</f>
        <v/>
      </c>
      <c r="C623" s="11"/>
      <c r="D623" s="11"/>
      <c r="E623" s="11"/>
      <c r="F623" s="11"/>
      <c r="G623" s="11"/>
      <c r="H623" s="11"/>
      <c r="I623" s="15"/>
    </row>
    <row r="624" spans="1:9" ht="16.5">
      <c r="A624" s="10" t="b">
        <v>0</v>
      </c>
      <c r="B624" s="11" t="str">
        <f>IF(D624&lt;&gt;"",IF(COUNTIF('USPTO TMs'!A:A,D624)&gt;0,"Yes","No"),"")</f>
        <v/>
      </c>
      <c r="C624" s="11"/>
      <c r="D624" s="11"/>
      <c r="E624" s="11"/>
      <c r="F624" s="11"/>
      <c r="G624" s="11"/>
      <c r="H624" s="11"/>
      <c r="I624" s="15"/>
    </row>
    <row r="625" spans="1:9" ht="16.5">
      <c r="A625" s="10" t="b">
        <v>0</v>
      </c>
      <c r="B625" s="11" t="str">
        <f>IF(D625&lt;&gt;"",IF(COUNTIF('USPTO TMs'!A:A,D625)&gt;0,"Yes","No"),"")</f>
        <v/>
      </c>
      <c r="C625" s="11"/>
      <c r="D625" s="11"/>
      <c r="E625" s="11"/>
      <c r="F625" s="11"/>
      <c r="G625" s="11"/>
      <c r="H625" s="11"/>
      <c r="I625" s="15"/>
    </row>
    <row r="626" spans="1:9" ht="16.5">
      <c r="A626" s="10" t="b">
        <v>0</v>
      </c>
      <c r="B626" s="11" t="str">
        <f>IF(D626&lt;&gt;"",IF(COUNTIF('USPTO TMs'!A:A,D626)&gt;0,"Yes","No"),"")</f>
        <v/>
      </c>
      <c r="C626" s="11"/>
      <c r="D626" s="11"/>
      <c r="E626" s="11"/>
      <c r="F626" s="11"/>
      <c r="G626" s="11"/>
      <c r="H626" s="11"/>
      <c r="I626" s="15"/>
    </row>
    <row r="627" spans="1:9" ht="16.5">
      <c r="A627" s="10" t="b">
        <v>0</v>
      </c>
      <c r="B627" s="11" t="str">
        <f>IF(D627&lt;&gt;"",IF(COUNTIF('USPTO TMs'!A:A,D627)&gt;0,"Yes","No"),"")</f>
        <v/>
      </c>
      <c r="C627" s="11"/>
      <c r="D627" s="11"/>
      <c r="E627" s="11"/>
      <c r="F627" s="11"/>
      <c r="G627" s="11"/>
      <c r="H627" s="11"/>
      <c r="I627" s="15"/>
    </row>
    <row r="628" spans="1:9" ht="16.5">
      <c r="A628" s="10" t="b">
        <v>0</v>
      </c>
      <c r="B628" s="11" t="str">
        <f>IF(D628&lt;&gt;"",IF(COUNTIF('USPTO TMs'!A:A,D628)&gt;0,"Yes","No"),"")</f>
        <v/>
      </c>
      <c r="C628" s="11"/>
      <c r="D628" s="11"/>
      <c r="E628" s="11"/>
      <c r="F628" s="11"/>
      <c r="G628" s="11"/>
      <c r="H628" s="11"/>
      <c r="I628" s="15"/>
    </row>
    <row r="629" spans="1:9" ht="16.5">
      <c r="A629" s="10" t="b">
        <v>0</v>
      </c>
      <c r="B629" s="11" t="str">
        <f>IF(D629&lt;&gt;"",IF(COUNTIF('USPTO TMs'!A:A,D629)&gt;0,"Yes","No"),"")</f>
        <v/>
      </c>
      <c r="C629" s="11"/>
      <c r="D629" s="11"/>
      <c r="E629" s="11"/>
      <c r="F629" s="11"/>
      <c r="G629" s="11"/>
      <c r="H629" s="11"/>
      <c r="I629" s="15"/>
    </row>
    <row r="630" spans="1:9" ht="16.5">
      <c r="A630" s="10" t="b">
        <v>0</v>
      </c>
      <c r="B630" s="11" t="str">
        <f>IF(D630&lt;&gt;"",IF(COUNTIF('USPTO TMs'!A:A,D630)&gt;0,"Yes","No"),"")</f>
        <v/>
      </c>
      <c r="C630" s="11"/>
      <c r="D630" s="11"/>
      <c r="E630" s="11"/>
      <c r="F630" s="11"/>
      <c r="G630" s="11"/>
      <c r="H630" s="11"/>
      <c r="I630" s="15"/>
    </row>
    <row r="631" spans="1:9" ht="16.5">
      <c r="A631" s="10" t="b">
        <v>0</v>
      </c>
      <c r="B631" s="11" t="str">
        <f>IF(D631&lt;&gt;"",IF(COUNTIF('USPTO TMs'!A:A,D631)&gt;0,"Yes","No"),"")</f>
        <v/>
      </c>
      <c r="C631" s="11"/>
      <c r="D631" s="11"/>
      <c r="E631" s="11"/>
      <c r="F631" s="11"/>
      <c r="G631" s="11"/>
      <c r="H631" s="11"/>
      <c r="I631" s="15"/>
    </row>
    <row r="632" spans="1:9" ht="16.5">
      <c r="A632" s="10" t="b">
        <v>0</v>
      </c>
      <c r="B632" s="11" t="str">
        <f>IF(D632&lt;&gt;"",IF(COUNTIF('USPTO TMs'!A:A,D632)&gt;0,"Yes","No"),"")</f>
        <v/>
      </c>
      <c r="C632" s="11"/>
      <c r="D632" s="11"/>
      <c r="E632" s="11"/>
      <c r="F632" s="11"/>
      <c r="G632" s="11"/>
      <c r="H632" s="11"/>
      <c r="I632" s="15"/>
    </row>
    <row r="633" spans="1:9" ht="16.5">
      <c r="A633" s="10" t="b">
        <v>0</v>
      </c>
      <c r="B633" s="11" t="str">
        <f>IF(D633&lt;&gt;"",IF(COUNTIF('USPTO TMs'!A:A,D633)&gt;0,"Yes","No"),"")</f>
        <v/>
      </c>
      <c r="C633" s="11"/>
      <c r="D633" s="11"/>
      <c r="E633" s="11"/>
      <c r="F633" s="11"/>
      <c r="G633" s="11"/>
      <c r="H633" s="11"/>
      <c r="I633" s="15"/>
    </row>
    <row r="634" spans="1:9" ht="16.5">
      <c r="A634" s="10" t="b">
        <v>0</v>
      </c>
      <c r="B634" s="11" t="str">
        <f>IF(D634&lt;&gt;"",IF(COUNTIF('USPTO TMs'!A:A,D634)&gt;0,"Yes","No"),"")</f>
        <v/>
      </c>
      <c r="C634" s="11"/>
      <c r="D634" s="11"/>
      <c r="E634" s="11"/>
      <c r="F634" s="11"/>
      <c r="G634" s="11"/>
      <c r="H634" s="11"/>
      <c r="I634" s="15"/>
    </row>
    <row r="635" spans="1:9" ht="16.5">
      <c r="A635" s="10" t="b">
        <v>0</v>
      </c>
      <c r="B635" s="11" t="str">
        <f>IF(D635&lt;&gt;"",IF(COUNTIF('USPTO TMs'!A:A,D635)&gt;0,"Yes","No"),"")</f>
        <v/>
      </c>
      <c r="C635" s="11"/>
      <c r="D635" s="11"/>
      <c r="E635" s="11"/>
      <c r="F635" s="11"/>
      <c r="G635" s="11"/>
      <c r="H635" s="11"/>
      <c r="I635" s="15"/>
    </row>
    <row r="636" spans="1:9" ht="16.5">
      <c r="A636" s="10" t="b">
        <v>0</v>
      </c>
      <c r="B636" s="11" t="str">
        <f>IF(D636&lt;&gt;"",IF(COUNTIF('USPTO TMs'!A:A,D636)&gt;0,"Yes","No"),"")</f>
        <v/>
      </c>
      <c r="C636" s="11"/>
      <c r="D636" s="11"/>
      <c r="E636" s="11"/>
      <c r="F636" s="11"/>
      <c r="G636" s="11"/>
      <c r="H636" s="11"/>
      <c r="I636" s="15"/>
    </row>
    <row r="637" spans="1:9" ht="16.5">
      <c r="A637" s="10" t="b">
        <v>0</v>
      </c>
      <c r="B637" s="11" t="str">
        <f>IF(D637&lt;&gt;"",IF(COUNTIF('USPTO TMs'!A:A,D637)&gt;0,"Yes","No"),"")</f>
        <v/>
      </c>
      <c r="C637" s="11"/>
      <c r="D637" s="11"/>
      <c r="E637" s="11"/>
      <c r="F637" s="11"/>
      <c r="G637" s="11"/>
      <c r="H637" s="11"/>
      <c r="I637" s="15"/>
    </row>
    <row r="638" spans="1:9" ht="16.5">
      <c r="A638" s="10" t="b">
        <v>0</v>
      </c>
      <c r="B638" s="11" t="str">
        <f>IF(D638&lt;&gt;"",IF(COUNTIF('USPTO TMs'!A:A,D638)&gt;0,"Yes","No"),"")</f>
        <v/>
      </c>
      <c r="C638" s="11"/>
      <c r="D638" s="11"/>
      <c r="E638" s="11"/>
      <c r="F638" s="11"/>
      <c r="G638" s="11"/>
      <c r="H638" s="11"/>
      <c r="I638" s="15"/>
    </row>
    <row r="639" spans="1:9" ht="16.5">
      <c r="A639" s="10" t="b">
        <v>0</v>
      </c>
      <c r="B639" s="11" t="str">
        <f>IF(D639&lt;&gt;"",IF(COUNTIF('USPTO TMs'!A:A,D639)&gt;0,"Yes","No"),"")</f>
        <v/>
      </c>
      <c r="C639" s="11"/>
      <c r="D639" s="11"/>
      <c r="E639" s="11"/>
      <c r="F639" s="11"/>
      <c r="G639" s="11"/>
      <c r="H639" s="11"/>
      <c r="I639" s="15"/>
    </row>
    <row r="640" spans="1:9" ht="16.5">
      <c r="A640" s="10" t="b">
        <v>0</v>
      </c>
      <c r="B640" s="11" t="str">
        <f>IF(D640&lt;&gt;"",IF(COUNTIF('USPTO TMs'!A:A,D640)&gt;0,"Yes","No"),"")</f>
        <v/>
      </c>
      <c r="C640" s="11"/>
      <c r="D640" s="11"/>
      <c r="E640" s="11"/>
      <c r="F640" s="11"/>
      <c r="G640" s="11"/>
      <c r="H640" s="11"/>
      <c r="I640" s="15"/>
    </row>
    <row r="641" spans="1:9" ht="16.5">
      <c r="A641" s="10" t="b">
        <v>0</v>
      </c>
      <c r="B641" s="11" t="str">
        <f>IF(D641&lt;&gt;"",IF(COUNTIF('USPTO TMs'!A:A,D641)&gt;0,"Yes","No"),"")</f>
        <v/>
      </c>
      <c r="C641" s="11"/>
      <c r="D641" s="11"/>
      <c r="E641" s="11"/>
      <c r="F641" s="11"/>
      <c r="G641" s="11"/>
      <c r="H641" s="11"/>
      <c r="I641" s="15"/>
    </row>
    <row r="642" spans="1:9" ht="16.5">
      <c r="A642" s="10" t="b">
        <v>0</v>
      </c>
      <c r="B642" s="11" t="str">
        <f>IF(D642&lt;&gt;"",IF(COUNTIF('USPTO TMs'!A:A,D642)&gt;0,"Yes","No"),"")</f>
        <v/>
      </c>
      <c r="C642" s="11"/>
      <c r="D642" s="11"/>
      <c r="E642" s="11"/>
      <c r="F642" s="11"/>
      <c r="G642" s="11"/>
      <c r="H642" s="11"/>
      <c r="I642" s="15"/>
    </row>
    <row r="643" spans="1:9" ht="16.5">
      <c r="A643" s="10" t="b">
        <v>0</v>
      </c>
      <c r="B643" s="11" t="str">
        <f>IF(D643&lt;&gt;"",IF(COUNTIF('USPTO TMs'!A:A,D643)&gt;0,"Yes","No"),"")</f>
        <v/>
      </c>
      <c r="C643" s="11"/>
      <c r="D643" s="11"/>
      <c r="E643" s="11"/>
      <c r="F643" s="11"/>
      <c r="G643" s="11"/>
      <c r="H643" s="11"/>
      <c r="I643" s="15"/>
    </row>
    <row r="644" spans="1:9" ht="16.5">
      <c r="A644" s="10" t="b">
        <v>0</v>
      </c>
      <c r="B644" s="11" t="str">
        <f>IF(D644&lt;&gt;"",IF(COUNTIF('USPTO TMs'!A:A,D644)&gt;0,"Yes","No"),"")</f>
        <v/>
      </c>
      <c r="C644" s="11"/>
      <c r="D644" s="11"/>
      <c r="E644" s="11"/>
      <c r="F644" s="11"/>
      <c r="G644" s="11"/>
      <c r="H644" s="11"/>
      <c r="I644" s="15"/>
    </row>
    <row r="645" spans="1:9" ht="16.5">
      <c r="A645" s="10" t="b">
        <v>0</v>
      </c>
      <c r="B645" s="11" t="str">
        <f>IF(D645&lt;&gt;"",IF(COUNTIF('USPTO TMs'!A:A,D645)&gt;0,"Yes","No"),"")</f>
        <v/>
      </c>
      <c r="C645" s="11"/>
      <c r="D645" s="11"/>
      <c r="E645" s="11"/>
      <c r="F645" s="11"/>
      <c r="G645" s="11"/>
      <c r="H645" s="11"/>
      <c r="I645" s="15"/>
    </row>
    <row r="646" spans="1:9" ht="16.5">
      <c r="A646" s="10" t="b">
        <v>0</v>
      </c>
      <c r="B646" s="11" t="str">
        <f>IF(D646&lt;&gt;"",IF(COUNTIF('USPTO TMs'!A:A,D646)&gt;0,"Yes","No"),"")</f>
        <v/>
      </c>
      <c r="C646" s="11"/>
      <c r="D646" s="11"/>
      <c r="E646" s="11"/>
      <c r="F646" s="11"/>
      <c r="G646" s="11"/>
      <c r="H646" s="11"/>
      <c r="I646" s="15"/>
    </row>
    <row r="647" spans="1:9" ht="16.5">
      <c r="A647" s="10" t="b">
        <v>0</v>
      </c>
      <c r="B647" s="11" t="str">
        <f>IF(D647&lt;&gt;"",IF(COUNTIF('USPTO TMs'!A:A,D647)&gt;0,"Yes","No"),"")</f>
        <v/>
      </c>
      <c r="C647" s="11"/>
      <c r="D647" s="11"/>
      <c r="E647" s="11"/>
      <c r="F647" s="11"/>
      <c r="G647" s="11"/>
      <c r="H647" s="11"/>
      <c r="I647" s="15"/>
    </row>
    <row r="648" spans="1:9" ht="16.5">
      <c r="A648" s="10" t="b">
        <v>0</v>
      </c>
      <c r="B648" s="11" t="str">
        <f>IF(D648&lt;&gt;"",IF(COUNTIF('USPTO TMs'!A:A,D648)&gt;0,"Yes","No"),"")</f>
        <v/>
      </c>
      <c r="C648" s="11"/>
      <c r="D648" s="11"/>
      <c r="E648" s="11"/>
      <c r="F648" s="11"/>
      <c r="G648" s="11"/>
      <c r="H648" s="11"/>
      <c r="I648" s="15"/>
    </row>
    <row r="649" spans="1:9" ht="16.5">
      <c r="A649" s="10" t="b">
        <v>0</v>
      </c>
      <c r="B649" s="11" t="str">
        <f>IF(D649&lt;&gt;"",IF(COUNTIF('USPTO TMs'!A:A,D649)&gt;0,"Yes","No"),"")</f>
        <v/>
      </c>
      <c r="C649" s="11"/>
      <c r="D649" s="11"/>
      <c r="E649" s="11"/>
      <c r="F649" s="11"/>
      <c r="G649" s="11"/>
      <c r="H649" s="11"/>
      <c r="I649" s="15"/>
    </row>
    <row r="650" spans="1:9" ht="16.5">
      <c r="A650" s="10" t="b">
        <v>0</v>
      </c>
      <c r="B650" s="11" t="str">
        <f>IF(D650&lt;&gt;"",IF(COUNTIF('USPTO TMs'!A:A,D650)&gt;0,"Yes","No"),"")</f>
        <v/>
      </c>
      <c r="C650" s="11"/>
      <c r="D650" s="11"/>
      <c r="E650" s="11"/>
      <c r="F650" s="11"/>
      <c r="G650" s="11"/>
      <c r="H650" s="11"/>
      <c r="I650" s="15"/>
    </row>
    <row r="651" spans="1:9" ht="16.5">
      <c r="A651" s="10" t="b">
        <v>0</v>
      </c>
      <c r="B651" s="11" t="str">
        <f>IF(D651&lt;&gt;"",IF(COUNTIF('USPTO TMs'!A:A,D651)&gt;0,"Yes","No"),"")</f>
        <v/>
      </c>
      <c r="C651" s="11"/>
      <c r="D651" s="11"/>
      <c r="E651" s="11"/>
      <c r="F651" s="11"/>
      <c r="G651" s="11"/>
      <c r="H651" s="11"/>
      <c r="I651" s="15"/>
    </row>
    <row r="652" spans="1:9" ht="16.5">
      <c r="A652" s="10" t="b">
        <v>0</v>
      </c>
      <c r="B652" s="11" t="str">
        <f>IF(D652&lt;&gt;"",IF(COUNTIF('USPTO TMs'!A:A,D652)&gt;0,"Yes","No"),"")</f>
        <v/>
      </c>
      <c r="C652" s="11"/>
      <c r="D652" s="11"/>
      <c r="E652" s="11"/>
      <c r="F652" s="11"/>
      <c r="G652" s="11"/>
      <c r="H652" s="11"/>
      <c r="I652" s="15"/>
    </row>
    <row r="653" spans="1:9" ht="16.5">
      <c r="A653" s="10" t="b">
        <v>0</v>
      </c>
      <c r="B653" s="11" t="str">
        <f>IF(D653&lt;&gt;"",IF(COUNTIF('USPTO TMs'!A:A,D653)&gt;0,"Yes","No"),"")</f>
        <v/>
      </c>
      <c r="C653" s="11"/>
      <c r="D653" s="11"/>
      <c r="E653" s="11"/>
      <c r="F653" s="11"/>
      <c r="G653" s="11"/>
      <c r="H653" s="11"/>
      <c r="I653" s="15"/>
    </row>
    <row r="654" spans="1:9" ht="16.5">
      <c r="A654" s="10" t="b">
        <v>0</v>
      </c>
      <c r="B654" s="11" t="str">
        <f>IF(D654&lt;&gt;"",IF(COUNTIF('USPTO TMs'!A:A,D654)&gt;0,"Yes","No"),"")</f>
        <v/>
      </c>
      <c r="C654" s="11"/>
      <c r="D654" s="11"/>
      <c r="E654" s="11"/>
      <c r="F654" s="11"/>
      <c r="G654" s="11"/>
      <c r="H654" s="11"/>
      <c r="I654" s="15"/>
    </row>
    <row r="655" spans="1:9" ht="16.5">
      <c r="A655" s="10" t="b">
        <v>0</v>
      </c>
      <c r="B655" s="11" t="str">
        <f>IF(D655&lt;&gt;"",IF(COUNTIF('USPTO TMs'!A:A,D655)&gt;0,"Yes","No"),"")</f>
        <v/>
      </c>
      <c r="C655" s="11"/>
      <c r="D655" s="11"/>
      <c r="E655" s="11"/>
      <c r="F655" s="11"/>
      <c r="G655" s="11"/>
      <c r="H655" s="11"/>
      <c r="I655" s="15"/>
    </row>
    <row r="656" spans="1:9" ht="16.5">
      <c r="A656" s="10" t="b">
        <v>0</v>
      </c>
      <c r="B656" s="11" t="str">
        <f>IF(D656&lt;&gt;"",IF(COUNTIF('USPTO TMs'!A:A,D656)&gt;0,"Yes","No"),"")</f>
        <v/>
      </c>
      <c r="C656" s="11"/>
      <c r="D656" s="11"/>
      <c r="E656" s="11"/>
      <c r="F656" s="11"/>
      <c r="G656" s="11"/>
      <c r="H656" s="11"/>
      <c r="I656" s="15"/>
    </row>
    <row r="657" spans="1:9" ht="16.5">
      <c r="A657" s="10" t="b">
        <v>0</v>
      </c>
      <c r="B657" s="11" t="str">
        <f>IF(D657&lt;&gt;"",IF(COUNTIF('USPTO TMs'!A:A,D657)&gt;0,"Yes","No"),"")</f>
        <v/>
      </c>
      <c r="C657" s="11"/>
      <c r="D657" s="11"/>
      <c r="E657" s="11"/>
      <c r="F657" s="11"/>
      <c r="G657" s="11"/>
      <c r="H657" s="11"/>
      <c r="I657" s="15"/>
    </row>
    <row r="658" spans="1:9" ht="16.5">
      <c r="A658" s="10" t="b">
        <v>0</v>
      </c>
      <c r="B658" s="11" t="str">
        <f>IF(D658&lt;&gt;"",IF(COUNTIF('USPTO TMs'!A:A,D658)&gt;0,"Yes","No"),"")</f>
        <v/>
      </c>
      <c r="C658" s="11"/>
      <c r="D658" s="11"/>
      <c r="E658" s="11"/>
      <c r="F658" s="11"/>
      <c r="G658" s="11"/>
      <c r="H658" s="11"/>
      <c r="I658" s="15"/>
    </row>
    <row r="659" spans="1:9" ht="16.5">
      <c r="A659" s="10" t="b">
        <v>0</v>
      </c>
      <c r="B659" s="11" t="str">
        <f>IF(D659&lt;&gt;"",IF(COUNTIF('USPTO TMs'!A:A,D659)&gt;0,"Yes","No"),"")</f>
        <v/>
      </c>
      <c r="C659" s="11"/>
      <c r="D659" s="11"/>
      <c r="E659" s="11"/>
      <c r="F659" s="11"/>
      <c r="G659" s="11"/>
      <c r="H659" s="11"/>
      <c r="I659" s="15"/>
    </row>
    <row r="660" spans="1:9" ht="16.5">
      <c r="A660" s="10" t="b">
        <v>0</v>
      </c>
      <c r="B660" s="11" t="str">
        <f>IF(D660&lt;&gt;"",IF(COUNTIF('USPTO TMs'!A:A,D660)&gt;0,"Yes","No"),"")</f>
        <v/>
      </c>
      <c r="C660" s="11"/>
      <c r="D660" s="11"/>
      <c r="E660" s="11"/>
      <c r="F660" s="11"/>
      <c r="G660" s="11"/>
      <c r="H660" s="11"/>
      <c r="I660" s="15"/>
    </row>
    <row r="661" spans="1:9" ht="16.5">
      <c r="A661" s="10" t="b">
        <v>0</v>
      </c>
      <c r="B661" s="11" t="str">
        <f>IF(D661&lt;&gt;"",IF(COUNTIF('USPTO TMs'!A:A,D661)&gt;0,"Yes","No"),"")</f>
        <v/>
      </c>
      <c r="C661" s="11"/>
      <c r="D661" s="11"/>
      <c r="E661" s="11"/>
      <c r="F661" s="11"/>
      <c r="G661" s="11"/>
      <c r="H661" s="11"/>
      <c r="I661" s="15"/>
    </row>
    <row r="662" spans="1:9" ht="16.5">
      <c r="A662" s="10" t="b">
        <v>0</v>
      </c>
      <c r="B662" s="11" t="str">
        <f>IF(D662&lt;&gt;"",IF(COUNTIF('USPTO TMs'!A:A,D662)&gt;0,"Yes","No"),"")</f>
        <v/>
      </c>
      <c r="C662" s="11"/>
      <c r="D662" s="11"/>
      <c r="E662" s="11"/>
      <c r="F662" s="11"/>
      <c r="G662" s="11"/>
      <c r="H662" s="11"/>
      <c r="I662" s="15"/>
    </row>
    <row r="663" spans="1:9" ht="16.5">
      <c r="A663" s="10" t="b">
        <v>0</v>
      </c>
      <c r="B663" s="11" t="str">
        <f>IF(D663&lt;&gt;"",IF(COUNTIF('USPTO TMs'!A:A,D663)&gt;0,"Yes","No"),"")</f>
        <v/>
      </c>
      <c r="C663" s="11"/>
      <c r="D663" s="11"/>
      <c r="E663" s="11"/>
      <c r="F663" s="11"/>
      <c r="G663" s="11"/>
      <c r="H663" s="11"/>
      <c r="I663" s="15"/>
    </row>
    <row r="664" spans="1:9" ht="16.5">
      <c r="A664" s="10" t="b">
        <v>0</v>
      </c>
      <c r="B664" s="11" t="str">
        <f>IF(D664&lt;&gt;"",IF(COUNTIF('USPTO TMs'!A:A,D664)&gt;0,"Yes","No"),"")</f>
        <v/>
      </c>
      <c r="C664" s="11"/>
      <c r="D664" s="11"/>
      <c r="E664" s="11"/>
      <c r="F664" s="11"/>
      <c r="G664" s="11"/>
      <c r="H664" s="11"/>
      <c r="I664" s="15"/>
    </row>
    <row r="665" spans="1:9" ht="16.5">
      <c r="A665" s="10" t="b">
        <v>0</v>
      </c>
      <c r="B665" s="11" t="str">
        <f>IF(D665&lt;&gt;"",IF(COUNTIF('USPTO TMs'!A:A,D665)&gt;0,"Yes","No"),"")</f>
        <v/>
      </c>
      <c r="C665" s="11"/>
      <c r="D665" s="11"/>
      <c r="E665" s="11"/>
      <c r="F665" s="11"/>
      <c r="G665" s="11"/>
      <c r="H665" s="11"/>
      <c r="I665" s="15"/>
    </row>
    <row r="666" spans="1:9" ht="16.5">
      <c r="A666" s="10" t="b">
        <v>0</v>
      </c>
      <c r="B666" s="11" t="str">
        <f>IF(D666&lt;&gt;"",IF(COUNTIF('USPTO TMs'!A:A,D666)&gt;0,"Yes","No"),"")</f>
        <v/>
      </c>
      <c r="C666" s="11"/>
      <c r="D666" s="11"/>
      <c r="E666" s="11"/>
      <c r="F666" s="11"/>
      <c r="G666" s="11"/>
      <c r="H666" s="11"/>
      <c r="I666" s="15"/>
    </row>
    <row r="667" spans="1:9" ht="16.5">
      <c r="A667" s="10" t="b">
        <v>0</v>
      </c>
      <c r="B667" s="11" t="str">
        <f>IF(D667&lt;&gt;"",IF(COUNTIF('USPTO TMs'!A:A,D667)&gt;0,"Yes","No"),"")</f>
        <v/>
      </c>
      <c r="C667" s="11"/>
      <c r="D667" s="11"/>
      <c r="E667" s="11"/>
      <c r="F667" s="11"/>
      <c r="G667" s="11"/>
      <c r="H667" s="11"/>
      <c r="I667" s="15"/>
    </row>
    <row r="668" spans="1:9" ht="16.5">
      <c r="A668" s="10" t="b">
        <v>0</v>
      </c>
      <c r="B668" s="11" t="str">
        <f>IF(D668&lt;&gt;"",IF(COUNTIF('USPTO TMs'!A:A,D668)&gt;0,"Yes","No"),"")</f>
        <v/>
      </c>
      <c r="C668" s="11"/>
      <c r="D668" s="11"/>
      <c r="E668" s="11"/>
      <c r="F668" s="11"/>
      <c r="G668" s="11"/>
      <c r="H668" s="11"/>
      <c r="I668" s="15"/>
    </row>
    <row r="669" spans="1:9" ht="16.5">
      <c r="A669" s="10" t="b">
        <v>0</v>
      </c>
      <c r="B669" s="11" t="str">
        <f>IF(D669&lt;&gt;"",IF(COUNTIF('USPTO TMs'!A:A,D669)&gt;0,"Yes","No"),"")</f>
        <v/>
      </c>
      <c r="C669" s="11"/>
      <c r="D669" s="11"/>
      <c r="E669" s="11"/>
      <c r="F669" s="11"/>
      <c r="G669" s="11"/>
      <c r="H669" s="11"/>
      <c r="I669" s="15"/>
    </row>
    <row r="670" spans="1:9" ht="16.5">
      <c r="A670" s="10" t="b">
        <v>0</v>
      </c>
      <c r="B670" s="11" t="str">
        <f>IF(D670&lt;&gt;"",IF(COUNTIF('USPTO TMs'!A:A,D670)&gt;0,"Yes","No"),"")</f>
        <v/>
      </c>
      <c r="C670" s="11"/>
      <c r="D670" s="11"/>
      <c r="E670" s="11"/>
      <c r="F670" s="11"/>
      <c r="G670" s="11"/>
      <c r="H670" s="11"/>
      <c r="I670" s="15"/>
    </row>
    <row r="671" spans="1:9" ht="16.5">
      <c r="A671" s="10" t="b">
        <v>0</v>
      </c>
      <c r="B671" s="11" t="str">
        <f>IF(D671&lt;&gt;"",IF(COUNTIF('USPTO TMs'!A:A,D671)&gt;0,"Yes","No"),"")</f>
        <v/>
      </c>
      <c r="C671" s="11"/>
      <c r="D671" s="11"/>
      <c r="E671" s="11"/>
      <c r="F671" s="11"/>
      <c r="G671" s="11"/>
      <c r="H671" s="11"/>
      <c r="I671" s="15"/>
    </row>
    <row r="672" spans="1:9" ht="16.5">
      <c r="A672" s="10" t="b">
        <v>0</v>
      </c>
      <c r="B672" s="11" t="str">
        <f>IF(D672&lt;&gt;"",IF(COUNTIF('USPTO TMs'!A:A,D672)&gt;0,"Yes","No"),"")</f>
        <v/>
      </c>
      <c r="C672" s="11"/>
      <c r="D672" s="11"/>
      <c r="E672" s="11"/>
      <c r="F672" s="11"/>
      <c r="G672" s="11"/>
      <c r="H672" s="11"/>
      <c r="I672" s="15"/>
    </row>
    <row r="673" spans="1:9" ht="16.5">
      <c r="A673" s="10" t="b">
        <v>0</v>
      </c>
      <c r="B673" s="11" t="str">
        <f>IF(D673&lt;&gt;"",IF(COUNTIF('USPTO TMs'!A:A,D673)&gt;0,"Yes","No"),"")</f>
        <v/>
      </c>
      <c r="C673" s="11"/>
      <c r="D673" s="11"/>
      <c r="E673" s="11"/>
      <c r="F673" s="11"/>
      <c r="G673" s="11"/>
      <c r="H673" s="11"/>
      <c r="I673" s="15"/>
    </row>
    <row r="674" spans="1:9" ht="16.5">
      <c r="A674" s="10" t="b">
        <v>0</v>
      </c>
      <c r="B674" s="11" t="str">
        <f>IF(D674&lt;&gt;"",IF(COUNTIF('USPTO TMs'!A:A,D674)&gt;0,"Yes","No"),"")</f>
        <v/>
      </c>
      <c r="C674" s="11"/>
      <c r="D674" s="11"/>
      <c r="E674" s="11"/>
      <c r="F674" s="11"/>
      <c r="G674" s="11"/>
      <c r="H674" s="11"/>
      <c r="I674" s="15"/>
    </row>
    <row r="675" spans="1:9" ht="16.5">
      <c r="A675" s="10" t="b">
        <v>0</v>
      </c>
      <c r="B675" s="11" t="str">
        <f>IF(D675&lt;&gt;"",IF(COUNTIF('USPTO TMs'!A:A,D675)&gt;0,"Yes","No"),"")</f>
        <v/>
      </c>
      <c r="C675" s="11"/>
      <c r="D675" s="11"/>
      <c r="E675" s="11"/>
      <c r="F675" s="11"/>
      <c r="G675" s="11"/>
      <c r="H675" s="11"/>
      <c r="I675" s="15"/>
    </row>
    <row r="676" spans="1:9" ht="16.5">
      <c r="A676" s="10" t="b">
        <v>0</v>
      </c>
      <c r="B676" s="11" t="str">
        <f>IF(D676&lt;&gt;"",IF(COUNTIF('USPTO TMs'!A:A,D676)&gt;0,"Yes","No"),"")</f>
        <v/>
      </c>
      <c r="C676" s="11"/>
      <c r="D676" s="11"/>
      <c r="E676" s="11"/>
      <c r="F676" s="11"/>
      <c r="G676" s="11"/>
      <c r="H676" s="11"/>
      <c r="I676" s="15"/>
    </row>
    <row r="677" spans="1:9" ht="16.5">
      <c r="A677" s="10" t="b">
        <v>0</v>
      </c>
      <c r="B677" s="11" t="str">
        <f>IF(D677&lt;&gt;"",IF(COUNTIF('USPTO TMs'!A:A,D677)&gt;0,"Yes","No"),"")</f>
        <v/>
      </c>
      <c r="C677" s="11"/>
      <c r="D677" s="11"/>
      <c r="E677" s="11"/>
      <c r="F677" s="11"/>
      <c r="G677" s="11"/>
      <c r="H677" s="11"/>
      <c r="I677" s="15"/>
    </row>
    <row r="678" spans="1:9" ht="16.5">
      <c r="A678" s="10" t="b">
        <v>0</v>
      </c>
      <c r="B678" s="11" t="str">
        <f>IF(D678&lt;&gt;"",IF(COUNTIF('USPTO TMs'!A:A,D678)&gt;0,"Yes","No"),"")</f>
        <v/>
      </c>
      <c r="C678" s="11"/>
      <c r="D678" s="11"/>
      <c r="E678" s="11"/>
      <c r="F678" s="11"/>
      <c r="G678" s="11"/>
      <c r="H678" s="11"/>
      <c r="I678" s="15"/>
    </row>
    <row r="679" spans="1:9" ht="16.5">
      <c r="A679" s="10" t="b">
        <v>0</v>
      </c>
      <c r="B679" s="11" t="str">
        <f>IF(D679&lt;&gt;"",IF(COUNTIF('USPTO TMs'!A:A,D679)&gt;0,"Yes","No"),"")</f>
        <v/>
      </c>
      <c r="C679" s="11"/>
      <c r="D679" s="11"/>
      <c r="E679" s="11"/>
      <c r="F679" s="11"/>
      <c r="G679" s="11"/>
      <c r="H679" s="11"/>
      <c r="I679" s="15"/>
    </row>
    <row r="680" spans="1:9" ht="16.5">
      <c r="A680" s="10" t="b">
        <v>0</v>
      </c>
      <c r="B680" s="11" t="str">
        <f>IF(D680&lt;&gt;"",IF(COUNTIF('USPTO TMs'!A:A,D680)&gt;0,"Yes","No"),"")</f>
        <v/>
      </c>
      <c r="C680" s="11"/>
      <c r="D680" s="11"/>
      <c r="E680" s="11"/>
      <c r="F680" s="11"/>
      <c r="G680" s="11"/>
      <c r="H680" s="11"/>
      <c r="I680" s="15"/>
    </row>
    <row r="681" spans="1:9" ht="16.5">
      <c r="A681" s="10" t="b">
        <v>0</v>
      </c>
      <c r="B681" s="11" t="str">
        <f>IF(D681&lt;&gt;"",IF(COUNTIF('USPTO TMs'!A:A,D681)&gt;0,"Yes","No"),"")</f>
        <v/>
      </c>
      <c r="C681" s="11"/>
      <c r="D681" s="11"/>
      <c r="E681" s="11"/>
      <c r="F681" s="11"/>
      <c r="G681" s="11"/>
      <c r="H681" s="11"/>
      <c r="I681" s="15"/>
    </row>
    <row r="682" spans="1:9" ht="16.5">
      <c r="A682" s="10" t="b">
        <v>0</v>
      </c>
      <c r="B682" s="11" t="str">
        <f>IF(D682&lt;&gt;"",IF(COUNTIF('USPTO TMs'!A:A,D682)&gt;0,"Yes","No"),"")</f>
        <v/>
      </c>
      <c r="C682" s="11"/>
      <c r="D682" s="11"/>
      <c r="E682" s="11"/>
      <c r="F682" s="11"/>
      <c r="G682" s="11"/>
      <c r="H682" s="11"/>
      <c r="I682" s="15"/>
    </row>
    <row r="683" spans="1:9" ht="16.5">
      <c r="A683" s="10" t="b">
        <v>0</v>
      </c>
      <c r="B683" s="11" t="str">
        <f>IF(D683&lt;&gt;"",IF(COUNTIF('USPTO TMs'!A:A,D683)&gt;0,"Yes","No"),"")</f>
        <v/>
      </c>
      <c r="C683" s="11"/>
      <c r="D683" s="11"/>
      <c r="E683" s="11"/>
      <c r="F683" s="11"/>
      <c r="G683" s="11"/>
      <c r="H683" s="11"/>
      <c r="I683" s="15"/>
    </row>
    <row r="684" spans="1:9" ht="16.5">
      <c r="A684" s="10" t="b">
        <v>0</v>
      </c>
      <c r="B684" s="11" t="str">
        <f>IF(D684&lt;&gt;"",IF(COUNTIF('USPTO TMs'!A:A,D684)&gt;0,"Yes","No"),"")</f>
        <v/>
      </c>
      <c r="C684" s="11"/>
      <c r="D684" s="11"/>
      <c r="E684" s="11"/>
      <c r="F684" s="11"/>
      <c r="G684" s="11"/>
      <c r="H684" s="11"/>
      <c r="I684" s="15"/>
    </row>
    <row r="685" spans="1:9" ht="16.5">
      <c r="A685" s="10" t="b">
        <v>0</v>
      </c>
      <c r="B685" s="11" t="str">
        <f>IF(D685&lt;&gt;"",IF(COUNTIF('USPTO TMs'!A:A,D685)&gt;0,"Yes","No"),"")</f>
        <v/>
      </c>
      <c r="C685" s="11"/>
      <c r="D685" s="11"/>
      <c r="E685" s="11"/>
      <c r="F685" s="11"/>
      <c r="G685" s="11"/>
      <c r="H685" s="11"/>
      <c r="I685" s="15"/>
    </row>
    <row r="686" spans="1:9" ht="16.5">
      <c r="A686" s="10" t="b">
        <v>0</v>
      </c>
      <c r="B686" s="11" t="str">
        <f>IF(D686&lt;&gt;"",IF(COUNTIF('USPTO TMs'!A:A,D686)&gt;0,"Yes","No"),"")</f>
        <v/>
      </c>
      <c r="C686" s="11"/>
      <c r="D686" s="11"/>
      <c r="E686" s="11"/>
      <c r="F686" s="11"/>
      <c r="G686" s="11"/>
      <c r="H686" s="11"/>
      <c r="I686" s="15"/>
    </row>
    <row r="687" spans="1:9" ht="16.5">
      <c r="A687" s="10" t="b">
        <v>0</v>
      </c>
      <c r="B687" s="11" t="str">
        <f>IF(D687&lt;&gt;"",IF(COUNTIF('USPTO TMs'!A:A,D687)&gt;0,"Yes","No"),"")</f>
        <v/>
      </c>
      <c r="C687" s="11"/>
      <c r="D687" s="11"/>
      <c r="E687" s="11"/>
      <c r="F687" s="11"/>
      <c r="G687" s="11"/>
      <c r="H687" s="11"/>
      <c r="I687" s="15"/>
    </row>
    <row r="688" spans="1:9" ht="16.5">
      <c r="A688" s="10" t="b">
        <v>0</v>
      </c>
      <c r="B688" s="11" t="str">
        <f>IF(D688&lt;&gt;"",IF(COUNTIF('USPTO TMs'!A:A,D688)&gt;0,"Yes","No"),"")</f>
        <v/>
      </c>
      <c r="C688" s="11"/>
      <c r="D688" s="11"/>
      <c r="E688" s="11"/>
      <c r="F688" s="11"/>
      <c r="G688" s="11"/>
      <c r="H688" s="11"/>
      <c r="I688" s="15"/>
    </row>
    <row r="689" spans="1:9" ht="16.5">
      <c r="A689" s="10" t="b">
        <v>0</v>
      </c>
      <c r="B689" s="11" t="str">
        <f>IF(D689&lt;&gt;"",IF(COUNTIF('USPTO TMs'!A:A,D689)&gt;0,"Yes","No"),"")</f>
        <v/>
      </c>
      <c r="C689" s="11"/>
      <c r="D689" s="11"/>
      <c r="E689" s="11"/>
      <c r="F689" s="11"/>
      <c r="G689" s="11"/>
      <c r="H689" s="11"/>
      <c r="I689" s="15"/>
    </row>
    <row r="690" spans="1:9" ht="16.5">
      <c r="A690" s="10" t="b">
        <v>0</v>
      </c>
      <c r="B690" s="11" t="str">
        <f>IF(D690&lt;&gt;"",IF(COUNTIF('USPTO TMs'!A:A,D690)&gt;0,"Yes","No"),"")</f>
        <v/>
      </c>
      <c r="C690" s="11"/>
      <c r="D690" s="11"/>
      <c r="E690" s="11"/>
      <c r="F690" s="11"/>
      <c r="G690" s="11"/>
      <c r="H690" s="11"/>
      <c r="I690" s="15"/>
    </row>
    <row r="691" spans="1:9" ht="16.5">
      <c r="A691" s="10" t="b">
        <v>0</v>
      </c>
      <c r="B691" s="11" t="str">
        <f>IF(D691&lt;&gt;"",IF(COUNTIF('USPTO TMs'!A:A,D691)&gt;0,"Yes","No"),"")</f>
        <v/>
      </c>
      <c r="C691" s="11"/>
      <c r="D691" s="11"/>
      <c r="E691" s="11"/>
      <c r="F691" s="11"/>
      <c r="G691" s="11"/>
      <c r="H691" s="11"/>
      <c r="I691" s="15"/>
    </row>
    <row r="692" spans="1:9" ht="16.5">
      <c r="A692" s="10" t="b">
        <v>0</v>
      </c>
      <c r="B692" s="11" t="str">
        <f>IF(D692&lt;&gt;"",IF(COUNTIF('USPTO TMs'!A:A,D692)&gt;0,"Yes","No"),"")</f>
        <v/>
      </c>
      <c r="C692" s="11"/>
      <c r="D692" s="11"/>
      <c r="E692" s="11"/>
      <c r="F692" s="11"/>
      <c r="G692" s="11"/>
      <c r="H692" s="11"/>
      <c r="I692" s="15"/>
    </row>
    <row r="693" spans="1:9" ht="16.5">
      <c r="A693" s="10" t="b">
        <v>0</v>
      </c>
      <c r="B693" s="11" t="str">
        <f>IF(D693&lt;&gt;"",IF(COUNTIF('USPTO TMs'!A:A,D693)&gt;0,"Yes","No"),"")</f>
        <v/>
      </c>
      <c r="C693" s="11"/>
      <c r="D693" s="11"/>
      <c r="E693" s="11"/>
      <c r="F693" s="11"/>
      <c r="G693" s="11"/>
      <c r="H693" s="11"/>
      <c r="I693" s="15"/>
    </row>
    <row r="694" spans="1:9" ht="16.5">
      <c r="A694" s="10" t="b">
        <v>0</v>
      </c>
      <c r="B694" s="11" t="str">
        <f>IF(D694&lt;&gt;"",IF(COUNTIF('USPTO TMs'!A:A,D694)&gt;0,"Yes","No"),"")</f>
        <v/>
      </c>
      <c r="C694" s="11"/>
      <c r="D694" s="11"/>
      <c r="E694" s="11"/>
      <c r="F694" s="11"/>
      <c r="G694" s="11"/>
      <c r="H694" s="11"/>
      <c r="I694" s="15"/>
    </row>
    <row r="695" spans="1:9" ht="16.5">
      <c r="A695" s="10" t="b">
        <v>0</v>
      </c>
      <c r="B695" s="11" t="str">
        <f>IF(D695&lt;&gt;"",IF(COUNTIF('USPTO TMs'!A:A,D695)&gt;0,"Yes","No"),"")</f>
        <v/>
      </c>
      <c r="C695" s="11"/>
      <c r="D695" s="11"/>
      <c r="E695" s="11"/>
      <c r="F695" s="11"/>
      <c r="G695" s="11"/>
      <c r="H695" s="11"/>
      <c r="I695" s="15"/>
    </row>
    <row r="696" spans="1:9" ht="16.5">
      <c r="A696" s="10" t="b">
        <v>0</v>
      </c>
      <c r="B696" s="11" t="str">
        <f>IF(D696&lt;&gt;"",IF(COUNTIF('USPTO TMs'!A:A,D696)&gt;0,"Yes","No"),"")</f>
        <v/>
      </c>
      <c r="C696" s="11"/>
      <c r="D696" s="11"/>
      <c r="E696" s="11"/>
      <c r="F696" s="11"/>
      <c r="G696" s="11"/>
      <c r="H696" s="11"/>
      <c r="I696" s="15"/>
    </row>
    <row r="697" spans="1:9" ht="16.5">
      <c r="A697" s="10" t="b">
        <v>0</v>
      </c>
      <c r="B697" s="11" t="str">
        <f>IF(D697&lt;&gt;"",IF(COUNTIF('USPTO TMs'!A:A,D697)&gt;0,"Yes","No"),"")</f>
        <v/>
      </c>
      <c r="C697" s="11"/>
      <c r="D697" s="11"/>
      <c r="E697" s="11"/>
      <c r="F697" s="11"/>
      <c r="G697" s="11"/>
      <c r="H697" s="11"/>
      <c r="I697" s="15"/>
    </row>
    <row r="698" spans="1:9" ht="16.5">
      <c r="A698" s="10" t="b">
        <v>0</v>
      </c>
      <c r="B698" s="11" t="str">
        <f>IF(D698&lt;&gt;"",IF(COUNTIF('USPTO TMs'!A:A,D698)&gt;0,"Yes","No"),"")</f>
        <v/>
      </c>
      <c r="C698" s="11"/>
      <c r="D698" s="11"/>
      <c r="E698" s="11"/>
      <c r="F698" s="11"/>
      <c r="G698" s="11"/>
      <c r="H698" s="11"/>
      <c r="I698" s="15"/>
    </row>
    <row r="699" spans="1:9" ht="16.5">
      <c r="A699" s="10" t="b">
        <v>0</v>
      </c>
      <c r="B699" s="11" t="str">
        <f>IF(D699&lt;&gt;"",IF(COUNTIF('USPTO TMs'!A:A,D699)&gt;0,"Yes","No"),"")</f>
        <v/>
      </c>
      <c r="C699" s="11"/>
      <c r="D699" s="11"/>
      <c r="E699" s="11"/>
      <c r="F699" s="11"/>
      <c r="G699" s="11"/>
      <c r="H699" s="11"/>
      <c r="I699" s="15"/>
    </row>
    <row r="700" spans="1:9" ht="16.5">
      <c r="A700" s="10" t="b">
        <v>0</v>
      </c>
      <c r="B700" s="11" t="str">
        <f>IF(D700&lt;&gt;"",IF(COUNTIF('USPTO TMs'!A:A,D700)&gt;0,"Yes","No"),"")</f>
        <v/>
      </c>
      <c r="C700" s="11"/>
      <c r="D700" s="11"/>
      <c r="E700" s="11"/>
      <c r="F700" s="11"/>
      <c r="G700" s="11"/>
      <c r="H700" s="11"/>
      <c r="I700" s="15"/>
    </row>
    <row r="701" spans="1:9" ht="16.5">
      <c r="A701" s="10" t="b">
        <v>0</v>
      </c>
      <c r="B701" s="11" t="str">
        <f>IF(D701&lt;&gt;"",IF(COUNTIF('USPTO TMs'!A:A,D701)&gt;0,"Yes","No"),"")</f>
        <v/>
      </c>
      <c r="C701" s="11"/>
      <c r="D701" s="11"/>
      <c r="E701" s="11"/>
      <c r="F701" s="11"/>
      <c r="G701" s="11"/>
      <c r="H701" s="11"/>
      <c r="I701" s="15"/>
    </row>
    <row r="702" spans="1:9" ht="16.5">
      <c r="A702" s="10" t="b">
        <v>0</v>
      </c>
      <c r="B702" s="11" t="str">
        <f>IF(D702&lt;&gt;"",IF(COUNTIF('USPTO TMs'!A:A,D702)&gt;0,"Yes","No"),"")</f>
        <v/>
      </c>
      <c r="C702" s="11"/>
      <c r="D702" s="11"/>
      <c r="E702" s="11"/>
      <c r="F702" s="11"/>
      <c r="G702" s="11"/>
      <c r="H702" s="11"/>
      <c r="I702" s="15"/>
    </row>
    <row r="703" spans="1:9" ht="16.5">
      <c r="A703" s="10" t="b">
        <v>0</v>
      </c>
      <c r="B703" s="11" t="str">
        <f>IF(D703&lt;&gt;"",IF(COUNTIF('USPTO TMs'!A:A,D703)&gt;0,"Yes","No"),"")</f>
        <v/>
      </c>
      <c r="C703" s="11"/>
      <c r="D703" s="11"/>
      <c r="E703" s="11"/>
      <c r="F703" s="11"/>
      <c r="G703" s="11"/>
      <c r="H703" s="11"/>
      <c r="I703" s="15"/>
    </row>
    <row r="704" spans="1:9" ht="16.5">
      <c r="A704" s="10" t="b">
        <v>0</v>
      </c>
      <c r="B704" s="11" t="str">
        <f>IF(D704&lt;&gt;"",IF(COUNTIF('USPTO TMs'!A:A,D704)&gt;0,"Yes","No"),"")</f>
        <v/>
      </c>
      <c r="C704" s="11"/>
      <c r="D704" s="11"/>
      <c r="E704" s="11"/>
      <c r="F704" s="11"/>
      <c r="G704" s="11"/>
      <c r="H704" s="11"/>
      <c r="I704" s="15"/>
    </row>
    <row r="705" spans="1:9" ht="16.5">
      <c r="A705" s="10" t="b">
        <v>0</v>
      </c>
      <c r="B705" s="11" t="str">
        <f>IF(D705&lt;&gt;"",IF(COUNTIF('USPTO TMs'!A:A,D705)&gt;0,"Yes","No"),"")</f>
        <v/>
      </c>
      <c r="C705" s="11"/>
      <c r="D705" s="11"/>
      <c r="E705" s="11"/>
      <c r="F705" s="11"/>
      <c r="G705" s="11"/>
      <c r="H705" s="11"/>
      <c r="I705" s="15"/>
    </row>
    <row r="706" spans="1:9" ht="16.5">
      <c r="A706" s="10" t="b">
        <v>0</v>
      </c>
      <c r="B706" s="11" t="str">
        <f>IF(D706&lt;&gt;"",IF(COUNTIF('USPTO TMs'!A:A,D706)&gt;0,"Yes","No"),"")</f>
        <v/>
      </c>
      <c r="C706" s="11"/>
      <c r="D706" s="11"/>
      <c r="E706" s="11"/>
      <c r="F706" s="11"/>
      <c r="G706" s="11"/>
      <c r="H706" s="11"/>
      <c r="I706" s="15"/>
    </row>
    <row r="707" spans="1:9" ht="16.5">
      <c r="A707" s="10" t="b">
        <v>0</v>
      </c>
      <c r="B707" s="11" t="str">
        <f>IF(D707&lt;&gt;"",IF(COUNTIF('USPTO TMs'!A:A,D707)&gt;0,"Yes","No"),"")</f>
        <v/>
      </c>
      <c r="C707" s="11"/>
      <c r="D707" s="11"/>
      <c r="E707" s="11"/>
      <c r="F707" s="11"/>
      <c r="G707" s="11"/>
      <c r="H707" s="11"/>
      <c r="I707" s="15"/>
    </row>
    <row r="708" spans="1:9" ht="16.5">
      <c r="A708" s="10" t="b">
        <v>0</v>
      </c>
      <c r="B708" s="11" t="str">
        <f>IF(D708&lt;&gt;"",IF(COUNTIF('USPTO TMs'!A:A,D708)&gt;0,"Yes","No"),"")</f>
        <v/>
      </c>
      <c r="C708" s="11"/>
      <c r="D708" s="11"/>
      <c r="E708" s="11"/>
      <c r="F708" s="11"/>
      <c r="G708" s="11"/>
      <c r="H708" s="11"/>
      <c r="I708" s="15"/>
    </row>
    <row r="709" spans="1:9" ht="16.5">
      <c r="A709" s="10" t="b">
        <v>0</v>
      </c>
      <c r="B709" s="11" t="str">
        <f>IF(D709&lt;&gt;"",IF(COUNTIF('USPTO TMs'!A:A,D709)&gt;0,"Yes","No"),"")</f>
        <v/>
      </c>
      <c r="C709" s="11"/>
      <c r="D709" s="11"/>
      <c r="E709" s="11"/>
      <c r="F709" s="11"/>
      <c r="G709" s="11"/>
      <c r="H709" s="11"/>
      <c r="I709" s="15"/>
    </row>
    <row r="710" spans="1:9" ht="16.5">
      <c r="A710" s="10" t="b">
        <v>0</v>
      </c>
      <c r="B710" s="11" t="str">
        <f>IF(D710&lt;&gt;"",IF(COUNTIF('USPTO TMs'!A:A,D710)&gt;0,"Yes","No"),"")</f>
        <v/>
      </c>
      <c r="C710" s="11"/>
      <c r="D710" s="11"/>
      <c r="E710" s="11"/>
      <c r="F710" s="11"/>
      <c r="G710" s="11"/>
      <c r="H710" s="11"/>
      <c r="I710" s="15"/>
    </row>
    <row r="711" spans="1:9" ht="16.5">
      <c r="A711" s="10" t="b">
        <v>0</v>
      </c>
      <c r="B711" s="11" t="str">
        <f>IF(D711&lt;&gt;"",IF(COUNTIF('USPTO TMs'!A:A,D711)&gt;0,"Yes","No"),"")</f>
        <v/>
      </c>
      <c r="C711" s="11"/>
      <c r="D711" s="11"/>
      <c r="E711" s="11"/>
      <c r="F711" s="11"/>
      <c r="G711" s="11"/>
      <c r="H711" s="11"/>
      <c r="I711" s="15"/>
    </row>
    <row r="712" spans="1:9" ht="16.5">
      <c r="A712" s="10" t="b">
        <v>0</v>
      </c>
      <c r="B712" s="11" t="str">
        <f>IF(D712&lt;&gt;"",IF(COUNTIF('USPTO TMs'!A:A,D712)&gt;0,"Yes","No"),"")</f>
        <v/>
      </c>
      <c r="C712" s="11"/>
      <c r="D712" s="11"/>
      <c r="E712" s="11"/>
      <c r="F712" s="11"/>
      <c r="G712" s="11"/>
      <c r="H712" s="11"/>
      <c r="I712" s="15"/>
    </row>
    <row r="713" spans="1:9" ht="16.5">
      <c r="A713" s="10" t="b">
        <v>0</v>
      </c>
      <c r="B713" s="11" t="str">
        <f>IF(D713&lt;&gt;"",IF(COUNTIF('USPTO TMs'!A:A,D713)&gt;0,"Yes","No"),"")</f>
        <v/>
      </c>
      <c r="C713" s="11"/>
      <c r="D713" s="11"/>
      <c r="E713" s="11"/>
      <c r="F713" s="11"/>
      <c r="G713" s="11"/>
      <c r="H713" s="11"/>
      <c r="I713" s="15"/>
    </row>
    <row r="714" spans="1:9" ht="16.5">
      <c r="A714" s="10" t="b">
        <v>0</v>
      </c>
      <c r="B714" s="11" t="str">
        <f>IF(D714&lt;&gt;"",IF(COUNTIF('USPTO TMs'!A:A,D714)&gt;0,"Yes","No"),"")</f>
        <v/>
      </c>
      <c r="C714" s="11"/>
      <c r="D714" s="11"/>
      <c r="E714" s="11"/>
      <c r="F714" s="11"/>
      <c r="G714" s="11"/>
      <c r="H714" s="11"/>
      <c r="I714" s="15"/>
    </row>
    <row r="715" spans="1:9" ht="16.5">
      <c r="A715" s="10" t="b">
        <v>0</v>
      </c>
      <c r="B715" s="11" t="str">
        <f>IF(D715&lt;&gt;"",IF(COUNTIF('USPTO TMs'!A:A,D715)&gt;0,"Yes","No"),"")</f>
        <v/>
      </c>
      <c r="C715" s="11"/>
      <c r="D715" s="11"/>
      <c r="E715" s="11"/>
      <c r="F715" s="11"/>
      <c r="G715" s="11"/>
      <c r="H715" s="11"/>
      <c r="I715" s="15"/>
    </row>
    <row r="716" spans="1:9" ht="16.5">
      <c r="A716" s="10" t="b">
        <v>0</v>
      </c>
      <c r="B716" s="11" t="str">
        <f>IF(D716&lt;&gt;"",IF(COUNTIF('USPTO TMs'!A:A,D716)&gt;0,"Yes","No"),"")</f>
        <v/>
      </c>
      <c r="C716" s="11"/>
      <c r="D716" s="11"/>
      <c r="E716" s="11"/>
      <c r="F716" s="11"/>
      <c r="G716" s="11"/>
      <c r="H716" s="11"/>
      <c r="I716" s="15"/>
    </row>
    <row r="717" spans="1:9" ht="16.5">
      <c r="A717" s="10" t="b">
        <v>0</v>
      </c>
      <c r="B717" s="11" t="str">
        <f>IF(D717&lt;&gt;"",IF(COUNTIF('USPTO TMs'!A:A,D717)&gt;0,"Yes","No"),"")</f>
        <v/>
      </c>
      <c r="C717" s="11"/>
      <c r="D717" s="11"/>
      <c r="E717" s="11"/>
      <c r="F717" s="11"/>
      <c r="G717" s="11"/>
      <c r="H717" s="11"/>
      <c r="I717" s="15"/>
    </row>
    <row r="718" spans="1:9" ht="16.5">
      <c r="A718" s="10" t="b">
        <v>0</v>
      </c>
      <c r="B718" s="11" t="str">
        <f>IF(D718&lt;&gt;"",IF(COUNTIF('USPTO TMs'!A:A,D718)&gt;0,"Yes","No"),"")</f>
        <v/>
      </c>
      <c r="C718" s="11"/>
      <c r="D718" s="11"/>
      <c r="E718" s="11"/>
      <c r="F718" s="11"/>
      <c r="G718" s="11"/>
      <c r="H718" s="11"/>
      <c r="I718" s="15"/>
    </row>
    <row r="719" spans="1:9" ht="16.5">
      <c r="A719" s="10" t="b">
        <v>0</v>
      </c>
      <c r="B719" s="11" t="str">
        <f>IF(D719&lt;&gt;"",IF(COUNTIF('USPTO TMs'!A:A,D719)&gt;0,"Yes","No"),"")</f>
        <v/>
      </c>
      <c r="C719" s="11"/>
      <c r="D719" s="11"/>
      <c r="E719" s="11"/>
      <c r="F719" s="11"/>
      <c r="G719" s="11"/>
      <c r="H719" s="11"/>
      <c r="I719" s="15"/>
    </row>
    <row r="720" spans="1:9" ht="16.5">
      <c r="A720" s="10" t="b">
        <v>0</v>
      </c>
      <c r="B720" s="11" t="str">
        <f>IF(D720&lt;&gt;"",IF(COUNTIF('USPTO TMs'!A:A,D720)&gt;0,"Yes","No"),"")</f>
        <v/>
      </c>
      <c r="C720" s="11"/>
      <c r="D720" s="11"/>
      <c r="E720" s="11"/>
      <c r="F720" s="11"/>
      <c r="G720" s="11"/>
      <c r="H720" s="11"/>
      <c r="I720" s="15"/>
    </row>
    <row r="721" spans="1:9" ht="16.5">
      <c r="A721" s="10" t="b">
        <v>0</v>
      </c>
      <c r="B721" s="11" t="str">
        <f>IF(D721&lt;&gt;"",IF(COUNTIF('USPTO TMs'!A:A,D721)&gt;0,"Yes","No"),"")</f>
        <v/>
      </c>
      <c r="C721" s="11"/>
      <c r="D721" s="11"/>
      <c r="E721" s="11"/>
      <c r="F721" s="11"/>
      <c r="G721" s="11"/>
      <c r="H721" s="11"/>
      <c r="I721" s="15"/>
    </row>
    <row r="722" spans="1:9" ht="16.5">
      <c r="A722" s="10" t="b">
        <v>0</v>
      </c>
      <c r="B722" s="11" t="str">
        <f>IF(D722&lt;&gt;"",IF(COUNTIF('USPTO TMs'!A:A,D722)&gt;0,"Yes","No"),"")</f>
        <v/>
      </c>
      <c r="C722" s="11"/>
      <c r="D722" s="11"/>
      <c r="E722" s="11"/>
      <c r="F722" s="11"/>
      <c r="G722" s="11"/>
      <c r="H722" s="11"/>
      <c r="I722" s="15"/>
    </row>
    <row r="723" spans="1:9" ht="16.5">
      <c r="A723" s="10" t="b">
        <v>0</v>
      </c>
      <c r="B723" s="11" t="str">
        <f>IF(D723&lt;&gt;"",IF(COUNTIF('USPTO TMs'!A:A,D723)&gt;0,"Yes","No"),"")</f>
        <v/>
      </c>
      <c r="C723" s="11"/>
      <c r="D723" s="11"/>
      <c r="E723" s="11"/>
      <c r="F723" s="11"/>
      <c r="G723" s="11"/>
      <c r="H723" s="11"/>
      <c r="I723" s="15"/>
    </row>
    <row r="724" spans="1:9" ht="16.5">
      <c r="A724" s="10" t="b">
        <v>0</v>
      </c>
      <c r="B724" s="11" t="str">
        <f>IF(D724&lt;&gt;"",IF(COUNTIF('USPTO TMs'!A:A,D724)&gt;0,"Yes","No"),"")</f>
        <v/>
      </c>
      <c r="C724" s="11"/>
      <c r="D724" s="11"/>
      <c r="E724" s="11"/>
      <c r="F724" s="11"/>
      <c r="G724" s="11"/>
      <c r="H724" s="11"/>
      <c r="I724" s="15"/>
    </row>
    <row r="725" spans="1:9" ht="16.5">
      <c r="A725" s="10" t="b">
        <v>0</v>
      </c>
      <c r="B725" s="11" t="str">
        <f>IF(D725&lt;&gt;"",IF(COUNTIF('USPTO TMs'!A:A,D725)&gt;0,"Yes","No"),"")</f>
        <v/>
      </c>
      <c r="C725" s="11"/>
      <c r="D725" s="11"/>
      <c r="E725" s="11"/>
      <c r="F725" s="11"/>
      <c r="G725" s="11"/>
      <c r="H725" s="11"/>
      <c r="I725" s="15"/>
    </row>
    <row r="726" spans="1:9" ht="16.5">
      <c r="A726" s="10" t="b">
        <v>0</v>
      </c>
      <c r="B726" s="11" t="str">
        <f>IF(D726&lt;&gt;"",IF(COUNTIF('USPTO TMs'!A:A,D726)&gt;0,"Yes","No"),"")</f>
        <v/>
      </c>
      <c r="C726" s="11"/>
      <c r="D726" s="11"/>
      <c r="E726" s="11"/>
      <c r="F726" s="11"/>
      <c r="G726" s="11"/>
      <c r="H726" s="11"/>
      <c r="I726" s="15"/>
    </row>
    <row r="727" spans="1:9" ht="16.5">
      <c r="A727" s="10" t="b">
        <v>0</v>
      </c>
      <c r="B727" s="11" t="str">
        <f>IF(D727&lt;&gt;"",IF(COUNTIF('USPTO TMs'!A:A,D727)&gt;0,"Yes","No"),"")</f>
        <v/>
      </c>
      <c r="C727" s="11"/>
      <c r="D727" s="11"/>
      <c r="E727" s="11"/>
      <c r="F727" s="11"/>
      <c r="G727" s="11"/>
      <c r="H727" s="11"/>
      <c r="I727" s="15"/>
    </row>
    <row r="728" spans="1:9" ht="16.5">
      <c r="A728" s="10" t="b">
        <v>0</v>
      </c>
      <c r="B728" s="11" t="str">
        <f>IF(D728&lt;&gt;"",IF(COUNTIF('USPTO TMs'!A:A,D728)&gt;0,"Yes","No"),"")</f>
        <v/>
      </c>
      <c r="C728" s="11"/>
      <c r="D728" s="11"/>
      <c r="E728" s="11"/>
      <c r="F728" s="11"/>
      <c r="G728" s="11"/>
      <c r="H728" s="11"/>
      <c r="I728" s="15"/>
    </row>
    <row r="729" spans="1:9" ht="16.5">
      <c r="A729" s="10" t="b">
        <v>0</v>
      </c>
      <c r="B729" s="11" t="str">
        <f>IF(D729&lt;&gt;"",IF(COUNTIF('USPTO TMs'!A:A,D729)&gt;0,"Yes","No"),"")</f>
        <v/>
      </c>
      <c r="C729" s="11"/>
      <c r="D729" s="11"/>
      <c r="E729" s="11"/>
      <c r="F729" s="11"/>
      <c r="G729" s="11"/>
      <c r="H729" s="11"/>
      <c r="I729" s="15"/>
    </row>
    <row r="730" spans="1:9" ht="16.5">
      <c r="A730" s="10" t="b">
        <v>0</v>
      </c>
      <c r="B730" s="11" t="str">
        <f>IF(D730&lt;&gt;"",IF(COUNTIF('USPTO TMs'!A:A,D730)&gt;0,"Yes","No"),"")</f>
        <v/>
      </c>
      <c r="C730" s="11"/>
      <c r="D730" s="11"/>
      <c r="E730" s="11"/>
      <c r="F730" s="11"/>
      <c r="G730" s="11"/>
      <c r="H730" s="11"/>
      <c r="I730" s="15"/>
    </row>
    <row r="731" spans="1:9" ht="16.5">
      <c r="A731" s="10" t="b">
        <v>0</v>
      </c>
      <c r="B731" s="11" t="str">
        <f>IF(D731&lt;&gt;"",IF(COUNTIF('USPTO TMs'!A:A,D731)&gt;0,"Yes","No"),"")</f>
        <v/>
      </c>
      <c r="C731" s="11"/>
      <c r="D731" s="11"/>
      <c r="E731" s="11"/>
      <c r="F731" s="11"/>
      <c r="G731" s="11"/>
      <c r="H731" s="11"/>
      <c r="I731" s="15"/>
    </row>
    <row r="732" spans="1:9" ht="16.5">
      <c r="A732" s="10" t="b">
        <v>0</v>
      </c>
      <c r="B732" s="11" t="str">
        <f>IF(D732&lt;&gt;"",IF(COUNTIF('USPTO TMs'!A:A,D732)&gt;0,"Yes","No"),"")</f>
        <v/>
      </c>
      <c r="C732" s="11"/>
      <c r="D732" s="11"/>
      <c r="E732" s="11"/>
      <c r="F732" s="11"/>
      <c r="G732" s="11"/>
      <c r="H732" s="11"/>
      <c r="I732" s="15"/>
    </row>
    <row r="733" spans="1:9" ht="16.5">
      <c r="A733" s="10" t="b">
        <v>0</v>
      </c>
      <c r="B733" s="11" t="str">
        <f>IF(D733&lt;&gt;"",IF(COUNTIF('USPTO TMs'!A:A,D733)&gt;0,"Yes","No"),"")</f>
        <v/>
      </c>
      <c r="C733" s="11"/>
      <c r="D733" s="11"/>
      <c r="E733" s="11"/>
      <c r="F733" s="11"/>
      <c r="G733" s="11"/>
      <c r="H733" s="11"/>
      <c r="I733" s="15"/>
    </row>
    <row r="734" spans="1:9" ht="16.5">
      <c r="A734" s="10" t="b">
        <v>0</v>
      </c>
      <c r="B734" s="11" t="str">
        <f>IF(D734&lt;&gt;"",IF(COUNTIF('USPTO TMs'!A:A,D734)&gt;0,"Yes","No"),"")</f>
        <v/>
      </c>
      <c r="C734" s="11"/>
      <c r="D734" s="11"/>
      <c r="E734" s="11"/>
      <c r="F734" s="11"/>
      <c r="G734" s="11"/>
      <c r="H734" s="11"/>
      <c r="I734" s="15"/>
    </row>
    <row r="735" spans="1:9" ht="16.5">
      <c r="A735" s="10" t="b">
        <v>0</v>
      </c>
      <c r="B735" s="11" t="str">
        <f>IF(D735&lt;&gt;"",IF(COUNTIF('USPTO TMs'!A:A,D735)&gt;0,"Yes","No"),"")</f>
        <v/>
      </c>
      <c r="C735" s="11"/>
      <c r="D735" s="11"/>
      <c r="E735" s="11"/>
      <c r="F735" s="11"/>
      <c r="G735" s="11"/>
      <c r="H735" s="11"/>
      <c r="I735" s="15"/>
    </row>
    <row r="736" spans="1:9" ht="16.5">
      <c r="A736" s="10" t="b">
        <v>0</v>
      </c>
      <c r="B736" s="11" t="str">
        <f>IF(D736&lt;&gt;"",IF(COUNTIF('USPTO TMs'!A:A,D736)&gt;0,"Yes","No"),"")</f>
        <v/>
      </c>
      <c r="C736" s="11"/>
      <c r="D736" s="11"/>
      <c r="E736" s="11"/>
      <c r="F736" s="11"/>
      <c r="G736" s="11"/>
      <c r="H736" s="11"/>
      <c r="I736" s="15"/>
    </row>
    <row r="737" spans="1:9" ht="16.5">
      <c r="A737" s="10" t="b">
        <v>0</v>
      </c>
      <c r="B737" s="11" t="str">
        <f>IF(D737&lt;&gt;"",IF(COUNTIF('USPTO TMs'!A:A,D737)&gt;0,"Yes","No"),"")</f>
        <v/>
      </c>
      <c r="C737" s="11"/>
      <c r="D737" s="11"/>
      <c r="E737" s="11"/>
      <c r="F737" s="11"/>
      <c r="G737" s="11"/>
      <c r="H737" s="11"/>
      <c r="I737" s="15"/>
    </row>
    <row r="738" spans="1:9" ht="16.5">
      <c r="A738" s="10" t="b">
        <v>0</v>
      </c>
      <c r="B738" s="11" t="str">
        <f>IF(D738&lt;&gt;"",IF(COUNTIF('USPTO TMs'!A:A,D738)&gt;0,"Yes","No"),"")</f>
        <v/>
      </c>
      <c r="C738" s="11"/>
      <c r="D738" s="11"/>
      <c r="E738" s="11"/>
      <c r="F738" s="11"/>
      <c r="G738" s="11"/>
      <c r="H738" s="11"/>
      <c r="I738" s="15"/>
    </row>
    <row r="739" spans="1:9" ht="16.5">
      <c r="A739" s="10" t="b">
        <v>0</v>
      </c>
      <c r="B739" s="11" t="str">
        <f>IF(D739&lt;&gt;"",IF(COUNTIF('USPTO TMs'!A:A,D739)&gt;0,"Yes","No"),"")</f>
        <v/>
      </c>
      <c r="C739" s="11"/>
      <c r="D739" s="11"/>
      <c r="E739" s="11"/>
      <c r="F739" s="11"/>
      <c r="G739" s="11"/>
      <c r="H739" s="11"/>
      <c r="I739" s="15"/>
    </row>
    <row r="740" spans="1:9" ht="16.5">
      <c r="A740" s="10" t="b">
        <v>0</v>
      </c>
      <c r="B740" s="11" t="str">
        <f>IF(D740&lt;&gt;"",IF(COUNTIF('USPTO TMs'!A:A,D740)&gt;0,"Yes","No"),"")</f>
        <v/>
      </c>
      <c r="C740" s="11"/>
      <c r="D740" s="11"/>
      <c r="E740" s="11"/>
      <c r="F740" s="11"/>
      <c r="G740" s="11"/>
      <c r="H740" s="11"/>
      <c r="I740" s="15"/>
    </row>
    <row r="741" spans="1:9" ht="16.5">
      <c r="A741" s="10" t="b">
        <v>0</v>
      </c>
      <c r="B741" s="11" t="str">
        <f>IF(D741&lt;&gt;"",IF(COUNTIF('USPTO TMs'!A:A,D741)&gt;0,"Yes","No"),"")</f>
        <v/>
      </c>
      <c r="C741" s="11"/>
      <c r="D741" s="11"/>
      <c r="E741" s="11"/>
      <c r="F741" s="11"/>
      <c r="G741" s="11"/>
      <c r="H741" s="11"/>
      <c r="I741" s="15"/>
    </row>
    <row r="742" spans="1:9" ht="16.5">
      <c r="A742" s="10" t="b">
        <v>0</v>
      </c>
      <c r="B742" s="11" t="str">
        <f>IF(D742&lt;&gt;"",IF(COUNTIF('USPTO TMs'!A:A,D742)&gt;0,"Yes","No"),"")</f>
        <v/>
      </c>
      <c r="C742" s="11"/>
      <c r="D742" s="11"/>
      <c r="E742" s="11"/>
      <c r="F742" s="11"/>
      <c r="G742" s="11"/>
      <c r="H742" s="11"/>
      <c r="I742" s="15"/>
    </row>
    <row r="743" spans="1:9" ht="16.5">
      <c r="A743" s="10" t="b">
        <v>0</v>
      </c>
      <c r="B743" s="11" t="str">
        <f>IF(D743&lt;&gt;"",IF(COUNTIF('USPTO TMs'!A:A,D743)&gt;0,"Yes","No"),"")</f>
        <v/>
      </c>
      <c r="C743" s="11"/>
      <c r="D743" s="11"/>
      <c r="E743" s="11"/>
      <c r="F743" s="11"/>
      <c r="G743" s="11"/>
      <c r="H743" s="11"/>
      <c r="I743" s="15"/>
    </row>
    <row r="744" spans="1:9" ht="16.5">
      <c r="A744" s="10" t="b">
        <v>0</v>
      </c>
      <c r="B744" s="11" t="str">
        <f>IF(D744&lt;&gt;"",IF(COUNTIF('USPTO TMs'!A:A,D744)&gt;0,"Yes","No"),"")</f>
        <v/>
      </c>
      <c r="C744" s="11"/>
      <c r="D744" s="11"/>
      <c r="E744" s="11"/>
      <c r="F744" s="11"/>
      <c r="G744" s="11"/>
      <c r="H744" s="11"/>
      <c r="I744" s="15"/>
    </row>
    <row r="745" spans="1:9" ht="16.5">
      <c r="A745" s="10" t="b">
        <v>0</v>
      </c>
      <c r="B745" s="11" t="str">
        <f>IF(D745&lt;&gt;"",IF(COUNTIF('USPTO TMs'!A:A,D745)&gt;0,"Yes","No"),"")</f>
        <v/>
      </c>
      <c r="C745" s="11"/>
      <c r="D745" s="11"/>
      <c r="E745" s="11"/>
      <c r="F745" s="11"/>
      <c r="G745" s="11"/>
      <c r="H745" s="11"/>
      <c r="I745" s="15"/>
    </row>
    <row r="746" spans="1:9" ht="16.5">
      <c r="A746" s="10" t="b">
        <v>0</v>
      </c>
      <c r="B746" s="11" t="str">
        <f>IF(D746&lt;&gt;"",IF(COUNTIF('USPTO TMs'!A:A,D746)&gt;0,"Yes","No"),"")</f>
        <v/>
      </c>
      <c r="C746" s="11"/>
      <c r="D746" s="11"/>
      <c r="E746" s="11"/>
      <c r="F746" s="11"/>
      <c r="G746" s="11"/>
      <c r="H746" s="11"/>
      <c r="I746" s="15"/>
    </row>
    <row r="747" spans="1:9" ht="16.5">
      <c r="A747" s="10" t="b">
        <v>0</v>
      </c>
      <c r="B747" s="11" t="str">
        <f>IF(D747&lt;&gt;"",IF(COUNTIF('USPTO TMs'!A:A,D747)&gt;0,"Yes","No"),"")</f>
        <v/>
      </c>
      <c r="C747" s="11"/>
      <c r="D747" s="11"/>
      <c r="E747" s="11"/>
      <c r="F747" s="11"/>
      <c r="G747" s="11"/>
      <c r="H747" s="11"/>
      <c r="I747" s="15"/>
    </row>
    <row r="748" spans="1:9" ht="16.5">
      <c r="A748" s="10" t="b">
        <v>0</v>
      </c>
      <c r="B748" s="11" t="str">
        <f>IF(D748&lt;&gt;"",IF(COUNTIF('USPTO TMs'!A:A,D748)&gt;0,"Yes","No"),"")</f>
        <v/>
      </c>
      <c r="C748" s="11"/>
      <c r="D748" s="11"/>
      <c r="E748" s="11"/>
      <c r="F748" s="11"/>
      <c r="G748" s="11"/>
      <c r="H748" s="11"/>
      <c r="I748" s="15"/>
    </row>
    <row r="749" spans="1:9" ht="16.5">
      <c r="A749" s="10" t="b">
        <v>0</v>
      </c>
      <c r="B749" s="11" t="str">
        <f>IF(D749&lt;&gt;"",IF(COUNTIF('USPTO TMs'!A:A,D749)&gt;0,"Yes","No"),"")</f>
        <v/>
      </c>
      <c r="C749" s="11"/>
      <c r="D749" s="11"/>
      <c r="E749" s="11"/>
      <c r="F749" s="11"/>
      <c r="G749" s="11"/>
      <c r="H749" s="11"/>
      <c r="I749" s="15"/>
    </row>
    <row r="750" spans="1:9" ht="16.5">
      <c r="A750" s="10" t="b">
        <v>0</v>
      </c>
      <c r="B750" s="11" t="str">
        <f>IF(D750&lt;&gt;"",IF(COUNTIF('USPTO TMs'!A:A,D750)&gt;0,"Yes","No"),"")</f>
        <v/>
      </c>
      <c r="C750" s="11"/>
      <c r="D750" s="11"/>
      <c r="E750" s="11"/>
      <c r="F750" s="11"/>
      <c r="G750" s="11"/>
      <c r="H750" s="11"/>
      <c r="I750" s="15"/>
    </row>
    <row r="751" spans="1:9" ht="16.5">
      <c r="A751" s="10" t="b">
        <v>0</v>
      </c>
      <c r="B751" s="11" t="str">
        <f>IF(D751&lt;&gt;"",IF(COUNTIF('USPTO TMs'!A:A,D751)&gt;0,"Yes","No"),"")</f>
        <v/>
      </c>
      <c r="C751" s="11"/>
      <c r="D751" s="11"/>
      <c r="E751" s="11"/>
      <c r="F751" s="11"/>
      <c r="G751" s="11"/>
      <c r="H751" s="11"/>
      <c r="I751" s="15"/>
    </row>
    <row r="752" spans="1:9" ht="16.5">
      <c r="A752" s="10" t="b">
        <v>0</v>
      </c>
      <c r="B752" s="11" t="str">
        <f>IF(D752&lt;&gt;"",IF(COUNTIF('USPTO TMs'!A:A,D752)&gt;0,"Yes","No"),"")</f>
        <v/>
      </c>
      <c r="C752" s="11"/>
      <c r="D752" s="11"/>
      <c r="E752" s="11"/>
      <c r="F752" s="11"/>
      <c r="G752" s="11"/>
      <c r="H752" s="11"/>
      <c r="I752" s="15"/>
    </row>
    <row r="753" spans="1:9" ht="16.5">
      <c r="A753" s="10" t="b">
        <v>0</v>
      </c>
      <c r="B753" s="11" t="str">
        <f>IF(D753&lt;&gt;"",IF(COUNTIF('USPTO TMs'!A:A,D753)&gt;0,"Yes","No"),"")</f>
        <v/>
      </c>
      <c r="C753" s="11"/>
      <c r="D753" s="11"/>
      <c r="E753" s="11"/>
      <c r="F753" s="11"/>
      <c r="G753" s="11"/>
      <c r="H753" s="11"/>
      <c r="I753" s="15"/>
    </row>
    <row r="754" spans="1:9" ht="16.5">
      <c r="A754" s="10" t="b">
        <v>0</v>
      </c>
      <c r="B754" s="11" t="str">
        <f>IF(D754&lt;&gt;"",IF(COUNTIF('USPTO TMs'!A:A,D754)&gt;0,"Yes","No"),"")</f>
        <v/>
      </c>
      <c r="C754" s="11"/>
      <c r="D754" s="11"/>
      <c r="E754" s="11"/>
      <c r="F754" s="11"/>
      <c r="G754" s="11"/>
      <c r="H754" s="11"/>
      <c r="I754" s="15"/>
    </row>
    <row r="755" spans="1:9" ht="16.5">
      <c r="A755" s="10" t="b">
        <v>0</v>
      </c>
      <c r="B755" s="11" t="str">
        <f>IF(D755&lt;&gt;"",IF(COUNTIF('USPTO TMs'!A:A,D755)&gt;0,"Yes","No"),"")</f>
        <v/>
      </c>
      <c r="C755" s="11"/>
      <c r="D755" s="11"/>
      <c r="E755" s="11"/>
      <c r="F755" s="11"/>
      <c r="G755" s="11"/>
      <c r="H755" s="11"/>
      <c r="I755" s="15"/>
    </row>
    <row r="756" spans="1:9" ht="16.5">
      <c r="A756" s="10" t="b">
        <v>0</v>
      </c>
      <c r="B756" s="11" t="str">
        <f>IF(D756&lt;&gt;"",IF(COUNTIF('USPTO TMs'!A:A,D756)&gt;0,"Yes","No"),"")</f>
        <v/>
      </c>
      <c r="C756" s="11"/>
      <c r="D756" s="11"/>
      <c r="E756" s="11"/>
      <c r="F756" s="11"/>
      <c r="G756" s="11"/>
      <c r="H756" s="11"/>
      <c r="I756" s="15"/>
    </row>
    <row r="757" spans="1:9" ht="16.5">
      <c r="A757" s="10" t="b">
        <v>0</v>
      </c>
      <c r="B757" s="11" t="str">
        <f>IF(D757&lt;&gt;"",IF(COUNTIF('USPTO TMs'!A:A,D757)&gt;0,"Yes","No"),"")</f>
        <v/>
      </c>
      <c r="C757" s="11"/>
      <c r="D757" s="11"/>
      <c r="E757" s="11"/>
      <c r="F757" s="11"/>
      <c r="G757" s="11"/>
      <c r="H757" s="11"/>
      <c r="I757" s="15"/>
    </row>
    <row r="758" spans="1:9" ht="16.5">
      <c r="A758" s="10" t="b">
        <v>0</v>
      </c>
      <c r="B758" s="11" t="str">
        <f>IF(D758&lt;&gt;"",IF(COUNTIF('USPTO TMs'!A:A,D758)&gt;0,"Yes","No"),"")</f>
        <v/>
      </c>
      <c r="C758" s="11"/>
      <c r="D758" s="11"/>
      <c r="E758" s="11"/>
      <c r="F758" s="11"/>
      <c r="G758" s="11"/>
      <c r="H758" s="11"/>
      <c r="I758" s="15"/>
    </row>
    <row r="759" spans="1:9" ht="16.5">
      <c r="A759" s="10" t="b">
        <v>0</v>
      </c>
      <c r="B759" s="11" t="str">
        <f>IF(D759&lt;&gt;"",IF(COUNTIF('USPTO TMs'!A:A,D759)&gt;0,"Yes","No"),"")</f>
        <v/>
      </c>
      <c r="C759" s="11"/>
      <c r="D759" s="11"/>
      <c r="E759" s="11"/>
      <c r="F759" s="11"/>
      <c r="G759" s="11"/>
      <c r="H759" s="11"/>
      <c r="I759" s="15"/>
    </row>
    <row r="760" spans="1:9" ht="16.5">
      <c r="A760" s="10" t="b">
        <v>0</v>
      </c>
      <c r="B760" s="11" t="str">
        <f>IF(D760&lt;&gt;"",IF(COUNTIF('USPTO TMs'!A:A,D760)&gt;0,"Yes","No"),"")</f>
        <v/>
      </c>
      <c r="C760" s="11"/>
      <c r="D760" s="11"/>
      <c r="E760" s="11"/>
      <c r="F760" s="11"/>
      <c r="G760" s="11"/>
      <c r="H760" s="11"/>
      <c r="I760" s="15"/>
    </row>
    <row r="761" spans="1:9" ht="16.5">
      <c r="A761" s="10" t="b">
        <v>0</v>
      </c>
      <c r="B761" s="11" t="str">
        <f>IF(D761&lt;&gt;"",IF(COUNTIF('USPTO TMs'!A:A,D761)&gt;0,"Yes","No"),"")</f>
        <v/>
      </c>
      <c r="C761" s="11"/>
      <c r="D761" s="11"/>
      <c r="E761" s="11"/>
      <c r="F761" s="11"/>
      <c r="G761" s="11"/>
      <c r="H761" s="11"/>
      <c r="I761" s="15"/>
    </row>
    <row r="762" spans="1:9" ht="16.5">
      <c r="A762" s="10" t="b">
        <v>0</v>
      </c>
      <c r="B762" s="11" t="str">
        <f>IF(D762&lt;&gt;"",IF(COUNTIF('USPTO TMs'!A:A,D762)&gt;0,"Yes","No"),"")</f>
        <v/>
      </c>
      <c r="C762" s="11"/>
      <c r="D762" s="11"/>
      <c r="E762" s="11"/>
      <c r="F762" s="11"/>
      <c r="G762" s="11"/>
      <c r="H762" s="11"/>
      <c r="I762" s="15"/>
    </row>
    <row r="763" spans="1:9" ht="16.5">
      <c r="A763" s="10" t="b">
        <v>0</v>
      </c>
      <c r="B763" s="11" t="str">
        <f>IF(D763&lt;&gt;"",IF(COUNTIF('USPTO TMs'!A:A,D763)&gt;0,"Yes","No"),"")</f>
        <v/>
      </c>
      <c r="C763" s="11"/>
      <c r="D763" s="11"/>
      <c r="E763" s="11"/>
      <c r="F763" s="11"/>
      <c r="G763" s="11"/>
      <c r="H763" s="11"/>
      <c r="I763" s="15"/>
    </row>
    <row r="764" spans="1:9" ht="16.5">
      <c r="A764" s="10" t="b">
        <v>0</v>
      </c>
      <c r="B764" s="11" t="str">
        <f>IF(D764&lt;&gt;"",IF(COUNTIF('USPTO TMs'!A:A,D764)&gt;0,"Yes","No"),"")</f>
        <v/>
      </c>
      <c r="C764" s="11"/>
      <c r="D764" s="11"/>
      <c r="E764" s="11"/>
      <c r="F764" s="11"/>
      <c r="G764" s="11"/>
      <c r="H764" s="11"/>
      <c r="I764" s="15"/>
    </row>
    <row r="765" spans="1:9" ht="16.5">
      <c r="A765" s="10" t="b">
        <v>0</v>
      </c>
      <c r="B765" s="11" t="str">
        <f>IF(D765&lt;&gt;"",IF(COUNTIF('USPTO TMs'!A:A,D765)&gt;0,"Yes","No"),"")</f>
        <v/>
      </c>
      <c r="C765" s="11"/>
      <c r="D765" s="11"/>
      <c r="E765" s="11"/>
      <c r="F765" s="11"/>
      <c r="G765" s="11"/>
      <c r="H765" s="11"/>
      <c r="I765" s="15"/>
    </row>
    <row r="766" spans="1:9" ht="16.5">
      <c r="A766" s="10" t="b">
        <v>0</v>
      </c>
      <c r="B766" s="11" t="str">
        <f>IF(D766&lt;&gt;"",IF(COUNTIF('USPTO TMs'!A:A,D766)&gt;0,"Yes","No"),"")</f>
        <v/>
      </c>
      <c r="C766" s="11"/>
      <c r="D766" s="11"/>
      <c r="E766" s="11"/>
      <c r="F766" s="11"/>
      <c r="G766" s="11"/>
      <c r="H766" s="11"/>
      <c r="I766" s="15"/>
    </row>
    <row r="767" spans="1:9" ht="16.5">
      <c r="A767" s="10" t="b">
        <v>0</v>
      </c>
      <c r="B767" s="11" t="str">
        <f>IF(D767&lt;&gt;"",IF(COUNTIF('USPTO TMs'!A:A,D767)&gt;0,"Yes","No"),"")</f>
        <v/>
      </c>
      <c r="C767" s="11"/>
      <c r="D767" s="11"/>
      <c r="E767" s="11"/>
      <c r="F767" s="11"/>
      <c r="G767" s="11"/>
      <c r="H767" s="11"/>
      <c r="I767" s="15"/>
    </row>
    <row r="768" spans="1:9" ht="16.5">
      <c r="A768" s="10" t="b">
        <v>0</v>
      </c>
      <c r="B768" s="11" t="str">
        <f>IF(D768&lt;&gt;"",IF(COUNTIF('USPTO TMs'!A:A,D768)&gt;0,"Yes","No"),"")</f>
        <v/>
      </c>
      <c r="C768" s="11"/>
      <c r="D768" s="11"/>
      <c r="E768" s="11"/>
      <c r="F768" s="11"/>
      <c r="G768" s="11"/>
      <c r="H768" s="11"/>
      <c r="I768" s="15"/>
    </row>
    <row r="769" spans="1:9" ht="16.5">
      <c r="A769" s="10" t="b">
        <v>0</v>
      </c>
      <c r="B769" s="11" t="str">
        <f>IF(D769&lt;&gt;"",IF(COUNTIF('USPTO TMs'!A:A,D769)&gt;0,"Yes","No"),"")</f>
        <v/>
      </c>
      <c r="C769" s="11"/>
      <c r="D769" s="11"/>
      <c r="E769" s="11"/>
      <c r="F769" s="11"/>
      <c r="G769" s="11"/>
      <c r="H769" s="11"/>
      <c r="I769" s="15"/>
    </row>
    <row r="770" spans="1:9" ht="16.5">
      <c r="A770" s="10" t="b">
        <v>0</v>
      </c>
      <c r="B770" s="11" t="str">
        <f>IF(D770&lt;&gt;"",IF(COUNTIF('USPTO TMs'!A:A,D770)&gt;0,"Yes","No"),"")</f>
        <v/>
      </c>
      <c r="C770" s="11"/>
      <c r="D770" s="11"/>
      <c r="E770" s="11"/>
      <c r="F770" s="11"/>
      <c r="G770" s="11"/>
      <c r="H770" s="11"/>
      <c r="I770" s="15"/>
    </row>
    <row r="771" spans="1:9" ht="16.5">
      <c r="A771" s="10" t="b">
        <v>0</v>
      </c>
      <c r="B771" s="11" t="str">
        <f>IF(D771&lt;&gt;"",IF(COUNTIF('USPTO TMs'!A:A,D771)&gt;0,"Yes","No"),"")</f>
        <v/>
      </c>
      <c r="C771" s="11"/>
      <c r="D771" s="11"/>
      <c r="E771" s="11"/>
      <c r="F771" s="11"/>
      <c r="G771" s="11"/>
      <c r="H771" s="11"/>
      <c r="I771" s="15"/>
    </row>
    <row r="772" spans="1:9" ht="16.5">
      <c r="A772" s="10" t="b">
        <v>0</v>
      </c>
      <c r="B772" s="11" t="str">
        <f>IF(D772&lt;&gt;"",IF(COUNTIF('USPTO TMs'!A:A,D772)&gt;0,"Yes","No"),"")</f>
        <v/>
      </c>
      <c r="C772" s="11"/>
      <c r="D772" s="11"/>
      <c r="E772" s="11"/>
      <c r="F772" s="11"/>
      <c r="G772" s="11"/>
      <c r="H772" s="11"/>
      <c r="I772" s="15"/>
    </row>
    <row r="773" spans="1:9" ht="16.5">
      <c r="A773" s="10" t="b">
        <v>0</v>
      </c>
      <c r="B773" s="11" t="str">
        <f>IF(D773&lt;&gt;"",IF(COUNTIF('USPTO TMs'!A:A,D773)&gt;0,"Yes","No"),"")</f>
        <v/>
      </c>
      <c r="C773" s="11"/>
      <c r="D773" s="11"/>
      <c r="E773" s="11"/>
      <c r="F773" s="11"/>
      <c r="G773" s="11"/>
      <c r="H773" s="11"/>
      <c r="I773" s="15"/>
    </row>
    <row r="774" spans="1:9" ht="16.5">
      <c r="A774" s="10" t="b">
        <v>0</v>
      </c>
      <c r="B774" s="11" t="str">
        <f>IF(D774&lt;&gt;"",IF(COUNTIF('USPTO TMs'!A:A,D774)&gt;0,"Yes","No"),"")</f>
        <v/>
      </c>
      <c r="C774" s="11"/>
      <c r="D774" s="11"/>
      <c r="E774" s="11"/>
      <c r="F774" s="11"/>
      <c r="G774" s="11"/>
      <c r="H774" s="11"/>
      <c r="I774" s="15"/>
    </row>
    <row r="775" spans="1:9" ht="16.5">
      <c r="A775" s="10" t="b">
        <v>0</v>
      </c>
      <c r="B775" s="11" t="str">
        <f>IF(D775&lt;&gt;"",IF(COUNTIF('USPTO TMs'!A:A,D775)&gt;0,"Yes","No"),"")</f>
        <v/>
      </c>
      <c r="C775" s="11"/>
      <c r="D775" s="11"/>
      <c r="E775" s="11"/>
      <c r="F775" s="11"/>
      <c r="G775" s="11"/>
      <c r="H775" s="11"/>
      <c r="I775" s="15"/>
    </row>
    <row r="776" spans="1:9" ht="16.5">
      <c r="A776" s="10" t="b">
        <v>0</v>
      </c>
      <c r="B776" s="11" t="str">
        <f>IF(D776&lt;&gt;"",IF(COUNTIF('USPTO TMs'!A:A,D776)&gt;0,"Yes","No"),"")</f>
        <v/>
      </c>
      <c r="C776" s="11"/>
      <c r="D776" s="11"/>
      <c r="E776" s="11"/>
      <c r="F776" s="11"/>
      <c r="G776" s="11"/>
      <c r="H776" s="11"/>
      <c r="I776" s="15"/>
    </row>
    <row r="777" spans="1:9" ht="16.5">
      <c r="A777" s="10" t="b">
        <v>0</v>
      </c>
      <c r="B777" s="11" t="str">
        <f>IF(D777&lt;&gt;"",IF(COUNTIF('USPTO TMs'!A:A,D777)&gt;0,"Yes","No"),"")</f>
        <v/>
      </c>
      <c r="C777" s="11"/>
      <c r="D777" s="11"/>
      <c r="E777" s="11"/>
      <c r="F777" s="11"/>
      <c r="G777" s="11"/>
      <c r="H777" s="11"/>
      <c r="I777" s="15"/>
    </row>
    <row r="778" spans="1:9" ht="16.5">
      <c r="A778" s="10" t="b">
        <v>0</v>
      </c>
      <c r="B778" s="11" t="str">
        <f>IF(D778&lt;&gt;"",IF(COUNTIF('USPTO TMs'!A:A,D778)&gt;0,"Yes","No"),"")</f>
        <v/>
      </c>
      <c r="C778" s="11"/>
      <c r="D778" s="11"/>
      <c r="E778" s="11"/>
      <c r="F778" s="11"/>
      <c r="G778" s="11"/>
      <c r="H778" s="11"/>
      <c r="I778" s="15"/>
    </row>
    <row r="779" spans="1:9" ht="16.5">
      <c r="A779" s="10" t="b">
        <v>0</v>
      </c>
      <c r="B779" s="11" t="str">
        <f>IF(D779&lt;&gt;"",IF(COUNTIF('USPTO TMs'!A:A,D779)&gt;0,"Yes","No"),"")</f>
        <v/>
      </c>
      <c r="C779" s="11"/>
      <c r="D779" s="11"/>
      <c r="E779" s="11"/>
      <c r="F779" s="11"/>
      <c r="G779" s="11"/>
      <c r="H779" s="11"/>
      <c r="I779" s="15"/>
    </row>
    <row r="780" spans="1:9" ht="16.5">
      <c r="A780" s="10" t="b">
        <v>0</v>
      </c>
      <c r="B780" s="11" t="str">
        <f>IF(D780&lt;&gt;"",IF(COUNTIF('USPTO TMs'!A:A,D780)&gt;0,"Yes","No"),"")</f>
        <v/>
      </c>
      <c r="C780" s="11"/>
      <c r="D780" s="11"/>
      <c r="E780" s="11"/>
      <c r="F780" s="11"/>
      <c r="G780" s="11"/>
      <c r="H780" s="11"/>
      <c r="I780" s="15"/>
    </row>
    <row r="781" spans="1:9" ht="16.5">
      <c r="A781" s="10" t="b">
        <v>0</v>
      </c>
      <c r="B781" s="11" t="str">
        <f>IF(D781&lt;&gt;"",IF(COUNTIF('USPTO TMs'!A:A,D781)&gt;0,"Yes","No"),"")</f>
        <v/>
      </c>
      <c r="C781" s="11"/>
      <c r="D781" s="11"/>
      <c r="E781" s="11"/>
      <c r="F781" s="11"/>
      <c r="G781" s="11"/>
      <c r="H781" s="11"/>
      <c r="I781" s="15"/>
    </row>
    <row r="782" spans="1:9" ht="16.5">
      <c r="A782" s="10" t="b">
        <v>0</v>
      </c>
      <c r="B782" s="11" t="str">
        <f>IF(D782&lt;&gt;"",IF(COUNTIF('USPTO TMs'!A:A,D782)&gt;0,"Yes","No"),"")</f>
        <v/>
      </c>
      <c r="C782" s="11"/>
      <c r="D782" s="11"/>
      <c r="E782" s="11"/>
      <c r="F782" s="11"/>
      <c r="G782" s="11"/>
      <c r="H782" s="11"/>
      <c r="I782" s="15"/>
    </row>
    <row r="783" spans="1:9" ht="16.5">
      <c r="A783" s="10" t="b">
        <v>0</v>
      </c>
      <c r="B783" s="11" t="str">
        <f>IF(D783&lt;&gt;"",IF(COUNTIF('USPTO TMs'!A:A,D783)&gt;0,"Yes","No"),"")</f>
        <v/>
      </c>
      <c r="C783" s="11"/>
      <c r="D783" s="11"/>
      <c r="E783" s="11"/>
      <c r="F783" s="11"/>
      <c r="G783" s="11"/>
      <c r="H783" s="11"/>
      <c r="I783" s="15"/>
    </row>
    <row r="784" spans="1:9" ht="16.5">
      <c r="A784" s="10" t="b">
        <v>0</v>
      </c>
      <c r="B784" s="11" t="str">
        <f>IF(D784&lt;&gt;"",IF(COUNTIF('USPTO TMs'!A:A,D784)&gt;0,"Yes","No"),"")</f>
        <v/>
      </c>
      <c r="C784" s="11"/>
      <c r="D784" s="11"/>
      <c r="E784" s="11"/>
      <c r="F784" s="11"/>
      <c r="G784" s="11"/>
      <c r="H784" s="11"/>
      <c r="I784" s="15"/>
    </row>
    <row r="785" spans="1:9" ht="16.5">
      <c r="A785" s="10" t="b">
        <v>0</v>
      </c>
      <c r="B785" s="11" t="str">
        <f>IF(D785&lt;&gt;"",IF(COUNTIF('USPTO TMs'!A:A,D785)&gt;0,"Yes","No"),"")</f>
        <v/>
      </c>
      <c r="C785" s="11"/>
      <c r="D785" s="11"/>
      <c r="E785" s="11"/>
      <c r="F785" s="11"/>
      <c r="G785" s="11"/>
      <c r="H785" s="11"/>
      <c r="I785" s="15"/>
    </row>
    <row r="786" spans="1:9" ht="16.5">
      <c r="A786" s="10" t="b">
        <v>0</v>
      </c>
      <c r="B786" s="11" t="str">
        <f>IF(D786&lt;&gt;"",IF(COUNTIF('USPTO TMs'!A:A,D786)&gt;0,"Yes","No"),"")</f>
        <v/>
      </c>
      <c r="C786" s="11"/>
      <c r="D786" s="11"/>
      <c r="E786" s="11"/>
      <c r="F786" s="11"/>
      <c r="G786" s="11"/>
      <c r="H786" s="11"/>
      <c r="I786" s="15"/>
    </row>
    <row r="787" spans="1:9" ht="16.5">
      <c r="A787" s="10" t="b">
        <v>0</v>
      </c>
      <c r="B787" s="11" t="str">
        <f>IF(D787&lt;&gt;"",IF(COUNTIF('USPTO TMs'!A:A,D787)&gt;0,"Yes","No"),"")</f>
        <v/>
      </c>
      <c r="C787" s="11"/>
      <c r="D787" s="11"/>
      <c r="E787" s="11"/>
      <c r="F787" s="11"/>
      <c r="G787" s="11"/>
      <c r="H787" s="11"/>
      <c r="I787" s="15"/>
    </row>
    <row r="788" spans="1:9" ht="16.5">
      <c r="A788" s="10" t="b">
        <v>0</v>
      </c>
      <c r="B788" s="11" t="str">
        <f>IF(D788&lt;&gt;"",IF(COUNTIF('USPTO TMs'!A:A,D788)&gt;0,"Yes","No"),"")</f>
        <v/>
      </c>
      <c r="C788" s="11"/>
      <c r="D788" s="11"/>
      <c r="E788" s="11"/>
      <c r="F788" s="11"/>
      <c r="G788" s="11"/>
      <c r="H788" s="11"/>
      <c r="I788" s="15"/>
    </row>
    <row r="789" spans="1:9" ht="16.5">
      <c r="A789" s="10" t="b">
        <v>0</v>
      </c>
      <c r="B789" s="11" t="str">
        <f>IF(D789&lt;&gt;"",IF(COUNTIF('USPTO TMs'!A:A,D789)&gt;0,"Yes","No"),"")</f>
        <v/>
      </c>
      <c r="C789" s="11"/>
      <c r="D789" s="11"/>
      <c r="E789" s="11"/>
      <c r="F789" s="11"/>
      <c r="G789" s="11"/>
      <c r="H789" s="11"/>
      <c r="I789" s="15"/>
    </row>
    <row r="790" spans="1:9" ht="16.5">
      <c r="A790" s="10" t="b">
        <v>0</v>
      </c>
      <c r="B790" s="11" t="str">
        <f>IF(D790&lt;&gt;"",IF(COUNTIF('USPTO TMs'!A:A,D790)&gt;0,"Yes","No"),"")</f>
        <v/>
      </c>
      <c r="C790" s="11"/>
      <c r="D790" s="11"/>
      <c r="E790" s="11"/>
      <c r="F790" s="11"/>
      <c r="G790" s="11"/>
      <c r="H790" s="11"/>
      <c r="I790" s="15"/>
    </row>
    <row r="791" spans="1:9" ht="16.5">
      <c r="A791" s="10" t="b">
        <v>0</v>
      </c>
      <c r="B791" s="11" t="str">
        <f>IF(D791&lt;&gt;"",IF(COUNTIF('USPTO TMs'!A:A,D791)&gt;0,"Yes","No"),"")</f>
        <v/>
      </c>
      <c r="C791" s="11"/>
      <c r="D791" s="11"/>
      <c r="E791" s="11"/>
      <c r="F791" s="11"/>
      <c r="G791" s="11"/>
      <c r="H791" s="11"/>
      <c r="I791" s="15"/>
    </row>
    <row r="792" spans="1:9" ht="16.5">
      <c r="A792" s="10" t="b">
        <v>0</v>
      </c>
      <c r="B792" s="11" t="str">
        <f>IF(D792&lt;&gt;"",IF(COUNTIF('USPTO TMs'!A:A,D792)&gt;0,"Yes","No"),"")</f>
        <v/>
      </c>
      <c r="C792" s="11"/>
      <c r="D792" s="11"/>
      <c r="E792" s="11"/>
      <c r="F792" s="11"/>
      <c r="G792" s="11"/>
      <c r="H792" s="11"/>
      <c r="I792" s="15"/>
    </row>
    <row r="793" spans="1:9" ht="16.5">
      <c r="A793" s="10" t="b">
        <v>0</v>
      </c>
      <c r="B793" s="11" t="str">
        <f>IF(D793&lt;&gt;"",IF(COUNTIF('USPTO TMs'!A:A,D793)&gt;0,"Yes","No"),"")</f>
        <v/>
      </c>
      <c r="C793" s="11"/>
      <c r="D793" s="11"/>
      <c r="E793" s="11"/>
      <c r="F793" s="11"/>
      <c r="G793" s="11"/>
      <c r="H793" s="11"/>
      <c r="I793" s="15"/>
    </row>
    <row r="794" spans="1:9" ht="16.5">
      <c r="A794" s="10" t="b">
        <v>0</v>
      </c>
      <c r="B794" s="11" t="str">
        <f>IF(D794&lt;&gt;"",IF(COUNTIF('USPTO TMs'!A:A,D794)&gt;0,"Yes","No"),"")</f>
        <v/>
      </c>
      <c r="C794" s="11"/>
      <c r="D794" s="11"/>
      <c r="E794" s="11"/>
      <c r="F794" s="11"/>
      <c r="G794" s="11"/>
      <c r="H794" s="11"/>
      <c r="I794" s="15"/>
    </row>
    <row r="795" spans="1:9" ht="16.5">
      <c r="A795" s="10" t="b">
        <v>0</v>
      </c>
      <c r="B795" s="11" t="str">
        <f>IF(D795&lt;&gt;"",IF(COUNTIF('USPTO TMs'!A:A,D795)&gt;0,"Yes","No"),"")</f>
        <v/>
      </c>
      <c r="C795" s="11"/>
      <c r="D795" s="11"/>
      <c r="E795" s="11"/>
      <c r="F795" s="11"/>
      <c r="G795" s="11"/>
      <c r="H795" s="11"/>
      <c r="I795" s="15"/>
    </row>
    <row r="796" spans="1:9" ht="16.5">
      <c r="A796" s="10" t="b">
        <v>0</v>
      </c>
      <c r="B796" s="11" t="str">
        <f>IF(D796&lt;&gt;"",IF(COUNTIF('USPTO TMs'!A:A,D796)&gt;0,"Yes","No"),"")</f>
        <v/>
      </c>
      <c r="C796" s="11"/>
      <c r="D796" s="11"/>
      <c r="E796" s="11"/>
      <c r="F796" s="11"/>
      <c r="G796" s="11"/>
      <c r="H796" s="11"/>
      <c r="I796" s="15"/>
    </row>
    <row r="797" spans="1:9" ht="16.5">
      <c r="A797" s="10" t="b">
        <v>0</v>
      </c>
      <c r="B797" s="11" t="str">
        <f>IF(D797&lt;&gt;"",IF(COUNTIF('USPTO TMs'!A:A,D797)&gt;0,"Yes","No"),"")</f>
        <v/>
      </c>
      <c r="C797" s="11"/>
      <c r="D797" s="11"/>
      <c r="E797" s="11"/>
      <c r="F797" s="11"/>
      <c r="G797" s="11"/>
      <c r="H797" s="11"/>
      <c r="I797" s="15"/>
    </row>
    <row r="798" spans="1:9" ht="16.5">
      <c r="A798" s="10" t="b">
        <v>0</v>
      </c>
      <c r="B798" s="11" t="str">
        <f>IF(D798&lt;&gt;"",IF(COUNTIF('USPTO TMs'!A:A,D798)&gt;0,"Yes","No"),"")</f>
        <v/>
      </c>
      <c r="C798" s="11"/>
      <c r="D798" s="11"/>
      <c r="E798" s="11"/>
      <c r="F798" s="11"/>
      <c r="G798" s="11"/>
      <c r="H798" s="11"/>
      <c r="I798" s="15"/>
    </row>
    <row r="799" spans="1:9" ht="16.5">
      <c r="A799" s="10" t="b">
        <v>0</v>
      </c>
      <c r="B799" s="11" t="str">
        <f>IF(D799&lt;&gt;"",IF(COUNTIF('USPTO TMs'!A:A,D799)&gt;0,"Yes","No"),"")</f>
        <v/>
      </c>
      <c r="C799" s="11"/>
      <c r="D799" s="11"/>
      <c r="E799" s="11"/>
      <c r="F799" s="11"/>
      <c r="G799" s="11"/>
      <c r="H799" s="11"/>
      <c r="I799" s="15"/>
    </row>
    <row r="800" spans="1:9" ht="16.5">
      <c r="A800" s="10" t="b">
        <v>0</v>
      </c>
      <c r="B800" s="11" t="str">
        <f>IF(D800&lt;&gt;"",IF(COUNTIF('USPTO TMs'!A:A,D800)&gt;0,"Yes","No"),"")</f>
        <v/>
      </c>
      <c r="C800" s="11"/>
      <c r="D800" s="11"/>
      <c r="E800" s="11"/>
      <c r="F800" s="11"/>
      <c r="G800" s="11"/>
      <c r="H800" s="11"/>
      <c r="I800" s="15"/>
    </row>
    <row r="801" spans="1:9" ht="16.5">
      <c r="A801" s="10" t="b">
        <v>0</v>
      </c>
      <c r="B801" s="11" t="str">
        <f>IF(D801&lt;&gt;"",IF(COUNTIF('USPTO TMs'!A:A,D801)&gt;0,"Yes","No"),"")</f>
        <v/>
      </c>
      <c r="C801" s="11"/>
      <c r="D801" s="11"/>
      <c r="E801" s="11"/>
      <c r="F801" s="11"/>
      <c r="G801" s="11"/>
      <c r="H801" s="11"/>
      <c r="I801" s="15"/>
    </row>
    <row r="802" spans="1:9" ht="16.5">
      <c r="A802" s="10" t="b">
        <v>0</v>
      </c>
      <c r="B802" s="11" t="str">
        <f>IF(D802&lt;&gt;"",IF(COUNTIF('USPTO TMs'!A:A,D802)&gt;0,"Yes","No"),"")</f>
        <v/>
      </c>
      <c r="C802" s="11"/>
      <c r="D802" s="11"/>
      <c r="E802" s="11"/>
      <c r="F802" s="11"/>
      <c r="G802" s="11"/>
      <c r="H802" s="11"/>
      <c r="I802" s="15"/>
    </row>
    <row r="803" spans="1:9" ht="16.5">
      <c r="A803" s="10" t="b">
        <v>0</v>
      </c>
      <c r="B803" s="11" t="str">
        <f>IF(D803&lt;&gt;"",IF(COUNTIF('USPTO TMs'!A:A,D803)&gt;0,"Yes","No"),"")</f>
        <v/>
      </c>
      <c r="C803" s="11"/>
      <c r="D803" s="11"/>
      <c r="E803" s="11"/>
      <c r="F803" s="11"/>
      <c r="G803" s="11"/>
      <c r="H803" s="11"/>
      <c r="I803" s="15"/>
    </row>
    <row r="804" spans="1:9" ht="16.5">
      <c r="A804" s="10" t="b">
        <v>0</v>
      </c>
      <c r="B804" s="11" t="str">
        <f>IF(D804&lt;&gt;"",IF(COUNTIF('USPTO TMs'!A:A,D804)&gt;0,"Yes","No"),"")</f>
        <v/>
      </c>
      <c r="C804" s="11"/>
      <c r="D804" s="11"/>
      <c r="E804" s="11"/>
      <c r="F804" s="11"/>
      <c r="G804" s="11"/>
      <c r="H804" s="11"/>
      <c r="I804" s="15"/>
    </row>
    <row r="805" spans="1:9" ht="16.5">
      <c r="A805" s="10" t="b">
        <v>0</v>
      </c>
      <c r="B805" s="11" t="str">
        <f>IF(D805&lt;&gt;"",IF(COUNTIF('USPTO TMs'!A:A,D805)&gt;0,"Yes","No"),"")</f>
        <v/>
      </c>
      <c r="C805" s="11"/>
      <c r="D805" s="11"/>
      <c r="E805" s="11"/>
      <c r="F805" s="11"/>
      <c r="G805" s="11"/>
      <c r="H805" s="11"/>
      <c r="I805" s="15"/>
    </row>
    <row r="806" spans="1:9" ht="16.5">
      <c r="A806" s="10" t="b">
        <v>0</v>
      </c>
      <c r="B806" s="11" t="str">
        <f>IF(D806&lt;&gt;"",IF(COUNTIF('USPTO TMs'!A:A,D806)&gt;0,"Yes","No"),"")</f>
        <v/>
      </c>
      <c r="C806" s="11"/>
      <c r="D806" s="11"/>
      <c r="E806" s="11"/>
      <c r="F806" s="11"/>
      <c r="G806" s="11"/>
      <c r="H806" s="11"/>
      <c r="I806" s="15"/>
    </row>
    <row r="807" spans="1:9" ht="16.5">
      <c r="A807" s="10" t="b">
        <v>0</v>
      </c>
      <c r="B807" s="11" t="str">
        <f>IF(D807&lt;&gt;"",IF(COUNTIF('USPTO TMs'!A:A,D807)&gt;0,"Yes","No"),"")</f>
        <v/>
      </c>
      <c r="C807" s="11"/>
      <c r="D807" s="11"/>
      <c r="E807" s="11"/>
      <c r="F807" s="11"/>
      <c r="G807" s="11"/>
      <c r="H807" s="11"/>
      <c r="I807" s="15"/>
    </row>
    <row r="808" spans="1:9" ht="16.5">
      <c r="A808" s="10" t="b">
        <v>0</v>
      </c>
      <c r="B808" s="11" t="str">
        <f>IF(D808&lt;&gt;"",IF(COUNTIF('USPTO TMs'!A:A,D808)&gt;0,"Yes","No"),"")</f>
        <v/>
      </c>
      <c r="C808" s="11"/>
      <c r="D808" s="11"/>
      <c r="E808" s="11"/>
      <c r="F808" s="11"/>
      <c r="G808" s="11"/>
      <c r="H808" s="11"/>
      <c r="I808" s="15"/>
    </row>
    <row r="809" spans="1:9" ht="16.5">
      <c r="A809" s="10" t="b">
        <v>0</v>
      </c>
      <c r="B809" s="11" t="str">
        <f>IF(D809&lt;&gt;"",IF(COUNTIF('USPTO TMs'!A:A,D809)&gt;0,"Yes","No"),"")</f>
        <v/>
      </c>
      <c r="C809" s="11"/>
      <c r="D809" s="11"/>
      <c r="E809" s="11"/>
      <c r="F809" s="11"/>
      <c r="G809" s="11"/>
      <c r="H809" s="11"/>
      <c r="I809" s="15"/>
    </row>
    <row r="810" spans="1:9" ht="16.5">
      <c r="A810" s="10" t="b">
        <v>0</v>
      </c>
      <c r="B810" s="11" t="str">
        <f>IF(D810&lt;&gt;"",IF(COUNTIF('USPTO TMs'!A:A,D810)&gt;0,"Yes","No"),"")</f>
        <v/>
      </c>
      <c r="C810" s="11"/>
      <c r="D810" s="11"/>
      <c r="E810" s="11"/>
      <c r="F810" s="11"/>
      <c r="G810" s="11"/>
      <c r="H810" s="11"/>
      <c r="I810" s="15"/>
    </row>
    <row r="811" spans="1:9" ht="16.5">
      <c r="A811" s="10" t="b">
        <v>0</v>
      </c>
      <c r="B811" s="11" t="str">
        <f>IF(D811&lt;&gt;"",IF(COUNTIF('USPTO TMs'!A:A,D811)&gt;0,"Yes","No"),"")</f>
        <v/>
      </c>
      <c r="C811" s="11"/>
      <c r="D811" s="11"/>
      <c r="E811" s="11"/>
      <c r="F811" s="11"/>
      <c r="G811" s="11"/>
      <c r="H811" s="11"/>
      <c r="I811" s="15"/>
    </row>
    <row r="812" spans="1:9" ht="16.5">
      <c r="A812" s="10" t="b">
        <v>0</v>
      </c>
      <c r="B812" s="11" t="str">
        <f>IF(D812&lt;&gt;"",IF(COUNTIF('USPTO TMs'!A:A,D812)&gt;0,"Yes","No"),"")</f>
        <v/>
      </c>
      <c r="C812" s="11"/>
      <c r="D812" s="11"/>
      <c r="E812" s="11"/>
      <c r="F812" s="11"/>
      <c r="G812" s="11"/>
      <c r="H812" s="11"/>
      <c r="I812" s="15"/>
    </row>
    <row r="813" spans="1:9" ht="16.5">
      <c r="A813" s="10" t="b">
        <v>0</v>
      </c>
      <c r="B813" s="11" t="str">
        <f>IF(D813&lt;&gt;"",IF(COUNTIF('USPTO TMs'!A:A,D813)&gt;0,"Yes","No"),"")</f>
        <v/>
      </c>
      <c r="C813" s="11"/>
      <c r="D813" s="11"/>
      <c r="E813" s="11"/>
      <c r="F813" s="11"/>
      <c r="G813" s="11"/>
      <c r="H813" s="11"/>
      <c r="I813" s="15"/>
    </row>
    <row r="814" spans="1:9" ht="16.5">
      <c r="A814" s="10" t="b">
        <v>0</v>
      </c>
      <c r="B814" s="11" t="str">
        <f>IF(D814&lt;&gt;"",IF(COUNTIF('USPTO TMs'!A:A,D814)&gt;0,"Yes","No"),"")</f>
        <v/>
      </c>
      <c r="C814" s="11"/>
      <c r="D814" s="11"/>
      <c r="E814" s="11"/>
      <c r="F814" s="11"/>
      <c r="G814" s="11"/>
      <c r="H814" s="11"/>
      <c r="I814" s="15"/>
    </row>
    <row r="815" spans="1:9" ht="16.5">
      <c r="A815" s="10" t="b">
        <v>0</v>
      </c>
      <c r="B815" s="11" t="str">
        <f>IF(D815&lt;&gt;"",IF(COUNTIF('USPTO TMs'!A:A,D815)&gt;0,"Yes","No"),"")</f>
        <v/>
      </c>
      <c r="C815" s="11"/>
      <c r="D815" s="11"/>
      <c r="E815" s="11"/>
      <c r="F815" s="11"/>
      <c r="G815" s="11"/>
      <c r="H815" s="11"/>
      <c r="I815" s="15"/>
    </row>
    <row r="816" spans="1:9" ht="16.5">
      <c r="A816" s="10" t="b">
        <v>0</v>
      </c>
      <c r="B816" s="11" t="str">
        <f>IF(D816&lt;&gt;"",IF(COUNTIF('USPTO TMs'!A:A,D816)&gt;0,"Yes","No"),"")</f>
        <v/>
      </c>
      <c r="C816" s="11"/>
      <c r="D816" s="11"/>
      <c r="E816" s="11"/>
      <c r="F816" s="11"/>
      <c r="G816" s="11"/>
      <c r="H816" s="11"/>
      <c r="I816" s="15"/>
    </row>
    <row r="817" spans="1:9" ht="16.5">
      <c r="A817" s="10" t="b">
        <v>0</v>
      </c>
      <c r="B817" s="11" t="str">
        <f>IF(D817&lt;&gt;"",IF(COUNTIF('USPTO TMs'!A:A,D817)&gt;0,"Yes","No"),"")</f>
        <v/>
      </c>
      <c r="C817" s="11"/>
      <c r="D817" s="11"/>
      <c r="E817" s="11"/>
      <c r="F817" s="11"/>
      <c r="G817" s="11"/>
      <c r="H817" s="11"/>
      <c r="I817" s="15"/>
    </row>
    <row r="818" spans="1:9" ht="16.5">
      <c r="A818" s="10" t="b">
        <v>0</v>
      </c>
      <c r="B818" s="11" t="str">
        <f>IF(D818&lt;&gt;"",IF(COUNTIF('USPTO TMs'!A:A,D818)&gt;0,"Yes","No"),"")</f>
        <v/>
      </c>
      <c r="C818" s="11"/>
      <c r="D818" s="11"/>
      <c r="E818" s="11"/>
      <c r="F818" s="11"/>
      <c r="G818" s="11"/>
      <c r="H818" s="11"/>
      <c r="I818" s="15"/>
    </row>
    <row r="819" spans="1:9" ht="16.5">
      <c r="A819" s="10" t="b">
        <v>0</v>
      </c>
      <c r="B819" s="11" t="str">
        <f>IF(D819&lt;&gt;"",IF(COUNTIF('USPTO TMs'!A:A,D819)&gt;0,"Yes","No"),"")</f>
        <v/>
      </c>
      <c r="C819" s="11"/>
      <c r="D819" s="11"/>
      <c r="E819" s="11"/>
      <c r="F819" s="11"/>
      <c r="G819" s="11"/>
      <c r="H819" s="11"/>
      <c r="I819" s="15"/>
    </row>
    <row r="820" spans="1:9" ht="16.5">
      <c r="A820" s="10" t="b">
        <v>0</v>
      </c>
      <c r="B820" s="11" t="str">
        <f>IF(D820&lt;&gt;"",IF(COUNTIF('USPTO TMs'!A:A,D820)&gt;0,"Yes","No"),"")</f>
        <v/>
      </c>
      <c r="C820" s="11"/>
      <c r="D820" s="11"/>
      <c r="E820" s="11"/>
      <c r="F820" s="11"/>
      <c r="G820" s="11"/>
      <c r="H820" s="11"/>
      <c r="I820" s="15"/>
    </row>
    <row r="821" spans="1:9" ht="16.5">
      <c r="A821" s="10" t="b">
        <v>0</v>
      </c>
      <c r="B821" s="11" t="str">
        <f>IF(D821&lt;&gt;"",IF(COUNTIF('USPTO TMs'!A:A,D821)&gt;0,"Yes","No"),"")</f>
        <v/>
      </c>
      <c r="C821" s="11"/>
      <c r="D821" s="11"/>
      <c r="E821" s="11"/>
      <c r="F821" s="11"/>
      <c r="G821" s="11"/>
      <c r="H821" s="11"/>
      <c r="I821" s="15"/>
    </row>
    <row r="822" spans="1:9" ht="16.5">
      <c r="A822" s="10" t="b">
        <v>0</v>
      </c>
      <c r="B822" s="11" t="str">
        <f>IF(D822&lt;&gt;"",IF(COUNTIF('USPTO TMs'!A:A,D822)&gt;0,"Yes","No"),"")</f>
        <v/>
      </c>
      <c r="C822" s="11"/>
      <c r="D822" s="11"/>
      <c r="E822" s="11"/>
      <c r="F822" s="11"/>
      <c r="G822" s="11"/>
      <c r="H822" s="11"/>
      <c r="I822" s="15"/>
    </row>
    <row r="823" spans="1:9" ht="16.5">
      <c r="A823" s="10" t="b">
        <v>0</v>
      </c>
      <c r="B823" s="11" t="str">
        <f>IF(D823&lt;&gt;"",IF(COUNTIF('USPTO TMs'!A:A,D823)&gt;0,"Yes","No"),"")</f>
        <v/>
      </c>
      <c r="C823" s="11"/>
      <c r="D823" s="11"/>
      <c r="E823" s="11"/>
      <c r="F823" s="11"/>
      <c r="G823" s="11"/>
      <c r="H823" s="11"/>
      <c r="I823" s="15"/>
    </row>
    <row r="824" spans="1:9" ht="16.5">
      <c r="A824" s="10" t="b">
        <v>0</v>
      </c>
      <c r="B824" s="11" t="str">
        <f>IF(D824&lt;&gt;"",IF(COUNTIF('USPTO TMs'!A:A,D824)&gt;0,"Yes","No"),"")</f>
        <v/>
      </c>
      <c r="C824" s="11"/>
      <c r="D824" s="11"/>
      <c r="E824" s="11"/>
      <c r="F824" s="11"/>
      <c r="G824" s="11"/>
      <c r="H824" s="11"/>
      <c r="I824" s="15"/>
    </row>
    <row r="825" spans="1:9" ht="16.5">
      <c r="A825" s="10" t="b">
        <v>0</v>
      </c>
      <c r="B825" s="11" t="str">
        <f>IF(D825&lt;&gt;"",IF(COUNTIF('USPTO TMs'!A:A,D825)&gt;0,"Yes","No"),"")</f>
        <v/>
      </c>
      <c r="C825" s="11"/>
      <c r="D825" s="11"/>
      <c r="E825" s="11"/>
      <c r="F825" s="11"/>
      <c r="G825" s="11"/>
      <c r="H825" s="11"/>
      <c r="I825" s="15"/>
    </row>
    <row r="826" spans="1:9" ht="16.5">
      <c r="A826" s="10" t="b">
        <v>0</v>
      </c>
      <c r="B826" s="11" t="str">
        <f>IF(D826&lt;&gt;"",IF(COUNTIF('USPTO TMs'!A:A,D826)&gt;0,"Yes","No"),"")</f>
        <v/>
      </c>
      <c r="C826" s="11"/>
      <c r="D826" s="11"/>
      <c r="E826" s="11"/>
      <c r="F826" s="11"/>
      <c r="G826" s="11"/>
      <c r="H826" s="11"/>
      <c r="I826" s="15"/>
    </row>
    <row r="827" spans="1:9" ht="16.5">
      <c r="A827" s="10" t="b">
        <v>0</v>
      </c>
      <c r="B827" s="11" t="str">
        <f>IF(D827&lt;&gt;"",IF(COUNTIF('USPTO TMs'!A:A,D827)&gt;0,"Yes","No"),"")</f>
        <v/>
      </c>
      <c r="C827" s="11"/>
      <c r="D827" s="11"/>
      <c r="E827" s="11"/>
      <c r="F827" s="11"/>
      <c r="G827" s="11"/>
      <c r="H827" s="11"/>
      <c r="I827" s="15"/>
    </row>
    <row r="828" spans="1:9" ht="16.5">
      <c r="A828" s="10" t="b">
        <v>0</v>
      </c>
      <c r="B828" s="11" t="str">
        <f>IF(D828&lt;&gt;"",IF(COUNTIF('USPTO TMs'!A:A,D828)&gt;0,"Yes","No"),"")</f>
        <v/>
      </c>
      <c r="C828" s="11"/>
      <c r="D828" s="11"/>
      <c r="E828" s="11"/>
      <c r="F828" s="11"/>
      <c r="G828" s="11"/>
      <c r="H828" s="11"/>
      <c r="I828" s="15"/>
    </row>
    <row r="829" spans="1:9" ht="16.5">
      <c r="A829" s="10" t="b">
        <v>0</v>
      </c>
      <c r="B829" s="11" t="str">
        <f>IF(D829&lt;&gt;"",IF(COUNTIF('USPTO TMs'!A:A,D829)&gt;0,"Yes","No"),"")</f>
        <v/>
      </c>
      <c r="C829" s="11"/>
      <c r="D829" s="11"/>
      <c r="E829" s="11"/>
      <c r="F829" s="11"/>
      <c r="G829" s="11"/>
      <c r="H829" s="11"/>
      <c r="I829" s="15"/>
    </row>
    <row r="830" spans="1:9" ht="16.5">
      <c r="A830" s="10" t="b">
        <v>0</v>
      </c>
      <c r="B830" s="11" t="str">
        <f>IF(D830&lt;&gt;"",IF(COUNTIF('USPTO TMs'!A:A,D830)&gt;0,"Yes","No"),"")</f>
        <v/>
      </c>
      <c r="C830" s="11"/>
      <c r="D830" s="11"/>
      <c r="E830" s="11"/>
      <c r="F830" s="11"/>
      <c r="G830" s="11"/>
      <c r="H830" s="11"/>
      <c r="I830" s="15"/>
    </row>
    <row r="831" spans="1:9" ht="16.5">
      <c r="A831" s="10" t="b">
        <v>0</v>
      </c>
      <c r="B831" s="11" t="str">
        <f>IF(D831&lt;&gt;"",IF(COUNTIF('USPTO TMs'!A:A,D831)&gt;0,"Yes","No"),"")</f>
        <v/>
      </c>
      <c r="C831" s="11"/>
      <c r="D831" s="11"/>
      <c r="E831" s="11"/>
      <c r="F831" s="11"/>
      <c r="G831" s="11"/>
      <c r="H831" s="11"/>
      <c r="I831" s="15"/>
    </row>
    <row r="832" spans="1:9" ht="16.5">
      <c r="A832" s="10" t="b">
        <v>0</v>
      </c>
      <c r="B832" s="11" t="str">
        <f>IF(D832&lt;&gt;"",IF(COUNTIF('USPTO TMs'!A:A,D832)&gt;0,"Yes","No"),"")</f>
        <v/>
      </c>
      <c r="C832" s="11"/>
      <c r="D832" s="11"/>
      <c r="E832" s="11"/>
      <c r="F832" s="11"/>
      <c r="G832" s="11"/>
      <c r="H832" s="11"/>
      <c r="I832" s="15"/>
    </row>
    <row r="833" spans="1:9" ht="16.5">
      <c r="A833" s="10" t="b">
        <v>0</v>
      </c>
      <c r="B833" s="11" t="str">
        <f>IF(D833&lt;&gt;"",IF(COUNTIF('USPTO TMs'!A:A,D833)&gt;0,"Yes","No"),"")</f>
        <v/>
      </c>
      <c r="C833" s="11"/>
      <c r="D833" s="11"/>
      <c r="E833" s="11"/>
      <c r="F833" s="11"/>
      <c r="G833" s="11"/>
      <c r="H833" s="11"/>
      <c r="I833" s="15"/>
    </row>
    <row r="834" spans="1:9" ht="16.5">
      <c r="A834" s="10" t="b">
        <v>0</v>
      </c>
      <c r="B834" s="11" t="str">
        <f>IF(D834&lt;&gt;"",IF(COUNTIF('USPTO TMs'!A:A,D834)&gt;0,"Yes","No"),"")</f>
        <v/>
      </c>
      <c r="C834" s="11"/>
      <c r="D834" s="11"/>
      <c r="E834" s="11"/>
      <c r="F834" s="11"/>
      <c r="G834" s="11"/>
      <c r="H834" s="11"/>
      <c r="I834" s="15"/>
    </row>
    <row r="835" spans="1:9" ht="16.5">
      <c r="A835" s="10" t="b">
        <v>0</v>
      </c>
      <c r="B835" s="11" t="str">
        <f>IF(D835&lt;&gt;"",IF(COUNTIF('USPTO TMs'!A:A,D835)&gt;0,"Yes","No"),"")</f>
        <v/>
      </c>
      <c r="C835" s="11"/>
      <c r="D835" s="11"/>
      <c r="E835" s="11"/>
      <c r="F835" s="11"/>
      <c r="G835" s="11"/>
      <c r="H835" s="11"/>
      <c r="I835" s="15"/>
    </row>
    <row r="836" spans="1:9" ht="16.5">
      <c r="A836" s="10" t="b">
        <v>0</v>
      </c>
      <c r="B836" s="11" t="str">
        <f>IF(D836&lt;&gt;"",IF(COUNTIF('USPTO TMs'!A:A,D836)&gt;0,"Yes","No"),"")</f>
        <v/>
      </c>
      <c r="C836" s="11"/>
      <c r="D836" s="11"/>
      <c r="E836" s="11"/>
      <c r="F836" s="11"/>
      <c r="G836" s="11"/>
      <c r="H836" s="11"/>
      <c r="I836" s="15"/>
    </row>
    <row r="837" spans="1:9" ht="16.5">
      <c r="A837" s="10" t="b">
        <v>0</v>
      </c>
      <c r="B837" s="11" t="str">
        <f>IF(D837&lt;&gt;"",IF(COUNTIF('USPTO TMs'!A:A,D837)&gt;0,"Yes","No"),"")</f>
        <v/>
      </c>
      <c r="C837" s="11"/>
      <c r="D837" s="11"/>
      <c r="E837" s="11"/>
      <c r="F837" s="11"/>
      <c r="G837" s="11"/>
      <c r="H837" s="11"/>
      <c r="I837" s="15"/>
    </row>
    <row r="838" spans="1:9" ht="16.5">
      <c r="A838" s="10" t="b">
        <v>0</v>
      </c>
      <c r="B838" s="11" t="str">
        <f>IF(D838&lt;&gt;"",IF(COUNTIF('USPTO TMs'!A:A,D838)&gt;0,"Yes","No"),"")</f>
        <v/>
      </c>
      <c r="C838" s="11"/>
      <c r="D838" s="11"/>
      <c r="E838" s="11"/>
      <c r="F838" s="11"/>
      <c r="G838" s="11"/>
      <c r="H838" s="11"/>
      <c r="I838" s="15"/>
    </row>
    <row r="839" spans="1:9" ht="16.5">
      <c r="A839" s="10" t="b">
        <v>0</v>
      </c>
      <c r="B839" s="11" t="str">
        <f>IF(D839&lt;&gt;"",IF(COUNTIF('USPTO TMs'!A:A,D839)&gt;0,"Yes","No"),"")</f>
        <v/>
      </c>
      <c r="C839" s="11"/>
      <c r="D839" s="11"/>
      <c r="E839" s="11"/>
      <c r="F839" s="11"/>
      <c r="G839" s="11"/>
      <c r="H839" s="11"/>
      <c r="I839" s="15"/>
    </row>
    <row r="840" spans="1:9" ht="16.5">
      <c r="A840" s="10" t="b">
        <v>0</v>
      </c>
      <c r="B840" s="11" t="str">
        <f>IF(D840&lt;&gt;"",IF(COUNTIF('USPTO TMs'!A:A,D840)&gt;0,"Yes","No"),"")</f>
        <v/>
      </c>
      <c r="C840" s="11"/>
      <c r="D840" s="11"/>
      <c r="E840" s="11"/>
      <c r="F840" s="11"/>
      <c r="G840" s="11"/>
      <c r="H840" s="11"/>
      <c r="I840" s="15"/>
    </row>
    <row r="841" spans="1:9" ht="16.5">
      <c r="A841" s="10" t="b">
        <v>0</v>
      </c>
      <c r="B841" s="11" t="str">
        <f>IF(D841&lt;&gt;"",IF(COUNTIF('USPTO TMs'!A:A,D841)&gt;0,"Yes","No"),"")</f>
        <v/>
      </c>
      <c r="C841" s="11"/>
      <c r="D841" s="11"/>
      <c r="E841" s="11"/>
      <c r="F841" s="11"/>
      <c r="G841" s="11"/>
      <c r="H841" s="11"/>
      <c r="I841" s="15"/>
    </row>
    <row r="842" spans="1:9" ht="16.5">
      <c r="A842" s="10" t="b">
        <v>0</v>
      </c>
      <c r="B842" s="11" t="str">
        <f>IF(D842&lt;&gt;"",IF(COUNTIF('USPTO TMs'!A:A,D842)&gt;0,"Yes","No"),"")</f>
        <v/>
      </c>
      <c r="C842" s="11"/>
      <c r="D842" s="11"/>
      <c r="E842" s="11"/>
      <c r="F842" s="11"/>
      <c r="G842" s="11"/>
      <c r="H842" s="11"/>
      <c r="I842" s="15"/>
    </row>
    <row r="843" spans="1:9" ht="16.5">
      <c r="A843" s="10" t="b">
        <v>0</v>
      </c>
      <c r="B843" s="11" t="str">
        <f>IF(D843&lt;&gt;"",IF(COUNTIF('USPTO TMs'!A:A,D843)&gt;0,"Yes","No"),"")</f>
        <v/>
      </c>
      <c r="C843" s="11"/>
      <c r="D843" s="11"/>
      <c r="E843" s="11"/>
      <c r="F843" s="11"/>
      <c r="G843" s="11"/>
      <c r="H843" s="11"/>
      <c r="I843" s="15"/>
    </row>
    <row r="844" spans="1:9" ht="16.5">
      <c r="A844" s="10" t="b">
        <v>0</v>
      </c>
      <c r="B844" s="11" t="str">
        <f>IF(D844&lt;&gt;"",IF(COUNTIF('USPTO TMs'!A:A,D844)&gt;0,"Yes","No"),"")</f>
        <v/>
      </c>
      <c r="C844" s="11"/>
      <c r="D844" s="11"/>
      <c r="E844" s="11"/>
      <c r="F844" s="11"/>
      <c r="G844" s="11"/>
      <c r="H844" s="11"/>
      <c r="I844" s="15"/>
    </row>
    <row r="845" spans="1:9" ht="16.5">
      <c r="A845" s="10" t="b">
        <v>0</v>
      </c>
      <c r="B845" s="11" t="str">
        <f>IF(D845&lt;&gt;"",IF(COUNTIF('USPTO TMs'!A:A,D845)&gt;0,"Yes","No"),"")</f>
        <v/>
      </c>
      <c r="C845" s="11"/>
      <c r="D845" s="11"/>
      <c r="E845" s="11"/>
      <c r="F845" s="11"/>
      <c r="G845" s="11"/>
      <c r="H845" s="11"/>
      <c r="I845" s="15"/>
    </row>
    <row r="846" spans="1:9" ht="16.5">
      <c r="A846" s="10" t="b">
        <v>0</v>
      </c>
      <c r="B846" s="11" t="str">
        <f>IF(D846&lt;&gt;"",IF(COUNTIF('USPTO TMs'!A:A,D846)&gt;0,"Yes","No"),"")</f>
        <v/>
      </c>
      <c r="C846" s="11"/>
      <c r="D846" s="11"/>
      <c r="E846" s="11"/>
      <c r="F846" s="11"/>
      <c r="G846" s="11"/>
      <c r="H846" s="11"/>
      <c r="I846" s="15"/>
    </row>
    <row r="847" spans="1:9" ht="16.5">
      <c r="A847" s="10" t="b">
        <v>0</v>
      </c>
      <c r="B847" s="11" t="str">
        <f>IF(D847&lt;&gt;"",IF(COUNTIF('USPTO TMs'!A:A,D847)&gt;0,"Yes","No"),"")</f>
        <v/>
      </c>
      <c r="C847" s="11"/>
      <c r="D847" s="11"/>
      <c r="E847" s="11"/>
      <c r="F847" s="11"/>
      <c r="G847" s="11"/>
      <c r="H847" s="11"/>
      <c r="I847" s="15"/>
    </row>
    <row r="848" spans="1:9" ht="16.5">
      <c r="A848" s="10" t="b">
        <v>0</v>
      </c>
      <c r="B848" s="11" t="str">
        <f>IF(D848&lt;&gt;"",IF(COUNTIF('USPTO TMs'!A:A,D848)&gt;0,"Yes","No"),"")</f>
        <v/>
      </c>
      <c r="C848" s="11"/>
      <c r="D848" s="11"/>
      <c r="E848" s="11"/>
      <c r="F848" s="11"/>
      <c r="G848" s="11"/>
      <c r="H848" s="11"/>
      <c r="I848" s="15"/>
    </row>
    <row r="849" spans="1:9" ht="16.5">
      <c r="A849" s="10" t="b">
        <v>0</v>
      </c>
      <c r="B849" s="11" t="str">
        <f>IF(D849&lt;&gt;"",IF(COUNTIF('USPTO TMs'!A:A,D849)&gt;0,"Yes","No"),"")</f>
        <v/>
      </c>
      <c r="C849" s="11"/>
      <c r="D849" s="11"/>
      <c r="E849" s="11"/>
      <c r="F849" s="11"/>
      <c r="G849" s="11"/>
      <c r="H849" s="11"/>
      <c r="I849" s="15"/>
    </row>
    <row r="850" spans="1:9" ht="16.5">
      <c r="A850" s="10" t="b">
        <v>0</v>
      </c>
      <c r="B850" s="11" t="str">
        <f>IF(D850&lt;&gt;"",IF(COUNTIF('USPTO TMs'!A:A,D850)&gt;0,"Yes","No"),"")</f>
        <v/>
      </c>
      <c r="C850" s="11"/>
      <c r="D850" s="11"/>
      <c r="E850" s="11"/>
      <c r="F850" s="11"/>
      <c r="G850" s="11"/>
      <c r="H850" s="11"/>
      <c r="I850" s="15"/>
    </row>
    <row r="851" spans="1:9" ht="16.5">
      <c r="A851" s="10" t="b">
        <v>0</v>
      </c>
      <c r="B851" s="11" t="str">
        <f>IF(D851&lt;&gt;"",IF(COUNTIF('USPTO TMs'!A:A,D851)&gt;0,"Yes","No"),"")</f>
        <v/>
      </c>
      <c r="C851" s="11"/>
      <c r="D851" s="11"/>
      <c r="E851" s="11"/>
      <c r="F851" s="11"/>
      <c r="G851" s="11"/>
      <c r="H851" s="11"/>
      <c r="I851" s="15"/>
    </row>
    <row r="852" spans="1:9" ht="16.5">
      <c r="A852" s="10" t="b">
        <v>0</v>
      </c>
      <c r="B852" s="11" t="str">
        <f>IF(D852&lt;&gt;"",IF(COUNTIF('USPTO TMs'!A:A,D852)&gt;0,"Yes","No"),"")</f>
        <v/>
      </c>
      <c r="C852" s="11"/>
      <c r="D852" s="11"/>
      <c r="E852" s="11"/>
      <c r="F852" s="11"/>
      <c r="G852" s="11"/>
      <c r="H852" s="11"/>
      <c r="I852" s="15"/>
    </row>
    <row r="853" spans="1:9" ht="16.5">
      <c r="A853" s="10" t="b">
        <v>0</v>
      </c>
      <c r="B853" s="11" t="str">
        <f>IF(D853&lt;&gt;"",IF(COUNTIF('USPTO TMs'!A:A,D853)&gt;0,"Yes","No"),"")</f>
        <v/>
      </c>
      <c r="C853" s="11"/>
      <c r="D853" s="11"/>
      <c r="E853" s="11"/>
      <c r="F853" s="11"/>
      <c r="G853" s="11"/>
      <c r="H853" s="11"/>
      <c r="I853" s="15"/>
    </row>
    <row r="854" spans="1:9" ht="16.5">
      <c r="A854" s="10" t="b">
        <v>0</v>
      </c>
      <c r="B854" s="11" t="str">
        <f>IF(D854&lt;&gt;"",IF(COUNTIF('USPTO TMs'!A:A,D854)&gt;0,"Yes","No"),"")</f>
        <v/>
      </c>
      <c r="C854" s="11"/>
      <c r="D854" s="11"/>
      <c r="E854" s="11"/>
      <c r="F854" s="11"/>
      <c r="G854" s="11"/>
      <c r="H854" s="11"/>
      <c r="I854" s="15"/>
    </row>
    <row r="855" spans="1:9" ht="16.5">
      <c r="A855" s="10" t="b">
        <v>0</v>
      </c>
      <c r="B855" s="11" t="str">
        <f>IF(D855&lt;&gt;"",IF(COUNTIF('USPTO TMs'!A:A,D855)&gt;0,"Yes","No"),"")</f>
        <v/>
      </c>
      <c r="C855" s="11"/>
      <c r="D855" s="11"/>
      <c r="E855" s="11"/>
      <c r="F855" s="11"/>
      <c r="G855" s="11"/>
      <c r="H855" s="11"/>
      <c r="I855" s="15"/>
    </row>
    <row r="856" spans="1:9" ht="16.5">
      <c r="A856" s="10" t="b">
        <v>0</v>
      </c>
      <c r="B856" s="11" t="str">
        <f>IF(D856&lt;&gt;"",IF(COUNTIF('USPTO TMs'!A:A,D856)&gt;0,"Yes","No"),"")</f>
        <v/>
      </c>
      <c r="C856" s="11"/>
      <c r="D856" s="11"/>
      <c r="E856" s="11"/>
      <c r="F856" s="11"/>
      <c r="G856" s="11"/>
      <c r="H856" s="11"/>
      <c r="I856" s="15"/>
    </row>
    <row r="857" spans="1:9" ht="16.5">
      <c r="A857" s="10" t="b">
        <v>0</v>
      </c>
      <c r="B857" s="11" t="str">
        <f>IF(D857&lt;&gt;"",IF(COUNTIF('USPTO TMs'!A:A,D857)&gt;0,"Yes","No"),"")</f>
        <v/>
      </c>
      <c r="C857" s="11"/>
      <c r="D857" s="11"/>
      <c r="E857" s="11"/>
      <c r="F857" s="11"/>
      <c r="G857" s="11"/>
      <c r="H857" s="11"/>
      <c r="I857" s="15"/>
    </row>
    <row r="858" spans="1:9" ht="16.5">
      <c r="A858" s="10" t="b">
        <v>0</v>
      </c>
      <c r="B858" s="11" t="str">
        <f>IF(D858&lt;&gt;"",IF(COUNTIF('USPTO TMs'!A:A,D858)&gt;0,"Yes","No"),"")</f>
        <v/>
      </c>
      <c r="C858" s="11"/>
      <c r="D858" s="11"/>
      <c r="E858" s="11"/>
      <c r="F858" s="11"/>
      <c r="G858" s="11"/>
      <c r="H858" s="11"/>
      <c r="I858" s="15"/>
    </row>
    <row r="859" spans="1:9" ht="16.5">
      <c r="A859" s="10" t="b">
        <v>0</v>
      </c>
      <c r="B859" s="11" t="str">
        <f>IF(D859&lt;&gt;"",IF(COUNTIF('USPTO TMs'!A:A,D859)&gt;0,"Yes","No"),"")</f>
        <v/>
      </c>
      <c r="C859" s="11"/>
      <c r="D859" s="11"/>
      <c r="E859" s="11"/>
      <c r="F859" s="11"/>
      <c r="G859" s="11"/>
      <c r="H859" s="11"/>
      <c r="I859" s="15"/>
    </row>
    <row r="860" spans="1:9" ht="16.5">
      <c r="A860" s="10" t="b">
        <v>0</v>
      </c>
      <c r="B860" s="11" t="str">
        <f>IF(D860&lt;&gt;"",IF(COUNTIF('USPTO TMs'!A:A,D860)&gt;0,"Yes","No"),"")</f>
        <v/>
      </c>
      <c r="C860" s="11"/>
      <c r="D860" s="11"/>
      <c r="E860" s="11"/>
      <c r="F860" s="11"/>
      <c r="G860" s="11"/>
      <c r="H860" s="11"/>
      <c r="I860" s="15"/>
    </row>
    <row r="861" spans="1:9" ht="16.5">
      <c r="A861" s="10" t="b">
        <v>0</v>
      </c>
      <c r="B861" s="11" t="str">
        <f>IF(D861&lt;&gt;"",IF(COUNTIF('USPTO TMs'!A:A,D861)&gt;0,"Yes","No"),"")</f>
        <v/>
      </c>
      <c r="C861" s="11"/>
      <c r="D861" s="11"/>
      <c r="E861" s="11"/>
      <c r="F861" s="11"/>
      <c r="G861" s="11"/>
      <c r="H861" s="11"/>
      <c r="I861" s="15"/>
    </row>
    <row r="862" spans="1:9" ht="16.5">
      <c r="A862" s="10" t="b">
        <v>0</v>
      </c>
      <c r="B862" s="11" t="str">
        <f>IF(D862&lt;&gt;"",IF(COUNTIF('USPTO TMs'!A:A,D862)&gt;0,"Yes","No"),"")</f>
        <v/>
      </c>
      <c r="C862" s="11"/>
      <c r="D862" s="11"/>
      <c r="E862" s="11"/>
      <c r="F862" s="11"/>
      <c r="G862" s="11"/>
      <c r="H862" s="11"/>
      <c r="I862" s="15"/>
    </row>
    <row r="863" spans="1:9" ht="16.5">
      <c r="A863" s="10" t="b">
        <v>0</v>
      </c>
      <c r="B863" s="11" t="str">
        <f>IF(D863&lt;&gt;"",IF(COUNTIF('USPTO TMs'!A:A,D863)&gt;0,"Yes","No"),"")</f>
        <v/>
      </c>
      <c r="C863" s="11"/>
      <c r="D863" s="11"/>
      <c r="E863" s="11"/>
      <c r="F863" s="11"/>
      <c r="G863" s="11"/>
      <c r="H863" s="11"/>
      <c r="I863" s="15"/>
    </row>
    <row r="864" spans="1:9" ht="16.5">
      <c r="A864" s="10" t="b">
        <v>0</v>
      </c>
      <c r="B864" s="11" t="str">
        <f>IF(D864&lt;&gt;"",IF(COUNTIF('USPTO TMs'!A:A,D864)&gt;0,"Yes","No"),"")</f>
        <v/>
      </c>
      <c r="C864" s="11"/>
      <c r="D864" s="11"/>
      <c r="E864" s="11"/>
      <c r="F864" s="11"/>
      <c r="G864" s="11"/>
      <c r="H864" s="11"/>
      <c r="I864" s="15"/>
    </row>
    <row r="865" spans="1:9" ht="16.5">
      <c r="A865" s="10" t="b">
        <v>0</v>
      </c>
      <c r="B865" s="11" t="str">
        <f>IF(D865&lt;&gt;"",IF(COUNTIF('USPTO TMs'!A:A,D865)&gt;0,"Yes","No"),"")</f>
        <v/>
      </c>
      <c r="C865" s="11"/>
      <c r="D865" s="11"/>
      <c r="E865" s="11"/>
      <c r="F865" s="11"/>
      <c r="G865" s="11"/>
      <c r="H865" s="11"/>
      <c r="I865" s="15"/>
    </row>
    <row r="866" spans="1:9" ht="16.5">
      <c r="A866" s="10" t="b">
        <v>0</v>
      </c>
      <c r="B866" s="11" t="str">
        <f>IF(D866&lt;&gt;"",IF(COUNTIF('USPTO TMs'!A:A,D866)&gt;0,"Yes","No"),"")</f>
        <v/>
      </c>
      <c r="C866" s="11"/>
      <c r="D866" s="11"/>
      <c r="E866" s="11"/>
      <c r="F866" s="11"/>
      <c r="G866" s="11"/>
      <c r="H866" s="11"/>
      <c r="I866" s="15"/>
    </row>
    <row r="867" spans="1:9" ht="16.5">
      <c r="A867" s="10" t="b">
        <v>0</v>
      </c>
      <c r="B867" s="11" t="str">
        <f>IF(D867&lt;&gt;"",IF(COUNTIF('USPTO TMs'!A:A,D867)&gt;0,"Yes","No"),"")</f>
        <v/>
      </c>
      <c r="C867" s="11"/>
      <c r="D867" s="11"/>
      <c r="E867" s="11"/>
      <c r="F867" s="11"/>
      <c r="G867" s="11"/>
      <c r="H867" s="11"/>
      <c r="I867" s="15"/>
    </row>
    <row r="868" spans="1:9" ht="16.5">
      <c r="A868" s="10" t="b">
        <v>0</v>
      </c>
      <c r="B868" s="11" t="str">
        <f>IF(D868&lt;&gt;"",IF(COUNTIF('USPTO TMs'!A:A,D868)&gt;0,"Yes","No"),"")</f>
        <v/>
      </c>
      <c r="C868" s="11"/>
      <c r="D868" s="11"/>
      <c r="E868" s="11"/>
      <c r="F868" s="11"/>
      <c r="G868" s="11"/>
      <c r="H868" s="11"/>
      <c r="I868" s="15"/>
    </row>
    <row r="869" spans="1:9" ht="16.5">
      <c r="A869" s="10" t="b">
        <v>0</v>
      </c>
      <c r="B869" s="11" t="str">
        <f>IF(D869&lt;&gt;"",IF(COUNTIF('USPTO TMs'!A:A,D869)&gt;0,"Yes","No"),"")</f>
        <v/>
      </c>
      <c r="C869" s="11"/>
      <c r="D869" s="11"/>
      <c r="E869" s="11"/>
      <c r="F869" s="11"/>
      <c r="G869" s="11"/>
      <c r="H869" s="11"/>
      <c r="I869" s="15"/>
    </row>
    <row r="870" spans="1:9" ht="16.5">
      <c r="A870" s="10" t="b">
        <v>0</v>
      </c>
      <c r="B870" s="11" t="str">
        <f>IF(D870&lt;&gt;"",IF(COUNTIF('USPTO TMs'!A:A,D870)&gt;0,"Yes","No"),"")</f>
        <v/>
      </c>
      <c r="C870" s="11"/>
      <c r="D870" s="11"/>
      <c r="E870" s="11"/>
      <c r="F870" s="11"/>
      <c r="G870" s="11"/>
      <c r="H870" s="11"/>
      <c r="I870" s="15"/>
    </row>
    <row r="871" spans="1:9" ht="16.5">
      <c r="A871" s="10" t="b">
        <v>0</v>
      </c>
      <c r="B871" s="11" t="str">
        <f>IF(D871&lt;&gt;"",IF(COUNTIF('USPTO TMs'!A:A,D871)&gt;0,"Yes","No"),"")</f>
        <v/>
      </c>
      <c r="C871" s="11"/>
      <c r="D871" s="11"/>
      <c r="E871" s="11"/>
      <c r="F871" s="11"/>
      <c r="G871" s="11"/>
      <c r="H871" s="11"/>
      <c r="I871" s="15"/>
    </row>
    <row r="872" spans="1:9" ht="16.5">
      <c r="A872" s="10" t="b">
        <v>0</v>
      </c>
      <c r="B872" s="11" t="str">
        <f>IF(D872&lt;&gt;"",IF(COUNTIF('USPTO TMs'!A:A,D872)&gt;0,"Yes","No"),"")</f>
        <v/>
      </c>
      <c r="C872" s="11"/>
      <c r="D872" s="11"/>
      <c r="E872" s="11"/>
      <c r="F872" s="11"/>
      <c r="G872" s="11"/>
      <c r="H872" s="11"/>
      <c r="I872" s="15"/>
    </row>
    <row r="873" spans="1:9" ht="16.5">
      <c r="A873" s="10" t="b">
        <v>0</v>
      </c>
      <c r="B873" s="11" t="str">
        <f>IF(D873&lt;&gt;"",IF(COUNTIF('USPTO TMs'!A:A,D873)&gt;0,"Yes","No"),"")</f>
        <v/>
      </c>
      <c r="C873" s="11"/>
      <c r="D873" s="11"/>
      <c r="E873" s="11"/>
      <c r="F873" s="11"/>
      <c r="G873" s="11"/>
      <c r="H873" s="11"/>
      <c r="I873" s="15"/>
    </row>
    <row r="874" spans="1:9" ht="16.5">
      <c r="A874" s="10" t="b">
        <v>0</v>
      </c>
      <c r="B874" s="11" t="str">
        <f>IF(D874&lt;&gt;"",IF(COUNTIF('USPTO TMs'!A:A,D874)&gt;0,"Yes","No"),"")</f>
        <v/>
      </c>
      <c r="C874" s="11"/>
      <c r="D874" s="11"/>
      <c r="E874" s="11"/>
      <c r="F874" s="11"/>
      <c r="G874" s="11"/>
      <c r="H874" s="11"/>
      <c r="I874" s="15"/>
    </row>
    <row r="875" spans="1:9" ht="16.5">
      <c r="A875" s="10" t="b">
        <v>0</v>
      </c>
      <c r="B875" s="11" t="str">
        <f>IF(D875&lt;&gt;"",IF(COUNTIF('USPTO TMs'!A:A,D875)&gt;0,"Yes","No"),"")</f>
        <v/>
      </c>
      <c r="C875" s="11"/>
      <c r="D875" s="11"/>
      <c r="E875" s="11"/>
      <c r="F875" s="11"/>
      <c r="G875" s="11"/>
      <c r="H875" s="11"/>
      <c r="I875" s="15"/>
    </row>
    <row r="876" spans="1:9" ht="16.5">
      <c r="A876" s="10" t="b">
        <v>0</v>
      </c>
      <c r="B876" s="11" t="str">
        <f>IF(D876&lt;&gt;"",IF(COUNTIF('USPTO TMs'!A:A,D876)&gt;0,"Yes","No"),"")</f>
        <v/>
      </c>
      <c r="C876" s="11"/>
      <c r="D876" s="11"/>
      <c r="E876" s="11"/>
      <c r="F876" s="11"/>
      <c r="G876" s="11"/>
      <c r="H876" s="11"/>
      <c r="I876" s="15"/>
    </row>
    <row r="877" spans="1:9" ht="16.5">
      <c r="A877" s="10" t="b">
        <v>0</v>
      </c>
      <c r="B877" s="11" t="str">
        <f>IF(D877&lt;&gt;"",IF(COUNTIF('USPTO TMs'!A:A,D877)&gt;0,"Yes","No"),"")</f>
        <v/>
      </c>
      <c r="C877" s="11"/>
      <c r="D877" s="11"/>
      <c r="E877" s="11"/>
      <c r="F877" s="11"/>
      <c r="G877" s="11"/>
      <c r="H877" s="11"/>
      <c r="I877" s="15"/>
    </row>
    <row r="878" spans="1:9" ht="16.5">
      <c r="A878" s="10" t="b">
        <v>0</v>
      </c>
      <c r="B878" s="11" t="str">
        <f>IF(D878&lt;&gt;"",IF(COUNTIF('USPTO TMs'!A:A,D878)&gt;0,"Yes","No"),"")</f>
        <v/>
      </c>
      <c r="C878" s="11"/>
      <c r="D878" s="11"/>
      <c r="E878" s="11"/>
      <c r="F878" s="11"/>
      <c r="G878" s="11"/>
      <c r="H878" s="11"/>
      <c r="I878" s="15"/>
    </row>
    <row r="879" spans="1:9" ht="16.5">
      <c r="A879" s="10" t="b">
        <v>0</v>
      </c>
      <c r="B879" s="11" t="str">
        <f>IF(D879&lt;&gt;"",IF(COUNTIF('USPTO TMs'!A:A,D879)&gt;0,"Yes","No"),"")</f>
        <v/>
      </c>
      <c r="C879" s="11"/>
      <c r="D879" s="11"/>
      <c r="E879" s="11"/>
      <c r="F879" s="11"/>
      <c r="G879" s="11"/>
      <c r="H879" s="11"/>
      <c r="I879" s="15"/>
    </row>
    <row r="880" spans="1:9" ht="16.5">
      <c r="A880" s="10" t="b">
        <v>0</v>
      </c>
      <c r="B880" s="11" t="str">
        <f>IF(D880&lt;&gt;"",IF(COUNTIF('USPTO TMs'!A:A,D880)&gt;0,"Yes","No"),"")</f>
        <v/>
      </c>
      <c r="C880" s="11"/>
      <c r="D880" s="11"/>
      <c r="E880" s="11"/>
      <c r="F880" s="11"/>
      <c r="G880" s="11"/>
      <c r="H880" s="11"/>
      <c r="I880" s="15"/>
    </row>
    <row r="881" spans="1:9" ht="16.5">
      <c r="A881" s="10" t="b">
        <v>0</v>
      </c>
      <c r="B881" s="11" t="str">
        <f>IF(D881&lt;&gt;"",IF(COUNTIF('USPTO TMs'!A:A,D881)&gt;0,"Yes","No"),"")</f>
        <v/>
      </c>
      <c r="C881" s="11"/>
      <c r="D881" s="11"/>
      <c r="E881" s="11"/>
      <c r="F881" s="11"/>
      <c r="G881" s="11"/>
      <c r="H881" s="11"/>
      <c r="I881" s="15"/>
    </row>
    <row r="882" spans="1:9" ht="16.5">
      <c r="A882" s="10" t="b">
        <v>0</v>
      </c>
      <c r="B882" s="11" t="str">
        <f>IF(D882&lt;&gt;"",IF(COUNTIF('USPTO TMs'!A:A,D882)&gt;0,"Yes","No"),"")</f>
        <v/>
      </c>
      <c r="C882" s="11"/>
      <c r="D882" s="11"/>
      <c r="E882" s="11"/>
      <c r="F882" s="11"/>
      <c r="G882" s="11"/>
      <c r="H882" s="11"/>
      <c r="I882" s="15"/>
    </row>
    <row r="883" spans="1:9" ht="16.5">
      <c r="A883" s="10" t="b">
        <v>0</v>
      </c>
      <c r="B883" s="11" t="str">
        <f>IF(D883&lt;&gt;"",IF(COUNTIF('USPTO TMs'!A:A,D883)&gt;0,"Yes","No"),"")</f>
        <v/>
      </c>
      <c r="C883" s="11"/>
      <c r="D883" s="11"/>
      <c r="E883" s="11"/>
      <c r="F883" s="11"/>
      <c r="G883" s="11"/>
      <c r="H883" s="11"/>
      <c r="I883" s="15"/>
    </row>
    <row r="884" spans="1:9" ht="16.5">
      <c r="A884" s="10" t="b">
        <v>0</v>
      </c>
      <c r="B884" s="11" t="str">
        <f>IF(D884&lt;&gt;"",IF(COUNTIF('USPTO TMs'!A:A,D884)&gt;0,"Yes","No"),"")</f>
        <v/>
      </c>
      <c r="C884" s="11"/>
      <c r="D884" s="11"/>
      <c r="E884" s="11"/>
      <c r="F884" s="11"/>
      <c r="G884" s="11"/>
      <c r="H884" s="11"/>
      <c r="I884" s="15"/>
    </row>
    <row r="885" spans="1:9" ht="16.5">
      <c r="A885" s="10" t="b">
        <v>0</v>
      </c>
      <c r="B885" s="11" t="str">
        <f>IF(D885&lt;&gt;"",IF(COUNTIF('USPTO TMs'!A:A,D885)&gt;0,"Yes","No"),"")</f>
        <v/>
      </c>
      <c r="C885" s="11"/>
      <c r="D885" s="11"/>
      <c r="E885" s="11"/>
      <c r="F885" s="11"/>
      <c r="G885" s="11"/>
      <c r="H885" s="11"/>
      <c r="I885" s="15"/>
    </row>
    <row r="886" spans="1:9" ht="16.5">
      <c r="A886" s="10" t="b">
        <v>0</v>
      </c>
      <c r="B886" s="11" t="str">
        <f>IF(D886&lt;&gt;"",IF(COUNTIF('USPTO TMs'!A:A,D886)&gt;0,"Yes","No"),"")</f>
        <v/>
      </c>
      <c r="C886" s="11"/>
      <c r="D886" s="11"/>
      <c r="E886" s="11"/>
      <c r="F886" s="11"/>
      <c r="G886" s="11"/>
      <c r="H886" s="11"/>
      <c r="I886" s="15"/>
    </row>
    <row r="887" spans="1:9" ht="16.5">
      <c r="A887" s="10" t="b">
        <v>0</v>
      </c>
      <c r="B887" s="11" t="str">
        <f>IF(D887&lt;&gt;"",IF(COUNTIF('USPTO TMs'!A:A,D887)&gt;0,"Yes","No"),"")</f>
        <v/>
      </c>
      <c r="C887" s="11"/>
      <c r="D887" s="11"/>
      <c r="E887" s="11"/>
      <c r="F887" s="11"/>
      <c r="G887" s="11"/>
      <c r="H887" s="11"/>
      <c r="I887" s="15"/>
    </row>
    <row r="888" spans="1:9" ht="16.5">
      <c r="A888" s="10" t="b">
        <v>0</v>
      </c>
      <c r="B888" s="11" t="str">
        <f>IF(D888&lt;&gt;"",IF(COUNTIF('USPTO TMs'!A:A,D888)&gt;0,"Yes","No"),"")</f>
        <v/>
      </c>
      <c r="C888" s="11"/>
      <c r="D888" s="11"/>
      <c r="E888" s="11"/>
      <c r="F888" s="11"/>
      <c r="G888" s="11"/>
      <c r="H888" s="11"/>
      <c r="I888" s="15"/>
    </row>
    <row r="889" spans="1:9" ht="16.5">
      <c r="A889" s="10" t="b">
        <v>0</v>
      </c>
      <c r="B889" s="11" t="str">
        <f>IF(D889&lt;&gt;"",IF(COUNTIF('USPTO TMs'!A:A,D889)&gt;0,"Yes","No"),"")</f>
        <v/>
      </c>
      <c r="C889" s="11"/>
      <c r="D889" s="11"/>
      <c r="E889" s="11"/>
      <c r="F889" s="11"/>
      <c r="G889" s="11"/>
      <c r="H889" s="11"/>
      <c r="I889" s="15"/>
    </row>
    <row r="890" spans="1:9" ht="16.5">
      <c r="A890" s="10" t="b">
        <v>0</v>
      </c>
      <c r="B890" s="11" t="str">
        <f>IF(D890&lt;&gt;"",IF(COUNTIF('USPTO TMs'!A:A,D890)&gt;0,"Yes","No"),"")</f>
        <v/>
      </c>
      <c r="C890" s="11"/>
      <c r="D890" s="11"/>
      <c r="E890" s="11"/>
      <c r="F890" s="11"/>
      <c r="G890" s="11"/>
      <c r="H890" s="11"/>
      <c r="I890" s="15"/>
    </row>
    <row r="891" spans="1:9" ht="16.5">
      <c r="A891" s="10" t="b">
        <v>0</v>
      </c>
      <c r="B891" s="11" t="str">
        <f>IF(D891&lt;&gt;"",IF(COUNTIF('USPTO TMs'!A:A,D891)&gt;0,"Yes","No"),"")</f>
        <v/>
      </c>
      <c r="C891" s="11"/>
      <c r="D891" s="11"/>
      <c r="E891" s="11"/>
      <c r="F891" s="11"/>
      <c r="G891" s="11"/>
      <c r="H891" s="11"/>
      <c r="I891" s="15"/>
    </row>
    <row r="892" spans="1:9" ht="16.5">
      <c r="A892" s="10" t="b">
        <v>0</v>
      </c>
      <c r="B892" s="11" t="str">
        <f>IF(D892&lt;&gt;"",IF(COUNTIF('USPTO TMs'!A:A,D892)&gt;0,"Yes","No"),"")</f>
        <v/>
      </c>
      <c r="C892" s="11"/>
      <c r="D892" s="11"/>
      <c r="E892" s="11"/>
      <c r="F892" s="11"/>
      <c r="G892" s="11"/>
      <c r="H892" s="11"/>
      <c r="I892" s="15"/>
    </row>
    <row r="893" spans="1:9" ht="16.5">
      <c r="A893" s="10" t="b">
        <v>0</v>
      </c>
      <c r="B893" s="11" t="str">
        <f>IF(D893&lt;&gt;"",IF(COUNTIF('USPTO TMs'!A:A,D893)&gt;0,"Yes","No"),"")</f>
        <v/>
      </c>
      <c r="C893" s="11"/>
      <c r="D893" s="11"/>
      <c r="E893" s="11"/>
      <c r="F893" s="11"/>
      <c r="G893" s="11"/>
      <c r="H893" s="11"/>
      <c r="I893" s="15"/>
    </row>
    <row r="894" spans="1:9" ht="16.5">
      <c r="A894" s="10" t="b">
        <v>0</v>
      </c>
      <c r="B894" s="11" t="str">
        <f>IF(D894&lt;&gt;"",IF(COUNTIF('USPTO TMs'!A:A,D894)&gt;0,"Yes","No"),"")</f>
        <v/>
      </c>
      <c r="C894" s="11"/>
      <c r="D894" s="11"/>
      <c r="E894" s="11"/>
      <c r="F894" s="11"/>
      <c r="G894" s="11"/>
      <c r="H894" s="11"/>
      <c r="I894" s="15"/>
    </row>
    <row r="895" spans="1:9" ht="16.5">
      <c r="A895" s="10" t="b">
        <v>0</v>
      </c>
      <c r="B895" s="11" t="str">
        <f>IF(D895&lt;&gt;"",IF(COUNTIF('USPTO TMs'!A:A,D895)&gt;0,"Yes","No"),"")</f>
        <v/>
      </c>
      <c r="C895" s="11"/>
      <c r="D895" s="11"/>
      <c r="E895" s="11"/>
      <c r="F895" s="11"/>
      <c r="G895" s="11"/>
      <c r="H895" s="11"/>
      <c r="I895" s="15"/>
    </row>
    <row r="896" spans="1:9" ht="16.5">
      <c r="A896" s="10" t="b">
        <v>0</v>
      </c>
      <c r="B896" s="11" t="str">
        <f>IF(D896&lt;&gt;"",IF(COUNTIF('USPTO TMs'!A:A,D896)&gt;0,"Yes","No"),"")</f>
        <v/>
      </c>
      <c r="C896" s="11"/>
      <c r="D896" s="11"/>
      <c r="E896" s="11"/>
      <c r="F896" s="11"/>
      <c r="G896" s="11"/>
      <c r="H896" s="11"/>
      <c r="I896" s="15"/>
    </row>
    <row r="897" spans="1:9" ht="16.5">
      <c r="A897" s="10" t="b">
        <v>0</v>
      </c>
      <c r="B897" s="11" t="str">
        <f>IF(D897&lt;&gt;"",IF(COUNTIF('USPTO TMs'!A:A,D897)&gt;0,"Yes","No"),"")</f>
        <v/>
      </c>
      <c r="C897" s="11"/>
      <c r="D897" s="11"/>
      <c r="E897" s="11"/>
      <c r="F897" s="11"/>
      <c r="G897" s="11"/>
      <c r="H897" s="11"/>
      <c r="I897" s="15"/>
    </row>
    <row r="898" spans="1:9" ht="16.5">
      <c r="A898" s="10" t="b">
        <v>0</v>
      </c>
      <c r="B898" s="11" t="str">
        <f>IF(D898&lt;&gt;"",IF(COUNTIF('USPTO TMs'!A:A,D898)&gt;0,"Yes","No"),"")</f>
        <v/>
      </c>
      <c r="C898" s="11"/>
      <c r="D898" s="11"/>
      <c r="E898" s="11"/>
      <c r="F898" s="11"/>
      <c r="G898" s="11"/>
      <c r="H898" s="11"/>
      <c r="I898" s="15"/>
    </row>
    <row r="899" spans="1:9" ht="16.5">
      <c r="A899" s="10" t="b">
        <v>0</v>
      </c>
      <c r="B899" s="11" t="str">
        <f>IF(D899&lt;&gt;"",IF(COUNTIF('USPTO TMs'!A:A,D899)&gt;0,"Yes","No"),"")</f>
        <v/>
      </c>
      <c r="C899" s="11"/>
      <c r="D899" s="11"/>
      <c r="E899" s="11"/>
      <c r="F899" s="11"/>
      <c r="G899" s="11"/>
      <c r="H899" s="11"/>
      <c r="I899" s="15"/>
    </row>
    <row r="900" spans="1:9" ht="16.5">
      <c r="A900" s="10" t="b">
        <v>0</v>
      </c>
      <c r="B900" s="11" t="str">
        <f>IF(D900&lt;&gt;"",IF(COUNTIF('USPTO TMs'!A:A,D900)&gt;0,"Yes","No"),"")</f>
        <v/>
      </c>
      <c r="C900" s="11"/>
      <c r="D900" s="11"/>
      <c r="E900" s="11"/>
      <c r="F900" s="11"/>
      <c r="G900" s="11"/>
      <c r="H900" s="11"/>
      <c r="I900" s="15"/>
    </row>
    <row r="901" spans="1:9" ht="16.5">
      <c r="A901" s="10" t="b">
        <v>0</v>
      </c>
      <c r="B901" s="11" t="str">
        <f>IF(D901&lt;&gt;"",IF(COUNTIF('USPTO TMs'!A:A,D901)&gt;0,"Yes","No"),"")</f>
        <v/>
      </c>
      <c r="C901" s="11"/>
      <c r="D901" s="11"/>
      <c r="E901" s="11"/>
      <c r="F901" s="11"/>
      <c r="G901" s="11"/>
      <c r="H901" s="11"/>
      <c r="I901" s="15"/>
    </row>
    <row r="902" spans="1:9" ht="16.5">
      <c r="A902" s="10" t="b">
        <v>0</v>
      </c>
      <c r="B902" s="11" t="str">
        <f>IF(D902&lt;&gt;"",IF(COUNTIF('USPTO TMs'!A:A,D902)&gt;0,"Yes","No"),"")</f>
        <v/>
      </c>
      <c r="C902" s="11"/>
      <c r="D902" s="11"/>
      <c r="E902" s="11"/>
      <c r="F902" s="11"/>
      <c r="G902" s="11"/>
      <c r="H902" s="11"/>
      <c r="I902" s="15"/>
    </row>
    <row r="903" spans="1:9" ht="16.5">
      <c r="A903" s="10" t="b">
        <v>0</v>
      </c>
      <c r="B903" s="11" t="str">
        <f>IF(D903&lt;&gt;"",IF(COUNTIF('USPTO TMs'!A:A,D903)&gt;0,"Yes","No"),"")</f>
        <v/>
      </c>
      <c r="C903" s="11"/>
      <c r="D903" s="11"/>
      <c r="E903" s="11"/>
      <c r="F903" s="11"/>
      <c r="G903" s="11"/>
      <c r="H903" s="11"/>
      <c r="I903" s="15"/>
    </row>
    <row r="904" spans="1:9" ht="16.5">
      <c r="A904" s="10" t="b">
        <v>0</v>
      </c>
      <c r="B904" s="11" t="str">
        <f>IF(D904&lt;&gt;"",IF(COUNTIF('USPTO TMs'!A:A,D904)&gt;0,"Yes","No"),"")</f>
        <v/>
      </c>
      <c r="C904" s="11"/>
      <c r="D904" s="11"/>
      <c r="E904" s="11"/>
      <c r="F904" s="11"/>
      <c r="G904" s="11"/>
      <c r="H904" s="11"/>
      <c r="I904" s="15"/>
    </row>
    <row r="905" spans="1:9" ht="16.5">
      <c r="A905" s="10" t="b">
        <v>0</v>
      </c>
      <c r="B905" s="11" t="str">
        <f>IF(D905&lt;&gt;"",IF(COUNTIF('USPTO TMs'!A:A,D905)&gt;0,"Yes","No"),"")</f>
        <v/>
      </c>
      <c r="C905" s="11"/>
      <c r="D905" s="11"/>
      <c r="E905" s="11"/>
      <c r="F905" s="11"/>
      <c r="G905" s="11"/>
      <c r="H905" s="11"/>
      <c r="I905" s="15"/>
    </row>
    <row r="906" spans="1:9" ht="16.5">
      <c r="A906" s="10" t="b">
        <v>0</v>
      </c>
      <c r="B906" s="11" t="str">
        <f>IF(D906&lt;&gt;"",IF(COUNTIF('USPTO TMs'!A:A,D906)&gt;0,"Yes","No"),"")</f>
        <v/>
      </c>
      <c r="C906" s="11"/>
      <c r="D906" s="11"/>
      <c r="E906" s="11"/>
      <c r="F906" s="11"/>
      <c r="G906" s="11"/>
      <c r="H906" s="11"/>
      <c r="I906" s="15"/>
    </row>
    <row r="907" spans="1:9" ht="16.5">
      <c r="A907" s="10" t="b">
        <v>0</v>
      </c>
      <c r="B907" s="11" t="str">
        <f>IF(D907&lt;&gt;"",IF(COUNTIF('USPTO TMs'!A:A,D907)&gt;0,"Yes","No"),"")</f>
        <v/>
      </c>
      <c r="C907" s="11"/>
      <c r="D907" s="11"/>
      <c r="E907" s="11"/>
      <c r="F907" s="11"/>
      <c r="G907" s="11"/>
      <c r="H907" s="11"/>
      <c r="I907" s="15"/>
    </row>
    <row r="908" spans="1:9" ht="16.5">
      <c r="A908" s="10" t="b">
        <v>0</v>
      </c>
      <c r="B908" s="11" t="str">
        <f>IF(D908&lt;&gt;"",IF(COUNTIF('USPTO TMs'!A:A,D908)&gt;0,"Yes","No"),"")</f>
        <v/>
      </c>
      <c r="C908" s="11"/>
      <c r="D908" s="11"/>
      <c r="E908" s="11"/>
      <c r="F908" s="11"/>
      <c r="G908" s="11"/>
      <c r="H908" s="11"/>
      <c r="I908" s="15"/>
    </row>
    <row r="909" spans="1:9" ht="16.5">
      <c r="A909" s="10" t="b">
        <v>0</v>
      </c>
      <c r="B909" s="11" t="str">
        <f>IF(D909&lt;&gt;"",IF(COUNTIF('USPTO TMs'!A:A,D909)&gt;0,"Yes","No"),"")</f>
        <v/>
      </c>
      <c r="C909" s="11"/>
      <c r="D909" s="11"/>
      <c r="E909" s="11"/>
      <c r="F909" s="11"/>
      <c r="G909" s="11"/>
      <c r="H909" s="11"/>
      <c r="I909" s="15"/>
    </row>
    <row r="910" spans="1:9" ht="16.5">
      <c r="A910" s="10" t="b">
        <v>0</v>
      </c>
      <c r="B910" s="11" t="str">
        <f>IF(D910&lt;&gt;"",IF(COUNTIF('USPTO TMs'!A:A,D910)&gt;0,"Yes","No"),"")</f>
        <v/>
      </c>
      <c r="C910" s="11"/>
      <c r="D910" s="11"/>
      <c r="E910" s="11"/>
      <c r="F910" s="11"/>
      <c r="G910" s="11"/>
      <c r="H910" s="11"/>
      <c r="I910" s="15"/>
    </row>
    <row r="911" spans="1:9" ht="16.5">
      <c r="A911" s="10" t="b">
        <v>0</v>
      </c>
      <c r="B911" s="11" t="str">
        <f>IF(D911&lt;&gt;"",IF(COUNTIF('USPTO TMs'!A:A,D911)&gt;0,"Yes","No"),"")</f>
        <v/>
      </c>
      <c r="C911" s="11"/>
      <c r="D911" s="11"/>
      <c r="E911" s="11"/>
      <c r="F911" s="11"/>
      <c r="G911" s="11"/>
      <c r="H911" s="11"/>
      <c r="I911" s="15"/>
    </row>
    <row r="912" spans="1:9" ht="16.5">
      <c r="A912" s="10" t="b">
        <v>0</v>
      </c>
      <c r="B912" s="11" t="str">
        <f>IF(D912&lt;&gt;"",IF(COUNTIF('USPTO TMs'!A:A,D912)&gt;0,"Yes","No"),"")</f>
        <v/>
      </c>
      <c r="C912" s="11"/>
      <c r="D912" s="11"/>
      <c r="E912" s="11"/>
      <c r="F912" s="11"/>
      <c r="G912" s="11"/>
      <c r="H912" s="11"/>
      <c r="I912" s="15"/>
    </row>
    <row r="913" spans="1:9" ht="16.5">
      <c r="A913" s="10" t="b">
        <v>0</v>
      </c>
      <c r="B913" s="11" t="str">
        <f>IF(D913&lt;&gt;"",IF(COUNTIF('USPTO TMs'!A:A,D913)&gt;0,"Yes","No"),"")</f>
        <v/>
      </c>
      <c r="C913" s="11"/>
      <c r="D913" s="11"/>
      <c r="E913" s="11"/>
      <c r="F913" s="11"/>
      <c r="G913" s="11"/>
      <c r="H913" s="11"/>
      <c r="I913" s="15"/>
    </row>
    <row r="914" spans="1:9" ht="16.5">
      <c r="A914" s="10" t="b">
        <v>0</v>
      </c>
      <c r="B914" s="11" t="str">
        <f>IF(D914&lt;&gt;"",IF(COUNTIF('USPTO TMs'!A:A,D914)&gt;0,"Yes","No"),"")</f>
        <v/>
      </c>
      <c r="C914" s="11"/>
      <c r="D914" s="11"/>
      <c r="E914" s="11"/>
      <c r="F914" s="11"/>
      <c r="G914" s="11"/>
      <c r="H914" s="11"/>
      <c r="I914" s="15"/>
    </row>
    <row r="915" spans="1:9" ht="16.5">
      <c r="A915" s="10" t="b">
        <v>0</v>
      </c>
      <c r="B915" s="11" t="str">
        <f>IF(D915&lt;&gt;"",IF(COUNTIF('USPTO TMs'!A:A,D915)&gt;0,"Yes","No"),"")</f>
        <v/>
      </c>
      <c r="C915" s="11"/>
      <c r="D915" s="11"/>
      <c r="E915" s="11"/>
      <c r="F915" s="11"/>
      <c r="G915" s="11"/>
      <c r="H915" s="11"/>
      <c r="I915" s="15"/>
    </row>
    <row r="916" spans="1:9" ht="16.5">
      <c r="A916" s="10" t="b">
        <v>0</v>
      </c>
      <c r="B916" s="11" t="str">
        <f>IF(D916&lt;&gt;"",IF(COUNTIF('USPTO TMs'!A:A,D916)&gt;0,"Yes","No"),"")</f>
        <v/>
      </c>
      <c r="C916" s="11"/>
      <c r="D916" s="11"/>
      <c r="E916" s="11"/>
      <c r="F916" s="11"/>
      <c r="G916" s="11"/>
      <c r="H916" s="11"/>
      <c r="I916" s="15"/>
    </row>
    <row r="917" spans="1:9" ht="16.5">
      <c r="A917" s="10" t="b">
        <v>0</v>
      </c>
      <c r="B917" s="11" t="str">
        <f>IF(D917&lt;&gt;"",IF(COUNTIF('USPTO TMs'!A:A,D917)&gt;0,"Yes","No"),"")</f>
        <v/>
      </c>
      <c r="C917" s="11"/>
      <c r="D917" s="11"/>
      <c r="E917" s="11"/>
      <c r="F917" s="11"/>
      <c r="G917" s="11"/>
      <c r="H917" s="11"/>
      <c r="I917" s="15"/>
    </row>
    <row r="918" spans="1:9" ht="16.5">
      <c r="A918" s="10" t="b">
        <v>0</v>
      </c>
      <c r="B918" s="11" t="str">
        <f>IF(D918&lt;&gt;"",IF(COUNTIF('USPTO TMs'!A:A,D918)&gt;0,"Yes","No"),"")</f>
        <v/>
      </c>
      <c r="C918" s="11"/>
      <c r="D918" s="11"/>
      <c r="E918" s="11"/>
      <c r="F918" s="11"/>
      <c r="G918" s="11"/>
      <c r="H918" s="11"/>
      <c r="I918" s="15"/>
    </row>
    <row r="919" spans="1:9" ht="16.5">
      <c r="A919" s="10" t="b">
        <v>0</v>
      </c>
      <c r="B919" s="11" t="str">
        <f>IF(D919&lt;&gt;"",IF(COUNTIF('USPTO TMs'!A:A,D919)&gt;0,"Yes","No"),"")</f>
        <v/>
      </c>
      <c r="C919" s="11"/>
      <c r="D919" s="11"/>
      <c r="E919" s="11"/>
      <c r="F919" s="11"/>
      <c r="G919" s="11"/>
      <c r="H919" s="11"/>
      <c r="I919" s="15"/>
    </row>
    <row r="920" spans="1:9" ht="16.5">
      <c r="A920" s="10" t="b">
        <v>0</v>
      </c>
      <c r="B920" s="11" t="str">
        <f>IF(D920&lt;&gt;"",IF(COUNTIF('USPTO TMs'!A:A,D920)&gt;0,"Yes","No"),"")</f>
        <v/>
      </c>
      <c r="C920" s="11"/>
      <c r="D920" s="11"/>
      <c r="E920" s="11"/>
      <c r="F920" s="11"/>
      <c r="G920" s="11"/>
      <c r="H920" s="11"/>
      <c r="I920" s="15"/>
    </row>
    <row r="921" spans="1:9" ht="16.5">
      <c r="A921" s="10" t="b">
        <v>0</v>
      </c>
      <c r="B921" s="11" t="str">
        <f>IF(D921&lt;&gt;"",IF(COUNTIF('USPTO TMs'!A:A,D921)&gt;0,"Yes","No"),"")</f>
        <v/>
      </c>
      <c r="C921" s="11"/>
      <c r="D921" s="11"/>
      <c r="E921" s="11"/>
      <c r="F921" s="11"/>
      <c r="G921" s="11"/>
      <c r="H921" s="11"/>
      <c r="I921" s="15"/>
    </row>
    <row r="922" spans="1:9" ht="16.5">
      <c r="A922" s="10" t="b">
        <v>0</v>
      </c>
      <c r="B922" s="11" t="str">
        <f>IF(D922&lt;&gt;"",IF(COUNTIF('USPTO TMs'!A:A,D922)&gt;0,"Yes","No"),"")</f>
        <v/>
      </c>
      <c r="C922" s="11"/>
      <c r="D922" s="11"/>
      <c r="E922" s="11"/>
      <c r="F922" s="11"/>
      <c r="G922" s="11"/>
      <c r="H922" s="11"/>
      <c r="I922" s="15"/>
    </row>
    <row r="923" spans="1:9" ht="16.5">
      <c r="A923" s="10" t="b">
        <v>0</v>
      </c>
      <c r="B923" s="11" t="str">
        <f>IF(D923&lt;&gt;"",IF(COUNTIF('USPTO TMs'!A:A,D923)&gt;0,"Yes","No"),"")</f>
        <v/>
      </c>
      <c r="C923" s="11"/>
      <c r="D923" s="11"/>
      <c r="E923" s="11"/>
      <c r="F923" s="11"/>
      <c r="G923" s="11"/>
      <c r="H923" s="11"/>
      <c r="I923" s="15"/>
    </row>
    <row r="924" spans="1:9" ht="16.5">
      <c r="A924" s="10" t="b">
        <v>0</v>
      </c>
      <c r="B924" s="11" t="str">
        <f>IF(D924&lt;&gt;"",IF(COUNTIF('USPTO TMs'!A:A,D924)&gt;0,"Yes","No"),"")</f>
        <v/>
      </c>
      <c r="C924" s="11"/>
      <c r="D924" s="11"/>
      <c r="E924" s="11"/>
      <c r="F924" s="11"/>
      <c r="G924" s="11"/>
      <c r="H924" s="11"/>
      <c r="I924" s="15"/>
    </row>
    <row r="925" spans="1:9" ht="16.5">
      <c r="A925" s="10" t="b">
        <v>0</v>
      </c>
      <c r="B925" s="11" t="str">
        <f>IF(D925&lt;&gt;"",IF(COUNTIF('USPTO TMs'!A:A,D925)&gt;0,"Yes","No"),"")</f>
        <v/>
      </c>
      <c r="C925" s="11"/>
      <c r="D925" s="11"/>
      <c r="E925" s="11"/>
      <c r="F925" s="11"/>
      <c r="G925" s="11"/>
      <c r="H925" s="11"/>
      <c r="I925" s="15"/>
    </row>
    <row r="926" spans="1:9" ht="16.5">
      <c r="A926" s="10" t="b">
        <v>0</v>
      </c>
      <c r="B926" s="11" t="str">
        <f>IF(D926&lt;&gt;"",IF(COUNTIF('USPTO TMs'!A:A,D926)&gt;0,"Yes","No"),"")</f>
        <v/>
      </c>
      <c r="C926" s="11"/>
      <c r="D926" s="11"/>
      <c r="E926" s="11"/>
      <c r="F926" s="11"/>
      <c r="G926" s="11"/>
      <c r="H926" s="11"/>
      <c r="I926" s="15"/>
    </row>
    <row r="927" spans="1:9" ht="16.5">
      <c r="A927" s="10" t="b">
        <v>0</v>
      </c>
      <c r="B927" s="11" t="str">
        <f>IF(D927&lt;&gt;"",IF(COUNTIF('USPTO TMs'!A:A,D927)&gt;0,"Yes","No"),"")</f>
        <v/>
      </c>
      <c r="C927" s="11"/>
      <c r="D927" s="11"/>
      <c r="E927" s="11"/>
      <c r="F927" s="11"/>
      <c r="G927" s="11"/>
      <c r="H927" s="11"/>
      <c r="I927" s="15"/>
    </row>
    <row r="928" spans="1:9" ht="16.5">
      <c r="A928" s="10" t="b">
        <v>0</v>
      </c>
      <c r="B928" s="11" t="str">
        <f>IF(D928&lt;&gt;"",IF(COUNTIF('USPTO TMs'!A:A,D928)&gt;0,"Yes","No"),"")</f>
        <v/>
      </c>
      <c r="C928" s="11"/>
      <c r="D928" s="11"/>
      <c r="E928" s="11"/>
      <c r="F928" s="11"/>
      <c r="G928" s="11"/>
      <c r="H928" s="11"/>
      <c r="I928" s="15"/>
    </row>
    <row r="929" spans="1:9" ht="16.5">
      <c r="A929" s="10" t="b">
        <v>0</v>
      </c>
      <c r="B929" s="11" t="str">
        <f>IF(D929&lt;&gt;"",IF(COUNTIF('USPTO TMs'!A:A,D929)&gt;0,"Yes","No"),"")</f>
        <v/>
      </c>
      <c r="C929" s="11"/>
      <c r="D929" s="11"/>
      <c r="E929" s="11"/>
      <c r="F929" s="11"/>
      <c r="G929" s="11"/>
      <c r="H929" s="11"/>
      <c r="I929" s="15"/>
    </row>
    <row r="930" spans="1:9" ht="16.5">
      <c r="A930" s="10" t="b">
        <v>0</v>
      </c>
      <c r="B930" s="11" t="str">
        <f>IF(D930&lt;&gt;"",IF(COUNTIF('USPTO TMs'!A:A,D930)&gt;0,"Yes","No"),"")</f>
        <v/>
      </c>
      <c r="C930" s="11"/>
      <c r="D930" s="11"/>
      <c r="E930" s="11"/>
      <c r="F930" s="11"/>
      <c r="G930" s="11"/>
      <c r="H930" s="11"/>
      <c r="I930" s="15"/>
    </row>
    <row r="931" spans="1:9" ht="16.5">
      <c r="A931" s="10" t="b">
        <v>0</v>
      </c>
      <c r="B931" s="11" t="str">
        <f>IF(D931&lt;&gt;"",IF(COUNTIF('USPTO TMs'!A:A,D931)&gt;0,"Yes","No"),"")</f>
        <v/>
      </c>
      <c r="C931" s="11"/>
      <c r="D931" s="11"/>
      <c r="E931" s="11"/>
      <c r="F931" s="11"/>
      <c r="G931" s="11"/>
      <c r="H931" s="11"/>
      <c r="I931" s="15"/>
    </row>
    <row r="932" spans="1:9" ht="16.5">
      <c r="A932" s="10" t="b">
        <v>0</v>
      </c>
      <c r="B932" s="11" t="str">
        <f>IF(D932&lt;&gt;"",IF(COUNTIF('USPTO TMs'!A:A,D932)&gt;0,"Yes","No"),"")</f>
        <v/>
      </c>
      <c r="C932" s="11"/>
      <c r="D932" s="11"/>
      <c r="E932" s="11"/>
      <c r="F932" s="11"/>
      <c r="G932" s="11"/>
      <c r="H932" s="11"/>
      <c r="I932" s="15"/>
    </row>
    <row r="933" spans="1:9" ht="16.5">
      <c r="A933" s="10" t="b">
        <v>0</v>
      </c>
      <c r="B933" s="11" t="str">
        <f>IF(D933&lt;&gt;"",IF(COUNTIF('USPTO TMs'!A:A,D933)&gt;0,"Yes","No"),"")</f>
        <v/>
      </c>
      <c r="C933" s="11"/>
      <c r="D933" s="11"/>
      <c r="E933" s="11"/>
      <c r="F933" s="11"/>
      <c r="G933" s="11"/>
      <c r="H933" s="11"/>
      <c r="I933" s="15"/>
    </row>
    <row r="934" spans="1:9" ht="16.5">
      <c r="A934" s="10" t="b">
        <v>0</v>
      </c>
      <c r="B934" s="11" t="str">
        <f>IF(D934&lt;&gt;"",IF(COUNTIF('USPTO TMs'!A:A,D934)&gt;0,"Yes","No"),"")</f>
        <v/>
      </c>
      <c r="C934" s="11"/>
      <c r="D934" s="11"/>
      <c r="E934" s="11"/>
      <c r="F934" s="11"/>
      <c r="G934" s="11"/>
      <c r="H934" s="11"/>
      <c r="I934" s="15"/>
    </row>
    <row r="935" spans="1:9" ht="16.5">
      <c r="A935" s="10" t="b">
        <v>0</v>
      </c>
      <c r="B935" s="11" t="str">
        <f>IF(D935&lt;&gt;"",IF(COUNTIF('USPTO TMs'!A:A,D935)&gt;0,"Yes","No"),"")</f>
        <v/>
      </c>
      <c r="C935" s="11"/>
      <c r="D935" s="11"/>
      <c r="E935" s="11"/>
      <c r="F935" s="11"/>
      <c r="G935" s="11"/>
      <c r="H935" s="11"/>
      <c r="I935" s="15"/>
    </row>
    <row r="936" spans="1:9" ht="16.5">
      <c r="A936" s="10" t="b">
        <v>0</v>
      </c>
      <c r="B936" s="11" t="str">
        <f>IF(D936&lt;&gt;"",IF(COUNTIF('USPTO TMs'!A:A,D936)&gt;0,"Yes","No"),"")</f>
        <v/>
      </c>
      <c r="C936" s="11"/>
      <c r="D936" s="11"/>
      <c r="E936" s="11"/>
      <c r="F936" s="11"/>
      <c r="G936" s="11"/>
      <c r="H936" s="11"/>
      <c r="I936" s="15"/>
    </row>
    <row r="937" spans="1:9" ht="16.5">
      <c r="A937" s="10" t="b">
        <v>0</v>
      </c>
      <c r="B937" s="11" t="str">
        <f>IF(D937&lt;&gt;"",IF(COUNTIF('USPTO TMs'!A:A,D937)&gt;0,"Yes","No"),"")</f>
        <v/>
      </c>
      <c r="C937" s="11"/>
      <c r="D937" s="11"/>
      <c r="E937" s="11"/>
      <c r="F937" s="11"/>
      <c r="G937" s="11"/>
      <c r="H937" s="11"/>
      <c r="I937" s="15"/>
    </row>
    <row r="938" spans="1:9" ht="16.5">
      <c r="A938" s="10" t="b">
        <v>0</v>
      </c>
      <c r="B938" s="11" t="str">
        <f>IF(D938&lt;&gt;"",IF(COUNTIF('USPTO TMs'!A:A,D938)&gt;0,"Yes","No"),"")</f>
        <v/>
      </c>
      <c r="C938" s="11"/>
      <c r="D938" s="11"/>
      <c r="E938" s="11"/>
      <c r="F938" s="11"/>
      <c r="G938" s="11"/>
      <c r="H938" s="11"/>
      <c r="I938" s="15"/>
    </row>
    <row r="939" spans="1:9" ht="16.5">
      <c r="A939" s="10" t="b">
        <v>0</v>
      </c>
      <c r="B939" s="11" t="str">
        <f>IF(D939&lt;&gt;"",IF(COUNTIF('USPTO TMs'!A:A,D939)&gt;0,"Yes","No"),"")</f>
        <v/>
      </c>
      <c r="C939" s="11"/>
      <c r="D939" s="11"/>
      <c r="E939" s="11"/>
      <c r="F939" s="11"/>
      <c r="G939" s="11"/>
      <c r="H939" s="11"/>
      <c r="I939" s="15"/>
    </row>
    <row r="940" spans="1:9" ht="16.5">
      <c r="A940" s="10" t="b">
        <v>0</v>
      </c>
      <c r="B940" s="11" t="str">
        <f>IF(D940&lt;&gt;"",IF(COUNTIF('USPTO TMs'!A:A,D940)&gt;0,"Yes","No"),"")</f>
        <v/>
      </c>
      <c r="C940" s="11"/>
      <c r="D940" s="11"/>
      <c r="E940" s="11"/>
      <c r="F940" s="11"/>
      <c r="G940" s="11"/>
      <c r="H940" s="11"/>
      <c r="I940" s="15"/>
    </row>
    <row r="941" spans="1:9" ht="16.5">
      <c r="A941" s="10" t="b">
        <v>0</v>
      </c>
      <c r="B941" s="11" t="str">
        <f>IF(D941&lt;&gt;"",IF(COUNTIF('USPTO TMs'!A:A,D941)&gt;0,"Yes","No"),"")</f>
        <v/>
      </c>
      <c r="C941" s="11"/>
      <c r="D941" s="11"/>
      <c r="E941" s="11"/>
      <c r="F941" s="11"/>
      <c r="G941" s="11"/>
      <c r="H941" s="11"/>
      <c r="I941" s="15"/>
    </row>
    <row r="942" spans="1:9" ht="16.5">
      <c r="A942" s="10" t="b">
        <v>0</v>
      </c>
      <c r="B942" s="11" t="str">
        <f>IF(D942&lt;&gt;"",IF(COUNTIF('USPTO TMs'!A:A,D942)&gt;0,"Yes","No"),"")</f>
        <v/>
      </c>
      <c r="C942" s="11"/>
      <c r="D942" s="11"/>
      <c r="E942" s="11"/>
      <c r="F942" s="11"/>
      <c r="G942" s="11"/>
      <c r="H942" s="11"/>
      <c r="I942" s="15"/>
    </row>
    <row r="943" spans="1:9" ht="16.5">
      <c r="A943" s="10" t="b">
        <v>0</v>
      </c>
      <c r="B943" s="11" t="str">
        <f>IF(D943&lt;&gt;"",IF(COUNTIF('USPTO TMs'!A:A,D943)&gt;0,"Yes","No"),"")</f>
        <v/>
      </c>
      <c r="C943" s="11"/>
      <c r="D943" s="11"/>
      <c r="E943" s="11"/>
      <c r="F943" s="11"/>
      <c r="G943" s="11"/>
      <c r="H943" s="11"/>
      <c r="I943" s="15"/>
    </row>
    <row r="944" spans="1:9" ht="16.5">
      <c r="A944" s="10" t="b">
        <v>0</v>
      </c>
      <c r="B944" s="11" t="str">
        <f>IF(D944&lt;&gt;"",IF(COUNTIF('USPTO TMs'!A:A,D944)&gt;0,"Yes","No"),"")</f>
        <v/>
      </c>
      <c r="C944" s="11"/>
      <c r="D944" s="11"/>
      <c r="E944" s="11"/>
      <c r="F944" s="11"/>
      <c r="G944" s="11"/>
      <c r="H944" s="11"/>
      <c r="I944" s="15"/>
    </row>
    <row r="945" spans="1:9" ht="16.5">
      <c r="A945" s="10" t="b">
        <v>0</v>
      </c>
      <c r="B945" s="11" t="str">
        <f>IF(D945&lt;&gt;"",IF(COUNTIF('USPTO TMs'!A:A,D945)&gt;0,"Yes","No"),"")</f>
        <v/>
      </c>
      <c r="C945" s="11"/>
      <c r="D945" s="11"/>
      <c r="E945" s="11"/>
      <c r="F945" s="11"/>
      <c r="G945" s="11"/>
      <c r="H945" s="11"/>
      <c r="I945" s="15"/>
    </row>
    <row r="946" spans="1:9" ht="16.5">
      <c r="A946" s="10" t="b">
        <v>0</v>
      </c>
      <c r="B946" s="11" t="str">
        <f>IF(D946&lt;&gt;"",IF(COUNTIF('USPTO TMs'!A:A,D946)&gt;0,"Yes","No"),"")</f>
        <v/>
      </c>
      <c r="C946" s="11"/>
      <c r="D946" s="11"/>
      <c r="E946" s="11"/>
      <c r="F946" s="11"/>
      <c r="G946" s="11"/>
      <c r="H946" s="11"/>
      <c r="I946" s="15"/>
    </row>
    <row r="947" spans="1:9" ht="16.5">
      <c r="A947" s="10" t="b">
        <v>0</v>
      </c>
      <c r="B947" s="11" t="str">
        <f>IF(D947&lt;&gt;"",IF(COUNTIF('USPTO TMs'!A:A,D947)&gt;0,"Yes","No"),"")</f>
        <v/>
      </c>
      <c r="C947" s="11"/>
      <c r="D947" s="11"/>
      <c r="E947" s="11"/>
      <c r="F947" s="11"/>
      <c r="G947" s="11"/>
      <c r="H947" s="11"/>
      <c r="I947" s="15"/>
    </row>
    <row r="948" spans="1:9" ht="16.5">
      <c r="A948" s="10" t="b">
        <v>0</v>
      </c>
      <c r="B948" s="11" t="str">
        <f>IF(D948&lt;&gt;"",IF(COUNTIF('USPTO TMs'!A:A,D948)&gt;0,"Yes","No"),"")</f>
        <v/>
      </c>
      <c r="C948" s="11"/>
      <c r="D948" s="11"/>
      <c r="E948" s="11"/>
      <c r="F948" s="11"/>
      <c r="G948" s="11"/>
      <c r="H948" s="11"/>
      <c r="I948" s="15"/>
    </row>
    <row r="949" spans="1:9" ht="16.5">
      <c r="A949" s="10" t="b">
        <v>0</v>
      </c>
      <c r="B949" s="11" t="str">
        <f>IF(D949&lt;&gt;"",IF(COUNTIF('USPTO TMs'!A:A,D949)&gt;0,"Yes","No"),"")</f>
        <v/>
      </c>
      <c r="C949" s="11"/>
      <c r="D949" s="11"/>
      <c r="E949" s="11"/>
      <c r="F949" s="11"/>
      <c r="G949" s="11"/>
      <c r="H949" s="11"/>
      <c r="I949" s="15"/>
    </row>
    <row r="950" spans="1:9" ht="16.5">
      <c r="A950" s="10" t="b">
        <v>0</v>
      </c>
      <c r="B950" s="11" t="str">
        <f>IF(D950&lt;&gt;"",IF(COUNTIF('USPTO TMs'!A:A,D950)&gt;0,"Yes","No"),"")</f>
        <v/>
      </c>
      <c r="C950" s="11"/>
      <c r="D950" s="11"/>
      <c r="E950" s="11"/>
      <c r="F950" s="11"/>
      <c r="G950" s="11"/>
      <c r="H950" s="11"/>
      <c r="I950" s="15"/>
    </row>
    <row r="951" spans="1:9" ht="16.5">
      <c r="A951" s="10" t="b">
        <v>0</v>
      </c>
      <c r="B951" s="11" t="str">
        <f>IF(D951&lt;&gt;"",IF(COUNTIF('USPTO TMs'!A:A,D951)&gt;0,"Yes","No"),"")</f>
        <v/>
      </c>
      <c r="C951" s="11"/>
      <c r="D951" s="11"/>
      <c r="E951" s="11"/>
      <c r="F951" s="11"/>
      <c r="G951" s="11"/>
      <c r="H951" s="11"/>
      <c r="I951" s="15"/>
    </row>
    <row r="952" spans="1:9" ht="16.5">
      <c r="A952" s="10" t="b">
        <v>0</v>
      </c>
      <c r="B952" s="11" t="str">
        <f>IF(D952&lt;&gt;"",IF(COUNTIF('USPTO TMs'!A:A,D952)&gt;0,"Yes","No"),"")</f>
        <v/>
      </c>
      <c r="C952" s="11"/>
      <c r="D952" s="11"/>
      <c r="E952" s="11"/>
      <c r="F952" s="11"/>
      <c r="G952" s="11"/>
      <c r="H952" s="11"/>
      <c r="I952" s="15"/>
    </row>
    <row r="953" spans="1:9" ht="16.5">
      <c r="A953" s="10" t="b">
        <v>0</v>
      </c>
      <c r="B953" s="11" t="str">
        <f>IF(D953&lt;&gt;"",IF(COUNTIF('USPTO TMs'!A:A,D953)&gt;0,"Yes","No"),"")</f>
        <v/>
      </c>
      <c r="C953" s="11"/>
      <c r="D953" s="11"/>
      <c r="E953" s="11"/>
      <c r="F953" s="11"/>
      <c r="G953" s="11"/>
      <c r="H953" s="11"/>
      <c r="I953" s="15"/>
    </row>
    <row r="954" spans="1:9" ht="16.5">
      <c r="A954" s="10" t="b">
        <v>0</v>
      </c>
      <c r="B954" s="11" t="str">
        <f>IF(D954&lt;&gt;"",IF(COUNTIF('USPTO TMs'!A:A,D954)&gt;0,"Yes","No"),"")</f>
        <v/>
      </c>
      <c r="C954" s="11"/>
      <c r="D954" s="11"/>
      <c r="E954" s="11"/>
      <c r="F954" s="11"/>
      <c r="G954" s="11"/>
      <c r="H954" s="11"/>
      <c r="I954" s="15"/>
    </row>
    <row r="955" spans="1:9" ht="16.5">
      <c r="A955" s="10" t="b">
        <v>0</v>
      </c>
      <c r="B955" s="11" t="str">
        <f>IF(D955&lt;&gt;"",IF(COUNTIF('USPTO TMs'!A:A,D955)&gt;0,"Yes","No"),"")</f>
        <v/>
      </c>
      <c r="C955" s="11"/>
      <c r="D955" s="11"/>
      <c r="E955" s="11"/>
      <c r="F955" s="11"/>
      <c r="G955" s="11"/>
      <c r="H955" s="11"/>
      <c r="I955" s="15"/>
    </row>
    <row r="956" spans="1:9" ht="16.5">
      <c r="A956" s="10" t="b">
        <v>0</v>
      </c>
      <c r="B956" s="11" t="str">
        <f>IF(D956&lt;&gt;"",IF(COUNTIF('USPTO TMs'!A:A,D956)&gt;0,"Yes","No"),"")</f>
        <v/>
      </c>
      <c r="C956" s="11"/>
      <c r="D956" s="11"/>
      <c r="E956" s="11"/>
      <c r="F956" s="11"/>
      <c r="G956" s="11"/>
      <c r="H956" s="11"/>
      <c r="I956" s="15"/>
    </row>
    <row r="957" spans="1:9" ht="16.5">
      <c r="A957" s="10" t="b">
        <v>0</v>
      </c>
      <c r="B957" s="11" t="str">
        <f>IF(D957&lt;&gt;"",IF(COUNTIF('USPTO TMs'!A:A,D957)&gt;0,"Yes","No"),"")</f>
        <v/>
      </c>
      <c r="C957" s="11"/>
      <c r="D957" s="11"/>
      <c r="E957" s="11"/>
      <c r="F957" s="11"/>
      <c r="G957" s="11"/>
      <c r="H957" s="11"/>
      <c r="I957" s="15"/>
    </row>
    <row r="958" spans="1:9" ht="16.5">
      <c r="A958" s="10" t="b">
        <v>0</v>
      </c>
      <c r="B958" s="11" t="str">
        <f>IF(D958&lt;&gt;"",IF(COUNTIF('USPTO TMs'!A:A,D958)&gt;0,"Yes","No"),"")</f>
        <v/>
      </c>
      <c r="C958" s="11"/>
      <c r="D958" s="11"/>
      <c r="E958" s="11"/>
      <c r="F958" s="11"/>
      <c r="G958" s="11"/>
      <c r="H958" s="11"/>
      <c r="I958" s="15"/>
    </row>
    <row r="959" spans="1:9" ht="16.5">
      <c r="A959" s="10" t="b">
        <v>0</v>
      </c>
      <c r="B959" s="11" t="str">
        <f>IF(D959&lt;&gt;"",IF(COUNTIF('USPTO TMs'!A:A,D959)&gt;0,"Yes","No"),"")</f>
        <v/>
      </c>
      <c r="C959" s="11"/>
      <c r="D959" s="11"/>
      <c r="E959" s="11"/>
      <c r="F959" s="11"/>
      <c r="G959" s="11"/>
      <c r="H959" s="11"/>
      <c r="I959" s="15"/>
    </row>
    <row r="960" spans="1:9" ht="16.5">
      <c r="A960" s="10" t="b">
        <v>0</v>
      </c>
      <c r="B960" s="11" t="str">
        <f>IF(D960&lt;&gt;"",IF(COUNTIF('USPTO TMs'!A:A,D960)&gt;0,"Yes","No"),"")</f>
        <v/>
      </c>
      <c r="C960" s="11"/>
      <c r="D960" s="11"/>
      <c r="E960" s="11"/>
      <c r="F960" s="11"/>
      <c r="G960" s="11"/>
      <c r="H960" s="11"/>
      <c r="I960" s="15"/>
    </row>
    <row r="961" spans="1:9" ht="16.5">
      <c r="A961" s="10" t="b">
        <v>0</v>
      </c>
      <c r="B961" s="11" t="str">
        <f>IF(D961&lt;&gt;"",IF(COUNTIF('USPTO TMs'!A:A,D961)&gt;0,"Yes","No"),"")</f>
        <v/>
      </c>
      <c r="C961" s="11"/>
      <c r="D961" s="11"/>
      <c r="E961" s="11"/>
      <c r="F961" s="11"/>
      <c r="G961" s="11"/>
      <c r="H961" s="11"/>
      <c r="I961" s="15"/>
    </row>
    <row r="962" spans="1:9" ht="16.5">
      <c r="A962" s="10" t="b">
        <v>0</v>
      </c>
      <c r="B962" s="11" t="str">
        <f>IF(D962&lt;&gt;"",IF(COUNTIF('USPTO TMs'!A:A,D962)&gt;0,"Yes","No"),"")</f>
        <v/>
      </c>
      <c r="C962" s="11"/>
      <c r="D962" s="11"/>
      <c r="E962" s="11"/>
      <c r="F962" s="11"/>
      <c r="G962" s="11"/>
      <c r="H962" s="11"/>
      <c r="I962" s="15"/>
    </row>
    <row r="963" spans="1:9" ht="16.5">
      <c r="A963" s="10" t="b">
        <v>0</v>
      </c>
      <c r="B963" s="11" t="str">
        <f>IF(D963&lt;&gt;"",IF(COUNTIF('USPTO TMs'!A:A,D963)&gt;0,"Yes","No"),"")</f>
        <v/>
      </c>
      <c r="C963" s="11"/>
      <c r="D963" s="11"/>
      <c r="E963" s="11"/>
      <c r="F963" s="11"/>
      <c r="G963" s="11"/>
      <c r="H963" s="11"/>
      <c r="I963" s="15"/>
    </row>
    <row r="964" spans="1:9" ht="16.5">
      <c r="A964" s="10" t="b">
        <v>0</v>
      </c>
      <c r="B964" s="11" t="str">
        <f>IF(D964&lt;&gt;"",IF(COUNTIF('USPTO TMs'!A:A,D964)&gt;0,"Yes","No"),"")</f>
        <v/>
      </c>
      <c r="C964" s="11"/>
      <c r="D964" s="11"/>
      <c r="E964" s="11"/>
      <c r="F964" s="11"/>
      <c r="G964" s="11"/>
      <c r="H964" s="11"/>
      <c r="I964" s="15"/>
    </row>
    <row r="965" spans="1:9" ht="16.5">
      <c r="A965" s="10" t="b">
        <v>0</v>
      </c>
      <c r="B965" s="11" t="str">
        <f>IF(D965&lt;&gt;"",IF(COUNTIF('USPTO TMs'!A:A,D965)&gt;0,"Yes","No"),"")</f>
        <v/>
      </c>
      <c r="C965" s="11"/>
      <c r="D965" s="11"/>
      <c r="E965" s="11"/>
      <c r="F965" s="11"/>
      <c r="G965" s="11"/>
      <c r="H965" s="11"/>
      <c r="I965" s="15"/>
    </row>
    <row r="966" spans="1:9" ht="16.5">
      <c r="A966" s="10" t="b">
        <v>0</v>
      </c>
      <c r="B966" s="11" t="str">
        <f>IF(D966&lt;&gt;"",IF(COUNTIF('USPTO TMs'!A:A,D966)&gt;0,"Yes","No"),"")</f>
        <v/>
      </c>
      <c r="C966" s="11"/>
      <c r="D966" s="11"/>
      <c r="E966" s="11"/>
      <c r="F966" s="11"/>
      <c r="G966" s="11"/>
      <c r="H966" s="11"/>
      <c r="I966" s="15"/>
    </row>
    <row r="967" spans="1:9" ht="16.5">
      <c r="A967" s="10" t="b">
        <v>0</v>
      </c>
      <c r="B967" s="11" t="str">
        <f>IF(D967&lt;&gt;"",IF(COUNTIF('USPTO TMs'!A:A,D967)&gt;0,"Yes","No"),"")</f>
        <v/>
      </c>
      <c r="C967" s="11"/>
      <c r="D967" s="11"/>
      <c r="E967" s="11"/>
      <c r="F967" s="11"/>
      <c r="G967" s="11"/>
      <c r="H967" s="11"/>
      <c r="I967" s="15"/>
    </row>
    <row r="968" spans="1:9" ht="16.5">
      <c r="A968" s="10" t="b">
        <v>0</v>
      </c>
      <c r="B968" s="11" t="str">
        <f>IF(D968&lt;&gt;"",IF(COUNTIF('USPTO TMs'!A:A,D968)&gt;0,"Yes","No"),"")</f>
        <v/>
      </c>
      <c r="C968" s="11"/>
      <c r="D968" s="11"/>
      <c r="E968" s="11"/>
      <c r="F968" s="11"/>
      <c r="G968" s="11"/>
      <c r="H968" s="11"/>
      <c r="I968" s="15"/>
    </row>
    <row r="969" spans="1:9" ht="16.5">
      <c r="A969" s="10" t="b">
        <v>0</v>
      </c>
      <c r="B969" s="11" t="str">
        <f>IF(D969&lt;&gt;"",IF(COUNTIF('USPTO TMs'!A:A,D969)&gt;0,"Yes","No"),"")</f>
        <v/>
      </c>
      <c r="C969" s="11"/>
      <c r="D969" s="11"/>
      <c r="E969" s="11"/>
      <c r="F969" s="11"/>
      <c r="G969" s="11"/>
      <c r="H969" s="11"/>
      <c r="I969" s="15"/>
    </row>
    <row r="970" spans="1:9" ht="16.5">
      <c r="A970" s="10" t="b">
        <v>0</v>
      </c>
      <c r="B970" s="11" t="str">
        <f>IF(D970&lt;&gt;"",IF(COUNTIF('USPTO TMs'!A:A,D970)&gt;0,"Yes","No"),"")</f>
        <v/>
      </c>
      <c r="C970" s="11"/>
      <c r="D970" s="11"/>
      <c r="E970" s="11"/>
      <c r="F970" s="11"/>
      <c r="G970" s="11"/>
      <c r="H970" s="11"/>
      <c r="I970" s="15"/>
    </row>
    <row r="971" spans="1:9" ht="16.5">
      <c r="A971" s="10" t="b">
        <v>0</v>
      </c>
      <c r="B971" s="11" t="str">
        <f>IF(D971&lt;&gt;"",IF(COUNTIF('USPTO TMs'!A:A,D971)&gt;0,"Yes","No"),"")</f>
        <v/>
      </c>
      <c r="C971" s="11"/>
      <c r="D971" s="11"/>
      <c r="E971" s="11"/>
      <c r="F971" s="11"/>
      <c r="G971" s="11"/>
      <c r="H971" s="11"/>
      <c r="I971" s="15"/>
    </row>
    <row r="972" spans="1:9" ht="16.5">
      <c r="A972" s="10" t="b">
        <v>0</v>
      </c>
      <c r="B972" s="11" t="str">
        <f>IF(D972&lt;&gt;"",IF(COUNTIF('USPTO TMs'!A:A,D972)&gt;0,"Yes","No"),"")</f>
        <v/>
      </c>
      <c r="C972" s="11"/>
      <c r="D972" s="11"/>
      <c r="E972" s="11"/>
      <c r="F972" s="11"/>
      <c r="G972" s="11"/>
      <c r="H972" s="11"/>
      <c r="I972" s="15"/>
    </row>
    <row r="973" spans="1:9" ht="16.5">
      <c r="A973" s="10" t="b">
        <v>0</v>
      </c>
      <c r="B973" s="11" t="str">
        <f>IF(D973&lt;&gt;"",IF(COUNTIF('USPTO TMs'!A:A,D973)&gt;0,"Yes","No"),"")</f>
        <v/>
      </c>
      <c r="C973" s="11"/>
      <c r="D973" s="11"/>
      <c r="E973" s="11"/>
      <c r="F973" s="11"/>
      <c r="G973" s="11"/>
      <c r="H973" s="11"/>
      <c r="I973" s="15"/>
    </row>
    <row r="974" spans="1:9" ht="16.5">
      <c r="A974" s="10" t="b">
        <v>0</v>
      </c>
      <c r="B974" s="11" t="str">
        <f>IF(D974&lt;&gt;"",IF(COUNTIF('USPTO TMs'!A:A,D974)&gt;0,"Yes","No"),"")</f>
        <v/>
      </c>
      <c r="C974" s="11"/>
      <c r="D974" s="11"/>
      <c r="E974" s="11"/>
      <c r="F974" s="11"/>
      <c r="G974" s="11"/>
      <c r="H974" s="11"/>
      <c r="I974" s="15"/>
    </row>
    <row r="975" spans="1:9" ht="16.5">
      <c r="A975" s="10" t="b">
        <v>0</v>
      </c>
      <c r="B975" s="11" t="str">
        <f>IF(D975&lt;&gt;"",IF(COUNTIF('USPTO TMs'!A:A,D975)&gt;0,"Yes","No"),"")</f>
        <v/>
      </c>
      <c r="C975" s="11"/>
      <c r="D975" s="11"/>
      <c r="E975" s="11"/>
      <c r="F975" s="11"/>
      <c r="G975" s="11"/>
      <c r="H975" s="11"/>
      <c r="I975" s="15"/>
    </row>
    <row r="976" spans="1:9" ht="16.5">
      <c r="A976" s="10" t="b">
        <v>0</v>
      </c>
      <c r="B976" s="11" t="str">
        <f>IF(D976&lt;&gt;"",IF(COUNTIF('USPTO TMs'!A:A,D976)&gt;0,"Yes","No"),"")</f>
        <v/>
      </c>
      <c r="C976" s="11"/>
      <c r="D976" s="11"/>
      <c r="E976" s="11"/>
      <c r="F976" s="11"/>
      <c r="G976" s="11"/>
      <c r="H976" s="11"/>
      <c r="I976" s="15"/>
    </row>
    <row r="977" spans="1:9" ht="16.5">
      <c r="A977" s="10" t="b">
        <v>0</v>
      </c>
      <c r="B977" s="11" t="str">
        <f>IF(D977&lt;&gt;"",IF(COUNTIF('USPTO TMs'!A:A,D977)&gt;0,"Yes","No"),"")</f>
        <v/>
      </c>
      <c r="C977" s="11"/>
      <c r="D977" s="11"/>
      <c r="E977" s="11"/>
      <c r="F977" s="11"/>
      <c r="G977" s="11"/>
      <c r="H977" s="11"/>
      <c r="I977" s="15"/>
    </row>
    <row r="978" spans="1:9" ht="16.5">
      <c r="A978" s="10" t="b">
        <v>0</v>
      </c>
      <c r="B978" s="11" t="str">
        <f>IF(D978&lt;&gt;"",IF(COUNTIF('USPTO TMs'!A:A,D978)&gt;0,"Yes","No"),"")</f>
        <v/>
      </c>
      <c r="C978" s="11"/>
      <c r="D978" s="11"/>
      <c r="E978" s="11"/>
      <c r="F978" s="11"/>
      <c r="G978" s="11"/>
      <c r="H978" s="11"/>
      <c r="I978" s="15"/>
    </row>
    <row r="979" spans="1:9" ht="16.5">
      <c r="A979" s="10" t="b">
        <v>0</v>
      </c>
      <c r="B979" s="11" t="str">
        <f>IF(D979&lt;&gt;"",IF(COUNTIF('USPTO TMs'!A:A,D979)&gt;0,"Yes","No"),"")</f>
        <v/>
      </c>
      <c r="C979" s="11"/>
      <c r="D979" s="11"/>
      <c r="E979" s="11"/>
      <c r="F979" s="11"/>
      <c r="G979" s="11"/>
      <c r="H979" s="11"/>
      <c r="I979" s="15"/>
    </row>
    <row r="980" spans="1:9" ht="16.5">
      <c r="A980" s="10" t="b">
        <v>0</v>
      </c>
      <c r="B980" s="11" t="str">
        <f>IF(D980&lt;&gt;"",IF(COUNTIF('USPTO TMs'!A:A,D980)&gt;0,"Yes","No"),"")</f>
        <v/>
      </c>
      <c r="C980" s="11"/>
      <c r="D980" s="11"/>
      <c r="E980" s="11"/>
      <c r="F980" s="11"/>
      <c r="G980" s="11"/>
      <c r="H980" s="11"/>
      <c r="I980" s="15"/>
    </row>
    <row r="981" spans="1:9" ht="16.5">
      <c r="A981" s="10" t="b">
        <v>0</v>
      </c>
      <c r="B981" s="11" t="str">
        <f>IF(D981&lt;&gt;"",IF(COUNTIF('USPTO TMs'!A:A,D981)&gt;0,"Yes","No"),"")</f>
        <v/>
      </c>
      <c r="C981" s="11"/>
      <c r="D981" s="11"/>
      <c r="E981" s="11"/>
      <c r="F981" s="11"/>
      <c r="G981" s="11"/>
      <c r="H981" s="11"/>
      <c r="I981" s="15"/>
    </row>
    <row r="982" spans="1:9" ht="16.5">
      <c r="A982" s="10" t="b">
        <v>0</v>
      </c>
      <c r="B982" s="11" t="str">
        <f>IF(D982&lt;&gt;"",IF(COUNTIF('USPTO TMs'!A:A,D982)&gt;0,"Yes","No"),"")</f>
        <v/>
      </c>
      <c r="C982" s="11"/>
      <c r="D982" s="11"/>
      <c r="E982" s="11"/>
      <c r="F982" s="11"/>
      <c r="G982" s="11"/>
      <c r="H982" s="11"/>
      <c r="I982" s="15"/>
    </row>
    <row r="983" spans="1:9" ht="16.5">
      <c r="A983" s="10" t="b">
        <v>0</v>
      </c>
      <c r="B983" s="11" t="str">
        <f>IF(D983&lt;&gt;"",IF(COUNTIF('USPTO TMs'!A:A,D983)&gt;0,"Yes","No"),"")</f>
        <v/>
      </c>
      <c r="C983" s="11"/>
      <c r="D983" s="11"/>
      <c r="E983" s="11"/>
      <c r="F983" s="11"/>
      <c r="G983" s="11"/>
      <c r="H983" s="11"/>
      <c r="I983" s="15"/>
    </row>
    <row r="984" spans="1:9" ht="16.5">
      <c r="A984" s="10" t="b">
        <v>0</v>
      </c>
      <c r="B984" s="11" t="str">
        <f>IF(D984&lt;&gt;"",IF(COUNTIF('USPTO TMs'!A:A,D984)&gt;0,"Yes","No"),"")</f>
        <v/>
      </c>
      <c r="C984" s="11"/>
      <c r="D984" s="11"/>
      <c r="E984" s="11"/>
      <c r="F984" s="11"/>
      <c r="G984" s="11"/>
      <c r="H984" s="11"/>
      <c r="I984" s="15"/>
    </row>
    <row r="985" spans="1:9" ht="16.5">
      <c r="A985" s="10" t="b">
        <v>0</v>
      </c>
      <c r="B985" s="11" t="str">
        <f>IF(D985&lt;&gt;"",IF(COUNTIF('USPTO TMs'!A:A,D985)&gt;0,"Yes","No"),"")</f>
        <v/>
      </c>
      <c r="C985" s="11"/>
      <c r="D985" s="11"/>
      <c r="E985" s="11"/>
      <c r="F985" s="11"/>
      <c r="G985" s="11"/>
      <c r="H985" s="11"/>
      <c r="I985" s="15"/>
    </row>
    <row r="986" spans="1:9" ht="16.5">
      <c r="A986" s="10" t="b">
        <v>0</v>
      </c>
      <c r="B986" s="11" t="str">
        <f>IF(D986&lt;&gt;"",IF(COUNTIF('USPTO TMs'!A:A,D986)&gt;0,"Yes","No"),"")</f>
        <v/>
      </c>
      <c r="C986" s="11"/>
      <c r="D986" s="11"/>
      <c r="E986" s="11"/>
      <c r="F986" s="11"/>
      <c r="G986" s="11"/>
      <c r="H986" s="11"/>
      <c r="I986" s="15"/>
    </row>
    <row r="987" spans="1:9" ht="16.5">
      <c r="A987" s="10" t="b">
        <v>0</v>
      </c>
      <c r="B987" s="11" t="str">
        <f>IF(D987&lt;&gt;"",IF(COUNTIF('USPTO TMs'!A:A,D987)&gt;0,"Yes","No"),"")</f>
        <v/>
      </c>
      <c r="C987" s="11"/>
      <c r="D987" s="11"/>
      <c r="E987" s="11"/>
      <c r="F987" s="11"/>
      <c r="G987" s="11"/>
      <c r="H987" s="11"/>
      <c r="I987" s="15"/>
    </row>
    <row r="988" spans="1:9" ht="16.5">
      <c r="A988" s="10" t="b">
        <v>0</v>
      </c>
      <c r="B988" s="11" t="str">
        <f>IF(D988&lt;&gt;"",IF(COUNTIF('USPTO TMs'!A:A,D988)&gt;0,"Yes","No"),"")</f>
        <v/>
      </c>
      <c r="C988" s="11"/>
      <c r="D988" s="11"/>
      <c r="E988" s="11"/>
      <c r="F988" s="11"/>
      <c r="G988" s="11"/>
      <c r="H988" s="11"/>
      <c r="I988" s="15"/>
    </row>
    <row r="989" spans="1:9" ht="16.5">
      <c r="A989" s="10" t="b">
        <v>0</v>
      </c>
      <c r="B989" s="11" t="str">
        <f>IF(D989&lt;&gt;"",IF(COUNTIF('USPTO TMs'!A:A,D989)&gt;0,"Yes","No"),"")</f>
        <v/>
      </c>
      <c r="C989" s="11"/>
      <c r="D989" s="11"/>
      <c r="E989" s="11"/>
      <c r="F989" s="11"/>
      <c r="G989" s="11"/>
      <c r="H989" s="11"/>
      <c r="I989" s="15"/>
    </row>
    <row r="990" spans="1:9" ht="16.5">
      <c r="A990" s="10" t="b">
        <v>0</v>
      </c>
      <c r="B990" s="11" t="str">
        <f>IF(D990&lt;&gt;"",IF(COUNTIF('USPTO TMs'!A:A,D990)&gt;0,"Yes","No"),"")</f>
        <v/>
      </c>
      <c r="C990" s="11"/>
      <c r="D990" s="11"/>
      <c r="E990" s="11"/>
      <c r="F990" s="11"/>
      <c r="G990" s="11"/>
      <c r="H990" s="11"/>
      <c r="I990" s="15"/>
    </row>
    <row r="991" spans="1:9" ht="16.5">
      <c r="A991" s="10" t="b">
        <v>0</v>
      </c>
      <c r="B991" s="11" t="str">
        <f>IF(D991&lt;&gt;"",IF(COUNTIF('USPTO TMs'!A:A,D991)&gt;0,"Yes","No"),"")</f>
        <v/>
      </c>
      <c r="C991" s="11"/>
      <c r="D991" s="11"/>
      <c r="E991" s="11"/>
      <c r="F991" s="11"/>
      <c r="G991" s="11"/>
      <c r="H991" s="11"/>
      <c r="I991" s="15"/>
    </row>
    <row r="992" spans="1:9" ht="16.5">
      <c r="A992" s="10" t="b">
        <v>0</v>
      </c>
      <c r="B992" s="11" t="str">
        <f>IF(D992&lt;&gt;"",IF(COUNTIF('USPTO TMs'!A:A,D992)&gt;0,"Yes","No"),"")</f>
        <v/>
      </c>
      <c r="C992" s="11"/>
      <c r="D992" s="11"/>
      <c r="E992" s="11"/>
      <c r="F992" s="11"/>
      <c r="G992" s="11"/>
      <c r="H992" s="11"/>
      <c r="I992" s="15"/>
    </row>
    <row r="993" spans="1:9" ht="16.5">
      <c r="A993" s="10" t="b">
        <v>0</v>
      </c>
      <c r="B993" s="11" t="str">
        <f>IF(D993&lt;&gt;"",IF(COUNTIF('USPTO TMs'!A:A,D993)&gt;0,"Yes","No"),"")</f>
        <v/>
      </c>
      <c r="C993" s="11"/>
      <c r="D993" s="11"/>
      <c r="E993" s="11"/>
      <c r="F993" s="11"/>
      <c r="G993" s="11"/>
      <c r="H993" s="11"/>
      <c r="I993" s="15"/>
    </row>
    <row r="994" spans="1:9" ht="16.5">
      <c r="A994" s="10" t="b">
        <v>0</v>
      </c>
      <c r="B994" s="11" t="str">
        <f>IF(D994&lt;&gt;"",IF(COUNTIF('USPTO TMs'!A:A,D994)&gt;0,"Yes","No"),"")</f>
        <v/>
      </c>
      <c r="C994" s="11"/>
      <c r="D994" s="11"/>
      <c r="E994" s="11"/>
      <c r="F994" s="11"/>
      <c r="G994" s="11"/>
      <c r="H994" s="11"/>
      <c r="I994" s="15"/>
    </row>
    <row r="995" spans="1:9" ht="16.5">
      <c r="A995" s="10" t="b">
        <v>0</v>
      </c>
      <c r="B995" s="11" t="str">
        <f>IF(D995&lt;&gt;"",IF(COUNTIF('USPTO TMs'!A:A,D995)&gt;0,"Yes","No"),"")</f>
        <v/>
      </c>
      <c r="C995" s="11"/>
      <c r="D995" s="11"/>
      <c r="E995" s="11"/>
      <c r="F995" s="11"/>
      <c r="G995" s="11"/>
      <c r="H995" s="11"/>
      <c r="I995" s="15"/>
    </row>
    <row r="996" spans="1:9" ht="16.5">
      <c r="A996" s="10" t="b">
        <v>0</v>
      </c>
      <c r="B996" s="11" t="str">
        <f>IF(D996&lt;&gt;"",IF(COUNTIF('USPTO TMs'!A:A,D996)&gt;0,"Yes","No"),"")</f>
        <v/>
      </c>
      <c r="C996" s="11"/>
      <c r="D996" s="11"/>
      <c r="E996" s="11"/>
      <c r="F996" s="11"/>
      <c r="G996" s="11"/>
      <c r="H996" s="11"/>
      <c r="I996" s="15"/>
    </row>
    <row r="997" spans="1:9" ht="16.5">
      <c r="A997" s="10" t="b">
        <v>0</v>
      </c>
      <c r="B997" s="11" t="str">
        <f>IF(D997&lt;&gt;"",IF(COUNTIF('USPTO TMs'!A:A,D997)&gt;0,"Yes","No"),"")</f>
        <v/>
      </c>
      <c r="C997" s="11"/>
      <c r="D997" s="11"/>
      <c r="E997" s="11"/>
      <c r="F997" s="11"/>
      <c r="G997" s="11"/>
      <c r="H997" s="11"/>
      <c r="I997" s="15"/>
    </row>
    <row r="998" spans="1:9" ht="16.5">
      <c r="A998" s="10" t="b">
        <v>0</v>
      </c>
      <c r="B998" s="11" t="str">
        <f>IF(D998&lt;&gt;"",IF(COUNTIF('USPTO TMs'!A:A,D998)&gt;0,"Yes","No"),"")</f>
        <v/>
      </c>
      <c r="C998" s="11"/>
      <c r="D998" s="11"/>
      <c r="E998" s="11"/>
      <c r="F998" s="11"/>
      <c r="G998" s="11"/>
      <c r="H998" s="11"/>
      <c r="I998" s="15"/>
    </row>
    <row r="999" spans="1:9" ht="16.5">
      <c r="A999" s="10" t="b">
        <v>0</v>
      </c>
      <c r="B999" s="11" t="str">
        <f>IF(D999&lt;&gt;"",IF(COUNTIF('USPTO TMs'!A:A,D999)&gt;0,"Yes","No"),"")</f>
        <v/>
      </c>
      <c r="C999" s="11"/>
      <c r="D999" s="11"/>
      <c r="E999" s="11"/>
      <c r="F999" s="11"/>
      <c r="G999" s="11"/>
      <c r="H999" s="11"/>
      <c r="I999" s="15"/>
    </row>
    <row r="1000" spans="1:9" ht="16.5">
      <c r="A1000" s="10" t="b">
        <v>0</v>
      </c>
      <c r="B1000" s="11" t="str">
        <f>IF(D1000&lt;&gt;"",IF(COUNTIF('USPTO TMs'!A:A,D1000)&gt;0,"Yes","No"),"")</f>
        <v/>
      </c>
      <c r="C1000" s="11"/>
      <c r="D1000" s="11"/>
      <c r="E1000" s="11"/>
      <c r="F1000" s="11"/>
      <c r="G1000" s="11"/>
      <c r="H1000" s="11"/>
      <c r="I1000" s="15"/>
    </row>
    <row r="1001" spans="1:9" ht="16.5">
      <c r="A1001" s="10" t="b">
        <v>0</v>
      </c>
      <c r="B1001" s="11" t="str">
        <f>IF(D1001&lt;&gt;"",IF(COUNTIF('USPTO TMs'!A:A,D1001)&gt;0,"Yes","No"),"")</f>
        <v/>
      </c>
      <c r="C1001" s="11"/>
      <c r="D1001" s="11"/>
      <c r="E1001" s="11"/>
      <c r="F1001" s="11"/>
      <c r="G1001" s="11"/>
      <c r="H1001" s="11"/>
      <c r="I1001" s="15"/>
    </row>
    <row r="1002" spans="1:9" ht="16.5">
      <c r="A1002" s="10" t="b">
        <v>0</v>
      </c>
      <c r="B1002" s="11" t="str">
        <f>IF(D1002&lt;&gt;"",IF(COUNTIF('USPTO TMs'!A:A,D1002)&gt;0,"Yes","No"),"")</f>
        <v/>
      </c>
      <c r="C1002" s="11"/>
      <c r="D1002" s="11"/>
      <c r="E1002" s="11"/>
      <c r="F1002" s="11"/>
      <c r="G1002" s="11"/>
      <c r="H1002" s="11"/>
      <c r="I1002" s="15"/>
    </row>
    <row r="1003" spans="1:9" ht="16.5">
      <c r="A1003" s="10" t="b">
        <v>0</v>
      </c>
      <c r="B1003" s="11" t="str">
        <f>IF(D1003&lt;&gt;"",IF(COUNTIF('USPTO TMs'!A:A,D1003)&gt;0,"Yes","No"),"")</f>
        <v/>
      </c>
      <c r="C1003" s="11"/>
      <c r="D1003" s="11"/>
      <c r="E1003" s="11"/>
      <c r="F1003" s="11"/>
      <c r="G1003" s="11"/>
      <c r="H1003" s="11"/>
      <c r="I1003" s="15"/>
    </row>
    <row r="1004" spans="1:9" ht="16.5">
      <c r="A1004" s="10" t="b">
        <v>0</v>
      </c>
      <c r="B1004" s="11" t="str">
        <f>IF(D1004&lt;&gt;"",IF(COUNTIF('USPTO TMs'!A:A,D1004)&gt;0,"Yes","No"),"")</f>
        <v/>
      </c>
      <c r="C1004" s="11"/>
      <c r="D1004" s="11"/>
      <c r="E1004" s="11"/>
      <c r="F1004" s="11"/>
      <c r="G1004" s="11"/>
      <c r="H1004" s="11"/>
      <c r="I1004" s="15"/>
    </row>
    <row r="1005" spans="1:9" ht="16.5">
      <c r="A1005" s="10" t="b">
        <v>0</v>
      </c>
      <c r="B1005" s="11" t="str">
        <f>IF(D1005&lt;&gt;"",IF(COUNTIF('USPTO TMs'!A:A,D1005)&gt;0,"Yes","No"),"")</f>
        <v/>
      </c>
      <c r="C1005" s="11"/>
      <c r="D1005" s="11"/>
      <c r="E1005" s="11"/>
      <c r="F1005" s="11"/>
      <c r="G1005" s="11"/>
      <c r="H1005" s="11"/>
      <c r="I1005" s="15"/>
    </row>
    <row r="1006" spans="1:9" ht="16.5">
      <c r="A1006" s="10" t="b">
        <v>0</v>
      </c>
      <c r="B1006" s="11" t="str">
        <f>IF(D1006&lt;&gt;"",IF(COUNTIF('USPTO TMs'!A:A,D1006)&gt;0,"Yes","No"),"")</f>
        <v/>
      </c>
      <c r="C1006" s="11"/>
      <c r="D1006" s="11"/>
      <c r="E1006" s="11"/>
      <c r="F1006" s="11"/>
      <c r="G1006" s="11"/>
      <c r="H1006" s="11"/>
      <c r="I1006" s="15"/>
    </row>
    <row r="1007" spans="1:9" ht="16.5">
      <c r="A1007" s="10" t="b">
        <v>0</v>
      </c>
      <c r="B1007" s="11" t="str">
        <f>IF(D1007&lt;&gt;"",IF(COUNTIF('USPTO TMs'!A:A,D1007)&gt;0,"Yes","No"),"")</f>
        <v/>
      </c>
      <c r="C1007" s="11"/>
      <c r="D1007" s="11"/>
      <c r="E1007" s="11"/>
      <c r="F1007" s="11"/>
      <c r="G1007" s="11"/>
      <c r="H1007" s="11"/>
      <c r="I1007" s="15"/>
    </row>
    <row r="1008" spans="1:9" ht="16.5">
      <c r="A1008" s="10" t="b">
        <v>0</v>
      </c>
      <c r="B1008" s="11" t="str">
        <f>IF(D1008&lt;&gt;"",IF(COUNTIF('USPTO TMs'!A:A,D1008)&gt;0,"Yes","No"),"")</f>
        <v/>
      </c>
      <c r="C1008" s="11"/>
      <c r="D1008" s="11"/>
      <c r="E1008" s="11"/>
      <c r="F1008" s="11"/>
      <c r="G1008" s="11"/>
      <c r="H1008" s="11"/>
      <c r="I1008" s="15"/>
    </row>
    <row r="1009" spans="1:9" ht="16.5">
      <c r="A1009" s="10" t="b">
        <v>0</v>
      </c>
      <c r="B1009" s="11" t="str">
        <f>IF(D1009&lt;&gt;"",IF(COUNTIF('USPTO TMs'!A:A,D1009)&gt;0,"Yes","No"),"")</f>
        <v/>
      </c>
      <c r="C1009" s="11"/>
      <c r="D1009" s="11"/>
      <c r="E1009" s="11"/>
      <c r="F1009" s="11"/>
      <c r="G1009" s="11"/>
      <c r="H1009" s="11"/>
      <c r="I1009" s="15"/>
    </row>
    <row r="1010" spans="1:9" ht="16.5">
      <c r="A1010" s="10" t="b">
        <v>0</v>
      </c>
      <c r="B1010" s="11" t="str">
        <f>IF(D1010&lt;&gt;"",IF(COUNTIF('USPTO TMs'!A:A,D1010)&gt;0,"Yes","No"),"")</f>
        <v/>
      </c>
      <c r="C1010" s="11"/>
      <c r="D1010" s="11"/>
      <c r="E1010" s="11"/>
      <c r="F1010" s="11"/>
      <c r="G1010" s="11"/>
      <c r="H1010" s="11"/>
      <c r="I1010" s="15"/>
    </row>
    <row r="1011" spans="1:9" ht="16.5">
      <c r="A1011" s="10" t="b">
        <v>0</v>
      </c>
      <c r="B1011" s="11" t="str">
        <f>IF(D1011&lt;&gt;"",IF(COUNTIF('USPTO TMs'!A:A,D1011)&gt;0,"Yes","No"),"")</f>
        <v/>
      </c>
      <c r="C1011" s="11"/>
      <c r="D1011" s="11"/>
      <c r="E1011" s="11"/>
      <c r="F1011" s="11"/>
      <c r="G1011" s="11"/>
      <c r="H1011" s="11"/>
      <c r="I1011" s="15"/>
    </row>
    <row r="1012" spans="1:9" ht="16.5">
      <c r="A1012" s="10" t="b">
        <v>0</v>
      </c>
      <c r="B1012" s="11" t="str">
        <f>IF(D1012&lt;&gt;"",IF(COUNTIF('USPTO TMs'!A:A,D1012)&gt;0,"Yes","No"),"")</f>
        <v/>
      </c>
      <c r="C1012" s="11"/>
      <c r="D1012" s="11"/>
      <c r="E1012" s="11"/>
      <c r="F1012" s="11"/>
      <c r="G1012" s="11"/>
      <c r="H1012" s="11"/>
      <c r="I1012" s="15"/>
    </row>
    <row r="1013" spans="1:9" ht="16.5">
      <c r="A1013" s="10" t="b">
        <v>0</v>
      </c>
      <c r="B1013" s="11" t="str">
        <f>IF(D1013&lt;&gt;"",IF(COUNTIF('USPTO TMs'!A:A,D1013)&gt;0,"Yes","No"),"")</f>
        <v/>
      </c>
      <c r="C1013" s="11"/>
      <c r="D1013" s="11"/>
      <c r="E1013" s="11"/>
      <c r="F1013" s="11"/>
      <c r="G1013" s="11"/>
      <c r="H1013" s="11"/>
      <c r="I1013" s="15"/>
    </row>
    <row r="1014" spans="1:9" ht="16.5">
      <c r="A1014" s="10" t="b">
        <v>0</v>
      </c>
      <c r="B1014" s="11" t="str">
        <f>IF(D1014&lt;&gt;"",IF(COUNTIF('USPTO TMs'!A:A,D1014)&gt;0,"Yes","No"),"")</f>
        <v/>
      </c>
      <c r="C1014" s="11"/>
      <c r="D1014" s="11"/>
      <c r="E1014" s="11"/>
      <c r="F1014" s="11"/>
      <c r="G1014" s="11"/>
      <c r="H1014" s="11"/>
      <c r="I1014" s="15"/>
    </row>
    <row r="1015" spans="1:9" ht="16.5">
      <c r="A1015" s="10" t="b">
        <v>0</v>
      </c>
      <c r="B1015" s="11" t="str">
        <f>IF(D1015&lt;&gt;"",IF(COUNTIF('USPTO TMs'!A:A,D1015)&gt;0,"Yes","No"),"")</f>
        <v/>
      </c>
      <c r="C1015" s="11"/>
      <c r="D1015" s="11"/>
      <c r="E1015" s="11"/>
      <c r="F1015" s="11"/>
      <c r="G1015" s="11"/>
      <c r="H1015" s="11"/>
      <c r="I1015" s="15"/>
    </row>
    <row r="1016" spans="1:9" ht="16.5">
      <c r="A1016" s="10" t="b">
        <v>0</v>
      </c>
      <c r="B1016" s="11" t="str">
        <f>IF(D1016&lt;&gt;"",IF(COUNTIF('USPTO TMs'!A:A,D1016)&gt;0,"Yes","No"),"")</f>
        <v/>
      </c>
      <c r="C1016" s="11"/>
      <c r="D1016" s="11"/>
      <c r="E1016" s="11"/>
      <c r="F1016" s="11"/>
      <c r="G1016" s="11"/>
      <c r="H1016" s="11"/>
      <c r="I1016" s="15"/>
    </row>
    <row r="1017" spans="1:9" ht="16.5">
      <c r="A1017" s="10" t="b">
        <v>0</v>
      </c>
      <c r="B1017" s="11" t="str">
        <f>IF(D1017&lt;&gt;"",IF(COUNTIF('USPTO TMs'!A:A,D1017)&gt;0,"Yes","No"),"")</f>
        <v/>
      </c>
      <c r="C1017" s="11"/>
      <c r="D1017" s="11"/>
      <c r="E1017" s="11"/>
      <c r="F1017" s="11"/>
      <c r="G1017" s="11"/>
      <c r="H1017" s="11"/>
      <c r="I1017" s="15"/>
    </row>
    <row r="1018" spans="1:9" ht="16.5">
      <c r="A1018" s="10" t="b">
        <v>0</v>
      </c>
      <c r="B1018" s="11" t="str">
        <f>IF(D1018&lt;&gt;"",IF(COUNTIF('USPTO TMs'!A:A,D1018)&gt;0,"Yes","No"),"")</f>
        <v/>
      </c>
      <c r="C1018" s="11"/>
      <c r="D1018" s="11"/>
      <c r="E1018" s="11"/>
      <c r="F1018" s="11"/>
      <c r="G1018" s="11"/>
      <c r="H1018" s="11"/>
      <c r="I1018" s="15"/>
    </row>
    <row r="1019" spans="1:9" ht="16.5">
      <c r="A1019" s="10" t="b">
        <v>0</v>
      </c>
      <c r="B1019" s="11" t="str">
        <f>IF(D1019&lt;&gt;"",IF(COUNTIF('USPTO TMs'!A:A,D1019)&gt;0,"Yes","No"),"")</f>
        <v/>
      </c>
      <c r="C1019" s="11"/>
      <c r="D1019" s="11"/>
      <c r="E1019" s="11"/>
      <c r="F1019" s="11"/>
      <c r="G1019" s="11"/>
      <c r="H1019" s="11"/>
      <c r="I1019" s="15"/>
    </row>
    <row r="1020" spans="1:9" ht="16.5">
      <c r="A1020" s="10" t="b">
        <v>0</v>
      </c>
      <c r="B1020" s="11" t="str">
        <f>IF(D1020&lt;&gt;"",IF(COUNTIF('USPTO TMs'!A:A,D1020)&gt;0,"Yes","No"),"")</f>
        <v/>
      </c>
      <c r="C1020" s="11"/>
      <c r="D1020" s="11"/>
      <c r="E1020" s="11"/>
      <c r="F1020" s="11"/>
      <c r="G1020" s="11"/>
      <c r="H1020" s="11"/>
      <c r="I1020" s="15"/>
    </row>
    <row r="1021" spans="1:9" ht="16.5">
      <c r="A1021" s="10" t="b">
        <v>0</v>
      </c>
      <c r="B1021" s="11" t="str">
        <f>IF(D1021&lt;&gt;"",IF(COUNTIF('USPTO TMs'!A:A,D1021)&gt;0,"Yes","No"),"")</f>
        <v/>
      </c>
      <c r="C1021" s="11"/>
      <c r="D1021" s="11"/>
      <c r="E1021" s="11"/>
      <c r="F1021" s="11"/>
      <c r="G1021" s="11"/>
      <c r="H1021" s="11"/>
      <c r="I1021" s="15"/>
    </row>
    <row r="1022" spans="1:9" ht="16.5">
      <c r="A1022" s="10" t="b">
        <v>0</v>
      </c>
      <c r="B1022" s="11" t="str">
        <f>IF(D1022&lt;&gt;"",IF(COUNTIF('USPTO TMs'!A:A,D1022)&gt;0,"Yes","No"),"")</f>
        <v/>
      </c>
      <c r="C1022" s="11"/>
      <c r="D1022" s="11"/>
      <c r="E1022" s="11"/>
      <c r="F1022" s="11"/>
      <c r="G1022" s="11"/>
      <c r="H1022" s="11"/>
      <c r="I1022" s="15"/>
    </row>
    <row r="1023" spans="1:9" ht="16.5">
      <c r="A1023" s="10" t="b">
        <v>0</v>
      </c>
      <c r="B1023" s="11" t="str">
        <f>IF(D1023&lt;&gt;"",IF(COUNTIF('USPTO TMs'!A:A,D1023)&gt;0,"Yes","No"),"")</f>
        <v/>
      </c>
      <c r="C1023" s="11"/>
      <c r="D1023" s="11"/>
      <c r="E1023" s="11"/>
      <c r="F1023" s="11"/>
      <c r="G1023" s="11"/>
      <c r="H1023" s="11"/>
      <c r="I1023" s="15"/>
    </row>
    <row r="1024" spans="1:9" ht="16.5">
      <c r="A1024" s="10" t="b">
        <v>0</v>
      </c>
      <c r="B1024" s="11" t="str">
        <f>IF(D1024&lt;&gt;"",IF(COUNTIF('USPTO TMs'!A:A,D1024)&gt;0,"Yes","No"),"")</f>
        <v/>
      </c>
      <c r="C1024" s="11"/>
      <c r="D1024" s="11"/>
      <c r="E1024" s="11"/>
      <c r="F1024" s="11"/>
      <c r="G1024" s="11"/>
      <c r="H1024" s="11"/>
      <c r="I1024" s="15"/>
    </row>
    <row r="1025" spans="1:9" ht="16.5">
      <c r="A1025" s="10" t="b">
        <v>0</v>
      </c>
      <c r="B1025" s="11" t="str">
        <f>IF(D1025&lt;&gt;"",IF(COUNTIF('USPTO TMs'!A:A,D1025)&gt;0,"Yes","No"),"")</f>
        <v/>
      </c>
      <c r="C1025" s="11"/>
      <c r="D1025" s="11"/>
      <c r="E1025" s="11"/>
      <c r="F1025" s="11"/>
      <c r="G1025" s="11"/>
      <c r="H1025" s="11"/>
      <c r="I1025" s="15"/>
    </row>
    <row r="1026" spans="1:9" ht="16.5">
      <c r="A1026" s="10" t="b">
        <v>0</v>
      </c>
      <c r="B1026" s="11" t="str">
        <f>IF(D1026&lt;&gt;"",IF(COUNTIF('USPTO TMs'!A:A,D1026)&gt;0,"Yes","No"),"")</f>
        <v/>
      </c>
      <c r="C1026" s="11"/>
      <c r="D1026" s="11"/>
      <c r="E1026" s="11"/>
      <c r="F1026" s="11"/>
      <c r="G1026" s="11"/>
      <c r="H1026" s="11"/>
      <c r="I1026" s="15"/>
    </row>
    <row r="1027" spans="1:9" ht="16.5">
      <c r="A1027" s="10" t="b">
        <v>0</v>
      </c>
      <c r="B1027" s="11" t="str">
        <f>IF(D1027&lt;&gt;"",IF(COUNTIF('USPTO TMs'!A:A,D1027)&gt;0,"Yes","No"),"")</f>
        <v/>
      </c>
      <c r="C1027" s="11"/>
      <c r="D1027" s="11"/>
      <c r="E1027" s="11"/>
      <c r="F1027" s="11"/>
      <c r="G1027" s="11"/>
      <c r="H1027" s="11"/>
      <c r="I1027" s="15"/>
    </row>
    <row r="1028" spans="1:9" ht="16.5">
      <c r="A1028" s="10" t="b">
        <v>0</v>
      </c>
      <c r="B1028" s="11" t="str">
        <f>IF(D1028&lt;&gt;"",IF(COUNTIF('USPTO TMs'!A:A,D1028)&gt;0,"Yes","No"),"")</f>
        <v/>
      </c>
      <c r="C1028" s="11"/>
      <c r="D1028" s="11"/>
      <c r="E1028" s="11"/>
      <c r="F1028" s="11"/>
      <c r="G1028" s="11"/>
      <c r="H1028" s="11"/>
      <c r="I1028" s="15"/>
    </row>
    <row r="1029" spans="1:9" ht="16.5">
      <c r="A1029" s="10" t="b">
        <v>0</v>
      </c>
      <c r="B1029" s="11" t="str">
        <f>IF(D1029&lt;&gt;"",IF(COUNTIF('USPTO TMs'!A:A,D1029)&gt;0,"Yes","No"),"")</f>
        <v/>
      </c>
      <c r="C1029" s="11"/>
      <c r="D1029" s="11"/>
      <c r="E1029" s="11"/>
      <c r="F1029" s="11"/>
      <c r="G1029" s="11"/>
      <c r="H1029" s="11"/>
      <c r="I1029" s="15"/>
    </row>
    <row r="1030" spans="1:9" ht="16.5">
      <c r="A1030" s="10" t="b">
        <v>0</v>
      </c>
      <c r="B1030" s="11" t="str">
        <f>IF(D1030&lt;&gt;"",IF(COUNTIF('USPTO TMs'!A:A,D1030)&gt;0,"Yes","No"),"")</f>
        <v/>
      </c>
      <c r="C1030" s="11"/>
      <c r="D1030" s="11"/>
      <c r="E1030" s="11"/>
      <c r="F1030" s="11"/>
      <c r="G1030" s="11"/>
      <c r="H1030" s="11"/>
      <c r="I1030" s="15"/>
    </row>
    <row r="1031" spans="1:9" ht="16.5">
      <c r="A1031" s="10" t="b">
        <v>0</v>
      </c>
      <c r="B1031" s="11" t="str">
        <f>IF(D1031&lt;&gt;"",IF(COUNTIF('USPTO TMs'!A:A,D1031)&gt;0,"Yes","No"),"")</f>
        <v/>
      </c>
      <c r="C1031" s="11"/>
      <c r="D1031" s="11"/>
      <c r="E1031" s="11"/>
      <c r="F1031" s="11"/>
      <c r="G1031" s="11"/>
      <c r="H1031" s="11"/>
      <c r="I1031" s="15"/>
    </row>
    <row r="1032" spans="1:9" ht="16.5">
      <c r="A1032" s="10" t="b">
        <v>0</v>
      </c>
      <c r="B1032" s="11" t="str">
        <f>IF(D1032&lt;&gt;"",IF(COUNTIF('USPTO TMs'!A:A,D1032)&gt;0,"Yes","No"),"")</f>
        <v/>
      </c>
      <c r="C1032" s="11"/>
      <c r="D1032" s="11"/>
      <c r="E1032" s="11"/>
      <c r="F1032" s="11"/>
      <c r="G1032" s="11"/>
      <c r="H1032" s="11"/>
      <c r="I1032" s="15"/>
    </row>
    <row r="1033" spans="1:9" ht="16.5">
      <c r="A1033" s="10" t="b">
        <v>0</v>
      </c>
      <c r="B1033" s="11" t="str">
        <f>IF(D1033&lt;&gt;"",IF(COUNTIF('USPTO TMs'!A:A,D1033)&gt;0,"Yes","No"),"")</f>
        <v/>
      </c>
      <c r="C1033" s="11"/>
      <c r="D1033" s="11"/>
      <c r="E1033" s="11"/>
      <c r="F1033" s="11"/>
      <c r="G1033" s="11"/>
      <c r="H1033" s="11"/>
      <c r="I1033" s="15"/>
    </row>
    <row r="1034" spans="1:9" ht="16.5">
      <c r="A1034" s="10" t="b">
        <v>0</v>
      </c>
      <c r="B1034" s="11" t="str">
        <f>IF(D1034&lt;&gt;"",IF(COUNTIF('USPTO TMs'!A:A,D1034)&gt;0,"Yes","No"),"")</f>
        <v/>
      </c>
      <c r="C1034" s="11"/>
      <c r="D1034" s="11"/>
      <c r="E1034" s="11"/>
      <c r="F1034" s="11"/>
      <c r="G1034" s="11"/>
      <c r="H1034" s="11"/>
      <c r="I1034" s="15"/>
    </row>
    <row r="1035" spans="1:9" ht="16.5">
      <c r="A1035" s="10" t="b">
        <v>0</v>
      </c>
      <c r="B1035" s="11" t="str">
        <f>IF(D1035&lt;&gt;"",IF(COUNTIF('USPTO TMs'!A:A,D1035)&gt;0,"Yes","No"),"")</f>
        <v/>
      </c>
      <c r="C1035" s="11"/>
      <c r="D1035" s="11"/>
      <c r="E1035" s="11"/>
      <c r="F1035" s="11"/>
      <c r="G1035" s="11"/>
      <c r="H1035" s="11"/>
      <c r="I1035" s="15"/>
    </row>
    <row r="1036" spans="1:9" ht="16.5">
      <c r="A1036" s="10" t="b">
        <v>0</v>
      </c>
      <c r="B1036" s="11" t="str">
        <f>IF(D1036&lt;&gt;"",IF(COUNTIF('USPTO TMs'!A:A,D1036)&gt;0,"Yes","No"),"")</f>
        <v/>
      </c>
      <c r="C1036" s="11"/>
      <c r="D1036" s="11"/>
      <c r="E1036" s="11"/>
      <c r="F1036" s="11"/>
      <c r="G1036" s="11"/>
      <c r="H1036" s="11"/>
      <c r="I1036" s="15"/>
    </row>
    <row r="1037" spans="1:9" ht="16.5">
      <c r="A1037" s="10" t="b">
        <v>0</v>
      </c>
      <c r="B1037" s="11" t="str">
        <f>IF(D1037&lt;&gt;"",IF(COUNTIF('USPTO TMs'!A:A,D1037)&gt;0,"Yes","No"),"")</f>
        <v/>
      </c>
      <c r="C1037" s="11"/>
      <c r="D1037" s="11"/>
      <c r="E1037" s="11"/>
      <c r="F1037" s="11"/>
      <c r="G1037" s="11"/>
      <c r="H1037" s="11"/>
      <c r="I1037" s="15"/>
    </row>
    <row r="1038" spans="1:9" ht="16.5">
      <c r="A1038" s="10" t="b">
        <v>0</v>
      </c>
      <c r="B1038" s="11" t="str">
        <f>IF(D1038&lt;&gt;"",IF(COUNTIF('USPTO TMs'!A:A,D1038)&gt;0,"Yes","No"),"")</f>
        <v/>
      </c>
      <c r="C1038" s="11"/>
      <c r="D1038" s="11"/>
      <c r="E1038" s="11"/>
      <c r="F1038" s="11"/>
      <c r="G1038" s="11"/>
      <c r="H1038" s="11"/>
      <c r="I1038" s="15"/>
    </row>
    <row r="1039" spans="1:9" ht="16.5">
      <c r="A1039" s="10" t="b">
        <v>0</v>
      </c>
      <c r="B1039" s="11" t="str">
        <f>IF(D1039&lt;&gt;"",IF(COUNTIF('USPTO TMs'!A:A,D1039)&gt;0,"Yes","No"),"")</f>
        <v/>
      </c>
      <c r="C1039" s="11"/>
      <c r="D1039" s="11"/>
      <c r="E1039" s="11"/>
      <c r="F1039" s="11"/>
      <c r="G1039" s="11"/>
      <c r="H1039" s="11"/>
      <c r="I1039" s="15"/>
    </row>
    <row r="1040" spans="1:9" ht="16.5">
      <c r="A1040" s="10" t="b">
        <v>0</v>
      </c>
      <c r="B1040" s="11" t="str">
        <f>IF(D1040&lt;&gt;"",IF(COUNTIF('USPTO TMs'!A:A,D1040)&gt;0,"Yes","No"),"")</f>
        <v/>
      </c>
      <c r="C1040" s="11"/>
      <c r="D1040" s="11"/>
      <c r="E1040" s="11"/>
      <c r="F1040" s="11"/>
      <c r="G1040" s="11"/>
      <c r="H1040" s="11"/>
      <c r="I1040" s="15"/>
    </row>
    <row r="1041" spans="1:9" ht="16.5">
      <c r="A1041" s="10" t="b">
        <v>0</v>
      </c>
      <c r="B1041" s="11" t="str">
        <f>IF(D1041&lt;&gt;"",IF(COUNTIF('USPTO TMs'!A:A,D1041)&gt;0,"Yes","No"),"")</f>
        <v/>
      </c>
      <c r="C1041" s="11"/>
      <c r="D1041" s="11"/>
      <c r="E1041" s="11"/>
      <c r="F1041" s="11"/>
      <c r="G1041" s="11"/>
      <c r="H1041" s="11"/>
      <c r="I1041" s="15"/>
    </row>
    <row r="1042" spans="1:9" ht="16.5">
      <c r="A1042" s="10" t="b">
        <v>0</v>
      </c>
      <c r="B1042" s="11" t="str">
        <f>IF(D1042&lt;&gt;"",IF(COUNTIF('USPTO TMs'!A:A,D1042)&gt;0,"Yes","No"),"")</f>
        <v/>
      </c>
      <c r="C1042" s="11"/>
      <c r="D1042" s="11"/>
      <c r="E1042" s="11"/>
      <c r="F1042" s="11"/>
      <c r="G1042" s="11"/>
      <c r="H1042" s="11"/>
      <c r="I1042" s="15"/>
    </row>
    <row r="1043" spans="1:9" ht="16.5">
      <c r="A1043" s="10" t="b">
        <v>0</v>
      </c>
      <c r="B1043" s="11" t="str">
        <f>IF(D1043&lt;&gt;"",IF(COUNTIF('USPTO TMs'!A:A,D1043)&gt;0,"Yes","No"),"")</f>
        <v/>
      </c>
      <c r="C1043" s="11"/>
      <c r="D1043" s="11"/>
      <c r="E1043" s="11"/>
      <c r="F1043" s="11"/>
      <c r="G1043" s="11"/>
      <c r="H1043" s="11"/>
      <c r="I1043" s="15"/>
    </row>
    <row r="1044" spans="1:9" ht="16.5">
      <c r="A1044" s="10" t="b">
        <v>0</v>
      </c>
      <c r="B1044" s="11" t="str">
        <f>IF(D1044&lt;&gt;"",IF(COUNTIF('USPTO TMs'!A:A,D1044)&gt;0,"Yes","No"),"")</f>
        <v/>
      </c>
      <c r="C1044" s="11"/>
      <c r="D1044" s="11"/>
      <c r="E1044" s="11"/>
      <c r="F1044" s="11"/>
      <c r="G1044" s="11"/>
      <c r="H1044" s="11"/>
      <c r="I1044" s="15"/>
    </row>
    <row r="1045" spans="1:9" ht="16.5">
      <c r="A1045" s="10" t="b">
        <v>0</v>
      </c>
      <c r="B1045" s="11" t="str">
        <f>IF(D1045&lt;&gt;"",IF(COUNTIF('USPTO TMs'!A:A,D1045)&gt;0,"Yes","No"),"")</f>
        <v/>
      </c>
      <c r="C1045" s="11"/>
      <c r="D1045" s="11"/>
      <c r="E1045" s="11"/>
      <c r="F1045" s="11"/>
      <c r="G1045" s="11"/>
      <c r="H1045" s="11"/>
      <c r="I1045" s="15"/>
    </row>
    <row r="1046" spans="1:9" ht="16.5">
      <c r="A1046" s="10" t="b">
        <v>0</v>
      </c>
      <c r="B1046" s="11" t="str">
        <f>IF(D1046&lt;&gt;"",IF(COUNTIF('USPTO TMs'!A:A,D1046)&gt;0,"Yes","No"),"")</f>
        <v/>
      </c>
      <c r="C1046" s="11"/>
      <c r="D1046" s="11"/>
      <c r="E1046" s="11"/>
      <c r="F1046" s="11"/>
      <c r="G1046" s="11"/>
      <c r="H1046" s="11"/>
      <c r="I1046" s="15"/>
    </row>
    <row r="1047" spans="1:9" ht="16.5">
      <c r="A1047" s="10" t="b">
        <v>0</v>
      </c>
      <c r="B1047" s="11" t="str">
        <f>IF(D1047&lt;&gt;"",IF(COUNTIF('USPTO TMs'!A:A,D1047)&gt;0,"Yes","No"),"")</f>
        <v/>
      </c>
      <c r="C1047" s="11"/>
      <c r="D1047" s="11"/>
      <c r="E1047" s="11"/>
      <c r="F1047" s="11"/>
      <c r="G1047" s="11"/>
      <c r="H1047" s="11"/>
      <c r="I1047" s="15"/>
    </row>
    <row r="1048" spans="1:9" ht="16.5">
      <c r="A1048" s="10" t="b">
        <v>0</v>
      </c>
      <c r="B1048" s="11" t="str">
        <f>IF(D1048&lt;&gt;"",IF(COUNTIF('USPTO TMs'!A:A,D1048)&gt;0,"Yes","No"),"")</f>
        <v/>
      </c>
      <c r="C1048" s="11"/>
      <c r="D1048" s="11"/>
      <c r="E1048" s="11"/>
      <c r="F1048" s="11"/>
      <c r="G1048" s="11"/>
      <c r="H1048" s="11"/>
      <c r="I1048" s="15"/>
    </row>
    <row r="1049" spans="1:9" ht="16.5">
      <c r="A1049" s="10" t="b">
        <v>0</v>
      </c>
      <c r="B1049" s="11" t="str">
        <f>IF(D1049&lt;&gt;"",IF(COUNTIF('USPTO TMs'!A:A,D1049)&gt;0,"Yes","No"),"")</f>
        <v/>
      </c>
      <c r="C1049" s="11"/>
      <c r="D1049" s="11"/>
      <c r="E1049" s="11"/>
      <c r="F1049" s="11"/>
      <c r="G1049" s="11"/>
      <c r="H1049" s="11"/>
      <c r="I1049" s="15"/>
    </row>
    <row r="1050" spans="1:9" ht="16.5">
      <c r="A1050" s="10" t="b">
        <v>0</v>
      </c>
      <c r="B1050" s="11" t="str">
        <f>IF(D1050&lt;&gt;"",IF(COUNTIF('USPTO TMs'!A:A,D1050)&gt;0,"Yes","No"),"")</f>
        <v/>
      </c>
      <c r="C1050" s="11"/>
      <c r="D1050" s="11"/>
      <c r="E1050" s="11"/>
      <c r="F1050" s="11"/>
      <c r="G1050" s="11"/>
      <c r="H1050" s="11"/>
      <c r="I1050" s="15"/>
    </row>
    <row r="1051" spans="1:9" ht="16.5">
      <c r="A1051" s="10" t="b">
        <v>0</v>
      </c>
      <c r="B1051" s="11" t="str">
        <f>IF(D1051&lt;&gt;"",IF(COUNTIF('USPTO TMs'!A:A,D1051)&gt;0,"Yes","No"),"")</f>
        <v/>
      </c>
      <c r="C1051" s="11"/>
      <c r="D1051" s="11"/>
      <c r="E1051" s="11"/>
      <c r="F1051" s="11"/>
      <c r="G1051" s="11"/>
      <c r="H1051" s="11"/>
      <c r="I1051" s="15"/>
    </row>
    <row r="1052" spans="1:9" ht="16.5">
      <c r="A1052" s="10" t="b">
        <v>0</v>
      </c>
      <c r="B1052" s="11" t="str">
        <f>IF(D1052&lt;&gt;"",IF(COUNTIF('USPTO TMs'!A:A,D1052)&gt;0,"Yes","No"),"")</f>
        <v/>
      </c>
      <c r="C1052" s="11"/>
      <c r="D1052" s="11"/>
      <c r="E1052" s="11"/>
      <c r="F1052" s="11"/>
      <c r="G1052" s="11"/>
      <c r="H1052" s="11"/>
      <c r="I1052" s="15"/>
    </row>
    <row r="1053" spans="1:9" ht="16.5">
      <c r="A1053" s="10" t="b">
        <v>0</v>
      </c>
      <c r="B1053" s="11" t="str">
        <f>IF(D1053&lt;&gt;"",IF(COUNTIF('USPTO TMs'!A:A,D1053)&gt;0,"Yes","No"),"")</f>
        <v/>
      </c>
      <c r="C1053" s="11"/>
      <c r="D1053" s="11"/>
      <c r="E1053" s="11"/>
      <c r="F1053" s="11"/>
      <c r="G1053" s="11"/>
      <c r="H1053" s="11"/>
      <c r="I1053" s="15"/>
    </row>
    <row r="1054" spans="1:9" ht="16.5">
      <c r="A1054" s="10" t="b">
        <v>0</v>
      </c>
      <c r="B1054" s="11" t="str">
        <f>IF(D1054&lt;&gt;"",IF(COUNTIF('USPTO TMs'!A:A,D1054)&gt;0,"Yes","No"),"")</f>
        <v/>
      </c>
      <c r="C1054" s="11"/>
      <c r="D1054" s="11"/>
      <c r="E1054" s="11"/>
      <c r="F1054" s="11"/>
      <c r="G1054" s="11"/>
      <c r="H1054" s="11"/>
      <c r="I1054" s="15"/>
    </row>
    <row r="1055" spans="1:9" ht="16.5">
      <c r="A1055" s="10" t="b">
        <v>0</v>
      </c>
      <c r="B1055" s="11" t="str">
        <f>IF(D1055&lt;&gt;"",IF(COUNTIF('USPTO TMs'!A:A,D1055)&gt;0,"Yes","No"),"")</f>
        <v/>
      </c>
      <c r="C1055" s="11"/>
      <c r="D1055" s="11"/>
      <c r="E1055" s="11"/>
      <c r="F1055" s="11"/>
      <c r="G1055" s="11"/>
      <c r="H1055" s="11"/>
      <c r="I1055" s="15"/>
    </row>
    <row r="1056" spans="1:9" ht="16.5">
      <c r="A1056" s="10" t="b">
        <v>0</v>
      </c>
      <c r="B1056" s="11" t="str">
        <f>IF(D1056&lt;&gt;"",IF(COUNTIF('USPTO TMs'!A:A,D1056)&gt;0,"Yes","No"),"")</f>
        <v/>
      </c>
      <c r="C1056" s="11"/>
      <c r="D1056" s="11"/>
      <c r="E1056" s="11"/>
      <c r="F1056" s="11"/>
      <c r="G1056" s="11"/>
      <c r="H1056" s="11"/>
      <c r="I1056" s="15"/>
    </row>
    <row r="1057" spans="1:9" ht="16.5">
      <c r="A1057" s="10" t="b">
        <v>0</v>
      </c>
      <c r="B1057" s="11" t="str">
        <f>IF(D1057&lt;&gt;"",IF(COUNTIF('USPTO TMs'!A:A,D1057)&gt;0,"Yes","No"),"")</f>
        <v/>
      </c>
      <c r="C1057" s="11"/>
      <c r="D1057" s="11"/>
      <c r="E1057" s="11"/>
      <c r="F1057" s="11"/>
      <c r="G1057" s="11"/>
      <c r="H1057" s="11"/>
      <c r="I1057" s="15"/>
    </row>
    <row r="1058" spans="1:9" ht="16.5">
      <c r="A1058" s="10" t="b">
        <v>0</v>
      </c>
      <c r="B1058" s="11" t="str">
        <f>IF(D1058&lt;&gt;"",IF(COUNTIF('USPTO TMs'!A:A,D1058)&gt;0,"Yes","No"),"")</f>
        <v/>
      </c>
      <c r="C1058" s="11"/>
      <c r="D1058" s="11"/>
      <c r="E1058" s="11"/>
      <c r="F1058" s="11"/>
      <c r="G1058" s="11"/>
      <c r="H1058" s="11"/>
      <c r="I1058" s="15"/>
    </row>
    <row r="1059" spans="1:9" ht="16.5">
      <c r="A1059" s="10" t="b">
        <v>0</v>
      </c>
      <c r="B1059" s="11" t="str">
        <f>IF(D1059&lt;&gt;"",IF(COUNTIF('USPTO TMs'!A:A,D1059)&gt;0,"Yes","No"),"")</f>
        <v/>
      </c>
      <c r="C1059" s="11"/>
      <c r="D1059" s="11"/>
      <c r="E1059" s="11"/>
      <c r="F1059" s="11"/>
      <c r="G1059" s="11"/>
      <c r="H1059" s="11"/>
      <c r="I1059" s="15"/>
    </row>
    <row r="1060" spans="1:9" ht="16.5">
      <c r="A1060" s="10" t="b">
        <v>0</v>
      </c>
      <c r="B1060" s="11" t="str">
        <f>IF(D1060&lt;&gt;"",IF(COUNTIF('USPTO TMs'!A:A,D1060)&gt;0,"Yes","No"),"")</f>
        <v/>
      </c>
      <c r="C1060" s="11"/>
      <c r="D1060" s="11"/>
      <c r="E1060" s="11"/>
      <c r="F1060" s="11"/>
      <c r="G1060" s="11"/>
      <c r="H1060" s="11"/>
      <c r="I1060" s="15"/>
    </row>
    <row r="1061" spans="1:9" ht="16.5">
      <c r="A1061" s="10" t="b">
        <v>0</v>
      </c>
      <c r="B1061" s="11" t="str">
        <f>IF(D1061&lt;&gt;"",IF(COUNTIF('USPTO TMs'!A:A,D1061)&gt;0,"Yes","No"),"")</f>
        <v/>
      </c>
      <c r="C1061" s="11"/>
      <c r="D1061" s="11"/>
      <c r="E1061" s="11"/>
      <c r="F1061" s="11"/>
      <c r="G1061" s="11"/>
      <c r="H1061" s="11"/>
      <c r="I1061" s="15"/>
    </row>
    <row r="1062" spans="1:9" ht="16.5">
      <c r="A1062" s="10" t="b">
        <v>0</v>
      </c>
      <c r="B1062" s="11" t="str">
        <f>IF(D1062&lt;&gt;"",IF(COUNTIF('USPTO TMs'!A:A,D1062)&gt;0,"Yes","No"),"")</f>
        <v/>
      </c>
      <c r="C1062" s="11"/>
      <c r="D1062" s="11"/>
      <c r="E1062" s="11"/>
      <c r="F1062" s="11"/>
      <c r="G1062" s="11"/>
      <c r="H1062" s="11"/>
      <c r="I1062" s="15"/>
    </row>
    <row r="1063" spans="1:9" ht="16.5">
      <c r="A1063" s="10" t="b">
        <v>0</v>
      </c>
      <c r="B1063" s="11" t="str">
        <f>IF(D1063&lt;&gt;"",IF(COUNTIF('USPTO TMs'!A:A,D1063)&gt;0,"Yes","No"),"")</f>
        <v/>
      </c>
      <c r="C1063" s="11"/>
      <c r="D1063" s="11"/>
      <c r="E1063" s="11"/>
      <c r="F1063" s="11"/>
      <c r="G1063" s="11"/>
      <c r="H1063" s="11"/>
      <c r="I1063" s="15"/>
    </row>
    <row r="1064" spans="1:9" ht="16.5">
      <c r="A1064" s="10" t="b">
        <v>0</v>
      </c>
      <c r="B1064" s="11" t="str">
        <f>IF(D1064&lt;&gt;"",IF(COUNTIF('USPTO TMs'!A:A,D1064)&gt;0,"Yes","No"),"")</f>
        <v/>
      </c>
      <c r="C1064" s="11"/>
      <c r="D1064" s="11"/>
      <c r="E1064" s="11"/>
      <c r="F1064" s="11"/>
      <c r="G1064" s="11"/>
      <c r="H1064" s="11"/>
      <c r="I1064" s="15"/>
    </row>
    <row r="1065" spans="1:9" ht="16.5">
      <c r="A1065" s="10" t="b">
        <v>0</v>
      </c>
      <c r="B1065" s="11" t="str">
        <f>IF(D1065&lt;&gt;"",IF(COUNTIF('USPTO TMs'!A:A,D1065)&gt;0,"Yes","No"),"")</f>
        <v/>
      </c>
      <c r="C1065" s="11"/>
      <c r="D1065" s="11"/>
      <c r="E1065" s="11"/>
      <c r="F1065" s="11"/>
      <c r="G1065" s="11"/>
      <c r="H1065" s="11"/>
      <c r="I1065" s="15"/>
    </row>
    <row r="1066" spans="1:9" ht="16.5">
      <c r="A1066" s="10" t="b">
        <v>0</v>
      </c>
      <c r="B1066" s="11" t="str">
        <f>IF(D1066&lt;&gt;"",IF(COUNTIF('USPTO TMs'!A:A,D1066)&gt;0,"Yes","No"),"")</f>
        <v/>
      </c>
      <c r="C1066" s="11"/>
      <c r="D1066" s="11"/>
      <c r="E1066" s="11"/>
      <c r="F1066" s="11"/>
      <c r="G1066" s="11"/>
      <c r="H1066" s="11"/>
      <c r="I1066" s="15"/>
    </row>
    <row r="1067" spans="1:9" ht="16.5">
      <c r="A1067" s="10" t="b">
        <v>0</v>
      </c>
      <c r="B1067" s="11" t="str">
        <f>IF(D1067&lt;&gt;"",IF(COUNTIF('USPTO TMs'!A:A,D1067)&gt;0,"Yes","No"),"")</f>
        <v/>
      </c>
      <c r="C1067" s="11"/>
      <c r="D1067" s="11"/>
      <c r="E1067" s="11"/>
      <c r="F1067" s="11"/>
      <c r="G1067" s="11"/>
      <c r="H1067" s="11"/>
      <c r="I1067" s="15"/>
    </row>
    <row r="1068" spans="1:9" ht="16.5">
      <c r="A1068" s="10" t="b">
        <v>0</v>
      </c>
      <c r="B1068" s="11" t="str">
        <f>IF(D1068&lt;&gt;"",IF(COUNTIF('USPTO TMs'!A:A,D1068)&gt;0,"Yes","No"),"")</f>
        <v/>
      </c>
      <c r="C1068" s="11"/>
      <c r="D1068" s="11"/>
      <c r="E1068" s="11"/>
      <c r="F1068" s="11"/>
      <c r="G1068" s="11"/>
      <c r="H1068" s="11"/>
      <c r="I1068" s="15"/>
    </row>
    <row r="1069" spans="1:9" ht="16.5">
      <c r="A1069" s="10" t="b">
        <v>0</v>
      </c>
      <c r="B1069" s="11" t="str">
        <f>IF(D1069&lt;&gt;"",IF(COUNTIF('USPTO TMs'!A:A,D1069)&gt;0,"Yes","No"),"")</f>
        <v/>
      </c>
      <c r="C1069" s="11"/>
      <c r="D1069" s="11"/>
      <c r="E1069" s="11"/>
      <c r="F1069" s="11"/>
      <c r="G1069" s="11"/>
      <c r="H1069" s="11"/>
      <c r="I1069" s="15"/>
    </row>
    <row r="1070" spans="1:9" ht="16.5">
      <c r="A1070" s="10" t="b">
        <v>0</v>
      </c>
      <c r="B1070" s="11" t="str">
        <f>IF(D1070&lt;&gt;"",IF(COUNTIF('USPTO TMs'!A:A,D1070)&gt;0,"Yes","No"),"")</f>
        <v/>
      </c>
      <c r="C1070" s="11"/>
      <c r="D1070" s="11"/>
      <c r="E1070" s="11"/>
      <c r="F1070" s="11"/>
      <c r="G1070" s="11"/>
      <c r="H1070" s="11"/>
      <c r="I1070" s="15"/>
    </row>
    <row r="1071" spans="1:9" ht="16.5">
      <c r="A1071" s="10" t="b">
        <v>0</v>
      </c>
      <c r="B1071" s="11" t="str">
        <f>IF(D1071&lt;&gt;"",IF(COUNTIF('USPTO TMs'!A:A,D1071)&gt;0,"Yes","No"),"")</f>
        <v/>
      </c>
      <c r="C1071" s="11"/>
      <c r="D1071" s="11"/>
      <c r="E1071" s="11"/>
      <c r="F1071" s="11"/>
      <c r="G1071" s="11"/>
      <c r="H1071" s="11"/>
      <c r="I1071" s="15"/>
    </row>
    <row r="1072" spans="1:9" ht="16.5">
      <c r="A1072" s="10" t="b">
        <v>0</v>
      </c>
      <c r="B1072" s="11" t="str">
        <f>IF(D1072&lt;&gt;"",IF(COUNTIF('USPTO TMs'!A:A,D1072)&gt;0,"Yes","No"),"")</f>
        <v/>
      </c>
      <c r="C1072" s="11"/>
      <c r="D1072" s="11"/>
      <c r="E1072" s="11"/>
      <c r="F1072" s="11"/>
      <c r="G1072" s="11"/>
      <c r="H1072" s="11"/>
      <c r="I1072" s="15"/>
    </row>
    <row r="1073" spans="1:9" ht="16.5">
      <c r="A1073" s="10" t="b">
        <v>0</v>
      </c>
      <c r="B1073" s="11" t="str">
        <f>IF(D1073&lt;&gt;"",IF(COUNTIF('USPTO TMs'!A:A,D1073)&gt;0,"Yes","No"),"")</f>
        <v/>
      </c>
      <c r="C1073" s="11"/>
      <c r="D1073" s="11"/>
      <c r="E1073" s="11"/>
      <c r="F1073" s="11"/>
      <c r="G1073" s="11"/>
      <c r="H1073" s="11"/>
      <c r="I1073" s="15"/>
    </row>
    <row r="1074" spans="1:9" ht="16.5">
      <c r="A1074" s="10" t="b">
        <v>0</v>
      </c>
      <c r="B1074" s="11" t="str">
        <f>IF(D1074&lt;&gt;"",IF(COUNTIF('USPTO TMs'!A:A,D1074)&gt;0,"Yes","No"),"")</f>
        <v/>
      </c>
      <c r="C1074" s="11"/>
      <c r="D1074" s="11"/>
      <c r="E1074" s="11"/>
      <c r="F1074" s="11"/>
      <c r="G1074" s="11"/>
      <c r="H1074" s="11"/>
      <c r="I1074" s="15"/>
    </row>
    <row r="1075" spans="1:9" ht="16.5">
      <c r="A1075" s="10" t="b">
        <v>0</v>
      </c>
      <c r="B1075" s="11" t="str">
        <f>IF(D1075&lt;&gt;"",IF(COUNTIF('USPTO TMs'!A:A,D1075)&gt;0,"Yes","No"),"")</f>
        <v/>
      </c>
      <c r="C1075" s="11"/>
      <c r="D1075" s="11"/>
      <c r="E1075" s="11"/>
      <c r="F1075" s="11"/>
      <c r="G1075" s="11"/>
      <c r="H1075" s="11"/>
      <c r="I1075" s="15"/>
    </row>
    <row r="1076" spans="1:9" ht="16.5">
      <c r="A1076" s="10" t="b">
        <v>0</v>
      </c>
      <c r="B1076" s="11" t="str">
        <f>IF(D1076&lt;&gt;"",IF(COUNTIF('USPTO TMs'!A:A,D1076)&gt;0,"Yes","No"),"")</f>
        <v/>
      </c>
      <c r="C1076" s="11"/>
      <c r="D1076" s="11"/>
      <c r="E1076" s="11"/>
      <c r="F1076" s="11"/>
      <c r="G1076" s="11"/>
      <c r="H1076" s="11"/>
      <c r="I1076" s="15"/>
    </row>
    <row r="1077" spans="1:9" ht="16.5">
      <c r="A1077" s="10" t="b">
        <v>0</v>
      </c>
      <c r="B1077" s="11" t="str">
        <f>IF(D1077&lt;&gt;"",IF(COUNTIF('USPTO TMs'!A:A,D1077)&gt;0,"Yes","No"),"")</f>
        <v/>
      </c>
      <c r="C1077" s="11"/>
      <c r="D1077" s="11"/>
      <c r="E1077" s="11"/>
      <c r="F1077" s="11"/>
      <c r="G1077" s="11"/>
      <c r="H1077" s="11"/>
      <c r="I1077" s="15"/>
    </row>
    <row r="1078" spans="1:9" ht="16.5">
      <c r="A1078" s="10" t="b">
        <v>0</v>
      </c>
      <c r="B1078" s="11" t="str">
        <f>IF(D1078&lt;&gt;"",IF(COUNTIF('USPTO TMs'!A:A,D1078)&gt;0,"Yes","No"),"")</f>
        <v/>
      </c>
      <c r="C1078" s="11"/>
      <c r="D1078" s="11"/>
      <c r="E1078" s="11"/>
      <c r="F1078" s="11"/>
      <c r="G1078" s="11"/>
      <c r="H1078" s="11"/>
      <c r="I1078" s="15"/>
    </row>
    <row r="1079" spans="1:9" ht="16.5">
      <c r="A1079" s="10" t="b">
        <v>0</v>
      </c>
      <c r="B1079" s="11" t="str">
        <f>IF(D1079&lt;&gt;"",IF(COUNTIF('USPTO TMs'!A:A,D1079)&gt;0,"Yes","No"),"")</f>
        <v/>
      </c>
      <c r="C1079" s="11"/>
      <c r="D1079" s="11"/>
      <c r="E1079" s="11"/>
      <c r="F1079" s="11"/>
      <c r="G1079" s="11"/>
      <c r="H1079" s="11"/>
      <c r="I1079" s="15"/>
    </row>
    <row r="1080" spans="1:9" ht="16.5">
      <c r="A1080" s="10" t="b">
        <v>0</v>
      </c>
      <c r="B1080" s="11" t="str">
        <f>IF(D1080&lt;&gt;"",IF(COUNTIF('USPTO TMs'!A:A,D1080)&gt;0,"Yes","No"),"")</f>
        <v/>
      </c>
      <c r="C1080" s="11"/>
      <c r="D1080" s="11"/>
      <c r="E1080" s="11"/>
      <c r="F1080" s="11"/>
      <c r="G1080" s="11"/>
      <c r="H1080" s="11"/>
      <c r="I1080" s="15"/>
    </row>
    <row r="1081" spans="1:9" ht="16.5">
      <c r="A1081" s="10" t="b">
        <v>0</v>
      </c>
      <c r="B1081" s="11" t="str">
        <f>IF(D1081&lt;&gt;"",IF(COUNTIF('USPTO TMs'!A:A,D1081)&gt;0,"Yes","No"),"")</f>
        <v/>
      </c>
      <c r="C1081" s="11"/>
      <c r="D1081" s="11"/>
      <c r="E1081" s="11"/>
      <c r="F1081" s="11"/>
      <c r="G1081" s="11"/>
      <c r="H1081" s="11"/>
      <c r="I1081" s="15"/>
    </row>
    <row r="1082" spans="1:9" ht="16.5">
      <c r="A1082" s="10" t="b">
        <v>0</v>
      </c>
      <c r="B1082" s="11" t="str">
        <f>IF(D1082&lt;&gt;"",IF(COUNTIF('USPTO TMs'!A:A,D1082)&gt;0,"Yes","No"),"")</f>
        <v/>
      </c>
      <c r="C1082" s="11"/>
      <c r="D1082" s="11"/>
      <c r="E1082" s="11"/>
      <c r="F1082" s="11"/>
      <c r="G1082" s="11"/>
      <c r="H1082" s="11"/>
      <c r="I1082" s="15"/>
    </row>
    <row r="1083" spans="1:9" ht="16.5">
      <c r="A1083" s="10" t="b">
        <v>0</v>
      </c>
      <c r="B1083" s="11" t="str">
        <f>IF(D1083&lt;&gt;"",IF(COUNTIF('USPTO TMs'!A:A,D1083)&gt;0,"Yes","No"),"")</f>
        <v/>
      </c>
      <c r="C1083" s="11"/>
      <c r="D1083" s="11"/>
      <c r="E1083" s="11"/>
      <c r="F1083" s="11"/>
      <c r="G1083" s="11"/>
      <c r="H1083" s="11"/>
      <c r="I1083" s="15"/>
    </row>
    <row r="1084" spans="1:9" ht="16.5">
      <c r="A1084" s="10" t="b">
        <v>0</v>
      </c>
      <c r="B1084" s="11" t="str">
        <f>IF(D1084&lt;&gt;"",IF(COUNTIF('USPTO TMs'!A:A,D1084)&gt;0,"Yes","No"),"")</f>
        <v/>
      </c>
      <c r="C1084" s="11"/>
      <c r="D1084" s="11"/>
      <c r="E1084" s="11"/>
      <c r="F1084" s="11"/>
      <c r="G1084" s="11"/>
      <c r="H1084" s="11"/>
      <c r="I1084" s="15"/>
    </row>
    <row r="1085" spans="1:9" ht="16.5">
      <c r="A1085" s="10" t="b">
        <v>0</v>
      </c>
      <c r="B1085" s="11" t="str">
        <f>IF(D1085&lt;&gt;"",IF(COUNTIF('USPTO TMs'!A:A,D1085)&gt;0,"Yes","No"),"")</f>
        <v/>
      </c>
      <c r="C1085" s="11"/>
      <c r="D1085" s="11"/>
      <c r="E1085" s="11"/>
      <c r="F1085" s="11"/>
      <c r="G1085" s="11"/>
      <c r="H1085" s="11"/>
      <c r="I1085" s="15"/>
    </row>
    <row r="1086" spans="1:9" ht="16.5">
      <c r="A1086" s="10" t="b">
        <v>0</v>
      </c>
      <c r="B1086" s="11" t="str">
        <f>IF(D1086&lt;&gt;"",IF(COUNTIF('USPTO TMs'!A:A,D1086)&gt;0,"Yes","No"),"")</f>
        <v/>
      </c>
      <c r="C1086" s="11"/>
      <c r="D1086" s="11"/>
      <c r="E1086" s="11"/>
      <c r="F1086" s="11"/>
      <c r="G1086" s="11"/>
      <c r="H1086" s="11"/>
      <c r="I1086" s="15"/>
    </row>
    <row r="1087" spans="1:9" ht="16.5">
      <c r="A1087" s="10" t="b">
        <v>0</v>
      </c>
      <c r="B1087" s="11" t="str">
        <f>IF(D1087&lt;&gt;"",IF(COUNTIF('USPTO TMs'!A:A,D1087)&gt;0,"Yes","No"),"")</f>
        <v/>
      </c>
      <c r="C1087" s="11"/>
      <c r="D1087" s="11"/>
      <c r="E1087" s="11"/>
      <c r="F1087" s="11"/>
      <c r="G1087" s="11"/>
      <c r="H1087" s="11"/>
      <c r="I1087" s="15"/>
    </row>
    <row r="1088" spans="1:9" ht="16.5">
      <c r="A1088" s="10" t="b">
        <v>0</v>
      </c>
      <c r="B1088" s="11" t="str">
        <f>IF(D1088&lt;&gt;"",IF(COUNTIF('USPTO TMs'!A:A,D1088)&gt;0,"Yes","No"),"")</f>
        <v/>
      </c>
      <c r="C1088" s="11"/>
      <c r="D1088" s="11"/>
      <c r="E1088" s="11"/>
      <c r="F1088" s="11"/>
      <c r="G1088" s="11"/>
      <c r="H1088" s="11"/>
      <c r="I1088" s="15"/>
    </row>
    <row r="1089" spans="1:9" ht="16.5">
      <c r="A1089" s="10" t="b">
        <v>0</v>
      </c>
      <c r="B1089" s="11" t="str">
        <f>IF(D1089&lt;&gt;"",IF(COUNTIF('USPTO TMs'!A:A,D1089)&gt;0,"Yes","No"),"")</f>
        <v/>
      </c>
      <c r="C1089" s="11"/>
      <c r="D1089" s="11"/>
      <c r="E1089" s="11"/>
      <c r="F1089" s="11"/>
      <c r="G1089" s="11"/>
      <c r="H1089" s="11"/>
      <c r="I1089" s="15"/>
    </row>
    <row r="1090" spans="1:9" ht="16.5">
      <c r="A1090" s="10" t="b">
        <v>0</v>
      </c>
      <c r="B1090" s="11" t="str">
        <f>IF(D1090&lt;&gt;"",IF(COUNTIF('USPTO TMs'!A:A,D1090)&gt;0,"Yes","No"),"")</f>
        <v/>
      </c>
      <c r="C1090" s="11"/>
      <c r="D1090" s="11"/>
      <c r="E1090" s="11"/>
      <c r="F1090" s="11"/>
      <c r="G1090" s="11"/>
      <c r="H1090" s="11"/>
      <c r="I1090" s="15"/>
    </row>
    <row r="1091" spans="1:9" ht="16.5">
      <c r="A1091" s="10" t="b">
        <v>0</v>
      </c>
      <c r="B1091" s="11" t="str">
        <f>IF(D1091&lt;&gt;"",IF(COUNTIF('USPTO TMs'!A:A,D1091)&gt;0,"Yes","No"),"")</f>
        <v/>
      </c>
      <c r="C1091" s="11"/>
      <c r="D1091" s="11"/>
      <c r="E1091" s="11"/>
      <c r="F1091" s="11"/>
      <c r="G1091" s="11"/>
      <c r="H1091" s="11"/>
      <c r="I1091" s="15"/>
    </row>
    <row r="1092" spans="1:9" ht="16.5">
      <c r="A1092" s="10" t="b">
        <v>0</v>
      </c>
      <c r="B1092" s="11" t="str">
        <f>IF(D1092&lt;&gt;"",IF(COUNTIF('USPTO TMs'!A:A,D1092)&gt;0,"Yes","No"),"")</f>
        <v/>
      </c>
      <c r="C1092" s="11"/>
      <c r="D1092" s="11"/>
      <c r="E1092" s="11"/>
      <c r="F1092" s="11"/>
      <c r="G1092" s="11"/>
      <c r="H1092" s="11"/>
      <c r="I1092" s="15"/>
    </row>
    <row r="1093" spans="1:9" ht="16.5">
      <c r="A1093" s="10" t="b">
        <v>0</v>
      </c>
      <c r="B1093" s="11" t="str">
        <f>IF(D1093&lt;&gt;"",IF(COUNTIF('USPTO TMs'!A:A,D1093)&gt;0,"Yes","No"),"")</f>
        <v/>
      </c>
      <c r="C1093" s="11"/>
      <c r="D1093" s="11"/>
      <c r="E1093" s="11"/>
      <c r="F1093" s="11"/>
      <c r="G1093" s="11"/>
      <c r="H1093" s="11"/>
      <c r="I1093" s="15"/>
    </row>
    <row r="1094" spans="1:9" ht="16.5">
      <c r="A1094" s="10" t="b">
        <v>0</v>
      </c>
      <c r="B1094" s="11" t="str">
        <f>IF(D1094&lt;&gt;"",IF(COUNTIF('USPTO TMs'!A:A,D1094)&gt;0,"Yes","No"),"")</f>
        <v/>
      </c>
      <c r="C1094" s="11"/>
      <c r="D1094" s="11"/>
      <c r="E1094" s="11"/>
      <c r="F1094" s="11"/>
      <c r="G1094" s="11"/>
      <c r="H1094" s="11"/>
      <c r="I1094" s="15"/>
    </row>
    <row r="1095" spans="1:9" ht="16.5">
      <c r="A1095" s="10" t="b">
        <v>0</v>
      </c>
      <c r="B1095" s="11" t="str">
        <f>IF(D1095&lt;&gt;"",IF(COUNTIF('USPTO TMs'!A:A,D1095)&gt;0,"Yes","No"),"")</f>
        <v/>
      </c>
      <c r="C1095" s="11"/>
      <c r="D1095" s="11"/>
      <c r="E1095" s="11"/>
      <c r="F1095" s="11"/>
      <c r="G1095" s="11"/>
      <c r="H1095" s="11"/>
      <c r="I1095" s="15"/>
    </row>
    <row r="1096" spans="1:9" ht="16.5">
      <c r="A1096" s="10" t="b">
        <v>0</v>
      </c>
      <c r="B1096" s="11" t="str">
        <f>IF(D1096&lt;&gt;"",IF(COUNTIF('USPTO TMs'!A:A,D1096)&gt;0,"Yes","No"),"")</f>
        <v/>
      </c>
      <c r="C1096" s="11"/>
      <c r="D1096" s="11"/>
      <c r="E1096" s="11"/>
      <c r="F1096" s="11"/>
      <c r="G1096" s="11"/>
      <c r="H1096" s="11"/>
      <c r="I1096" s="15"/>
    </row>
    <row r="1097" spans="1:9" ht="16.5">
      <c r="A1097" s="10" t="b">
        <v>0</v>
      </c>
      <c r="B1097" s="11" t="str">
        <f>IF(D1097&lt;&gt;"",IF(COUNTIF('USPTO TMs'!A:A,D1097)&gt;0,"Yes","No"),"")</f>
        <v/>
      </c>
      <c r="C1097" s="11"/>
      <c r="D1097" s="11"/>
      <c r="E1097" s="11"/>
      <c r="F1097" s="11"/>
      <c r="G1097" s="11"/>
      <c r="H1097" s="11"/>
      <c r="I1097" s="15"/>
    </row>
    <row r="1098" spans="1:9" ht="16.5">
      <c r="A1098" s="10" t="b">
        <v>0</v>
      </c>
      <c r="B1098" s="11" t="str">
        <f>IF(D1098&lt;&gt;"",IF(COUNTIF('USPTO TMs'!A:A,D1098)&gt;0,"Yes","No"),"")</f>
        <v/>
      </c>
      <c r="C1098" s="11"/>
      <c r="D1098" s="11"/>
      <c r="E1098" s="11"/>
      <c r="F1098" s="11"/>
      <c r="G1098" s="11"/>
      <c r="H1098" s="11"/>
      <c r="I1098" s="15"/>
    </row>
    <row r="1099" spans="1:9" ht="16.5">
      <c r="A1099" s="10" t="b">
        <v>0</v>
      </c>
      <c r="B1099" s="11" t="str">
        <f>IF(D1099&lt;&gt;"",IF(COUNTIF('USPTO TMs'!A:A,D1099)&gt;0,"Yes","No"),"")</f>
        <v/>
      </c>
      <c r="C1099" s="11"/>
      <c r="D1099" s="11"/>
      <c r="E1099" s="11"/>
      <c r="F1099" s="11"/>
      <c r="G1099" s="11"/>
      <c r="H1099" s="11"/>
      <c r="I1099" s="15"/>
    </row>
    <row r="1100" spans="1:9" ht="16.5">
      <c r="A1100" s="10" t="b">
        <v>0</v>
      </c>
      <c r="B1100" s="11" t="str">
        <f>IF(D1100&lt;&gt;"",IF(COUNTIF('USPTO TMs'!A:A,D1100)&gt;0,"Yes","No"),"")</f>
        <v/>
      </c>
      <c r="C1100" s="11"/>
      <c r="D1100" s="11"/>
      <c r="E1100" s="11"/>
      <c r="F1100" s="11"/>
      <c r="G1100" s="11"/>
      <c r="H1100" s="11"/>
      <c r="I1100" s="15"/>
    </row>
    <row r="1101" spans="1:9" ht="16.5">
      <c r="A1101" s="10" t="b">
        <v>0</v>
      </c>
      <c r="B1101" s="11" t="str">
        <f>IF(D1101&lt;&gt;"",IF(COUNTIF('USPTO TMs'!A:A,D1101)&gt;0,"Yes","No"),"")</f>
        <v/>
      </c>
      <c r="C1101" s="11"/>
      <c r="D1101" s="11"/>
      <c r="E1101" s="11"/>
      <c r="F1101" s="11"/>
      <c r="G1101" s="11"/>
      <c r="H1101" s="11"/>
      <c r="I1101" s="15"/>
    </row>
    <row r="1102" spans="1:9" ht="16.5">
      <c r="A1102" s="10" t="b">
        <v>0</v>
      </c>
      <c r="B1102" s="11" t="str">
        <f>IF(D1102&lt;&gt;"",IF(COUNTIF('USPTO TMs'!A:A,D1102)&gt;0,"Yes","No"),"")</f>
        <v/>
      </c>
      <c r="C1102" s="11"/>
      <c r="D1102" s="11"/>
      <c r="E1102" s="11"/>
      <c r="F1102" s="11"/>
      <c r="G1102" s="11"/>
      <c r="H1102" s="11"/>
      <c r="I1102" s="15"/>
    </row>
    <row r="1103" spans="1:9" ht="16.5">
      <c r="A1103" s="10" t="b">
        <v>0</v>
      </c>
      <c r="B1103" s="11" t="str">
        <f>IF(D1103&lt;&gt;"",IF(COUNTIF('USPTO TMs'!A:A,D1103)&gt;0,"Yes","No"),"")</f>
        <v/>
      </c>
      <c r="C1103" s="11"/>
      <c r="D1103" s="11"/>
      <c r="E1103" s="11"/>
      <c r="F1103" s="11"/>
      <c r="G1103" s="11"/>
      <c r="H1103" s="11"/>
      <c r="I1103" s="15"/>
    </row>
    <row r="1104" spans="1:9" ht="16.5">
      <c r="A1104" s="10" t="b">
        <v>0</v>
      </c>
      <c r="B1104" s="11" t="str">
        <f>IF(D1104&lt;&gt;"",IF(COUNTIF('USPTO TMs'!A:A,D1104)&gt;0,"Yes","No"),"")</f>
        <v/>
      </c>
      <c r="C1104" s="11"/>
      <c r="D1104" s="11"/>
      <c r="E1104" s="11"/>
      <c r="F1104" s="11"/>
      <c r="G1104" s="11"/>
      <c r="H1104" s="11"/>
      <c r="I1104" s="15"/>
    </row>
    <row r="1105" spans="1:9" ht="16.5">
      <c r="A1105" s="10" t="b">
        <v>0</v>
      </c>
      <c r="B1105" s="11" t="str">
        <f>IF(D1105&lt;&gt;"",IF(COUNTIF('USPTO TMs'!A:A,D1105)&gt;0,"Yes","No"),"")</f>
        <v/>
      </c>
      <c r="C1105" s="11"/>
      <c r="D1105" s="11"/>
      <c r="E1105" s="11"/>
      <c r="F1105" s="11"/>
      <c r="G1105" s="11"/>
      <c r="H1105" s="11"/>
      <c r="I1105" s="15"/>
    </row>
    <row r="1106" spans="1:9" ht="16.5">
      <c r="A1106" s="10" t="b">
        <v>0</v>
      </c>
      <c r="B1106" s="11" t="str">
        <f>IF(D1106&lt;&gt;"",IF(COUNTIF('USPTO TMs'!A:A,D1106)&gt;0,"Yes","No"),"")</f>
        <v/>
      </c>
      <c r="C1106" s="11"/>
      <c r="D1106" s="11"/>
      <c r="E1106" s="11"/>
      <c r="F1106" s="11"/>
      <c r="G1106" s="11"/>
      <c r="H1106" s="11"/>
      <c r="I1106" s="15"/>
    </row>
    <row r="1107" spans="1:9" ht="16.5">
      <c r="A1107" s="10" t="b">
        <v>0</v>
      </c>
      <c r="B1107" s="11" t="str">
        <f>IF(D1107&lt;&gt;"",IF(COUNTIF('USPTO TMs'!A:A,D1107)&gt;0,"Yes","No"),"")</f>
        <v/>
      </c>
      <c r="C1107" s="11"/>
      <c r="D1107" s="11"/>
      <c r="E1107" s="11"/>
      <c r="F1107" s="11"/>
      <c r="G1107" s="11"/>
      <c r="H1107" s="11"/>
      <c r="I1107" s="15"/>
    </row>
    <row r="1108" spans="1:9" ht="16.5">
      <c r="A1108" s="10" t="b">
        <v>0</v>
      </c>
      <c r="B1108" s="11" t="str">
        <f>IF(D1108&lt;&gt;"",IF(COUNTIF('USPTO TMs'!A:A,D1108)&gt;0,"Yes","No"),"")</f>
        <v/>
      </c>
      <c r="C1108" s="11"/>
      <c r="D1108" s="11"/>
      <c r="E1108" s="11"/>
      <c r="F1108" s="11"/>
      <c r="G1108" s="11"/>
      <c r="H1108" s="11"/>
      <c r="I1108" s="15"/>
    </row>
    <row r="1109" spans="1:9" ht="16.5">
      <c r="A1109" s="10" t="b">
        <v>0</v>
      </c>
      <c r="B1109" s="11" t="str">
        <f>IF(D1109&lt;&gt;"",IF(COUNTIF('USPTO TMs'!A:A,D1109)&gt;0,"Yes","No"),"")</f>
        <v/>
      </c>
      <c r="C1109" s="11"/>
      <c r="D1109" s="11"/>
      <c r="E1109" s="11"/>
      <c r="F1109" s="11"/>
      <c r="G1109" s="11"/>
      <c r="H1109" s="11"/>
      <c r="I1109" s="15"/>
    </row>
    <row r="1110" spans="1:9" ht="16.5">
      <c r="A1110" s="10" t="b">
        <v>0</v>
      </c>
      <c r="B1110" s="11" t="str">
        <f>IF(D1110&lt;&gt;"",IF(COUNTIF('USPTO TMs'!A:A,D1110)&gt;0,"Yes","No"),"")</f>
        <v/>
      </c>
      <c r="C1110" s="11"/>
      <c r="D1110" s="11"/>
      <c r="E1110" s="11"/>
      <c r="F1110" s="11"/>
      <c r="G1110" s="11"/>
      <c r="H1110" s="11"/>
      <c r="I1110" s="15"/>
    </row>
    <row r="1111" spans="1:9" ht="16.5">
      <c r="A1111" s="10" t="b">
        <v>0</v>
      </c>
      <c r="B1111" s="11" t="str">
        <f>IF(D1111&lt;&gt;"",IF(COUNTIF('USPTO TMs'!A:A,D1111)&gt;0,"Yes","No"),"")</f>
        <v/>
      </c>
      <c r="C1111" s="11"/>
      <c r="D1111" s="11"/>
      <c r="E1111" s="11"/>
      <c r="F1111" s="11"/>
      <c r="G1111" s="11"/>
      <c r="H1111" s="11"/>
      <c r="I1111" s="15"/>
    </row>
    <row r="1112" spans="1:9" ht="16.5">
      <c r="A1112" s="10" t="b">
        <v>0</v>
      </c>
      <c r="B1112" s="11" t="str">
        <f>IF(D1112&lt;&gt;"",IF(COUNTIF('USPTO TMs'!A:A,D1112)&gt;0,"Yes","No"),"")</f>
        <v/>
      </c>
      <c r="C1112" s="11"/>
      <c r="D1112" s="11"/>
      <c r="E1112" s="11"/>
      <c r="F1112" s="11"/>
      <c r="G1112" s="11"/>
      <c r="H1112" s="11"/>
      <c r="I1112" s="15"/>
    </row>
    <row r="1113" spans="1:9" ht="16.5">
      <c r="A1113" s="10" t="b">
        <v>0</v>
      </c>
      <c r="B1113" s="11" t="str">
        <f>IF(D1113&lt;&gt;"",IF(COUNTIF('USPTO TMs'!A:A,D1113)&gt;0,"Yes","No"),"")</f>
        <v/>
      </c>
      <c r="C1113" s="11"/>
      <c r="D1113" s="11"/>
      <c r="E1113" s="11"/>
      <c r="F1113" s="11"/>
      <c r="G1113" s="11"/>
      <c r="H1113" s="11"/>
      <c r="I1113" s="15"/>
    </row>
    <row r="1114" spans="1:9" ht="16.5">
      <c r="A1114" s="10" t="b">
        <v>0</v>
      </c>
      <c r="B1114" s="11" t="str">
        <f>IF(D1114&lt;&gt;"",IF(COUNTIF('USPTO TMs'!A:A,D1114)&gt;0,"Yes","No"),"")</f>
        <v/>
      </c>
      <c r="C1114" s="11"/>
      <c r="D1114" s="11"/>
      <c r="E1114" s="11"/>
      <c r="F1114" s="11"/>
      <c r="G1114" s="11"/>
      <c r="H1114" s="11"/>
      <c r="I1114" s="15"/>
    </row>
    <row r="1115" spans="1:9" ht="16.5">
      <c r="A1115" s="10" t="b">
        <v>0</v>
      </c>
      <c r="B1115" s="11" t="str">
        <f>IF(D1115&lt;&gt;"",IF(COUNTIF('USPTO TMs'!A:A,D1115)&gt;0,"Yes","No"),"")</f>
        <v/>
      </c>
      <c r="C1115" s="11"/>
      <c r="D1115" s="11"/>
      <c r="E1115" s="11"/>
      <c r="F1115" s="11"/>
      <c r="G1115" s="11"/>
      <c r="H1115" s="11"/>
      <c r="I1115" s="15"/>
    </row>
    <row r="1116" spans="1:9" ht="16.5">
      <c r="A1116" s="10" t="b">
        <v>0</v>
      </c>
      <c r="B1116" s="11" t="str">
        <f>IF(D1116&lt;&gt;"",IF(COUNTIF('USPTO TMs'!A:A,D1116)&gt;0,"Yes","No"),"")</f>
        <v/>
      </c>
      <c r="C1116" s="11"/>
      <c r="D1116" s="11"/>
      <c r="E1116" s="11"/>
      <c r="F1116" s="11"/>
      <c r="G1116" s="11"/>
      <c r="H1116" s="11"/>
      <c r="I1116" s="15"/>
    </row>
    <row r="1117" spans="1:9" ht="16.5">
      <c r="A1117" s="10" t="b">
        <v>0</v>
      </c>
      <c r="B1117" s="11" t="str">
        <f>IF(D1117&lt;&gt;"",IF(COUNTIF('USPTO TMs'!A:A,D1117)&gt;0,"Yes","No"),"")</f>
        <v/>
      </c>
      <c r="C1117" s="11"/>
      <c r="D1117" s="11"/>
      <c r="E1117" s="11"/>
      <c r="F1117" s="11"/>
      <c r="G1117" s="11"/>
      <c r="H1117" s="11"/>
      <c r="I1117" s="15"/>
    </row>
    <row r="1118" spans="1:9" ht="16.5">
      <c r="A1118" s="10" t="b">
        <v>0</v>
      </c>
      <c r="B1118" s="11" t="str">
        <f>IF(D1118&lt;&gt;"",IF(COUNTIF('USPTO TMs'!A:A,D1118)&gt;0,"Yes","No"),"")</f>
        <v/>
      </c>
      <c r="C1118" s="11"/>
      <c r="D1118" s="11"/>
      <c r="E1118" s="11"/>
      <c r="F1118" s="11"/>
      <c r="G1118" s="11"/>
      <c r="H1118" s="11"/>
      <c r="I1118" s="15"/>
    </row>
    <row r="1119" spans="1:9" ht="16.5">
      <c r="A1119" s="10" t="b">
        <v>0</v>
      </c>
      <c r="B1119" s="11" t="str">
        <f>IF(D1119&lt;&gt;"",IF(COUNTIF('USPTO TMs'!A:A,D1119)&gt;0,"Yes","No"),"")</f>
        <v/>
      </c>
      <c r="C1119" s="11"/>
      <c r="D1119" s="11"/>
      <c r="E1119" s="11"/>
      <c r="F1119" s="11"/>
      <c r="G1119" s="11"/>
      <c r="H1119" s="11"/>
      <c r="I1119" s="15"/>
    </row>
    <row r="1120" spans="1:9" ht="16.5">
      <c r="A1120" s="10" t="b">
        <v>0</v>
      </c>
      <c r="B1120" s="11" t="str">
        <f>IF(D1120&lt;&gt;"",IF(COUNTIF('USPTO TMs'!A:A,D1120)&gt;0,"Yes","No"),"")</f>
        <v/>
      </c>
      <c r="C1120" s="11"/>
      <c r="D1120" s="11"/>
      <c r="E1120" s="11"/>
      <c r="F1120" s="11"/>
      <c r="G1120" s="11"/>
      <c r="H1120" s="11"/>
      <c r="I1120" s="15"/>
    </row>
    <row r="1121" spans="1:9" ht="16.5">
      <c r="A1121" s="10" t="b">
        <v>0</v>
      </c>
      <c r="B1121" s="11" t="str">
        <f>IF(D1121&lt;&gt;"",IF(COUNTIF('USPTO TMs'!A:A,D1121)&gt;0,"Yes","No"),"")</f>
        <v/>
      </c>
      <c r="C1121" s="11"/>
      <c r="D1121" s="11"/>
      <c r="E1121" s="11"/>
      <c r="F1121" s="11"/>
      <c r="G1121" s="11"/>
      <c r="H1121" s="11"/>
      <c r="I1121" s="15"/>
    </row>
    <row r="1122" spans="1:9" ht="16.5">
      <c r="A1122" s="10" t="b">
        <v>0</v>
      </c>
      <c r="B1122" s="11" t="str">
        <f>IF(D1122&lt;&gt;"",IF(COUNTIF('USPTO TMs'!A:A,D1122)&gt;0,"Yes","No"),"")</f>
        <v/>
      </c>
      <c r="C1122" s="11"/>
      <c r="D1122" s="11"/>
      <c r="E1122" s="11"/>
      <c r="F1122" s="11"/>
      <c r="G1122" s="11"/>
      <c r="H1122" s="11"/>
      <c r="I1122" s="15"/>
    </row>
    <row r="1123" spans="1:9" ht="16.5">
      <c r="A1123" s="10" t="b">
        <v>0</v>
      </c>
      <c r="B1123" s="11" t="str">
        <f>IF(D1123&lt;&gt;"",IF(COUNTIF('USPTO TMs'!A:A,D1123)&gt;0,"Yes","No"),"")</f>
        <v/>
      </c>
      <c r="C1123" s="11"/>
      <c r="D1123" s="11"/>
      <c r="E1123" s="11"/>
      <c r="F1123" s="11"/>
      <c r="G1123" s="11"/>
      <c r="H1123" s="11"/>
      <c r="I1123" s="15"/>
    </row>
    <row r="1124" spans="1:9" ht="16.5">
      <c r="A1124" s="10" t="b">
        <v>0</v>
      </c>
      <c r="B1124" s="11" t="str">
        <f>IF(D1124&lt;&gt;"",IF(COUNTIF('USPTO TMs'!A:A,D1124)&gt;0,"Yes","No"),"")</f>
        <v/>
      </c>
      <c r="C1124" s="11"/>
      <c r="D1124" s="11"/>
      <c r="E1124" s="11"/>
      <c r="F1124" s="11"/>
      <c r="G1124" s="11"/>
      <c r="H1124" s="11"/>
      <c r="I1124" s="15"/>
    </row>
    <row r="1125" spans="1:9" ht="16.5">
      <c r="A1125" s="10" t="b">
        <v>0</v>
      </c>
      <c r="B1125" s="11" t="str">
        <f>IF(D1125&lt;&gt;"",IF(COUNTIF('USPTO TMs'!A:A,D1125)&gt;0,"Yes","No"),"")</f>
        <v/>
      </c>
      <c r="C1125" s="11"/>
      <c r="D1125" s="11"/>
      <c r="E1125" s="11"/>
      <c r="F1125" s="11"/>
      <c r="G1125" s="11"/>
      <c r="H1125" s="11"/>
      <c r="I1125" s="15"/>
    </row>
    <row r="1126" spans="1:9" ht="16.5">
      <c r="A1126" s="10" t="b">
        <v>0</v>
      </c>
      <c r="B1126" s="11" t="str">
        <f>IF(D1126&lt;&gt;"",IF(COUNTIF('USPTO TMs'!A:A,D1126)&gt;0,"Yes","No"),"")</f>
        <v/>
      </c>
      <c r="C1126" s="11"/>
      <c r="D1126" s="11"/>
      <c r="E1126" s="11"/>
      <c r="F1126" s="11"/>
      <c r="G1126" s="11"/>
      <c r="H1126" s="11"/>
      <c r="I1126" s="15"/>
    </row>
    <row r="1127" spans="1:9" ht="16.5">
      <c r="A1127" s="10" t="b">
        <v>0</v>
      </c>
      <c r="B1127" s="11" t="str">
        <f>IF(D1127&lt;&gt;"",IF(COUNTIF('USPTO TMs'!A:A,D1127)&gt;0,"Yes","No"),"")</f>
        <v/>
      </c>
      <c r="C1127" s="11"/>
      <c r="D1127" s="11"/>
      <c r="E1127" s="11"/>
      <c r="F1127" s="11"/>
      <c r="G1127" s="11"/>
      <c r="H1127" s="11"/>
      <c r="I1127" s="15"/>
    </row>
    <row r="1128" spans="1:9" ht="16.5">
      <c r="A1128" s="10" t="b">
        <v>0</v>
      </c>
      <c r="B1128" s="11" t="str">
        <f>IF(D1128&lt;&gt;"",IF(COUNTIF('USPTO TMs'!A:A,D1128)&gt;0,"Yes","No"),"")</f>
        <v/>
      </c>
      <c r="C1128" s="11"/>
      <c r="D1128" s="11"/>
      <c r="E1128" s="11"/>
      <c r="F1128" s="11"/>
      <c r="G1128" s="11"/>
      <c r="H1128" s="11"/>
      <c r="I1128" s="15"/>
    </row>
    <row r="1129" spans="1:9" ht="16.5">
      <c r="A1129" s="10" t="b">
        <v>0</v>
      </c>
      <c r="B1129" s="11" t="str">
        <f>IF(D1129&lt;&gt;"",IF(COUNTIF('USPTO TMs'!A:A,D1129)&gt;0,"Yes","No"),"")</f>
        <v/>
      </c>
      <c r="C1129" s="11"/>
      <c r="D1129" s="11"/>
      <c r="E1129" s="11"/>
      <c r="F1129" s="11"/>
      <c r="G1129" s="11"/>
      <c r="H1129" s="11"/>
      <c r="I1129" s="15"/>
    </row>
    <row r="1130" spans="1:9" ht="16.5">
      <c r="A1130" s="10" t="b">
        <v>0</v>
      </c>
      <c r="B1130" s="11" t="str">
        <f>IF(D1130&lt;&gt;"",IF(COUNTIF('USPTO TMs'!A:A,D1130)&gt;0,"Yes","No"),"")</f>
        <v/>
      </c>
      <c r="C1130" s="11"/>
      <c r="D1130" s="11"/>
      <c r="E1130" s="11"/>
      <c r="F1130" s="11"/>
      <c r="G1130" s="11"/>
      <c r="H1130" s="11"/>
      <c r="I1130" s="15"/>
    </row>
    <row r="1131" spans="1:9" ht="16.5">
      <c r="A1131" s="10" t="b">
        <v>0</v>
      </c>
      <c r="B1131" s="11" t="str">
        <f>IF(D1131&lt;&gt;"",IF(COUNTIF('USPTO TMs'!A:A,D1131)&gt;0,"Yes","No"),"")</f>
        <v/>
      </c>
      <c r="C1131" s="11"/>
      <c r="D1131" s="11"/>
      <c r="E1131" s="11"/>
      <c r="F1131" s="11"/>
      <c r="G1131" s="11"/>
      <c r="H1131" s="11"/>
      <c r="I1131" s="15"/>
    </row>
    <row r="1132" spans="1:9" ht="16.5">
      <c r="A1132" s="10" t="b">
        <v>0</v>
      </c>
      <c r="B1132" s="11" t="str">
        <f>IF(D1132&lt;&gt;"",IF(COUNTIF('USPTO TMs'!A:A,D1132)&gt;0,"Yes","No"),"")</f>
        <v/>
      </c>
      <c r="C1132" s="11"/>
      <c r="D1132" s="11"/>
      <c r="E1132" s="11"/>
      <c r="F1132" s="11"/>
      <c r="G1132" s="11"/>
      <c r="H1132" s="11"/>
      <c r="I1132" s="15"/>
    </row>
    <row r="1133" spans="1:9" ht="16.5">
      <c r="A1133" s="10" t="b">
        <v>0</v>
      </c>
      <c r="B1133" s="11" t="str">
        <f>IF(D1133&lt;&gt;"",IF(COUNTIF('USPTO TMs'!A:A,D1133)&gt;0,"Yes","No"),"")</f>
        <v/>
      </c>
      <c r="C1133" s="11"/>
      <c r="D1133" s="11"/>
      <c r="E1133" s="11"/>
      <c r="F1133" s="11"/>
      <c r="G1133" s="11"/>
      <c r="H1133" s="11"/>
      <c r="I1133" s="15"/>
    </row>
    <row r="1134" spans="1:9" ht="16.5">
      <c r="A1134" s="10" t="b">
        <v>0</v>
      </c>
      <c r="B1134" s="11" t="str">
        <f>IF(D1134&lt;&gt;"",IF(COUNTIF('USPTO TMs'!A:A,D1134)&gt;0,"Yes","No"),"")</f>
        <v/>
      </c>
      <c r="C1134" s="11"/>
      <c r="D1134" s="11"/>
      <c r="E1134" s="11"/>
      <c r="F1134" s="11"/>
      <c r="G1134" s="11"/>
      <c r="H1134" s="11"/>
      <c r="I1134" s="15"/>
    </row>
    <row r="1135" spans="1:9" ht="16.5">
      <c r="A1135" s="10" t="b">
        <v>0</v>
      </c>
      <c r="B1135" s="11" t="str">
        <f>IF(D1135&lt;&gt;"",IF(COUNTIF('USPTO TMs'!A:A,D1135)&gt;0,"Yes","No"),"")</f>
        <v/>
      </c>
      <c r="C1135" s="11"/>
      <c r="D1135" s="11"/>
      <c r="E1135" s="11"/>
      <c r="F1135" s="11"/>
      <c r="G1135" s="11"/>
      <c r="H1135" s="11"/>
      <c r="I1135" s="15"/>
    </row>
    <row r="1136" spans="1:9" ht="16.5">
      <c r="A1136" s="10" t="b">
        <v>0</v>
      </c>
      <c r="B1136" s="11" t="str">
        <f>IF(D1136&lt;&gt;"",IF(COUNTIF('USPTO TMs'!A:A,D1136)&gt;0,"Yes","No"),"")</f>
        <v/>
      </c>
      <c r="C1136" s="11"/>
      <c r="D1136" s="11"/>
      <c r="E1136" s="11"/>
      <c r="F1136" s="11"/>
      <c r="G1136" s="11"/>
      <c r="H1136" s="11"/>
      <c r="I1136" s="15"/>
    </row>
    <row r="1137" spans="1:9" ht="16.5">
      <c r="A1137" s="10" t="b">
        <v>0</v>
      </c>
      <c r="B1137" s="11" t="str">
        <f>IF(D1137&lt;&gt;"",IF(COUNTIF('USPTO TMs'!A:A,D1137)&gt;0,"Yes","No"),"")</f>
        <v/>
      </c>
      <c r="C1137" s="11"/>
      <c r="D1137" s="11"/>
      <c r="E1137" s="11"/>
      <c r="F1137" s="11"/>
      <c r="G1137" s="11"/>
      <c r="H1137" s="11"/>
      <c r="I1137" s="15"/>
    </row>
    <row r="1138" spans="1:9" ht="16.5">
      <c r="A1138" s="10" t="b">
        <v>0</v>
      </c>
      <c r="B1138" s="11" t="str">
        <f>IF(D1138&lt;&gt;"",IF(COUNTIF('USPTO TMs'!A:A,D1138)&gt;0,"Yes","No"),"")</f>
        <v/>
      </c>
      <c r="C1138" s="11"/>
      <c r="D1138" s="11"/>
      <c r="E1138" s="11"/>
      <c r="F1138" s="11"/>
      <c r="G1138" s="11"/>
      <c r="H1138" s="11"/>
      <c r="I1138" s="15"/>
    </row>
    <row r="1139" spans="1:9" ht="16.5">
      <c r="A1139" s="10" t="b">
        <v>0</v>
      </c>
      <c r="B1139" s="11" t="str">
        <f>IF(D1139&lt;&gt;"",IF(COUNTIF('USPTO TMs'!A:A,D1139)&gt;0,"Yes","No"),"")</f>
        <v/>
      </c>
      <c r="C1139" s="11"/>
      <c r="D1139" s="11"/>
      <c r="E1139" s="11"/>
      <c r="F1139" s="11"/>
      <c r="G1139" s="11"/>
      <c r="H1139" s="11"/>
      <c r="I1139" s="15"/>
    </row>
    <row r="1140" spans="1:9" ht="16.5">
      <c r="A1140" s="10" t="b">
        <v>0</v>
      </c>
      <c r="B1140" s="11" t="str">
        <f>IF(D1140&lt;&gt;"",IF(COUNTIF('USPTO TMs'!A:A,D1140)&gt;0,"Yes","No"),"")</f>
        <v/>
      </c>
      <c r="C1140" s="11"/>
      <c r="D1140" s="11"/>
      <c r="E1140" s="11"/>
      <c r="F1140" s="11"/>
      <c r="G1140" s="11"/>
      <c r="H1140" s="11"/>
      <c r="I1140" s="15"/>
    </row>
    <row r="1141" spans="1:9" ht="16.5">
      <c r="A1141" s="10" t="b">
        <v>0</v>
      </c>
      <c r="B1141" s="11" t="str">
        <f>IF(D1141&lt;&gt;"",IF(COUNTIF('USPTO TMs'!A:A,D1141)&gt;0,"Yes","No"),"")</f>
        <v/>
      </c>
      <c r="C1141" s="11"/>
      <c r="D1141" s="11"/>
      <c r="E1141" s="11"/>
      <c r="F1141" s="11"/>
      <c r="G1141" s="11"/>
      <c r="H1141" s="11"/>
      <c r="I1141" s="15"/>
    </row>
    <row r="1142" spans="1:9" ht="16.5">
      <c r="A1142" s="10" t="b">
        <v>0</v>
      </c>
      <c r="B1142" s="11" t="str">
        <f>IF(D1142&lt;&gt;"",IF(COUNTIF('USPTO TMs'!A:A,D1142)&gt;0,"Yes","No"),"")</f>
        <v/>
      </c>
      <c r="C1142" s="11"/>
      <c r="D1142" s="11"/>
      <c r="E1142" s="11"/>
      <c r="F1142" s="11"/>
      <c r="G1142" s="11"/>
      <c r="H1142" s="11"/>
      <c r="I1142" s="15"/>
    </row>
    <row r="1143" spans="1:9" ht="16.5">
      <c r="A1143" s="10" t="b">
        <v>0</v>
      </c>
      <c r="B1143" s="11" t="str">
        <f>IF(D1143&lt;&gt;"",IF(COUNTIF('USPTO TMs'!A:A,D1143)&gt;0,"Yes","No"),"")</f>
        <v/>
      </c>
      <c r="C1143" s="11"/>
      <c r="D1143" s="11"/>
      <c r="E1143" s="11"/>
      <c r="F1143" s="11"/>
      <c r="G1143" s="11"/>
      <c r="H1143" s="11"/>
      <c r="I1143" s="15"/>
    </row>
    <row r="1144" spans="1:9" ht="16.5">
      <c r="A1144" s="10" t="b">
        <v>0</v>
      </c>
      <c r="B1144" s="11" t="str">
        <f>IF(D1144&lt;&gt;"",IF(COUNTIF('USPTO TMs'!A:A,D1144)&gt;0,"Yes","No"),"")</f>
        <v/>
      </c>
      <c r="C1144" s="11"/>
      <c r="D1144" s="11"/>
      <c r="E1144" s="11"/>
      <c r="F1144" s="11"/>
      <c r="G1144" s="11"/>
      <c r="H1144" s="11"/>
      <c r="I1144" s="15"/>
    </row>
    <row r="1145" spans="1:9" ht="16.5">
      <c r="A1145" s="10" t="b">
        <v>0</v>
      </c>
      <c r="B1145" s="11" t="str">
        <f>IF(D1145&lt;&gt;"",IF(COUNTIF('USPTO TMs'!A:A,D1145)&gt;0,"Yes","No"),"")</f>
        <v/>
      </c>
      <c r="C1145" s="11"/>
      <c r="D1145" s="11"/>
      <c r="E1145" s="11"/>
      <c r="F1145" s="11"/>
      <c r="G1145" s="11"/>
      <c r="H1145" s="11"/>
      <c r="I1145" s="15"/>
    </row>
    <row r="1146" spans="1:9" ht="16.5">
      <c r="A1146" s="10" t="b">
        <v>0</v>
      </c>
      <c r="B1146" s="11" t="str">
        <f>IF(D1146&lt;&gt;"",IF(COUNTIF('USPTO TMs'!A:A,D1146)&gt;0,"Yes","No"),"")</f>
        <v/>
      </c>
      <c r="C1146" s="11"/>
      <c r="D1146" s="11"/>
      <c r="E1146" s="11"/>
      <c r="F1146" s="11"/>
      <c r="G1146" s="11"/>
      <c r="H1146" s="11"/>
      <c r="I1146" s="15"/>
    </row>
    <row r="1147" spans="1:9" ht="16.5">
      <c r="A1147" s="10" t="b">
        <v>0</v>
      </c>
      <c r="B1147" s="11" t="str">
        <f>IF(D1147&lt;&gt;"",IF(COUNTIF('USPTO TMs'!A:A,D1147)&gt;0,"Yes","No"),"")</f>
        <v/>
      </c>
      <c r="C1147" s="11"/>
      <c r="D1147" s="11"/>
      <c r="E1147" s="11"/>
      <c r="F1147" s="11"/>
      <c r="G1147" s="11"/>
      <c r="H1147" s="11"/>
      <c r="I1147" s="15"/>
    </row>
    <row r="1148" spans="1:9" ht="16.5">
      <c r="A1148" s="10" t="b">
        <v>0</v>
      </c>
      <c r="B1148" s="11" t="str">
        <f>IF(D1148&lt;&gt;"",IF(COUNTIF('USPTO TMs'!A:A,D1148)&gt;0,"Yes","No"),"")</f>
        <v/>
      </c>
      <c r="C1148" s="11"/>
      <c r="D1148" s="11"/>
      <c r="E1148" s="11"/>
      <c r="F1148" s="11"/>
      <c r="G1148" s="11"/>
      <c r="H1148" s="11"/>
      <c r="I1148" s="15"/>
    </row>
    <row r="1149" spans="1:9" ht="16.5">
      <c r="A1149" s="10" t="b">
        <v>0</v>
      </c>
      <c r="B1149" s="11" t="str">
        <f>IF(D1149&lt;&gt;"",IF(COUNTIF('USPTO TMs'!A:A,D1149)&gt;0,"Yes","No"),"")</f>
        <v/>
      </c>
      <c r="C1149" s="11"/>
      <c r="D1149" s="11"/>
      <c r="E1149" s="11"/>
      <c r="F1149" s="11"/>
      <c r="G1149" s="11"/>
      <c r="H1149" s="11"/>
      <c r="I1149" s="15"/>
    </row>
    <row r="1150" spans="1:9" ht="16.5">
      <c r="A1150" s="10" t="b">
        <v>0</v>
      </c>
      <c r="B1150" s="11" t="str">
        <f>IF(D1150&lt;&gt;"",IF(COUNTIF('USPTO TMs'!A:A,D1150)&gt;0,"Yes","No"),"")</f>
        <v/>
      </c>
      <c r="C1150" s="11"/>
      <c r="D1150" s="11"/>
      <c r="E1150" s="11"/>
      <c r="F1150" s="11"/>
      <c r="G1150" s="11"/>
      <c r="H1150" s="11"/>
      <c r="I1150" s="15"/>
    </row>
    <row r="1151" spans="1:9" ht="16.5">
      <c r="A1151" s="10" t="b">
        <v>0</v>
      </c>
      <c r="B1151" s="11" t="str">
        <f>IF(D1151&lt;&gt;"",IF(COUNTIF('USPTO TMs'!A:A,D1151)&gt;0,"Yes","No"),"")</f>
        <v/>
      </c>
      <c r="C1151" s="11"/>
      <c r="D1151" s="11"/>
      <c r="E1151" s="11"/>
      <c r="F1151" s="11"/>
      <c r="G1151" s="11"/>
      <c r="H1151" s="11"/>
      <c r="I1151" s="15"/>
    </row>
    <row r="1152" spans="1:9" ht="16.5">
      <c r="A1152" s="10" t="b">
        <v>0</v>
      </c>
      <c r="B1152" s="11" t="str">
        <f>IF(D1152&lt;&gt;"",IF(COUNTIF('USPTO TMs'!A:A,D1152)&gt;0,"Yes","No"),"")</f>
        <v/>
      </c>
      <c r="C1152" s="11"/>
      <c r="D1152" s="11"/>
      <c r="E1152" s="11"/>
      <c r="F1152" s="11"/>
      <c r="G1152" s="11"/>
      <c r="H1152" s="11"/>
      <c r="I1152" s="15"/>
    </row>
    <row r="1153" spans="1:9" ht="16.5">
      <c r="A1153" s="10" t="b">
        <v>0</v>
      </c>
      <c r="B1153" s="11" t="str">
        <f>IF(D1153&lt;&gt;"",IF(COUNTIF('USPTO TMs'!A:A,D1153)&gt;0,"Yes","No"),"")</f>
        <v/>
      </c>
      <c r="C1153" s="11"/>
      <c r="D1153" s="11"/>
      <c r="E1153" s="11"/>
      <c r="F1153" s="11"/>
      <c r="G1153" s="11"/>
      <c r="H1153" s="11"/>
      <c r="I1153" s="15"/>
    </row>
    <row r="1154" spans="1:9" ht="16.5">
      <c r="A1154" s="10" t="b">
        <v>0</v>
      </c>
      <c r="B1154" s="11" t="str">
        <f>IF(D1154&lt;&gt;"",IF(COUNTIF('USPTO TMs'!A:A,D1154)&gt;0,"Yes","No"),"")</f>
        <v/>
      </c>
      <c r="C1154" s="11"/>
      <c r="D1154" s="11"/>
      <c r="E1154" s="11"/>
      <c r="F1154" s="11"/>
      <c r="G1154" s="11"/>
      <c r="H1154" s="11"/>
      <c r="I1154" s="15"/>
    </row>
    <row r="1155" spans="1:9" ht="16.5">
      <c r="A1155" s="10" t="b">
        <v>0</v>
      </c>
      <c r="B1155" s="11" t="str">
        <f>IF(D1155&lt;&gt;"",IF(COUNTIF('USPTO TMs'!A:A,D1155)&gt;0,"Yes","No"),"")</f>
        <v/>
      </c>
      <c r="C1155" s="11"/>
      <c r="D1155" s="11"/>
      <c r="E1155" s="11"/>
      <c r="F1155" s="11"/>
      <c r="G1155" s="11"/>
      <c r="H1155" s="11"/>
      <c r="I1155" s="15"/>
    </row>
    <row r="1156" spans="1:9" ht="16.5">
      <c r="A1156" s="10" t="b">
        <v>0</v>
      </c>
      <c r="B1156" s="11" t="str">
        <f>IF(D1156&lt;&gt;"",IF(COUNTIF('USPTO TMs'!A:A,D1156)&gt;0,"Yes","No"),"")</f>
        <v/>
      </c>
      <c r="C1156" s="11"/>
      <c r="D1156" s="11"/>
      <c r="E1156" s="11"/>
      <c r="F1156" s="11"/>
      <c r="G1156" s="11"/>
      <c r="H1156" s="11"/>
      <c r="I1156" s="15"/>
    </row>
    <row r="1157" spans="1:9" ht="16.5">
      <c r="A1157" s="10" t="b">
        <v>0</v>
      </c>
      <c r="B1157" s="11" t="str">
        <f>IF(D1157&lt;&gt;"",IF(COUNTIF('USPTO TMs'!A:A,D1157)&gt;0,"Yes","No"),"")</f>
        <v/>
      </c>
      <c r="C1157" s="11"/>
      <c r="D1157" s="11"/>
      <c r="E1157" s="11"/>
      <c r="F1157" s="11"/>
      <c r="G1157" s="11"/>
      <c r="H1157" s="11"/>
      <c r="I1157" s="15"/>
    </row>
    <row r="1158" spans="1:9" ht="16.5">
      <c r="A1158" s="10" t="b">
        <v>0</v>
      </c>
      <c r="B1158" s="11" t="str">
        <f>IF(D1158&lt;&gt;"",IF(COUNTIF('USPTO TMs'!A:A,D1158)&gt;0,"Yes","No"),"")</f>
        <v/>
      </c>
      <c r="C1158" s="11"/>
      <c r="D1158" s="11"/>
      <c r="E1158" s="11"/>
      <c r="F1158" s="11"/>
      <c r="G1158" s="11"/>
      <c r="H1158" s="11"/>
      <c r="I1158" s="15"/>
    </row>
    <row r="1159" spans="1:9" ht="16.5">
      <c r="A1159" s="10" t="b">
        <v>0</v>
      </c>
      <c r="B1159" s="11" t="str">
        <f>IF(D1159&lt;&gt;"",IF(COUNTIF('USPTO TMs'!A:A,D1159)&gt;0,"Yes","No"),"")</f>
        <v/>
      </c>
      <c r="C1159" s="11"/>
      <c r="D1159" s="11"/>
      <c r="E1159" s="11"/>
      <c r="F1159" s="11"/>
      <c r="G1159" s="11"/>
      <c r="H1159" s="11"/>
      <c r="I1159" s="15"/>
    </row>
    <row r="1160" spans="1:9" ht="16.5">
      <c r="A1160" s="10" t="b">
        <v>0</v>
      </c>
      <c r="B1160" s="11" t="str">
        <f>IF(D1160&lt;&gt;"",IF(COUNTIF('USPTO TMs'!A:A,D1160)&gt;0,"Yes","No"),"")</f>
        <v/>
      </c>
      <c r="C1160" s="11"/>
      <c r="D1160" s="11"/>
      <c r="E1160" s="11"/>
      <c r="F1160" s="11"/>
      <c r="G1160" s="11"/>
      <c r="H1160" s="11"/>
      <c r="I1160" s="15"/>
    </row>
    <row r="1161" spans="1:9" ht="16.5">
      <c r="A1161" s="10" t="b">
        <v>0</v>
      </c>
      <c r="B1161" s="11" t="str">
        <f>IF(D1161&lt;&gt;"",IF(COUNTIF('USPTO TMs'!A:A,D1161)&gt;0,"Yes","No"),"")</f>
        <v/>
      </c>
      <c r="C1161" s="11"/>
      <c r="D1161" s="11"/>
      <c r="E1161" s="11"/>
      <c r="F1161" s="11"/>
      <c r="G1161" s="11"/>
      <c r="H1161" s="11"/>
      <c r="I1161" s="15"/>
    </row>
    <row r="1162" spans="1:9" ht="16.5">
      <c r="A1162" s="10" t="b">
        <v>0</v>
      </c>
      <c r="B1162" s="11" t="str">
        <f>IF(D1162&lt;&gt;"",IF(COUNTIF('USPTO TMs'!A:A,D1162)&gt;0,"Yes","No"),"")</f>
        <v/>
      </c>
      <c r="C1162" s="11"/>
      <c r="D1162" s="11"/>
      <c r="E1162" s="11"/>
      <c r="F1162" s="11"/>
      <c r="G1162" s="11"/>
      <c r="H1162" s="11"/>
      <c r="I1162" s="15"/>
    </row>
    <row r="1163" spans="1:9" ht="16.5">
      <c r="A1163" s="10" t="b">
        <v>0</v>
      </c>
      <c r="B1163" s="11" t="str">
        <f>IF(D1163&lt;&gt;"",IF(COUNTIF('USPTO TMs'!A:A,D1163)&gt;0,"Yes","No"),"")</f>
        <v/>
      </c>
      <c r="C1163" s="11"/>
      <c r="D1163" s="11"/>
      <c r="E1163" s="11"/>
      <c r="F1163" s="11"/>
      <c r="G1163" s="11"/>
      <c r="H1163" s="11"/>
      <c r="I1163" s="15"/>
    </row>
    <row r="1164" spans="1:9" ht="16.5">
      <c r="A1164" s="10" t="b">
        <v>0</v>
      </c>
      <c r="B1164" s="11" t="str">
        <f>IF(D1164&lt;&gt;"",IF(COUNTIF('USPTO TMs'!A:A,D1164)&gt;0,"Yes","No"),"")</f>
        <v/>
      </c>
      <c r="C1164" s="11"/>
      <c r="D1164" s="11"/>
      <c r="E1164" s="11"/>
      <c r="F1164" s="11"/>
      <c r="G1164" s="11"/>
      <c r="H1164" s="11"/>
      <c r="I1164" s="15"/>
    </row>
    <row r="1165" spans="1:9" ht="16.5">
      <c r="A1165" s="10" t="b">
        <v>0</v>
      </c>
      <c r="B1165" s="11" t="str">
        <f>IF(D1165&lt;&gt;"",IF(COUNTIF('USPTO TMs'!A:A,D1165)&gt;0,"Yes","No"),"")</f>
        <v/>
      </c>
      <c r="C1165" s="11"/>
      <c r="D1165" s="11"/>
      <c r="E1165" s="11"/>
      <c r="F1165" s="11"/>
      <c r="G1165" s="11"/>
      <c r="H1165" s="11"/>
      <c r="I1165" s="15"/>
    </row>
    <row r="1166" spans="1:9" ht="16.5">
      <c r="A1166" s="10" t="b">
        <v>0</v>
      </c>
      <c r="B1166" s="11" t="str">
        <f>IF(D1166&lt;&gt;"",IF(COUNTIF('USPTO TMs'!A:A,D1166)&gt;0,"Yes","No"),"")</f>
        <v/>
      </c>
      <c r="C1166" s="11"/>
      <c r="D1166" s="11"/>
      <c r="E1166" s="11"/>
      <c r="F1166" s="11"/>
      <c r="G1166" s="11"/>
      <c r="H1166" s="11"/>
      <c r="I1166" s="15"/>
    </row>
    <row r="1167" spans="1:9" ht="16.5">
      <c r="A1167" s="10" t="b">
        <v>0</v>
      </c>
      <c r="B1167" s="11" t="str">
        <f>IF(D1167&lt;&gt;"",IF(COUNTIF('USPTO TMs'!A:A,D1167)&gt;0,"Yes","No"),"")</f>
        <v/>
      </c>
      <c r="C1167" s="11"/>
      <c r="D1167" s="11"/>
      <c r="E1167" s="11"/>
      <c r="F1167" s="11"/>
      <c r="G1167" s="11"/>
      <c r="H1167" s="11"/>
      <c r="I1167" s="15"/>
    </row>
    <row r="1168" spans="1:9" ht="16.5">
      <c r="A1168" s="10" t="b">
        <v>0</v>
      </c>
      <c r="B1168" s="11" t="str">
        <f>IF(D1168&lt;&gt;"",IF(COUNTIF('USPTO TMs'!A:A,D1168)&gt;0,"Yes","No"),"")</f>
        <v/>
      </c>
      <c r="C1168" s="11"/>
      <c r="D1168" s="11"/>
      <c r="E1168" s="11"/>
      <c r="F1168" s="11"/>
      <c r="G1168" s="11"/>
      <c r="H1168" s="11"/>
      <c r="I1168" s="15"/>
    </row>
    <row r="1169" spans="1:9" ht="16.5">
      <c r="A1169" s="10" t="b">
        <v>0</v>
      </c>
      <c r="B1169" s="11" t="str">
        <f>IF(D1169&lt;&gt;"",IF(COUNTIF('USPTO TMs'!A:A,D1169)&gt;0,"Yes","No"),"")</f>
        <v/>
      </c>
      <c r="C1169" s="11"/>
      <c r="D1169" s="11"/>
      <c r="E1169" s="11"/>
      <c r="F1169" s="11"/>
      <c r="G1169" s="11"/>
      <c r="H1169" s="11"/>
      <c r="I1169" s="15"/>
    </row>
    <row r="1170" spans="1:9" ht="16.5">
      <c r="A1170" s="10" t="b">
        <v>0</v>
      </c>
      <c r="B1170" s="11" t="str">
        <f>IF(D1170&lt;&gt;"",IF(COUNTIF('USPTO TMs'!A:A,D1170)&gt;0,"Yes","No"),"")</f>
        <v/>
      </c>
      <c r="C1170" s="11"/>
      <c r="D1170" s="11"/>
      <c r="E1170" s="11"/>
      <c r="F1170" s="11"/>
      <c r="G1170" s="11"/>
      <c r="H1170" s="11"/>
      <c r="I1170" s="15"/>
    </row>
    <row r="1171" spans="1:9" ht="16.5">
      <c r="A1171" s="10" t="b">
        <v>0</v>
      </c>
      <c r="B1171" s="11" t="str">
        <f>IF(D1171&lt;&gt;"",IF(COUNTIF('USPTO TMs'!A:A,D1171)&gt;0,"Yes","No"),"")</f>
        <v/>
      </c>
      <c r="C1171" s="11"/>
      <c r="D1171" s="11"/>
      <c r="E1171" s="11"/>
      <c r="F1171" s="11"/>
      <c r="G1171" s="11"/>
      <c r="H1171" s="11"/>
      <c r="I1171" s="15"/>
    </row>
    <row r="1172" spans="1:9" ht="16.5">
      <c r="A1172" s="10" t="b">
        <v>0</v>
      </c>
      <c r="B1172" s="11" t="str">
        <f>IF(D1172&lt;&gt;"",IF(COUNTIF('USPTO TMs'!A:A,D1172)&gt;0,"Yes","No"),"")</f>
        <v/>
      </c>
      <c r="C1172" s="11"/>
      <c r="D1172" s="11"/>
      <c r="E1172" s="11"/>
      <c r="F1172" s="11"/>
      <c r="G1172" s="11"/>
      <c r="H1172" s="11"/>
      <c r="I1172" s="15"/>
    </row>
    <row r="1173" spans="1:9" ht="16.5">
      <c r="A1173" s="10" t="b">
        <v>0</v>
      </c>
      <c r="B1173" s="11" t="str">
        <f>IF(D1173&lt;&gt;"",IF(COUNTIF('USPTO TMs'!A:A,D1173)&gt;0,"Yes","No"),"")</f>
        <v/>
      </c>
      <c r="C1173" s="11"/>
      <c r="D1173" s="11"/>
      <c r="E1173" s="11"/>
      <c r="F1173" s="11"/>
      <c r="G1173" s="11"/>
      <c r="H1173" s="11"/>
      <c r="I1173" s="15"/>
    </row>
    <row r="1174" spans="1:9" ht="16.5">
      <c r="A1174" s="10" t="b">
        <v>0</v>
      </c>
      <c r="B1174" s="11" t="str">
        <f>IF(D1174&lt;&gt;"",IF(COUNTIF('USPTO TMs'!A:A,D1174)&gt;0,"Yes","No"),"")</f>
        <v/>
      </c>
      <c r="C1174" s="11"/>
      <c r="D1174" s="11"/>
      <c r="E1174" s="11"/>
      <c r="F1174" s="11"/>
      <c r="G1174" s="11"/>
      <c r="H1174" s="11"/>
      <c r="I1174" s="15"/>
    </row>
    <row r="1175" spans="1:9" ht="16.5">
      <c r="A1175" s="10" t="b">
        <v>0</v>
      </c>
      <c r="B1175" s="11" t="str">
        <f>IF(D1175&lt;&gt;"",IF(COUNTIF('USPTO TMs'!A:A,D1175)&gt;0,"Yes","No"),"")</f>
        <v/>
      </c>
      <c r="C1175" s="11"/>
      <c r="D1175" s="11"/>
      <c r="E1175" s="11"/>
      <c r="F1175" s="11"/>
      <c r="G1175" s="11"/>
      <c r="H1175" s="11"/>
      <c r="I1175" s="15"/>
    </row>
    <row r="1176" spans="1:9" ht="16.5">
      <c r="A1176" s="10" t="b">
        <v>0</v>
      </c>
      <c r="B1176" s="11" t="str">
        <f>IF(D1176&lt;&gt;"",IF(COUNTIF('USPTO TMs'!A:A,D1176)&gt;0,"Yes","No"),"")</f>
        <v/>
      </c>
      <c r="C1176" s="11"/>
      <c r="D1176" s="11"/>
      <c r="E1176" s="11"/>
      <c r="F1176" s="11"/>
      <c r="G1176" s="11"/>
      <c r="H1176" s="11"/>
      <c r="I1176" s="15"/>
    </row>
    <row r="1177" spans="1:9" ht="16.5">
      <c r="A1177" s="10" t="b">
        <v>0</v>
      </c>
      <c r="B1177" s="11" t="str">
        <f>IF(D1177&lt;&gt;"",IF(COUNTIF('USPTO TMs'!A:A,D1177)&gt;0,"Yes","No"),"")</f>
        <v/>
      </c>
      <c r="C1177" s="11"/>
      <c r="D1177" s="11"/>
      <c r="E1177" s="11"/>
      <c r="F1177" s="11"/>
      <c r="G1177" s="11"/>
      <c r="H1177" s="11"/>
      <c r="I1177" s="15"/>
    </row>
    <row r="1178" spans="1:9" ht="16.5">
      <c r="A1178" s="10" t="b">
        <v>0</v>
      </c>
      <c r="B1178" s="11" t="str">
        <f>IF(D1178&lt;&gt;"",IF(COUNTIF('USPTO TMs'!A:A,D1178)&gt;0,"Yes","No"),"")</f>
        <v/>
      </c>
      <c r="C1178" s="11"/>
      <c r="D1178" s="11"/>
      <c r="E1178" s="11"/>
      <c r="F1178" s="11"/>
      <c r="G1178" s="11"/>
      <c r="H1178" s="11"/>
      <c r="I1178" s="15"/>
    </row>
    <row r="1179" spans="1:9" ht="16.5">
      <c r="A1179" s="10" t="b">
        <v>0</v>
      </c>
      <c r="B1179" s="11" t="str">
        <f>IF(D1179&lt;&gt;"",IF(COUNTIF('USPTO TMs'!A:A,D1179)&gt;0,"Yes","No"),"")</f>
        <v/>
      </c>
      <c r="C1179" s="11"/>
      <c r="D1179" s="11"/>
      <c r="E1179" s="11"/>
      <c r="F1179" s="11"/>
      <c r="G1179" s="11"/>
      <c r="H1179" s="11"/>
      <c r="I1179" s="15"/>
    </row>
    <row r="1180" spans="1:9" ht="16.5">
      <c r="A1180" s="10" t="b">
        <v>0</v>
      </c>
      <c r="B1180" s="11" t="str">
        <f>IF(D1180&lt;&gt;"",IF(COUNTIF('USPTO TMs'!A:A,D1180)&gt;0,"Yes","No"),"")</f>
        <v/>
      </c>
      <c r="C1180" s="11"/>
      <c r="D1180" s="11"/>
      <c r="E1180" s="11"/>
      <c r="F1180" s="11"/>
      <c r="G1180" s="11"/>
      <c r="H1180" s="11"/>
      <c r="I1180" s="15"/>
    </row>
    <row r="1181" spans="1:9" ht="16.5">
      <c r="A1181" s="10" t="b">
        <v>0</v>
      </c>
      <c r="B1181" s="11" t="str">
        <f>IF(D1181&lt;&gt;"",IF(COUNTIF('USPTO TMs'!A:A,D1181)&gt;0,"Yes","No"),"")</f>
        <v/>
      </c>
      <c r="C1181" s="11"/>
      <c r="D1181" s="11"/>
      <c r="E1181" s="11"/>
      <c r="F1181" s="11"/>
      <c r="G1181" s="11"/>
      <c r="H1181" s="11"/>
      <c r="I1181" s="15"/>
    </row>
    <row r="1182" spans="1:9" ht="16.5">
      <c r="A1182" s="10" t="b">
        <v>0</v>
      </c>
      <c r="B1182" s="11" t="str">
        <f>IF(D1182&lt;&gt;"",IF(COUNTIF('USPTO TMs'!A:A,D1182)&gt;0,"Yes","No"),"")</f>
        <v/>
      </c>
      <c r="C1182" s="11"/>
      <c r="D1182" s="11"/>
      <c r="E1182" s="11"/>
      <c r="F1182" s="11"/>
      <c r="G1182" s="11"/>
      <c r="H1182" s="11"/>
      <c r="I1182" s="15"/>
    </row>
    <row r="1183" spans="1:9" ht="16.5">
      <c r="A1183" s="10" t="b">
        <v>0</v>
      </c>
      <c r="B1183" s="11" t="str">
        <f>IF(D1183&lt;&gt;"",IF(COUNTIF('USPTO TMs'!A:A,D1183)&gt;0,"Yes","No"),"")</f>
        <v/>
      </c>
      <c r="C1183" s="11"/>
      <c r="D1183" s="11"/>
      <c r="E1183" s="11"/>
      <c r="F1183" s="11"/>
      <c r="G1183" s="11"/>
      <c r="H1183" s="11"/>
      <c r="I1183" s="15"/>
    </row>
    <row r="1184" spans="1:9" ht="16.5">
      <c r="A1184" s="10" t="b">
        <v>0</v>
      </c>
      <c r="B1184" s="11" t="str">
        <f>IF(D1184&lt;&gt;"",IF(COUNTIF('USPTO TMs'!A:A,D1184)&gt;0,"Yes","No"),"")</f>
        <v/>
      </c>
      <c r="C1184" s="11"/>
      <c r="D1184" s="11"/>
      <c r="E1184" s="11"/>
      <c r="F1184" s="11"/>
      <c r="G1184" s="11"/>
      <c r="H1184" s="11"/>
      <c r="I1184" s="15"/>
    </row>
    <row r="1185" spans="1:9" ht="16.5">
      <c r="A1185" s="10" t="b">
        <v>0</v>
      </c>
      <c r="B1185" s="11" t="str">
        <f>IF(D1185&lt;&gt;"",IF(COUNTIF('USPTO TMs'!A:A,D1185)&gt;0,"Yes","No"),"")</f>
        <v/>
      </c>
      <c r="C1185" s="11"/>
      <c r="D1185" s="11"/>
      <c r="E1185" s="11"/>
      <c r="F1185" s="11"/>
      <c r="G1185" s="11"/>
      <c r="H1185" s="11"/>
      <c r="I1185" s="15"/>
    </row>
    <row r="1186" spans="1:9" ht="16.5">
      <c r="A1186" s="10" t="b">
        <v>0</v>
      </c>
      <c r="B1186" s="11" t="str">
        <f>IF(D1186&lt;&gt;"",IF(COUNTIF('USPTO TMs'!A:A,D1186)&gt;0,"Yes","No"),"")</f>
        <v/>
      </c>
      <c r="C1186" s="11"/>
      <c r="D1186" s="11"/>
      <c r="E1186" s="11"/>
      <c r="F1186" s="11"/>
      <c r="G1186" s="11"/>
      <c r="H1186" s="11"/>
      <c r="I1186" s="15"/>
    </row>
    <row r="1187" spans="1:9" ht="16.5">
      <c r="A1187" s="10" t="b">
        <v>0</v>
      </c>
      <c r="B1187" s="11" t="str">
        <f>IF(D1187&lt;&gt;"",IF(COUNTIF('USPTO TMs'!A:A,D1187)&gt;0,"Yes","No"),"")</f>
        <v/>
      </c>
      <c r="C1187" s="11"/>
      <c r="D1187" s="11"/>
      <c r="E1187" s="11"/>
      <c r="F1187" s="11"/>
      <c r="G1187" s="11"/>
      <c r="H1187" s="11"/>
      <c r="I1187" s="15"/>
    </row>
    <row r="1188" spans="1:9" ht="16.5">
      <c r="A1188" s="10" t="b">
        <v>0</v>
      </c>
      <c r="B1188" s="11" t="str">
        <f>IF(D1188&lt;&gt;"",IF(COUNTIF('USPTO TMs'!A:A,D1188)&gt;0,"Yes","No"),"")</f>
        <v/>
      </c>
      <c r="C1188" s="11"/>
      <c r="D1188" s="11"/>
      <c r="E1188" s="11"/>
      <c r="F1188" s="11"/>
      <c r="G1188" s="11"/>
      <c r="H1188" s="11"/>
      <c r="I1188" s="15"/>
    </row>
    <row r="1189" spans="1:9" ht="16.5">
      <c r="A1189" s="10" t="b">
        <v>0</v>
      </c>
      <c r="B1189" s="11" t="str">
        <f>IF(D1189&lt;&gt;"",IF(COUNTIF('USPTO TMs'!A:A,D1189)&gt;0,"Yes","No"),"")</f>
        <v/>
      </c>
      <c r="C1189" s="11"/>
      <c r="D1189" s="11"/>
      <c r="E1189" s="11"/>
      <c r="F1189" s="11"/>
      <c r="G1189" s="11"/>
      <c r="H1189" s="11"/>
      <c r="I1189" s="15"/>
    </row>
    <row r="1190" spans="1:9" ht="16.5">
      <c r="A1190" s="10" t="b">
        <v>0</v>
      </c>
      <c r="B1190" s="11" t="str">
        <f>IF(D1190&lt;&gt;"",IF(COUNTIF('USPTO TMs'!A:A,D1190)&gt;0,"Yes","No"),"")</f>
        <v/>
      </c>
      <c r="C1190" s="11"/>
      <c r="D1190" s="11"/>
      <c r="E1190" s="11"/>
      <c r="F1190" s="11"/>
      <c r="G1190" s="11"/>
      <c r="H1190" s="11"/>
      <c r="I1190" s="15"/>
    </row>
    <row r="1191" spans="1:9" ht="16.5">
      <c r="A1191" s="10" t="b">
        <v>0</v>
      </c>
      <c r="B1191" s="11" t="str">
        <f>IF(D1191&lt;&gt;"",IF(COUNTIF('USPTO TMs'!A:A,D1191)&gt;0,"Yes","No"),"")</f>
        <v/>
      </c>
      <c r="C1191" s="11"/>
      <c r="D1191" s="11"/>
      <c r="E1191" s="11"/>
      <c r="F1191" s="11"/>
      <c r="G1191" s="11"/>
      <c r="H1191" s="11"/>
      <c r="I1191" s="15"/>
    </row>
    <row r="1192" spans="1:9" ht="16.5">
      <c r="A1192" s="10" t="b">
        <v>0</v>
      </c>
      <c r="B1192" s="11" t="str">
        <f>IF(D1192&lt;&gt;"",IF(COUNTIF('USPTO TMs'!A:A,D1192)&gt;0,"Yes","No"),"")</f>
        <v/>
      </c>
      <c r="C1192" s="11"/>
      <c r="D1192" s="11"/>
      <c r="E1192" s="11"/>
      <c r="F1192" s="11"/>
      <c r="G1192" s="11"/>
      <c r="H1192" s="11"/>
      <c r="I1192" s="15"/>
    </row>
    <row r="1193" spans="1:9" ht="16.5">
      <c r="A1193" s="10" t="b">
        <v>0</v>
      </c>
      <c r="B1193" s="11" t="str">
        <f>IF(D1193&lt;&gt;"",IF(COUNTIF('USPTO TMs'!A:A,D1193)&gt;0,"Yes","No"),"")</f>
        <v/>
      </c>
      <c r="C1193" s="11"/>
      <c r="D1193" s="11"/>
      <c r="E1193" s="11"/>
      <c r="F1193" s="11"/>
      <c r="G1193" s="11"/>
      <c r="H1193" s="11"/>
      <c r="I1193" s="15"/>
    </row>
    <row r="1194" spans="1:9" ht="16.5">
      <c r="A1194" s="10" t="b">
        <v>0</v>
      </c>
      <c r="B1194" s="11" t="str">
        <f>IF(D1194&lt;&gt;"",IF(COUNTIF('USPTO TMs'!A:A,D1194)&gt;0,"Yes","No"),"")</f>
        <v/>
      </c>
      <c r="C1194" s="11"/>
      <c r="D1194" s="11"/>
      <c r="E1194" s="11"/>
      <c r="F1194" s="11"/>
      <c r="G1194" s="11"/>
      <c r="H1194" s="11"/>
      <c r="I1194" s="15"/>
    </row>
    <row r="1195" spans="1:9" ht="16.5">
      <c r="A1195" s="10" t="b">
        <v>0</v>
      </c>
      <c r="B1195" s="11" t="str">
        <f>IF(D1195&lt;&gt;"",IF(COUNTIF('USPTO TMs'!A:A,D1195)&gt;0,"Yes","No"),"")</f>
        <v/>
      </c>
      <c r="C1195" s="11"/>
      <c r="D1195" s="11"/>
      <c r="E1195" s="11"/>
      <c r="F1195" s="11"/>
      <c r="G1195" s="11"/>
      <c r="H1195" s="11"/>
      <c r="I1195" s="15"/>
    </row>
    <row r="1196" spans="1:9" ht="16.5">
      <c r="A1196" s="10" t="b">
        <v>0</v>
      </c>
      <c r="B1196" s="11" t="str">
        <f>IF(D1196&lt;&gt;"",IF(COUNTIF('USPTO TMs'!A:A,D1196)&gt;0,"Yes","No"),"")</f>
        <v/>
      </c>
      <c r="C1196" s="11"/>
      <c r="D1196" s="11"/>
      <c r="E1196" s="11"/>
      <c r="F1196" s="11"/>
      <c r="G1196" s="11"/>
      <c r="H1196" s="11"/>
      <c r="I1196" s="15"/>
    </row>
    <row r="1197" spans="1:9" ht="16.5">
      <c r="A1197" s="10" t="b">
        <v>0</v>
      </c>
      <c r="B1197" s="11" t="str">
        <f>IF(D1197&lt;&gt;"",IF(COUNTIF('USPTO TMs'!A:A,D1197)&gt;0,"Yes","No"),"")</f>
        <v/>
      </c>
      <c r="C1197" s="11"/>
      <c r="D1197" s="11"/>
      <c r="E1197" s="11"/>
      <c r="F1197" s="11"/>
      <c r="G1197" s="11"/>
      <c r="H1197" s="11"/>
      <c r="I1197" s="15"/>
    </row>
    <row r="1198" spans="1:9" ht="16.5">
      <c r="A1198" s="10" t="b">
        <v>0</v>
      </c>
      <c r="B1198" s="11" t="str">
        <f>IF(D1198&lt;&gt;"",IF(COUNTIF('USPTO TMs'!A:A,D1198)&gt;0,"Yes","No"),"")</f>
        <v/>
      </c>
      <c r="C1198" s="11"/>
      <c r="D1198" s="11"/>
      <c r="E1198" s="11"/>
      <c r="F1198" s="11"/>
      <c r="G1198" s="11"/>
      <c r="H1198" s="11"/>
      <c r="I1198" s="15"/>
    </row>
    <row r="1199" spans="1:9" ht="16.5">
      <c r="A1199" s="10" t="b">
        <v>0</v>
      </c>
      <c r="B1199" s="11" t="str">
        <f>IF(D1199&lt;&gt;"",IF(COUNTIF('USPTO TMs'!A:A,D1199)&gt;0,"Yes","No"),"")</f>
        <v/>
      </c>
      <c r="C1199" s="11"/>
      <c r="D1199" s="11"/>
      <c r="E1199" s="11"/>
      <c r="F1199" s="11"/>
      <c r="G1199" s="11"/>
      <c r="H1199" s="11"/>
      <c r="I1199" s="15"/>
    </row>
    <row r="1200" spans="1:9" ht="16.5">
      <c r="A1200" s="10" t="b">
        <v>0</v>
      </c>
      <c r="B1200" s="11" t="str">
        <f>IF(D1200&lt;&gt;"",IF(COUNTIF('USPTO TMs'!A:A,D1200)&gt;0,"Yes","No"),"")</f>
        <v/>
      </c>
      <c r="C1200" s="11"/>
      <c r="D1200" s="11"/>
      <c r="E1200" s="11"/>
      <c r="F1200" s="11"/>
      <c r="G1200" s="11"/>
      <c r="H1200" s="11"/>
      <c r="I1200" s="15"/>
    </row>
    <row r="1201" spans="1:9" ht="16.5">
      <c r="A1201" s="10" t="b">
        <v>0</v>
      </c>
      <c r="B1201" s="11" t="str">
        <f>IF(D1201&lt;&gt;"",IF(COUNTIF('USPTO TMs'!A:A,D1201)&gt;0,"Yes","No"),"")</f>
        <v/>
      </c>
      <c r="C1201" s="11"/>
      <c r="D1201" s="11"/>
      <c r="E1201" s="11"/>
      <c r="F1201" s="11"/>
      <c r="G1201" s="11"/>
      <c r="H1201" s="11"/>
      <c r="I1201" s="15"/>
    </row>
    <row r="1202" spans="1:9" ht="16.5">
      <c r="A1202" s="10" t="b">
        <v>0</v>
      </c>
      <c r="B1202" s="11" t="str">
        <f>IF(D1202&lt;&gt;"",IF(COUNTIF('USPTO TMs'!A:A,D1202)&gt;0,"Yes","No"),"")</f>
        <v/>
      </c>
      <c r="C1202" s="11"/>
      <c r="D1202" s="11"/>
      <c r="E1202" s="11"/>
      <c r="F1202" s="11"/>
      <c r="G1202" s="11"/>
      <c r="H1202" s="11"/>
      <c r="I1202" s="15"/>
    </row>
    <row r="1203" spans="1:9" ht="16.5">
      <c r="A1203" s="10" t="b">
        <v>0</v>
      </c>
      <c r="B1203" s="11" t="str">
        <f>IF(D1203&lt;&gt;"",IF(COUNTIF('USPTO TMs'!A:A,D1203)&gt;0,"Yes","No"),"")</f>
        <v/>
      </c>
      <c r="C1203" s="11"/>
      <c r="D1203" s="11"/>
      <c r="E1203" s="11"/>
      <c r="F1203" s="11"/>
      <c r="G1203" s="11"/>
      <c r="H1203" s="11"/>
      <c r="I1203" s="15"/>
    </row>
    <row r="1204" spans="1:9" ht="16.5">
      <c r="A1204" s="10" t="b">
        <v>0</v>
      </c>
      <c r="B1204" s="11" t="str">
        <f>IF(D1204&lt;&gt;"",IF(COUNTIF('USPTO TMs'!A:A,D1204)&gt;0,"Yes","No"),"")</f>
        <v/>
      </c>
      <c r="C1204" s="11"/>
      <c r="D1204" s="11"/>
      <c r="E1204" s="11"/>
      <c r="F1204" s="11"/>
      <c r="G1204" s="11"/>
      <c r="H1204" s="11"/>
      <c r="I1204" s="15"/>
    </row>
    <row r="1205" spans="1:9" ht="16.5">
      <c r="A1205" s="10" t="b">
        <v>0</v>
      </c>
      <c r="B1205" s="11" t="str">
        <f>IF(D1205&lt;&gt;"",IF(COUNTIF('USPTO TMs'!A:A,D1205)&gt;0,"Yes","No"),"")</f>
        <v/>
      </c>
      <c r="C1205" s="11"/>
      <c r="D1205" s="11"/>
      <c r="E1205" s="11"/>
      <c r="F1205" s="11"/>
      <c r="G1205" s="11"/>
      <c r="H1205" s="11"/>
      <c r="I1205" s="15"/>
    </row>
    <row r="1206" spans="1:9" ht="16.5">
      <c r="A1206" s="10" t="b">
        <v>0</v>
      </c>
      <c r="B1206" s="11" t="str">
        <f>IF(D1206&lt;&gt;"",IF(COUNTIF('USPTO TMs'!A:A,D1206)&gt;0,"Yes","No"),"")</f>
        <v/>
      </c>
      <c r="C1206" s="11"/>
      <c r="D1206" s="11"/>
      <c r="E1206" s="11"/>
      <c r="F1206" s="11"/>
      <c r="G1206" s="11"/>
      <c r="H1206" s="11"/>
      <c r="I1206" s="15"/>
    </row>
    <row r="1207" spans="1:9" ht="16.5">
      <c r="A1207" s="10" t="b">
        <v>0</v>
      </c>
      <c r="B1207" s="11" t="str">
        <f>IF(D1207&lt;&gt;"",IF(COUNTIF('USPTO TMs'!A:A,D1207)&gt;0,"Yes","No"),"")</f>
        <v/>
      </c>
      <c r="C1207" s="11"/>
      <c r="D1207" s="11"/>
      <c r="E1207" s="11"/>
      <c r="F1207" s="11"/>
      <c r="G1207" s="11"/>
      <c r="H1207" s="11"/>
      <c r="I1207" s="15"/>
    </row>
    <row r="1208" spans="1:9" ht="16.5">
      <c r="A1208" s="10" t="b">
        <v>0</v>
      </c>
      <c r="B1208" s="11" t="str">
        <f>IF(D1208&lt;&gt;"",IF(COUNTIF('USPTO TMs'!A:A,D1208)&gt;0,"Yes","No"),"")</f>
        <v/>
      </c>
      <c r="C1208" s="11"/>
      <c r="D1208" s="11"/>
      <c r="E1208" s="11"/>
      <c r="F1208" s="11"/>
      <c r="G1208" s="11"/>
      <c r="H1208" s="11"/>
      <c r="I1208" s="15"/>
    </row>
    <row r="1209" spans="1:9" ht="16.5">
      <c r="A1209" s="10" t="b">
        <v>0</v>
      </c>
      <c r="B1209" s="11" t="str">
        <f>IF(D1209&lt;&gt;"",IF(COUNTIF('USPTO TMs'!A:A,D1209)&gt;0,"Yes","No"),"")</f>
        <v/>
      </c>
      <c r="C1209" s="11"/>
      <c r="D1209" s="11"/>
      <c r="E1209" s="11"/>
      <c r="F1209" s="11"/>
      <c r="G1209" s="11"/>
      <c r="H1209" s="11"/>
      <c r="I1209" s="15"/>
    </row>
    <row r="1210" spans="1:9" ht="16.5">
      <c r="A1210" s="10" t="b">
        <v>0</v>
      </c>
      <c r="B1210" s="11" t="str">
        <f>IF(D1210&lt;&gt;"",IF(COUNTIF('USPTO TMs'!A:A,D1210)&gt;0,"Yes","No"),"")</f>
        <v/>
      </c>
      <c r="C1210" s="11"/>
      <c r="D1210" s="11"/>
      <c r="E1210" s="11"/>
      <c r="F1210" s="11"/>
      <c r="G1210" s="11"/>
      <c r="H1210" s="11"/>
      <c r="I1210" s="15"/>
    </row>
    <row r="1211" spans="1:9" ht="16.5">
      <c r="A1211" s="10" t="b">
        <v>0</v>
      </c>
      <c r="B1211" s="11" t="str">
        <f>IF(D1211&lt;&gt;"",IF(COUNTIF('USPTO TMs'!A:A,D1211)&gt;0,"Yes","No"),"")</f>
        <v/>
      </c>
      <c r="C1211" s="11"/>
      <c r="D1211" s="11"/>
      <c r="E1211" s="11"/>
      <c r="F1211" s="11"/>
      <c r="G1211" s="11"/>
      <c r="H1211" s="11"/>
      <c r="I1211" s="15"/>
    </row>
    <row r="1212" spans="1:9" ht="16.5">
      <c r="A1212" s="10" t="b">
        <v>0</v>
      </c>
      <c r="B1212" s="11" t="str">
        <f>IF(D1212&lt;&gt;"",IF(COUNTIF('USPTO TMs'!A:A,D1212)&gt;0,"Yes","No"),"")</f>
        <v/>
      </c>
      <c r="C1212" s="11"/>
      <c r="D1212" s="11"/>
      <c r="E1212" s="11"/>
      <c r="F1212" s="11"/>
      <c r="G1212" s="11"/>
      <c r="H1212" s="11"/>
      <c r="I1212" s="15"/>
    </row>
    <row r="1213" spans="1:9" ht="16.5">
      <c r="A1213" s="10" t="b">
        <v>0</v>
      </c>
      <c r="B1213" s="11" t="str">
        <f>IF(D1213&lt;&gt;"",IF(COUNTIF('USPTO TMs'!A:A,D1213)&gt;0,"Yes","No"),"")</f>
        <v/>
      </c>
      <c r="C1213" s="11"/>
      <c r="D1213" s="11"/>
      <c r="E1213" s="11"/>
      <c r="F1213" s="11"/>
      <c r="G1213" s="11"/>
      <c r="H1213" s="11"/>
      <c r="I1213" s="15"/>
    </row>
    <row r="1214" spans="1:9" ht="16.5">
      <c r="A1214" s="10" t="b">
        <v>0</v>
      </c>
      <c r="B1214" s="11" t="str">
        <f>IF(D1214&lt;&gt;"",IF(COUNTIF('USPTO TMs'!A:A,D1214)&gt;0,"Yes","No"),"")</f>
        <v/>
      </c>
      <c r="C1214" s="11"/>
      <c r="D1214" s="11"/>
      <c r="E1214" s="11"/>
      <c r="F1214" s="11"/>
      <c r="G1214" s="11"/>
      <c r="H1214" s="11"/>
      <c r="I1214" s="15"/>
    </row>
    <row r="1215" spans="1:9" ht="16.5">
      <c r="A1215" s="10" t="b">
        <v>0</v>
      </c>
      <c r="B1215" s="11" t="str">
        <f>IF(D1215&lt;&gt;"",IF(COUNTIF('USPTO TMs'!A:A,D1215)&gt;0,"Yes","No"),"")</f>
        <v/>
      </c>
      <c r="C1215" s="11"/>
      <c r="D1215" s="11"/>
      <c r="E1215" s="11"/>
      <c r="F1215" s="11"/>
      <c r="G1215" s="11"/>
      <c r="H1215" s="11"/>
      <c r="I1215" s="15"/>
    </row>
    <row r="1216" spans="1:9" ht="16.5">
      <c r="A1216" s="10" t="b">
        <v>0</v>
      </c>
      <c r="B1216" s="11" t="str">
        <f>IF(D1216&lt;&gt;"",IF(COUNTIF('USPTO TMs'!A:A,D1216)&gt;0,"Yes","No"),"")</f>
        <v/>
      </c>
      <c r="C1216" s="11"/>
      <c r="D1216" s="11"/>
      <c r="E1216" s="11"/>
      <c r="F1216" s="11"/>
      <c r="G1216" s="11"/>
      <c r="H1216" s="11"/>
      <c r="I1216" s="15"/>
    </row>
    <row r="1217" spans="1:9" ht="16.5">
      <c r="A1217" s="10" t="b">
        <v>0</v>
      </c>
      <c r="B1217" s="11" t="str">
        <f>IF(D1217&lt;&gt;"",IF(COUNTIF('USPTO TMs'!A:A,D1217)&gt;0,"Yes","No"),"")</f>
        <v/>
      </c>
      <c r="C1217" s="11"/>
      <c r="D1217" s="11"/>
      <c r="E1217" s="11"/>
      <c r="F1217" s="11"/>
      <c r="G1217" s="11"/>
      <c r="H1217" s="11"/>
      <c r="I1217" s="15"/>
    </row>
    <row r="1218" spans="1:9" ht="16.5">
      <c r="A1218" s="10" t="b">
        <v>0</v>
      </c>
      <c r="B1218" s="11" t="str">
        <f>IF(D1218&lt;&gt;"",IF(COUNTIF('USPTO TMs'!A:A,D1218)&gt;0,"Yes","No"),"")</f>
        <v/>
      </c>
      <c r="C1218" s="11"/>
      <c r="D1218" s="11"/>
      <c r="E1218" s="11"/>
      <c r="F1218" s="11"/>
      <c r="G1218" s="11"/>
      <c r="H1218" s="11"/>
      <c r="I1218" s="15"/>
    </row>
    <row r="1219" spans="1:9" ht="16.5">
      <c r="A1219" s="10" t="b">
        <v>0</v>
      </c>
      <c r="B1219" s="11" t="str">
        <f>IF(D1219&lt;&gt;"",IF(COUNTIF('USPTO TMs'!A:A,D1219)&gt;0,"Yes","No"),"")</f>
        <v/>
      </c>
      <c r="C1219" s="11"/>
      <c r="D1219" s="11"/>
      <c r="E1219" s="11"/>
      <c r="F1219" s="11"/>
      <c r="G1219" s="11"/>
      <c r="H1219" s="11"/>
      <c r="I1219" s="15"/>
    </row>
    <row r="1220" spans="1:9" ht="16.5">
      <c r="A1220" s="10" t="b">
        <v>0</v>
      </c>
      <c r="B1220" s="11" t="str">
        <f>IF(D1220&lt;&gt;"",IF(COUNTIF('USPTO TMs'!A:A,D1220)&gt;0,"Yes","No"),"")</f>
        <v/>
      </c>
      <c r="C1220" s="11"/>
      <c r="D1220" s="11"/>
      <c r="E1220" s="11"/>
      <c r="F1220" s="11"/>
      <c r="G1220" s="11"/>
      <c r="H1220" s="11"/>
      <c r="I1220" s="15"/>
    </row>
    <row r="1221" spans="1:9" ht="16.5">
      <c r="A1221" s="10" t="b">
        <v>0</v>
      </c>
      <c r="B1221" s="11" t="str">
        <f>IF(D1221&lt;&gt;"",IF(COUNTIF('USPTO TMs'!A:A,D1221)&gt;0,"Yes","No"),"")</f>
        <v/>
      </c>
      <c r="C1221" s="11"/>
      <c r="D1221" s="11"/>
      <c r="E1221" s="11"/>
      <c r="F1221" s="11"/>
      <c r="G1221" s="11"/>
      <c r="H1221" s="11"/>
      <c r="I1221" s="15"/>
    </row>
    <row r="1222" spans="1:9" ht="16.5">
      <c r="A1222" s="10" t="b">
        <v>0</v>
      </c>
      <c r="B1222" s="11" t="str">
        <f>IF(D1222&lt;&gt;"",IF(COUNTIF('USPTO TMs'!A:A,D1222)&gt;0,"Yes","No"),"")</f>
        <v/>
      </c>
      <c r="C1222" s="11"/>
      <c r="D1222" s="11"/>
      <c r="E1222" s="11"/>
      <c r="F1222" s="11"/>
      <c r="G1222" s="11"/>
      <c r="H1222" s="11"/>
      <c r="I1222" s="15"/>
    </row>
    <row r="1223" spans="1:9" ht="16.5">
      <c r="A1223" s="10" t="b">
        <v>0</v>
      </c>
      <c r="B1223" s="11" t="str">
        <f>IF(D1223&lt;&gt;"",IF(COUNTIF('USPTO TMs'!A:A,D1223)&gt;0,"Yes","No"),"")</f>
        <v/>
      </c>
      <c r="C1223" s="11"/>
      <c r="D1223" s="11"/>
      <c r="E1223" s="11"/>
      <c r="F1223" s="11"/>
      <c r="G1223" s="11"/>
      <c r="H1223" s="11"/>
      <c r="I1223" s="15"/>
    </row>
    <row r="1224" spans="1:9" ht="16.5">
      <c r="A1224" s="10" t="b">
        <v>0</v>
      </c>
      <c r="B1224" s="11" t="str">
        <f>IF(D1224&lt;&gt;"",IF(COUNTIF('USPTO TMs'!A:A,D1224)&gt;0,"Yes","No"),"")</f>
        <v/>
      </c>
      <c r="C1224" s="11"/>
      <c r="D1224" s="11"/>
      <c r="E1224" s="11"/>
      <c r="F1224" s="11"/>
      <c r="G1224" s="11"/>
      <c r="H1224" s="11"/>
      <c r="I1224" s="15"/>
    </row>
    <row r="1225" spans="1:9" ht="16.5">
      <c r="A1225" s="10" t="b">
        <v>0</v>
      </c>
      <c r="B1225" s="11" t="str">
        <f>IF(D1225&lt;&gt;"",IF(COUNTIF('USPTO TMs'!A:A,D1225)&gt;0,"Yes","No"),"")</f>
        <v/>
      </c>
      <c r="C1225" s="11"/>
      <c r="D1225" s="11"/>
      <c r="E1225" s="11"/>
      <c r="F1225" s="11"/>
      <c r="G1225" s="11"/>
      <c r="H1225" s="11"/>
      <c r="I1225" s="15"/>
    </row>
    <row r="1226" spans="1:9" ht="16.5">
      <c r="A1226" s="10" t="b">
        <v>0</v>
      </c>
      <c r="B1226" s="11" t="str">
        <f>IF(D1226&lt;&gt;"",IF(COUNTIF('USPTO TMs'!A:A,D1226)&gt;0,"Yes","No"),"")</f>
        <v/>
      </c>
      <c r="C1226" s="11"/>
      <c r="D1226" s="11"/>
      <c r="E1226" s="11"/>
      <c r="F1226" s="11"/>
      <c r="G1226" s="11"/>
      <c r="H1226" s="11"/>
      <c r="I1226" s="15"/>
    </row>
    <row r="1227" spans="1:9" ht="16.5">
      <c r="A1227" s="10" t="b">
        <v>0</v>
      </c>
      <c r="B1227" s="11" t="str">
        <f>IF(D1227&lt;&gt;"",IF(COUNTIF('USPTO TMs'!A:A,D1227)&gt;0,"Yes","No"),"")</f>
        <v/>
      </c>
      <c r="C1227" s="11"/>
      <c r="D1227" s="11"/>
      <c r="E1227" s="11"/>
      <c r="F1227" s="11"/>
      <c r="G1227" s="11"/>
      <c r="H1227" s="11"/>
      <c r="I1227" s="15"/>
    </row>
    <row r="1228" spans="1:9" ht="16.5">
      <c r="A1228" s="10" t="b">
        <v>0</v>
      </c>
      <c r="B1228" s="11" t="str">
        <f>IF(D1228&lt;&gt;"",IF(COUNTIF('USPTO TMs'!A:A,D1228)&gt;0,"Yes","No"),"")</f>
        <v/>
      </c>
      <c r="C1228" s="11"/>
      <c r="D1228" s="11"/>
      <c r="E1228" s="11"/>
      <c r="F1228" s="11"/>
      <c r="G1228" s="11"/>
      <c r="H1228" s="11"/>
      <c r="I1228" s="15"/>
    </row>
    <row r="1229" spans="1:9" ht="16.5">
      <c r="A1229" s="10" t="b">
        <v>0</v>
      </c>
      <c r="B1229" s="11" t="str">
        <f>IF(D1229&lt;&gt;"",IF(COUNTIF('USPTO TMs'!A:A,D1229)&gt;0,"Yes","No"),"")</f>
        <v/>
      </c>
      <c r="C1229" s="11"/>
      <c r="D1229" s="11"/>
      <c r="E1229" s="11"/>
      <c r="F1229" s="11"/>
      <c r="G1229" s="11"/>
      <c r="H1229" s="11"/>
      <c r="I1229" s="15"/>
    </row>
    <row r="1230" spans="1:9" ht="16.5">
      <c r="A1230" s="10" t="b">
        <v>0</v>
      </c>
      <c r="B1230" s="11" t="str">
        <f>IF(D1230&lt;&gt;"",IF(COUNTIF('USPTO TMs'!A:A,D1230)&gt;0,"Yes","No"),"")</f>
        <v/>
      </c>
      <c r="C1230" s="11"/>
      <c r="D1230" s="11"/>
      <c r="E1230" s="11"/>
      <c r="F1230" s="11"/>
      <c r="G1230" s="11"/>
      <c r="H1230" s="11"/>
      <c r="I1230" s="15"/>
    </row>
    <row r="1231" spans="1:9" ht="16.5">
      <c r="A1231" s="10" t="b">
        <v>0</v>
      </c>
      <c r="B1231" s="11" t="str">
        <f>IF(D1231&lt;&gt;"",IF(COUNTIF('USPTO TMs'!A:A,D1231)&gt;0,"Yes","No"),"")</f>
        <v/>
      </c>
      <c r="C1231" s="11"/>
      <c r="D1231" s="11"/>
      <c r="E1231" s="11"/>
      <c r="F1231" s="11"/>
      <c r="G1231" s="11"/>
      <c r="H1231" s="11"/>
      <c r="I1231" s="15"/>
    </row>
    <row r="1232" spans="1:9" ht="16.5">
      <c r="A1232" s="10" t="b">
        <v>0</v>
      </c>
      <c r="B1232" s="11" t="str">
        <f>IF(D1232&lt;&gt;"",IF(COUNTIF('USPTO TMs'!A:A,D1232)&gt;0,"Yes","No"),"")</f>
        <v/>
      </c>
      <c r="C1232" s="11"/>
      <c r="D1232" s="11"/>
      <c r="E1232" s="11"/>
      <c r="F1232" s="11"/>
      <c r="G1232" s="11"/>
      <c r="H1232" s="11"/>
      <c r="I1232" s="15"/>
    </row>
    <row r="1233" spans="1:9" ht="16.5">
      <c r="A1233" s="10" t="b">
        <v>0</v>
      </c>
      <c r="B1233" s="11" t="str">
        <f>IF(D1233&lt;&gt;"",IF(COUNTIF('USPTO TMs'!A:A,D1233)&gt;0,"Yes","No"),"")</f>
        <v/>
      </c>
      <c r="C1233" s="11"/>
      <c r="D1233" s="11"/>
      <c r="E1233" s="11"/>
      <c r="F1233" s="11"/>
      <c r="G1233" s="11"/>
      <c r="H1233" s="11"/>
      <c r="I1233" s="15"/>
    </row>
    <row r="1234" spans="1:9" ht="16.5">
      <c r="A1234" s="10" t="b">
        <v>0</v>
      </c>
      <c r="B1234" s="11" t="str">
        <f>IF(D1234&lt;&gt;"",IF(COUNTIF('USPTO TMs'!A:A,D1234)&gt;0,"Yes","No"),"")</f>
        <v/>
      </c>
      <c r="C1234" s="11"/>
      <c r="D1234" s="11"/>
      <c r="E1234" s="11"/>
      <c r="F1234" s="11"/>
      <c r="G1234" s="11"/>
      <c r="H1234" s="11"/>
      <c r="I1234" s="15"/>
    </row>
    <row r="1235" spans="1:9" ht="16.5">
      <c r="A1235" s="10" t="b">
        <v>0</v>
      </c>
      <c r="B1235" s="11" t="str">
        <f>IF(D1235&lt;&gt;"",IF(COUNTIF('USPTO TMs'!A:A,D1235)&gt;0,"Yes","No"),"")</f>
        <v/>
      </c>
      <c r="C1235" s="11"/>
      <c r="D1235" s="11"/>
      <c r="E1235" s="11"/>
      <c r="F1235" s="11"/>
      <c r="G1235" s="11"/>
      <c r="H1235" s="11"/>
      <c r="I1235" s="15"/>
    </row>
    <row r="1236" spans="1:9" ht="16.5">
      <c r="A1236" s="10" t="b">
        <v>0</v>
      </c>
      <c r="B1236" s="11" t="str">
        <f>IF(D1236&lt;&gt;"",IF(COUNTIF('USPTO TMs'!A:A,D1236)&gt;0,"Yes","No"),"")</f>
        <v/>
      </c>
      <c r="C1236" s="11"/>
      <c r="D1236" s="11"/>
      <c r="E1236" s="11"/>
      <c r="F1236" s="11"/>
      <c r="G1236" s="11"/>
      <c r="H1236" s="11"/>
      <c r="I1236" s="15"/>
    </row>
    <row r="1237" spans="1:9" ht="16.5">
      <c r="A1237" s="10" t="b">
        <v>0</v>
      </c>
      <c r="B1237" s="11" t="str">
        <f>IF(D1237&lt;&gt;"",IF(COUNTIF('USPTO TMs'!A:A,D1237)&gt;0,"Yes","No"),"")</f>
        <v/>
      </c>
      <c r="C1237" s="11"/>
      <c r="D1237" s="11"/>
      <c r="E1237" s="11"/>
      <c r="F1237" s="11"/>
      <c r="G1237" s="11"/>
      <c r="H1237" s="11"/>
      <c r="I1237" s="15"/>
    </row>
    <row r="1238" spans="1:9" ht="16.5">
      <c r="A1238" s="10" t="b">
        <v>0</v>
      </c>
      <c r="B1238" s="11" t="str">
        <f>IF(D1238&lt;&gt;"",IF(COUNTIF('USPTO TMs'!A:A,D1238)&gt;0,"Yes","No"),"")</f>
        <v/>
      </c>
      <c r="C1238" s="11"/>
      <c r="D1238" s="11"/>
      <c r="E1238" s="11"/>
      <c r="F1238" s="11"/>
      <c r="G1238" s="11"/>
      <c r="H1238" s="11"/>
      <c r="I1238" s="15"/>
    </row>
    <row r="1239" spans="1:9" ht="16.5">
      <c r="A1239" s="10" t="b">
        <v>0</v>
      </c>
      <c r="B1239" s="11" t="str">
        <f>IF(D1239&lt;&gt;"",IF(COUNTIF('USPTO TMs'!A:A,D1239)&gt;0,"Yes","No"),"")</f>
        <v/>
      </c>
      <c r="C1239" s="11"/>
      <c r="D1239" s="11"/>
      <c r="E1239" s="11"/>
      <c r="F1239" s="11"/>
      <c r="G1239" s="11"/>
      <c r="H1239" s="11"/>
      <c r="I1239" s="15"/>
    </row>
    <row r="1240" spans="1:9" ht="16.5">
      <c r="A1240" s="10" t="b">
        <v>0</v>
      </c>
      <c r="B1240" s="11" t="str">
        <f>IF(D1240&lt;&gt;"",IF(COUNTIF('USPTO TMs'!A:A,D1240)&gt;0,"Yes","No"),"")</f>
        <v/>
      </c>
      <c r="C1240" s="11"/>
      <c r="D1240" s="11"/>
      <c r="E1240" s="11"/>
      <c r="F1240" s="11"/>
      <c r="G1240" s="11"/>
      <c r="H1240" s="11"/>
      <c r="I1240" s="15"/>
    </row>
    <row r="1241" spans="1:9" ht="16.5">
      <c r="A1241" s="10" t="b">
        <v>0</v>
      </c>
      <c r="B1241" s="11" t="str">
        <f>IF(D1241&lt;&gt;"",IF(COUNTIF('USPTO TMs'!A:A,D1241)&gt;0,"Yes","No"),"")</f>
        <v/>
      </c>
      <c r="C1241" s="11"/>
      <c r="D1241" s="11"/>
      <c r="E1241" s="11"/>
      <c r="F1241" s="11"/>
      <c r="G1241" s="11"/>
      <c r="H1241" s="11"/>
      <c r="I1241" s="15"/>
    </row>
    <row r="1242" spans="1:9" ht="16.5">
      <c r="A1242" s="10" t="b">
        <v>0</v>
      </c>
      <c r="B1242" s="11" t="str">
        <f>IF(D1242&lt;&gt;"",IF(COUNTIF('USPTO TMs'!A:A,D1242)&gt;0,"Yes","No"),"")</f>
        <v/>
      </c>
      <c r="C1242" s="11"/>
      <c r="D1242" s="11"/>
      <c r="E1242" s="11"/>
      <c r="F1242" s="11"/>
      <c r="G1242" s="11"/>
      <c r="H1242" s="11"/>
      <c r="I1242" s="15"/>
    </row>
    <row r="1243" spans="1:9" ht="16.5">
      <c r="A1243" s="10" t="b">
        <v>0</v>
      </c>
      <c r="B1243" s="11" t="str">
        <f>IF(D1243&lt;&gt;"",IF(COUNTIF('USPTO TMs'!A:A,D1243)&gt;0,"Yes","No"),"")</f>
        <v/>
      </c>
      <c r="C1243" s="11"/>
      <c r="D1243" s="11"/>
      <c r="E1243" s="11"/>
      <c r="F1243" s="11"/>
      <c r="G1243" s="11"/>
      <c r="H1243" s="11"/>
      <c r="I1243" s="15"/>
    </row>
    <row r="1244" spans="1:9" ht="16.5">
      <c r="A1244" s="10" t="b">
        <v>0</v>
      </c>
      <c r="B1244" s="11" t="str">
        <f>IF(D1244&lt;&gt;"",IF(COUNTIF('USPTO TMs'!A:A,D1244)&gt;0,"Yes","No"),"")</f>
        <v/>
      </c>
      <c r="C1244" s="11"/>
      <c r="D1244" s="11"/>
      <c r="E1244" s="11"/>
      <c r="F1244" s="11"/>
      <c r="G1244" s="11"/>
      <c r="H1244" s="11"/>
      <c r="I1244" s="15"/>
    </row>
    <row r="1245" spans="1:9" ht="16.5">
      <c r="A1245" s="10" t="b">
        <v>0</v>
      </c>
      <c r="B1245" s="11" t="str">
        <f>IF(D1245&lt;&gt;"",IF(COUNTIF('USPTO TMs'!A:A,D1245)&gt;0,"Yes","No"),"")</f>
        <v/>
      </c>
      <c r="C1245" s="11"/>
      <c r="D1245" s="11"/>
      <c r="E1245" s="11"/>
      <c r="F1245" s="11"/>
      <c r="G1245" s="11"/>
      <c r="H1245" s="11"/>
      <c r="I1245" s="15"/>
    </row>
    <row r="1246" spans="1:9" ht="16.5">
      <c r="A1246" s="10" t="b">
        <v>0</v>
      </c>
      <c r="B1246" s="11" t="str">
        <f>IF(D1246&lt;&gt;"",IF(COUNTIF('USPTO TMs'!A:A,D1246)&gt;0,"Yes","No"),"")</f>
        <v/>
      </c>
      <c r="C1246" s="11"/>
      <c r="D1246" s="11"/>
      <c r="E1246" s="11"/>
      <c r="F1246" s="11"/>
      <c r="G1246" s="11"/>
      <c r="H1246" s="11"/>
      <c r="I1246" s="15"/>
    </row>
    <row r="1247" spans="1:9" ht="16.5">
      <c r="A1247" s="10" t="b">
        <v>0</v>
      </c>
      <c r="B1247" s="11" t="str">
        <f>IF(D1247&lt;&gt;"",IF(COUNTIF('USPTO TMs'!A:A,D1247)&gt;0,"Yes","No"),"")</f>
        <v/>
      </c>
      <c r="C1247" s="11"/>
      <c r="D1247" s="11"/>
      <c r="E1247" s="11"/>
      <c r="F1247" s="11"/>
      <c r="G1247" s="11"/>
      <c r="H1247" s="11"/>
      <c r="I1247" s="15"/>
    </row>
    <row r="1248" spans="1:9" ht="16.5">
      <c r="A1248" s="10" t="b">
        <v>0</v>
      </c>
      <c r="B1248" s="11" t="str">
        <f>IF(D1248&lt;&gt;"",IF(COUNTIF('USPTO TMs'!A:A,D1248)&gt;0,"Yes","No"),"")</f>
        <v/>
      </c>
      <c r="C1248" s="11"/>
      <c r="D1248" s="11"/>
      <c r="E1248" s="11"/>
      <c r="F1248" s="11"/>
      <c r="G1248" s="11"/>
      <c r="H1248" s="11"/>
      <c r="I1248" s="15"/>
    </row>
    <row r="1249" spans="1:9" ht="16.5">
      <c r="A1249" s="10" t="b">
        <v>0</v>
      </c>
      <c r="B1249" s="11" t="str">
        <f>IF(D1249&lt;&gt;"",IF(COUNTIF('USPTO TMs'!A:A,D1249)&gt;0,"Yes","No"),"")</f>
        <v/>
      </c>
      <c r="C1249" s="11"/>
      <c r="D1249" s="11"/>
      <c r="E1249" s="11"/>
      <c r="F1249" s="11"/>
      <c r="G1249" s="11"/>
      <c r="H1249" s="11"/>
      <c r="I1249" s="15"/>
    </row>
    <row r="1250" spans="1:9" ht="16.5">
      <c r="A1250" s="10" t="b">
        <v>0</v>
      </c>
      <c r="B1250" s="11" t="str">
        <f>IF(D1250&lt;&gt;"",IF(COUNTIF('USPTO TMs'!A:A,D1250)&gt;0,"Yes","No"),"")</f>
        <v/>
      </c>
      <c r="C1250" s="11"/>
      <c r="D1250" s="11"/>
      <c r="E1250" s="11"/>
      <c r="F1250" s="11"/>
      <c r="G1250" s="11"/>
      <c r="H1250" s="11"/>
      <c r="I1250" s="15"/>
    </row>
    <row r="1251" spans="1:9" ht="16.5">
      <c r="A1251" s="10" t="b">
        <v>0</v>
      </c>
      <c r="B1251" s="11" t="str">
        <f>IF(D1251&lt;&gt;"",IF(COUNTIF('USPTO TMs'!A:A,D1251)&gt;0,"Yes","No"),"")</f>
        <v/>
      </c>
      <c r="C1251" s="11"/>
      <c r="D1251" s="11"/>
      <c r="E1251" s="11"/>
      <c r="F1251" s="11"/>
      <c r="G1251" s="11"/>
      <c r="H1251" s="11"/>
      <c r="I1251" s="15"/>
    </row>
    <row r="1252" spans="1:9" ht="16.5">
      <c r="A1252" s="10" t="b">
        <v>0</v>
      </c>
      <c r="B1252" s="11" t="str">
        <f>IF(D1252&lt;&gt;"",IF(COUNTIF('USPTO TMs'!A:A,D1252)&gt;0,"Yes","No"),"")</f>
        <v/>
      </c>
      <c r="C1252" s="11"/>
      <c r="D1252" s="11"/>
      <c r="E1252" s="11"/>
      <c r="F1252" s="11"/>
      <c r="G1252" s="11"/>
      <c r="H1252" s="11"/>
      <c r="I1252" s="15"/>
    </row>
    <row r="1253" spans="1:9" ht="16.5">
      <c r="A1253" s="10" t="b">
        <v>0</v>
      </c>
      <c r="B1253" s="11" t="str">
        <f>IF(D1253&lt;&gt;"",IF(COUNTIF('USPTO TMs'!A:A,D1253)&gt;0,"Yes","No"),"")</f>
        <v/>
      </c>
      <c r="C1253" s="11"/>
      <c r="D1253" s="11"/>
      <c r="E1253" s="11"/>
      <c r="F1253" s="11"/>
      <c r="G1253" s="11"/>
      <c r="H1253" s="11"/>
      <c r="I1253" s="15"/>
    </row>
    <row r="1254" spans="1:9" ht="16.5">
      <c r="A1254" s="10" t="b">
        <v>0</v>
      </c>
      <c r="B1254" s="11" t="str">
        <f>IF(D1254&lt;&gt;"",IF(COUNTIF('USPTO TMs'!A:A,D1254)&gt;0,"Yes","No"),"")</f>
        <v/>
      </c>
      <c r="C1254" s="11"/>
      <c r="D1254" s="11"/>
      <c r="E1254" s="11"/>
      <c r="F1254" s="11"/>
      <c r="G1254" s="11"/>
      <c r="H1254" s="11"/>
      <c r="I1254" s="15"/>
    </row>
    <row r="1255" spans="1:9" ht="16.5">
      <c r="A1255" s="10" t="b">
        <v>0</v>
      </c>
      <c r="B1255" s="11" t="str">
        <f>IF(D1255&lt;&gt;"",IF(COUNTIF('USPTO TMs'!A:A,D1255)&gt;0,"Yes","No"),"")</f>
        <v/>
      </c>
      <c r="C1255" s="11"/>
      <c r="D1255" s="11"/>
      <c r="E1255" s="11"/>
      <c r="F1255" s="11"/>
      <c r="G1255" s="11"/>
      <c r="H1255" s="11"/>
      <c r="I1255" s="15"/>
    </row>
    <row r="1256" spans="1:9" ht="16.5">
      <c r="A1256" s="10" t="b">
        <v>0</v>
      </c>
      <c r="B1256" s="11" t="str">
        <f>IF(D1256&lt;&gt;"",IF(COUNTIF('USPTO TMs'!A:A,D1256)&gt;0,"Yes","No"),"")</f>
        <v/>
      </c>
      <c r="C1256" s="11"/>
      <c r="D1256" s="11"/>
      <c r="E1256" s="11"/>
      <c r="F1256" s="11"/>
      <c r="G1256" s="11"/>
      <c r="H1256" s="11"/>
      <c r="I1256" s="15"/>
    </row>
    <row r="1257" spans="1:9" ht="16.5">
      <c r="A1257" s="10" t="b">
        <v>0</v>
      </c>
      <c r="B1257" s="11" t="str">
        <f>IF(D1257&lt;&gt;"",IF(COUNTIF('USPTO TMs'!A:A,D1257)&gt;0,"Yes","No"),"")</f>
        <v/>
      </c>
      <c r="C1257" s="11"/>
      <c r="D1257" s="11"/>
      <c r="E1257" s="11"/>
      <c r="F1257" s="11"/>
      <c r="G1257" s="11"/>
      <c r="H1257" s="11"/>
      <c r="I1257" s="15"/>
    </row>
    <row r="1258" spans="1:9" ht="16.5">
      <c r="A1258" s="10" t="b">
        <v>0</v>
      </c>
      <c r="B1258" s="11" t="str">
        <f>IF(D1258&lt;&gt;"",IF(COUNTIF('USPTO TMs'!A:A,D1258)&gt;0,"Yes","No"),"")</f>
        <v/>
      </c>
      <c r="C1258" s="11"/>
      <c r="D1258" s="11"/>
      <c r="E1258" s="11"/>
      <c r="F1258" s="11"/>
      <c r="G1258" s="11"/>
      <c r="H1258" s="11"/>
      <c r="I1258" s="15"/>
    </row>
    <row r="1259" spans="1:9" ht="16.5">
      <c r="A1259" s="10" t="b">
        <v>0</v>
      </c>
      <c r="B1259" s="11" t="str">
        <f>IF(D1259&lt;&gt;"",IF(COUNTIF('USPTO TMs'!A:A,D1259)&gt;0,"Yes","No"),"")</f>
        <v/>
      </c>
      <c r="C1259" s="11"/>
      <c r="D1259" s="11"/>
      <c r="E1259" s="11"/>
      <c r="F1259" s="11"/>
      <c r="G1259" s="11"/>
      <c r="H1259" s="11"/>
      <c r="I1259" s="15"/>
    </row>
    <row r="1260" spans="1:9" ht="16.5">
      <c r="A1260" s="10" t="b">
        <v>0</v>
      </c>
      <c r="B1260" s="11" t="str">
        <f>IF(D1260&lt;&gt;"",IF(COUNTIF('USPTO TMs'!A:A,D1260)&gt;0,"Yes","No"),"")</f>
        <v/>
      </c>
      <c r="C1260" s="11"/>
      <c r="D1260" s="11"/>
      <c r="E1260" s="11"/>
      <c r="F1260" s="11"/>
      <c r="G1260" s="11"/>
      <c r="H1260" s="11"/>
      <c r="I1260" s="15"/>
    </row>
    <row r="1261" spans="1:9" ht="16.5">
      <c r="A1261" s="10" t="b">
        <v>0</v>
      </c>
      <c r="B1261" s="11" t="str">
        <f>IF(D1261&lt;&gt;"",IF(COUNTIF('USPTO TMs'!A:A,D1261)&gt;0,"Yes","No"),"")</f>
        <v/>
      </c>
      <c r="C1261" s="11"/>
      <c r="D1261" s="11"/>
      <c r="E1261" s="11"/>
      <c r="F1261" s="11"/>
      <c r="G1261" s="11"/>
      <c r="H1261" s="11"/>
      <c r="I1261" s="15"/>
    </row>
    <row r="1262" spans="1:9" ht="16.5">
      <c r="A1262" s="10" t="b">
        <v>0</v>
      </c>
      <c r="B1262" s="11" t="str">
        <f>IF(D1262&lt;&gt;"",IF(COUNTIF('USPTO TMs'!A:A,D1262)&gt;0,"Yes","No"),"")</f>
        <v/>
      </c>
      <c r="C1262" s="11"/>
      <c r="D1262" s="11"/>
      <c r="E1262" s="11"/>
      <c r="F1262" s="11"/>
      <c r="G1262" s="11"/>
      <c r="H1262" s="11"/>
      <c r="I1262" s="15"/>
    </row>
    <row r="1263" spans="1:9" ht="16.5">
      <c r="A1263" s="10" t="b">
        <v>0</v>
      </c>
      <c r="B1263" s="11" t="str">
        <f>IF(D1263&lt;&gt;"",IF(COUNTIF('USPTO TMs'!A:A,D1263)&gt;0,"Yes","No"),"")</f>
        <v/>
      </c>
      <c r="C1263" s="11"/>
      <c r="D1263" s="11"/>
      <c r="E1263" s="11"/>
      <c r="F1263" s="11"/>
      <c r="G1263" s="11"/>
      <c r="H1263" s="11"/>
      <c r="I1263" s="15"/>
    </row>
    <row r="1264" spans="1:9" ht="16.5">
      <c r="A1264" s="10" t="b">
        <v>0</v>
      </c>
      <c r="B1264" s="11" t="str">
        <f>IF(D1264&lt;&gt;"",IF(COUNTIF('USPTO TMs'!A:A,D1264)&gt;0,"Yes","No"),"")</f>
        <v/>
      </c>
      <c r="C1264" s="11"/>
      <c r="D1264" s="11"/>
      <c r="E1264" s="11"/>
      <c r="F1264" s="11"/>
      <c r="G1264" s="11"/>
      <c r="H1264" s="11"/>
      <c r="I1264" s="15"/>
    </row>
    <row r="1265" spans="1:9" ht="16.5">
      <c r="A1265" s="10" t="b">
        <v>0</v>
      </c>
      <c r="B1265" s="11" t="str">
        <f>IF(D1265&lt;&gt;"",IF(COUNTIF('USPTO TMs'!A:A,D1265)&gt;0,"Yes","No"),"")</f>
        <v/>
      </c>
      <c r="C1265" s="11"/>
      <c r="D1265" s="11"/>
      <c r="E1265" s="11"/>
      <c r="F1265" s="11"/>
      <c r="G1265" s="11"/>
      <c r="H1265" s="11"/>
      <c r="I1265" s="15"/>
    </row>
    <row r="1266" spans="1:9" ht="16.5">
      <c r="A1266" s="10" t="b">
        <v>0</v>
      </c>
      <c r="B1266" s="11" t="str">
        <f>IF(D1266&lt;&gt;"",IF(COUNTIF('USPTO TMs'!A:A,D1266)&gt;0,"Yes","No"),"")</f>
        <v/>
      </c>
      <c r="C1266" s="11"/>
      <c r="D1266" s="11"/>
      <c r="E1266" s="11"/>
      <c r="F1266" s="11"/>
      <c r="G1266" s="11"/>
      <c r="H1266" s="11"/>
      <c r="I1266" s="15"/>
    </row>
    <row r="1267" spans="1:9" ht="16.5">
      <c r="A1267" s="10" t="b">
        <v>0</v>
      </c>
      <c r="B1267" s="11" t="str">
        <f>IF(D1267&lt;&gt;"",IF(COUNTIF('USPTO TMs'!A:A,D1267)&gt;0,"Yes","No"),"")</f>
        <v/>
      </c>
      <c r="C1267" s="11"/>
      <c r="D1267" s="11"/>
      <c r="E1267" s="11"/>
      <c r="F1267" s="11"/>
      <c r="G1267" s="11"/>
      <c r="H1267" s="11"/>
      <c r="I1267" s="15"/>
    </row>
    <row r="1268" spans="1:9" ht="16.5">
      <c r="A1268" s="10" t="b">
        <v>0</v>
      </c>
      <c r="B1268" s="11" t="str">
        <f>IF(D1268&lt;&gt;"",IF(COUNTIF('USPTO TMs'!A:A,D1268)&gt;0,"Yes","No"),"")</f>
        <v/>
      </c>
      <c r="C1268" s="11"/>
      <c r="D1268" s="11"/>
      <c r="E1268" s="11"/>
      <c r="F1268" s="11"/>
      <c r="G1268" s="11"/>
      <c r="H1268" s="11"/>
      <c r="I1268" s="15"/>
    </row>
    <row r="1269" spans="1:9" ht="16.5">
      <c r="A1269" s="10" t="b">
        <v>0</v>
      </c>
      <c r="B1269" s="11" t="str">
        <f>IF(D1269&lt;&gt;"",IF(COUNTIF('USPTO TMs'!A:A,D1269)&gt;0,"Yes","No"),"")</f>
        <v/>
      </c>
      <c r="C1269" s="11"/>
      <c r="D1269" s="11"/>
      <c r="E1269" s="11"/>
      <c r="F1269" s="11"/>
      <c r="G1269" s="11"/>
      <c r="H1269" s="11"/>
      <c r="I1269" s="15"/>
    </row>
    <row r="1270" spans="1:9" ht="16.5">
      <c r="A1270" s="10" t="b">
        <v>0</v>
      </c>
      <c r="B1270" s="11" t="str">
        <f>IF(D1270&lt;&gt;"",IF(COUNTIF('USPTO TMs'!A:A,D1270)&gt;0,"Yes","No"),"")</f>
        <v/>
      </c>
      <c r="C1270" s="11"/>
      <c r="D1270" s="11"/>
      <c r="E1270" s="11"/>
      <c r="F1270" s="11"/>
      <c r="G1270" s="11"/>
      <c r="H1270" s="11"/>
      <c r="I1270" s="15"/>
    </row>
    <row r="1271" spans="1:9" ht="16.5">
      <c r="A1271" s="10" t="b">
        <v>0</v>
      </c>
      <c r="B1271" s="11" t="str">
        <f>IF(D1271&lt;&gt;"",IF(COUNTIF('USPTO TMs'!A:A,D1271)&gt;0,"Yes","No"),"")</f>
        <v/>
      </c>
      <c r="C1271" s="11"/>
      <c r="D1271" s="11"/>
      <c r="E1271" s="11"/>
      <c r="F1271" s="11"/>
      <c r="G1271" s="11"/>
      <c r="H1271" s="11"/>
      <c r="I1271" s="15"/>
    </row>
    <row r="1272" spans="1:9" ht="16.5">
      <c r="A1272" s="10" t="b">
        <v>0</v>
      </c>
      <c r="B1272" s="11" t="str">
        <f>IF(D1272&lt;&gt;"",IF(COUNTIF('USPTO TMs'!A:A,D1272)&gt;0,"Yes","No"),"")</f>
        <v/>
      </c>
      <c r="C1272" s="11"/>
      <c r="D1272" s="11"/>
      <c r="E1272" s="11"/>
      <c r="F1272" s="11"/>
      <c r="G1272" s="11"/>
      <c r="H1272" s="11"/>
      <c r="I1272" s="15"/>
    </row>
    <row r="1273" spans="1:9" ht="16.5">
      <c r="A1273" s="10" t="b">
        <v>0</v>
      </c>
      <c r="B1273" s="11" t="str">
        <f>IF(D1273&lt;&gt;"",IF(COUNTIF('USPTO TMs'!A:A,D1273)&gt;0,"Yes","No"),"")</f>
        <v/>
      </c>
      <c r="C1273" s="11"/>
      <c r="D1273" s="11"/>
      <c r="E1273" s="11"/>
      <c r="F1273" s="11"/>
      <c r="G1273" s="11"/>
      <c r="H1273" s="11"/>
      <c r="I1273" s="15"/>
    </row>
    <row r="1274" spans="1:9" ht="16.5">
      <c r="A1274" s="10" t="b">
        <v>0</v>
      </c>
      <c r="B1274" s="11" t="str">
        <f>IF(D1274&lt;&gt;"",IF(COUNTIF('USPTO TMs'!A:A,D1274)&gt;0,"Yes","No"),"")</f>
        <v/>
      </c>
      <c r="C1274" s="11"/>
      <c r="D1274" s="11"/>
      <c r="E1274" s="11"/>
      <c r="F1274" s="11"/>
      <c r="G1274" s="11"/>
      <c r="H1274" s="11"/>
      <c r="I1274" s="15"/>
    </row>
    <row r="1275" spans="1:9" ht="16.5">
      <c r="A1275" s="10" t="b">
        <v>0</v>
      </c>
      <c r="B1275" s="11" t="str">
        <f>IF(D1275&lt;&gt;"",IF(COUNTIF('USPTO TMs'!A:A,D1275)&gt;0,"Yes","No"),"")</f>
        <v/>
      </c>
      <c r="C1275" s="11"/>
      <c r="D1275" s="11"/>
      <c r="E1275" s="11"/>
      <c r="F1275" s="11"/>
      <c r="G1275" s="11"/>
      <c r="H1275" s="11"/>
      <c r="I1275" s="15"/>
    </row>
    <row r="1276" spans="1:9" ht="16.5">
      <c r="A1276" s="10" t="b">
        <v>0</v>
      </c>
      <c r="B1276" s="11" t="str">
        <f>IF(D1276&lt;&gt;"",IF(COUNTIF('USPTO TMs'!A:A,D1276)&gt;0,"Yes","No"),"")</f>
        <v/>
      </c>
      <c r="C1276" s="11"/>
      <c r="D1276" s="11"/>
      <c r="E1276" s="11"/>
      <c r="F1276" s="11"/>
      <c r="G1276" s="11"/>
      <c r="H1276" s="11"/>
      <c r="I1276" s="15"/>
    </row>
    <row r="1277" spans="1:9" ht="16.5">
      <c r="A1277" s="10" t="b">
        <v>0</v>
      </c>
      <c r="B1277" s="11" t="str">
        <f>IF(D1277&lt;&gt;"",IF(COUNTIF('USPTO TMs'!A:A,D1277)&gt;0,"Yes","No"),"")</f>
        <v/>
      </c>
      <c r="C1277" s="11"/>
      <c r="D1277" s="11"/>
      <c r="E1277" s="11"/>
      <c r="F1277" s="11"/>
      <c r="G1277" s="11"/>
      <c r="H1277" s="11"/>
      <c r="I1277" s="15"/>
    </row>
    <row r="1278" spans="1:9" ht="16.5">
      <c r="A1278" s="10" t="b">
        <v>0</v>
      </c>
      <c r="B1278" s="11" t="str">
        <f>IF(D1278&lt;&gt;"",IF(COUNTIF('USPTO TMs'!A:A,D1278)&gt;0,"Yes","No"),"")</f>
        <v/>
      </c>
      <c r="C1278" s="11"/>
      <c r="D1278" s="11"/>
      <c r="E1278" s="11"/>
      <c r="F1278" s="11"/>
      <c r="G1278" s="11"/>
      <c r="H1278" s="11"/>
      <c r="I1278" s="15"/>
    </row>
    <row r="1279" spans="1:9" ht="16.5">
      <c r="A1279" s="10" t="b">
        <v>0</v>
      </c>
      <c r="B1279" s="11" t="str">
        <f>IF(D1279&lt;&gt;"",IF(COUNTIF('USPTO TMs'!A:A,D1279)&gt;0,"Yes","No"),"")</f>
        <v/>
      </c>
      <c r="C1279" s="11"/>
      <c r="D1279" s="11"/>
      <c r="E1279" s="11"/>
      <c r="F1279" s="11"/>
      <c r="G1279" s="11"/>
      <c r="H1279" s="11"/>
      <c r="I1279" s="15"/>
    </row>
    <row r="1280" spans="1:9" ht="16.5">
      <c r="A1280" s="10" t="b">
        <v>0</v>
      </c>
      <c r="B1280" s="11" t="str">
        <f>IF(D1280&lt;&gt;"",IF(COUNTIF('USPTO TMs'!A:A,D1280)&gt;0,"Yes","No"),"")</f>
        <v/>
      </c>
      <c r="C1280" s="11"/>
      <c r="D1280" s="11"/>
      <c r="E1280" s="11"/>
      <c r="F1280" s="11"/>
      <c r="G1280" s="11"/>
      <c r="H1280" s="11"/>
      <c r="I1280" s="15"/>
    </row>
    <row r="1281" spans="1:9" ht="16.5">
      <c r="A1281" s="10" t="b">
        <v>0</v>
      </c>
      <c r="B1281" s="11" t="str">
        <f>IF(D1281&lt;&gt;"",IF(COUNTIF('USPTO TMs'!A:A,D1281)&gt;0,"Yes","No"),"")</f>
        <v/>
      </c>
      <c r="C1281" s="11"/>
      <c r="D1281" s="11"/>
      <c r="E1281" s="11"/>
      <c r="F1281" s="11"/>
      <c r="G1281" s="11"/>
      <c r="H1281" s="11"/>
      <c r="I1281" s="15"/>
    </row>
    <row r="1282" spans="1:9" ht="16.5">
      <c r="A1282" s="10" t="b">
        <v>0</v>
      </c>
      <c r="B1282" s="11" t="str">
        <f>IF(D1282&lt;&gt;"",IF(COUNTIF('USPTO TMs'!A:A,D1282)&gt;0,"Yes","No"),"")</f>
        <v/>
      </c>
      <c r="C1282" s="11"/>
      <c r="D1282" s="11"/>
      <c r="E1282" s="11"/>
      <c r="F1282" s="11"/>
      <c r="G1282" s="11"/>
      <c r="H1282" s="11"/>
      <c r="I1282" s="15"/>
    </row>
    <row r="1283" spans="1:9" ht="16.5">
      <c r="A1283" s="10" t="b">
        <v>0</v>
      </c>
      <c r="B1283" s="11" t="str">
        <f>IF(D1283&lt;&gt;"",IF(COUNTIF('USPTO TMs'!A:A,D1283)&gt;0,"Yes","No"),"")</f>
        <v/>
      </c>
      <c r="C1283" s="11"/>
      <c r="D1283" s="11"/>
      <c r="E1283" s="11"/>
      <c r="F1283" s="11"/>
      <c r="G1283" s="11"/>
      <c r="H1283" s="11"/>
      <c r="I1283" s="15"/>
    </row>
    <row r="1284" spans="1:9" ht="16.5">
      <c r="A1284" s="10" t="b">
        <v>0</v>
      </c>
      <c r="B1284" s="11" t="str">
        <f>IF(D1284&lt;&gt;"",IF(COUNTIF('USPTO TMs'!A:A,D1284)&gt;0,"Yes","No"),"")</f>
        <v/>
      </c>
      <c r="C1284" s="11"/>
      <c r="D1284" s="11"/>
      <c r="E1284" s="11"/>
      <c r="F1284" s="11"/>
      <c r="G1284" s="11"/>
      <c r="H1284" s="11"/>
      <c r="I1284" s="15"/>
    </row>
    <row r="1285" spans="1:9" ht="16.5">
      <c r="A1285" s="10" t="b">
        <v>0</v>
      </c>
      <c r="B1285" s="11" t="str">
        <f>IF(D1285&lt;&gt;"",IF(COUNTIF('USPTO TMs'!A:A,D1285)&gt;0,"Yes","No"),"")</f>
        <v/>
      </c>
      <c r="C1285" s="11"/>
      <c r="D1285" s="11"/>
      <c r="E1285" s="11"/>
      <c r="F1285" s="11"/>
      <c r="G1285" s="11"/>
      <c r="H1285" s="11"/>
      <c r="I1285" s="15"/>
    </row>
    <row r="1286" spans="1:9" ht="16.5">
      <c r="A1286" s="10" t="b">
        <v>0</v>
      </c>
      <c r="B1286" s="11" t="str">
        <f>IF(D1286&lt;&gt;"",IF(COUNTIF('USPTO TMs'!A:A,D1286)&gt;0,"Yes","No"),"")</f>
        <v/>
      </c>
      <c r="C1286" s="11"/>
      <c r="D1286" s="11"/>
      <c r="E1286" s="11"/>
      <c r="F1286" s="11"/>
      <c r="G1286" s="11"/>
      <c r="H1286" s="11"/>
      <c r="I1286" s="15"/>
    </row>
    <row r="1287" spans="1:9" ht="16.5">
      <c r="A1287" s="10" t="b">
        <v>0</v>
      </c>
      <c r="B1287" s="11" t="str">
        <f>IF(D1287&lt;&gt;"",IF(COUNTIF('USPTO TMs'!A:A,D1287)&gt;0,"Yes","No"),"")</f>
        <v/>
      </c>
      <c r="C1287" s="11"/>
      <c r="D1287" s="11"/>
      <c r="E1287" s="11"/>
      <c r="F1287" s="11"/>
      <c r="G1287" s="11"/>
      <c r="H1287" s="11"/>
      <c r="I1287" s="15"/>
    </row>
    <row r="1288" spans="1:9" ht="16.5">
      <c r="A1288" s="10" t="b">
        <v>0</v>
      </c>
      <c r="B1288" s="11" t="str">
        <f>IF(D1288&lt;&gt;"",IF(COUNTIF('USPTO TMs'!A:A,D1288)&gt;0,"Yes","No"),"")</f>
        <v/>
      </c>
      <c r="C1288" s="11"/>
      <c r="D1288" s="11"/>
      <c r="E1288" s="11"/>
      <c r="F1288" s="11"/>
      <c r="G1288" s="11"/>
      <c r="H1288" s="11"/>
      <c r="I1288" s="15"/>
    </row>
    <row r="1289" spans="1:9" ht="16.5">
      <c r="A1289" s="10" t="b">
        <v>0</v>
      </c>
      <c r="B1289" s="11" t="str">
        <f>IF(D1289&lt;&gt;"",IF(COUNTIF('USPTO TMs'!A:A,D1289)&gt;0,"Yes","No"),"")</f>
        <v/>
      </c>
      <c r="C1289" s="11"/>
      <c r="D1289" s="11"/>
      <c r="E1289" s="11"/>
      <c r="F1289" s="11"/>
      <c r="G1289" s="11"/>
      <c r="H1289" s="11"/>
      <c r="I1289" s="15"/>
    </row>
    <row r="1290" spans="1:9" ht="16.5">
      <c r="A1290" s="10" t="b">
        <v>0</v>
      </c>
      <c r="B1290" s="11" t="str">
        <f>IF(D1290&lt;&gt;"",IF(COUNTIF('USPTO TMs'!A:A,D1290)&gt;0,"Yes","No"),"")</f>
        <v/>
      </c>
      <c r="C1290" s="11"/>
      <c r="D1290" s="11"/>
      <c r="E1290" s="11"/>
      <c r="F1290" s="11"/>
      <c r="G1290" s="11"/>
      <c r="H1290" s="11"/>
      <c r="I1290" s="15"/>
    </row>
    <row r="1291" spans="1:9" ht="16.5">
      <c r="A1291" s="10" t="b">
        <v>0</v>
      </c>
      <c r="B1291" s="11" t="str">
        <f>IF(D1291&lt;&gt;"",IF(COUNTIF('USPTO TMs'!A:A,D1291)&gt;0,"Yes","No"),"")</f>
        <v/>
      </c>
      <c r="C1291" s="11"/>
      <c r="D1291" s="11"/>
      <c r="E1291" s="11"/>
      <c r="F1291" s="11"/>
      <c r="G1291" s="11"/>
      <c r="H1291" s="11"/>
      <c r="I1291" s="15"/>
    </row>
    <row r="1292" spans="1:9" ht="16.5">
      <c r="A1292" s="10" t="b">
        <v>0</v>
      </c>
      <c r="B1292" s="11" t="str">
        <f>IF(D1292&lt;&gt;"",IF(COUNTIF('USPTO TMs'!A:A,D1292)&gt;0,"Yes","No"),"")</f>
        <v/>
      </c>
      <c r="C1292" s="11"/>
      <c r="D1292" s="11"/>
      <c r="E1292" s="11"/>
      <c r="F1292" s="11"/>
      <c r="G1292" s="11"/>
      <c r="H1292" s="11"/>
      <c r="I1292" s="15"/>
    </row>
    <row r="1293" spans="1:9" ht="16.5">
      <c r="A1293" s="10" t="b">
        <v>0</v>
      </c>
      <c r="B1293" s="11" t="str">
        <f>IF(D1293&lt;&gt;"",IF(COUNTIF('USPTO TMs'!A:A,D1293)&gt;0,"Yes","No"),"")</f>
        <v/>
      </c>
      <c r="C1293" s="11"/>
      <c r="D1293" s="11"/>
      <c r="E1293" s="11"/>
      <c r="F1293" s="11"/>
      <c r="G1293" s="11"/>
      <c r="H1293" s="11"/>
      <c r="I1293" s="15"/>
    </row>
    <row r="1294" spans="1:9" ht="16.5">
      <c r="A1294" s="10" t="b">
        <v>0</v>
      </c>
      <c r="B1294" s="11" t="str">
        <f>IF(D1294&lt;&gt;"",IF(COUNTIF('USPTO TMs'!A:A,D1294)&gt;0,"Yes","No"),"")</f>
        <v/>
      </c>
      <c r="C1294" s="11"/>
      <c r="D1294" s="11"/>
      <c r="E1294" s="11"/>
      <c r="F1294" s="11"/>
      <c r="G1294" s="11"/>
      <c r="H1294" s="11"/>
      <c r="I1294" s="15"/>
    </row>
    <row r="1295" spans="1:9" ht="16.5">
      <c r="A1295" s="10" t="b">
        <v>0</v>
      </c>
      <c r="B1295" s="11" t="str">
        <f>IF(D1295&lt;&gt;"",IF(COUNTIF('USPTO TMs'!A:A,D1295)&gt;0,"Yes","No"),"")</f>
        <v/>
      </c>
      <c r="C1295" s="11"/>
      <c r="D1295" s="11"/>
      <c r="E1295" s="11"/>
      <c r="F1295" s="11"/>
      <c r="G1295" s="11"/>
      <c r="H1295" s="11"/>
      <c r="I1295" s="15"/>
    </row>
    <row r="1296" spans="1:9" ht="16.5">
      <c r="A1296" s="10" t="b">
        <v>0</v>
      </c>
      <c r="B1296" s="11" t="str">
        <f>IF(D1296&lt;&gt;"",IF(COUNTIF('USPTO TMs'!A:A,D1296)&gt;0,"Yes","No"),"")</f>
        <v/>
      </c>
      <c r="C1296" s="11"/>
      <c r="D1296" s="11"/>
      <c r="E1296" s="11"/>
      <c r="F1296" s="11"/>
      <c r="G1296" s="11"/>
      <c r="H1296" s="11"/>
      <c r="I1296" s="15"/>
    </row>
    <row r="1297" spans="1:9" ht="16.5">
      <c r="A1297" s="10" t="b">
        <v>0</v>
      </c>
      <c r="B1297" s="11" t="str">
        <f>IF(D1297&lt;&gt;"",IF(COUNTIF('USPTO TMs'!A:A,D1297)&gt;0,"Yes","No"),"")</f>
        <v/>
      </c>
      <c r="C1297" s="11"/>
      <c r="D1297" s="11"/>
      <c r="E1297" s="11"/>
      <c r="F1297" s="11"/>
      <c r="G1297" s="11"/>
      <c r="H1297" s="11"/>
      <c r="I1297" s="15"/>
    </row>
    <row r="1298" spans="1:9" ht="16.5">
      <c r="A1298" s="10" t="b">
        <v>0</v>
      </c>
      <c r="B1298" s="11" t="str">
        <f>IF(D1298&lt;&gt;"",IF(COUNTIF('USPTO TMs'!A:A,D1298)&gt;0,"Yes","No"),"")</f>
        <v/>
      </c>
      <c r="C1298" s="11"/>
      <c r="D1298" s="11"/>
      <c r="E1298" s="11"/>
      <c r="F1298" s="11"/>
      <c r="G1298" s="11"/>
      <c r="H1298" s="11"/>
      <c r="I1298" s="15"/>
    </row>
    <row r="1299" spans="1:9" ht="16.5">
      <c r="A1299" s="10" t="b">
        <v>0</v>
      </c>
      <c r="B1299" s="11" t="str">
        <f>IF(D1299&lt;&gt;"",IF(COUNTIF('USPTO TMs'!A:A,D1299)&gt;0,"Yes","No"),"")</f>
        <v/>
      </c>
      <c r="C1299" s="11"/>
      <c r="D1299" s="11"/>
      <c r="E1299" s="11"/>
      <c r="F1299" s="11"/>
      <c r="G1299" s="11"/>
      <c r="H1299" s="11"/>
      <c r="I1299" s="15"/>
    </row>
    <row r="1300" spans="1:9" ht="16.5">
      <c r="A1300" s="10" t="b">
        <v>0</v>
      </c>
      <c r="B1300" s="11" t="str">
        <f>IF(D1300&lt;&gt;"",IF(COUNTIF('USPTO TMs'!A:A,D1300)&gt;0,"Yes","No"),"")</f>
        <v/>
      </c>
      <c r="C1300" s="11"/>
      <c r="D1300" s="11"/>
      <c r="E1300" s="11"/>
      <c r="F1300" s="11"/>
      <c r="G1300" s="11"/>
      <c r="H1300" s="11"/>
      <c r="I1300" s="15"/>
    </row>
    <row r="1301" spans="1:9" ht="16.5">
      <c r="A1301" s="10" t="b">
        <v>0</v>
      </c>
      <c r="B1301" s="11" t="str">
        <f>IF(D1301&lt;&gt;"",IF(COUNTIF('USPTO TMs'!A:A,D1301)&gt;0,"Yes","No"),"")</f>
        <v/>
      </c>
      <c r="C1301" s="11"/>
      <c r="D1301" s="11"/>
      <c r="E1301" s="11"/>
      <c r="F1301" s="11"/>
      <c r="G1301" s="11"/>
      <c r="H1301" s="11"/>
      <c r="I1301" s="15"/>
    </row>
    <row r="1302" spans="1:9" ht="16.5">
      <c r="A1302" s="10" t="b">
        <v>0</v>
      </c>
      <c r="B1302" s="11" t="str">
        <f>IF(D1302&lt;&gt;"",IF(COUNTIF('USPTO TMs'!A:A,D1302)&gt;0,"Yes","No"),"")</f>
        <v/>
      </c>
      <c r="C1302" s="11"/>
      <c r="D1302" s="11"/>
      <c r="E1302" s="11"/>
      <c r="F1302" s="11"/>
      <c r="G1302" s="11"/>
      <c r="H1302" s="11"/>
      <c r="I1302" s="15"/>
    </row>
    <row r="1303" spans="1:9" ht="16.5">
      <c r="A1303" s="10" t="b">
        <v>0</v>
      </c>
      <c r="B1303" s="11" t="str">
        <f>IF(D1303&lt;&gt;"",IF(COUNTIF('USPTO TMs'!A:A,D1303)&gt;0,"Yes","No"),"")</f>
        <v/>
      </c>
      <c r="C1303" s="11"/>
      <c r="D1303" s="11"/>
      <c r="E1303" s="11"/>
      <c r="F1303" s="11"/>
      <c r="G1303" s="11"/>
      <c r="H1303" s="11"/>
      <c r="I1303" s="15"/>
    </row>
    <row r="1304" spans="1:9" ht="16.5">
      <c r="A1304" s="10" t="b">
        <v>0</v>
      </c>
      <c r="B1304" s="11" t="str">
        <f>IF(D1304&lt;&gt;"",IF(COUNTIF('USPTO TMs'!A:A,D1304)&gt;0,"Yes","No"),"")</f>
        <v/>
      </c>
      <c r="C1304" s="11"/>
      <c r="D1304" s="11"/>
      <c r="E1304" s="11"/>
      <c r="F1304" s="11"/>
      <c r="G1304" s="11"/>
      <c r="H1304" s="11"/>
      <c r="I1304" s="15"/>
    </row>
    <row r="1305" spans="1:9" ht="16.5">
      <c r="A1305" s="10" t="b">
        <v>0</v>
      </c>
      <c r="B1305" s="11" t="str">
        <f>IF(D1305&lt;&gt;"",IF(COUNTIF('USPTO TMs'!A:A,D1305)&gt;0,"Yes","No"),"")</f>
        <v/>
      </c>
      <c r="C1305" s="11"/>
      <c r="D1305" s="11"/>
      <c r="E1305" s="11"/>
      <c r="F1305" s="11"/>
      <c r="G1305" s="11"/>
      <c r="H1305" s="11"/>
      <c r="I1305" s="15"/>
    </row>
    <row r="1306" spans="1:9" ht="16.5">
      <c r="A1306" s="10" t="b">
        <v>0</v>
      </c>
      <c r="B1306" s="11" t="str">
        <f>IF(D1306&lt;&gt;"",IF(COUNTIF('USPTO TMs'!A:A,D1306)&gt;0,"Yes","No"),"")</f>
        <v/>
      </c>
      <c r="C1306" s="11"/>
      <c r="D1306" s="11"/>
      <c r="E1306" s="11"/>
      <c r="F1306" s="11"/>
      <c r="G1306" s="11"/>
      <c r="H1306" s="11"/>
      <c r="I1306" s="15"/>
    </row>
    <row r="1307" spans="1:9" ht="16.5">
      <c r="A1307" s="10" t="b">
        <v>0</v>
      </c>
      <c r="B1307" s="11" t="str">
        <f>IF(D1307&lt;&gt;"",IF(COUNTIF('USPTO TMs'!A:A,D1307)&gt;0,"Yes","No"),"")</f>
        <v/>
      </c>
      <c r="C1307" s="11"/>
      <c r="D1307" s="11"/>
      <c r="E1307" s="11"/>
      <c r="F1307" s="11"/>
      <c r="G1307" s="11"/>
      <c r="H1307" s="11"/>
      <c r="I1307" s="15"/>
    </row>
    <row r="1308" spans="1:9" ht="16.5">
      <c r="A1308" s="10" t="b">
        <v>0</v>
      </c>
      <c r="B1308" s="11" t="str">
        <f>IF(D1308&lt;&gt;"",IF(COUNTIF('USPTO TMs'!A:A,D1308)&gt;0,"Yes","No"),"")</f>
        <v/>
      </c>
      <c r="C1308" s="11"/>
      <c r="D1308" s="11"/>
      <c r="E1308" s="11"/>
      <c r="F1308" s="11"/>
      <c r="G1308" s="11"/>
      <c r="H1308" s="11"/>
      <c r="I1308" s="15"/>
    </row>
    <row r="1309" spans="1:9" ht="16.5">
      <c r="A1309" s="10" t="b">
        <v>0</v>
      </c>
      <c r="B1309" s="11" t="str">
        <f>IF(D1309&lt;&gt;"",IF(COUNTIF('USPTO TMs'!A:A,D1309)&gt;0,"Yes","No"),"")</f>
        <v/>
      </c>
      <c r="C1309" s="11"/>
      <c r="D1309" s="11"/>
      <c r="E1309" s="11"/>
      <c r="F1309" s="11"/>
      <c r="G1309" s="11"/>
      <c r="H1309" s="11"/>
      <c r="I1309" s="15"/>
    </row>
    <row r="1310" spans="1:9" ht="16.5">
      <c r="A1310" s="10" t="b">
        <v>0</v>
      </c>
      <c r="B1310" s="11" t="str">
        <f>IF(D1310&lt;&gt;"",IF(COUNTIF('USPTO TMs'!A:A,D1310)&gt;0,"Yes","No"),"")</f>
        <v/>
      </c>
      <c r="C1310" s="11"/>
      <c r="D1310" s="11"/>
      <c r="E1310" s="11"/>
      <c r="F1310" s="11"/>
      <c r="G1310" s="11"/>
      <c r="H1310" s="11"/>
      <c r="I1310" s="15"/>
    </row>
    <row r="1311" spans="1:9" ht="16.5">
      <c r="A1311" s="10" t="b">
        <v>0</v>
      </c>
      <c r="B1311" s="11" t="str">
        <f>IF(D1311&lt;&gt;"",IF(COUNTIF('USPTO TMs'!A:A,D1311)&gt;0,"Yes","No"),"")</f>
        <v/>
      </c>
      <c r="C1311" s="11"/>
      <c r="D1311" s="11"/>
      <c r="E1311" s="11"/>
      <c r="F1311" s="11"/>
      <c r="G1311" s="11"/>
      <c r="H1311" s="11"/>
      <c r="I1311" s="15"/>
    </row>
    <row r="1312" spans="1:9" ht="16.5">
      <c r="A1312" s="10" t="b">
        <v>0</v>
      </c>
      <c r="B1312" s="11" t="str">
        <f>IF(D1312&lt;&gt;"",IF(COUNTIF('USPTO TMs'!A:A,D1312)&gt;0,"Yes","No"),"")</f>
        <v/>
      </c>
      <c r="C1312" s="11"/>
      <c r="D1312" s="11"/>
      <c r="E1312" s="11"/>
      <c r="F1312" s="11"/>
      <c r="G1312" s="11"/>
      <c r="H1312" s="11"/>
      <c r="I1312" s="15"/>
    </row>
    <row r="1313" spans="1:9" ht="16.5">
      <c r="A1313" s="10" t="b">
        <v>0</v>
      </c>
      <c r="B1313" s="11" t="str">
        <f>IF(D1313&lt;&gt;"",IF(COUNTIF('USPTO TMs'!A:A,D1313)&gt;0,"Yes","No"),"")</f>
        <v/>
      </c>
      <c r="C1313" s="11"/>
      <c r="D1313" s="11"/>
      <c r="E1313" s="11"/>
      <c r="F1313" s="11"/>
      <c r="G1313" s="11"/>
      <c r="H1313" s="11"/>
      <c r="I1313" s="15"/>
    </row>
    <row r="1314" spans="1:9" ht="16.5">
      <c r="A1314" s="10" t="b">
        <v>0</v>
      </c>
      <c r="B1314" s="11" t="str">
        <f>IF(D1314&lt;&gt;"",IF(COUNTIF('USPTO TMs'!A:A,D1314)&gt;0,"Yes","No"),"")</f>
        <v/>
      </c>
      <c r="C1314" s="11"/>
      <c r="D1314" s="11"/>
      <c r="E1314" s="11"/>
      <c r="F1314" s="11"/>
      <c r="G1314" s="11"/>
      <c r="H1314" s="11"/>
      <c r="I1314" s="15"/>
    </row>
    <row r="1315" spans="1:9" ht="16.5">
      <c r="A1315" s="10" t="b">
        <v>0</v>
      </c>
      <c r="B1315" s="11" t="str">
        <f>IF(D1315&lt;&gt;"",IF(COUNTIF('USPTO TMs'!A:A,D1315)&gt;0,"Yes","No"),"")</f>
        <v/>
      </c>
      <c r="C1315" s="11"/>
      <c r="D1315" s="11"/>
      <c r="E1315" s="11"/>
      <c r="F1315" s="11"/>
      <c r="G1315" s="11"/>
      <c r="H1315" s="11"/>
      <c r="I1315" s="15"/>
    </row>
    <row r="1316" spans="1:9" ht="16.5">
      <c r="A1316" s="10" t="b">
        <v>0</v>
      </c>
      <c r="B1316" s="11" t="str">
        <f>IF(D1316&lt;&gt;"",IF(COUNTIF('USPTO TMs'!A:A,D1316)&gt;0,"Yes","No"),"")</f>
        <v/>
      </c>
      <c r="C1316" s="11"/>
      <c r="D1316" s="11"/>
      <c r="E1316" s="11"/>
      <c r="F1316" s="11"/>
      <c r="G1316" s="11"/>
      <c r="H1316" s="11"/>
      <c r="I1316" s="15"/>
    </row>
    <row r="1317" spans="1:9" ht="16.5">
      <c r="A1317" s="10" t="b">
        <v>0</v>
      </c>
      <c r="B1317" s="11" t="str">
        <f>IF(D1317&lt;&gt;"",IF(COUNTIF('USPTO TMs'!A:A,D1317)&gt;0,"Yes","No"),"")</f>
        <v/>
      </c>
      <c r="C1317" s="11"/>
      <c r="D1317" s="11"/>
      <c r="E1317" s="11"/>
      <c r="F1317" s="11"/>
      <c r="G1317" s="11"/>
      <c r="H1317" s="11"/>
      <c r="I1317" s="15"/>
    </row>
    <row r="1318" spans="1:9" ht="16.5">
      <c r="A1318" s="10" t="b">
        <v>0</v>
      </c>
      <c r="B1318" s="11" t="str">
        <f>IF(D1318&lt;&gt;"",IF(COUNTIF('USPTO TMs'!A:A,D1318)&gt;0,"Yes","No"),"")</f>
        <v/>
      </c>
      <c r="C1318" s="11"/>
      <c r="D1318" s="11"/>
      <c r="E1318" s="11"/>
      <c r="F1318" s="11"/>
      <c r="G1318" s="11"/>
      <c r="H1318" s="11"/>
      <c r="I1318" s="15"/>
    </row>
    <row r="1319" spans="1:9" ht="16.5">
      <c r="A1319" s="10" t="b">
        <v>0</v>
      </c>
      <c r="B1319" s="11" t="str">
        <f>IF(D1319&lt;&gt;"",IF(COUNTIF('USPTO TMs'!A:A,D1319)&gt;0,"Yes","No"),"")</f>
        <v/>
      </c>
      <c r="C1319" s="11"/>
      <c r="D1319" s="11"/>
      <c r="E1319" s="11"/>
      <c r="F1319" s="11"/>
      <c r="G1319" s="11"/>
      <c r="H1319" s="11"/>
      <c r="I1319" s="15"/>
    </row>
    <row r="1320" spans="1:9" ht="16.5">
      <c r="A1320" s="10" t="b">
        <v>0</v>
      </c>
      <c r="B1320" s="11" t="str">
        <f>IF(D1320&lt;&gt;"",IF(COUNTIF('USPTO TMs'!A:A,D1320)&gt;0,"Yes","No"),"")</f>
        <v/>
      </c>
      <c r="C1320" s="11"/>
      <c r="D1320" s="11"/>
      <c r="E1320" s="11"/>
      <c r="F1320" s="11"/>
      <c r="G1320" s="11"/>
      <c r="H1320" s="11"/>
      <c r="I1320" s="15"/>
    </row>
    <row r="1321" spans="1:9" ht="16.5">
      <c r="A1321" s="10" t="b">
        <v>0</v>
      </c>
      <c r="B1321" s="11" t="str">
        <f>IF(D1321&lt;&gt;"",IF(COUNTIF('USPTO TMs'!A:A,D1321)&gt;0,"Yes","No"),"")</f>
        <v/>
      </c>
      <c r="C1321" s="11"/>
      <c r="D1321" s="11"/>
      <c r="E1321" s="11"/>
      <c r="F1321" s="11"/>
      <c r="G1321" s="11"/>
      <c r="H1321" s="11"/>
      <c r="I1321" s="15"/>
    </row>
    <row r="1322" spans="1:9" ht="16.5">
      <c r="A1322" s="10" t="b">
        <v>0</v>
      </c>
      <c r="B1322" s="11" t="str">
        <f>IF(D1322&lt;&gt;"",IF(COUNTIF('USPTO TMs'!A:A,D1322)&gt;0,"Yes","No"),"")</f>
        <v/>
      </c>
      <c r="C1322" s="11"/>
      <c r="D1322" s="11"/>
      <c r="E1322" s="11"/>
      <c r="F1322" s="11"/>
      <c r="G1322" s="11"/>
      <c r="H1322" s="11"/>
      <c r="I1322" s="15"/>
    </row>
    <row r="1323" spans="1:9" ht="16.5">
      <c r="A1323" s="10" t="b">
        <v>0</v>
      </c>
      <c r="B1323" s="11" t="str">
        <f>IF(D1323&lt;&gt;"",IF(COUNTIF('USPTO TMs'!A:A,D1323)&gt;0,"Yes","No"),"")</f>
        <v/>
      </c>
      <c r="C1323" s="11"/>
      <c r="D1323" s="11"/>
      <c r="E1323" s="11"/>
      <c r="F1323" s="11"/>
      <c r="G1323" s="11"/>
      <c r="H1323" s="11"/>
      <c r="I1323" s="15"/>
    </row>
    <row r="1324" spans="1:9" ht="16.5">
      <c r="A1324" s="10" t="b">
        <v>0</v>
      </c>
      <c r="B1324" s="11" t="str">
        <f>IF(D1324&lt;&gt;"",IF(COUNTIF('USPTO TMs'!A:A,D1324)&gt;0,"Yes","No"),"")</f>
        <v/>
      </c>
      <c r="C1324" s="11"/>
      <c r="D1324" s="11"/>
      <c r="E1324" s="11"/>
      <c r="F1324" s="11"/>
      <c r="G1324" s="11"/>
      <c r="H1324" s="11"/>
      <c r="I1324" s="15"/>
    </row>
    <row r="1325" spans="1:9" ht="16.5">
      <c r="A1325" s="10" t="b">
        <v>0</v>
      </c>
      <c r="B1325" s="11" t="str">
        <f>IF(D1325&lt;&gt;"",IF(COUNTIF('USPTO TMs'!A:A,D1325)&gt;0,"Yes","No"),"")</f>
        <v/>
      </c>
      <c r="C1325" s="11"/>
      <c r="D1325" s="11"/>
      <c r="E1325" s="11"/>
      <c r="F1325" s="11"/>
      <c r="G1325" s="11"/>
      <c r="H1325" s="11"/>
      <c r="I1325" s="15"/>
    </row>
    <row r="1326" spans="1:9" ht="16.5">
      <c r="A1326" s="10" t="b">
        <v>0</v>
      </c>
      <c r="B1326" s="11" t="str">
        <f>IF(D1326&lt;&gt;"",IF(COUNTIF('USPTO TMs'!A:A,D1326)&gt;0,"Yes","No"),"")</f>
        <v/>
      </c>
      <c r="C1326" s="11"/>
      <c r="D1326" s="11"/>
      <c r="E1326" s="11"/>
      <c r="F1326" s="11"/>
      <c r="G1326" s="11"/>
      <c r="H1326" s="11"/>
      <c r="I1326" s="15"/>
    </row>
    <row r="1327" spans="1:9" ht="16.5">
      <c r="A1327" s="10" t="b">
        <v>0</v>
      </c>
      <c r="B1327" s="11" t="str">
        <f>IF(D1327&lt;&gt;"",IF(COUNTIF('USPTO TMs'!A:A,D1327)&gt;0,"Yes","No"),"")</f>
        <v/>
      </c>
      <c r="C1327" s="11"/>
      <c r="D1327" s="11"/>
      <c r="E1327" s="11"/>
      <c r="F1327" s="11"/>
      <c r="G1327" s="11"/>
      <c r="H1327" s="11"/>
      <c r="I1327" s="15"/>
    </row>
    <row r="1328" spans="1:9" ht="16.5">
      <c r="A1328" s="10" t="b">
        <v>0</v>
      </c>
      <c r="B1328" s="11" t="str">
        <f>IF(D1328&lt;&gt;"",IF(COUNTIF('USPTO TMs'!A:A,D1328)&gt;0,"Yes","No"),"")</f>
        <v/>
      </c>
      <c r="C1328" s="11"/>
      <c r="D1328" s="11"/>
      <c r="E1328" s="11"/>
      <c r="F1328" s="11"/>
      <c r="G1328" s="11"/>
      <c r="H1328" s="11"/>
      <c r="I1328" s="15"/>
    </row>
    <row r="1329" spans="1:9" ht="16.5">
      <c r="A1329" s="10" t="b">
        <v>0</v>
      </c>
      <c r="B1329" s="11" t="str">
        <f>IF(D1329&lt;&gt;"",IF(COUNTIF('USPTO TMs'!A:A,D1329)&gt;0,"Yes","No"),"")</f>
        <v/>
      </c>
      <c r="C1329" s="11"/>
      <c r="D1329" s="11"/>
      <c r="E1329" s="11"/>
      <c r="F1329" s="11"/>
      <c r="G1329" s="11"/>
      <c r="H1329" s="11"/>
      <c r="I1329" s="15"/>
    </row>
    <row r="1330" spans="1:9" ht="16.5">
      <c r="A1330" s="10" t="b">
        <v>0</v>
      </c>
      <c r="B1330" s="11" t="str">
        <f>IF(D1330&lt;&gt;"",IF(COUNTIF('USPTO TMs'!A:A,D1330)&gt;0,"Yes","No"),"")</f>
        <v/>
      </c>
      <c r="C1330" s="11"/>
      <c r="D1330" s="11"/>
      <c r="E1330" s="11"/>
      <c r="F1330" s="11"/>
      <c r="G1330" s="11"/>
      <c r="H1330" s="11"/>
      <c r="I1330" s="15"/>
    </row>
    <row r="1331" spans="1:9" ht="16.5">
      <c r="A1331" s="10" t="b">
        <v>0</v>
      </c>
      <c r="B1331" s="11" t="str">
        <f>IF(D1331&lt;&gt;"",IF(COUNTIF('USPTO TMs'!A:A,D1331)&gt;0,"Yes","No"),"")</f>
        <v/>
      </c>
      <c r="C1331" s="11"/>
      <c r="D1331" s="11"/>
      <c r="E1331" s="11"/>
      <c r="F1331" s="11"/>
      <c r="G1331" s="11"/>
      <c r="H1331" s="11"/>
      <c r="I1331" s="15"/>
    </row>
    <row r="1332" spans="1:9" ht="16.5">
      <c r="A1332" s="10" t="b">
        <v>0</v>
      </c>
      <c r="B1332" s="11" t="str">
        <f>IF(D1332&lt;&gt;"",IF(COUNTIF('USPTO TMs'!A:A,D1332)&gt;0,"Yes","No"),"")</f>
        <v/>
      </c>
      <c r="C1332" s="11"/>
      <c r="D1332" s="11"/>
      <c r="E1332" s="11"/>
      <c r="F1332" s="11"/>
      <c r="G1332" s="11"/>
      <c r="H1332" s="11"/>
      <c r="I1332" s="15"/>
    </row>
    <row r="1333" spans="1:9" ht="16.5">
      <c r="A1333" s="10" t="b">
        <v>0</v>
      </c>
      <c r="B1333" s="11" t="str">
        <f>IF(D1333&lt;&gt;"",IF(COUNTIF('USPTO TMs'!A:A,D1333)&gt;0,"Yes","No"),"")</f>
        <v/>
      </c>
      <c r="C1333" s="11"/>
      <c r="D1333" s="11"/>
      <c r="E1333" s="11"/>
      <c r="F1333" s="11"/>
      <c r="G1333" s="11"/>
      <c r="H1333" s="11"/>
      <c r="I1333" s="15"/>
    </row>
    <row r="1334" spans="1:9" ht="16.5">
      <c r="A1334" s="10" t="b">
        <v>0</v>
      </c>
      <c r="B1334" s="11" t="str">
        <f>IF(D1334&lt;&gt;"",IF(COUNTIF('USPTO TMs'!A:A,D1334)&gt;0,"Yes","No"),"")</f>
        <v/>
      </c>
      <c r="C1334" s="11"/>
      <c r="D1334" s="11"/>
      <c r="E1334" s="11"/>
      <c r="F1334" s="11"/>
      <c r="G1334" s="11"/>
      <c r="H1334" s="11"/>
      <c r="I1334" s="15"/>
    </row>
    <row r="1335" spans="1:9" ht="16.5">
      <c r="A1335" s="10" t="b">
        <v>0</v>
      </c>
      <c r="B1335" s="11" t="str">
        <f>IF(D1335&lt;&gt;"",IF(COUNTIF('USPTO TMs'!A:A,D1335)&gt;0,"Yes","No"),"")</f>
        <v/>
      </c>
      <c r="C1335" s="11"/>
      <c r="D1335" s="11"/>
      <c r="E1335" s="11"/>
      <c r="F1335" s="11"/>
      <c r="G1335" s="11"/>
      <c r="H1335" s="11"/>
      <c r="I1335" s="15"/>
    </row>
    <row r="1336" spans="1:9" ht="16.5">
      <c r="A1336" s="10" t="b">
        <v>0</v>
      </c>
      <c r="B1336" s="11" t="str">
        <f>IF(D1336&lt;&gt;"",IF(COUNTIF('USPTO TMs'!A:A,D1336)&gt;0,"Yes","No"),"")</f>
        <v/>
      </c>
      <c r="C1336" s="11"/>
      <c r="D1336" s="11"/>
      <c r="E1336" s="11"/>
      <c r="F1336" s="11"/>
      <c r="G1336" s="11"/>
      <c r="H1336" s="11"/>
      <c r="I1336" s="15"/>
    </row>
    <row r="1337" spans="1:9" ht="16.5">
      <c r="A1337" s="10" t="b">
        <v>0</v>
      </c>
      <c r="B1337" s="11" t="str">
        <f>IF(D1337&lt;&gt;"",IF(COUNTIF('USPTO TMs'!A:A,D1337)&gt;0,"Yes","No"),"")</f>
        <v/>
      </c>
      <c r="C1337" s="11"/>
      <c r="D1337" s="11"/>
      <c r="E1337" s="11"/>
      <c r="F1337" s="11"/>
      <c r="G1337" s="11"/>
      <c r="H1337" s="11"/>
      <c r="I1337" s="15"/>
    </row>
    <row r="1338" spans="1:9" ht="16.5">
      <c r="A1338" s="10" t="b">
        <v>0</v>
      </c>
      <c r="B1338" s="11" t="str">
        <f>IF(D1338&lt;&gt;"",IF(COUNTIF('USPTO TMs'!A:A,D1338)&gt;0,"Yes","No"),"")</f>
        <v/>
      </c>
      <c r="C1338" s="11"/>
      <c r="D1338" s="11"/>
      <c r="E1338" s="11"/>
      <c r="F1338" s="11"/>
      <c r="G1338" s="11"/>
      <c r="H1338" s="11"/>
      <c r="I1338" s="15"/>
    </row>
    <row r="1339" spans="1:9" ht="16.5">
      <c r="A1339" s="10" t="b">
        <v>0</v>
      </c>
      <c r="B1339" s="11" t="str">
        <f>IF(D1339&lt;&gt;"",IF(COUNTIF('USPTO TMs'!A:A,D1339)&gt;0,"Yes","No"),"")</f>
        <v/>
      </c>
      <c r="C1339" s="11"/>
      <c r="D1339" s="11"/>
      <c r="E1339" s="11"/>
      <c r="F1339" s="11"/>
      <c r="G1339" s="11"/>
      <c r="H1339" s="11"/>
      <c r="I1339" s="15"/>
    </row>
    <row r="1340" spans="1:9" ht="16.5">
      <c r="A1340" s="10" t="b">
        <v>0</v>
      </c>
      <c r="B1340" s="11" t="str">
        <f>IF(D1340&lt;&gt;"",IF(COUNTIF('USPTO TMs'!A:A,D1340)&gt;0,"Yes","No"),"")</f>
        <v/>
      </c>
      <c r="C1340" s="11"/>
      <c r="D1340" s="11"/>
      <c r="E1340" s="11"/>
      <c r="F1340" s="11"/>
      <c r="G1340" s="11"/>
      <c r="H1340" s="11"/>
      <c r="I1340" s="15"/>
    </row>
    <row r="1341" spans="1:9" ht="16.5">
      <c r="A1341" s="10" t="b">
        <v>0</v>
      </c>
      <c r="B1341" s="11" t="str">
        <f>IF(D1341&lt;&gt;"",IF(COUNTIF('USPTO TMs'!A:A,D1341)&gt;0,"Yes","No"),"")</f>
        <v/>
      </c>
      <c r="C1341" s="11"/>
      <c r="D1341" s="11"/>
      <c r="E1341" s="11"/>
      <c r="F1341" s="11"/>
      <c r="G1341" s="11"/>
      <c r="H1341" s="11"/>
      <c r="I1341" s="15"/>
    </row>
    <row r="1342" spans="1:9" ht="16.5">
      <c r="A1342" s="10" t="b">
        <v>0</v>
      </c>
      <c r="B1342" s="11" t="str">
        <f>IF(D1342&lt;&gt;"",IF(COUNTIF('USPTO TMs'!A:A,D1342)&gt;0,"Yes","No"),"")</f>
        <v/>
      </c>
      <c r="C1342" s="11"/>
      <c r="D1342" s="11"/>
      <c r="E1342" s="11"/>
      <c r="F1342" s="11"/>
      <c r="G1342" s="11"/>
      <c r="H1342" s="11"/>
      <c r="I1342" s="15"/>
    </row>
    <row r="1343" spans="1:9" ht="16.5">
      <c r="A1343" s="10" t="b">
        <v>0</v>
      </c>
      <c r="B1343" s="11" t="str">
        <f>IF(D1343&lt;&gt;"",IF(COUNTIF('USPTO TMs'!A:A,D1343)&gt;0,"Yes","No"),"")</f>
        <v/>
      </c>
      <c r="C1343" s="11"/>
      <c r="D1343" s="11"/>
      <c r="E1343" s="11"/>
      <c r="F1343" s="11"/>
      <c r="G1343" s="11"/>
      <c r="H1343" s="11"/>
      <c r="I1343" s="15"/>
    </row>
    <row r="1344" spans="1:9" ht="16.5">
      <c r="A1344" s="10" t="b">
        <v>0</v>
      </c>
      <c r="B1344" s="11" t="str">
        <f>IF(D1344&lt;&gt;"",IF(COUNTIF('USPTO TMs'!A:A,D1344)&gt;0,"Yes","No"),"")</f>
        <v/>
      </c>
      <c r="C1344" s="11"/>
      <c r="D1344" s="11"/>
      <c r="E1344" s="11"/>
      <c r="F1344" s="11"/>
      <c r="G1344" s="11"/>
      <c r="H1344" s="11"/>
      <c r="I1344" s="15"/>
    </row>
    <row r="1345" spans="1:9" ht="16.5">
      <c r="A1345" s="10" t="b">
        <v>0</v>
      </c>
      <c r="B1345" s="11" t="str">
        <f>IF(D1345&lt;&gt;"",IF(COUNTIF('USPTO TMs'!A:A,D1345)&gt;0,"Yes","No"),"")</f>
        <v/>
      </c>
      <c r="C1345" s="11"/>
      <c r="D1345" s="11"/>
      <c r="E1345" s="11"/>
      <c r="F1345" s="11"/>
      <c r="G1345" s="11"/>
      <c r="H1345" s="11"/>
      <c r="I1345" s="15"/>
    </row>
    <row r="1346" spans="1:9" ht="16.5">
      <c r="A1346" s="10" t="b">
        <v>0</v>
      </c>
      <c r="B1346" s="11" t="str">
        <f>IF(D1346&lt;&gt;"",IF(COUNTIF('USPTO TMs'!A:A,D1346)&gt;0,"Yes","No"),"")</f>
        <v/>
      </c>
      <c r="C1346" s="11"/>
      <c r="D1346" s="11"/>
      <c r="E1346" s="11"/>
      <c r="F1346" s="11"/>
      <c r="G1346" s="11"/>
      <c r="H1346" s="11"/>
      <c r="I1346" s="15"/>
    </row>
    <row r="1347" spans="1:9" ht="16.5">
      <c r="A1347" s="10" t="b">
        <v>0</v>
      </c>
      <c r="B1347" s="11" t="str">
        <f>IF(D1347&lt;&gt;"",IF(COUNTIF('USPTO TMs'!A:A,D1347)&gt;0,"Yes","No"),"")</f>
        <v/>
      </c>
      <c r="C1347" s="11"/>
      <c r="D1347" s="11"/>
      <c r="E1347" s="11"/>
      <c r="F1347" s="11"/>
      <c r="G1347" s="11"/>
      <c r="H1347" s="11"/>
      <c r="I1347" s="15"/>
    </row>
    <row r="1348" spans="1:9" ht="16.5">
      <c r="A1348" s="10" t="b">
        <v>0</v>
      </c>
      <c r="B1348" s="11" t="str">
        <f>IF(D1348&lt;&gt;"",IF(COUNTIF('USPTO TMs'!A:A,D1348)&gt;0,"Yes","No"),"")</f>
        <v/>
      </c>
      <c r="C1348" s="11"/>
      <c r="D1348" s="11"/>
      <c r="E1348" s="11"/>
      <c r="F1348" s="11"/>
      <c r="G1348" s="11"/>
      <c r="H1348" s="11"/>
      <c r="I1348" s="15"/>
    </row>
    <row r="1349" spans="1:9" ht="16.5">
      <c r="A1349" s="10" t="b">
        <v>0</v>
      </c>
      <c r="B1349" s="11" t="str">
        <f>IF(D1349&lt;&gt;"",IF(COUNTIF('USPTO TMs'!A:A,D1349)&gt;0,"Yes","No"),"")</f>
        <v/>
      </c>
      <c r="C1349" s="11"/>
      <c r="D1349" s="11"/>
      <c r="E1349" s="11"/>
      <c r="F1349" s="11"/>
      <c r="G1349" s="11"/>
      <c r="H1349" s="11"/>
      <c r="I1349" s="15"/>
    </row>
    <row r="1350" spans="1:9" ht="16.5">
      <c r="A1350" s="10" t="b">
        <v>0</v>
      </c>
      <c r="B1350" s="11" t="str">
        <f>IF(D1350&lt;&gt;"",IF(COUNTIF('USPTO TMs'!A:A,D1350)&gt;0,"Yes","No"),"")</f>
        <v/>
      </c>
      <c r="C1350" s="11"/>
      <c r="D1350" s="11"/>
      <c r="E1350" s="11"/>
      <c r="F1350" s="11"/>
      <c r="G1350" s="11"/>
      <c r="H1350" s="11"/>
      <c r="I1350" s="15"/>
    </row>
    <row r="1351" spans="1:9" ht="16.5">
      <c r="A1351" s="10" t="b">
        <v>0</v>
      </c>
      <c r="B1351" s="11" t="str">
        <f>IF(D1351&lt;&gt;"",IF(COUNTIF('USPTO TMs'!A:A,D1351)&gt;0,"Yes","No"),"")</f>
        <v/>
      </c>
      <c r="C1351" s="11"/>
      <c r="D1351" s="11"/>
      <c r="E1351" s="11"/>
      <c r="F1351" s="11"/>
      <c r="G1351" s="11"/>
      <c r="H1351" s="11"/>
      <c r="I1351" s="15"/>
    </row>
    <row r="1352" spans="1:9" ht="16.5">
      <c r="A1352" s="10" t="b">
        <v>0</v>
      </c>
      <c r="B1352" s="11" t="str">
        <f>IF(D1352&lt;&gt;"",IF(COUNTIF('USPTO TMs'!A:A,D1352)&gt;0,"Yes","No"),"")</f>
        <v/>
      </c>
      <c r="C1352" s="11"/>
      <c r="D1352" s="11"/>
      <c r="E1352" s="11"/>
      <c r="F1352" s="11"/>
      <c r="G1352" s="11"/>
      <c r="H1352" s="11"/>
      <c r="I1352" s="15"/>
    </row>
    <row r="1353" spans="1:9" ht="16.5">
      <c r="A1353" s="10" t="b">
        <v>0</v>
      </c>
      <c r="B1353" s="11" t="str">
        <f>IF(D1353&lt;&gt;"",IF(COUNTIF('USPTO TMs'!A:A,D1353)&gt;0,"Yes","No"),"")</f>
        <v/>
      </c>
      <c r="C1353" s="11"/>
      <c r="D1353" s="11"/>
      <c r="E1353" s="11"/>
      <c r="F1353" s="11"/>
      <c r="G1353" s="11"/>
      <c r="H1353" s="11"/>
      <c r="I1353" s="15"/>
    </row>
    <row r="1354" spans="1:9" ht="16.5">
      <c r="A1354" s="10" t="b">
        <v>0</v>
      </c>
      <c r="B1354" s="11" t="str">
        <f>IF(D1354&lt;&gt;"",IF(COUNTIF('USPTO TMs'!A:A,D1354)&gt;0,"Yes","No"),"")</f>
        <v/>
      </c>
      <c r="C1354" s="11"/>
      <c r="D1354" s="11"/>
      <c r="E1354" s="11"/>
      <c r="F1354" s="11"/>
      <c r="G1354" s="11"/>
      <c r="H1354" s="11"/>
      <c r="I1354" s="15"/>
    </row>
    <row r="1355" spans="1:9" ht="16.5">
      <c r="A1355" s="10" t="b">
        <v>0</v>
      </c>
      <c r="B1355" s="11" t="str">
        <f>IF(D1355&lt;&gt;"",IF(COUNTIF('USPTO TMs'!A:A,D1355)&gt;0,"Yes","No"),"")</f>
        <v/>
      </c>
      <c r="C1355" s="11"/>
      <c r="D1355" s="11"/>
      <c r="E1355" s="11"/>
      <c r="F1355" s="11"/>
      <c r="G1355" s="11"/>
      <c r="H1355" s="11"/>
      <c r="I1355" s="15"/>
    </row>
    <row r="1356" spans="1:9" ht="16.5">
      <c r="A1356" s="10" t="b">
        <v>0</v>
      </c>
      <c r="B1356" s="11" t="str">
        <f>IF(D1356&lt;&gt;"",IF(COUNTIF('USPTO TMs'!A:A,D1356)&gt;0,"Yes","No"),"")</f>
        <v/>
      </c>
      <c r="C1356" s="11"/>
      <c r="D1356" s="11"/>
      <c r="E1356" s="11"/>
      <c r="F1356" s="11"/>
      <c r="G1356" s="11"/>
      <c r="H1356" s="11"/>
      <c r="I1356" s="15"/>
    </row>
    <row r="1357" spans="1:9" ht="16.5">
      <c r="A1357" s="10" t="b">
        <v>0</v>
      </c>
      <c r="B1357" s="11" t="str">
        <f>IF(D1357&lt;&gt;"",IF(COUNTIF('USPTO TMs'!A:A,D1357)&gt;0,"Yes","No"),"")</f>
        <v/>
      </c>
      <c r="C1357" s="11"/>
      <c r="D1357" s="11"/>
      <c r="E1357" s="11"/>
      <c r="F1357" s="11"/>
      <c r="G1357" s="11"/>
      <c r="H1357" s="11"/>
      <c r="I1357" s="15"/>
    </row>
    <row r="1358" spans="1:9" ht="16.5">
      <c r="A1358" s="10" t="b">
        <v>0</v>
      </c>
      <c r="B1358" s="11" t="str">
        <f>IF(D1358&lt;&gt;"",IF(COUNTIF('USPTO TMs'!A:A,D1358)&gt;0,"Yes","No"),"")</f>
        <v/>
      </c>
      <c r="C1358" s="11"/>
      <c r="D1358" s="11"/>
      <c r="E1358" s="11"/>
      <c r="F1358" s="11"/>
      <c r="G1358" s="11"/>
      <c r="H1358" s="11"/>
      <c r="I1358" s="15"/>
    </row>
    <row r="1359" spans="1:9" ht="16.5">
      <c r="A1359" s="10" t="b">
        <v>0</v>
      </c>
      <c r="B1359" s="11" t="str">
        <f>IF(D1359&lt;&gt;"",IF(COUNTIF('USPTO TMs'!A:A,D1359)&gt;0,"Yes","No"),"")</f>
        <v/>
      </c>
      <c r="C1359" s="11"/>
      <c r="D1359" s="11"/>
      <c r="E1359" s="11"/>
      <c r="F1359" s="11"/>
      <c r="G1359" s="11"/>
      <c r="H1359" s="11"/>
      <c r="I1359" s="15"/>
    </row>
    <row r="1360" spans="1:9" ht="16.5">
      <c r="A1360" s="10" t="b">
        <v>0</v>
      </c>
      <c r="B1360" s="11" t="str">
        <f>IF(D1360&lt;&gt;"",IF(COUNTIF('USPTO TMs'!A:A,D1360)&gt;0,"Yes","No"),"")</f>
        <v/>
      </c>
      <c r="C1360" s="11"/>
      <c r="D1360" s="11"/>
      <c r="E1360" s="11"/>
      <c r="F1360" s="11"/>
      <c r="G1360" s="11"/>
      <c r="H1360" s="11"/>
      <c r="I1360" s="15"/>
    </row>
    <row r="1361" spans="1:9" ht="16.5">
      <c r="A1361" s="10" t="b">
        <v>0</v>
      </c>
      <c r="B1361" s="11" t="str">
        <f>IF(D1361&lt;&gt;"",IF(COUNTIF('USPTO TMs'!A:A,D1361)&gt;0,"Yes","No"),"")</f>
        <v/>
      </c>
      <c r="C1361" s="11"/>
      <c r="D1361" s="11"/>
      <c r="E1361" s="11"/>
      <c r="F1361" s="11"/>
      <c r="G1361" s="11"/>
      <c r="H1361" s="11"/>
      <c r="I1361" s="15"/>
    </row>
    <row r="1362" spans="1:9" ht="16.5">
      <c r="A1362" s="10" t="b">
        <v>0</v>
      </c>
      <c r="B1362" s="11" t="str">
        <f>IF(D1362&lt;&gt;"",IF(COUNTIF('USPTO TMs'!A:A,D1362)&gt;0,"Yes","No"),"")</f>
        <v/>
      </c>
      <c r="C1362" s="11"/>
      <c r="D1362" s="11"/>
      <c r="E1362" s="11"/>
      <c r="F1362" s="11"/>
      <c r="G1362" s="11"/>
      <c r="H1362" s="11"/>
      <c r="I1362" s="15"/>
    </row>
    <row r="1363" spans="1:9" ht="16.5">
      <c r="A1363" s="10" t="b">
        <v>0</v>
      </c>
      <c r="B1363" s="11" t="str">
        <f>IF(D1363&lt;&gt;"",IF(COUNTIF('USPTO TMs'!A:A,D1363)&gt;0,"Yes","No"),"")</f>
        <v/>
      </c>
      <c r="C1363" s="11"/>
      <c r="D1363" s="11"/>
      <c r="E1363" s="11"/>
      <c r="F1363" s="11"/>
      <c r="G1363" s="11"/>
      <c r="H1363" s="11"/>
      <c r="I1363" s="15"/>
    </row>
    <row r="1364" spans="1:9" ht="16.5">
      <c r="A1364" s="10" t="b">
        <v>0</v>
      </c>
      <c r="B1364" s="11" t="str">
        <f>IF(D1364&lt;&gt;"",IF(COUNTIF('USPTO TMs'!A:A,D1364)&gt;0,"Yes","No"),"")</f>
        <v/>
      </c>
      <c r="C1364" s="11"/>
      <c r="D1364" s="11"/>
      <c r="E1364" s="11"/>
      <c r="F1364" s="11"/>
      <c r="G1364" s="11"/>
      <c r="H1364" s="11"/>
      <c r="I1364" s="15"/>
    </row>
    <row r="1365" spans="1:9" ht="16.5">
      <c r="A1365" s="10" t="b">
        <v>0</v>
      </c>
      <c r="B1365" s="11" t="str">
        <f>IF(D1365&lt;&gt;"",IF(COUNTIF('USPTO TMs'!A:A,D1365)&gt;0,"Yes","No"),"")</f>
        <v/>
      </c>
      <c r="C1365" s="11"/>
      <c r="D1365" s="11"/>
      <c r="E1365" s="11"/>
      <c r="F1365" s="11"/>
      <c r="G1365" s="11"/>
      <c r="H1365" s="11"/>
      <c r="I1365" s="15"/>
    </row>
    <row r="1366" spans="1:9" ht="16.5">
      <c r="A1366" s="10" t="b">
        <v>0</v>
      </c>
      <c r="B1366" s="11" t="str">
        <f>IF(D1366&lt;&gt;"",IF(COUNTIF('USPTO TMs'!A:A,D1366)&gt;0,"Yes","No"),"")</f>
        <v/>
      </c>
      <c r="C1366" s="11"/>
      <c r="D1366" s="11"/>
      <c r="E1366" s="11"/>
      <c r="F1366" s="11"/>
      <c r="G1366" s="11"/>
      <c r="H1366" s="11"/>
      <c r="I1366" s="15"/>
    </row>
    <row r="1367" spans="1:9" ht="16.5">
      <c r="A1367" s="10" t="b">
        <v>0</v>
      </c>
      <c r="B1367" s="11" t="str">
        <f>IF(D1367&lt;&gt;"",IF(COUNTIF('USPTO TMs'!A:A,D1367)&gt;0,"Yes","No"),"")</f>
        <v/>
      </c>
      <c r="C1367" s="11"/>
      <c r="D1367" s="11"/>
      <c r="E1367" s="11"/>
      <c r="F1367" s="11"/>
      <c r="G1367" s="11"/>
      <c r="H1367" s="11"/>
      <c r="I1367" s="15"/>
    </row>
    <row r="1368" spans="1:9" ht="16.5">
      <c r="A1368" s="10" t="b">
        <v>0</v>
      </c>
      <c r="B1368" s="11" t="str">
        <f>IF(D1368&lt;&gt;"",IF(COUNTIF('USPTO TMs'!A:A,D1368)&gt;0,"Yes","No"),"")</f>
        <v/>
      </c>
      <c r="C1368" s="11"/>
      <c r="D1368" s="11"/>
      <c r="E1368" s="11"/>
      <c r="F1368" s="11"/>
      <c r="G1368" s="11"/>
      <c r="H1368" s="11"/>
      <c r="I1368" s="15"/>
    </row>
    <row r="1369" spans="1:9" ht="16.5">
      <c r="A1369" s="10" t="b">
        <v>0</v>
      </c>
      <c r="B1369" s="11" t="str">
        <f>IF(D1369&lt;&gt;"",IF(COUNTIF('USPTO TMs'!A:A,D1369)&gt;0,"Yes","No"),"")</f>
        <v/>
      </c>
      <c r="C1369" s="11"/>
      <c r="D1369" s="11"/>
      <c r="E1369" s="11"/>
      <c r="F1369" s="11"/>
      <c r="G1369" s="11"/>
      <c r="H1369" s="11"/>
      <c r="I1369" s="15"/>
    </row>
    <row r="1370" spans="1:9" ht="16.5">
      <c r="A1370" s="10" t="b">
        <v>0</v>
      </c>
      <c r="B1370" s="11" t="str">
        <f>IF(D1370&lt;&gt;"",IF(COUNTIF('USPTO TMs'!A:A,D1370)&gt;0,"Yes","No"),"")</f>
        <v/>
      </c>
      <c r="C1370" s="11"/>
      <c r="D1370" s="11"/>
      <c r="E1370" s="11"/>
      <c r="F1370" s="11"/>
      <c r="G1370" s="11"/>
      <c r="H1370" s="11"/>
      <c r="I1370" s="15"/>
    </row>
    <row r="1371" spans="1:9" ht="16.5">
      <c r="A1371" s="10" t="b">
        <v>0</v>
      </c>
      <c r="B1371" s="11" t="str">
        <f>IF(D1371&lt;&gt;"",IF(COUNTIF('USPTO TMs'!A:A,D1371)&gt;0,"Yes","No"),"")</f>
        <v/>
      </c>
      <c r="C1371" s="11"/>
      <c r="D1371" s="11"/>
      <c r="E1371" s="11"/>
      <c r="F1371" s="11"/>
      <c r="G1371" s="11"/>
      <c r="H1371" s="11"/>
      <c r="I1371" s="15"/>
    </row>
    <row r="1372" spans="1:9" ht="16.5">
      <c r="A1372" s="10" t="b">
        <v>0</v>
      </c>
      <c r="B1372" s="11" t="str">
        <f>IF(D1372&lt;&gt;"",IF(COUNTIF('USPTO TMs'!A:A,D1372)&gt;0,"Yes","No"),"")</f>
        <v/>
      </c>
      <c r="C1372" s="11"/>
      <c r="D1372" s="11"/>
      <c r="E1372" s="11"/>
      <c r="F1372" s="11"/>
      <c r="G1372" s="11"/>
      <c r="H1372" s="11"/>
      <c r="I1372" s="15"/>
    </row>
    <row r="1373" spans="1:9" ht="16.5">
      <c r="A1373" s="10" t="b">
        <v>0</v>
      </c>
      <c r="B1373" s="11" t="str">
        <f>IF(D1373&lt;&gt;"",IF(COUNTIF('USPTO TMs'!A:A,D1373)&gt;0,"Yes","No"),"")</f>
        <v/>
      </c>
      <c r="C1373" s="11"/>
      <c r="D1373" s="11"/>
      <c r="E1373" s="11"/>
      <c r="F1373" s="11"/>
      <c r="G1373" s="11"/>
      <c r="H1373" s="11"/>
      <c r="I1373" s="15"/>
    </row>
    <row r="1374" spans="1:9" ht="16.5">
      <c r="A1374" s="10" t="b">
        <v>0</v>
      </c>
      <c r="B1374" s="11" t="str">
        <f>IF(D1374&lt;&gt;"",IF(COUNTIF('USPTO TMs'!A:A,D1374)&gt;0,"Yes","No"),"")</f>
        <v/>
      </c>
      <c r="C1374" s="11"/>
      <c r="D1374" s="11"/>
      <c r="E1374" s="11"/>
      <c r="F1374" s="11"/>
      <c r="G1374" s="11"/>
      <c r="H1374" s="11"/>
      <c r="I1374" s="15"/>
    </row>
    <row r="1375" spans="1:9" ht="16.5">
      <c r="A1375" s="10" t="b">
        <v>0</v>
      </c>
      <c r="B1375" s="11" t="str">
        <f>IF(D1375&lt;&gt;"",IF(COUNTIF('USPTO TMs'!A:A,D1375)&gt;0,"Yes","No"),"")</f>
        <v/>
      </c>
      <c r="C1375" s="11"/>
      <c r="D1375" s="11"/>
      <c r="E1375" s="11"/>
      <c r="F1375" s="11"/>
      <c r="G1375" s="11"/>
      <c r="H1375" s="11"/>
      <c r="I1375" s="15"/>
    </row>
    <row r="1376" spans="1:9" ht="16.5">
      <c r="A1376" s="10" t="b">
        <v>0</v>
      </c>
      <c r="B1376" s="11" t="str">
        <f>IF(D1376&lt;&gt;"",IF(COUNTIF('USPTO TMs'!A:A,D1376)&gt;0,"Yes","No"),"")</f>
        <v/>
      </c>
      <c r="C1376" s="11"/>
      <c r="D1376" s="11"/>
      <c r="E1376" s="11"/>
      <c r="F1376" s="11"/>
      <c r="G1376" s="11"/>
      <c r="H1376" s="11"/>
      <c r="I1376" s="15"/>
    </row>
    <row r="1377" spans="1:9" ht="16.5">
      <c r="A1377" s="10" t="b">
        <v>0</v>
      </c>
      <c r="B1377" s="11" t="str">
        <f>IF(D1377&lt;&gt;"",IF(COUNTIF('USPTO TMs'!A:A,D1377)&gt;0,"Yes","No"),"")</f>
        <v/>
      </c>
      <c r="C1377" s="11"/>
      <c r="D1377" s="11"/>
      <c r="E1377" s="11"/>
      <c r="F1377" s="11"/>
      <c r="G1377" s="11"/>
      <c r="H1377" s="11"/>
      <c r="I1377" s="15"/>
    </row>
    <row r="1378" spans="1:9" ht="16.5">
      <c r="A1378" s="10" t="b">
        <v>0</v>
      </c>
      <c r="B1378" s="11" t="str">
        <f>IF(D1378&lt;&gt;"",IF(COUNTIF('USPTO TMs'!A:A,D1378)&gt;0,"Yes","No"),"")</f>
        <v/>
      </c>
      <c r="C1378" s="11"/>
      <c r="D1378" s="11"/>
      <c r="E1378" s="11"/>
      <c r="F1378" s="11"/>
      <c r="G1378" s="11"/>
      <c r="H1378" s="11"/>
      <c r="I1378" s="15"/>
    </row>
    <row r="1379" spans="1:9" ht="16.5">
      <c r="A1379" s="10" t="b">
        <v>0</v>
      </c>
      <c r="B1379" s="11" t="str">
        <f>IF(D1379&lt;&gt;"",IF(COUNTIF('USPTO TMs'!A:A,D1379)&gt;0,"Yes","No"),"")</f>
        <v/>
      </c>
      <c r="C1379" s="11"/>
      <c r="D1379" s="11"/>
      <c r="E1379" s="11"/>
      <c r="F1379" s="11"/>
      <c r="G1379" s="11"/>
      <c r="H1379" s="11"/>
      <c r="I1379" s="15"/>
    </row>
    <row r="1380" spans="1:9" ht="16.5">
      <c r="A1380" s="10" t="b">
        <v>0</v>
      </c>
      <c r="B1380" s="11" t="str">
        <f>IF(D1380&lt;&gt;"",IF(COUNTIF('USPTO TMs'!A:A,D1380)&gt;0,"Yes","No"),"")</f>
        <v/>
      </c>
      <c r="C1380" s="11"/>
      <c r="D1380" s="11"/>
      <c r="E1380" s="11"/>
      <c r="F1380" s="11"/>
      <c r="G1380" s="11"/>
      <c r="H1380" s="11"/>
      <c r="I1380" s="15"/>
    </row>
    <row r="1381" spans="1:9" ht="16.5">
      <c r="A1381" s="10" t="b">
        <v>0</v>
      </c>
      <c r="B1381" s="11" t="str">
        <f>IF(D1381&lt;&gt;"",IF(COUNTIF('USPTO TMs'!A:A,D1381)&gt;0,"Yes","No"),"")</f>
        <v/>
      </c>
      <c r="C1381" s="11"/>
      <c r="D1381" s="11"/>
      <c r="E1381" s="11"/>
      <c r="F1381" s="11"/>
      <c r="G1381" s="11"/>
      <c r="H1381" s="11"/>
      <c r="I1381" s="15"/>
    </row>
    <row r="1382" spans="1:9" ht="16.5">
      <c r="A1382" s="10" t="b">
        <v>0</v>
      </c>
      <c r="B1382" s="11" t="str">
        <f>IF(D1382&lt;&gt;"",IF(COUNTIF('USPTO TMs'!A:A,D1382)&gt;0,"Yes","No"),"")</f>
        <v/>
      </c>
      <c r="C1382" s="11"/>
      <c r="D1382" s="11"/>
      <c r="E1382" s="11"/>
      <c r="F1382" s="11"/>
      <c r="G1382" s="11"/>
      <c r="H1382" s="11"/>
      <c r="I1382" s="15"/>
    </row>
    <row r="1383" spans="1:9" ht="16.5">
      <c r="A1383" s="10" t="b">
        <v>0</v>
      </c>
      <c r="B1383" s="11" t="str">
        <f>IF(D1383&lt;&gt;"",IF(COUNTIF('USPTO TMs'!A:A,D1383)&gt;0,"Yes","No"),"")</f>
        <v/>
      </c>
      <c r="C1383" s="11"/>
      <c r="D1383" s="11"/>
      <c r="E1383" s="11"/>
      <c r="F1383" s="11"/>
      <c r="G1383" s="11"/>
      <c r="H1383" s="11"/>
      <c r="I1383" s="15"/>
    </row>
    <row r="1384" spans="1:9" ht="16.5">
      <c r="A1384" s="10" t="b">
        <v>0</v>
      </c>
      <c r="B1384" s="11" t="str">
        <f>IF(D1384&lt;&gt;"",IF(COUNTIF('USPTO TMs'!A:A,D1384)&gt;0,"Yes","No"),"")</f>
        <v/>
      </c>
      <c r="C1384" s="11"/>
      <c r="D1384" s="11"/>
      <c r="E1384" s="11"/>
      <c r="F1384" s="11"/>
      <c r="G1384" s="11"/>
      <c r="H1384" s="11"/>
      <c r="I1384" s="15"/>
    </row>
    <row r="1385" spans="1:9" ht="16.5">
      <c r="A1385" s="10" t="b">
        <v>0</v>
      </c>
      <c r="B1385" s="11" t="str">
        <f>IF(D1385&lt;&gt;"",IF(COUNTIF('USPTO TMs'!A:A,D1385)&gt;0,"Yes","No"),"")</f>
        <v/>
      </c>
      <c r="C1385" s="11"/>
      <c r="D1385" s="11"/>
      <c r="E1385" s="11"/>
      <c r="F1385" s="11"/>
      <c r="G1385" s="11"/>
      <c r="H1385" s="11"/>
      <c r="I1385" s="15"/>
    </row>
    <row r="1386" spans="1:9" ht="16.5">
      <c r="A1386" s="10" t="b">
        <v>0</v>
      </c>
      <c r="B1386" s="11" t="str">
        <f>IF(D1386&lt;&gt;"",IF(COUNTIF('USPTO TMs'!A:A,D1386)&gt;0,"Yes","No"),"")</f>
        <v/>
      </c>
      <c r="C1386" s="11"/>
      <c r="D1386" s="11"/>
      <c r="E1386" s="11"/>
      <c r="F1386" s="11"/>
      <c r="G1386" s="11"/>
      <c r="H1386" s="11"/>
      <c r="I1386" s="15"/>
    </row>
    <row r="1387" spans="1:9" ht="16.5">
      <c r="A1387" s="10" t="b">
        <v>0</v>
      </c>
      <c r="B1387" s="11" t="str">
        <f>IF(D1387&lt;&gt;"",IF(COUNTIF('USPTO TMs'!A:A,D1387)&gt;0,"Yes","No"),"")</f>
        <v/>
      </c>
      <c r="C1387" s="11"/>
      <c r="D1387" s="11"/>
      <c r="E1387" s="11"/>
      <c r="F1387" s="11"/>
      <c r="G1387" s="11"/>
      <c r="H1387" s="11"/>
      <c r="I1387" s="15"/>
    </row>
    <row r="1388" spans="1:9" ht="16.5">
      <c r="A1388" s="10" t="b">
        <v>0</v>
      </c>
      <c r="B1388" s="11" t="str">
        <f>IF(D1388&lt;&gt;"",IF(COUNTIF('USPTO TMs'!A:A,D1388)&gt;0,"Yes","No"),"")</f>
        <v/>
      </c>
      <c r="C1388" s="11"/>
      <c r="D1388" s="11"/>
      <c r="E1388" s="11"/>
      <c r="F1388" s="11"/>
      <c r="G1388" s="11"/>
      <c r="H1388" s="11"/>
      <c r="I1388" s="15"/>
    </row>
    <row r="1389" spans="1:9" ht="16.5">
      <c r="A1389" s="10" t="b">
        <v>0</v>
      </c>
      <c r="B1389" s="11" t="str">
        <f>IF(D1389&lt;&gt;"",IF(COUNTIF('USPTO TMs'!A:A,D1389)&gt;0,"Yes","No"),"")</f>
        <v/>
      </c>
      <c r="C1389" s="11"/>
      <c r="D1389" s="11"/>
      <c r="E1389" s="11"/>
      <c r="F1389" s="11"/>
      <c r="G1389" s="11"/>
      <c r="H1389" s="11"/>
      <c r="I1389" s="15"/>
    </row>
    <row r="1390" spans="1:9" ht="16.5">
      <c r="A1390" s="10" t="b">
        <v>0</v>
      </c>
      <c r="B1390" s="11" t="str">
        <f>IF(D1390&lt;&gt;"",IF(COUNTIF('USPTO TMs'!A:A,D1390)&gt;0,"Yes","No"),"")</f>
        <v/>
      </c>
      <c r="C1390" s="11"/>
      <c r="D1390" s="11"/>
      <c r="E1390" s="11"/>
      <c r="F1390" s="11"/>
      <c r="G1390" s="11"/>
      <c r="H1390" s="11"/>
      <c r="I1390" s="15"/>
    </row>
    <row r="1391" spans="1:9" ht="16.5">
      <c r="A1391" s="10" t="b">
        <v>0</v>
      </c>
      <c r="B1391" s="11" t="str">
        <f>IF(D1391&lt;&gt;"",IF(COUNTIF('USPTO TMs'!A:A,D1391)&gt;0,"Yes","No"),"")</f>
        <v/>
      </c>
      <c r="C1391" s="11"/>
      <c r="D1391" s="11"/>
      <c r="E1391" s="11"/>
      <c r="F1391" s="11"/>
      <c r="G1391" s="11"/>
      <c r="H1391" s="11"/>
      <c r="I1391" s="15"/>
    </row>
    <row r="1392" spans="1:9" ht="16.5">
      <c r="A1392" s="10" t="b">
        <v>0</v>
      </c>
      <c r="B1392" s="11" t="str">
        <f>IF(D1392&lt;&gt;"",IF(COUNTIF('USPTO TMs'!A:A,D1392)&gt;0,"Yes","No"),"")</f>
        <v/>
      </c>
      <c r="C1392" s="11"/>
      <c r="D1392" s="11"/>
      <c r="E1392" s="11"/>
      <c r="F1392" s="11"/>
      <c r="G1392" s="11"/>
      <c r="H1392" s="11"/>
      <c r="I1392" s="15"/>
    </row>
    <row r="1393" spans="1:9" ht="16.5">
      <c r="A1393" s="10" t="b">
        <v>0</v>
      </c>
      <c r="B1393" s="11" t="str">
        <f>IF(D1393&lt;&gt;"",IF(COUNTIF('USPTO TMs'!A:A,D1393)&gt;0,"Yes","No"),"")</f>
        <v/>
      </c>
      <c r="C1393" s="11"/>
      <c r="D1393" s="11"/>
      <c r="E1393" s="11"/>
      <c r="F1393" s="11"/>
      <c r="G1393" s="11"/>
      <c r="H1393" s="11"/>
      <c r="I1393" s="15"/>
    </row>
    <row r="1394" spans="1:9" ht="16.5">
      <c r="A1394" s="10" t="b">
        <v>0</v>
      </c>
      <c r="B1394" s="11" t="str">
        <f>IF(D1394&lt;&gt;"",IF(COUNTIF('USPTO TMs'!A:A,D1394)&gt;0,"Yes","No"),"")</f>
        <v/>
      </c>
      <c r="C1394" s="11"/>
      <c r="D1394" s="11"/>
      <c r="E1394" s="11"/>
      <c r="F1394" s="11"/>
      <c r="G1394" s="11"/>
      <c r="H1394" s="11"/>
      <c r="I1394" s="15"/>
    </row>
    <row r="1395" spans="1:9" ht="16.5">
      <c r="A1395" s="10" t="b">
        <v>0</v>
      </c>
      <c r="B1395" s="11" t="str">
        <f>IF(D1395&lt;&gt;"",IF(COUNTIF('USPTO TMs'!A:A,D1395)&gt;0,"Yes","No"),"")</f>
        <v/>
      </c>
      <c r="C1395" s="11"/>
      <c r="D1395" s="11"/>
      <c r="E1395" s="11"/>
      <c r="F1395" s="11"/>
      <c r="G1395" s="11"/>
      <c r="H1395" s="11"/>
      <c r="I1395" s="15"/>
    </row>
    <row r="1396" spans="1:9" ht="16.5">
      <c r="A1396" s="10" t="b">
        <v>0</v>
      </c>
      <c r="B1396" s="11" t="str">
        <f>IF(D1396&lt;&gt;"",IF(COUNTIF('USPTO TMs'!A:A,D1396)&gt;0,"Yes","No"),"")</f>
        <v/>
      </c>
      <c r="C1396" s="11"/>
      <c r="D1396" s="11"/>
      <c r="E1396" s="11"/>
      <c r="F1396" s="11"/>
      <c r="G1396" s="11"/>
      <c r="H1396" s="11"/>
      <c r="I1396" s="15"/>
    </row>
    <row r="1397" spans="1:9" ht="16.5">
      <c r="A1397" s="10" t="b">
        <v>0</v>
      </c>
      <c r="B1397" s="11" t="str">
        <f>IF(D1397&lt;&gt;"",IF(COUNTIF('USPTO TMs'!A:A,D1397)&gt;0,"Yes","No"),"")</f>
        <v/>
      </c>
      <c r="C1397" s="11"/>
      <c r="D1397" s="11"/>
      <c r="E1397" s="11"/>
      <c r="F1397" s="11"/>
      <c r="G1397" s="11"/>
      <c r="H1397" s="11"/>
      <c r="I1397" s="15"/>
    </row>
    <row r="1398" spans="1:9" ht="16.5">
      <c r="A1398" s="10" t="b">
        <v>0</v>
      </c>
      <c r="B1398" s="11" t="str">
        <f>IF(D1398&lt;&gt;"",IF(COUNTIF('USPTO TMs'!A:A,D1398)&gt;0,"Yes","No"),"")</f>
        <v/>
      </c>
      <c r="C1398" s="11"/>
      <c r="D1398" s="11"/>
      <c r="E1398" s="11"/>
      <c r="F1398" s="11"/>
      <c r="G1398" s="11"/>
      <c r="H1398" s="11"/>
      <c r="I1398" s="15"/>
    </row>
    <row r="1399" spans="1:9" ht="16.5">
      <c r="A1399" s="10" t="b">
        <v>0</v>
      </c>
      <c r="B1399" s="11" t="str">
        <f>IF(D1399&lt;&gt;"",IF(COUNTIF('USPTO TMs'!A:A,D1399)&gt;0,"Yes","No"),"")</f>
        <v/>
      </c>
      <c r="C1399" s="11"/>
      <c r="D1399" s="11"/>
      <c r="E1399" s="11"/>
      <c r="F1399" s="11"/>
      <c r="G1399" s="11"/>
      <c r="H1399" s="11"/>
      <c r="I1399" s="15"/>
    </row>
    <row r="1400" spans="1:9" ht="16.5">
      <c r="A1400" s="10" t="b">
        <v>0</v>
      </c>
      <c r="B1400" s="11" t="str">
        <f>IF(D1400&lt;&gt;"",IF(COUNTIF('USPTO TMs'!A:A,D1400)&gt;0,"Yes","No"),"")</f>
        <v/>
      </c>
      <c r="C1400" s="11"/>
      <c r="D1400" s="11"/>
      <c r="E1400" s="11"/>
      <c r="F1400" s="11"/>
      <c r="G1400" s="11"/>
      <c r="H1400" s="11"/>
      <c r="I1400" s="15"/>
    </row>
    <row r="1401" spans="1:9" ht="16.5">
      <c r="A1401" s="10" t="b">
        <v>0</v>
      </c>
      <c r="B1401" s="11" t="str">
        <f>IF(D1401&lt;&gt;"",IF(COUNTIF('USPTO TMs'!A:A,D1401)&gt;0,"Yes","No"),"")</f>
        <v/>
      </c>
      <c r="C1401" s="11"/>
      <c r="D1401" s="11"/>
      <c r="E1401" s="11"/>
      <c r="F1401" s="11"/>
      <c r="G1401" s="11"/>
      <c r="H1401" s="11"/>
      <c r="I1401" s="15"/>
    </row>
    <row r="1402" spans="1:9" ht="16.5">
      <c r="A1402" s="10" t="b">
        <v>0</v>
      </c>
      <c r="B1402" s="11" t="str">
        <f>IF(D1402&lt;&gt;"",IF(COUNTIF('USPTO TMs'!A:A,D1402)&gt;0,"Yes","No"),"")</f>
        <v/>
      </c>
      <c r="C1402" s="11"/>
      <c r="D1402" s="11"/>
      <c r="E1402" s="11"/>
      <c r="F1402" s="11"/>
      <c r="G1402" s="11"/>
      <c r="H1402" s="11"/>
      <c r="I1402" s="15"/>
    </row>
    <row r="1403" spans="1:9" ht="16.5">
      <c r="A1403" s="10" t="b">
        <v>0</v>
      </c>
      <c r="B1403" s="11" t="str">
        <f>IF(D1403&lt;&gt;"",IF(COUNTIF('USPTO TMs'!A:A,D1403)&gt;0,"Yes","No"),"")</f>
        <v/>
      </c>
      <c r="C1403" s="11"/>
      <c r="D1403" s="11"/>
      <c r="E1403" s="11"/>
      <c r="F1403" s="11"/>
      <c r="G1403" s="11"/>
      <c r="H1403" s="11"/>
      <c r="I1403" s="15"/>
    </row>
    <row r="1404" spans="1:9" ht="16.5">
      <c r="A1404" s="10" t="b">
        <v>0</v>
      </c>
      <c r="B1404" s="11" t="str">
        <f>IF(D1404&lt;&gt;"",IF(COUNTIF('USPTO TMs'!A:A,D1404)&gt;0,"Yes","No"),"")</f>
        <v/>
      </c>
      <c r="C1404" s="11"/>
      <c r="D1404" s="11"/>
      <c r="E1404" s="11"/>
      <c r="F1404" s="11"/>
      <c r="G1404" s="11"/>
      <c r="H1404" s="11"/>
      <c r="I1404" s="15"/>
    </row>
    <row r="1405" spans="1:9" ht="16.5">
      <c r="A1405" s="10" t="b">
        <v>0</v>
      </c>
      <c r="B1405" s="11" t="str">
        <f>IF(D1405&lt;&gt;"",IF(COUNTIF('USPTO TMs'!A:A,D1405)&gt;0,"Yes","No"),"")</f>
        <v/>
      </c>
      <c r="C1405" s="11"/>
      <c r="D1405" s="11"/>
      <c r="E1405" s="11"/>
      <c r="F1405" s="11"/>
      <c r="G1405" s="11"/>
      <c r="H1405" s="11"/>
      <c r="I1405" s="15"/>
    </row>
    <row r="1406" spans="1:9" ht="16.5">
      <c r="A1406" s="10" t="b">
        <v>0</v>
      </c>
      <c r="B1406" s="11" t="str">
        <f>IF(D1406&lt;&gt;"",IF(COUNTIF('USPTO TMs'!A:A,D1406)&gt;0,"Yes","No"),"")</f>
        <v/>
      </c>
      <c r="C1406" s="11"/>
      <c r="D1406" s="11"/>
      <c r="E1406" s="11"/>
      <c r="F1406" s="11"/>
      <c r="G1406" s="11"/>
      <c r="H1406" s="11"/>
      <c r="I1406" s="15"/>
    </row>
    <row r="1407" spans="1:9" ht="16.5">
      <c r="A1407" s="10" t="b">
        <v>0</v>
      </c>
      <c r="B1407" s="11" t="str">
        <f>IF(D1407&lt;&gt;"",IF(COUNTIF('USPTO TMs'!A:A,D1407)&gt;0,"Yes","No"),"")</f>
        <v/>
      </c>
      <c r="C1407" s="11"/>
      <c r="D1407" s="11"/>
      <c r="E1407" s="11"/>
      <c r="F1407" s="11"/>
      <c r="G1407" s="11"/>
      <c r="H1407" s="11"/>
      <c r="I1407" s="15"/>
    </row>
    <row r="1408" spans="1:9" ht="16.5">
      <c r="A1408" s="10" t="b">
        <v>0</v>
      </c>
      <c r="B1408" s="11" t="str">
        <f>IF(D1408&lt;&gt;"",IF(COUNTIF('USPTO TMs'!A:A,D1408)&gt;0,"Yes","No"),"")</f>
        <v/>
      </c>
      <c r="C1408" s="11"/>
      <c r="D1408" s="11"/>
      <c r="E1408" s="11"/>
      <c r="F1408" s="11"/>
      <c r="G1408" s="11"/>
      <c r="H1408" s="11"/>
      <c r="I1408" s="15"/>
    </row>
    <row r="1409" spans="1:9" ht="16.5">
      <c r="A1409" s="10" t="b">
        <v>0</v>
      </c>
      <c r="B1409" s="11" t="str">
        <f>IF(D1409&lt;&gt;"",IF(COUNTIF('USPTO TMs'!A:A,D1409)&gt;0,"Yes","No"),"")</f>
        <v/>
      </c>
      <c r="C1409" s="11"/>
      <c r="D1409" s="11"/>
      <c r="E1409" s="11"/>
      <c r="F1409" s="11"/>
      <c r="G1409" s="11"/>
      <c r="H1409" s="11"/>
      <c r="I1409" s="15"/>
    </row>
    <row r="1410" spans="1:9" ht="16.5">
      <c r="A1410" s="10" t="b">
        <v>0</v>
      </c>
      <c r="B1410" s="11" t="str">
        <f>IF(D1410&lt;&gt;"",IF(COUNTIF('USPTO TMs'!A:A,D1410)&gt;0,"Yes","No"),"")</f>
        <v/>
      </c>
      <c r="C1410" s="11"/>
      <c r="D1410" s="11"/>
      <c r="E1410" s="11"/>
      <c r="F1410" s="11"/>
      <c r="G1410" s="11"/>
      <c r="H1410" s="11"/>
      <c r="I1410" s="15"/>
    </row>
    <row r="1411" spans="1:9" ht="16.5">
      <c r="A1411" s="10" t="b">
        <v>0</v>
      </c>
      <c r="B1411" s="11" t="str">
        <f>IF(D1411&lt;&gt;"",IF(COUNTIF('USPTO TMs'!A:A,D1411)&gt;0,"Yes","No"),"")</f>
        <v/>
      </c>
      <c r="C1411" s="11"/>
      <c r="D1411" s="11"/>
      <c r="E1411" s="11"/>
      <c r="F1411" s="11"/>
      <c r="G1411" s="11"/>
      <c r="H1411" s="11"/>
      <c r="I1411" s="15"/>
    </row>
    <row r="1412" spans="1:9" ht="16.5">
      <c r="A1412" s="10" t="b">
        <v>0</v>
      </c>
      <c r="B1412" s="11" t="str">
        <f>IF(D1412&lt;&gt;"",IF(COUNTIF('USPTO TMs'!A:A,D1412)&gt;0,"Yes","No"),"")</f>
        <v/>
      </c>
      <c r="C1412" s="11"/>
      <c r="D1412" s="11"/>
      <c r="E1412" s="11"/>
      <c r="F1412" s="11"/>
      <c r="G1412" s="11"/>
      <c r="H1412" s="11"/>
      <c r="I1412" s="15"/>
    </row>
    <row r="1413" spans="1:9" ht="16.5">
      <c r="A1413" s="10" t="b">
        <v>0</v>
      </c>
      <c r="B1413" s="11" t="str">
        <f>IF(D1413&lt;&gt;"",IF(COUNTIF('USPTO TMs'!A:A,D1413)&gt;0,"Yes","No"),"")</f>
        <v/>
      </c>
      <c r="C1413" s="11"/>
      <c r="D1413" s="11"/>
      <c r="E1413" s="11"/>
      <c r="F1413" s="11"/>
      <c r="G1413" s="11"/>
      <c r="H1413" s="11"/>
      <c r="I1413" s="15"/>
    </row>
    <row r="1414" spans="1:9" ht="16.5">
      <c r="A1414" s="10" t="b">
        <v>0</v>
      </c>
      <c r="B1414" s="11" t="str">
        <f>IF(D1414&lt;&gt;"",IF(COUNTIF('USPTO TMs'!A:A,D1414)&gt;0,"Yes","No"),"")</f>
        <v/>
      </c>
      <c r="C1414" s="11"/>
      <c r="D1414" s="11"/>
      <c r="E1414" s="11"/>
      <c r="F1414" s="11"/>
      <c r="G1414" s="11"/>
      <c r="H1414" s="11"/>
      <c r="I1414" s="15"/>
    </row>
    <row r="1415" spans="1:9" ht="16.5">
      <c r="A1415" s="10" t="b">
        <v>0</v>
      </c>
      <c r="B1415" s="11" t="str">
        <f>IF(D1415&lt;&gt;"",IF(COUNTIF('USPTO TMs'!A:A,D1415)&gt;0,"Yes","No"),"")</f>
        <v/>
      </c>
      <c r="C1415" s="11"/>
      <c r="D1415" s="11"/>
      <c r="E1415" s="11"/>
      <c r="F1415" s="11"/>
      <c r="G1415" s="11"/>
      <c r="H1415" s="11"/>
      <c r="I1415" s="15"/>
    </row>
    <row r="1416" spans="1:9" ht="16.5">
      <c r="A1416" s="10" t="b">
        <v>0</v>
      </c>
      <c r="B1416" s="11" t="str">
        <f>IF(D1416&lt;&gt;"",IF(COUNTIF('USPTO TMs'!A:A,D1416)&gt;0,"Yes","No"),"")</f>
        <v/>
      </c>
      <c r="C1416" s="11"/>
      <c r="D1416" s="11"/>
      <c r="E1416" s="11"/>
      <c r="F1416" s="11"/>
      <c r="G1416" s="11"/>
      <c r="H1416" s="11"/>
      <c r="I1416" s="15"/>
    </row>
    <row r="1417" spans="1:9" ht="16.5">
      <c r="A1417" s="10" t="b">
        <v>0</v>
      </c>
      <c r="B1417" s="11" t="str">
        <f>IF(D1417&lt;&gt;"",IF(COUNTIF('USPTO TMs'!A:A,D1417)&gt;0,"Yes","No"),"")</f>
        <v/>
      </c>
      <c r="C1417" s="11"/>
      <c r="D1417" s="11"/>
      <c r="E1417" s="11"/>
      <c r="F1417" s="11"/>
      <c r="G1417" s="11"/>
      <c r="H1417" s="11"/>
      <c r="I1417" s="15"/>
    </row>
    <row r="1418" spans="1:9" ht="16.5">
      <c r="A1418" s="10" t="b">
        <v>0</v>
      </c>
      <c r="B1418" s="11" t="str">
        <f>IF(D1418&lt;&gt;"",IF(COUNTIF('USPTO TMs'!A:A,D1418)&gt;0,"Yes","No"),"")</f>
        <v/>
      </c>
      <c r="C1418" s="11"/>
      <c r="D1418" s="11"/>
      <c r="E1418" s="11"/>
      <c r="F1418" s="11"/>
      <c r="G1418" s="11"/>
      <c r="H1418" s="11"/>
      <c r="I1418" s="15"/>
    </row>
    <row r="1419" spans="1:9" ht="16.5">
      <c r="A1419" s="10" t="b">
        <v>0</v>
      </c>
      <c r="B1419" s="11" t="str">
        <f>IF(D1419&lt;&gt;"",IF(COUNTIF('USPTO TMs'!A:A,D1419)&gt;0,"Yes","No"),"")</f>
        <v/>
      </c>
      <c r="C1419" s="11"/>
      <c r="D1419" s="11"/>
      <c r="E1419" s="11"/>
      <c r="F1419" s="11"/>
      <c r="G1419" s="11"/>
      <c r="H1419" s="11"/>
      <c r="I1419" s="15"/>
    </row>
    <row r="1420" spans="1:9" ht="16.5">
      <c r="A1420" s="10" t="b">
        <v>0</v>
      </c>
      <c r="B1420" s="11" t="str">
        <f>IF(D1420&lt;&gt;"",IF(COUNTIF('USPTO TMs'!A:A,D1420)&gt;0,"Yes","No"),"")</f>
        <v/>
      </c>
      <c r="C1420" s="11"/>
      <c r="D1420" s="11"/>
      <c r="E1420" s="11"/>
      <c r="F1420" s="11"/>
      <c r="G1420" s="11"/>
      <c r="H1420" s="11"/>
      <c r="I1420" s="15"/>
    </row>
    <row r="1421" spans="1:9" ht="16.5">
      <c r="A1421" s="10" t="b">
        <v>0</v>
      </c>
      <c r="B1421" s="11" t="str">
        <f>IF(D1421&lt;&gt;"",IF(COUNTIF('USPTO TMs'!A:A,D1421)&gt;0,"Yes","No"),"")</f>
        <v/>
      </c>
      <c r="C1421" s="11"/>
      <c r="D1421" s="11"/>
      <c r="E1421" s="11"/>
      <c r="F1421" s="11"/>
      <c r="G1421" s="11"/>
      <c r="H1421" s="11"/>
      <c r="I1421" s="15"/>
    </row>
    <row r="1422" spans="1:9" ht="16.5">
      <c r="A1422" s="10" t="b">
        <v>0</v>
      </c>
      <c r="B1422" s="11" t="str">
        <f>IF(D1422&lt;&gt;"",IF(COUNTIF('USPTO TMs'!A:A,D1422)&gt;0,"Yes","No"),"")</f>
        <v/>
      </c>
      <c r="C1422" s="11"/>
      <c r="D1422" s="11"/>
      <c r="E1422" s="11"/>
      <c r="F1422" s="11"/>
      <c r="G1422" s="11"/>
      <c r="H1422" s="11"/>
      <c r="I1422" s="15"/>
    </row>
    <row r="1423" spans="1:9" ht="16.5">
      <c r="A1423" s="10" t="b">
        <v>0</v>
      </c>
      <c r="B1423" s="11" t="str">
        <f>IF(D1423&lt;&gt;"",IF(COUNTIF('USPTO TMs'!A:A,D1423)&gt;0,"Yes","No"),"")</f>
        <v/>
      </c>
      <c r="C1423" s="11"/>
      <c r="D1423" s="11"/>
      <c r="E1423" s="11"/>
      <c r="F1423" s="11"/>
      <c r="G1423" s="11"/>
      <c r="H1423" s="11"/>
      <c r="I1423" s="15"/>
    </row>
    <row r="1424" spans="1:9" ht="16.5">
      <c r="A1424" s="10" t="b">
        <v>0</v>
      </c>
      <c r="B1424" s="11" t="str">
        <f>IF(D1424&lt;&gt;"",IF(COUNTIF('USPTO TMs'!A:A,D1424)&gt;0,"Yes","No"),"")</f>
        <v/>
      </c>
      <c r="C1424" s="11"/>
      <c r="D1424" s="11"/>
      <c r="E1424" s="11"/>
      <c r="F1424" s="11"/>
      <c r="G1424" s="11"/>
      <c r="H1424" s="11"/>
      <c r="I1424" s="15"/>
    </row>
    <row r="1425" spans="1:9" ht="16.5">
      <c r="A1425" s="10" t="b">
        <v>0</v>
      </c>
      <c r="B1425" s="11" t="str">
        <f>IF(D1425&lt;&gt;"",IF(COUNTIF('USPTO TMs'!A:A,D1425)&gt;0,"Yes","No"),"")</f>
        <v/>
      </c>
      <c r="C1425" s="11"/>
      <c r="D1425" s="11"/>
      <c r="E1425" s="11"/>
      <c r="F1425" s="11"/>
      <c r="G1425" s="11"/>
      <c r="H1425" s="11"/>
      <c r="I1425" s="15"/>
    </row>
    <row r="1426" spans="1:9" ht="16.5">
      <c r="A1426" s="10" t="b">
        <v>0</v>
      </c>
      <c r="B1426" s="11" t="str">
        <f>IF(D1426&lt;&gt;"",IF(COUNTIF('USPTO TMs'!A:A,D1426)&gt;0,"Yes","No"),"")</f>
        <v/>
      </c>
      <c r="C1426" s="11"/>
      <c r="D1426" s="11"/>
      <c r="E1426" s="11"/>
      <c r="F1426" s="11"/>
      <c r="G1426" s="11"/>
      <c r="H1426" s="11"/>
      <c r="I1426" s="15"/>
    </row>
    <row r="1427" spans="1:9" ht="16.5">
      <c r="A1427" s="10" t="b">
        <v>0</v>
      </c>
      <c r="B1427" s="11" t="str">
        <f>IF(D1427&lt;&gt;"",IF(COUNTIF('USPTO TMs'!A:A,D1427)&gt;0,"Yes","No"),"")</f>
        <v/>
      </c>
      <c r="C1427" s="11"/>
      <c r="D1427" s="11"/>
      <c r="E1427" s="11"/>
      <c r="F1427" s="11"/>
      <c r="G1427" s="11"/>
      <c r="H1427" s="11"/>
      <c r="I1427" s="15"/>
    </row>
    <row r="1428" spans="1:9" ht="16.5">
      <c r="A1428" s="10" t="b">
        <v>0</v>
      </c>
      <c r="B1428" s="11" t="str">
        <f>IF(D1428&lt;&gt;"",IF(COUNTIF('USPTO TMs'!A:A,D1428)&gt;0,"Yes","No"),"")</f>
        <v/>
      </c>
      <c r="C1428" s="11"/>
      <c r="D1428" s="11"/>
      <c r="E1428" s="11"/>
      <c r="F1428" s="11"/>
      <c r="G1428" s="11"/>
      <c r="H1428" s="11"/>
      <c r="I1428" s="15"/>
    </row>
    <row r="1429" spans="1:9" ht="16.5">
      <c r="A1429" s="10" t="b">
        <v>0</v>
      </c>
      <c r="B1429" s="11" t="str">
        <f>IF(D1429&lt;&gt;"",IF(COUNTIF('USPTO TMs'!A:A,D1429)&gt;0,"Yes","No"),"")</f>
        <v/>
      </c>
      <c r="C1429" s="11"/>
      <c r="D1429" s="11"/>
      <c r="E1429" s="11"/>
      <c r="F1429" s="11"/>
      <c r="G1429" s="11"/>
      <c r="H1429" s="11"/>
      <c r="I1429" s="15"/>
    </row>
    <row r="1430" spans="1:9" ht="16.5">
      <c r="A1430" s="10" t="b">
        <v>0</v>
      </c>
      <c r="B1430" s="11" t="str">
        <f>IF(D1430&lt;&gt;"",IF(COUNTIF('USPTO TMs'!A:A,D1430)&gt;0,"Yes","No"),"")</f>
        <v/>
      </c>
      <c r="C1430" s="11"/>
      <c r="D1430" s="11"/>
      <c r="E1430" s="11"/>
      <c r="F1430" s="11"/>
      <c r="G1430" s="11"/>
      <c r="H1430" s="11"/>
      <c r="I1430" s="15"/>
    </row>
    <row r="1431" spans="1:9" ht="16.5">
      <c r="A1431" s="10" t="b">
        <v>0</v>
      </c>
      <c r="B1431" s="11" t="str">
        <f>IF(D1431&lt;&gt;"",IF(COUNTIF('USPTO TMs'!A:A,D1431)&gt;0,"Yes","No"),"")</f>
        <v/>
      </c>
      <c r="C1431" s="11"/>
      <c r="D1431" s="11"/>
      <c r="E1431" s="11"/>
      <c r="F1431" s="11"/>
      <c r="G1431" s="11"/>
      <c r="H1431" s="11"/>
      <c r="I1431" s="15"/>
    </row>
    <row r="1432" spans="1:9" ht="16.5">
      <c r="A1432" s="10" t="b">
        <v>0</v>
      </c>
      <c r="B1432" s="11" t="str">
        <f>IF(D1432&lt;&gt;"",IF(COUNTIF('USPTO TMs'!A:A,D1432)&gt;0,"Yes","No"),"")</f>
        <v/>
      </c>
      <c r="C1432" s="11"/>
      <c r="D1432" s="11"/>
      <c r="E1432" s="11"/>
      <c r="F1432" s="11"/>
      <c r="G1432" s="11"/>
      <c r="H1432" s="11"/>
      <c r="I1432" s="15"/>
    </row>
    <row r="1433" spans="1:9" ht="16.5">
      <c r="A1433" s="10" t="b">
        <v>0</v>
      </c>
      <c r="B1433" s="11" t="str">
        <f>IF(D1433&lt;&gt;"",IF(COUNTIF('USPTO TMs'!A:A,D1433)&gt;0,"Yes","No"),"")</f>
        <v/>
      </c>
      <c r="C1433" s="11"/>
      <c r="D1433" s="11"/>
      <c r="E1433" s="11"/>
      <c r="F1433" s="11"/>
      <c r="G1433" s="11"/>
      <c r="H1433" s="11"/>
      <c r="I1433" s="15"/>
    </row>
    <row r="1434" spans="1:9" ht="16.5">
      <c r="A1434" s="10" t="b">
        <v>0</v>
      </c>
      <c r="B1434" s="11" t="str">
        <f>IF(D1434&lt;&gt;"",IF(COUNTIF('USPTO TMs'!A:A,D1434)&gt;0,"Yes","No"),"")</f>
        <v/>
      </c>
      <c r="C1434" s="11"/>
      <c r="D1434" s="11"/>
      <c r="E1434" s="11"/>
      <c r="F1434" s="11"/>
      <c r="G1434" s="11"/>
      <c r="H1434" s="11"/>
      <c r="I1434" s="15"/>
    </row>
    <row r="1435" spans="1:9" ht="16.5">
      <c r="A1435" s="10" t="b">
        <v>0</v>
      </c>
      <c r="B1435" s="11" t="str">
        <f>IF(D1435&lt;&gt;"",IF(COUNTIF('USPTO TMs'!A:A,D1435)&gt;0,"Yes","No"),"")</f>
        <v/>
      </c>
      <c r="C1435" s="11"/>
      <c r="D1435" s="11"/>
      <c r="E1435" s="11"/>
      <c r="F1435" s="11"/>
      <c r="G1435" s="11"/>
      <c r="H1435" s="11"/>
      <c r="I1435" s="15"/>
    </row>
    <row r="1436" spans="1:9" ht="16.5">
      <c r="A1436" s="10" t="b">
        <v>0</v>
      </c>
      <c r="B1436" s="11" t="str">
        <f>IF(D1436&lt;&gt;"",IF(COUNTIF('USPTO TMs'!A:A,D1436)&gt;0,"Yes","No"),"")</f>
        <v/>
      </c>
      <c r="C1436" s="11"/>
      <c r="D1436" s="11"/>
      <c r="E1436" s="11"/>
      <c r="F1436" s="11"/>
      <c r="G1436" s="11"/>
      <c r="H1436" s="11"/>
      <c r="I1436" s="15"/>
    </row>
    <row r="1437" spans="1:9" ht="16.5">
      <c r="A1437" s="10" t="b">
        <v>0</v>
      </c>
      <c r="B1437" s="11" t="str">
        <f>IF(D1437&lt;&gt;"",IF(COUNTIF('USPTO TMs'!A:A,D1437)&gt;0,"Yes","No"),"")</f>
        <v/>
      </c>
      <c r="C1437" s="11"/>
      <c r="D1437" s="11"/>
      <c r="E1437" s="11"/>
      <c r="F1437" s="11"/>
      <c r="G1437" s="11"/>
      <c r="H1437" s="11"/>
      <c r="I1437" s="15"/>
    </row>
    <row r="1438" spans="1:9" ht="16.5">
      <c r="A1438" s="10" t="b">
        <v>0</v>
      </c>
      <c r="B1438" s="11" t="str">
        <f>IF(D1438&lt;&gt;"",IF(COUNTIF('USPTO TMs'!A:A,D1438)&gt;0,"Yes","No"),"")</f>
        <v/>
      </c>
      <c r="C1438" s="11"/>
      <c r="D1438" s="11"/>
      <c r="E1438" s="11"/>
      <c r="F1438" s="11"/>
      <c r="G1438" s="11"/>
      <c r="H1438" s="11"/>
      <c r="I1438" s="15"/>
    </row>
    <row r="1439" spans="1:9" ht="16.5">
      <c r="A1439" s="10" t="b">
        <v>0</v>
      </c>
      <c r="B1439" s="11" t="str">
        <f>IF(D1439&lt;&gt;"",IF(COUNTIF('USPTO TMs'!A:A,D1439)&gt;0,"Yes","No"),"")</f>
        <v/>
      </c>
      <c r="C1439" s="11"/>
      <c r="D1439" s="11"/>
      <c r="E1439" s="11"/>
      <c r="F1439" s="11"/>
      <c r="G1439" s="11"/>
      <c r="H1439" s="11"/>
      <c r="I1439" s="15"/>
    </row>
    <row r="1440" spans="1:9" ht="16.5">
      <c r="A1440" s="10" t="b">
        <v>0</v>
      </c>
      <c r="B1440" s="11" t="str">
        <f>IF(D1440&lt;&gt;"",IF(COUNTIF('USPTO TMs'!A:A,D1440)&gt;0,"Yes","No"),"")</f>
        <v/>
      </c>
      <c r="C1440" s="11"/>
      <c r="D1440" s="11"/>
      <c r="E1440" s="11"/>
      <c r="F1440" s="11"/>
      <c r="G1440" s="11"/>
      <c r="H1440" s="11"/>
      <c r="I1440" s="15"/>
    </row>
    <row r="1441" spans="1:9" ht="16.5">
      <c r="A1441" s="10" t="b">
        <v>0</v>
      </c>
      <c r="B1441" s="11" t="str">
        <f>IF(D1441&lt;&gt;"",IF(COUNTIF('USPTO TMs'!A:A,D1441)&gt;0,"Yes","No"),"")</f>
        <v/>
      </c>
      <c r="C1441" s="11"/>
      <c r="D1441" s="11"/>
      <c r="E1441" s="11"/>
      <c r="F1441" s="11"/>
      <c r="G1441" s="11"/>
      <c r="H1441" s="11"/>
      <c r="I1441" s="15"/>
    </row>
    <row r="1442" spans="1:9" ht="16.5">
      <c r="A1442" s="10" t="b">
        <v>0</v>
      </c>
      <c r="B1442" s="11" t="str">
        <f>IF(D1442&lt;&gt;"",IF(COUNTIF('USPTO TMs'!A:A,D1442)&gt;0,"Yes","No"),"")</f>
        <v/>
      </c>
      <c r="C1442" s="11"/>
      <c r="D1442" s="11"/>
      <c r="E1442" s="11"/>
      <c r="F1442" s="11"/>
      <c r="G1442" s="11"/>
      <c r="H1442" s="11"/>
      <c r="I1442" s="15"/>
    </row>
    <row r="1443" spans="1:9" ht="16.5">
      <c r="A1443" s="10" t="b">
        <v>0</v>
      </c>
      <c r="B1443" s="11" t="str">
        <f>IF(D1443&lt;&gt;"",IF(COUNTIF('USPTO TMs'!A:A,D1443)&gt;0,"Yes","No"),"")</f>
        <v/>
      </c>
      <c r="C1443" s="11"/>
      <c r="D1443" s="11"/>
      <c r="E1443" s="11"/>
      <c r="F1443" s="11"/>
      <c r="G1443" s="11"/>
      <c r="H1443" s="11"/>
      <c r="I1443" s="15"/>
    </row>
    <row r="1444" spans="1:9" ht="16.5">
      <c r="A1444" s="10" t="b">
        <v>0</v>
      </c>
      <c r="B1444" s="11" t="str">
        <f>IF(D1444&lt;&gt;"",IF(COUNTIF('USPTO TMs'!A:A,D1444)&gt;0,"Yes","No"),"")</f>
        <v/>
      </c>
      <c r="C1444" s="11"/>
      <c r="D1444" s="11"/>
      <c r="E1444" s="11"/>
      <c r="F1444" s="11"/>
      <c r="G1444" s="11"/>
      <c r="H1444" s="11"/>
      <c r="I1444" s="15"/>
    </row>
    <row r="1445" spans="1:9" ht="16.5">
      <c r="A1445" s="10" t="b">
        <v>0</v>
      </c>
      <c r="B1445" s="11" t="str">
        <f>IF(D1445&lt;&gt;"",IF(COUNTIF('USPTO TMs'!A:A,D1445)&gt;0,"Yes","No"),"")</f>
        <v/>
      </c>
      <c r="C1445" s="11"/>
      <c r="D1445" s="11"/>
      <c r="E1445" s="11"/>
      <c r="F1445" s="11"/>
      <c r="G1445" s="11"/>
      <c r="H1445" s="11"/>
      <c r="I1445" s="15"/>
    </row>
    <row r="1446" spans="1:9" ht="16.5">
      <c r="A1446" s="10" t="b">
        <v>0</v>
      </c>
      <c r="B1446" s="11" t="str">
        <f>IF(D1446&lt;&gt;"",IF(COUNTIF('USPTO TMs'!A:A,D1446)&gt;0,"Yes","No"),"")</f>
        <v/>
      </c>
      <c r="C1446" s="11"/>
      <c r="D1446" s="11"/>
      <c r="E1446" s="11"/>
      <c r="F1446" s="11"/>
      <c r="G1446" s="11"/>
      <c r="H1446" s="11"/>
      <c r="I1446" s="15"/>
    </row>
    <row r="1447" spans="1:9" ht="16.5">
      <c r="A1447" s="10" t="b">
        <v>0</v>
      </c>
      <c r="B1447" s="11" t="str">
        <f>IF(D1447&lt;&gt;"",IF(COUNTIF('USPTO TMs'!A:A,D1447)&gt;0,"Yes","No"),"")</f>
        <v/>
      </c>
      <c r="C1447" s="11"/>
      <c r="D1447" s="11"/>
      <c r="E1447" s="11"/>
      <c r="F1447" s="11"/>
      <c r="G1447" s="11"/>
      <c r="H1447" s="11"/>
      <c r="I1447" s="15"/>
    </row>
    <row r="1448" spans="1:9" ht="16.5">
      <c r="A1448" s="10" t="b">
        <v>0</v>
      </c>
      <c r="B1448" s="11" t="str">
        <f>IF(D1448&lt;&gt;"",IF(COUNTIF('USPTO TMs'!A:A,D1448)&gt;0,"Yes","No"),"")</f>
        <v/>
      </c>
      <c r="C1448" s="11"/>
      <c r="D1448" s="11"/>
      <c r="E1448" s="11"/>
      <c r="F1448" s="11"/>
      <c r="G1448" s="11"/>
      <c r="H1448" s="11"/>
      <c r="I1448" s="15"/>
    </row>
    <row r="1449" spans="1:9" ht="16.5">
      <c r="A1449" s="10" t="b">
        <v>0</v>
      </c>
      <c r="B1449" s="11" t="str">
        <f>IF(D1449&lt;&gt;"",IF(COUNTIF('USPTO TMs'!A:A,D1449)&gt;0,"Yes","No"),"")</f>
        <v/>
      </c>
      <c r="C1449" s="11"/>
      <c r="D1449" s="11"/>
      <c r="E1449" s="11"/>
      <c r="F1449" s="11"/>
      <c r="G1449" s="11"/>
      <c r="H1449" s="11"/>
      <c r="I1449" s="15"/>
    </row>
    <row r="1450" spans="1:9" ht="16.5">
      <c r="A1450" s="10" t="b">
        <v>0</v>
      </c>
      <c r="B1450" s="11" t="str">
        <f>IF(D1450&lt;&gt;"",IF(COUNTIF('USPTO TMs'!A:A,D1450)&gt;0,"Yes","No"),"")</f>
        <v/>
      </c>
      <c r="C1450" s="11"/>
      <c r="D1450" s="11"/>
      <c r="E1450" s="11"/>
      <c r="F1450" s="11"/>
      <c r="G1450" s="11"/>
      <c r="H1450" s="11"/>
      <c r="I1450" s="15"/>
    </row>
    <row r="1451" spans="1:9" ht="16.5">
      <c r="A1451" s="10" t="b">
        <v>0</v>
      </c>
      <c r="B1451" s="11" t="str">
        <f>IF(D1451&lt;&gt;"",IF(COUNTIF('USPTO TMs'!A:A,D1451)&gt;0,"Yes","No"),"")</f>
        <v/>
      </c>
      <c r="C1451" s="11"/>
      <c r="D1451" s="11"/>
      <c r="E1451" s="11"/>
      <c r="F1451" s="11"/>
      <c r="G1451" s="11"/>
      <c r="H1451" s="11"/>
      <c r="I1451" s="15"/>
    </row>
    <row r="1452" spans="1:9" ht="16.5">
      <c r="A1452" s="10" t="b">
        <v>0</v>
      </c>
      <c r="B1452" s="11" t="str">
        <f>IF(D1452&lt;&gt;"",IF(COUNTIF('USPTO TMs'!A:A,D1452)&gt;0,"Yes","No"),"")</f>
        <v/>
      </c>
      <c r="C1452" s="11"/>
      <c r="D1452" s="11"/>
      <c r="E1452" s="11"/>
      <c r="F1452" s="11"/>
      <c r="G1452" s="11"/>
      <c r="H1452" s="11"/>
      <c r="I1452" s="15"/>
    </row>
    <row r="1453" spans="1:9" ht="16.5">
      <c r="A1453" s="10" t="b">
        <v>0</v>
      </c>
      <c r="B1453" s="11" t="str">
        <f>IF(D1453&lt;&gt;"",IF(COUNTIF('USPTO TMs'!A:A,D1453)&gt;0,"Yes","No"),"")</f>
        <v/>
      </c>
      <c r="C1453" s="11"/>
      <c r="D1453" s="11"/>
      <c r="E1453" s="11"/>
      <c r="F1453" s="11"/>
      <c r="G1453" s="11"/>
      <c r="H1453" s="11"/>
      <c r="I1453" s="15"/>
    </row>
    <row r="1454" spans="1:9" ht="16.5">
      <c r="A1454" s="10" t="b">
        <v>0</v>
      </c>
      <c r="B1454" s="11" t="str">
        <f>IF(D1454&lt;&gt;"",IF(COUNTIF('USPTO TMs'!A:A,D1454)&gt;0,"Yes","No"),"")</f>
        <v/>
      </c>
      <c r="C1454" s="11"/>
      <c r="D1454" s="11"/>
      <c r="E1454" s="11"/>
      <c r="F1454" s="11"/>
      <c r="G1454" s="11"/>
      <c r="H1454" s="11"/>
      <c r="I1454" s="15"/>
    </row>
    <row r="1455" spans="1:9" ht="16.5">
      <c r="A1455" s="10" t="b">
        <v>0</v>
      </c>
      <c r="B1455" s="11" t="str">
        <f>IF(D1455&lt;&gt;"",IF(COUNTIF('USPTO TMs'!A:A,D1455)&gt;0,"Yes","No"),"")</f>
        <v/>
      </c>
      <c r="C1455" s="11"/>
      <c r="D1455" s="11"/>
      <c r="E1455" s="11"/>
      <c r="F1455" s="11"/>
      <c r="G1455" s="11"/>
      <c r="H1455" s="11"/>
      <c r="I1455" s="15"/>
    </row>
    <row r="1456" spans="1:9" ht="16.5">
      <c r="A1456" s="10" t="b">
        <v>0</v>
      </c>
      <c r="B1456" s="11" t="str">
        <f>IF(D1456&lt;&gt;"",IF(COUNTIF('USPTO TMs'!A:A,D1456)&gt;0,"Yes","No"),"")</f>
        <v/>
      </c>
      <c r="C1456" s="11"/>
      <c r="D1456" s="11"/>
      <c r="E1456" s="11"/>
      <c r="F1456" s="11"/>
      <c r="G1456" s="11"/>
      <c r="H1456" s="11"/>
      <c r="I1456" s="15"/>
    </row>
    <row r="1457" spans="1:9" ht="16.5">
      <c r="A1457" s="10" t="b">
        <v>0</v>
      </c>
      <c r="B1457" s="11" t="str">
        <f>IF(D1457&lt;&gt;"",IF(COUNTIF('USPTO TMs'!A:A,D1457)&gt;0,"Yes","No"),"")</f>
        <v/>
      </c>
      <c r="C1457" s="11"/>
      <c r="D1457" s="11"/>
      <c r="E1457" s="11"/>
      <c r="F1457" s="11"/>
      <c r="G1457" s="11"/>
      <c r="H1457" s="11"/>
      <c r="I1457" s="15"/>
    </row>
    <row r="1458" spans="1:9" ht="16.5">
      <c r="A1458" s="10" t="b">
        <v>0</v>
      </c>
      <c r="B1458" s="11" t="str">
        <f>IF(D1458&lt;&gt;"",IF(COUNTIF('USPTO TMs'!A:A,D1458)&gt;0,"Yes","No"),"")</f>
        <v/>
      </c>
      <c r="C1458" s="11"/>
      <c r="D1458" s="11"/>
      <c r="E1458" s="11"/>
      <c r="F1458" s="11"/>
      <c r="G1458" s="11"/>
      <c r="H1458" s="11"/>
      <c r="I1458" s="15"/>
    </row>
    <row r="1459" spans="1:9" ht="16.5">
      <c r="A1459" s="10" t="b">
        <v>0</v>
      </c>
      <c r="B1459" s="11" t="str">
        <f>IF(D1459&lt;&gt;"",IF(COUNTIF('USPTO TMs'!A:A,D1459)&gt;0,"Yes","No"),"")</f>
        <v/>
      </c>
      <c r="C1459" s="11"/>
      <c r="D1459" s="11"/>
      <c r="E1459" s="11"/>
      <c r="F1459" s="11"/>
      <c r="G1459" s="11"/>
      <c r="H1459" s="11"/>
      <c r="I1459" s="15"/>
    </row>
    <row r="1460" spans="1:9" ht="16.5">
      <c r="A1460" s="10" t="b">
        <v>0</v>
      </c>
      <c r="B1460" s="11" t="str">
        <f>IF(D1460&lt;&gt;"",IF(COUNTIF('USPTO TMs'!A:A,D1460)&gt;0,"Yes","No"),"")</f>
        <v/>
      </c>
      <c r="C1460" s="11"/>
      <c r="D1460" s="11"/>
      <c r="E1460" s="11"/>
      <c r="F1460" s="11"/>
      <c r="G1460" s="11"/>
      <c r="H1460" s="11"/>
      <c r="I1460" s="15"/>
    </row>
    <row r="1461" spans="1:9" ht="16.5">
      <c r="A1461" s="10" t="b">
        <v>0</v>
      </c>
      <c r="B1461" s="11" t="str">
        <f>IF(D1461&lt;&gt;"",IF(COUNTIF('USPTO TMs'!A:A,D1461)&gt;0,"Yes","No"),"")</f>
        <v/>
      </c>
      <c r="C1461" s="11"/>
      <c r="D1461" s="11"/>
      <c r="E1461" s="11"/>
      <c r="F1461" s="11"/>
      <c r="G1461" s="11"/>
      <c r="H1461" s="11"/>
      <c r="I1461" s="15"/>
    </row>
    <row r="1462" spans="1:9" ht="16.5">
      <c r="A1462" s="10" t="b">
        <v>0</v>
      </c>
      <c r="B1462" s="11" t="str">
        <f>IF(D1462&lt;&gt;"",IF(COUNTIF('USPTO TMs'!A:A,D1462)&gt;0,"Yes","No"),"")</f>
        <v/>
      </c>
      <c r="C1462" s="11"/>
      <c r="D1462" s="11"/>
      <c r="E1462" s="11"/>
      <c r="F1462" s="11"/>
      <c r="G1462" s="11"/>
      <c r="H1462" s="11"/>
      <c r="I1462" s="15"/>
    </row>
    <row r="1463" spans="1:9" ht="16.5">
      <c r="A1463" s="10" t="b">
        <v>0</v>
      </c>
      <c r="B1463" s="11" t="str">
        <f>IF(D1463&lt;&gt;"",IF(COUNTIF('USPTO TMs'!A:A,D1463)&gt;0,"Yes","No"),"")</f>
        <v/>
      </c>
      <c r="C1463" s="11"/>
      <c r="D1463" s="11"/>
      <c r="E1463" s="11"/>
      <c r="F1463" s="11"/>
      <c r="G1463" s="11"/>
      <c r="H1463" s="11"/>
      <c r="I1463" s="15"/>
    </row>
    <row r="1464" spans="1:9" ht="16.5">
      <c r="A1464" s="10" t="b">
        <v>0</v>
      </c>
      <c r="B1464" s="11" t="str">
        <f>IF(D1464&lt;&gt;"",IF(COUNTIF('USPTO TMs'!A:A,D1464)&gt;0,"Yes","No"),"")</f>
        <v/>
      </c>
      <c r="C1464" s="11"/>
      <c r="D1464" s="11"/>
      <c r="E1464" s="11"/>
      <c r="F1464" s="11"/>
      <c r="G1464" s="11"/>
      <c r="H1464" s="11"/>
      <c r="I1464" s="15"/>
    </row>
    <row r="1465" spans="1:9" ht="16.5">
      <c r="A1465" s="10" t="b">
        <v>0</v>
      </c>
      <c r="B1465" s="11" t="str">
        <f>IF(D1465&lt;&gt;"",IF(COUNTIF('USPTO TMs'!A:A,D1465)&gt;0,"Yes","No"),"")</f>
        <v/>
      </c>
      <c r="C1465" s="11"/>
      <c r="D1465" s="11"/>
      <c r="E1465" s="11"/>
      <c r="F1465" s="11"/>
      <c r="G1465" s="11"/>
      <c r="H1465" s="11"/>
      <c r="I1465" s="15"/>
    </row>
    <row r="1466" spans="1:9" ht="16.5">
      <c r="A1466" s="10" t="b">
        <v>0</v>
      </c>
      <c r="B1466" s="11" t="str">
        <f>IF(D1466&lt;&gt;"",IF(COUNTIF('USPTO TMs'!A:A,D1466)&gt;0,"Yes","No"),"")</f>
        <v/>
      </c>
      <c r="C1466" s="11"/>
      <c r="D1466" s="11"/>
      <c r="E1466" s="11"/>
      <c r="F1466" s="11"/>
      <c r="G1466" s="11"/>
      <c r="H1466" s="11"/>
      <c r="I1466" s="15"/>
    </row>
    <row r="1467" spans="1:9" ht="16.5">
      <c r="A1467" s="10" t="b">
        <v>0</v>
      </c>
      <c r="B1467" s="11" t="str">
        <f>IF(D1467&lt;&gt;"",IF(COUNTIF('USPTO TMs'!A:A,D1467)&gt;0,"Yes","No"),"")</f>
        <v/>
      </c>
      <c r="C1467" s="11"/>
      <c r="D1467" s="11"/>
      <c r="E1467" s="11"/>
      <c r="F1467" s="11"/>
      <c r="G1467" s="11"/>
      <c r="H1467" s="11"/>
      <c r="I1467" s="15"/>
    </row>
    <row r="1468" spans="1:9" ht="16.5">
      <c r="A1468" s="10" t="b">
        <v>0</v>
      </c>
      <c r="B1468" s="11" t="str">
        <f>IF(D1468&lt;&gt;"",IF(COUNTIF('USPTO TMs'!A:A,D1468)&gt;0,"Yes","No"),"")</f>
        <v/>
      </c>
      <c r="C1468" s="11"/>
      <c r="D1468" s="11"/>
      <c r="E1468" s="11"/>
      <c r="F1468" s="11"/>
      <c r="G1468" s="11"/>
      <c r="H1468" s="11"/>
      <c r="I1468" s="15"/>
    </row>
    <row r="1469" spans="1:9" ht="16.5">
      <c r="A1469" s="10" t="b">
        <v>0</v>
      </c>
      <c r="B1469" s="11" t="str">
        <f>IF(D1469&lt;&gt;"",IF(COUNTIF('USPTO TMs'!A:A,D1469)&gt;0,"Yes","No"),"")</f>
        <v/>
      </c>
      <c r="C1469" s="11"/>
      <c r="D1469" s="11"/>
      <c r="E1469" s="11"/>
      <c r="F1469" s="11"/>
      <c r="G1469" s="11"/>
      <c r="H1469" s="11"/>
      <c r="I1469" s="15"/>
    </row>
    <row r="1470" spans="1:9" ht="16.5">
      <c r="A1470" s="10" t="b">
        <v>0</v>
      </c>
      <c r="B1470" s="11" t="str">
        <f>IF(D1470&lt;&gt;"",IF(COUNTIF('USPTO TMs'!A:A,D1470)&gt;0,"Yes","No"),"")</f>
        <v/>
      </c>
      <c r="C1470" s="11"/>
      <c r="D1470" s="11"/>
      <c r="E1470" s="11"/>
      <c r="F1470" s="11"/>
      <c r="G1470" s="11"/>
      <c r="H1470" s="11"/>
      <c r="I1470" s="15"/>
    </row>
    <row r="1471" spans="1:9" ht="16.5">
      <c r="A1471" s="10" t="b">
        <v>0</v>
      </c>
      <c r="B1471" s="11" t="str">
        <f>IF(D1471&lt;&gt;"",IF(COUNTIF('USPTO TMs'!A:A,D1471)&gt;0,"Yes","No"),"")</f>
        <v/>
      </c>
      <c r="C1471" s="11"/>
      <c r="D1471" s="11"/>
      <c r="E1471" s="11"/>
      <c r="F1471" s="11"/>
      <c r="G1471" s="11"/>
      <c r="H1471" s="11"/>
      <c r="I1471" s="15"/>
    </row>
    <row r="1472" spans="1:9" ht="16.5">
      <c r="A1472" s="10" t="b">
        <v>0</v>
      </c>
      <c r="B1472" s="11" t="str">
        <f>IF(D1472&lt;&gt;"",IF(COUNTIF('USPTO TMs'!A:A,D1472)&gt;0,"Yes","No"),"")</f>
        <v/>
      </c>
      <c r="C1472" s="11"/>
      <c r="D1472" s="11"/>
      <c r="E1472" s="11"/>
      <c r="F1472" s="11"/>
      <c r="G1472" s="11"/>
      <c r="H1472" s="11"/>
      <c r="I1472" s="15"/>
    </row>
    <row r="1473" spans="1:9" ht="16.5">
      <c r="A1473" s="10" t="b">
        <v>0</v>
      </c>
      <c r="B1473" s="11" t="str">
        <f>IF(D1473&lt;&gt;"",IF(COUNTIF('USPTO TMs'!A:A,D1473)&gt;0,"Yes","No"),"")</f>
        <v/>
      </c>
      <c r="C1473" s="11"/>
      <c r="D1473" s="11"/>
      <c r="E1473" s="11"/>
      <c r="F1473" s="11"/>
      <c r="G1473" s="11"/>
      <c r="H1473" s="11"/>
      <c r="I1473" s="15"/>
    </row>
    <row r="1474" spans="1:9" ht="16.5">
      <c r="A1474" s="10" t="b">
        <v>0</v>
      </c>
      <c r="B1474" s="11" t="str">
        <f>IF(D1474&lt;&gt;"",IF(COUNTIF('USPTO TMs'!A:A,D1474)&gt;0,"Yes","No"),"")</f>
        <v/>
      </c>
      <c r="C1474" s="11"/>
      <c r="D1474" s="11"/>
      <c r="E1474" s="11"/>
      <c r="F1474" s="11"/>
      <c r="G1474" s="11"/>
      <c r="H1474" s="11"/>
      <c r="I1474" s="15"/>
    </row>
    <row r="1475" spans="1:9" ht="16.5">
      <c r="A1475" s="10" t="b">
        <v>0</v>
      </c>
      <c r="B1475" s="11" t="str">
        <f>IF(D1475&lt;&gt;"",IF(COUNTIF('USPTO TMs'!A:A,D1475)&gt;0,"Yes","No"),"")</f>
        <v/>
      </c>
      <c r="C1475" s="11"/>
      <c r="D1475" s="11"/>
      <c r="E1475" s="11"/>
      <c r="F1475" s="11"/>
      <c r="G1475" s="11"/>
      <c r="H1475" s="11"/>
      <c r="I1475" s="15"/>
    </row>
    <row r="1476" spans="1:9" ht="16.5">
      <c r="A1476" s="10" t="b">
        <v>0</v>
      </c>
      <c r="B1476" s="11" t="str">
        <f>IF(D1476&lt;&gt;"",IF(COUNTIF('USPTO TMs'!A:A,D1476)&gt;0,"Yes","No"),"")</f>
        <v/>
      </c>
      <c r="C1476" s="11"/>
      <c r="D1476" s="11"/>
      <c r="E1476" s="11"/>
      <c r="F1476" s="11"/>
      <c r="G1476" s="11"/>
      <c r="H1476" s="11"/>
      <c r="I1476" s="15"/>
    </row>
    <row r="1477" spans="1:9" ht="16.5">
      <c r="A1477" s="10" t="b">
        <v>0</v>
      </c>
      <c r="B1477" s="11" t="str">
        <f>IF(D1477&lt;&gt;"",IF(COUNTIF('USPTO TMs'!A:A,D1477)&gt;0,"Yes","No"),"")</f>
        <v/>
      </c>
      <c r="C1477" s="11"/>
      <c r="D1477" s="11"/>
      <c r="E1477" s="11"/>
      <c r="F1477" s="11"/>
      <c r="G1477" s="11"/>
      <c r="H1477" s="11"/>
      <c r="I1477" s="15"/>
    </row>
    <row r="1478" spans="1:9" ht="16.5">
      <c r="A1478" s="10" t="b">
        <v>0</v>
      </c>
      <c r="B1478" s="11" t="str">
        <f>IF(D1478&lt;&gt;"",IF(COUNTIF('USPTO TMs'!A:A,D1478)&gt;0,"Yes","No"),"")</f>
        <v/>
      </c>
      <c r="C1478" s="11"/>
      <c r="D1478" s="11"/>
      <c r="E1478" s="11"/>
      <c r="F1478" s="11"/>
      <c r="G1478" s="11"/>
      <c r="H1478" s="11"/>
      <c r="I1478" s="15"/>
    </row>
    <row r="1479" spans="1:9" ht="16.5">
      <c r="A1479" s="10" t="b">
        <v>0</v>
      </c>
      <c r="B1479" s="11" t="str">
        <f>IF(D1479&lt;&gt;"",IF(COUNTIF('USPTO TMs'!A:A,D1479)&gt;0,"Yes","No"),"")</f>
        <v/>
      </c>
      <c r="C1479" s="11"/>
      <c r="D1479" s="11"/>
      <c r="E1479" s="11"/>
      <c r="F1479" s="11"/>
      <c r="G1479" s="11"/>
      <c r="H1479" s="11"/>
      <c r="I1479" s="15"/>
    </row>
    <row r="1480" spans="1:9" ht="16.5">
      <c r="A1480" s="10" t="b">
        <v>0</v>
      </c>
      <c r="B1480" s="11" t="str">
        <f>IF(D1480&lt;&gt;"",IF(COUNTIF('USPTO TMs'!A:A,D1480)&gt;0,"Yes","No"),"")</f>
        <v/>
      </c>
      <c r="C1480" s="11"/>
      <c r="D1480" s="11"/>
      <c r="E1480" s="11"/>
      <c r="F1480" s="11"/>
      <c r="G1480" s="11"/>
      <c r="H1480" s="11"/>
      <c r="I1480" s="15"/>
    </row>
    <row r="1481" spans="1:9" ht="16.5">
      <c r="A1481" s="10" t="b">
        <v>0</v>
      </c>
      <c r="B1481" s="11" t="str">
        <f>IF(D1481&lt;&gt;"",IF(COUNTIF('USPTO TMs'!A:A,D1481)&gt;0,"Yes","No"),"")</f>
        <v/>
      </c>
      <c r="C1481" s="11"/>
      <c r="D1481" s="11"/>
      <c r="E1481" s="11"/>
      <c r="F1481" s="11"/>
      <c r="G1481" s="11"/>
      <c r="H1481" s="11"/>
      <c r="I1481" s="15"/>
    </row>
    <row r="1482" spans="1:9" ht="16.5">
      <c r="A1482" s="10" t="b">
        <v>0</v>
      </c>
      <c r="B1482" s="11" t="str">
        <f>IF(D1482&lt;&gt;"",IF(COUNTIF('USPTO TMs'!A:A,D1482)&gt;0,"Yes","No"),"")</f>
        <v/>
      </c>
      <c r="C1482" s="11"/>
      <c r="D1482" s="11"/>
      <c r="E1482" s="11"/>
      <c r="F1482" s="11"/>
      <c r="G1482" s="11"/>
      <c r="H1482" s="11"/>
      <c r="I1482" s="15"/>
    </row>
    <row r="1483" spans="1:9" ht="16.5">
      <c r="A1483" s="10" t="b">
        <v>0</v>
      </c>
      <c r="B1483" s="11" t="str">
        <f>IF(D1483&lt;&gt;"",IF(COUNTIF('USPTO TMs'!A:A,D1483)&gt;0,"Yes","No"),"")</f>
        <v/>
      </c>
      <c r="C1483" s="11"/>
      <c r="D1483" s="11"/>
      <c r="E1483" s="11"/>
      <c r="F1483" s="11"/>
      <c r="G1483" s="11"/>
      <c r="H1483" s="11"/>
      <c r="I1483" s="15"/>
    </row>
    <row r="1484" spans="1:9" ht="16.5">
      <c r="A1484" s="10" t="b">
        <v>0</v>
      </c>
      <c r="B1484" s="11" t="str">
        <f>IF(D1484&lt;&gt;"",IF(COUNTIF('USPTO TMs'!A:A,D1484)&gt;0,"Yes","No"),"")</f>
        <v/>
      </c>
      <c r="C1484" s="11"/>
      <c r="D1484" s="11"/>
      <c r="E1484" s="11"/>
      <c r="F1484" s="11"/>
      <c r="G1484" s="11"/>
      <c r="H1484" s="11"/>
      <c r="I1484" s="15"/>
    </row>
    <row r="1485" spans="1:9" ht="16.5">
      <c r="A1485" s="10" t="b">
        <v>0</v>
      </c>
      <c r="B1485" s="11" t="str">
        <f>IF(D1485&lt;&gt;"",IF(COUNTIF('USPTO TMs'!A:A,D1485)&gt;0,"Yes","No"),"")</f>
        <v/>
      </c>
      <c r="C1485" s="11"/>
      <c r="D1485" s="11"/>
      <c r="E1485" s="11"/>
      <c r="F1485" s="11"/>
      <c r="G1485" s="11"/>
      <c r="H1485" s="11"/>
      <c r="I1485" s="15"/>
    </row>
    <row r="1486" spans="1:9" ht="16.5">
      <c r="A1486" s="10" t="b">
        <v>0</v>
      </c>
      <c r="B1486" s="11" t="str">
        <f>IF(D1486&lt;&gt;"",IF(COUNTIF('USPTO TMs'!A:A,D1486)&gt;0,"Yes","No"),"")</f>
        <v/>
      </c>
      <c r="C1486" s="11"/>
      <c r="D1486" s="11"/>
      <c r="E1486" s="11"/>
      <c r="F1486" s="11"/>
      <c r="G1486" s="11"/>
      <c r="H1486" s="11"/>
      <c r="I1486" s="15"/>
    </row>
    <row r="1487" spans="1:9" ht="16.5">
      <c r="A1487" s="10" t="b">
        <v>0</v>
      </c>
      <c r="B1487" s="11" t="str">
        <f>IF(D1487&lt;&gt;"",IF(COUNTIF('USPTO TMs'!A:A,D1487)&gt;0,"Yes","No"),"")</f>
        <v/>
      </c>
      <c r="C1487" s="11"/>
      <c r="D1487" s="11"/>
      <c r="E1487" s="11"/>
      <c r="F1487" s="11"/>
      <c r="G1487" s="11"/>
      <c r="H1487" s="11"/>
      <c r="I1487" s="15"/>
    </row>
    <row r="1488" spans="1:9" ht="16.5">
      <c r="A1488" s="10" t="b">
        <v>0</v>
      </c>
      <c r="B1488" s="11" t="str">
        <f>IF(D1488&lt;&gt;"",IF(COUNTIF('USPTO TMs'!A:A,D1488)&gt;0,"Yes","No"),"")</f>
        <v/>
      </c>
      <c r="C1488" s="11"/>
      <c r="D1488" s="11"/>
      <c r="E1488" s="11"/>
      <c r="F1488" s="11"/>
      <c r="G1488" s="11"/>
      <c r="H1488" s="11"/>
      <c r="I1488" s="15"/>
    </row>
    <row r="1489" spans="1:9" ht="16.5">
      <c r="A1489" s="10" t="b">
        <v>0</v>
      </c>
      <c r="B1489" s="11" t="str">
        <f>IF(D1489&lt;&gt;"",IF(COUNTIF('USPTO TMs'!A:A,D1489)&gt;0,"Yes","No"),"")</f>
        <v/>
      </c>
      <c r="C1489" s="11"/>
      <c r="D1489" s="11"/>
      <c r="E1489" s="11"/>
      <c r="F1489" s="11"/>
      <c r="G1489" s="11"/>
      <c r="H1489" s="11"/>
      <c r="I1489" s="15"/>
    </row>
    <row r="1490" spans="1:9" ht="16.5">
      <c r="A1490" s="10" t="b">
        <v>0</v>
      </c>
      <c r="B1490" s="11" t="str">
        <f>IF(D1490&lt;&gt;"",IF(COUNTIF('USPTO TMs'!A:A,D1490)&gt;0,"Yes","No"),"")</f>
        <v/>
      </c>
      <c r="C1490" s="11"/>
      <c r="D1490" s="11"/>
      <c r="E1490" s="11"/>
      <c r="F1490" s="11"/>
      <c r="G1490" s="11"/>
      <c r="H1490" s="11"/>
      <c r="I1490" s="15"/>
    </row>
    <row r="1491" spans="1:9" ht="16.5">
      <c r="A1491" s="10" t="b">
        <v>0</v>
      </c>
      <c r="B1491" s="11" t="str">
        <f>IF(D1491&lt;&gt;"",IF(COUNTIF('USPTO TMs'!A:A,D1491)&gt;0,"Yes","No"),"")</f>
        <v/>
      </c>
      <c r="C1491" s="11"/>
      <c r="D1491" s="11"/>
      <c r="E1491" s="11"/>
      <c r="F1491" s="11"/>
      <c r="G1491" s="11"/>
      <c r="H1491" s="11"/>
      <c r="I1491" s="15"/>
    </row>
    <row r="1492" spans="1:9" ht="16.5">
      <c r="A1492" s="10" t="b">
        <v>0</v>
      </c>
      <c r="B1492" s="11" t="str">
        <f>IF(D1492&lt;&gt;"",IF(COUNTIF('USPTO TMs'!A:A,D1492)&gt;0,"Yes","No"),"")</f>
        <v/>
      </c>
      <c r="C1492" s="11"/>
      <c r="D1492" s="11"/>
      <c r="E1492" s="11"/>
      <c r="F1492" s="11"/>
      <c r="G1492" s="11"/>
      <c r="H1492" s="11"/>
      <c r="I1492" s="15"/>
    </row>
    <row r="1493" spans="1:9" ht="16.5">
      <c r="A1493" s="10" t="b">
        <v>0</v>
      </c>
      <c r="B1493" s="11" t="str">
        <f>IF(D1493&lt;&gt;"",IF(COUNTIF('USPTO TMs'!A:A,D1493)&gt;0,"Yes","No"),"")</f>
        <v/>
      </c>
      <c r="C1493" s="11"/>
      <c r="D1493" s="11"/>
      <c r="E1493" s="11"/>
      <c r="F1493" s="11"/>
      <c r="G1493" s="11"/>
      <c r="H1493" s="11"/>
      <c r="I1493" s="15"/>
    </row>
    <row r="1494" spans="1:9" ht="16.5">
      <c r="A1494" s="10" t="b">
        <v>0</v>
      </c>
      <c r="B1494" s="11" t="str">
        <f>IF(D1494&lt;&gt;"",IF(COUNTIF('USPTO TMs'!A:A,D1494)&gt;0,"Yes","No"),"")</f>
        <v/>
      </c>
      <c r="C1494" s="11"/>
      <c r="D1494" s="11"/>
      <c r="E1494" s="11"/>
      <c r="F1494" s="11"/>
      <c r="G1494" s="11"/>
      <c r="H1494" s="11"/>
      <c r="I1494" s="15"/>
    </row>
    <row r="1495" spans="1:9" ht="16.5">
      <c r="A1495" s="10" t="b">
        <v>0</v>
      </c>
      <c r="B1495" s="11" t="str">
        <f>IF(D1495&lt;&gt;"",IF(COUNTIF('USPTO TMs'!A:A,D1495)&gt;0,"Yes","No"),"")</f>
        <v/>
      </c>
      <c r="C1495" s="11"/>
      <c r="D1495" s="11"/>
      <c r="E1495" s="11"/>
      <c r="F1495" s="11"/>
      <c r="G1495" s="11"/>
      <c r="H1495" s="11"/>
      <c r="I1495" s="15"/>
    </row>
    <row r="1496" spans="1:9" ht="16.5">
      <c r="A1496" s="10" t="b">
        <v>0</v>
      </c>
      <c r="B1496" s="11" t="str">
        <f>IF(D1496&lt;&gt;"",IF(COUNTIF('USPTO TMs'!A:A,D1496)&gt;0,"Yes","No"),"")</f>
        <v/>
      </c>
      <c r="C1496" s="11"/>
      <c r="D1496" s="11"/>
      <c r="E1496" s="11"/>
      <c r="F1496" s="11"/>
      <c r="G1496" s="11"/>
      <c r="H1496" s="11"/>
      <c r="I1496" s="15"/>
    </row>
    <row r="1497" spans="1:9" ht="16.5">
      <c r="A1497" s="10" t="b">
        <v>0</v>
      </c>
      <c r="B1497" s="11" t="str">
        <f>IF(D1497&lt;&gt;"",IF(COUNTIF('USPTO TMs'!A:A,D1497)&gt;0,"Yes","No"),"")</f>
        <v/>
      </c>
      <c r="C1497" s="11"/>
      <c r="D1497" s="11"/>
      <c r="E1497" s="11"/>
      <c r="F1497" s="11"/>
      <c r="G1497" s="11"/>
      <c r="H1497" s="11"/>
      <c r="I1497" s="15"/>
    </row>
    <row r="1498" spans="1:9" ht="16.5">
      <c r="A1498" s="10" t="b">
        <v>0</v>
      </c>
      <c r="B1498" s="11" t="str">
        <f>IF(D1498&lt;&gt;"",IF(COUNTIF('USPTO TMs'!A:A,D1498)&gt;0,"Yes","No"),"")</f>
        <v/>
      </c>
      <c r="C1498" s="11"/>
      <c r="D1498" s="11"/>
      <c r="E1498" s="11"/>
      <c r="F1498" s="11"/>
      <c r="G1498" s="11"/>
      <c r="H1498" s="11"/>
      <c r="I1498" s="15"/>
    </row>
    <row r="1499" spans="1:9" ht="16.5">
      <c r="A1499" s="10" t="b">
        <v>0</v>
      </c>
      <c r="B1499" s="11" t="str">
        <f>IF(D1499&lt;&gt;"",IF(COUNTIF('USPTO TMs'!A:A,D1499)&gt;0,"Yes","No"),"")</f>
        <v/>
      </c>
      <c r="C1499" s="11"/>
      <c r="D1499" s="11"/>
      <c r="E1499" s="11"/>
      <c r="F1499" s="11"/>
      <c r="G1499" s="11"/>
      <c r="H1499" s="11"/>
      <c r="I1499" s="15"/>
    </row>
    <row r="1500" spans="1:9" ht="16.5">
      <c r="A1500" s="10" t="b">
        <v>0</v>
      </c>
      <c r="B1500" s="11" t="str">
        <f>IF(D1500&lt;&gt;"",IF(COUNTIF('USPTO TMs'!A:A,D1500)&gt;0,"Yes","No"),"")</f>
        <v/>
      </c>
      <c r="C1500" s="11"/>
      <c r="D1500" s="11"/>
      <c r="E1500" s="11"/>
      <c r="F1500" s="11"/>
      <c r="G1500" s="11"/>
      <c r="H1500" s="11"/>
      <c r="I1500" s="15"/>
    </row>
    <row r="1501" spans="1:9" ht="16.5">
      <c r="A1501" s="10" t="b">
        <v>0</v>
      </c>
      <c r="B1501" s="11" t="str">
        <f>IF(D1501&lt;&gt;"",IF(COUNTIF('USPTO TMs'!A:A,D1501)&gt;0,"Yes","No"),"")</f>
        <v/>
      </c>
      <c r="C1501" s="11"/>
      <c r="D1501" s="11"/>
      <c r="E1501" s="11"/>
      <c r="F1501" s="11"/>
      <c r="G1501" s="11"/>
      <c r="H1501" s="11"/>
      <c r="I1501" s="15"/>
    </row>
    <row r="1502" spans="1:9" ht="16.5">
      <c r="A1502" s="10" t="b">
        <v>0</v>
      </c>
      <c r="B1502" s="11" t="str">
        <f>IF(D1502&lt;&gt;"",IF(COUNTIF('USPTO TMs'!A:A,D1502)&gt;0,"Yes","No"),"")</f>
        <v/>
      </c>
      <c r="C1502" s="11"/>
      <c r="D1502" s="11"/>
      <c r="E1502" s="11"/>
      <c r="F1502" s="11"/>
      <c r="G1502" s="11"/>
      <c r="H1502" s="11"/>
      <c r="I1502" s="15"/>
    </row>
    <row r="1503" spans="1:9" ht="16.5">
      <c r="A1503" s="10" t="b">
        <v>0</v>
      </c>
      <c r="B1503" s="11" t="str">
        <f>IF(D1503&lt;&gt;"",IF(COUNTIF('USPTO TMs'!A:A,D1503)&gt;0,"Yes","No"),"")</f>
        <v/>
      </c>
      <c r="C1503" s="11"/>
      <c r="D1503" s="11"/>
      <c r="E1503" s="11"/>
      <c r="F1503" s="11"/>
      <c r="G1503" s="11"/>
      <c r="H1503" s="11"/>
      <c r="I1503" s="15"/>
    </row>
    <row r="1504" spans="1:9" ht="16.5">
      <c r="A1504" s="10" t="b">
        <v>0</v>
      </c>
      <c r="B1504" s="11" t="str">
        <f>IF(D1504&lt;&gt;"",IF(COUNTIF('USPTO TMs'!A:A,D1504)&gt;0,"Yes","No"),"")</f>
        <v/>
      </c>
      <c r="C1504" s="11"/>
      <c r="D1504" s="11"/>
      <c r="E1504" s="11"/>
      <c r="F1504" s="11"/>
      <c r="G1504" s="11"/>
      <c r="H1504" s="11"/>
      <c r="I1504" s="15"/>
    </row>
    <row r="1505" spans="1:9" ht="16.5">
      <c r="A1505" s="10" t="b">
        <v>0</v>
      </c>
      <c r="B1505" s="11" t="str">
        <f>IF(D1505&lt;&gt;"",IF(COUNTIF('USPTO TMs'!A:A,D1505)&gt;0,"Yes","No"),"")</f>
        <v/>
      </c>
      <c r="C1505" s="11"/>
      <c r="D1505" s="11"/>
      <c r="E1505" s="11"/>
      <c r="F1505" s="11"/>
      <c r="G1505" s="11"/>
      <c r="H1505" s="11"/>
      <c r="I1505" s="15"/>
    </row>
    <row r="1506" spans="1:9" ht="16.5">
      <c r="A1506" s="10" t="b">
        <v>0</v>
      </c>
      <c r="B1506" s="11" t="str">
        <f>IF(D1506&lt;&gt;"",IF(COUNTIF('USPTO TMs'!A:A,D1506)&gt;0,"Yes","No"),"")</f>
        <v/>
      </c>
      <c r="C1506" s="11"/>
      <c r="D1506" s="11"/>
      <c r="E1506" s="11"/>
      <c r="F1506" s="11"/>
      <c r="G1506" s="11"/>
      <c r="H1506" s="11"/>
      <c r="I1506" s="15"/>
    </row>
    <row r="1507" spans="1:9" ht="16.5">
      <c r="A1507" s="10" t="b">
        <v>0</v>
      </c>
      <c r="B1507" s="11" t="str">
        <f>IF(D1507&lt;&gt;"",IF(COUNTIF('USPTO TMs'!A:A,D1507)&gt;0,"Yes","No"),"")</f>
        <v/>
      </c>
      <c r="C1507" s="11"/>
      <c r="D1507" s="11"/>
      <c r="E1507" s="11"/>
      <c r="F1507" s="11"/>
      <c r="G1507" s="11"/>
      <c r="H1507" s="11"/>
      <c r="I1507" s="15"/>
    </row>
    <row r="1508" spans="1:9" ht="16.5">
      <c r="A1508" s="10" t="b">
        <v>0</v>
      </c>
      <c r="B1508" s="11" t="str">
        <f>IF(D1508&lt;&gt;"",IF(COUNTIF('USPTO TMs'!A:A,D1508)&gt;0,"Yes","No"),"")</f>
        <v/>
      </c>
      <c r="C1508" s="11"/>
      <c r="D1508" s="11"/>
      <c r="E1508" s="11"/>
      <c r="F1508" s="11"/>
      <c r="G1508" s="11"/>
      <c r="H1508" s="11"/>
      <c r="I1508" s="15"/>
    </row>
    <row r="1509" spans="1:9" ht="16.5">
      <c r="A1509" s="10" t="b">
        <v>0</v>
      </c>
      <c r="B1509" s="11" t="str">
        <f>IF(D1509&lt;&gt;"",IF(COUNTIF('USPTO TMs'!A:A,D1509)&gt;0,"Yes","No"),"")</f>
        <v/>
      </c>
      <c r="C1509" s="11"/>
      <c r="D1509" s="11"/>
      <c r="E1509" s="11"/>
      <c r="F1509" s="11"/>
      <c r="G1509" s="11"/>
      <c r="H1509" s="11"/>
      <c r="I1509" s="15"/>
    </row>
    <row r="1510" spans="1:9" ht="16.5">
      <c r="A1510" s="10" t="b">
        <v>0</v>
      </c>
      <c r="B1510" s="11" t="str">
        <f>IF(D1510&lt;&gt;"",IF(COUNTIF('USPTO TMs'!A:A,D1510)&gt;0,"Yes","No"),"")</f>
        <v/>
      </c>
      <c r="C1510" s="11"/>
      <c r="D1510" s="11"/>
      <c r="E1510" s="11"/>
      <c r="F1510" s="11"/>
      <c r="G1510" s="11"/>
      <c r="H1510" s="11"/>
      <c r="I1510" s="15"/>
    </row>
    <row r="1511" spans="1:9" ht="16.5">
      <c r="A1511" s="10" t="b">
        <v>0</v>
      </c>
      <c r="B1511" s="11" t="str">
        <f>IF(D1511&lt;&gt;"",IF(COUNTIF('USPTO TMs'!A:A,D1511)&gt;0,"Yes","No"),"")</f>
        <v/>
      </c>
      <c r="C1511" s="11"/>
      <c r="D1511" s="11"/>
      <c r="E1511" s="11"/>
      <c r="F1511" s="11"/>
      <c r="G1511" s="11"/>
      <c r="H1511" s="11"/>
      <c r="I1511" s="15"/>
    </row>
    <row r="1512" spans="1:9" ht="16.5">
      <c r="A1512" s="10" t="b">
        <v>0</v>
      </c>
      <c r="B1512" s="11" t="str">
        <f>IF(D1512&lt;&gt;"",IF(COUNTIF('USPTO TMs'!A:A,D1512)&gt;0,"Yes","No"),"")</f>
        <v/>
      </c>
      <c r="C1512" s="11"/>
      <c r="D1512" s="11"/>
      <c r="E1512" s="11"/>
      <c r="F1512" s="11"/>
      <c r="G1512" s="11"/>
      <c r="H1512" s="11"/>
      <c r="I1512" s="15"/>
    </row>
    <row r="1513" spans="1:9" ht="16.5">
      <c r="A1513" s="10" t="b">
        <v>0</v>
      </c>
      <c r="B1513" s="11" t="str">
        <f>IF(D1513&lt;&gt;"",IF(COUNTIF('USPTO TMs'!A:A,D1513)&gt;0,"Yes","No"),"")</f>
        <v/>
      </c>
      <c r="C1513" s="11"/>
      <c r="D1513" s="11"/>
      <c r="E1513" s="11"/>
      <c r="F1513" s="11"/>
      <c r="G1513" s="11"/>
      <c r="H1513" s="11"/>
      <c r="I1513" s="15"/>
    </row>
    <row r="1514" spans="1:9" ht="16.5">
      <c r="A1514" s="10" t="b">
        <v>0</v>
      </c>
      <c r="B1514" s="11" t="str">
        <f>IF(D1514&lt;&gt;"",IF(COUNTIF('USPTO TMs'!A:A,D1514)&gt;0,"Yes","No"),"")</f>
        <v/>
      </c>
      <c r="C1514" s="11"/>
      <c r="D1514" s="11"/>
      <c r="E1514" s="11"/>
      <c r="F1514" s="11"/>
      <c r="G1514" s="11"/>
      <c r="H1514" s="11"/>
      <c r="I1514" s="15"/>
    </row>
    <row r="1515" spans="1:9" ht="16.5">
      <c r="A1515" s="10" t="b">
        <v>0</v>
      </c>
      <c r="B1515" s="11" t="str">
        <f>IF(D1515&lt;&gt;"",IF(COUNTIF('USPTO TMs'!A:A,D1515)&gt;0,"Yes","No"),"")</f>
        <v/>
      </c>
      <c r="C1515" s="11"/>
      <c r="D1515" s="11"/>
      <c r="E1515" s="11"/>
      <c r="F1515" s="11"/>
      <c r="G1515" s="11"/>
      <c r="H1515" s="11"/>
      <c r="I1515" s="15"/>
    </row>
    <row r="1516" spans="1:9" ht="16.5">
      <c r="A1516" s="10" t="b">
        <v>0</v>
      </c>
      <c r="B1516" s="11" t="str">
        <f>IF(D1516&lt;&gt;"",IF(COUNTIF('USPTO TMs'!A:A,D1516)&gt;0,"Yes","No"),"")</f>
        <v/>
      </c>
      <c r="C1516" s="11"/>
      <c r="D1516" s="11"/>
      <c r="E1516" s="11"/>
      <c r="F1516" s="11"/>
      <c r="G1516" s="11"/>
      <c r="H1516" s="11"/>
      <c r="I1516" s="15"/>
    </row>
    <row r="1517" spans="1:9" ht="16.5">
      <c r="A1517" s="10" t="b">
        <v>0</v>
      </c>
      <c r="B1517" s="11" t="str">
        <f>IF(D1517&lt;&gt;"",IF(COUNTIF('USPTO TMs'!A:A,D1517)&gt;0,"Yes","No"),"")</f>
        <v/>
      </c>
      <c r="C1517" s="11"/>
      <c r="D1517" s="11"/>
      <c r="E1517" s="11"/>
      <c r="F1517" s="11"/>
      <c r="G1517" s="11"/>
      <c r="H1517" s="11"/>
      <c r="I1517" s="15"/>
    </row>
    <row r="1518" spans="1:9" ht="16.5">
      <c r="A1518" s="10" t="b">
        <v>0</v>
      </c>
      <c r="B1518" s="11" t="str">
        <f>IF(D1518&lt;&gt;"",IF(COUNTIF('USPTO TMs'!A:A,D1518)&gt;0,"Yes","No"),"")</f>
        <v/>
      </c>
      <c r="C1518" s="11"/>
      <c r="D1518" s="11"/>
      <c r="E1518" s="11"/>
      <c r="F1518" s="11"/>
      <c r="G1518" s="11"/>
      <c r="H1518" s="11"/>
      <c r="I1518" s="15"/>
    </row>
    <row r="1519" spans="1:9" ht="16.5">
      <c r="A1519" s="10" t="b">
        <v>0</v>
      </c>
      <c r="B1519" s="11" t="str">
        <f>IF(D1519&lt;&gt;"",IF(COUNTIF('USPTO TMs'!A:A,D1519)&gt;0,"Yes","No"),"")</f>
        <v/>
      </c>
      <c r="C1519" s="11"/>
      <c r="D1519" s="11"/>
      <c r="E1519" s="11"/>
      <c r="F1519" s="11"/>
      <c r="G1519" s="11"/>
      <c r="H1519" s="11"/>
      <c r="I1519" s="15"/>
    </row>
    <row r="1520" spans="1:9" ht="16.5">
      <c r="A1520" s="10" t="b">
        <v>0</v>
      </c>
      <c r="B1520" s="11" t="str">
        <f>IF(D1520&lt;&gt;"",IF(COUNTIF('USPTO TMs'!A:A,D1520)&gt;0,"Yes","No"),"")</f>
        <v/>
      </c>
      <c r="C1520" s="11"/>
      <c r="D1520" s="11"/>
      <c r="E1520" s="11"/>
      <c r="F1520" s="11"/>
      <c r="G1520" s="11"/>
      <c r="H1520" s="11"/>
      <c r="I1520" s="15"/>
    </row>
    <row r="1521" spans="1:9" ht="16.5">
      <c r="A1521" s="10" t="b">
        <v>0</v>
      </c>
      <c r="B1521" s="11" t="str">
        <f>IF(D1521&lt;&gt;"",IF(COUNTIF('USPTO TMs'!A:A,D1521)&gt;0,"Yes","No"),"")</f>
        <v/>
      </c>
      <c r="C1521" s="11"/>
      <c r="D1521" s="11"/>
      <c r="E1521" s="11"/>
      <c r="F1521" s="11"/>
      <c r="G1521" s="11"/>
      <c r="H1521" s="11"/>
      <c r="I1521" s="15"/>
    </row>
    <row r="1522" spans="1:9" ht="16.5">
      <c r="A1522" s="10" t="b">
        <v>0</v>
      </c>
      <c r="B1522" s="11" t="str">
        <f>IF(D1522&lt;&gt;"",IF(COUNTIF('USPTO TMs'!A:A,D1522)&gt;0,"Yes","No"),"")</f>
        <v/>
      </c>
      <c r="C1522" s="11"/>
      <c r="D1522" s="11"/>
      <c r="E1522" s="11"/>
      <c r="F1522" s="11"/>
      <c r="G1522" s="11"/>
      <c r="H1522" s="11"/>
      <c r="I1522" s="15"/>
    </row>
    <row r="1523" spans="1:9" ht="16.5">
      <c r="A1523" s="10" t="b">
        <v>0</v>
      </c>
      <c r="B1523" s="11" t="str">
        <f>IF(D1523&lt;&gt;"",IF(COUNTIF('USPTO TMs'!A:A,D1523)&gt;0,"Yes","No"),"")</f>
        <v/>
      </c>
      <c r="C1523" s="11"/>
      <c r="D1523" s="11"/>
      <c r="E1523" s="11"/>
      <c r="F1523" s="11"/>
      <c r="G1523" s="11"/>
      <c r="H1523" s="11"/>
      <c r="I1523" s="15"/>
    </row>
    <row r="1524" spans="1:9" ht="16.5">
      <c r="A1524" s="10" t="b">
        <v>0</v>
      </c>
      <c r="B1524" s="11" t="str">
        <f>IF(D1524&lt;&gt;"",IF(COUNTIF('USPTO TMs'!A:A,D1524)&gt;0,"Yes","No"),"")</f>
        <v/>
      </c>
      <c r="C1524" s="11"/>
      <c r="D1524" s="11"/>
      <c r="E1524" s="11"/>
      <c r="F1524" s="11"/>
      <c r="G1524" s="11"/>
      <c r="H1524" s="11"/>
      <c r="I1524" s="15"/>
    </row>
    <row r="1525" spans="1:9" ht="16.5">
      <c r="A1525" s="10" t="b">
        <v>0</v>
      </c>
      <c r="B1525" s="11" t="str">
        <f>IF(D1525&lt;&gt;"",IF(COUNTIF('USPTO TMs'!A:A,D1525)&gt;0,"Yes","No"),"")</f>
        <v/>
      </c>
      <c r="C1525" s="11"/>
      <c r="D1525" s="11"/>
      <c r="E1525" s="11"/>
      <c r="F1525" s="11"/>
      <c r="G1525" s="11"/>
      <c r="H1525" s="11"/>
      <c r="I1525" s="15"/>
    </row>
    <row r="1526" spans="1:9" ht="16.5">
      <c r="A1526" s="10" t="b">
        <v>0</v>
      </c>
      <c r="B1526" s="11" t="str">
        <f>IF(D1526&lt;&gt;"",IF(COUNTIF('USPTO TMs'!A:A,D1526)&gt;0,"Yes","No"),"")</f>
        <v/>
      </c>
      <c r="C1526" s="11"/>
      <c r="D1526" s="11"/>
      <c r="E1526" s="11"/>
      <c r="F1526" s="11"/>
      <c r="G1526" s="11"/>
      <c r="H1526" s="11"/>
      <c r="I1526" s="15"/>
    </row>
    <row r="1527" spans="1:9" ht="16.5">
      <c r="A1527" s="10" t="b">
        <v>0</v>
      </c>
      <c r="B1527" s="11" t="str">
        <f>IF(D1527&lt;&gt;"",IF(COUNTIF('USPTO TMs'!A:A,D1527)&gt;0,"Yes","No"),"")</f>
        <v/>
      </c>
      <c r="C1527" s="11"/>
      <c r="D1527" s="11"/>
      <c r="E1527" s="11"/>
      <c r="F1527" s="11"/>
      <c r="G1527" s="11"/>
      <c r="H1527" s="11"/>
      <c r="I1527" s="15"/>
    </row>
    <row r="1528" spans="1:9" ht="16.5">
      <c r="A1528" s="10" t="b">
        <v>0</v>
      </c>
      <c r="B1528" s="11" t="str">
        <f>IF(D1528&lt;&gt;"",IF(COUNTIF('USPTO TMs'!A:A,D1528)&gt;0,"Yes","No"),"")</f>
        <v/>
      </c>
      <c r="C1528" s="11"/>
      <c r="D1528" s="11"/>
      <c r="E1528" s="11"/>
      <c r="F1528" s="11"/>
      <c r="G1528" s="11"/>
      <c r="H1528" s="11"/>
      <c r="I1528" s="15"/>
    </row>
    <row r="1529" spans="1:9" ht="16.5">
      <c r="A1529" s="10" t="b">
        <v>0</v>
      </c>
      <c r="B1529" s="11" t="str">
        <f>IF(D1529&lt;&gt;"",IF(COUNTIF('USPTO TMs'!A:A,D1529)&gt;0,"Yes","No"),"")</f>
        <v/>
      </c>
      <c r="C1529" s="11"/>
      <c r="D1529" s="11"/>
      <c r="E1529" s="11"/>
      <c r="F1529" s="11"/>
      <c r="G1529" s="11"/>
      <c r="H1529" s="11"/>
      <c r="I1529" s="15"/>
    </row>
    <row r="1530" spans="1:9" ht="16.5">
      <c r="A1530" s="10" t="b">
        <v>0</v>
      </c>
      <c r="B1530" s="11" t="str">
        <f>IF(D1530&lt;&gt;"",IF(COUNTIF('USPTO TMs'!A:A,D1530)&gt;0,"Yes","No"),"")</f>
        <v/>
      </c>
      <c r="C1530" s="11"/>
      <c r="D1530" s="11"/>
      <c r="E1530" s="11"/>
      <c r="F1530" s="11"/>
      <c r="G1530" s="11"/>
      <c r="H1530" s="11"/>
      <c r="I1530" s="15"/>
    </row>
    <row r="1531" spans="1:9" ht="16.5">
      <c r="A1531" s="10" t="b">
        <v>0</v>
      </c>
      <c r="B1531" s="11" t="str">
        <f>IF(D1531&lt;&gt;"",IF(COUNTIF('USPTO TMs'!A:A,D1531)&gt;0,"Yes","No"),"")</f>
        <v/>
      </c>
      <c r="C1531" s="11"/>
      <c r="D1531" s="11"/>
      <c r="E1531" s="11"/>
      <c r="F1531" s="11"/>
      <c r="G1531" s="11"/>
      <c r="H1531" s="11"/>
      <c r="I1531" s="15"/>
    </row>
    <row r="1532" spans="1:9" ht="16.5">
      <c r="A1532" s="10" t="b">
        <v>0</v>
      </c>
      <c r="B1532" s="11" t="str">
        <f>IF(D1532&lt;&gt;"",IF(COUNTIF('USPTO TMs'!A:A,D1532)&gt;0,"Yes","No"),"")</f>
        <v/>
      </c>
      <c r="C1532" s="11"/>
      <c r="D1532" s="11"/>
      <c r="E1532" s="11"/>
      <c r="F1532" s="11"/>
      <c r="G1532" s="11"/>
      <c r="H1532" s="11"/>
      <c r="I1532" s="15"/>
    </row>
    <row r="1533" spans="1:9" ht="16.5">
      <c r="A1533" s="10" t="b">
        <v>0</v>
      </c>
      <c r="B1533" s="11" t="str">
        <f>IF(D1533&lt;&gt;"",IF(COUNTIF('USPTO TMs'!A:A,D1533)&gt;0,"Yes","No"),"")</f>
        <v/>
      </c>
      <c r="C1533" s="11"/>
      <c r="D1533" s="11"/>
      <c r="E1533" s="11"/>
      <c r="F1533" s="11"/>
      <c r="G1533" s="11"/>
      <c r="H1533" s="11"/>
      <c r="I1533" s="15"/>
    </row>
    <row r="1534" spans="1:9" ht="16.5">
      <c r="A1534" s="10" t="b">
        <v>0</v>
      </c>
      <c r="B1534" s="11" t="str">
        <f>IF(D1534&lt;&gt;"",IF(COUNTIF('USPTO TMs'!A:A,D1534)&gt;0,"Yes","No"),"")</f>
        <v/>
      </c>
      <c r="C1534" s="11"/>
      <c r="D1534" s="11"/>
      <c r="E1534" s="11"/>
      <c r="F1534" s="11"/>
      <c r="G1534" s="11"/>
      <c r="H1534" s="11"/>
      <c r="I1534" s="15"/>
    </row>
    <row r="1535" spans="1:9" ht="16.5">
      <c r="A1535" s="10" t="b">
        <v>0</v>
      </c>
      <c r="B1535" s="11" t="str">
        <f>IF(D1535&lt;&gt;"",IF(COUNTIF('USPTO TMs'!A:A,D1535)&gt;0,"Yes","No"),"")</f>
        <v/>
      </c>
      <c r="C1535" s="11"/>
      <c r="D1535" s="11"/>
      <c r="E1535" s="11"/>
      <c r="F1535" s="11"/>
      <c r="G1535" s="11"/>
      <c r="H1535" s="11"/>
      <c r="I1535" s="15"/>
    </row>
    <row r="1536" spans="1:9" ht="16.5">
      <c r="A1536" s="10" t="b">
        <v>0</v>
      </c>
      <c r="B1536" s="11" t="str">
        <f>IF(D1536&lt;&gt;"",IF(COUNTIF('USPTO TMs'!A:A,D1536)&gt;0,"Yes","No"),"")</f>
        <v/>
      </c>
      <c r="C1536" s="11"/>
      <c r="D1536" s="11"/>
      <c r="E1536" s="11"/>
      <c r="F1536" s="11"/>
      <c r="G1536" s="11"/>
      <c r="H1536" s="11"/>
      <c r="I1536" s="15"/>
    </row>
    <row r="1537" spans="1:9" ht="16.5">
      <c r="A1537" s="10" t="b">
        <v>0</v>
      </c>
      <c r="B1537" s="11" t="str">
        <f>IF(D1537&lt;&gt;"",IF(COUNTIF('USPTO TMs'!A:A,D1537)&gt;0,"Yes","No"),"")</f>
        <v/>
      </c>
      <c r="C1537" s="11"/>
      <c r="D1537" s="11"/>
      <c r="E1537" s="11"/>
      <c r="F1537" s="11"/>
      <c r="G1537" s="11"/>
      <c r="H1537" s="11"/>
      <c r="I1537" s="15"/>
    </row>
    <row r="1538" spans="1:9" ht="16.5">
      <c r="A1538" s="10" t="b">
        <v>0</v>
      </c>
      <c r="B1538" s="11" t="str">
        <f>IF(D1538&lt;&gt;"",IF(COUNTIF('USPTO TMs'!A:A,D1538)&gt;0,"Yes","No"),"")</f>
        <v/>
      </c>
      <c r="C1538" s="11"/>
      <c r="D1538" s="11"/>
      <c r="E1538" s="11"/>
      <c r="F1538" s="11"/>
      <c r="G1538" s="11"/>
      <c r="H1538" s="11"/>
      <c r="I1538" s="15"/>
    </row>
    <row r="1539" spans="1:9" ht="16.5">
      <c r="A1539" s="10" t="b">
        <v>0</v>
      </c>
      <c r="B1539" s="11" t="str">
        <f>IF(D1539&lt;&gt;"",IF(COUNTIF('USPTO TMs'!A:A,D1539)&gt;0,"Yes","No"),"")</f>
        <v/>
      </c>
      <c r="C1539" s="11"/>
      <c r="D1539" s="11"/>
      <c r="E1539" s="11"/>
      <c r="F1539" s="11"/>
      <c r="G1539" s="11"/>
      <c r="H1539" s="11"/>
      <c r="I1539" s="15"/>
    </row>
    <row r="1540" spans="1:9" ht="16.5">
      <c r="A1540" s="10" t="b">
        <v>0</v>
      </c>
      <c r="B1540" s="11" t="str">
        <f>IF(D1540&lt;&gt;"",IF(COUNTIF('USPTO TMs'!A:A,D1540)&gt;0,"Yes","No"),"")</f>
        <v/>
      </c>
      <c r="C1540" s="11"/>
      <c r="D1540" s="11"/>
      <c r="E1540" s="11"/>
      <c r="F1540" s="11"/>
      <c r="G1540" s="11"/>
      <c r="H1540" s="11"/>
      <c r="I1540" s="15"/>
    </row>
    <row r="1541" spans="1:9" ht="16.5">
      <c r="A1541" s="10" t="b">
        <v>0</v>
      </c>
      <c r="B1541" s="11" t="str">
        <f>IF(D1541&lt;&gt;"",IF(COUNTIF('USPTO TMs'!A:A,D1541)&gt;0,"Yes","No"),"")</f>
        <v/>
      </c>
      <c r="C1541" s="11"/>
      <c r="D1541" s="11"/>
      <c r="E1541" s="11"/>
      <c r="F1541" s="11"/>
      <c r="G1541" s="11"/>
      <c r="H1541" s="11"/>
      <c r="I1541" s="15"/>
    </row>
    <row r="1542" spans="1:9" ht="16.5">
      <c r="A1542" s="10" t="b">
        <v>0</v>
      </c>
      <c r="B1542" s="11" t="str">
        <f>IF(D1542&lt;&gt;"",IF(COUNTIF('USPTO TMs'!A:A,D1542)&gt;0,"Yes","No"),"")</f>
        <v/>
      </c>
      <c r="C1542" s="11"/>
      <c r="D1542" s="11"/>
      <c r="E1542" s="11"/>
      <c r="F1542" s="11"/>
      <c r="G1542" s="11"/>
      <c r="H1542" s="11"/>
      <c r="I1542" s="15"/>
    </row>
    <row r="1543" spans="1:9" ht="16.5">
      <c r="A1543" s="10" t="b">
        <v>0</v>
      </c>
      <c r="B1543" s="11" t="str">
        <f>IF(D1543&lt;&gt;"",IF(COUNTIF('USPTO TMs'!A:A,D1543)&gt;0,"Yes","No"),"")</f>
        <v/>
      </c>
      <c r="C1543" s="11"/>
      <c r="D1543" s="11"/>
      <c r="E1543" s="11"/>
      <c r="F1543" s="11"/>
      <c r="G1543" s="11"/>
      <c r="H1543" s="11"/>
      <c r="I1543" s="15"/>
    </row>
    <row r="1544" spans="1:9" ht="16.5">
      <c r="A1544" s="10" t="b">
        <v>0</v>
      </c>
      <c r="B1544" s="11" t="str">
        <f>IF(D1544&lt;&gt;"",IF(COUNTIF('USPTO TMs'!A:A,D1544)&gt;0,"Yes","No"),"")</f>
        <v/>
      </c>
      <c r="C1544" s="11"/>
      <c r="D1544" s="11"/>
      <c r="E1544" s="11"/>
      <c r="F1544" s="11"/>
      <c r="G1544" s="11"/>
      <c r="H1544" s="11"/>
      <c r="I1544" s="15"/>
    </row>
    <row r="1545" spans="1:9" ht="16.5">
      <c r="A1545" s="10" t="b">
        <v>0</v>
      </c>
      <c r="B1545" s="11" t="str">
        <f>IF(D1545&lt;&gt;"",IF(COUNTIF('USPTO TMs'!A:A,D1545)&gt;0,"Yes","No"),"")</f>
        <v/>
      </c>
      <c r="C1545" s="11"/>
      <c r="D1545" s="11"/>
      <c r="E1545" s="11"/>
      <c r="F1545" s="11"/>
      <c r="G1545" s="11"/>
      <c r="H1545" s="11"/>
      <c r="I1545" s="15"/>
    </row>
    <row r="1546" spans="1:9" ht="16.5">
      <c r="A1546" s="10" t="b">
        <v>0</v>
      </c>
      <c r="B1546" s="11" t="str">
        <f>IF(D1546&lt;&gt;"",IF(COUNTIF('USPTO TMs'!A:A,D1546)&gt;0,"Yes","No"),"")</f>
        <v/>
      </c>
      <c r="C1546" s="11"/>
      <c r="D1546" s="11"/>
      <c r="E1546" s="11"/>
      <c r="F1546" s="11"/>
      <c r="G1546" s="11"/>
      <c r="H1546" s="11"/>
      <c r="I1546" s="15"/>
    </row>
    <row r="1547" spans="1:9" ht="16.5">
      <c r="A1547" s="10" t="b">
        <v>0</v>
      </c>
      <c r="B1547" s="11" t="str">
        <f>IF(D1547&lt;&gt;"",IF(COUNTIF('USPTO TMs'!A:A,D1547)&gt;0,"Yes","No"),"")</f>
        <v/>
      </c>
      <c r="C1547" s="11"/>
      <c r="D1547" s="11"/>
      <c r="E1547" s="11"/>
      <c r="F1547" s="11"/>
      <c r="G1547" s="11"/>
      <c r="H1547" s="11"/>
      <c r="I1547" s="15"/>
    </row>
    <row r="1548" spans="1:9" ht="16.5">
      <c r="A1548" s="10" t="b">
        <v>0</v>
      </c>
      <c r="B1548" s="11" t="str">
        <f>IF(D1548&lt;&gt;"",IF(COUNTIF('USPTO TMs'!A:A,D1548)&gt;0,"Yes","No"),"")</f>
        <v/>
      </c>
      <c r="C1548" s="11"/>
      <c r="D1548" s="11"/>
      <c r="E1548" s="11"/>
      <c r="F1548" s="11"/>
      <c r="G1548" s="11"/>
      <c r="H1548" s="11"/>
      <c r="I1548" s="15"/>
    </row>
    <row r="1549" spans="1:9" ht="16.5">
      <c r="A1549" s="10" t="b">
        <v>0</v>
      </c>
      <c r="B1549" s="11" t="str">
        <f>IF(D1549&lt;&gt;"",IF(COUNTIF('USPTO TMs'!A:A,D1549)&gt;0,"Yes","No"),"")</f>
        <v/>
      </c>
      <c r="C1549" s="11"/>
      <c r="D1549" s="11"/>
      <c r="E1549" s="11"/>
      <c r="F1549" s="11"/>
      <c r="G1549" s="11"/>
      <c r="H1549" s="11"/>
      <c r="I1549" s="15"/>
    </row>
    <row r="1550" spans="1:9" ht="16.5">
      <c r="A1550" s="10" t="b">
        <v>0</v>
      </c>
      <c r="B1550" s="11" t="str">
        <f>IF(D1550&lt;&gt;"",IF(COUNTIF('USPTO TMs'!A:A,D1550)&gt;0,"Yes","No"),"")</f>
        <v/>
      </c>
      <c r="C1550" s="11"/>
      <c r="D1550" s="11"/>
      <c r="E1550" s="11"/>
      <c r="F1550" s="11"/>
      <c r="G1550" s="11"/>
      <c r="H1550" s="11"/>
      <c r="I1550" s="15"/>
    </row>
    <row r="1551" spans="1:9" ht="16.5">
      <c r="A1551" s="10" t="b">
        <v>0</v>
      </c>
      <c r="B1551" s="11" t="str">
        <f>IF(D1551&lt;&gt;"",IF(COUNTIF('USPTO TMs'!A:A,D1551)&gt;0,"Yes","No"),"")</f>
        <v/>
      </c>
      <c r="C1551" s="11"/>
      <c r="D1551" s="11"/>
      <c r="E1551" s="11"/>
      <c r="F1551" s="11"/>
      <c r="G1551" s="11"/>
      <c r="H1551" s="11"/>
      <c r="I1551" s="15"/>
    </row>
    <row r="1552" spans="1:9" ht="16.5">
      <c r="A1552" s="10" t="b">
        <v>0</v>
      </c>
      <c r="B1552" s="11" t="str">
        <f>IF(D1552&lt;&gt;"",IF(COUNTIF('USPTO TMs'!A:A,D1552)&gt;0,"Yes","No"),"")</f>
        <v/>
      </c>
      <c r="C1552" s="11"/>
      <c r="D1552" s="11"/>
      <c r="E1552" s="11"/>
      <c r="F1552" s="11"/>
      <c r="G1552" s="11"/>
      <c r="H1552" s="11"/>
      <c r="I1552" s="15"/>
    </row>
    <row r="1553" spans="1:9" ht="16.5">
      <c r="A1553" s="10" t="b">
        <v>0</v>
      </c>
      <c r="B1553" s="11" t="str">
        <f>IF(D1553&lt;&gt;"",IF(COUNTIF('USPTO TMs'!A:A,D1553)&gt;0,"Yes","No"),"")</f>
        <v/>
      </c>
      <c r="C1553" s="11"/>
      <c r="D1553" s="11"/>
      <c r="E1553" s="11"/>
      <c r="F1553" s="11"/>
      <c r="G1553" s="11"/>
      <c r="H1553" s="11"/>
      <c r="I1553" s="15"/>
    </row>
    <row r="1554" spans="1:9" ht="16.5">
      <c r="A1554" s="10" t="b">
        <v>0</v>
      </c>
      <c r="B1554" s="11" t="str">
        <f>IF(D1554&lt;&gt;"",IF(COUNTIF('USPTO TMs'!A:A,D1554)&gt;0,"Yes","No"),"")</f>
        <v/>
      </c>
      <c r="C1554" s="11"/>
      <c r="D1554" s="11"/>
      <c r="E1554" s="11"/>
      <c r="F1554" s="11"/>
      <c r="G1554" s="11"/>
      <c r="H1554" s="11"/>
      <c r="I1554" s="15"/>
    </row>
    <row r="1555" spans="1:9" ht="16.5">
      <c r="A1555" s="10" t="b">
        <v>0</v>
      </c>
      <c r="B1555" s="11" t="str">
        <f>IF(D1555&lt;&gt;"",IF(COUNTIF('USPTO TMs'!A:A,D1555)&gt;0,"Yes","No"),"")</f>
        <v/>
      </c>
      <c r="C1555" s="11"/>
      <c r="D1555" s="11"/>
      <c r="E1555" s="11"/>
      <c r="F1555" s="11"/>
      <c r="G1555" s="11"/>
      <c r="H1555" s="11"/>
      <c r="I1555" s="15"/>
    </row>
    <row r="1556" spans="1:9" ht="16.5">
      <c r="A1556" s="10" t="b">
        <v>0</v>
      </c>
      <c r="B1556" s="11" t="str">
        <f>IF(D1556&lt;&gt;"",IF(COUNTIF('USPTO TMs'!A:A,D1556)&gt;0,"Yes","No"),"")</f>
        <v/>
      </c>
      <c r="C1556" s="11"/>
      <c r="D1556" s="11"/>
      <c r="E1556" s="11"/>
      <c r="F1556" s="11"/>
      <c r="G1556" s="11"/>
      <c r="H1556" s="11"/>
      <c r="I1556" s="15"/>
    </row>
    <row r="1557" spans="1:9" ht="16.5">
      <c r="A1557" s="10" t="b">
        <v>0</v>
      </c>
      <c r="B1557" s="11" t="str">
        <f>IF(D1557&lt;&gt;"",IF(COUNTIF('USPTO TMs'!A:A,D1557)&gt;0,"Yes","No"),"")</f>
        <v/>
      </c>
      <c r="C1557" s="11"/>
      <c r="D1557" s="11"/>
      <c r="E1557" s="11"/>
      <c r="F1557" s="11"/>
      <c r="G1557" s="11"/>
      <c r="H1557" s="11"/>
      <c r="I1557" s="15"/>
    </row>
    <row r="1558" spans="1:9" ht="16.5">
      <c r="A1558" s="10" t="b">
        <v>0</v>
      </c>
      <c r="B1558" s="11" t="str">
        <f>IF(D1558&lt;&gt;"",IF(COUNTIF('USPTO TMs'!A:A,D1558)&gt;0,"Yes","No"),"")</f>
        <v/>
      </c>
      <c r="C1558" s="11"/>
      <c r="D1558" s="11"/>
      <c r="E1558" s="11"/>
      <c r="F1558" s="11"/>
      <c r="G1558" s="11"/>
      <c r="H1558" s="11"/>
      <c r="I1558" s="15"/>
    </row>
    <row r="1559" spans="1:9" ht="16.5">
      <c r="A1559" s="10" t="b">
        <v>0</v>
      </c>
      <c r="B1559" s="11" t="str">
        <f>IF(D1559&lt;&gt;"",IF(COUNTIF('USPTO TMs'!A:A,D1559)&gt;0,"Yes","No"),"")</f>
        <v/>
      </c>
      <c r="C1559" s="11"/>
      <c r="D1559" s="11"/>
      <c r="E1559" s="11"/>
      <c r="F1559" s="11"/>
      <c r="G1559" s="11"/>
      <c r="H1559" s="11"/>
      <c r="I1559" s="15"/>
    </row>
    <row r="1560" spans="1:9" ht="16.5">
      <c r="A1560" s="10" t="b">
        <v>0</v>
      </c>
      <c r="B1560" s="11" t="str">
        <f>IF(D1560&lt;&gt;"",IF(COUNTIF('USPTO TMs'!A:A,D1560)&gt;0,"Yes","No"),"")</f>
        <v/>
      </c>
      <c r="C1560" s="11"/>
      <c r="D1560" s="11"/>
      <c r="E1560" s="11"/>
      <c r="F1560" s="11"/>
      <c r="G1560" s="11"/>
      <c r="H1560" s="11"/>
      <c r="I1560" s="15"/>
    </row>
    <row r="1561" spans="1:9" ht="16.5">
      <c r="A1561" s="10" t="b">
        <v>0</v>
      </c>
      <c r="B1561" s="11" t="str">
        <f>IF(D1561&lt;&gt;"",IF(COUNTIF('USPTO TMs'!A:A,D1561)&gt;0,"Yes","No"),"")</f>
        <v/>
      </c>
      <c r="C1561" s="11"/>
      <c r="D1561" s="11"/>
      <c r="E1561" s="11"/>
      <c r="F1561" s="11"/>
      <c r="G1561" s="11"/>
      <c r="H1561" s="11"/>
      <c r="I1561" s="15"/>
    </row>
    <row r="1562" spans="1:9" ht="16.5">
      <c r="A1562" s="10" t="b">
        <v>0</v>
      </c>
      <c r="B1562" s="11" t="str">
        <f>IF(D1562&lt;&gt;"",IF(COUNTIF('USPTO TMs'!A:A,D1562)&gt;0,"Yes","No"),"")</f>
        <v/>
      </c>
      <c r="C1562" s="11"/>
      <c r="D1562" s="11"/>
      <c r="E1562" s="11"/>
      <c r="F1562" s="11"/>
      <c r="G1562" s="11"/>
      <c r="H1562" s="11"/>
      <c r="I1562" s="15"/>
    </row>
    <row r="1563" spans="1:9" ht="16.5">
      <c r="A1563" s="10" t="b">
        <v>0</v>
      </c>
      <c r="B1563" s="11" t="str">
        <f>IF(D1563&lt;&gt;"",IF(COUNTIF('USPTO TMs'!A:A,D1563)&gt;0,"Yes","No"),"")</f>
        <v/>
      </c>
      <c r="C1563" s="11"/>
      <c r="D1563" s="11"/>
      <c r="E1563" s="11"/>
      <c r="F1563" s="11"/>
      <c r="G1563" s="11"/>
      <c r="H1563" s="11"/>
      <c r="I1563" s="15"/>
    </row>
    <row r="1564" spans="1:9" ht="16.5">
      <c r="A1564" s="10" t="b">
        <v>0</v>
      </c>
      <c r="B1564" s="11" t="str">
        <f>IF(D1564&lt;&gt;"",IF(COUNTIF('USPTO TMs'!A:A,D1564)&gt;0,"Yes","No"),"")</f>
        <v/>
      </c>
      <c r="C1564" s="11"/>
      <c r="D1564" s="11"/>
      <c r="E1564" s="11"/>
      <c r="F1564" s="11"/>
      <c r="G1564" s="11"/>
      <c r="H1564" s="11"/>
      <c r="I1564" s="15"/>
    </row>
    <row r="1565" spans="1:9" ht="16.5">
      <c r="A1565" s="10" t="b">
        <v>0</v>
      </c>
      <c r="B1565" s="11" t="str">
        <f>IF(D1565&lt;&gt;"",IF(COUNTIF('USPTO TMs'!A:A,D1565)&gt;0,"Yes","No"),"")</f>
        <v/>
      </c>
      <c r="C1565" s="11"/>
      <c r="D1565" s="11"/>
      <c r="E1565" s="11"/>
      <c r="F1565" s="11"/>
      <c r="G1565" s="11"/>
      <c r="H1565" s="11"/>
      <c r="I1565" s="15"/>
    </row>
    <row r="1566" spans="1:9" ht="16.5">
      <c r="A1566" s="10" t="b">
        <v>0</v>
      </c>
      <c r="B1566" s="11" t="str">
        <f>IF(D1566&lt;&gt;"",IF(COUNTIF('USPTO TMs'!A:A,D1566)&gt;0,"Yes","No"),"")</f>
        <v/>
      </c>
      <c r="C1566" s="11"/>
      <c r="D1566" s="11"/>
      <c r="E1566" s="11"/>
      <c r="F1566" s="11"/>
      <c r="G1566" s="11"/>
      <c r="H1566" s="11"/>
      <c r="I1566" s="15"/>
    </row>
    <row r="1567" spans="1:9" ht="16.5">
      <c r="A1567" s="10" t="b">
        <v>0</v>
      </c>
      <c r="B1567" s="11" t="str">
        <f>IF(D1567&lt;&gt;"",IF(COUNTIF('USPTO TMs'!A:A,D1567)&gt;0,"Yes","No"),"")</f>
        <v/>
      </c>
      <c r="C1567" s="11"/>
      <c r="D1567" s="11"/>
      <c r="E1567" s="11"/>
      <c r="F1567" s="11"/>
      <c r="G1567" s="11"/>
      <c r="H1567" s="11"/>
      <c r="I1567" s="15"/>
    </row>
    <row r="1568" spans="1:9" ht="16.5">
      <c r="A1568" s="10" t="b">
        <v>0</v>
      </c>
      <c r="B1568" s="11" t="str">
        <f>IF(D1568&lt;&gt;"",IF(COUNTIF('USPTO TMs'!A:A,D1568)&gt;0,"Yes","No"),"")</f>
        <v/>
      </c>
      <c r="C1568" s="11"/>
      <c r="D1568" s="11"/>
      <c r="E1568" s="11"/>
      <c r="F1568" s="11"/>
      <c r="G1568" s="11"/>
      <c r="H1568" s="11"/>
      <c r="I1568" s="15"/>
    </row>
    <row r="1569" spans="1:9" ht="16.5">
      <c r="A1569" s="10" t="b">
        <v>0</v>
      </c>
      <c r="B1569" s="11" t="str">
        <f>IF(D1569&lt;&gt;"",IF(COUNTIF('USPTO TMs'!A:A,D1569)&gt;0,"Yes","No"),"")</f>
        <v/>
      </c>
      <c r="C1569" s="11"/>
      <c r="D1569" s="11"/>
      <c r="E1569" s="11"/>
      <c r="F1569" s="11"/>
      <c r="G1569" s="11"/>
      <c r="H1569" s="11"/>
      <c r="I1569" s="15"/>
    </row>
    <row r="1570" spans="1:9" ht="16.5">
      <c r="A1570" s="10" t="b">
        <v>0</v>
      </c>
      <c r="B1570" s="11" t="str">
        <f>IF(D1570&lt;&gt;"",IF(COUNTIF('USPTO TMs'!A:A,D1570)&gt;0,"Yes","No"),"")</f>
        <v/>
      </c>
      <c r="C1570" s="11"/>
      <c r="D1570" s="11"/>
      <c r="E1570" s="11"/>
      <c r="F1570" s="11"/>
      <c r="G1570" s="11"/>
      <c r="H1570" s="11"/>
      <c r="I1570" s="15"/>
    </row>
    <row r="1571" spans="1:9" ht="16.5">
      <c r="A1571" s="10" t="b">
        <v>0</v>
      </c>
      <c r="B1571" s="11" t="str">
        <f>IF(D1571&lt;&gt;"",IF(COUNTIF('USPTO TMs'!A:A,D1571)&gt;0,"Yes","No"),"")</f>
        <v/>
      </c>
      <c r="C1571" s="11"/>
      <c r="D1571" s="11"/>
      <c r="E1571" s="11"/>
      <c r="F1571" s="11"/>
      <c r="G1571" s="11"/>
      <c r="H1571" s="11"/>
      <c r="I1571" s="15"/>
    </row>
    <row r="1572" spans="1:9" ht="16.5">
      <c r="A1572" s="10" t="b">
        <v>0</v>
      </c>
      <c r="B1572" s="11" t="str">
        <f>IF(D1572&lt;&gt;"",IF(COUNTIF('USPTO TMs'!A:A,D1572)&gt;0,"Yes","No"),"")</f>
        <v/>
      </c>
      <c r="C1572" s="11"/>
      <c r="D1572" s="11"/>
      <c r="E1572" s="11"/>
      <c r="F1572" s="11"/>
      <c r="G1572" s="11"/>
      <c r="H1572" s="11"/>
      <c r="I1572" s="15"/>
    </row>
    <row r="1573" spans="1:9" ht="16.5">
      <c r="A1573" s="10" t="b">
        <v>0</v>
      </c>
      <c r="B1573" s="11" t="str">
        <f>IF(D1573&lt;&gt;"",IF(COUNTIF('USPTO TMs'!A:A,D1573)&gt;0,"Yes","No"),"")</f>
        <v/>
      </c>
      <c r="C1573" s="11"/>
      <c r="D1573" s="11"/>
      <c r="E1573" s="11"/>
      <c r="F1573" s="11"/>
      <c r="G1573" s="11"/>
      <c r="H1573" s="11"/>
      <c r="I1573" s="15"/>
    </row>
    <row r="1574" spans="1:9" ht="16.5">
      <c r="A1574" s="10" t="b">
        <v>0</v>
      </c>
      <c r="B1574" s="11" t="str">
        <f>IF(D1574&lt;&gt;"",IF(COUNTIF('USPTO TMs'!A:A,D1574)&gt;0,"Yes","No"),"")</f>
        <v/>
      </c>
      <c r="C1574" s="11"/>
      <c r="D1574" s="11"/>
      <c r="E1574" s="11"/>
      <c r="F1574" s="11"/>
      <c r="G1574" s="11"/>
      <c r="H1574" s="11"/>
      <c r="I1574" s="15"/>
    </row>
    <row r="1575" spans="1:9" ht="16.5">
      <c r="A1575" s="10" t="b">
        <v>0</v>
      </c>
      <c r="B1575" s="11" t="str">
        <f>IF(D1575&lt;&gt;"",IF(COUNTIF('USPTO TMs'!A:A,D1575)&gt;0,"Yes","No"),"")</f>
        <v/>
      </c>
      <c r="C1575" s="11"/>
      <c r="D1575" s="11"/>
      <c r="E1575" s="11"/>
      <c r="F1575" s="11"/>
      <c r="G1575" s="11"/>
      <c r="H1575" s="11"/>
      <c r="I1575" s="15"/>
    </row>
    <row r="1576" spans="1:9" ht="16.5">
      <c r="A1576" s="10" t="b">
        <v>0</v>
      </c>
      <c r="B1576" s="11" t="str">
        <f>IF(D1576&lt;&gt;"",IF(COUNTIF('USPTO TMs'!A:A,D1576)&gt;0,"Yes","No"),"")</f>
        <v/>
      </c>
      <c r="C1576" s="11"/>
      <c r="D1576" s="11"/>
      <c r="E1576" s="11"/>
      <c r="F1576" s="11"/>
      <c r="G1576" s="11"/>
      <c r="H1576" s="11"/>
      <c r="I1576" s="15"/>
    </row>
    <row r="1577" spans="1:9" ht="16.5">
      <c r="A1577" s="10" t="b">
        <v>0</v>
      </c>
      <c r="B1577" s="11" t="str">
        <f>IF(D1577&lt;&gt;"",IF(COUNTIF('USPTO TMs'!A:A,D1577)&gt;0,"Yes","No"),"")</f>
        <v/>
      </c>
      <c r="C1577" s="11"/>
      <c r="D1577" s="11"/>
      <c r="E1577" s="11"/>
      <c r="F1577" s="11"/>
      <c r="G1577" s="11"/>
      <c r="H1577" s="11"/>
      <c r="I1577" s="15"/>
    </row>
    <row r="1578" spans="1:9" ht="16.5">
      <c r="A1578" s="10" t="b">
        <v>0</v>
      </c>
      <c r="B1578" s="11" t="str">
        <f>IF(D1578&lt;&gt;"",IF(COUNTIF('USPTO TMs'!A:A,D1578)&gt;0,"Yes","No"),"")</f>
        <v/>
      </c>
      <c r="C1578" s="11"/>
      <c r="D1578" s="11"/>
      <c r="E1578" s="11"/>
      <c r="F1578" s="11"/>
      <c r="G1578" s="11"/>
      <c r="H1578" s="11"/>
      <c r="I1578" s="15"/>
    </row>
    <row r="1579" spans="1:9" ht="16.5">
      <c r="A1579" s="10" t="b">
        <v>0</v>
      </c>
      <c r="B1579" s="11" t="str">
        <f>IF(D1579&lt;&gt;"",IF(COUNTIF('USPTO TMs'!A:A,D1579)&gt;0,"Yes","No"),"")</f>
        <v/>
      </c>
      <c r="C1579" s="11"/>
      <c r="D1579" s="11"/>
      <c r="E1579" s="11"/>
      <c r="F1579" s="11"/>
      <c r="G1579" s="11"/>
      <c r="H1579" s="11"/>
      <c r="I1579" s="15"/>
    </row>
    <row r="1580" spans="1:9" ht="16.5">
      <c r="A1580" s="10" t="b">
        <v>0</v>
      </c>
      <c r="B1580" s="11" t="str">
        <f>IF(D1580&lt;&gt;"",IF(COUNTIF('USPTO TMs'!A:A,D1580)&gt;0,"Yes","No"),"")</f>
        <v/>
      </c>
      <c r="C1580" s="11"/>
      <c r="D1580" s="11"/>
      <c r="E1580" s="11"/>
      <c r="F1580" s="11"/>
      <c r="G1580" s="11"/>
      <c r="H1580" s="11"/>
      <c r="I1580" s="15"/>
    </row>
    <row r="1581" spans="1:9" ht="16.5">
      <c r="A1581" s="10" t="b">
        <v>0</v>
      </c>
      <c r="B1581" s="11" t="str">
        <f>IF(D1581&lt;&gt;"",IF(COUNTIF('USPTO TMs'!A:A,D1581)&gt;0,"Yes","No"),"")</f>
        <v/>
      </c>
      <c r="C1581" s="11"/>
      <c r="D1581" s="11"/>
      <c r="E1581" s="11"/>
      <c r="F1581" s="11"/>
      <c r="G1581" s="11"/>
      <c r="H1581" s="11"/>
      <c r="I1581" s="15"/>
    </row>
    <row r="1582" spans="1:9" ht="16.5">
      <c r="A1582" s="10" t="b">
        <v>0</v>
      </c>
      <c r="B1582" s="11" t="str">
        <f>IF(D1582&lt;&gt;"",IF(COUNTIF('USPTO TMs'!A:A,D1582)&gt;0,"Yes","No"),"")</f>
        <v/>
      </c>
      <c r="C1582" s="11"/>
      <c r="D1582" s="11"/>
      <c r="E1582" s="11"/>
      <c r="F1582" s="11"/>
      <c r="G1582" s="11"/>
      <c r="H1582" s="11"/>
      <c r="I1582" s="15"/>
    </row>
    <row r="1583" spans="1:9" ht="16.5">
      <c r="A1583" s="10" t="b">
        <v>0</v>
      </c>
      <c r="B1583" s="11" t="str">
        <f>IF(D1583&lt;&gt;"",IF(COUNTIF('USPTO TMs'!A:A,D1583)&gt;0,"Yes","No"),"")</f>
        <v/>
      </c>
      <c r="C1583" s="11"/>
      <c r="D1583" s="11"/>
      <c r="E1583" s="11"/>
      <c r="F1583" s="11"/>
      <c r="G1583" s="11"/>
      <c r="H1583" s="11"/>
      <c r="I1583" s="15"/>
    </row>
    <row r="1584" spans="1:9" ht="16.5">
      <c r="A1584" s="10" t="b">
        <v>0</v>
      </c>
      <c r="B1584" s="11" t="str">
        <f>IF(D1584&lt;&gt;"",IF(COUNTIF('USPTO TMs'!A:A,D1584)&gt;0,"Yes","No"),"")</f>
        <v/>
      </c>
      <c r="C1584" s="11"/>
      <c r="D1584" s="11"/>
      <c r="E1584" s="11"/>
      <c r="F1584" s="11"/>
      <c r="G1584" s="11"/>
      <c r="H1584" s="11"/>
      <c r="I1584" s="15"/>
    </row>
    <row r="1585" spans="1:9" ht="16.5">
      <c r="A1585" s="10" t="b">
        <v>0</v>
      </c>
      <c r="B1585" s="11" t="str">
        <f>IF(D1585&lt;&gt;"",IF(COUNTIF('USPTO TMs'!A:A,D1585)&gt;0,"Yes","No"),"")</f>
        <v/>
      </c>
      <c r="C1585" s="11"/>
      <c r="D1585" s="11"/>
      <c r="E1585" s="11"/>
      <c r="F1585" s="11"/>
      <c r="G1585" s="11"/>
      <c r="H1585" s="11"/>
      <c r="I1585" s="15"/>
    </row>
    <row r="1586" spans="1:9" ht="16.5">
      <c r="A1586" s="10" t="b">
        <v>0</v>
      </c>
      <c r="B1586" s="11" t="str">
        <f>IF(D1586&lt;&gt;"",IF(COUNTIF('USPTO TMs'!A:A,D1586)&gt;0,"Yes","No"),"")</f>
        <v/>
      </c>
      <c r="C1586" s="11"/>
      <c r="D1586" s="11"/>
      <c r="E1586" s="11"/>
      <c r="F1586" s="11"/>
      <c r="G1586" s="11"/>
      <c r="H1586" s="11"/>
      <c r="I1586" s="15"/>
    </row>
    <row r="1587" spans="1:9" ht="16.5">
      <c r="A1587" s="10" t="b">
        <v>0</v>
      </c>
      <c r="B1587" s="11" t="str">
        <f>IF(D1587&lt;&gt;"",IF(COUNTIF('USPTO TMs'!A:A,D1587)&gt;0,"Yes","No"),"")</f>
        <v/>
      </c>
      <c r="C1587" s="11"/>
      <c r="D1587" s="11"/>
      <c r="E1587" s="11"/>
      <c r="F1587" s="11"/>
      <c r="G1587" s="11"/>
      <c r="H1587" s="11"/>
      <c r="I1587" s="15"/>
    </row>
    <row r="1588" spans="1:9" ht="16.5">
      <c r="A1588" s="10" t="b">
        <v>0</v>
      </c>
      <c r="B1588" s="11" t="str">
        <f>IF(D1588&lt;&gt;"",IF(COUNTIF('USPTO TMs'!A:A,D1588)&gt;0,"Yes","No"),"")</f>
        <v/>
      </c>
      <c r="C1588" s="11"/>
      <c r="D1588" s="11"/>
      <c r="E1588" s="11"/>
      <c r="F1588" s="11"/>
      <c r="G1588" s="11"/>
      <c r="H1588" s="11"/>
      <c r="I1588" s="15"/>
    </row>
    <row r="1589" spans="1:9" ht="16.5">
      <c r="A1589" s="10" t="b">
        <v>0</v>
      </c>
      <c r="B1589" s="11" t="str">
        <f>IF(D1589&lt;&gt;"",IF(COUNTIF('USPTO TMs'!A:A,D1589)&gt;0,"Yes","No"),"")</f>
        <v/>
      </c>
      <c r="C1589" s="11"/>
      <c r="D1589" s="11"/>
      <c r="E1589" s="11"/>
      <c r="F1589" s="11"/>
      <c r="G1589" s="11"/>
      <c r="H1589" s="11"/>
      <c r="I1589" s="15"/>
    </row>
    <row r="1590" spans="1:9" ht="16.5">
      <c r="A1590" s="10" t="b">
        <v>0</v>
      </c>
      <c r="B1590" s="11" t="str">
        <f>IF(D1590&lt;&gt;"",IF(COUNTIF('USPTO TMs'!A:A,D1590)&gt;0,"Yes","No"),"")</f>
        <v/>
      </c>
      <c r="C1590" s="11"/>
      <c r="D1590" s="11"/>
      <c r="E1590" s="11"/>
      <c r="F1590" s="11"/>
      <c r="G1590" s="11"/>
      <c r="H1590" s="11"/>
      <c r="I1590" s="15"/>
    </row>
    <row r="1591" spans="1:9" ht="16.5">
      <c r="A1591" s="10" t="b">
        <v>0</v>
      </c>
      <c r="B1591" s="11" t="str">
        <f>IF(D1591&lt;&gt;"",IF(COUNTIF('USPTO TMs'!A:A,D1591)&gt;0,"Yes","No"),"")</f>
        <v/>
      </c>
      <c r="C1591" s="11"/>
      <c r="D1591" s="11"/>
      <c r="E1591" s="11"/>
      <c r="F1591" s="11"/>
      <c r="G1591" s="11"/>
      <c r="H1591" s="11"/>
      <c r="I1591" s="15"/>
    </row>
    <row r="1592" spans="1:9" ht="16.5">
      <c r="A1592" s="10" t="b">
        <v>0</v>
      </c>
      <c r="B1592" s="11" t="str">
        <f>IF(D1592&lt;&gt;"",IF(COUNTIF('USPTO TMs'!A:A,D1592)&gt;0,"Yes","No"),"")</f>
        <v/>
      </c>
      <c r="C1592" s="11"/>
      <c r="D1592" s="11"/>
      <c r="E1592" s="11"/>
      <c r="F1592" s="11"/>
      <c r="G1592" s="11"/>
      <c r="H1592" s="11"/>
      <c r="I1592" s="15"/>
    </row>
    <row r="1593" spans="1:9" ht="16.5">
      <c r="A1593" s="10" t="b">
        <v>0</v>
      </c>
      <c r="B1593" s="11" t="str">
        <f>IF(D1593&lt;&gt;"",IF(COUNTIF('USPTO TMs'!A:A,D1593)&gt;0,"Yes","No"),"")</f>
        <v/>
      </c>
      <c r="C1593" s="11"/>
      <c r="D1593" s="11"/>
      <c r="E1593" s="11"/>
      <c r="F1593" s="11"/>
      <c r="G1593" s="11"/>
      <c r="H1593" s="11"/>
      <c r="I1593" s="15"/>
    </row>
    <row r="1594" spans="1:9" ht="16.5">
      <c r="A1594" s="10" t="b">
        <v>0</v>
      </c>
      <c r="B1594" s="11" t="str">
        <f>IF(D1594&lt;&gt;"",IF(COUNTIF('USPTO TMs'!A:A,D1594)&gt;0,"Yes","No"),"")</f>
        <v/>
      </c>
      <c r="C1594" s="11"/>
      <c r="D1594" s="11"/>
      <c r="E1594" s="11"/>
      <c r="F1594" s="11"/>
      <c r="G1594" s="11"/>
      <c r="H1594" s="11"/>
      <c r="I1594" s="15"/>
    </row>
    <row r="1595" spans="1:9" ht="16.5">
      <c r="A1595" s="10" t="b">
        <v>0</v>
      </c>
      <c r="B1595" s="11" t="str">
        <f>IF(D1595&lt;&gt;"",IF(COUNTIF('USPTO TMs'!A:A,D1595)&gt;0,"Yes","No"),"")</f>
        <v/>
      </c>
      <c r="C1595" s="11"/>
      <c r="D1595" s="11"/>
      <c r="E1595" s="11"/>
      <c r="F1595" s="11"/>
      <c r="G1595" s="11"/>
      <c r="H1595" s="11"/>
      <c r="I1595" s="15"/>
    </row>
    <row r="1596" spans="1:9" ht="16.5">
      <c r="A1596" s="10" t="b">
        <v>0</v>
      </c>
      <c r="B1596" s="11" t="str">
        <f>IF(D1596&lt;&gt;"",IF(COUNTIF('USPTO TMs'!A:A,D1596)&gt;0,"Yes","No"),"")</f>
        <v/>
      </c>
      <c r="C1596" s="11"/>
      <c r="D1596" s="11"/>
      <c r="E1596" s="11"/>
      <c r="F1596" s="11"/>
      <c r="G1596" s="11"/>
      <c r="H1596" s="11"/>
      <c r="I1596" s="15"/>
    </row>
    <row r="1597" spans="1:9" ht="16.5">
      <c r="A1597" s="10" t="b">
        <v>0</v>
      </c>
      <c r="B1597" s="11" t="str">
        <f>IF(D1597&lt;&gt;"",IF(COUNTIF('USPTO TMs'!A:A,D1597)&gt;0,"Yes","No"),"")</f>
        <v/>
      </c>
      <c r="C1597" s="11"/>
      <c r="D1597" s="11"/>
      <c r="E1597" s="11"/>
      <c r="F1597" s="11"/>
      <c r="G1597" s="11"/>
      <c r="H1597" s="11"/>
      <c r="I1597" s="15"/>
    </row>
    <row r="1598" spans="1:9" ht="16.5">
      <c r="A1598" s="10" t="b">
        <v>0</v>
      </c>
      <c r="B1598" s="11" t="str">
        <f>IF(D1598&lt;&gt;"",IF(COUNTIF('USPTO TMs'!A:A,D1598)&gt;0,"Yes","No"),"")</f>
        <v/>
      </c>
      <c r="C1598" s="11"/>
      <c r="D1598" s="11"/>
      <c r="E1598" s="11"/>
      <c r="F1598" s="11"/>
      <c r="G1598" s="11"/>
      <c r="H1598" s="11"/>
      <c r="I1598" s="15"/>
    </row>
    <row r="1599" spans="1:9" ht="16.5">
      <c r="A1599" s="10" t="b">
        <v>0</v>
      </c>
      <c r="B1599" s="11" t="str">
        <f>IF(D1599&lt;&gt;"",IF(COUNTIF('USPTO TMs'!A:A,D1599)&gt;0,"Yes","No"),"")</f>
        <v/>
      </c>
      <c r="C1599" s="11"/>
      <c r="D1599" s="11"/>
      <c r="E1599" s="11"/>
      <c r="F1599" s="11"/>
      <c r="G1599" s="11"/>
      <c r="H1599" s="11"/>
      <c r="I1599" s="15"/>
    </row>
    <row r="1600" spans="1:9" ht="16.5">
      <c r="A1600" s="10" t="b">
        <v>0</v>
      </c>
      <c r="B1600" s="11" t="str">
        <f>IF(D1600&lt;&gt;"",IF(COUNTIF('USPTO TMs'!A:A,D1600)&gt;0,"Yes","No"),"")</f>
        <v/>
      </c>
      <c r="C1600" s="11"/>
      <c r="D1600" s="11"/>
      <c r="E1600" s="11"/>
      <c r="F1600" s="11"/>
      <c r="G1600" s="11"/>
      <c r="H1600" s="11"/>
      <c r="I1600" s="15"/>
    </row>
    <row r="1601" spans="1:9" ht="16.5">
      <c r="A1601" s="10" t="b">
        <v>0</v>
      </c>
      <c r="B1601" s="11" t="str">
        <f>IF(D1601&lt;&gt;"",IF(COUNTIF('USPTO TMs'!A:A,D1601)&gt;0,"Yes","No"),"")</f>
        <v/>
      </c>
      <c r="C1601" s="11"/>
      <c r="D1601" s="11"/>
      <c r="E1601" s="11"/>
      <c r="F1601" s="11"/>
      <c r="G1601" s="11"/>
      <c r="H1601" s="11"/>
      <c r="I1601" s="15"/>
    </row>
    <row r="1602" spans="1:9" ht="16.5">
      <c r="A1602" s="10" t="b">
        <v>0</v>
      </c>
      <c r="B1602" s="11" t="str">
        <f>IF(D1602&lt;&gt;"",IF(COUNTIF('USPTO TMs'!A:A,D1602)&gt;0,"Yes","No"),"")</f>
        <v/>
      </c>
      <c r="C1602" s="11"/>
      <c r="D1602" s="11"/>
      <c r="E1602" s="11"/>
      <c r="F1602" s="11"/>
      <c r="G1602" s="11"/>
      <c r="H1602" s="11"/>
      <c r="I1602" s="15"/>
    </row>
    <row r="1603" spans="1:9" ht="16.5">
      <c r="A1603" s="10" t="b">
        <v>0</v>
      </c>
      <c r="B1603" s="11" t="str">
        <f>IF(D1603&lt;&gt;"",IF(COUNTIF('USPTO TMs'!A:A,D1603)&gt;0,"Yes","No"),"")</f>
        <v/>
      </c>
      <c r="C1603" s="11"/>
      <c r="D1603" s="11"/>
      <c r="E1603" s="11"/>
      <c r="F1603" s="11"/>
      <c r="G1603" s="11"/>
      <c r="H1603" s="11"/>
      <c r="I1603" s="15"/>
    </row>
    <row r="1604" spans="1:9" ht="16.5">
      <c r="A1604" s="10" t="b">
        <v>0</v>
      </c>
      <c r="B1604" s="11" t="str">
        <f>IF(D1604&lt;&gt;"",IF(COUNTIF('USPTO TMs'!A:A,D1604)&gt;0,"Yes","No"),"")</f>
        <v/>
      </c>
      <c r="C1604" s="11"/>
      <c r="D1604" s="11"/>
      <c r="E1604" s="11"/>
      <c r="F1604" s="11"/>
      <c r="G1604" s="11"/>
      <c r="H1604" s="11"/>
      <c r="I1604" s="15"/>
    </row>
    <row r="1605" spans="1:9" ht="16.5">
      <c r="A1605" s="10" t="b">
        <v>0</v>
      </c>
      <c r="B1605" s="11" t="str">
        <f>IF(D1605&lt;&gt;"",IF(COUNTIF('USPTO TMs'!A:A,D1605)&gt;0,"Yes","No"),"")</f>
        <v/>
      </c>
      <c r="C1605" s="11"/>
      <c r="D1605" s="11"/>
      <c r="E1605" s="11"/>
      <c r="F1605" s="11"/>
      <c r="G1605" s="11"/>
      <c r="H1605" s="11"/>
      <c r="I1605" s="15"/>
    </row>
    <row r="1606" spans="1:9" ht="16.5">
      <c r="A1606" s="10" t="b">
        <v>0</v>
      </c>
      <c r="B1606" s="11" t="str">
        <f>IF(D1606&lt;&gt;"",IF(COUNTIF('USPTO TMs'!A:A,D1606)&gt;0,"Yes","No"),"")</f>
        <v/>
      </c>
      <c r="C1606" s="11"/>
      <c r="D1606" s="11"/>
      <c r="E1606" s="11"/>
      <c r="F1606" s="11"/>
      <c r="G1606" s="11"/>
      <c r="H1606" s="11"/>
      <c r="I1606" s="15"/>
    </row>
    <row r="1607" spans="1:9" ht="16.5">
      <c r="A1607" s="10" t="b">
        <v>0</v>
      </c>
      <c r="B1607" s="11" t="str">
        <f>IF(D1607&lt;&gt;"",IF(COUNTIF('USPTO TMs'!A:A,D1607)&gt;0,"Yes","No"),"")</f>
        <v/>
      </c>
      <c r="C1607" s="11"/>
      <c r="D1607" s="11"/>
      <c r="E1607" s="11"/>
      <c r="F1607" s="11"/>
      <c r="G1607" s="11"/>
      <c r="H1607" s="11"/>
      <c r="I1607" s="15"/>
    </row>
    <row r="1608" spans="1:9" ht="16.5">
      <c r="A1608" s="10" t="b">
        <v>0</v>
      </c>
      <c r="B1608" s="11" t="str">
        <f>IF(D1608&lt;&gt;"",IF(COUNTIF('USPTO TMs'!A:A,D1608)&gt;0,"Yes","No"),"")</f>
        <v/>
      </c>
      <c r="C1608" s="11"/>
      <c r="D1608" s="11"/>
      <c r="E1608" s="11"/>
      <c r="F1608" s="11"/>
      <c r="G1608" s="11"/>
      <c r="H1608" s="11"/>
      <c r="I1608" s="15"/>
    </row>
    <row r="1609" spans="1:9" ht="16.5">
      <c r="A1609" s="10" t="b">
        <v>0</v>
      </c>
      <c r="B1609" s="11" t="str">
        <f>IF(D1609&lt;&gt;"",IF(COUNTIF('USPTO TMs'!A:A,D1609)&gt;0,"Yes","No"),"")</f>
        <v/>
      </c>
      <c r="C1609" s="11"/>
      <c r="D1609" s="11"/>
      <c r="E1609" s="11"/>
      <c r="F1609" s="11"/>
      <c r="G1609" s="11"/>
      <c r="H1609" s="11"/>
      <c r="I1609" s="15"/>
    </row>
    <row r="1610" spans="1:9" ht="16.5">
      <c r="A1610" s="10" t="b">
        <v>0</v>
      </c>
      <c r="B1610" s="11" t="str">
        <f>IF(D1610&lt;&gt;"",IF(COUNTIF('USPTO TMs'!A:A,D1610)&gt;0,"Yes","No"),"")</f>
        <v/>
      </c>
      <c r="C1610" s="11"/>
      <c r="D1610" s="11"/>
      <c r="E1610" s="11"/>
      <c r="F1610" s="11"/>
      <c r="G1610" s="11"/>
      <c r="H1610" s="11"/>
      <c r="I1610" s="15"/>
    </row>
    <row r="1611" spans="1:9" ht="16.5">
      <c r="A1611" s="10" t="b">
        <v>0</v>
      </c>
      <c r="B1611" s="11" t="str">
        <f>IF(D1611&lt;&gt;"",IF(COUNTIF('USPTO TMs'!A:A,D1611)&gt;0,"Yes","No"),"")</f>
        <v/>
      </c>
      <c r="C1611" s="11"/>
      <c r="D1611" s="11"/>
      <c r="E1611" s="11"/>
      <c r="F1611" s="11"/>
      <c r="G1611" s="11"/>
      <c r="H1611" s="11"/>
      <c r="I1611" s="15"/>
    </row>
    <row r="1612" spans="1:9" ht="16.5">
      <c r="A1612" s="10" t="b">
        <v>0</v>
      </c>
      <c r="B1612" s="11" t="str">
        <f>IF(D1612&lt;&gt;"",IF(COUNTIF('USPTO TMs'!A:A,D1612)&gt;0,"Yes","No"),"")</f>
        <v/>
      </c>
      <c r="C1612" s="11"/>
      <c r="D1612" s="11"/>
      <c r="E1612" s="11"/>
      <c r="F1612" s="11"/>
      <c r="G1612" s="11"/>
      <c r="H1612" s="11"/>
      <c r="I1612" s="15"/>
    </row>
    <row r="1613" spans="1:9" ht="16.5">
      <c r="A1613" s="10" t="b">
        <v>0</v>
      </c>
      <c r="B1613" s="11" t="str">
        <f>IF(D1613&lt;&gt;"",IF(COUNTIF('USPTO TMs'!A:A,D1613)&gt;0,"Yes","No"),"")</f>
        <v/>
      </c>
      <c r="C1613" s="11"/>
      <c r="D1613" s="11"/>
      <c r="E1613" s="11"/>
      <c r="F1613" s="11"/>
      <c r="G1613" s="11"/>
      <c r="H1613" s="11"/>
      <c r="I1613" s="15"/>
    </row>
    <row r="1614" spans="1:9" ht="16.5">
      <c r="A1614" s="10" t="b">
        <v>0</v>
      </c>
      <c r="B1614" s="11" t="str">
        <f>IF(D1614&lt;&gt;"",IF(COUNTIF('USPTO TMs'!A:A,D1614)&gt;0,"Yes","No"),"")</f>
        <v/>
      </c>
      <c r="C1614" s="11"/>
      <c r="D1614" s="11"/>
      <c r="E1614" s="11"/>
      <c r="F1614" s="11"/>
      <c r="G1614" s="11"/>
      <c r="H1614" s="11"/>
      <c r="I1614" s="15"/>
    </row>
    <row r="1615" spans="1:9" ht="16.5">
      <c r="A1615" s="10" t="b">
        <v>0</v>
      </c>
      <c r="B1615" s="11" t="str">
        <f>IF(D1615&lt;&gt;"",IF(COUNTIF('USPTO TMs'!A:A,D1615)&gt;0,"Yes","No"),"")</f>
        <v/>
      </c>
      <c r="C1615" s="11"/>
      <c r="D1615" s="11"/>
      <c r="E1615" s="11"/>
      <c r="F1615" s="11"/>
      <c r="G1615" s="11"/>
      <c r="H1615" s="11"/>
      <c r="I1615" s="15"/>
    </row>
    <row r="1616" spans="1:9" ht="16.5">
      <c r="A1616" s="10" t="b">
        <v>0</v>
      </c>
      <c r="B1616" s="11" t="str">
        <f>IF(D1616&lt;&gt;"",IF(COUNTIF('USPTO TMs'!A:A,D1616)&gt;0,"Yes","No"),"")</f>
        <v/>
      </c>
      <c r="C1616" s="11"/>
      <c r="D1616" s="11"/>
      <c r="E1616" s="11"/>
      <c r="F1616" s="11"/>
      <c r="G1616" s="11"/>
      <c r="H1616" s="11"/>
      <c r="I1616" s="15"/>
    </row>
    <row r="1617" spans="1:9" ht="16.5">
      <c r="A1617" s="10" t="b">
        <v>0</v>
      </c>
      <c r="B1617" s="11" t="str">
        <f>IF(D1617&lt;&gt;"",IF(COUNTIF('USPTO TMs'!A:A,D1617)&gt;0,"Yes","No"),"")</f>
        <v/>
      </c>
      <c r="C1617" s="11"/>
      <c r="D1617" s="11"/>
      <c r="E1617" s="11"/>
      <c r="F1617" s="11"/>
      <c r="G1617" s="11"/>
      <c r="H1617" s="11"/>
      <c r="I1617" s="15"/>
    </row>
    <row r="1618" spans="1:9" ht="16.5">
      <c r="A1618" s="10" t="b">
        <v>0</v>
      </c>
      <c r="B1618" s="11" t="str">
        <f>IF(D1618&lt;&gt;"",IF(COUNTIF('USPTO TMs'!A:A,D1618)&gt;0,"Yes","No"),"")</f>
        <v/>
      </c>
      <c r="C1618" s="11"/>
      <c r="D1618" s="11"/>
      <c r="E1618" s="11"/>
      <c r="F1618" s="11"/>
      <c r="G1618" s="11"/>
      <c r="H1618" s="11"/>
      <c r="I1618" s="15"/>
    </row>
    <row r="1619" spans="1:9" ht="16.5">
      <c r="A1619" s="10" t="b">
        <v>0</v>
      </c>
      <c r="B1619" s="11" t="str">
        <f>IF(D1619&lt;&gt;"",IF(COUNTIF('USPTO TMs'!A:A,D1619)&gt;0,"Yes","No"),"")</f>
        <v/>
      </c>
      <c r="C1619" s="11"/>
      <c r="D1619" s="11"/>
      <c r="E1619" s="11"/>
      <c r="F1619" s="11"/>
      <c r="G1619" s="11"/>
      <c r="H1619" s="11"/>
      <c r="I1619" s="15"/>
    </row>
    <row r="1620" spans="1:9" ht="16.5">
      <c r="A1620" s="10" t="b">
        <v>0</v>
      </c>
      <c r="B1620" s="11" t="str">
        <f>IF(D1620&lt;&gt;"",IF(COUNTIF('USPTO TMs'!A:A,D1620)&gt;0,"Yes","No"),"")</f>
        <v/>
      </c>
      <c r="C1620" s="11"/>
      <c r="D1620" s="11"/>
      <c r="E1620" s="11"/>
      <c r="F1620" s="11"/>
      <c r="G1620" s="11"/>
      <c r="H1620" s="11"/>
      <c r="I1620" s="15"/>
    </row>
    <row r="1621" spans="1:9" ht="16.5">
      <c r="A1621" s="10" t="b">
        <v>0</v>
      </c>
      <c r="B1621" s="11" t="str">
        <f>IF(D1621&lt;&gt;"",IF(COUNTIF('USPTO TMs'!A:A,D1621)&gt;0,"Yes","No"),"")</f>
        <v/>
      </c>
      <c r="C1621" s="11"/>
      <c r="D1621" s="11"/>
      <c r="E1621" s="11"/>
      <c r="F1621" s="11"/>
      <c r="G1621" s="11"/>
      <c r="H1621" s="11"/>
      <c r="I1621" s="15"/>
    </row>
    <row r="1622" spans="1:9" ht="16.5">
      <c r="A1622" s="10" t="b">
        <v>0</v>
      </c>
      <c r="B1622" s="11" t="str">
        <f>IF(D1622&lt;&gt;"",IF(COUNTIF('USPTO TMs'!A:A,D1622)&gt;0,"Yes","No"),"")</f>
        <v/>
      </c>
      <c r="C1622" s="11"/>
      <c r="D1622" s="11"/>
      <c r="E1622" s="11"/>
      <c r="F1622" s="11"/>
      <c r="G1622" s="11"/>
      <c r="H1622" s="11"/>
      <c r="I1622" s="15"/>
    </row>
    <row r="1623" spans="1:9" ht="16.5">
      <c r="A1623" s="10" t="b">
        <v>0</v>
      </c>
      <c r="B1623" s="11" t="str">
        <f>IF(D1623&lt;&gt;"",IF(COUNTIF('USPTO TMs'!A:A,D1623)&gt;0,"Yes","No"),"")</f>
        <v/>
      </c>
      <c r="C1623" s="11"/>
      <c r="D1623" s="11"/>
      <c r="E1623" s="11"/>
      <c r="F1623" s="11"/>
      <c r="G1623" s="11"/>
      <c r="H1623" s="11"/>
      <c r="I1623" s="15"/>
    </row>
    <row r="1624" spans="1:9" ht="16.5">
      <c r="A1624" s="10" t="b">
        <v>0</v>
      </c>
      <c r="B1624" s="11" t="str">
        <f>IF(D1624&lt;&gt;"",IF(COUNTIF('USPTO TMs'!A:A,D1624)&gt;0,"Yes","No"),"")</f>
        <v/>
      </c>
      <c r="C1624" s="11"/>
      <c r="D1624" s="11"/>
      <c r="E1624" s="11"/>
      <c r="F1624" s="11"/>
      <c r="G1624" s="11"/>
      <c r="H1624" s="11"/>
      <c r="I1624" s="15"/>
    </row>
    <row r="1625" spans="1:9" ht="16.5">
      <c r="A1625" s="10" t="b">
        <v>0</v>
      </c>
      <c r="B1625" s="11" t="str">
        <f>IF(D1625&lt;&gt;"",IF(COUNTIF('USPTO TMs'!A:A,D1625)&gt;0,"Yes","No"),"")</f>
        <v/>
      </c>
      <c r="C1625" s="11"/>
      <c r="D1625" s="11"/>
      <c r="E1625" s="11"/>
      <c r="F1625" s="11"/>
      <c r="G1625" s="11"/>
      <c r="H1625" s="11"/>
      <c r="I1625" s="15"/>
    </row>
    <row r="1626" spans="1:9" ht="16.5">
      <c r="A1626" s="10" t="b">
        <v>0</v>
      </c>
      <c r="B1626" s="11" t="str">
        <f>IF(D1626&lt;&gt;"",IF(COUNTIF('USPTO TMs'!A:A,D1626)&gt;0,"Yes","No"),"")</f>
        <v/>
      </c>
      <c r="C1626" s="11"/>
      <c r="D1626" s="11"/>
      <c r="E1626" s="11"/>
      <c r="F1626" s="11"/>
      <c r="G1626" s="11"/>
      <c r="H1626" s="11"/>
      <c r="I1626" s="15"/>
    </row>
    <row r="1627" spans="1:9" ht="16.5">
      <c r="A1627" s="10" t="b">
        <v>0</v>
      </c>
      <c r="B1627" s="11" t="str">
        <f>IF(D1627&lt;&gt;"",IF(COUNTIF('USPTO TMs'!A:A,D1627)&gt;0,"Yes","No"),"")</f>
        <v/>
      </c>
      <c r="C1627" s="11"/>
      <c r="D1627" s="11"/>
      <c r="E1627" s="11"/>
      <c r="F1627" s="11"/>
      <c r="G1627" s="11"/>
      <c r="H1627" s="11"/>
      <c r="I1627" s="15"/>
    </row>
    <row r="1628" spans="1:9" ht="16.5">
      <c r="A1628" s="10" t="b">
        <v>0</v>
      </c>
      <c r="B1628" s="11" t="str">
        <f>IF(D1628&lt;&gt;"",IF(COUNTIF('USPTO TMs'!A:A,D1628)&gt;0,"Yes","No"),"")</f>
        <v/>
      </c>
      <c r="C1628" s="11"/>
      <c r="D1628" s="11"/>
      <c r="E1628" s="11"/>
      <c r="F1628" s="11"/>
      <c r="G1628" s="11"/>
      <c r="H1628" s="11"/>
      <c r="I1628" s="15"/>
    </row>
    <row r="1629" spans="1:9" ht="16.5">
      <c r="A1629" s="10" t="b">
        <v>0</v>
      </c>
      <c r="B1629" s="11" t="str">
        <f>IF(D1629&lt;&gt;"",IF(COUNTIF('USPTO TMs'!A:A,D1629)&gt;0,"Yes","No"),"")</f>
        <v/>
      </c>
      <c r="C1629" s="11"/>
      <c r="D1629" s="11"/>
      <c r="E1629" s="11"/>
      <c r="F1629" s="11"/>
      <c r="G1629" s="11"/>
      <c r="H1629" s="11"/>
      <c r="I1629" s="15"/>
    </row>
    <row r="1630" spans="1:9" ht="16.5">
      <c r="A1630" s="10" t="b">
        <v>0</v>
      </c>
      <c r="B1630" s="11" t="str">
        <f>IF(D1630&lt;&gt;"",IF(COUNTIF('USPTO TMs'!A:A,D1630)&gt;0,"Yes","No"),"")</f>
        <v/>
      </c>
      <c r="C1630" s="11"/>
      <c r="D1630" s="11"/>
      <c r="E1630" s="11"/>
      <c r="F1630" s="11"/>
      <c r="G1630" s="11"/>
      <c r="H1630" s="11"/>
      <c r="I1630" s="15"/>
    </row>
    <row r="1631" spans="1:9" ht="16.5">
      <c r="A1631" s="10" t="b">
        <v>0</v>
      </c>
      <c r="B1631" s="11" t="str">
        <f>IF(D1631&lt;&gt;"",IF(COUNTIF('USPTO TMs'!A:A,D1631)&gt;0,"Yes","No"),"")</f>
        <v/>
      </c>
      <c r="C1631" s="11"/>
      <c r="D1631" s="11"/>
      <c r="E1631" s="11"/>
      <c r="F1631" s="11"/>
      <c r="G1631" s="11"/>
      <c r="H1631" s="11"/>
      <c r="I1631" s="15"/>
    </row>
    <row r="1632" spans="1:9" ht="16.5">
      <c r="A1632" s="10" t="b">
        <v>0</v>
      </c>
      <c r="B1632" s="11" t="str">
        <f>IF(D1632&lt;&gt;"",IF(COUNTIF('USPTO TMs'!A:A,D1632)&gt;0,"Yes","No"),"")</f>
        <v/>
      </c>
      <c r="C1632" s="11"/>
      <c r="D1632" s="11"/>
      <c r="E1632" s="11"/>
      <c r="F1632" s="11"/>
      <c r="G1632" s="11"/>
      <c r="H1632" s="11"/>
      <c r="I1632" s="15"/>
    </row>
    <row r="1633" spans="1:9" ht="16.5">
      <c r="A1633" s="10" t="b">
        <v>0</v>
      </c>
      <c r="B1633" s="11" t="str">
        <f>IF(D1633&lt;&gt;"",IF(COUNTIF('USPTO TMs'!A:A,D1633)&gt;0,"Yes","No"),"")</f>
        <v/>
      </c>
      <c r="C1633" s="11"/>
      <c r="D1633" s="11"/>
      <c r="E1633" s="11"/>
      <c r="F1633" s="11"/>
      <c r="G1633" s="11"/>
      <c r="H1633" s="11"/>
      <c r="I1633" s="15"/>
    </row>
    <row r="1634" spans="1:9" ht="16.5">
      <c r="A1634" s="10" t="b">
        <v>0</v>
      </c>
      <c r="B1634" s="11" t="str">
        <f>IF(D1634&lt;&gt;"",IF(COUNTIF('USPTO TMs'!A:A,D1634)&gt;0,"Yes","No"),"")</f>
        <v/>
      </c>
      <c r="C1634" s="11"/>
      <c r="D1634" s="11"/>
      <c r="E1634" s="11"/>
      <c r="F1634" s="11"/>
      <c r="G1634" s="11"/>
      <c r="H1634" s="11"/>
      <c r="I1634" s="15"/>
    </row>
    <row r="1635" spans="1:9" ht="16.5">
      <c r="A1635" s="10" t="b">
        <v>0</v>
      </c>
      <c r="B1635" s="11" t="str">
        <f>IF(D1635&lt;&gt;"",IF(COUNTIF('USPTO TMs'!A:A,D1635)&gt;0,"Yes","No"),"")</f>
        <v/>
      </c>
      <c r="C1635" s="11"/>
      <c r="D1635" s="11"/>
      <c r="E1635" s="11"/>
      <c r="F1635" s="11"/>
      <c r="G1635" s="11"/>
      <c r="H1635" s="11"/>
      <c r="I1635" s="15"/>
    </row>
    <row r="1636" spans="1:9" ht="16.5">
      <c r="A1636" s="10" t="b">
        <v>0</v>
      </c>
      <c r="B1636" s="11" t="str">
        <f>IF(D1636&lt;&gt;"",IF(COUNTIF('USPTO TMs'!A:A,D1636)&gt;0,"Yes","No"),"")</f>
        <v/>
      </c>
      <c r="C1636" s="11"/>
      <c r="D1636" s="11"/>
      <c r="E1636" s="11"/>
      <c r="F1636" s="11"/>
      <c r="G1636" s="11"/>
      <c r="H1636" s="11"/>
      <c r="I1636" s="15"/>
    </row>
    <row r="1637" spans="1:9" ht="16.5">
      <c r="A1637" s="10" t="b">
        <v>0</v>
      </c>
      <c r="B1637" s="11" t="str">
        <f>IF(D1637&lt;&gt;"",IF(COUNTIF('USPTO TMs'!A:A,D1637)&gt;0,"Yes","No"),"")</f>
        <v/>
      </c>
      <c r="C1637" s="11"/>
      <c r="D1637" s="11"/>
      <c r="E1637" s="11"/>
      <c r="F1637" s="11"/>
      <c r="G1637" s="11"/>
      <c r="H1637" s="11"/>
      <c r="I1637" s="15"/>
    </row>
    <row r="1638" spans="1:9" ht="16.5">
      <c r="A1638" s="10" t="b">
        <v>0</v>
      </c>
      <c r="B1638" s="11" t="str">
        <f>IF(D1638&lt;&gt;"",IF(COUNTIF('USPTO TMs'!A:A,D1638)&gt;0,"Yes","No"),"")</f>
        <v/>
      </c>
      <c r="C1638" s="11"/>
      <c r="D1638" s="11"/>
      <c r="E1638" s="11"/>
      <c r="F1638" s="11"/>
      <c r="G1638" s="11"/>
      <c r="H1638" s="11"/>
      <c r="I1638" s="15"/>
    </row>
    <row r="1639" spans="1:9" ht="16.5">
      <c r="A1639" s="10" t="b">
        <v>0</v>
      </c>
      <c r="B1639" s="11" t="str">
        <f>IF(D1639&lt;&gt;"",IF(COUNTIF('USPTO TMs'!A:A,D1639)&gt;0,"Yes","No"),"")</f>
        <v/>
      </c>
      <c r="C1639" s="11"/>
      <c r="D1639" s="11"/>
      <c r="E1639" s="11"/>
      <c r="F1639" s="11"/>
      <c r="G1639" s="11"/>
      <c r="H1639" s="11"/>
      <c r="I1639" s="15"/>
    </row>
    <row r="1640" spans="1:9" ht="16.5">
      <c r="A1640" s="10" t="b">
        <v>0</v>
      </c>
      <c r="B1640" s="11" t="str">
        <f>IF(D1640&lt;&gt;"",IF(COUNTIF('USPTO TMs'!A:A,D1640)&gt;0,"Yes","No"),"")</f>
        <v/>
      </c>
      <c r="C1640" s="11"/>
      <c r="D1640" s="11"/>
      <c r="E1640" s="11"/>
      <c r="F1640" s="11"/>
      <c r="G1640" s="11"/>
      <c r="H1640" s="11"/>
      <c r="I1640" s="15"/>
    </row>
    <row r="1641" spans="1:9" ht="16.5">
      <c r="A1641" s="10" t="b">
        <v>0</v>
      </c>
      <c r="B1641" s="11" t="str">
        <f>IF(D1641&lt;&gt;"",IF(COUNTIF('USPTO TMs'!A:A,D1641)&gt;0,"Yes","No"),"")</f>
        <v/>
      </c>
      <c r="C1641" s="11"/>
      <c r="D1641" s="11"/>
      <c r="E1641" s="11"/>
      <c r="F1641" s="11"/>
      <c r="G1641" s="11"/>
      <c r="H1641" s="11"/>
      <c r="I1641" s="15"/>
    </row>
    <row r="1642" spans="1:9" ht="16.5">
      <c r="A1642" s="10" t="b">
        <v>0</v>
      </c>
      <c r="B1642" s="11" t="str">
        <f>IF(D1642&lt;&gt;"",IF(COUNTIF('USPTO TMs'!A:A,D1642)&gt;0,"Yes","No"),"")</f>
        <v/>
      </c>
      <c r="C1642" s="11"/>
      <c r="D1642" s="11"/>
      <c r="E1642" s="11"/>
      <c r="F1642" s="11"/>
      <c r="G1642" s="11"/>
      <c r="H1642" s="11"/>
      <c r="I1642" s="15"/>
    </row>
    <row r="1643" spans="1:9" ht="16.5">
      <c r="A1643" s="10" t="b">
        <v>0</v>
      </c>
      <c r="B1643" s="11" t="str">
        <f>IF(D1643&lt;&gt;"",IF(COUNTIF('USPTO TMs'!A:A,D1643)&gt;0,"Yes","No"),"")</f>
        <v/>
      </c>
      <c r="C1643" s="11"/>
      <c r="D1643" s="11"/>
      <c r="E1643" s="11"/>
      <c r="F1643" s="11"/>
      <c r="G1643" s="11"/>
      <c r="H1643" s="11"/>
      <c r="I1643" s="15"/>
    </row>
    <row r="1644" spans="1:9" ht="16.5">
      <c r="A1644" s="10" t="b">
        <v>0</v>
      </c>
      <c r="B1644" s="11" t="str">
        <f>IF(D1644&lt;&gt;"",IF(COUNTIF('USPTO TMs'!A:A,D1644)&gt;0,"Yes","No"),"")</f>
        <v/>
      </c>
      <c r="C1644" s="11"/>
      <c r="D1644" s="11"/>
      <c r="E1644" s="11"/>
      <c r="F1644" s="11"/>
      <c r="G1644" s="11"/>
      <c r="H1644" s="11"/>
      <c r="I1644" s="15"/>
    </row>
    <row r="1645" spans="1:9" ht="16.5">
      <c r="A1645" s="10" t="b">
        <v>0</v>
      </c>
      <c r="B1645" s="11" t="str">
        <f>IF(D1645&lt;&gt;"",IF(COUNTIF('USPTO TMs'!A:A,D1645)&gt;0,"Yes","No"),"")</f>
        <v/>
      </c>
      <c r="C1645" s="11"/>
      <c r="D1645" s="11"/>
      <c r="E1645" s="11"/>
      <c r="F1645" s="11"/>
      <c r="G1645" s="11"/>
      <c r="H1645" s="11"/>
      <c r="I1645" s="15"/>
    </row>
    <row r="1646" spans="1:9" ht="16.5">
      <c r="A1646" s="10" t="b">
        <v>0</v>
      </c>
      <c r="B1646" s="11" t="str">
        <f>IF(D1646&lt;&gt;"",IF(COUNTIF('USPTO TMs'!A:A,D1646)&gt;0,"Yes","No"),"")</f>
        <v/>
      </c>
      <c r="C1646" s="11"/>
      <c r="D1646" s="11"/>
      <c r="E1646" s="11"/>
      <c r="F1646" s="11"/>
      <c r="G1646" s="11"/>
      <c r="H1646" s="11"/>
      <c r="I1646" s="15"/>
    </row>
    <row r="1647" spans="1:9" ht="16.5">
      <c r="A1647" s="10" t="b">
        <v>0</v>
      </c>
      <c r="B1647" s="11" t="str">
        <f>IF(D1647&lt;&gt;"",IF(COUNTIF('USPTO TMs'!A:A,D1647)&gt;0,"Yes","No"),"")</f>
        <v/>
      </c>
      <c r="C1647" s="11"/>
      <c r="D1647" s="11"/>
      <c r="E1647" s="11"/>
      <c r="F1647" s="11"/>
      <c r="G1647" s="11"/>
      <c r="H1647" s="11"/>
      <c r="I1647" s="15"/>
    </row>
    <row r="1648" spans="1:9" ht="16.5">
      <c r="A1648" s="10" t="b">
        <v>0</v>
      </c>
      <c r="B1648" s="11" t="str">
        <f>IF(D1648&lt;&gt;"",IF(COUNTIF('USPTO TMs'!A:A,D1648)&gt;0,"Yes","No"),"")</f>
        <v/>
      </c>
      <c r="C1648" s="11"/>
      <c r="D1648" s="11"/>
      <c r="E1648" s="11"/>
      <c r="F1648" s="11"/>
      <c r="G1648" s="11"/>
      <c r="H1648" s="11"/>
      <c r="I1648" s="15"/>
    </row>
    <row r="1649" spans="1:9" ht="16.5">
      <c r="A1649" s="10" t="b">
        <v>0</v>
      </c>
      <c r="B1649" s="11" t="str">
        <f>IF(D1649&lt;&gt;"",IF(COUNTIF('USPTO TMs'!A:A,D1649)&gt;0,"Yes","No"),"")</f>
        <v/>
      </c>
      <c r="C1649" s="11"/>
      <c r="D1649" s="11"/>
      <c r="E1649" s="11"/>
      <c r="F1649" s="11"/>
      <c r="G1649" s="11"/>
      <c r="H1649" s="11"/>
      <c r="I1649" s="15"/>
    </row>
    <row r="1650" spans="1:9" ht="16.5">
      <c r="A1650" s="10" t="b">
        <v>0</v>
      </c>
      <c r="B1650" s="11" t="str">
        <f>IF(D1650&lt;&gt;"",IF(COUNTIF('USPTO TMs'!A:A,D1650)&gt;0,"Yes","No"),"")</f>
        <v/>
      </c>
      <c r="C1650" s="11"/>
      <c r="D1650" s="11"/>
      <c r="E1650" s="11"/>
      <c r="F1650" s="11"/>
      <c r="G1650" s="11"/>
      <c r="H1650" s="11"/>
      <c r="I1650" s="15"/>
    </row>
    <row r="1651" spans="1:9" ht="16.5">
      <c r="A1651" s="10" t="b">
        <v>0</v>
      </c>
      <c r="B1651" s="11" t="str">
        <f>IF(D1651&lt;&gt;"",IF(COUNTIF('USPTO TMs'!A:A,D1651)&gt;0,"Yes","No"),"")</f>
        <v/>
      </c>
      <c r="C1651" s="11"/>
      <c r="D1651" s="11"/>
      <c r="E1651" s="11"/>
      <c r="F1651" s="11"/>
      <c r="G1651" s="11"/>
      <c r="H1651" s="11"/>
      <c r="I1651" s="15"/>
    </row>
    <row r="1652" spans="1:9" ht="16.5">
      <c r="A1652" s="10" t="b">
        <v>0</v>
      </c>
      <c r="B1652" s="11" t="str">
        <f>IF(D1652&lt;&gt;"",IF(COUNTIF('USPTO TMs'!A:A,D1652)&gt;0,"Yes","No"),"")</f>
        <v/>
      </c>
      <c r="C1652" s="11"/>
      <c r="D1652" s="11"/>
      <c r="E1652" s="11"/>
      <c r="F1652" s="11"/>
      <c r="G1652" s="11"/>
      <c r="H1652" s="11"/>
      <c r="I1652" s="15"/>
    </row>
    <row r="1653" spans="1:9" ht="16.5">
      <c r="A1653" s="10" t="b">
        <v>0</v>
      </c>
      <c r="B1653" s="11" t="str">
        <f>IF(D1653&lt;&gt;"",IF(COUNTIF('USPTO TMs'!A:A,D1653)&gt;0,"Yes","No"),"")</f>
        <v/>
      </c>
      <c r="C1653" s="11"/>
      <c r="D1653" s="11"/>
      <c r="E1653" s="11"/>
      <c r="F1653" s="11"/>
      <c r="G1653" s="11"/>
      <c r="H1653" s="11"/>
      <c r="I1653" s="15"/>
    </row>
    <row r="1654" spans="1:9" ht="16.5">
      <c r="A1654" s="10" t="b">
        <v>0</v>
      </c>
      <c r="B1654" s="11" t="str">
        <f>IF(D1654&lt;&gt;"",IF(COUNTIF('USPTO TMs'!A:A,D1654)&gt;0,"Yes","No"),"")</f>
        <v/>
      </c>
      <c r="C1654" s="11"/>
      <c r="D1654" s="11"/>
      <c r="E1654" s="11"/>
      <c r="F1654" s="11"/>
      <c r="G1654" s="11"/>
      <c r="H1654" s="11"/>
      <c r="I1654" s="15"/>
    </row>
    <row r="1655" spans="1:9" ht="16.5">
      <c r="A1655" s="10" t="b">
        <v>0</v>
      </c>
      <c r="B1655" s="11" t="str">
        <f>IF(D1655&lt;&gt;"",IF(COUNTIF('USPTO TMs'!A:A,D1655)&gt;0,"Yes","No"),"")</f>
        <v/>
      </c>
      <c r="C1655" s="11"/>
      <c r="D1655" s="11"/>
      <c r="E1655" s="11"/>
      <c r="F1655" s="11"/>
      <c r="G1655" s="11"/>
      <c r="H1655" s="11"/>
      <c r="I1655" s="15"/>
    </row>
    <row r="1656" spans="1:9" ht="16.5">
      <c r="A1656" s="10" t="b">
        <v>0</v>
      </c>
      <c r="B1656" s="11" t="str">
        <f>IF(D1656&lt;&gt;"",IF(COUNTIF('USPTO TMs'!A:A,D1656)&gt;0,"Yes","No"),"")</f>
        <v/>
      </c>
      <c r="C1656" s="11"/>
      <c r="D1656" s="11"/>
      <c r="E1656" s="11"/>
      <c r="F1656" s="11"/>
      <c r="G1656" s="11"/>
      <c r="H1656" s="11"/>
      <c r="I1656" s="15"/>
    </row>
    <row r="1657" spans="1:9" ht="16.5">
      <c r="A1657" s="10" t="b">
        <v>0</v>
      </c>
      <c r="B1657" s="11" t="str">
        <f>IF(D1657&lt;&gt;"",IF(COUNTIF('USPTO TMs'!A:A,D1657)&gt;0,"Yes","No"),"")</f>
        <v/>
      </c>
      <c r="C1657" s="11"/>
      <c r="D1657" s="11"/>
      <c r="E1657" s="11"/>
      <c r="F1657" s="11"/>
      <c r="G1657" s="11"/>
      <c r="H1657" s="11"/>
      <c r="I1657" s="15"/>
    </row>
    <row r="1658" spans="1:9" ht="16.5">
      <c r="A1658" s="10" t="b">
        <v>0</v>
      </c>
      <c r="B1658" s="11" t="str">
        <f>IF(D1658&lt;&gt;"",IF(COUNTIF('USPTO TMs'!A:A,D1658)&gt;0,"Yes","No"),"")</f>
        <v/>
      </c>
      <c r="C1658" s="11"/>
      <c r="D1658" s="11"/>
      <c r="E1658" s="11"/>
      <c r="F1658" s="11"/>
      <c r="G1658" s="11"/>
      <c r="H1658" s="11"/>
      <c r="I1658" s="15"/>
    </row>
    <row r="1659" spans="1:9" ht="16.5">
      <c r="A1659" s="10" t="b">
        <v>0</v>
      </c>
      <c r="B1659" s="11" t="str">
        <f>IF(D1659&lt;&gt;"",IF(COUNTIF('USPTO TMs'!A:A,D1659)&gt;0,"Yes","No"),"")</f>
        <v/>
      </c>
      <c r="C1659" s="11"/>
      <c r="D1659" s="11"/>
      <c r="E1659" s="11"/>
      <c r="F1659" s="11"/>
      <c r="G1659" s="11"/>
      <c r="H1659" s="11"/>
      <c r="I1659" s="15"/>
    </row>
    <row r="1660" spans="1:9" ht="16.5">
      <c r="A1660" s="10" t="b">
        <v>0</v>
      </c>
      <c r="B1660" s="11" t="str">
        <f>IF(D1660&lt;&gt;"",IF(COUNTIF('USPTO TMs'!A:A,D1660)&gt;0,"Yes","No"),"")</f>
        <v/>
      </c>
      <c r="C1660" s="11"/>
      <c r="D1660" s="11"/>
      <c r="E1660" s="11"/>
      <c r="F1660" s="11"/>
      <c r="G1660" s="11"/>
      <c r="H1660" s="11"/>
      <c r="I1660" s="15"/>
    </row>
    <row r="1661" spans="1:9" ht="16.5">
      <c r="A1661" s="10" t="b">
        <v>0</v>
      </c>
      <c r="B1661" s="11" t="str">
        <f>IF(D1661&lt;&gt;"",IF(COUNTIF('USPTO TMs'!A:A,D1661)&gt;0,"Yes","No"),"")</f>
        <v/>
      </c>
      <c r="C1661" s="11"/>
      <c r="D1661" s="11"/>
      <c r="E1661" s="11"/>
      <c r="F1661" s="11"/>
      <c r="G1661" s="11"/>
      <c r="H1661" s="11"/>
      <c r="I1661" s="15"/>
    </row>
    <row r="1662" spans="1:9" ht="16.5">
      <c r="A1662" s="10" t="b">
        <v>0</v>
      </c>
      <c r="B1662" s="11" t="str">
        <f>IF(D1662&lt;&gt;"",IF(COUNTIF('USPTO TMs'!A:A,D1662)&gt;0,"Yes","No"),"")</f>
        <v/>
      </c>
      <c r="C1662" s="11"/>
      <c r="D1662" s="11"/>
      <c r="E1662" s="11"/>
      <c r="F1662" s="11"/>
      <c r="G1662" s="11"/>
      <c r="H1662" s="11"/>
      <c r="I1662" s="15"/>
    </row>
    <row r="1663" spans="1:9" ht="16.5">
      <c r="A1663" s="10" t="b">
        <v>0</v>
      </c>
      <c r="B1663" s="11" t="str">
        <f>IF(D1663&lt;&gt;"",IF(COUNTIF('USPTO TMs'!A:A,D1663)&gt;0,"Yes","No"),"")</f>
        <v/>
      </c>
      <c r="C1663" s="11"/>
      <c r="D1663" s="11"/>
      <c r="E1663" s="11"/>
      <c r="F1663" s="11"/>
      <c r="G1663" s="11"/>
      <c r="H1663" s="11"/>
      <c r="I1663" s="15"/>
    </row>
    <row r="1664" spans="1:9" ht="16.5">
      <c r="A1664" s="10" t="b">
        <v>0</v>
      </c>
      <c r="B1664" s="11" t="str">
        <f>IF(D1664&lt;&gt;"",IF(COUNTIF('USPTO TMs'!A:A,D1664)&gt;0,"Yes","No"),"")</f>
        <v/>
      </c>
      <c r="C1664" s="11"/>
      <c r="D1664" s="11"/>
      <c r="E1664" s="11"/>
      <c r="F1664" s="11"/>
      <c r="G1664" s="11"/>
      <c r="H1664" s="11"/>
      <c r="I1664" s="15"/>
    </row>
    <row r="1665" spans="1:9" ht="16.5">
      <c r="A1665" s="10" t="b">
        <v>0</v>
      </c>
      <c r="B1665" s="11" t="str">
        <f>IF(D1665&lt;&gt;"",IF(COUNTIF('USPTO TMs'!A:A,D1665)&gt;0,"Yes","No"),"")</f>
        <v/>
      </c>
      <c r="C1665" s="11"/>
      <c r="D1665" s="11"/>
      <c r="E1665" s="11"/>
      <c r="F1665" s="11"/>
      <c r="G1665" s="11"/>
      <c r="H1665" s="11"/>
      <c r="I1665" s="15"/>
    </row>
    <row r="1666" spans="1:9" ht="16.5">
      <c r="A1666" s="10" t="b">
        <v>0</v>
      </c>
      <c r="B1666" s="11" t="str">
        <f>IF(D1666&lt;&gt;"",IF(COUNTIF('USPTO TMs'!A:A,D1666)&gt;0,"Yes","No"),"")</f>
        <v/>
      </c>
      <c r="C1666" s="11"/>
      <c r="D1666" s="11"/>
      <c r="E1666" s="11"/>
      <c r="F1666" s="11"/>
      <c r="G1666" s="11"/>
      <c r="H1666" s="11"/>
      <c r="I1666" s="15"/>
    </row>
    <row r="1667" spans="1:9" ht="16.5">
      <c r="A1667" s="10" t="b">
        <v>0</v>
      </c>
      <c r="B1667" s="11" t="str">
        <f>IF(D1667&lt;&gt;"",IF(COUNTIF('USPTO TMs'!A:A,D1667)&gt;0,"Yes","No"),"")</f>
        <v/>
      </c>
      <c r="C1667" s="11"/>
      <c r="D1667" s="11"/>
      <c r="E1667" s="11"/>
      <c r="F1667" s="11"/>
      <c r="G1667" s="11"/>
      <c r="H1667" s="11"/>
      <c r="I1667" s="15"/>
    </row>
    <row r="1668" spans="1:9" ht="16.5">
      <c r="A1668" s="10" t="b">
        <v>0</v>
      </c>
      <c r="B1668" s="11" t="str">
        <f>IF(D1668&lt;&gt;"",IF(COUNTIF('USPTO TMs'!A:A,D1668)&gt;0,"Yes","No"),"")</f>
        <v/>
      </c>
      <c r="C1668" s="11"/>
      <c r="D1668" s="11"/>
      <c r="E1668" s="11"/>
      <c r="F1668" s="11"/>
      <c r="G1668" s="11"/>
      <c r="H1668" s="11"/>
      <c r="I1668" s="15"/>
    </row>
    <row r="1669" spans="1:9" ht="16.5">
      <c r="A1669" s="10" t="b">
        <v>0</v>
      </c>
      <c r="B1669" s="11" t="str">
        <f>IF(D1669&lt;&gt;"",IF(COUNTIF('USPTO TMs'!A:A,D1669)&gt;0,"Yes","No"),"")</f>
        <v/>
      </c>
      <c r="C1669" s="11"/>
      <c r="D1669" s="11"/>
      <c r="E1669" s="11"/>
      <c r="F1669" s="11"/>
      <c r="G1669" s="11"/>
      <c r="H1669" s="11"/>
      <c r="I1669" s="15"/>
    </row>
    <row r="1670" spans="1:9" ht="16.5">
      <c r="A1670" s="10" t="b">
        <v>0</v>
      </c>
      <c r="B1670" s="11" t="str">
        <f>IF(D1670&lt;&gt;"",IF(COUNTIF('USPTO TMs'!A:A,D1670)&gt;0,"Yes","No"),"")</f>
        <v/>
      </c>
      <c r="C1670" s="11"/>
      <c r="D1670" s="11"/>
      <c r="E1670" s="11"/>
      <c r="F1670" s="11"/>
      <c r="G1670" s="11"/>
      <c r="H1670" s="11"/>
      <c r="I1670" s="15"/>
    </row>
    <row r="1671" spans="1:9" ht="16.5">
      <c r="A1671" s="10" t="b">
        <v>0</v>
      </c>
      <c r="B1671" s="11" t="str">
        <f>IF(D1671&lt;&gt;"",IF(COUNTIF('USPTO TMs'!A:A,D1671)&gt;0,"Yes","No"),"")</f>
        <v/>
      </c>
      <c r="C1671" s="11"/>
      <c r="D1671" s="11"/>
      <c r="E1671" s="11"/>
      <c r="F1671" s="11"/>
      <c r="G1671" s="11"/>
      <c r="H1671" s="11"/>
      <c r="I1671" s="15"/>
    </row>
    <row r="1672" spans="1:9" ht="16.5">
      <c r="A1672" s="10" t="b">
        <v>0</v>
      </c>
      <c r="B1672" s="11" t="str">
        <f>IF(D1672&lt;&gt;"",IF(COUNTIF('USPTO TMs'!A:A,D1672)&gt;0,"Yes","No"),"")</f>
        <v/>
      </c>
      <c r="C1672" s="11"/>
      <c r="D1672" s="11"/>
      <c r="E1672" s="11"/>
      <c r="F1672" s="11"/>
      <c r="G1672" s="11"/>
      <c r="H1672" s="11"/>
      <c r="I1672" s="15"/>
    </row>
    <row r="1673" spans="1:9" ht="16.5">
      <c r="A1673" s="10" t="b">
        <v>0</v>
      </c>
      <c r="B1673" s="11" t="str">
        <f>IF(D1673&lt;&gt;"",IF(COUNTIF('USPTO TMs'!A:A,D1673)&gt;0,"Yes","No"),"")</f>
        <v/>
      </c>
      <c r="C1673" s="11"/>
      <c r="D1673" s="11"/>
      <c r="E1673" s="11"/>
      <c r="F1673" s="11"/>
      <c r="G1673" s="11"/>
      <c r="H1673" s="11"/>
      <c r="I1673" s="15"/>
    </row>
    <row r="1674" spans="1:9" ht="16.5">
      <c r="A1674" s="10" t="b">
        <v>0</v>
      </c>
      <c r="B1674" s="11" t="str">
        <f>IF(D1674&lt;&gt;"",IF(COUNTIF('USPTO TMs'!A:A,D1674)&gt;0,"Yes","No"),"")</f>
        <v/>
      </c>
      <c r="C1674" s="11"/>
      <c r="D1674" s="11"/>
      <c r="E1674" s="11"/>
      <c r="F1674" s="11"/>
      <c r="G1674" s="11"/>
      <c r="H1674" s="11"/>
      <c r="I1674" s="15"/>
    </row>
    <row r="1675" spans="1:9" ht="16.5">
      <c r="A1675" s="10" t="b">
        <v>0</v>
      </c>
      <c r="B1675" s="11" t="str">
        <f>IF(D1675&lt;&gt;"",IF(COUNTIF('USPTO TMs'!A:A,D1675)&gt;0,"Yes","No"),"")</f>
        <v/>
      </c>
      <c r="C1675" s="11"/>
      <c r="D1675" s="11"/>
      <c r="E1675" s="11"/>
      <c r="F1675" s="11"/>
      <c r="G1675" s="11"/>
      <c r="H1675" s="11"/>
      <c r="I1675" s="15"/>
    </row>
    <row r="1676" spans="1:9" ht="16.5">
      <c r="A1676" s="10" t="b">
        <v>0</v>
      </c>
      <c r="B1676" s="11" t="str">
        <f>IF(D1676&lt;&gt;"",IF(COUNTIF('USPTO TMs'!A:A,D1676)&gt;0,"Yes","No"),"")</f>
        <v/>
      </c>
      <c r="C1676" s="11"/>
      <c r="D1676" s="11"/>
      <c r="E1676" s="11"/>
      <c r="F1676" s="11"/>
      <c r="G1676" s="11"/>
      <c r="H1676" s="11"/>
      <c r="I1676" s="15"/>
    </row>
    <row r="1677" spans="1:9" ht="16.5">
      <c r="A1677" s="10" t="b">
        <v>0</v>
      </c>
      <c r="B1677" s="11" t="str">
        <f>IF(D1677&lt;&gt;"",IF(COUNTIF('USPTO TMs'!A:A,D1677)&gt;0,"Yes","No"),"")</f>
        <v/>
      </c>
      <c r="C1677" s="11"/>
      <c r="D1677" s="11"/>
      <c r="E1677" s="11"/>
      <c r="F1677" s="11"/>
      <c r="G1677" s="11"/>
      <c r="H1677" s="11"/>
      <c r="I1677" s="15"/>
    </row>
    <row r="1678" spans="1:9" ht="16.5">
      <c r="A1678" s="10" t="b">
        <v>0</v>
      </c>
      <c r="B1678" s="11" t="str">
        <f>IF(D1678&lt;&gt;"",IF(COUNTIF('USPTO TMs'!A:A,D1678)&gt;0,"Yes","No"),"")</f>
        <v/>
      </c>
      <c r="C1678" s="11"/>
      <c r="D1678" s="11"/>
      <c r="E1678" s="11"/>
      <c r="F1678" s="11"/>
      <c r="G1678" s="11"/>
      <c r="H1678" s="11"/>
      <c r="I1678" s="15"/>
    </row>
    <row r="1679" spans="1:9" ht="16.5">
      <c r="A1679" s="10" t="b">
        <v>0</v>
      </c>
      <c r="B1679" s="11" t="str">
        <f>IF(D1679&lt;&gt;"",IF(COUNTIF('USPTO TMs'!A:A,D1679)&gt;0,"Yes","No"),"")</f>
        <v/>
      </c>
      <c r="C1679" s="11"/>
      <c r="D1679" s="11"/>
      <c r="E1679" s="11"/>
      <c r="F1679" s="11"/>
      <c r="G1679" s="11"/>
      <c r="H1679" s="11"/>
      <c r="I1679" s="15"/>
    </row>
    <row r="1680" spans="1:9" ht="16.5">
      <c r="A1680" s="10" t="b">
        <v>0</v>
      </c>
      <c r="B1680" s="11" t="str">
        <f>IF(D1680&lt;&gt;"",IF(COUNTIF('USPTO TMs'!A:A,D1680)&gt;0,"Yes","No"),"")</f>
        <v/>
      </c>
      <c r="C1680" s="11"/>
      <c r="D1680" s="11"/>
      <c r="E1680" s="11"/>
      <c r="F1680" s="11"/>
      <c r="G1680" s="11"/>
      <c r="H1680" s="11"/>
      <c r="I1680" s="15"/>
    </row>
    <row r="1681" spans="1:9" ht="16.5">
      <c r="A1681" s="10" t="b">
        <v>0</v>
      </c>
      <c r="B1681" s="11" t="str">
        <f>IF(D1681&lt;&gt;"",IF(COUNTIF('USPTO TMs'!A:A,D1681)&gt;0,"Yes","No"),"")</f>
        <v/>
      </c>
      <c r="C1681" s="11"/>
      <c r="D1681" s="11"/>
      <c r="E1681" s="11"/>
      <c r="F1681" s="11"/>
      <c r="G1681" s="11"/>
      <c r="H1681" s="11"/>
      <c r="I1681" s="15"/>
    </row>
    <row r="1682" spans="1:9" ht="16.5">
      <c r="A1682" s="10" t="b">
        <v>0</v>
      </c>
      <c r="B1682" s="11" t="str">
        <f>IF(D1682&lt;&gt;"",IF(COUNTIF('USPTO TMs'!A:A,D1682)&gt;0,"Yes","No"),"")</f>
        <v/>
      </c>
      <c r="C1682" s="11"/>
      <c r="D1682" s="11"/>
      <c r="E1682" s="11"/>
      <c r="F1682" s="11"/>
      <c r="G1682" s="11"/>
      <c r="H1682" s="11"/>
      <c r="I1682" s="15"/>
    </row>
    <row r="1683" spans="1:9" ht="16.5">
      <c r="A1683" s="10" t="b">
        <v>0</v>
      </c>
      <c r="B1683" s="11" t="str">
        <f>IF(D1683&lt;&gt;"",IF(COUNTIF('USPTO TMs'!A:A,D1683)&gt;0,"Yes","No"),"")</f>
        <v/>
      </c>
      <c r="C1683" s="11"/>
      <c r="D1683" s="11"/>
      <c r="E1683" s="11"/>
      <c r="F1683" s="11"/>
      <c r="G1683" s="11"/>
      <c r="H1683" s="11"/>
      <c r="I1683" s="15"/>
    </row>
    <row r="1684" spans="1:9" ht="16.5">
      <c r="A1684" s="10" t="b">
        <v>0</v>
      </c>
      <c r="B1684" s="11" t="str">
        <f>IF(D1684&lt;&gt;"",IF(COUNTIF('USPTO TMs'!A:A,D1684)&gt;0,"Yes","No"),"")</f>
        <v/>
      </c>
      <c r="C1684" s="11"/>
      <c r="D1684" s="11"/>
      <c r="E1684" s="11"/>
      <c r="F1684" s="11"/>
      <c r="G1684" s="11"/>
      <c r="H1684" s="11"/>
      <c r="I1684" s="15"/>
    </row>
    <row r="1685" spans="1:9" ht="16.5">
      <c r="A1685" s="10" t="b">
        <v>0</v>
      </c>
      <c r="B1685" s="11" t="str">
        <f>IF(D1685&lt;&gt;"",IF(COUNTIF('USPTO TMs'!A:A,D1685)&gt;0,"Yes","No"),"")</f>
        <v/>
      </c>
      <c r="C1685" s="11"/>
      <c r="D1685" s="11"/>
      <c r="E1685" s="11"/>
      <c r="F1685" s="11"/>
      <c r="G1685" s="11"/>
      <c r="H1685" s="11"/>
      <c r="I1685" s="15"/>
    </row>
    <row r="1686" spans="1:9" ht="16.5">
      <c r="A1686" s="10" t="b">
        <v>0</v>
      </c>
      <c r="B1686" s="11" t="str">
        <f>IF(D1686&lt;&gt;"",IF(COUNTIF('USPTO TMs'!A:A,D1686)&gt;0,"Yes","No"),"")</f>
        <v/>
      </c>
      <c r="C1686" s="11"/>
      <c r="D1686" s="11"/>
      <c r="E1686" s="11"/>
      <c r="F1686" s="11"/>
      <c r="G1686" s="11"/>
      <c r="H1686" s="11"/>
      <c r="I1686" s="15"/>
    </row>
    <row r="1687" spans="1:9" ht="16.5">
      <c r="A1687" s="10" t="b">
        <v>0</v>
      </c>
      <c r="B1687" s="11" t="str">
        <f>IF(D1687&lt;&gt;"",IF(COUNTIF('USPTO TMs'!A:A,D1687)&gt;0,"Yes","No"),"")</f>
        <v/>
      </c>
      <c r="C1687" s="11"/>
      <c r="D1687" s="11"/>
      <c r="E1687" s="11"/>
      <c r="F1687" s="11"/>
      <c r="G1687" s="11"/>
      <c r="H1687" s="11"/>
      <c r="I1687" s="15"/>
    </row>
    <row r="1688" spans="1:9" ht="16.5">
      <c r="A1688" s="10" t="b">
        <v>0</v>
      </c>
      <c r="B1688" s="11" t="str">
        <f>IF(D1688&lt;&gt;"",IF(COUNTIF('USPTO TMs'!A:A,D1688)&gt;0,"Yes","No"),"")</f>
        <v/>
      </c>
      <c r="C1688" s="11"/>
      <c r="D1688" s="11"/>
      <c r="E1688" s="11"/>
      <c r="F1688" s="11"/>
      <c r="G1688" s="11"/>
      <c r="H1688" s="11"/>
      <c r="I1688" s="15"/>
    </row>
    <row r="1689" spans="1:9" ht="16.5">
      <c r="A1689" s="10" t="b">
        <v>0</v>
      </c>
      <c r="B1689" s="11" t="str">
        <f>IF(D1689&lt;&gt;"",IF(COUNTIF('USPTO TMs'!A:A,D1689)&gt;0,"Yes","No"),"")</f>
        <v/>
      </c>
      <c r="C1689" s="11"/>
      <c r="D1689" s="11"/>
      <c r="E1689" s="11"/>
      <c r="F1689" s="11"/>
      <c r="G1689" s="11"/>
      <c r="H1689" s="11"/>
      <c r="I1689" s="15"/>
    </row>
    <row r="1690" spans="1:9" ht="16.5">
      <c r="A1690" s="10" t="b">
        <v>0</v>
      </c>
      <c r="B1690" s="11" t="str">
        <f>IF(D1690&lt;&gt;"",IF(COUNTIF('USPTO TMs'!A:A,D1690)&gt;0,"Yes","No"),"")</f>
        <v/>
      </c>
      <c r="C1690" s="11"/>
      <c r="D1690" s="11"/>
      <c r="E1690" s="11"/>
      <c r="F1690" s="11"/>
      <c r="G1690" s="11"/>
      <c r="H1690" s="11"/>
      <c r="I1690" s="15"/>
    </row>
    <row r="1691" spans="1:9" ht="16.5">
      <c r="A1691" s="10" t="b">
        <v>0</v>
      </c>
      <c r="B1691" s="11" t="str">
        <f>IF(D1691&lt;&gt;"",IF(COUNTIF('USPTO TMs'!A:A,D1691)&gt;0,"Yes","No"),"")</f>
        <v/>
      </c>
      <c r="C1691" s="11"/>
      <c r="D1691" s="11"/>
      <c r="E1691" s="11"/>
      <c r="F1691" s="11"/>
      <c r="G1691" s="11"/>
      <c r="H1691" s="11"/>
      <c r="I1691" s="15"/>
    </row>
    <row r="1692" spans="1:9" ht="16.5">
      <c r="A1692" s="10" t="b">
        <v>0</v>
      </c>
      <c r="B1692" s="11" t="str">
        <f>IF(D1692&lt;&gt;"",IF(COUNTIF('USPTO TMs'!A:A,D1692)&gt;0,"Yes","No"),"")</f>
        <v/>
      </c>
      <c r="C1692" s="11"/>
      <c r="D1692" s="11"/>
      <c r="E1692" s="11"/>
      <c r="F1692" s="11"/>
      <c r="G1692" s="11"/>
      <c r="H1692" s="11"/>
      <c r="I1692" s="15"/>
    </row>
    <row r="1693" spans="1:9" ht="16.5">
      <c r="A1693" s="10" t="b">
        <v>0</v>
      </c>
      <c r="B1693" s="11" t="str">
        <f>IF(D1693&lt;&gt;"",IF(COUNTIF('USPTO TMs'!A:A,D1693)&gt;0,"Yes","No"),"")</f>
        <v/>
      </c>
      <c r="C1693" s="11"/>
      <c r="D1693" s="11"/>
      <c r="E1693" s="11"/>
      <c r="F1693" s="11"/>
      <c r="G1693" s="11"/>
      <c r="H1693" s="11"/>
      <c r="I1693" s="15"/>
    </row>
    <row r="1694" spans="1:9" ht="16.5">
      <c r="A1694" s="10" t="b">
        <v>0</v>
      </c>
      <c r="B1694" s="11" t="str">
        <f>IF(D1694&lt;&gt;"",IF(COUNTIF('USPTO TMs'!A:A,D1694)&gt;0,"Yes","No"),"")</f>
        <v/>
      </c>
      <c r="C1694" s="11"/>
      <c r="D1694" s="11"/>
      <c r="E1694" s="11"/>
      <c r="F1694" s="11"/>
      <c r="G1694" s="11"/>
      <c r="H1694" s="11"/>
      <c r="I1694" s="15"/>
    </row>
    <row r="1695" spans="1:9" ht="16.5">
      <c r="A1695" s="10" t="b">
        <v>0</v>
      </c>
      <c r="B1695" s="11" t="str">
        <f>IF(D1695&lt;&gt;"",IF(COUNTIF('USPTO TMs'!A:A,D1695)&gt;0,"Yes","No"),"")</f>
        <v/>
      </c>
      <c r="C1695" s="11"/>
      <c r="D1695" s="11"/>
      <c r="E1695" s="11"/>
      <c r="F1695" s="11"/>
      <c r="G1695" s="11"/>
      <c r="H1695" s="11"/>
      <c r="I1695" s="15"/>
    </row>
    <row r="1696" spans="1:9" ht="16.5">
      <c r="A1696" s="10" t="b">
        <v>0</v>
      </c>
      <c r="B1696" s="11" t="str">
        <f>IF(D1696&lt;&gt;"",IF(COUNTIF('USPTO TMs'!A:A,D1696)&gt;0,"Yes","No"),"")</f>
        <v/>
      </c>
      <c r="C1696" s="11"/>
      <c r="D1696" s="11"/>
      <c r="E1696" s="11"/>
      <c r="F1696" s="11"/>
      <c r="G1696" s="11"/>
      <c r="H1696" s="11"/>
      <c r="I1696" s="15"/>
    </row>
    <row r="1697" spans="1:9" ht="16.5">
      <c r="A1697" s="10" t="b">
        <v>0</v>
      </c>
      <c r="B1697" s="11" t="str">
        <f>IF(D1697&lt;&gt;"",IF(COUNTIF('USPTO TMs'!A:A,D1697)&gt;0,"Yes","No"),"")</f>
        <v/>
      </c>
      <c r="C1697" s="11"/>
      <c r="D1697" s="11"/>
      <c r="E1697" s="11"/>
      <c r="F1697" s="11"/>
      <c r="G1697" s="11"/>
      <c r="H1697" s="11"/>
      <c r="I1697" s="15"/>
    </row>
    <row r="1698" spans="1:9" ht="16.5">
      <c r="A1698" s="10" t="b">
        <v>0</v>
      </c>
      <c r="B1698" s="11" t="str">
        <f>IF(D1698&lt;&gt;"",IF(COUNTIF('USPTO TMs'!A:A,D1698)&gt;0,"Yes","No"),"")</f>
        <v/>
      </c>
      <c r="C1698" s="11"/>
      <c r="D1698" s="11"/>
      <c r="E1698" s="11"/>
      <c r="F1698" s="11"/>
      <c r="G1698" s="11"/>
      <c r="H1698" s="11"/>
      <c r="I1698" s="15"/>
    </row>
    <row r="1699" spans="1:9" ht="16.5">
      <c r="A1699" s="10" t="b">
        <v>0</v>
      </c>
      <c r="B1699" s="11" t="str">
        <f>IF(D1699&lt;&gt;"",IF(COUNTIF('USPTO TMs'!A:A,D1699)&gt;0,"Yes","No"),"")</f>
        <v/>
      </c>
      <c r="C1699" s="11"/>
      <c r="D1699" s="11"/>
      <c r="E1699" s="11"/>
      <c r="F1699" s="11"/>
      <c r="G1699" s="11"/>
      <c r="H1699" s="11"/>
      <c r="I1699" s="15"/>
    </row>
    <row r="1700" spans="1:9" ht="16.5">
      <c r="A1700" s="10" t="b">
        <v>0</v>
      </c>
      <c r="B1700" s="11" t="str">
        <f>IF(D1700&lt;&gt;"",IF(COUNTIF('USPTO TMs'!A:A,D1700)&gt;0,"Yes","No"),"")</f>
        <v/>
      </c>
      <c r="C1700" s="11"/>
      <c r="D1700" s="11"/>
      <c r="E1700" s="11"/>
      <c r="F1700" s="11"/>
      <c r="G1700" s="11"/>
      <c r="H1700" s="11"/>
      <c r="I1700" s="15"/>
    </row>
    <row r="1701" spans="1:9" ht="16.5">
      <c r="A1701" s="10" t="b">
        <v>0</v>
      </c>
      <c r="B1701" s="11" t="str">
        <f>IF(D1701&lt;&gt;"",IF(COUNTIF('USPTO TMs'!A:A,D1701)&gt;0,"Yes","No"),"")</f>
        <v/>
      </c>
      <c r="C1701" s="11"/>
      <c r="D1701" s="11"/>
      <c r="E1701" s="11"/>
      <c r="F1701" s="11"/>
      <c r="G1701" s="11"/>
      <c r="H1701" s="11"/>
      <c r="I1701" s="15"/>
    </row>
    <row r="1702" spans="1:9" ht="16.5">
      <c r="A1702" s="10" t="b">
        <v>0</v>
      </c>
      <c r="B1702" s="11" t="str">
        <f>IF(D1702&lt;&gt;"",IF(COUNTIF('USPTO TMs'!A:A,D1702)&gt;0,"Yes","No"),"")</f>
        <v/>
      </c>
      <c r="C1702" s="11"/>
      <c r="D1702" s="11"/>
      <c r="E1702" s="11"/>
      <c r="F1702" s="11"/>
      <c r="G1702" s="11"/>
      <c r="H1702" s="11"/>
      <c r="I1702" s="15"/>
    </row>
    <row r="1703" spans="1:9" ht="16.5">
      <c r="A1703" s="10" t="b">
        <v>0</v>
      </c>
      <c r="B1703" s="11" t="str">
        <f>IF(D1703&lt;&gt;"",IF(COUNTIF('USPTO TMs'!A:A,D1703)&gt;0,"Yes","No"),"")</f>
        <v/>
      </c>
      <c r="C1703" s="11"/>
      <c r="D1703" s="11"/>
      <c r="E1703" s="11"/>
      <c r="F1703" s="11"/>
      <c r="G1703" s="11"/>
      <c r="H1703" s="11"/>
      <c r="I1703" s="15"/>
    </row>
    <row r="1704" spans="1:9" ht="16.5">
      <c r="A1704" s="10" t="b">
        <v>0</v>
      </c>
      <c r="B1704" s="11" t="str">
        <f>IF(D1704&lt;&gt;"",IF(COUNTIF('USPTO TMs'!A:A,D1704)&gt;0,"Yes","No"),"")</f>
        <v/>
      </c>
      <c r="C1704" s="11"/>
      <c r="D1704" s="11"/>
      <c r="E1704" s="11"/>
      <c r="F1704" s="11"/>
      <c r="G1704" s="11"/>
      <c r="H1704" s="11"/>
      <c r="I1704" s="15"/>
    </row>
    <row r="1705" spans="1:9" ht="16.5">
      <c r="A1705" s="10" t="b">
        <v>0</v>
      </c>
      <c r="B1705" s="11" t="str">
        <f>IF(D1705&lt;&gt;"",IF(COUNTIF('USPTO TMs'!A:A,D1705)&gt;0,"Yes","No"),"")</f>
        <v/>
      </c>
      <c r="C1705" s="11"/>
      <c r="D1705" s="11"/>
      <c r="E1705" s="11"/>
      <c r="F1705" s="11"/>
      <c r="G1705" s="11"/>
      <c r="H1705" s="11"/>
      <c r="I1705" s="15"/>
    </row>
    <row r="1706" spans="1:9" ht="16.5">
      <c r="A1706" s="10" t="b">
        <v>0</v>
      </c>
      <c r="B1706" s="11" t="str">
        <f>IF(D1706&lt;&gt;"",IF(COUNTIF('USPTO TMs'!A:A,D1706)&gt;0,"Yes","No"),"")</f>
        <v/>
      </c>
      <c r="C1706" s="11"/>
      <c r="D1706" s="11"/>
      <c r="E1706" s="11"/>
      <c r="F1706" s="11"/>
      <c r="G1706" s="11"/>
      <c r="H1706" s="11"/>
      <c r="I1706" s="15"/>
    </row>
    <row r="1707" spans="1:9" ht="16.5">
      <c r="A1707" s="10" t="b">
        <v>0</v>
      </c>
      <c r="B1707" s="11" t="str">
        <f>IF(D1707&lt;&gt;"",IF(COUNTIF('USPTO TMs'!A:A,D1707)&gt;0,"Yes","No"),"")</f>
        <v/>
      </c>
      <c r="C1707" s="11"/>
      <c r="D1707" s="11"/>
      <c r="E1707" s="11"/>
      <c r="F1707" s="11"/>
      <c r="G1707" s="11"/>
      <c r="H1707" s="11"/>
      <c r="I1707" s="15"/>
    </row>
    <row r="1708" spans="1:9" ht="16.5">
      <c r="A1708" s="10" t="b">
        <v>0</v>
      </c>
      <c r="B1708" s="11" t="str">
        <f>IF(D1708&lt;&gt;"",IF(COUNTIF('USPTO TMs'!A:A,D1708)&gt;0,"Yes","No"),"")</f>
        <v/>
      </c>
      <c r="C1708" s="11"/>
      <c r="D1708" s="11"/>
      <c r="E1708" s="11"/>
      <c r="F1708" s="11"/>
      <c r="G1708" s="11"/>
      <c r="H1708" s="11"/>
      <c r="I1708" s="15"/>
    </row>
    <row r="1709" spans="1:9" ht="16.5">
      <c r="A1709" s="10" t="b">
        <v>0</v>
      </c>
      <c r="B1709" s="11" t="str">
        <f>IF(D1709&lt;&gt;"",IF(COUNTIF('USPTO TMs'!A:A,D1709)&gt;0,"Yes","No"),"")</f>
        <v/>
      </c>
      <c r="C1709" s="11"/>
      <c r="D1709" s="11"/>
      <c r="E1709" s="11"/>
      <c r="F1709" s="11"/>
      <c r="G1709" s="11"/>
      <c r="H1709" s="11"/>
      <c r="I1709" s="15"/>
    </row>
    <row r="1710" spans="1:9" ht="16.5">
      <c r="A1710" s="10" t="b">
        <v>0</v>
      </c>
      <c r="B1710" s="11" t="str">
        <f>IF(D1710&lt;&gt;"",IF(COUNTIF('USPTO TMs'!A:A,D1710)&gt;0,"Yes","No"),"")</f>
        <v/>
      </c>
      <c r="C1710" s="11"/>
      <c r="D1710" s="11"/>
      <c r="E1710" s="11"/>
      <c r="F1710" s="11"/>
      <c r="G1710" s="11"/>
      <c r="H1710" s="11"/>
      <c r="I1710" s="15"/>
    </row>
    <row r="1711" spans="1:9" ht="16.5">
      <c r="A1711" s="10" t="b">
        <v>0</v>
      </c>
      <c r="B1711" s="11" t="str">
        <f>IF(D1711&lt;&gt;"",IF(COUNTIF('USPTO TMs'!A:A,D1711)&gt;0,"Yes","No"),"")</f>
        <v/>
      </c>
      <c r="C1711" s="11"/>
      <c r="D1711" s="11"/>
      <c r="E1711" s="11"/>
      <c r="F1711" s="11"/>
      <c r="G1711" s="11"/>
      <c r="H1711" s="11"/>
      <c r="I1711" s="15"/>
    </row>
    <row r="1712" spans="1:9" ht="16.5">
      <c r="A1712" s="10" t="b">
        <v>0</v>
      </c>
      <c r="B1712" s="11" t="str">
        <f>IF(D1712&lt;&gt;"",IF(COUNTIF('USPTO TMs'!A:A,D1712)&gt;0,"Yes","No"),"")</f>
        <v/>
      </c>
      <c r="C1712" s="11"/>
      <c r="D1712" s="11"/>
      <c r="E1712" s="11"/>
      <c r="F1712" s="11"/>
      <c r="G1712" s="11"/>
      <c r="H1712" s="11"/>
      <c r="I1712" s="15"/>
    </row>
    <row r="1713" spans="1:9" ht="16.5">
      <c r="A1713" s="10" t="b">
        <v>0</v>
      </c>
      <c r="B1713" s="11" t="str">
        <f>IF(D1713&lt;&gt;"",IF(COUNTIF('USPTO TMs'!A:A,D1713)&gt;0,"Yes","No"),"")</f>
        <v/>
      </c>
      <c r="C1713" s="11"/>
      <c r="D1713" s="11"/>
      <c r="E1713" s="11"/>
      <c r="F1713" s="11"/>
      <c r="G1713" s="11"/>
      <c r="H1713" s="11"/>
      <c r="I1713" s="15"/>
    </row>
    <row r="1714" spans="1:9" ht="16.5">
      <c r="A1714" s="10" t="b">
        <v>0</v>
      </c>
      <c r="B1714" s="11" t="str">
        <f>IF(D1714&lt;&gt;"",IF(COUNTIF('USPTO TMs'!A:A,D1714)&gt;0,"Yes","No"),"")</f>
        <v/>
      </c>
      <c r="C1714" s="11"/>
      <c r="D1714" s="11"/>
      <c r="E1714" s="11"/>
      <c r="F1714" s="11"/>
      <c r="G1714" s="11"/>
      <c r="H1714" s="11"/>
      <c r="I1714" s="15"/>
    </row>
    <row r="1715" spans="1:9" ht="16.5">
      <c r="A1715" s="10" t="b">
        <v>0</v>
      </c>
      <c r="B1715" s="11" t="str">
        <f>IF(D1715&lt;&gt;"",IF(COUNTIF('USPTO TMs'!A:A,D1715)&gt;0,"Yes","No"),"")</f>
        <v/>
      </c>
      <c r="C1715" s="11"/>
      <c r="D1715" s="11"/>
      <c r="E1715" s="11"/>
      <c r="F1715" s="11"/>
      <c r="G1715" s="11"/>
      <c r="H1715" s="11"/>
      <c r="I1715" s="15"/>
    </row>
    <row r="1716" spans="1:9" ht="16.5">
      <c r="A1716" s="10" t="b">
        <v>0</v>
      </c>
      <c r="B1716" s="11" t="str">
        <f>IF(D1716&lt;&gt;"",IF(COUNTIF('USPTO TMs'!A:A,D1716)&gt;0,"Yes","No"),"")</f>
        <v/>
      </c>
      <c r="C1716" s="11"/>
      <c r="D1716" s="11"/>
      <c r="E1716" s="11"/>
      <c r="F1716" s="11"/>
      <c r="G1716" s="11"/>
      <c r="H1716" s="11"/>
      <c r="I1716" s="15"/>
    </row>
    <row r="1717" spans="1:9" ht="16.5">
      <c r="A1717" s="10" t="b">
        <v>0</v>
      </c>
      <c r="B1717" s="11" t="str">
        <f>IF(D1717&lt;&gt;"",IF(COUNTIF('USPTO TMs'!A:A,D1717)&gt;0,"Yes","No"),"")</f>
        <v/>
      </c>
      <c r="C1717" s="11"/>
      <c r="D1717" s="11"/>
      <c r="E1717" s="11"/>
      <c r="F1717" s="11"/>
      <c r="G1717" s="11"/>
      <c r="H1717" s="11"/>
      <c r="I1717" s="15"/>
    </row>
    <row r="1718" spans="1:9" ht="16.5">
      <c r="A1718" s="10" t="b">
        <v>0</v>
      </c>
      <c r="B1718" s="11" t="str">
        <f>IF(D1718&lt;&gt;"",IF(COUNTIF('USPTO TMs'!A:A,D1718)&gt;0,"Yes","No"),"")</f>
        <v/>
      </c>
      <c r="C1718" s="11"/>
      <c r="D1718" s="11"/>
      <c r="E1718" s="11"/>
      <c r="F1718" s="11"/>
      <c r="G1718" s="11"/>
      <c r="H1718" s="11"/>
      <c r="I1718" s="15"/>
    </row>
    <row r="1719" spans="1:9" ht="16.5">
      <c r="A1719" s="10" t="b">
        <v>0</v>
      </c>
      <c r="B1719" s="11" t="str">
        <f>IF(D1719&lt;&gt;"",IF(COUNTIF('USPTO TMs'!A:A,D1719)&gt;0,"Yes","No"),"")</f>
        <v/>
      </c>
      <c r="C1719" s="11"/>
      <c r="D1719" s="11"/>
      <c r="E1719" s="11"/>
      <c r="F1719" s="11"/>
      <c r="G1719" s="11"/>
      <c r="H1719" s="11"/>
      <c r="I1719" s="15"/>
    </row>
    <row r="1720" spans="1:9" ht="16.5">
      <c r="A1720" s="10" t="b">
        <v>0</v>
      </c>
      <c r="B1720" s="11" t="str">
        <f>IF(D1720&lt;&gt;"",IF(COUNTIF('USPTO TMs'!A:A,D1720)&gt;0,"Yes","No"),"")</f>
        <v/>
      </c>
      <c r="C1720" s="11"/>
      <c r="D1720" s="11"/>
      <c r="E1720" s="11"/>
      <c r="F1720" s="11"/>
      <c r="G1720" s="11"/>
      <c r="H1720" s="11"/>
      <c r="I1720" s="15"/>
    </row>
    <row r="1721" spans="1:9" ht="16.5">
      <c r="A1721" s="10" t="b">
        <v>0</v>
      </c>
      <c r="B1721" s="11" t="str">
        <f>IF(D1721&lt;&gt;"",IF(COUNTIF('USPTO TMs'!A:A,D1721)&gt;0,"Yes","No"),"")</f>
        <v/>
      </c>
      <c r="C1721" s="11"/>
      <c r="D1721" s="11"/>
      <c r="E1721" s="11"/>
      <c r="F1721" s="11"/>
      <c r="G1721" s="11"/>
      <c r="H1721" s="11"/>
      <c r="I1721" s="15"/>
    </row>
    <row r="1722" spans="1:9" ht="16.5">
      <c r="A1722" s="10" t="b">
        <v>0</v>
      </c>
      <c r="B1722" s="11" t="str">
        <f>IF(D1722&lt;&gt;"",IF(COUNTIF('USPTO TMs'!A:A,D1722)&gt;0,"Yes","No"),"")</f>
        <v/>
      </c>
      <c r="C1722" s="11"/>
      <c r="D1722" s="11"/>
      <c r="E1722" s="11"/>
      <c r="F1722" s="11"/>
      <c r="G1722" s="11"/>
      <c r="H1722" s="11"/>
      <c r="I1722" s="15"/>
    </row>
    <row r="1723" spans="1:9" ht="16.5">
      <c r="A1723" s="10" t="b">
        <v>0</v>
      </c>
      <c r="B1723" s="11" t="str">
        <f>IF(D1723&lt;&gt;"",IF(COUNTIF('USPTO TMs'!A:A,D1723)&gt;0,"Yes","No"),"")</f>
        <v/>
      </c>
      <c r="C1723" s="11"/>
      <c r="D1723" s="11"/>
      <c r="E1723" s="11"/>
      <c r="F1723" s="11"/>
      <c r="G1723" s="11"/>
      <c r="H1723" s="11"/>
      <c r="I1723" s="15"/>
    </row>
    <row r="1724" spans="1:9" ht="16.5">
      <c r="A1724" s="10" t="b">
        <v>0</v>
      </c>
      <c r="B1724" s="11" t="str">
        <f>IF(D1724&lt;&gt;"",IF(COUNTIF('USPTO TMs'!A:A,D1724)&gt;0,"Yes","No"),"")</f>
        <v/>
      </c>
      <c r="C1724" s="11"/>
      <c r="D1724" s="11"/>
      <c r="E1724" s="11"/>
      <c r="F1724" s="11"/>
      <c r="G1724" s="11"/>
      <c r="H1724" s="11"/>
      <c r="I1724" s="15"/>
    </row>
    <row r="1725" spans="1:9" ht="16.5">
      <c r="A1725" s="10" t="b">
        <v>0</v>
      </c>
      <c r="B1725" s="11" t="str">
        <f>IF(D1725&lt;&gt;"",IF(COUNTIF('USPTO TMs'!A:A,D1725)&gt;0,"Yes","No"),"")</f>
        <v/>
      </c>
      <c r="C1725" s="11"/>
      <c r="D1725" s="11"/>
      <c r="E1725" s="11"/>
      <c r="F1725" s="11"/>
      <c r="G1725" s="11"/>
      <c r="H1725" s="11"/>
      <c r="I1725" s="15"/>
    </row>
    <row r="1726" spans="1:9" ht="16.5">
      <c r="A1726" s="10" t="b">
        <v>0</v>
      </c>
      <c r="B1726" s="11" t="str">
        <f>IF(D1726&lt;&gt;"",IF(COUNTIF('USPTO TMs'!A:A,D1726)&gt;0,"Yes","No"),"")</f>
        <v/>
      </c>
      <c r="C1726" s="11"/>
      <c r="D1726" s="11"/>
      <c r="E1726" s="11"/>
      <c r="F1726" s="11"/>
      <c r="G1726" s="11"/>
      <c r="H1726" s="11"/>
      <c r="I1726" s="15"/>
    </row>
    <row r="1727" spans="1:9" ht="16.5">
      <c r="A1727" s="10" t="b">
        <v>0</v>
      </c>
      <c r="B1727" s="11" t="str">
        <f>IF(D1727&lt;&gt;"",IF(COUNTIF('USPTO TMs'!A:A,D1727)&gt;0,"Yes","No"),"")</f>
        <v/>
      </c>
      <c r="C1727" s="11"/>
      <c r="D1727" s="11"/>
      <c r="E1727" s="11"/>
      <c r="F1727" s="11"/>
      <c r="G1727" s="11"/>
      <c r="H1727" s="11"/>
      <c r="I1727" s="15"/>
    </row>
    <row r="1728" spans="1:9" ht="16.5">
      <c r="A1728" s="10" t="b">
        <v>0</v>
      </c>
      <c r="B1728" s="11" t="str">
        <f>IF(D1728&lt;&gt;"",IF(COUNTIF('USPTO TMs'!A:A,D1728)&gt;0,"Yes","No"),"")</f>
        <v/>
      </c>
      <c r="C1728" s="11"/>
      <c r="D1728" s="11"/>
      <c r="E1728" s="11"/>
      <c r="F1728" s="11"/>
      <c r="G1728" s="11"/>
      <c r="H1728" s="11"/>
      <c r="I1728" s="15"/>
    </row>
    <row r="1729" spans="1:9" ht="16.5">
      <c r="A1729" s="10" t="b">
        <v>0</v>
      </c>
      <c r="B1729" s="11" t="str">
        <f>IF(D1729&lt;&gt;"",IF(COUNTIF('USPTO TMs'!A:A,D1729)&gt;0,"Yes","No"),"")</f>
        <v/>
      </c>
      <c r="C1729" s="11"/>
      <c r="D1729" s="11"/>
      <c r="E1729" s="11"/>
      <c r="F1729" s="11"/>
      <c r="G1729" s="11"/>
      <c r="H1729" s="11"/>
      <c r="I1729" s="15"/>
    </row>
    <row r="1730" spans="1:9" ht="16.5">
      <c r="A1730" s="10" t="b">
        <v>0</v>
      </c>
      <c r="B1730" s="11" t="str">
        <f>IF(D1730&lt;&gt;"",IF(COUNTIF('USPTO TMs'!A:A,D1730)&gt;0,"Yes","No"),"")</f>
        <v/>
      </c>
      <c r="C1730" s="11"/>
      <c r="D1730" s="11"/>
      <c r="E1730" s="11"/>
      <c r="F1730" s="11"/>
      <c r="G1730" s="11"/>
      <c r="H1730" s="11"/>
      <c r="I1730" s="15"/>
    </row>
    <row r="1731" spans="1:9" ht="16.5">
      <c r="A1731" s="10" t="b">
        <v>0</v>
      </c>
      <c r="B1731" s="11" t="str">
        <f>IF(D1731&lt;&gt;"",IF(COUNTIF('USPTO TMs'!A:A,D1731)&gt;0,"Yes","No"),"")</f>
        <v/>
      </c>
      <c r="C1731" s="11"/>
      <c r="D1731" s="11"/>
      <c r="E1731" s="11"/>
      <c r="F1731" s="11"/>
      <c r="G1731" s="11"/>
      <c r="H1731" s="11"/>
      <c r="I1731" s="15"/>
    </row>
    <row r="1732" spans="1:9" ht="16.5">
      <c r="A1732" s="10" t="b">
        <v>0</v>
      </c>
      <c r="B1732" s="11" t="str">
        <f>IF(D1732&lt;&gt;"",IF(COUNTIF('USPTO TMs'!A:A,D1732)&gt;0,"Yes","No"),"")</f>
        <v/>
      </c>
      <c r="C1732" s="11"/>
      <c r="D1732" s="11"/>
      <c r="E1732" s="11"/>
      <c r="F1732" s="11"/>
      <c r="G1732" s="11"/>
      <c r="H1732" s="11"/>
      <c r="I1732" s="15"/>
    </row>
    <row r="1733" spans="1:9" ht="16.5">
      <c r="A1733" s="10" t="b">
        <v>0</v>
      </c>
      <c r="B1733" s="11" t="str">
        <f>IF(D1733&lt;&gt;"",IF(COUNTIF('USPTO TMs'!A:A,D1733)&gt;0,"Yes","No"),"")</f>
        <v/>
      </c>
      <c r="C1733" s="11"/>
      <c r="D1733" s="11"/>
      <c r="E1733" s="11"/>
      <c r="F1733" s="11"/>
      <c r="G1733" s="11"/>
      <c r="H1733" s="11"/>
      <c r="I1733" s="15"/>
    </row>
    <row r="1734" spans="1:9" ht="16.5">
      <c r="A1734" s="10" t="b">
        <v>0</v>
      </c>
      <c r="B1734" s="11" t="str">
        <f>IF(D1734&lt;&gt;"",IF(COUNTIF('USPTO TMs'!A:A,D1734)&gt;0,"Yes","No"),"")</f>
        <v/>
      </c>
      <c r="C1734" s="11"/>
      <c r="D1734" s="11"/>
      <c r="E1734" s="11"/>
      <c r="F1734" s="11"/>
      <c r="G1734" s="11"/>
      <c r="H1734" s="11"/>
      <c r="I1734" s="15"/>
    </row>
    <row r="1735" spans="1:9" ht="16.5">
      <c r="A1735" s="10" t="b">
        <v>0</v>
      </c>
      <c r="B1735" s="11" t="str">
        <f>IF(D1735&lt;&gt;"",IF(COUNTIF('USPTO TMs'!A:A,D1735)&gt;0,"Yes","No"),"")</f>
        <v/>
      </c>
      <c r="C1735" s="11"/>
      <c r="D1735" s="11"/>
      <c r="E1735" s="11"/>
      <c r="F1735" s="11"/>
      <c r="G1735" s="11"/>
      <c r="H1735" s="11"/>
      <c r="I1735" s="15"/>
    </row>
    <row r="1736" spans="1:9" ht="16.5">
      <c r="A1736" s="10" t="b">
        <v>0</v>
      </c>
      <c r="B1736" s="11" t="str">
        <f>IF(D1736&lt;&gt;"",IF(COUNTIF('USPTO TMs'!A:A,D1736)&gt;0,"Yes","No"),"")</f>
        <v/>
      </c>
      <c r="C1736" s="11"/>
      <c r="D1736" s="11"/>
      <c r="E1736" s="11"/>
      <c r="F1736" s="11"/>
      <c r="G1736" s="11"/>
      <c r="H1736" s="11"/>
      <c r="I1736" s="15"/>
    </row>
    <row r="1737" spans="1:9" ht="16.5">
      <c r="A1737" s="10" t="b">
        <v>0</v>
      </c>
      <c r="B1737" s="11" t="str">
        <f>IF(D1737&lt;&gt;"",IF(COUNTIF('USPTO TMs'!A:A,D1737)&gt;0,"Yes","No"),"")</f>
        <v/>
      </c>
      <c r="C1737" s="11"/>
      <c r="D1737" s="11"/>
      <c r="E1737" s="11"/>
      <c r="F1737" s="11"/>
      <c r="G1737" s="11"/>
      <c r="H1737" s="11"/>
      <c r="I1737" s="15"/>
    </row>
    <row r="1738" spans="1:9" ht="16.5">
      <c r="A1738" s="10" t="b">
        <v>0</v>
      </c>
      <c r="B1738" s="11" t="str">
        <f>IF(D1738&lt;&gt;"",IF(COUNTIF('USPTO TMs'!A:A,D1738)&gt;0,"Yes","No"),"")</f>
        <v/>
      </c>
      <c r="C1738" s="11"/>
      <c r="D1738" s="11"/>
      <c r="E1738" s="11"/>
      <c r="F1738" s="11"/>
      <c r="G1738" s="11"/>
      <c r="H1738" s="11"/>
      <c r="I1738" s="15"/>
    </row>
    <row r="1739" spans="1:9" ht="16.5">
      <c r="A1739" s="10" t="b">
        <v>0</v>
      </c>
      <c r="B1739" s="11" t="str">
        <f>IF(D1739&lt;&gt;"",IF(COUNTIF('USPTO TMs'!A:A,D1739)&gt;0,"Yes","No"),"")</f>
        <v/>
      </c>
      <c r="C1739" s="11"/>
      <c r="D1739" s="11"/>
      <c r="E1739" s="11"/>
      <c r="F1739" s="11"/>
      <c r="G1739" s="11"/>
      <c r="H1739" s="11"/>
      <c r="I1739" s="15"/>
    </row>
    <row r="1740" spans="1:9" ht="16.5">
      <c r="A1740" s="10" t="b">
        <v>0</v>
      </c>
      <c r="B1740" s="11" t="str">
        <f>IF(D1740&lt;&gt;"",IF(COUNTIF('USPTO TMs'!A:A,D1740)&gt;0,"Yes","No"),"")</f>
        <v/>
      </c>
      <c r="C1740" s="11"/>
      <c r="D1740" s="11"/>
      <c r="E1740" s="11"/>
      <c r="F1740" s="11"/>
      <c r="G1740" s="11"/>
      <c r="H1740" s="11"/>
      <c r="I1740" s="15"/>
    </row>
    <row r="1741" spans="1:9" ht="16.5">
      <c r="A1741" s="10" t="b">
        <v>0</v>
      </c>
      <c r="B1741" s="11" t="str">
        <f>IF(D1741&lt;&gt;"",IF(COUNTIF('USPTO TMs'!A:A,D1741)&gt;0,"Yes","No"),"")</f>
        <v/>
      </c>
      <c r="C1741" s="11"/>
      <c r="D1741" s="11"/>
      <c r="E1741" s="11"/>
      <c r="F1741" s="11"/>
      <c r="G1741" s="11"/>
      <c r="H1741" s="11"/>
      <c r="I1741" s="15"/>
    </row>
    <row r="1742" spans="1:9" ht="16.5">
      <c r="A1742" s="10" t="b">
        <v>0</v>
      </c>
      <c r="B1742" s="11" t="str">
        <f>IF(D1742&lt;&gt;"",IF(COUNTIF('USPTO TMs'!A:A,D1742)&gt;0,"Yes","No"),"")</f>
        <v/>
      </c>
      <c r="C1742" s="11"/>
      <c r="D1742" s="11"/>
      <c r="E1742" s="11"/>
      <c r="F1742" s="11"/>
      <c r="G1742" s="11"/>
      <c r="H1742" s="11"/>
      <c r="I1742" s="15"/>
    </row>
    <row r="1743" spans="1:9" ht="16.5">
      <c r="A1743" s="10" t="b">
        <v>0</v>
      </c>
      <c r="B1743" s="11" t="str">
        <f>IF(D1743&lt;&gt;"",IF(COUNTIF('USPTO TMs'!A:A,D1743)&gt;0,"Yes","No"),"")</f>
        <v/>
      </c>
      <c r="C1743" s="11"/>
      <c r="D1743" s="11"/>
      <c r="E1743" s="11"/>
      <c r="F1743" s="11"/>
      <c r="G1743" s="11"/>
      <c r="H1743" s="11"/>
      <c r="I1743" s="15"/>
    </row>
    <row r="1744" spans="1:9" ht="16.5">
      <c r="A1744" s="10" t="b">
        <v>0</v>
      </c>
      <c r="B1744" s="11" t="str">
        <f>IF(D1744&lt;&gt;"",IF(COUNTIF('USPTO TMs'!A:A,D1744)&gt;0,"Yes","No"),"")</f>
        <v/>
      </c>
      <c r="C1744" s="11"/>
      <c r="D1744" s="11"/>
      <c r="E1744" s="11"/>
      <c r="F1744" s="11"/>
      <c r="G1744" s="11"/>
      <c r="H1744" s="11"/>
      <c r="I1744" s="15"/>
    </row>
    <row r="1745" spans="1:9" ht="16.5">
      <c r="A1745" s="10" t="b">
        <v>0</v>
      </c>
      <c r="B1745" s="11" t="str">
        <f>IF(D1745&lt;&gt;"",IF(COUNTIF('USPTO TMs'!A:A,D1745)&gt;0,"Yes","No"),"")</f>
        <v/>
      </c>
      <c r="C1745" s="11"/>
      <c r="D1745" s="11"/>
      <c r="E1745" s="11"/>
      <c r="F1745" s="11"/>
      <c r="G1745" s="11"/>
      <c r="H1745" s="11"/>
      <c r="I1745" s="15"/>
    </row>
    <row r="1746" spans="1:9" ht="16.5">
      <c r="A1746" s="10" t="b">
        <v>0</v>
      </c>
      <c r="B1746" s="11" t="str">
        <f>IF(D1746&lt;&gt;"",IF(COUNTIF('USPTO TMs'!A:A,D1746)&gt;0,"Yes","No"),"")</f>
        <v/>
      </c>
      <c r="C1746" s="11"/>
      <c r="D1746" s="11"/>
      <c r="E1746" s="11"/>
      <c r="F1746" s="11"/>
      <c r="G1746" s="11"/>
      <c r="H1746" s="11"/>
      <c r="I1746" s="15"/>
    </row>
    <row r="1747" spans="1:9" ht="16.5">
      <c r="A1747" s="10" t="b">
        <v>0</v>
      </c>
      <c r="B1747" s="11" t="str">
        <f>IF(D1747&lt;&gt;"",IF(COUNTIF('USPTO TMs'!A:A,D1747)&gt;0,"Yes","No"),"")</f>
        <v/>
      </c>
      <c r="C1747" s="11"/>
      <c r="D1747" s="11"/>
      <c r="E1747" s="11"/>
      <c r="F1747" s="11"/>
      <c r="G1747" s="11"/>
      <c r="H1747" s="11"/>
      <c r="I1747" s="15"/>
    </row>
    <row r="1748" spans="1:9" ht="16.5">
      <c r="A1748" s="10" t="b">
        <v>0</v>
      </c>
      <c r="B1748" s="11" t="str">
        <f>IF(D1748&lt;&gt;"",IF(COUNTIF('USPTO TMs'!A:A,D1748)&gt;0,"Yes","No"),"")</f>
        <v/>
      </c>
      <c r="C1748" s="11"/>
      <c r="D1748" s="11"/>
      <c r="E1748" s="11"/>
      <c r="F1748" s="11"/>
      <c r="G1748" s="11"/>
      <c r="H1748" s="11"/>
      <c r="I1748" s="15"/>
    </row>
    <row r="1749" spans="1:9" ht="16.5">
      <c r="A1749" s="10" t="b">
        <v>0</v>
      </c>
      <c r="B1749" s="11" t="str">
        <f>IF(D1749&lt;&gt;"",IF(COUNTIF('USPTO TMs'!A:A,D1749)&gt;0,"Yes","No"),"")</f>
        <v/>
      </c>
      <c r="C1749" s="11"/>
      <c r="D1749" s="11"/>
      <c r="E1749" s="11"/>
      <c r="F1749" s="11"/>
      <c r="G1749" s="11"/>
      <c r="H1749" s="11"/>
      <c r="I1749" s="15"/>
    </row>
    <row r="1750" spans="1:9" ht="16.5">
      <c r="A1750" s="10" t="b">
        <v>0</v>
      </c>
      <c r="B1750" s="11" t="str">
        <f>IF(D1750&lt;&gt;"",IF(COUNTIF('USPTO TMs'!A:A,D1750)&gt;0,"Yes","No"),"")</f>
        <v/>
      </c>
      <c r="C1750" s="11"/>
      <c r="D1750" s="11"/>
      <c r="E1750" s="11"/>
      <c r="F1750" s="11"/>
      <c r="G1750" s="11"/>
      <c r="H1750" s="11"/>
      <c r="I1750" s="15"/>
    </row>
    <row r="1751" spans="1:9" ht="16.5">
      <c r="A1751" s="10" t="b">
        <v>0</v>
      </c>
      <c r="B1751" s="11" t="str">
        <f>IF(D1751&lt;&gt;"",IF(COUNTIF('USPTO TMs'!A:A,D1751)&gt;0,"Yes","No"),"")</f>
        <v/>
      </c>
      <c r="C1751" s="11"/>
      <c r="D1751" s="11"/>
      <c r="E1751" s="11"/>
      <c r="F1751" s="11"/>
      <c r="G1751" s="11"/>
      <c r="H1751" s="11"/>
      <c r="I1751" s="15"/>
    </row>
    <row r="1752" spans="1:9" ht="16.5">
      <c r="A1752" s="10" t="b">
        <v>0</v>
      </c>
      <c r="B1752" s="11" t="str">
        <f>IF(D1752&lt;&gt;"",IF(COUNTIF('USPTO TMs'!A:A,D1752)&gt;0,"Yes","No"),"")</f>
        <v/>
      </c>
      <c r="C1752" s="11"/>
      <c r="D1752" s="11"/>
      <c r="E1752" s="11"/>
      <c r="F1752" s="11"/>
      <c r="G1752" s="11"/>
      <c r="H1752" s="11"/>
      <c r="I1752" s="15"/>
    </row>
    <row r="1753" spans="1:9" ht="16.5">
      <c r="A1753" s="10" t="b">
        <v>0</v>
      </c>
      <c r="B1753" s="11" t="str">
        <f>IF(D1753&lt;&gt;"",IF(COUNTIF('USPTO TMs'!A:A,D1753)&gt;0,"Yes","No"),"")</f>
        <v/>
      </c>
      <c r="C1753" s="11"/>
      <c r="D1753" s="11"/>
      <c r="E1753" s="11"/>
      <c r="F1753" s="11"/>
      <c r="G1753" s="11"/>
      <c r="H1753" s="11"/>
      <c r="I1753" s="15"/>
    </row>
    <row r="1754" spans="1:9" ht="16.5">
      <c r="A1754" s="10" t="b">
        <v>0</v>
      </c>
      <c r="B1754" s="11" t="str">
        <f>IF(D1754&lt;&gt;"",IF(COUNTIF('USPTO TMs'!A:A,D1754)&gt;0,"Yes","No"),"")</f>
        <v/>
      </c>
      <c r="C1754" s="11"/>
      <c r="D1754" s="11"/>
      <c r="E1754" s="11"/>
      <c r="F1754" s="11"/>
      <c r="G1754" s="11"/>
      <c r="H1754" s="11"/>
      <c r="I1754" s="15"/>
    </row>
    <row r="1755" spans="1:9" ht="16.5">
      <c r="A1755" s="10" t="b">
        <v>0</v>
      </c>
      <c r="B1755" s="11" t="str">
        <f>IF(D1755&lt;&gt;"",IF(COUNTIF('USPTO TMs'!A:A,D1755)&gt;0,"Yes","No"),"")</f>
        <v/>
      </c>
      <c r="C1755" s="11"/>
      <c r="D1755" s="11"/>
      <c r="E1755" s="11"/>
      <c r="F1755" s="11"/>
      <c r="G1755" s="11"/>
      <c r="H1755" s="11"/>
      <c r="I1755" s="15"/>
    </row>
    <row r="1756" spans="1:9" ht="16.5">
      <c r="A1756" s="10" t="b">
        <v>0</v>
      </c>
      <c r="B1756" s="11" t="str">
        <f>IF(D1756&lt;&gt;"",IF(COUNTIF('USPTO TMs'!A:A,D1756)&gt;0,"Yes","No"),"")</f>
        <v/>
      </c>
      <c r="C1756" s="11"/>
      <c r="D1756" s="11"/>
      <c r="E1756" s="11"/>
      <c r="F1756" s="11"/>
      <c r="G1756" s="11"/>
      <c r="H1756" s="11"/>
      <c r="I1756" s="15"/>
    </row>
    <row r="1757" spans="1:9" ht="16.5">
      <c r="A1757" s="10" t="b">
        <v>0</v>
      </c>
      <c r="B1757" s="11" t="str">
        <f>IF(D1757&lt;&gt;"",IF(COUNTIF('USPTO TMs'!A:A,D1757)&gt;0,"Yes","No"),"")</f>
        <v/>
      </c>
      <c r="C1757" s="11"/>
      <c r="D1757" s="11"/>
      <c r="E1757" s="11"/>
      <c r="F1757" s="11"/>
      <c r="G1757" s="11"/>
      <c r="H1757" s="11"/>
      <c r="I1757" s="15"/>
    </row>
    <row r="1758" spans="1:9" ht="16.5">
      <c r="A1758" s="10" t="b">
        <v>0</v>
      </c>
      <c r="B1758" s="11" t="str">
        <f>IF(D1758&lt;&gt;"",IF(COUNTIF('USPTO TMs'!A:A,D1758)&gt;0,"Yes","No"),"")</f>
        <v/>
      </c>
      <c r="C1758" s="11"/>
      <c r="D1758" s="11"/>
      <c r="E1758" s="11"/>
      <c r="F1758" s="11"/>
      <c r="G1758" s="11"/>
      <c r="H1758" s="11"/>
      <c r="I1758" s="15"/>
    </row>
    <row r="1759" spans="1:9" ht="16.5">
      <c r="A1759" s="10" t="b">
        <v>0</v>
      </c>
      <c r="B1759" s="11" t="str">
        <f>IF(D1759&lt;&gt;"",IF(COUNTIF('USPTO TMs'!A:A,D1759)&gt;0,"Yes","No"),"")</f>
        <v/>
      </c>
      <c r="C1759" s="11"/>
      <c r="D1759" s="11"/>
      <c r="E1759" s="11"/>
      <c r="F1759" s="11"/>
      <c r="G1759" s="11"/>
      <c r="H1759" s="11"/>
      <c r="I1759" s="15"/>
    </row>
    <row r="1760" spans="1:9" ht="16.5">
      <c r="A1760" s="10" t="b">
        <v>0</v>
      </c>
      <c r="B1760" s="11" t="str">
        <f>IF(D1760&lt;&gt;"",IF(COUNTIF('USPTO TMs'!A:A,D1760)&gt;0,"Yes","No"),"")</f>
        <v/>
      </c>
      <c r="C1760" s="11"/>
      <c r="D1760" s="11"/>
      <c r="E1760" s="11"/>
      <c r="F1760" s="11"/>
      <c r="G1760" s="11"/>
      <c r="H1760" s="11"/>
      <c r="I1760" s="15"/>
    </row>
    <row r="1761" spans="1:9" ht="16.5">
      <c r="A1761" s="10" t="b">
        <v>0</v>
      </c>
      <c r="B1761" s="11" t="str">
        <f>IF(D1761&lt;&gt;"",IF(COUNTIF('USPTO TMs'!A:A,D1761)&gt;0,"Yes","No"),"")</f>
        <v/>
      </c>
      <c r="C1761" s="11"/>
      <c r="D1761" s="11"/>
      <c r="E1761" s="11"/>
      <c r="F1761" s="11"/>
      <c r="G1761" s="11"/>
      <c r="H1761" s="11"/>
      <c r="I1761" s="15"/>
    </row>
    <row r="1762" spans="1:9" ht="16.5">
      <c r="A1762" s="10" t="b">
        <v>0</v>
      </c>
      <c r="B1762" s="11" t="str">
        <f>IF(D1762&lt;&gt;"",IF(COUNTIF('USPTO TMs'!A:A,D1762)&gt;0,"Yes","No"),"")</f>
        <v/>
      </c>
      <c r="C1762" s="11"/>
      <c r="D1762" s="11"/>
      <c r="E1762" s="11"/>
      <c r="F1762" s="11"/>
      <c r="G1762" s="11"/>
      <c r="H1762" s="11"/>
      <c r="I1762" s="15"/>
    </row>
    <row r="1763" spans="1:9" ht="16.5">
      <c r="A1763" s="10" t="b">
        <v>0</v>
      </c>
      <c r="B1763" s="11" t="str">
        <f>IF(D1763&lt;&gt;"",IF(COUNTIF('USPTO TMs'!A:A,D1763)&gt;0,"Yes","No"),"")</f>
        <v/>
      </c>
      <c r="C1763" s="11"/>
      <c r="D1763" s="11"/>
      <c r="E1763" s="11"/>
      <c r="F1763" s="11"/>
      <c r="G1763" s="11"/>
      <c r="H1763" s="11"/>
      <c r="I1763" s="15"/>
    </row>
    <row r="1764" spans="1:9" ht="16.5">
      <c r="A1764" s="10" t="b">
        <v>0</v>
      </c>
      <c r="B1764" s="11" t="str">
        <f>IF(D1764&lt;&gt;"",IF(COUNTIF('USPTO TMs'!A:A,D1764)&gt;0,"Yes","No"),"")</f>
        <v/>
      </c>
      <c r="C1764" s="11"/>
      <c r="D1764" s="11"/>
      <c r="E1764" s="11"/>
      <c r="F1764" s="11"/>
      <c r="G1764" s="11"/>
      <c r="H1764" s="11"/>
      <c r="I1764" s="15"/>
    </row>
    <row r="1765" spans="1:9" ht="16.5">
      <c r="A1765" s="10" t="b">
        <v>0</v>
      </c>
      <c r="B1765" s="11" t="str">
        <f>IF(D1765&lt;&gt;"",IF(COUNTIF('USPTO TMs'!A:A,D1765)&gt;0,"Yes","No"),"")</f>
        <v/>
      </c>
      <c r="C1765" s="11"/>
      <c r="D1765" s="11"/>
      <c r="E1765" s="11"/>
      <c r="F1765" s="11"/>
      <c r="G1765" s="11"/>
      <c r="H1765" s="11"/>
      <c r="I1765" s="15"/>
    </row>
    <row r="1766" spans="1:9" ht="16.5">
      <c r="A1766" s="10" t="b">
        <v>0</v>
      </c>
      <c r="B1766" s="11" t="str">
        <f>IF(D1766&lt;&gt;"",IF(COUNTIF('USPTO TMs'!A:A,D1766)&gt;0,"Yes","No"),"")</f>
        <v/>
      </c>
      <c r="C1766" s="11"/>
      <c r="D1766" s="11"/>
      <c r="E1766" s="11"/>
      <c r="F1766" s="11"/>
      <c r="G1766" s="11"/>
      <c r="H1766" s="11"/>
      <c r="I1766" s="15"/>
    </row>
    <row r="1767" spans="1:9" ht="16.5">
      <c r="A1767" s="10" t="b">
        <v>0</v>
      </c>
      <c r="B1767" s="11" t="str">
        <f>IF(D1767&lt;&gt;"",IF(COUNTIF('USPTO TMs'!A:A,D1767)&gt;0,"Yes","No"),"")</f>
        <v/>
      </c>
      <c r="C1767" s="11"/>
      <c r="D1767" s="11"/>
      <c r="E1767" s="11"/>
      <c r="F1767" s="11"/>
      <c r="G1767" s="11"/>
      <c r="H1767" s="11"/>
      <c r="I1767" s="15"/>
    </row>
    <row r="1768" spans="1:9" ht="16.5">
      <c r="A1768" s="10" t="b">
        <v>0</v>
      </c>
      <c r="B1768" s="11" t="str">
        <f>IF(D1768&lt;&gt;"",IF(COUNTIF('USPTO TMs'!A:A,D1768)&gt;0,"Yes","No"),"")</f>
        <v/>
      </c>
      <c r="C1768" s="11"/>
      <c r="D1768" s="11"/>
      <c r="E1768" s="11"/>
      <c r="F1768" s="11"/>
      <c r="G1768" s="11"/>
      <c r="H1768" s="11"/>
      <c r="I1768" s="15"/>
    </row>
    <row r="1769" spans="1:9" ht="16.5">
      <c r="A1769" s="10" t="b">
        <v>0</v>
      </c>
      <c r="B1769" s="11" t="str">
        <f>IF(D1769&lt;&gt;"",IF(COUNTIF('USPTO TMs'!A:A,D1769)&gt;0,"Yes","No"),"")</f>
        <v/>
      </c>
      <c r="C1769" s="11"/>
      <c r="D1769" s="11"/>
      <c r="E1769" s="11"/>
      <c r="F1769" s="11"/>
      <c r="G1769" s="11"/>
      <c r="H1769" s="11"/>
      <c r="I1769" s="15"/>
    </row>
    <row r="1770" spans="1:9" ht="16.5">
      <c r="A1770" s="10" t="b">
        <v>0</v>
      </c>
      <c r="B1770" s="11" t="str">
        <f>IF(D1770&lt;&gt;"",IF(COUNTIF('USPTO TMs'!A:A,D1770)&gt;0,"Yes","No"),"")</f>
        <v/>
      </c>
      <c r="C1770" s="11"/>
      <c r="D1770" s="11"/>
      <c r="E1770" s="11"/>
      <c r="F1770" s="11"/>
      <c r="G1770" s="11"/>
      <c r="H1770" s="11"/>
      <c r="I1770" s="15"/>
    </row>
    <row r="1771" spans="1:9" ht="16.5">
      <c r="A1771" s="10" t="b">
        <v>0</v>
      </c>
      <c r="B1771" s="11" t="str">
        <f>IF(D1771&lt;&gt;"",IF(COUNTIF('USPTO TMs'!A:A,D1771)&gt;0,"Yes","No"),"")</f>
        <v/>
      </c>
      <c r="C1771" s="11"/>
      <c r="D1771" s="11"/>
      <c r="E1771" s="11"/>
      <c r="F1771" s="11"/>
      <c r="G1771" s="11"/>
      <c r="H1771" s="11"/>
      <c r="I1771" s="15"/>
    </row>
    <row r="1772" spans="1:9" ht="16.5">
      <c r="A1772" s="10" t="b">
        <v>0</v>
      </c>
      <c r="B1772" s="11" t="str">
        <f>IF(D1772&lt;&gt;"",IF(COUNTIF('USPTO TMs'!A:A,D1772)&gt;0,"Yes","No"),"")</f>
        <v/>
      </c>
      <c r="C1772" s="11"/>
      <c r="D1772" s="11"/>
      <c r="E1772" s="11"/>
      <c r="F1772" s="11"/>
      <c r="G1772" s="11"/>
      <c r="H1772" s="11"/>
      <c r="I1772" s="15"/>
    </row>
    <row r="1773" spans="1:9" ht="16.5">
      <c r="A1773" s="10" t="b">
        <v>0</v>
      </c>
      <c r="B1773" s="11" t="str">
        <f>IF(D1773&lt;&gt;"",IF(COUNTIF('USPTO TMs'!A:A,D1773)&gt;0,"Yes","No"),"")</f>
        <v/>
      </c>
      <c r="C1773" s="11"/>
      <c r="D1773" s="11"/>
      <c r="E1773" s="11"/>
      <c r="F1773" s="11"/>
      <c r="G1773" s="11"/>
      <c r="H1773" s="11"/>
      <c r="I1773" s="15"/>
    </row>
    <row r="1774" spans="1:9" ht="16.5">
      <c r="A1774" s="10" t="b">
        <v>0</v>
      </c>
      <c r="B1774" s="11" t="str">
        <f>IF(D1774&lt;&gt;"",IF(COUNTIF('USPTO TMs'!A:A,D1774)&gt;0,"Yes","No"),"")</f>
        <v/>
      </c>
      <c r="C1774" s="11"/>
      <c r="D1774" s="11"/>
      <c r="E1774" s="11"/>
      <c r="F1774" s="11"/>
      <c r="G1774" s="11"/>
      <c r="H1774" s="11"/>
      <c r="I1774" s="15"/>
    </row>
    <row r="1775" spans="1:9" ht="16.5">
      <c r="A1775" s="10" t="b">
        <v>0</v>
      </c>
      <c r="B1775" s="11" t="str">
        <f>IF(D1775&lt;&gt;"",IF(COUNTIF('USPTO TMs'!A:A,D1775)&gt;0,"Yes","No"),"")</f>
        <v/>
      </c>
      <c r="C1775" s="11"/>
      <c r="D1775" s="11"/>
      <c r="E1775" s="11"/>
      <c r="F1775" s="11"/>
      <c r="G1775" s="11"/>
      <c r="H1775" s="11"/>
      <c r="I1775" s="15"/>
    </row>
    <row r="1776" spans="1:9" ht="16.5">
      <c r="A1776" s="10" t="b">
        <v>0</v>
      </c>
      <c r="B1776" s="11" t="str">
        <f>IF(D1776&lt;&gt;"",IF(COUNTIF('USPTO TMs'!A:A,D1776)&gt;0,"Yes","No"),"")</f>
        <v/>
      </c>
      <c r="C1776" s="11"/>
      <c r="D1776" s="11"/>
      <c r="E1776" s="11"/>
      <c r="F1776" s="11"/>
      <c r="G1776" s="11"/>
      <c r="H1776" s="11"/>
      <c r="I1776" s="15"/>
    </row>
    <row r="1777" spans="1:9" ht="16.5">
      <c r="A1777" s="10" t="b">
        <v>0</v>
      </c>
      <c r="B1777" s="11" t="str">
        <f>IF(D1777&lt;&gt;"",IF(COUNTIF('USPTO TMs'!A:A,D1777)&gt;0,"Yes","No"),"")</f>
        <v/>
      </c>
      <c r="C1777" s="11"/>
      <c r="D1777" s="11"/>
      <c r="E1777" s="11"/>
      <c r="F1777" s="11"/>
      <c r="G1777" s="11"/>
      <c r="H1777" s="11"/>
      <c r="I1777" s="15"/>
    </row>
    <row r="1778" spans="1:9" ht="16.5">
      <c r="A1778" s="10" t="b">
        <v>0</v>
      </c>
      <c r="B1778" s="11" t="str">
        <f>IF(D1778&lt;&gt;"",IF(COUNTIF('USPTO TMs'!A:A,D1778)&gt;0,"Yes","No"),"")</f>
        <v/>
      </c>
      <c r="C1778" s="11"/>
      <c r="D1778" s="11"/>
      <c r="E1778" s="11"/>
      <c r="F1778" s="11"/>
      <c r="G1778" s="11"/>
      <c r="H1778" s="11"/>
      <c r="I1778" s="15"/>
    </row>
    <row r="1779" spans="1:9" ht="16.5">
      <c r="A1779" s="10" t="b">
        <v>0</v>
      </c>
      <c r="B1779" s="11" t="str">
        <f>IF(D1779&lt;&gt;"",IF(COUNTIF('USPTO TMs'!A:A,D1779)&gt;0,"Yes","No"),"")</f>
        <v/>
      </c>
      <c r="C1779" s="11"/>
      <c r="D1779" s="11"/>
      <c r="E1779" s="11"/>
      <c r="F1779" s="11"/>
      <c r="G1779" s="11"/>
      <c r="H1779" s="11"/>
      <c r="I1779" s="15"/>
    </row>
    <row r="1780" spans="1:9" ht="16.5">
      <c r="A1780" s="10" t="b">
        <v>0</v>
      </c>
      <c r="B1780" s="11" t="str">
        <f>IF(D1780&lt;&gt;"",IF(COUNTIF('USPTO TMs'!A:A,D1780)&gt;0,"Yes","No"),"")</f>
        <v/>
      </c>
      <c r="C1780" s="11"/>
      <c r="D1780" s="11"/>
      <c r="E1780" s="11"/>
      <c r="F1780" s="11"/>
      <c r="G1780" s="11"/>
      <c r="H1780" s="11"/>
      <c r="I1780" s="15"/>
    </row>
    <row r="1781" spans="1:9" ht="16.5">
      <c r="A1781" s="10" t="b">
        <v>0</v>
      </c>
      <c r="B1781" s="11" t="str">
        <f>IF(D1781&lt;&gt;"",IF(COUNTIF('USPTO TMs'!A:A,D1781)&gt;0,"Yes","No"),"")</f>
        <v/>
      </c>
      <c r="C1781" s="11"/>
      <c r="D1781" s="11"/>
      <c r="E1781" s="11"/>
      <c r="F1781" s="11"/>
      <c r="G1781" s="11"/>
      <c r="H1781" s="11"/>
      <c r="I1781" s="15"/>
    </row>
    <row r="1782" spans="1:9" ht="16.5">
      <c r="A1782" s="10" t="b">
        <v>0</v>
      </c>
      <c r="B1782" s="11" t="str">
        <f>IF(D1782&lt;&gt;"",IF(COUNTIF('USPTO TMs'!A:A,D1782)&gt;0,"Yes","No"),"")</f>
        <v/>
      </c>
      <c r="C1782" s="11"/>
      <c r="D1782" s="11"/>
      <c r="E1782" s="11"/>
      <c r="F1782" s="11"/>
      <c r="G1782" s="11"/>
      <c r="H1782" s="11"/>
      <c r="I1782" s="15"/>
    </row>
    <row r="1783" spans="1:9" ht="16.5">
      <c r="A1783" s="10" t="b">
        <v>0</v>
      </c>
      <c r="B1783" s="11" t="str">
        <f>IF(D1783&lt;&gt;"",IF(COUNTIF('USPTO TMs'!A:A,D1783)&gt;0,"Yes","No"),"")</f>
        <v/>
      </c>
      <c r="C1783" s="11"/>
      <c r="D1783" s="11"/>
      <c r="E1783" s="11"/>
      <c r="F1783" s="11"/>
      <c r="G1783" s="11"/>
      <c r="H1783" s="11"/>
      <c r="I1783" s="15"/>
    </row>
    <row r="1784" spans="1:9" ht="16.5">
      <c r="A1784" s="10" t="b">
        <v>0</v>
      </c>
      <c r="B1784" s="11" t="str">
        <f>IF(D1784&lt;&gt;"",IF(COUNTIF('USPTO TMs'!A:A,D1784)&gt;0,"Yes","No"),"")</f>
        <v/>
      </c>
      <c r="C1784" s="11"/>
      <c r="D1784" s="11"/>
      <c r="E1784" s="11"/>
      <c r="F1784" s="11"/>
      <c r="G1784" s="11"/>
      <c r="H1784" s="11"/>
      <c r="I1784" s="15"/>
    </row>
    <row r="1785" spans="1:9" ht="16.5">
      <c r="A1785" s="10" t="b">
        <v>0</v>
      </c>
      <c r="B1785" s="11" t="str">
        <f>IF(D1785&lt;&gt;"",IF(COUNTIF('USPTO TMs'!A:A,D1785)&gt;0,"Yes","No"),"")</f>
        <v/>
      </c>
      <c r="C1785" s="11"/>
      <c r="D1785" s="11"/>
      <c r="E1785" s="11"/>
      <c r="F1785" s="11"/>
      <c r="G1785" s="11"/>
      <c r="H1785" s="11"/>
      <c r="I1785" s="15"/>
    </row>
    <row r="1786" spans="1:9" ht="16.5">
      <c r="A1786" s="10" t="b">
        <v>0</v>
      </c>
      <c r="B1786" s="11" t="str">
        <f>IF(D1786&lt;&gt;"",IF(COUNTIF('USPTO TMs'!A:A,D1786)&gt;0,"Yes","No"),"")</f>
        <v/>
      </c>
      <c r="C1786" s="11"/>
      <c r="D1786" s="11"/>
      <c r="E1786" s="11"/>
      <c r="F1786" s="11"/>
      <c r="G1786" s="11"/>
      <c r="H1786" s="11"/>
      <c r="I1786" s="15"/>
    </row>
    <row r="1787" spans="1:9" ht="16.5">
      <c r="A1787" s="10" t="b">
        <v>0</v>
      </c>
      <c r="B1787" s="11" t="str">
        <f>IF(D1787&lt;&gt;"",IF(COUNTIF('USPTO TMs'!A:A,D1787)&gt;0,"Yes","No"),"")</f>
        <v/>
      </c>
      <c r="C1787" s="11"/>
      <c r="D1787" s="11"/>
      <c r="E1787" s="11"/>
      <c r="F1787" s="11"/>
      <c r="G1787" s="11"/>
      <c r="H1787" s="11"/>
      <c r="I1787" s="15"/>
    </row>
    <row r="1788" spans="1:9" ht="16.5">
      <c r="A1788" s="10" t="b">
        <v>0</v>
      </c>
      <c r="B1788" s="11" t="str">
        <f>IF(D1788&lt;&gt;"",IF(COUNTIF('USPTO TMs'!A:A,D1788)&gt;0,"Yes","No"),"")</f>
        <v/>
      </c>
      <c r="C1788" s="11"/>
      <c r="D1788" s="11"/>
      <c r="E1788" s="11"/>
      <c r="F1788" s="11"/>
      <c r="G1788" s="11"/>
      <c r="H1788" s="11"/>
      <c r="I1788" s="15"/>
    </row>
    <row r="1789" spans="1:9" ht="16.5">
      <c r="A1789" s="10" t="b">
        <v>0</v>
      </c>
      <c r="B1789" s="11" t="str">
        <f>IF(D1789&lt;&gt;"",IF(COUNTIF('USPTO TMs'!A:A,D1789)&gt;0,"Yes","No"),"")</f>
        <v/>
      </c>
      <c r="C1789" s="11"/>
      <c r="D1789" s="11"/>
      <c r="E1789" s="11"/>
      <c r="F1789" s="11"/>
      <c r="G1789" s="11"/>
      <c r="H1789" s="11"/>
      <c r="I1789" s="15"/>
    </row>
    <row r="1790" spans="1:9" ht="16.5">
      <c r="A1790" s="10" t="b">
        <v>0</v>
      </c>
      <c r="B1790" s="11" t="str">
        <f>IF(D1790&lt;&gt;"",IF(COUNTIF('USPTO TMs'!A:A,D1790)&gt;0,"Yes","No"),"")</f>
        <v/>
      </c>
      <c r="C1790" s="11"/>
      <c r="D1790" s="11"/>
      <c r="E1790" s="11"/>
      <c r="F1790" s="11"/>
      <c r="G1790" s="11"/>
      <c r="H1790" s="11"/>
      <c r="I1790" s="15"/>
    </row>
    <row r="1791" spans="1:9" ht="16.5">
      <c r="A1791" s="10" t="b">
        <v>0</v>
      </c>
      <c r="B1791" s="11" t="str">
        <f>IF(D1791&lt;&gt;"",IF(COUNTIF('USPTO TMs'!A:A,D1791)&gt;0,"Yes","No"),"")</f>
        <v/>
      </c>
      <c r="C1791" s="11"/>
      <c r="D1791" s="11"/>
      <c r="E1791" s="11"/>
      <c r="F1791" s="11"/>
      <c r="G1791" s="11"/>
      <c r="H1791" s="11"/>
      <c r="I1791" s="15"/>
    </row>
    <row r="1792" spans="1:9" ht="16.5">
      <c r="A1792" s="10" t="b">
        <v>0</v>
      </c>
      <c r="B1792" s="11" t="str">
        <f>IF(D1792&lt;&gt;"",IF(COUNTIF('USPTO TMs'!A:A,D1792)&gt;0,"Yes","No"),"")</f>
        <v/>
      </c>
      <c r="C1792" s="11"/>
      <c r="D1792" s="11"/>
      <c r="E1792" s="11"/>
      <c r="F1792" s="11"/>
      <c r="G1792" s="11"/>
      <c r="H1792" s="11"/>
      <c r="I1792" s="15"/>
    </row>
    <row r="1793" spans="1:9" ht="16.5">
      <c r="A1793" s="10" t="b">
        <v>0</v>
      </c>
      <c r="B1793" s="11" t="str">
        <f>IF(D1793&lt;&gt;"",IF(COUNTIF('USPTO TMs'!A:A,D1793)&gt;0,"Yes","No"),"")</f>
        <v/>
      </c>
      <c r="C1793" s="11"/>
      <c r="D1793" s="11"/>
      <c r="E1793" s="11"/>
      <c r="F1793" s="11"/>
      <c r="G1793" s="11"/>
      <c r="H1793" s="11"/>
      <c r="I1793" s="15"/>
    </row>
    <row r="1794" spans="1:9" ht="16.5">
      <c r="A1794" s="10" t="b">
        <v>0</v>
      </c>
      <c r="B1794" s="11" t="str">
        <f>IF(D1794&lt;&gt;"",IF(COUNTIF('USPTO TMs'!A:A,D1794)&gt;0,"Yes","No"),"")</f>
        <v/>
      </c>
      <c r="C1794" s="11"/>
      <c r="D1794" s="11"/>
      <c r="E1794" s="11"/>
      <c r="F1794" s="11"/>
      <c r="G1794" s="11"/>
      <c r="H1794" s="11"/>
      <c r="I1794" s="15"/>
    </row>
    <row r="1795" spans="1:9" ht="16.5">
      <c r="A1795" s="10" t="b">
        <v>0</v>
      </c>
      <c r="B1795" s="11" t="str">
        <f>IF(D1795&lt;&gt;"",IF(COUNTIF('USPTO TMs'!A:A,D1795)&gt;0,"Yes","No"),"")</f>
        <v/>
      </c>
      <c r="C1795" s="11"/>
      <c r="D1795" s="11"/>
      <c r="E1795" s="11"/>
      <c r="F1795" s="11"/>
      <c r="G1795" s="11"/>
      <c r="H1795" s="11"/>
      <c r="I1795" s="15"/>
    </row>
    <row r="1796" spans="1:9" ht="16.5">
      <c r="A1796" s="10" t="b">
        <v>0</v>
      </c>
      <c r="B1796" s="11" t="str">
        <f>IF(D1796&lt;&gt;"",IF(COUNTIF('USPTO TMs'!A:A,D1796)&gt;0,"Yes","No"),"")</f>
        <v/>
      </c>
      <c r="C1796" s="11"/>
      <c r="D1796" s="11"/>
      <c r="E1796" s="11"/>
      <c r="F1796" s="11"/>
      <c r="G1796" s="11"/>
      <c r="H1796" s="11"/>
      <c r="I1796" s="15"/>
    </row>
    <row r="1797" spans="1:9" ht="16.5">
      <c r="A1797" s="10" t="b">
        <v>0</v>
      </c>
      <c r="B1797" s="11" t="str">
        <f>IF(D1797&lt;&gt;"",IF(COUNTIF('USPTO TMs'!A:A,D1797)&gt;0,"Yes","No"),"")</f>
        <v/>
      </c>
      <c r="C1797" s="11"/>
      <c r="D1797" s="11"/>
      <c r="E1797" s="11"/>
      <c r="F1797" s="11"/>
      <c r="G1797" s="11"/>
      <c r="H1797" s="11"/>
      <c r="I1797" s="15"/>
    </row>
    <row r="1798" spans="1:9" ht="16.5">
      <c r="A1798" s="10" t="b">
        <v>0</v>
      </c>
      <c r="B1798" s="11" t="str">
        <f>IF(D1798&lt;&gt;"",IF(COUNTIF('USPTO TMs'!A:A,D1798)&gt;0,"Yes","No"),"")</f>
        <v/>
      </c>
      <c r="C1798" s="11"/>
      <c r="D1798" s="11"/>
      <c r="E1798" s="11"/>
      <c r="F1798" s="11"/>
      <c r="G1798" s="11"/>
      <c r="H1798" s="11"/>
      <c r="I1798" s="15"/>
    </row>
    <row r="1799" spans="1:9" ht="16.5">
      <c r="A1799" s="10" t="b">
        <v>0</v>
      </c>
      <c r="B1799" s="11" t="str">
        <f>IF(D1799&lt;&gt;"",IF(COUNTIF('USPTO TMs'!A:A,D1799)&gt;0,"Yes","No"),"")</f>
        <v/>
      </c>
      <c r="C1799" s="11"/>
      <c r="D1799" s="11"/>
      <c r="E1799" s="11"/>
      <c r="F1799" s="11"/>
      <c r="G1799" s="11"/>
      <c r="H1799" s="11"/>
      <c r="I1799" s="15"/>
    </row>
    <row r="1800" spans="1:9" ht="16.5">
      <c r="A1800" s="10" t="b">
        <v>0</v>
      </c>
      <c r="B1800" s="11" t="str">
        <f>IF(D1800&lt;&gt;"",IF(COUNTIF('USPTO TMs'!A:A,D1800)&gt;0,"Yes","No"),"")</f>
        <v/>
      </c>
      <c r="C1800" s="11"/>
      <c r="D1800" s="11"/>
      <c r="E1800" s="11"/>
      <c r="F1800" s="11"/>
      <c r="G1800" s="11"/>
      <c r="H1800" s="11"/>
      <c r="I1800" s="15"/>
    </row>
    <row r="1801" spans="1:9" ht="16.5">
      <c r="A1801" s="10" t="b">
        <v>0</v>
      </c>
      <c r="B1801" s="11" t="str">
        <f>IF(D1801&lt;&gt;"",IF(COUNTIF('USPTO TMs'!A:A,D1801)&gt;0,"Yes","No"),"")</f>
        <v/>
      </c>
      <c r="C1801" s="11"/>
      <c r="D1801" s="11"/>
      <c r="E1801" s="11"/>
      <c r="F1801" s="11"/>
      <c r="G1801" s="11"/>
      <c r="H1801" s="11"/>
      <c r="I1801" s="15"/>
    </row>
    <row r="1802" spans="1:9" ht="16.5">
      <c r="A1802" s="10" t="b">
        <v>0</v>
      </c>
      <c r="B1802" s="11" t="str">
        <f>IF(D1802&lt;&gt;"",IF(COUNTIF('USPTO TMs'!A:A,D1802)&gt;0,"Yes","No"),"")</f>
        <v/>
      </c>
      <c r="C1802" s="11"/>
      <c r="D1802" s="11"/>
      <c r="E1802" s="11"/>
      <c r="F1802" s="11"/>
      <c r="G1802" s="11"/>
      <c r="H1802" s="11"/>
      <c r="I1802" s="15"/>
    </row>
    <row r="1803" spans="1:9" ht="16.5">
      <c r="A1803" s="10" t="b">
        <v>0</v>
      </c>
      <c r="B1803" s="11" t="str">
        <f>IF(D1803&lt;&gt;"",IF(COUNTIF('USPTO TMs'!A:A,D1803)&gt;0,"Yes","No"),"")</f>
        <v/>
      </c>
      <c r="C1803" s="11"/>
      <c r="D1803" s="11"/>
      <c r="E1803" s="11"/>
      <c r="F1803" s="11"/>
      <c r="G1803" s="11"/>
      <c r="H1803" s="11"/>
      <c r="I1803" s="15"/>
    </row>
    <row r="1804" spans="1:9" ht="16.5">
      <c r="A1804" s="10" t="b">
        <v>0</v>
      </c>
      <c r="B1804" s="11" t="str">
        <f>IF(D1804&lt;&gt;"",IF(COUNTIF('USPTO TMs'!A:A,D1804)&gt;0,"Yes","No"),"")</f>
        <v/>
      </c>
      <c r="C1804" s="11"/>
      <c r="D1804" s="11"/>
      <c r="E1804" s="11"/>
      <c r="F1804" s="11"/>
      <c r="G1804" s="11"/>
      <c r="H1804" s="11"/>
      <c r="I1804" s="15"/>
    </row>
    <row r="1805" spans="1:9" ht="16.5">
      <c r="A1805" s="10" t="b">
        <v>0</v>
      </c>
      <c r="B1805" s="11" t="str">
        <f>IF(D1805&lt;&gt;"",IF(COUNTIF('USPTO TMs'!A:A,D1805)&gt;0,"Yes","No"),"")</f>
        <v/>
      </c>
      <c r="C1805" s="11"/>
      <c r="D1805" s="11"/>
      <c r="E1805" s="11"/>
      <c r="F1805" s="11"/>
      <c r="G1805" s="11"/>
      <c r="H1805" s="11"/>
      <c r="I1805" s="15"/>
    </row>
    <row r="1806" spans="1:9" ht="16.5">
      <c r="A1806" s="10" t="b">
        <v>0</v>
      </c>
      <c r="B1806" s="11" t="str">
        <f>IF(D1806&lt;&gt;"",IF(COUNTIF('USPTO TMs'!A:A,D1806)&gt;0,"Yes","No"),"")</f>
        <v/>
      </c>
      <c r="C1806" s="11"/>
      <c r="D1806" s="11"/>
      <c r="E1806" s="11"/>
      <c r="F1806" s="11"/>
      <c r="G1806" s="11"/>
      <c r="H1806" s="11"/>
      <c r="I1806" s="15"/>
    </row>
    <row r="1807" spans="1:9" ht="16.5">
      <c r="A1807" s="10" t="b">
        <v>0</v>
      </c>
      <c r="B1807" s="11" t="str">
        <f>IF(D1807&lt;&gt;"",IF(COUNTIF('USPTO TMs'!A:A,D1807)&gt;0,"Yes","No"),"")</f>
        <v/>
      </c>
      <c r="C1807" s="11"/>
      <c r="D1807" s="11"/>
      <c r="E1807" s="11"/>
      <c r="F1807" s="11"/>
      <c r="G1807" s="11"/>
      <c r="H1807" s="11"/>
      <c r="I1807" s="15"/>
    </row>
    <row r="1808" spans="1:9" ht="16.5">
      <c r="A1808" s="10" t="b">
        <v>0</v>
      </c>
      <c r="B1808" s="11" t="str">
        <f>IF(D1808&lt;&gt;"",IF(COUNTIF('USPTO TMs'!A:A,D1808)&gt;0,"Yes","No"),"")</f>
        <v/>
      </c>
      <c r="C1808" s="11"/>
      <c r="D1808" s="11"/>
      <c r="E1808" s="11"/>
      <c r="F1808" s="11"/>
      <c r="G1808" s="11"/>
      <c r="H1808" s="11"/>
      <c r="I1808" s="15"/>
    </row>
    <row r="1809" spans="1:9" ht="16.5">
      <c r="A1809" s="10" t="b">
        <v>0</v>
      </c>
      <c r="B1809" s="11" t="str">
        <f>IF(D1809&lt;&gt;"",IF(COUNTIF('USPTO TMs'!A:A,D1809)&gt;0,"Yes","No"),"")</f>
        <v/>
      </c>
      <c r="C1809" s="11"/>
      <c r="D1809" s="11"/>
      <c r="E1809" s="11"/>
      <c r="F1809" s="11"/>
      <c r="G1809" s="11"/>
      <c r="H1809" s="11"/>
      <c r="I1809" s="15"/>
    </row>
    <row r="1810" spans="1:9" ht="16.5">
      <c r="A1810" s="10" t="b">
        <v>0</v>
      </c>
      <c r="B1810" s="11" t="str">
        <f>IF(D1810&lt;&gt;"",IF(COUNTIF('USPTO TMs'!A:A,D1810)&gt;0,"Yes","No"),"")</f>
        <v/>
      </c>
      <c r="C1810" s="11"/>
      <c r="D1810" s="11"/>
      <c r="E1810" s="11"/>
      <c r="F1810" s="11"/>
      <c r="G1810" s="11"/>
      <c r="H1810" s="11"/>
      <c r="I1810" s="15"/>
    </row>
    <row r="1811" spans="1:9" ht="16.5">
      <c r="A1811" s="10" t="b">
        <v>0</v>
      </c>
      <c r="B1811" s="11" t="str">
        <f>IF(D1811&lt;&gt;"",IF(COUNTIF('USPTO TMs'!A:A,D1811)&gt;0,"Yes","No"),"")</f>
        <v/>
      </c>
      <c r="C1811" s="11"/>
      <c r="D1811" s="11"/>
      <c r="E1811" s="11"/>
      <c r="F1811" s="11"/>
      <c r="G1811" s="11"/>
      <c r="H1811" s="11"/>
      <c r="I1811" s="15"/>
    </row>
    <row r="1812" spans="1:9" ht="16.5">
      <c r="A1812" s="10" t="b">
        <v>0</v>
      </c>
      <c r="B1812" s="11" t="str">
        <f>IF(D1812&lt;&gt;"",IF(COUNTIF('USPTO TMs'!A:A,D1812)&gt;0,"Yes","No"),"")</f>
        <v/>
      </c>
      <c r="C1812" s="11"/>
      <c r="D1812" s="11"/>
      <c r="E1812" s="11"/>
      <c r="F1812" s="11"/>
      <c r="G1812" s="11"/>
      <c r="H1812" s="11"/>
      <c r="I1812" s="15"/>
    </row>
    <row r="1813" spans="1:9" ht="16.5">
      <c r="A1813" s="10" t="b">
        <v>0</v>
      </c>
      <c r="B1813" s="11" t="str">
        <f>IF(D1813&lt;&gt;"",IF(COUNTIF('USPTO TMs'!A:A,D1813)&gt;0,"Yes","No"),"")</f>
        <v/>
      </c>
      <c r="C1813" s="11"/>
      <c r="D1813" s="11"/>
      <c r="E1813" s="11"/>
      <c r="F1813" s="11"/>
      <c r="G1813" s="11"/>
      <c r="H1813" s="11"/>
      <c r="I1813" s="15"/>
    </row>
    <row r="1814" spans="1:9" ht="16.5">
      <c r="A1814" s="10" t="b">
        <v>0</v>
      </c>
      <c r="B1814" s="11" t="str">
        <f>IF(D1814&lt;&gt;"",IF(COUNTIF('USPTO TMs'!A:A,D1814)&gt;0,"Yes","No"),"")</f>
        <v/>
      </c>
      <c r="C1814" s="11"/>
      <c r="D1814" s="11"/>
      <c r="E1814" s="11"/>
      <c r="F1814" s="11"/>
      <c r="G1814" s="11"/>
      <c r="H1814" s="11"/>
      <c r="I1814" s="15"/>
    </row>
    <row r="1815" spans="1:9" ht="16.5">
      <c r="A1815" s="10" t="b">
        <v>0</v>
      </c>
      <c r="B1815" s="11" t="str">
        <f>IF(D1815&lt;&gt;"",IF(COUNTIF('USPTO TMs'!A:A,D1815)&gt;0,"Yes","No"),"")</f>
        <v/>
      </c>
      <c r="C1815" s="11"/>
      <c r="D1815" s="11"/>
      <c r="E1815" s="11"/>
      <c r="F1815" s="11"/>
      <c r="G1815" s="11"/>
      <c r="H1815" s="11"/>
      <c r="I1815" s="15"/>
    </row>
    <row r="1816" spans="1:9" ht="16.5">
      <c r="A1816" s="10" t="b">
        <v>0</v>
      </c>
      <c r="B1816" s="11" t="str">
        <f>IF(D1816&lt;&gt;"",IF(COUNTIF('USPTO TMs'!A:A,D1816)&gt;0,"Yes","No"),"")</f>
        <v/>
      </c>
      <c r="C1816" s="11"/>
      <c r="D1816" s="11"/>
      <c r="E1816" s="11"/>
      <c r="F1816" s="11"/>
      <c r="G1816" s="11"/>
      <c r="H1816" s="11"/>
      <c r="I1816" s="15"/>
    </row>
    <row r="1817" spans="1:9" ht="16.5">
      <c r="A1817" s="10" t="b">
        <v>0</v>
      </c>
      <c r="B1817" s="11" t="str">
        <f>IF(D1817&lt;&gt;"",IF(COUNTIF('USPTO TMs'!A:A,D1817)&gt;0,"Yes","No"),"")</f>
        <v/>
      </c>
      <c r="C1817" s="11"/>
      <c r="D1817" s="11"/>
      <c r="E1817" s="11"/>
      <c r="F1817" s="11"/>
      <c r="G1817" s="11"/>
      <c r="H1817" s="11"/>
      <c r="I1817" s="15"/>
    </row>
    <row r="1818" spans="1:9" ht="16.5">
      <c r="A1818" s="10" t="b">
        <v>0</v>
      </c>
      <c r="B1818" s="11" t="str">
        <f>IF(D1818&lt;&gt;"",IF(COUNTIF('USPTO TMs'!A:A,D1818)&gt;0,"Yes","No"),"")</f>
        <v/>
      </c>
      <c r="C1818" s="11"/>
      <c r="D1818" s="11"/>
      <c r="E1818" s="11"/>
      <c r="F1818" s="11"/>
      <c r="G1818" s="11"/>
      <c r="H1818" s="11"/>
      <c r="I1818" s="15"/>
    </row>
    <row r="1819" spans="1:9" ht="16.5">
      <c r="A1819" s="10" t="b">
        <v>0</v>
      </c>
      <c r="B1819" s="11" t="str">
        <f>IF(D1819&lt;&gt;"",IF(COUNTIF('USPTO TMs'!A:A,D1819)&gt;0,"Yes","No"),"")</f>
        <v/>
      </c>
      <c r="C1819" s="11"/>
      <c r="D1819" s="11"/>
      <c r="E1819" s="11"/>
      <c r="F1819" s="11"/>
      <c r="G1819" s="11"/>
      <c r="H1819" s="11"/>
      <c r="I1819" s="15"/>
    </row>
    <row r="1820" spans="1:9" ht="16.5">
      <c r="A1820" s="10" t="b">
        <v>0</v>
      </c>
      <c r="B1820" s="11" t="str">
        <f>IF(D1820&lt;&gt;"",IF(COUNTIF('USPTO TMs'!A:A,D1820)&gt;0,"Yes","No"),"")</f>
        <v/>
      </c>
      <c r="C1820" s="11"/>
      <c r="D1820" s="11"/>
      <c r="E1820" s="11"/>
      <c r="F1820" s="11"/>
      <c r="G1820" s="11"/>
      <c r="H1820" s="11"/>
      <c r="I1820" s="15"/>
    </row>
    <row r="1821" spans="1:9" ht="16.5">
      <c r="A1821" s="10" t="b">
        <v>0</v>
      </c>
      <c r="B1821" s="11" t="str">
        <f>IF(D1821&lt;&gt;"",IF(COUNTIF('USPTO TMs'!A:A,D1821)&gt;0,"Yes","No"),"")</f>
        <v/>
      </c>
      <c r="C1821" s="11"/>
      <c r="D1821" s="11"/>
      <c r="E1821" s="11"/>
      <c r="F1821" s="11"/>
      <c r="G1821" s="11"/>
      <c r="H1821" s="11"/>
      <c r="I1821" s="15"/>
    </row>
    <row r="1822" spans="1:9" ht="16.5">
      <c r="A1822" s="10" t="b">
        <v>0</v>
      </c>
      <c r="B1822" s="11" t="str">
        <f>IF(D1822&lt;&gt;"",IF(COUNTIF('USPTO TMs'!A:A,D1822)&gt;0,"Yes","No"),"")</f>
        <v/>
      </c>
      <c r="C1822" s="11"/>
      <c r="D1822" s="11"/>
      <c r="E1822" s="11"/>
      <c r="F1822" s="11"/>
      <c r="G1822" s="11"/>
      <c r="H1822" s="11"/>
      <c r="I1822" s="15"/>
    </row>
    <row r="1823" spans="1:9" ht="16.5">
      <c r="A1823" s="10" t="b">
        <v>0</v>
      </c>
      <c r="B1823" s="11" t="str">
        <f>IF(D1823&lt;&gt;"",IF(COUNTIF('USPTO TMs'!A:A,D1823)&gt;0,"Yes","No"),"")</f>
        <v/>
      </c>
      <c r="C1823" s="11"/>
      <c r="D1823" s="11"/>
      <c r="E1823" s="11"/>
      <c r="F1823" s="11"/>
      <c r="G1823" s="11"/>
      <c r="H1823" s="11"/>
      <c r="I1823" s="15"/>
    </row>
    <row r="1824" spans="1:9" ht="16.5">
      <c r="A1824" s="10" t="b">
        <v>0</v>
      </c>
      <c r="B1824" s="11" t="str">
        <f>IF(D1824&lt;&gt;"",IF(COUNTIF('USPTO TMs'!A:A,D1824)&gt;0,"Yes","No"),"")</f>
        <v/>
      </c>
      <c r="C1824" s="11"/>
      <c r="D1824" s="11"/>
      <c r="E1824" s="11"/>
      <c r="F1824" s="11"/>
      <c r="G1824" s="11"/>
      <c r="H1824" s="11"/>
      <c r="I1824" s="15"/>
    </row>
    <row r="1825" spans="1:9" ht="16.5">
      <c r="A1825" s="10" t="b">
        <v>0</v>
      </c>
      <c r="B1825" s="11" t="str">
        <f>IF(D1825&lt;&gt;"",IF(COUNTIF('USPTO TMs'!A:A,D1825)&gt;0,"Yes","No"),"")</f>
        <v/>
      </c>
      <c r="C1825" s="11"/>
      <c r="D1825" s="11"/>
      <c r="E1825" s="11"/>
      <c r="F1825" s="11"/>
      <c r="G1825" s="11"/>
      <c r="H1825" s="11"/>
      <c r="I1825" s="15"/>
    </row>
    <row r="1826" spans="1:9" ht="16.5">
      <c r="A1826" s="10" t="b">
        <v>0</v>
      </c>
      <c r="B1826" s="11" t="str">
        <f>IF(D1826&lt;&gt;"",IF(COUNTIF('USPTO TMs'!A:A,D1826)&gt;0,"Yes","No"),"")</f>
        <v/>
      </c>
      <c r="C1826" s="11"/>
      <c r="D1826" s="11"/>
      <c r="E1826" s="11"/>
      <c r="F1826" s="11"/>
      <c r="G1826" s="11"/>
      <c r="H1826" s="11"/>
      <c r="I1826" s="15"/>
    </row>
    <row r="1827" spans="1:9" ht="16.5">
      <c r="A1827" s="10" t="b">
        <v>0</v>
      </c>
      <c r="B1827" s="11" t="str">
        <f>IF(D1827&lt;&gt;"",IF(COUNTIF('USPTO TMs'!A:A,D1827)&gt;0,"Yes","No"),"")</f>
        <v/>
      </c>
      <c r="C1827" s="11"/>
      <c r="D1827" s="11"/>
      <c r="E1827" s="11"/>
      <c r="F1827" s="11"/>
      <c r="G1827" s="11"/>
      <c r="H1827" s="11"/>
      <c r="I1827" s="15"/>
    </row>
    <row r="1828" spans="1:9" ht="16.5">
      <c r="A1828" s="10" t="b">
        <v>0</v>
      </c>
      <c r="B1828" s="11" t="str">
        <f>IF(D1828&lt;&gt;"",IF(COUNTIF('USPTO TMs'!A:A,D1828)&gt;0,"Yes","No"),"")</f>
        <v/>
      </c>
      <c r="C1828" s="11"/>
      <c r="D1828" s="11"/>
      <c r="E1828" s="11"/>
      <c r="F1828" s="11"/>
      <c r="G1828" s="11"/>
      <c r="H1828" s="11"/>
      <c r="I1828" s="15"/>
    </row>
    <row r="1829" spans="1:9" ht="16.5">
      <c r="A1829" s="10" t="b">
        <v>0</v>
      </c>
      <c r="B1829" s="11" t="str">
        <f>IF(D1829&lt;&gt;"",IF(COUNTIF('USPTO TMs'!A:A,D1829)&gt;0,"Yes","No"),"")</f>
        <v/>
      </c>
      <c r="C1829" s="11"/>
      <c r="D1829" s="11"/>
      <c r="E1829" s="11"/>
      <c r="F1829" s="11"/>
      <c r="G1829" s="11"/>
      <c r="H1829" s="11"/>
      <c r="I1829" s="15"/>
    </row>
    <row r="1830" spans="1:9" ht="16.5">
      <c r="A1830" s="10" t="b">
        <v>0</v>
      </c>
      <c r="B1830" s="11" t="str">
        <f>IF(D1830&lt;&gt;"",IF(COUNTIF('USPTO TMs'!A:A,D1830)&gt;0,"Yes","No"),"")</f>
        <v/>
      </c>
      <c r="C1830" s="11"/>
      <c r="D1830" s="11"/>
      <c r="E1830" s="11"/>
      <c r="F1830" s="11"/>
      <c r="G1830" s="11"/>
      <c r="H1830" s="11"/>
      <c r="I1830" s="15"/>
    </row>
    <row r="1831" spans="1:9" ht="16.5">
      <c r="A1831" s="10" t="b">
        <v>0</v>
      </c>
      <c r="B1831" s="11" t="str">
        <f>IF(D1831&lt;&gt;"",IF(COUNTIF('USPTO TMs'!A:A,D1831)&gt;0,"Yes","No"),"")</f>
        <v/>
      </c>
      <c r="C1831" s="11"/>
      <c r="D1831" s="11"/>
      <c r="E1831" s="11"/>
      <c r="F1831" s="11"/>
      <c r="G1831" s="11"/>
      <c r="H1831" s="11"/>
      <c r="I1831" s="15"/>
    </row>
    <row r="1832" spans="1:9" ht="16.5">
      <c r="A1832" s="10" t="b">
        <v>0</v>
      </c>
      <c r="B1832" s="11" t="str">
        <f>IF(D1832&lt;&gt;"",IF(COUNTIF('USPTO TMs'!A:A,D1832)&gt;0,"Yes","No"),"")</f>
        <v/>
      </c>
      <c r="C1832" s="11"/>
      <c r="D1832" s="11"/>
      <c r="E1832" s="11"/>
      <c r="F1832" s="11"/>
      <c r="G1832" s="11"/>
      <c r="H1832" s="11"/>
      <c r="I1832" s="15"/>
    </row>
    <row r="1833" spans="1:9" ht="16.5">
      <c r="A1833" s="10" t="b">
        <v>0</v>
      </c>
      <c r="B1833" s="11" t="str">
        <f>IF(D1833&lt;&gt;"",IF(COUNTIF('USPTO TMs'!A:A,D1833)&gt;0,"Yes","No"),"")</f>
        <v/>
      </c>
      <c r="C1833" s="11"/>
      <c r="D1833" s="11"/>
      <c r="E1833" s="11"/>
      <c r="F1833" s="11"/>
      <c r="G1833" s="11"/>
      <c r="H1833" s="11"/>
      <c r="I1833" s="15"/>
    </row>
    <row r="1834" spans="1:9" ht="16.5">
      <c r="A1834" s="10" t="b">
        <v>0</v>
      </c>
      <c r="B1834" s="11" t="str">
        <f>IF(D1834&lt;&gt;"",IF(COUNTIF('USPTO TMs'!A:A,D1834)&gt;0,"Yes","No"),"")</f>
        <v/>
      </c>
      <c r="C1834" s="11"/>
      <c r="D1834" s="11"/>
      <c r="E1834" s="11"/>
      <c r="F1834" s="11"/>
      <c r="G1834" s="11"/>
      <c r="H1834" s="11"/>
      <c r="I1834" s="15"/>
    </row>
    <row r="1835" spans="1:9" ht="16.5">
      <c r="A1835" s="10" t="b">
        <v>0</v>
      </c>
      <c r="B1835" s="11" t="str">
        <f>IF(D1835&lt;&gt;"",IF(COUNTIF('USPTO TMs'!A:A,D1835)&gt;0,"Yes","No"),"")</f>
        <v/>
      </c>
      <c r="C1835" s="11"/>
      <c r="D1835" s="11"/>
      <c r="E1835" s="11"/>
      <c r="F1835" s="11"/>
      <c r="G1835" s="11"/>
      <c r="H1835" s="11"/>
      <c r="I1835" s="15"/>
    </row>
    <row r="1836" spans="1:9" ht="16.5">
      <c r="A1836" s="10" t="b">
        <v>0</v>
      </c>
      <c r="B1836" s="11" t="str">
        <f>IF(D1836&lt;&gt;"",IF(COUNTIF('USPTO TMs'!A:A,D1836)&gt;0,"Yes","No"),"")</f>
        <v/>
      </c>
      <c r="C1836" s="11"/>
      <c r="D1836" s="11"/>
      <c r="E1836" s="11"/>
      <c r="F1836" s="11"/>
      <c r="G1836" s="11"/>
      <c r="H1836" s="11"/>
      <c r="I1836" s="15"/>
    </row>
    <row r="1837" spans="1:9" ht="16.5">
      <c r="A1837" s="10" t="b">
        <v>0</v>
      </c>
      <c r="B1837" s="11" t="str">
        <f>IF(D1837&lt;&gt;"",IF(COUNTIF('USPTO TMs'!A:A,D1837)&gt;0,"Yes","No"),"")</f>
        <v/>
      </c>
      <c r="C1837" s="11"/>
      <c r="D1837" s="11"/>
      <c r="E1837" s="11"/>
      <c r="F1837" s="11"/>
      <c r="G1837" s="11"/>
      <c r="H1837" s="11"/>
      <c r="I1837" s="15"/>
    </row>
    <row r="1838" spans="1:9" ht="16.5">
      <c r="A1838" s="10" t="b">
        <v>0</v>
      </c>
      <c r="B1838" s="11" t="str">
        <f>IF(D1838&lt;&gt;"",IF(COUNTIF('USPTO TMs'!A:A,D1838)&gt;0,"Yes","No"),"")</f>
        <v/>
      </c>
      <c r="C1838" s="11"/>
      <c r="D1838" s="11"/>
      <c r="E1838" s="11"/>
      <c r="F1838" s="11"/>
      <c r="G1838" s="11"/>
      <c r="H1838" s="11"/>
      <c r="I1838" s="15"/>
    </row>
    <row r="1839" spans="1:9" ht="16.5">
      <c r="A1839" s="10" t="b">
        <v>0</v>
      </c>
      <c r="B1839" s="11" t="str">
        <f>IF(D1839&lt;&gt;"",IF(COUNTIF('USPTO TMs'!A:A,D1839)&gt;0,"Yes","No"),"")</f>
        <v/>
      </c>
      <c r="C1839" s="11"/>
      <c r="D1839" s="11"/>
      <c r="E1839" s="11"/>
      <c r="F1839" s="11"/>
      <c r="G1839" s="11"/>
      <c r="H1839" s="11"/>
      <c r="I1839" s="15"/>
    </row>
    <row r="1840" spans="1:9" ht="16.5">
      <c r="A1840" s="10" t="b">
        <v>0</v>
      </c>
      <c r="B1840" s="11" t="str">
        <f>IF(D1840&lt;&gt;"",IF(COUNTIF('USPTO TMs'!A:A,D1840)&gt;0,"Yes","No"),"")</f>
        <v/>
      </c>
      <c r="C1840" s="11"/>
      <c r="D1840" s="11"/>
      <c r="E1840" s="11"/>
      <c r="F1840" s="11"/>
      <c r="G1840" s="11"/>
      <c r="H1840" s="11"/>
      <c r="I1840" s="15"/>
    </row>
    <row r="1841" spans="1:9" ht="16.5">
      <c r="A1841" s="10" t="b">
        <v>0</v>
      </c>
      <c r="B1841" s="11" t="str">
        <f>IF(D1841&lt;&gt;"",IF(COUNTIF('USPTO TMs'!A:A,D1841)&gt;0,"Yes","No"),"")</f>
        <v/>
      </c>
      <c r="C1841" s="11"/>
      <c r="D1841" s="11"/>
      <c r="E1841" s="11"/>
      <c r="F1841" s="11"/>
      <c r="G1841" s="11"/>
      <c r="H1841" s="11"/>
      <c r="I1841" s="15"/>
    </row>
    <row r="1842" spans="1:9" ht="16.5">
      <c r="A1842" s="10" t="b">
        <v>0</v>
      </c>
      <c r="B1842" s="11" t="str">
        <f>IF(D1842&lt;&gt;"",IF(COUNTIF('USPTO TMs'!A:A,D1842)&gt;0,"Yes","No"),"")</f>
        <v/>
      </c>
      <c r="C1842" s="11"/>
      <c r="D1842" s="11"/>
      <c r="E1842" s="11"/>
      <c r="F1842" s="11"/>
      <c r="G1842" s="11"/>
      <c r="H1842" s="11"/>
      <c r="I1842" s="15"/>
    </row>
    <row r="1843" spans="1:9" ht="16.5">
      <c r="A1843" s="10" t="b">
        <v>0</v>
      </c>
      <c r="B1843" s="11" t="str">
        <f>IF(D1843&lt;&gt;"",IF(COUNTIF('USPTO TMs'!A:A,D1843)&gt;0,"Yes","No"),"")</f>
        <v/>
      </c>
      <c r="C1843" s="11"/>
      <c r="D1843" s="11"/>
      <c r="E1843" s="11"/>
      <c r="F1843" s="11"/>
      <c r="G1843" s="11"/>
      <c r="H1843" s="11"/>
      <c r="I1843" s="15"/>
    </row>
    <row r="1844" spans="1:9" ht="16.5">
      <c r="A1844" s="10" t="b">
        <v>0</v>
      </c>
      <c r="B1844" s="11" t="str">
        <f>IF(D1844&lt;&gt;"",IF(COUNTIF('USPTO TMs'!A:A,D1844)&gt;0,"Yes","No"),"")</f>
        <v/>
      </c>
      <c r="C1844" s="11"/>
      <c r="D1844" s="11"/>
      <c r="E1844" s="11"/>
      <c r="F1844" s="11"/>
      <c r="G1844" s="11"/>
      <c r="H1844" s="11"/>
      <c r="I1844" s="15"/>
    </row>
    <row r="1845" spans="1:9" ht="16.5">
      <c r="A1845" s="10" t="b">
        <v>0</v>
      </c>
      <c r="B1845" s="11" t="str">
        <f>IF(D1845&lt;&gt;"",IF(COUNTIF('USPTO TMs'!A:A,D1845)&gt;0,"Yes","No"),"")</f>
        <v/>
      </c>
      <c r="C1845" s="11"/>
      <c r="D1845" s="11"/>
      <c r="E1845" s="11"/>
      <c r="F1845" s="11"/>
      <c r="G1845" s="11"/>
      <c r="H1845" s="11"/>
      <c r="I1845" s="15"/>
    </row>
    <row r="1846" spans="1:9" ht="16.5">
      <c r="A1846" s="10" t="b">
        <v>0</v>
      </c>
      <c r="B1846" s="11" t="str">
        <f>IF(D1846&lt;&gt;"",IF(COUNTIF('USPTO TMs'!A:A,D1846)&gt;0,"Yes","No"),"")</f>
        <v/>
      </c>
      <c r="C1846" s="11"/>
      <c r="D1846" s="11"/>
      <c r="E1846" s="11"/>
      <c r="F1846" s="11"/>
      <c r="G1846" s="11"/>
      <c r="H1846" s="11"/>
      <c r="I1846" s="15"/>
    </row>
    <row r="1847" spans="1:9" ht="16.5">
      <c r="A1847" s="10" t="b">
        <v>0</v>
      </c>
      <c r="B1847" s="11" t="str">
        <f>IF(D1847&lt;&gt;"",IF(COUNTIF('USPTO TMs'!A:A,D1847)&gt;0,"Yes","No"),"")</f>
        <v/>
      </c>
      <c r="C1847" s="11"/>
      <c r="D1847" s="11"/>
      <c r="E1847" s="11"/>
      <c r="F1847" s="11"/>
      <c r="G1847" s="11"/>
      <c r="H1847" s="11"/>
      <c r="I1847" s="15"/>
    </row>
    <row r="1848" spans="1:9" ht="16.5">
      <c r="A1848" s="10" t="b">
        <v>0</v>
      </c>
      <c r="B1848" s="11" t="str">
        <f>IF(D1848&lt;&gt;"",IF(COUNTIF('USPTO TMs'!A:A,D1848)&gt;0,"Yes","No"),"")</f>
        <v/>
      </c>
      <c r="C1848" s="11"/>
      <c r="D1848" s="11"/>
      <c r="E1848" s="11"/>
      <c r="F1848" s="11"/>
      <c r="G1848" s="11"/>
      <c r="H1848" s="11"/>
      <c r="I1848" s="15"/>
    </row>
    <row r="1849" spans="1:9" ht="16.5">
      <c r="A1849" s="10" t="b">
        <v>0</v>
      </c>
      <c r="B1849" s="11" t="str">
        <f>IF(D1849&lt;&gt;"",IF(COUNTIF('USPTO TMs'!A:A,D1849)&gt;0,"Yes","No"),"")</f>
        <v/>
      </c>
      <c r="C1849" s="11"/>
      <c r="D1849" s="11"/>
      <c r="E1849" s="11"/>
      <c r="F1849" s="11"/>
      <c r="G1849" s="11"/>
      <c r="H1849" s="11"/>
      <c r="I1849" s="15"/>
    </row>
    <row r="1850" spans="1:9" ht="16.5">
      <c r="A1850" s="10" t="b">
        <v>0</v>
      </c>
      <c r="B1850" s="11" t="str">
        <f>IF(D1850&lt;&gt;"",IF(COUNTIF('USPTO TMs'!A:A,D1850)&gt;0,"Yes","No"),"")</f>
        <v/>
      </c>
      <c r="C1850" s="11"/>
      <c r="D1850" s="11"/>
      <c r="E1850" s="11"/>
      <c r="F1850" s="11"/>
      <c r="G1850" s="11"/>
      <c r="H1850" s="11"/>
      <c r="I1850" s="15"/>
    </row>
    <row r="1851" spans="1:9" ht="16.5">
      <c r="A1851" s="10" t="b">
        <v>0</v>
      </c>
      <c r="B1851" s="11" t="str">
        <f>IF(D1851&lt;&gt;"",IF(COUNTIF('USPTO TMs'!A:A,D1851)&gt;0,"Yes","No"),"")</f>
        <v/>
      </c>
      <c r="C1851" s="11"/>
      <c r="D1851" s="11"/>
      <c r="E1851" s="11"/>
      <c r="F1851" s="11"/>
      <c r="G1851" s="11"/>
      <c r="H1851" s="11"/>
      <c r="I1851" s="15"/>
    </row>
    <row r="1852" spans="1:9" ht="16.5">
      <c r="A1852" s="10" t="b">
        <v>0</v>
      </c>
      <c r="B1852" s="11" t="str">
        <f>IF(D1852&lt;&gt;"",IF(COUNTIF('USPTO TMs'!A:A,D1852)&gt;0,"Yes","No"),"")</f>
        <v/>
      </c>
      <c r="C1852" s="11"/>
      <c r="D1852" s="11"/>
      <c r="E1852" s="11"/>
      <c r="F1852" s="11"/>
      <c r="G1852" s="11"/>
      <c r="H1852" s="11"/>
      <c r="I1852" s="15"/>
    </row>
    <row r="1853" spans="1:9" ht="16.5">
      <c r="A1853" s="10" t="b">
        <v>0</v>
      </c>
      <c r="B1853" s="11" t="str">
        <f>IF(D1853&lt;&gt;"",IF(COUNTIF('USPTO TMs'!A:A,D1853)&gt;0,"Yes","No"),"")</f>
        <v/>
      </c>
      <c r="C1853" s="11"/>
      <c r="D1853" s="11"/>
      <c r="E1853" s="11"/>
      <c r="F1853" s="11"/>
      <c r="G1853" s="11"/>
      <c r="H1853" s="11"/>
      <c r="I1853" s="15"/>
    </row>
    <row r="1854" spans="1:9" ht="16.5">
      <c r="A1854" s="10" t="b">
        <v>0</v>
      </c>
      <c r="B1854" s="11" t="str">
        <f>IF(D1854&lt;&gt;"",IF(COUNTIF('USPTO TMs'!A:A,D1854)&gt;0,"Yes","No"),"")</f>
        <v/>
      </c>
      <c r="C1854" s="11"/>
      <c r="D1854" s="11"/>
      <c r="E1854" s="11"/>
      <c r="F1854" s="11"/>
      <c r="G1854" s="11"/>
      <c r="H1854" s="11"/>
      <c r="I1854" s="15"/>
    </row>
    <row r="1855" spans="1:9" ht="16.5">
      <c r="A1855" s="10" t="b">
        <v>0</v>
      </c>
      <c r="B1855" s="11" t="str">
        <f>IF(D1855&lt;&gt;"",IF(COUNTIF('USPTO TMs'!A:A,D1855)&gt;0,"Yes","No"),"")</f>
        <v/>
      </c>
      <c r="C1855" s="11"/>
      <c r="D1855" s="11"/>
      <c r="E1855" s="11"/>
      <c r="F1855" s="11"/>
      <c r="G1855" s="11"/>
      <c r="H1855" s="11"/>
      <c r="I1855" s="15"/>
    </row>
    <row r="1856" spans="1:9" ht="16.5">
      <c r="A1856" s="10" t="b">
        <v>0</v>
      </c>
      <c r="B1856" s="11" t="str">
        <f>IF(D1856&lt;&gt;"",IF(COUNTIF('USPTO TMs'!A:A,D1856)&gt;0,"Yes","No"),"")</f>
        <v/>
      </c>
      <c r="C1856" s="11"/>
      <c r="D1856" s="11"/>
      <c r="E1856" s="11"/>
      <c r="F1856" s="11"/>
      <c r="G1856" s="11"/>
      <c r="H1856" s="11"/>
      <c r="I1856" s="15"/>
    </row>
    <row r="1857" spans="1:9" ht="16.5">
      <c r="A1857" s="10" t="b">
        <v>0</v>
      </c>
      <c r="B1857" s="11" t="str">
        <f>IF(D1857&lt;&gt;"",IF(COUNTIF('USPTO TMs'!A:A,D1857)&gt;0,"Yes","No"),"")</f>
        <v/>
      </c>
      <c r="C1857" s="11"/>
      <c r="D1857" s="11"/>
      <c r="E1857" s="11"/>
      <c r="F1857" s="11"/>
      <c r="G1857" s="11"/>
      <c r="H1857" s="11"/>
      <c r="I1857" s="15"/>
    </row>
    <row r="1858" spans="1:9" ht="16.5">
      <c r="A1858" s="10" t="b">
        <v>0</v>
      </c>
      <c r="B1858" s="11" t="str">
        <f>IF(D1858&lt;&gt;"",IF(COUNTIF('USPTO TMs'!A:A,D1858)&gt;0,"Yes","No"),"")</f>
        <v/>
      </c>
      <c r="C1858" s="11"/>
      <c r="D1858" s="11"/>
      <c r="E1858" s="11"/>
      <c r="F1858" s="11"/>
      <c r="G1858" s="11"/>
      <c r="H1858" s="11"/>
      <c r="I1858" s="15"/>
    </row>
    <row r="1859" spans="1:9" ht="16.5">
      <c r="A1859" s="10" t="b">
        <v>0</v>
      </c>
      <c r="B1859" s="11" t="str">
        <f>IF(D1859&lt;&gt;"",IF(COUNTIF('USPTO TMs'!A:A,D1859)&gt;0,"Yes","No"),"")</f>
        <v/>
      </c>
      <c r="C1859" s="11"/>
      <c r="D1859" s="11"/>
      <c r="E1859" s="11"/>
      <c r="F1859" s="11"/>
      <c r="G1859" s="11"/>
      <c r="H1859" s="11"/>
      <c r="I1859" s="15"/>
    </row>
    <row r="1860" spans="1:9" ht="16.5">
      <c r="A1860" s="10" t="b">
        <v>0</v>
      </c>
      <c r="B1860" s="11" t="str">
        <f>IF(D1860&lt;&gt;"",IF(COUNTIF('USPTO TMs'!A:A,D1860)&gt;0,"Yes","No"),"")</f>
        <v/>
      </c>
      <c r="C1860" s="11"/>
      <c r="D1860" s="11"/>
      <c r="E1860" s="11"/>
      <c r="F1860" s="11"/>
      <c r="G1860" s="11"/>
      <c r="H1860" s="11"/>
      <c r="I1860" s="15"/>
    </row>
    <row r="1861" spans="1:9" ht="16.5">
      <c r="A1861" s="10" t="b">
        <v>0</v>
      </c>
      <c r="B1861" s="11" t="str">
        <f>IF(D1861&lt;&gt;"",IF(COUNTIF('USPTO TMs'!A:A,D1861)&gt;0,"Yes","No"),"")</f>
        <v/>
      </c>
      <c r="C1861" s="11"/>
      <c r="D1861" s="11"/>
      <c r="E1861" s="11"/>
      <c r="F1861" s="11"/>
      <c r="G1861" s="11"/>
      <c r="H1861" s="11"/>
      <c r="I1861" s="15"/>
    </row>
    <row r="1862" spans="1:9" ht="16.5">
      <c r="A1862" s="10" t="b">
        <v>0</v>
      </c>
      <c r="B1862" s="11" t="str">
        <f>IF(D1862&lt;&gt;"",IF(COUNTIF('USPTO TMs'!A:A,D1862)&gt;0,"Yes","No"),"")</f>
        <v/>
      </c>
      <c r="C1862" s="11"/>
      <c r="D1862" s="11"/>
      <c r="E1862" s="11"/>
      <c r="F1862" s="11"/>
      <c r="G1862" s="11"/>
      <c r="H1862" s="11"/>
      <c r="I1862" s="15"/>
    </row>
    <row r="1863" spans="1:9" ht="16.5">
      <c r="A1863" s="10" t="b">
        <v>0</v>
      </c>
      <c r="B1863" s="11" t="str">
        <f>IF(D1863&lt;&gt;"",IF(COUNTIF('USPTO TMs'!A:A,D1863)&gt;0,"Yes","No"),"")</f>
        <v/>
      </c>
      <c r="C1863" s="11"/>
      <c r="D1863" s="11"/>
      <c r="E1863" s="11"/>
      <c r="F1863" s="11"/>
      <c r="G1863" s="11"/>
      <c r="H1863" s="11"/>
      <c r="I1863" s="15"/>
    </row>
    <row r="1864" spans="1:9" ht="16.5">
      <c r="A1864" s="10" t="b">
        <v>0</v>
      </c>
      <c r="B1864" s="11" t="str">
        <f>IF(D1864&lt;&gt;"",IF(COUNTIF('USPTO TMs'!A:A,D1864)&gt;0,"Yes","No"),"")</f>
        <v/>
      </c>
      <c r="C1864" s="11"/>
      <c r="D1864" s="11"/>
      <c r="E1864" s="11"/>
      <c r="F1864" s="11"/>
      <c r="G1864" s="11"/>
      <c r="H1864" s="11"/>
      <c r="I1864" s="15"/>
    </row>
    <row r="1865" spans="1:9" ht="16.5">
      <c r="A1865" s="10" t="b">
        <v>0</v>
      </c>
      <c r="B1865" s="11" t="str">
        <f>IF(D1865&lt;&gt;"",IF(COUNTIF('USPTO TMs'!A:A,D1865)&gt;0,"Yes","No"),"")</f>
        <v/>
      </c>
      <c r="C1865" s="11"/>
      <c r="D1865" s="11"/>
      <c r="E1865" s="11"/>
      <c r="F1865" s="11"/>
      <c r="G1865" s="11"/>
      <c r="H1865" s="11"/>
      <c r="I1865" s="15"/>
    </row>
    <row r="1866" spans="1:9" ht="16.5">
      <c r="A1866" s="10" t="b">
        <v>0</v>
      </c>
      <c r="B1866" s="11" t="str">
        <f>IF(D1866&lt;&gt;"",IF(COUNTIF('USPTO TMs'!A:A,D1866)&gt;0,"Yes","No"),"")</f>
        <v/>
      </c>
      <c r="C1866" s="11"/>
      <c r="D1866" s="11"/>
      <c r="E1866" s="11"/>
      <c r="F1866" s="11"/>
      <c r="G1866" s="11"/>
      <c r="H1866" s="11"/>
      <c r="I1866" s="15"/>
    </row>
    <row r="1867" spans="1:9" ht="16.5">
      <c r="A1867" s="10" t="b">
        <v>0</v>
      </c>
      <c r="B1867" s="11" t="str">
        <f>IF(D1867&lt;&gt;"",IF(COUNTIF('USPTO TMs'!A:A,D1867)&gt;0,"Yes","No"),"")</f>
        <v/>
      </c>
      <c r="C1867" s="11"/>
      <c r="D1867" s="11"/>
      <c r="E1867" s="11"/>
      <c r="F1867" s="11"/>
      <c r="G1867" s="11"/>
      <c r="H1867" s="11"/>
      <c r="I1867" s="15"/>
    </row>
    <row r="1868" spans="1:9" ht="16.5">
      <c r="A1868" s="10" t="b">
        <v>0</v>
      </c>
      <c r="B1868" s="11" t="str">
        <f>IF(D1868&lt;&gt;"",IF(COUNTIF('USPTO TMs'!A:A,D1868)&gt;0,"Yes","No"),"")</f>
        <v/>
      </c>
      <c r="C1868" s="11"/>
      <c r="D1868" s="11"/>
      <c r="E1868" s="11"/>
      <c r="F1868" s="11"/>
      <c r="G1868" s="11"/>
      <c r="H1868" s="11"/>
      <c r="I1868" s="15"/>
    </row>
    <row r="1869" spans="1:9" ht="16.5">
      <c r="A1869" s="10" t="b">
        <v>0</v>
      </c>
      <c r="B1869" s="11" t="str">
        <f>IF(D1869&lt;&gt;"",IF(COUNTIF('USPTO TMs'!A:A,D1869)&gt;0,"Yes","No"),"")</f>
        <v/>
      </c>
      <c r="C1869" s="11"/>
      <c r="D1869" s="11"/>
      <c r="E1869" s="11"/>
      <c r="F1869" s="11"/>
      <c r="G1869" s="11"/>
      <c r="H1869" s="11"/>
      <c r="I1869" s="15"/>
    </row>
    <row r="1870" spans="1:9" ht="16.5">
      <c r="A1870" s="10" t="b">
        <v>0</v>
      </c>
      <c r="B1870" s="11" t="str">
        <f>IF(D1870&lt;&gt;"",IF(COUNTIF('USPTO TMs'!A:A,D1870)&gt;0,"Yes","No"),"")</f>
        <v/>
      </c>
      <c r="C1870" s="11"/>
      <c r="D1870" s="11"/>
      <c r="E1870" s="11"/>
      <c r="F1870" s="11"/>
      <c r="G1870" s="11"/>
      <c r="H1870" s="11"/>
      <c r="I1870" s="15"/>
    </row>
    <row r="1871" spans="1:9" ht="16.5">
      <c r="A1871" s="10" t="b">
        <v>0</v>
      </c>
      <c r="B1871" s="11" t="str">
        <f>IF(D1871&lt;&gt;"",IF(COUNTIF('USPTO TMs'!A:A,D1871)&gt;0,"Yes","No"),"")</f>
        <v/>
      </c>
      <c r="C1871" s="11"/>
      <c r="D1871" s="11"/>
      <c r="E1871" s="11"/>
      <c r="F1871" s="11"/>
      <c r="G1871" s="11"/>
      <c r="H1871" s="11"/>
      <c r="I1871" s="15"/>
    </row>
    <row r="1872" spans="1:9" ht="16.5">
      <c r="A1872" s="10" t="b">
        <v>0</v>
      </c>
      <c r="B1872" s="11" t="str">
        <f>IF(D1872&lt;&gt;"",IF(COUNTIF('USPTO TMs'!A:A,D1872)&gt;0,"Yes","No"),"")</f>
        <v/>
      </c>
      <c r="C1872" s="11"/>
      <c r="D1872" s="11"/>
      <c r="E1872" s="11"/>
      <c r="F1872" s="11"/>
      <c r="G1872" s="11"/>
      <c r="H1872" s="11"/>
      <c r="I1872" s="15"/>
    </row>
    <row r="1873" spans="1:9" ht="16.5">
      <c r="A1873" s="10" t="b">
        <v>0</v>
      </c>
      <c r="B1873" s="11" t="str">
        <f>IF(D1873&lt;&gt;"",IF(COUNTIF('USPTO TMs'!A:A,D1873)&gt;0,"Yes","No"),"")</f>
        <v/>
      </c>
      <c r="C1873" s="11"/>
      <c r="D1873" s="11"/>
      <c r="E1873" s="11"/>
      <c r="F1873" s="11"/>
      <c r="G1873" s="11"/>
      <c r="H1873" s="11"/>
      <c r="I1873" s="15"/>
    </row>
    <row r="1874" spans="1:9" ht="16.5">
      <c r="A1874" s="10" t="b">
        <v>0</v>
      </c>
      <c r="B1874" s="11" t="str">
        <f>IF(D1874&lt;&gt;"",IF(COUNTIF('USPTO TMs'!A:A,D1874)&gt;0,"Yes","No"),"")</f>
        <v/>
      </c>
      <c r="C1874" s="11"/>
      <c r="D1874" s="11"/>
      <c r="E1874" s="11"/>
      <c r="F1874" s="11"/>
      <c r="G1874" s="11"/>
      <c r="H1874" s="11"/>
      <c r="I1874" s="15"/>
    </row>
    <row r="1875" spans="1:9" ht="16.5">
      <c r="A1875" s="10" t="b">
        <v>0</v>
      </c>
      <c r="B1875" s="11" t="str">
        <f>IF(D1875&lt;&gt;"",IF(COUNTIF('USPTO TMs'!A:A,D1875)&gt;0,"Yes","No"),"")</f>
        <v/>
      </c>
      <c r="C1875" s="11"/>
      <c r="D1875" s="11"/>
      <c r="E1875" s="11"/>
      <c r="F1875" s="11"/>
      <c r="G1875" s="11"/>
      <c r="H1875" s="11"/>
      <c r="I1875" s="15"/>
    </row>
    <row r="1876" spans="1:9" ht="16.5">
      <c r="A1876" s="10" t="b">
        <v>0</v>
      </c>
      <c r="B1876" s="11" t="str">
        <f>IF(D1876&lt;&gt;"",IF(COUNTIF('USPTO TMs'!A:A,D1876)&gt;0,"Yes","No"),"")</f>
        <v/>
      </c>
      <c r="C1876" s="11"/>
      <c r="D1876" s="11"/>
      <c r="E1876" s="11"/>
      <c r="F1876" s="11"/>
      <c r="G1876" s="11"/>
      <c r="H1876" s="11"/>
      <c r="I1876" s="15"/>
    </row>
    <row r="1877" spans="1:9" ht="16.5">
      <c r="A1877" s="10" t="b">
        <v>0</v>
      </c>
      <c r="B1877" s="11" t="str">
        <f>IF(D1877&lt;&gt;"",IF(COUNTIF('USPTO TMs'!A:A,D1877)&gt;0,"Yes","No"),"")</f>
        <v/>
      </c>
      <c r="C1877" s="11"/>
      <c r="D1877" s="11"/>
      <c r="E1877" s="11"/>
      <c r="F1877" s="11"/>
      <c r="G1877" s="11"/>
      <c r="H1877" s="11"/>
      <c r="I1877" s="15"/>
    </row>
    <row r="1878" spans="1:9" ht="16.5">
      <c r="A1878" s="10" t="b">
        <v>0</v>
      </c>
      <c r="B1878" s="11" t="str">
        <f>IF(D1878&lt;&gt;"",IF(COUNTIF('USPTO TMs'!A:A,D1878)&gt;0,"Yes","No"),"")</f>
        <v/>
      </c>
      <c r="C1878" s="11"/>
      <c r="D1878" s="11"/>
      <c r="E1878" s="11"/>
      <c r="F1878" s="11"/>
      <c r="G1878" s="11"/>
      <c r="H1878" s="11"/>
      <c r="I1878" s="15"/>
    </row>
    <row r="1879" spans="1:9" ht="16.5">
      <c r="A1879" s="10" t="b">
        <v>0</v>
      </c>
      <c r="B1879" s="11" t="str">
        <f>IF(D1879&lt;&gt;"",IF(COUNTIF('USPTO TMs'!A:A,D1879)&gt;0,"Yes","No"),"")</f>
        <v/>
      </c>
      <c r="C1879" s="11"/>
      <c r="D1879" s="11"/>
      <c r="E1879" s="11"/>
      <c r="F1879" s="11"/>
      <c r="G1879" s="11"/>
      <c r="H1879" s="11"/>
      <c r="I1879" s="15"/>
    </row>
    <row r="1880" spans="1:9" ht="16.5">
      <c r="A1880" s="10" t="b">
        <v>0</v>
      </c>
      <c r="B1880" s="11" t="str">
        <f>IF(D1880&lt;&gt;"",IF(COUNTIF('USPTO TMs'!A:A,D1880)&gt;0,"Yes","No"),"")</f>
        <v/>
      </c>
      <c r="C1880" s="11"/>
      <c r="D1880" s="11"/>
      <c r="E1880" s="11"/>
      <c r="F1880" s="11"/>
      <c r="G1880" s="11"/>
      <c r="H1880" s="11"/>
      <c r="I1880" s="15"/>
    </row>
    <row r="1881" spans="1:9" ht="16.5">
      <c r="A1881" s="10" t="b">
        <v>0</v>
      </c>
      <c r="B1881" s="11" t="str">
        <f>IF(D1881&lt;&gt;"",IF(COUNTIF('USPTO TMs'!A:A,D1881)&gt;0,"Yes","No"),"")</f>
        <v/>
      </c>
      <c r="C1881" s="11"/>
      <c r="D1881" s="11"/>
      <c r="E1881" s="11"/>
      <c r="F1881" s="11"/>
      <c r="G1881" s="11"/>
      <c r="H1881" s="11"/>
      <c r="I1881" s="15"/>
    </row>
    <row r="1882" spans="1:9" ht="16.5">
      <c r="A1882" s="10" t="b">
        <v>0</v>
      </c>
      <c r="B1882" s="11" t="str">
        <f>IF(D1882&lt;&gt;"",IF(COUNTIF('USPTO TMs'!A:A,D1882)&gt;0,"Yes","No"),"")</f>
        <v/>
      </c>
      <c r="C1882" s="11"/>
      <c r="D1882" s="11"/>
      <c r="E1882" s="11"/>
      <c r="F1882" s="11"/>
      <c r="G1882" s="11"/>
      <c r="H1882" s="11"/>
      <c r="I1882" s="15"/>
    </row>
    <row r="1883" spans="1:9" ht="16.5">
      <c r="A1883" s="10" t="b">
        <v>0</v>
      </c>
      <c r="B1883" s="11" t="str">
        <f>IF(D1883&lt;&gt;"",IF(COUNTIF('USPTO TMs'!A:A,D1883)&gt;0,"Yes","No"),"")</f>
        <v/>
      </c>
      <c r="C1883" s="11"/>
      <c r="D1883" s="11"/>
      <c r="E1883" s="11"/>
      <c r="F1883" s="11"/>
      <c r="G1883" s="11"/>
      <c r="H1883" s="11"/>
      <c r="I1883" s="15"/>
    </row>
    <row r="1884" spans="1:9" ht="16.5">
      <c r="A1884" s="10" t="b">
        <v>0</v>
      </c>
      <c r="B1884" s="11" t="str">
        <f>IF(D1884&lt;&gt;"",IF(COUNTIF('USPTO TMs'!A:A,D1884)&gt;0,"Yes","No"),"")</f>
        <v/>
      </c>
      <c r="C1884" s="11"/>
      <c r="D1884" s="11"/>
      <c r="E1884" s="11"/>
      <c r="F1884" s="11"/>
      <c r="G1884" s="11"/>
      <c r="H1884" s="11"/>
      <c r="I1884" s="15"/>
    </row>
    <row r="1885" spans="1:9" ht="16.5">
      <c r="A1885" s="10" t="b">
        <v>0</v>
      </c>
      <c r="B1885" s="11" t="str">
        <f>IF(D1885&lt;&gt;"",IF(COUNTIF('USPTO TMs'!A:A,D1885)&gt;0,"Yes","No"),"")</f>
        <v/>
      </c>
      <c r="C1885" s="11"/>
      <c r="D1885" s="11"/>
      <c r="E1885" s="11"/>
      <c r="F1885" s="11"/>
      <c r="G1885" s="11"/>
      <c r="H1885" s="11"/>
      <c r="I1885" s="15"/>
    </row>
    <row r="1886" spans="1:9" ht="16.5">
      <c r="A1886" s="10" t="b">
        <v>0</v>
      </c>
      <c r="B1886" s="11" t="str">
        <f>IF(D1886&lt;&gt;"",IF(COUNTIF('USPTO TMs'!A:A,D1886)&gt;0,"Yes","No"),"")</f>
        <v/>
      </c>
      <c r="C1886" s="11"/>
      <c r="D1886" s="11"/>
      <c r="E1886" s="11"/>
      <c r="F1886" s="11"/>
      <c r="G1886" s="11"/>
      <c r="H1886" s="11"/>
      <c r="I1886" s="15"/>
    </row>
    <row r="1887" spans="1:9" ht="16.5">
      <c r="A1887" s="10" t="b">
        <v>0</v>
      </c>
      <c r="B1887" s="11" t="str">
        <f>IF(D1887&lt;&gt;"",IF(COUNTIF('USPTO TMs'!A:A,D1887)&gt;0,"Yes","No"),"")</f>
        <v/>
      </c>
      <c r="C1887" s="11"/>
      <c r="D1887" s="11"/>
      <c r="E1887" s="11"/>
      <c r="F1887" s="11"/>
      <c r="G1887" s="11"/>
      <c r="H1887" s="11"/>
      <c r="I1887" s="15"/>
    </row>
    <row r="1888" spans="1:9" ht="16.5">
      <c r="A1888" s="10" t="b">
        <v>0</v>
      </c>
      <c r="B1888" s="11" t="str">
        <f>IF(D1888&lt;&gt;"",IF(COUNTIF('USPTO TMs'!A:A,D1888)&gt;0,"Yes","No"),"")</f>
        <v/>
      </c>
      <c r="C1888" s="11"/>
      <c r="D1888" s="11"/>
      <c r="E1888" s="11"/>
      <c r="F1888" s="11"/>
      <c r="G1888" s="11"/>
      <c r="H1888" s="11"/>
      <c r="I1888" s="15"/>
    </row>
    <row r="1889" spans="1:9" ht="16.5">
      <c r="A1889" s="10" t="b">
        <v>0</v>
      </c>
      <c r="B1889" s="11" t="str">
        <f>IF(D1889&lt;&gt;"",IF(COUNTIF('USPTO TMs'!A:A,D1889)&gt;0,"Yes","No"),"")</f>
        <v/>
      </c>
      <c r="C1889" s="11"/>
      <c r="D1889" s="11"/>
      <c r="E1889" s="11"/>
      <c r="F1889" s="11"/>
      <c r="G1889" s="11"/>
      <c r="H1889" s="11"/>
      <c r="I1889" s="15"/>
    </row>
    <row r="1890" spans="1:9" ht="16.5">
      <c r="A1890" s="10" t="b">
        <v>0</v>
      </c>
      <c r="B1890" s="11" t="str">
        <f>IF(D1890&lt;&gt;"",IF(COUNTIF('USPTO TMs'!A:A,D1890)&gt;0,"Yes","No"),"")</f>
        <v/>
      </c>
      <c r="C1890" s="11"/>
      <c r="D1890" s="11"/>
      <c r="E1890" s="11"/>
      <c r="F1890" s="11"/>
      <c r="G1890" s="11"/>
      <c r="H1890" s="11"/>
      <c r="I1890" s="15"/>
    </row>
    <row r="1891" spans="1:9" ht="16.5">
      <c r="A1891" s="10" t="b">
        <v>0</v>
      </c>
      <c r="B1891" s="11" t="str">
        <f>IF(D1891&lt;&gt;"",IF(COUNTIF('USPTO TMs'!A:A,D1891)&gt;0,"Yes","No"),"")</f>
        <v/>
      </c>
      <c r="C1891" s="11"/>
      <c r="D1891" s="11"/>
      <c r="E1891" s="11"/>
      <c r="F1891" s="11"/>
      <c r="G1891" s="11"/>
      <c r="H1891" s="11"/>
      <c r="I1891" s="15"/>
    </row>
    <row r="1892" spans="1:9" ht="16.5">
      <c r="A1892" s="10" t="b">
        <v>0</v>
      </c>
      <c r="B1892" s="11" t="str">
        <f>IF(D1892&lt;&gt;"",IF(COUNTIF('USPTO TMs'!A:A,D1892)&gt;0,"Yes","No"),"")</f>
        <v/>
      </c>
      <c r="C1892" s="11"/>
      <c r="D1892" s="11"/>
      <c r="E1892" s="11"/>
      <c r="F1892" s="11"/>
      <c r="G1892" s="11"/>
      <c r="H1892" s="11"/>
      <c r="I1892" s="15"/>
    </row>
    <row r="1893" spans="1:9" ht="16.5">
      <c r="A1893" s="10" t="b">
        <v>0</v>
      </c>
      <c r="B1893" s="11" t="str">
        <f>IF(D1893&lt;&gt;"",IF(COUNTIF('USPTO TMs'!A:A,D1893)&gt;0,"Yes","No"),"")</f>
        <v/>
      </c>
      <c r="C1893" s="11"/>
      <c r="D1893" s="11"/>
      <c r="E1893" s="11"/>
      <c r="F1893" s="11"/>
      <c r="G1893" s="11"/>
      <c r="H1893" s="11"/>
      <c r="I1893" s="15"/>
    </row>
    <row r="1894" spans="1:9" ht="16.5">
      <c r="A1894" s="10" t="b">
        <v>0</v>
      </c>
      <c r="B1894" s="11" t="str">
        <f>IF(D1894&lt;&gt;"",IF(COUNTIF('USPTO TMs'!A:A,D1894)&gt;0,"Yes","No"),"")</f>
        <v/>
      </c>
      <c r="C1894" s="11"/>
      <c r="D1894" s="11"/>
      <c r="E1894" s="11"/>
      <c r="F1894" s="11"/>
      <c r="G1894" s="11"/>
      <c r="H1894" s="11"/>
      <c r="I1894" s="15"/>
    </row>
    <row r="1895" spans="1:9" ht="16.5">
      <c r="A1895" s="10" t="b">
        <v>0</v>
      </c>
      <c r="B1895" s="11" t="str">
        <f>IF(D1895&lt;&gt;"",IF(COUNTIF('USPTO TMs'!A:A,D1895)&gt;0,"Yes","No"),"")</f>
        <v/>
      </c>
      <c r="C1895" s="11"/>
      <c r="D1895" s="11"/>
      <c r="E1895" s="11"/>
      <c r="F1895" s="11"/>
      <c r="G1895" s="11"/>
      <c r="H1895" s="11"/>
      <c r="I1895" s="15"/>
    </row>
    <row r="1896" spans="1:9" ht="16.5">
      <c r="A1896" s="10" t="b">
        <v>0</v>
      </c>
      <c r="B1896" s="11" t="str">
        <f>IF(D1896&lt;&gt;"",IF(COUNTIF('USPTO TMs'!A:A,D1896)&gt;0,"Yes","No"),"")</f>
        <v/>
      </c>
      <c r="C1896" s="11"/>
      <c r="D1896" s="11"/>
      <c r="E1896" s="11"/>
      <c r="F1896" s="11"/>
      <c r="G1896" s="11"/>
      <c r="H1896" s="11"/>
      <c r="I1896" s="15"/>
    </row>
    <row r="1897" spans="1:9" ht="16.5">
      <c r="A1897" s="10" t="b">
        <v>0</v>
      </c>
      <c r="B1897" s="11" t="str">
        <f>IF(D1897&lt;&gt;"",IF(COUNTIF('USPTO TMs'!A:A,D1897)&gt;0,"Yes","No"),"")</f>
        <v/>
      </c>
      <c r="C1897" s="11"/>
      <c r="D1897" s="11"/>
      <c r="E1897" s="11"/>
      <c r="F1897" s="11"/>
      <c r="G1897" s="11"/>
      <c r="H1897" s="11"/>
      <c r="I1897" s="15"/>
    </row>
    <row r="1898" spans="1:9" ht="16.5">
      <c r="A1898" s="10" t="b">
        <v>0</v>
      </c>
      <c r="B1898" s="11" t="str">
        <f>IF(D1898&lt;&gt;"",IF(COUNTIF('USPTO TMs'!A:A,D1898)&gt;0,"Yes","No"),"")</f>
        <v/>
      </c>
      <c r="C1898" s="11"/>
      <c r="D1898" s="11"/>
      <c r="E1898" s="11"/>
      <c r="F1898" s="11"/>
      <c r="G1898" s="11"/>
      <c r="H1898" s="11"/>
      <c r="I1898" s="15"/>
    </row>
    <row r="1899" spans="1:9" ht="16.5">
      <c r="A1899" s="10" t="b">
        <v>0</v>
      </c>
      <c r="B1899" s="11" t="str">
        <f>IF(D1899&lt;&gt;"",IF(COUNTIF('USPTO TMs'!A:A,D1899)&gt;0,"Yes","No"),"")</f>
        <v/>
      </c>
      <c r="C1899" s="11"/>
      <c r="D1899" s="11"/>
      <c r="E1899" s="11"/>
      <c r="F1899" s="11"/>
      <c r="G1899" s="11"/>
      <c r="H1899" s="11"/>
      <c r="I1899" s="15"/>
    </row>
    <row r="1900" spans="1:9" ht="16.5">
      <c r="A1900" s="10" t="b">
        <v>0</v>
      </c>
      <c r="B1900" s="11" t="str">
        <f>IF(D1900&lt;&gt;"",IF(COUNTIF('USPTO TMs'!A:A,D1900)&gt;0,"Yes","No"),"")</f>
        <v/>
      </c>
      <c r="C1900" s="11"/>
      <c r="D1900" s="11"/>
      <c r="E1900" s="11"/>
      <c r="F1900" s="11"/>
      <c r="G1900" s="11"/>
      <c r="H1900" s="11"/>
      <c r="I1900" s="15"/>
    </row>
    <row r="1901" spans="1:9" ht="16.5">
      <c r="A1901" s="10" t="b">
        <v>0</v>
      </c>
      <c r="B1901" s="11" t="str">
        <f>IF(D1901&lt;&gt;"",IF(COUNTIF('USPTO TMs'!A:A,D1901)&gt;0,"Yes","No"),"")</f>
        <v/>
      </c>
      <c r="C1901" s="11"/>
      <c r="D1901" s="11"/>
      <c r="E1901" s="11"/>
      <c r="F1901" s="11"/>
      <c r="G1901" s="11"/>
      <c r="H1901" s="11"/>
      <c r="I1901" s="15"/>
    </row>
    <row r="1902" spans="1:9" ht="16.5">
      <c r="A1902" s="10" t="b">
        <v>0</v>
      </c>
      <c r="B1902" s="11" t="str">
        <f>IF(D1902&lt;&gt;"",IF(COUNTIF('USPTO TMs'!A:A,D1902)&gt;0,"Yes","No"),"")</f>
        <v/>
      </c>
      <c r="C1902" s="11"/>
      <c r="D1902" s="11"/>
      <c r="E1902" s="11"/>
      <c r="F1902" s="11"/>
      <c r="G1902" s="11"/>
      <c r="H1902" s="11"/>
      <c r="I1902" s="15"/>
    </row>
    <row r="1903" spans="1:9" ht="16.5">
      <c r="A1903" s="10" t="b">
        <v>0</v>
      </c>
      <c r="B1903" s="11" t="str">
        <f>IF(D1903&lt;&gt;"",IF(COUNTIF('USPTO TMs'!A:A,D1903)&gt;0,"Yes","No"),"")</f>
        <v/>
      </c>
      <c r="C1903" s="11"/>
      <c r="D1903" s="11"/>
      <c r="E1903" s="11"/>
      <c r="F1903" s="11"/>
      <c r="G1903" s="11"/>
      <c r="H1903" s="11"/>
      <c r="I1903" s="15"/>
    </row>
    <row r="1904" spans="1:9" ht="16.5">
      <c r="A1904" s="10" t="b">
        <v>0</v>
      </c>
      <c r="B1904" s="11" t="str">
        <f>IF(D1904&lt;&gt;"",IF(COUNTIF('USPTO TMs'!A:A,D1904)&gt;0,"Yes","No"),"")</f>
        <v/>
      </c>
      <c r="C1904" s="11"/>
      <c r="D1904" s="11"/>
      <c r="E1904" s="11"/>
      <c r="F1904" s="11"/>
      <c r="G1904" s="11"/>
      <c r="H1904" s="11"/>
      <c r="I1904" s="15"/>
    </row>
    <row r="1905" spans="1:9" ht="16.5">
      <c r="A1905" s="10" t="b">
        <v>0</v>
      </c>
      <c r="B1905" s="11" t="str">
        <f>IF(D1905&lt;&gt;"",IF(COUNTIF('USPTO TMs'!A:A,D1905)&gt;0,"Yes","No"),"")</f>
        <v/>
      </c>
      <c r="C1905" s="11"/>
      <c r="D1905" s="11"/>
      <c r="E1905" s="11"/>
      <c r="F1905" s="11"/>
      <c r="G1905" s="11"/>
      <c r="H1905" s="11"/>
      <c r="I1905" s="15"/>
    </row>
    <row r="1906" spans="1:9" ht="16.5">
      <c r="A1906" s="10" t="b">
        <v>0</v>
      </c>
      <c r="B1906" s="11" t="str">
        <f>IF(D1906&lt;&gt;"",IF(COUNTIF('USPTO TMs'!A:A,D1906)&gt;0,"Yes","No"),"")</f>
        <v/>
      </c>
      <c r="C1906" s="11"/>
      <c r="D1906" s="11"/>
      <c r="E1906" s="11"/>
      <c r="F1906" s="11"/>
      <c r="G1906" s="11"/>
      <c r="H1906" s="11"/>
      <c r="I1906" s="15"/>
    </row>
    <row r="1907" spans="1:9" ht="16.5">
      <c r="A1907" s="10" t="b">
        <v>0</v>
      </c>
      <c r="B1907" s="11" t="str">
        <f>IF(D1907&lt;&gt;"",IF(COUNTIF('USPTO TMs'!A:A,D1907)&gt;0,"Yes","No"),"")</f>
        <v/>
      </c>
      <c r="C1907" s="11"/>
      <c r="D1907" s="11"/>
      <c r="E1907" s="11"/>
      <c r="F1907" s="11"/>
      <c r="G1907" s="11"/>
      <c r="H1907" s="11"/>
      <c r="I1907" s="15"/>
    </row>
    <row r="1908" spans="1:9" ht="16.5">
      <c r="A1908" s="10" t="b">
        <v>0</v>
      </c>
      <c r="B1908" s="11" t="str">
        <f>IF(D1908&lt;&gt;"",IF(COUNTIF('USPTO TMs'!A:A,D1908)&gt;0,"Yes","No"),"")</f>
        <v/>
      </c>
      <c r="C1908" s="11"/>
      <c r="D1908" s="11"/>
      <c r="E1908" s="11"/>
      <c r="F1908" s="11"/>
      <c r="G1908" s="11"/>
      <c r="H1908" s="11"/>
      <c r="I1908" s="15"/>
    </row>
    <row r="1909" spans="1:9" ht="16.5">
      <c r="A1909" s="10" t="b">
        <v>0</v>
      </c>
      <c r="B1909" s="11" t="str">
        <f>IF(D1909&lt;&gt;"",IF(COUNTIF('USPTO TMs'!A:A,D1909)&gt;0,"Yes","No"),"")</f>
        <v/>
      </c>
      <c r="C1909" s="11"/>
      <c r="D1909" s="11"/>
      <c r="E1909" s="11"/>
      <c r="F1909" s="11"/>
      <c r="G1909" s="11"/>
      <c r="H1909" s="11"/>
      <c r="I1909" s="15"/>
    </row>
    <row r="1910" spans="1:9" ht="16.5">
      <c r="A1910" s="10" t="b">
        <v>0</v>
      </c>
      <c r="B1910" s="11" t="str">
        <f>IF(D1910&lt;&gt;"",IF(COUNTIF('USPTO TMs'!A:A,D1910)&gt;0,"Yes","No"),"")</f>
        <v/>
      </c>
      <c r="C1910" s="11"/>
      <c r="D1910" s="11"/>
      <c r="E1910" s="11"/>
      <c r="F1910" s="11"/>
      <c r="G1910" s="11"/>
      <c r="H1910" s="11"/>
      <c r="I1910" s="15"/>
    </row>
    <row r="1911" spans="1:9" ht="16.5">
      <c r="A1911" s="10" t="b">
        <v>0</v>
      </c>
      <c r="B1911" s="11" t="str">
        <f>IF(D1911&lt;&gt;"",IF(COUNTIF('USPTO TMs'!A:A,D1911)&gt;0,"Yes","No"),"")</f>
        <v/>
      </c>
      <c r="C1911" s="11"/>
      <c r="D1911" s="11"/>
      <c r="E1911" s="11"/>
      <c r="F1911" s="11"/>
      <c r="G1911" s="11"/>
      <c r="H1911" s="11"/>
      <c r="I1911" s="15"/>
    </row>
    <row r="1912" spans="1:9" ht="16.5">
      <c r="A1912" s="10" t="b">
        <v>0</v>
      </c>
      <c r="B1912" s="11" t="str">
        <f>IF(D1912&lt;&gt;"",IF(COUNTIF('USPTO TMs'!A:A,D1912)&gt;0,"Yes","No"),"")</f>
        <v/>
      </c>
      <c r="C1912" s="11"/>
      <c r="D1912" s="11"/>
      <c r="E1912" s="11"/>
      <c r="F1912" s="11"/>
      <c r="G1912" s="11"/>
      <c r="H1912" s="11"/>
      <c r="I1912" s="15"/>
    </row>
    <row r="1913" spans="1:9" ht="16.5">
      <c r="A1913" s="10" t="b">
        <v>0</v>
      </c>
      <c r="B1913" s="11" t="str">
        <f>IF(D1913&lt;&gt;"",IF(COUNTIF('USPTO TMs'!A:A,D1913)&gt;0,"Yes","No"),"")</f>
        <v/>
      </c>
      <c r="C1913" s="11"/>
      <c r="D1913" s="11"/>
      <c r="E1913" s="11"/>
      <c r="F1913" s="11"/>
      <c r="G1913" s="11"/>
      <c r="H1913" s="11"/>
      <c r="I1913" s="15"/>
    </row>
    <row r="1914" spans="1:9" ht="16.5">
      <c r="A1914" s="10" t="b">
        <v>0</v>
      </c>
      <c r="B1914" s="11" t="str">
        <f>IF(D1914&lt;&gt;"",IF(COUNTIF('USPTO TMs'!A:A,D1914)&gt;0,"Yes","No"),"")</f>
        <v/>
      </c>
      <c r="C1914" s="11"/>
      <c r="D1914" s="11"/>
      <c r="E1914" s="11"/>
      <c r="F1914" s="11"/>
      <c r="G1914" s="11"/>
      <c r="H1914" s="11"/>
      <c r="I1914" s="15"/>
    </row>
    <row r="1915" spans="1:9" ht="16.5">
      <c r="A1915" s="10" t="b">
        <v>0</v>
      </c>
      <c r="B1915" s="11" t="str">
        <f>IF(D1915&lt;&gt;"",IF(COUNTIF('USPTO TMs'!A:A,D1915)&gt;0,"Yes","No"),"")</f>
        <v/>
      </c>
      <c r="C1915" s="11"/>
      <c r="D1915" s="11"/>
      <c r="E1915" s="11"/>
      <c r="F1915" s="11"/>
      <c r="G1915" s="11"/>
      <c r="H1915" s="11"/>
      <c r="I1915" s="15"/>
    </row>
    <row r="1916" spans="1:9" ht="16.5">
      <c r="A1916" s="10" t="b">
        <v>0</v>
      </c>
      <c r="B1916" s="11" t="str">
        <f>IF(D1916&lt;&gt;"",IF(COUNTIF('USPTO TMs'!A:A,D1916)&gt;0,"Yes","No"),"")</f>
        <v/>
      </c>
      <c r="C1916" s="11"/>
      <c r="D1916" s="11"/>
      <c r="E1916" s="11"/>
      <c r="F1916" s="11"/>
      <c r="G1916" s="11"/>
      <c r="H1916" s="11"/>
      <c r="I1916" s="15"/>
    </row>
    <row r="1917" spans="1:9" ht="16.5">
      <c r="A1917" s="10" t="b">
        <v>0</v>
      </c>
      <c r="B1917" s="11" t="str">
        <f>IF(D1917&lt;&gt;"",IF(COUNTIF('USPTO TMs'!A:A,D1917)&gt;0,"Yes","No"),"")</f>
        <v/>
      </c>
      <c r="C1917" s="11"/>
      <c r="D1917" s="11"/>
      <c r="E1917" s="11"/>
      <c r="F1917" s="11"/>
      <c r="G1917" s="11"/>
      <c r="H1917" s="11"/>
      <c r="I1917" s="15"/>
    </row>
    <row r="1918" spans="1:9" ht="16.5">
      <c r="A1918" s="10" t="b">
        <v>0</v>
      </c>
      <c r="B1918" s="11" t="str">
        <f>IF(D1918&lt;&gt;"",IF(COUNTIF('USPTO TMs'!A:A,D1918)&gt;0,"Yes","No"),"")</f>
        <v/>
      </c>
      <c r="C1918" s="11"/>
      <c r="D1918" s="11"/>
      <c r="E1918" s="11"/>
      <c r="F1918" s="11"/>
      <c r="G1918" s="11"/>
      <c r="H1918" s="11"/>
      <c r="I1918" s="15"/>
    </row>
    <row r="1919" spans="1:9" ht="16.5">
      <c r="A1919" s="10" t="b">
        <v>0</v>
      </c>
      <c r="B1919" s="11" t="str">
        <f>IF(D1919&lt;&gt;"",IF(COUNTIF('USPTO TMs'!A:A,D1919)&gt;0,"Yes","No"),"")</f>
        <v/>
      </c>
      <c r="C1919" s="11"/>
      <c r="D1919" s="11"/>
      <c r="E1919" s="11"/>
      <c r="F1919" s="11"/>
      <c r="G1919" s="11"/>
      <c r="H1919" s="11"/>
      <c r="I1919" s="15"/>
    </row>
    <row r="1920" spans="1:9" ht="16.5">
      <c r="A1920" s="10" t="b">
        <v>0</v>
      </c>
      <c r="B1920" s="11" t="str">
        <f>IF(D1920&lt;&gt;"",IF(COUNTIF('USPTO TMs'!A:A,D1920)&gt;0,"Yes","No"),"")</f>
        <v/>
      </c>
      <c r="C1920" s="11"/>
      <c r="D1920" s="11"/>
      <c r="E1920" s="11"/>
      <c r="F1920" s="11"/>
      <c r="G1920" s="11"/>
      <c r="H1920" s="11"/>
      <c r="I1920" s="15"/>
    </row>
    <row r="1921" spans="1:9" ht="16.5">
      <c r="A1921" s="10" t="b">
        <v>0</v>
      </c>
      <c r="B1921" s="11" t="str">
        <f>IF(D1921&lt;&gt;"",IF(COUNTIF('USPTO TMs'!A:A,D1921)&gt;0,"Yes","No"),"")</f>
        <v/>
      </c>
      <c r="C1921" s="11"/>
      <c r="D1921" s="11"/>
      <c r="E1921" s="11"/>
      <c r="F1921" s="11"/>
      <c r="G1921" s="11"/>
      <c r="H1921" s="11"/>
      <c r="I1921" s="15"/>
    </row>
    <row r="1922" spans="1:9" ht="16.5">
      <c r="A1922" s="10" t="b">
        <v>0</v>
      </c>
      <c r="B1922" s="11" t="str">
        <f>IF(D1922&lt;&gt;"",IF(COUNTIF('USPTO TMs'!A:A,D1922)&gt;0,"Yes","No"),"")</f>
        <v/>
      </c>
      <c r="C1922" s="11"/>
      <c r="D1922" s="11"/>
      <c r="E1922" s="11"/>
      <c r="F1922" s="11"/>
      <c r="G1922" s="11"/>
      <c r="H1922" s="11"/>
      <c r="I1922" s="15"/>
    </row>
    <row r="1923" spans="1:9" ht="16.5">
      <c r="A1923" s="10" t="b">
        <v>0</v>
      </c>
      <c r="B1923" s="11" t="str">
        <f>IF(D1923&lt;&gt;"",IF(COUNTIF('USPTO TMs'!A:A,D1923)&gt;0,"Yes","No"),"")</f>
        <v/>
      </c>
      <c r="C1923" s="11"/>
      <c r="D1923" s="11"/>
      <c r="E1923" s="11"/>
      <c r="F1923" s="11"/>
      <c r="G1923" s="11"/>
      <c r="H1923" s="11"/>
      <c r="I1923" s="15"/>
    </row>
    <row r="1924" spans="1:9" ht="16.5">
      <c r="A1924" s="10" t="b">
        <v>0</v>
      </c>
      <c r="B1924" s="11" t="str">
        <f>IF(D1924&lt;&gt;"",IF(COUNTIF('USPTO TMs'!A:A,D1924)&gt;0,"Yes","No"),"")</f>
        <v/>
      </c>
      <c r="C1924" s="11"/>
      <c r="D1924" s="11"/>
      <c r="E1924" s="11"/>
      <c r="F1924" s="11"/>
      <c r="G1924" s="11"/>
      <c r="H1924" s="11"/>
      <c r="I1924" s="15"/>
    </row>
    <row r="1925" spans="1:9" ht="16.5">
      <c r="A1925" s="10" t="b">
        <v>0</v>
      </c>
      <c r="B1925" s="11" t="str">
        <f>IF(D1925&lt;&gt;"",IF(COUNTIF('USPTO TMs'!A:A,D1925)&gt;0,"Yes","No"),"")</f>
        <v/>
      </c>
      <c r="C1925" s="11"/>
      <c r="D1925" s="11"/>
      <c r="E1925" s="11"/>
      <c r="F1925" s="11"/>
      <c r="G1925" s="11"/>
      <c r="H1925" s="11"/>
      <c r="I1925" s="15"/>
    </row>
    <row r="1926" spans="1:9" ht="16.5">
      <c r="A1926" s="10" t="b">
        <v>0</v>
      </c>
      <c r="B1926" s="11" t="str">
        <f>IF(D1926&lt;&gt;"",IF(COUNTIF('USPTO TMs'!A:A,D1926)&gt;0,"Yes","No"),"")</f>
        <v/>
      </c>
      <c r="C1926" s="11"/>
      <c r="D1926" s="11"/>
      <c r="E1926" s="11"/>
      <c r="F1926" s="11"/>
      <c r="G1926" s="11"/>
      <c r="H1926" s="11"/>
      <c r="I1926" s="15"/>
    </row>
    <row r="1927" spans="1:9" ht="16.5">
      <c r="A1927" s="10" t="b">
        <v>0</v>
      </c>
      <c r="B1927" s="11" t="str">
        <f>IF(D1927&lt;&gt;"",IF(COUNTIF('USPTO TMs'!A:A,D1927)&gt;0,"Yes","No"),"")</f>
        <v/>
      </c>
      <c r="C1927" s="11"/>
      <c r="D1927" s="11"/>
      <c r="E1927" s="11"/>
      <c r="F1927" s="11"/>
      <c r="G1927" s="11"/>
      <c r="H1927" s="11"/>
      <c r="I1927" s="15"/>
    </row>
    <row r="1928" spans="1:9" ht="16.5">
      <c r="A1928" s="10" t="b">
        <v>0</v>
      </c>
      <c r="B1928" s="11" t="str">
        <f>IF(D1928&lt;&gt;"",IF(COUNTIF('USPTO TMs'!A:A,D1928)&gt;0,"Yes","No"),"")</f>
        <v/>
      </c>
      <c r="C1928" s="11"/>
      <c r="D1928" s="11"/>
      <c r="E1928" s="11"/>
      <c r="F1928" s="11"/>
      <c r="G1928" s="11"/>
      <c r="H1928" s="11"/>
      <c r="I1928" s="15"/>
    </row>
    <row r="1929" spans="1:9" ht="16.5">
      <c r="A1929" s="10" t="b">
        <v>0</v>
      </c>
      <c r="B1929" s="11" t="str">
        <f>IF(D1929&lt;&gt;"",IF(COUNTIF('USPTO TMs'!A:A,D1929)&gt;0,"Yes","No"),"")</f>
        <v/>
      </c>
      <c r="C1929" s="11"/>
      <c r="D1929" s="11"/>
      <c r="E1929" s="11"/>
      <c r="F1929" s="11"/>
      <c r="G1929" s="11"/>
      <c r="H1929" s="11"/>
      <c r="I1929" s="15"/>
    </row>
    <row r="1930" spans="1:9" ht="16.5">
      <c r="A1930" s="10" t="b">
        <v>0</v>
      </c>
      <c r="B1930" s="11" t="str">
        <f>IF(D1930&lt;&gt;"",IF(COUNTIF('USPTO TMs'!A:A,D1930)&gt;0,"Yes","No"),"")</f>
        <v/>
      </c>
      <c r="C1930" s="11"/>
      <c r="D1930" s="11"/>
      <c r="E1930" s="11"/>
      <c r="F1930" s="11"/>
      <c r="G1930" s="11"/>
      <c r="H1930" s="11"/>
      <c r="I1930" s="15"/>
    </row>
    <row r="1931" spans="1:9" ht="16.5">
      <c r="A1931" s="10" t="b">
        <v>0</v>
      </c>
      <c r="B1931" s="11" t="str">
        <f>IF(D1931&lt;&gt;"",IF(COUNTIF('USPTO TMs'!A:A,D1931)&gt;0,"Yes","No"),"")</f>
        <v/>
      </c>
      <c r="C1931" s="11"/>
      <c r="D1931" s="11"/>
      <c r="E1931" s="11"/>
      <c r="F1931" s="11"/>
      <c r="G1931" s="11"/>
      <c r="H1931" s="11"/>
      <c r="I1931" s="15"/>
    </row>
    <row r="1932" spans="1:9" ht="16.5">
      <c r="A1932" s="10" t="b">
        <v>0</v>
      </c>
      <c r="B1932" s="11" t="str">
        <f>IF(D1932&lt;&gt;"",IF(COUNTIF('USPTO TMs'!A:A,D1932)&gt;0,"Yes","No"),"")</f>
        <v/>
      </c>
      <c r="C1932" s="11"/>
      <c r="D1932" s="11"/>
      <c r="E1932" s="11"/>
      <c r="F1932" s="11"/>
      <c r="G1932" s="11"/>
      <c r="H1932" s="11"/>
      <c r="I1932" s="15"/>
    </row>
    <row r="1933" spans="1:9" ht="16.5">
      <c r="A1933" s="10" t="b">
        <v>0</v>
      </c>
      <c r="B1933" s="11" t="str">
        <f>IF(D1933&lt;&gt;"",IF(COUNTIF('USPTO TMs'!A:A,D1933)&gt;0,"Yes","No"),"")</f>
        <v/>
      </c>
      <c r="C1933" s="11"/>
      <c r="D1933" s="11"/>
      <c r="E1933" s="11"/>
      <c r="F1933" s="11"/>
      <c r="G1933" s="11"/>
      <c r="H1933" s="11"/>
      <c r="I1933" s="15"/>
    </row>
    <row r="1934" spans="1:9" ht="16.5">
      <c r="A1934" s="10" t="b">
        <v>0</v>
      </c>
      <c r="B1934" s="11" t="str">
        <f>IF(D1934&lt;&gt;"",IF(COUNTIF('USPTO TMs'!A:A,D1934)&gt;0,"Yes","No"),"")</f>
        <v/>
      </c>
      <c r="C1934" s="11"/>
      <c r="D1934" s="11"/>
      <c r="E1934" s="11"/>
      <c r="F1934" s="11"/>
      <c r="G1934" s="11"/>
      <c r="H1934" s="11"/>
      <c r="I1934" s="15"/>
    </row>
    <row r="1935" spans="1:9" ht="16.5">
      <c r="A1935" s="10" t="b">
        <v>0</v>
      </c>
      <c r="B1935" s="11" t="str">
        <f>IF(D1935&lt;&gt;"",IF(COUNTIF('USPTO TMs'!A:A,D1935)&gt;0,"Yes","No"),"")</f>
        <v/>
      </c>
      <c r="C1935" s="11"/>
      <c r="D1935" s="11"/>
      <c r="E1935" s="11"/>
      <c r="F1935" s="11"/>
      <c r="G1935" s="11"/>
      <c r="H1935" s="11"/>
      <c r="I1935" s="15"/>
    </row>
    <row r="1936" spans="1:9" ht="16.5">
      <c r="A1936" s="10" t="b">
        <v>0</v>
      </c>
      <c r="B1936" s="11" t="str">
        <f>IF(D1936&lt;&gt;"",IF(COUNTIF('USPTO TMs'!A:A,D1936)&gt;0,"Yes","No"),"")</f>
        <v/>
      </c>
      <c r="C1936" s="11"/>
      <c r="D1936" s="11"/>
      <c r="E1936" s="11"/>
      <c r="F1936" s="11"/>
      <c r="G1936" s="11"/>
      <c r="H1936" s="11"/>
      <c r="I1936" s="15"/>
    </row>
    <row r="1937" spans="1:9" ht="16.5">
      <c r="A1937" s="10" t="b">
        <v>0</v>
      </c>
      <c r="B1937" s="11" t="str">
        <f>IF(D1937&lt;&gt;"",IF(COUNTIF('USPTO TMs'!A:A,D1937)&gt;0,"Yes","No"),"")</f>
        <v/>
      </c>
      <c r="C1937" s="11"/>
      <c r="D1937" s="11"/>
      <c r="E1937" s="11"/>
      <c r="F1937" s="11"/>
      <c r="G1937" s="11"/>
      <c r="H1937" s="11"/>
      <c r="I1937" s="15"/>
    </row>
    <row r="1938" spans="1:9" ht="16.5">
      <c r="A1938" s="10" t="b">
        <v>0</v>
      </c>
      <c r="B1938" s="11" t="str">
        <f>IF(D1938&lt;&gt;"",IF(COUNTIF('USPTO TMs'!A:A,D1938)&gt;0,"Yes","No"),"")</f>
        <v/>
      </c>
      <c r="C1938" s="11"/>
      <c r="D1938" s="11"/>
      <c r="E1938" s="11"/>
      <c r="F1938" s="11"/>
      <c r="G1938" s="11"/>
      <c r="H1938" s="11"/>
      <c r="I1938" s="15"/>
    </row>
    <row r="1939" spans="1:9" ht="16.5">
      <c r="A1939" s="10" t="b">
        <v>0</v>
      </c>
      <c r="B1939" s="11" t="str">
        <f>IF(D1939&lt;&gt;"",IF(COUNTIF('USPTO TMs'!A:A,D1939)&gt;0,"Yes","No"),"")</f>
        <v/>
      </c>
      <c r="C1939" s="11"/>
      <c r="D1939" s="11"/>
      <c r="E1939" s="11"/>
      <c r="F1939" s="11"/>
      <c r="G1939" s="11"/>
      <c r="H1939" s="11"/>
      <c r="I1939" s="15"/>
    </row>
    <row r="1940" spans="1:9" ht="16.5">
      <c r="A1940" s="10" t="b">
        <v>0</v>
      </c>
      <c r="B1940" s="11" t="str">
        <f>IF(D1940&lt;&gt;"",IF(COUNTIF('USPTO TMs'!A:A,D1940)&gt;0,"Yes","No"),"")</f>
        <v/>
      </c>
      <c r="C1940" s="11"/>
      <c r="D1940" s="11"/>
      <c r="E1940" s="11"/>
      <c r="F1940" s="11"/>
      <c r="G1940" s="11"/>
      <c r="H1940" s="11"/>
      <c r="I1940" s="15"/>
    </row>
    <row r="1941" spans="1:9" ht="16.5">
      <c r="A1941" s="10" t="b">
        <v>0</v>
      </c>
      <c r="B1941" s="11" t="str">
        <f>IF(D1941&lt;&gt;"",IF(COUNTIF('USPTO TMs'!A:A,D1941)&gt;0,"Yes","No"),"")</f>
        <v/>
      </c>
      <c r="C1941" s="11"/>
      <c r="D1941" s="11"/>
      <c r="E1941" s="11"/>
      <c r="F1941" s="11"/>
      <c r="G1941" s="11"/>
      <c r="H1941" s="11"/>
      <c r="I1941" s="15"/>
    </row>
    <row r="1942" spans="1:9" ht="16.5">
      <c r="A1942" s="10" t="b">
        <v>0</v>
      </c>
      <c r="B1942" s="11" t="str">
        <f>IF(D1942&lt;&gt;"",IF(COUNTIF('USPTO TMs'!A:A,D1942)&gt;0,"Yes","No"),"")</f>
        <v/>
      </c>
      <c r="C1942" s="11"/>
      <c r="D1942" s="11"/>
      <c r="E1942" s="11"/>
      <c r="F1942" s="11"/>
      <c r="G1942" s="11"/>
      <c r="H1942" s="11"/>
      <c r="I1942" s="15"/>
    </row>
    <row r="1943" spans="1:9" ht="16.5">
      <c r="A1943" s="10" t="b">
        <v>0</v>
      </c>
      <c r="B1943" s="11" t="str">
        <f>IF(D1943&lt;&gt;"",IF(COUNTIF('USPTO TMs'!A:A,D1943)&gt;0,"Yes","No"),"")</f>
        <v/>
      </c>
      <c r="C1943" s="11"/>
      <c r="D1943" s="11"/>
      <c r="E1943" s="11"/>
      <c r="F1943" s="11"/>
      <c r="G1943" s="11"/>
      <c r="H1943" s="11"/>
      <c r="I1943" s="15"/>
    </row>
    <row r="1944" spans="1:9" ht="16.5">
      <c r="A1944" s="10" t="b">
        <v>0</v>
      </c>
      <c r="B1944" s="11" t="str">
        <f>IF(D1944&lt;&gt;"",IF(COUNTIF('USPTO TMs'!A:A,D1944)&gt;0,"Yes","No"),"")</f>
        <v/>
      </c>
      <c r="C1944" s="11"/>
      <c r="D1944" s="11"/>
      <c r="E1944" s="11"/>
      <c r="F1944" s="11"/>
      <c r="G1944" s="11"/>
      <c r="H1944" s="11"/>
      <c r="I1944" s="15"/>
    </row>
    <row r="1945" spans="1:9" ht="16.5">
      <c r="A1945" s="10" t="b">
        <v>0</v>
      </c>
      <c r="B1945" s="11" t="str">
        <f>IF(D1945&lt;&gt;"",IF(COUNTIF('USPTO TMs'!A:A,D1945)&gt;0,"Yes","No"),"")</f>
        <v/>
      </c>
      <c r="C1945" s="11"/>
      <c r="D1945" s="11"/>
      <c r="E1945" s="11"/>
      <c r="F1945" s="11"/>
      <c r="G1945" s="11"/>
      <c r="H1945" s="11"/>
      <c r="I1945" s="15"/>
    </row>
    <row r="1946" spans="1:9" ht="16.5">
      <c r="A1946" s="10" t="b">
        <v>0</v>
      </c>
      <c r="B1946" s="11" t="str">
        <f>IF(D1946&lt;&gt;"",IF(COUNTIF('USPTO TMs'!A:A,D1946)&gt;0,"Yes","No"),"")</f>
        <v/>
      </c>
      <c r="C1946" s="11"/>
      <c r="D1946" s="11"/>
      <c r="E1946" s="11"/>
      <c r="F1946" s="11"/>
      <c r="G1946" s="11"/>
      <c r="H1946" s="11"/>
      <c r="I1946" s="15"/>
    </row>
    <row r="1947" spans="1:9" ht="16.5">
      <c r="A1947" s="10" t="b">
        <v>0</v>
      </c>
      <c r="B1947" s="11" t="str">
        <f>IF(D1947&lt;&gt;"",IF(COUNTIF('USPTO TMs'!A:A,D1947)&gt;0,"Yes","No"),"")</f>
        <v/>
      </c>
      <c r="C1947" s="11"/>
      <c r="D1947" s="11"/>
      <c r="E1947" s="11"/>
      <c r="F1947" s="11"/>
      <c r="G1947" s="11"/>
      <c r="H1947" s="11"/>
      <c r="I1947" s="15"/>
    </row>
    <row r="1948" spans="1:9" ht="16.5">
      <c r="A1948" s="10" t="b">
        <v>0</v>
      </c>
      <c r="B1948" s="11" t="str">
        <f>IF(D1948&lt;&gt;"",IF(COUNTIF('USPTO TMs'!A:A,D1948)&gt;0,"Yes","No"),"")</f>
        <v/>
      </c>
      <c r="C1948" s="11"/>
      <c r="D1948" s="11"/>
      <c r="E1948" s="11"/>
      <c r="F1948" s="11"/>
      <c r="G1948" s="11"/>
      <c r="H1948" s="11"/>
      <c r="I1948" s="15"/>
    </row>
    <row r="1949" spans="1:9" ht="16.5">
      <c r="A1949" s="10" t="b">
        <v>0</v>
      </c>
      <c r="B1949" s="11" t="str">
        <f>IF(D1949&lt;&gt;"",IF(COUNTIF('USPTO TMs'!A:A,D1949)&gt;0,"Yes","No"),"")</f>
        <v/>
      </c>
      <c r="C1949" s="11"/>
      <c r="D1949" s="11"/>
      <c r="E1949" s="11"/>
      <c r="F1949" s="11"/>
      <c r="G1949" s="11"/>
      <c r="H1949" s="11"/>
      <c r="I1949" s="15"/>
    </row>
    <row r="1950" spans="1:9" ht="16.5">
      <c r="A1950" s="10" t="b">
        <v>0</v>
      </c>
      <c r="B1950" s="11" t="str">
        <f>IF(D1950&lt;&gt;"",IF(COUNTIF('USPTO TMs'!A:A,D1950)&gt;0,"Yes","No"),"")</f>
        <v/>
      </c>
      <c r="C1950" s="11"/>
      <c r="D1950" s="11"/>
      <c r="E1950" s="11"/>
      <c r="F1950" s="11"/>
      <c r="G1950" s="11"/>
      <c r="H1950" s="11"/>
      <c r="I1950" s="15"/>
    </row>
    <row r="1951" spans="1:9" ht="16.5">
      <c r="A1951" s="10" t="b">
        <v>0</v>
      </c>
      <c r="B1951" s="11" t="str">
        <f>IF(D1951&lt;&gt;"",IF(COUNTIF('USPTO TMs'!A:A,D1951)&gt;0,"Yes","No"),"")</f>
        <v/>
      </c>
      <c r="C1951" s="11"/>
      <c r="D1951" s="11"/>
      <c r="E1951" s="11"/>
      <c r="F1951" s="11"/>
      <c r="G1951" s="11"/>
      <c r="H1951" s="11"/>
      <c r="I1951" s="15"/>
    </row>
    <row r="1952" spans="1:9" ht="16.5">
      <c r="A1952" s="10" t="b">
        <v>0</v>
      </c>
      <c r="B1952" s="11" t="str">
        <f>IF(D1952&lt;&gt;"",IF(COUNTIF('USPTO TMs'!A:A,D1952)&gt;0,"Yes","No"),"")</f>
        <v/>
      </c>
      <c r="C1952" s="11"/>
      <c r="D1952" s="11"/>
      <c r="E1952" s="11"/>
      <c r="F1952" s="11"/>
      <c r="G1952" s="11"/>
      <c r="H1952" s="11"/>
      <c r="I1952" s="15"/>
    </row>
    <row r="1953" spans="1:9" ht="16.5">
      <c r="A1953" s="10" t="b">
        <v>0</v>
      </c>
      <c r="B1953" s="11" t="str">
        <f>IF(D1953&lt;&gt;"",IF(COUNTIF('USPTO TMs'!A:A,D1953)&gt;0,"Yes","No"),"")</f>
        <v/>
      </c>
      <c r="C1953" s="11"/>
      <c r="D1953" s="11"/>
      <c r="E1953" s="11"/>
      <c r="F1953" s="11"/>
      <c r="G1953" s="11"/>
      <c r="H1953" s="11"/>
      <c r="I1953" s="15"/>
    </row>
    <row r="1954" spans="1:9" ht="16.5">
      <c r="A1954" s="10" t="b">
        <v>0</v>
      </c>
      <c r="B1954" s="11" t="str">
        <f>IF(D1954&lt;&gt;"",IF(COUNTIF('USPTO TMs'!A:A,D1954)&gt;0,"Yes","No"),"")</f>
        <v/>
      </c>
      <c r="C1954" s="11"/>
      <c r="D1954" s="11"/>
      <c r="E1954" s="11"/>
      <c r="F1954" s="11"/>
      <c r="G1954" s="11"/>
      <c r="H1954" s="11"/>
      <c r="I1954" s="15"/>
    </row>
    <row r="1955" spans="1:9" ht="16.5">
      <c r="A1955" s="10" t="b">
        <v>0</v>
      </c>
      <c r="B1955" s="11" t="str">
        <f>IF(D1955&lt;&gt;"",IF(COUNTIF('USPTO TMs'!A:A,D1955)&gt;0,"Yes","No"),"")</f>
        <v/>
      </c>
      <c r="C1955" s="11"/>
      <c r="D1955" s="11"/>
      <c r="E1955" s="11"/>
      <c r="F1955" s="11"/>
      <c r="G1955" s="11"/>
      <c r="H1955" s="11"/>
      <c r="I1955" s="15"/>
    </row>
    <row r="1956" spans="1:9" ht="16.5">
      <c r="A1956" s="10" t="b">
        <v>0</v>
      </c>
      <c r="B1956" s="11" t="str">
        <f>IF(D1956&lt;&gt;"",IF(COUNTIF('USPTO TMs'!A:A,D1956)&gt;0,"Yes","No"),"")</f>
        <v/>
      </c>
      <c r="C1956" s="11"/>
      <c r="D1956" s="11"/>
      <c r="E1956" s="11"/>
      <c r="F1956" s="11"/>
      <c r="G1956" s="11"/>
      <c r="H1956" s="11"/>
      <c r="I1956" s="15"/>
    </row>
    <row r="1957" spans="1:9" ht="16.5">
      <c r="A1957" s="10" t="b">
        <v>0</v>
      </c>
      <c r="B1957" s="11" t="str">
        <f>IF(D1957&lt;&gt;"",IF(COUNTIF('USPTO TMs'!A:A,D1957)&gt;0,"Yes","No"),"")</f>
        <v/>
      </c>
      <c r="C1957" s="11"/>
      <c r="D1957" s="11"/>
      <c r="E1957" s="11"/>
      <c r="F1957" s="11"/>
      <c r="G1957" s="11"/>
      <c r="H1957" s="11"/>
      <c r="I1957" s="15"/>
    </row>
    <row r="1958" spans="1:9" ht="16.5">
      <c r="A1958" s="10" t="b">
        <v>0</v>
      </c>
      <c r="B1958" s="11" t="str">
        <f>IF(D1958&lt;&gt;"",IF(COUNTIF('USPTO TMs'!A:A,D1958)&gt;0,"Yes","No"),"")</f>
        <v/>
      </c>
      <c r="C1958" s="11"/>
      <c r="D1958" s="11"/>
      <c r="E1958" s="11"/>
      <c r="F1958" s="11"/>
      <c r="G1958" s="11"/>
      <c r="H1958" s="11"/>
      <c r="I1958" s="15"/>
    </row>
    <row r="1959" spans="1:9" ht="16.5">
      <c r="A1959" s="10" t="b">
        <v>0</v>
      </c>
      <c r="B1959" s="11" t="str">
        <f>IF(D1959&lt;&gt;"",IF(COUNTIF('USPTO TMs'!A:A,D1959)&gt;0,"Yes","No"),"")</f>
        <v/>
      </c>
      <c r="C1959" s="11"/>
      <c r="D1959" s="11"/>
      <c r="E1959" s="11"/>
      <c r="F1959" s="11"/>
      <c r="G1959" s="11"/>
      <c r="H1959" s="11"/>
      <c r="I1959" s="15"/>
    </row>
    <row r="1960" spans="1:9" ht="16.5">
      <c r="A1960" s="10" t="b">
        <v>0</v>
      </c>
      <c r="B1960" s="11" t="str">
        <f>IF(D1960&lt;&gt;"",IF(COUNTIF('USPTO TMs'!A:A,D1960)&gt;0,"Yes","No"),"")</f>
        <v/>
      </c>
      <c r="C1960" s="11"/>
      <c r="D1960" s="11"/>
      <c r="E1960" s="11"/>
      <c r="F1960" s="11"/>
      <c r="G1960" s="11"/>
      <c r="H1960" s="11"/>
      <c r="I1960" s="15"/>
    </row>
    <row r="1961" spans="1:9" ht="16.5">
      <c r="A1961" s="10" t="b">
        <v>0</v>
      </c>
      <c r="B1961" s="11" t="str">
        <f>IF(D1961&lt;&gt;"",IF(COUNTIF('USPTO TMs'!A:A,D1961)&gt;0,"Yes","No"),"")</f>
        <v/>
      </c>
      <c r="C1961" s="11"/>
      <c r="D1961" s="11"/>
      <c r="E1961" s="11"/>
      <c r="F1961" s="11"/>
      <c r="G1961" s="11"/>
      <c r="H1961" s="11"/>
      <c r="I1961" s="15"/>
    </row>
    <row r="1962" spans="1:9" ht="16.5">
      <c r="A1962" s="10" t="b">
        <v>0</v>
      </c>
      <c r="B1962" s="11" t="str">
        <f>IF(D1962&lt;&gt;"",IF(COUNTIF('USPTO TMs'!A:A,D1962)&gt;0,"Yes","No"),"")</f>
        <v/>
      </c>
      <c r="C1962" s="11"/>
      <c r="D1962" s="11"/>
      <c r="E1962" s="11"/>
      <c r="F1962" s="11"/>
      <c r="G1962" s="11"/>
      <c r="H1962" s="11"/>
      <c r="I1962" s="15"/>
    </row>
    <row r="1963" spans="1:9" ht="16.5">
      <c r="A1963" s="10" t="b">
        <v>0</v>
      </c>
      <c r="B1963" s="11" t="str">
        <f>IF(D1963&lt;&gt;"",IF(COUNTIF('USPTO TMs'!A:A,D1963)&gt;0,"Yes","No"),"")</f>
        <v/>
      </c>
      <c r="C1963" s="11"/>
      <c r="D1963" s="11"/>
      <c r="E1963" s="11"/>
      <c r="F1963" s="11"/>
      <c r="G1963" s="11"/>
      <c r="H1963" s="11"/>
      <c r="I1963" s="15"/>
    </row>
    <row r="1964" spans="1:9" ht="16.5">
      <c r="A1964" s="10" t="b">
        <v>0</v>
      </c>
      <c r="B1964" s="11" t="str">
        <f>IF(D1964&lt;&gt;"",IF(COUNTIF('USPTO TMs'!A:A,D1964)&gt;0,"Yes","No"),"")</f>
        <v/>
      </c>
      <c r="C1964" s="11"/>
      <c r="D1964" s="11"/>
      <c r="E1964" s="11"/>
      <c r="F1964" s="11"/>
      <c r="G1964" s="11"/>
      <c r="H1964" s="11"/>
      <c r="I1964" s="15"/>
    </row>
    <row r="1965" spans="1:9" ht="16.5">
      <c r="A1965" s="10" t="b">
        <v>0</v>
      </c>
      <c r="B1965" s="11" t="str">
        <f>IF(D1965&lt;&gt;"",IF(COUNTIF('USPTO TMs'!A:A,D1965)&gt;0,"Yes","No"),"")</f>
        <v/>
      </c>
      <c r="C1965" s="11"/>
      <c r="D1965" s="11"/>
      <c r="E1965" s="11"/>
      <c r="F1965" s="11"/>
      <c r="G1965" s="11"/>
      <c r="H1965" s="11"/>
      <c r="I1965" s="15"/>
    </row>
    <row r="1966" spans="1:9" ht="16.5">
      <c r="A1966" s="10" t="b">
        <v>0</v>
      </c>
      <c r="B1966" s="11" t="str">
        <f>IF(D1966&lt;&gt;"",IF(COUNTIF('USPTO TMs'!A:A,D1966)&gt;0,"Yes","No"),"")</f>
        <v/>
      </c>
      <c r="C1966" s="11"/>
      <c r="D1966" s="11"/>
      <c r="E1966" s="11"/>
      <c r="F1966" s="11"/>
      <c r="G1966" s="11"/>
      <c r="H1966" s="11"/>
      <c r="I1966" s="15"/>
    </row>
    <row r="1967" spans="1:9" ht="16.5">
      <c r="A1967" s="10" t="b">
        <v>0</v>
      </c>
      <c r="B1967" s="11" t="str">
        <f>IF(D1967&lt;&gt;"",IF(COUNTIF('USPTO TMs'!A:A,D1967)&gt;0,"Yes","No"),"")</f>
        <v/>
      </c>
      <c r="C1967" s="11"/>
      <c r="D1967" s="11"/>
      <c r="E1967" s="11"/>
      <c r="F1967" s="11"/>
      <c r="G1967" s="11"/>
      <c r="H1967" s="11"/>
      <c r="I1967" s="15"/>
    </row>
    <row r="1968" spans="1:9" ht="16.5">
      <c r="A1968" s="10" t="b">
        <v>0</v>
      </c>
      <c r="B1968" s="11" t="str">
        <f>IF(D1968&lt;&gt;"",IF(COUNTIF('USPTO TMs'!A:A,D1968)&gt;0,"Yes","No"),"")</f>
        <v/>
      </c>
      <c r="C1968" s="11"/>
      <c r="D1968" s="11"/>
      <c r="E1968" s="11"/>
      <c r="F1968" s="11"/>
      <c r="G1968" s="11"/>
      <c r="H1968" s="11"/>
      <c r="I1968" s="15"/>
    </row>
    <row r="1969" spans="1:9" ht="16.5">
      <c r="A1969" s="10" t="b">
        <v>0</v>
      </c>
      <c r="B1969" s="11" t="str">
        <f>IF(D1969&lt;&gt;"",IF(COUNTIF('USPTO TMs'!A:A,D1969)&gt;0,"Yes","No"),"")</f>
        <v/>
      </c>
      <c r="C1969" s="11"/>
      <c r="D1969" s="11"/>
      <c r="E1969" s="11"/>
      <c r="F1969" s="11"/>
      <c r="G1969" s="11"/>
      <c r="H1969" s="11"/>
      <c r="I1969" s="15"/>
    </row>
    <row r="1970" spans="1:9" ht="16.5">
      <c r="A1970" s="10" t="b">
        <v>0</v>
      </c>
      <c r="B1970" s="11" t="str">
        <f>IF(D1970&lt;&gt;"",IF(COUNTIF('USPTO TMs'!A:A,D1970)&gt;0,"Yes","No"),"")</f>
        <v/>
      </c>
      <c r="C1970" s="11"/>
      <c r="D1970" s="11"/>
      <c r="E1970" s="11"/>
      <c r="F1970" s="11"/>
      <c r="G1970" s="11"/>
      <c r="H1970" s="11"/>
      <c r="I1970" s="15"/>
    </row>
    <row r="1971" spans="1:9" ht="16.5">
      <c r="A1971" s="10" t="b">
        <v>0</v>
      </c>
      <c r="B1971" s="11" t="str">
        <f>IF(D1971&lt;&gt;"",IF(COUNTIF('USPTO TMs'!A:A,D1971)&gt;0,"Yes","No"),"")</f>
        <v/>
      </c>
      <c r="C1971" s="11"/>
      <c r="D1971" s="11"/>
      <c r="E1971" s="11"/>
      <c r="F1971" s="11"/>
      <c r="G1971" s="11"/>
      <c r="H1971" s="11"/>
      <c r="I1971" s="15"/>
    </row>
    <row r="1972" spans="1:9" ht="16.5">
      <c r="A1972" s="10" t="b">
        <v>0</v>
      </c>
      <c r="B1972" s="11" t="str">
        <f>IF(D1972&lt;&gt;"",IF(COUNTIF('USPTO TMs'!A:A,D1972)&gt;0,"Yes","No"),"")</f>
        <v/>
      </c>
      <c r="C1972" s="11"/>
      <c r="D1972" s="11"/>
      <c r="E1972" s="11"/>
      <c r="F1972" s="11"/>
      <c r="G1972" s="11"/>
      <c r="H1972" s="11"/>
      <c r="I1972" s="15"/>
    </row>
    <row r="1973" spans="1:9" ht="16.5">
      <c r="A1973" s="10" t="b">
        <v>0</v>
      </c>
      <c r="B1973" s="11" t="str">
        <f>IF(D1973&lt;&gt;"",IF(COUNTIF('USPTO TMs'!A:A,D1973)&gt;0,"Yes","No"),"")</f>
        <v/>
      </c>
      <c r="C1973" s="11"/>
      <c r="D1973" s="11"/>
      <c r="E1973" s="11"/>
      <c r="F1973" s="11"/>
      <c r="G1973" s="11"/>
      <c r="H1973" s="11"/>
      <c r="I1973" s="15"/>
    </row>
    <row r="1974" spans="1:9" ht="16.5">
      <c r="A1974" s="10" t="b">
        <v>0</v>
      </c>
      <c r="B1974" s="11" t="str">
        <f>IF(D1974&lt;&gt;"",IF(COUNTIF('USPTO TMs'!A:A,D1974)&gt;0,"Yes","No"),"")</f>
        <v/>
      </c>
      <c r="C1974" s="11"/>
      <c r="D1974" s="11"/>
      <c r="E1974" s="11"/>
      <c r="F1974" s="11"/>
      <c r="G1974" s="11"/>
      <c r="H1974" s="11"/>
      <c r="I1974" s="15"/>
    </row>
    <row r="1975" spans="1:9" ht="16.5">
      <c r="A1975" s="10" t="b">
        <v>0</v>
      </c>
      <c r="B1975" s="11" t="str">
        <f>IF(D1975&lt;&gt;"",IF(COUNTIF('USPTO TMs'!A:A,D1975)&gt;0,"Yes","No"),"")</f>
        <v/>
      </c>
      <c r="C1975" s="11"/>
      <c r="D1975" s="11"/>
      <c r="E1975" s="11"/>
      <c r="F1975" s="11"/>
      <c r="G1975" s="11"/>
      <c r="H1975" s="11"/>
      <c r="I1975" s="15"/>
    </row>
    <row r="1976" spans="1:9" ht="16.5">
      <c r="A1976" s="10" t="b">
        <v>0</v>
      </c>
      <c r="B1976" s="11" t="str">
        <f>IF(D1976&lt;&gt;"",IF(COUNTIF('USPTO TMs'!A:A,D1976)&gt;0,"Yes","No"),"")</f>
        <v/>
      </c>
      <c r="C1976" s="11"/>
      <c r="D1976" s="11"/>
      <c r="E1976" s="11"/>
      <c r="F1976" s="11"/>
      <c r="G1976" s="11"/>
      <c r="H1976" s="11"/>
      <c r="I1976" s="15"/>
    </row>
    <row r="1977" spans="1:9" ht="16.5">
      <c r="A1977" s="10" t="b">
        <v>0</v>
      </c>
      <c r="B1977" s="11" t="str">
        <f>IF(D1977&lt;&gt;"",IF(COUNTIF('USPTO TMs'!A:A,D1977)&gt;0,"Yes","No"),"")</f>
        <v/>
      </c>
      <c r="C1977" s="11"/>
      <c r="D1977" s="11"/>
      <c r="E1977" s="11"/>
      <c r="F1977" s="11"/>
      <c r="G1977" s="11"/>
      <c r="H1977" s="11"/>
      <c r="I1977" s="15"/>
    </row>
    <row r="1978" spans="1:9" ht="16.5">
      <c r="A1978" s="10" t="b">
        <v>0</v>
      </c>
      <c r="B1978" s="11" t="str">
        <f>IF(D1978&lt;&gt;"",IF(COUNTIF('USPTO TMs'!A:A,D1978)&gt;0,"Yes","No"),"")</f>
        <v/>
      </c>
      <c r="C1978" s="11"/>
      <c r="D1978" s="11"/>
      <c r="E1978" s="11"/>
      <c r="F1978" s="11"/>
      <c r="G1978" s="11"/>
      <c r="H1978" s="11"/>
      <c r="I1978" s="15"/>
    </row>
    <row r="1979" spans="1:9" ht="16.5">
      <c r="A1979" s="10" t="b">
        <v>0</v>
      </c>
      <c r="B1979" s="11" t="str">
        <f>IF(D1979&lt;&gt;"",IF(COUNTIF('USPTO TMs'!A:A,D1979)&gt;0,"Yes","No"),"")</f>
        <v/>
      </c>
      <c r="C1979" s="11"/>
      <c r="D1979" s="11"/>
      <c r="E1979" s="11"/>
      <c r="F1979" s="11"/>
      <c r="G1979" s="11"/>
      <c r="H1979" s="11"/>
      <c r="I1979" s="15"/>
    </row>
    <row r="1980" spans="1:9" ht="16.5">
      <c r="A1980" s="10" t="b">
        <v>0</v>
      </c>
      <c r="B1980" s="11" t="str">
        <f>IF(D1980&lt;&gt;"",IF(COUNTIF('USPTO TMs'!A:A,D1980)&gt;0,"Yes","No"),"")</f>
        <v/>
      </c>
      <c r="C1980" s="11"/>
      <c r="D1980" s="11"/>
      <c r="E1980" s="11"/>
      <c r="F1980" s="11"/>
      <c r="G1980" s="11"/>
      <c r="H1980" s="11"/>
      <c r="I1980" s="15"/>
    </row>
    <row r="1981" spans="1:9" ht="16.5">
      <c r="A1981" s="10" t="b">
        <v>0</v>
      </c>
      <c r="B1981" s="11" t="str">
        <f>IF(D1981&lt;&gt;"",IF(COUNTIF('USPTO TMs'!A:A,D1981)&gt;0,"Yes","No"),"")</f>
        <v/>
      </c>
      <c r="C1981" s="11"/>
      <c r="D1981" s="11"/>
      <c r="E1981" s="11"/>
      <c r="F1981" s="11"/>
      <c r="G1981" s="11"/>
      <c r="H1981" s="11"/>
      <c r="I1981" s="15"/>
    </row>
    <row r="1982" spans="1:9" ht="16.5">
      <c r="A1982" s="10" t="b">
        <v>0</v>
      </c>
      <c r="B1982" s="11" t="str">
        <f>IF(D1982&lt;&gt;"",IF(COUNTIF('USPTO TMs'!A:A,D1982)&gt;0,"Yes","No"),"")</f>
        <v/>
      </c>
      <c r="C1982" s="11"/>
      <c r="D1982" s="11"/>
      <c r="E1982" s="11"/>
      <c r="F1982" s="11"/>
      <c r="G1982" s="11"/>
      <c r="H1982" s="11"/>
      <c r="I1982" s="15"/>
    </row>
    <row r="1983" spans="1:9" ht="16.5">
      <c r="A1983" s="10" t="b">
        <v>0</v>
      </c>
      <c r="B1983" s="11" t="str">
        <f>IF(D1983&lt;&gt;"",IF(COUNTIF('USPTO TMs'!A:A,D1983)&gt;0,"Yes","No"),"")</f>
        <v/>
      </c>
      <c r="C1983" s="11"/>
      <c r="D1983" s="11"/>
      <c r="E1983" s="11"/>
      <c r="F1983" s="11"/>
      <c r="G1983" s="11"/>
      <c r="H1983" s="11"/>
      <c r="I1983" s="15"/>
    </row>
    <row r="1984" spans="1:9" ht="16.5">
      <c r="A1984" s="10" t="b">
        <v>0</v>
      </c>
      <c r="B1984" s="11" t="str">
        <f>IF(D1984&lt;&gt;"",IF(COUNTIF('USPTO TMs'!A:A,D1984)&gt;0,"Yes","No"),"")</f>
        <v/>
      </c>
      <c r="C1984" s="11"/>
      <c r="D1984" s="11"/>
      <c r="E1984" s="11"/>
      <c r="F1984" s="11"/>
      <c r="G1984" s="11"/>
      <c r="H1984" s="11"/>
      <c r="I1984" s="15"/>
    </row>
    <row r="1985" spans="1:9" ht="16.5">
      <c r="A1985" s="10" t="b">
        <v>0</v>
      </c>
      <c r="B1985" s="11" t="str">
        <f>IF(D1985&lt;&gt;"",IF(COUNTIF('USPTO TMs'!A:A,D1985)&gt;0,"Yes","No"),"")</f>
        <v/>
      </c>
      <c r="C1985" s="11"/>
      <c r="D1985" s="11"/>
      <c r="E1985" s="11"/>
      <c r="F1985" s="11"/>
      <c r="G1985" s="11"/>
      <c r="H1985" s="11"/>
      <c r="I1985" s="15"/>
    </row>
    <row r="1986" spans="1:9" ht="16.5">
      <c r="A1986" s="10" t="b">
        <v>0</v>
      </c>
      <c r="B1986" s="11" t="str">
        <f>IF(D1986&lt;&gt;"",IF(COUNTIF('USPTO TMs'!A:A,D1986)&gt;0,"Yes","No"),"")</f>
        <v/>
      </c>
      <c r="C1986" s="11"/>
      <c r="D1986" s="11"/>
      <c r="E1986" s="11"/>
      <c r="F1986" s="11"/>
      <c r="G1986" s="11"/>
      <c r="H1986" s="11"/>
      <c r="I1986" s="15"/>
    </row>
    <row r="1987" spans="1:9" ht="16.5">
      <c r="A1987" s="10" t="b">
        <v>0</v>
      </c>
      <c r="B1987" s="11" t="str">
        <f>IF(D1987&lt;&gt;"",IF(COUNTIF('USPTO TMs'!A:A,D1987)&gt;0,"Yes","No"),"")</f>
        <v/>
      </c>
      <c r="C1987" s="11"/>
      <c r="D1987" s="11"/>
      <c r="E1987" s="11"/>
      <c r="F1987" s="11"/>
      <c r="G1987" s="11"/>
      <c r="H1987" s="11"/>
      <c r="I1987" s="15"/>
    </row>
    <row r="1988" spans="1:9" ht="16.5">
      <c r="A1988" s="10" t="b">
        <v>0</v>
      </c>
      <c r="B1988" s="11" t="str">
        <f>IF(D1988&lt;&gt;"",IF(COUNTIF('USPTO TMs'!A:A,D1988)&gt;0,"Yes","No"),"")</f>
        <v/>
      </c>
      <c r="C1988" s="11"/>
      <c r="D1988" s="11"/>
      <c r="E1988" s="11"/>
      <c r="F1988" s="11"/>
      <c r="G1988" s="11"/>
      <c r="H1988" s="11"/>
      <c r="I1988" s="15"/>
    </row>
    <row r="1989" spans="1:9" ht="16.5">
      <c r="A1989" s="10" t="b">
        <v>0</v>
      </c>
      <c r="B1989" s="11" t="str">
        <f>IF(D1989&lt;&gt;"",IF(COUNTIF('USPTO TMs'!A:A,D1989)&gt;0,"Yes","No"),"")</f>
        <v/>
      </c>
      <c r="C1989" s="11"/>
      <c r="D1989" s="11"/>
      <c r="E1989" s="11"/>
      <c r="F1989" s="11"/>
      <c r="G1989" s="11"/>
      <c r="H1989" s="11"/>
      <c r="I1989" s="15"/>
    </row>
    <row r="1990" spans="1:9" ht="16.5">
      <c r="A1990" s="10" t="b">
        <v>0</v>
      </c>
      <c r="B1990" s="11" t="str">
        <f>IF(D1990&lt;&gt;"",IF(COUNTIF('USPTO TMs'!A:A,D1990)&gt;0,"Yes","No"),"")</f>
        <v/>
      </c>
      <c r="C1990" s="11"/>
      <c r="D1990" s="11"/>
      <c r="E1990" s="11"/>
      <c r="F1990" s="11"/>
      <c r="G1990" s="11"/>
      <c r="H1990" s="11"/>
      <c r="I1990" s="15"/>
    </row>
    <row r="1991" spans="1:9" ht="16.5">
      <c r="A1991" s="10" t="b">
        <v>0</v>
      </c>
      <c r="B1991" s="11" t="str">
        <f>IF(D1991&lt;&gt;"",IF(COUNTIF('USPTO TMs'!A:A,D1991)&gt;0,"Yes","No"),"")</f>
        <v/>
      </c>
      <c r="C1991" s="11"/>
      <c r="D1991" s="11"/>
      <c r="E1991" s="11"/>
      <c r="F1991" s="11"/>
      <c r="G1991" s="11"/>
      <c r="H1991" s="11"/>
      <c r="I1991" s="15"/>
    </row>
    <row r="1992" spans="1:9" ht="16.5">
      <c r="A1992" s="10" t="b">
        <v>0</v>
      </c>
      <c r="B1992" s="11" t="str">
        <f>IF(D1992&lt;&gt;"",IF(COUNTIF('USPTO TMs'!A:A,D1992)&gt;0,"Yes","No"),"")</f>
        <v/>
      </c>
      <c r="C1992" s="11"/>
      <c r="D1992" s="11"/>
      <c r="E1992" s="11"/>
      <c r="F1992" s="11"/>
      <c r="G1992" s="11"/>
      <c r="H1992" s="11"/>
      <c r="I1992" s="15"/>
    </row>
    <row r="1993" spans="1:9" ht="16.5">
      <c r="A1993" s="10" t="b">
        <v>0</v>
      </c>
      <c r="B1993" s="11" t="str">
        <f>IF(D1993&lt;&gt;"",IF(COUNTIF('USPTO TMs'!A:A,D1993)&gt;0,"Yes","No"),"")</f>
        <v/>
      </c>
      <c r="C1993" s="11"/>
      <c r="D1993" s="11"/>
      <c r="E1993" s="11"/>
      <c r="F1993" s="11"/>
      <c r="G1993" s="11"/>
      <c r="H1993" s="11"/>
      <c r="I1993" s="15"/>
    </row>
    <row r="1994" spans="1:9" ht="16.5">
      <c r="A1994" s="10" t="b">
        <v>0</v>
      </c>
      <c r="B1994" s="11" t="str">
        <f>IF(D1994&lt;&gt;"",IF(COUNTIF('USPTO TMs'!A:A,D1994)&gt;0,"Yes","No"),"")</f>
        <v/>
      </c>
      <c r="C1994" s="11"/>
      <c r="D1994" s="11"/>
      <c r="E1994" s="11"/>
      <c r="F1994" s="11"/>
      <c r="G1994" s="11"/>
      <c r="H1994" s="11"/>
      <c r="I1994" s="15"/>
    </row>
    <row r="1995" spans="1:9" ht="16.5">
      <c r="A1995" s="10" t="b">
        <v>0</v>
      </c>
      <c r="B1995" s="11" t="str">
        <f>IF(D1995&lt;&gt;"",IF(COUNTIF('USPTO TMs'!A:A,D1995)&gt;0,"Yes","No"),"")</f>
        <v/>
      </c>
      <c r="C1995" s="11"/>
      <c r="D1995" s="11"/>
      <c r="E1995" s="11"/>
      <c r="F1995" s="11"/>
      <c r="G1995" s="11"/>
      <c r="H1995" s="11"/>
      <c r="I1995" s="15"/>
    </row>
    <row r="1996" spans="1:9" ht="16.5">
      <c r="A1996" s="10" t="b">
        <v>0</v>
      </c>
      <c r="B1996" s="11" t="str">
        <f>IF(D1996&lt;&gt;"",IF(COUNTIF('USPTO TMs'!A:A,D1996)&gt;0,"Yes","No"),"")</f>
        <v/>
      </c>
      <c r="C1996" s="11"/>
      <c r="D1996" s="11"/>
      <c r="E1996" s="11"/>
      <c r="F1996" s="11"/>
      <c r="G1996" s="11"/>
      <c r="H1996" s="11"/>
      <c r="I1996" s="15"/>
    </row>
    <row r="1997" spans="1:9" ht="16.5">
      <c r="A1997" s="10" t="b">
        <v>0</v>
      </c>
      <c r="B1997" s="11" t="str">
        <f>IF(D1997&lt;&gt;"",IF(COUNTIF('USPTO TMs'!A:A,D1997)&gt;0,"Yes","No"),"")</f>
        <v/>
      </c>
      <c r="C1997" s="11"/>
      <c r="D1997" s="11"/>
      <c r="E1997" s="11"/>
      <c r="F1997" s="11"/>
      <c r="G1997" s="11"/>
      <c r="H1997" s="11"/>
      <c r="I1997" s="15"/>
    </row>
    <row r="1998" spans="1:9" ht="16.5">
      <c r="A1998" s="10" t="b">
        <v>0</v>
      </c>
      <c r="B1998" s="11" t="str">
        <f>IF(D1998&lt;&gt;"",IF(COUNTIF('USPTO TMs'!A:A,D1998)&gt;0,"Yes","No"),"")</f>
        <v/>
      </c>
      <c r="C1998" s="11"/>
      <c r="D1998" s="11"/>
      <c r="E1998" s="11"/>
      <c r="F1998" s="11"/>
      <c r="G1998" s="11"/>
      <c r="H1998" s="11"/>
      <c r="I1998" s="15"/>
    </row>
    <row r="1999" spans="1:9" ht="16.5">
      <c r="A1999" s="10" t="b">
        <v>0</v>
      </c>
      <c r="B1999" s="11" t="str">
        <f>IF(D1999&lt;&gt;"",IF(COUNTIF('USPTO TMs'!A:A,D1999)&gt;0,"Yes","No"),"")</f>
        <v/>
      </c>
      <c r="C1999" s="11"/>
      <c r="D1999" s="11"/>
      <c r="E1999" s="11"/>
      <c r="F1999" s="11"/>
      <c r="G1999" s="11"/>
      <c r="H1999" s="11"/>
      <c r="I1999" s="15"/>
    </row>
    <row r="2000" spans="1:9" ht="16.5">
      <c r="A2000" s="10" t="b">
        <v>0</v>
      </c>
      <c r="B2000" s="11" t="str">
        <f>IF(D2000&lt;&gt;"",IF(COUNTIF('USPTO TMs'!A:A,D2000)&gt;0,"Yes","No"),"")</f>
        <v/>
      </c>
      <c r="C2000" s="11"/>
      <c r="D2000" s="11"/>
      <c r="E2000" s="11"/>
      <c r="F2000" s="11"/>
      <c r="G2000" s="11"/>
      <c r="H2000" s="11"/>
      <c r="I2000" s="15"/>
    </row>
    <row r="2001" spans="1:9" ht="16.5">
      <c r="A2001" s="10" t="b">
        <v>0</v>
      </c>
      <c r="B2001" s="11" t="str">
        <f>IF(D2001&lt;&gt;"",IF(COUNTIF('USPTO TMs'!A:A,D2001)&gt;0,"Yes","No"),"")</f>
        <v/>
      </c>
      <c r="C2001" s="11"/>
      <c r="D2001" s="11"/>
      <c r="E2001" s="11"/>
      <c r="F2001" s="11"/>
      <c r="G2001" s="11"/>
      <c r="H2001" s="11"/>
      <c r="I2001" s="15"/>
    </row>
    <row r="2002" spans="1:9" ht="16.5">
      <c r="A2002" s="10" t="b">
        <v>0</v>
      </c>
      <c r="B2002" s="11" t="str">
        <f>IF(D2002&lt;&gt;"",IF(COUNTIF('USPTO TMs'!A:A,D2002)&gt;0,"Yes","No"),"")</f>
        <v/>
      </c>
      <c r="C2002" s="11"/>
      <c r="D2002" s="11"/>
      <c r="E2002" s="11"/>
      <c r="F2002" s="11"/>
      <c r="G2002" s="11"/>
      <c r="H2002" s="11"/>
      <c r="I2002" s="15"/>
    </row>
    <row r="2003" spans="1:9" ht="16.5">
      <c r="A2003" s="10" t="b">
        <v>0</v>
      </c>
      <c r="B2003" s="11" t="str">
        <f>IF(D2003&lt;&gt;"",IF(COUNTIF('USPTO TMs'!A:A,D2003)&gt;0,"Yes","No"),"")</f>
        <v/>
      </c>
      <c r="C2003" s="11"/>
      <c r="D2003" s="11"/>
      <c r="E2003" s="11"/>
      <c r="F2003" s="11"/>
      <c r="G2003" s="11"/>
      <c r="H2003" s="11"/>
      <c r="I2003" s="15"/>
    </row>
    <row r="2004" spans="1:9" ht="16.5">
      <c r="A2004" s="10" t="b">
        <v>0</v>
      </c>
      <c r="B2004" s="11" t="str">
        <f>IF(D2004&lt;&gt;"",IF(COUNTIF('USPTO TMs'!A:A,D2004)&gt;0,"Yes","No"),"")</f>
        <v/>
      </c>
      <c r="C2004" s="11"/>
      <c r="D2004" s="11"/>
      <c r="E2004" s="11"/>
      <c r="F2004" s="11"/>
      <c r="G2004" s="11"/>
      <c r="H2004" s="11"/>
      <c r="I2004" s="15"/>
    </row>
    <row r="2005" spans="1:9" ht="16.5">
      <c r="A2005" s="10" t="b">
        <v>0</v>
      </c>
      <c r="B2005" s="11" t="str">
        <f>IF(D2005&lt;&gt;"",IF(COUNTIF('USPTO TMs'!A:A,D2005)&gt;0,"Yes","No"),"")</f>
        <v/>
      </c>
      <c r="C2005" s="11"/>
      <c r="D2005" s="11"/>
      <c r="E2005" s="11"/>
      <c r="F2005" s="11"/>
      <c r="G2005" s="11"/>
      <c r="H2005" s="11"/>
      <c r="I2005" s="15"/>
    </row>
    <row r="2006" spans="1:9" ht="16.5">
      <c r="A2006" s="10" t="b">
        <v>0</v>
      </c>
      <c r="B2006" s="11" t="str">
        <f>IF(D2006&lt;&gt;"",IF(COUNTIF('USPTO TMs'!A:A,D2006)&gt;0,"Yes","No"),"")</f>
        <v/>
      </c>
      <c r="C2006" s="11"/>
      <c r="D2006" s="11"/>
      <c r="E2006" s="11"/>
      <c r="F2006" s="11"/>
      <c r="G2006" s="11"/>
      <c r="H2006" s="11"/>
      <c r="I2006" s="15"/>
    </row>
    <row r="2007" spans="1:9" ht="16.5">
      <c r="A2007" s="10" t="b">
        <v>0</v>
      </c>
      <c r="B2007" s="11" t="str">
        <f>IF(D2007&lt;&gt;"",IF(COUNTIF('USPTO TMs'!A:A,D2007)&gt;0,"Yes","No"),"")</f>
        <v/>
      </c>
      <c r="C2007" s="11"/>
      <c r="D2007" s="11"/>
      <c r="E2007" s="11"/>
      <c r="F2007" s="11"/>
      <c r="G2007" s="11"/>
      <c r="H2007" s="11"/>
      <c r="I2007" s="15"/>
    </row>
    <row r="2008" spans="1:9" ht="16.5">
      <c r="A2008" s="10" t="b">
        <v>0</v>
      </c>
      <c r="B2008" s="11" t="str">
        <f>IF(D2008&lt;&gt;"",IF(COUNTIF('USPTO TMs'!A:A,D2008)&gt;0,"Yes","No"),"")</f>
        <v/>
      </c>
      <c r="C2008" s="11"/>
      <c r="D2008" s="11"/>
      <c r="E2008" s="11"/>
      <c r="F2008" s="11"/>
      <c r="G2008" s="11"/>
      <c r="H2008" s="11"/>
      <c r="I2008" s="15"/>
    </row>
    <row r="2009" spans="1:9" ht="16.5">
      <c r="A2009" s="10" t="b">
        <v>0</v>
      </c>
      <c r="B2009" s="11" t="str">
        <f>IF(D2009&lt;&gt;"",IF(COUNTIF('USPTO TMs'!A:A,D2009)&gt;0,"Yes","No"),"")</f>
        <v/>
      </c>
      <c r="C2009" s="11"/>
      <c r="D2009" s="11"/>
      <c r="E2009" s="11"/>
      <c r="F2009" s="11"/>
      <c r="G2009" s="11"/>
      <c r="H2009" s="11"/>
      <c r="I2009" s="15"/>
    </row>
    <row r="2010" spans="1:9" ht="16.5">
      <c r="A2010" s="10" t="b">
        <v>0</v>
      </c>
      <c r="B2010" s="11" t="str">
        <f>IF(D2010&lt;&gt;"",IF(COUNTIF('USPTO TMs'!A:A,D2010)&gt;0,"Yes","No"),"")</f>
        <v/>
      </c>
      <c r="C2010" s="11"/>
      <c r="D2010" s="11"/>
      <c r="E2010" s="11"/>
      <c r="F2010" s="11"/>
      <c r="G2010" s="11"/>
      <c r="H2010" s="11"/>
      <c r="I2010" s="15"/>
    </row>
    <row r="2011" spans="1:9" ht="16.5">
      <c r="A2011" s="10" t="b">
        <v>0</v>
      </c>
      <c r="B2011" s="11" t="str">
        <f>IF(D2011&lt;&gt;"",IF(COUNTIF('USPTO TMs'!A:A,D2011)&gt;0,"Yes","No"),"")</f>
        <v/>
      </c>
      <c r="C2011" s="11"/>
      <c r="D2011" s="11"/>
      <c r="E2011" s="11"/>
      <c r="F2011" s="11"/>
      <c r="G2011" s="11"/>
      <c r="H2011" s="11"/>
      <c r="I2011" s="15"/>
    </row>
    <row r="2012" spans="1:9" ht="16.5">
      <c r="A2012" s="10" t="b">
        <v>0</v>
      </c>
      <c r="B2012" s="11" t="str">
        <f>IF(D2012&lt;&gt;"",IF(COUNTIF('USPTO TMs'!A:A,D2012)&gt;0,"Yes","No"),"")</f>
        <v/>
      </c>
      <c r="C2012" s="11"/>
      <c r="D2012" s="11"/>
      <c r="E2012" s="11"/>
      <c r="F2012" s="11"/>
      <c r="G2012" s="11"/>
      <c r="H2012" s="11"/>
      <c r="I2012" s="15"/>
    </row>
    <row r="2013" spans="1:9" ht="16.5">
      <c r="A2013" s="10" t="b">
        <v>0</v>
      </c>
      <c r="B2013" s="11" t="str">
        <f>IF(D2013&lt;&gt;"",IF(COUNTIF('USPTO TMs'!A:A,D2013)&gt;0,"Yes","No"),"")</f>
        <v/>
      </c>
      <c r="C2013" s="11"/>
      <c r="D2013" s="11"/>
      <c r="E2013" s="11"/>
      <c r="F2013" s="11"/>
      <c r="G2013" s="11"/>
      <c r="H2013" s="11"/>
      <c r="I2013" s="15"/>
    </row>
    <row r="2014" spans="1:9" ht="16.5">
      <c r="A2014" s="10" t="b">
        <v>0</v>
      </c>
      <c r="B2014" s="11" t="str">
        <f>IF(D2014&lt;&gt;"",IF(COUNTIF('USPTO TMs'!A:A,D2014)&gt;0,"Yes","No"),"")</f>
        <v/>
      </c>
      <c r="C2014" s="11"/>
      <c r="D2014" s="11"/>
      <c r="E2014" s="11"/>
      <c r="F2014" s="11"/>
      <c r="G2014" s="11"/>
      <c r="H2014" s="11"/>
      <c r="I2014" s="15"/>
    </row>
    <row r="2015" spans="1:9" ht="16.5">
      <c r="A2015" s="10" t="b">
        <v>0</v>
      </c>
      <c r="B2015" s="11" t="str">
        <f>IF(D2015&lt;&gt;"",IF(COUNTIF('USPTO TMs'!A:A,D2015)&gt;0,"Yes","No"),"")</f>
        <v/>
      </c>
      <c r="C2015" s="11"/>
      <c r="D2015" s="11"/>
      <c r="E2015" s="11"/>
      <c r="F2015" s="11"/>
      <c r="G2015" s="11"/>
      <c r="H2015" s="11"/>
      <c r="I2015" s="15"/>
    </row>
    <row r="2016" spans="1:9" ht="16.5">
      <c r="A2016" s="10" t="b">
        <v>0</v>
      </c>
      <c r="B2016" s="11" t="str">
        <f>IF(D2016&lt;&gt;"",IF(COUNTIF('USPTO TMs'!A:A,D2016)&gt;0,"Yes","No"),"")</f>
        <v/>
      </c>
      <c r="C2016" s="11"/>
      <c r="D2016" s="11"/>
      <c r="E2016" s="11"/>
      <c r="F2016" s="11"/>
      <c r="G2016" s="11"/>
      <c r="H2016" s="11"/>
      <c r="I2016" s="15"/>
    </row>
    <row r="2017" spans="1:9" ht="16.5">
      <c r="A2017" s="10" t="b">
        <v>0</v>
      </c>
      <c r="B2017" s="11" t="str">
        <f>IF(D2017&lt;&gt;"",IF(COUNTIF('USPTO TMs'!A:A,D2017)&gt;0,"Yes","No"),"")</f>
        <v/>
      </c>
      <c r="C2017" s="11"/>
      <c r="D2017" s="11"/>
      <c r="E2017" s="11"/>
      <c r="F2017" s="11"/>
      <c r="G2017" s="11"/>
      <c r="H2017" s="11"/>
      <c r="I2017" s="15"/>
    </row>
    <row r="2018" spans="1:9" ht="16.5">
      <c r="A2018" s="10" t="b">
        <v>0</v>
      </c>
      <c r="B2018" s="11" t="str">
        <f>IF(D2018&lt;&gt;"",IF(COUNTIF('USPTO TMs'!A:A,D2018)&gt;0,"Yes","No"),"")</f>
        <v/>
      </c>
      <c r="C2018" s="11"/>
      <c r="D2018" s="11"/>
      <c r="E2018" s="11"/>
      <c r="F2018" s="11"/>
      <c r="G2018" s="11"/>
      <c r="H2018" s="11"/>
      <c r="I2018" s="15"/>
    </row>
    <row r="2019" spans="1:9" ht="16.5">
      <c r="A2019" s="10" t="b">
        <v>0</v>
      </c>
      <c r="B2019" s="11" t="str">
        <f>IF(D2019&lt;&gt;"",IF(COUNTIF('USPTO TMs'!A:A,D2019)&gt;0,"Yes","No"),"")</f>
        <v/>
      </c>
      <c r="C2019" s="11"/>
      <c r="D2019" s="11"/>
      <c r="E2019" s="11"/>
      <c r="F2019" s="11"/>
      <c r="G2019" s="11"/>
      <c r="H2019" s="11"/>
      <c r="I2019" s="15"/>
    </row>
    <row r="2020" spans="1:9" ht="16.5">
      <c r="A2020" s="10" t="b">
        <v>0</v>
      </c>
      <c r="B2020" s="11" t="str">
        <f>IF(D2020&lt;&gt;"",IF(COUNTIF('USPTO TMs'!A:A,D2020)&gt;0,"Yes","No"),"")</f>
        <v/>
      </c>
      <c r="C2020" s="11"/>
      <c r="D2020" s="11"/>
      <c r="E2020" s="11"/>
      <c r="F2020" s="11"/>
      <c r="G2020" s="11"/>
      <c r="H2020" s="11"/>
      <c r="I2020" s="15"/>
    </row>
    <row r="2021" spans="1:9" ht="16.5">
      <c r="A2021" s="10" t="b">
        <v>0</v>
      </c>
      <c r="B2021" s="11" t="str">
        <f>IF(D2021&lt;&gt;"",IF(COUNTIF('USPTO TMs'!A:A,D2021)&gt;0,"Yes","No"),"")</f>
        <v/>
      </c>
      <c r="C2021" s="11"/>
      <c r="D2021" s="11"/>
      <c r="E2021" s="11"/>
      <c r="F2021" s="11"/>
      <c r="G2021" s="11"/>
      <c r="H2021" s="11"/>
      <c r="I2021" s="15"/>
    </row>
    <row r="2022" spans="1:9" ht="16.5">
      <c r="A2022" s="10" t="b">
        <v>0</v>
      </c>
      <c r="B2022" s="11" t="str">
        <f>IF(D2022&lt;&gt;"",IF(COUNTIF('USPTO TMs'!A:A,D2022)&gt;0,"Yes","No"),"")</f>
        <v/>
      </c>
      <c r="C2022" s="11"/>
      <c r="D2022" s="11"/>
      <c r="E2022" s="11"/>
      <c r="F2022" s="11"/>
      <c r="G2022" s="11"/>
      <c r="H2022" s="11"/>
      <c r="I2022" s="15"/>
    </row>
    <row r="2023" spans="1:9" ht="16.5">
      <c r="A2023" s="10" t="b">
        <v>0</v>
      </c>
      <c r="B2023" s="11" t="str">
        <f>IF(D2023&lt;&gt;"",IF(COUNTIF('USPTO TMs'!A:A,D2023)&gt;0,"Yes","No"),"")</f>
        <v/>
      </c>
      <c r="C2023" s="11"/>
      <c r="D2023" s="11"/>
      <c r="E2023" s="11"/>
      <c r="F2023" s="11"/>
      <c r="G2023" s="11"/>
      <c r="H2023" s="11"/>
      <c r="I2023" s="15"/>
    </row>
    <row r="2024" spans="1:9" ht="16.5">
      <c r="A2024" s="10" t="b">
        <v>0</v>
      </c>
      <c r="B2024" s="11" t="str">
        <f>IF(D2024&lt;&gt;"",IF(COUNTIF('USPTO TMs'!A:A,D2024)&gt;0,"Yes","No"),"")</f>
        <v/>
      </c>
      <c r="C2024" s="11"/>
      <c r="D2024" s="11"/>
      <c r="E2024" s="11"/>
      <c r="F2024" s="11"/>
      <c r="G2024" s="11"/>
      <c r="H2024" s="11"/>
      <c r="I2024" s="15"/>
    </row>
    <row r="2025" spans="1:9" ht="16.5">
      <c r="A2025" s="10" t="b">
        <v>0</v>
      </c>
      <c r="B2025" s="11" t="str">
        <f>IF(D2025&lt;&gt;"",IF(COUNTIF('USPTO TMs'!A:A,D2025)&gt;0,"Yes","No"),"")</f>
        <v/>
      </c>
      <c r="C2025" s="11"/>
      <c r="D2025" s="11"/>
      <c r="E2025" s="11"/>
      <c r="F2025" s="11"/>
      <c r="G2025" s="11"/>
      <c r="H2025" s="11"/>
      <c r="I2025" s="15"/>
    </row>
    <row r="2026" spans="1:9" ht="16.5">
      <c r="A2026" s="10" t="b">
        <v>0</v>
      </c>
      <c r="B2026" s="11" t="str">
        <f>IF(D2026&lt;&gt;"",IF(COUNTIF('USPTO TMs'!A:A,D2026)&gt;0,"Yes","No"),"")</f>
        <v/>
      </c>
      <c r="C2026" s="11"/>
      <c r="D2026" s="11"/>
      <c r="E2026" s="11"/>
      <c r="F2026" s="11"/>
      <c r="G2026" s="11"/>
      <c r="H2026" s="11"/>
      <c r="I2026" s="15"/>
    </row>
    <row r="2027" spans="1:9" ht="16.5">
      <c r="A2027" s="10" t="b">
        <v>0</v>
      </c>
      <c r="B2027" s="11" t="str">
        <f>IF(D2027&lt;&gt;"",IF(COUNTIF('USPTO TMs'!A:A,D2027)&gt;0,"Yes","No"),"")</f>
        <v/>
      </c>
      <c r="C2027" s="11"/>
      <c r="D2027" s="11"/>
      <c r="E2027" s="11"/>
      <c r="F2027" s="11"/>
      <c r="G2027" s="11"/>
      <c r="H2027" s="11"/>
      <c r="I2027" s="15"/>
    </row>
    <row r="2028" spans="1:9" ht="16.5">
      <c r="A2028" s="10" t="b">
        <v>0</v>
      </c>
      <c r="B2028" s="11" t="str">
        <f>IF(D2028&lt;&gt;"",IF(COUNTIF('USPTO TMs'!A:A,D2028)&gt;0,"Yes","No"),"")</f>
        <v/>
      </c>
      <c r="C2028" s="11"/>
      <c r="D2028" s="11"/>
      <c r="E2028" s="11"/>
      <c r="F2028" s="11"/>
      <c r="G2028" s="11"/>
      <c r="H2028" s="11"/>
      <c r="I2028" s="15"/>
    </row>
    <row r="2029" spans="1:9" ht="16.5">
      <c r="A2029" s="10" t="b">
        <v>0</v>
      </c>
      <c r="B2029" s="11" t="str">
        <f>IF(D2029&lt;&gt;"",IF(COUNTIF('USPTO TMs'!A:A,D2029)&gt;0,"Yes","No"),"")</f>
        <v/>
      </c>
      <c r="C2029" s="11"/>
      <c r="D2029" s="11"/>
      <c r="E2029" s="11"/>
      <c r="F2029" s="11"/>
      <c r="G2029" s="11"/>
      <c r="H2029" s="11"/>
      <c r="I2029" s="15"/>
    </row>
    <row r="2030" spans="1:9" ht="16.5">
      <c r="A2030" s="10" t="b">
        <v>0</v>
      </c>
      <c r="B2030" s="11" t="str">
        <f>IF(D2030&lt;&gt;"",IF(COUNTIF('USPTO TMs'!A:A,D2030)&gt;0,"Yes","No"),"")</f>
        <v/>
      </c>
      <c r="C2030" s="11"/>
      <c r="D2030" s="11"/>
      <c r="E2030" s="11"/>
      <c r="F2030" s="11"/>
      <c r="G2030" s="11"/>
      <c r="H2030" s="11"/>
      <c r="I2030" s="15"/>
    </row>
    <row r="2031" spans="1:9" ht="16.5">
      <c r="A2031" s="10" t="b">
        <v>0</v>
      </c>
      <c r="B2031" s="11" t="str">
        <f>IF(D2031&lt;&gt;"",IF(COUNTIF('USPTO TMs'!A:A,D2031)&gt;0,"Yes","No"),"")</f>
        <v/>
      </c>
      <c r="C2031" s="11"/>
      <c r="D2031" s="11"/>
      <c r="E2031" s="11"/>
      <c r="F2031" s="11"/>
      <c r="G2031" s="11"/>
      <c r="H2031" s="11"/>
      <c r="I2031" s="15"/>
    </row>
    <row r="2032" spans="1:9" ht="16.5">
      <c r="A2032" s="10" t="b">
        <v>0</v>
      </c>
      <c r="B2032" s="11" t="str">
        <f>IF(D2032&lt;&gt;"",IF(COUNTIF('USPTO TMs'!A:A,D2032)&gt;0,"Yes","No"),"")</f>
        <v/>
      </c>
      <c r="C2032" s="11"/>
      <c r="D2032" s="11"/>
      <c r="E2032" s="11"/>
      <c r="F2032" s="11"/>
      <c r="G2032" s="11"/>
      <c r="H2032" s="11"/>
      <c r="I2032" s="15"/>
    </row>
    <row r="2033" spans="1:9" ht="16.5">
      <c r="A2033" s="10" t="b">
        <v>0</v>
      </c>
      <c r="B2033" s="11" t="str">
        <f>IF(D2033&lt;&gt;"",IF(COUNTIF('USPTO TMs'!A:A,D2033)&gt;0,"Yes","No"),"")</f>
        <v/>
      </c>
      <c r="C2033" s="11"/>
      <c r="D2033" s="11"/>
      <c r="E2033" s="11"/>
      <c r="F2033" s="11"/>
      <c r="G2033" s="11"/>
      <c r="H2033" s="11"/>
      <c r="I2033" s="15"/>
    </row>
    <row r="2034" spans="1:9" ht="16.5">
      <c r="A2034" s="10" t="b">
        <v>0</v>
      </c>
      <c r="B2034" s="11" t="str">
        <f>IF(D2034&lt;&gt;"",IF(COUNTIF('USPTO TMs'!A:A,D2034)&gt;0,"Yes","No"),"")</f>
        <v/>
      </c>
      <c r="C2034" s="11"/>
      <c r="D2034" s="11"/>
      <c r="E2034" s="11"/>
      <c r="F2034" s="11"/>
      <c r="G2034" s="11"/>
      <c r="H2034" s="11"/>
      <c r="I2034" s="15"/>
    </row>
    <row r="2035" spans="1:9" ht="16.5">
      <c r="A2035" s="10" t="b">
        <v>0</v>
      </c>
      <c r="B2035" s="11" t="str">
        <f>IF(D2035&lt;&gt;"",IF(COUNTIF('USPTO TMs'!A:A,D2035)&gt;0,"Yes","No"),"")</f>
        <v/>
      </c>
      <c r="C2035" s="11"/>
      <c r="D2035" s="11"/>
      <c r="E2035" s="11"/>
      <c r="F2035" s="11"/>
      <c r="G2035" s="11"/>
      <c r="H2035" s="11"/>
      <c r="I2035" s="15"/>
    </row>
    <row r="2036" spans="1:9" ht="16.5">
      <c r="A2036" s="10" t="b">
        <v>0</v>
      </c>
      <c r="B2036" s="11" t="str">
        <f>IF(D2036&lt;&gt;"",IF(COUNTIF('USPTO TMs'!A:A,D2036)&gt;0,"Yes","No"),"")</f>
        <v/>
      </c>
      <c r="C2036" s="11"/>
      <c r="D2036" s="11"/>
      <c r="E2036" s="11"/>
      <c r="F2036" s="11"/>
      <c r="G2036" s="11"/>
      <c r="H2036" s="11"/>
      <c r="I2036" s="15"/>
    </row>
    <row r="2037" spans="1:9" ht="16.5">
      <c r="A2037" s="10" t="b">
        <v>0</v>
      </c>
      <c r="B2037" s="11" t="str">
        <f>IF(D2037&lt;&gt;"",IF(COUNTIF('USPTO TMs'!A:A,D2037)&gt;0,"Yes","No"),"")</f>
        <v/>
      </c>
      <c r="C2037" s="11"/>
      <c r="D2037" s="11"/>
      <c r="E2037" s="11"/>
      <c r="F2037" s="11"/>
      <c r="G2037" s="11"/>
      <c r="H2037" s="11"/>
      <c r="I2037" s="15"/>
    </row>
    <row r="2038" spans="1:9" ht="16.5">
      <c r="A2038" s="10" t="b">
        <v>0</v>
      </c>
      <c r="B2038" s="11" t="str">
        <f>IF(D2038&lt;&gt;"",IF(COUNTIF('USPTO TMs'!A:A,D2038)&gt;0,"Yes","No"),"")</f>
        <v/>
      </c>
      <c r="C2038" s="11"/>
      <c r="D2038" s="11"/>
      <c r="E2038" s="11"/>
      <c r="F2038" s="11"/>
      <c r="G2038" s="11"/>
      <c r="H2038" s="11"/>
      <c r="I2038" s="15"/>
    </row>
    <row r="2039" spans="1:9" ht="16.5">
      <c r="A2039" s="10" t="b">
        <v>0</v>
      </c>
      <c r="B2039" s="11" t="str">
        <f>IF(D2039&lt;&gt;"",IF(COUNTIF('USPTO TMs'!A:A,D2039)&gt;0,"Yes","No"),"")</f>
        <v/>
      </c>
      <c r="C2039" s="11"/>
      <c r="D2039" s="11"/>
      <c r="E2039" s="11"/>
      <c r="F2039" s="11"/>
      <c r="G2039" s="11"/>
      <c r="H2039" s="11"/>
      <c r="I2039" s="15"/>
    </row>
    <row r="2040" spans="1:9" ht="16.5">
      <c r="A2040" s="10" t="b">
        <v>0</v>
      </c>
      <c r="B2040" s="11" t="str">
        <f>IF(D2040&lt;&gt;"",IF(COUNTIF('USPTO TMs'!A:A,D2040)&gt;0,"Yes","No"),"")</f>
        <v/>
      </c>
      <c r="C2040" s="11"/>
      <c r="D2040" s="11"/>
      <c r="E2040" s="11"/>
      <c r="F2040" s="11"/>
      <c r="G2040" s="11"/>
      <c r="H2040" s="11"/>
      <c r="I2040" s="15"/>
    </row>
    <row r="2041" spans="1:9" ht="16.5">
      <c r="A2041" s="10" t="b">
        <v>0</v>
      </c>
      <c r="B2041" s="11" t="str">
        <f>IF(D2041&lt;&gt;"",IF(COUNTIF('USPTO TMs'!A:A,D2041)&gt;0,"Yes","No"),"")</f>
        <v/>
      </c>
      <c r="C2041" s="11"/>
      <c r="D2041" s="11"/>
      <c r="E2041" s="11"/>
      <c r="F2041" s="11"/>
      <c r="G2041" s="11"/>
      <c r="H2041" s="11"/>
      <c r="I2041" s="15"/>
    </row>
    <row r="2042" spans="1:9" ht="16.5">
      <c r="A2042" s="10" t="b">
        <v>0</v>
      </c>
      <c r="B2042" s="11" t="str">
        <f>IF(D2042&lt;&gt;"",IF(COUNTIF('USPTO TMs'!A:A,D2042)&gt;0,"Yes","No"),"")</f>
        <v/>
      </c>
      <c r="C2042" s="11"/>
      <c r="D2042" s="11"/>
      <c r="E2042" s="11"/>
      <c r="F2042" s="11"/>
      <c r="G2042" s="11"/>
      <c r="H2042" s="11"/>
      <c r="I2042" s="15"/>
    </row>
    <row r="2043" spans="1:9" ht="16.5">
      <c r="A2043" s="10" t="b">
        <v>0</v>
      </c>
      <c r="B2043" s="11" t="str">
        <f>IF(D2043&lt;&gt;"",IF(COUNTIF('USPTO TMs'!A:A,D2043)&gt;0,"Yes","No"),"")</f>
        <v/>
      </c>
      <c r="C2043" s="11"/>
      <c r="D2043" s="11"/>
      <c r="E2043" s="11"/>
      <c r="F2043" s="11"/>
      <c r="G2043" s="11"/>
      <c r="H2043" s="11"/>
      <c r="I2043" s="15"/>
    </row>
    <row r="2044" spans="1:9" ht="16.5">
      <c r="A2044" s="10" t="b">
        <v>0</v>
      </c>
      <c r="B2044" s="11" t="str">
        <f>IF(D2044&lt;&gt;"",IF(COUNTIF('USPTO TMs'!A:A,D2044)&gt;0,"Yes","No"),"")</f>
        <v/>
      </c>
      <c r="C2044" s="11"/>
      <c r="D2044" s="11"/>
      <c r="E2044" s="11"/>
      <c r="F2044" s="11"/>
      <c r="G2044" s="11"/>
      <c r="H2044" s="11"/>
      <c r="I2044" s="15"/>
    </row>
    <row r="2045" spans="1:9" ht="16.5">
      <c r="A2045" s="10" t="b">
        <v>0</v>
      </c>
      <c r="B2045" s="11" t="str">
        <f>IF(D2045&lt;&gt;"",IF(COUNTIF('USPTO TMs'!A:A,D2045)&gt;0,"Yes","No"),"")</f>
        <v/>
      </c>
      <c r="C2045" s="11"/>
      <c r="D2045" s="11"/>
      <c r="E2045" s="11"/>
      <c r="F2045" s="11"/>
      <c r="G2045" s="11"/>
      <c r="H2045" s="11"/>
      <c r="I2045" s="15"/>
    </row>
    <row r="2046" spans="1:9" ht="16.5">
      <c r="A2046" s="10" t="b">
        <v>0</v>
      </c>
      <c r="B2046" s="11" t="str">
        <f>IF(D2046&lt;&gt;"",IF(COUNTIF('USPTO TMs'!A:A,D2046)&gt;0,"Yes","No"),"")</f>
        <v/>
      </c>
      <c r="C2046" s="11"/>
      <c r="D2046" s="11"/>
      <c r="E2046" s="11"/>
      <c r="F2046" s="11"/>
      <c r="G2046" s="11"/>
      <c r="H2046" s="11"/>
      <c r="I2046" s="15"/>
    </row>
    <row r="2047" spans="1:9" ht="16.5">
      <c r="A2047" s="10" t="b">
        <v>0</v>
      </c>
      <c r="B2047" s="11" t="str">
        <f>IF(D2047&lt;&gt;"",IF(COUNTIF('USPTO TMs'!A:A,D2047)&gt;0,"Yes","No"),"")</f>
        <v/>
      </c>
      <c r="C2047" s="11"/>
      <c r="D2047" s="11"/>
      <c r="E2047" s="11"/>
      <c r="F2047" s="11"/>
      <c r="G2047" s="11"/>
      <c r="H2047" s="11"/>
      <c r="I2047" s="15"/>
    </row>
    <row r="2048" spans="1:9" ht="16.5">
      <c r="A2048" s="10" t="b">
        <v>0</v>
      </c>
      <c r="B2048" s="11" t="str">
        <f>IF(D2048&lt;&gt;"",IF(COUNTIF('USPTO TMs'!A:A,D2048)&gt;0,"Yes","No"),"")</f>
        <v/>
      </c>
      <c r="C2048" s="11"/>
      <c r="D2048" s="11"/>
      <c r="E2048" s="11"/>
      <c r="F2048" s="11"/>
      <c r="G2048" s="11"/>
      <c r="H2048" s="11"/>
      <c r="I2048" s="15"/>
    </row>
    <row r="2049" spans="1:9" ht="16.5">
      <c r="A2049" s="10" t="b">
        <v>0</v>
      </c>
      <c r="B2049" s="11" t="str">
        <f>IF(D2049&lt;&gt;"",IF(COUNTIF('USPTO TMs'!A:A,D2049)&gt;0,"Yes","No"),"")</f>
        <v/>
      </c>
      <c r="C2049" s="11"/>
      <c r="D2049" s="11"/>
      <c r="E2049" s="11"/>
      <c r="F2049" s="11"/>
      <c r="G2049" s="11"/>
      <c r="H2049" s="11"/>
      <c r="I2049" s="15"/>
    </row>
    <row r="2050" spans="1:9" ht="16.5">
      <c r="A2050" s="10" t="b">
        <v>0</v>
      </c>
      <c r="B2050" s="11" t="str">
        <f>IF(D2050&lt;&gt;"",IF(COUNTIF('USPTO TMs'!A:A,D2050)&gt;0,"Yes","No"),"")</f>
        <v/>
      </c>
      <c r="C2050" s="11"/>
      <c r="D2050" s="11"/>
      <c r="E2050" s="11"/>
      <c r="F2050" s="11"/>
      <c r="G2050" s="11"/>
      <c r="H2050" s="11"/>
      <c r="I2050" s="15"/>
    </row>
    <row r="2051" spans="1:9" ht="16.5">
      <c r="A2051" s="10" t="b">
        <v>0</v>
      </c>
      <c r="B2051" s="11" t="str">
        <f>IF(D2051&lt;&gt;"",IF(COUNTIF('USPTO TMs'!A:A,D2051)&gt;0,"Yes","No"),"")</f>
        <v/>
      </c>
      <c r="C2051" s="11"/>
      <c r="D2051" s="11"/>
      <c r="E2051" s="11"/>
      <c r="F2051" s="11"/>
      <c r="G2051" s="11"/>
      <c r="H2051" s="11"/>
      <c r="I2051" s="15"/>
    </row>
    <row r="2052" spans="1:9" ht="16.5">
      <c r="A2052" s="10" t="b">
        <v>0</v>
      </c>
      <c r="B2052" s="11" t="str">
        <f>IF(D2052&lt;&gt;"",IF(COUNTIF('USPTO TMs'!A:A,D2052)&gt;0,"Yes","No"),"")</f>
        <v/>
      </c>
      <c r="C2052" s="11"/>
      <c r="D2052" s="11"/>
      <c r="E2052" s="11"/>
      <c r="F2052" s="11"/>
      <c r="G2052" s="11"/>
      <c r="H2052" s="11"/>
      <c r="I2052" s="15"/>
    </row>
    <row r="2053" spans="1:9" ht="16.5">
      <c r="A2053" s="10" t="b">
        <v>0</v>
      </c>
      <c r="B2053" s="11" t="str">
        <f>IF(D2053&lt;&gt;"",IF(COUNTIF('USPTO TMs'!A:A,D2053)&gt;0,"Yes","No"),"")</f>
        <v/>
      </c>
      <c r="C2053" s="11"/>
      <c r="D2053" s="11"/>
      <c r="E2053" s="11"/>
      <c r="F2053" s="11"/>
      <c r="G2053" s="11"/>
      <c r="H2053" s="11"/>
      <c r="I2053" s="15"/>
    </row>
    <row r="2054" spans="1:9" ht="16.5">
      <c r="A2054" s="10" t="b">
        <v>0</v>
      </c>
      <c r="B2054" s="11" t="str">
        <f>IF(D2054&lt;&gt;"",IF(COUNTIF('USPTO TMs'!A:A,D2054)&gt;0,"Yes","No"),"")</f>
        <v/>
      </c>
      <c r="C2054" s="11"/>
      <c r="D2054" s="11"/>
      <c r="E2054" s="11"/>
      <c r="F2054" s="11"/>
      <c r="G2054" s="11"/>
      <c r="H2054" s="11"/>
      <c r="I2054" s="15"/>
    </row>
    <row r="2055" spans="1:9" ht="16.5">
      <c r="A2055" s="10" t="b">
        <v>0</v>
      </c>
      <c r="B2055" s="11" t="str">
        <f>IF(D2055&lt;&gt;"",IF(COUNTIF('USPTO TMs'!A:A,D2055)&gt;0,"Yes","No"),"")</f>
        <v/>
      </c>
      <c r="C2055" s="11"/>
      <c r="D2055" s="11"/>
      <c r="E2055" s="11"/>
      <c r="F2055" s="11"/>
      <c r="G2055" s="11"/>
      <c r="H2055" s="11"/>
      <c r="I2055" s="15"/>
    </row>
    <row r="2056" spans="1:9" ht="16.5">
      <c r="A2056" s="10" t="b">
        <v>0</v>
      </c>
      <c r="B2056" s="11" t="str">
        <f>IF(D2056&lt;&gt;"",IF(COUNTIF('USPTO TMs'!A:A,D2056)&gt;0,"Yes","No"),"")</f>
        <v/>
      </c>
      <c r="C2056" s="11"/>
      <c r="D2056" s="11"/>
      <c r="E2056" s="11"/>
      <c r="F2056" s="11"/>
      <c r="G2056" s="11"/>
      <c r="H2056" s="11"/>
      <c r="I2056" s="15"/>
    </row>
    <row r="2057" spans="1:9" ht="16.5">
      <c r="A2057" s="10" t="b">
        <v>0</v>
      </c>
      <c r="B2057" s="11" t="str">
        <f>IF(D2057&lt;&gt;"",IF(COUNTIF('USPTO TMs'!A:A,D2057)&gt;0,"Yes","No"),"")</f>
        <v/>
      </c>
      <c r="C2057" s="11"/>
      <c r="D2057" s="11"/>
      <c r="E2057" s="11"/>
      <c r="F2057" s="11"/>
      <c r="G2057" s="11"/>
      <c r="H2057" s="11"/>
      <c r="I2057" s="15"/>
    </row>
    <row r="2058" spans="1:9" ht="16.5">
      <c r="A2058" s="10" t="b">
        <v>0</v>
      </c>
      <c r="B2058" s="11" t="str">
        <f>IF(D2058&lt;&gt;"",IF(COUNTIF('USPTO TMs'!A:A,D2058)&gt;0,"Yes","No"),"")</f>
        <v/>
      </c>
      <c r="C2058" s="11"/>
      <c r="D2058" s="11"/>
      <c r="E2058" s="11"/>
      <c r="F2058" s="11"/>
      <c r="G2058" s="11"/>
      <c r="H2058" s="11"/>
      <c r="I2058" s="15"/>
    </row>
    <row r="2059" spans="1:9" ht="16.5">
      <c r="A2059" s="10" t="b">
        <v>0</v>
      </c>
      <c r="B2059" s="11" t="str">
        <f>IF(D2059&lt;&gt;"",IF(COUNTIF('USPTO TMs'!A:A,D2059)&gt;0,"Yes","No"),"")</f>
        <v/>
      </c>
      <c r="C2059" s="11"/>
      <c r="D2059" s="11"/>
      <c r="E2059" s="11"/>
      <c r="F2059" s="11"/>
      <c r="G2059" s="11"/>
      <c r="H2059" s="11"/>
      <c r="I2059" s="15"/>
    </row>
    <row r="2060" spans="1:9" ht="16.5">
      <c r="A2060" s="10" t="b">
        <v>0</v>
      </c>
      <c r="B2060" s="11" t="str">
        <f>IF(D2060&lt;&gt;"",IF(COUNTIF('USPTO TMs'!A:A,D2060)&gt;0,"Yes","No"),"")</f>
        <v/>
      </c>
      <c r="C2060" s="11"/>
      <c r="D2060" s="11"/>
      <c r="E2060" s="11"/>
      <c r="F2060" s="11"/>
      <c r="G2060" s="11"/>
      <c r="H2060" s="11"/>
      <c r="I2060" s="15"/>
    </row>
    <row r="2061" spans="1:9" ht="16.5">
      <c r="A2061" s="10" t="b">
        <v>0</v>
      </c>
      <c r="B2061" s="11" t="str">
        <f>IF(D2061&lt;&gt;"",IF(COUNTIF('USPTO TMs'!A:A,D2061)&gt;0,"Yes","No"),"")</f>
        <v/>
      </c>
      <c r="C2061" s="11"/>
      <c r="D2061" s="11"/>
      <c r="E2061" s="11"/>
      <c r="F2061" s="11"/>
      <c r="G2061" s="11"/>
      <c r="H2061" s="11"/>
      <c r="I2061" s="15"/>
    </row>
    <row r="2062" spans="1:9" ht="16.5">
      <c r="A2062" s="10" t="b">
        <v>0</v>
      </c>
      <c r="B2062" s="11" t="str">
        <f>IF(D2062&lt;&gt;"",IF(COUNTIF('USPTO TMs'!A:A,D2062)&gt;0,"Yes","No"),"")</f>
        <v/>
      </c>
      <c r="C2062" s="11"/>
      <c r="D2062" s="11"/>
      <c r="E2062" s="11"/>
      <c r="F2062" s="11"/>
      <c r="G2062" s="11"/>
      <c r="H2062" s="11"/>
      <c r="I2062" s="15"/>
    </row>
    <row r="2063" spans="1:9" ht="16.5">
      <c r="A2063" s="10" t="b">
        <v>0</v>
      </c>
      <c r="B2063" s="11" t="str">
        <f>IF(D2063&lt;&gt;"",IF(COUNTIF('USPTO TMs'!A:A,D2063)&gt;0,"Yes","No"),"")</f>
        <v/>
      </c>
      <c r="C2063" s="11"/>
      <c r="D2063" s="11"/>
      <c r="E2063" s="11"/>
      <c r="F2063" s="11"/>
      <c r="G2063" s="11"/>
      <c r="H2063" s="11"/>
      <c r="I2063" s="15"/>
    </row>
    <row r="2064" spans="1:9" ht="16.5">
      <c r="A2064" s="10" t="b">
        <v>0</v>
      </c>
      <c r="B2064" s="11" t="str">
        <f>IF(D2064&lt;&gt;"",IF(COUNTIF('USPTO TMs'!A:A,D2064)&gt;0,"Yes","No"),"")</f>
        <v/>
      </c>
      <c r="C2064" s="11"/>
      <c r="D2064" s="11"/>
      <c r="E2064" s="11"/>
      <c r="F2064" s="11"/>
      <c r="G2064" s="11"/>
      <c r="H2064" s="11"/>
      <c r="I2064" s="15"/>
    </row>
    <row r="2065" spans="1:9" ht="16.5">
      <c r="A2065" s="10" t="b">
        <v>0</v>
      </c>
      <c r="B2065" s="11" t="str">
        <f>IF(D2065&lt;&gt;"",IF(COUNTIF('USPTO TMs'!A:A,D2065)&gt;0,"Yes","No"),"")</f>
        <v/>
      </c>
      <c r="C2065" s="11"/>
      <c r="D2065" s="11"/>
      <c r="E2065" s="11"/>
      <c r="F2065" s="11"/>
      <c r="G2065" s="11"/>
      <c r="H2065" s="11"/>
      <c r="I2065" s="15"/>
    </row>
    <row r="2066" spans="1:9" ht="16.5">
      <c r="A2066" s="10" t="b">
        <v>0</v>
      </c>
      <c r="B2066" s="11" t="str">
        <f>IF(D2066&lt;&gt;"",IF(COUNTIF('USPTO TMs'!A:A,D2066)&gt;0,"Yes","No"),"")</f>
        <v/>
      </c>
      <c r="C2066" s="11"/>
      <c r="D2066" s="11"/>
      <c r="E2066" s="11"/>
      <c r="F2066" s="11"/>
      <c r="G2066" s="11"/>
      <c r="H2066" s="11"/>
      <c r="I2066" s="15"/>
    </row>
    <row r="2067" spans="1:9" ht="16.5">
      <c r="A2067" s="10" t="b">
        <v>0</v>
      </c>
      <c r="B2067" s="11" t="str">
        <f>IF(D2067&lt;&gt;"",IF(COUNTIF('USPTO TMs'!A:A,D2067)&gt;0,"Yes","No"),"")</f>
        <v/>
      </c>
      <c r="C2067" s="11"/>
      <c r="D2067" s="11"/>
      <c r="E2067" s="11"/>
      <c r="F2067" s="11"/>
      <c r="G2067" s="11"/>
      <c r="H2067" s="11"/>
      <c r="I2067" s="15"/>
    </row>
    <row r="2068" spans="1:9" ht="16.5">
      <c r="A2068" s="10" t="b">
        <v>0</v>
      </c>
      <c r="B2068" s="11" t="str">
        <f>IF(D2068&lt;&gt;"",IF(COUNTIF('USPTO TMs'!A:A,D2068)&gt;0,"Yes","No"),"")</f>
        <v/>
      </c>
      <c r="C2068" s="11"/>
      <c r="D2068" s="11"/>
      <c r="E2068" s="11"/>
      <c r="F2068" s="11"/>
      <c r="G2068" s="11"/>
      <c r="H2068" s="11"/>
      <c r="I2068" s="15"/>
    </row>
    <row r="2069" spans="1:9" ht="16.5">
      <c r="A2069" s="10" t="b">
        <v>0</v>
      </c>
      <c r="B2069" s="11" t="str">
        <f>IF(D2069&lt;&gt;"",IF(COUNTIF('USPTO TMs'!A:A,D2069)&gt;0,"Yes","No"),"")</f>
        <v/>
      </c>
      <c r="C2069" s="11"/>
      <c r="D2069" s="11"/>
      <c r="E2069" s="11"/>
      <c r="F2069" s="11"/>
      <c r="G2069" s="11"/>
      <c r="H2069" s="11"/>
      <c r="I2069" s="15"/>
    </row>
    <row r="2070" spans="1:9" ht="16.5">
      <c r="A2070" s="10" t="b">
        <v>0</v>
      </c>
      <c r="B2070" s="11" t="str">
        <f>IF(D2070&lt;&gt;"",IF(COUNTIF('USPTO TMs'!A:A,D2070)&gt;0,"Yes","No"),"")</f>
        <v/>
      </c>
      <c r="C2070" s="11"/>
      <c r="D2070" s="11"/>
      <c r="E2070" s="11"/>
      <c r="F2070" s="11"/>
      <c r="G2070" s="11"/>
      <c r="H2070" s="11"/>
      <c r="I2070" s="15"/>
    </row>
    <row r="2071" spans="1:9" ht="16.5">
      <c r="A2071" s="10" t="b">
        <v>0</v>
      </c>
      <c r="B2071" s="11" t="str">
        <f>IF(D2071&lt;&gt;"",IF(COUNTIF('USPTO TMs'!A:A,D2071)&gt;0,"Yes","No"),"")</f>
        <v/>
      </c>
      <c r="C2071" s="11"/>
      <c r="D2071" s="11"/>
      <c r="E2071" s="11"/>
      <c r="F2071" s="11"/>
      <c r="G2071" s="11"/>
      <c r="H2071" s="11"/>
      <c r="I2071" s="15"/>
    </row>
    <row r="2072" spans="1:9" ht="16.5">
      <c r="A2072" s="10" t="b">
        <v>0</v>
      </c>
      <c r="B2072" s="11" t="str">
        <f>IF(D2072&lt;&gt;"",IF(COUNTIF('USPTO TMs'!A:A,D2072)&gt;0,"Yes","No"),"")</f>
        <v/>
      </c>
      <c r="C2072" s="11"/>
      <c r="D2072" s="11"/>
      <c r="E2072" s="11"/>
      <c r="F2072" s="11"/>
      <c r="G2072" s="11"/>
      <c r="H2072" s="11"/>
      <c r="I2072" s="15"/>
    </row>
    <row r="2073" spans="1:9" ht="16.5">
      <c r="A2073" s="10" t="b">
        <v>0</v>
      </c>
      <c r="B2073" s="11" t="str">
        <f>IF(D2073&lt;&gt;"",IF(COUNTIF('USPTO TMs'!A:A,D2073)&gt;0,"Yes","No"),"")</f>
        <v/>
      </c>
      <c r="C2073" s="11"/>
      <c r="D2073" s="11"/>
      <c r="E2073" s="11"/>
      <c r="F2073" s="11"/>
      <c r="G2073" s="11"/>
      <c r="H2073" s="11"/>
      <c r="I2073" s="15"/>
    </row>
    <row r="2074" spans="1:9" ht="16.5">
      <c r="A2074" s="10" t="b">
        <v>0</v>
      </c>
      <c r="B2074" s="11" t="str">
        <f>IF(D2074&lt;&gt;"",IF(COUNTIF('USPTO TMs'!A:A,D2074)&gt;0,"Yes","No"),"")</f>
        <v/>
      </c>
      <c r="C2074" s="11"/>
      <c r="D2074" s="11"/>
      <c r="E2074" s="11"/>
      <c r="F2074" s="11"/>
      <c r="G2074" s="11"/>
      <c r="H2074" s="11"/>
      <c r="I2074" s="15"/>
    </row>
    <row r="2075" spans="1:9" ht="16.5">
      <c r="A2075" s="10" t="b">
        <v>0</v>
      </c>
      <c r="B2075" s="11" t="str">
        <f>IF(D2075&lt;&gt;"",IF(COUNTIF('USPTO TMs'!A:A,D2075)&gt;0,"Yes","No"),"")</f>
        <v/>
      </c>
      <c r="C2075" s="11"/>
      <c r="D2075" s="11"/>
      <c r="E2075" s="11"/>
      <c r="F2075" s="11"/>
      <c r="G2075" s="11"/>
      <c r="H2075" s="11"/>
      <c r="I2075" s="15"/>
    </row>
    <row r="2076" spans="1:9" ht="16.5">
      <c r="A2076" s="10" t="b">
        <v>0</v>
      </c>
      <c r="B2076" s="11" t="str">
        <f>IF(D2076&lt;&gt;"",IF(COUNTIF('USPTO TMs'!A:A,D2076)&gt;0,"Yes","No"),"")</f>
        <v/>
      </c>
      <c r="C2076" s="11"/>
      <c r="D2076" s="11"/>
      <c r="E2076" s="11"/>
      <c r="F2076" s="11"/>
      <c r="G2076" s="11"/>
      <c r="H2076" s="11"/>
      <c r="I2076" s="15"/>
    </row>
    <row r="2077" spans="1:9" ht="16.5">
      <c r="A2077" s="10" t="b">
        <v>0</v>
      </c>
      <c r="B2077" s="11" t="str">
        <f>IF(D2077&lt;&gt;"",IF(COUNTIF('USPTO TMs'!A:A,D2077)&gt;0,"Yes","No"),"")</f>
        <v/>
      </c>
      <c r="C2077" s="11"/>
      <c r="D2077" s="11"/>
      <c r="E2077" s="11"/>
      <c r="F2077" s="11"/>
      <c r="G2077" s="11"/>
      <c r="H2077" s="11"/>
      <c r="I2077" s="15"/>
    </row>
    <row r="2078" spans="1:9" ht="16.5">
      <c r="A2078" s="10" t="b">
        <v>0</v>
      </c>
      <c r="B2078" s="11" t="str">
        <f>IF(D2078&lt;&gt;"",IF(COUNTIF('USPTO TMs'!A:A,D2078)&gt;0,"Yes","No"),"")</f>
        <v/>
      </c>
      <c r="C2078" s="11"/>
      <c r="D2078" s="11"/>
      <c r="E2078" s="11"/>
      <c r="F2078" s="11"/>
      <c r="G2078" s="11"/>
      <c r="H2078" s="11"/>
      <c r="I2078" s="15"/>
    </row>
    <row r="2079" spans="1:9" ht="16.5">
      <c r="A2079" s="10" t="b">
        <v>0</v>
      </c>
      <c r="B2079" s="11" t="str">
        <f>IF(D2079&lt;&gt;"",IF(COUNTIF('USPTO TMs'!A:A,D2079)&gt;0,"Yes","No"),"")</f>
        <v/>
      </c>
      <c r="C2079" s="11"/>
      <c r="D2079" s="11"/>
      <c r="E2079" s="11"/>
      <c r="F2079" s="11"/>
      <c r="G2079" s="11"/>
      <c r="H2079" s="11"/>
      <c r="I2079" s="15"/>
    </row>
    <row r="2080" spans="1:9" ht="16.5">
      <c r="A2080" s="10" t="b">
        <v>0</v>
      </c>
      <c r="B2080" s="11" t="str">
        <f>IF(D2080&lt;&gt;"",IF(COUNTIF('USPTO TMs'!A:A,D2080)&gt;0,"Yes","No"),"")</f>
        <v/>
      </c>
      <c r="C2080" s="11"/>
      <c r="D2080" s="11"/>
      <c r="E2080" s="11"/>
      <c r="F2080" s="11"/>
      <c r="G2080" s="11"/>
      <c r="H2080" s="11"/>
      <c r="I2080" s="15"/>
    </row>
    <row r="2081" spans="1:9" ht="16.5">
      <c r="A2081" s="10" t="b">
        <v>0</v>
      </c>
      <c r="B2081" s="11" t="str">
        <f>IF(D2081&lt;&gt;"",IF(COUNTIF('USPTO TMs'!A:A,D2081)&gt;0,"Yes","No"),"")</f>
        <v/>
      </c>
      <c r="C2081" s="11"/>
      <c r="D2081" s="11"/>
      <c r="E2081" s="11"/>
      <c r="F2081" s="11"/>
      <c r="G2081" s="11"/>
      <c r="H2081" s="11"/>
      <c r="I2081" s="15"/>
    </row>
    <row r="2082" spans="1:9" ht="16.5">
      <c r="A2082" s="10" t="b">
        <v>0</v>
      </c>
      <c r="B2082" s="11" t="str">
        <f>IF(D2082&lt;&gt;"",IF(COUNTIF('USPTO TMs'!A:A,D2082)&gt;0,"Yes","No"),"")</f>
        <v/>
      </c>
      <c r="C2082" s="11"/>
      <c r="D2082" s="11"/>
      <c r="E2082" s="11"/>
      <c r="F2082" s="11"/>
      <c r="G2082" s="11"/>
      <c r="H2082" s="11"/>
      <c r="I2082" s="15"/>
    </row>
    <row r="2083" spans="1:9" ht="16.5">
      <c r="A2083" s="10" t="b">
        <v>0</v>
      </c>
      <c r="B2083" s="11" t="str">
        <f>IF(D2083&lt;&gt;"",IF(COUNTIF('USPTO TMs'!A:A,D2083)&gt;0,"Yes","No"),"")</f>
        <v/>
      </c>
      <c r="C2083" s="11"/>
      <c r="D2083" s="11"/>
      <c r="E2083" s="11"/>
      <c r="F2083" s="11"/>
      <c r="G2083" s="11"/>
      <c r="H2083" s="11"/>
      <c r="I2083" s="15"/>
    </row>
    <row r="2084" spans="1:9" ht="16.5">
      <c r="A2084" s="10" t="b">
        <v>0</v>
      </c>
      <c r="B2084" s="11" t="str">
        <f>IF(D2084&lt;&gt;"",IF(COUNTIF('USPTO TMs'!A:A,D2084)&gt;0,"Yes","No"),"")</f>
        <v/>
      </c>
      <c r="C2084" s="11"/>
      <c r="D2084" s="11"/>
      <c r="E2084" s="11"/>
      <c r="F2084" s="11"/>
      <c r="G2084" s="11"/>
      <c r="H2084" s="11"/>
      <c r="I2084" s="15"/>
    </row>
    <row r="2085" spans="1:9" ht="16.5">
      <c r="A2085" s="10" t="b">
        <v>0</v>
      </c>
      <c r="B2085" s="11" t="str">
        <f>IF(D2085&lt;&gt;"",IF(COUNTIF('USPTO TMs'!A:A,D2085)&gt;0,"Yes","No"),"")</f>
        <v/>
      </c>
      <c r="C2085" s="11"/>
      <c r="D2085" s="11"/>
      <c r="E2085" s="11"/>
      <c r="F2085" s="11"/>
      <c r="G2085" s="11"/>
      <c r="H2085" s="11"/>
      <c r="I2085" s="15"/>
    </row>
    <row r="2086" spans="1:9" ht="16.5">
      <c r="A2086" s="10" t="b">
        <v>0</v>
      </c>
      <c r="B2086" s="11" t="str">
        <f>IF(D2086&lt;&gt;"",IF(COUNTIF('USPTO TMs'!A:A,D2086)&gt;0,"Yes","No"),"")</f>
        <v/>
      </c>
      <c r="C2086" s="11"/>
      <c r="D2086" s="11"/>
      <c r="E2086" s="11"/>
      <c r="F2086" s="11"/>
      <c r="G2086" s="11"/>
      <c r="H2086" s="11"/>
      <c r="I2086" s="15"/>
    </row>
    <row r="2087" spans="1:9" ht="16.5">
      <c r="A2087" s="10" t="b">
        <v>0</v>
      </c>
      <c r="B2087" s="11" t="str">
        <f>IF(D2087&lt;&gt;"",IF(COUNTIF('USPTO TMs'!A:A,D2087)&gt;0,"Yes","No"),"")</f>
        <v/>
      </c>
      <c r="C2087" s="11"/>
      <c r="D2087" s="11"/>
      <c r="E2087" s="11"/>
      <c r="F2087" s="11"/>
      <c r="G2087" s="11"/>
      <c r="H2087" s="11"/>
      <c r="I2087" s="15"/>
    </row>
    <row r="2088" spans="1:9" ht="16.5">
      <c r="A2088" s="10" t="b">
        <v>0</v>
      </c>
      <c r="B2088" s="11" t="str">
        <f>IF(D2088&lt;&gt;"",IF(COUNTIF('USPTO TMs'!A:A,D2088)&gt;0,"Yes","No"),"")</f>
        <v/>
      </c>
      <c r="C2088" s="11"/>
      <c r="D2088" s="11"/>
      <c r="E2088" s="11"/>
      <c r="F2088" s="11"/>
      <c r="G2088" s="11"/>
      <c r="H2088" s="11"/>
      <c r="I2088" s="15"/>
    </row>
    <row r="2089" spans="1:9" ht="16.5">
      <c r="A2089" s="10" t="b">
        <v>0</v>
      </c>
      <c r="B2089" s="11" t="str">
        <f>IF(D2089&lt;&gt;"",IF(COUNTIF('USPTO TMs'!A:A,D2089)&gt;0,"Yes","No"),"")</f>
        <v/>
      </c>
      <c r="C2089" s="11"/>
      <c r="D2089" s="11"/>
      <c r="E2089" s="11"/>
      <c r="F2089" s="11"/>
      <c r="G2089" s="11"/>
      <c r="H2089" s="11"/>
      <c r="I2089" s="15"/>
    </row>
    <row r="2090" spans="1:9" ht="16.5">
      <c r="A2090" s="10" t="b">
        <v>0</v>
      </c>
      <c r="B2090" s="11" t="str">
        <f>IF(D2090&lt;&gt;"",IF(COUNTIF('USPTO TMs'!A:A,D2090)&gt;0,"Yes","No"),"")</f>
        <v/>
      </c>
      <c r="C2090" s="11"/>
      <c r="D2090" s="11"/>
      <c r="E2090" s="11"/>
      <c r="F2090" s="11"/>
      <c r="G2090" s="11"/>
      <c r="H2090" s="11"/>
      <c r="I2090" s="15"/>
    </row>
    <row r="2091" spans="1:9" ht="16.5">
      <c r="A2091" s="10" t="b">
        <v>0</v>
      </c>
      <c r="B2091" s="11" t="str">
        <f>IF(D2091&lt;&gt;"",IF(COUNTIF('USPTO TMs'!A:A,D2091)&gt;0,"Yes","No"),"")</f>
        <v/>
      </c>
      <c r="C2091" s="11"/>
      <c r="D2091" s="11"/>
      <c r="E2091" s="11"/>
      <c r="F2091" s="11"/>
      <c r="G2091" s="11"/>
      <c r="H2091" s="11"/>
      <c r="I2091" s="15"/>
    </row>
    <row r="2092" spans="1:9" ht="16.5">
      <c r="A2092" s="10" t="b">
        <v>0</v>
      </c>
      <c r="B2092" s="11" t="str">
        <f>IF(D2092&lt;&gt;"",IF(COUNTIF('USPTO TMs'!A:A,D2092)&gt;0,"Yes","No"),"")</f>
        <v/>
      </c>
      <c r="C2092" s="11"/>
      <c r="D2092" s="11"/>
      <c r="E2092" s="11"/>
      <c r="F2092" s="11"/>
      <c r="G2092" s="11"/>
      <c r="H2092" s="11"/>
      <c r="I2092" s="15"/>
    </row>
    <row r="2093" spans="1:9" ht="16.5">
      <c r="A2093" s="10" t="b">
        <v>0</v>
      </c>
      <c r="B2093" s="11" t="str">
        <f>IF(D2093&lt;&gt;"",IF(COUNTIF('USPTO TMs'!A:A,D2093)&gt;0,"Yes","No"),"")</f>
        <v/>
      </c>
      <c r="C2093" s="11"/>
      <c r="D2093" s="11"/>
      <c r="E2093" s="11"/>
      <c r="F2093" s="11"/>
      <c r="G2093" s="11"/>
      <c r="H2093" s="11"/>
      <c r="I2093" s="15"/>
    </row>
    <row r="2094" spans="1:9" ht="16.5">
      <c r="A2094" s="10" t="b">
        <v>0</v>
      </c>
      <c r="B2094" s="11" t="str">
        <f>IF(D2094&lt;&gt;"",IF(COUNTIF('USPTO TMs'!A:A,D2094)&gt;0,"Yes","No"),"")</f>
        <v/>
      </c>
      <c r="C2094" s="11"/>
      <c r="D2094" s="11"/>
      <c r="E2094" s="11"/>
      <c r="F2094" s="11"/>
      <c r="G2094" s="11"/>
      <c r="H2094" s="11"/>
      <c r="I2094" s="15"/>
    </row>
    <row r="2095" spans="1:9" ht="16.5">
      <c r="A2095" s="10" t="b">
        <v>0</v>
      </c>
      <c r="B2095" s="11" t="str">
        <f>IF(D2095&lt;&gt;"",IF(COUNTIF('USPTO TMs'!A:A,D2095)&gt;0,"Yes","No"),"")</f>
        <v/>
      </c>
      <c r="C2095" s="11"/>
      <c r="D2095" s="11"/>
      <c r="E2095" s="11"/>
      <c r="F2095" s="11"/>
      <c r="G2095" s="11"/>
      <c r="H2095" s="11"/>
      <c r="I2095" s="15"/>
    </row>
    <row r="2096" spans="1:9" ht="16.5">
      <c r="A2096" s="10" t="b">
        <v>0</v>
      </c>
      <c r="B2096" s="11" t="str">
        <f>IF(D2096&lt;&gt;"",IF(COUNTIF('USPTO TMs'!A:A,D2096)&gt;0,"Yes","No"),"")</f>
        <v/>
      </c>
      <c r="C2096" s="11"/>
      <c r="D2096" s="11"/>
      <c r="E2096" s="11"/>
      <c r="F2096" s="11"/>
      <c r="G2096" s="11"/>
      <c r="H2096" s="11"/>
      <c r="I2096" s="15"/>
    </row>
    <row r="2097" spans="1:9" ht="16.5">
      <c r="A2097" s="10" t="b">
        <v>0</v>
      </c>
      <c r="B2097" s="11" t="str">
        <f>IF(D2097&lt;&gt;"",IF(COUNTIF('USPTO TMs'!A:A,D2097)&gt;0,"Yes","No"),"")</f>
        <v/>
      </c>
      <c r="C2097" s="11"/>
      <c r="D2097" s="11"/>
      <c r="E2097" s="11"/>
      <c r="F2097" s="11"/>
      <c r="G2097" s="11"/>
      <c r="H2097" s="11"/>
      <c r="I2097" s="15"/>
    </row>
    <row r="2098" spans="1:9" ht="16.5">
      <c r="A2098" s="10" t="b">
        <v>0</v>
      </c>
      <c r="B2098" s="11" t="str">
        <f>IF(D2098&lt;&gt;"",IF(COUNTIF('USPTO TMs'!A:A,D2098)&gt;0,"Yes","No"),"")</f>
        <v/>
      </c>
      <c r="C2098" s="11"/>
      <c r="D2098" s="11"/>
      <c r="E2098" s="11"/>
      <c r="F2098" s="11"/>
      <c r="G2098" s="11"/>
      <c r="H2098" s="11"/>
      <c r="I2098" s="15"/>
    </row>
    <row r="2099" spans="1:9" ht="16.5">
      <c r="A2099" s="10" t="b">
        <v>0</v>
      </c>
      <c r="B2099" s="11" t="str">
        <f>IF(D2099&lt;&gt;"",IF(COUNTIF('USPTO TMs'!A:A,D2099)&gt;0,"Yes","No"),"")</f>
        <v/>
      </c>
      <c r="C2099" s="11"/>
      <c r="D2099" s="11"/>
      <c r="E2099" s="11"/>
      <c r="F2099" s="11"/>
      <c r="G2099" s="11"/>
      <c r="H2099" s="11"/>
      <c r="I2099" s="15"/>
    </row>
    <row r="2100" spans="1:9" ht="16.5">
      <c r="A2100" s="10" t="b">
        <v>0</v>
      </c>
      <c r="B2100" s="11" t="str">
        <f>IF(D2100&lt;&gt;"",IF(COUNTIF('USPTO TMs'!A:A,D2100)&gt;0,"Yes","No"),"")</f>
        <v/>
      </c>
      <c r="C2100" s="11"/>
      <c r="D2100" s="11"/>
      <c r="E2100" s="11"/>
      <c r="F2100" s="11"/>
      <c r="G2100" s="11"/>
      <c r="H2100" s="11"/>
      <c r="I2100" s="15"/>
    </row>
    <row r="2101" spans="1:9" ht="16.5">
      <c r="A2101" s="10" t="b">
        <v>0</v>
      </c>
      <c r="B2101" s="11" t="str">
        <f>IF(D2101&lt;&gt;"",IF(COUNTIF('USPTO TMs'!A:A,D2101)&gt;0,"Yes","No"),"")</f>
        <v/>
      </c>
      <c r="C2101" s="11"/>
      <c r="D2101" s="11"/>
      <c r="E2101" s="11"/>
      <c r="F2101" s="11"/>
      <c r="G2101" s="11"/>
      <c r="H2101" s="11"/>
      <c r="I2101" s="15"/>
    </row>
    <row r="2102" spans="1:9" ht="16.5">
      <c r="A2102" s="10" t="b">
        <v>0</v>
      </c>
      <c r="B2102" s="11" t="str">
        <f>IF(D2102&lt;&gt;"",IF(COUNTIF('USPTO TMs'!A:A,D2102)&gt;0,"Yes","No"),"")</f>
        <v/>
      </c>
      <c r="C2102" s="11"/>
      <c r="D2102" s="11"/>
      <c r="E2102" s="11"/>
      <c r="F2102" s="11"/>
      <c r="G2102" s="11"/>
      <c r="H2102" s="11"/>
      <c r="I2102" s="15"/>
    </row>
    <row r="2103" spans="1:9" ht="16.5">
      <c r="A2103" s="10" t="b">
        <v>0</v>
      </c>
      <c r="B2103" s="11" t="str">
        <f>IF(D2103&lt;&gt;"",IF(COUNTIF('USPTO TMs'!A:A,D2103)&gt;0,"Yes","No"),"")</f>
        <v/>
      </c>
      <c r="C2103" s="11"/>
      <c r="D2103" s="11"/>
      <c r="E2103" s="11"/>
      <c r="F2103" s="11"/>
      <c r="G2103" s="11"/>
      <c r="H2103" s="11"/>
      <c r="I2103" s="15"/>
    </row>
    <row r="2104" spans="1:9" ht="16.5">
      <c r="A2104" s="10" t="b">
        <v>0</v>
      </c>
      <c r="B2104" s="11" t="str">
        <f>IF(D2104&lt;&gt;"",IF(COUNTIF('USPTO TMs'!A:A,D2104)&gt;0,"Yes","No"),"")</f>
        <v/>
      </c>
      <c r="C2104" s="11"/>
      <c r="D2104" s="11"/>
      <c r="E2104" s="11"/>
      <c r="F2104" s="11"/>
      <c r="G2104" s="11"/>
      <c r="H2104" s="11"/>
      <c r="I2104" s="15"/>
    </row>
    <row r="2105" spans="1:9" ht="16.5">
      <c r="A2105" s="10" t="b">
        <v>0</v>
      </c>
      <c r="B2105" s="11" t="str">
        <f>IF(D2105&lt;&gt;"",IF(COUNTIF('USPTO TMs'!A:A,D2105)&gt;0,"Yes","No"),"")</f>
        <v/>
      </c>
      <c r="C2105" s="11"/>
      <c r="D2105" s="11"/>
      <c r="E2105" s="11"/>
      <c r="F2105" s="11"/>
      <c r="G2105" s="11"/>
      <c r="H2105" s="11"/>
      <c r="I2105" s="15"/>
    </row>
    <row r="2106" spans="1:9" ht="16.5">
      <c r="A2106" s="10" t="b">
        <v>0</v>
      </c>
      <c r="B2106" s="11" t="str">
        <f>IF(D2106&lt;&gt;"",IF(COUNTIF('USPTO TMs'!A:A,D2106)&gt;0,"Yes","No"),"")</f>
        <v/>
      </c>
      <c r="C2106" s="11"/>
      <c r="D2106" s="11"/>
      <c r="E2106" s="11"/>
      <c r="F2106" s="11"/>
      <c r="G2106" s="11"/>
      <c r="H2106" s="11"/>
      <c r="I2106" s="15"/>
    </row>
    <row r="2107" spans="1:9" ht="16.5">
      <c r="A2107" s="10" t="b">
        <v>0</v>
      </c>
      <c r="B2107" s="11" t="str">
        <f>IF(D2107&lt;&gt;"",IF(COUNTIF('USPTO TMs'!A:A,D2107)&gt;0,"Yes","No"),"")</f>
        <v/>
      </c>
      <c r="C2107" s="11"/>
      <c r="D2107" s="11"/>
      <c r="E2107" s="11"/>
      <c r="F2107" s="11"/>
      <c r="G2107" s="11"/>
      <c r="H2107" s="11"/>
      <c r="I2107" s="15"/>
    </row>
    <row r="2108" spans="1:9" ht="16.5">
      <c r="A2108" s="10" t="b">
        <v>0</v>
      </c>
      <c r="B2108" s="11" t="str">
        <f>IF(D2108&lt;&gt;"",IF(COUNTIF('USPTO TMs'!A:A,D2108)&gt;0,"Yes","No"),"")</f>
        <v/>
      </c>
      <c r="C2108" s="11"/>
      <c r="D2108" s="11"/>
      <c r="E2108" s="11"/>
      <c r="F2108" s="11"/>
      <c r="G2108" s="11"/>
      <c r="H2108" s="11"/>
      <c r="I2108" s="15"/>
    </row>
    <row r="2109" spans="1:9" ht="16.5">
      <c r="A2109" s="10" t="b">
        <v>0</v>
      </c>
      <c r="B2109" s="11" t="str">
        <f>IF(D2109&lt;&gt;"",IF(COUNTIF('USPTO TMs'!A:A,D2109)&gt;0,"Yes","No"),"")</f>
        <v/>
      </c>
      <c r="C2109" s="11"/>
      <c r="D2109" s="11"/>
      <c r="E2109" s="11"/>
      <c r="F2109" s="11"/>
      <c r="G2109" s="11"/>
      <c r="H2109" s="11"/>
      <c r="I2109" s="15"/>
    </row>
    <row r="2110" spans="1:9" ht="16.5">
      <c r="A2110" s="10" t="b">
        <v>0</v>
      </c>
      <c r="B2110" s="11" t="str">
        <f>IF(D2110&lt;&gt;"",IF(COUNTIF('USPTO TMs'!A:A,D2110)&gt;0,"Yes","No"),"")</f>
        <v/>
      </c>
      <c r="C2110" s="11"/>
      <c r="D2110" s="11"/>
      <c r="E2110" s="11"/>
      <c r="F2110" s="11"/>
      <c r="G2110" s="11"/>
      <c r="H2110" s="11"/>
      <c r="I2110" s="15"/>
    </row>
    <row r="2111" spans="1:9" ht="16.5">
      <c r="A2111" s="10" t="b">
        <v>0</v>
      </c>
      <c r="B2111" s="11" t="str">
        <f>IF(D2111&lt;&gt;"",IF(COUNTIF('USPTO TMs'!A:A,D2111)&gt;0,"Yes","No"),"")</f>
        <v/>
      </c>
      <c r="C2111" s="11"/>
      <c r="D2111" s="11"/>
      <c r="E2111" s="11"/>
      <c r="F2111" s="11"/>
      <c r="G2111" s="11"/>
      <c r="H2111" s="11"/>
      <c r="I2111" s="15"/>
    </row>
    <row r="2112" spans="1:9" ht="16.5">
      <c r="A2112" s="10" t="b">
        <v>0</v>
      </c>
      <c r="B2112" s="11" t="str">
        <f>IF(D2112&lt;&gt;"",IF(COUNTIF('USPTO TMs'!A:A,D2112)&gt;0,"Yes","No"),"")</f>
        <v/>
      </c>
      <c r="C2112" s="11"/>
      <c r="D2112" s="11"/>
      <c r="E2112" s="11"/>
      <c r="F2112" s="11"/>
      <c r="G2112" s="11"/>
      <c r="H2112" s="11"/>
      <c r="I2112" s="15"/>
    </row>
    <row r="2113" spans="1:9" ht="16.5">
      <c r="A2113" s="10" t="b">
        <v>0</v>
      </c>
      <c r="B2113" s="11" t="str">
        <f>IF(D2113&lt;&gt;"",IF(COUNTIF('USPTO TMs'!A:A,D2113)&gt;0,"Yes","No"),"")</f>
        <v/>
      </c>
      <c r="C2113" s="11"/>
      <c r="D2113" s="11"/>
      <c r="E2113" s="11"/>
      <c r="F2113" s="11"/>
      <c r="G2113" s="11"/>
      <c r="H2113" s="11"/>
      <c r="I2113" s="15"/>
    </row>
    <row r="2114" spans="1:9" ht="16.5">
      <c r="A2114" s="10" t="b">
        <v>0</v>
      </c>
      <c r="B2114" s="11" t="str">
        <f>IF(D2114&lt;&gt;"",IF(COUNTIF('USPTO TMs'!A:A,D2114)&gt;0,"Yes","No"),"")</f>
        <v/>
      </c>
      <c r="C2114" s="11"/>
      <c r="D2114" s="11"/>
      <c r="E2114" s="11"/>
      <c r="F2114" s="11"/>
      <c r="G2114" s="11"/>
      <c r="H2114" s="11"/>
      <c r="I2114" s="15"/>
    </row>
    <row r="2115" spans="1:9" ht="16.5">
      <c r="A2115" s="10" t="b">
        <v>0</v>
      </c>
      <c r="B2115" s="11" t="str">
        <f>IF(D2115&lt;&gt;"",IF(COUNTIF('USPTO TMs'!A:A,D2115)&gt;0,"Yes","No"),"")</f>
        <v/>
      </c>
      <c r="C2115" s="11"/>
      <c r="D2115" s="11"/>
      <c r="E2115" s="11"/>
      <c r="F2115" s="11"/>
      <c r="G2115" s="11"/>
      <c r="H2115" s="11"/>
      <c r="I2115" s="15"/>
    </row>
    <row r="2116" spans="1:9" ht="16.5">
      <c r="A2116" s="10" t="b">
        <v>0</v>
      </c>
      <c r="B2116" s="11" t="str">
        <f>IF(D2116&lt;&gt;"",IF(COUNTIF('USPTO TMs'!A:A,D2116)&gt;0,"Yes","No"),"")</f>
        <v/>
      </c>
      <c r="C2116" s="11"/>
      <c r="D2116" s="11"/>
      <c r="E2116" s="11"/>
      <c r="F2116" s="11"/>
      <c r="G2116" s="11"/>
      <c r="H2116" s="11"/>
      <c r="I2116" s="15"/>
    </row>
    <row r="2117" spans="1:9" ht="16.5">
      <c r="A2117" s="10" t="b">
        <v>0</v>
      </c>
      <c r="B2117" s="11" t="str">
        <f>IF(D2117&lt;&gt;"",IF(COUNTIF('USPTO TMs'!A:A,D2117)&gt;0,"Yes","No"),"")</f>
        <v/>
      </c>
      <c r="C2117" s="11"/>
      <c r="D2117" s="11"/>
      <c r="E2117" s="11"/>
      <c r="F2117" s="11"/>
      <c r="G2117" s="11"/>
      <c r="H2117" s="11"/>
      <c r="I2117" s="15"/>
    </row>
    <row r="2118" spans="1:9" ht="16.5">
      <c r="A2118" s="10" t="b">
        <v>0</v>
      </c>
      <c r="B2118" s="11" t="str">
        <f>IF(D2118&lt;&gt;"",IF(COUNTIF('USPTO TMs'!A:A,D2118)&gt;0,"Yes","No"),"")</f>
        <v/>
      </c>
      <c r="C2118" s="11"/>
      <c r="D2118" s="11"/>
      <c r="E2118" s="11"/>
      <c r="F2118" s="11"/>
      <c r="G2118" s="11"/>
      <c r="H2118" s="11"/>
      <c r="I2118" s="15"/>
    </row>
    <row r="2119" spans="1:9" ht="16.5">
      <c r="A2119" s="10" t="b">
        <v>0</v>
      </c>
      <c r="B2119" s="11" t="str">
        <f>IF(D2119&lt;&gt;"",IF(COUNTIF('USPTO TMs'!A:A,D2119)&gt;0,"Yes","No"),"")</f>
        <v/>
      </c>
      <c r="C2119" s="11"/>
      <c r="D2119" s="11"/>
      <c r="E2119" s="11"/>
      <c r="F2119" s="11"/>
      <c r="G2119" s="11"/>
      <c r="H2119" s="11"/>
      <c r="I2119" s="15"/>
    </row>
    <row r="2120" spans="1:9" ht="16.5">
      <c r="A2120" s="10" t="b">
        <v>0</v>
      </c>
      <c r="B2120" s="11" t="str">
        <f>IF(D2120&lt;&gt;"",IF(COUNTIF('USPTO TMs'!A:A,D2120)&gt;0,"Yes","No"),"")</f>
        <v/>
      </c>
      <c r="C2120" s="11"/>
      <c r="D2120" s="11"/>
      <c r="E2120" s="11"/>
      <c r="F2120" s="11"/>
      <c r="G2120" s="11"/>
      <c r="H2120" s="11"/>
      <c r="I2120" s="15"/>
    </row>
    <row r="2121" spans="1:9" ht="16.5">
      <c r="A2121" s="10" t="b">
        <v>0</v>
      </c>
      <c r="B2121" s="11" t="str">
        <f>IF(D2121&lt;&gt;"",IF(COUNTIF('USPTO TMs'!A:A,D2121)&gt;0,"Yes","No"),"")</f>
        <v/>
      </c>
      <c r="C2121" s="11"/>
      <c r="D2121" s="11"/>
      <c r="E2121" s="11"/>
      <c r="F2121" s="11"/>
      <c r="G2121" s="11"/>
      <c r="H2121" s="11"/>
      <c r="I2121" s="15"/>
    </row>
    <row r="2122" spans="1:9" ht="16.5">
      <c r="A2122" s="10" t="b">
        <v>0</v>
      </c>
      <c r="B2122" s="11" t="str">
        <f>IF(D2122&lt;&gt;"",IF(COUNTIF('USPTO TMs'!A:A,D2122)&gt;0,"Yes","No"),"")</f>
        <v/>
      </c>
      <c r="C2122" s="11"/>
      <c r="D2122" s="11"/>
      <c r="E2122" s="11"/>
      <c r="F2122" s="11"/>
      <c r="G2122" s="11"/>
      <c r="H2122" s="11"/>
      <c r="I2122" s="15"/>
    </row>
    <row r="2123" spans="1:9" ht="16.5">
      <c r="A2123" s="10" t="b">
        <v>0</v>
      </c>
      <c r="B2123" s="11" t="str">
        <f>IF(D2123&lt;&gt;"",IF(COUNTIF('USPTO TMs'!A:A,D2123)&gt;0,"Yes","No"),"")</f>
        <v/>
      </c>
      <c r="C2123" s="11"/>
      <c r="D2123" s="11"/>
      <c r="E2123" s="11"/>
      <c r="F2123" s="11"/>
      <c r="G2123" s="11"/>
      <c r="H2123" s="11"/>
      <c r="I2123" s="15"/>
    </row>
    <row r="2124" spans="1:9" ht="16.5">
      <c r="A2124" s="10" t="b">
        <v>0</v>
      </c>
      <c r="B2124" s="11" t="str">
        <f>IF(D2124&lt;&gt;"",IF(COUNTIF('USPTO TMs'!A:A,D2124)&gt;0,"Yes","No"),"")</f>
        <v/>
      </c>
      <c r="C2124" s="11"/>
      <c r="D2124" s="11"/>
      <c r="E2124" s="11"/>
      <c r="F2124" s="11"/>
      <c r="G2124" s="11"/>
      <c r="H2124" s="11"/>
      <c r="I2124" s="15"/>
    </row>
    <row r="2125" spans="1:9" ht="16.5">
      <c r="A2125" s="10" t="b">
        <v>0</v>
      </c>
      <c r="B2125" s="11" t="str">
        <f>IF(D2125&lt;&gt;"",IF(COUNTIF('USPTO TMs'!A:A,D2125)&gt;0,"Yes","No"),"")</f>
        <v/>
      </c>
      <c r="C2125" s="11"/>
      <c r="D2125" s="11"/>
      <c r="E2125" s="11"/>
      <c r="F2125" s="11"/>
      <c r="G2125" s="11"/>
      <c r="H2125" s="11"/>
      <c r="I2125" s="15"/>
    </row>
    <row r="2126" spans="1:9" ht="16.5">
      <c r="A2126" s="10" t="b">
        <v>0</v>
      </c>
      <c r="B2126" s="11" t="str">
        <f>IF(D2126&lt;&gt;"",IF(COUNTIF('USPTO TMs'!A:A,D2126)&gt;0,"Yes","No"),"")</f>
        <v/>
      </c>
      <c r="C2126" s="11"/>
      <c r="D2126" s="11"/>
      <c r="E2126" s="11"/>
      <c r="F2126" s="11"/>
      <c r="G2126" s="11"/>
      <c r="H2126" s="11"/>
      <c r="I2126" s="15"/>
    </row>
    <row r="2127" spans="1:9" ht="16.5">
      <c r="A2127" s="10" t="b">
        <v>0</v>
      </c>
      <c r="B2127" s="11" t="str">
        <f>IF(D2127&lt;&gt;"",IF(COUNTIF('USPTO TMs'!A:A,D2127)&gt;0,"Yes","No"),"")</f>
        <v/>
      </c>
      <c r="C2127" s="11"/>
      <c r="D2127" s="11"/>
      <c r="E2127" s="11"/>
      <c r="F2127" s="11"/>
      <c r="G2127" s="11"/>
      <c r="H2127" s="11"/>
      <c r="I2127" s="15"/>
    </row>
    <row r="2128" spans="1:9" ht="16.5">
      <c r="A2128" s="10" t="b">
        <v>0</v>
      </c>
      <c r="B2128" s="11" t="str">
        <f>IF(D2128&lt;&gt;"",IF(COUNTIF('USPTO TMs'!A:A,D2128)&gt;0,"Yes","No"),"")</f>
        <v/>
      </c>
      <c r="C2128" s="11"/>
      <c r="D2128" s="11"/>
      <c r="E2128" s="11"/>
      <c r="F2128" s="11"/>
      <c r="G2128" s="11"/>
      <c r="H2128" s="11"/>
      <c r="I2128" s="15"/>
    </row>
    <row r="2129" spans="1:9" ht="16.5">
      <c r="A2129" s="10" t="b">
        <v>0</v>
      </c>
      <c r="B2129" s="11" t="str">
        <f>IF(D2129&lt;&gt;"",IF(COUNTIF('USPTO TMs'!A:A,D2129)&gt;0,"Yes","No"),"")</f>
        <v/>
      </c>
      <c r="C2129" s="11"/>
      <c r="D2129" s="11"/>
      <c r="E2129" s="11"/>
      <c r="F2129" s="11"/>
      <c r="G2129" s="11"/>
      <c r="H2129" s="11"/>
      <c r="I2129" s="15"/>
    </row>
    <row r="2130" spans="1:9" ht="16.5">
      <c r="A2130" s="10" t="b">
        <v>0</v>
      </c>
      <c r="B2130" s="11" t="str">
        <f>IF(D2130&lt;&gt;"",IF(COUNTIF('USPTO TMs'!A:A,D2130)&gt;0,"Yes","No"),"")</f>
        <v/>
      </c>
      <c r="C2130" s="11"/>
      <c r="D2130" s="11"/>
      <c r="E2130" s="11"/>
      <c r="F2130" s="11"/>
      <c r="G2130" s="11"/>
      <c r="H2130" s="11"/>
      <c r="I2130" s="15"/>
    </row>
    <row r="2131" spans="1:9" ht="16.5">
      <c r="A2131" s="10" t="b">
        <v>0</v>
      </c>
      <c r="B2131" s="11" t="str">
        <f>IF(D2131&lt;&gt;"",IF(COUNTIF('USPTO TMs'!A:A,D2131)&gt;0,"Yes","No"),"")</f>
        <v/>
      </c>
      <c r="C2131" s="11"/>
      <c r="D2131" s="11"/>
      <c r="E2131" s="11"/>
      <c r="F2131" s="11"/>
      <c r="G2131" s="11"/>
      <c r="H2131" s="11"/>
      <c r="I2131" s="15"/>
    </row>
    <row r="2132" spans="1:9" ht="16.5">
      <c r="A2132" s="10" t="b">
        <v>0</v>
      </c>
      <c r="B2132" s="11" t="str">
        <f>IF(D2132&lt;&gt;"",IF(COUNTIF('USPTO TMs'!A:A,D2132)&gt;0,"Yes","No"),"")</f>
        <v/>
      </c>
      <c r="C2132" s="11"/>
      <c r="D2132" s="11"/>
      <c r="E2132" s="11"/>
      <c r="F2132" s="11"/>
      <c r="G2132" s="11"/>
      <c r="H2132" s="11"/>
      <c r="I2132" s="15"/>
    </row>
    <row r="2133" spans="1:9" ht="16.5">
      <c r="A2133" s="10" t="b">
        <v>0</v>
      </c>
      <c r="B2133" s="11" t="str">
        <f>IF(D2133&lt;&gt;"",IF(COUNTIF('USPTO TMs'!A:A,D2133)&gt;0,"Yes","No"),"")</f>
        <v/>
      </c>
      <c r="C2133" s="11"/>
      <c r="D2133" s="11"/>
      <c r="E2133" s="11"/>
      <c r="F2133" s="11"/>
      <c r="G2133" s="11"/>
      <c r="H2133" s="11"/>
      <c r="I2133" s="15"/>
    </row>
    <row r="2134" spans="1:9" ht="16.5">
      <c r="A2134" s="10" t="b">
        <v>0</v>
      </c>
      <c r="B2134" s="11" t="str">
        <f>IF(D2134&lt;&gt;"",IF(COUNTIF('USPTO TMs'!A:A,D2134)&gt;0,"Yes","No"),"")</f>
        <v/>
      </c>
      <c r="C2134" s="11"/>
      <c r="D2134" s="11"/>
      <c r="E2134" s="11"/>
      <c r="F2134" s="11"/>
      <c r="G2134" s="11"/>
      <c r="H2134" s="11"/>
      <c r="I2134" s="15"/>
    </row>
    <row r="2135" spans="1:9" ht="16.5">
      <c r="A2135" s="10" t="b">
        <v>0</v>
      </c>
      <c r="B2135" s="11" t="str">
        <f>IF(D2135&lt;&gt;"",IF(COUNTIF('USPTO TMs'!A:A,D2135)&gt;0,"Yes","No"),"")</f>
        <v/>
      </c>
      <c r="C2135" s="11"/>
      <c r="D2135" s="11"/>
      <c r="E2135" s="11"/>
      <c r="F2135" s="11"/>
      <c r="G2135" s="11"/>
      <c r="H2135" s="11"/>
      <c r="I2135" s="15"/>
    </row>
    <row r="2136" spans="1:9" ht="16.5">
      <c r="A2136" s="10" t="b">
        <v>0</v>
      </c>
      <c r="B2136" s="11" t="str">
        <f>IF(D2136&lt;&gt;"",IF(COUNTIF('USPTO TMs'!A:A,D2136)&gt;0,"Yes","No"),"")</f>
        <v/>
      </c>
      <c r="C2136" s="11"/>
      <c r="D2136" s="11"/>
      <c r="E2136" s="11"/>
      <c r="F2136" s="11"/>
      <c r="G2136" s="11"/>
      <c r="H2136" s="11"/>
      <c r="I2136" s="15"/>
    </row>
    <row r="2137" spans="1:9" ht="16.5">
      <c r="A2137" s="10" t="b">
        <v>0</v>
      </c>
      <c r="B2137" s="11" t="str">
        <f>IF(D2137&lt;&gt;"",IF(COUNTIF('USPTO TMs'!A:A,D2137)&gt;0,"Yes","No"),"")</f>
        <v/>
      </c>
      <c r="C2137" s="11"/>
      <c r="D2137" s="11"/>
      <c r="E2137" s="11"/>
      <c r="F2137" s="11"/>
      <c r="G2137" s="11"/>
      <c r="H2137" s="11"/>
      <c r="I2137" s="15"/>
    </row>
    <row r="2138" spans="1:9" ht="16.5">
      <c r="A2138" s="10" t="b">
        <v>0</v>
      </c>
      <c r="B2138" s="11" t="str">
        <f>IF(D2138&lt;&gt;"",IF(COUNTIF('USPTO TMs'!A:A,D2138)&gt;0,"Yes","No"),"")</f>
        <v/>
      </c>
      <c r="C2138" s="11"/>
      <c r="D2138" s="11"/>
      <c r="E2138" s="11"/>
      <c r="F2138" s="11"/>
      <c r="G2138" s="11"/>
      <c r="H2138" s="11"/>
      <c r="I2138" s="15"/>
    </row>
    <row r="2139" spans="1:9" ht="16.5">
      <c r="A2139" s="10" t="b">
        <v>0</v>
      </c>
      <c r="B2139" s="11" t="str">
        <f>IF(D2139&lt;&gt;"",IF(COUNTIF('USPTO TMs'!A:A,D2139)&gt;0,"Yes","No"),"")</f>
        <v/>
      </c>
      <c r="C2139" s="11"/>
      <c r="D2139" s="11"/>
      <c r="E2139" s="11"/>
      <c r="F2139" s="11"/>
      <c r="G2139" s="11"/>
      <c r="H2139" s="11"/>
      <c r="I2139" s="15"/>
    </row>
    <row r="2140" spans="1:9" ht="16.5">
      <c r="A2140" s="10" t="b">
        <v>0</v>
      </c>
      <c r="B2140" s="11" t="str">
        <f>IF(D2140&lt;&gt;"",IF(COUNTIF('USPTO TMs'!A:A,D2140)&gt;0,"Yes","No"),"")</f>
        <v/>
      </c>
      <c r="C2140" s="11"/>
      <c r="D2140" s="11"/>
      <c r="E2140" s="11"/>
      <c r="F2140" s="11"/>
      <c r="G2140" s="11"/>
      <c r="H2140" s="11"/>
      <c r="I2140" s="15"/>
    </row>
    <row r="2141" spans="1:9" ht="16.5">
      <c r="A2141" s="10" t="b">
        <v>0</v>
      </c>
      <c r="B2141" s="11" t="str">
        <f>IF(D2141&lt;&gt;"",IF(COUNTIF('USPTO TMs'!A:A,D2141)&gt;0,"Yes","No"),"")</f>
        <v/>
      </c>
      <c r="C2141" s="11"/>
      <c r="D2141" s="11"/>
      <c r="E2141" s="11"/>
      <c r="F2141" s="11"/>
      <c r="G2141" s="11"/>
      <c r="H2141" s="11"/>
      <c r="I2141" s="15"/>
    </row>
    <row r="2142" spans="1:9" ht="16.5">
      <c r="A2142" s="10" t="b">
        <v>0</v>
      </c>
      <c r="B2142" s="11" t="str">
        <f>IF(D2142&lt;&gt;"",IF(COUNTIF('USPTO TMs'!A:A,D2142)&gt;0,"Yes","No"),"")</f>
        <v/>
      </c>
      <c r="C2142" s="11"/>
      <c r="D2142" s="11"/>
      <c r="E2142" s="11"/>
      <c r="F2142" s="11"/>
      <c r="G2142" s="11"/>
      <c r="H2142" s="11"/>
      <c r="I2142" s="15"/>
    </row>
    <row r="2143" spans="1:9" ht="16.5">
      <c r="A2143" s="10" t="b">
        <v>0</v>
      </c>
      <c r="B2143" s="11" t="str">
        <f>IF(D2143&lt;&gt;"",IF(COUNTIF('USPTO TMs'!A:A,D2143)&gt;0,"Yes","No"),"")</f>
        <v/>
      </c>
      <c r="C2143" s="11"/>
      <c r="D2143" s="11"/>
      <c r="E2143" s="11"/>
      <c r="F2143" s="11"/>
      <c r="G2143" s="11"/>
      <c r="H2143" s="11"/>
      <c r="I2143" s="15"/>
    </row>
    <row r="2144" spans="1:9" ht="16.5">
      <c r="A2144" s="10" t="b">
        <v>0</v>
      </c>
      <c r="B2144" s="11" t="str">
        <f>IF(D2144&lt;&gt;"",IF(COUNTIF('USPTO TMs'!A:A,D2144)&gt;0,"Yes","No"),"")</f>
        <v/>
      </c>
      <c r="C2144" s="11"/>
      <c r="D2144" s="11"/>
      <c r="E2144" s="11"/>
      <c r="F2144" s="11"/>
      <c r="G2144" s="11"/>
      <c r="H2144" s="11"/>
      <c r="I2144" s="15"/>
    </row>
    <row r="2145" spans="1:9" ht="16.5">
      <c r="A2145" s="10" t="b">
        <v>0</v>
      </c>
      <c r="B2145" s="11" t="str">
        <f>IF(D2145&lt;&gt;"",IF(COUNTIF('USPTO TMs'!A:A,D2145)&gt;0,"Yes","No"),"")</f>
        <v/>
      </c>
      <c r="C2145" s="11"/>
      <c r="D2145" s="11"/>
      <c r="E2145" s="11"/>
      <c r="F2145" s="11"/>
      <c r="G2145" s="11"/>
      <c r="H2145" s="11"/>
      <c r="I2145" s="15"/>
    </row>
    <row r="2146" spans="1:9" ht="16.5">
      <c r="A2146" s="10" t="b">
        <v>0</v>
      </c>
      <c r="B2146" s="11" t="str">
        <f>IF(D2146&lt;&gt;"",IF(COUNTIF('USPTO TMs'!A:A,D2146)&gt;0,"Yes","No"),"")</f>
        <v/>
      </c>
      <c r="C2146" s="11"/>
      <c r="D2146" s="11"/>
      <c r="E2146" s="11"/>
      <c r="F2146" s="11"/>
      <c r="G2146" s="11"/>
      <c r="H2146" s="11"/>
      <c r="I2146" s="15"/>
    </row>
    <row r="2147" spans="1:9" ht="16.5">
      <c r="A2147" s="10" t="b">
        <v>0</v>
      </c>
      <c r="B2147" s="11" t="str">
        <f>IF(D2147&lt;&gt;"",IF(COUNTIF('USPTO TMs'!A:A,D2147)&gt;0,"Yes","No"),"")</f>
        <v/>
      </c>
      <c r="C2147" s="11"/>
      <c r="D2147" s="11"/>
      <c r="E2147" s="11"/>
      <c r="F2147" s="11"/>
      <c r="G2147" s="11"/>
      <c r="H2147" s="11"/>
      <c r="I2147" s="15"/>
    </row>
    <row r="2148" spans="1:9" ht="16.5">
      <c r="A2148" s="10" t="b">
        <v>0</v>
      </c>
      <c r="B2148" s="11" t="str">
        <f>IF(D2148&lt;&gt;"",IF(COUNTIF('USPTO TMs'!A:A,D2148)&gt;0,"Yes","No"),"")</f>
        <v/>
      </c>
      <c r="C2148" s="11"/>
      <c r="D2148" s="11"/>
      <c r="E2148" s="11"/>
      <c r="F2148" s="11"/>
      <c r="G2148" s="11"/>
      <c r="H2148" s="11"/>
      <c r="I2148" s="15"/>
    </row>
    <row r="2149" spans="1:9" ht="16.5">
      <c r="A2149" s="10" t="b">
        <v>0</v>
      </c>
      <c r="B2149" s="11" t="str">
        <f>IF(D2149&lt;&gt;"",IF(COUNTIF('USPTO TMs'!A:A,D2149)&gt;0,"Yes","No"),"")</f>
        <v/>
      </c>
      <c r="C2149" s="11"/>
      <c r="D2149" s="11"/>
      <c r="E2149" s="11"/>
      <c r="F2149" s="11"/>
      <c r="G2149" s="11"/>
      <c r="H2149" s="11"/>
      <c r="I2149" s="15"/>
    </row>
    <row r="2150" spans="1:9" ht="16.5">
      <c r="A2150" s="10" t="b">
        <v>0</v>
      </c>
      <c r="B2150" s="11" t="str">
        <f>IF(D2150&lt;&gt;"",IF(COUNTIF('USPTO TMs'!A:A,D2150)&gt;0,"Yes","No"),"")</f>
        <v/>
      </c>
      <c r="C2150" s="11"/>
      <c r="D2150" s="11"/>
      <c r="E2150" s="11"/>
      <c r="F2150" s="11"/>
      <c r="G2150" s="11"/>
      <c r="H2150" s="11"/>
      <c r="I2150" s="15"/>
    </row>
    <row r="2151" spans="1:9" ht="16.5">
      <c r="A2151" s="10" t="b">
        <v>0</v>
      </c>
      <c r="B2151" s="11" t="str">
        <f>IF(D2151&lt;&gt;"",IF(COUNTIF('USPTO TMs'!A:A,D2151)&gt;0,"Yes","No"),"")</f>
        <v/>
      </c>
      <c r="C2151" s="11"/>
      <c r="D2151" s="11"/>
      <c r="E2151" s="11"/>
      <c r="F2151" s="11"/>
      <c r="G2151" s="11"/>
      <c r="H2151" s="11"/>
      <c r="I2151" s="15"/>
    </row>
    <row r="2152" spans="1:9" ht="16.5">
      <c r="A2152" s="10" t="b">
        <v>0</v>
      </c>
      <c r="B2152" s="11" t="str">
        <f>IF(D2152&lt;&gt;"",IF(COUNTIF('USPTO TMs'!A:A,D2152)&gt;0,"Yes","No"),"")</f>
        <v/>
      </c>
      <c r="C2152" s="11"/>
      <c r="D2152" s="11"/>
      <c r="E2152" s="11"/>
      <c r="F2152" s="11"/>
      <c r="G2152" s="11"/>
      <c r="H2152" s="11"/>
      <c r="I2152" s="15"/>
    </row>
    <row r="2153" spans="1:9" ht="16.5">
      <c r="A2153" s="10" t="b">
        <v>0</v>
      </c>
      <c r="B2153" s="11" t="str">
        <f>IF(D2153&lt;&gt;"",IF(COUNTIF('USPTO TMs'!A:A,D2153)&gt;0,"Yes","No"),"")</f>
        <v/>
      </c>
      <c r="C2153" s="11"/>
      <c r="D2153" s="11"/>
      <c r="E2153" s="11"/>
      <c r="F2153" s="11"/>
      <c r="G2153" s="11"/>
      <c r="H2153" s="11"/>
      <c r="I2153" s="15"/>
    </row>
    <row r="2154" spans="1:9" ht="16.5">
      <c r="A2154" s="10" t="b">
        <v>0</v>
      </c>
      <c r="B2154" s="11" t="str">
        <f>IF(D2154&lt;&gt;"",IF(COUNTIF('USPTO TMs'!A:A,D2154)&gt;0,"Yes","No"),"")</f>
        <v/>
      </c>
      <c r="C2154" s="11"/>
      <c r="D2154" s="11"/>
      <c r="E2154" s="11"/>
      <c r="F2154" s="11"/>
      <c r="G2154" s="11"/>
      <c r="H2154" s="11"/>
      <c r="I2154" s="15"/>
    </row>
    <row r="2155" spans="1:9" ht="16.5">
      <c r="A2155" s="10" t="b">
        <v>0</v>
      </c>
      <c r="B2155" s="11" t="str">
        <f>IF(D2155&lt;&gt;"",IF(COUNTIF('USPTO TMs'!A:A,D2155)&gt;0,"Yes","No"),"")</f>
        <v/>
      </c>
      <c r="C2155" s="11"/>
      <c r="D2155" s="11"/>
      <c r="E2155" s="11"/>
      <c r="F2155" s="11"/>
      <c r="G2155" s="11"/>
      <c r="H2155" s="11"/>
      <c r="I2155" s="15"/>
    </row>
    <row r="2156" spans="1:9" ht="16.5">
      <c r="A2156" s="10" t="b">
        <v>0</v>
      </c>
      <c r="B2156" s="11" t="str">
        <f>IF(D2156&lt;&gt;"",IF(COUNTIF('USPTO TMs'!A:A,D2156)&gt;0,"Yes","No"),"")</f>
        <v/>
      </c>
      <c r="C2156" s="11"/>
      <c r="D2156" s="11"/>
      <c r="E2156" s="11"/>
      <c r="F2156" s="11"/>
      <c r="G2156" s="11"/>
      <c r="H2156" s="11"/>
      <c r="I2156" s="15"/>
    </row>
    <row r="2157" spans="1:9" ht="16.5">
      <c r="A2157" s="10" t="b">
        <v>0</v>
      </c>
      <c r="B2157" s="11" t="str">
        <f>IF(D2157&lt;&gt;"",IF(COUNTIF('USPTO TMs'!A:A,D2157)&gt;0,"Yes","No"),"")</f>
        <v/>
      </c>
      <c r="C2157" s="11"/>
      <c r="D2157" s="11"/>
      <c r="E2157" s="11"/>
      <c r="F2157" s="11"/>
      <c r="G2157" s="11"/>
      <c r="H2157" s="11"/>
      <c r="I2157" s="15"/>
    </row>
    <row r="2158" spans="1:9" ht="16.5">
      <c r="A2158" s="10" t="b">
        <v>0</v>
      </c>
      <c r="B2158" s="11" t="str">
        <f>IF(D2158&lt;&gt;"",IF(COUNTIF('USPTO TMs'!A:A,D2158)&gt;0,"Yes","No"),"")</f>
        <v/>
      </c>
      <c r="C2158" s="11"/>
      <c r="D2158" s="11"/>
      <c r="E2158" s="11"/>
      <c r="F2158" s="11"/>
      <c r="G2158" s="11"/>
      <c r="H2158" s="11"/>
      <c r="I2158" s="15"/>
    </row>
    <row r="2159" spans="1:9" ht="16.5">
      <c r="A2159" s="10" t="b">
        <v>0</v>
      </c>
      <c r="B2159" s="11" t="str">
        <f>IF(D2159&lt;&gt;"",IF(COUNTIF('USPTO TMs'!A:A,D2159)&gt;0,"Yes","No"),"")</f>
        <v/>
      </c>
      <c r="C2159" s="11"/>
      <c r="D2159" s="11"/>
      <c r="E2159" s="11"/>
      <c r="F2159" s="11"/>
      <c r="G2159" s="11"/>
      <c r="H2159" s="11"/>
      <c r="I2159" s="15"/>
    </row>
    <row r="2160" spans="1:9" ht="16.5">
      <c r="A2160" s="10" t="b">
        <v>0</v>
      </c>
      <c r="B2160" s="11" t="str">
        <f>IF(D2160&lt;&gt;"",IF(COUNTIF('USPTO TMs'!A:A,D2160)&gt;0,"Yes","No"),"")</f>
        <v/>
      </c>
      <c r="C2160" s="11"/>
      <c r="D2160" s="11"/>
      <c r="E2160" s="11"/>
      <c r="F2160" s="11"/>
      <c r="G2160" s="11"/>
      <c r="H2160" s="11"/>
      <c r="I2160" s="15"/>
    </row>
    <row r="2161" spans="1:9" ht="16.5">
      <c r="A2161" s="10" t="b">
        <v>0</v>
      </c>
      <c r="B2161" s="11" t="str">
        <f>IF(D2161&lt;&gt;"",IF(COUNTIF('USPTO TMs'!A:A,D2161)&gt;0,"Yes","No"),"")</f>
        <v/>
      </c>
      <c r="C2161" s="11"/>
      <c r="D2161" s="11"/>
      <c r="E2161" s="11"/>
      <c r="F2161" s="11"/>
      <c r="G2161" s="11"/>
      <c r="H2161" s="11"/>
      <c r="I2161" s="15"/>
    </row>
    <row r="2162" spans="1:9" ht="16.5">
      <c r="A2162" s="10" t="b">
        <v>0</v>
      </c>
      <c r="B2162" s="11" t="str">
        <f>IF(D2162&lt;&gt;"",IF(COUNTIF('USPTO TMs'!A:A,D2162)&gt;0,"Yes","No"),"")</f>
        <v/>
      </c>
      <c r="C2162" s="11"/>
      <c r="D2162" s="11"/>
      <c r="E2162" s="11"/>
      <c r="F2162" s="11"/>
      <c r="G2162" s="11"/>
      <c r="H2162" s="11"/>
      <c r="I2162" s="15"/>
    </row>
    <row r="2163" spans="1:9" ht="16.5">
      <c r="A2163" s="10" t="b">
        <v>0</v>
      </c>
      <c r="B2163" s="11" t="str">
        <f>IF(D2163&lt;&gt;"",IF(COUNTIF('USPTO TMs'!A:A,D2163)&gt;0,"Yes","No"),"")</f>
        <v/>
      </c>
      <c r="C2163" s="11"/>
      <c r="D2163" s="11"/>
      <c r="E2163" s="11"/>
      <c r="F2163" s="11"/>
      <c r="G2163" s="11"/>
      <c r="H2163" s="11"/>
      <c r="I2163" s="15"/>
    </row>
    <row r="2164" spans="1:9" ht="16.5">
      <c r="A2164" s="10" t="b">
        <v>0</v>
      </c>
      <c r="B2164" s="11" t="str">
        <f>IF(D2164&lt;&gt;"",IF(COUNTIF('USPTO TMs'!A:A,D2164)&gt;0,"Yes","No"),"")</f>
        <v/>
      </c>
      <c r="C2164" s="11"/>
      <c r="D2164" s="11"/>
      <c r="E2164" s="11"/>
      <c r="F2164" s="11"/>
      <c r="G2164" s="11"/>
      <c r="H2164" s="11"/>
      <c r="I2164" s="15"/>
    </row>
    <row r="2165" spans="1:9" ht="16.5">
      <c r="A2165" s="10" t="b">
        <v>0</v>
      </c>
      <c r="B2165" s="11" t="str">
        <f>IF(D2165&lt;&gt;"",IF(COUNTIF('USPTO TMs'!A:A,D2165)&gt;0,"Yes","No"),"")</f>
        <v/>
      </c>
      <c r="C2165" s="11"/>
      <c r="D2165" s="11"/>
      <c r="E2165" s="11"/>
      <c r="F2165" s="11"/>
      <c r="G2165" s="11"/>
      <c r="H2165" s="11"/>
      <c r="I2165" s="15"/>
    </row>
    <row r="2166" spans="1:9" ht="16.5">
      <c r="A2166" s="10" t="b">
        <v>0</v>
      </c>
      <c r="B2166" s="11" t="str">
        <f>IF(D2166&lt;&gt;"",IF(COUNTIF('USPTO TMs'!A:A,D2166)&gt;0,"Yes","No"),"")</f>
        <v/>
      </c>
      <c r="C2166" s="11"/>
      <c r="D2166" s="11"/>
      <c r="E2166" s="11"/>
      <c r="F2166" s="11"/>
      <c r="G2166" s="11"/>
      <c r="H2166" s="11"/>
      <c r="I2166" s="15"/>
    </row>
    <row r="2167" spans="1:9" ht="16.5">
      <c r="A2167" s="10" t="b">
        <v>0</v>
      </c>
      <c r="B2167" s="11" t="str">
        <f>IF(D2167&lt;&gt;"",IF(COUNTIF('USPTO TMs'!A:A,D2167)&gt;0,"Yes","No"),"")</f>
        <v/>
      </c>
      <c r="C2167" s="11"/>
      <c r="D2167" s="11"/>
      <c r="E2167" s="11"/>
      <c r="F2167" s="11"/>
      <c r="G2167" s="11"/>
      <c r="H2167" s="11"/>
      <c r="I2167" s="15"/>
    </row>
    <row r="2168" spans="1:9" ht="16.5">
      <c r="A2168" s="10" t="b">
        <v>0</v>
      </c>
      <c r="B2168" s="11" t="str">
        <f>IF(D2168&lt;&gt;"",IF(COUNTIF('USPTO TMs'!A:A,D2168)&gt;0,"Yes","No"),"")</f>
        <v/>
      </c>
      <c r="C2168" s="11"/>
      <c r="D2168" s="11"/>
      <c r="E2168" s="11"/>
      <c r="F2168" s="11"/>
      <c r="G2168" s="11"/>
      <c r="H2168" s="11"/>
      <c r="I2168" s="15"/>
    </row>
    <row r="2169" spans="1:9" ht="16.5">
      <c r="A2169" s="10" t="b">
        <v>0</v>
      </c>
      <c r="B2169" s="11" t="str">
        <f>IF(D2169&lt;&gt;"",IF(COUNTIF('USPTO TMs'!A:A,D2169)&gt;0,"Yes","No"),"")</f>
        <v/>
      </c>
      <c r="C2169" s="11"/>
      <c r="D2169" s="11"/>
      <c r="E2169" s="11"/>
      <c r="F2169" s="11"/>
      <c r="G2169" s="11"/>
      <c r="H2169" s="11"/>
      <c r="I2169" s="15"/>
    </row>
    <row r="2170" spans="1:9" ht="16.5">
      <c r="A2170" s="10" t="b">
        <v>0</v>
      </c>
      <c r="B2170" s="11" t="str">
        <f>IF(D2170&lt;&gt;"",IF(COUNTIF('USPTO TMs'!A:A,D2170)&gt;0,"Yes","No"),"")</f>
        <v/>
      </c>
      <c r="C2170" s="11"/>
      <c r="D2170" s="11"/>
      <c r="E2170" s="11"/>
      <c r="F2170" s="11"/>
      <c r="G2170" s="11"/>
      <c r="H2170" s="11"/>
      <c r="I2170" s="15"/>
    </row>
    <row r="2171" spans="1:9" ht="16.5">
      <c r="A2171" s="10" t="b">
        <v>0</v>
      </c>
      <c r="B2171" s="11" t="str">
        <f>IF(D2171&lt;&gt;"",IF(COUNTIF('USPTO TMs'!A:A,D2171)&gt;0,"Yes","No"),"")</f>
        <v/>
      </c>
      <c r="C2171" s="11"/>
      <c r="D2171" s="11"/>
      <c r="E2171" s="11"/>
      <c r="F2171" s="11"/>
      <c r="G2171" s="11"/>
      <c r="H2171" s="11"/>
      <c r="I2171" s="15"/>
    </row>
    <row r="2172" spans="1:9" ht="16.5">
      <c r="A2172" s="10" t="b">
        <v>0</v>
      </c>
      <c r="B2172" s="11" t="str">
        <f>IF(D2172&lt;&gt;"",IF(COUNTIF('USPTO TMs'!A:A,D2172)&gt;0,"Yes","No"),"")</f>
        <v/>
      </c>
      <c r="C2172" s="11"/>
      <c r="D2172" s="11"/>
      <c r="E2172" s="11"/>
      <c r="F2172" s="11"/>
      <c r="G2172" s="11"/>
      <c r="H2172" s="11"/>
      <c r="I2172" s="15"/>
    </row>
    <row r="2173" spans="1:9" ht="16.5">
      <c r="A2173" s="10" t="b">
        <v>0</v>
      </c>
      <c r="B2173" s="11" t="str">
        <f>IF(D2173&lt;&gt;"",IF(COUNTIF('USPTO TMs'!A:A,D2173)&gt;0,"Yes","No"),"")</f>
        <v/>
      </c>
      <c r="C2173" s="11"/>
      <c r="D2173" s="11"/>
      <c r="E2173" s="11"/>
      <c r="F2173" s="11"/>
      <c r="G2173" s="11"/>
      <c r="H2173" s="11"/>
      <c r="I2173" s="15"/>
    </row>
    <row r="2174" spans="1:9" ht="16.5">
      <c r="A2174" s="10" t="b">
        <v>0</v>
      </c>
      <c r="B2174" s="11" t="str">
        <f>IF(D2174&lt;&gt;"",IF(COUNTIF('USPTO TMs'!A:A,D2174)&gt;0,"Yes","No"),"")</f>
        <v/>
      </c>
      <c r="C2174" s="11"/>
      <c r="D2174" s="11"/>
      <c r="E2174" s="11"/>
      <c r="F2174" s="11"/>
      <c r="G2174" s="11"/>
      <c r="H2174" s="11"/>
      <c r="I2174" s="15"/>
    </row>
    <row r="2175" spans="1:9" ht="16.5">
      <c r="A2175" s="10" t="b">
        <v>0</v>
      </c>
      <c r="B2175" s="11" t="str">
        <f>IF(D2175&lt;&gt;"",IF(COUNTIF('USPTO TMs'!A:A,D2175)&gt;0,"Yes","No"),"")</f>
        <v/>
      </c>
      <c r="C2175" s="11"/>
      <c r="D2175" s="11"/>
      <c r="E2175" s="11"/>
      <c r="F2175" s="11"/>
      <c r="G2175" s="11"/>
      <c r="H2175" s="11"/>
      <c r="I2175" s="15"/>
    </row>
    <row r="2176" spans="1:9" ht="16.5">
      <c r="A2176" s="10" t="b">
        <v>0</v>
      </c>
      <c r="B2176" s="11" t="str">
        <f>IF(D2176&lt;&gt;"",IF(COUNTIF('USPTO TMs'!A:A,D2176)&gt;0,"Yes","No"),"")</f>
        <v/>
      </c>
      <c r="C2176" s="11"/>
      <c r="D2176" s="11"/>
      <c r="E2176" s="11"/>
      <c r="F2176" s="11"/>
      <c r="G2176" s="11"/>
      <c r="H2176" s="11"/>
      <c r="I2176" s="15"/>
    </row>
    <row r="2177" spans="1:9" ht="16.5">
      <c r="A2177" s="10" t="b">
        <v>0</v>
      </c>
      <c r="B2177" s="11" t="str">
        <f>IF(D2177&lt;&gt;"",IF(COUNTIF('USPTO TMs'!A:A,D2177)&gt;0,"Yes","No"),"")</f>
        <v/>
      </c>
      <c r="C2177" s="11"/>
      <c r="D2177" s="11"/>
      <c r="E2177" s="11"/>
      <c r="F2177" s="11"/>
      <c r="G2177" s="11"/>
      <c r="H2177" s="11"/>
      <c r="I2177" s="15"/>
    </row>
    <row r="2178" spans="1:9" ht="16.5">
      <c r="A2178" s="10" t="b">
        <v>0</v>
      </c>
      <c r="B2178" s="11" t="str">
        <f>IF(D2178&lt;&gt;"",IF(COUNTIF('USPTO TMs'!A:A,D2178)&gt;0,"Yes","No"),"")</f>
        <v/>
      </c>
      <c r="C2178" s="11"/>
      <c r="D2178" s="11"/>
      <c r="E2178" s="11"/>
      <c r="F2178" s="11"/>
      <c r="G2178" s="11"/>
      <c r="H2178" s="11"/>
      <c r="I2178" s="15"/>
    </row>
    <row r="2179" spans="1:9" ht="16.5">
      <c r="A2179" s="10" t="b">
        <v>0</v>
      </c>
      <c r="B2179" s="11" t="str">
        <f>IF(D2179&lt;&gt;"",IF(COUNTIF('USPTO TMs'!A:A,D2179)&gt;0,"Yes","No"),"")</f>
        <v/>
      </c>
      <c r="C2179" s="11"/>
      <c r="D2179" s="11"/>
      <c r="E2179" s="11"/>
      <c r="F2179" s="11"/>
      <c r="G2179" s="11"/>
      <c r="H2179" s="11"/>
      <c r="I2179" s="15"/>
    </row>
    <row r="2180" spans="1:9" ht="16.5">
      <c r="A2180" s="10" t="b">
        <v>0</v>
      </c>
      <c r="B2180" s="11" t="str">
        <f>IF(D2180&lt;&gt;"",IF(COUNTIF('USPTO TMs'!A:A,D2180)&gt;0,"Yes","No"),"")</f>
        <v/>
      </c>
      <c r="C2180" s="11"/>
      <c r="D2180" s="11"/>
      <c r="E2180" s="11"/>
      <c r="F2180" s="11"/>
      <c r="G2180" s="11"/>
      <c r="H2180" s="11"/>
      <c r="I2180" s="15"/>
    </row>
    <row r="2181" spans="1:9" ht="16.5">
      <c r="A2181" s="10" t="b">
        <v>0</v>
      </c>
      <c r="B2181" s="11" t="str">
        <f>IF(D2181&lt;&gt;"",IF(COUNTIF('USPTO TMs'!A:A,D2181)&gt;0,"Yes","No"),"")</f>
        <v/>
      </c>
      <c r="C2181" s="11"/>
      <c r="D2181" s="11"/>
      <c r="E2181" s="11"/>
      <c r="F2181" s="11"/>
      <c r="G2181" s="11"/>
      <c r="H2181" s="11"/>
      <c r="I2181" s="15"/>
    </row>
    <row r="2182" spans="1:9" ht="16.5">
      <c r="A2182" s="10" t="b">
        <v>0</v>
      </c>
      <c r="B2182" s="11" t="str">
        <f>IF(D2182&lt;&gt;"",IF(COUNTIF('USPTO TMs'!A:A,D2182)&gt;0,"Yes","No"),"")</f>
        <v/>
      </c>
      <c r="C2182" s="11"/>
      <c r="D2182" s="11"/>
      <c r="E2182" s="11"/>
      <c r="F2182" s="11"/>
      <c r="G2182" s="11"/>
      <c r="H2182" s="11"/>
      <c r="I2182" s="15"/>
    </row>
    <row r="2183" spans="1:9" ht="16.5">
      <c r="A2183" s="10" t="b">
        <v>0</v>
      </c>
      <c r="B2183" s="11" t="str">
        <f>IF(D2183&lt;&gt;"",IF(COUNTIF('USPTO TMs'!A:A,D2183)&gt;0,"Yes","No"),"")</f>
        <v/>
      </c>
      <c r="C2183" s="11"/>
      <c r="D2183" s="11"/>
      <c r="E2183" s="11"/>
      <c r="F2183" s="11"/>
      <c r="G2183" s="11"/>
      <c r="H2183" s="11"/>
      <c r="I2183" s="15"/>
    </row>
    <row r="2184" spans="1:9" ht="16.5">
      <c r="A2184" s="10" t="b">
        <v>0</v>
      </c>
      <c r="B2184" s="11" t="str">
        <f>IF(D2184&lt;&gt;"",IF(COUNTIF('USPTO TMs'!A:A,D2184)&gt;0,"Yes","No"),"")</f>
        <v/>
      </c>
      <c r="C2184" s="11"/>
      <c r="D2184" s="11"/>
      <c r="E2184" s="11"/>
      <c r="F2184" s="11"/>
      <c r="G2184" s="11"/>
      <c r="H2184" s="11"/>
      <c r="I2184" s="15"/>
    </row>
    <row r="2185" spans="1:9" ht="16.5">
      <c r="A2185" s="10" t="b">
        <v>0</v>
      </c>
      <c r="B2185" s="11" t="str">
        <f>IF(D2185&lt;&gt;"",IF(COUNTIF('USPTO TMs'!A:A,D2185)&gt;0,"Yes","No"),"")</f>
        <v/>
      </c>
      <c r="C2185" s="11"/>
      <c r="D2185" s="11"/>
      <c r="E2185" s="11"/>
      <c r="F2185" s="11"/>
      <c r="G2185" s="11"/>
      <c r="H2185" s="11"/>
      <c r="I2185" s="15"/>
    </row>
    <row r="2186" spans="1:9" ht="16.5">
      <c r="A2186" s="10" t="b">
        <v>0</v>
      </c>
      <c r="B2186" s="11" t="str">
        <f>IF(D2186&lt;&gt;"",IF(COUNTIF('USPTO TMs'!A:A,D2186)&gt;0,"Yes","No"),"")</f>
        <v/>
      </c>
      <c r="C2186" s="11"/>
      <c r="D2186" s="11"/>
      <c r="E2186" s="11"/>
      <c r="F2186" s="11"/>
      <c r="G2186" s="11"/>
      <c r="H2186" s="11"/>
      <c r="I2186" s="15"/>
    </row>
    <row r="2187" spans="1:9" ht="16.5">
      <c r="A2187" s="10" t="b">
        <v>0</v>
      </c>
      <c r="B2187" s="11" t="str">
        <f>IF(D2187&lt;&gt;"",IF(COUNTIF('USPTO TMs'!A:A,D2187)&gt;0,"Yes","No"),"")</f>
        <v/>
      </c>
      <c r="C2187" s="11"/>
      <c r="D2187" s="11"/>
      <c r="E2187" s="11"/>
      <c r="F2187" s="11"/>
      <c r="G2187" s="11"/>
      <c r="H2187" s="11"/>
      <c r="I2187" s="15"/>
    </row>
    <row r="2188" spans="1:9" ht="16.5">
      <c r="A2188" s="10" t="b">
        <v>0</v>
      </c>
      <c r="B2188" s="11" t="str">
        <f>IF(D2188&lt;&gt;"",IF(COUNTIF('USPTO TMs'!A:A,D2188)&gt;0,"Yes","No"),"")</f>
        <v/>
      </c>
      <c r="C2188" s="11"/>
      <c r="D2188" s="11"/>
      <c r="E2188" s="11"/>
      <c r="F2188" s="11"/>
      <c r="G2188" s="11"/>
      <c r="H2188" s="11"/>
      <c r="I2188" s="15"/>
    </row>
    <row r="2189" spans="1:9" ht="16.5">
      <c r="A2189" s="10" t="b">
        <v>0</v>
      </c>
      <c r="B2189" s="11" t="str">
        <f>IF(D2189&lt;&gt;"",IF(COUNTIF('USPTO TMs'!A:A,D2189)&gt;0,"Yes","No"),"")</f>
        <v/>
      </c>
      <c r="C2189" s="11"/>
      <c r="D2189" s="11"/>
      <c r="E2189" s="11"/>
      <c r="F2189" s="11"/>
      <c r="G2189" s="11"/>
      <c r="H2189" s="11"/>
      <c r="I2189" s="15"/>
    </row>
    <row r="2190" spans="1:9" ht="16.5">
      <c r="A2190" s="10" t="b">
        <v>0</v>
      </c>
      <c r="B2190" s="11" t="str">
        <f>IF(D2190&lt;&gt;"",IF(COUNTIF('USPTO TMs'!A:A,D2190)&gt;0,"Yes","No"),"")</f>
        <v/>
      </c>
      <c r="C2190" s="11"/>
      <c r="D2190" s="11"/>
      <c r="E2190" s="11"/>
      <c r="F2190" s="11"/>
      <c r="G2190" s="11"/>
      <c r="H2190" s="11"/>
      <c r="I2190" s="15"/>
    </row>
    <row r="2191" spans="1:9" ht="16.5">
      <c r="A2191" s="10" t="b">
        <v>0</v>
      </c>
      <c r="B2191" s="11" t="str">
        <f>IF(D2191&lt;&gt;"",IF(COUNTIF('USPTO TMs'!A:A,D2191)&gt;0,"Yes","No"),"")</f>
        <v/>
      </c>
      <c r="C2191" s="11"/>
      <c r="D2191" s="11"/>
      <c r="E2191" s="11"/>
      <c r="F2191" s="11"/>
      <c r="G2191" s="11"/>
      <c r="H2191" s="11"/>
      <c r="I2191" s="15"/>
    </row>
    <row r="2192" spans="1:9" ht="16.5">
      <c r="A2192" s="10" t="b">
        <v>0</v>
      </c>
      <c r="B2192" s="11" t="str">
        <f>IF(D2192&lt;&gt;"",IF(COUNTIF('USPTO TMs'!A:A,D2192)&gt;0,"Yes","No"),"")</f>
        <v/>
      </c>
      <c r="C2192" s="11"/>
      <c r="D2192" s="11"/>
      <c r="E2192" s="11"/>
      <c r="F2192" s="11"/>
      <c r="G2192" s="11"/>
      <c r="H2192" s="11"/>
      <c r="I2192" s="15"/>
    </row>
    <row r="2193" spans="1:9" ht="16.5">
      <c r="A2193" s="10" t="b">
        <v>0</v>
      </c>
      <c r="B2193" s="11" t="str">
        <f>IF(D2193&lt;&gt;"",IF(COUNTIF('USPTO TMs'!A:A,D2193)&gt;0,"Yes","No"),"")</f>
        <v/>
      </c>
      <c r="C2193" s="11"/>
      <c r="D2193" s="11"/>
      <c r="E2193" s="11"/>
      <c r="F2193" s="11"/>
      <c r="G2193" s="11"/>
      <c r="H2193" s="11"/>
      <c r="I2193" s="15"/>
    </row>
    <row r="2194" spans="1:9" ht="16.5">
      <c r="A2194" s="10" t="b">
        <v>0</v>
      </c>
      <c r="B2194" s="11" t="str">
        <f>IF(D2194&lt;&gt;"",IF(COUNTIF('USPTO TMs'!A:A,D2194)&gt;0,"Yes","No"),"")</f>
        <v/>
      </c>
      <c r="C2194" s="11"/>
      <c r="D2194" s="11"/>
      <c r="E2194" s="11"/>
      <c r="F2194" s="11"/>
      <c r="G2194" s="11"/>
      <c r="H2194" s="11"/>
      <c r="I2194" s="15"/>
    </row>
    <row r="2195" spans="1:9" ht="16.5">
      <c r="A2195" s="10" t="b">
        <v>0</v>
      </c>
      <c r="B2195" s="11" t="str">
        <f>IF(D2195&lt;&gt;"",IF(COUNTIF('USPTO TMs'!A:A,D2195)&gt;0,"Yes","No"),"")</f>
        <v/>
      </c>
      <c r="C2195" s="11"/>
      <c r="D2195" s="11"/>
      <c r="E2195" s="11"/>
      <c r="F2195" s="11"/>
      <c r="G2195" s="11"/>
      <c r="H2195" s="11"/>
      <c r="I2195" s="15"/>
    </row>
    <row r="2196" spans="1:9" ht="16.5">
      <c r="A2196" s="10" t="b">
        <v>0</v>
      </c>
      <c r="B2196" s="11" t="str">
        <f>IF(D2196&lt;&gt;"",IF(COUNTIF('USPTO TMs'!A:A,D2196)&gt;0,"Yes","No"),"")</f>
        <v/>
      </c>
      <c r="C2196" s="11"/>
      <c r="D2196" s="11"/>
      <c r="E2196" s="11"/>
      <c r="F2196" s="11"/>
      <c r="G2196" s="11"/>
      <c r="H2196" s="11"/>
      <c r="I2196" s="15"/>
    </row>
    <row r="2197" spans="1:9" ht="16.5">
      <c r="A2197" s="10" t="b">
        <v>0</v>
      </c>
      <c r="B2197" s="11" t="str">
        <f>IF(D2197&lt;&gt;"",IF(COUNTIF('USPTO TMs'!A:A,D2197)&gt;0,"Yes","No"),"")</f>
        <v/>
      </c>
      <c r="C2197" s="11"/>
      <c r="D2197" s="11"/>
      <c r="E2197" s="11"/>
      <c r="F2197" s="11"/>
      <c r="G2197" s="11"/>
      <c r="H2197" s="11"/>
      <c r="I2197" s="15"/>
    </row>
    <row r="2198" spans="1:9" ht="16.5">
      <c r="A2198" s="10" t="b">
        <v>0</v>
      </c>
      <c r="B2198" s="11" t="str">
        <f>IF(D2198&lt;&gt;"",IF(COUNTIF('USPTO TMs'!A:A,D2198)&gt;0,"Yes","No"),"")</f>
        <v/>
      </c>
      <c r="C2198" s="11"/>
      <c r="D2198" s="11"/>
      <c r="E2198" s="11"/>
      <c r="F2198" s="11"/>
      <c r="G2198" s="11"/>
      <c r="H2198" s="11"/>
      <c r="I2198" s="15"/>
    </row>
    <row r="2199" spans="1:9" ht="16.5">
      <c r="A2199" s="10" t="b">
        <v>0</v>
      </c>
      <c r="B2199" s="11" t="str">
        <f>IF(D2199&lt;&gt;"",IF(COUNTIF('USPTO TMs'!A:A,D2199)&gt;0,"Yes","No"),"")</f>
        <v/>
      </c>
      <c r="C2199" s="11"/>
      <c r="D2199" s="11"/>
      <c r="E2199" s="11"/>
      <c r="F2199" s="11"/>
      <c r="G2199" s="11"/>
      <c r="H2199" s="11"/>
      <c r="I2199" s="15"/>
    </row>
    <row r="2200" spans="1:9" ht="16.5">
      <c r="A2200" s="10" t="b">
        <v>0</v>
      </c>
      <c r="B2200" s="11" t="str">
        <f>IF(D2200&lt;&gt;"",IF(COUNTIF('USPTO TMs'!A:A,D2200)&gt;0,"Yes","No"),"")</f>
        <v/>
      </c>
      <c r="C2200" s="11"/>
      <c r="D2200" s="11"/>
      <c r="E2200" s="11"/>
      <c r="F2200" s="11"/>
      <c r="G2200" s="11"/>
      <c r="H2200" s="11"/>
      <c r="I2200" s="15"/>
    </row>
    <row r="2201" spans="1:9" ht="16.5">
      <c r="A2201" s="10" t="b">
        <v>0</v>
      </c>
      <c r="B2201" s="11" t="str">
        <f>IF(D2201&lt;&gt;"",IF(COUNTIF('USPTO TMs'!A:A,D2201)&gt;0,"Yes","No"),"")</f>
        <v/>
      </c>
      <c r="C2201" s="11"/>
      <c r="D2201" s="11"/>
      <c r="E2201" s="11"/>
      <c r="F2201" s="11"/>
      <c r="G2201" s="11"/>
      <c r="H2201" s="11"/>
      <c r="I2201" s="15"/>
    </row>
    <row r="2202" spans="1:9" ht="16.5">
      <c r="A2202" s="10" t="b">
        <v>0</v>
      </c>
      <c r="B2202" s="11" t="str">
        <f>IF(D2202&lt;&gt;"",IF(COUNTIF('USPTO TMs'!A:A,D2202)&gt;0,"Yes","No"),"")</f>
        <v/>
      </c>
      <c r="C2202" s="11"/>
      <c r="D2202" s="11"/>
      <c r="E2202" s="11"/>
      <c r="F2202" s="11"/>
      <c r="G2202" s="11"/>
      <c r="H2202" s="11"/>
      <c r="I2202" s="15"/>
    </row>
    <row r="2203" spans="1:9" ht="16.5">
      <c r="A2203" s="10" t="b">
        <v>0</v>
      </c>
      <c r="B2203" s="11" t="str">
        <f>IF(D2203&lt;&gt;"",IF(COUNTIF('USPTO TMs'!A:A,D2203)&gt;0,"Yes","No"),"")</f>
        <v/>
      </c>
      <c r="C2203" s="11"/>
      <c r="D2203" s="11"/>
      <c r="E2203" s="11"/>
      <c r="F2203" s="11"/>
      <c r="G2203" s="11"/>
      <c r="H2203" s="11"/>
      <c r="I2203" s="15"/>
    </row>
    <row r="2204" spans="1:9" ht="16.5">
      <c r="A2204" s="10" t="b">
        <v>0</v>
      </c>
      <c r="B2204" s="11" t="str">
        <f>IF(D2204&lt;&gt;"",IF(COUNTIF('USPTO TMs'!A:A,D2204)&gt;0,"Yes","No"),"")</f>
        <v/>
      </c>
      <c r="C2204" s="11"/>
      <c r="D2204" s="11"/>
      <c r="E2204" s="11"/>
      <c r="F2204" s="11"/>
      <c r="G2204" s="11"/>
      <c r="H2204" s="11"/>
      <c r="I2204" s="15"/>
    </row>
    <row r="2205" spans="1:9" ht="16.5">
      <c r="A2205" s="10" t="b">
        <v>0</v>
      </c>
      <c r="B2205" s="11" t="str">
        <f>IF(D2205&lt;&gt;"",IF(COUNTIF('USPTO TMs'!A:A,D2205)&gt;0,"Yes","No"),"")</f>
        <v/>
      </c>
      <c r="C2205" s="11"/>
      <c r="D2205" s="11"/>
      <c r="E2205" s="11"/>
      <c r="F2205" s="11"/>
      <c r="G2205" s="11"/>
      <c r="H2205" s="11"/>
      <c r="I2205" s="15"/>
    </row>
    <row r="2206" spans="1:9" ht="16.5">
      <c r="A2206" s="10" t="b">
        <v>0</v>
      </c>
      <c r="B2206" s="11" t="str">
        <f>IF(D2206&lt;&gt;"",IF(COUNTIF('USPTO TMs'!A:A,D2206)&gt;0,"Yes","No"),"")</f>
        <v/>
      </c>
      <c r="C2206" s="11"/>
      <c r="D2206" s="11"/>
      <c r="E2206" s="11"/>
      <c r="F2206" s="11"/>
      <c r="G2206" s="11"/>
      <c r="H2206" s="11"/>
      <c r="I2206" s="15"/>
    </row>
    <row r="2207" spans="1:9" ht="16.5">
      <c r="A2207" s="10" t="b">
        <v>0</v>
      </c>
      <c r="B2207" s="11" t="str">
        <f>IF(D2207&lt;&gt;"",IF(COUNTIF('USPTO TMs'!A:A,D2207)&gt;0,"Yes","No"),"")</f>
        <v/>
      </c>
      <c r="C2207" s="11"/>
      <c r="D2207" s="11"/>
      <c r="E2207" s="11"/>
      <c r="F2207" s="11"/>
      <c r="G2207" s="11"/>
      <c r="H2207" s="11"/>
      <c r="I2207" s="15"/>
    </row>
    <row r="2208" spans="1:9" ht="16.5">
      <c r="A2208" s="10" t="b">
        <v>0</v>
      </c>
      <c r="B2208" s="11" t="str">
        <f>IF(D2208&lt;&gt;"",IF(COUNTIF('USPTO TMs'!A:A,D2208)&gt;0,"Yes","No"),"")</f>
        <v/>
      </c>
      <c r="C2208" s="11"/>
      <c r="D2208" s="11"/>
      <c r="E2208" s="11"/>
      <c r="F2208" s="11"/>
      <c r="G2208" s="11"/>
      <c r="H2208" s="11"/>
      <c r="I2208" s="15"/>
    </row>
    <row r="2209" spans="1:9" ht="16.5">
      <c r="A2209" s="10" t="b">
        <v>0</v>
      </c>
      <c r="B2209" s="11" t="str">
        <f>IF(D2209&lt;&gt;"",IF(COUNTIF('USPTO TMs'!A:A,D2209)&gt;0,"Yes","No"),"")</f>
        <v/>
      </c>
      <c r="C2209" s="11"/>
      <c r="D2209" s="11"/>
      <c r="E2209" s="11"/>
      <c r="F2209" s="11"/>
      <c r="G2209" s="11"/>
      <c r="H2209" s="11"/>
      <c r="I2209" s="15"/>
    </row>
    <row r="2210" spans="1:9" ht="16.5">
      <c r="A2210" s="10" t="b">
        <v>0</v>
      </c>
      <c r="B2210" s="11" t="str">
        <f>IF(D2210&lt;&gt;"",IF(COUNTIF('USPTO TMs'!A:A,D2210)&gt;0,"Yes","No"),"")</f>
        <v/>
      </c>
      <c r="C2210" s="11"/>
      <c r="D2210" s="11"/>
      <c r="E2210" s="11"/>
      <c r="F2210" s="11"/>
      <c r="G2210" s="11"/>
      <c r="H2210" s="11"/>
      <c r="I2210" s="15"/>
    </row>
    <row r="2211" spans="1:9" ht="16.5">
      <c r="A2211" s="10" t="b">
        <v>0</v>
      </c>
      <c r="B2211" s="11" t="str">
        <f>IF(D2211&lt;&gt;"",IF(COUNTIF('USPTO TMs'!A:A,D2211)&gt;0,"Yes","No"),"")</f>
        <v/>
      </c>
      <c r="C2211" s="11"/>
      <c r="D2211" s="11"/>
      <c r="E2211" s="11"/>
      <c r="F2211" s="11"/>
      <c r="G2211" s="11"/>
      <c r="H2211" s="11"/>
      <c r="I2211" s="15"/>
    </row>
    <row r="2212" spans="1:9" ht="16.5">
      <c r="A2212" s="10" t="b">
        <v>0</v>
      </c>
      <c r="B2212" s="11" t="str">
        <f>IF(D2212&lt;&gt;"",IF(COUNTIF('USPTO TMs'!A:A,D2212)&gt;0,"Yes","No"),"")</f>
        <v/>
      </c>
      <c r="C2212" s="11"/>
      <c r="D2212" s="11"/>
      <c r="E2212" s="11"/>
      <c r="F2212" s="11"/>
      <c r="G2212" s="11"/>
      <c r="H2212" s="11"/>
      <c r="I2212" s="15"/>
    </row>
    <row r="2213" spans="1:9" ht="16.5">
      <c r="A2213" s="10" t="b">
        <v>0</v>
      </c>
      <c r="B2213" s="11" t="str">
        <f>IF(D2213&lt;&gt;"",IF(COUNTIF('USPTO TMs'!A:A,D2213)&gt;0,"Yes","No"),"")</f>
        <v/>
      </c>
      <c r="C2213" s="11"/>
      <c r="D2213" s="11"/>
      <c r="E2213" s="11"/>
      <c r="F2213" s="11"/>
      <c r="G2213" s="11"/>
      <c r="H2213" s="11"/>
      <c r="I2213" s="15"/>
    </row>
    <row r="2214" spans="1:9" ht="16.5">
      <c r="A2214" s="10" t="b">
        <v>0</v>
      </c>
      <c r="B2214" s="11" t="str">
        <f>IF(D2214&lt;&gt;"",IF(COUNTIF('USPTO TMs'!A:A,D2214)&gt;0,"Yes","No"),"")</f>
        <v/>
      </c>
      <c r="C2214" s="11"/>
      <c r="D2214" s="11"/>
      <c r="E2214" s="11"/>
      <c r="F2214" s="11"/>
      <c r="G2214" s="11"/>
      <c r="H2214" s="11"/>
      <c r="I2214" s="15"/>
    </row>
    <row r="2215" spans="1:9" ht="16.5">
      <c r="A2215" s="10" t="b">
        <v>0</v>
      </c>
      <c r="B2215" s="11" t="str">
        <f>IF(D2215&lt;&gt;"",IF(COUNTIF('USPTO TMs'!A:A,D2215)&gt;0,"Yes","No"),"")</f>
        <v/>
      </c>
      <c r="C2215" s="11"/>
      <c r="D2215" s="11"/>
      <c r="E2215" s="11"/>
      <c r="F2215" s="11"/>
      <c r="G2215" s="11"/>
      <c r="H2215" s="11"/>
      <c r="I2215" s="15"/>
    </row>
    <row r="2216" spans="1:9" ht="16.5">
      <c r="A2216" s="10" t="b">
        <v>0</v>
      </c>
      <c r="B2216" s="11" t="str">
        <f>IF(D2216&lt;&gt;"",IF(COUNTIF('USPTO TMs'!A:A,D2216)&gt;0,"Yes","No"),"")</f>
        <v/>
      </c>
      <c r="C2216" s="11"/>
      <c r="D2216" s="11"/>
      <c r="E2216" s="11"/>
      <c r="F2216" s="11"/>
      <c r="G2216" s="11"/>
      <c r="H2216" s="11"/>
      <c r="I2216" s="15"/>
    </row>
    <row r="2217" spans="1:9" ht="16.5">
      <c r="A2217" s="10" t="b">
        <v>0</v>
      </c>
      <c r="B2217" s="11" t="str">
        <f>IF(D2217&lt;&gt;"",IF(COUNTIF('USPTO TMs'!A:A,D2217)&gt;0,"Yes","No"),"")</f>
        <v/>
      </c>
      <c r="C2217" s="11"/>
      <c r="D2217" s="11"/>
      <c r="E2217" s="11"/>
      <c r="F2217" s="11"/>
      <c r="G2217" s="11"/>
      <c r="H2217" s="11"/>
      <c r="I2217" s="15"/>
    </row>
    <row r="2218" spans="1:9" ht="16.5">
      <c r="A2218" s="10" t="b">
        <v>0</v>
      </c>
      <c r="B2218" s="11" t="str">
        <f>IF(D2218&lt;&gt;"",IF(COUNTIF('USPTO TMs'!A:A,D2218)&gt;0,"Yes","No"),"")</f>
        <v/>
      </c>
      <c r="C2218" s="11"/>
      <c r="D2218" s="11"/>
      <c r="E2218" s="11"/>
      <c r="F2218" s="11"/>
      <c r="G2218" s="11"/>
      <c r="H2218" s="11"/>
      <c r="I2218" s="15"/>
    </row>
    <row r="2219" spans="1:9" ht="16.5">
      <c r="A2219" s="10" t="b">
        <v>0</v>
      </c>
      <c r="B2219" s="11" t="str">
        <f>IF(D2219&lt;&gt;"",IF(COUNTIF('USPTO TMs'!A:A,D2219)&gt;0,"Yes","No"),"")</f>
        <v/>
      </c>
      <c r="C2219" s="11"/>
      <c r="D2219" s="11"/>
      <c r="E2219" s="11"/>
      <c r="F2219" s="11"/>
      <c r="G2219" s="11"/>
      <c r="H2219" s="11"/>
      <c r="I2219" s="15"/>
    </row>
    <row r="2220" spans="1:9" ht="16.5">
      <c r="A2220" s="10" t="b">
        <v>0</v>
      </c>
      <c r="B2220" s="11" t="str">
        <f>IF(D2220&lt;&gt;"",IF(COUNTIF('USPTO TMs'!A:A,D2220)&gt;0,"Yes","No"),"")</f>
        <v/>
      </c>
      <c r="C2220" s="11"/>
      <c r="D2220" s="11"/>
      <c r="E2220" s="11"/>
      <c r="F2220" s="11"/>
      <c r="G2220" s="11"/>
      <c r="H2220" s="11"/>
      <c r="I2220" s="15"/>
    </row>
    <row r="2221" spans="1:9" ht="16.5">
      <c r="A2221" s="10" t="b">
        <v>0</v>
      </c>
      <c r="B2221" s="11" t="str">
        <f>IF(D2221&lt;&gt;"",IF(COUNTIF('USPTO TMs'!A:A,D2221)&gt;0,"Yes","No"),"")</f>
        <v/>
      </c>
      <c r="C2221" s="11"/>
      <c r="D2221" s="11"/>
      <c r="E2221" s="11"/>
      <c r="F2221" s="11"/>
      <c r="G2221" s="11"/>
      <c r="H2221" s="11"/>
      <c r="I2221" s="15"/>
    </row>
    <row r="2222" spans="1:9" ht="16.5">
      <c r="A2222" s="10" t="b">
        <v>0</v>
      </c>
      <c r="B2222" s="11" t="str">
        <f>IF(D2222&lt;&gt;"",IF(COUNTIF('USPTO TMs'!A:A,D2222)&gt;0,"Yes","No"),"")</f>
        <v/>
      </c>
      <c r="C2222" s="11"/>
      <c r="D2222" s="11"/>
      <c r="E2222" s="11"/>
      <c r="F2222" s="11"/>
      <c r="G2222" s="11"/>
      <c r="H2222" s="11"/>
      <c r="I2222" s="15"/>
    </row>
    <row r="2223" spans="1:9" ht="16.5">
      <c r="A2223" s="10" t="b">
        <v>0</v>
      </c>
      <c r="B2223" s="11" t="str">
        <f>IF(D2223&lt;&gt;"",IF(COUNTIF('USPTO TMs'!A:A,D2223)&gt;0,"Yes","No"),"")</f>
        <v/>
      </c>
      <c r="C2223" s="11"/>
      <c r="D2223" s="11"/>
      <c r="E2223" s="11"/>
      <c r="F2223" s="11"/>
      <c r="G2223" s="11"/>
      <c r="H2223" s="11"/>
      <c r="I2223" s="15"/>
    </row>
    <row r="2224" spans="1:9" ht="16.5">
      <c r="A2224" s="10" t="b">
        <v>0</v>
      </c>
      <c r="B2224" s="11" t="str">
        <f>IF(D2224&lt;&gt;"",IF(COUNTIF('USPTO TMs'!A:A,D2224)&gt;0,"Yes","No"),"")</f>
        <v/>
      </c>
      <c r="C2224" s="11"/>
      <c r="D2224" s="11"/>
      <c r="E2224" s="11"/>
      <c r="F2224" s="11"/>
      <c r="G2224" s="11"/>
      <c r="H2224" s="11"/>
      <c r="I2224" s="15"/>
    </row>
    <row r="2225" spans="1:9" ht="16.5">
      <c r="A2225" s="10" t="b">
        <v>0</v>
      </c>
      <c r="B2225" s="11" t="str">
        <f>IF(D2225&lt;&gt;"",IF(COUNTIF('USPTO TMs'!A:A,D2225)&gt;0,"Yes","No"),"")</f>
        <v/>
      </c>
      <c r="C2225" s="11"/>
      <c r="D2225" s="11"/>
      <c r="E2225" s="11"/>
      <c r="F2225" s="11"/>
      <c r="G2225" s="11"/>
      <c r="H2225" s="11"/>
      <c r="I2225" s="15"/>
    </row>
    <row r="2226" spans="1:9" ht="16.5">
      <c r="A2226" s="10" t="b">
        <v>0</v>
      </c>
      <c r="B2226" s="11" t="str">
        <f>IF(D2226&lt;&gt;"",IF(COUNTIF('USPTO TMs'!A:A,D2226)&gt;0,"Yes","No"),"")</f>
        <v/>
      </c>
      <c r="C2226" s="11"/>
      <c r="D2226" s="11"/>
      <c r="E2226" s="11"/>
      <c r="F2226" s="11"/>
      <c r="G2226" s="11"/>
      <c r="H2226" s="11"/>
      <c r="I2226" s="15"/>
    </row>
    <row r="2227" spans="1:9" ht="16.5">
      <c r="A2227" s="10" t="b">
        <v>0</v>
      </c>
      <c r="B2227" s="11" t="str">
        <f>IF(D2227&lt;&gt;"",IF(COUNTIF('USPTO TMs'!A:A,D2227)&gt;0,"Yes","No"),"")</f>
        <v/>
      </c>
      <c r="C2227" s="11"/>
      <c r="D2227" s="11"/>
      <c r="E2227" s="11"/>
      <c r="F2227" s="11"/>
      <c r="G2227" s="11"/>
      <c r="H2227" s="11"/>
      <c r="I2227" s="15"/>
    </row>
    <row r="2228" spans="1:9" ht="16.5">
      <c r="A2228" s="10" t="b">
        <v>0</v>
      </c>
      <c r="B2228" s="11" t="str">
        <f>IF(D2228&lt;&gt;"",IF(COUNTIF('USPTO TMs'!A:A,D2228)&gt;0,"Yes","No"),"")</f>
        <v/>
      </c>
      <c r="C2228" s="11"/>
      <c r="D2228" s="11"/>
      <c r="E2228" s="11"/>
      <c r="F2228" s="11"/>
      <c r="G2228" s="11"/>
      <c r="H2228" s="11"/>
      <c r="I2228" s="15"/>
    </row>
    <row r="2229" spans="1:9" ht="16.5">
      <c r="A2229" s="10" t="b">
        <v>0</v>
      </c>
      <c r="B2229" s="11" t="str">
        <f>IF(D2229&lt;&gt;"",IF(COUNTIF('USPTO TMs'!A:A,D2229)&gt;0,"Yes","No"),"")</f>
        <v/>
      </c>
      <c r="C2229" s="11"/>
      <c r="D2229" s="11"/>
      <c r="E2229" s="11"/>
      <c r="F2229" s="11"/>
      <c r="G2229" s="11"/>
      <c r="H2229" s="11"/>
      <c r="I2229" s="15"/>
    </row>
    <row r="2230" spans="1:9" ht="16.5">
      <c r="A2230" s="10" t="b">
        <v>0</v>
      </c>
      <c r="B2230" s="11" t="str">
        <f>IF(D2230&lt;&gt;"",IF(COUNTIF('USPTO TMs'!A:A,D2230)&gt;0,"Yes","No"),"")</f>
        <v/>
      </c>
      <c r="C2230" s="11"/>
      <c r="D2230" s="11"/>
      <c r="E2230" s="11"/>
      <c r="F2230" s="11"/>
      <c r="G2230" s="11"/>
      <c r="H2230" s="11"/>
      <c r="I2230" s="15"/>
    </row>
    <row r="2231" spans="1:9" ht="16.5">
      <c r="A2231" s="10" t="b">
        <v>0</v>
      </c>
      <c r="B2231" s="11" t="str">
        <f>IF(D2231&lt;&gt;"",IF(COUNTIF('USPTO TMs'!A:A,D2231)&gt;0,"Yes","No"),"")</f>
        <v/>
      </c>
      <c r="C2231" s="11"/>
      <c r="D2231" s="11"/>
      <c r="E2231" s="11"/>
      <c r="F2231" s="11"/>
      <c r="G2231" s="11"/>
      <c r="H2231" s="11"/>
      <c r="I2231" s="15"/>
    </row>
    <row r="2232" spans="1:9" ht="16.5">
      <c r="A2232" s="10" t="b">
        <v>0</v>
      </c>
      <c r="B2232" s="11" t="str">
        <f>IF(D2232&lt;&gt;"",IF(COUNTIF('USPTO TMs'!A:A,D2232)&gt;0,"Yes","No"),"")</f>
        <v/>
      </c>
      <c r="C2232" s="11"/>
      <c r="D2232" s="11"/>
      <c r="E2232" s="11"/>
      <c r="F2232" s="11"/>
      <c r="G2232" s="11"/>
      <c r="H2232" s="11"/>
      <c r="I2232" s="15"/>
    </row>
    <row r="2233" spans="1:9" ht="16.5">
      <c r="A2233" s="10" t="b">
        <v>0</v>
      </c>
      <c r="B2233" s="11" t="str">
        <f>IF(D2233&lt;&gt;"",IF(COUNTIF('USPTO TMs'!A:A,D2233)&gt;0,"Yes","No"),"")</f>
        <v/>
      </c>
      <c r="C2233" s="11"/>
      <c r="D2233" s="11"/>
      <c r="E2233" s="11"/>
      <c r="F2233" s="11"/>
      <c r="G2233" s="11"/>
      <c r="H2233" s="11"/>
      <c r="I2233" s="15"/>
    </row>
    <row r="2234" spans="1:9" ht="16.5">
      <c r="A2234" s="10" t="b">
        <v>0</v>
      </c>
      <c r="B2234" s="11" t="str">
        <f>IF(D2234&lt;&gt;"",IF(COUNTIF('USPTO TMs'!A:A,D2234)&gt;0,"Yes","No"),"")</f>
        <v/>
      </c>
      <c r="C2234" s="11"/>
      <c r="D2234" s="11"/>
      <c r="E2234" s="11"/>
      <c r="F2234" s="11"/>
      <c r="G2234" s="11"/>
      <c r="H2234" s="11"/>
      <c r="I2234" s="15"/>
    </row>
    <row r="2235" spans="1:9" ht="16.5">
      <c r="A2235" s="10" t="b">
        <v>0</v>
      </c>
      <c r="B2235" s="11" t="str">
        <f>IF(D2235&lt;&gt;"",IF(COUNTIF('USPTO TMs'!A:A,D2235)&gt;0,"Yes","No"),"")</f>
        <v/>
      </c>
      <c r="C2235" s="11"/>
      <c r="D2235" s="11"/>
      <c r="E2235" s="11"/>
      <c r="F2235" s="11"/>
      <c r="G2235" s="11"/>
      <c r="H2235" s="11"/>
      <c r="I2235" s="15"/>
    </row>
    <row r="2236" spans="1:9" ht="16.5">
      <c r="A2236" s="10" t="b">
        <v>0</v>
      </c>
      <c r="B2236" s="11" t="str">
        <f>IF(D2236&lt;&gt;"",IF(COUNTIF('USPTO TMs'!A:A,D2236)&gt;0,"Yes","No"),"")</f>
        <v/>
      </c>
      <c r="C2236" s="11"/>
      <c r="D2236" s="11"/>
      <c r="E2236" s="11"/>
      <c r="F2236" s="11"/>
      <c r="G2236" s="11"/>
      <c r="H2236" s="11"/>
      <c r="I2236" s="15"/>
    </row>
    <row r="2237" spans="1:9" ht="16.5">
      <c r="A2237" s="10" t="b">
        <v>0</v>
      </c>
      <c r="B2237" s="11" t="str">
        <f>IF(D2237&lt;&gt;"",IF(COUNTIF('USPTO TMs'!A:A,D2237)&gt;0,"Yes","No"),"")</f>
        <v/>
      </c>
      <c r="C2237" s="11"/>
      <c r="D2237" s="11"/>
      <c r="E2237" s="11"/>
      <c r="F2237" s="11"/>
      <c r="G2237" s="11"/>
      <c r="H2237" s="11"/>
      <c r="I2237" s="15"/>
    </row>
    <row r="2238" spans="1:9" ht="16.5">
      <c r="A2238" s="10" t="b">
        <v>0</v>
      </c>
      <c r="B2238" s="11" t="str">
        <f>IF(D2238&lt;&gt;"",IF(COUNTIF('USPTO TMs'!A:A,D2238)&gt;0,"Yes","No"),"")</f>
        <v/>
      </c>
      <c r="C2238" s="11"/>
      <c r="D2238" s="11"/>
      <c r="E2238" s="11"/>
      <c r="F2238" s="11"/>
      <c r="G2238" s="11"/>
      <c r="H2238" s="11"/>
      <c r="I2238" s="15"/>
    </row>
    <row r="2239" spans="1:9" ht="16.5">
      <c r="A2239" s="10" t="b">
        <v>0</v>
      </c>
      <c r="B2239" s="11" t="str">
        <f>IF(D2239&lt;&gt;"",IF(COUNTIF('USPTO TMs'!A:A,D2239)&gt;0,"Yes","No"),"")</f>
        <v/>
      </c>
      <c r="C2239" s="11"/>
      <c r="D2239" s="11"/>
      <c r="E2239" s="11"/>
      <c r="F2239" s="11"/>
      <c r="G2239" s="11"/>
      <c r="H2239" s="11"/>
      <c r="I2239" s="15"/>
    </row>
    <row r="2240" spans="1:9" ht="16.5">
      <c r="A2240" s="10" t="b">
        <v>0</v>
      </c>
      <c r="B2240" s="11" t="str">
        <f>IF(D2240&lt;&gt;"",IF(COUNTIF('USPTO TMs'!A:A,D2240)&gt;0,"Yes","No"),"")</f>
        <v/>
      </c>
      <c r="C2240" s="11"/>
      <c r="D2240" s="11"/>
      <c r="E2240" s="11"/>
      <c r="F2240" s="11"/>
      <c r="G2240" s="11"/>
      <c r="H2240" s="11"/>
      <c r="I2240" s="15"/>
    </row>
    <row r="2241" spans="1:9" ht="16.5">
      <c r="A2241" s="10" t="b">
        <v>0</v>
      </c>
      <c r="B2241" s="11" t="str">
        <f>IF(D2241&lt;&gt;"",IF(COUNTIF('USPTO TMs'!A:A,D2241)&gt;0,"Yes","No"),"")</f>
        <v/>
      </c>
      <c r="C2241" s="11"/>
      <c r="D2241" s="11"/>
      <c r="E2241" s="11"/>
      <c r="F2241" s="11"/>
      <c r="G2241" s="11"/>
      <c r="H2241" s="11"/>
      <c r="I2241" s="15"/>
    </row>
    <row r="2242" spans="1:9" ht="16.5">
      <c r="A2242" s="10" t="b">
        <v>0</v>
      </c>
      <c r="B2242" s="11" t="str">
        <f>IF(D2242&lt;&gt;"",IF(COUNTIF('USPTO TMs'!A:A,D2242)&gt;0,"Yes","No"),"")</f>
        <v/>
      </c>
      <c r="C2242" s="11"/>
      <c r="D2242" s="11"/>
      <c r="E2242" s="11"/>
      <c r="F2242" s="11"/>
      <c r="G2242" s="11"/>
      <c r="H2242" s="11"/>
      <c r="I2242" s="15"/>
    </row>
    <row r="2243" spans="1:9" ht="16.5">
      <c r="A2243" s="10" t="b">
        <v>0</v>
      </c>
      <c r="B2243" s="11" t="str">
        <f>IF(D2243&lt;&gt;"",IF(COUNTIF('USPTO TMs'!A:A,D2243)&gt;0,"Yes","No"),"")</f>
        <v/>
      </c>
      <c r="C2243" s="11"/>
      <c r="D2243" s="11"/>
      <c r="E2243" s="11"/>
      <c r="F2243" s="11"/>
      <c r="G2243" s="11"/>
      <c r="H2243" s="11"/>
      <c r="I2243" s="15"/>
    </row>
    <row r="2244" spans="1:9" ht="16.5">
      <c r="A2244" s="10" t="b">
        <v>0</v>
      </c>
      <c r="B2244" s="11" t="str">
        <f>IF(D2244&lt;&gt;"",IF(COUNTIF('USPTO TMs'!A:A,D2244)&gt;0,"Yes","No"),"")</f>
        <v/>
      </c>
      <c r="C2244" s="11"/>
      <c r="D2244" s="11"/>
      <c r="E2244" s="11"/>
      <c r="F2244" s="11"/>
      <c r="G2244" s="11"/>
      <c r="H2244" s="11"/>
      <c r="I2244" s="15"/>
    </row>
    <row r="2245" spans="1:9" ht="16.5">
      <c r="A2245" s="10" t="b">
        <v>0</v>
      </c>
      <c r="B2245" s="11" t="str">
        <f>IF(D2245&lt;&gt;"",IF(COUNTIF('USPTO TMs'!A:A,D2245)&gt;0,"Yes","No"),"")</f>
        <v/>
      </c>
      <c r="C2245" s="11"/>
      <c r="D2245" s="11"/>
      <c r="E2245" s="11"/>
      <c r="F2245" s="11"/>
      <c r="G2245" s="11"/>
      <c r="H2245" s="11"/>
      <c r="I2245" s="15"/>
    </row>
    <row r="2246" spans="1:9" ht="16.5">
      <c r="A2246" s="10" t="b">
        <v>0</v>
      </c>
      <c r="B2246" s="11" t="str">
        <f>IF(D2246&lt;&gt;"",IF(COUNTIF('USPTO TMs'!A:A,D2246)&gt;0,"Yes","No"),"")</f>
        <v/>
      </c>
      <c r="C2246" s="11"/>
      <c r="D2246" s="11"/>
      <c r="E2246" s="11"/>
      <c r="F2246" s="11"/>
      <c r="G2246" s="11"/>
      <c r="H2246" s="11"/>
      <c r="I2246" s="15"/>
    </row>
    <row r="2247" spans="1:9" ht="16.5">
      <c r="A2247" s="10" t="b">
        <v>0</v>
      </c>
      <c r="B2247" s="11" t="str">
        <f>IF(D2247&lt;&gt;"",IF(COUNTIF('USPTO TMs'!A:A,D2247)&gt;0,"Yes","No"),"")</f>
        <v/>
      </c>
      <c r="C2247" s="11"/>
      <c r="D2247" s="11"/>
      <c r="E2247" s="11"/>
      <c r="F2247" s="11"/>
      <c r="G2247" s="11"/>
      <c r="H2247" s="11"/>
      <c r="I2247" s="15"/>
    </row>
    <row r="2248" spans="1:9" ht="16.5">
      <c r="A2248" s="10" t="b">
        <v>0</v>
      </c>
      <c r="B2248" s="11" t="str">
        <f>IF(D2248&lt;&gt;"",IF(COUNTIF('USPTO TMs'!A:A,D2248)&gt;0,"Yes","No"),"")</f>
        <v/>
      </c>
      <c r="C2248" s="11"/>
      <c r="D2248" s="11"/>
      <c r="E2248" s="11"/>
      <c r="F2248" s="11"/>
      <c r="G2248" s="11"/>
      <c r="H2248" s="11"/>
      <c r="I2248" s="15"/>
    </row>
    <row r="2249" spans="1:9" ht="16.5">
      <c r="A2249" s="10" t="b">
        <v>0</v>
      </c>
      <c r="B2249" s="11" t="str">
        <f>IF(D2249&lt;&gt;"",IF(COUNTIF('USPTO TMs'!A:A,D2249)&gt;0,"Yes","No"),"")</f>
        <v/>
      </c>
      <c r="C2249" s="11"/>
      <c r="D2249" s="11"/>
      <c r="E2249" s="11"/>
      <c r="F2249" s="11"/>
      <c r="G2249" s="11"/>
      <c r="H2249" s="11"/>
      <c r="I2249" s="15"/>
    </row>
    <row r="2250" spans="1:9" ht="16.5">
      <c r="A2250" s="10" t="b">
        <v>0</v>
      </c>
      <c r="B2250" s="11" t="str">
        <f>IF(D2250&lt;&gt;"",IF(COUNTIF('USPTO TMs'!A:A,D2250)&gt;0,"Yes","No"),"")</f>
        <v/>
      </c>
      <c r="C2250" s="11"/>
      <c r="D2250" s="11"/>
      <c r="E2250" s="11"/>
      <c r="F2250" s="11"/>
      <c r="G2250" s="11"/>
      <c r="H2250" s="11"/>
      <c r="I2250" s="15"/>
    </row>
    <row r="2251" spans="1:9" ht="16.5">
      <c r="A2251" s="10" t="b">
        <v>0</v>
      </c>
      <c r="B2251" s="11" t="str">
        <f>IF(D2251&lt;&gt;"",IF(COUNTIF('USPTO TMs'!A:A,D2251)&gt;0,"Yes","No"),"")</f>
        <v/>
      </c>
      <c r="C2251" s="11"/>
      <c r="D2251" s="11"/>
      <c r="E2251" s="11"/>
      <c r="F2251" s="11"/>
      <c r="G2251" s="11"/>
      <c r="H2251" s="11"/>
      <c r="I2251" s="15"/>
    </row>
    <row r="2252" spans="1:9" ht="16.5">
      <c r="A2252" s="10" t="b">
        <v>0</v>
      </c>
      <c r="B2252" s="11" t="str">
        <f>IF(D2252&lt;&gt;"",IF(COUNTIF('USPTO TMs'!A:A,D2252)&gt;0,"Yes","No"),"")</f>
        <v/>
      </c>
      <c r="C2252" s="11"/>
      <c r="D2252" s="11"/>
      <c r="E2252" s="11"/>
      <c r="F2252" s="11"/>
      <c r="G2252" s="11"/>
      <c r="H2252" s="11"/>
      <c r="I2252" s="15"/>
    </row>
    <row r="2253" spans="1:9" ht="16.5">
      <c r="A2253" s="10" t="b">
        <v>0</v>
      </c>
      <c r="B2253" s="11" t="str">
        <f>IF(D2253&lt;&gt;"",IF(COUNTIF('USPTO TMs'!A:A,D2253)&gt;0,"Yes","No"),"")</f>
        <v/>
      </c>
      <c r="C2253" s="11"/>
      <c r="D2253" s="11"/>
      <c r="E2253" s="11"/>
      <c r="F2253" s="11"/>
      <c r="G2253" s="11"/>
      <c r="H2253" s="11"/>
      <c r="I2253" s="15"/>
    </row>
    <row r="2254" spans="1:9" ht="16.5">
      <c r="A2254" s="10" t="b">
        <v>0</v>
      </c>
      <c r="B2254" s="11" t="str">
        <f>IF(D2254&lt;&gt;"",IF(COUNTIF('USPTO TMs'!A:A,D2254)&gt;0,"Yes","No"),"")</f>
        <v/>
      </c>
      <c r="C2254" s="11"/>
      <c r="D2254" s="11"/>
      <c r="E2254" s="11"/>
      <c r="F2254" s="11"/>
      <c r="G2254" s="11"/>
      <c r="H2254" s="11"/>
      <c r="I2254" s="15"/>
    </row>
    <row r="2255" spans="1:9" ht="16.5">
      <c r="A2255" s="10" t="b">
        <v>0</v>
      </c>
      <c r="B2255" s="11" t="str">
        <f>IF(D2255&lt;&gt;"",IF(COUNTIF('USPTO TMs'!A:A,D2255)&gt;0,"Yes","No"),"")</f>
        <v/>
      </c>
      <c r="C2255" s="11"/>
      <c r="D2255" s="11"/>
      <c r="E2255" s="11"/>
      <c r="F2255" s="11"/>
      <c r="G2255" s="11"/>
      <c r="H2255" s="11"/>
      <c r="I2255" s="15"/>
    </row>
    <row r="2256" spans="1:9" ht="16.5">
      <c r="A2256" s="10" t="b">
        <v>0</v>
      </c>
      <c r="B2256" s="11" t="str">
        <f>IF(D2256&lt;&gt;"",IF(COUNTIF('USPTO TMs'!A:A,D2256)&gt;0,"Yes","No"),"")</f>
        <v/>
      </c>
      <c r="C2256" s="11"/>
      <c r="D2256" s="11"/>
      <c r="E2256" s="11"/>
      <c r="F2256" s="11"/>
      <c r="G2256" s="11"/>
      <c r="H2256" s="11"/>
      <c r="I2256" s="15"/>
    </row>
    <row r="2257" spans="1:9" ht="16.5">
      <c r="A2257" s="10" t="b">
        <v>0</v>
      </c>
      <c r="B2257" s="11" t="str">
        <f>IF(D2257&lt;&gt;"",IF(COUNTIF('USPTO TMs'!A:A,D2257)&gt;0,"Yes","No"),"")</f>
        <v/>
      </c>
      <c r="C2257" s="11"/>
      <c r="D2257" s="11"/>
      <c r="E2257" s="11"/>
      <c r="F2257" s="11"/>
      <c r="G2257" s="11"/>
      <c r="H2257" s="11"/>
      <c r="I2257" s="15"/>
    </row>
    <row r="2258" spans="1:9" ht="16.5">
      <c r="A2258" s="10" t="b">
        <v>0</v>
      </c>
      <c r="B2258" s="11" t="str">
        <f>IF(D2258&lt;&gt;"",IF(COUNTIF('USPTO TMs'!A:A,D2258)&gt;0,"Yes","No"),"")</f>
        <v/>
      </c>
      <c r="C2258" s="11"/>
      <c r="D2258" s="11"/>
      <c r="E2258" s="11"/>
      <c r="F2258" s="11"/>
      <c r="G2258" s="11"/>
      <c r="H2258" s="11"/>
      <c r="I2258" s="15"/>
    </row>
    <row r="2259" spans="1:9" ht="16.5">
      <c r="A2259" s="10" t="b">
        <v>0</v>
      </c>
      <c r="B2259" s="11" t="str">
        <f>IF(D2259&lt;&gt;"",IF(COUNTIF('USPTO TMs'!A:A,D2259)&gt;0,"Yes","No"),"")</f>
        <v/>
      </c>
      <c r="C2259" s="11"/>
      <c r="D2259" s="11"/>
      <c r="E2259" s="11"/>
      <c r="F2259" s="11"/>
      <c r="G2259" s="11"/>
      <c r="H2259" s="11"/>
      <c r="I2259" s="15"/>
    </row>
    <row r="2260" spans="1:9" ht="16.5">
      <c r="A2260" s="10" t="b">
        <v>0</v>
      </c>
      <c r="B2260" s="11" t="str">
        <f>IF(D2260&lt;&gt;"",IF(COUNTIF('USPTO TMs'!A:A,D2260)&gt;0,"Yes","No"),"")</f>
        <v/>
      </c>
      <c r="C2260" s="11"/>
      <c r="D2260" s="11"/>
      <c r="E2260" s="11"/>
      <c r="F2260" s="11"/>
      <c r="G2260" s="11"/>
      <c r="H2260" s="11"/>
      <c r="I2260" s="15"/>
    </row>
    <row r="2261" spans="1:9" ht="16.5">
      <c r="A2261" s="10" t="b">
        <v>0</v>
      </c>
      <c r="B2261" s="11" t="str">
        <f>IF(D2261&lt;&gt;"",IF(COUNTIF('USPTO TMs'!A:A,D2261)&gt;0,"Yes","No"),"")</f>
        <v/>
      </c>
      <c r="C2261" s="11"/>
      <c r="D2261" s="11"/>
      <c r="E2261" s="11"/>
      <c r="F2261" s="11"/>
      <c r="G2261" s="11"/>
      <c r="H2261" s="11"/>
      <c r="I2261" s="15"/>
    </row>
    <row r="2262" spans="1:9" ht="16.5">
      <c r="A2262" s="10" t="b">
        <v>0</v>
      </c>
      <c r="B2262" s="11" t="str">
        <f>IF(D2262&lt;&gt;"",IF(COUNTIF('USPTO TMs'!A:A,D2262)&gt;0,"Yes","No"),"")</f>
        <v/>
      </c>
      <c r="C2262" s="11"/>
      <c r="D2262" s="11"/>
      <c r="E2262" s="11"/>
      <c r="F2262" s="11"/>
      <c r="G2262" s="11"/>
      <c r="H2262" s="11"/>
      <c r="I2262" s="15"/>
    </row>
    <row r="2263" spans="1:9" ht="16.5">
      <c r="A2263" s="10" t="b">
        <v>0</v>
      </c>
      <c r="B2263" s="11" t="str">
        <f>IF(D2263&lt;&gt;"",IF(COUNTIF('USPTO TMs'!A:A,D2263)&gt;0,"Yes","No"),"")</f>
        <v/>
      </c>
      <c r="C2263" s="11"/>
      <c r="D2263" s="11"/>
      <c r="E2263" s="11"/>
      <c r="F2263" s="11"/>
      <c r="G2263" s="11"/>
      <c r="H2263" s="11"/>
      <c r="I2263" s="15"/>
    </row>
    <row r="2264" spans="1:9" ht="16.5">
      <c r="A2264" s="10" t="b">
        <v>0</v>
      </c>
      <c r="B2264" s="11" t="str">
        <f>IF(D2264&lt;&gt;"",IF(COUNTIF('USPTO TMs'!A:A,D2264)&gt;0,"Yes","No"),"")</f>
        <v/>
      </c>
      <c r="C2264" s="11"/>
      <c r="D2264" s="11"/>
      <c r="E2264" s="11"/>
      <c r="F2264" s="11"/>
      <c r="G2264" s="11"/>
      <c r="H2264" s="11"/>
      <c r="I2264" s="15"/>
    </row>
    <row r="2265" spans="1:9" ht="16.5">
      <c r="A2265" s="10" t="b">
        <v>0</v>
      </c>
      <c r="B2265" s="11" t="str">
        <f>IF(D2265&lt;&gt;"",IF(COUNTIF('USPTO TMs'!A:A,D2265)&gt;0,"Yes","No"),"")</f>
        <v/>
      </c>
      <c r="C2265" s="11"/>
      <c r="D2265" s="11"/>
      <c r="E2265" s="11"/>
      <c r="F2265" s="11"/>
      <c r="G2265" s="11"/>
      <c r="H2265" s="11"/>
      <c r="I2265" s="15"/>
    </row>
    <row r="2266" spans="1:9" ht="16.5">
      <c r="A2266" s="10" t="b">
        <v>0</v>
      </c>
      <c r="B2266" s="11" t="str">
        <f>IF(D2266&lt;&gt;"",IF(COUNTIF('USPTO TMs'!A:A,D2266)&gt;0,"Yes","No"),"")</f>
        <v/>
      </c>
      <c r="C2266" s="11"/>
      <c r="D2266" s="11"/>
      <c r="E2266" s="11"/>
      <c r="F2266" s="11"/>
      <c r="G2266" s="11"/>
      <c r="H2266" s="11"/>
      <c r="I2266" s="15"/>
    </row>
    <row r="2267" spans="1:9" ht="16.5">
      <c r="A2267" s="10" t="b">
        <v>0</v>
      </c>
      <c r="B2267" s="11" t="str">
        <f>IF(D2267&lt;&gt;"",IF(COUNTIF('USPTO TMs'!A:A,D2267)&gt;0,"Yes","No"),"")</f>
        <v/>
      </c>
      <c r="C2267" s="11"/>
      <c r="D2267" s="11"/>
      <c r="E2267" s="11"/>
      <c r="F2267" s="11"/>
      <c r="G2267" s="11"/>
      <c r="H2267" s="11"/>
      <c r="I2267" s="15"/>
    </row>
    <row r="2268" spans="1:9" ht="16.5">
      <c r="A2268" s="10" t="b">
        <v>0</v>
      </c>
      <c r="B2268" s="11" t="str">
        <f>IF(D2268&lt;&gt;"",IF(COUNTIF('USPTO TMs'!A:A,D2268)&gt;0,"Yes","No"),"")</f>
        <v/>
      </c>
      <c r="C2268" s="11"/>
      <c r="D2268" s="11"/>
      <c r="E2268" s="11"/>
      <c r="F2268" s="11"/>
      <c r="G2268" s="11"/>
      <c r="H2268" s="11"/>
      <c r="I2268" s="15"/>
    </row>
    <row r="2269" spans="1:9" ht="16.5">
      <c r="A2269" s="10" t="b">
        <v>0</v>
      </c>
      <c r="B2269" s="11" t="str">
        <f>IF(D2269&lt;&gt;"",IF(COUNTIF('USPTO TMs'!A:A,D2269)&gt;0,"Yes","No"),"")</f>
        <v/>
      </c>
      <c r="C2269" s="11"/>
      <c r="D2269" s="11"/>
      <c r="E2269" s="11"/>
      <c r="F2269" s="11"/>
      <c r="G2269" s="11"/>
      <c r="H2269" s="11"/>
      <c r="I2269" s="15"/>
    </row>
    <row r="2270" spans="1:9" ht="16.5">
      <c r="A2270" s="10" t="b">
        <v>0</v>
      </c>
      <c r="B2270" s="11" t="str">
        <f>IF(D2270&lt;&gt;"",IF(COUNTIF('USPTO TMs'!A:A,D2270)&gt;0,"Yes","No"),"")</f>
        <v/>
      </c>
      <c r="C2270" s="11"/>
      <c r="D2270" s="11"/>
      <c r="E2270" s="11"/>
      <c r="F2270" s="11"/>
      <c r="G2270" s="11"/>
      <c r="H2270" s="11"/>
      <c r="I2270" s="15"/>
    </row>
    <row r="2271" spans="1:9" ht="16.5">
      <c r="A2271" s="10" t="b">
        <v>0</v>
      </c>
      <c r="B2271" s="11" t="str">
        <f>IF(D2271&lt;&gt;"",IF(COUNTIF('USPTO TMs'!A:A,D2271)&gt;0,"Yes","No"),"")</f>
        <v/>
      </c>
      <c r="C2271" s="11"/>
      <c r="D2271" s="11"/>
      <c r="E2271" s="11"/>
      <c r="F2271" s="11"/>
      <c r="G2271" s="11"/>
      <c r="H2271" s="11"/>
      <c r="I2271" s="15"/>
    </row>
    <row r="2272" spans="1:9" ht="16.5">
      <c r="A2272" s="10" t="b">
        <v>0</v>
      </c>
      <c r="B2272" s="11" t="str">
        <f>IF(D2272&lt;&gt;"",IF(COUNTIF('USPTO TMs'!A:A,D2272)&gt;0,"Yes","No"),"")</f>
        <v/>
      </c>
      <c r="C2272" s="11"/>
      <c r="D2272" s="11"/>
      <c r="E2272" s="11"/>
      <c r="F2272" s="11"/>
      <c r="G2272" s="11"/>
      <c r="H2272" s="11"/>
      <c r="I2272" s="15"/>
    </row>
    <row r="2273" spans="1:9" ht="16.5">
      <c r="A2273" s="10" t="b">
        <v>0</v>
      </c>
      <c r="B2273" s="11" t="str">
        <f>IF(D2273&lt;&gt;"",IF(COUNTIF('USPTO TMs'!A:A,D2273)&gt;0,"Yes","No"),"")</f>
        <v/>
      </c>
      <c r="C2273" s="11"/>
      <c r="D2273" s="11"/>
      <c r="E2273" s="11"/>
      <c r="F2273" s="11"/>
      <c r="G2273" s="11"/>
      <c r="H2273" s="11"/>
      <c r="I2273" s="15"/>
    </row>
    <row r="2274" spans="1:9" ht="16.5">
      <c r="A2274" s="10" t="b">
        <v>0</v>
      </c>
      <c r="B2274" s="11" t="str">
        <f>IF(D2274&lt;&gt;"",IF(COUNTIF('USPTO TMs'!A:A,D2274)&gt;0,"Yes","No"),"")</f>
        <v/>
      </c>
      <c r="C2274" s="11"/>
      <c r="D2274" s="11"/>
      <c r="E2274" s="11"/>
      <c r="F2274" s="11"/>
      <c r="G2274" s="11"/>
      <c r="H2274" s="11"/>
      <c r="I2274" s="15"/>
    </row>
    <row r="2275" spans="1:9" ht="16.5">
      <c r="A2275" s="10" t="b">
        <v>0</v>
      </c>
      <c r="B2275" s="11" t="str">
        <f>IF(D2275&lt;&gt;"",IF(COUNTIF('USPTO TMs'!A:A,D2275)&gt;0,"Yes","No"),"")</f>
        <v/>
      </c>
      <c r="C2275" s="11"/>
      <c r="D2275" s="11"/>
      <c r="E2275" s="11"/>
      <c r="F2275" s="11"/>
      <c r="G2275" s="11"/>
      <c r="H2275" s="11"/>
      <c r="I2275" s="15"/>
    </row>
    <row r="2276" spans="1:9" ht="16.5">
      <c r="A2276" s="10" t="b">
        <v>0</v>
      </c>
      <c r="B2276" s="11" t="str">
        <f>IF(D2276&lt;&gt;"",IF(COUNTIF('USPTO TMs'!A:A,D2276)&gt;0,"Yes","No"),"")</f>
        <v/>
      </c>
      <c r="C2276" s="11"/>
      <c r="D2276" s="11"/>
      <c r="E2276" s="11"/>
      <c r="F2276" s="11"/>
      <c r="G2276" s="11"/>
      <c r="H2276" s="11"/>
      <c r="I2276" s="15"/>
    </row>
    <row r="2277" spans="1:9" ht="16.5">
      <c r="A2277" s="10" t="b">
        <v>0</v>
      </c>
      <c r="B2277" s="11" t="str">
        <f>IF(D2277&lt;&gt;"",IF(COUNTIF('USPTO TMs'!A:A,D2277)&gt;0,"Yes","No"),"")</f>
        <v/>
      </c>
      <c r="C2277" s="11"/>
      <c r="D2277" s="11"/>
      <c r="E2277" s="11"/>
      <c r="F2277" s="11"/>
      <c r="G2277" s="11"/>
      <c r="H2277" s="11"/>
      <c r="I2277" s="15"/>
    </row>
    <row r="2278" spans="1:9" ht="16.5">
      <c r="A2278" s="10" t="b">
        <v>0</v>
      </c>
      <c r="B2278" s="11" t="str">
        <f>IF(D2278&lt;&gt;"",IF(COUNTIF('USPTO TMs'!A:A,D2278)&gt;0,"Yes","No"),"")</f>
        <v/>
      </c>
      <c r="C2278" s="11"/>
      <c r="D2278" s="11"/>
      <c r="E2278" s="11"/>
      <c r="F2278" s="11"/>
      <c r="G2278" s="11"/>
      <c r="H2278" s="11"/>
      <c r="I2278" s="15"/>
    </row>
    <row r="2279" spans="1:9" ht="16.5">
      <c r="A2279" s="10" t="b">
        <v>0</v>
      </c>
      <c r="B2279" s="11" t="str">
        <f>IF(D2279&lt;&gt;"",IF(COUNTIF('USPTO TMs'!A:A,D2279)&gt;0,"Yes","No"),"")</f>
        <v/>
      </c>
      <c r="C2279" s="11"/>
      <c r="D2279" s="11"/>
      <c r="E2279" s="11"/>
      <c r="F2279" s="11"/>
      <c r="G2279" s="11"/>
      <c r="H2279" s="11"/>
      <c r="I2279" s="15"/>
    </row>
    <row r="2280" spans="1:9" ht="16.5">
      <c r="A2280" s="10" t="b">
        <v>0</v>
      </c>
      <c r="B2280" s="11" t="str">
        <f>IF(D2280&lt;&gt;"",IF(COUNTIF('USPTO TMs'!A:A,D2280)&gt;0,"Yes","No"),"")</f>
        <v/>
      </c>
      <c r="C2280" s="11"/>
      <c r="D2280" s="11"/>
      <c r="E2280" s="11"/>
      <c r="F2280" s="11"/>
      <c r="G2280" s="11"/>
      <c r="H2280" s="11"/>
      <c r="I2280" s="15"/>
    </row>
    <row r="2281" spans="1:9" ht="16.5">
      <c r="A2281" s="10" t="b">
        <v>0</v>
      </c>
      <c r="B2281" s="11" t="str">
        <f>IF(D2281&lt;&gt;"",IF(COUNTIF('USPTO TMs'!A:A,D2281)&gt;0,"Yes","No"),"")</f>
        <v/>
      </c>
      <c r="C2281" s="11"/>
      <c r="D2281" s="11"/>
      <c r="E2281" s="11"/>
      <c r="F2281" s="11"/>
      <c r="G2281" s="11"/>
      <c r="H2281" s="11"/>
      <c r="I2281" s="15"/>
    </row>
    <row r="2282" spans="1:9" ht="16.5">
      <c r="A2282" s="10" t="b">
        <v>0</v>
      </c>
      <c r="B2282" s="11" t="str">
        <f>IF(D2282&lt;&gt;"",IF(COUNTIF('USPTO TMs'!A:A,D2282)&gt;0,"Yes","No"),"")</f>
        <v/>
      </c>
      <c r="C2282" s="11"/>
      <c r="D2282" s="11"/>
      <c r="E2282" s="11"/>
      <c r="F2282" s="11"/>
      <c r="G2282" s="11"/>
      <c r="H2282" s="11"/>
      <c r="I2282" s="15"/>
    </row>
    <row r="2283" spans="1:9" ht="16.5">
      <c r="A2283" s="10" t="b">
        <v>0</v>
      </c>
      <c r="B2283" s="11" t="str">
        <f>IF(D2283&lt;&gt;"",IF(COUNTIF('USPTO TMs'!A:A,D2283)&gt;0,"Yes","No"),"")</f>
        <v/>
      </c>
      <c r="C2283" s="11"/>
      <c r="D2283" s="11"/>
      <c r="E2283" s="11"/>
      <c r="F2283" s="11"/>
      <c r="G2283" s="11"/>
      <c r="H2283" s="11"/>
      <c r="I2283" s="15"/>
    </row>
    <row r="2284" spans="1:9" ht="16.5">
      <c r="A2284" s="10" t="b">
        <v>0</v>
      </c>
      <c r="B2284" s="11" t="str">
        <f>IF(D2284&lt;&gt;"",IF(COUNTIF('USPTO TMs'!A:A,D2284)&gt;0,"Yes","No"),"")</f>
        <v/>
      </c>
      <c r="C2284" s="11"/>
      <c r="D2284" s="11"/>
      <c r="E2284" s="11"/>
      <c r="F2284" s="11"/>
      <c r="G2284" s="11"/>
      <c r="H2284" s="11"/>
      <c r="I2284" s="15"/>
    </row>
    <row r="2285" spans="1:9" ht="16.5">
      <c r="A2285" s="10" t="b">
        <v>0</v>
      </c>
      <c r="B2285" s="11" t="str">
        <f>IF(D2285&lt;&gt;"",IF(COUNTIF('USPTO TMs'!A:A,D2285)&gt;0,"Yes","No"),"")</f>
        <v/>
      </c>
      <c r="C2285" s="11"/>
      <c r="D2285" s="11"/>
      <c r="E2285" s="11"/>
      <c r="F2285" s="11"/>
      <c r="G2285" s="11"/>
      <c r="H2285" s="11"/>
      <c r="I2285" s="15"/>
    </row>
    <row r="2286" spans="1:9" ht="16.5">
      <c r="A2286" s="10" t="b">
        <v>0</v>
      </c>
      <c r="B2286" s="11" t="str">
        <f>IF(D2286&lt;&gt;"",IF(COUNTIF('USPTO TMs'!A:A,D2286)&gt;0,"Yes","No"),"")</f>
        <v/>
      </c>
      <c r="C2286" s="11"/>
      <c r="D2286" s="11"/>
      <c r="E2286" s="11"/>
      <c r="F2286" s="11"/>
      <c r="G2286" s="11"/>
      <c r="H2286" s="11"/>
      <c r="I2286" s="15"/>
    </row>
    <row r="2287" spans="1:9" ht="16.5">
      <c r="A2287" s="10" t="b">
        <v>0</v>
      </c>
      <c r="B2287" s="11" t="str">
        <f>IF(D2287&lt;&gt;"",IF(COUNTIF('USPTO TMs'!A:A,D2287)&gt;0,"Yes","No"),"")</f>
        <v/>
      </c>
      <c r="C2287" s="11"/>
      <c r="D2287" s="11"/>
      <c r="E2287" s="11"/>
      <c r="F2287" s="11"/>
      <c r="G2287" s="11"/>
      <c r="H2287" s="11"/>
      <c r="I2287" s="15"/>
    </row>
    <row r="2288" spans="1:9" ht="16.5">
      <c r="A2288" s="10" t="b">
        <v>0</v>
      </c>
      <c r="B2288" s="11" t="str">
        <f>IF(D2288&lt;&gt;"",IF(COUNTIF('USPTO TMs'!A:A,D2288)&gt;0,"Yes","No"),"")</f>
        <v/>
      </c>
      <c r="C2288" s="11"/>
      <c r="D2288" s="11"/>
      <c r="E2288" s="11"/>
      <c r="F2288" s="11"/>
      <c r="G2288" s="11"/>
      <c r="H2288" s="11"/>
      <c r="I2288" s="15"/>
    </row>
    <row r="2289" spans="1:9" ht="16.5">
      <c r="A2289" s="10" t="b">
        <v>0</v>
      </c>
      <c r="B2289" s="11" t="str">
        <f>IF(D2289&lt;&gt;"",IF(COUNTIF('USPTO TMs'!A:A,D2289)&gt;0,"Yes","No"),"")</f>
        <v/>
      </c>
      <c r="C2289" s="11"/>
      <c r="D2289" s="11"/>
      <c r="E2289" s="11"/>
      <c r="F2289" s="11"/>
      <c r="G2289" s="11"/>
      <c r="H2289" s="11"/>
      <c r="I2289" s="15"/>
    </row>
    <row r="2290" spans="1:9" ht="16.5">
      <c r="A2290" s="10" t="b">
        <v>0</v>
      </c>
      <c r="B2290" s="11" t="str">
        <f>IF(D2290&lt;&gt;"",IF(COUNTIF('USPTO TMs'!A:A,D2290)&gt;0,"Yes","No"),"")</f>
        <v/>
      </c>
      <c r="C2290" s="11"/>
      <c r="D2290" s="11"/>
      <c r="E2290" s="11"/>
      <c r="F2290" s="11"/>
      <c r="G2290" s="11"/>
      <c r="H2290" s="11"/>
      <c r="I2290" s="15"/>
    </row>
    <row r="2291" spans="1:9" ht="16.5">
      <c r="A2291" s="10" t="b">
        <v>0</v>
      </c>
      <c r="B2291" s="11" t="str">
        <f>IF(D2291&lt;&gt;"",IF(COUNTIF('USPTO TMs'!A:A,D2291)&gt;0,"Yes","No"),"")</f>
        <v/>
      </c>
      <c r="C2291" s="11"/>
      <c r="D2291" s="11"/>
      <c r="E2291" s="11"/>
      <c r="F2291" s="11"/>
      <c r="G2291" s="11"/>
      <c r="H2291" s="11"/>
      <c r="I2291" s="15"/>
    </row>
    <row r="2292" spans="1:9" ht="16.5">
      <c r="A2292" s="10" t="b">
        <v>0</v>
      </c>
      <c r="B2292" s="11" t="str">
        <f>IF(D2292&lt;&gt;"",IF(COUNTIF('USPTO TMs'!A:A,D2292)&gt;0,"Yes","No"),"")</f>
        <v/>
      </c>
      <c r="C2292" s="11"/>
      <c r="D2292" s="11"/>
      <c r="E2292" s="11"/>
      <c r="F2292" s="11"/>
      <c r="G2292" s="11"/>
      <c r="H2292" s="11"/>
      <c r="I2292" s="15"/>
    </row>
    <row r="2293" spans="1:9" ht="16.5">
      <c r="A2293" s="10" t="b">
        <v>0</v>
      </c>
      <c r="B2293" s="11" t="str">
        <f>IF(D2293&lt;&gt;"",IF(COUNTIF('USPTO TMs'!A:A,D2293)&gt;0,"Yes","No"),"")</f>
        <v/>
      </c>
      <c r="C2293" s="11"/>
      <c r="D2293" s="11"/>
      <c r="E2293" s="11"/>
      <c r="F2293" s="11"/>
      <c r="G2293" s="11"/>
      <c r="H2293" s="11"/>
      <c r="I2293" s="15"/>
    </row>
    <row r="2294" spans="1:9" ht="16.5">
      <c r="A2294" s="10" t="b">
        <v>0</v>
      </c>
      <c r="B2294" s="11" t="str">
        <f>IF(D2294&lt;&gt;"",IF(COUNTIF('USPTO TMs'!A:A,D2294)&gt;0,"Yes","No"),"")</f>
        <v/>
      </c>
      <c r="C2294" s="11"/>
      <c r="D2294" s="11"/>
      <c r="E2294" s="11"/>
      <c r="F2294" s="11"/>
      <c r="G2294" s="11"/>
      <c r="H2294" s="11"/>
      <c r="I2294" s="15"/>
    </row>
    <row r="2295" spans="1:9" ht="16.5">
      <c r="A2295" s="10" t="b">
        <v>0</v>
      </c>
      <c r="B2295" s="11" t="str">
        <f>IF(D2295&lt;&gt;"",IF(COUNTIF('USPTO TMs'!A:A,D2295)&gt;0,"Yes","No"),"")</f>
        <v/>
      </c>
      <c r="C2295" s="11"/>
      <c r="D2295" s="11"/>
      <c r="E2295" s="11"/>
      <c r="F2295" s="11"/>
      <c r="G2295" s="11"/>
      <c r="H2295" s="11"/>
      <c r="I2295" s="15"/>
    </row>
    <row r="2296" spans="1:9" ht="16.5">
      <c r="A2296" s="10" t="b">
        <v>0</v>
      </c>
      <c r="B2296" s="11" t="str">
        <f>IF(D2296&lt;&gt;"",IF(COUNTIF('USPTO TMs'!A:A,D2296)&gt;0,"Yes","No"),"")</f>
        <v/>
      </c>
      <c r="C2296" s="11"/>
      <c r="D2296" s="11"/>
      <c r="E2296" s="11"/>
      <c r="F2296" s="11"/>
      <c r="G2296" s="11"/>
      <c r="H2296" s="11"/>
      <c r="I2296" s="15"/>
    </row>
    <row r="2297" spans="1:9" ht="16.5">
      <c r="A2297" s="10" t="b">
        <v>0</v>
      </c>
      <c r="B2297" s="11" t="str">
        <f>IF(D2297&lt;&gt;"",IF(COUNTIF('USPTO TMs'!A:A,D2297)&gt;0,"Yes","No"),"")</f>
        <v/>
      </c>
      <c r="C2297" s="11"/>
      <c r="D2297" s="11"/>
      <c r="E2297" s="11"/>
      <c r="F2297" s="11"/>
      <c r="G2297" s="11"/>
      <c r="H2297" s="11"/>
      <c r="I2297" s="15"/>
    </row>
    <row r="2298" spans="1:9" ht="16.5">
      <c r="A2298" s="10" t="b">
        <v>0</v>
      </c>
      <c r="B2298" s="11" t="str">
        <f>IF(D2298&lt;&gt;"",IF(COUNTIF('USPTO TMs'!A:A,D2298)&gt;0,"Yes","No"),"")</f>
        <v/>
      </c>
      <c r="C2298" s="11"/>
      <c r="D2298" s="11"/>
      <c r="E2298" s="11"/>
      <c r="F2298" s="11"/>
      <c r="G2298" s="11"/>
      <c r="H2298" s="11"/>
      <c r="I2298" s="15"/>
    </row>
    <row r="2299" spans="1:9" ht="16.5">
      <c r="A2299" s="10" t="b">
        <v>0</v>
      </c>
      <c r="B2299" s="11" t="str">
        <f>IF(D2299&lt;&gt;"",IF(COUNTIF('USPTO TMs'!A:A,D2299)&gt;0,"Yes","No"),"")</f>
        <v/>
      </c>
      <c r="C2299" s="11"/>
      <c r="D2299" s="11"/>
      <c r="E2299" s="11"/>
      <c r="F2299" s="11"/>
      <c r="G2299" s="11"/>
      <c r="H2299" s="11"/>
      <c r="I2299" s="15"/>
    </row>
    <row r="2300" spans="1:9" ht="16.5">
      <c r="A2300" s="10" t="b">
        <v>0</v>
      </c>
      <c r="B2300" s="11" t="str">
        <f>IF(D2300&lt;&gt;"",IF(COUNTIF('USPTO TMs'!A:A,D2300)&gt;0,"Yes","No"),"")</f>
        <v/>
      </c>
      <c r="C2300" s="11"/>
      <c r="D2300" s="11"/>
      <c r="E2300" s="11"/>
      <c r="F2300" s="11"/>
      <c r="G2300" s="11"/>
      <c r="H2300" s="11"/>
      <c r="I2300" s="15"/>
    </row>
    <row r="2301" spans="1:9" ht="16.5">
      <c r="A2301" s="10" t="b">
        <v>0</v>
      </c>
      <c r="B2301" s="11" t="str">
        <f>IF(D2301&lt;&gt;"",IF(COUNTIF('USPTO TMs'!A:A,D2301)&gt;0,"Yes","No"),"")</f>
        <v/>
      </c>
      <c r="C2301" s="11"/>
      <c r="D2301" s="11"/>
      <c r="E2301" s="11"/>
      <c r="F2301" s="11"/>
      <c r="G2301" s="11"/>
      <c r="H2301" s="11"/>
      <c r="I2301" s="15"/>
    </row>
    <row r="2302" spans="1:9" ht="16.5">
      <c r="A2302" s="10" t="b">
        <v>0</v>
      </c>
      <c r="B2302" s="11" t="str">
        <f>IF(D2302&lt;&gt;"",IF(COUNTIF('USPTO TMs'!A:A,D2302)&gt;0,"Yes","No"),"")</f>
        <v/>
      </c>
      <c r="C2302" s="11"/>
      <c r="D2302" s="11"/>
      <c r="E2302" s="11"/>
      <c r="F2302" s="11"/>
      <c r="G2302" s="11"/>
      <c r="H2302" s="11"/>
      <c r="I2302" s="15"/>
    </row>
    <row r="2303" spans="1:9" ht="16.5">
      <c r="A2303" s="10" t="b">
        <v>0</v>
      </c>
      <c r="B2303" s="11" t="str">
        <f>IF(D2303&lt;&gt;"",IF(COUNTIF('USPTO TMs'!A:A,D2303)&gt;0,"Yes","No"),"")</f>
        <v/>
      </c>
      <c r="C2303" s="11"/>
      <c r="D2303" s="11"/>
      <c r="E2303" s="11"/>
      <c r="F2303" s="11"/>
      <c r="G2303" s="11"/>
      <c r="H2303" s="11"/>
      <c r="I2303" s="15"/>
    </row>
    <row r="2304" spans="1:9" ht="16.5">
      <c r="A2304" s="10" t="b">
        <v>0</v>
      </c>
      <c r="B2304" s="11" t="str">
        <f>IF(D2304&lt;&gt;"",IF(COUNTIF('USPTO TMs'!A:A,D2304)&gt;0,"Yes","No"),"")</f>
        <v/>
      </c>
      <c r="C2304" s="11"/>
      <c r="D2304" s="11"/>
      <c r="E2304" s="11"/>
      <c r="F2304" s="11"/>
      <c r="G2304" s="11"/>
      <c r="H2304" s="11"/>
      <c r="I2304" s="15"/>
    </row>
    <row r="2305" spans="1:9" ht="16.5">
      <c r="A2305" s="10" t="b">
        <v>0</v>
      </c>
      <c r="B2305" s="11" t="str">
        <f>IF(D2305&lt;&gt;"",IF(COUNTIF('USPTO TMs'!A:A,D2305)&gt;0,"Yes","No"),"")</f>
        <v/>
      </c>
      <c r="C2305" s="11"/>
      <c r="D2305" s="11"/>
      <c r="E2305" s="11"/>
      <c r="F2305" s="11"/>
      <c r="G2305" s="11"/>
      <c r="H2305" s="11"/>
      <c r="I2305" s="15"/>
    </row>
    <row r="2306" spans="1:9" ht="16.5">
      <c r="A2306" s="10" t="b">
        <v>0</v>
      </c>
      <c r="B2306" s="11" t="str">
        <f>IF(D2306&lt;&gt;"",IF(COUNTIF('USPTO TMs'!A:A,D2306)&gt;0,"Yes","No"),"")</f>
        <v/>
      </c>
      <c r="C2306" s="11"/>
      <c r="D2306" s="11"/>
      <c r="E2306" s="11"/>
      <c r="F2306" s="11"/>
      <c r="G2306" s="11"/>
      <c r="H2306" s="11"/>
      <c r="I2306" s="15"/>
    </row>
    <row r="2307" spans="1:9" ht="16.5">
      <c r="A2307" s="10" t="b">
        <v>0</v>
      </c>
      <c r="B2307" s="11" t="str">
        <f>IF(D2307&lt;&gt;"",IF(COUNTIF('USPTO TMs'!A:A,D2307)&gt;0,"Yes","No"),"")</f>
        <v/>
      </c>
      <c r="C2307" s="11"/>
      <c r="D2307" s="11"/>
      <c r="E2307" s="11"/>
      <c r="F2307" s="11"/>
      <c r="G2307" s="11"/>
      <c r="H2307" s="11"/>
      <c r="I2307" s="15"/>
    </row>
    <row r="2308" spans="1:9" ht="16.5">
      <c r="A2308" s="10" t="b">
        <v>0</v>
      </c>
      <c r="B2308" s="11" t="str">
        <f>IF(D2308&lt;&gt;"",IF(COUNTIF('USPTO TMs'!A:A,D2308)&gt;0,"Yes","No"),"")</f>
        <v/>
      </c>
      <c r="C2308" s="11"/>
      <c r="D2308" s="11"/>
      <c r="E2308" s="11"/>
      <c r="F2308" s="11"/>
      <c r="G2308" s="11"/>
      <c r="H2308" s="11"/>
      <c r="I2308" s="15"/>
    </row>
    <row r="2309" spans="1:9" ht="16.5">
      <c r="A2309" s="10" t="b">
        <v>0</v>
      </c>
      <c r="B2309" s="11" t="str">
        <f>IF(D2309&lt;&gt;"",IF(COUNTIF('USPTO TMs'!A:A,D2309)&gt;0,"Yes","No"),"")</f>
        <v/>
      </c>
      <c r="C2309" s="11"/>
      <c r="D2309" s="11"/>
      <c r="E2309" s="11"/>
      <c r="F2309" s="11"/>
      <c r="G2309" s="11"/>
      <c r="H2309" s="11"/>
      <c r="I2309" s="15"/>
    </row>
    <row r="2310" spans="1:9" ht="16.5">
      <c r="A2310" s="10" t="b">
        <v>0</v>
      </c>
      <c r="B2310" s="11" t="str">
        <f>IF(D2310&lt;&gt;"",IF(COUNTIF('USPTO TMs'!A:A,D2310)&gt;0,"Yes","No"),"")</f>
        <v/>
      </c>
      <c r="C2310" s="11"/>
      <c r="D2310" s="11"/>
      <c r="E2310" s="11"/>
      <c r="F2310" s="11"/>
      <c r="G2310" s="11"/>
      <c r="H2310" s="11"/>
      <c r="I2310" s="15"/>
    </row>
    <row r="2311" spans="1:9" ht="16.5">
      <c r="A2311" s="10" t="b">
        <v>0</v>
      </c>
      <c r="B2311" s="11" t="str">
        <f>IF(D2311&lt;&gt;"",IF(COUNTIF('USPTO TMs'!A:A,D2311)&gt;0,"Yes","No"),"")</f>
        <v/>
      </c>
      <c r="C2311" s="11"/>
      <c r="D2311" s="11"/>
      <c r="E2311" s="11"/>
      <c r="F2311" s="11"/>
      <c r="G2311" s="11"/>
      <c r="H2311" s="11"/>
      <c r="I2311" s="15"/>
    </row>
    <row r="2312" spans="1:9" ht="16.5">
      <c r="A2312" s="10" t="b">
        <v>0</v>
      </c>
      <c r="B2312" s="11" t="str">
        <f>IF(D2312&lt;&gt;"",IF(COUNTIF('USPTO TMs'!A:A,D2312)&gt;0,"Yes","No"),"")</f>
        <v/>
      </c>
      <c r="C2312" s="11"/>
      <c r="D2312" s="11"/>
      <c r="E2312" s="11"/>
      <c r="F2312" s="11"/>
      <c r="G2312" s="11"/>
      <c r="H2312" s="11"/>
      <c r="I2312" s="15"/>
    </row>
    <row r="2313" spans="1:9" ht="16.5">
      <c r="A2313" s="10" t="b">
        <v>0</v>
      </c>
      <c r="B2313" s="11" t="str">
        <f>IF(D2313&lt;&gt;"",IF(COUNTIF('USPTO TMs'!A:A,D2313)&gt;0,"Yes","No"),"")</f>
        <v/>
      </c>
      <c r="C2313" s="11"/>
      <c r="D2313" s="11"/>
      <c r="E2313" s="11"/>
      <c r="F2313" s="11"/>
      <c r="G2313" s="11"/>
      <c r="H2313" s="11"/>
      <c r="I2313" s="15"/>
    </row>
    <row r="2314" spans="1:9" ht="16.5">
      <c r="A2314" s="10" t="b">
        <v>0</v>
      </c>
      <c r="B2314" s="11" t="str">
        <f>IF(D2314&lt;&gt;"",IF(COUNTIF('USPTO TMs'!A:A,D2314)&gt;0,"Yes","No"),"")</f>
        <v/>
      </c>
      <c r="C2314" s="11"/>
      <c r="D2314" s="11"/>
      <c r="E2314" s="11"/>
      <c r="F2314" s="11"/>
      <c r="G2314" s="11"/>
      <c r="H2314" s="11"/>
      <c r="I2314" s="15"/>
    </row>
    <row r="2315" spans="1:9" ht="16.5">
      <c r="A2315" s="10" t="b">
        <v>0</v>
      </c>
      <c r="B2315" s="11" t="str">
        <f>IF(D2315&lt;&gt;"",IF(COUNTIF('USPTO TMs'!A:A,D2315)&gt;0,"Yes","No"),"")</f>
        <v/>
      </c>
      <c r="C2315" s="11"/>
      <c r="D2315" s="11"/>
      <c r="E2315" s="11"/>
      <c r="F2315" s="11"/>
      <c r="G2315" s="11"/>
      <c r="H2315" s="11"/>
      <c r="I2315" s="15"/>
    </row>
    <row r="2316" spans="1:9" ht="16.5">
      <c r="A2316" s="10" t="b">
        <v>0</v>
      </c>
      <c r="B2316" s="11" t="str">
        <f>IF(D2316&lt;&gt;"",IF(COUNTIF('USPTO TMs'!A:A,D2316)&gt;0,"Yes","No"),"")</f>
        <v/>
      </c>
      <c r="C2316" s="11"/>
      <c r="D2316" s="11"/>
      <c r="E2316" s="11"/>
      <c r="F2316" s="11"/>
      <c r="G2316" s="11"/>
      <c r="H2316" s="11"/>
      <c r="I2316" s="15"/>
    </row>
    <row r="2317" spans="1:9" ht="16.5">
      <c r="A2317" s="10" t="b">
        <v>0</v>
      </c>
      <c r="B2317" s="11" t="str">
        <f>IF(D2317&lt;&gt;"",IF(COUNTIF('USPTO TMs'!A:A,D2317)&gt;0,"Yes","No"),"")</f>
        <v/>
      </c>
      <c r="C2317" s="11"/>
      <c r="D2317" s="11"/>
      <c r="E2317" s="11"/>
      <c r="F2317" s="11"/>
      <c r="G2317" s="11"/>
      <c r="H2317" s="11"/>
      <c r="I2317" s="15"/>
    </row>
    <row r="2318" spans="1:9" ht="16.5">
      <c r="A2318" s="10" t="b">
        <v>0</v>
      </c>
      <c r="B2318" s="11" t="str">
        <f>IF(D2318&lt;&gt;"",IF(COUNTIF('USPTO TMs'!A:A,D2318)&gt;0,"Yes","No"),"")</f>
        <v/>
      </c>
      <c r="C2318" s="11"/>
      <c r="D2318" s="11"/>
      <c r="E2318" s="11"/>
      <c r="F2318" s="11"/>
      <c r="G2318" s="11"/>
      <c r="H2318" s="11"/>
      <c r="I2318" s="15"/>
    </row>
    <row r="2319" spans="1:9" ht="16.5">
      <c r="A2319" s="10" t="b">
        <v>0</v>
      </c>
      <c r="B2319" s="11" t="str">
        <f>IF(D2319&lt;&gt;"",IF(COUNTIF('USPTO TMs'!A:A,D2319)&gt;0,"Yes","No"),"")</f>
        <v/>
      </c>
      <c r="C2319" s="11"/>
      <c r="D2319" s="11"/>
      <c r="E2319" s="11"/>
      <c r="F2319" s="11"/>
      <c r="G2319" s="11"/>
      <c r="H2319" s="11"/>
      <c r="I2319" s="15"/>
    </row>
    <row r="2320" spans="1:9" ht="16.5">
      <c r="A2320" s="10" t="b">
        <v>0</v>
      </c>
      <c r="B2320" s="11" t="str">
        <f>IF(D2320&lt;&gt;"",IF(COUNTIF('USPTO TMs'!A:A,D2320)&gt;0,"Yes","No"),"")</f>
        <v/>
      </c>
      <c r="C2320" s="11"/>
      <c r="D2320" s="11"/>
      <c r="E2320" s="11"/>
      <c r="F2320" s="11"/>
      <c r="G2320" s="11"/>
      <c r="H2320" s="11"/>
      <c r="I2320" s="15"/>
    </row>
    <row r="2321" spans="1:9" ht="16.5">
      <c r="A2321" s="10" t="b">
        <v>0</v>
      </c>
      <c r="B2321" s="11" t="str">
        <f>IF(D2321&lt;&gt;"",IF(COUNTIF('USPTO TMs'!A:A,D2321)&gt;0,"Yes","No"),"")</f>
        <v/>
      </c>
      <c r="C2321" s="11"/>
      <c r="D2321" s="11"/>
      <c r="E2321" s="11"/>
      <c r="F2321" s="11"/>
      <c r="G2321" s="11"/>
      <c r="H2321" s="11"/>
      <c r="I2321" s="15"/>
    </row>
    <row r="2322" spans="1:9" ht="16.5">
      <c r="A2322" s="10" t="b">
        <v>0</v>
      </c>
      <c r="B2322" s="11" t="str">
        <f>IF(D2322&lt;&gt;"",IF(COUNTIF('USPTO TMs'!A:A,D2322)&gt;0,"Yes","No"),"")</f>
        <v/>
      </c>
      <c r="C2322" s="11"/>
      <c r="D2322" s="11"/>
      <c r="E2322" s="11"/>
      <c r="F2322" s="11"/>
      <c r="G2322" s="11"/>
      <c r="H2322" s="11"/>
      <c r="I2322" s="15"/>
    </row>
    <row r="2323" spans="1:9" ht="16.5">
      <c r="A2323" s="10" t="b">
        <v>0</v>
      </c>
      <c r="B2323" s="11" t="str">
        <f>IF(D2323&lt;&gt;"",IF(COUNTIF('USPTO TMs'!A:A,D2323)&gt;0,"Yes","No"),"")</f>
        <v/>
      </c>
      <c r="C2323" s="11"/>
      <c r="D2323" s="11"/>
      <c r="E2323" s="11"/>
      <c r="F2323" s="11"/>
      <c r="G2323" s="11"/>
      <c r="H2323" s="11"/>
      <c r="I2323" s="15"/>
    </row>
    <row r="2324" spans="1:9" ht="16.5">
      <c r="A2324" s="10" t="b">
        <v>0</v>
      </c>
      <c r="B2324" s="11" t="str">
        <f>IF(D2324&lt;&gt;"",IF(COUNTIF('USPTO TMs'!A:A,D2324)&gt;0,"Yes","No"),"")</f>
        <v/>
      </c>
      <c r="C2324" s="11"/>
      <c r="D2324" s="11"/>
      <c r="E2324" s="11"/>
      <c r="F2324" s="11"/>
      <c r="G2324" s="11"/>
      <c r="H2324" s="11"/>
      <c r="I2324" s="15"/>
    </row>
    <row r="2325" spans="1:9" ht="16.5">
      <c r="A2325" s="10" t="b">
        <v>0</v>
      </c>
      <c r="B2325" s="11" t="str">
        <f>IF(D2325&lt;&gt;"",IF(COUNTIF('USPTO TMs'!A:A,D2325)&gt;0,"Yes","No"),"")</f>
        <v/>
      </c>
      <c r="C2325" s="11"/>
      <c r="D2325" s="11"/>
      <c r="E2325" s="11"/>
      <c r="F2325" s="11"/>
      <c r="G2325" s="11"/>
      <c r="H2325" s="11"/>
      <c r="I2325" s="15"/>
    </row>
    <row r="2326" spans="1:9" ht="16.5">
      <c r="A2326" s="10" t="b">
        <v>0</v>
      </c>
      <c r="B2326" s="11" t="str">
        <f>IF(D2326&lt;&gt;"",IF(COUNTIF('USPTO TMs'!A:A,D2326)&gt;0,"Yes","No"),"")</f>
        <v/>
      </c>
      <c r="C2326" s="11"/>
      <c r="D2326" s="11"/>
      <c r="E2326" s="11"/>
      <c r="F2326" s="11"/>
      <c r="G2326" s="11"/>
      <c r="H2326" s="11"/>
      <c r="I2326" s="15"/>
    </row>
    <row r="2327" spans="1:9" ht="16.5">
      <c r="A2327" s="10" t="b">
        <v>0</v>
      </c>
      <c r="B2327" s="11" t="str">
        <f>IF(D2327&lt;&gt;"",IF(COUNTIF('USPTO TMs'!A:A,D2327)&gt;0,"Yes","No"),"")</f>
        <v/>
      </c>
      <c r="C2327" s="11"/>
      <c r="D2327" s="11"/>
      <c r="E2327" s="11"/>
      <c r="F2327" s="11"/>
      <c r="G2327" s="11"/>
      <c r="H2327" s="11"/>
      <c r="I2327" s="15"/>
    </row>
    <row r="2328" spans="1:9" ht="16.5">
      <c r="A2328" s="10" t="b">
        <v>0</v>
      </c>
      <c r="B2328" s="11" t="str">
        <f>IF(D2328&lt;&gt;"",IF(COUNTIF('USPTO TMs'!A:A,D2328)&gt;0,"Yes","No"),"")</f>
        <v/>
      </c>
      <c r="C2328" s="11"/>
      <c r="D2328" s="11"/>
      <c r="E2328" s="11"/>
      <c r="F2328" s="11"/>
      <c r="G2328" s="11"/>
      <c r="H2328" s="11"/>
      <c r="I2328" s="15"/>
    </row>
    <row r="2329" spans="1:9" ht="16.5">
      <c r="A2329" s="10" t="b">
        <v>0</v>
      </c>
      <c r="B2329" s="11" t="str">
        <f>IF(D2329&lt;&gt;"",IF(COUNTIF('USPTO TMs'!A:A,D2329)&gt;0,"Yes","No"),"")</f>
        <v/>
      </c>
      <c r="C2329" s="11"/>
      <c r="D2329" s="11"/>
      <c r="E2329" s="11"/>
      <c r="F2329" s="11"/>
      <c r="G2329" s="11"/>
      <c r="H2329" s="11"/>
      <c r="I2329" s="15"/>
    </row>
    <row r="2330" spans="1:9" ht="16.5">
      <c r="A2330" s="10" t="b">
        <v>0</v>
      </c>
      <c r="B2330" s="11" t="str">
        <f>IF(D2330&lt;&gt;"",IF(COUNTIF('USPTO TMs'!A:A,D2330)&gt;0,"Yes","No"),"")</f>
        <v/>
      </c>
      <c r="C2330" s="11"/>
      <c r="D2330" s="11"/>
      <c r="E2330" s="11"/>
      <c r="F2330" s="11"/>
      <c r="G2330" s="11"/>
      <c r="H2330" s="11"/>
      <c r="I2330" s="15"/>
    </row>
    <row r="2331" spans="1:9" ht="16.5">
      <c r="A2331" s="10" t="b">
        <v>0</v>
      </c>
      <c r="B2331" s="11" t="str">
        <f>IF(D2331&lt;&gt;"",IF(COUNTIF('USPTO TMs'!A:A,D2331)&gt;0,"Yes","No"),"")</f>
        <v/>
      </c>
      <c r="C2331" s="11"/>
      <c r="D2331" s="11"/>
      <c r="E2331" s="11"/>
      <c r="F2331" s="11"/>
      <c r="G2331" s="11"/>
      <c r="H2331" s="11"/>
      <c r="I2331" s="15"/>
    </row>
    <row r="2332" spans="1:9" ht="16.5">
      <c r="A2332" s="10" t="b">
        <v>0</v>
      </c>
      <c r="B2332" s="11" t="str">
        <f>IF(D2332&lt;&gt;"",IF(COUNTIF('USPTO TMs'!A:A,D2332)&gt;0,"Yes","No"),"")</f>
        <v/>
      </c>
      <c r="C2332" s="11"/>
      <c r="D2332" s="11"/>
      <c r="E2332" s="11"/>
      <c r="F2332" s="11"/>
      <c r="G2332" s="11"/>
      <c r="H2332" s="11"/>
      <c r="I2332" s="15"/>
    </row>
    <row r="2333" spans="1:9" ht="16.5">
      <c r="A2333" s="10" t="b">
        <v>0</v>
      </c>
      <c r="B2333" s="11" t="str">
        <f>IF(D2333&lt;&gt;"",IF(COUNTIF('USPTO TMs'!A:A,D2333)&gt;0,"Yes","No"),"")</f>
        <v/>
      </c>
      <c r="C2333" s="11"/>
      <c r="D2333" s="11"/>
      <c r="E2333" s="11"/>
      <c r="F2333" s="11"/>
      <c r="G2333" s="11"/>
      <c r="H2333" s="11"/>
      <c r="I2333" s="15"/>
    </row>
    <row r="2334" spans="1:9" ht="16.5">
      <c r="A2334" s="10" t="b">
        <v>0</v>
      </c>
      <c r="B2334" s="11" t="str">
        <f>IF(D2334&lt;&gt;"",IF(COUNTIF('USPTO TMs'!A:A,D2334)&gt;0,"Yes","No"),"")</f>
        <v/>
      </c>
      <c r="C2334" s="11"/>
      <c r="D2334" s="11"/>
      <c r="E2334" s="11"/>
      <c r="F2334" s="11"/>
      <c r="G2334" s="11"/>
      <c r="H2334" s="11"/>
      <c r="I2334" s="15"/>
    </row>
    <row r="2335" spans="1:9" ht="16.5">
      <c r="A2335" s="10" t="b">
        <v>0</v>
      </c>
      <c r="B2335" s="11" t="str">
        <f>IF(D2335&lt;&gt;"",IF(COUNTIF('USPTO TMs'!A:A,D2335)&gt;0,"Yes","No"),"")</f>
        <v/>
      </c>
      <c r="C2335" s="11"/>
      <c r="D2335" s="11"/>
      <c r="E2335" s="11"/>
      <c r="F2335" s="11"/>
      <c r="G2335" s="11"/>
      <c r="H2335" s="11"/>
      <c r="I2335" s="15"/>
    </row>
    <row r="2336" spans="1:9" ht="16.5">
      <c r="A2336" s="10" t="b">
        <v>0</v>
      </c>
      <c r="B2336" s="11" t="str">
        <f>IF(D2336&lt;&gt;"",IF(COUNTIF('USPTO TMs'!A:A,D2336)&gt;0,"Yes","No"),"")</f>
        <v/>
      </c>
      <c r="C2336" s="11"/>
      <c r="D2336" s="11"/>
      <c r="E2336" s="11"/>
      <c r="F2336" s="11"/>
      <c r="G2336" s="11"/>
      <c r="H2336" s="11"/>
      <c r="I2336" s="15"/>
    </row>
    <row r="2337" spans="1:9" ht="16.5">
      <c r="A2337" s="10" t="b">
        <v>0</v>
      </c>
      <c r="B2337" s="11" t="str">
        <f>IF(D2337&lt;&gt;"",IF(COUNTIF('USPTO TMs'!A:A,D2337)&gt;0,"Yes","No"),"")</f>
        <v/>
      </c>
      <c r="C2337" s="11"/>
      <c r="D2337" s="11"/>
      <c r="E2337" s="11"/>
      <c r="F2337" s="11"/>
      <c r="G2337" s="11"/>
      <c r="H2337" s="11"/>
      <c r="I2337" s="15"/>
    </row>
    <row r="2338" spans="1:9" ht="16.5">
      <c r="A2338" s="10" t="b">
        <v>0</v>
      </c>
      <c r="B2338" s="11" t="str">
        <f>IF(D2338&lt;&gt;"",IF(COUNTIF('USPTO TMs'!A:A,D2338)&gt;0,"Yes","No"),"")</f>
        <v/>
      </c>
      <c r="C2338" s="11"/>
      <c r="D2338" s="11"/>
      <c r="E2338" s="11"/>
      <c r="F2338" s="11"/>
      <c r="G2338" s="11"/>
      <c r="H2338" s="11"/>
      <c r="I2338" s="15"/>
    </row>
    <row r="2339" spans="1:9" ht="16.5">
      <c r="A2339" s="10" t="b">
        <v>0</v>
      </c>
      <c r="B2339" s="11" t="str">
        <f>IF(D2339&lt;&gt;"",IF(COUNTIF('USPTO TMs'!A:A,D2339)&gt;0,"Yes","No"),"")</f>
        <v/>
      </c>
      <c r="C2339" s="11"/>
      <c r="D2339" s="11"/>
      <c r="E2339" s="11"/>
      <c r="F2339" s="11"/>
      <c r="G2339" s="11"/>
      <c r="H2339" s="11"/>
      <c r="I2339" s="15"/>
    </row>
    <row r="2340" spans="1:9" ht="16.5">
      <c r="A2340" s="10" t="b">
        <v>0</v>
      </c>
      <c r="B2340" s="11" t="str">
        <f>IF(D2340&lt;&gt;"",IF(COUNTIF('USPTO TMs'!A:A,D2340)&gt;0,"Yes","No"),"")</f>
        <v/>
      </c>
      <c r="C2340" s="11"/>
      <c r="D2340" s="11"/>
      <c r="E2340" s="11"/>
      <c r="F2340" s="11"/>
      <c r="G2340" s="11"/>
      <c r="H2340" s="11"/>
      <c r="I2340" s="15"/>
    </row>
    <row r="2341" spans="1:9" ht="16.5">
      <c r="A2341" s="10" t="b">
        <v>0</v>
      </c>
      <c r="B2341" s="11" t="str">
        <f>IF(D2341&lt;&gt;"",IF(COUNTIF('USPTO TMs'!A:A,D2341)&gt;0,"Yes","No"),"")</f>
        <v/>
      </c>
      <c r="C2341" s="11"/>
      <c r="D2341" s="11"/>
      <c r="E2341" s="11"/>
      <c r="F2341" s="11"/>
      <c r="G2341" s="11"/>
      <c r="H2341" s="11"/>
      <c r="I2341" s="15"/>
    </row>
    <row r="2342" spans="1:9" ht="16.5">
      <c r="A2342" s="10" t="b">
        <v>0</v>
      </c>
      <c r="B2342" s="11" t="str">
        <f>IF(D2342&lt;&gt;"",IF(COUNTIF('USPTO TMs'!A:A,D2342)&gt;0,"Yes","No"),"")</f>
        <v/>
      </c>
      <c r="C2342" s="11"/>
      <c r="D2342" s="11"/>
      <c r="E2342" s="11"/>
      <c r="F2342" s="11"/>
      <c r="G2342" s="11"/>
      <c r="H2342" s="11"/>
      <c r="I2342" s="15"/>
    </row>
    <row r="2343" spans="1:9" ht="16.5">
      <c r="A2343" s="10" t="b">
        <v>0</v>
      </c>
      <c r="B2343" s="11" t="str">
        <f>IF(D2343&lt;&gt;"",IF(COUNTIF('USPTO TMs'!A:A,D2343)&gt;0,"Yes","No"),"")</f>
        <v/>
      </c>
      <c r="C2343" s="11"/>
      <c r="D2343" s="11"/>
      <c r="E2343" s="11"/>
      <c r="F2343" s="11"/>
      <c r="G2343" s="11"/>
      <c r="H2343" s="11"/>
      <c r="I2343" s="15"/>
    </row>
    <row r="2344" spans="1:9" ht="16.5">
      <c r="A2344" s="10" t="b">
        <v>0</v>
      </c>
      <c r="B2344" s="11" t="str">
        <f>IF(D2344&lt;&gt;"",IF(COUNTIF('USPTO TMs'!A:A,D2344)&gt;0,"Yes","No"),"")</f>
        <v/>
      </c>
      <c r="C2344" s="11"/>
      <c r="D2344" s="11"/>
      <c r="E2344" s="11"/>
      <c r="F2344" s="11"/>
      <c r="G2344" s="11"/>
      <c r="H2344" s="11"/>
      <c r="I2344" s="15"/>
    </row>
    <row r="2345" spans="1:9" ht="16.5">
      <c r="A2345" s="10" t="b">
        <v>0</v>
      </c>
      <c r="B2345" s="11" t="str">
        <f>IF(D2345&lt;&gt;"",IF(COUNTIF('USPTO TMs'!A:A,D2345)&gt;0,"Yes","No"),"")</f>
        <v/>
      </c>
      <c r="C2345" s="11"/>
      <c r="D2345" s="11"/>
      <c r="E2345" s="11"/>
      <c r="F2345" s="11"/>
      <c r="G2345" s="11"/>
      <c r="H2345" s="11"/>
      <c r="I2345" s="15"/>
    </row>
    <row r="2346" spans="1:9" ht="16.5">
      <c r="A2346" s="10" t="b">
        <v>0</v>
      </c>
      <c r="B2346" s="11" t="str">
        <f>IF(D2346&lt;&gt;"",IF(COUNTIF('USPTO TMs'!A:A,D2346)&gt;0,"Yes","No"),"")</f>
        <v/>
      </c>
      <c r="C2346" s="11"/>
      <c r="D2346" s="11"/>
      <c r="E2346" s="11"/>
      <c r="F2346" s="11"/>
      <c r="G2346" s="11"/>
      <c r="H2346" s="11"/>
      <c r="I2346" s="15"/>
    </row>
    <row r="2347" spans="1:9" ht="16.5">
      <c r="A2347" s="10" t="b">
        <v>0</v>
      </c>
      <c r="B2347" s="11" t="str">
        <f>IF(D2347&lt;&gt;"",IF(COUNTIF('USPTO TMs'!A:A,D2347)&gt;0,"Yes","No"),"")</f>
        <v/>
      </c>
      <c r="C2347" s="11"/>
      <c r="D2347" s="11"/>
      <c r="E2347" s="11"/>
      <c r="F2347" s="11"/>
      <c r="G2347" s="11"/>
      <c r="H2347" s="11"/>
      <c r="I2347" s="15"/>
    </row>
    <row r="2348" spans="1:9" ht="16.5">
      <c r="A2348" s="10" t="b">
        <v>0</v>
      </c>
      <c r="B2348" s="11" t="str">
        <f>IF(D2348&lt;&gt;"",IF(COUNTIF('USPTO TMs'!A:A,D2348)&gt;0,"Yes","No"),"")</f>
        <v/>
      </c>
      <c r="C2348" s="11"/>
      <c r="D2348" s="11"/>
      <c r="E2348" s="11"/>
      <c r="F2348" s="11"/>
      <c r="G2348" s="11"/>
      <c r="H2348" s="11"/>
      <c r="I2348" s="15"/>
    </row>
    <row r="2349" spans="1:9" ht="16.5">
      <c r="A2349" s="10" t="b">
        <v>0</v>
      </c>
      <c r="B2349" s="11" t="str">
        <f>IF(D2349&lt;&gt;"",IF(COUNTIF('USPTO TMs'!A:A,D2349)&gt;0,"Yes","No"),"")</f>
        <v/>
      </c>
      <c r="C2349" s="11"/>
      <c r="D2349" s="11"/>
      <c r="E2349" s="11"/>
      <c r="F2349" s="11"/>
      <c r="G2349" s="11"/>
      <c r="H2349" s="11"/>
      <c r="I2349" s="15"/>
    </row>
    <row r="2350" spans="1:9" ht="16.5">
      <c r="A2350" s="10" t="b">
        <v>0</v>
      </c>
      <c r="B2350" s="11" t="str">
        <f>IF(D2350&lt;&gt;"",IF(COUNTIF('USPTO TMs'!A:A,D2350)&gt;0,"Yes","No"),"")</f>
        <v/>
      </c>
      <c r="C2350" s="11"/>
      <c r="D2350" s="11"/>
      <c r="E2350" s="11"/>
      <c r="F2350" s="11"/>
      <c r="G2350" s="11"/>
      <c r="H2350" s="11"/>
      <c r="I2350" s="15"/>
    </row>
    <row r="2351" spans="1:9" ht="16.5">
      <c r="A2351" s="10" t="b">
        <v>0</v>
      </c>
      <c r="B2351" s="11" t="str">
        <f>IF(D2351&lt;&gt;"",IF(COUNTIF('USPTO TMs'!A:A,D2351)&gt;0,"Yes","No"),"")</f>
        <v/>
      </c>
      <c r="C2351" s="11"/>
      <c r="D2351" s="11"/>
      <c r="E2351" s="11"/>
      <c r="F2351" s="11"/>
      <c r="G2351" s="11"/>
      <c r="H2351" s="11"/>
      <c r="I2351" s="15"/>
    </row>
    <row r="2352" spans="1:9" ht="16.5">
      <c r="A2352" s="10" t="b">
        <v>0</v>
      </c>
      <c r="B2352" s="11" t="str">
        <f>IF(D2352&lt;&gt;"",IF(COUNTIF('USPTO TMs'!A:A,D2352)&gt;0,"Yes","No"),"")</f>
        <v/>
      </c>
      <c r="C2352" s="11"/>
      <c r="D2352" s="11"/>
      <c r="E2352" s="11"/>
      <c r="F2352" s="11"/>
      <c r="G2352" s="11"/>
      <c r="H2352" s="11"/>
      <c r="I2352" s="15"/>
    </row>
    <row r="2353" spans="1:9" ht="16.5">
      <c r="A2353" s="10" t="b">
        <v>0</v>
      </c>
      <c r="B2353" s="11" t="str">
        <f>IF(D2353&lt;&gt;"",IF(COUNTIF('USPTO TMs'!A:A,D2353)&gt;0,"Yes","No"),"")</f>
        <v/>
      </c>
      <c r="C2353" s="11"/>
      <c r="D2353" s="11"/>
      <c r="E2353" s="11"/>
      <c r="F2353" s="11"/>
      <c r="G2353" s="11"/>
      <c r="H2353" s="11"/>
      <c r="I2353" s="15"/>
    </row>
    <row r="2354" spans="1:9" ht="16.5">
      <c r="A2354" s="10" t="b">
        <v>0</v>
      </c>
      <c r="B2354" s="11" t="str">
        <f>IF(D2354&lt;&gt;"",IF(COUNTIF('USPTO TMs'!A:A,D2354)&gt;0,"Yes","No"),"")</f>
        <v/>
      </c>
      <c r="C2354" s="11"/>
      <c r="D2354" s="11"/>
      <c r="E2354" s="11"/>
      <c r="F2354" s="11"/>
      <c r="G2354" s="11"/>
      <c r="H2354" s="11"/>
      <c r="I2354" s="15"/>
    </row>
    <row r="2355" spans="1:9" ht="16.5">
      <c r="A2355" s="10" t="b">
        <v>0</v>
      </c>
      <c r="B2355" s="11" t="str">
        <f>IF(D2355&lt;&gt;"",IF(COUNTIF('USPTO TMs'!A:A,D2355)&gt;0,"Yes","No"),"")</f>
        <v/>
      </c>
      <c r="C2355" s="11"/>
      <c r="D2355" s="11"/>
      <c r="E2355" s="11"/>
      <c r="F2355" s="11"/>
      <c r="G2355" s="11"/>
      <c r="H2355" s="11"/>
      <c r="I2355" s="15"/>
    </row>
    <row r="2356" spans="1:9" ht="16.5">
      <c r="A2356" s="10" t="b">
        <v>0</v>
      </c>
      <c r="B2356" s="11" t="str">
        <f>IF(D2356&lt;&gt;"",IF(COUNTIF('USPTO TMs'!A:A,D2356)&gt;0,"Yes","No"),"")</f>
        <v/>
      </c>
      <c r="C2356" s="11"/>
      <c r="D2356" s="11"/>
      <c r="E2356" s="11"/>
      <c r="F2356" s="11"/>
      <c r="G2356" s="11"/>
      <c r="H2356" s="11"/>
      <c r="I2356" s="15"/>
    </row>
    <row r="2357" spans="1:9" ht="16.5">
      <c r="A2357" s="10" t="b">
        <v>0</v>
      </c>
      <c r="B2357" s="11" t="str">
        <f>IF(D2357&lt;&gt;"",IF(COUNTIF('USPTO TMs'!A:A,D2357)&gt;0,"Yes","No"),"")</f>
        <v/>
      </c>
      <c r="C2357" s="11"/>
      <c r="D2357" s="11"/>
      <c r="E2357" s="11"/>
      <c r="F2357" s="11"/>
      <c r="G2357" s="11"/>
      <c r="H2357" s="11"/>
      <c r="I2357" s="15"/>
    </row>
    <row r="2358" spans="1:9" ht="16.5">
      <c r="A2358" s="10" t="b">
        <v>0</v>
      </c>
      <c r="B2358" s="11" t="str">
        <f>IF(D2358&lt;&gt;"",IF(COUNTIF('USPTO TMs'!A:A,D2358)&gt;0,"Yes","No"),"")</f>
        <v/>
      </c>
      <c r="C2358" s="11"/>
      <c r="D2358" s="11"/>
      <c r="E2358" s="11"/>
      <c r="F2358" s="11"/>
      <c r="G2358" s="11"/>
      <c r="H2358" s="11"/>
      <c r="I2358" s="15"/>
    </row>
    <row r="2359" spans="1:9" ht="16.5">
      <c r="A2359" s="10" t="b">
        <v>0</v>
      </c>
      <c r="B2359" s="11" t="str">
        <f>IF(D2359&lt;&gt;"",IF(COUNTIF('USPTO TMs'!A:A,D2359)&gt;0,"Yes","No"),"")</f>
        <v/>
      </c>
      <c r="C2359" s="11"/>
      <c r="D2359" s="11"/>
      <c r="E2359" s="11"/>
      <c r="F2359" s="11"/>
      <c r="G2359" s="11"/>
      <c r="H2359" s="11"/>
      <c r="I2359" s="15"/>
    </row>
    <row r="2360" spans="1:9" ht="16.5">
      <c r="A2360" s="10" t="b">
        <v>0</v>
      </c>
      <c r="B2360" s="11" t="str">
        <f>IF(D2360&lt;&gt;"",IF(COUNTIF('USPTO TMs'!A:A,D2360)&gt;0,"Yes","No"),"")</f>
        <v/>
      </c>
      <c r="C2360" s="11"/>
      <c r="D2360" s="11"/>
      <c r="E2360" s="11"/>
      <c r="F2360" s="11"/>
      <c r="G2360" s="11"/>
      <c r="H2360" s="11"/>
      <c r="I2360" s="15"/>
    </row>
    <row r="2361" spans="1:9" ht="16.5">
      <c r="A2361" s="10" t="b">
        <v>0</v>
      </c>
      <c r="B2361" s="11" t="str">
        <f>IF(D2361&lt;&gt;"",IF(COUNTIF('USPTO TMs'!A:A,D2361)&gt;0,"Yes","No"),"")</f>
        <v/>
      </c>
      <c r="C2361" s="11"/>
      <c r="D2361" s="11"/>
      <c r="E2361" s="11"/>
      <c r="F2361" s="11"/>
      <c r="G2361" s="11"/>
      <c r="H2361" s="11"/>
      <c r="I2361" s="15"/>
    </row>
    <row r="2362" spans="1:9" ht="16.5">
      <c r="A2362" s="10" t="b">
        <v>0</v>
      </c>
      <c r="B2362" s="11" t="str">
        <f>IF(D2362&lt;&gt;"",IF(COUNTIF('USPTO TMs'!A:A,D2362)&gt;0,"Yes","No"),"")</f>
        <v/>
      </c>
      <c r="C2362" s="11"/>
      <c r="D2362" s="11"/>
      <c r="E2362" s="11"/>
      <c r="F2362" s="11"/>
      <c r="G2362" s="11"/>
      <c r="H2362" s="11"/>
      <c r="I2362" s="15"/>
    </row>
    <row r="2363" spans="1:9" ht="16.5">
      <c r="A2363" s="10" t="b">
        <v>0</v>
      </c>
      <c r="B2363" s="11" t="str">
        <f>IF(D2363&lt;&gt;"",IF(COUNTIF('USPTO TMs'!A:A,D2363)&gt;0,"Yes","No"),"")</f>
        <v/>
      </c>
      <c r="C2363" s="11"/>
      <c r="D2363" s="11"/>
      <c r="E2363" s="11"/>
      <c r="F2363" s="11"/>
      <c r="G2363" s="11"/>
      <c r="H2363" s="11"/>
      <c r="I2363" s="15"/>
    </row>
    <row r="2364" spans="1:9" ht="16.5">
      <c r="A2364" s="10" t="b">
        <v>0</v>
      </c>
      <c r="B2364" s="11" t="str">
        <f>IF(D2364&lt;&gt;"",IF(COUNTIF('USPTO TMs'!A:A,D2364)&gt;0,"Yes","No"),"")</f>
        <v/>
      </c>
      <c r="C2364" s="11"/>
      <c r="D2364" s="11"/>
      <c r="E2364" s="11"/>
      <c r="F2364" s="11"/>
      <c r="G2364" s="11"/>
      <c r="H2364" s="11"/>
      <c r="I2364" s="15"/>
    </row>
    <row r="2365" spans="1:9" ht="16.5">
      <c r="A2365" s="10" t="b">
        <v>0</v>
      </c>
      <c r="B2365" s="11" t="str">
        <f>IF(D2365&lt;&gt;"",IF(COUNTIF('USPTO TMs'!A:A,D2365)&gt;0,"Yes","No"),"")</f>
        <v/>
      </c>
      <c r="C2365" s="11"/>
      <c r="D2365" s="11"/>
      <c r="E2365" s="11"/>
      <c r="F2365" s="11"/>
      <c r="G2365" s="11"/>
      <c r="H2365" s="11"/>
      <c r="I2365" s="15"/>
    </row>
    <row r="2366" spans="1:9" ht="16.5">
      <c r="A2366" s="10" t="b">
        <v>0</v>
      </c>
      <c r="B2366" s="11" t="str">
        <f>IF(D2366&lt;&gt;"",IF(COUNTIF('USPTO TMs'!A:A,D2366)&gt;0,"Yes","No"),"")</f>
        <v/>
      </c>
      <c r="C2366" s="11"/>
      <c r="D2366" s="11"/>
      <c r="E2366" s="11"/>
      <c r="F2366" s="11"/>
      <c r="G2366" s="11"/>
      <c r="H2366" s="11"/>
      <c r="I2366" s="15"/>
    </row>
    <row r="2367" spans="1:9" ht="16.5">
      <c r="A2367" s="10" t="b">
        <v>0</v>
      </c>
      <c r="B2367" s="11" t="str">
        <f>IF(D2367&lt;&gt;"",IF(COUNTIF('USPTO TMs'!A:A,D2367)&gt;0,"Yes","No"),"")</f>
        <v/>
      </c>
      <c r="C2367" s="11"/>
      <c r="D2367" s="11"/>
      <c r="E2367" s="11"/>
      <c r="F2367" s="11"/>
      <c r="G2367" s="11"/>
      <c r="H2367" s="11"/>
      <c r="I2367" s="15"/>
    </row>
    <row r="2368" spans="1:9" ht="16.5">
      <c r="A2368" s="10" t="b">
        <v>0</v>
      </c>
      <c r="B2368" s="11" t="str">
        <f>IF(D2368&lt;&gt;"",IF(COUNTIF('USPTO TMs'!A:A,D2368)&gt;0,"Yes","No"),"")</f>
        <v/>
      </c>
      <c r="C2368" s="11"/>
      <c r="D2368" s="11"/>
      <c r="E2368" s="11"/>
      <c r="F2368" s="11"/>
      <c r="G2368" s="11"/>
      <c r="H2368" s="11"/>
      <c r="I2368" s="15"/>
    </row>
    <row r="2369" spans="1:9" ht="16.5">
      <c r="A2369" s="10" t="b">
        <v>0</v>
      </c>
      <c r="B2369" s="11" t="str">
        <f>IF(D2369&lt;&gt;"",IF(COUNTIF('USPTO TMs'!A:A,D2369)&gt;0,"Yes","No"),"")</f>
        <v/>
      </c>
      <c r="C2369" s="11"/>
      <c r="D2369" s="11"/>
      <c r="E2369" s="11"/>
      <c r="F2369" s="11"/>
      <c r="G2369" s="11"/>
      <c r="H2369" s="11"/>
      <c r="I2369" s="15"/>
    </row>
    <row r="2370" spans="1:9" ht="16.5">
      <c r="A2370" s="10" t="b">
        <v>0</v>
      </c>
      <c r="B2370" s="11" t="str">
        <f>IF(D2370&lt;&gt;"",IF(COUNTIF('USPTO TMs'!A:A,D2370)&gt;0,"Yes","No"),"")</f>
        <v/>
      </c>
      <c r="C2370" s="11"/>
      <c r="D2370" s="11"/>
      <c r="E2370" s="11"/>
      <c r="F2370" s="11"/>
      <c r="G2370" s="11"/>
      <c r="H2370" s="11"/>
      <c r="I2370" s="15"/>
    </row>
    <row r="2371" spans="1:9" ht="16.5">
      <c r="A2371" s="10" t="b">
        <v>0</v>
      </c>
      <c r="B2371" s="11" t="str">
        <f>IF(D2371&lt;&gt;"",IF(COUNTIF('USPTO TMs'!A:A,D2371)&gt;0,"Yes","No"),"")</f>
        <v/>
      </c>
      <c r="C2371" s="11"/>
      <c r="D2371" s="11"/>
      <c r="E2371" s="11"/>
      <c r="F2371" s="11"/>
      <c r="G2371" s="11"/>
      <c r="H2371" s="11"/>
      <c r="I2371" s="15"/>
    </row>
    <row r="2372" spans="1:9" ht="16.5">
      <c r="A2372" s="10" t="b">
        <v>0</v>
      </c>
      <c r="B2372" s="11" t="str">
        <f>IF(D2372&lt;&gt;"",IF(COUNTIF('USPTO TMs'!A:A,D2372)&gt;0,"Yes","No"),"")</f>
        <v/>
      </c>
      <c r="C2372" s="11"/>
      <c r="D2372" s="11"/>
      <c r="E2372" s="11"/>
      <c r="F2372" s="11"/>
      <c r="G2372" s="11"/>
      <c r="H2372" s="11"/>
      <c r="I2372" s="15"/>
    </row>
    <row r="2373" spans="1:9" ht="16.5">
      <c r="A2373" s="10" t="b">
        <v>0</v>
      </c>
      <c r="B2373" s="11" t="str">
        <f>IF(D2373&lt;&gt;"",IF(COUNTIF('USPTO TMs'!A:A,D2373)&gt;0,"Yes","No"),"")</f>
        <v/>
      </c>
      <c r="C2373" s="11"/>
      <c r="D2373" s="11"/>
      <c r="E2373" s="11"/>
      <c r="F2373" s="11"/>
      <c r="G2373" s="11"/>
      <c r="H2373" s="11"/>
      <c r="I2373" s="15"/>
    </row>
    <row r="2374" spans="1:9" ht="16.5">
      <c r="A2374" s="10" t="b">
        <v>0</v>
      </c>
      <c r="B2374" s="11" t="str">
        <f>IF(D2374&lt;&gt;"",IF(COUNTIF('USPTO TMs'!A:A,D2374)&gt;0,"Yes","No"),"")</f>
        <v/>
      </c>
      <c r="C2374" s="11"/>
      <c r="D2374" s="11"/>
      <c r="E2374" s="11"/>
      <c r="F2374" s="11"/>
      <c r="G2374" s="11"/>
      <c r="H2374" s="11"/>
      <c r="I2374" s="15"/>
    </row>
    <row r="2375" spans="1:9" ht="16.5">
      <c r="A2375" s="10" t="b">
        <v>0</v>
      </c>
      <c r="B2375" s="11" t="str">
        <f>IF(D2375&lt;&gt;"",IF(COUNTIF('USPTO TMs'!A:A,D2375)&gt;0,"Yes","No"),"")</f>
        <v/>
      </c>
      <c r="C2375" s="11"/>
      <c r="D2375" s="11"/>
      <c r="E2375" s="11"/>
      <c r="F2375" s="11"/>
      <c r="G2375" s="11"/>
      <c r="H2375" s="11"/>
      <c r="I2375" s="15"/>
    </row>
    <row r="2376" spans="1:9" ht="16.5">
      <c r="A2376" s="10" t="b">
        <v>0</v>
      </c>
      <c r="B2376" s="11" t="str">
        <f>IF(D2376&lt;&gt;"",IF(COUNTIF('USPTO TMs'!A:A,D2376)&gt;0,"Yes","No"),"")</f>
        <v/>
      </c>
      <c r="C2376" s="11"/>
      <c r="D2376" s="11"/>
      <c r="E2376" s="11"/>
      <c r="F2376" s="11"/>
      <c r="G2376" s="11"/>
      <c r="H2376" s="11"/>
      <c r="I2376" s="15"/>
    </row>
    <row r="2377" spans="1:9" ht="16.5">
      <c r="A2377" s="10" t="b">
        <v>0</v>
      </c>
      <c r="B2377" s="11" t="str">
        <f>IF(D2377&lt;&gt;"",IF(COUNTIF('USPTO TMs'!A:A,D2377)&gt;0,"Yes","No"),"")</f>
        <v/>
      </c>
      <c r="C2377" s="11"/>
      <c r="D2377" s="11"/>
      <c r="E2377" s="11"/>
      <c r="F2377" s="11"/>
      <c r="G2377" s="11"/>
      <c r="H2377" s="11"/>
      <c r="I2377" s="15"/>
    </row>
    <row r="2378" spans="1:9" ht="16.5">
      <c r="A2378" s="10" t="b">
        <v>0</v>
      </c>
      <c r="B2378" s="11" t="str">
        <f>IF(D2378&lt;&gt;"",IF(COUNTIF('USPTO TMs'!A:A,D2378)&gt;0,"Yes","No"),"")</f>
        <v/>
      </c>
      <c r="C2378" s="11"/>
      <c r="D2378" s="11"/>
      <c r="E2378" s="11"/>
      <c r="F2378" s="11"/>
      <c r="G2378" s="11"/>
      <c r="H2378" s="11"/>
      <c r="I2378" s="15"/>
    </row>
    <row r="2379" spans="1:9" ht="16.5">
      <c r="A2379" s="10" t="b">
        <v>0</v>
      </c>
      <c r="B2379" s="11" t="str">
        <f>IF(D2379&lt;&gt;"",IF(COUNTIF('USPTO TMs'!A:A,D2379)&gt;0,"Yes","No"),"")</f>
        <v/>
      </c>
      <c r="C2379" s="11"/>
      <c r="D2379" s="11"/>
      <c r="E2379" s="11"/>
      <c r="F2379" s="11"/>
      <c r="G2379" s="11"/>
      <c r="H2379" s="11"/>
      <c r="I2379" s="15"/>
    </row>
    <row r="2380" spans="1:9" ht="16.5">
      <c r="A2380" s="10" t="b">
        <v>0</v>
      </c>
      <c r="B2380" s="11" t="str">
        <f>IF(D2380&lt;&gt;"",IF(COUNTIF('USPTO TMs'!A:A,D2380)&gt;0,"Yes","No"),"")</f>
        <v/>
      </c>
      <c r="C2380" s="11"/>
      <c r="D2380" s="11"/>
      <c r="E2380" s="11"/>
      <c r="F2380" s="11"/>
      <c r="G2380" s="11"/>
      <c r="H2380" s="11"/>
      <c r="I2380" s="15"/>
    </row>
    <row r="2381" spans="1:9" ht="16.5">
      <c r="A2381" s="10" t="b">
        <v>0</v>
      </c>
      <c r="B2381" s="11" t="str">
        <f>IF(D2381&lt;&gt;"",IF(COUNTIF('USPTO TMs'!A:A,D2381)&gt;0,"Yes","No"),"")</f>
        <v/>
      </c>
      <c r="C2381" s="11"/>
      <c r="D2381" s="11"/>
      <c r="E2381" s="11"/>
      <c r="F2381" s="11"/>
      <c r="G2381" s="11"/>
      <c r="H2381" s="11"/>
      <c r="I2381" s="15"/>
    </row>
    <row r="2382" spans="1:9" ht="16.5">
      <c r="A2382" s="10" t="b">
        <v>0</v>
      </c>
      <c r="B2382" s="11" t="str">
        <f>IF(D2382&lt;&gt;"",IF(COUNTIF('USPTO TMs'!A:A,D2382)&gt;0,"Yes","No"),"")</f>
        <v/>
      </c>
      <c r="C2382" s="11"/>
      <c r="D2382" s="11"/>
      <c r="E2382" s="11"/>
      <c r="F2382" s="11"/>
      <c r="G2382" s="11"/>
      <c r="H2382" s="11"/>
      <c r="I2382" s="15"/>
    </row>
    <row r="2383" spans="1:9" ht="16.5">
      <c r="A2383" s="10" t="b">
        <v>0</v>
      </c>
      <c r="B2383" s="11" t="str">
        <f>IF(D2383&lt;&gt;"",IF(COUNTIF('USPTO TMs'!A:A,D2383)&gt;0,"Yes","No"),"")</f>
        <v/>
      </c>
      <c r="C2383" s="11"/>
      <c r="D2383" s="11"/>
      <c r="E2383" s="11"/>
      <c r="F2383" s="11"/>
      <c r="G2383" s="11"/>
      <c r="H2383" s="11"/>
      <c r="I2383" s="15"/>
    </row>
    <row r="2384" spans="1:9" ht="16.5">
      <c r="A2384" s="10" t="b">
        <v>0</v>
      </c>
      <c r="B2384" s="11" t="str">
        <f>IF(D2384&lt;&gt;"",IF(COUNTIF('USPTO TMs'!A:A,D2384)&gt;0,"Yes","No"),"")</f>
        <v/>
      </c>
      <c r="C2384" s="11"/>
      <c r="D2384" s="11"/>
      <c r="E2384" s="11"/>
      <c r="F2384" s="11"/>
      <c r="G2384" s="11"/>
      <c r="H2384" s="11"/>
      <c r="I2384" s="15"/>
    </row>
    <row r="2385" spans="1:9" ht="16.5">
      <c r="A2385" s="10" t="b">
        <v>0</v>
      </c>
      <c r="B2385" s="11" t="str">
        <f>IF(D2385&lt;&gt;"",IF(COUNTIF('USPTO TMs'!A:A,D2385)&gt;0,"Yes","No"),"")</f>
        <v/>
      </c>
      <c r="C2385" s="11"/>
      <c r="D2385" s="11"/>
      <c r="E2385" s="11"/>
      <c r="F2385" s="11"/>
      <c r="G2385" s="11"/>
      <c r="H2385" s="11"/>
      <c r="I2385" s="15"/>
    </row>
    <row r="2386" spans="1:9" ht="16.5">
      <c r="A2386" s="10" t="b">
        <v>0</v>
      </c>
      <c r="B2386" s="11" t="str">
        <f>IF(D2386&lt;&gt;"",IF(COUNTIF('USPTO TMs'!A:A,D2386)&gt;0,"Yes","No"),"")</f>
        <v/>
      </c>
      <c r="C2386" s="11"/>
      <c r="D2386" s="11"/>
      <c r="E2386" s="11"/>
      <c r="F2386" s="11"/>
      <c r="G2386" s="11"/>
      <c r="H2386" s="11"/>
      <c r="I2386" s="15"/>
    </row>
    <row r="2387" spans="1:9" ht="16.5">
      <c r="A2387" s="10" t="b">
        <v>0</v>
      </c>
      <c r="B2387" s="11" t="str">
        <f>IF(D2387&lt;&gt;"",IF(COUNTIF('USPTO TMs'!A:A,D2387)&gt;0,"Yes","No"),"")</f>
        <v/>
      </c>
      <c r="C2387" s="11"/>
      <c r="D2387" s="11"/>
      <c r="E2387" s="11"/>
      <c r="F2387" s="11"/>
      <c r="G2387" s="11"/>
      <c r="H2387" s="11"/>
      <c r="I2387" s="15"/>
    </row>
    <row r="2388" spans="1:9" ht="16.5">
      <c r="A2388" s="10" t="b">
        <v>0</v>
      </c>
      <c r="B2388" s="11" t="str">
        <f>IF(D2388&lt;&gt;"",IF(COUNTIF('USPTO TMs'!A:A,D2388)&gt;0,"Yes","No"),"")</f>
        <v/>
      </c>
      <c r="C2388" s="11"/>
      <c r="D2388" s="11"/>
      <c r="E2388" s="11"/>
      <c r="F2388" s="11"/>
      <c r="G2388" s="11"/>
      <c r="H2388" s="11"/>
      <c r="I2388" s="15"/>
    </row>
    <row r="2389" spans="1:9" ht="16.5">
      <c r="A2389" s="10" t="b">
        <v>0</v>
      </c>
      <c r="B2389" s="11" t="str">
        <f>IF(D2389&lt;&gt;"",IF(COUNTIF('USPTO TMs'!A:A,D2389)&gt;0,"Yes","No"),"")</f>
        <v/>
      </c>
      <c r="C2389" s="11"/>
      <c r="D2389" s="11"/>
      <c r="E2389" s="11"/>
      <c r="F2389" s="11"/>
      <c r="G2389" s="11"/>
      <c r="H2389" s="11"/>
      <c r="I2389" s="15"/>
    </row>
    <row r="2390" spans="1:9" ht="16.5">
      <c r="A2390" s="10" t="b">
        <v>0</v>
      </c>
      <c r="B2390" s="11" t="str">
        <f>IF(D2390&lt;&gt;"",IF(COUNTIF('USPTO TMs'!A:A,D2390)&gt;0,"Yes","No"),"")</f>
        <v/>
      </c>
      <c r="C2390" s="11"/>
      <c r="D2390" s="11"/>
      <c r="E2390" s="11"/>
      <c r="F2390" s="11"/>
      <c r="G2390" s="11"/>
      <c r="H2390" s="11"/>
      <c r="I2390" s="15"/>
    </row>
    <row r="2391" spans="1:9" ht="16.5">
      <c r="A2391" s="10" t="b">
        <v>0</v>
      </c>
      <c r="B2391" s="11" t="str">
        <f>IF(D2391&lt;&gt;"",IF(COUNTIF('USPTO TMs'!A:A,D2391)&gt;0,"Yes","No"),"")</f>
        <v/>
      </c>
      <c r="C2391" s="11"/>
      <c r="D2391" s="11"/>
      <c r="E2391" s="11"/>
      <c r="F2391" s="11"/>
      <c r="G2391" s="11"/>
      <c r="H2391" s="11"/>
      <c r="I2391" s="15"/>
    </row>
    <row r="2392" spans="1:9" ht="16.5">
      <c r="A2392" s="10" t="b">
        <v>0</v>
      </c>
      <c r="B2392" s="11" t="str">
        <f>IF(D2392&lt;&gt;"",IF(COUNTIF('USPTO TMs'!A:A,D2392)&gt;0,"Yes","No"),"")</f>
        <v/>
      </c>
      <c r="C2392" s="11"/>
      <c r="D2392" s="11"/>
      <c r="E2392" s="11"/>
      <c r="F2392" s="11"/>
      <c r="G2392" s="11"/>
      <c r="H2392" s="11"/>
      <c r="I2392" s="15"/>
    </row>
    <row r="2393" spans="1:9" ht="16.5">
      <c r="A2393" s="10" t="b">
        <v>0</v>
      </c>
      <c r="B2393" s="11" t="str">
        <f>IF(D2393&lt;&gt;"",IF(COUNTIF('USPTO TMs'!A:A,D2393)&gt;0,"Yes","No"),"")</f>
        <v/>
      </c>
      <c r="C2393" s="11"/>
      <c r="D2393" s="11"/>
      <c r="E2393" s="11"/>
      <c r="F2393" s="11"/>
      <c r="G2393" s="11"/>
      <c r="H2393" s="11"/>
      <c r="I2393" s="15"/>
    </row>
    <row r="2394" spans="1:9" ht="16.5">
      <c r="A2394" s="10" t="b">
        <v>0</v>
      </c>
      <c r="B2394" s="11" t="str">
        <f>IF(D2394&lt;&gt;"",IF(COUNTIF('USPTO TMs'!A:A,D2394)&gt;0,"Yes","No"),"")</f>
        <v/>
      </c>
      <c r="C2394" s="11"/>
      <c r="D2394" s="11"/>
      <c r="E2394" s="11"/>
      <c r="F2394" s="11"/>
      <c r="G2394" s="11"/>
      <c r="H2394" s="11"/>
      <c r="I2394" s="15"/>
    </row>
    <row r="2395" spans="1:9" ht="16.5">
      <c r="A2395" s="10" t="b">
        <v>0</v>
      </c>
      <c r="B2395" s="11" t="str">
        <f>IF(D2395&lt;&gt;"",IF(COUNTIF('USPTO TMs'!A:A,D2395)&gt;0,"Yes","No"),"")</f>
        <v/>
      </c>
      <c r="C2395" s="11"/>
      <c r="D2395" s="11"/>
      <c r="E2395" s="11"/>
      <c r="F2395" s="11"/>
      <c r="G2395" s="11"/>
      <c r="H2395" s="11"/>
      <c r="I2395" s="15"/>
    </row>
    <row r="2396" spans="1:9" ht="16.5">
      <c r="A2396" s="10" t="b">
        <v>0</v>
      </c>
      <c r="B2396" s="11" t="str">
        <f>IF(D2396&lt;&gt;"",IF(COUNTIF('USPTO TMs'!A:A,D2396)&gt;0,"Yes","No"),"")</f>
        <v/>
      </c>
      <c r="C2396" s="11"/>
      <c r="D2396" s="11"/>
      <c r="E2396" s="11"/>
      <c r="F2396" s="11"/>
      <c r="G2396" s="11"/>
      <c r="H2396" s="11"/>
      <c r="I2396" s="15"/>
    </row>
    <row r="2397" spans="1:9" ht="16.5">
      <c r="A2397" s="10" t="b">
        <v>0</v>
      </c>
      <c r="B2397" s="11" t="str">
        <f>IF(D2397&lt;&gt;"",IF(COUNTIF('USPTO TMs'!A:A,D2397)&gt;0,"Yes","No"),"")</f>
        <v/>
      </c>
      <c r="C2397" s="11"/>
      <c r="D2397" s="11"/>
      <c r="E2397" s="11"/>
      <c r="F2397" s="11"/>
      <c r="G2397" s="11"/>
      <c r="H2397" s="11"/>
      <c r="I2397" s="15"/>
    </row>
    <row r="2398" spans="1:9" ht="16.5">
      <c r="A2398" s="10" t="b">
        <v>0</v>
      </c>
      <c r="B2398" s="11" t="str">
        <f>IF(D2398&lt;&gt;"",IF(COUNTIF('USPTO TMs'!A:A,D2398)&gt;0,"Yes","No"),"")</f>
        <v/>
      </c>
      <c r="C2398" s="11"/>
      <c r="D2398" s="11"/>
      <c r="E2398" s="11"/>
      <c r="F2398" s="11"/>
      <c r="G2398" s="11"/>
      <c r="H2398" s="11"/>
      <c r="I2398" s="15"/>
    </row>
    <row r="2399" spans="1:9" ht="16.5">
      <c r="A2399" s="10" t="b">
        <v>0</v>
      </c>
      <c r="B2399" s="11" t="str">
        <f>IF(D2399&lt;&gt;"",IF(COUNTIF('USPTO TMs'!A:A,D2399)&gt;0,"Yes","No"),"")</f>
        <v/>
      </c>
      <c r="C2399" s="11"/>
      <c r="D2399" s="11"/>
      <c r="E2399" s="11"/>
      <c r="F2399" s="11"/>
      <c r="G2399" s="11"/>
      <c r="H2399" s="11"/>
      <c r="I2399" s="15"/>
    </row>
    <row r="2400" spans="1:9" ht="16.5">
      <c r="A2400" s="10" t="b">
        <v>0</v>
      </c>
      <c r="B2400" s="11" t="str">
        <f>IF(D2400&lt;&gt;"",IF(COUNTIF('USPTO TMs'!A:A,D2400)&gt;0,"Yes","No"),"")</f>
        <v/>
      </c>
      <c r="C2400" s="11"/>
      <c r="D2400" s="11"/>
      <c r="E2400" s="11"/>
      <c r="F2400" s="11"/>
      <c r="G2400" s="11"/>
      <c r="H2400" s="11"/>
      <c r="I2400" s="15"/>
    </row>
    <row r="2401" spans="1:9" ht="16.5">
      <c r="A2401" s="10" t="b">
        <v>0</v>
      </c>
      <c r="B2401" s="11" t="str">
        <f>IF(D2401&lt;&gt;"",IF(COUNTIF('USPTO TMs'!A:A,D2401)&gt;0,"Yes","No"),"")</f>
        <v/>
      </c>
      <c r="C2401" s="11"/>
      <c r="D2401" s="11"/>
      <c r="E2401" s="11"/>
      <c r="F2401" s="11"/>
      <c r="G2401" s="11"/>
      <c r="H2401" s="11"/>
      <c r="I2401" s="15"/>
    </row>
    <row r="2402" spans="1:9" ht="16.5">
      <c r="A2402" s="10" t="b">
        <v>0</v>
      </c>
      <c r="B2402" s="11" t="str">
        <f>IF(D2402&lt;&gt;"",IF(COUNTIF('USPTO TMs'!A:A,D2402)&gt;0,"Yes","No"),"")</f>
        <v/>
      </c>
      <c r="C2402" s="11"/>
      <c r="D2402" s="11"/>
      <c r="E2402" s="11"/>
      <c r="F2402" s="11"/>
      <c r="G2402" s="11"/>
      <c r="H2402" s="11"/>
      <c r="I2402" s="15"/>
    </row>
    <row r="2403" spans="1:9" ht="16.5">
      <c r="A2403" s="10" t="b">
        <v>0</v>
      </c>
      <c r="B2403" s="11" t="str">
        <f>IF(D2403&lt;&gt;"",IF(COUNTIF('USPTO TMs'!A:A,D2403)&gt;0,"Yes","No"),"")</f>
        <v/>
      </c>
      <c r="C2403" s="11"/>
      <c r="D2403" s="11"/>
      <c r="E2403" s="11"/>
      <c r="F2403" s="11"/>
      <c r="G2403" s="11"/>
      <c r="H2403" s="11"/>
      <c r="I2403" s="15"/>
    </row>
    <row r="2404" spans="1:9" ht="16.5">
      <c r="A2404" s="10" t="b">
        <v>0</v>
      </c>
      <c r="B2404" s="11" t="str">
        <f>IF(D2404&lt;&gt;"",IF(COUNTIF('USPTO TMs'!A:A,D2404)&gt;0,"Yes","No"),"")</f>
        <v/>
      </c>
      <c r="C2404" s="11"/>
      <c r="D2404" s="11"/>
      <c r="E2404" s="11"/>
      <c r="F2404" s="11"/>
      <c r="G2404" s="11"/>
      <c r="H2404" s="11"/>
      <c r="I2404" s="15"/>
    </row>
    <row r="2405" spans="1:9" ht="16.5">
      <c r="A2405" s="10" t="b">
        <v>0</v>
      </c>
      <c r="B2405" s="11" t="str">
        <f>IF(D2405&lt;&gt;"",IF(COUNTIF('USPTO TMs'!A:A,D2405)&gt;0,"Yes","No"),"")</f>
        <v/>
      </c>
      <c r="C2405" s="11"/>
      <c r="D2405" s="11"/>
      <c r="E2405" s="11"/>
      <c r="F2405" s="11"/>
      <c r="G2405" s="11"/>
      <c r="H2405" s="11"/>
      <c r="I2405" s="15"/>
    </row>
    <row r="2406" spans="1:9" ht="16.5">
      <c r="A2406" s="10" t="b">
        <v>0</v>
      </c>
      <c r="B2406" s="11" t="str">
        <f>IF(D2406&lt;&gt;"",IF(COUNTIF('USPTO TMs'!A:A,D2406)&gt;0,"Yes","No"),"")</f>
        <v/>
      </c>
      <c r="C2406" s="11"/>
      <c r="D2406" s="11"/>
      <c r="E2406" s="11"/>
      <c r="F2406" s="11"/>
      <c r="G2406" s="11"/>
      <c r="H2406" s="11"/>
      <c r="I2406" s="15"/>
    </row>
    <row r="2407" spans="1:9" ht="16.5">
      <c r="A2407" s="10" t="b">
        <v>0</v>
      </c>
      <c r="B2407" s="11" t="str">
        <f>IF(D2407&lt;&gt;"",IF(COUNTIF('USPTO TMs'!A:A,D2407)&gt;0,"Yes","No"),"")</f>
        <v/>
      </c>
      <c r="C2407" s="11"/>
      <c r="D2407" s="11"/>
      <c r="E2407" s="11"/>
      <c r="F2407" s="11"/>
      <c r="G2407" s="11"/>
      <c r="H2407" s="11"/>
      <c r="I2407" s="15"/>
    </row>
    <row r="2408" spans="1:9" ht="16.5">
      <c r="A2408" s="10" t="b">
        <v>0</v>
      </c>
      <c r="B2408" s="11" t="str">
        <f>IF(D2408&lt;&gt;"",IF(COUNTIF('USPTO TMs'!A:A,D2408)&gt;0,"Yes","No"),"")</f>
        <v/>
      </c>
      <c r="C2408" s="11"/>
      <c r="D2408" s="11"/>
      <c r="E2408" s="11"/>
      <c r="F2408" s="11"/>
      <c r="G2408" s="11"/>
      <c r="H2408" s="11"/>
      <c r="I2408" s="15"/>
    </row>
    <row r="2409" spans="1:9" ht="16.5">
      <c r="A2409" s="10" t="b">
        <v>0</v>
      </c>
      <c r="B2409" s="11" t="str">
        <f>IF(D2409&lt;&gt;"",IF(COUNTIF('USPTO TMs'!A:A,D2409)&gt;0,"Yes","No"),"")</f>
        <v/>
      </c>
      <c r="C2409" s="11"/>
      <c r="D2409" s="11"/>
      <c r="E2409" s="11"/>
      <c r="F2409" s="11"/>
      <c r="G2409" s="11"/>
      <c r="H2409" s="11"/>
      <c r="I2409" s="15"/>
    </row>
    <row r="2410" spans="1:9" ht="16.5">
      <c r="A2410" s="10" t="b">
        <v>0</v>
      </c>
      <c r="B2410" s="11" t="str">
        <f>IF(D2410&lt;&gt;"",IF(COUNTIF('USPTO TMs'!A:A,D2410)&gt;0,"Yes","No"),"")</f>
        <v/>
      </c>
      <c r="C2410" s="11"/>
      <c r="D2410" s="11"/>
      <c r="E2410" s="11"/>
      <c r="F2410" s="11"/>
      <c r="G2410" s="11"/>
      <c r="H2410" s="11"/>
      <c r="I2410" s="15"/>
    </row>
    <row r="2411" spans="1:9" ht="16.5">
      <c r="A2411" s="10" t="b">
        <v>0</v>
      </c>
      <c r="B2411" s="11" t="str">
        <f>IF(D2411&lt;&gt;"",IF(COUNTIF('USPTO TMs'!A:A,D2411)&gt;0,"Yes","No"),"")</f>
        <v/>
      </c>
      <c r="C2411" s="11"/>
      <c r="D2411" s="11"/>
      <c r="E2411" s="11"/>
      <c r="F2411" s="11"/>
      <c r="G2411" s="11"/>
      <c r="H2411" s="11"/>
      <c r="I2411" s="15"/>
    </row>
    <row r="2412" spans="1:9" ht="16.5">
      <c r="A2412" s="10" t="b">
        <v>0</v>
      </c>
      <c r="B2412" s="11" t="str">
        <f>IF(D2412&lt;&gt;"",IF(COUNTIF('USPTO TMs'!A:A,D2412)&gt;0,"Yes","No"),"")</f>
        <v/>
      </c>
      <c r="C2412" s="11"/>
      <c r="D2412" s="11"/>
      <c r="E2412" s="11"/>
      <c r="F2412" s="11"/>
      <c r="G2412" s="11"/>
      <c r="H2412" s="11"/>
      <c r="I2412" s="15"/>
    </row>
    <row r="2413" spans="1:9" ht="16.5">
      <c r="A2413" s="10" t="b">
        <v>0</v>
      </c>
      <c r="B2413" s="11" t="str">
        <f>IF(D2413&lt;&gt;"",IF(COUNTIF('USPTO TMs'!A:A,D2413)&gt;0,"Yes","No"),"")</f>
        <v/>
      </c>
      <c r="C2413" s="11"/>
      <c r="D2413" s="11"/>
      <c r="E2413" s="11"/>
      <c r="F2413" s="11"/>
      <c r="G2413" s="11"/>
      <c r="H2413" s="11"/>
      <c r="I2413" s="15"/>
    </row>
    <row r="2414" spans="1:9" ht="16.5">
      <c r="A2414" s="10" t="b">
        <v>0</v>
      </c>
      <c r="B2414" s="11" t="str">
        <f>IF(D2414&lt;&gt;"",IF(COUNTIF('USPTO TMs'!A:A,D2414)&gt;0,"Yes","No"),"")</f>
        <v/>
      </c>
      <c r="C2414" s="11"/>
      <c r="D2414" s="11"/>
      <c r="E2414" s="11"/>
      <c r="F2414" s="11"/>
      <c r="G2414" s="11"/>
      <c r="H2414" s="11"/>
      <c r="I2414" s="15"/>
    </row>
    <row r="2415" spans="1:9" ht="16.5">
      <c r="A2415" s="10" t="b">
        <v>0</v>
      </c>
      <c r="B2415" s="11" t="str">
        <f>IF(D2415&lt;&gt;"",IF(COUNTIF('USPTO TMs'!A:A,D2415)&gt;0,"Yes","No"),"")</f>
        <v/>
      </c>
      <c r="C2415" s="11"/>
      <c r="D2415" s="11"/>
      <c r="E2415" s="11"/>
      <c r="F2415" s="11"/>
      <c r="G2415" s="11"/>
      <c r="H2415" s="11"/>
      <c r="I2415" s="15"/>
    </row>
    <row r="2416" spans="1:9" ht="16.5">
      <c r="A2416" s="10" t="b">
        <v>0</v>
      </c>
      <c r="B2416" s="11" t="str">
        <f>IF(D2416&lt;&gt;"",IF(COUNTIF('USPTO TMs'!A:A,D2416)&gt;0,"Yes","No"),"")</f>
        <v/>
      </c>
      <c r="C2416" s="11"/>
      <c r="D2416" s="11"/>
      <c r="E2416" s="11"/>
      <c r="F2416" s="11"/>
      <c r="G2416" s="11"/>
      <c r="H2416" s="11"/>
      <c r="I2416" s="15"/>
    </row>
    <row r="2417" spans="1:9" ht="16.5">
      <c r="A2417" s="10" t="b">
        <v>0</v>
      </c>
      <c r="B2417" s="11" t="str">
        <f>IF(D2417&lt;&gt;"",IF(COUNTIF('USPTO TMs'!A:A,D2417)&gt;0,"Yes","No"),"")</f>
        <v/>
      </c>
      <c r="C2417" s="11"/>
      <c r="D2417" s="11"/>
      <c r="E2417" s="11"/>
      <c r="F2417" s="11"/>
      <c r="G2417" s="11"/>
      <c r="H2417" s="11"/>
      <c r="I2417" s="15"/>
    </row>
    <row r="2418" spans="1:9" ht="16.5">
      <c r="A2418" s="10" t="b">
        <v>0</v>
      </c>
      <c r="B2418" s="11" t="str">
        <f>IF(D2418&lt;&gt;"",IF(COUNTIF('USPTO TMs'!A:A,D2418)&gt;0,"Yes","No"),"")</f>
        <v/>
      </c>
      <c r="C2418" s="11"/>
      <c r="D2418" s="11"/>
      <c r="E2418" s="11"/>
      <c r="F2418" s="11"/>
      <c r="G2418" s="11"/>
      <c r="H2418" s="11"/>
      <c r="I2418" s="15"/>
    </row>
    <row r="2419" spans="1:9" ht="16.5">
      <c r="A2419" s="10" t="b">
        <v>0</v>
      </c>
      <c r="B2419" s="11" t="str">
        <f>IF(D2419&lt;&gt;"",IF(COUNTIF('USPTO TMs'!A:A,D2419)&gt;0,"Yes","No"),"")</f>
        <v/>
      </c>
      <c r="C2419" s="11"/>
      <c r="D2419" s="11"/>
      <c r="E2419" s="11"/>
      <c r="F2419" s="11"/>
      <c r="G2419" s="11"/>
      <c r="H2419" s="11"/>
      <c r="I2419" s="15"/>
    </row>
    <row r="2420" spans="1:9" ht="16.5">
      <c r="A2420" s="10" t="b">
        <v>0</v>
      </c>
      <c r="B2420" s="11" t="str">
        <f>IF(D2420&lt;&gt;"",IF(COUNTIF('USPTO TMs'!A:A,D2420)&gt;0,"Yes","No"),"")</f>
        <v/>
      </c>
      <c r="C2420" s="11"/>
      <c r="D2420" s="11"/>
      <c r="E2420" s="11"/>
      <c r="F2420" s="11"/>
      <c r="G2420" s="11"/>
      <c r="H2420" s="11"/>
      <c r="I2420" s="15"/>
    </row>
    <row r="2421" spans="1:9" ht="16.5">
      <c r="A2421" s="10" t="b">
        <v>0</v>
      </c>
      <c r="B2421" s="11" t="str">
        <f>IF(D2421&lt;&gt;"",IF(COUNTIF('USPTO TMs'!A:A,D2421)&gt;0,"Yes","No"),"")</f>
        <v/>
      </c>
      <c r="C2421" s="11"/>
      <c r="D2421" s="11"/>
      <c r="E2421" s="11"/>
      <c r="F2421" s="11"/>
      <c r="G2421" s="11"/>
      <c r="H2421" s="11"/>
      <c r="I2421" s="15"/>
    </row>
    <row r="2422" spans="1:9" ht="16.5">
      <c r="A2422" s="10" t="b">
        <v>0</v>
      </c>
      <c r="B2422" s="11" t="str">
        <f>IF(D2422&lt;&gt;"",IF(COUNTIF('USPTO TMs'!A:A,D2422)&gt;0,"Yes","No"),"")</f>
        <v/>
      </c>
      <c r="C2422" s="11"/>
      <c r="D2422" s="11"/>
      <c r="E2422" s="11"/>
      <c r="F2422" s="11"/>
      <c r="G2422" s="11"/>
      <c r="H2422" s="11"/>
      <c r="I2422" s="15"/>
    </row>
    <row r="2423" spans="1:9" ht="16.5">
      <c r="A2423" s="10" t="b">
        <v>0</v>
      </c>
      <c r="B2423" s="11" t="str">
        <f>IF(D2423&lt;&gt;"",IF(COUNTIF('USPTO TMs'!A:A,D2423)&gt;0,"Yes","No"),"")</f>
        <v/>
      </c>
      <c r="C2423" s="11"/>
      <c r="D2423" s="11"/>
      <c r="E2423" s="11"/>
      <c r="F2423" s="11"/>
      <c r="G2423" s="11"/>
      <c r="H2423" s="11"/>
      <c r="I2423" s="15"/>
    </row>
    <row r="2424" spans="1:9" ht="16.5">
      <c r="A2424" s="10" t="b">
        <v>0</v>
      </c>
      <c r="B2424" s="11" t="str">
        <f>IF(D2424&lt;&gt;"",IF(COUNTIF('USPTO TMs'!A:A,D2424)&gt;0,"Yes","No"),"")</f>
        <v/>
      </c>
      <c r="C2424" s="11"/>
      <c r="D2424" s="11"/>
      <c r="E2424" s="11"/>
      <c r="F2424" s="11"/>
      <c r="G2424" s="11"/>
      <c r="H2424" s="11"/>
      <c r="I2424" s="15"/>
    </row>
    <row r="2425" spans="1:9" ht="16.5">
      <c r="A2425" s="10" t="b">
        <v>0</v>
      </c>
      <c r="B2425" s="11" t="str">
        <f>IF(D2425&lt;&gt;"",IF(COUNTIF('USPTO TMs'!A:A,D2425)&gt;0,"Yes","No"),"")</f>
        <v/>
      </c>
      <c r="C2425" s="11"/>
      <c r="D2425" s="11"/>
      <c r="E2425" s="11"/>
      <c r="F2425" s="11"/>
      <c r="G2425" s="11"/>
      <c r="H2425" s="11"/>
      <c r="I2425" s="15"/>
    </row>
    <row r="2426" spans="1:9" ht="16.5">
      <c r="A2426" s="10" t="b">
        <v>0</v>
      </c>
      <c r="B2426" s="11" t="str">
        <f>IF(D2426&lt;&gt;"",IF(COUNTIF('USPTO TMs'!A:A,D2426)&gt;0,"Yes","No"),"")</f>
        <v/>
      </c>
      <c r="C2426" s="11"/>
      <c r="D2426" s="11"/>
      <c r="E2426" s="11"/>
      <c r="F2426" s="11"/>
      <c r="G2426" s="11"/>
      <c r="H2426" s="11"/>
      <c r="I2426" s="15"/>
    </row>
    <row r="2427" spans="1:9" ht="16.5">
      <c r="A2427" s="10" t="b">
        <v>0</v>
      </c>
      <c r="B2427" s="11" t="str">
        <f>IF(D2427&lt;&gt;"",IF(COUNTIF('USPTO TMs'!A:A,D2427)&gt;0,"Yes","No"),"")</f>
        <v/>
      </c>
      <c r="C2427" s="11"/>
      <c r="D2427" s="11"/>
      <c r="E2427" s="11"/>
      <c r="F2427" s="11"/>
      <c r="G2427" s="11"/>
      <c r="H2427" s="11"/>
      <c r="I2427" s="15"/>
    </row>
    <row r="2428" spans="1:9" ht="16.5">
      <c r="A2428" s="10" t="b">
        <v>0</v>
      </c>
      <c r="B2428" s="11" t="str">
        <f>IF(D2428&lt;&gt;"",IF(COUNTIF('USPTO TMs'!A:A,D2428)&gt;0,"Yes","No"),"")</f>
        <v/>
      </c>
      <c r="C2428" s="11"/>
      <c r="D2428" s="11"/>
      <c r="E2428" s="11"/>
      <c r="F2428" s="11"/>
      <c r="G2428" s="11"/>
      <c r="H2428" s="11"/>
      <c r="I2428" s="15"/>
    </row>
    <row r="2429" spans="1:9" ht="16.5">
      <c r="A2429" s="10" t="b">
        <v>0</v>
      </c>
      <c r="B2429" s="11" t="str">
        <f>IF(D2429&lt;&gt;"",IF(COUNTIF('USPTO TMs'!A:A,D2429)&gt;0,"Yes","No"),"")</f>
        <v/>
      </c>
      <c r="C2429" s="11"/>
      <c r="D2429" s="11"/>
      <c r="E2429" s="11"/>
      <c r="F2429" s="11"/>
      <c r="G2429" s="11"/>
      <c r="H2429" s="11"/>
      <c r="I2429" s="15"/>
    </row>
    <row r="2430" spans="1:9" ht="16.5">
      <c r="A2430" s="10" t="b">
        <v>0</v>
      </c>
      <c r="B2430" s="11" t="str">
        <f>IF(D2430&lt;&gt;"",IF(COUNTIF('USPTO TMs'!A:A,D2430)&gt;0,"Yes","No"),"")</f>
        <v/>
      </c>
      <c r="C2430" s="11"/>
      <c r="D2430" s="11"/>
      <c r="E2430" s="11"/>
      <c r="F2430" s="11"/>
      <c r="G2430" s="11"/>
      <c r="H2430" s="11"/>
      <c r="I2430" s="15"/>
    </row>
    <row r="2431" spans="1:9" ht="16.5">
      <c r="A2431" s="10" t="b">
        <v>0</v>
      </c>
      <c r="B2431" s="11" t="str">
        <f>IF(D2431&lt;&gt;"",IF(COUNTIF('USPTO TMs'!A:A,D2431)&gt;0,"Yes","No"),"")</f>
        <v/>
      </c>
      <c r="C2431" s="11"/>
      <c r="D2431" s="11"/>
      <c r="E2431" s="11"/>
      <c r="F2431" s="11"/>
      <c r="G2431" s="11"/>
      <c r="H2431" s="11"/>
      <c r="I2431" s="15"/>
    </row>
    <row r="2432" spans="1:9" ht="16.5">
      <c r="A2432" s="10" t="b">
        <v>0</v>
      </c>
      <c r="B2432" s="11" t="str">
        <f>IF(D2432&lt;&gt;"",IF(COUNTIF('USPTO TMs'!A:A,D2432)&gt;0,"Yes","No"),"")</f>
        <v/>
      </c>
      <c r="C2432" s="11"/>
      <c r="D2432" s="11"/>
      <c r="E2432" s="11"/>
      <c r="F2432" s="11"/>
      <c r="G2432" s="11"/>
      <c r="H2432" s="11"/>
      <c r="I2432" s="15"/>
    </row>
    <row r="2433" spans="1:9" ht="16.5">
      <c r="A2433" s="10" t="b">
        <v>0</v>
      </c>
      <c r="B2433" s="11" t="str">
        <f>IF(D2433&lt;&gt;"",IF(COUNTIF('USPTO TMs'!A:A,D2433)&gt;0,"Yes","No"),"")</f>
        <v/>
      </c>
      <c r="C2433" s="11"/>
      <c r="D2433" s="11"/>
      <c r="E2433" s="11"/>
      <c r="F2433" s="11"/>
      <c r="G2433" s="11"/>
      <c r="H2433" s="11"/>
      <c r="I2433" s="15"/>
    </row>
    <row r="2434" spans="1:9" ht="16.5">
      <c r="A2434" s="10" t="b">
        <v>0</v>
      </c>
      <c r="B2434" s="11" t="str">
        <f>IF(D2434&lt;&gt;"",IF(COUNTIF('USPTO TMs'!A:A,D2434)&gt;0,"Yes","No"),"")</f>
        <v/>
      </c>
      <c r="C2434" s="11"/>
      <c r="D2434" s="11"/>
      <c r="E2434" s="11"/>
      <c r="F2434" s="11"/>
      <c r="G2434" s="11"/>
      <c r="H2434" s="11"/>
      <c r="I2434" s="15"/>
    </row>
    <row r="2435" spans="1:9" ht="16.5">
      <c r="A2435" s="10" t="b">
        <v>0</v>
      </c>
      <c r="B2435" s="11" t="str">
        <f>IF(D2435&lt;&gt;"",IF(COUNTIF('USPTO TMs'!A:A,D2435)&gt;0,"Yes","No"),"")</f>
        <v/>
      </c>
      <c r="C2435" s="11"/>
      <c r="D2435" s="11"/>
      <c r="E2435" s="11"/>
      <c r="F2435" s="11"/>
      <c r="G2435" s="11"/>
      <c r="H2435" s="11"/>
      <c r="I2435" s="15"/>
    </row>
    <row r="2436" spans="1:9" ht="16.5">
      <c r="A2436" s="10" t="b">
        <v>0</v>
      </c>
      <c r="B2436" s="11" t="str">
        <f>IF(D2436&lt;&gt;"",IF(COUNTIF('USPTO TMs'!A:A,D2436)&gt;0,"Yes","No"),"")</f>
        <v/>
      </c>
      <c r="C2436" s="11"/>
      <c r="D2436" s="11"/>
      <c r="E2436" s="11"/>
      <c r="F2436" s="11"/>
      <c r="G2436" s="11"/>
      <c r="H2436" s="11"/>
      <c r="I2436" s="15"/>
    </row>
    <row r="2437" spans="1:9" ht="16.5">
      <c r="A2437" s="10" t="b">
        <v>0</v>
      </c>
      <c r="B2437" s="11" t="str">
        <f>IF(D2437&lt;&gt;"",IF(COUNTIF('USPTO TMs'!A:A,D2437)&gt;0,"Yes","No"),"")</f>
        <v/>
      </c>
      <c r="C2437" s="11"/>
      <c r="D2437" s="11"/>
      <c r="E2437" s="11"/>
      <c r="F2437" s="11"/>
      <c r="G2437" s="11"/>
      <c r="H2437" s="11"/>
      <c r="I2437" s="15"/>
    </row>
    <row r="2438" spans="1:9" ht="16.5">
      <c r="A2438" s="10" t="b">
        <v>0</v>
      </c>
      <c r="B2438" s="11" t="str">
        <f>IF(D2438&lt;&gt;"",IF(COUNTIF('USPTO TMs'!A:A,D2438)&gt;0,"Yes","No"),"")</f>
        <v/>
      </c>
      <c r="C2438" s="11"/>
      <c r="D2438" s="11"/>
      <c r="E2438" s="11"/>
      <c r="F2438" s="11"/>
      <c r="G2438" s="11"/>
      <c r="H2438" s="11"/>
      <c r="I2438" s="15"/>
    </row>
    <row r="2439" spans="1:9" ht="16.5">
      <c r="A2439" s="10" t="b">
        <v>0</v>
      </c>
      <c r="B2439" s="11" t="str">
        <f>IF(D2439&lt;&gt;"",IF(COUNTIF('USPTO TMs'!A:A,D2439)&gt;0,"Yes","No"),"")</f>
        <v/>
      </c>
      <c r="C2439" s="11"/>
      <c r="D2439" s="11"/>
      <c r="E2439" s="11"/>
      <c r="F2439" s="11"/>
      <c r="G2439" s="11"/>
      <c r="H2439" s="11"/>
      <c r="I2439" s="15"/>
    </row>
    <row r="2440" spans="1:9" ht="16.5">
      <c r="A2440" s="10" t="b">
        <v>0</v>
      </c>
      <c r="B2440" s="11" t="str">
        <f>IF(D2440&lt;&gt;"",IF(COUNTIF('USPTO TMs'!A:A,D2440)&gt;0,"Yes","No"),"")</f>
        <v/>
      </c>
      <c r="C2440" s="11"/>
      <c r="D2440" s="11"/>
      <c r="E2440" s="11"/>
      <c r="F2440" s="11"/>
      <c r="G2440" s="11"/>
      <c r="H2440" s="11"/>
      <c r="I2440" s="15"/>
    </row>
    <row r="2441" spans="1:9" ht="16.5">
      <c r="A2441" s="10" t="b">
        <v>0</v>
      </c>
      <c r="B2441" s="11" t="str">
        <f>IF(D2441&lt;&gt;"",IF(COUNTIF('USPTO TMs'!A:A,D2441)&gt;0,"Yes","No"),"")</f>
        <v/>
      </c>
      <c r="C2441" s="11"/>
      <c r="D2441" s="11"/>
      <c r="E2441" s="11"/>
      <c r="F2441" s="11"/>
      <c r="G2441" s="11"/>
      <c r="H2441" s="11"/>
      <c r="I2441" s="15"/>
    </row>
    <row r="2442" spans="1:9" ht="16.5">
      <c r="A2442" s="10" t="b">
        <v>0</v>
      </c>
      <c r="B2442" s="11" t="str">
        <f>IF(D2442&lt;&gt;"",IF(COUNTIF('USPTO TMs'!A:A,D2442)&gt;0,"Yes","No"),"")</f>
        <v/>
      </c>
      <c r="C2442" s="11"/>
      <c r="D2442" s="11"/>
      <c r="E2442" s="11"/>
      <c r="F2442" s="11"/>
      <c r="G2442" s="11"/>
      <c r="H2442" s="11"/>
      <c r="I2442" s="15"/>
    </row>
    <row r="2443" spans="1:9" ht="16.5">
      <c r="A2443" s="10" t="b">
        <v>0</v>
      </c>
      <c r="B2443" s="11" t="str">
        <f>IF(D2443&lt;&gt;"",IF(COUNTIF('USPTO TMs'!A:A,D2443)&gt;0,"Yes","No"),"")</f>
        <v/>
      </c>
      <c r="C2443" s="11"/>
      <c r="D2443" s="11"/>
      <c r="E2443" s="11"/>
      <c r="F2443" s="11"/>
      <c r="G2443" s="11"/>
      <c r="H2443" s="11"/>
      <c r="I2443" s="15"/>
    </row>
    <row r="2444" spans="1:9" ht="16.5">
      <c r="A2444" s="10" t="b">
        <v>0</v>
      </c>
      <c r="B2444" s="11" t="str">
        <f>IF(D2444&lt;&gt;"",IF(COUNTIF('USPTO TMs'!A:A,D2444)&gt;0,"Yes","No"),"")</f>
        <v/>
      </c>
      <c r="C2444" s="11"/>
      <c r="D2444" s="11"/>
      <c r="E2444" s="11"/>
      <c r="F2444" s="11"/>
      <c r="G2444" s="11"/>
      <c r="H2444" s="11"/>
      <c r="I2444" s="15"/>
    </row>
    <row r="2445" spans="1:9" ht="16.5">
      <c r="A2445" s="10" t="b">
        <v>0</v>
      </c>
      <c r="B2445" s="11" t="str">
        <f>IF(D2445&lt;&gt;"",IF(COUNTIF('USPTO TMs'!A:A,D2445)&gt;0,"Yes","No"),"")</f>
        <v/>
      </c>
      <c r="C2445" s="11"/>
      <c r="D2445" s="11"/>
      <c r="E2445" s="11"/>
      <c r="F2445" s="11"/>
      <c r="G2445" s="11"/>
      <c r="H2445" s="11"/>
      <c r="I2445" s="15"/>
    </row>
    <row r="2446" spans="1:9" ht="16.5">
      <c r="A2446" s="10" t="b">
        <v>0</v>
      </c>
      <c r="B2446" s="11" t="str">
        <f>IF(D2446&lt;&gt;"",IF(COUNTIF('USPTO TMs'!A:A,D2446)&gt;0,"Yes","No"),"")</f>
        <v/>
      </c>
      <c r="C2446" s="11"/>
      <c r="D2446" s="11"/>
      <c r="E2446" s="11"/>
      <c r="F2446" s="11"/>
      <c r="G2446" s="11"/>
      <c r="H2446" s="11"/>
      <c r="I2446" s="15"/>
    </row>
    <row r="2447" spans="1:9" ht="16.5">
      <c r="A2447" s="10" t="b">
        <v>0</v>
      </c>
      <c r="B2447" s="11" t="str">
        <f>IF(D2447&lt;&gt;"",IF(COUNTIF('USPTO TMs'!A:A,D2447)&gt;0,"Yes","No"),"")</f>
        <v/>
      </c>
      <c r="C2447" s="11"/>
      <c r="D2447" s="11"/>
      <c r="E2447" s="11"/>
      <c r="F2447" s="11"/>
      <c r="G2447" s="11"/>
      <c r="H2447" s="11"/>
      <c r="I2447" s="15"/>
    </row>
    <row r="2448" spans="1:9" ht="16.5">
      <c r="A2448" s="10" t="b">
        <v>0</v>
      </c>
      <c r="B2448" s="11" t="str">
        <f>IF(D2448&lt;&gt;"",IF(COUNTIF('USPTO TMs'!A:A,D2448)&gt;0,"Yes","No"),"")</f>
        <v/>
      </c>
      <c r="C2448" s="11"/>
      <c r="D2448" s="11"/>
      <c r="E2448" s="11"/>
      <c r="F2448" s="11"/>
      <c r="G2448" s="11"/>
      <c r="H2448" s="11"/>
      <c r="I2448" s="15"/>
    </row>
    <row r="2449" spans="1:9" ht="16.5">
      <c r="A2449" s="10" t="b">
        <v>0</v>
      </c>
      <c r="B2449" s="11" t="str">
        <f>IF(D2449&lt;&gt;"",IF(COUNTIF('USPTO TMs'!A:A,D2449)&gt;0,"Yes","No"),"")</f>
        <v/>
      </c>
      <c r="C2449" s="11"/>
      <c r="D2449" s="11"/>
      <c r="E2449" s="11"/>
      <c r="F2449" s="11"/>
      <c r="G2449" s="11"/>
      <c r="H2449" s="11"/>
      <c r="I2449" s="15"/>
    </row>
    <row r="2450" spans="1:9" ht="16.5">
      <c r="A2450" s="10" t="b">
        <v>0</v>
      </c>
      <c r="B2450" s="11" t="str">
        <f>IF(D2450&lt;&gt;"",IF(COUNTIF('USPTO TMs'!A:A,D2450)&gt;0,"Yes","No"),"")</f>
        <v/>
      </c>
      <c r="C2450" s="11"/>
      <c r="D2450" s="11"/>
      <c r="E2450" s="11"/>
      <c r="F2450" s="11"/>
      <c r="G2450" s="11"/>
      <c r="H2450" s="11"/>
      <c r="I2450" s="15"/>
    </row>
    <row r="2451" spans="1:9" ht="16.5">
      <c r="A2451" s="10" t="b">
        <v>0</v>
      </c>
      <c r="B2451" s="11" t="str">
        <f>IF(D2451&lt;&gt;"",IF(COUNTIF('USPTO TMs'!A:A,D2451)&gt;0,"Yes","No"),"")</f>
        <v/>
      </c>
      <c r="C2451" s="11"/>
      <c r="D2451" s="11"/>
      <c r="E2451" s="11"/>
      <c r="F2451" s="11"/>
      <c r="G2451" s="11"/>
      <c r="H2451" s="11"/>
      <c r="I2451" s="15"/>
    </row>
    <row r="2452" spans="1:9" ht="16.5">
      <c r="A2452" s="10" t="b">
        <v>0</v>
      </c>
      <c r="B2452" s="11" t="str">
        <f>IF(D2452&lt;&gt;"",IF(COUNTIF('USPTO TMs'!A:A,D2452)&gt;0,"Yes","No"),"")</f>
        <v/>
      </c>
      <c r="C2452" s="11"/>
      <c r="D2452" s="11"/>
      <c r="E2452" s="11"/>
      <c r="F2452" s="11"/>
      <c r="G2452" s="11"/>
      <c r="H2452" s="11"/>
      <c r="I2452" s="15"/>
    </row>
    <row r="2453" spans="1:9" ht="16.5">
      <c r="A2453" s="10" t="b">
        <v>0</v>
      </c>
      <c r="B2453" s="11" t="str">
        <f>IF(D2453&lt;&gt;"",IF(COUNTIF('USPTO TMs'!A:A,D2453)&gt;0,"Yes","No"),"")</f>
        <v/>
      </c>
      <c r="C2453" s="11"/>
      <c r="D2453" s="11"/>
      <c r="E2453" s="11"/>
      <c r="F2453" s="11"/>
      <c r="G2453" s="11"/>
      <c r="H2453" s="11"/>
      <c r="I2453" s="15"/>
    </row>
    <row r="2454" spans="1:9" ht="16.5">
      <c r="A2454" s="10" t="b">
        <v>0</v>
      </c>
      <c r="B2454" s="11" t="str">
        <f>IF(D2454&lt;&gt;"",IF(COUNTIF('USPTO TMs'!A:A,D2454)&gt;0,"Yes","No"),"")</f>
        <v/>
      </c>
      <c r="C2454" s="11"/>
      <c r="D2454" s="11"/>
      <c r="E2454" s="11"/>
      <c r="F2454" s="11"/>
      <c r="G2454" s="11"/>
      <c r="H2454" s="11"/>
      <c r="I2454" s="15"/>
    </row>
    <row r="2455" spans="1:9" ht="16.5">
      <c r="A2455" s="10" t="b">
        <v>0</v>
      </c>
      <c r="B2455" s="11" t="str">
        <f>IF(D2455&lt;&gt;"",IF(COUNTIF('USPTO TMs'!A:A,D2455)&gt;0,"Yes","No"),"")</f>
        <v/>
      </c>
      <c r="C2455" s="11"/>
      <c r="D2455" s="11"/>
      <c r="E2455" s="11"/>
      <c r="F2455" s="11"/>
      <c r="G2455" s="11"/>
      <c r="H2455" s="11"/>
      <c r="I2455" s="15"/>
    </row>
    <row r="2456" spans="1:9" ht="16.5">
      <c r="A2456" s="10" t="b">
        <v>0</v>
      </c>
      <c r="B2456" s="11" t="str">
        <f>IF(D2456&lt;&gt;"",IF(COUNTIF('USPTO TMs'!A:A,D2456)&gt;0,"Yes","No"),"")</f>
        <v/>
      </c>
      <c r="C2456" s="11"/>
      <c r="D2456" s="11"/>
      <c r="E2456" s="11"/>
      <c r="F2456" s="11"/>
      <c r="G2456" s="11"/>
      <c r="H2456" s="11"/>
      <c r="I2456" s="15"/>
    </row>
    <row r="2457" spans="1:9" ht="16.5">
      <c r="A2457" s="10" t="b">
        <v>0</v>
      </c>
      <c r="B2457" s="11" t="str">
        <f>IF(D2457&lt;&gt;"",IF(COUNTIF('USPTO TMs'!A:A,D2457)&gt;0,"Yes","No"),"")</f>
        <v/>
      </c>
      <c r="C2457" s="11"/>
      <c r="D2457" s="11"/>
      <c r="E2457" s="11"/>
      <c r="F2457" s="11"/>
      <c r="G2457" s="11"/>
      <c r="H2457" s="11"/>
      <c r="I2457" s="15"/>
    </row>
    <row r="2458" spans="1:9" ht="16.5">
      <c r="A2458" s="10" t="b">
        <v>0</v>
      </c>
      <c r="B2458" s="11" t="str">
        <f>IF(D2458&lt;&gt;"",IF(COUNTIF('USPTO TMs'!A:A,D2458)&gt;0,"Yes","No"),"")</f>
        <v/>
      </c>
      <c r="C2458" s="11"/>
      <c r="D2458" s="11"/>
      <c r="E2458" s="11"/>
      <c r="F2458" s="11"/>
      <c r="G2458" s="11"/>
      <c r="H2458" s="11"/>
      <c r="I2458" s="15"/>
    </row>
    <row r="2459" spans="1:9" ht="16.5">
      <c r="A2459" s="10" t="b">
        <v>0</v>
      </c>
      <c r="B2459" s="11" t="str">
        <f>IF(D2459&lt;&gt;"",IF(COUNTIF('USPTO TMs'!A:A,D2459)&gt;0,"Yes","No"),"")</f>
        <v/>
      </c>
      <c r="C2459" s="11"/>
      <c r="D2459" s="11"/>
      <c r="E2459" s="11"/>
      <c r="F2459" s="11"/>
      <c r="G2459" s="11"/>
      <c r="H2459" s="11"/>
      <c r="I2459" s="15"/>
    </row>
    <row r="2460" spans="1:9" ht="16.5">
      <c r="A2460" s="10" t="b">
        <v>0</v>
      </c>
      <c r="B2460" s="11" t="str">
        <f>IF(D2460&lt;&gt;"",IF(COUNTIF('USPTO TMs'!A:A,D2460)&gt;0,"Yes","No"),"")</f>
        <v/>
      </c>
      <c r="C2460" s="11"/>
      <c r="D2460" s="11"/>
      <c r="E2460" s="11"/>
      <c r="F2460" s="11"/>
      <c r="G2460" s="11"/>
      <c r="H2460" s="11"/>
      <c r="I2460" s="15"/>
    </row>
    <row r="2461" spans="1:9" ht="16.5">
      <c r="A2461" s="10" t="b">
        <v>0</v>
      </c>
      <c r="B2461" s="11" t="str">
        <f>IF(D2461&lt;&gt;"",IF(COUNTIF('USPTO TMs'!A:A,D2461)&gt;0,"Yes","No"),"")</f>
        <v/>
      </c>
      <c r="C2461" s="11"/>
      <c r="D2461" s="11"/>
      <c r="E2461" s="11"/>
      <c r="F2461" s="11"/>
      <c r="G2461" s="11"/>
      <c r="H2461" s="11"/>
      <c r="I2461" s="15"/>
    </row>
    <row r="2462" spans="1:9" ht="16.5">
      <c r="A2462" s="10" t="b">
        <v>0</v>
      </c>
      <c r="B2462" s="11" t="str">
        <f>IF(D2462&lt;&gt;"",IF(COUNTIF('USPTO TMs'!A:A,D2462)&gt;0,"Yes","No"),"")</f>
        <v/>
      </c>
      <c r="C2462" s="11"/>
      <c r="D2462" s="11"/>
      <c r="E2462" s="11"/>
      <c r="F2462" s="11"/>
      <c r="G2462" s="11"/>
      <c r="H2462" s="11"/>
      <c r="I2462" s="15"/>
    </row>
    <row r="2463" spans="1:9" ht="16.5">
      <c r="A2463" s="10" t="b">
        <v>0</v>
      </c>
      <c r="B2463" s="11" t="str">
        <f>IF(D2463&lt;&gt;"",IF(COUNTIF('USPTO TMs'!A:A,D2463)&gt;0,"Yes","No"),"")</f>
        <v/>
      </c>
      <c r="C2463" s="11"/>
      <c r="D2463" s="11"/>
      <c r="E2463" s="11"/>
      <c r="F2463" s="11"/>
      <c r="G2463" s="11"/>
      <c r="H2463" s="11"/>
      <c r="I2463" s="15"/>
    </row>
    <row r="2464" spans="1:9" ht="16.5">
      <c r="A2464" s="10" t="b">
        <v>0</v>
      </c>
      <c r="B2464" s="11" t="str">
        <f>IF(D2464&lt;&gt;"",IF(COUNTIF('USPTO TMs'!A:A,D2464)&gt;0,"Yes","No"),"")</f>
        <v/>
      </c>
      <c r="C2464" s="11"/>
      <c r="D2464" s="11"/>
      <c r="E2464" s="11"/>
      <c r="F2464" s="11"/>
      <c r="G2464" s="11"/>
      <c r="H2464" s="11"/>
      <c r="I2464" s="15"/>
    </row>
    <row r="2465" spans="1:9" ht="16.5">
      <c r="A2465" s="10" t="b">
        <v>0</v>
      </c>
      <c r="B2465" s="11" t="str">
        <f>IF(D2465&lt;&gt;"",IF(COUNTIF('USPTO TMs'!A:A,D2465)&gt;0,"Yes","No"),"")</f>
        <v/>
      </c>
      <c r="C2465" s="11"/>
      <c r="D2465" s="11"/>
      <c r="E2465" s="11"/>
      <c r="F2465" s="11"/>
      <c r="G2465" s="11"/>
      <c r="H2465" s="11"/>
      <c r="I2465" s="15"/>
    </row>
    <row r="2466" spans="1:9" ht="16.5">
      <c r="A2466" s="10" t="b">
        <v>0</v>
      </c>
      <c r="B2466" s="11" t="str">
        <f>IF(D2466&lt;&gt;"",IF(COUNTIF('USPTO TMs'!A:A,D2466)&gt;0,"Yes","No"),"")</f>
        <v/>
      </c>
      <c r="C2466" s="11"/>
      <c r="D2466" s="11"/>
      <c r="E2466" s="11"/>
      <c r="F2466" s="11"/>
      <c r="G2466" s="11"/>
      <c r="H2466" s="11"/>
      <c r="I2466" s="15"/>
    </row>
    <row r="2467" spans="1:9" ht="16.5">
      <c r="A2467" s="10" t="b">
        <v>0</v>
      </c>
      <c r="B2467" s="11" t="str">
        <f>IF(D2467&lt;&gt;"",IF(COUNTIF('USPTO TMs'!A:A,D2467)&gt;0,"Yes","No"),"")</f>
        <v/>
      </c>
      <c r="C2467" s="11"/>
      <c r="D2467" s="11"/>
      <c r="E2467" s="11"/>
      <c r="F2467" s="11"/>
      <c r="G2467" s="11"/>
      <c r="H2467" s="11"/>
      <c r="I2467" s="15"/>
    </row>
    <row r="2468" spans="1:9" ht="16.5">
      <c r="A2468" s="10" t="b">
        <v>0</v>
      </c>
      <c r="B2468" s="11" t="str">
        <f>IF(D2468&lt;&gt;"",IF(COUNTIF('USPTO TMs'!A:A,D2468)&gt;0,"Yes","No"),"")</f>
        <v/>
      </c>
      <c r="C2468" s="11"/>
      <c r="D2468" s="11"/>
      <c r="E2468" s="11"/>
      <c r="F2468" s="11"/>
      <c r="G2468" s="11"/>
      <c r="H2468" s="11"/>
      <c r="I2468" s="15"/>
    </row>
    <row r="2469" spans="1:9" ht="16.5">
      <c r="A2469" s="10" t="b">
        <v>0</v>
      </c>
      <c r="B2469" s="11" t="str">
        <f>IF(D2469&lt;&gt;"",IF(COUNTIF('USPTO TMs'!A:A,D2469)&gt;0,"Yes","No"),"")</f>
        <v/>
      </c>
      <c r="C2469" s="11"/>
      <c r="D2469" s="11"/>
      <c r="E2469" s="11"/>
      <c r="F2469" s="11"/>
      <c r="G2469" s="11"/>
      <c r="H2469" s="11"/>
      <c r="I2469" s="15"/>
    </row>
    <row r="2470" spans="1:9" ht="16.5">
      <c r="A2470" s="10" t="b">
        <v>0</v>
      </c>
      <c r="B2470" s="11" t="str">
        <f>IF(D2470&lt;&gt;"",IF(COUNTIF('USPTO TMs'!A:A,D2470)&gt;0,"Yes","No"),"")</f>
        <v/>
      </c>
      <c r="C2470" s="11"/>
      <c r="D2470" s="11"/>
      <c r="E2470" s="11"/>
      <c r="F2470" s="11"/>
      <c r="G2470" s="11"/>
      <c r="H2470" s="11"/>
      <c r="I2470" s="15"/>
    </row>
    <row r="2471" spans="1:9" ht="16.5">
      <c r="A2471" s="10" t="b">
        <v>0</v>
      </c>
      <c r="B2471" s="11" t="str">
        <f>IF(D2471&lt;&gt;"",IF(COUNTIF('USPTO TMs'!A:A,D2471)&gt;0,"Yes","No"),"")</f>
        <v/>
      </c>
      <c r="C2471" s="11"/>
      <c r="D2471" s="11"/>
      <c r="E2471" s="11"/>
      <c r="F2471" s="11"/>
      <c r="G2471" s="11"/>
      <c r="H2471" s="11"/>
      <c r="I2471" s="15"/>
    </row>
    <row r="2472" spans="1:9" ht="16.5">
      <c r="A2472" s="10" t="b">
        <v>0</v>
      </c>
      <c r="B2472" s="11" t="str">
        <f>IF(D2472&lt;&gt;"",IF(COUNTIF('USPTO TMs'!A:A,D2472)&gt;0,"Yes","No"),"")</f>
        <v/>
      </c>
      <c r="C2472" s="11"/>
      <c r="D2472" s="11"/>
      <c r="E2472" s="11"/>
      <c r="F2472" s="11"/>
      <c r="G2472" s="11"/>
      <c r="H2472" s="11"/>
      <c r="I2472" s="15"/>
    </row>
    <row r="2473" spans="1:9" ht="16.5">
      <c r="A2473" s="10" t="b">
        <v>0</v>
      </c>
      <c r="B2473" s="11" t="str">
        <f>IF(D2473&lt;&gt;"",IF(COUNTIF('USPTO TMs'!A:A,D2473)&gt;0,"Yes","No"),"")</f>
        <v/>
      </c>
      <c r="C2473" s="11"/>
      <c r="D2473" s="11"/>
      <c r="E2473" s="11"/>
      <c r="F2473" s="11"/>
      <c r="G2473" s="11"/>
      <c r="H2473" s="11"/>
      <c r="I2473" s="15"/>
    </row>
    <row r="2474" spans="1:9" ht="16.5">
      <c r="A2474" s="10" t="b">
        <v>0</v>
      </c>
      <c r="B2474" s="11" t="str">
        <f>IF(D2474&lt;&gt;"",IF(COUNTIF('USPTO TMs'!A:A,D2474)&gt;0,"Yes","No"),"")</f>
        <v/>
      </c>
      <c r="C2474" s="11"/>
      <c r="D2474" s="11"/>
      <c r="E2474" s="11"/>
      <c r="F2474" s="11"/>
      <c r="G2474" s="11"/>
      <c r="H2474" s="11"/>
      <c r="I2474" s="15"/>
    </row>
    <row r="2475" spans="1:9" ht="16.5">
      <c r="A2475" s="10" t="b">
        <v>0</v>
      </c>
      <c r="B2475" s="11" t="str">
        <f>IF(D2475&lt;&gt;"",IF(COUNTIF('USPTO TMs'!A:A,D2475)&gt;0,"Yes","No"),"")</f>
        <v/>
      </c>
      <c r="C2475" s="11"/>
      <c r="D2475" s="11"/>
      <c r="E2475" s="11"/>
      <c r="F2475" s="11"/>
      <c r="G2475" s="11"/>
      <c r="H2475" s="11"/>
      <c r="I2475" s="15"/>
    </row>
    <row r="2476" spans="1:9" ht="16.5">
      <c r="A2476" s="10" t="b">
        <v>0</v>
      </c>
      <c r="B2476" s="11" t="str">
        <f>IF(D2476&lt;&gt;"",IF(COUNTIF('USPTO TMs'!A:A,D2476)&gt;0,"Yes","No"),"")</f>
        <v/>
      </c>
      <c r="C2476" s="11"/>
      <c r="D2476" s="11"/>
      <c r="E2476" s="11"/>
      <c r="F2476" s="11"/>
      <c r="G2476" s="11"/>
      <c r="H2476" s="11"/>
      <c r="I2476" s="15"/>
    </row>
    <row r="2477" spans="1:9" ht="16.5">
      <c r="A2477" s="10" t="b">
        <v>0</v>
      </c>
      <c r="B2477" s="11" t="str">
        <f>IF(D2477&lt;&gt;"",IF(COUNTIF('USPTO TMs'!A:A,D2477)&gt;0,"Yes","No"),"")</f>
        <v/>
      </c>
      <c r="C2477" s="11"/>
      <c r="D2477" s="11"/>
      <c r="E2477" s="11"/>
      <c r="F2477" s="11"/>
      <c r="G2477" s="11"/>
      <c r="H2477" s="11"/>
      <c r="I2477" s="15"/>
    </row>
    <row r="2478" spans="1:9" ht="16.5">
      <c r="A2478" s="10" t="b">
        <v>0</v>
      </c>
      <c r="B2478" s="11" t="str">
        <f>IF(D2478&lt;&gt;"",IF(COUNTIF('USPTO TMs'!A:A,D2478)&gt;0,"Yes","No"),"")</f>
        <v/>
      </c>
      <c r="C2478" s="11"/>
      <c r="D2478" s="11"/>
      <c r="E2478" s="11"/>
      <c r="F2478" s="11"/>
      <c r="G2478" s="11"/>
      <c r="H2478" s="11"/>
      <c r="I2478" s="15"/>
    </row>
    <row r="2479" spans="1:9" ht="16.5">
      <c r="A2479" s="10" t="b">
        <v>0</v>
      </c>
      <c r="B2479" s="11" t="str">
        <f>IF(D2479&lt;&gt;"",IF(COUNTIF('USPTO TMs'!A:A,D2479)&gt;0,"Yes","No"),"")</f>
        <v/>
      </c>
      <c r="C2479" s="11"/>
      <c r="D2479" s="11"/>
      <c r="E2479" s="11"/>
      <c r="F2479" s="11"/>
      <c r="G2479" s="11"/>
      <c r="H2479" s="11"/>
      <c r="I2479" s="15"/>
    </row>
    <row r="2480" spans="1:9" ht="16.5">
      <c r="A2480" s="10" t="b">
        <v>0</v>
      </c>
      <c r="B2480" s="11" t="str">
        <f>IF(D2480&lt;&gt;"",IF(COUNTIF('USPTO TMs'!A:A,D2480)&gt;0,"Yes","No"),"")</f>
        <v/>
      </c>
      <c r="C2480" s="11"/>
      <c r="D2480" s="11"/>
      <c r="E2480" s="11"/>
      <c r="F2480" s="11"/>
      <c r="G2480" s="11"/>
      <c r="H2480" s="11"/>
      <c r="I2480" s="15"/>
    </row>
    <row r="2481" spans="1:9" ht="16.5">
      <c r="A2481" s="10" t="b">
        <v>0</v>
      </c>
      <c r="B2481" s="11" t="str">
        <f>IF(D2481&lt;&gt;"",IF(COUNTIF('USPTO TMs'!A:A,D2481)&gt;0,"Yes","No"),"")</f>
        <v/>
      </c>
      <c r="C2481" s="11"/>
      <c r="D2481" s="11"/>
      <c r="E2481" s="11"/>
      <c r="F2481" s="11"/>
      <c r="G2481" s="11"/>
      <c r="H2481" s="11"/>
      <c r="I2481" s="15"/>
    </row>
    <row r="2482" spans="1:9" ht="16.5">
      <c r="A2482" s="10" t="b">
        <v>0</v>
      </c>
      <c r="B2482" s="11" t="str">
        <f>IF(D2482&lt;&gt;"",IF(COUNTIF('USPTO TMs'!A:A,D2482)&gt;0,"Yes","No"),"")</f>
        <v/>
      </c>
      <c r="C2482" s="11"/>
      <c r="D2482" s="11"/>
      <c r="E2482" s="11"/>
      <c r="F2482" s="11"/>
      <c r="G2482" s="11"/>
      <c r="H2482" s="11"/>
      <c r="I2482" s="15"/>
    </row>
    <row r="2483" spans="1:9" ht="16.5">
      <c r="A2483" s="10" t="b">
        <v>0</v>
      </c>
      <c r="B2483" s="11" t="str">
        <f>IF(D2483&lt;&gt;"",IF(COUNTIF('USPTO TMs'!A:A,D2483)&gt;0,"Yes","No"),"")</f>
        <v/>
      </c>
      <c r="C2483" s="11"/>
      <c r="D2483" s="11"/>
      <c r="E2483" s="11"/>
      <c r="F2483" s="11"/>
      <c r="G2483" s="11"/>
      <c r="H2483" s="11"/>
      <c r="I2483" s="15"/>
    </row>
    <row r="2484" spans="1:9" ht="16.5">
      <c r="A2484" s="10" t="b">
        <v>0</v>
      </c>
      <c r="B2484" s="11" t="str">
        <f>IF(D2484&lt;&gt;"",IF(COUNTIF('USPTO TMs'!A:A,D2484)&gt;0,"Yes","No"),"")</f>
        <v/>
      </c>
      <c r="C2484" s="11"/>
      <c r="D2484" s="11"/>
      <c r="E2484" s="11"/>
      <c r="F2484" s="11"/>
      <c r="G2484" s="11"/>
      <c r="H2484" s="11"/>
      <c r="I2484" s="15"/>
    </row>
    <row r="2485" spans="1:9" ht="16.5">
      <c r="A2485" s="10" t="b">
        <v>0</v>
      </c>
      <c r="B2485" s="11" t="str">
        <f>IF(D2485&lt;&gt;"",IF(COUNTIF('USPTO TMs'!A:A,D2485)&gt;0,"Yes","No"),"")</f>
        <v/>
      </c>
      <c r="C2485" s="11"/>
      <c r="D2485" s="11"/>
      <c r="E2485" s="11"/>
      <c r="F2485" s="11"/>
      <c r="G2485" s="11"/>
      <c r="H2485" s="11"/>
      <c r="I2485" s="15"/>
    </row>
    <row r="2486" spans="1:9" ht="16.5">
      <c r="A2486" s="10" t="b">
        <v>0</v>
      </c>
      <c r="B2486" s="11" t="str">
        <f>IF(D2486&lt;&gt;"",IF(COUNTIF('USPTO TMs'!A:A,D2486)&gt;0,"Yes","No"),"")</f>
        <v/>
      </c>
      <c r="C2486" s="11"/>
      <c r="D2486" s="11"/>
      <c r="E2486" s="11"/>
      <c r="F2486" s="11"/>
      <c r="G2486" s="11"/>
      <c r="H2486" s="11"/>
      <c r="I2486" s="15"/>
    </row>
    <row r="2487" spans="1:9" ht="16.5">
      <c r="A2487" s="10" t="b">
        <v>0</v>
      </c>
      <c r="B2487" s="11" t="str">
        <f>IF(D2487&lt;&gt;"",IF(COUNTIF('USPTO TMs'!A:A,D2487)&gt;0,"Yes","No"),"")</f>
        <v/>
      </c>
      <c r="C2487" s="11"/>
      <c r="D2487" s="11"/>
      <c r="E2487" s="11"/>
      <c r="F2487" s="11"/>
      <c r="G2487" s="11"/>
      <c r="H2487" s="11"/>
      <c r="I2487" s="15"/>
    </row>
    <row r="2488" spans="1:9" ht="16.5">
      <c r="A2488" s="10" t="b">
        <v>0</v>
      </c>
      <c r="B2488" s="11" t="str">
        <f>IF(D2488&lt;&gt;"",IF(COUNTIF('USPTO TMs'!A:A,D2488)&gt;0,"Yes","No"),"")</f>
        <v/>
      </c>
      <c r="C2488" s="11"/>
      <c r="D2488" s="11"/>
      <c r="E2488" s="11"/>
      <c r="F2488" s="11"/>
      <c r="G2488" s="11"/>
      <c r="H2488" s="11"/>
      <c r="I2488" s="15"/>
    </row>
    <row r="2489" spans="1:9" ht="16.5">
      <c r="A2489" s="10" t="b">
        <v>0</v>
      </c>
      <c r="B2489" s="11" t="str">
        <f>IF(D2489&lt;&gt;"",IF(COUNTIF('USPTO TMs'!A:A,D2489)&gt;0,"Yes","No"),"")</f>
        <v/>
      </c>
      <c r="C2489" s="11"/>
      <c r="D2489" s="11"/>
      <c r="E2489" s="11"/>
      <c r="F2489" s="11"/>
      <c r="G2489" s="11"/>
      <c r="H2489" s="11"/>
      <c r="I2489" s="15"/>
    </row>
    <row r="2490" spans="1:9" ht="16.5">
      <c r="A2490" s="10" t="b">
        <v>0</v>
      </c>
      <c r="B2490" s="11" t="str">
        <f>IF(D2490&lt;&gt;"",IF(COUNTIF('USPTO TMs'!A:A,D2490)&gt;0,"Yes","No"),"")</f>
        <v/>
      </c>
      <c r="C2490" s="11"/>
      <c r="D2490" s="11"/>
      <c r="E2490" s="11"/>
      <c r="F2490" s="11"/>
      <c r="G2490" s="11"/>
      <c r="H2490" s="11"/>
      <c r="I2490" s="15"/>
    </row>
    <row r="2491" spans="1:9" ht="16.5">
      <c r="A2491" s="10" t="b">
        <v>0</v>
      </c>
      <c r="B2491" s="11" t="str">
        <f>IF(D2491&lt;&gt;"",IF(COUNTIF('USPTO TMs'!A:A,D2491)&gt;0,"Yes","No"),"")</f>
        <v/>
      </c>
      <c r="C2491" s="11"/>
      <c r="D2491" s="11"/>
      <c r="E2491" s="11"/>
      <c r="F2491" s="11"/>
      <c r="G2491" s="11"/>
      <c r="H2491" s="11"/>
      <c r="I2491" s="15"/>
    </row>
    <row r="2492" spans="1:9" ht="16.5">
      <c r="A2492" s="10" t="b">
        <v>0</v>
      </c>
      <c r="B2492" s="11" t="str">
        <f>IF(D2492&lt;&gt;"",IF(COUNTIF('USPTO TMs'!A:A,D2492)&gt;0,"Yes","No"),"")</f>
        <v/>
      </c>
      <c r="C2492" s="11"/>
      <c r="D2492" s="11"/>
      <c r="E2492" s="11"/>
      <c r="F2492" s="11"/>
      <c r="G2492" s="11"/>
      <c r="H2492" s="11"/>
      <c r="I2492" s="15"/>
    </row>
    <row r="2493" spans="1:9" ht="16.5">
      <c r="A2493" s="10" t="b">
        <v>0</v>
      </c>
      <c r="B2493" s="11" t="str">
        <f>IF(D2493&lt;&gt;"",IF(COUNTIF('USPTO TMs'!A:A,D2493)&gt;0,"Yes","No"),"")</f>
        <v/>
      </c>
      <c r="C2493" s="11"/>
      <c r="D2493" s="11"/>
      <c r="E2493" s="11"/>
      <c r="F2493" s="11"/>
      <c r="G2493" s="11"/>
      <c r="H2493" s="11"/>
      <c r="I2493" s="15"/>
    </row>
    <row r="2494" spans="1:9" ht="16.5">
      <c r="A2494" s="10" t="b">
        <v>0</v>
      </c>
      <c r="B2494" s="11" t="str">
        <f>IF(D2494&lt;&gt;"",IF(COUNTIF('USPTO TMs'!A:A,D2494)&gt;0,"Yes","No"),"")</f>
        <v/>
      </c>
      <c r="C2494" s="11"/>
      <c r="D2494" s="11"/>
      <c r="E2494" s="11"/>
      <c r="F2494" s="11"/>
      <c r="G2494" s="11"/>
      <c r="H2494" s="11"/>
      <c r="I2494" s="15"/>
    </row>
    <row r="2495" spans="1:9" ht="16.5">
      <c r="A2495" s="10" t="b">
        <v>0</v>
      </c>
      <c r="B2495" s="11" t="str">
        <f>IF(D2495&lt;&gt;"",IF(COUNTIF('USPTO TMs'!A:A,D2495)&gt;0,"Yes","No"),"")</f>
        <v/>
      </c>
      <c r="C2495" s="11"/>
      <c r="D2495" s="11"/>
      <c r="E2495" s="11"/>
      <c r="F2495" s="11"/>
      <c r="G2495" s="11"/>
      <c r="H2495" s="11"/>
      <c r="I2495" s="15"/>
    </row>
    <row r="2496" spans="1:9" ht="16.5">
      <c r="A2496" s="10" t="b">
        <v>0</v>
      </c>
      <c r="B2496" s="11" t="str">
        <f>IF(D2496&lt;&gt;"",IF(COUNTIF('USPTO TMs'!A:A,D2496)&gt;0,"Yes","No"),"")</f>
        <v/>
      </c>
      <c r="C2496" s="11"/>
      <c r="D2496" s="11"/>
      <c r="E2496" s="11"/>
      <c r="F2496" s="11"/>
      <c r="G2496" s="11"/>
      <c r="H2496" s="11"/>
      <c r="I2496" s="15"/>
    </row>
    <row r="2497" spans="1:9" ht="16.5">
      <c r="A2497" s="10" t="b">
        <v>0</v>
      </c>
      <c r="B2497" s="11" t="str">
        <f>IF(D2497&lt;&gt;"",IF(COUNTIF('USPTO TMs'!A:A,D2497)&gt;0,"Yes","No"),"")</f>
        <v/>
      </c>
      <c r="C2497" s="11"/>
      <c r="D2497" s="11"/>
      <c r="E2497" s="11"/>
      <c r="F2497" s="11"/>
      <c r="G2497" s="11"/>
      <c r="H2497" s="11"/>
      <c r="I2497" s="15"/>
    </row>
    <row r="2498" spans="1:9" ht="16.5">
      <c r="A2498" s="10" t="b">
        <v>0</v>
      </c>
      <c r="B2498" s="11" t="str">
        <f>IF(D2498&lt;&gt;"",IF(COUNTIF('USPTO TMs'!A:A,D2498)&gt;0,"Yes","No"),"")</f>
        <v/>
      </c>
      <c r="C2498" s="11"/>
      <c r="D2498" s="11"/>
      <c r="E2498" s="11"/>
      <c r="F2498" s="11"/>
      <c r="G2498" s="11"/>
      <c r="H2498" s="11"/>
      <c r="I2498" s="15"/>
    </row>
    <row r="2499" spans="1:9" ht="16.5">
      <c r="A2499" s="10" t="b">
        <v>0</v>
      </c>
      <c r="B2499" s="11" t="str">
        <f>IF(D2499&lt;&gt;"",IF(COUNTIF('USPTO TMs'!A:A,D2499)&gt;0,"Yes","No"),"")</f>
        <v/>
      </c>
      <c r="C2499" s="11"/>
      <c r="D2499" s="11"/>
      <c r="E2499" s="11"/>
      <c r="F2499" s="11"/>
      <c r="G2499" s="11"/>
      <c r="H2499" s="11"/>
      <c r="I2499" s="15"/>
    </row>
    <row r="2500" spans="1:9" ht="16.5">
      <c r="A2500" s="10" t="b">
        <v>0</v>
      </c>
      <c r="B2500" s="11" t="str">
        <f>IF(D2500&lt;&gt;"",IF(COUNTIF('USPTO TMs'!A:A,D2500)&gt;0,"Yes","No"),"")</f>
        <v/>
      </c>
      <c r="C2500" s="11"/>
      <c r="D2500" s="11"/>
      <c r="E2500" s="11"/>
      <c r="F2500" s="11"/>
      <c r="G2500" s="11"/>
      <c r="H2500" s="11"/>
      <c r="I2500" s="15"/>
    </row>
    <row r="2501" spans="1:9" ht="16.5">
      <c r="A2501" s="10" t="b">
        <v>0</v>
      </c>
      <c r="B2501" s="11" t="str">
        <f>IF(D2501&lt;&gt;"",IF(COUNTIF('USPTO TMs'!A:A,D2501)&gt;0,"Yes","No"),"")</f>
        <v/>
      </c>
      <c r="C2501" s="11"/>
      <c r="D2501" s="11"/>
      <c r="E2501" s="11"/>
      <c r="F2501" s="11"/>
      <c r="G2501" s="11"/>
      <c r="H2501" s="11"/>
      <c r="I2501" s="15"/>
    </row>
    <row r="2502" spans="1:9" ht="16.5">
      <c r="A2502" s="10" t="b">
        <v>0</v>
      </c>
      <c r="B2502" s="11" t="str">
        <f>IF(D2502&lt;&gt;"",IF(COUNTIF('USPTO TMs'!A:A,D2502)&gt;0,"Yes","No"),"")</f>
        <v/>
      </c>
      <c r="C2502" s="11"/>
      <c r="D2502" s="11"/>
      <c r="E2502" s="11"/>
      <c r="F2502" s="11"/>
      <c r="G2502" s="11"/>
      <c r="H2502" s="11"/>
      <c r="I2502" s="15"/>
    </row>
    <row r="2503" spans="1:9" ht="16.5">
      <c r="A2503" s="10" t="b">
        <v>0</v>
      </c>
      <c r="B2503" s="11" t="str">
        <f>IF(D2503&lt;&gt;"",IF(COUNTIF('USPTO TMs'!A:A,D2503)&gt;0,"Yes","No"),"")</f>
        <v/>
      </c>
      <c r="C2503" s="11"/>
      <c r="D2503" s="11"/>
      <c r="E2503" s="11"/>
      <c r="F2503" s="11"/>
      <c r="G2503" s="11"/>
      <c r="H2503" s="11"/>
      <c r="I2503" s="15"/>
    </row>
    <row r="2504" spans="1:9" ht="16.5">
      <c r="A2504" s="10" t="b">
        <v>0</v>
      </c>
      <c r="B2504" s="11" t="str">
        <f>IF(D2504&lt;&gt;"",IF(COUNTIF('USPTO TMs'!A:A,D2504)&gt;0,"Yes","No"),"")</f>
        <v/>
      </c>
      <c r="C2504" s="11"/>
      <c r="D2504" s="11"/>
      <c r="E2504" s="11"/>
      <c r="F2504" s="11"/>
      <c r="G2504" s="11"/>
      <c r="H2504" s="11"/>
      <c r="I2504" s="15"/>
    </row>
    <row r="2505" spans="1:9" ht="16.5">
      <c r="A2505" s="10" t="b">
        <v>0</v>
      </c>
      <c r="B2505" s="11" t="str">
        <f>IF(D2505&lt;&gt;"",IF(COUNTIF('USPTO TMs'!A:A,D2505)&gt;0,"Yes","No"),"")</f>
        <v/>
      </c>
      <c r="C2505" s="11"/>
      <c r="D2505" s="11"/>
      <c r="E2505" s="11"/>
      <c r="F2505" s="11"/>
      <c r="G2505" s="11"/>
      <c r="H2505" s="11"/>
      <c r="I2505" s="15"/>
    </row>
    <row r="2506" spans="1:9" ht="16.5">
      <c r="A2506" s="10" t="b">
        <v>0</v>
      </c>
      <c r="B2506" s="11" t="str">
        <f>IF(D2506&lt;&gt;"",IF(COUNTIF('USPTO TMs'!A:A,D2506)&gt;0,"Yes","No"),"")</f>
        <v/>
      </c>
      <c r="C2506" s="11"/>
      <c r="D2506" s="11"/>
      <c r="E2506" s="11"/>
      <c r="F2506" s="11"/>
      <c r="G2506" s="11"/>
      <c r="H2506" s="11"/>
      <c r="I2506" s="15"/>
    </row>
    <row r="2507" spans="1:9" ht="16.5">
      <c r="A2507" s="10" t="b">
        <v>0</v>
      </c>
      <c r="B2507" s="11" t="str">
        <f>IF(D2507&lt;&gt;"",IF(COUNTIF('USPTO TMs'!A:A,D2507)&gt;0,"Yes","No"),"")</f>
        <v/>
      </c>
      <c r="C2507" s="11"/>
      <c r="D2507" s="11"/>
      <c r="E2507" s="11"/>
      <c r="F2507" s="11"/>
      <c r="G2507" s="11"/>
      <c r="H2507" s="11"/>
      <c r="I2507" s="15"/>
    </row>
    <row r="2508" spans="1:9" ht="16.5">
      <c r="A2508" s="10" t="b">
        <v>0</v>
      </c>
      <c r="B2508" s="11" t="str">
        <f>IF(D2508&lt;&gt;"",IF(COUNTIF('USPTO TMs'!A:A,D2508)&gt;0,"Yes","No"),"")</f>
        <v/>
      </c>
      <c r="C2508" s="11"/>
      <c r="D2508" s="11"/>
      <c r="E2508" s="11"/>
      <c r="F2508" s="11"/>
      <c r="G2508" s="11"/>
      <c r="H2508" s="11"/>
      <c r="I2508" s="15"/>
    </row>
    <row r="2509" spans="1:9" ht="16.5">
      <c r="A2509" s="10" t="b">
        <v>0</v>
      </c>
      <c r="B2509" s="11" t="str">
        <f>IF(D2509&lt;&gt;"",IF(COUNTIF('USPTO TMs'!A:A,D2509)&gt;0,"Yes","No"),"")</f>
        <v/>
      </c>
      <c r="C2509" s="11"/>
      <c r="D2509" s="11"/>
      <c r="E2509" s="11"/>
      <c r="F2509" s="11"/>
      <c r="G2509" s="11"/>
      <c r="H2509" s="11"/>
      <c r="I2509" s="15"/>
    </row>
    <row r="2510" spans="1:9" ht="16.5">
      <c r="A2510" s="10" t="b">
        <v>0</v>
      </c>
      <c r="B2510" s="11" t="str">
        <f>IF(D2510&lt;&gt;"",IF(COUNTIF('USPTO TMs'!A:A,D2510)&gt;0,"Yes","No"),"")</f>
        <v/>
      </c>
      <c r="C2510" s="11"/>
      <c r="D2510" s="11"/>
      <c r="E2510" s="11"/>
      <c r="F2510" s="11"/>
      <c r="G2510" s="11"/>
      <c r="H2510" s="11"/>
      <c r="I2510" s="15"/>
    </row>
    <row r="2511" spans="1:9" ht="16.5">
      <c r="A2511" s="10" t="b">
        <v>0</v>
      </c>
      <c r="B2511" s="11" t="str">
        <f>IF(D2511&lt;&gt;"",IF(COUNTIF('USPTO TMs'!A:A,D2511)&gt;0,"Yes","No"),"")</f>
        <v/>
      </c>
      <c r="C2511" s="11"/>
      <c r="D2511" s="11"/>
      <c r="E2511" s="11"/>
      <c r="F2511" s="11"/>
      <c r="G2511" s="11"/>
      <c r="H2511" s="11"/>
      <c r="I2511" s="15"/>
    </row>
    <row r="2512" spans="1:9" ht="16.5">
      <c r="A2512" s="10" t="b">
        <v>0</v>
      </c>
      <c r="B2512" s="11" t="str">
        <f>IF(D2512&lt;&gt;"",IF(COUNTIF('USPTO TMs'!A:A,D2512)&gt;0,"Yes","No"),"")</f>
        <v/>
      </c>
      <c r="C2512" s="11"/>
      <c r="D2512" s="11"/>
      <c r="E2512" s="11"/>
      <c r="F2512" s="11"/>
      <c r="G2512" s="11"/>
      <c r="H2512" s="11"/>
      <c r="I2512" s="15"/>
    </row>
    <row r="2513" spans="1:9" ht="16.5">
      <c r="A2513" s="10" t="b">
        <v>0</v>
      </c>
      <c r="B2513" s="11" t="str">
        <f>IF(D2513&lt;&gt;"",IF(COUNTIF('USPTO TMs'!A:A,D2513)&gt;0,"Yes","No"),"")</f>
        <v/>
      </c>
      <c r="C2513" s="11"/>
      <c r="D2513" s="11"/>
      <c r="E2513" s="11"/>
      <c r="F2513" s="11"/>
      <c r="G2513" s="11"/>
      <c r="H2513" s="11"/>
      <c r="I2513" s="15"/>
    </row>
    <row r="2514" spans="1:9" ht="16.5">
      <c r="A2514" s="10" t="b">
        <v>0</v>
      </c>
      <c r="B2514" s="11" t="str">
        <f>IF(D2514&lt;&gt;"",IF(COUNTIF('USPTO TMs'!A:A,D2514)&gt;0,"Yes","No"),"")</f>
        <v/>
      </c>
      <c r="C2514" s="11"/>
      <c r="D2514" s="11"/>
      <c r="E2514" s="11"/>
      <c r="F2514" s="11"/>
      <c r="G2514" s="11"/>
      <c r="H2514" s="11"/>
      <c r="I2514" s="15"/>
    </row>
    <row r="2515" spans="1:9" ht="16.5">
      <c r="A2515" s="10" t="b">
        <v>0</v>
      </c>
      <c r="B2515" s="11" t="str">
        <f>IF(D2515&lt;&gt;"",IF(COUNTIF('USPTO TMs'!A:A,D2515)&gt;0,"Yes","No"),"")</f>
        <v/>
      </c>
      <c r="C2515" s="11"/>
      <c r="D2515" s="11"/>
      <c r="E2515" s="11"/>
      <c r="F2515" s="11"/>
      <c r="G2515" s="11"/>
      <c r="H2515" s="11"/>
      <c r="I2515" s="15"/>
    </row>
    <row r="2516" spans="1:9" ht="16.5">
      <c r="A2516" s="10" t="b">
        <v>0</v>
      </c>
      <c r="B2516" s="11" t="str">
        <f>IF(D2516&lt;&gt;"",IF(COUNTIF('USPTO TMs'!A:A,D2516)&gt;0,"Yes","No"),"")</f>
        <v/>
      </c>
      <c r="C2516" s="11"/>
      <c r="D2516" s="11"/>
      <c r="E2516" s="11"/>
      <c r="F2516" s="11"/>
      <c r="G2516" s="11"/>
      <c r="H2516" s="11"/>
      <c r="I2516" s="15"/>
    </row>
    <row r="2517" spans="1:9" ht="16.5">
      <c r="A2517" s="10" t="b">
        <v>0</v>
      </c>
      <c r="B2517" s="11" t="str">
        <f>IF(D2517&lt;&gt;"",IF(COUNTIF('USPTO TMs'!A:A,D2517)&gt;0,"Yes","No"),"")</f>
        <v/>
      </c>
      <c r="C2517" s="11"/>
      <c r="D2517" s="11"/>
      <c r="E2517" s="11"/>
      <c r="F2517" s="11"/>
      <c r="G2517" s="11"/>
      <c r="H2517" s="11"/>
      <c r="I2517" s="15"/>
    </row>
    <row r="2518" spans="1:9" ht="16.5">
      <c r="A2518" s="10" t="b">
        <v>0</v>
      </c>
      <c r="B2518" s="11" t="str">
        <f>IF(D2518&lt;&gt;"",IF(COUNTIF('USPTO TMs'!A:A,D2518)&gt;0,"Yes","No"),"")</f>
        <v/>
      </c>
      <c r="C2518" s="11"/>
      <c r="D2518" s="11"/>
      <c r="E2518" s="11"/>
      <c r="F2518" s="11"/>
      <c r="G2518" s="11"/>
      <c r="H2518" s="11"/>
      <c r="I2518" s="15"/>
    </row>
    <row r="2519" spans="1:9" ht="16.5">
      <c r="A2519" s="10" t="b">
        <v>0</v>
      </c>
      <c r="B2519" s="11" t="str">
        <f>IF(D2519&lt;&gt;"",IF(COUNTIF('USPTO TMs'!A:A,D2519)&gt;0,"Yes","No"),"")</f>
        <v/>
      </c>
      <c r="C2519" s="11"/>
      <c r="D2519" s="11"/>
      <c r="E2519" s="11"/>
      <c r="F2519" s="11"/>
      <c r="G2519" s="11"/>
      <c r="H2519" s="11"/>
      <c r="I2519" s="15"/>
    </row>
    <row r="2520" spans="1:9" ht="16.5">
      <c r="A2520" s="10" t="b">
        <v>0</v>
      </c>
      <c r="B2520" s="11" t="str">
        <f>IF(D2520&lt;&gt;"",IF(COUNTIF('USPTO TMs'!A:A,D2520)&gt;0,"Yes","No"),"")</f>
        <v/>
      </c>
      <c r="C2520" s="11"/>
      <c r="D2520" s="11"/>
      <c r="E2520" s="11"/>
      <c r="F2520" s="11"/>
      <c r="G2520" s="11"/>
      <c r="H2520" s="11"/>
      <c r="I2520" s="15"/>
    </row>
    <row r="2521" spans="1:9" ht="16.5">
      <c r="A2521" s="10" t="b">
        <v>0</v>
      </c>
      <c r="B2521" s="11" t="str">
        <f>IF(D2521&lt;&gt;"",IF(COUNTIF('USPTO TMs'!A:A,D2521)&gt;0,"Yes","No"),"")</f>
        <v/>
      </c>
      <c r="C2521" s="11"/>
      <c r="D2521" s="11"/>
      <c r="E2521" s="11"/>
      <c r="F2521" s="11"/>
      <c r="G2521" s="11"/>
      <c r="H2521" s="11"/>
      <c r="I2521" s="15"/>
    </row>
    <row r="2522" spans="1:9" ht="16.5">
      <c r="A2522" s="10" t="b">
        <v>0</v>
      </c>
      <c r="B2522" s="11" t="str">
        <f>IF(D2522&lt;&gt;"",IF(COUNTIF('USPTO TMs'!A:A,D2522)&gt;0,"Yes","No"),"")</f>
        <v/>
      </c>
      <c r="C2522" s="11"/>
      <c r="D2522" s="11"/>
      <c r="E2522" s="11"/>
      <c r="F2522" s="11"/>
      <c r="G2522" s="11"/>
      <c r="H2522" s="11"/>
      <c r="I2522" s="15"/>
    </row>
    <row r="2523" spans="1:9" ht="16.5">
      <c r="A2523" s="10" t="b">
        <v>0</v>
      </c>
      <c r="B2523" s="11" t="str">
        <f>IF(D2523&lt;&gt;"",IF(COUNTIF('USPTO TMs'!A:A,D2523)&gt;0,"Yes","No"),"")</f>
        <v/>
      </c>
      <c r="C2523" s="11"/>
      <c r="D2523" s="11"/>
      <c r="E2523" s="11"/>
      <c r="F2523" s="11"/>
      <c r="G2523" s="11"/>
      <c r="H2523" s="11"/>
      <c r="I2523" s="15"/>
    </row>
    <row r="2524" spans="1:9" ht="16.5">
      <c r="A2524" s="10" t="b">
        <v>0</v>
      </c>
      <c r="B2524" s="11" t="str">
        <f>IF(D2524&lt;&gt;"",IF(COUNTIF('USPTO TMs'!A:A,D2524)&gt;0,"Yes","No"),"")</f>
        <v/>
      </c>
      <c r="C2524" s="11"/>
      <c r="D2524" s="11"/>
      <c r="E2524" s="11"/>
      <c r="F2524" s="11"/>
      <c r="G2524" s="11"/>
      <c r="H2524" s="11"/>
      <c r="I2524" s="15"/>
    </row>
    <row r="2525" spans="1:9" ht="16.5">
      <c r="A2525" s="10" t="b">
        <v>0</v>
      </c>
      <c r="B2525" s="11" t="str">
        <f>IF(D2525&lt;&gt;"",IF(COUNTIF('USPTO TMs'!A:A,D2525)&gt;0,"Yes","No"),"")</f>
        <v/>
      </c>
      <c r="C2525" s="11"/>
      <c r="D2525" s="11"/>
      <c r="E2525" s="11"/>
      <c r="F2525" s="11"/>
      <c r="G2525" s="11"/>
      <c r="H2525" s="11"/>
      <c r="I2525" s="15"/>
    </row>
    <row r="2526" spans="1:9" ht="16.5">
      <c r="A2526" s="10" t="b">
        <v>0</v>
      </c>
      <c r="B2526" s="11" t="str">
        <f>IF(D2526&lt;&gt;"",IF(COUNTIF('USPTO TMs'!A:A,D2526)&gt;0,"Yes","No"),"")</f>
        <v/>
      </c>
      <c r="C2526" s="11"/>
      <c r="D2526" s="11"/>
      <c r="E2526" s="11"/>
      <c r="F2526" s="11"/>
      <c r="G2526" s="11"/>
      <c r="H2526" s="11"/>
      <c r="I2526" s="15"/>
    </row>
    <row r="2527" spans="1:9" ht="16.5">
      <c r="A2527" s="10" t="b">
        <v>0</v>
      </c>
      <c r="B2527" s="11" t="str">
        <f>IF(D2527&lt;&gt;"",IF(COUNTIF('USPTO TMs'!A:A,D2527)&gt;0,"Yes","No"),"")</f>
        <v/>
      </c>
      <c r="C2527" s="11"/>
      <c r="D2527" s="11"/>
      <c r="E2527" s="11"/>
      <c r="F2527" s="11"/>
      <c r="G2527" s="11"/>
      <c r="H2527" s="11"/>
      <c r="I2527" s="15"/>
    </row>
    <row r="2528" spans="1:9" ht="16.5">
      <c r="A2528" s="10" t="b">
        <v>0</v>
      </c>
      <c r="B2528" s="11" t="str">
        <f>IF(D2528&lt;&gt;"",IF(COUNTIF('USPTO TMs'!A:A,D2528)&gt;0,"Yes","No"),"")</f>
        <v/>
      </c>
      <c r="C2528" s="11"/>
      <c r="D2528" s="11"/>
      <c r="E2528" s="11"/>
      <c r="F2528" s="11"/>
      <c r="G2528" s="11"/>
      <c r="H2528" s="11"/>
      <c r="I2528" s="15"/>
    </row>
    <row r="2529" spans="1:9" ht="16.5">
      <c r="A2529" s="10" t="b">
        <v>0</v>
      </c>
      <c r="B2529" s="11" t="str">
        <f>IF(D2529&lt;&gt;"",IF(COUNTIF('USPTO TMs'!A:A,D2529)&gt;0,"Yes","No"),"")</f>
        <v/>
      </c>
      <c r="C2529" s="11"/>
      <c r="D2529" s="11"/>
      <c r="E2529" s="11"/>
      <c r="F2529" s="11"/>
      <c r="G2529" s="11"/>
      <c r="H2529" s="11"/>
      <c r="I2529" s="15"/>
    </row>
    <row r="2530" spans="1:9" ht="16.5">
      <c r="A2530" s="10" t="b">
        <v>0</v>
      </c>
      <c r="B2530" s="11" t="str">
        <f>IF(D2530&lt;&gt;"",IF(COUNTIF('USPTO TMs'!A:A,D2530)&gt;0,"Yes","No"),"")</f>
        <v/>
      </c>
      <c r="C2530" s="11"/>
      <c r="D2530" s="11"/>
      <c r="E2530" s="11"/>
      <c r="F2530" s="11"/>
      <c r="G2530" s="11"/>
      <c r="H2530" s="11"/>
      <c r="I2530" s="15"/>
    </row>
    <row r="2531" spans="1:9" ht="16.5">
      <c r="A2531" s="10" t="b">
        <v>0</v>
      </c>
      <c r="B2531" s="11" t="str">
        <f>IF(D2531&lt;&gt;"",IF(COUNTIF('USPTO TMs'!A:A,D2531)&gt;0,"Yes","No"),"")</f>
        <v/>
      </c>
      <c r="C2531" s="11"/>
      <c r="D2531" s="11"/>
      <c r="E2531" s="11"/>
      <c r="F2531" s="11"/>
      <c r="G2531" s="11"/>
      <c r="H2531" s="11"/>
      <c r="I2531" s="15"/>
    </row>
    <row r="2532" spans="1:9" ht="16.5">
      <c r="A2532" s="10" t="b">
        <v>0</v>
      </c>
      <c r="B2532" s="11" t="str">
        <f>IF(D2532&lt;&gt;"",IF(COUNTIF('USPTO TMs'!A:A,D2532)&gt;0,"Yes","No"),"")</f>
        <v/>
      </c>
      <c r="C2532" s="11"/>
      <c r="D2532" s="11"/>
      <c r="E2532" s="11"/>
      <c r="F2532" s="11"/>
      <c r="G2532" s="11"/>
      <c r="H2532" s="11"/>
      <c r="I2532" s="15"/>
    </row>
    <row r="2533" spans="1:9" ht="16.5">
      <c r="A2533" s="10" t="b">
        <v>0</v>
      </c>
      <c r="B2533" s="11" t="str">
        <f>IF(D2533&lt;&gt;"",IF(COUNTIF('USPTO TMs'!A:A,D2533)&gt;0,"Yes","No"),"")</f>
        <v/>
      </c>
      <c r="C2533" s="11"/>
      <c r="D2533" s="11"/>
      <c r="E2533" s="11"/>
      <c r="F2533" s="11"/>
      <c r="G2533" s="11"/>
      <c r="H2533" s="11"/>
      <c r="I2533" s="15"/>
    </row>
    <row r="2534" spans="1:9" ht="16.5">
      <c r="A2534" s="10" t="b">
        <v>0</v>
      </c>
      <c r="B2534" s="11" t="str">
        <f>IF(D2534&lt;&gt;"",IF(COUNTIF('USPTO TMs'!A:A,D2534)&gt;0,"Yes","No"),"")</f>
        <v/>
      </c>
      <c r="C2534" s="11"/>
      <c r="D2534" s="11"/>
      <c r="E2534" s="11"/>
      <c r="F2534" s="11"/>
      <c r="G2534" s="11"/>
      <c r="H2534" s="11"/>
      <c r="I2534" s="15"/>
    </row>
    <row r="2535" spans="1:9" ht="16.5">
      <c r="A2535" s="10" t="b">
        <v>0</v>
      </c>
      <c r="B2535" s="11" t="str">
        <f>IF(D2535&lt;&gt;"",IF(COUNTIF('USPTO TMs'!A:A,D2535)&gt;0,"Yes","No"),"")</f>
        <v/>
      </c>
      <c r="C2535" s="11"/>
      <c r="D2535" s="11"/>
      <c r="E2535" s="11"/>
      <c r="F2535" s="11"/>
      <c r="G2535" s="11"/>
      <c r="H2535" s="11"/>
      <c r="I2535" s="15"/>
    </row>
    <row r="2536" spans="1:9" ht="16.5">
      <c r="A2536" s="10" t="b">
        <v>0</v>
      </c>
      <c r="B2536" s="11" t="str">
        <f>IF(D2536&lt;&gt;"",IF(COUNTIF('USPTO TMs'!A:A,D2536)&gt;0,"Yes","No"),"")</f>
        <v/>
      </c>
      <c r="C2536" s="11"/>
      <c r="D2536" s="11"/>
      <c r="E2536" s="11"/>
      <c r="F2536" s="11"/>
      <c r="G2536" s="11"/>
      <c r="H2536" s="11"/>
      <c r="I2536" s="15"/>
    </row>
    <row r="2537" spans="1:9" ht="16.5">
      <c r="A2537" s="10" t="b">
        <v>0</v>
      </c>
      <c r="B2537" s="11" t="str">
        <f>IF(D2537&lt;&gt;"",IF(COUNTIF('USPTO TMs'!A:A,D2537)&gt;0,"Yes","No"),"")</f>
        <v/>
      </c>
      <c r="C2537" s="11"/>
      <c r="D2537" s="11"/>
      <c r="E2537" s="11"/>
      <c r="F2537" s="11"/>
      <c r="G2537" s="11"/>
      <c r="H2537" s="11"/>
      <c r="I2537" s="15"/>
    </row>
    <row r="2538" spans="1:9" ht="16.5">
      <c r="A2538" s="10" t="b">
        <v>0</v>
      </c>
      <c r="B2538" s="11" t="str">
        <f>IF(D2538&lt;&gt;"",IF(COUNTIF('USPTO TMs'!A:A,D2538)&gt;0,"Yes","No"),"")</f>
        <v/>
      </c>
      <c r="C2538" s="11"/>
      <c r="D2538" s="11"/>
      <c r="E2538" s="11"/>
      <c r="F2538" s="11"/>
      <c r="G2538" s="11"/>
      <c r="H2538" s="11"/>
      <c r="I2538" s="15"/>
    </row>
    <row r="2539" spans="1:9" ht="16.5">
      <c r="A2539" s="10" t="b">
        <v>0</v>
      </c>
      <c r="B2539" s="11" t="str">
        <f>IF(D2539&lt;&gt;"",IF(COUNTIF('USPTO TMs'!A:A,D2539)&gt;0,"Yes","No"),"")</f>
        <v/>
      </c>
      <c r="C2539" s="11"/>
      <c r="D2539" s="11"/>
      <c r="E2539" s="11"/>
      <c r="F2539" s="11"/>
      <c r="G2539" s="11"/>
      <c r="H2539" s="11"/>
      <c r="I2539" s="15"/>
    </row>
    <row r="2540" spans="1:9" ht="16.5">
      <c r="A2540" s="10" t="b">
        <v>0</v>
      </c>
      <c r="B2540" s="11" t="str">
        <f>IF(D2540&lt;&gt;"",IF(COUNTIF('USPTO TMs'!A:A,D2540)&gt;0,"Yes","No"),"")</f>
        <v/>
      </c>
      <c r="C2540" s="11"/>
      <c r="D2540" s="11"/>
      <c r="E2540" s="11"/>
      <c r="F2540" s="11"/>
      <c r="G2540" s="11"/>
      <c r="H2540" s="11"/>
      <c r="I2540" s="15"/>
    </row>
    <row r="2541" spans="1:9" ht="16.5">
      <c r="A2541" s="10" t="b">
        <v>0</v>
      </c>
      <c r="B2541" s="11" t="str">
        <f>IF(D2541&lt;&gt;"",IF(COUNTIF('USPTO TMs'!A:A,D2541)&gt;0,"Yes","No"),"")</f>
        <v/>
      </c>
      <c r="C2541" s="11"/>
      <c r="D2541" s="11"/>
      <c r="E2541" s="11"/>
      <c r="F2541" s="11"/>
      <c r="G2541" s="11"/>
      <c r="H2541" s="11"/>
      <c r="I2541" s="15"/>
    </row>
    <row r="2542" spans="1:9" ht="16.5">
      <c r="A2542" s="10" t="b">
        <v>0</v>
      </c>
      <c r="B2542" s="11" t="str">
        <f>IF(D2542&lt;&gt;"",IF(COUNTIF('USPTO TMs'!A:A,D2542)&gt;0,"Yes","No"),"")</f>
        <v/>
      </c>
      <c r="C2542" s="11"/>
      <c r="D2542" s="11"/>
      <c r="E2542" s="11"/>
      <c r="F2542" s="11"/>
      <c r="G2542" s="11"/>
      <c r="H2542" s="11"/>
      <c r="I2542" s="15"/>
    </row>
    <row r="2543" spans="1:9" ht="16.5">
      <c r="A2543" s="10" t="b">
        <v>0</v>
      </c>
      <c r="B2543" s="11" t="str">
        <f>IF(D2543&lt;&gt;"",IF(COUNTIF('USPTO TMs'!A:A,D2543)&gt;0,"Yes","No"),"")</f>
        <v/>
      </c>
      <c r="C2543" s="11"/>
      <c r="D2543" s="11"/>
      <c r="E2543" s="11"/>
      <c r="F2543" s="11"/>
      <c r="G2543" s="11"/>
      <c r="H2543" s="11"/>
      <c r="I2543" s="15"/>
    </row>
    <row r="2544" spans="1:9" ht="16.5">
      <c r="A2544" s="10" t="b">
        <v>0</v>
      </c>
      <c r="B2544" s="11" t="str">
        <f>IF(D2544&lt;&gt;"",IF(COUNTIF('USPTO TMs'!A:A,D2544)&gt;0,"Yes","No"),"")</f>
        <v/>
      </c>
      <c r="C2544" s="11"/>
      <c r="D2544" s="11"/>
      <c r="E2544" s="11"/>
      <c r="F2544" s="11"/>
      <c r="G2544" s="11"/>
      <c r="H2544" s="11"/>
      <c r="I2544" s="15"/>
    </row>
    <row r="2545" spans="1:9" ht="16.5">
      <c r="A2545" s="10" t="b">
        <v>0</v>
      </c>
      <c r="B2545" s="11" t="str">
        <f>IF(D2545&lt;&gt;"",IF(COUNTIF('USPTO TMs'!A:A,D2545)&gt;0,"Yes","No"),"")</f>
        <v/>
      </c>
      <c r="C2545" s="11"/>
      <c r="D2545" s="11"/>
      <c r="E2545" s="11"/>
      <c r="F2545" s="11"/>
      <c r="G2545" s="11"/>
      <c r="H2545" s="11"/>
      <c r="I2545" s="15"/>
    </row>
    <row r="2546" spans="1:9" ht="16.5">
      <c r="A2546" s="10" t="b">
        <v>0</v>
      </c>
      <c r="B2546" s="11" t="str">
        <f>IF(D2546&lt;&gt;"",IF(COUNTIF('USPTO TMs'!A:A,D2546)&gt;0,"Yes","No"),"")</f>
        <v/>
      </c>
      <c r="C2546" s="11"/>
      <c r="D2546" s="11"/>
      <c r="E2546" s="11"/>
      <c r="F2546" s="11"/>
      <c r="G2546" s="11"/>
      <c r="H2546" s="11"/>
      <c r="I2546" s="15"/>
    </row>
    <row r="2547" spans="1:9" ht="16.5">
      <c r="A2547" s="10" t="b">
        <v>0</v>
      </c>
      <c r="B2547" s="11" t="str">
        <f>IF(D2547&lt;&gt;"",IF(COUNTIF('USPTO TMs'!A:A,D2547)&gt;0,"Yes","No"),"")</f>
        <v/>
      </c>
      <c r="C2547" s="11"/>
      <c r="D2547" s="11"/>
      <c r="E2547" s="11"/>
      <c r="F2547" s="11"/>
      <c r="G2547" s="11"/>
      <c r="H2547" s="11"/>
      <c r="I2547" s="15"/>
    </row>
    <row r="2548" spans="1:9" ht="16.5">
      <c r="A2548" s="10" t="b">
        <v>0</v>
      </c>
      <c r="B2548" s="11" t="str">
        <f>IF(D2548&lt;&gt;"",IF(COUNTIF('USPTO TMs'!A:A,D2548)&gt;0,"Yes","No"),"")</f>
        <v/>
      </c>
      <c r="C2548" s="11"/>
      <c r="D2548" s="11"/>
      <c r="E2548" s="11"/>
      <c r="F2548" s="11"/>
      <c r="G2548" s="11"/>
      <c r="H2548" s="11"/>
      <c r="I2548" s="15"/>
    </row>
    <row r="2549" spans="1:9" ht="16.5">
      <c r="A2549" s="10" t="b">
        <v>0</v>
      </c>
      <c r="B2549" s="11" t="str">
        <f>IF(D2549&lt;&gt;"",IF(COUNTIF('USPTO TMs'!A:A,D2549)&gt;0,"Yes","No"),"")</f>
        <v/>
      </c>
      <c r="C2549" s="11"/>
      <c r="D2549" s="11"/>
      <c r="E2549" s="11"/>
      <c r="F2549" s="11"/>
      <c r="G2549" s="11"/>
      <c r="H2549" s="11"/>
      <c r="I2549" s="15"/>
    </row>
    <row r="2550" spans="1:9" ht="16.5">
      <c r="A2550" s="10" t="b">
        <v>0</v>
      </c>
      <c r="B2550" s="11" t="str">
        <f>IF(D2550&lt;&gt;"",IF(COUNTIF('USPTO TMs'!A:A,D2550)&gt;0,"Yes","No"),"")</f>
        <v/>
      </c>
      <c r="C2550" s="11"/>
      <c r="D2550" s="11"/>
      <c r="E2550" s="11"/>
      <c r="F2550" s="11"/>
      <c r="G2550" s="11"/>
      <c r="H2550" s="11"/>
      <c r="I2550" s="15"/>
    </row>
    <row r="2551" spans="1:9" ht="16.5">
      <c r="A2551" s="10" t="b">
        <v>0</v>
      </c>
      <c r="B2551" s="11" t="str">
        <f>IF(D2551&lt;&gt;"",IF(COUNTIF('USPTO TMs'!A:A,D2551)&gt;0,"Yes","No"),"")</f>
        <v/>
      </c>
      <c r="C2551" s="11"/>
      <c r="D2551" s="11"/>
      <c r="E2551" s="11"/>
      <c r="F2551" s="11"/>
      <c r="G2551" s="11"/>
      <c r="H2551" s="11"/>
      <c r="I2551" s="15"/>
    </row>
    <row r="2552" spans="1:9" ht="16.5">
      <c r="A2552" s="10" t="b">
        <v>0</v>
      </c>
      <c r="B2552" s="11" t="str">
        <f>IF(D2552&lt;&gt;"",IF(COUNTIF('USPTO TMs'!A:A,D2552)&gt;0,"Yes","No"),"")</f>
        <v/>
      </c>
      <c r="C2552" s="11"/>
      <c r="D2552" s="11"/>
      <c r="E2552" s="11"/>
      <c r="F2552" s="11"/>
      <c r="G2552" s="11"/>
      <c r="H2552" s="11"/>
      <c r="I2552" s="15"/>
    </row>
    <row r="2553" spans="1:9" ht="16.5">
      <c r="A2553" s="10" t="b">
        <v>0</v>
      </c>
      <c r="B2553" s="11" t="str">
        <f>IF(D2553&lt;&gt;"",IF(COUNTIF('USPTO TMs'!A:A,D2553)&gt;0,"Yes","No"),"")</f>
        <v/>
      </c>
      <c r="C2553" s="11"/>
      <c r="D2553" s="11"/>
      <c r="E2553" s="11"/>
      <c r="F2553" s="11"/>
      <c r="G2553" s="11"/>
      <c r="H2553" s="11"/>
      <c r="I2553" s="15"/>
    </row>
    <row r="2554" spans="1:9" ht="16.5">
      <c r="A2554" s="10" t="b">
        <v>0</v>
      </c>
      <c r="B2554" s="11" t="str">
        <f>IF(D2554&lt;&gt;"",IF(COUNTIF('USPTO TMs'!A:A,D2554)&gt;0,"Yes","No"),"")</f>
        <v/>
      </c>
      <c r="C2554" s="11"/>
      <c r="D2554" s="11"/>
      <c r="E2554" s="11"/>
      <c r="F2554" s="11"/>
      <c r="G2554" s="11"/>
      <c r="H2554" s="11"/>
      <c r="I2554" s="15"/>
    </row>
    <row r="2555" spans="1:9" ht="16.5">
      <c r="A2555" s="10" t="b">
        <v>0</v>
      </c>
      <c r="B2555" s="11" t="str">
        <f>IF(D2555&lt;&gt;"",IF(COUNTIF('USPTO TMs'!A:A,D2555)&gt;0,"Yes","No"),"")</f>
        <v/>
      </c>
      <c r="C2555" s="11"/>
      <c r="D2555" s="11"/>
      <c r="E2555" s="11"/>
      <c r="F2555" s="11"/>
      <c r="G2555" s="11"/>
      <c r="H2555" s="11"/>
      <c r="I2555" s="15"/>
    </row>
    <row r="2556" spans="1:9" ht="16.5">
      <c r="A2556" s="10" t="b">
        <v>0</v>
      </c>
      <c r="B2556" s="11" t="str">
        <f>IF(D2556&lt;&gt;"",IF(COUNTIF('USPTO TMs'!A:A,D2556)&gt;0,"Yes","No"),"")</f>
        <v/>
      </c>
      <c r="C2556" s="11"/>
      <c r="D2556" s="11"/>
      <c r="E2556" s="11"/>
      <c r="F2556" s="11"/>
      <c r="G2556" s="11"/>
      <c r="H2556" s="11"/>
      <c r="I2556" s="15"/>
    </row>
    <row r="2557" spans="1:9" ht="16.5">
      <c r="A2557" s="10" t="b">
        <v>0</v>
      </c>
      <c r="B2557" s="11" t="str">
        <f>IF(D2557&lt;&gt;"",IF(COUNTIF('USPTO TMs'!A:A,D2557)&gt;0,"Yes","No"),"")</f>
        <v/>
      </c>
      <c r="C2557" s="11"/>
      <c r="D2557" s="11"/>
      <c r="E2557" s="11"/>
      <c r="F2557" s="11"/>
      <c r="G2557" s="11"/>
      <c r="H2557" s="11"/>
      <c r="I2557" s="15"/>
    </row>
    <row r="2558" spans="1:9" ht="16.5">
      <c r="A2558" s="10" t="b">
        <v>0</v>
      </c>
      <c r="B2558" s="11" t="str">
        <f>IF(D2558&lt;&gt;"",IF(COUNTIF('USPTO TMs'!A:A,D2558)&gt;0,"Yes","No"),"")</f>
        <v/>
      </c>
      <c r="C2558" s="11"/>
      <c r="D2558" s="11"/>
      <c r="E2558" s="11"/>
      <c r="F2558" s="11"/>
      <c r="G2558" s="11"/>
      <c r="H2558" s="11"/>
      <c r="I2558" s="15"/>
    </row>
    <row r="2559" spans="1:9" ht="16.5">
      <c r="A2559" s="10" t="b">
        <v>0</v>
      </c>
      <c r="B2559" s="11" t="str">
        <f>IF(D2559&lt;&gt;"",IF(COUNTIF('USPTO TMs'!A:A,D2559)&gt;0,"Yes","No"),"")</f>
        <v/>
      </c>
      <c r="C2559" s="11"/>
      <c r="D2559" s="11"/>
      <c r="E2559" s="11"/>
      <c r="F2559" s="11"/>
      <c r="G2559" s="11"/>
      <c r="H2559" s="11"/>
      <c r="I2559" s="15"/>
    </row>
    <row r="2560" spans="1:9" ht="16.5">
      <c r="A2560" s="10" t="b">
        <v>0</v>
      </c>
      <c r="B2560" s="11" t="str">
        <f>IF(D2560&lt;&gt;"",IF(COUNTIF('USPTO TMs'!A:A,D2560)&gt;0,"Yes","No"),"")</f>
        <v/>
      </c>
      <c r="C2560" s="11"/>
      <c r="D2560" s="11"/>
      <c r="E2560" s="11"/>
      <c r="F2560" s="11"/>
      <c r="G2560" s="11"/>
      <c r="H2560" s="11"/>
      <c r="I2560" s="15"/>
    </row>
    <row r="2561" spans="1:9" ht="16.5">
      <c r="A2561" s="10" t="b">
        <v>0</v>
      </c>
      <c r="B2561" s="11" t="str">
        <f>IF(D2561&lt;&gt;"",IF(COUNTIF('USPTO TMs'!A:A,D2561)&gt;0,"Yes","No"),"")</f>
        <v/>
      </c>
      <c r="C2561" s="11"/>
      <c r="D2561" s="11"/>
      <c r="E2561" s="11"/>
      <c r="F2561" s="11"/>
      <c r="G2561" s="11"/>
      <c r="H2561" s="11"/>
      <c r="I2561" s="15"/>
    </row>
    <row r="2562" spans="1:9" ht="16.5">
      <c r="A2562" s="10" t="b">
        <v>0</v>
      </c>
      <c r="B2562" s="11" t="str">
        <f>IF(D2562&lt;&gt;"",IF(COUNTIF('USPTO TMs'!A:A,D2562)&gt;0,"Yes","No"),"")</f>
        <v/>
      </c>
      <c r="C2562" s="11"/>
      <c r="D2562" s="11"/>
      <c r="E2562" s="11"/>
      <c r="F2562" s="11"/>
      <c r="G2562" s="11"/>
      <c r="H2562" s="11"/>
      <c r="I2562" s="15"/>
    </row>
    <row r="2563" spans="1:9" ht="16.5">
      <c r="A2563" s="10" t="b">
        <v>0</v>
      </c>
      <c r="B2563" s="11" t="str">
        <f>IF(D2563&lt;&gt;"",IF(COUNTIF('USPTO TMs'!A:A,D2563)&gt;0,"Yes","No"),"")</f>
        <v/>
      </c>
      <c r="C2563" s="11"/>
      <c r="D2563" s="11"/>
      <c r="E2563" s="11"/>
      <c r="F2563" s="11"/>
      <c r="G2563" s="11"/>
      <c r="H2563" s="11"/>
      <c r="I2563" s="15"/>
    </row>
    <row r="2564" spans="1:9" ht="16.5">
      <c r="A2564" s="10" t="b">
        <v>0</v>
      </c>
      <c r="B2564" s="11" t="str">
        <f>IF(D2564&lt;&gt;"",IF(COUNTIF('USPTO TMs'!A:A,D2564)&gt;0,"Yes","No"),"")</f>
        <v/>
      </c>
      <c r="C2564" s="11"/>
      <c r="D2564" s="11"/>
      <c r="E2564" s="11"/>
      <c r="F2564" s="11"/>
      <c r="G2564" s="11"/>
      <c r="H2564" s="11"/>
      <c r="I2564" s="15"/>
    </row>
    <row r="2565" spans="1:9" ht="16.5">
      <c r="A2565" s="10" t="b">
        <v>0</v>
      </c>
      <c r="B2565" s="11" t="str">
        <f>IF(D2565&lt;&gt;"",IF(COUNTIF('USPTO TMs'!A:A,D2565)&gt;0,"Yes","No"),"")</f>
        <v/>
      </c>
      <c r="C2565" s="11"/>
      <c r="D2565" s="11"/>
      <c r="E2565" s="11"/>
      <c r="F2565" s="11"/>
      <c r="G2565" s="11"/>
      <c r="H2565" s="11"/>
      <c r="I2565" s="15"/>
    </row>
    <row r="2566" spans="1:9" ht="16.5">
      <c r="A2566" s="10" t="b">
        <v>0</v>
      </c>
      <c r="B2566" s="11" t="str">
        <f>IF(D2566&lt;&gt;"",IF(COUNTIF('USPTO TMs'!A:A,D2566)&gt;0,"Yes","No"),"")</f>
        <v/>
      </c>
      <c r="C2566" s="11"/>
      <c r="D2566" s="11"/>
      <c r="E2566" s="11"/>
      <c r="F2566" s="11"/>
      <c r="G2566" s="11"/>
      <c r="H2566" s="11"/>
      <c r="I2566" s="15"/>
    </row>
    <row r="2567" spans="1:9" ht="16.5">
      <c r="A2567" s="10" t="b">
        <v>0</v>
      </c>
      <c r="B2567" s="11" t="str">
        <f>IF(D2567&lt;&gt;"",IF(COUNTIF('USPTO TMs'!A:A,D2567)&gt;0,"Yes","No"),"")</f>
        <v/>
      </c>
      <c r="C2567" s="11"/>
      <c r="D2567" s="11"/>
      <c r="E2567" s="11"/>
      <c r="F2567" s="11"/>
      <c r="G2567" s="11"/>
      <c r="H2567" s="11"/>
      <c r="I2567" s="15"/>
    </row>
    <row r="2568" spans="1:9" ht="16.5">
      <c r="A2568" s="10" t="b">
        <v>0</v>
      </c>
      <c r="B2568" s="11" t="str">
        <f>IF(D2568&lt;&gt;"",IF(COUNTIF('USPTO TMs'!A:A,D2568)&gt;0,"Yes","No"),"")</f>
        <v/>
      </c>
      <c r="C2568" s="11"/>
      <c r="D2568" s="11"/>
      <c r="E2568" s="11"/>
      <c r="F2568" s="11"/>
      <c r="G2568" s="11"/>
      <c r="H2568" s="11"/>
      <c r="I2568" s="15"/>
    </row>
    <row r="2569" spans="1:9" ht="16.5">
      <c r="A2569" s="10" t="b">
        <v>0</v>
      </c>
      <c r="B2569" s="11" t="str">
        <f>IF(D2569&lt;&gt;"",IF(COUNTIF('USPTO TMs'!A:A,D2569)&gt;0,"Yes","No"),"")</f>
        <v/>
      </c>
      <c r="C2569" s="11"/>
      <c r="D2569" s="11"/>
      <c r="E2569" s="11"/>
      <c r="F2569" s="11"/>
      <c r="G2569" s="11"/>
      <c r="H2569" s="11"/>
      <c r="I2569" s="15"/>
    </row>
    <row r="2570" spans="1:9" ht="16.5">
      <c r="A2570" s="10" t="b">
        <v>0</v>
      </c>
      <c r="B2570" s="11" t="str">
        <f>IF(D2570&lt;&gt;"",IF(COUNTIF('USPTO TMs'!A:A,D2570)&gt;0,"Yes","No"),"")</f>
        <v/>
      </c>
      <c r="C2570" s="11"/>
      <c r="D2570" s="11"/>
      <c r="E2570" s="11"/>
      <c r="F2570" s="11"/>
      <c r="G2570" s="11"/>
      <c r="H2570" s="11"/>
      <c r="I2570" s="15"/>
    </row>
    <row r="2571" spans="1:9" ht="16.5">
      <c r="A2571" s="10" t="b">
        <v>0</v>
      </c>
      <c r="B2571" s="11" t="str">
        <f>IF(D2571&lt;&gt;"",IF(COUNTIF('USPTO TMs'!A:A,D2571)&gt;0,"Yes","No"),"")</f>
        <v/>
      </c>
      <c r="C2571" s="11"/>
      <c r="D2571" s="11"/>
      <c r="E2571" s="11"/>
      <c r="F2571" s="11"/>
      <c r="G2571" s="11"/>
      <c r="H2571" s="11"/>
      <c r="I2571" s="15"/>
    </row>
    <row r="2572" spans="1:9" ht="16.5">
      <c r="A2572" s="10" t="b">
        <v>0</v>
      </c>
      <c r="B2572" s="11" t="str">
        <f>IF(D2572&lt;&gt;"",IF(COUNTIF('USPTO TMs'!A:A,D2572)&gt;0,"Yes","No"),"")</f>
        <v/>
      </c>
      <c r="C2572" s="11"/>
      <c r="D2572" s="11"/>
      <c r="E2572" s="11"/>
      <c r="F2572" s="11"/>
      <c r="G2572" s="11"/>
      <c r="H2572" s="11"/>
      <c r="I2572" s="15"/>
    </row>
    <row r="2573" spans="1:9" ht="16.5">
      <c r="A2573" s="10" t="b">
        <v>0</v>
      </c>
      <c r="B2573" s="11" t="str">
        <f>IF(D2573&lt;&gt;"",IF(COUNTIF('USPTO TMs'!A:A,D2573)&gt;0,"Yes","No"),"")</f>
        <v/>
      </c>
      <c r="C2573" s="11"/>
      <c r="D2573" s="11"/>
      <c r="E2573" s="11"/>
      <c r="F2573" s="11"/>
      <c r="G2573" s="11"/>
      <c r="H2573" s="11"/>
      <c r="I2573" s="15"/>
    </row>
    <row r="2574" spans="1:9" ht="16.5">
      <c r="A2574" s="10" t="b">
        <v>0</v>
      </c>
      <c r="B2574" s="11" t="str">
        <f>IF(D2574&lt;&gt;"",IF(COUNTIF('USPTO TMs'!A:A,D2574)&gt;0,"Yes","No"),"")</f>
        <v/>
      </c>
      <c r="C2574" s="11"/>
      <c r="D2574" s="11"/>
      <c r="E2574" s="11"/>
      <c r="F2574" s="11"/>
      <c r="G2574" s="11"/>
      <c r="H2574" s="11"/>
      <c r="I2574" s="15"/>
    </row>
    <row r="2575" spans="1:9" ht="16.5">
      <c r="A2575" s="10" t="b">
        <v>0</v>
      </c>
      <c r="B2575" s="11" t="str">
        <f>IF(D2575&lt;&gt;"",IF(COUNTIF('USPTO TMs'!A:A,D2575)&gt;0,"Yes","No"),"")</f>
        <v/>
      </c>
      <c r="C2575" s="11"/>
      <c r="D2575" s="11"/>
      <c r="E2575" s="11"/>
      <c r="F2575" s="11"/>
      <c r="G2575" s="11"/>
      <c r="H2575" s="11"/>
      <c r="I2575" s="15"/>
    </row>
    <row r="2576" spans="1:9" ht="16.5">
      <c r="A2576" s="10" t="b">
        <v>0</v>
      </c>
      <c r="B2576" s="11" t="str">
        <f>IF(D2576&lt;&gt;"",IF(COUNTIF('USPTO TMs'!A:A,D2576)&gt;0,"Yes","No"),"")</f>
        <v/>
      </c>
      <c r="C2576" s="11"/>
      <c r="D2576" s="11"/>
      <c r="E2576" s="11"/>
      <c r="F2576" s="11"/>
      <c r="G2576" s="11"/>
      <c r="H2576" s="11"/>
      <c r="I2576" s="15"/>
    </row>
    <row r="2577" spans="1:9" ht="16.5">
      <c r="A2577" s="10" t="b">
        <v>0</v>
      </c>
      <c r="B2577" s="11" t="str">
        <f>IF(D2577&lt;&gt;"",IF(COUNTIF('USPTO TMs'!A:A,D2577)&gt;0,"Yes","No"),"")</f>
        <v/>
      </c>
      <c r="C2577" s="11"/>
      <c r="D2577" s="11"/>
      <c r="E2577" s="11"/>
      <c r="F2577" s="11"/>
      <c r="G2577" s="11"/>
      <c r="H2577" s="11"/>
      <c r="I2577" s="15"/>
    </row>
    <row r="2578" spans="1:9" ht="16.5">
      <c r="A2578" s="10" t="b">
        <v>0</v>
      </c>
      <c r="B2578" s="11" t="str">
        <f>IF(D2578&lt;&gt;"",IF(COUNTIF('USPTO TMs'!A:A,D2578)&gt;0,"Yes","No"),"")</f>
        <v/>
      </c>
      <c r="C2578" s="11"/>
      <c r="D2578" s="11"/>
      <c r="E2578" s="11"/>
      <c r="F2578" s="11"/>
      <c r="G2578" s="11"/>
      <c r="H2578" s="11"/>
      <c r="I2578" s="15"/>
    </row>
    <row r="2579" spans="1:9" ht="16.5">
      <c r="A2579" s="10" t="b">
        <v>0</v>
      </c>
      <c r="B2579" s="11" t="str">
        <f>IF(D2579&lt;&gt;"",IF(COUNTIF('USPTO TMs'!A:A,D2579)&gt;0,"Yes","No"),"")</f>
        <v/>
      </c>
      <c r="C2579" s="11"/>
      <c r="D2579" s="11"/>
      <c r="E2579" s="11"/>
      <c r="F2579" s="11"/>
      <c r="G2579" s="11"/>
      <c r="H2579" s="11"/>
      <c r="I2579" s="15"/>
    </row>
    <row r="2580" spans="1:9" ht="16.5">
      <c r="A2580" s="10" t="b">
        <v>0</v>
      </c>
      <c r="B2580" s="11" t="str">
        <f>IF(D2580&lt;&gt;"",IF(COUNTIF('USPTO TMs'!A:A,D2580)&gt;0,"Yes","No"),"")</f>
        <v/>
      </c>
      <c r="C2580" s="11"/>
      <c r="D2580" s="11"/>
      <c r="E2580" s="11"/>
      <c r="F2580" s="11"/>
      <c r="G2580" s="11"/>
      <c r="H2580" s="11"/>
      <c r="I2580" s="15"/>
    </row>
    <row r="2581" spans="1:9" ht="16.5">
      <c r="A2581" s="10" t="b">
        <v>0</v>
      </c>
      <c r="B2581" s="11" t="str">
        <f>IF(D2581&lt;&gt;"",IF(COUNTIF('USPTO TMs'!A:A,D2581)&gt;0,"Yes","No"),"")</f>
        <v/>
      </c>
      <c r="C2581" s="11"/>
      <c r="D2581" s="11"/>
      <c r="E2581" s="11"/>
      <c r="F2581" s="11"/>
      <c r="G2581" s="11"/>
      <c r="H2581" s="11"/>
      <c r="I2581" s="15"/>
    </row>
    <row r="2582" spans="1:9" ht="16.5">
      <c r="A2582" s="10" t="b">
        <v>0</v>
      </c>
      <c r="B2582" s="11" t="str">
        <f>IF(D2582&lt;&gt;"",IF(COUNTIF('USPTO TMs'!A:A,D2582)&gt;0,"Yes","No"),"")</f>
        <v/>
      </c>
      <c r="C2582" s="11"/>
      <c r="D2582" s="11"/>
      <c r="E2582" s="11"/>
      <c r="F2582" s="11"/>
      <c r="G2582" s="11"/>
      <c r="H2582" s="11"/>
      <c r="I2582" s="15"/>
    </row>
    <row r="2583" spans="1:9" ht="16.5">
      <c r="A2583" s="10" t="b">
        <v>0</v>
      </c>
      <c r="B2583" s="11" t="str">
        <f>IF(D2583&lt;&gt;"",IF(COUNTIF('USPTO TMs'!A:A,D2583)&gt;0,"Yes","No"),"")</f>
        <v/>
      </c>
      <c r="C2583" s="11"/>
      <c r="D2583" s="11"/>
      <c r="E2583" s="11"/>
      <c r="F2583" s="11"/>
      <c r="G2583" s="11"/>
      <c r="H2583" s="11"/>
      <c r="I2583" s="15"/>
    </row>
    <row r="2584" spans="1:9" ht="16.5">
      <c r="A2584" s="10" t="b">
        <v>0</v>
      </c>
      <c r="B2584" s="11" t="str">
        <f>IF(D2584&lt;&gt;"",IF(COUNTIF('USPTO TMs'!A:A,D2584)&gt;0,"Yes","No"),"")</f>
        <v/>
      </c>
      <c r="C2584" s="11"/>
      <c r="D2584" s="11"/>
      <c r="E2584" s="11"/>
      <c r="F2584" s="11"/>
      <c r="G2584" s="11"/>
      <c r="H2584" s="11"/>
      <c r="I2584" s="15"/>
    </row>
    <row r="2585" spans="1:9" ht="16.5">
      <c r="A2585" s="10" t="b">
        <v>0</v>
      </c>
      <c r="B2585" s="11" t="str">
        <f>IF(D2585&lt;&gt;"",IF(COUNTIF('USPTO TMs'!A:A,D2585)&gt;0,"Yes","No"),"")</f>
        <v/>
      </c>
      <c r="C2585" s="11"/>
      <c r="D2585" s="11"/>
      <c r="E2585" s="11"/>
      <c r="F2585" s="11"/>
      <c r="G2585" s="11"/>
      <c r="H2585" s="11"/>
      <c r="I2585" s="15"/>
    </row>
    <row r="2586" spans="1:9" ht="16.5">
      <c r="A2586" s="10" t="b">
        <v>0</v>
      </c>
      <c r="B2586" s="11" t="str">
        <f>IF(D2586&lt;&gt;"",IF(COUNTIF('USPTO TMs'!A:A,D2586)&gt;0,"Yes","No"),"")</f>
        <v/>
      </c>
      <c r="C2586" s="11"/>
      <c r="D2586" s="11"/>
      <c r="E2586" s="11"/>
      <c r="F2586" s="11"/>
      <c r="G2586" s="11"/>
      <c r="H2586" s="11"/>
      <c r="I2586" s="15"/>
    </row>
    <row r="2587" spans="1:9" ht="16.5">
      <c r="A2587" s="10" t="b">
        <v>0</v>
      </c>
      <c r="B2587" s="11" t="str">
        <f>IF(D2587&lt;&gt;"",IF(COUNTIF('USPTO TMs'!A:A,D2587)&gt;0,"Yes","No"),"")</f>
        <v/>
      </c>
      <c r="C2587" s="11"/>
      <c r="D2587" s="11"/>
      <c r="E2587" s="11"/>
      <c r="F2587" s="11"/>
      <c r="G2587" s="11"/>
      <c r="H2587" s="11"/>
      <c r="I2587" s="15"/>
    </row>
    <row r="2588" spans="1:9" ht="16.5">
      <c r="A2588" s="10" t="b">
        <v>0</v>
      </c>
      <c r="B2588" s="11" t="str">
        <f>IF(D2588&lt;&gt;"",IF(COUNTIF('USPTO TMs'!A:A,D2588)&gt;0,"Yes","No"),"")</f>
        <v/>
      </c>
      <c r="C2588" s="11"/>
      <c r="D2588" s="11"/>
      <c r="E2588" s="11"/>
      <c r="F2588" s="11"/>
      <c r="G2588" s="11"/>
      <c r="H2588" s="11"/>
      <c r="I2588" s="15"/>
    </row>
    <row r="2589" spans="1:9" ht="16.5">
      <c r="A2589" s="10" t="b">
        <v>0</v>
      </c>
      <c r="B2589" s="11" t="str">
        <f>IF(D2589&lt;&gt;"",IF(COUNTIF('USPTO TMs'!A:A,D2589)&gt;0,"Yes","No"),"")</f>
        <v/>
      </c>
      <c r="C2589" s="11"/>
      <c r="D2589" s="11"/>
      <c r="E2589" s="11"/>
      <c r="F2589" s="11"/>
      <c r="G2589" s="11"/>
      <c r="H2589" s="11"/>
      <c r="I2589" s="15"/>
    </row>
    <row r="2590" spans="1:9" ht="16.5">
      <c r="A2590" s="10" t="b">
        <v>0</v>
      </c>
      <c r="B2590" s="11" t="str">
        <f>IF(D2590&lt;&gt;"",IF(COUNTIF('USPTO TMs'!A:A,D2590)&gt;0,"Yes","No"),"")</f>
        <v/>
      </c>
      <c r="C2590" s="11"/>
      <c r="D2590" s="11"/>
      <c r="E2590" s="11"/>
      <c r="F2590" s="11"/>
      <c r="G2590" s="11"/>
      <c r="H2590" s="11"/>
      <c r="I2590" s="15"/>
    </row>
    <row r="2591" spans="1:9" ht="16.5">
      <c r="A2591" s="10" t="b">
        <v>0</v>
      </c>
      <c r="B2591" s="11" t="str">
        <f>IF(D2591&lt;&gt;"",IF(COUNTIF('USPTO TMs'!A:A,D2591)&gt;0,"Yes","No"),"")</f>
        <v/>
      </c>
      <c r="C2591" s="11"/>
      <c r="D2591" s="11"/>
      <c r="E2591" s="11"/>
      <c r="F2591" s="11"/>
      <c r="G2591" s="11"/>
      <c r="H2591" s="11"/>
      <c r="I2591" s="15"/>
    </row>
    <row r="2592" spans="1:9" ht="16.5">
      <c r="A2592" s="10" t="b">
        <v>0</v>
      </c>
      <c r="B2592" s="11" t="str">
        <f>IF(D2592&lt;&gt;"",IF(COUNTIF('USPTO TMs'!A:A,D2592)&gt;0,"Yes","No"),"")</f>
        <v/>
      </c>
      <c r="C2592" s="11"/>
      <c r="D2592" s="11"/>
      <c r="E2592" s="11"/>
      <c r="F2592" s="11"/>
      <c r="G2592" s="11"/>
      <c r="H2592" s="11"/>
      <c r="I2592" s="15"/>
    </row>
    <row r="2593" spans="1:9" ht="16.5">
      <c r="A2593" s="10" t="b">
        <v>0</v>
      </c>
      <c r="B2593" s="11" t="str">
        <f>IF(D2593&lt;&gt;"",IF(COUNTIF('USPTO TMs'!A:A,D2593)&gt;0,"Yes","No"),"")</f>
        <v/>
      </c>
      <c r="C2593" s="11"/>
      <c r="D2593" s="11"/>
      <c r="E2593" s="11"/>
      <c r="F2593" s="11"/>
      <c r="G2593" s="11"/>
      <c r="H2593" s="11"/>
      <c r="I2593" s="15"/>
    </row>
    <row r="2594" spans="1:9" ht="16.5">
      <c r="A2594" s="10" t="b">
        <v>0</v>
      </c>
      <c r="B2594" s="11" t="str">
        <f>IF(D2594&lt;&gt;"",IF(COUNTIF('USPTO TMs'!A:A,D2594)&gt;0,"Yes","No"),"")</f>
        <v/>
      </c>
      <c r="C2594" s="11"/>
      <c r="D2594" s="11"/>
      <c r="E2594" s="11"/>
      <c r="F2594" s="11"/>
      <c r="G2594" s="11"/>
      <c r="H2594" s="11"/>
      <c r="I2594" s="15"/>
    </row>
    <row r="2595" spans="1:9" ht="16.5">
      <c r="A2595" s="10" t="b">
        <v>0</v>
      </c>
      <c r="B2595" s="11" t="str">
        <f>IF(D2595&lt;&gt;"",IF(COUNTIF('USPTO TMs'!A:A,D2595)&gt;0,"Yes","No"),"")</f>
        <v/>
      </c>
      <c r="C2595" s="11"/>
      <c r="D2595" s="11"/>
      <c r="E2595" s="11"/>
      <c r="F2595" s="11"/>
      <c r="G2595" s="11"/>
      <c r="H2595" s="11"/>
      <c r="I2595" s="15"/>
    </row>
    <row r="2596" spans="1:9" ht="16.5">
      <c r="A2596" s="10" t="b">
        <v>0</v>
      </c>
      <c r="B2596" s="11" t="str">
        <f>IF(D2596&lt;&gt;"",IF(COUNTIF('USPTO TMs'!A:A,D2596)&gt;0,"Yes","No"),"")</f>
        <v/>
      </c>
      <c r="C2596" s="11"/>
      <c r="D2596" s="11"/>
      <c r="E2596" s="11"/>
      <c r="F2596" s="11"/>
      <c r="G2596" s="11"/>
      <c r="H2596" s="11"/>
      <c r="I2596" s="15"/>
    </row>
    <row r="2597" spans="1:9" ht="16.5">
      <c r="A2597" s="10" t="b">
        <v>0</v>
      </c>
      <c r="B2597" s="11" t="str">
        <f>IF(D2597&lt;&gt;"",IF(COUNTIF('USPTO TMs'!A:A,D2597)&gt;0,"Yes","No"),"")</f>
        <v/>
      </c>
      <c r="C2597" s="11"/>
      <c r="D2597" s="11"/>
      <c r="E2597" s="11"/>
      <c r="F2597" s="11"/>
      <c r="G2597" s="11"/>
      <c r="H2597" s="11"/>
      <c r="I2597" s="15"/>
    </row>
    <row r="2598" spans="1:9" ht="16.5">
      <c r="A2598" s="10" t="b">
        <v>0</v>
      </c>
      <c r="B2598" s="11" t="str">
        <f>IF(D2598&lt;&gt;"",IF(COUNTIF('USPTO TMs'!A:A,D2598)&gt;0,"Yes","No"),"")</f>
        <v/>
      </c>
      <c r="C2598" s="11"/>
      <c r="D2598" s="11"/>
      <c r="E2598" s="11"/>
      <c r="F2598" s="11"/>
      <c r="G2598" s="11"/>
      <c r="H2598" s="11"/>
      <c r="I2598" s="15"/>
    </row>
    <row r="2599" spans="1:9" ht="16.5">
      <c r="A2599" s="10" t="b">
        <v>0</v>
      </c>
      <c r="B2599" s="11" t="str">
        <f>IF(D2599&lt;&gt;"",IF(COUNTIF('USPTO TMs'!A:A,D2599)&gt;0,"Yes","No"),"")</f>
        <v/>
      </c>
      <c r="C2599" s="11"/>
      <c r="D2599" s="11"/>
      <c r="E2599" s="11"/>
      <c r="F2599" s="11"/>
      <c r="G2599" s="11"/>
      <c r="H2599" s="11"/>
      <c r="I2599" s="15"/>
    </row>
    <row r="2600" spans="1:9" ht="16.5">
      <c r="A2600" s="10" t="b">
        <v>0</v>
      </c>
      <c r="B2600" s="11" t="str">
        <f>IF(D2600&lt;&gt;"",IF(COUNTIF('USPTO TMs'!A:A,D2600)&gt;0,"Yes","No"),"")</f>
        <v/>
      </c>
      <c r="C2600" s="11"/>
      <c r="D2600" s="11"/>
      <c r="E2600" s="11"/>
      <c r="F2600" s="11"/>
      <c r="G2600" s="11"/>
      <c r="H2600" s="11"/>
      <c r="I2600" s="15"/>
    </row>
    <row r="2601" spans="1:9" ht="16.5">
      <c r="A2601" s="10" t="b">
        <v>0</v>
      </c>
      <c r="B2601" s="11" t="str">
        <f>IF(D2601&lt;&gt;"",IF(COUNTIF('USPTO TMs'!A:A,D2601)&gt;0,"Yes","No"),"")</f>
        <v/>
      </c>
      <c r="C2601" s="11"/>
      <c r="D2601" s="11"/>
      <c r="E2601" s="11"/>
      <c r="F2601" s="11"/>
      <c r="G2601" s="11"/>
      <c r="H2601" s="11"/>
      <c r="I2601" s="15"/>
    </row>
    <row r="2602" spans="1:9" ht="16.5">
      <c r="A2602" s="10" t="b">
        <v>0</v>
      </c>
      <c r="B2602" s="11" t="str">
        <f>IF(D2602&lt;&gt;"",IF(COUNTIF('USPTO TMs'!A:A,D2602)&gt;0,"Yes","No"),"")</f>
        <v/>
      </c>
      <c r="C2602" s="11"/>
      <c r="D2602" s="11"/>
      <c r="E2602" s="11"/>
      <c r="F2602" s="11"/>
      <c r="G2602" s="11"/>
      <c r="H2602" s="11"/>
      <c r="I2602" s="15"/>
    </row>
    <row r="2603" spans="1:9" ht="16.5">
      <c r="A2603" s="10" t="b">
        <v>0</v>
      </c>
      <c r="B2603" s="11" t="str">
        <f>IF(D2603&lt;&gt;"",IF(COUNTIF('USPTO TMs'!A:A,D2603)&gt;0,"Yes","No"),"")</f>
        <v/>
      </c>
      <c r="C2603" s="11"/>
      <c r="D2603" s="11"/>
      <c r="E2603" s="11"/>
      <c r="F2603" s="11"/>
      <c r="G2603" s="11"/>
      <c r="H2603" s="11"/>
      <c r="I2603" s="15"/>
    </row>
    <row r="2604" spans="1:9" ht="16.5">
      <c r="A2604" s="10" t="b">
        <v>0</v>
      </c>
      <c r="B2604" s="11" t="str">
        <f>IF(D2604&lt;&gt;"",IF(COUNTIF('USPTO TMs'!A:A,D2604)&gt;0,"Yes","No"),"")</f>
        <v/>
      </c>
      <c r="C2604" s="11"/>
      <c r="D2604" s="11"/>
      <c r="E2604" s="11"/>
      <c r="F2604" s="11"/>
      <c r="G2604" s="11"/>
      <c r="H2604" s="11"/>
      <c r="I2604" s="15"/>
    </row>
    <row r="2605" spans="1:9" ht="16.5">
      <c r="A2605" s="10" t="b">
        <v>0</v>
      </c>
      <c r="B2605" s="11" t="str">
        <f>IF(D2605&lt;&gt;"",IF(COUNTIF('USPTO TMs'!A:A,D2605)&gt;0,"Yes","No"),"")</f>
        <v/>
      </c>
      <c r="C2605" s="11"/>
      <c r="D2605" s="11"/>
      <c r="E2605" s="11"/>
      <c r="F2605" s="11"/>
      <c r="G2605" s="11"/>
      <c r="H2605" s="11"/>
      <c r="I2605" s="15"/>
    </row>
    <row r="2606" spans="1:9" ht="16.5">
      <c r="A2606" s="10" t="b">
        <v>0</v>
      </c>
      <c r="B2606" s="11" t="str">
        <f>IF(D2606&lt;&gt;"",IF(COUNTIF('USPTO TMs'!A:A,D2606)&gt;0,"Yes","No"),"")</f>
        <v/>
      </c>
      <c r="C2606" s="11"/>
      <c r="D2606" s="11"/>
      <c r="E2606" s="11"/>
      <c r="F2606" s="11"/>
      <c r="G2606" s="11"/>
      <c r="H2606" s="11"/>
      <c r="I2606" s="15"/>
    </row>
    <row r="2607" spans="1:9" ht="16.5">
      <c r="A2607" s="10" t="b">
        <v>0</v>
      </c>
      <c r="B2607" s="11" t="str">
        <f>IF(D2607&lt;&gt;"",IF(COUNTIF('USPTO TMs'!A:A,D2607)&gt;0,"Yes","No"),"")</f>
        <v/>
      </c>
      <c r="C2607" s="11"/>
      <c r="D2607" s="11"/>
      <c r="E2607" s="11"/>
      <c r="F2607" s="11"/>
      <c r="G2607" s="11"/>
      <c r="H2607" s="11"/>
      <c r="I2607" s="15"/>
    </row>
    <row r="2608" spans="1:9" ht="16.5">
      <c r="A2608" s="10" t="b">
        <v>0</v>
      </c>
      <c r="B2608" s="11" t="str">
        <f>IF(D2608&lt;&gt;"",IF(COUNTIF('USPTO TMs'!A:A,D2608)&gt;0,"Yes","No"),"")</f>
        <v/>
      </c>
      <c r="C2608" s="11"/>
      <c r="D2608" s="11"/>
      <c r="E2608" s="11"/>
      <c r="F2608" s="11"/>
      <c r="G2608" s="11"/>
      <c r="H2608" s="11"/>
      <c r="I2608" s="15"/>
    </row>
    <row r="2609" spans="1:9" ht="16.5">
      <c r="A2609" s="10" t="b">
        <v>0</v>
      </c>
      <c r="B2609" s="11" t="str">
        <f>IF(D2609&lt;&gt;"",IF(COUNTIF('USPTO TMs'!A:A,D2609)&gt;0,"Yes","No"),"")</f>
        <v/>
      </c>
      <c r="C2609" s="11"/>
      <c r="D2609" s="11"/>
      <c r="E2609" s="11"/>
      <c r="F2609" s="11"/>
      <c r="G2609" s="11"/>
      <c r="H2609" s="11"/>
      <c r="I2609" s="15"/>
    </row>
    <row r="2610" spans="1:9" ht="16.5">
      <c r="A2610" s="10" t="b">
        <v>0</v>
      </c>
      <c r="B2610" s="11" t="str">
        <f>IF(D2610&lt;&gt;"",IF(COUNTIF('USPTO TMs'!A:A,D2610)&gt;0,"Yes","No"),"")</f>
        <v/>
      </c>
      <c r="C2610" s="11"/>
      <c r="D2610" s="11"/>
      <c r="E2610" s="11"/>
      <c r="F2610" s="11"/>
      <c r="G2610" s="11"/>
      <c r="H2610" s="11"/>
      <c r="I2610" s="15"/>
    </row>
    <row r="2611" spans="1:9" ht="16.5">
      <c r="A2611" s="10" t="b">
        <v>0</v>
      </c>
      <c r="B2611" s="11" t="str">
        <f>IF(D2611&lt;&gt;"",IF(COUNTIF('USPTO TMs'!A:A,D2611)&gt;0,"Yes","No"),"")</f>
        <v/>
      </c>
      <c r="C2611" s="11"/>
      <c r="D2611" s="11"/>
      <c r="E2611" s="11"/>
      <c r="F2611" s="11"/>
      <c r="G2611" s="11"/>
      <c r="H2611" s="11"/>
      <c r="I2611" s="15"/>
    </row>
    <row r="2612" spans="1:9" ht="16.5">
      <c r="A2612" s="10" t="b">
        <v>0</v>
      </c>
      <c r="B2612" s="11" t="str">
        <f>IF(D2612&lt;&gt;"",IF(COUNTIF('USPTO TMs'!A:A,D2612)&gt;0,"Yes","No"),"")</f>
        <v/>
      </c>
      <c r="C2612" s="11"/>
      <c r="D2612" s="11"/>
      <c r="E2612" s="11"/>
      <c r="F2612" s="11"/>
      <c r="G2612" s="11"/>
      <c r="H2612" s="11"/>
      <c r="I2612" s="15"/>
    </row>
    <row r="2613" spans="1:9" ht="16.5">
      <c r="A2613" s="10" t="b">
        <v>0</v>
      </c>
      <c r="B2613" s="11" t="str">
        <f>IF(D2613&lt;&gt;"",IF(COUNTIF('USPTO TMs'!A:A,D2613)&gt;0,"Yes","No"),"")</f>
        <v/>
      </c>
      <c r="C2613" s="11"/>
      <c r="D2613" s="11"/>
      <c r="E2613" s="11"/>
      <c r="F2613" s="11"/>
      <c r="G2613" s="11"/>
      <c r="H2613" s="11"/>
      <c r="I2613" s="15"/>
    </row>
    <row r="2614" spans="1:9" ht="16.5">
      <c r="A2614" s="10" t="b">
        <v>0</v>
      </c>
      <c r="B2614" s="11" t="str">
        <f>IF(D2614&lt;&gt;"",IF(COUNTIF('USPTO TMs'!A:A,D2614)&gt;0,"Yes","No"),"")</f>
        <v/>
      </c>
      <c r="C2614" s="11"/>
      <c r="D2614" s="11"/>
      <c r="E2614" s="11"/>
      <c r="F2614" s="11"/>
      <c r="G2614" s="11"/>
      <c r="H2614" s="11"/>
      <c r="I2614" s="15"/>
    </row>
    <row r="2615" spans="1:9" ht="16.5">
      <c r="A2615" s="10" t="b">
        <v>0</v>
      </c>
      <c r="B2615" s="11" t="str">
        <f>IF(D2615&lt;&gt;"",IF(COUNTIF('USPTO TMs'!A:A,D2615)&gt;0,"Yes","No"),"")</f>
        <v/>
      </c>
      <c r="C2615" s="11"/>
      <c r="D2615" s="11"/>
      <c r="E2615" s="11"/>
      <c r="F2615" s="11"/>
      <c r="G2615" s="11"/>
      <c r="H2615" s="11"/>
      <c r="I2615" s="15"/>
    </row>
    <row r="2616" spans="1:9" ht="16.5">
      <c r="A2616" s="10" t="b">
        <v>0</v>
      </c>
      <c r="B2616" s="11" t="str">
        <f>IF(D2616&lt;&gt;"",IF(COUNTIF('USPTO TMs'!A:A,D2616)&gt;0,"Yes","No"),"")</f>
        <v/>
      </c>
      <c r="C2616" s="11"/>
      <c r="D2616" s="11"/>
      <c r="E2616" s="11"/>
      <c r="F2616" s="11"/>
      <c r="G2616" s="11"/>
      <c r="H2616" s="11"/>
      <c r="I2616" s="15"/>
    </row>
    <row r="2617" spans="1:9" ht="16.5">
      <c r="A2617" s="10" t="b">
        <v>0</v>
      </c>
      <c r="B2617" s="11" t="str">
        <f>IF(D2617&lt;&gt;"",IF(COUNTIF('USPTO TMs'!A:A,D2617)&gt;0,"Yes","No"),"")</f>
        <v/>
      </c>
      <c r="C2617" s="11"/>
      <c r="D2617" s="11"/>
      <c r="E2617" s="11"/>
      <c r="F2617" s="11"/>
      <c r="G2617" s="11"/>
      <c r="H2617" s="11"/>
      <c r="I2617" s="15"/>
    </row>
    <row r="2618" spans="1:9" ht="16.5">
      <c r="A2618" s="10" t="b">
        <v>0</v>
      </c>
      <c r="B2618" s="11" t="str">
        <f>IF(D2618&lt;&gt;"",IF(COUNTIF('USPTO TMs'!A:A,D2618)&gt;0,"Yes","No"),"")</f>
        <v/>
      </c>
      <c r="C2618" s="11"/>
      <c r="D2618" s="11"/>
      <c r="E2618" s="11"/>
      <c r="F2618" s="11"/>
      <c r="G2618" s="11"/>
      <c r="H2618" s="11"/>
      <c r="I2618" s="15"/>
    </row>
    <row r="2619" spans="1:9" ht="16.5">
      <c r="A2619" s="10" t="b">
        <v>0</v>
      </c>
      <c r="B2619" s="11" t="str">
        <f>IF(D2619&lt;&gt;"",IF(COUNTIF('USPTO TMs'!A:A,D2619)&gt;0,"Yes","No"),"")</f>
        <v/>
      </c>
      <c r="C2619" s="11"/>
      <c r="D2619" s="11"/>
      <c r="E2619" s="11"/>
      <c r="F2619" s="11"/>
      <c r="G2619" s="11"/>
      <c r="H2619" s="11"/>
      <c r="I2619" s="15"/>
    </row>
    <row r="2620" spans="1:9" ht="16.5">
      <c r="A2620" s="10" t="b">
        <v>0</v>
      </c>
      <c r="B2620" s="11" t="str">
        <f>IF(D2620&lt;&gt;"",IF(COUNTIF('USPTO TMs'!A:A,D2620)&gt;0,"Yes","No"),"")</f>
        <v/>
      </c>
      <c r="C2620" s="11"/>
      <c r="D2620" s="11"/>
      <c r="E2620" s="11"/>
      <c r="F2620" s="11"/>
      <c r="G2620" s="11"/>
      <c r="H2620" s="11"/>
      <c r="I2620" s="15"/>
    </row>
    <row r="2621" spans="1:9" ht="16.5">
      <c r="A2621" s="10" t="b">
        <v>0</v>
      </c>
      <c r="B2621" s="11" t="str">
        <f>IF(D2621&lt;&gt;"",IF(COUNTIF('USPTO TMs'!A:A,D2621)&gt;0,"Yes","No"),"")</f>
        <v/>
      </c>
      <c r="C2621" s="11"/>
      <c r="D2621" s="11"/>
      <c r="E2621" s="11"/>
      <c r="F2621" s="11"/>
      <c r="G2621" s="11"/>
      <c r="H2621" s="11"/>
      <c r="I2621" s="15"/>
    </row>
    <row r="2622" spans="1:9" ht="16.5">
      <c r="A2622" s="10" t="b">
        <v>0</v>
      </c>
      <c r="B2622" s="11" t="str">
        <f>IF(D2622&lt;&gt;"",IF(COUNTIF('USPTO TMs'!A:A,D2622)&gt;0,"Yes","No"),"")</f>
        <v/>
      </c>
      <c r="C2622" s="11"/>
      <c r="D2622" s="11"/>
      <c r="E2622" s="11"/>
      <c r="F2622" s="11"/>
      <c r="G2622" s="11"/>
      <c r="H2622" s="11"/>
      <c r="I2622" s="15"/>
    </row>
    <row r="2623" spans="1:9" ht="16.5">
      <c r="A2623" s="10" t="b">
        <v>0</v>
      </c>
      <c r="B2623" s="11" t="str">
        <f>IF(D2623&lt;&gt;"",IF(COUNTIF('USPTO TMs'!A:A,D2623)&gt;0,"Yes","No"),"")</f>
        <v/>
      </c>
      <c r="C2623" s="11"/>
      <c r="D2623" s="11"/>
      <c r="E2623" s="11"/>
      <c r="F2623" s="11"/>
      <c r="G2623" s="11"/>
      <c r="H2623" s="11"/>
      <c r="I2623" s="15"/>
    </row>
    <row r="2624" spans="1:9" ht="16.5">
      <c r="A2624" s="10" t="b">
        <v>0</v>
      </c>
      <c r="B2624" s="11" t="str">
        <f>IF(D2624&lt;&gt;"",IF(COUNTIF('USPTO TMs'!A:A,D2624)&gt;0,"Yes","No"),"")</f>
        <v/>
      </c>
      <c r="C2624" s="11"/>
      <c r="D2624" s="11"/>
      <c r="E2624" s="11"/>
      <c r="F2624" s="11"/>
      <c r="G2624" s="11"/>
      <c r="H2624" s="11"/>
      <c r="I2624" s="15"/>
    </row>
    <row r="2625" spans="1:9" ht="16.5">
      <c r="A2625" s="10" t="b">
        <v>0</v>
      </c>
      <c r="B2625" s="11" t="str">
        <f>IF(D2625&lt;&gt;"",IF(COUNTIF('USPTO TMs'!A:A,D2625)&gt;0,"Yes","No"),"")</f>
        <v/>
      </c>
      <c r="C2625" s="11"/>
      <c r="D2625" s="11"/>
      <c r="E2625" s="11"/>
      <c r="F2625" s="11"/>
      <c r="G2625" s="11"/>
      <c r="H2625" s="11"/>
      <c r="I2625" s="15"/>
    </row>
    <row r="2626" spans="1:9" ht="16.5">
      <c r="A2626" s="10" t="b">
        <v>0</v>
      </c>
      <c r="B2626" s="11" t="str">
        <f>IF(D2626&lt;&gt;"",IF(COUNTIF('USPTO TMs'!A:A,D2626)&gt;0,"Yes","No"),"")</f>
        <v/>
      </c>
      <c r="C2626" s="11"/>
      <c r="D2626" s="11"/>
      <c r="E2626" s="11"/>
      <c r="F2626" s="11"/>
      <c r="G2626" s="11"/>
      <c r="H2626" s="11"/>
      <c r="I2626" s="15"/>
    </row>
    <row r="2627" spans="1:9" ht="16.5">
      <c r="A2627" s="10" t="b">
        <v>0</v>
      </c>
      <c r="B2627" s="11" t="str">
        <f>IF(D2627&lt;&gt;"",IF(COUNTIF('USPTO TMs'!A:A,D2627)&gt;0,"Yes","No"),"")</f>
        <v/>
      </c>
      <c r="C2627" s="11"/>
      <c r="D2627" s="11"/>
      <c r="E2627" s="11"/>
      <c r="F2627" s="11"/>
      <c r="G2627" s="11"/>
      <c r="H2627" s="11"/>
      <c r="I2627" s="15"/>
    </row>
    <row r="2628" spans="1:9" ht="16.5">
      <c r="A2628" s="10" t="b">
        <v>0</v>
      </c>
      <c r="B2628" s="11" t="str">
        <f>IF(D2628&lt;&gt;"",IF(COUNTIF('USPTO TMs'!A:A,D2628)&gt;0,"Yes","No"),"")</f>
        <v/>
      </c>
      <c r="C2628" s="11"/>
      <c r="D2628" s="11"/>
      <c r="E2628" s="11"/>
      <c r="F2628" s="11"/>
      <c r="G2628" s="11"/>
      <c r="H2628" s="11"/>
      <c r="I2628" s="15"/>
    </row>
    <row r="2629" spans="1:9" ht="16.5">
      <c r="A2629" s="10" t="b">
        <v>0</v>
      </c>
      <c r="B2629" s="11" t="str">
        <f>IF(D2629&lt;&gt;"",IF(COUNTIF('USPTO TMs'!A:A,D2629)&gt;0,"Yes","No"),"")</f>
        <v/>
      </c>
      <c r="C2629" s="11"/>
      <c r="D2629" s="11"/>
      <c r="E2629" s="11"/>
      <c r="F2629" s="11"/>
      <c r="G2629" s="11"/>
      <c r="H2629" s="11"/>
      <c r="I2629" s="15"/>
    </row>
    <row r="2630" spans="1:9" ht="16.5">
      <c r="A2630" s="10" t="b">
        <v>0</v>
      </c>
      <c r="B2630" s="11" t="str">
        <f>IF(D2630&lt;&gt;"",IF(COUNTIF('USPTO TMs'!A:A,D2630)&gt;0,"Yes","No"),"")</f>
        <v/>
      </c>
      <c r="C2630" s="11"/>
      <c r="D2630" s="11"/>
      <c r="E2630" s="11"/>
      <c r="F2630" s="11"/>
      <c r="G2630" s="11"/>
      <c r="H2630" s="11"/>
      <c r="I2630" s="15"/>
    </row>
    <row r="2631" spans="1:9" ht="16.5">
      <c r="A2631" s="10" t="b">
        <v>0</v>
      </c>
      <c r="B2631" s="11" t="str">
        <f>IF(D2631&lt;&gt;"",IF(COUNTIF('USPTO TMs'!A:A,D2631)&gt;0,"Yes","No"),"")</f>
        <v/>
      </c>
      <c r="C2631" s="11"/>
      <c r="D2631" s="11"/>
      <c r="E2631" s="11"/>
      <c r="F2631" s="11"/>
      <c r="G2631" s="11"/>
      <c r="H2631" s="11"/>
      <c r="I2631" s="15"/>
    </row>
    <row r="2632" spans="1:9" ht="16.5">
      <c r="A2632" s="10" t="b">
        <v>0</v>
      </c>
      <c r="B2632" s="11" t="str">
        <f>IF(D2632&lt;&gt;"",IF(COUNTIF('USPTO TMs'!A:A,D2632)&gt;0,"Yes","No"),"")</f>
        <v/>
      </c>
      <c r="C2632" s="11"/>
      <c r="D2632" s="11"/>
      <c r="E2632" s="11"/>
      <c r="F2632" s="11"/>
      <c r="G2632" s="11"/>
      <c r="H2632" s="11"/>
      <c r="I2632" s="15"/>
    </row>
    <row r="2633" spans="1:9" ht="16.5">
      <c r="A2633" s="10" t="b">
        <v>0</v>
      </c>
      <c r="B2633" s="11" t="str">
        <f>IF(D2633&lt;&gt;"",IF(COUNTIF('USPTO TMs'!A:A,D2633)&gt;0,"Yes","No"),"")</f>
        <v/>
      </c>
      <c r="C2633" s="11"/>
      <c r="D2633" s="11"/>
      <c r="E2633" s="11"/>
      <c r="F2633" s="11"/>
      <c r="G2633" s="11"/>
      <c r="H2633" s="11"/>
      <c r="I2633" s="15"/>
    </row>
    <row r="2634" spans="1:9" ht="16.5">
      <c r="A2634" s="10" t="b">
        <v>0</v>
      </c>
      <c r="B2634" s="11" t="str">
        <f>IF(D2634&lt;&gt;"",IF(COUNTIF('USPTO TMs'!A:A,D2634)&gt;0,"Yes","No"),"")</f>
        <v/>
      </c>
      <c r="C2634" s="11"/>
      <c r="D2634" s="11"/>
      <c r="E2634" s="11"/>
      <c r="F2634" s="11"/>
      <c r="G2634" s="11"/>
      <c r="H2634" s="11"/>
      <c r="I2634" s="15"/>
    </row>
    <row r="2635" spans="1:9" ht="16.5">
      <c r="A2635" s="10" t="b">
        <v>0</v>
      </c>
      <c r="B2635" s="11" t="str">
        <f>IF(D2635&lt;&gt;"",IF(COUNTIF('USPTO TMs'!A:A,D2635)&gt;0,"Yes","No"),"")</f>
        <v/>
      </c>
      <c r="C2635" s="11"/>
      <c r="D2635" s="11"/>
      <c r="E2635" s="11"/>
      <c r="F2635" s="11"/>
      <c r="G2635" s="11"/>
      <c r="H2635" s="11"/>
      <c r="I2635" s="15"/>
    </row>
    <row r="2636" spans="1:9" ht="16.5">
      <c r="A2636" s="10" t="b">
        <v>0</v>
      </c>
      <c r="B2636" s="11" t="str">
        <f>IF(D2636&lt;&gt;"",IF(COUNTIF('USPTO TMs'!A:A,D2636)&gt;0,"Yes","No"),"")</f>
        <v/>
      </c>
      <c r="C2636" s="11"/>
      <c r="D2636" s="11"/>
      <c r="E2636" s="11"/>
      <c r="F2636" s="11"/>
      <c r="G2636" s="11"/>
      <c r="H2636" s="11"/>
      <c r="I2636" s="15"/>
    </row>
    <row r="2637" spans="1:9" ht="16.5">
      <c r="A2637" s="10" t="b">
        <v>0</v>
      </c>
      <c r="B2637" s="11" t="str">
        <f>IF(D2637&lt;&gt;"",IF(COUNTIF('USPTO TMs'!A:A,D2637)&gt;0,"Yes","No"),"")</f>
        <v/>
      </c>
      <c r="C2637" s="11"/>
      <c r="D2637" s="11"/>
      <c r="E2637" s="11"/>
      <c r="F2637" s="11"/>
      <c r="G2637" s="11"/>
      <c r="H2637" s="11"/>
      <c r="I2637" s="15"/>
    </row>
    <row r="2638" spans="1:9" ht="16.5">
      <c r="A2638" s="10" t="b">
        <v>0</v>
      </c>
      <c r="B2638" s="11" t="str">
        <f>IF(D2638&lt;&gt;"",IF(COUNTIF('USPTO TMs'!A:A,D2638)&gt;0,"Yes","No"),"")</f>
        <v/>
      </c>
      <c r="C2638" s="11"/>
      <c r="D2638" s="11"/>
      <c r="E2638" s="11"/>
      <c r="F2638" s="11"/>
      <c r="G2638" s="11"/>
      <c r="H2638" s="11"/>
      <c r="I2638" s="15"/>
    </row>
    <row r="2639" spans="1:9" ht="16.5">
      <c r="A2639" s="10" t="b">
        <v>0</v>
      </c>
      <c r="B2639" s="11" t="str">
        <f>IF(D2639&lt;&gt;"",IF(COUNTIF('USPTO TMs'!A:A,D2639)&gt;0,"Yes","No"),"")</f>
        <v/>
      </c>
      <c r="C2639" s="11"/>
      <c r="D2639" s="11"/>
      <c r="E2639" s="11"/>
      <c r="F2639" s="11"/>
      <c r="G2639" s="11"/>
      <c r="H2639" s="11"/>
      <c r="I2639" s="15"/>
    </row>
    <row r="2640" spans="1:9" ht="16.5">
      <c r="A2640" s="10" t="b">
        <v>0</v>
      </c>
      <c r="B2640" s="11" t="str">
        <f>IF(D2640&lt;&gt;"",IF(COUNTIF('USPTO TMs'!A:A,D2640)&gt;0,"Yes","No"),"")</f>
        <v/>
      </c>
      <c r="C2640" s="11"/>
      <c r="D2640" s="11"/>
      <c r="E2640" s="11"/>
      <c r="F2640" s="11"/>
      <c r="G2640" s="11"/>
      <c r="H2640" s="11"/>
      <c r="I2640" s="15"/>
    </row>
    <row r="2641" spans="1:9" ht="16.5">
      <c r="A2641" s="10" t="b">
        <v>0</v>
      </c>
      <c r="B2641" s="11" t="str">
        <f>IF(D2641&lt;&gt;"",IF(COUNTIF('USPTO TMs'!A:A,D2641)&gt;0,"Yes","No"),"")</f>
        <v/>
      </c>
      <c r="C2641" s="11"/>
      <c r="D2641" s="11"/>
      <c r="E2641" s="11"/>
      <c r="F2641" s="11"/>
      <c r="G2641" s="11"/>
      <c r="H2641" s="11"/>
      <c r="I2641" s="15"/>
    </row>
    <row r="2642" spans="1:9" ht="16.5">
      <c r="A2642" s="10" t="b">
        <v>0</v>
      </c>
      <c r="B2642" s="11" t="str">
        <f>IF(D2642&lt;&gt;"",IF(COUNTIF('USPTO TMs'!A:A,D2642)&gt;0,"Yes","No"),"")</f>
        <v/>
      </c>
      <c r="C2642" s="11"/>
      <c r="D2642" s="11"/>
      <c r="E2642" s="11"/>
      <c r="F2642" s="11"/>
      <c r="G2642" s="11"/>
      <c r="H2642" s="11"/>
      <c r="I2642" s="15"/>
    </row>
    <row r="2643" spans="1:9" ht="16.5">
      <c r="A2643" s="10" t="b">
        <v>0</v>
      </c>
      <c r="B2643" s="11" t="str">
        <f>IF(D2643&lt;&gt;"",IF(COUNTIF('USPTO TMs'!A:A,D2643)&gt;0,"Yes","No"),"")</f>
        <v/>
      </c>
      <c r="C2643" s="11"/>
      <c r="D2643" s="11"/>
      <c r="E2643" s="11"/>
      <c r="F2643" s="11"/>
      <c r="G2643" s="11"/>
      <c r="H2643" s="11"/>
      <c r="I2643" s="15"/>
    </row>
    <row r="2644" spans="1:9" ht="16.5">
      <c r="A2644" s="10" t="b">
        <v>0</v>
      </c>
      <c r="B2644" s="11" t="str">
        <f>IF(D2644&lt;&gt;"",IF(COUNTIF('USPTO TMs'!A:A,D2644)&gt;0,"Yes","No"),"")</f>
        <v/>
      </c>
      <c r="C2644" s="11"/>
      <c r="D2644" s="11"/>
      <c r="E2644" s="11"/>
      <c r="F2644" s="11"/>
      <c r="G2644" s="11"/>
      <c r="H2644" s="11"/>
      <c r="I2644" s="15"/>
    </row>
    <row r="2645" spans="1:9" ht="16.5">
      <c r="A2645" s="10" t="b">
        <v>0</v>
      </c>
      <c r="B2645" s="11" t="str">
        <f>IF(D2645&lt;&gt;"",IF(COUNTIF('USPTO TMs'!A:A,D2645)&gt;0,"Yes","No"),"")</f>
        <v/>
      </c>
      <c r="C2645" s="11"/>
      <c r="D2645" s="11"/>
      <c r="E2645" s="11"/>
      <c r="F2645" s="11"/>
      <c r="G2645" s="11"/>
      <c r="H2645" s="11"/>
      <c r="I2645" s="15"/>
    </row>
    <row r="2646" spans="1:9" ht="16.5">
      <c r="A2646" s="10" t="b">
        <v>0</v>
      </c>
      <c r="B2646" s="11" t="str">
        <f>IF(D2646&lt;&gt;"",IF(COUNTIF('USPTO TMs'!A:A,D2646)&gt;0,"Yes","No"),"")</f>
        <v/>
      </c>
      <c r="C2646" s="11"/>
      <c r="D2646" s="11"/>
      <c r="E2646" s="11"/>
      <c r="F2646" s="11"/>
      <c r="G2646" s="11"/>
      <c r="H2646" s="11"/>
      <c r="I2646" s="15"/>
    </row>
    <row r="2647" spans="1:9" ht="16.5">
      <c r="A2647" s="10" t="b">
        <v>0</v>
      </c>
      <c r="B2647" s="11" t="str">
        <f>IF(D2647&lt;&gt;"",IF(COUNTIF('USPTO TMs'!A:A,D2647)&gt;0,"Yes","No"),"")</f>
        <v/>
      </c>
      <c r="C2647" s="11"/>
      <c r="D2647" s="11"/>
      <c r="E2647" s="11"/>
      <c r="F2647" s="11"/>
      <c r="G2647" s="11"/>
      <c r="H2647" s="11"/>
      <c r="I2647" s="15"/>
    </row>
    <row r="2648" spans="1:9" ht="16.5">
      <c r="A2648" s="10" t="b">
        <v>0</v>
      </c>
      <c r="B2648" s="11" t="str">
        <f>IF(D2648&lt;&gt;"",IF(COUNTIF('USPTO TMs'!A:A,D2648)&gt;0,"Yes","No"),"")</f>
        <v/>
      </c>
      <c r="C2648" s="11"/>
      <c r="D2648" s="11"/>
      <c r="E2648" s="11"/>
      <c r="F2648" s="11"/>
      <c r="G2648" s="11"/>
      <c r="H2648" s="11"/>
      <c r="I2648" s="15"/>
    </row>
    <row r="2649" spans="1:9" ht="16.5">
      <c r="A2649" s="10" t="b">
        <v>0</v>
      </c>
      <c r="B2649" s="11" t="str">
        <f>IF(D2649&lt;&gt;"",IF(COUNTIF('USPTO TMs'!A:A,D2649)&gt;0,"Yes","No"),"")</f>
        <v/>
      </c>
      <c r="C2649" s="11"/>
      <c r="D2649" s="11"/>
      <c r="E2649" s="11"/>
      <c r="F2649" s="11"/>
      <c r="G2649" s="11"/>
      <c r="H2649" s="11"/>
      <c r="I2649" s="15"/>
    </row>
    <row r="2650" spans="1:9" ht="16.5">
      <c r="A2650" s="10" t="b">
        <v>0</v>
      </c>
      <c r="B2650" s="11" t="str">
        <f>IF(D2650&lt;&gt;"",IF(COUNTIF('USPTO TMs'!A:A,D2650)&gt;0,"Yes","No"),"")</f>
        <v/>
      </c>
      <c r="C2650" s="11"/>
      <c r="D2650" s="11"/>
      <c r="E2650" s="11"/>
      <c r="F2650" s="11"/>
      <c r="G2650" s="11"/>
      <c r="H2650" s="11"/>
      <c r="I2650" s="15"/>
    </row>
    <row r="2651" spans="1:9" ht="16.5">
      <c r="A2651" s="10" t="b">
        <v>0</v>
      </c>
      <c r="B2651" s="11" t="str">
        <f>IF(D2651&lt;&gt;"",IF(COUNTIF('USPTO TMs'!A:A,D2651)&gt;0,"Yes","No"),"")</f>
        <v/>
      </c>
      <c r="C2651" s="11"/>
      <c r="D2651" s="11"/>
      <c r="E2651" s="11"/>
      <c r="F2651" s="11"/>
      <c r="G2651" s="11"/>
      <c r="H2651" s="11"/>
      <c r="I2651" s="15"/>
    </row>
    <row r="2652" spans="1:9" ht="16.5">
      <c r="A2652" s="10" t="b">
        <v>0</v>
      </c>
      <c r="B2652" s="11" t="str">
        <f>IF(D2652&lt;&gt;"",IF(COUNTIF('USPTO TMs'!A:A,D2652)&gt;0,"Yes","No"),"")</f>
        <v/>
      </c>
      <c r="C2652" s="11"/>
      <c r="D2652" s="11"/>
      <c r="E2652" s="11"/>
      <c r="F2652" s="11"/>
      <c r="G2652" s="11"/>
      <c r="H2652" s="11"/>
      <c r="I2652" s="15"/>
    </row>
    <row r="2653" spans="1:9" ht="16.5">
      <c r="A2653" s="10" t="b">
        <v>0</v>
      </c>
      <c r="B2653" s="11" t="str">
        <f>IF(D2653&lt;&gt;"",IF(COUNTIF('USPTO TMs'!A:A,D2653)&gt;0,"Yes","No"),"")</f>
        <v/>
      </c>
      <c r="C2653" s="11"/>
      <c r="D2653" s="11"/>
      <c r="E2653" s="11"/>
      <c r="F2653" s="11"/>
      <c r="G2653" s="11"/>
      <c r="H2653" s="11"/>
      <c r="I2653" s="15"/>
    </row>
    <row r="2654" spans="1:9" ht="16.5">
      <c r="A2654" s="10" t="b">
        <v>0</v>
      </c>
      <c r="B2654" s="11" t="str">
        <f>IF(D2654&lt;&gt;"",IF(COUNTIF('USPTO TMs'!A:A,D2654)&gt;0,"Yes","No"),"")</f>
        <v/>
      </c>
      <c r="C2654" s="11"/>
      <c r="D2654" s="11"/>
      <c r="E2654" s="11"/>
      <c r="F2654" s="11"/>
      <c r="G2654" s="11"/>
      <c r="H2654" s="11"/>
      <c r="I2654" s="15"/>
    </row>
    <row r="2655" spans="1:9" ht="16.5">
      <c r="A2655" s="10" t="b">
        <v>0</v>
      </c>
      <c r="B2655" s="11" t="str">
        <f>IF(D2655&lt;&gt;"",IF(COUNTIF('USPTO TMs'!A:A,D2655)&gt;0,"Yes","No"),"")</f>
        <v/>
      </c>
      <c r="C2655" s="11"/>
      <c r="D2655" s="11"/>
      <c r="E2655" s="11"/>
      <c r="F2655" s="11"/>
      <c r="G2655" s="11"/>
      <c r="H2655" s="11"/>
      <c r="I2655" s="15"/>
    </row>
    <row r="2656" spans="1:9" ht="16.5">
      <c r="A2656" s="10" t="b">
        <v>0</v>
      </c>
      <c r="B2656" s="11" t="str">
        <f>IF(D2656&lt;&gt;"",IF(COUNTIF('USPTO TMs'!A:A,D2656)&gt;0,"Yes","No"),"")</f>
        <v/>
      </c>
      <c r="C2656" s="11"/>
      <c r="D2656" s="11"/>
      <c r="E2656" s="11"/>
      <c r="F2656" s="11"/>
      <c r="G2656" s="11"/>
      <c r="H2656" s="11"/>
      <c r="I2656" s="15"/>
    </row>
    <row r="2657" spans="1:9" ht="16.5">
      <c r="A2657" s="10" t="b">
        <v>0</v>
      </c>
      <c r="B2657" s="11" t="str">
        <f>IF(D2657&lt;&gt;"",IF(COUNTIF('USPTO TMs'!A:A,D2657)&gt;0,"Yes","No"),"")</f>
        <v/>
      </c>
      <c r="C2657" s="11"/>
      <c r="D2657" s="11"/>
      <c r="E2657" s="11"/>
      <c r="F2657" s="11"/>
      <c r="G2657" s="11"/>
      <c r="H2657" s="11"/>
      <c r="I2657" s="15"/>
    </row>
    <row r="2658" spans="1:9" ht="16.5">
      <c r="A2658" s="10" t="b">
        <v>0</v>
      </c>
      <c r="B2658" s="11" t="str">
        <f>IF(D2658&lt;&gt;"",IF(COUNTIF('USPTO TMs'!A:A,D2658)&gt;0,"Yes","No"),"")</f>
        <v/>
      </c>
      <c r="C2658" s="11"/>
      <c r="D2658" s="11"/>
      <c r="E2658" s="11"/>
      <c r="F2658" s="11"/>
      <c r="G2658" s="11"/>
      <c r="H2658" s="11"/>
      <c r="I2658" s="15"/>
    </row>
    <row r="2659" spans="1:9" ht="16.5">
      <c r="A2659" s="10" t="b">
        <v>0</v>
      </c>
      <c r="B2659" s="11" t="str">
        <f>IF(D2659&lt;&gt;"",IF(COUNTIF('USPTO TMs'!A:A,D2659)&gt;0,"Yes","No"),"")</f>
        <v/>
      </c>
      <c r="C2659" s="11"/>
      <c r="D2659" s="11"/>
      <c r="E2659" s="11"/>
      <c r="F2659" s="11"/>
      <c r="G2659" s="11"/>
      <c r="H2659" s="11"/>
      <c r="I2659" s="15"/>
    </row>
    <row r="2660" spans="1:9" ht="16.5">
      <c r="A2660" s="10" t="b">
        <v>0</v>
      </c>
      <c r="B2660" s="11" t="str">
        <f>IF(D2660&lt;&gt;"",IF(COUNTIF('USPTO TMs'!A:A,D2660)&gt;0,"Yes","No"),"")</f>
        <v/>
      </c>
      <c r="C2660" s="11"/>
      <c r="D2660" s="11"/>
      <c r="E2660" s="11"/>
      <c r="F2660" s="11"/>
      <c r="G2660" s="11"/>
      <c r="H2660" s="11"/>
      <c r="I2660" s="15"/>
    </row>
    <row r="2661" spans="1:9" ht="16.5">
      <c r="A2661" s="10" t="b">
        <v>0</v>
      </c>
      <c r="B2661" s="11" t="str">
        <f>IF(D2661&lt;&gt;"",IF(COUNTIF('USPTO TMs'!A:A,D2661)&gt;0,"Yes","No"),"")</f>
        <v/>
      </c>
      <c r="C2661" s="11"/>
      <c r="D2661" s="11"/>
      <c r="E2661" s="11"/>
      <c r="F2661" s="11"/>
      <c r="G2661" s="11"/>
      <c r="H2661" s="11"/>
      <c r="I2661" s="15"/>
    </row>
    <row r="2662" spans="1:9" ht="16.5">
      <c r="A2662" s="10" t="b">
        <v>0</v>
      </c>
      <c r="B2662" s="11" t="str">
        <f>IF(D2662&lt;&gt;"",IF(COUNTIF('USPTO TMs'!A:A,D2662)&gt;0,"Yes","No"),"")</f>
        <v/>
      </c>
      <c r="C2662" s="11"/>
      <c r="D2662" s="11"/>
      <c r="E2662" s="11"/>
      <c r="F2662" s="11"/>
      <c r="G2662" s="11"/>
      <c r="H2662" s="11"/>
      <c r="I2662" s="15"/>
    </row>
    <row r="2663" spans="1:9" ht="16.5">
      <c r="A2663" s="10" t="b">
        <v>0</v>
      </c>
      <c r="B2663" s="11" t="str">
        <f>IF(D2663&lt;&gt;"",IF(COUNTIF('USPTO TMs'!A:A,D2663)&gt;0,"Yes","No"),"")</f>
        <v/>
      </c>
      <c r="C2663" s="11"/>
      <c r="D2663" s="11"/>
      <c r="E2663" s="11"/>
      <c r="F2663" s="11"/>
      <c r="G2663" s="11"/>
      <c r="H2663" s="11"/>
      <c r="I2663" s="15"/>
    </row>
    <row r="2664" spans="1:9" ht="16.5">
      <c r="A2664" s="10" t="b">
        <v>0</v>
      </c>
      <c r="B2664" s="11" t="str">
        <f>IF(D2664&lt;&gt;"",IF(COUNTIF('USPTO TMs'!A:A,D2664)&gt;0,"Yes","No"),"")</f>
        <v/>
      </c>
      <c r="C2664" s="11"/>
      <c r="D2664" s="11"/>
      <c r="E2664" s="11"/>
      <c r="F2664" s="11"/>
      <c r="G2664" s="11"/>
      <c r="H2664" s="11"/>
      <c r="I2664" s="15"/>
    </row>
    <row r="2665" spans="1:9" ht="16.5">
      <c r="A2665" s="10" t="b">
        <v>0</v>
      </c>
      <c r="B2665" s="11" t="str">
        <f>IF(D2665&lt;&gt;"",IF(COUNTIF('USPTO TMs'!A:A,D2665)&gt;0,"Yes","No"),"")</f>
        <v/>
      </c>
      <c r="C2665" s="11"/>
      <c r="D2665" s="11"/>
      <c r="E2665" s="11"/>
      <c r="F2665" s="11"/>
      <c r="G2665" s="11"/>
      <c r="H2665" s="11"/>
      <c r="I2665" s="15"/>
    </row>
    <row r="2666" spans="1:9" ht="16.5">
      <c r="A2666" s="10" t="b">
        <v>0</v>
      </c>
      <c r="B2666" s="11" t="str">
        <f>IF(D2666&lt;&gt;"",IF(COUNTIF('USPTO TMs'!A:A,D2666)&gt;0,"Yes","No"),"")</f>
        <v/>
      </c>
      <c r="C2666" s="11"/>
      <c r="D2666" s="11"/>
      <c r="E2666" s="11"/>
      <c r="F2666" s="11"/>
      <c r="G2666" s="11"/>
      <c r="H2666" s="11"/>
      <c r="I2666" s="15"/>
    </row>
    <row r="2667" spans="1:9" ht="16.5">
      <c r="A2667" s="10" t="b">
        <v>0</v>
      </c>
      <c r="B2667" s="11" t="str">
        <f>IF(D2667&lt;&gt;"",IF(COUNTIF('USPTO TMs'!A:A,D2667)&gt;0,"Yes","No"),"")</f>
        <v/>
      </c>
      <c r="C2667" s="11"/>
      <c r="D2667" s="11"/>
      <c r="E2667" s="11"/>
      <c r="F2667" s="11"/>
      <c r="G2667" s="11"/>
      <c r="H2667" s="11"/>
      <c r="I2667" s="15"/>
    </row>
    <row r="2668" spans="1:9" ht="16.5">
      <c r="A2668" s="10" t="b">
        <v>0</v>
      </c>
      <c r="B2668" s="11" t="str">
        <f>IF(D2668&lt;&gt;"",IF(COUNTIF('USPTO TMs'!A:A,D2668)&gt;0,"Yes","No"),"")</f>
        <v/>
      </c>
      <c r="C2668" s="11"/>
      <c r="D2668" s="11"/>
      <c r="E2668" s="11"/>
      <c r="F2668" s="11"/>
      <c r="G2668" s="11"/>
      <c r="H2668" s="11"/>
      <c r="I2668" s="15"/>
    </row>
    <row r="2669" spans="1:9" ht="16.5">
      <c r="A2669" s="10" t="b">
        <v>0</v>
      </c>
      <c r="B2669" s="11" t="str">
        <f>IF(D2669&lt;&gt;"",IF(COUNTIF('USPTO TMs'!A:A,D2669)&gt;0,"Yes","No"),"")</f>
        <v/>
      </c>
      <c r="C2669" s="11"/>
      <c r="D2669" s="11"/>
      <c r="E2669" s="11"/>
      <c r="F2669" s="11"/>
      <c r="G2669" s="11"/>
      <c r="H2669" s="11"/>
      <c r="I2669" s="15"/>
    </row>
    <row r="2670" spans="1:9" ht="16.5">
      <c r="A2670" s="10" t="b">
        <v>0</v>
      </c>
      <c r="B2670" s="11" t="str">
        <f>IF(D2670&lt;&gt;"",IF(COUNTIF('USPTO TMs'!A:A,D2670)&gt;0,"Yes","No"),"")</f>
        <v/>
      </c>
      <c r="C2670" s="11"/>
      <c r="D2670" s="11"/>
      <c r="E2670" s="11"/>
      <c r="F2670" s="11"/>
      <c r="G2670" s="11"/>
      <c r="H2670" s="11"/>
      <c r="I2670" s="15"/>
    </row>
    <row r="2671" spans="1:9" ht="16.5">
      <c r="A2671" s="10" t="b">
        <v>0</v>
      </c>
      <c r="B2671" s="11" t="str">
        <f>IF(D2671&lt;&gt;"",IF(COUNTIF('USPTO TMs'!A:A,D2671)&gt;0,"Yes","No"),"")</f>
        <v/>
      </c>
      <c r="C2671" s="11"/>
      <c r="D2671" s="11"/>
      <c r="E2671" s="11"/>
      <c r="F2671" s="11"/>
      <c r="G2671" s="11"/>
      <c r="H2671" s="11"/>
      <c r="I2671" s="15"/>
    </row>
    <row r="2672" spans="1:9" ht="16.5">
      <c r="A2672" s="10" t="b">
        <v>0</v>
      </c>
      <c r="B2672" s="11" t="str">
        <f>IF(D2672&lt;&gt;"",IF(COUNTIF('USPTO TMs'!A:A,D2672)&gt;0,"Yes","No"),"")</f>
        <v/>
      </c>
      <c r="C2672" s="11"/>
      <c r="D2672" s="11"/>
      <c r="E2672" s="11"/>
      <c r="F2672" s="11"/>
      <c r="G2672" s="11"/>
      <c r="H2672" s="11"/>
      <c r="I2672" s="15"/>
    </row>
    <row r="2673" spans="1:9" ht="16.5">
      <c r="A2673" s="10" t="b">
        <v>0</v>
      </c>
      <c r="B2673" s="11" t="str">
        <f>IF(D2673&lt;&gt;"",IF(COUNTIF('USPTO TMs'!A:A,D2673)&gt;0,"Yes","No"),"")</f>
        <v/>
      </c>
      <c r="C2673" s="11"/>
      <c r="D2673" s="11"/>
      <c r="E2673" s="11"/>
      <c r="F2673" s="11"/>
      <c r="G2673" s="11"/>
      <c r="H2673" s="11"/>
      <c r="I2673" s="15"/>
    </row>
    <row r="2674" spans="1:9" ht="16.5">
      <c r="A2674" s="10" t="b">
        <v>0</v>
      </c>
      <c r="B2674" s="11" t="str">
        <f>IF(D2674&lt;&gt;"",IF(COUNTIF('USPTO TMs'!A:A,D2674)&gt;0,"Yes","No"),"")</f>
        <v/>
      </c>
      <c r="C2674" s="11"/>
      <c r="D2674" s="11"/>
      <c r="E2674" s="11"/>
      <c r="F2674" s="11"/>
      <c r="G2674" s="11"/>
      <c r="H2674" s="11"/>
      <c r="I2674" s="15"/>
    </row>
    <row r="2675" spans="1:9" ht="16.5">
      <c r="A2675" s="10" t="b">
        <v>0</v>
      </c>
      <c r="B2675" s="11" t="str">
        <f>IF(D2675&lt;&gt;"",IF(COUNTIF('USPTO TMs'!A:A,D2675)&gt;0,"Yes","No"),"")</f>
        <v/>
      </c>
      <c r="C2675" s="11"/>
      <c r="D2675" s="11"/>
      <c r="E2675" s="11"/>
      <c r="F2675" s="11"/>
      <c r="G2675" s="11"/>
      <c r="H2675" s="11"/>
      <c r="I2675" s="15"/>
    </row>
    <row r="2676" spans="1:9" ht="16.5">
      <c r="A2676" s="10" t="b">
        <v>0</v>
      </c>
      <c r="B2676" s="11" t="str">
        <f>IF(D2676&lt;&gt;"",IF(COUNTIF('USPTO TMs'!A:A,D2676)&gt;0,"Yes","No"),"")</f>
        <v/>
      </c>
      <c r="C2676" s="11"/>
      <c r="D2676" s="11"/>
      <c r="E2676" s="11"/>
      <c r="F2676" s="11"/>
      <c r="G2676" s="11"/>
      <c r="H2676" s="11"/>
      <c r="I2676" s="15"/>
    </row>
    <row r="2677" spans="1:9" ht="16.5">
      <c r="A2677" s="10" t="b">
        <v>0</v>
      </c>
      <c r="B2677" s="11" t="str">
        <f>IF(D2677&lt;&gt;"",IF(COUNTIF('USPTO TMs'!A:A,D2677)&gt;0,"Yes","No"),"")</f>
        <v/>
      </c>
      <c r="C2677" s="11"/>
      <c r="D2677" s="11"/>
      <c r="E2677" s="11"/>
      <c r="F2677" s="11"/>
      <c r="G2677" s="11"/>
      <c r="H2677" s="11"/>
      <c r="I2677" s="15"/>
    </row>
    <row r="2678" spans="1:9" ht="16.5">
      <c r="A2678" s="10" t="b">
        <v>0</v>
      </c>
      <c r="B2678" s="11" t="str">
        <f>IF(D2678&lt;&gt;"",IF(COUNTIF('USPTO TMs'!A:A,D2678)&gt;0,"Yes","No"),"")</f>
        <v/>
      </c>
      <c r="C2678" s="11"/>
      <c r="D2678" s="11"/>
      <c r="E2678" s="11"/>
      <c r="F2678" s="11"/>
      <c r="G2678" s="11"/>
      <c r="H2678" s="11"/>
      <c r="I2678" s="15"/>
    </row>
    <row r="2679" spans="1:9" ht="16.5">
      <c r="A2679" s="10" t="b">
        <v>0</v>
      </c>
      <c r="B2679" s="11" t="str">
        <f>IF(D2679&lt;&gt;"",IF(COUNTIF('USPTO TMs'!A:A,D2679)&gt;0,"Yes","No"),"")</f>
        <v/>
      </c>
      <c r="C2679" s="11"/>
      <c r="D2679" s="11"/>
      <c r="E2679" s="11"/>
      <c r="F2679" s="11"/>
      <c r="G2679" s="11"/>
      <c r="H2679" s="11"/>
      <c r="I2679" s="15"/>
    </row>
    <row r="2680" spans="1:9" ht="16.5">
      <c r="A2680" s="10" t="b">
        <v>0</v>
      </c>
      <c r="B2680" s="11" t="str">
        <f>IF(D2680&lt;&gt;"",IF(COUNTIF('USPTO TMs'!A:A,D2680)&gt;0,"Yes","No"),"")</f>
        <v/>
      </c>
      <c r="C2680" s="11"/>
      <c r="D2680" s="11"/>
      <c r="E2680" s="11"/>
      <c r="F2680" s="11"/>
      <c r="G2680" s="11"/>
      <c r="H2680" s="11"/>
      <c r="I2680" s="15"/>
    </row>
    <row r="2681" spans="1:9" ht="16.5">
      <c r="A2681" s="10" t="b">
        <v>0</v>
      </c>
      <c r="B2681" s="11" t="str">
        <f>IF(D2681&lt;&gt;"",IF(COUNTIF('USPTO TMs'!A:A,D2681)&gt;0,"Yes","No"),"")</f>
        <v/>
      </c>
      <c r="C2681" s="11"/>
      <c r="D2681" s="11"/>
      <c r="E2681" s="11"/>
      <c r="F2681" s="11"/>
      <c r="G2681" s="11"/>
      <c r="H2681" s="11"/>
      <c r="I2681" s="15"/>
    </row>
    <row r="2682" spans="1:9" ht="16.5">
      <c r="A2682" s="10" t="b">
        <v>0</v>
      </c>
      <c r="B2682" s="11" t="str">
        <f>IF(D2682&lt;&gt;"",IF(COUNTIF('USPTO TMs'!A:A,D2682)&gt;0,"Yes","No"),"")</f>
        <v/>
      </c>
      <c r="C2682" s="11"/>
      <c r="D2682" s="11"/>
      <c r="E2682" s="11"/>
      <c r="F2682" s="11"/>
      <c r="G2682" s="11"/>
      <c r="H2682" s="11"/>
      <c r="I2682" s="15"/>
    </row>
    <row r="2683" spans="1:9" ht="16.5">
      <c r="A2683" s="10" t="b">
        <v>0</v>
      </c>
      <c r="B2683" s="11" t="str">
        <f>IF(D2683&lt;&gt;"",IF(COUNTIF('USPTO TMs'!A:A,D2683)&gt;0,"Yes","No"),"")</f>
        <v/>
      </c>
      <c r="C2683" s="11"/>
      <c r="D2683" s="11"/>
      <c r="E2683" s="11"/>
      <c r="F2683" s="11"/>
      <c r="G2683" s="11"/>
      <c r="H2683" s="11"/>
      <c r="I2683" s="15"/>
    </row>
    <row r="2684" spans="1:9" ht="16.5">
      <c r="A2684" s="10" t="b">
        <v>0</v>
      </c>
      <c r="B2684" s="11" t="str">
        <f>IF(D2684&lt;&gt;"",IF(COUNTIF('USPTO TMs'!A:A,D2684)&gt;0,"Yes","No"),"")</f>
        <v/>
      </c>
      <c r="C2684" s="11"/>
      <c r="D2684" s="11"/>
      <c r="E2684" s="11"/>
      <c r="F2684" s="11"/>
      <c r="G2684" s="11"/>
      <c r="H2684" s="11"/>
      <c r="I2684" s="15"/>
    </row>
    <row r="2685" spans="1:9" ht="16.5">
      <c r="A2685" s="10" t="b">
        <v>0</v>
      </c>
      <c r="B2685" s="11" t="str">
        <f>IF(D2685&lt;&gt;"",IF(COUNTIF('USPTO TMs'!A:A,D2685)&gt;0,"Yes","No"),"")</f>
        <v/>
      </c>
      <c r="C2685" s="11"/>
      <c r="D2685" s="11"/>
      <c r="E2685" s="11"/>
      <c r="F2685" s="11"/>
      <c r="G2685" s="11"/>
      <c r="H2685" s="11"/>
      <c r="I2685" s="15"/>
    </row>
    <row r="2686" spans="1:9" ht="16.5">
      <c r="A2686" s="10" t="b">
        <v>0</v>
      </c>
      <c r="B2686" s="11" t="str">
        <f>IF(D2686&lt;&gt;"",IF(COUNTIF('USPTO TMs'!A:A,D2686)&gt;0,"Yes","No"),"")</f>
        <v/>
      </c>
      <c r="C2686" s="11"/>
      <c r="D2686" s="11"/>
      <c r="E2686" s="11"/>
      <c r="F2686" s="11"/>
      <c r="G2686" s="11"/>
      <c r="H2686" s="11"/>
      <c r="I2686" s="15"/>
    </row>
    <row r="2687" spans="1:9" ht="16.5">
      <c r="A2687" s="10" t="b">
        <v>0</v>
      </c>
      <c r="B2687" s="11" t="str">
        <f>IF(D2687&lt;&gt;"",IF(COUNTIF('USPTO TMs'!A:A,D2687)&gt;0,"Yes","No"),"")</f>
        <v/>
      </c>
      <c r="C2687" s="11"/>
      <c r="D2687" s="11"/>
      <c r="E2687" s="11"/>
      <c r="F2687" s="11"/>
      <c r="G2687" s="11"/>
      <c r="H2687" s="11"/>
      <c r="I2687" s="15"/>
    </row>
    <row r="2688" spans="1:9" ht="16.5">
      <c r="A2688" s="10" t="b">
        <v>0</v>
      </c>
      <c r="B2688" s="11" t="str">
        <f>IF(D2688&lt;&gt;"",IF(COUNTIF('USPTO TMs'!A:A,D2688)&gt;0,"Yes","No"),"")</f>
        <v/>
      </c>
      <c r="C2688" s="11"/>
      <c r="D2688" s="11"/>
      <c r="E2688" s="11"/>
      <c r="F2688" s="11"/>
      <c r="G2688" s="11"/>
      <c r="H2688" s="11"/>
      <c r="I2688" s="15"/>
    </row>
    <row r="2689" spans="1:9" ht="16.5">
      <c r="A2689" s="10" t="b">
        <v>0</v>
      </c>
      <c r="B2689" s="11" t="str">
        <f>IF(D2689&lt;&gt;"",IF(COUNTIF('USPTO TMs'!A:A,D2689)&gt;0,"Yes","No"),"")</f>
        <v/>
      </c>
      <c r="C2689" s="11"/>
      <c r="D2689" s="11"/>
      <c r="E2689" s="11"/>
      <c r="F2689" s="11"/>
      <c r="G2689" s="11"/>
      <c r="H2689" s="11"/>
      <c r="I2689" s="15"/>
    </row>
    <row r="2690" spans="1:9" ht="16.5">
      <c r="A2690" s="10" t="b">
        <v>0</v>
      </c>
      <c r="B2690" s="11" t="str">
        <f>IF(D2690&lt;&gt;"",IF(COUNTIF('USPTO TMs'!A:A,D2690)&gt;0,"Yes","No"),"")</f>
        <v/>
      </c>
      <c r="C2690" s="11"/>
      <c r="D2690" s="11"/>
      <c r="E2690" s="11"/>
      <c r="F2690" s="11"/>
      <c r="G2690" s="11"/>
      <c r="H2690" s="11"/>
      <c r="I2690" s="15"/>
    </row>
    <row r="2691" spans="1:9" ht="16.5">
      <c r="A2691" s="10" t="b">
        <v>0</v>
      </c>
      <c r="B2691" s="11" t="str">
        <f>IF(D2691&lt;&gt;"",IF(COUNTIF('USPTO TMs'!A:A,D2691)&gt;0,"Yes","No"),"")</f>
        <v/>
      </c>
      <c r="C2691" s="11"/>
      <c r="D2691" s="11"/>
      <c r="E2691" s="11"/>
      <c r="F2691" s="11"/>
      <c r="G2691" s="11"/>
      <c r="H2691" s="11"/>
      <c r="I2691" s="15"/>
    </row>
    <row r="2692" spans="1:9" ht="16.5">
      <c r="A2692" s="10" t="b">
        <v>0</v>
      </c>
      <c r="B2692" s="11" t="str">
        <f>IF(D2692&lt;&gt;"",IF(COUNTIF('USPTO TMs'!A:A,D2692)&gt;0,"Yes","No"),"")</f>
        <v/>
      </c>
      <c r="C2692" s="11"/>
      <c r="D2692" s="11"/>
      <c r="E2692" s="11"/>
      <c r="F2692" s="11"/>
      <c r="G2692" s="11"/>
      <c r="H2692" s="11"/>
      <c r="I2692" s="15"/>
    </row>
    <row r="2693" spans="1:9" ht="16.5">
      <c r="A2693" s="10" t="b">
        <v>0</v>
      </c>
      <c r="B2693" s="11" t="str">
        <f>IF(D2693&lt;&gt;"",IF(COUNTIF('USPTO TMs'!A:A,D2693)&gt;0,"Yes","No"),"")</f>
        <v/>
      </c>
      <c r="C2693" s="11"/>
      <c r="D2693" s="11"/>
      <c r="E2693" s="11"/>
      <c r="F2693" s="11"/>
      <c r="G2693" s="11"/>
      <c r="H2693" s="11"/>
      <c r="I2693" s="15"/>
    </row>
    <row r="2694" spans="1:9" ht="16.5">
      <c r="A2694" s="10" t="b">
        <v>0</v>
      </c>
      <c r="B2694" s="11" t="str">
        <f>IF(D2694&lt;&gt;"",IF(COUNTIF('USPTO TMs'!A:A,D2694)&gt;0,"Yes","No"),"")</f>
        <v/>
      </c>
      <c r="C2694" s="11"/>
      <c r="D2694" s="11"/>
      <c r="E2694" s="11"/>
      <c r="F2694" s="11"/>
      <c r="G2694" s="11"/>
      <c r="H2694" s="11"/>
      <c r="I2694" s="15"/>
    </row>
    <row r="2695" spans="1:9" ht="16.5">
      <c r="A2695" s="10" t="b">
        <v>0</v>
      </c>
      <c r="B2695" s="11" t="str">
        <f>IF(D2695&lt;&gt;"",IF(COUNTIF('USPTO TMs'!A:A,D2695)&gt;0,"Yes","No"),"")</f>
        <v/>
      </c>
      <c r="C2695" s="11"/>
      <c r="D2695" s="11"/>
      <c r="E2695" s="11"/>
      <c r="F2695" s="11"/>
      <c r="G2695" s="11"/>
      <c r="H2695" s="11"/>
      <c r="I2695" s="15"/>
    </row>
    <row r="2696" spans="1:9" ht="16.5">
      <c r="A2696" s="10" t="b">
        <v>0</v>
      </c>
      <c r="B2696" s="11" t="str">
        <f>IF(D2696&lt;&gt;"",IF(COUNTIF('USPTO TMs'!A:A,D2696)&gt;0,"Yes","No"),"")</f>
        <v/>
      </c>
      <c r="C2696" s="11"/>
      <c r="D2696" s="11"/>
      <c r="E2696" s="11"/>
      <c r="F2696" s="11"/>
      <c r="G2696" s="11"/>
      <c r="H2696" s="11"/>
      <c r="I2696" s="15"/>
    </row>
    <row r="2697" spans="1:9" ht="16.5">
      <c r="A2697" s="10" t="b">
        <v>0</v>
      </c>
      <c r="B2697" s="11" t="str">
        <f>IF(D2697&lt;&gt;"",IF(COUNTIF('USPTO TMs'!A:A,D2697)&gt;0,"Yes","No"),"")</f>
        <v/>
      </c>
      <c r="C2697" s="11"/>
      <c r="D2697" s="11"/>
      <c r="E2697" s="11"/>
      <c r="F2697" s="11"/>
      <c r="G2697" s="11"/>
      <c r="H2697" s="11"/>
      <c r="I2697" s="15"/>
    </row>
    <row r="2698" spans="1:9" ht="16.5">
      <c r="A2698" s="10" t="b">
        <v>0</v>
      </c>
      <c r="B2698" s="11" t="str">
        <f>IF(D2698&lt;&gt;"",IF(COUNTIF('USPTO TMs'!A:A,D2698)&gt;0,"Yes","No"),"")</f>
        <v/>
      </c>
      <c r="C2698" s="11"/>
      <c r="D2698" s="11"/>
      <c r="E2698" s="11"/>
      <c r="F2698" s="11"/>
      <c r="G2698" s="11"/>
      <c r="H2698" s="11"/>
      <c r="I2698" s="15"/>
    </row>
    <row r="2699" spans="1:9" ht="16.5">
      <c r="A2699" s="10" t="b">
        <v>0</v>
      </c>
      <c r="B2699" s="11" t="str">
        <f>IF(D2699&lt;&gt;"",IF(COUNTIF('USPTO TMs'!A:A,D2699)&gt;0,"Yes","No"),"")</f>
        <v/>
      </c>
      <c r="C2699" s="11"/>
      <c r="D2699" s="11"/>
      <c r="E2699" s="11"/>
      <c r="F2699" s="11"/>
      <c r="G2699" s="11"/>
      <c r="H2699" s="11"/>
      <c r="I2699" s="15"/>
    </row>
    <row r="2700" spans="1:9" ht="16.5">
      <c r="A2700" s="10" t="b">
        <v>0</v>
      </c>
      <c r="B2700" s="11" t="str">
        <f>IF(D2700&lt;&gt;"",IF(COUNTIF('USPTO TMs'!A:A,D2700)&gt;0,"Yes","No"),"")</f>
        <v/>
      </c>
      <c r="C2700" s="11"/>
      <c r="D2700" s="11"/>
      <c r="E2700" s="11"/>
      <c r="F2700" s="11"/>
      <c r="G2700" s="11"/>
      <c r="H2700" s="11"/>
      <c r="I2700" s="15"/>
    </row>
    <row r="2701" spans="1:9" ht="16.5">
      <c r="A2701" s="10" t="b">
        <v>0</v>
      </c>
      <c r="B2701" s="11" t="str">
        <f>IF(D2701&lt;&gt;"",IF(COUNTIF('USPTO TMs'!A:A,D2701)&gt;0,"Yes","No"),"")</f>
        <v/>
      </c>
      <c r="C2701" s="11"/>
      <c r="D2701" s="11"/>
      <c r="E2701" s="11"/>
      <c r="F2701" s="11"/>
      <c r="G2701" s="11"/>
      <c r="H2701" s="11"/>
      <c r="I2701" s="15"/>
    </row>
    <row r="2702" spans="1:9" ht="16.5">
      <c r="A2702" s="10" t="b">
        <v>0</v>
      </c>
      <c r="B2702" s="11" t="str">
        <f>IF(D2702&lt;&gt;"",IF(COUNTIF('USPTO TMs'!A:A,D2702)&gt;0,"Yes","No"),"")</f>
        <v/>
      </c>
      <c r="C2702" s="11"/>
      <c r="D2702" s="11"/>
      <c r="E2702" s="11"/>
      <c r="F2702" s="11"/>
      <c r="G2702" s="11"/>
      <c r="H2702" s="11"/>
      <c r="I2702" s="15"/>
    </row>
    <row r="2703" spans="1:9" ht="16.5">
      <c r="A2703" s="10" t="b">
        <v>0</v>
      </c>
      <c r="B2703" s="11" t="str">
        <f>IF(D2703&lt;&gt;"",IF(COUNTIF('USPTO TMs'!A:A,D2703)&gt;0,"Yes","No"),"")</f>
        <v/>
      </c>
      <c r="C2703" s="11"/>
      <c r="D2703" s="11"/>
      <c r="E2703" s="11"/>
      <c r="F2703" s="11"/>
      <c r="G2703" s="11"/>
      <c r="H2703" s="11"/>
      <c r="I2703" s="15"/>
    </row>
    <row r="2704" spans="1:9" ht="16.5">
      <c r="A2704" s="10" t="b">
        <v>0</v>
      </c>
      <c r="B2704" s="11" t="str">
        <f>IF(D2704&lt;&gt;"",IF(COUNTIF('USPTO TMs'!A:A,D2704)&gt;0,"Yes","No"),"")</f>
        <v/>
      </c>
      <c r="C2704" s="11"/>
      <c r="D2704" s="11"/>
      <c r="E2704" s="11"/>
      <c r="F2704" s="11"/>
      <c r="G2704" s="11"/>
      <c r="H2704" s="11"/>
      <c r="I2704" s="15"/>
    </row>
    <row r="2705" spans="1:9" ht="16.5">
      <c r="A2705" s="10" t="b">
        <v>0</v>
      </c>
      <c r="B2705" s="11" t="str">
        <f>IF(D2705&lt;&gt;"",IF(COUNTIF('USPTO TMs'!A:A,D2705)&gt;0,"Yes","No"),"")</f>
        <v/>
      </c>
      <c r="C2705" s="11"/>
      <c r="D2705" s="11"/>
      <c r="E2705" s="11"/>
      <c r="F2705" s="11"/>
      <c r="G2705" s="11"/>
      <c r="H2705" s="11"/>
      <c r="I2705" s="15"/>
    </row>
    <row r="2706" spans="1:9" ht="16.5">
      <c r="A2706" s="10" t="b">
        <v>0</v>
      </c>
      <c r="B2706" s="11" t="str">
        <f>IF(D2706&lt;&gt;"",IF(COUNTIF('USPTO TMs'!A:A,D2706)&gt;0,"Yes","No"),"")</f>
        <v/>
      </c>
      <c r="C2706" s="11"/>
      <c r="D2706" s="11"/>
      <c r="E2706" s="11"/>
      <c r="F2706" s="11"/>
      <c r="G2706" s="11"/>
      <c r="H2706" s="11"/>
      <c r="I2706" s="15"/>
    </row>
    <row r="2707" spans="1:9" ht="16.5">
      <c r="A2707" s="10" t="b">
        <v>0</v>
      </c>
      <c r="B2707" s="11" t="str">
        <f>IF(D2707&lt;&gt;"",IF(COUNTIF('USPTO TMs'!A:A,D2707)&gt;0,"Yes","No"),"")</f>
        <v/>
      </c>
      <c r="C2707" s="11"/>
      <c r="D2707" s="11"/>
      <c r="E2707" s="11"/>
      <c r="F2707" s="11"/>
      <c r="G2707" s="11"/>
      <c r="H2707" s="11"/>
      <c r="I2707" s="15"/>
    </row>
    <row r="2708" spans="1:9" ht="16.5">
      <c r="A2708" s="10" t="b">
        <v>0</v>
      </c>
      <c r="B2708" s="11" t="str">
        <f>IF(D2708&lt;&gt;"",IF(COUNTIF('USPTO TMs'!A:A,D2708)&gt;0,"Yes","No"),"")</f>
        <v/>
      </c>
      <c r="C2708" s="11"/>
      <c r="D2708" s="11"/>
      <c r="E2708" s="11"/>
      <c r="F2708" s="11"/>
      <c r="G2708" s="11"/>
      <c r="H2708" s="11"/>
      <c r="I2708" s="15"/>
    </row>
    <row r="2709" spans="1:9" ht="16.5">
      <c r="A2709" s="10" t="b">
        <v>0</v>
      </c>
      <c r="B2709" s="11" t="str">
        <f>IF(D2709&lt;&gt;"",IF(COUNTIF('USPTO TMs'!A:A,D2709)&gt;0,"Yes","No"),"")</f>
        <v/>
      </c>
      <c r="C2709" s="11"/>
      <c r="D2709" s="11"/>
      <c r="E2709" s="11"/>
      <c r="F2709" s="11"/>
      <c r="G2709" s="11"/>
      <c r="H2709" s="11"/>
      <c r="I2709" s="15"/>
    </row>
    <row r="2710" spans="1:9" ht="16.5">
      <c r="A2710" s="10" t="b">
        <v>0</v>
      </c>
      <c r="B2710" s="11" t="str">
        <f>IF(D2710&lt;&gt;"",IF(COUNTIF('USPTO TMs'!A:A,D2710)&gt;0,"Yes","No"),"")</f>
        <v/>
      </c>
      <c r="C2710" s="11"/>
      <c r="D2710" s="11"/>
      <c r="E2710" s="11"/>
      <c r="F2710" s="11"/>
      <c r="G2710" s="11"/>
      <c r="H2710" s="11"/>
      <c r="I2710" s="15"/>
    </row>
    <row r="2711" spans="1:9" ht="16.5">
      <c r="A2711" s="10" t="b">
        <v>0</v>
      </c>
      <c r="B2711" s="11" t="str">
        <f>IF(D2711&lt;&gt;"",IF(COUNTIF('USPTO TMs'!A:A,D2711)&gt;0,"Yes","No"),"")</f>
        <v/>
      </c>
      <c r="C2711" s="11"/>
      <c r="D2711" s="11"/>
      <c r="E2711" s="11"/>
      <c r="F2711" s="11"/>
      <c r="G2711" s="11"/>
      <c r="H2711" s="11"/>
      <c r="I2711" s="15"/>
    </row>
    <row r="2712" spans="1:9" ht="16.5">
      <c r="A2712" s="10" t="b">
        <v>0</v>
      </c>
      <c r="B2712" s="11" t="str">
        <f>IF(D2712&lt;&gt;"",IF(COUNTIF('USPTO TMs'!A:A,D2712)&gt;0,"Yes","No"),"")</f>
        <v/>
      </c>
      <c r="C2712" s="11"/>
      <c r="D2712" s="11"/>
      <c r="E2712" s="11"/>
      <c r="F2712" s="11"/>
      <c r="G2712" s="11"/>
      <c r="H2712" s="11"/>
      <c r="I2712" s="15"/>
    </row>
    <row r="2713" spans="1:9" ht="16.5">
      <c r="A2713" s="10" t="b">
        <v>0</v>
      </c>
      <c r="B2713" s="11" t="str">
        <f>IF(D2713&lt;&gt;"",IF(COUNTIF('USPTO TMs'!A:A,D2713)&gt;0,"Yes","No"),"")</f>
        <v/>
      </c>
      <c r="C2713" s="11"/>
      <c r="D2713" s="11"/>
      <c r="E2713" s="11"/>
      <c r="F2713" s="11"/>
      <c r="G2713" s="11"/>
      <c r="H2713" s="11"/>
      <c r="I2713" s="15"/>
    </row>
    <row r="2714" spans="1:9" ht="16.5">
      <c r="A2714" s="10" t="b">
        <v>0</v>
      </c>
      <c r="B2714" s="11" t="str">
        <f>IF(D2714&lt;&gt;"",IF(COUNTIF('USPTO TMs'!A:A,D2714)&gt;0,"Yes","No"),"")</f>
        <v/>
      </c>
      <c r="C2714" s="11"/>
      <c r="D2714" s="11"/>
      <c r="E2714" s="11"/>
      <c r="F2714" s="11"/>
      <c r="G2714" s="11"/>
      <c r="H2714" s="11"/>
      <c r="I2714" s="15"/>
    </row>
    <row r="2715" spans="1:9" ht="16.5">
      <c r="A2715" s="10" t="b">
        <v>0</v>
      </c>
      <c r="B2715" s="11" t="str">
        <f>IF(D2715&lt;&gt;"",IF(COUNTIF('USPTO TMs'!A:A,D2715)&gt;0,"Yes","No"),"")</f>
        <v/>
      </c>
      <c r="C2715" s="11"/>
      <c r="D2715" s="11"/>
      <c r="E2715" s="11"/>
      <c r="F2715" s="11"/>
      <c r="G2715" s="11"/>
      <c r="H2715" s="11"/>
      <c r="I2715" s="15"/>
    </row>
    <row r="2716" spans="1:9" ht="16.5">
      <c r="A2716" s="10" t="b">
        <v>0</v>
      </c>
      <c r="B2716" s="11" t="str">
        <f>IF(D2716&lt;&gt;"",IF(COUNTIF('USPTO TMs'!A:A,D2716)&gt;0,"Yes","No"),"")</f>
        <v/>
      </c>
      <c r="C2716" s="11"/>
      <c r="D2716" s="11"/>
      <c r="E2716" s="11"/>
      <c r="F2716" s="11"/>
      <c r="G2716" s="11"/>
      <c r="H2716" s="11"/>
      <c r="I2716" s="15"/>
    </row>
    <row r="2717" spans="1:9" ht="16.5">
      <c r="A2717" s="10" t="b">
        <v>0</v>
      </c>
      <c r="B2717" s="11" t="str">
        <f>IF(D2717&lt;&gt;"",IF(COUNTIF('USPTO TMs'!A:A,D2717)&gt;0,"Yes","No"),"")</f>
        <v/>
      </c>
      <c r="C2717" s="11"/>
      <c r="D2717" s="11"/>
      <c r="E2717" s="11"/>
      <c r="F2717" s="11"/>
      <c r="G2717" s="11"/>
      <c r="H2717" s="11"/>
      <c r="I2717" s="15"/>
    </row>
    <row r="2718" spans="1:9" ht="16.5">
      <c r="A2718" s="10" t="b">
        <v>0</v>
      </c>
      <c r="B2718" s="11" t="str">
        <f>IF(D2718&lt;&gt;"",IF(COUNTIF('USPTO TMs'!A:A,D2718)&gt;0,"Yes","No"),"")</f>
        <v/>
      </c>
      <c r="C2718" s="11"/>
      <c r="D2718" s="11"/>
      <c r="E2718" s="11"/>
      <c r="F2718" s="11"/>
      <c r="G2718" s="11"/>
      <c r="H2718" s="11"/>
      <c r="I2718" s="15"/>
    </row>
    <row r="2719" spans="1:9" ht="16.5">
      <c r="A2719" s="10" t="b">
        <v>0</v>
      </c>
      <c r="B2719" s="11" t="str">
        <f>IF(D2719&lt;&gt;"",IF(COUNTIF('USPTO TMs'!A:A,D2719)&gt;0,"Yes","No"),"")</f>
        <v/>
      </c>
      <c r="C2719" s="11"/>
      <c r="D2719" s="11"/>
      <c r="E2719" s="11"/>
      <c r="F2719" s="11"/>
      <c r="G2719" s="11"/>
      <c r="H2719" s="11"/>
      <c r="I2719" s="15"/>
    </row>
    <row r="2720" spans="1:9" ht="16.5">
      <c r="A2720" s="10" t="b">
        <v>0</v>
      </c>
      <c r="B2720" s="11" t="str">
        <f>IF(D2720&lt;&gt;"",IF(COUNTIF('USPTO TMs'!A:A,D2720)&gt;0,"Yes","No"),"")</f>
        <v/>
      </c>
      <c r="C2720" s="11"/>
      <c r="D2720" s="11"/>
      <c r="E2720" s="11"/>
      <c r="F2720" s="11"/>
      <c r="G2720" s="11"/>
      <c r="H2720" s="11"/>
      <c r="I2720" s="15"/>
    </row>
    <row r="2721" spans="1:9" ht="16.5">
      <c r="A2721" s="10" t="b">
        <v>0</v>
      </c>
      <c r="B2721" s="11" t="str">
        <f>IF(D2721&lt;&gt;"",IF(COUNTIF('USPTO TMs'!A:A,D2721)&gt;0,"Yes","No"),"")</f>
        <v/>
      </c>
      <c r="C2721" s="11"/>
      <c r="D2721" s="11"/>
      <c r="E2721" s="11"/>
      <c r="F2721" s="11"/>
      <c r="G2721" s="11"/>
      <c r="H2721" s="11"/>
      <c r="I2721" s="15"/>
    </row>
    <row r="2722" spans="1:9" ht="16.5">
      <c r="A2722" s="10" t="b">
        <v>0</v>
      </c>
      <c r="B2722" s="11" t="str">
        <f>IF(D2722&lt;&gt;"",IF(COUNTIF('USPTO TMs'!A:A,D2722)&gt;0,"Yes","No"),"")</f>
        <v/>
      </c>
      <c r="C2722" s="11"/>
      <c r="D2722" s="11"/>
      <c r="E2722" s="11"/>
      <c r="F2722" s="11"/>
      <c r="G2722" s="11"/>
      <c r="H2722" s="11"/>
      <c r="I2722" s="15"/>
    </row>
    <row r="2723" spans="1:9" ht="16.5">
      <c r="A2723" s="10" t="b">
        <v>0</v>
      </c>
      <c r="B2723" s="11" t="str">
        <f>IF(D2723&lt;&gt;"",IF(COUNTIF('USPTO TMs'!A:A,D2723)&gt;0,"Yes","No"),"")</f>
        <v/>
      </c>
      <c r="C2723" s="11"/>
      <c r="D2723" s="11"/>
      <c r="E2723" s="11"/>
      <c r="F2723" s="11"/>
      <c r="G2723" s="11"/>
      <c r="H2723" s="11"/>
      <c r="I2723" s="15"/>
    </row>
    <row r="2724" spans="1:9" ht="16.5">
      <c r="A2724" s="10" t="b">
        <v>0</v>
      </c>
      <c r="B2724" s="11" t="str">
        <f>IF(D2724&lt;&gt;"",IF(COUNTIF('USPTO TMs'!A:A,D2724)&gt;0,"Yes","No"),"")</f>
        <v/>
      </c>
      <c r="C2724" s="11"/>
      <c r="D2724" s="11"/>
      <c r="E2724" s="11"/>
      <c r="F2724" s="11"/>
      <c r="G2724" s="11"/>
      <c r="H2724" s="11"/>
      <c r="I2724" s="15"/>
    </row>
    <row r="2725" spans="1:9" ht="16.5">
      <c r="A2725" s="10" t="b">
        <v>0</v>
      </c>
      <c r="B2725" s="11" t="str">
        <f>IF(D2725&lt;&gt;"",IF(COUNTIF('USPTO TMs'!A:A,D2725)&gt;0,"Yes","No"),"")</f>
        <v/>
      </c>
      <c r="C2725" s="11"/>
      <c r="D2725" s="11"/>
      <c r="E2725" s="11"/>
      <c r="F2725" s="11"/>
      <c r="G2725" s="11"/>
      <c r="H2725" s="11"/>
      <c r="I2725" s="15"/>
    </row>
    <row r="2726" spans="1:9" ht="16.5">
      <c r="A2726" s="10" t="b">
        <v>0</v>
      </c>
      <c r="B2726" s="11" t="str">
        <f>IF(D2726&lt;&gt;"",IF(COUNTIF('USPTO TMs'!A:A,D2726)&gt;0,"Yes","No"),"")</f>
        <v/>
      </c>
      <c r="C2726" s="11"/>
      <c r="D2726" s="11"/>
      <c r="E2726" s="11"/>
      <c r="F2726" s="11"/>
      <c r="G2726" s="11"/>
      <c r="H2726" s="11"/>
      <c r="I2726" s="15"/>
    </row>
    <row r="2727" spans="1:9" ht="16.5">
      <c r="A2727" s="10" t="b">
        <v>0</v>
      </c>
      <c r="B2727" s="11" t="str">
        <f>IF(D2727&lt;&gt;"",IF(COUNTIF('USPTO TMs'!A:A,D2727)&gt;0,"Yes","No"),"")</f>
        <v/>
      </c>
      <c r="C2727" s="11"/>
      <c r="D2727" s="11"/>
      <c r="E2727" s="11"/>
      <c r="F2727" s="11"/>
      <c r="G2727" s="11"/>
      <c r="H2727" s="11"/>
      <c r="I2727" s="15"/>
    </row>
    <row r="2728" spans="1:9" ht="16.5">
      <c r="A2728" s="10" t="b">
        <v>0</v>
      </c>
      <c r="B2728" s="11" t="str">
        <f>IF(D2728&lt;&gt;"",IF(COUNTIF('USPTO TMs'!A:A,D2728)&gt;0,"Yes","No"),"")</f>
        <v/>
      </c>
      <c r="C2728" s="11"/>
      <c r="D2728" s="11"/>
      <c r="E2728" s="11"/>
      <c r="F2728" s="11"/>
      <c r="G2728" s="11"/>
      <c r="H2728" s="11"/>
      <c r="I2728" s="15"/>
    </row>
    <row r="2729" spans="1:9" ht="16.5">
      <c r="A2729" s="10" t="b">
        <v>0</v>
      </c>
      <c r="B2729" s="11" t="str">
        <f>IF(D2729&lt;&gt;"",IF(COUNTIF('USPTO TMs'!A:A,D2729)&gt;0,"Yes","No"),"")</f>
        <v/>
      </c>
      <c r="C2729" s="11"/>
      <c r="D2729" s="11"/>
      <c r="E2729" s="11"/>
      <c r="F2729" s="11"/>
      <c r="G2729" s="11"/>
      <c r="H2729" s="11"/>
      <c r="I2729" s="15"/>
    </row>
    <row r="2730" spans="1:9" ht="16.5">
      <c r="A2730" s="10" t="b">
        <v>0</v>
      </c>
      <c r="B2730" s="11" t="str">
        <f>IF(D2730&lt;&gt;"",IF(COUNTIF('USPTO TMs'!A:A,D2730)&gt;0,"Yes","No"),"")</f>
        <v/>
      </c>
      <c r="C2730" s="11"/>
      <c r="D2730" s="11"/>
      <c r="E2730" s="11"/>
      <c r="F2730" s="11"/>
      <c r="G2730" s="11"/>
      <c r="H2730" s="11"/>
      <c r="I2730" s="15"/>
    </row>
    <row r="2731" spans="1:9" ht="16.5">
      <c r="A2731" s="10" t="b">
        <v>0</v>
      </c>
      <c r="B2731" s="11" t="str">
        <f>IF(D2731&lt;&gt;"",IF(COUNTIF('USPTO TMs'!A:A,D2731)&gt;0,"Yes","No"),"")</f>
        <v/>
      </c>
      <c r="C2731" s="11"/>
      <c r="D2731" s="11"/>
      <c r="E2731" s="11"/>
      <c r="F2731" s="11"/>
      <c r="G2731" s="11"/>
      <c r="H2731" s="11"/>
      <c r="I2731" s="15"/>
    </row>
    <row r="2732" spans="1:9" ht="16.5">
      <c r="A2732" s="10" t="b">
        <v>0</v>
      </c>
      <c r="B2732" s="11" t="str">
        <f>IF(D2732&lt;&gt;"",IF(COUNTIF('USPTO TMs'!A:A,D2732)&gt;0,"Yes","No"),"")</f>
        <v/>
      </c>
      <c r="C2732" s="11"/>
      <c r="D2732" s="11"/>
      <c r="E2732" s="11"/>
      <c r="F2732" s="11"/>
      <c r="G2732" s="11"/>
      <c r="H2732" s="11"/>
      <c r="I2732" s="15"/>
    </row>
    <row r="2733" spans="1:9" ht="16.5">
      <c r="A2733" s="10" t="b">
        <v>0</v>
      </c>
      <c r="B2733" s="11" t="str">
        <f>IF(D2733&lt;&gt;"",IF(COUNTIF('USPTO TMs'!A:A,D2733)&gt;0,"Yes","No"),"")</f>
        <v/>
      </c>
      <c r="C2733" s="11"/>
      <c r="D2733" s="11"/>
      <c r="E2733" s="11"/>
      <c r="F2733" s="11"/>
      <c r="G2733" s="11"/>
      <c r="H2733" s="11"/>
      <c r="I2733" s="15"/>
    </row>
    <row r="2734" spans="1:9" ht="16.5">
      <c r="A2734" s="10" t="b">
        <v>0</v>
      </c>
      <c r="B2734" s="11" t="str">
        <f>IF(D2734&lt;&gt;"",IF(COUNTIF('USPTO TMs'!A:A,D2734)&gt;0,"Yes","No"),"")</f>
        <v/>
      </c>
      <c r="C2734" s="11"/>
      <c r="D2734" s="11"/>
      <c r="E2734" s="11"/>
      <c r="F2734" s="11"/>
      <c r="G2734" s="11"/>
      <c r="H2734" s="11"/>
      <c r="I2734" s="15"/>
    </row>
    <row r="2735" spans="1:9" ht="16.5">
      <c r="A2735" s="10" t="b">
        <v>0</v>
      </c>
      <c r="B2735" s="11" t="str">
        <f>IF(D2735&lt;&gt;"",IF(COUNTIF('USPTO TMs'!A:A,D2735)&gt;0,"Yes","No"),"")</f>
        <v/>
      </c>
      <c r="C2735" s="11"/>
      <c r="D2735" s="11"/>
      <c r="E2735" s="11"/>
      <c r="F2735" s="11"/>
      <c r="G2735" s="11"/>
      <c r="H2735" s="11"/>
      <c r="I2735" s="15"/>
    </row>
    <row r="2736" spans="1:9" ht="16.5">
      <c r="A2736" s="10" t="b">
        <v>0</v>
      </c>
      <c r="B2736" s="11" t="str">
        <f>IF(D2736&lt;&gt;"",IF(COUNTIF('USPTO TMs'!A:A,D2736)&gt;0,"Yes","No"),"")</f>
        <v/>
      </c>
      <c r="C2736" s="11"/>
      <c r="D2736" s="11"/>
      <c r="E2736" s="11"/>
      <c r="F2736" s="11"/>
      <c r="G2736" s="11"/>
      <c r="H2736" s="11"/>
      <c r="I2736" s="15"/>
    </row>
    <row r="2737" spans="1:9" ht="16.5">
      <c r="A2737" s="10" t="b">
        <v>0</v>
      </c>
      <c r="B2737" s="11" t="str">
        <f>IF(D2737&lt;&gt;"",IF(COUNTIF('USPTO TMs'!A:A,D2737)&gt;0,"Yes","No"),"")</f>
        <v/>
      </c>
      <c r="C2737" s="11"/>
      <c r="D2737" s="11"/>
      <c r="E2737" s="11"/>
      <c r="F2737" s="11"/>
      <c r="G2737" s="11"/>
      <c r="H2737" s="11"/>
      <c r="I2737" s="15"/>
    </row>
    <row r="2738" spans="1:9" ht="16.5">
      <c r="A2738" s="10" t="b">
        <v>0</v>
      </c>
      <c r="B2738" s="11" t="str">
        <f>IF(D2738&lt;&gt;"",IF(COUNTIF('USPTO TMs'!A:A,D2738)&gt;0,"Yes","No"),"")</f>
        <v/>
      </c>
      <c r="C2738" s="11"/>
      <c r="D2738" s="11"/>
      <c r="E2738" s="11"/>
      <c r="F2738" s="11"/>
      <c r="G2738" s="11"/>
      <c r="H2738" s="11"/>
      <c r="I2738" s="15"/>
    </row>
    <row r="2739" spans="1:9" ht="16.5">
      <c r="A2739" s="10" t="b">
        <v>0</v>
      </c>
      <c r="B2739" s="11" t="str">
        <f>IF(D2739&lt;&gt;"",IF(COUNTIF('USPTO TMs'!A:A,D2739)&gt;0,"Yes","No"),"")</f>
        <v/>
      </c>
      <c r="C2739" s="11"/>
      <c r="D2739" s="11"/>
      <c r="E2739" s="11"/>
      <c r="F2739" s="11"/>
      <c r="G2739" s="11"/>
      <c r="H2739" s="11"/>
      <c r="I2739" s="15"/>
    </row>
    <row r="2740" spans="1:9" ht="16.5">
      <c r="A2740" s="10" t="b">
        <v>0</v>
      </c>
      <c r="B2740" s="11" t="str">
        <f>IF(D2740&lt;&gt;"",IF(COUNTIF('USPTO TMs'!A:A,D2740)&gt;0,"Yes","No"),"")</f>
        <v/>
      </c>
      <c r="C2740" s="11"/>
      <c r="D2740" s="11"/>
      <c r="E2740" s="11"/>
      <c r="F2740" s="11"/>
      <c r="G2740" s="11"/>
      <c r="H2740" s="11"/>
      <c r="I2740" s="15"/>
    </row>
    <row r="2741" spans="1:9" ht="16.5">
      <c r="A2741" s="10" t="b">
        <v>0</v>
      </c>
      <c r="B2741" s="11" t="str">
        <f>IF(D2741&lt;&gt;"",IF(COUNTIF('USPTO TMs'!A:A,D2741)&gt;0,"Yes","No"),"")</f>
        <v/>
      </c>
      <c r="C2741" s="11"/>
      <c r="D2741" s="11"/>
      <c r="E2741" s="11"/>
      <c r="F2741" s="11"/>
      <c r="G2741" s="11"/>
      <c r="H2741" s="11"/>
      <c r="I2741" s="15"/>
    </row>
    <row r="2742" spans="1:9" ht="16.5">
      <c r="A2742" s="10" t="b">
        <v>0</v>
      </c>
      <c r="B2742" s="11" t="str">
        <f>IF(D2742&lt;&gt;"",IF(COUNTIF('USPTO TMs'!A:A,D2742)&gt;0,"Yes","No"),"")</f>
        <v/>
      </c>
      <c r="C2742" s="11"/>
      <c r="D2742" s="11"/>
      <c r="E2742" s="11"/>
      <c r="F2742" s="11"/>
      <c r="G2742" s="11"/>
      <c r="H2742" s="11"/>
      <c r="I2742" s="15"/>
    </row>
    <row r="2743" spans="1:9" ht="16.5">
      <c r="A2743" s="10" t="b">
        <v>0</v>
      </c>
      <c r="B2743" s="11" t="str">
        <f>IF(D2743&lt;&gt;"",IF(COUNTIF('USPTO TMs'!A:A,D2743)&gt;0,"Yes","No"),"")</f>
        <v/>
      </c>
      <c r="C2743" s="11"/>
      <c r="D2743" s="11"/>
      <c r="E2743" s="11"/>
      <c r="F2743" s="11"/>
      <c r="G2743" s="11"/>
      <c r="H2743" s="11"/>
      <c r="I2743" s="15"/>
    </row>
    <row r="2744" spans="1:9" ht="16.5">
      <c r="A2744" s="10" t="b">
        <v>0</v>
      </c>
      <c r="B2744" s="11" t="str">
        <f>IF(D2744&lt;&gt;"",IF(COUNTIF('USPTO TMs'!A:A,D2744)&gt;0,"Yes","No"),"")</f>
        <v/>
      </c>
      <c r="C2744" s="11"/>
      <c r="D2744" s="11"/>
      <c r="E2744" s="11"/>
      <c r="F2744" s="11"/>
      <c r="G2744" s="11"/>
      <c r="H2744" s="11"/>
      <c r="I2744" s="15"/>
    </row>
    <row r="2745" spans="1:9" ht="16.5">
      <c r="A2745" s="10" t="b">
        <v>0</v>
      </c>
      <c r="B2745" s="11" t="str">
        <f>IF(D2745&lt;&gt;"",IF(COUNTIF('USPTO TMs'!A:A,D2745)&gt;0,"Yes","No"),"")</f>
        <v/>
      </c>
      <c r="C2745" s="11"/>
      <c r="D2745" s="11"/>
      <c r="E2745" s="11"/>
      <c r="F2745" s="11"/>
      <c r="G2745" s="11"/>
      <c r="H2745" s="11"/>
      <c r="I2745" s="15"/>
    </row>
    <row r="2746" spans="1:9" ht="16.5">
      <c r="A2746" s="10" t="b">
        <v>0</v>
      </c>
      <c r="B2746" s="11" t="str">
        <f>IF(D2746&lt;&gt;"",IF(COUNTIF('USPTO TMs'!A:A,D2746)&gt;0,"Yes","No"),"")</f>
        <v/>
      </c>
      <c r="C2746" s="11"/>
      <c r="D2746" s="11"/>
      <c r="E2746" s="11"/>
      <c r="F2746" s="11"/>
      <c r="G2746" s="11"/>
      <c r="H2746" s="11"/>
      <c r="I2746" s="15"/>
    </row>
    <row r="2747" spans="1:9" ht="16.5">
      <c r="A2747" s="10" t="b">
        <v>0</v>
      </c>
      <c r="B2747" s="11" t="str">
        <f>IF(D2747&lt;&gt;"",IF(COUNTIF('USPTO TMs'!A:A,D2747)&gt;0,"Yes","No"),"")</f>
        <v/>
      </c>
      <c r="C2747" s="11"/>
      <c r="D2747" s="11"/>
      <c r="E2747" s="11"/>
      <c r="F2747" s="11"/>
      <c r="G2747" s="11"/>
      <c r="H2747" s="11"/>
      <c r="I2747" s="15"/>
    </row>
    <row r="2748" spans="1:9" ht="16.5">
      <c r="A2748" s="10" t="b">
        <v>0</v>
      </c>
      <c r="B2748" s="11" t="str">
        <f>IF(D2748&lt;&gt;"",IF(COUNTIF('USPTO TMs'!A:A,D2748)&gt;0,"Yes","No"),"")</f>
        <v/>
      </c>
      <c r="C2748" s="11"/>
      <c r="D2748" s="11"/>
      <c r="E2748" s="11"/>
      <c r="F2748" s="11"/>
      <c r="G2748" s="11"/>
      <c r="H2748" s="11"/>
      <c r="I2748" s="15"/>
    </row>
    <row r="2749" spans="1:9" ht="16.5">
      <c r="A2749" s="10" t="b">
        <v>0</v>
      </c>
      <c r="B2749" s="11" t="str">
        <f>IF(D2749&lt;&gt;"",IF(COUNTIF('USPTO TMs'!A:A,D2749)&gt;0,"Yes","No"),"")</f>
        <v/>
      </c>
      <c r="C2749" s="11"/>
      <c r="D2749" s="11"/>
      <c r="E2749" s="11"/>
      <c r="F2749" s="11"/>
      <c r="G2749" s="11"/>
      <c r="H2749" s="11"/>
      <c r="I2749" s="15"/>
    </row>
    <row r="2750" spans="1:9" ht="16.5">
      <c r="A2750" s="10" t="b">
        <v>0</v>
      </c>
      <c r="B2750" s="11" t="str">
        <f>IF(D2750&lt;&gt;"",IF(COUNTIF('USPTO TMs'!A:A,D2750)&gt;0,"Yes","No"),"")</f>
        <v/>
      </c>
      <c r="C2750" s="11"/>
      <c r="D2750" s="11"/>
      <c r="E2750" s="11"/>
      <c r="F2750" s="11"/>
      <c r="G2750" s="11"/>
      <c r="H2750" s="11"/>
      <c r="I2750" s="15"/>
    </row>
    <row r="2751" spans="1:9" ht="16.5">
      <c r="A2751" s="10" t="b">
        <v>0</v>
      </c>
      <c r="B2751" s="11" t="str">
        <f>IF(D2751&lt;&gt;"",IF(COUNTIF('USPTO TMs'!A:A,D2751)&gt;0,"Yes","No"),"")</f>
        <v/>
      </c>
      <c r="C2751" s="11"/>
      <c r="D2751" s="11"/>
      <c r="E2751" s="11"/>
      <c r="F2751" s="11"/>
      <c r="G2751" s="11"/>
      <c r="H2751" s="11"/>
      <c r="I2751" s="15"/>
    </row>
    <row r="2752" spans="1:9" ht="16.5">
      <c r="A2752" s="10" t="b">
        <v>0</v>
      </c>
      <c r="B2752" s="11" t="str">
        <f>IF(D2752&lt;&gt;"",IF(COUNTIF('USPTO TMs'!A:A,D2752)&gt;0,"Yes","No"),"")</f>
        <v/>
      </c>
      <c r="C2752" s="11"/>
      <c r="D2752" s="11"/>
      <c r="E2752" s="11"/>
      <c r="F2752" s="11"/>
      <c r="G2752" s="11"/>
      <c r="H2752" s="11"/>
      <c r="I2752" s="15"/>
    </row>
    <row r="2753" spans="1:9" ht="16.5">
      <c r="A2753" s="10" t="b">
        <v>0</v>
      </c>
      <c r="B2753" s="11" t="str">
        <f>IF(D2753&lt;&gt;"",IF(COUNTIF('USPTO TMs'!A:A,D2753)&gt;0,"Yes","No"),"")</f>
        <v/>
      </c>
      <c r="C2753" s="11"/>
      <c r="D2753" s="11"/>
      <c r="E2753" s="11"/>
      <c r="F2753" s="11"/>
      <c r="G2753" s="11"/>
      <c r="H2753" s="11"/>
      <c r="I2753" s="15"/>
    </row>
    <row r="2754" spans="1:9" ht="16.5">
      <c r="A2754" s="10" t="b">
        <v>0</v>
      </c>
      <c r="B2754" s="11" t="str">
        <f>IF(D2754&lt;&gt;"",IF(COUNTIF('USPTO TMs'!A:A,D2754)&gt;0,"Yes","No"),"")</f>
        <v/>
      </c>
      <c r="C2754" s="11"/>
      <c r="D2754" s="11"/>
      <c r="E2754" s="11"/>
      <c r="F2754" s="11"/>
      <c r="G2754" s="11"/>
      <c r="H2754" s="11"/>
      <c r="I2754" s="15"/>
    </row>
    <row r="2755" spans="1:9" ht="16.5">
      <c r="A2755" s="10" t="b">
        <v>0</v>
      </c>
      <c r="B2755" s="11" t="str">
        <f>IF(D2755&lt;&gt;"",IF(COUNTIF('USPTO TMs'!A:A,D2755)&gt;0,"Yes","No"),"")</f>
        <v/>
      </c>
      <c r="C2755" s="11"/>
      <c r="D2755" s="11"/>
      <c r="E2755" s="11"/>
      <c r="F2755" s="11"/>
      <c r="G2755" s="11"/>
      <c r="H2755" s="11"/>
      <c r="I2755" s="15"/>
    </row>
    <row r="2756" spans="1:9" ht="16.5">
      <c r="A2756" s="10" t="b">
        <v>0</v>
      </c>
      <c r="B2756" s="11" t="str">
        <f>IF(D2756&lt;&gt;"",IF(COUNTIF('USPTO TMs'!A:A,D2756)&gt;0,"Yes","No"),"")</f>
        <v/>
      </c>
      <c r="C2756" s="11"/>
      <c r="D2756" s="11"/>
      <c r="E2756" s="11"/>
      <c r="F2756" s="11"/>
      <c r="G2756" s="11"/>
      <c r="H2756" s="11"/>
      <c r="I2756" s="15"/>
    </row>
    <row r="2757" spans="1:9" ht="16.5">
      <c r="A2757" s="10" t="b">
        <v>0</v>
      </c>
      <c r="B2757" s="11" t="str">
        <f>IF(D2757&lt;&gt;"",IF(COUNTIF('USPTO TMs'!A:A,D2757)&gt;0,"Yes","No"),"")</f>
        <v/>
      </c>
      <c r="C2757" s="11"/>
      <c r="D2757" s="11"/>
      <c r="E2757" s="11"/>
      <c r="F2757" s="11"/>
      <c r="G2757" s="11"/>
      <c r="H2757" s="11"/>
      <c r="I2757" s="15"/>
    </row>
    <row r="2758" spans="1:9" ht="16.5">
      <c r="A2758" s="10" t="b">
        <v>0</v>
      </c>
      <c r="B2758" s="11" t="str">
        <f>IF(D2758&lt;&gt;"",IF(COUNTIF('USPTO TMs'!A:A,D2758)&gt;0,"Yes","No"),"")</f>
        <v/>
      </c>
      <c r="C2758" s="11"/>
      <c r="D2758" s="11"/>
      <c r="E2758" s="11"/>
      <c r="F2758" s="11"/>
      <c r="G2758" s="11"/>
      <c r="H2758" s="11"/>
      <c r="I2758" s="15"/>
    </row>
    <row r="2759" spans="1:9" ht="16.5">
      <c r="A2759" s="10" t="b">
        <v>0</v>
      </c>
      <c r="B2759" s="11" t="str">
        <f>IF(D2759&lt;&gt;"",IF(COUNTIF('USPTO TMs'!A:A,D2759)&gt;0,"Yes","No"),"")</f>
        <v/>
      </c>
      <c r="C2759" s="11"/>
      <c r="D2759" s="11"/>
      <c r="E2759" s="11"/>
      <c r="F2759" s="11"/>
      <c r="G2759" s="11"/>
      <c r="H2759" s="11"/>
      <c r="I2759" s="15"/>
    </row>
    <row r="2760" spans="1:9" ht="16.5">
      <c r="A2760" s="10" t="b">
        <v>0</v>
      </c>
      <c r="B2760" s="11" t="str">
        <f>IF(D2760&lt;&gt;"",IF(COUNTIF('USPTO TMs'!A:A,D2760)&gt;0,"Yes","No"),"")</f>
        <v/>
      </c>
      <c r="C2760" s="11"/>
      <c r="D2760" s="11"/>
      <c r="E2760" s="11"/>
      <c r="F2760" s="11"/>
      <c r="G2760" s="11"/>
      <c r="H2760" s="11"/>
      <c r="I2760" s="15"/>
    </row>
    <row r="2761" spans="1:9" ht="16.5">
      <c r="A2761" s="10" t="b">
        <v>0</v>
      </c>
      <c r="B2761" s="11" t="str">
        <f>IF(D2761&lt;&gt;"",IF(COUNTIF('USPTO TMs'!A:A,D2761)&gt;0,"Yes","No"),"")</f>
        <v/>
      </c>
      <c r="C2761" s="11"/>
      <c r="D2761" s="11"/>
      <c r="E2761" s="11"/>
      <c r="F2761" s="11"/>
      <c r="G2761" s="11"/>
      <c r="H2761" s="11"/>
      <c r="I2761" s="15"/>
    </row>
    <row r="2762" spans="1:9" ht="16.5">
      <c r="A2762" s="10" t="b">
        <v>0</v>
      </c>
      <c r="B2762" s="11" t="str">
        <f>IF(D2762&lt;&gt;"",IF(COUNTIF('USPTO TMs'!A:A,D2762)&gt;0,"Yes","No"),"")</f>
        <v/>
      </c>
      <c r="C2762" s="11"/>
      <c r="D2762" s="11"/>
      <c r="E2762" s="11"/>
      <c r="F2762" s="11"/>
      <c r="G2762" s="11"/>
      <c r="H2762" s="11"/>
      <c r="I2762" s="15"/>
    </row>
    <row r="2763" spans="1:9" ht="16.5">
      <c r="A2763" s="10" t="b">
        <v>0</v>
      </c>
      <c r="B2763" s="11" t="str">
        <f>IF(D2763&lt;&gt;"",IF(COUNTIF('USPTO TMs'!A:A,D2763)&gt;0,"Yes","No"),"")</f>
        <v/>
      </c>
      <c r="C2763" s="11"/>
      <c r="D2763" s="11"/>
      <c r="E2763" s="11"/>
      <c r="F2763" s="11"/>
      <c r="G2763" s="11"/>
      <c r="H2763" s="11"/>
      <c r="I2763" s="15"/>
    </row>
    <row r="2764" spans="1:9" ht="16.5">
      <c r="A2764" s="10" t="b">
        <v>0</v>
      </c>
      <c r="B2764" s="11" t="str">
        <f>IF(D2764&lt;&gt;"",IF(COUNTIF('USPTO TMs'!A:A,D2764)&gt;0,"Yes","No"),"")</f>
        <v/>
      </c>
      <c r="C2764" s="11"/>
      <c r="D2764" s="11"/>
      <c r="E2764" s="11"/>
      <c r="F2764" s="11"/>
      <c r="G2764" s="11"/>
      <c r="H2764" s="11"/>
      <c r="I2764" s="15"/>
    </row>
    <row r="2765" spans="1:9" ht="16.5">
      <c r="A2765" s="10" t="b">
        <v>0</v>
      </c>
      <c r="B2765" s="11" t="str">
        <f>IF(D2765&lt;&gt;"",IF(COUNTIF('USPTO TMs'!A:A,D2765)&gt;0,"Yes","No"),"")</f>
        <v/>
      </c>
      <c r="C2765" s="11"/>
      <c r="D2765" s="11"/>
      <c r="E2765" s="11"/>
      <c r="F2765" s="11"/>
      <c r="G2765" s="11"/>
      <c r="H2765" s="11"/>
      <c r="I2765" s="15"/>
    </row>
    <row r="2766" spans="1:9" ht="16.5">
      <c r="A2766" s="10" t="b">
        <v>0</v>
      </c>
      <c r="B2766" s="11" t="str">
        <f>IF(D2766&lt;&gt;"",IF(COUNTIF('USPTO TMs'!A:A,D2766)&gt;0,"Yes","No"),"")</f>
        <v/>
      </c>
      <c r="C2766" s="11"/>
      <c r="D2766" s="11"/>
      <c r="E2766" s="11"/>
      <c r="F2766" s="11"/>
      <c r="G2766" s="11"/>
      <c r="H2766" s="11"/>
      <c r="I2766" s="15"/>
    </row>
    <row r="2767" spans="1:9" ht="16.5">
      <c r="A2767" s="10" t="b">
        <v>0</v>
      </c>
      <c r="B2767" s="11" t="str">
        <f>IF(D2767&lt;&gt;"",IF(COUNTIF('USPTO TMs'!A:A,D2767)&gt;0,"Yes","No"),"")</f>
        <v/>
      </c>
      <c r="C2767" s="11"/>
      <c r="D2767" s="11"/>
      <c r="E2767" s="11"/>
      <c r="F2767" s="11"/>
      <c r="G2767" s="11"/>
      <c r="H2767" s="11"/>
      <c r="I2767" s="15"/>
    </row>
    <row r="2768" spans="1:9" ht="16.5">
      <c r="A2768" s="10" t="b">
        <v>0</v>
      </c>
      <c r="B2768" s="11" t="str">
        <f>IF(D2768&lt;&gt;"",IF(COUNTIF('USPTO TMs'!A:A,D2768)&gt;0,"Yes","No"),"")</f>
        <v/>
      </c>
      <c r="C2768" s="11"/>
      <c r="D2768" s="11"/>
      <c r="E2768" s="11"/>
      <c r="F2768" s="11"/>
      <c r="G2768" s="11"/>
      <c r="H2768" s="11"/>
      <c r="I2768" s="15"/>
    </row>
    <row r="2769" spans="1:9" ht="16.5">
      <c r="A2769" s="10" t="b">
        <v>0</v>
      </c>
      <c r="B2769" s="11" t="str">
        <f>IF(D2769&lt;&gt;"",IF(COUNTIF('USPTO TMs'!A:A,D2769)&gt;0,"Yes","No"),"")</f>
        <v/>
      </c>
      <c r="C2769" s="11"/>
      <c r="D2769" s="11"/>
      <c r="E2769" s="11"/>
      <c r="F2769" s="11"/>
      <c r="G2769" s="11"/>
      <c r="H2769" s="11"/>
      <c r="I2769" s="15"/>
    </row>
    <row r="2770" spans="1:9" ht="16.5">
      <c r="A2770" s="10" t="b">
        <v>0</v>
      </c>
      <c r="B2770" s="11" t="str">
        <f>IF(D2770&lt;&gt;"",IF(COUNTIF('USPTO TMs'!A:A,D2770)&gt;0,"Yes","No"),"")</f>
        <v/>
      </c>
      <c r="C2770" s="11"/>
      <c r="D2770" s="11"/>
      <c r="E2770" s="11"/>
      <c r="F2770" s="11"/>
      <c r="G2770" s="11"/>
      <c r="H2770" s="11"/>
      <c r="I2770" s="15"/>
    </row>
    <row r="2771" spans="1:9" ht="16.5">
      <c r="A2771" s="10" t="b">
        <v>0</v>
      </c>
      <c r="B2771" s="11" t="str">
        <f>IF(D2771&lt;&gt;"",IF(COUNTIF('USPTO TMs'!A:A,D2771)&gt;0,"Yes","No"),"")</f>
        <v/>
      </c>
      <c r="C2771" s="11"/>
      <c r="D2771" s="11"/>
      <c r="E2771" s="11"/>
      <c r="F2771" s="11"/>
      <c r="G2771" s="11"/>
      <c r="H2771" s="11"/>
      <c r="I2771" s="15"/>
    </row>
    <row r="2772" spans="1:9" ht="16.5">
      <c r="A2772" s="10" t="b">
        <v>0</v>
      </c>
      <c r="B2772" s="11" t="str">
        <f>IF(D2772&lt;&gt;"",IF(COUNTIF('USPTO TMs'!A:A,D2772)&gt;0,"Yes","No"),"")</f>
        <v/>
      </c>
      <c r="C2772" s="11"/>
      <c r="D2772" s="11"/>
      <c r="E2772" s="11"/>
      <c r="F2772" s="11"/>
      <c r="G2772" s="11"/>
      <c r="H2772" s="11"/>
      <c r="I2772" s="15"/>
    </row>
    <row r="2773" spans="1:9" ht="16.5">
      <c r="A2773" s="10" t="b">
        <v>0</v>
      </c>
      <c r="B2773" s="11" t="str">
        <f>IF(D2773&lt;&gt;"",IF(COUNTIF('USPTO TMs'!A:A,D2773)&gt;0,"Yes","No"),"")</f>
        <v/>
      </c>
      <c r="C2773" s="11"/>
      <c r="D2773" s="11"/>
      <c r="E2773" s="11"/>
      <c r="F2773" s="11"/>
      <c r="G2773" s="11"/>
      <c r="H2773" s="11"/>
      <c r="I2773" s="15"/>
    </row>
    <row r="2774" spans="1:9" ht="16.5">
      <c r="A2774" s="10" t="b">
        <v>0</v>
      </c>
      <c r="B2774" s="11" t="str">
        <f>IF(D2774&lt;&gt;"",IF(COUNTIF('USPTO TMs'!A:A,D2774)&gt;0,"Yes","No"),"")</f>
        <v/>
      </c>
      <c r="C2774" s="11"/>
      <c r="D2774" s="11"/>
      <c r="E2774" s="11"/>
      <c r="F2774" s="11"/>
      <c r="G2774" s="11"/>
      <c r="H2774" s="11"/>
      <c r="I2774" s="15"/>
    </row>
    <row r="2775" spans="1:9" ht="16.5">
      <c r="A2775" s="10" t="b">
        <v>0</v>
      </c>
      <c r="B2775" s="11" t="str">
        <f>IF(D2775&lt;&gt;"",IF(COUNTIF('USPTO TMs'!A:A,D2775)&gt;0,"Yes","No"),"")</f>
        <v/>
      </c>
      <c r="C2775" s="11"/>
      <c r="D2775" s="11"/>
      <c r="E2775" s="11"/>
      <c r="F2775" s="11"/>
      <c r="G2775" s="11"/>
      <c r="H2775" s="11"/>
      <c r="I2775" s="15"/>
    </row>
    <row r="2776" spans="1:9" ht="16.5">
      <c r="A2776" s="10" t="b">
        <v>0</v>
      </c>
      <c r="B2776" s="11" t="str">
        <f>IF(D2776&lt;&gt;"",IF(COUNTIF('USPTO TMs'!A:A,D2776)&gt;0,"Yes","No"),"")</f>
        <v/>
      </c>
      <c r="C2776" s="11"/>
      <c r="D2776" s="11"/>
      <c r="E2776" s="11"/>
      <c r="F2776" s="11"/>
      <c r="G2776" s="11"/>
      <c r="H2776" s="11"/>
      <c r="I2776" s="15"/>
    </row>
    <row r="2777" spans="1:9" ht="16.5">
      <c r="A2777" s="10" t="b">
        <v>0</v>
      </c>
      <c r="B2777" s="11" t="str">
        <f>IF(D2777&lt;&gt;"",IF(COUNTIF('USPTO TMs'!A:A,D2777)&gt;0,"Yes","No"),"")</f>
        <v/>
      </c>
      <c r="C2777" s="11"/>
      <c r="D2777" s="11"/>
      <c r="E2777" s="11"/>
      <c r="F2777" s="11"/>
      <c r="G2777" s="11"/>
      <c r="H2777" s="11"/>
      <c r="I2777" s="15"/>
    </row>
    <row r="2778" spans="1:9" ht="16.5">
      <c r="A2778" s="10" t="b">
        <v>0</v>
      </c>
      <c r="B2778" s="11" t="str">
        <f>IF(D2778&lt;&gt;"",IF(COUNTIF('USPTO TMs'!A:A,D2778)&gt;0,"Yes","No"),"")</f>
        <v/>
      </c>
      <c r="C2778" s="11"/>
      <c r="D2778" s="11"/>
      <c r="E2778" s="11"/>
      <c r="F2778" s="11"/>
      <c r="G2778" s="11"/>
      <c r="H2778" s="11"/>
      <c r="I2778" s="15"/>
    </row>
    <row r="2779" spans="1:9" ht="16.5">
      <c r="A2779" s="10" t="b">
        <v>0</v>
      </c>
      <c r="B2779" s="11" t="str">
        <f>IF(D2779&lt;&gt;"",IF(COUNTIF('USPTO TMs'!A:A,D2779)&gt;0,"Yes","No"),"")</f>
        <v/>
      </c>
      <c r="C2779" s="11"/>
      <c r="D2779" s="11"/>
      <c r="E2779" s="11"/>
      <c r="F2779" s="11"/>
      <c r="G2779" s="11"/>
      <c r="H2779" s="11"/>
      <c r="I2779" s="15"/>
    </row>
    <row r="2780" spans="1:9" ht="16.5">
      <c r="A2780" s="10" t="b">
        <v>0</v>
      </c>
      <c r="B2780" s="11" t="str">
        <f>IF(D2780&lt;&gt;"",IF(COUNTIF('USPTO TMs'!A:A,D2780)&gt;0,"Yes","No"),"")</f>
        <v/>
      </c>
      <c r="C2780" s="11"/>
      <c r="D2780" s="11"/>
      <c r="E2780" s="11"/>
      <c r="F2780" s="11"/>
      <c r="G2780" s="11"/>
      <c r="H2780" s="11"/>
      <c r="I2780" s="15"/>
    </row>
    <row r="2781" spans="1:9" ht="16.5">
      <c r="A2781" s="10" t="b">
        <v>0</v>
      </c>
      <c r="B2781" s="11" t="str">
        <f>IF(D2781&lt;&gt;"",IF(COUNTIF('USPTO TMs'!A:A,D2781)&gt;0,"Yes","No"),"")</f>
        <v/>
      </c>
      <c r="C2781" s="11"/>
      <c r="D2781" s="11"/>
      <c r="E2781" s="11"/>
      <c r="F2781" s="11"/>
      <c r="G2781" s="11"/>
      <c r="H2781" s="11"/>
      <c r="I2781" s="15"/>
    </row>
    <row r="2782" spans="1:9" ht="16.5">
      <c r="A2782" s="10" t="b">
        <v>0</v>
      </c>
      <c r="B2782" s="11" t="str">
        <f>IF(D2782&lt;&gt;"",IF(COUNTIF('USPTO TMs'!A:A,D2782)&gt;0,"Yes","No"),"")</f>
        <v/>
      </c>
      <c r="C2782" s="11"/>
      <c r="D2782" s="11"/>
      <c r="E2782" s="11"/>
      <c r="F2782" s="11"/>
      <c r="G2782" s="11"/>
      <c r="H2782" s="11"/>
      <c r="I2782" s="15"/>
    </row>
    <row r="2783" spans="1:9" ht="16.5">
      <c r="A2783" s="10" t="b">
        <v>0</v>
      </c>
      <c r="B2783" s="11" t="str">
        <f>IF(D2783&lt;&gt;"",IF(COUNTIF('USPTO TMs'!A:A,D2783)&gt;0,"Yes","No"),"")</f>
        <v/>
      </c>
      <c r="C2783" s="11"/>
      <c r="D2783" s="11"/>
      <c r="E2783" s="11"/>
      <c r="F2783" s="11"/>
      <c r="G2783" s="11"/>
      <c r="H2783" s="11"/>
      <c r="I2783" s="15"/>
    </row>
    <row r="2784" spans="1:9" ht="16.5">
      <c r="A2784" s="10" t="b">
        <v>0</v>
      </c>
      <c r="B2784" s="11" t="str">
        <f>IF(D2784&lt;&gt;"",IF(COUNTIF('USPTO TMs'!A:A,D2784)&gt;0,"Yes","No"),"")</f>
        <v/>
      </c>
      <c r="C2784" s="11"/>
      <c r="D2784" s="11"/>
      <c r="E2784" s="11"/>
      <c r="F2784" s="11"/>
      <c r="G2784" s="11"/>
      <c r="H2784" s="11"/>
      <c r="I2784" s="15"/>
    </row>
    <row r="2785" spans="1:9" ht="16.5">
      <c r="A2785" s="10" t="b">
        <v>0</v>
      </c>
      <c r="B2785" s="11" t="str">
        <f>IF(D2785&lt;&gt;"",IF(COUNTIF('USPTO TMs'!A:A,D2785)&gt;0,"Yes","No"),"")</f>
        <v/>
      </c>
      <c r="C2785" s="11"/>
      <c r="D2785" s="11"/>
      <c r="E2785" s="11"/>
      <c r="F2785" s="11"/>
      <c r="G2785" s="11"/>
      <c r="H2785" s="11"/>
      <c r="I2785" s="15"/>
    </row>
    <row r="2786" spans="1:9" ht="16.5">
      <c r="A2786" s="10" t="b">
        <v>0</v>
      </c>
      <c r="B2786" s="11" t="str">
        <f>IF(D2786&lt;&gt;"",IF(COUNTIF('USPTO TMs'!A:A,D2786)&gt;0,"Yes","No"),"")</f>
        <v/>
      </c>
      <c r="C2786" s="11"/>
      <c r="D2786" s="11"/>
      <c r="E2786" s="11"/>
      <c r="F2786" s="11"/>
      <c r="G2786" s="11"/>
      <c r="H2786" s="11"/>
      <c r="I2786" s="15"/>
    </row>
    <row r="2787" spans="1:9" ht="16.5">
      <c r="A2787" s="10" t="b">
        <v>0</v>
      </c>
      <c r="B2787" s="11" t="str">
        <f>IF(D2787&lt;&gt;"",IF(COUNTIF('USPTO TMs'!A:A,D2787)&gt;0,"Yes","No"),"")</f>
        <v/>
      </c>
      <c r="C2787" s="11"/>
      <c r="D2787" s="11"/>
      <c r="E2787" s="11"/>
      <c r="F2787" s="11"/>
      <c r="G2787" s="11"/>
      <c r="H2787" s="11"/>
      <c r="I2787" s="15"/>
    </row>
    <row r="2788" spans="1:9" ht="16.5">
      <c r="A2788" s="10" t="b">
        <v>0</v>
      </c>
      <c r="B2788" s="11" t="str">
        <f>IF(D2788&lt;&gt;"",IF(COUNTIF('USPTO TMs'!A:A,D2788)&gt;0,"Yes","No"),"")</f>
        <v/>
      </c>
      <c r="C2788" s="11"/>
      <c r="D2788" s="11"/>
      <c r="E2788" s="11"/>
      <c r="F2788" s="11"/>
      <c r="G2788" s="11"/>
      <c r="H2788" s="11"/>
      <c r="I2788" s="15"/>
    </row>
    <row r="2789" spans="1:9" ht="16.5">
      <c r="A2789" s="10" t="b">
        <v>0</v>
      </c>
      <c r="B2789" s="11" t="str">
        <f>IF(D2789&lt;&gt;"",IF(COUNTIF('USPTO TMs'!A:A,D2789)&gt;0,"Yes","No"),"")</f>
        <v/>
      </c>
      <c r="C2789" s="11"/>
      <c r="D2789" s="11"/>
      <c r="E2789" s="11"/>
      <c r="F2789" s="11"/>
      <c r="G2789" s="11"/>
      <c r="H2789" s="11"/>
      <c r="I2789" s="15"/>
    </row>
    <row r="2790" spans="1:9" ht="16.5">
      <c r="A2790" s="10" t="b">
        <v>0</v>
      </c>
      <c r="B2790" s="11" t="str">
        <f>IF(D2790&lt;&gt;"",IF(COUNTIF('USPTO TMs'!A:A,D2790)&gt;0,"Yes","No"),"")</f>
        <v/>
      </c>
      <c r="C2790" s="11"/>
      <c r="D2790" s="11"/>
      <c r="E2790" s="11"/>
      <c r="F2790" s="11"/>
      <c r="G2790" s="11"/>
      <c r="H2790" s="11"/>
      <c r="I2790" s="15"/>
    </row>
    <row r="2791" spans="1:9" ht="16.5">
      <c r="A2791" s="10" t="b">
        <v>0</v>
      </c>
      <c r="B2791" s="11" t="str">
        <f>IF(D2791&lt;&gt;"",IF(COUNTIF('USPTO TMs'!A:A,D2791)&gt;0,"Yes","No"),"")</f>
        <v/>
      </c>
      <c r="C2791" s="11"/>
      <c r="D2791" s="11"/>
      <c r="E2791" s="11"/>
      <c r="F2791" s="11"/>
      <c r="G2791" s="11"/>
      <c r="H2791" s="11"/>
      <c r="I2791" s="15"/>
    </row>
    <row r="2792" spans="1:9" ht="16.5">
      <c r="A2792" s="10" t="b">
        <v>0</v>
      </c>
      <c r="B2792" s="11" t="str">
        <f>IF(D2792&lt;&gt;"",IF(COUNTIF('USPTO TMs'!A:A,D2792)&gt;0,"Yes","No"),"")</f>
        <v/>
      </c>
      <c r="C2792" s="11"/>
      <c r="D2792" s="11"/>
      <c r="E2792" s="11"/>
      <c r="F2792" s="11"/>
      <c r="G2792" s="11"/>
      <c r="H2792" s="11"/>
      <c r="I2792" s="15"/>
    </row>
    <row r="2793" spans="1:9" ht="16.5">
      <c r="A2793" s="10" t="b">
        <v>0</v>
      </c>
      <c r="B2793" s="11" t="str">
        <f>IF(D2793&lt;&gt;"",IF(COUNTIF('USPTO TMs'!A:A,D2793)&gt;0,"Yes","No"),"")</f>
        <v/>
      </c>
      <c r="C2793" s="11"/>
      <c r="D2793" s="11"/>
      <c r="E2793" s="11"/>
      <c r="F2793" s="11"/>
      <c r="G2793" s="11"/>
      <c r="H2793" s="11"/>
      <c r="I2793" s="15"/>
    </row>
    <row r="2794" spans="1:9" ht="16.5">
      <c r="A2794" s="10" t="b">
        <v>0</v>
      </c>
      <c r="B2794" s="11" t="str">
        <f>IF(D2794&lt;&gt;"",IF(COUNTIF('USPTO TMs'!A:A,D2794)&gt;0,"Yes","No"),"")</f>
        <v/>
      </c>
      <c r="C2794" s="11"/>
      <c r="D2794" s="11"/>
      <c r="E2794" s="11"/>
      <c r="F2794" s="11"/>
      <c r="G2794" s="11"/>
      <c r="H2794" s="11"/>
      <c r="I2794" s="15"/>
    </row>
    <row r="2795" spans="1:9" ht="16.5">
      <c r="A2795" s="10" t="b">
        <v>0</v>
      </c>
      <c r="B2795" s="11" t="str">
        <f>IF(D2795&lt;&gt;"",IF(COUNTIF('USPTO TMs'!A:A,D2795)&gt;0,"Yes","No"),"")</f>
        <v/>
      </c>
      <c r="C2795" s="11"/>
      <c r="D2795" s="11"/>
      <c r="E2795" s="11"/>
      <c r="F2795" s="11"/>
      <c r="G2795" s="11"/>
      <c r="H2795" s="11"/>
      <c r="I2795" s="15"/>
    </row>
    <row r="2796" spans="1:9" ht="16.5">
      <c r="A2796" s="10" t="b">
        <v>0</v>
      </c>
      <c r="B2796" s="11" t="str">
        <f>IF(D2796&lt;&gt;"",IF(COUNTIF('USPTO TMs'!A:A,D2796)&gt;0,"Yes","No"),"")</f>
        <v/>
      </c>
      <c r="C2796" s="11"/>
      <c r="D2796" s="11"/>
      <c r="E2796" s="11"/>
      <c r="F2796" s="11"/>
      <c r="G2796" s="11"/>
      <c r="H2796" s="11"/>
      <c r="I2796" s="15"/>
    </row>
    <row r="2797" spans="1:9" ht="16.5">
      <c r="A2797" s="10" t="b">
        <v>0</v>
      </c>
      <c r="B2797" s="11" t="str">
        <f>IF(D2797&lt;&gt;"",IF(COUNTIF('USPTO TMs'!A:A,D2797)&gt;0,"Yes","No"),"")</f>
        <v/>
      </c>
      <c r="C2797" s="11"/>
      <c r="D2797" s="11"/>
      <c r="E2797" s="11"/>
      <c r="F2797" s="11"/>
      <c r="G2797" s="11"/>
      <c r="H2797" s="11"/>
      <c r="I2797" s="15"/>
    </row>
    <row r="2798" spans="1:9" ht="16.5">
      <c r="A2798" s="10" t="b">
        <v>0</v>
      </c>
      <c r="B2798" s="11" t="str">
        <f>IF(D2798&lt;&gt;"",IF(COUNTIF('USPTO TMs'!A:A,D2798)&gt;0,"Yes","No"),"")</f>
        <v/>
      </c>
      <c r="C2798" s="11"/>
      <c r="D2798" s="11"/>
      <c r="E2798" s="11"/>
      <c r="F2798" s="11"/>
      <c r="G2798" s="11"/>
      <c r="H2798" s="11"/>
      <c r="I2798" s="15"/>
    </row>
    <row r="2799" spans="1:9" ht="16.5">
      <c r="A2799" s="10" t="b">
        <v>0</v>
      </c>
      <c r="B2799" s="11" t="str">
        <f>IF(D2799&lt;&gt;"",IF(COUNTIF('USPTO TMs'!A:A,D2799)&gt;0,"Yes","No"),"")</f>
        <v/>
      </c>
      <c r="C2799" s="11"/>
      <c r="D2799" s="11"/>
      <c r="E2799" s="11"/>
      <c r="F2799" s="11"/>
      <c r="G2799" s="11"/>
      <c r="H2799" s="11"/>
      <c r="I2799" s="15"/>
    </row>
    <row r="2800" spans="1:9" ht="16.5">
      <c r="A2800" s="10" t="b">
        <v>0</v>
      </c>
      <c r="B2800" s="11" t="str">
        <f>IF(D2800&lt;&gt;"",IF(COUNTIF('USPTO TMs'!A:A,D2800)&gt;0,"Yes","No"),"")</f>
        <v/>
      </c>
      <c r="C2800" s="11"/>
      <c r="D2800" s="11"/>
      <c r="E2800" s="11"/>
      <c r="F2800" s="11"/>
      <c r="G2800" s="11"/>
      <c r="H2800" s="11"/>
      <c r="I2800" s="15"/>
    </row>
    <row r="2801" spans="1:9" ht="16.5">
      <c r="A2801" s="10" t="b">
        <v>0</v>
      </c>
      <c r="B2801" s="11" t="str">
        <f>IF(D2801&lt;&gt;"",IF(COUNTIF('USPTO TMs'!A:A,D2801)&gt;0,"Yes","No"),"")</f>
        <v/>
      </c>
      <c r="C2801" s="11"/>
      <c r="D2801" s="11"/>
      <c r="E2801" s="11"/>
      <c r="F2801" s="11"/>
      <c r="G2801" s="11"/>
      <c r="H2801" s="11"/>
      <c r="I2801" s="15"/>
    </row>
    <row r="2802" spans="1:9" ht="16.5">
      <c r="A2802" s="10" t="b">
        <v>0</v>
      </c>
      <c r="B2802" s="11" t="str">
        <f>IF(D2802&lt;&gt;"",IF(COUNTIF('USPTO TMs'!A:A,D2802)&gt;0,"Yes","No"),"")</f>
        <v/>
      </c>
      <c r="C2802" s="11"/>
      <c r="D2802" s="11"/>
      <c r="E2802" s="11"/>
      <c r="F2802" s="11"/>
      <c r="G2802" s="11"/>
      <c r="H2802" s="11"/>
      <c r="I2802" s="15"/>
    </row>
    <row r="2803" spans="1:9" ht="16.5">
      <c r="A2803" s="10" t="b">
        <v>0</v>
      </c>
      <c r="B2803" s="11" t="str">
        <f>IF(D2803&lt;&gt;"",IF(COUNTIF('USPTO TMs'!A:A,D2803)&gt;0,"Yes","No"),"")</f>
        <v/>
      </c>
      <c r="C2803" s="11"/>
      <c r="D2803" s="11"/>
      <c r="E2803" s="11"/>
      <c r="F2803" s="11"/>
      <c r="G2803" s="11"/>
      <c r="H2803" s="11"/>
      <c r="I2803" s="15"/>
    </row>
    <row r="2804" spans="1:9" ht="16.5">
      <c r="A2804" s="10" t="b">
        <v>0</v>
      </c>
      <c r="B2804" s="11" t="str">
        <f>IF(D2804&lt;&gt;"",IF(COUNTIF('USPTO TMs'!A:A,D2804)&gt;0,"Yes","No"),"")</f>
        <v/>
      </c>
      <c r="C2804" s="11"/>
      <c r="D2804" s="11"/>
      <c r="E2804" s="11"/>
      <c r="F2804" s="11"/>
      <c r="G2804" s="11"/>
      <c r="H2804" s="11"/>
      <c r="I2804" s="15"/>
    </row>
    <row r="2805" spans="1:9" ht="16.5">
      <c r="A2805" s="10" t="b">
        <v>0</v>
      </c>
      <c r="B2805" s="11" t="str">
        <f>IF(D2805&lt;&gt;"",IF(COUNTIF('USPTO TMs'!A:A,D2805)&gt;0,"Yes","No"),"")</f>
        <v/>
      </c>
      <c r="C2805" s="11"/>
      <c r="D2805" s="11"/>
      <c r="E2805" s="11"/>
      <c r="F2805" s="11"/>
      <c r="G2805" s="11"/>
      <c r="H2805" s="11"/>
      <c r="I2805" s="15"/>
    </row>
    <row r="2806" spans="1:9" ht="16.5">
      <c r="A2806" s="10" t="b">
        <v>0</v>
      </c>
      <c r="B2806" s="11" t="str">
        <f>IF(D2806&lt;&gt;"",IF(COUNTIF('USPTO TMs'!A:A,D2806)&gt;0,"Yes","No"),"")</f>
        <v/>
      </c>
      <c r="C2806" s="11"/>
      <c r="D2806" s="11"/>
      <c r="E2806" s="11"/>
      <c r="F2806" s="11"/>
      <c r="G2806" s="11"/>
      <c r="H2806" s="11"/>
      <c r="I2806" s="15"/>
    </row>
    <row r="2807" spans="1:9" ht="16.5">
      <c r="A2807" s="10" t="b">
        <v>0</v>
      </c>
      <c r="B2807" s="11" t="str">
        <f>IF(D2807&lt;&gt;"",IF(COUNTIF('USPTO TMs'!A:A,D2807)&gt;0,"Yes","No"),"")</f>
        <v/>
      </c>
      <c r="C2807" s="11"/>
      <c r="D2807" s="11"/>
      <c r="E2807" s="11"/>
      <c r="F2807" s="11"/>
      <c r="G2807" s="11"/>
      <c r="H2807" s="11"/>
      <c r="I2807" s="15"/>
    </row>
    <row r="2808" spans="1:9" ht="16.5">
      <c r="A2808" s="10" t="b">
        <v>0</v>
      </c>
      <c r="B2808" s="11" t="str">
        <f>IF(D2808&lt;&gt;"",IF(COUNTIF('USPTO TMs'!A:A,D2808)&gt;0,"Yes","No"),"")</f>
        <v/>
      </c>
      <c r="C2808" s="11"/>
      <c r="D2808" s="11"/>
      <c r="E2808" s="11"/>
      <c r="F2808" s="11"/>
      <c r="G2808" s="11"/>
      <c r="H2808" s="11"/>
      <c r="I2808" s="15"/>
    </row>
    <row r="2809" spans="1:9" ht="16.5">
      <c r="A2809" s="10" t="b">
        <v>0</v>
      </c>
      <c r="B2809" s="11" t="str">
        <f>IF(D2809&lt;&gt;"",IF(COUNTIF('USPTO TMs'!A:A,D2809)&gt;0,"Yes","No"),"")</f>
        <v/>
      </c>
      <c r="C2809" s="11"/>
      <c r="D2809" s="11"/>
      <c r="E2809" s="11"/>
      <c r="F2809" s="11"/>
      <c r="G2809" s="11"/>
      <c r="H2809" s="11"/>
      <c r="I2809" s="15"/>
    </row>
    <row r="2810" spans="1:9" ht="16.5">
      <c r="A2810" s="10" t="b">
        <v>0</v>
      </c>
      <c r="B2810" s="11" t="str">
        <f>IF(D2810&lt;&gt;"",IF(COUNTIF('USPTO TMs'!A:A,D2810)&gt;0,"Yes","No"),"")</f>
        <v/>
      </c>
      <c r="C2810" s="11"/>
      <c r="D2810" s="11"/>
      <c r="E2810" s="11"/>
      <c r="F2810" s="11"/>
      <c r="G2810" s="11"/>
      <c r="H2810" s="11"/>
      <c r="I2810" s="15"/>
    </row>
    <row r="2811" spans="1:9" ht="16.5">
      <c r="A2811" s="10" t="b">
        <v>0</v>
      </c>
      <c r="B2811" s="11" t="str">
        <f>IF(D2811&lt;&gt;"",IF(COUNTIF('USPTO TMs'!A:A,D2811)&gt;0,"Yes","No"),"")</f>
        <v/>
      </c>
      <c r="C2811" s="11"/>
      <c r="D2811" s="11"/>
      <c r="E2811" s="11"/>
      <c r="F2811" s="11"/>
      <c r="G2811" s="11"/>
      <c r="H2811" s="11"/>
      <c r="I2811" s="15"/>
    </row>
    <row r="2812" spans="1:9" ht="16.5">
      <c r="A2812" s="10" t="b">
        <v>0</v>
      </c>
      <c r="B2812" s="11" t="str">
        <f>IF(D2812&lt;&gt;"",IF(COUNTIF('USPTO TMs'!A:A,D2812)&gt;0,"Yes","No"),"")</f>
        <v/>
      </c>
      <c r="C2812" s="11"/>
      <c r="D2812" s="11"/>
      <c r="E2812" s="11"/>
      <c r="F2812" s="11"/>
      <c r="G2812" s="11"/>
      <c r="H2812" s="11"/>
      <c r="I2812" s="15"/>
    </row>
    <row r="2813" spans="1:9" ht="16.5">
      <c r="A2813" s="10" t="b">
        <v>0</v>
      </c>
      <c r="B2813" s="11" t="str">
        <f>IF(D2813&lt;&gt;"",IF(COUNTIF('USPTO TMs'!A:A,D2813)&gt;0,"Yes","No"),"")</f>
        <v/>
      </c>
      <c r="C2813" s="11"/>
      <c r="D2813" s="11"/>
      <c r="E2813" s="11"/>
      <c r="F2813" s="11"/>
      <c r="G2813" s="11"/>
      <c r="H2813" s="11"/>
      <c r="I2813" s="15"/>
    </row>
    <row r="2814" spans="1:9" ht="16.5">
      <c r="A2814" s="10" t="b">
        <v>0</v>
      </c>
      <c r="B2814" s="11" t="str">
        <f>IF(D2814&lt;&gt;"",IF(COUNTIF('USPTO TMs'!A:A,D2814)&gt;0,"Yes","No"),"")</f>
        <v/>
      </c>
      <c r="C2814" s="11"/>
      <c r="D2814" s="11"/>
      <c r="E2814" s="11"/>
      <c r="F2814" s="11"/>
      <c r="G2814" s="11"/>
      <c r="H2814" s="11"/>
      <c r="I2814" s="15"/>
    </row>
    <row r="2815" spans="1:9" ht="16.5">
      <c r="A2815" s="10" t="b">
        <v>0</v>
      </c>
      <c r="B2815" s="11" t="str">
        <f>IF(D2815&lt;&gt;"",IF(COUNTIF('USPTO TMs'!A:A,D2815)&gt;0,"Yes","No"),"")</f>
        <v/>
      </c>
      <c r="C2815" s="11"/>
      <c r="D2815" s="11"/>
      <c r="E2815" s="11"/>
      <c r="F2815" s="11"/>
      <c r="G2815" s="11"/>
      <c r="H2815" s="11"/>
      <c r="I2815" s="15"/>
    </row>
    <row r="2816" spans="1:9" ht="16.5">
      <c r="A2816" s="10" t="b">
        <v>0</v>
      </c>
      <c r="B2816" s="11" t="str">
        <f>IF(D2816&lt;&gt;"",IF(COUNTIF('USPTO TMs'!A:A,D2816)&gt;0,"Yes","No"),"")</f>
        <v/>
      </c>
      <c r="C2816" s="11"/>
      <c r="D2816" s="11"/>
      <c r="E2816" s="11"/>
      <c r="F2816" s="11"/>
      <c r="G2816" s="11"/>
      <c r="H2816" s="11"/>
      <c r="I2816" s="15"/>
    </row>
    <row r="2817" spans="1:9" ht="16.5">
      <c r="A2817" s="10" t="b">
        <v>0</v>
      </c>
      <c r="B2817" s="11" t="str">
        <f>IF(D2817&lt;&gt;"",IF(COUNTIF('USPTO TMs'!A:A,D2817)&gt;0,"Yes","No"),"")</f>
        <v/>
      </c>
      <c r="C2817" s="11"/>
      <c r="D2817" s="11"/>
      <c r="E2817" s="11"/>
      <c r="F2817" s="11"/>
      <c r="G2817" s="11"/>
      <c r="H2817" s="11"/>
      <c r="I2817" s="15"/>
    </row>
    <row r="2818" spans="1:9" ht="16.5">
      <c r="A2818" s="10" t="b">
        <v>0</v>
      </c>
      <c r="B2818" s="11" t="str">
        <f>IF(D2818&lt;&gt;"",IF(COUNTIF('USPTO TMs'!A:A,D2818)&gt;0,"Yes","No"),"")</f>
        <v/>
      </c>
      <c r="C2818" s="11"/>
      <c r="D2818" s="11"/>
      <c r="E2818" s="11"/>
      <c r="F2818" s="11"/>
      <c r="G2818" s="11"/>
      <c r="H2818" s="11"/>
      <c r="I2818" s="15"/>
    </row>
    <row r="2819" spans="1:9" ht="16.5">
      <c r="A2819" s="10" t="b">
        <v>0</v>
      </c>
      <c r="B2819" s="11" t="str">
        <f>IF(D2819&lt;&gt;"",IF(COUNTIF('USPTO TMs'!A:A,D2819)&gt;0,"Yes","No"),"")</f>
        <v/>
      </c>
      <c r="C2819" s="11"/>
      <c r="D2819" s="11"/>
      <c r="E2819" s="11"/>
      <c r="F2819" s="11"/>
      <c r="G2819" s="11"/>
      <c r="H2819" s="11"/>
      <c r="I2819" s="15"/>
    </row>
    <row r="2820" spans="1:9" ht="16.5">
      <c r="A2820" s="10" t="b">
        <v>0</v>
      </c>
      <c r="B2820" s="11" t="str">
        <f>IF(D2820&lt;&gt;"",IF(COUNTIF('USPTO TMs'!A:A,D2820)&gt;0,"Yes","No"),"")</f>
        <v/>
      </c>
      <c r="C2820" s="11"/>
      <c r="D2820" s="11"/>
      <c r="E2820" s="11"/>
      <c r="F2820" s="11"/>
      <c r="G2820" s="11"/>
      <c r="H2820" s="11"/>
      <c r="I2820" s="15"/>
    </row>
    <row r="2821" spans="1:9" ht="16.5">
      <c r="A2821" s="10" t="b">
        <v>0</v>
      </c>
      <c r="B2821" s="11" t="str">
        <f>IF(D2821&lt;&gt;"",IF(COUNTIF('USPTO TMs'!A:A,D2821)&gt;0,"Yes","No"),"")</f>
        <v/>
      </c>
      <c r="C2821" s="11"/>
      <c r="D2821" s="11"/>
      <c r="E2821" s="11"/>
      <c r="F2821" s="11"/>
      <c r="G2821" s="11"/>
      <c r="H2821" s="11"/>
      <c r="I2821" s="15"/>
    </row>
    <row r="2822" spans="1:9" ht="16.5">
      <c r="A2822" s="10" t="b">
        <v>0</v>
      </c>
      <c r="B2822" s="11" t="str">
        <f>IF(D2822&lt;&gt;"",IF(COUNTIF('USPTO TMs'!A:A,D2822)&gt;0,"Yes","No"),"")</f>
        <v/>
      </c>
      <c r="C2822" s="11"/>
      <c r="D2822" s="11"/>
      <c r="E2822" s="11"/>
      <c r="F2822" s="11"/>
      <c r="G2822" s="11"/>
      <c r="H2822" s="11"/>
      <c r="I2822" s="15"/>
    </row>
    <row r="2823" spans="1:9" ht="16.5">
      <c r="A2823" s="10" t="b">
        <v>0</v>
      </c>
      <c r="B2823" s="11" t="str">
        <f>IF(D2823&lt;&gt;"",IF(COUNTIF('USPTO TMs'!A:A,D2823)&gt;0,"Yes","No"),"")</f>
        <v/>
      </c>
      <c r="C2823" s="11"/>
      <c r="D2823" s="11"/>
      <c r="E2823" s="11"/>
      <c r="F2823" s="11"/>
      <c r="G2823" s="11"/>
      <c r="H2823" s="11"/>
      <c r="I2823" s="15"/>
    </row>
    <row r="2824" spans="1:9" ht="16.5">
      <c r="A2824" s="10" t="b">
        <v>0</v>
      </c>
      <c r="B2824" s="11" t="str">
        <f>IF(D2824&lt;&gt;"",IF(COUNTIF('USPTO TMs'!A:A,D2824)&gt;0,"Yes","No"),"")</f>
        <v/>
      </c>
      <c r="C2824" s="11"/>
      <c r="D2824" s="11"/>
      <c r="E2824" s="11"/>
      <c r="F2824" s="11"/>
      <c r="G2824" s="11"/>
      <c r="H2824" s="11"/>
      <c r="I2824" s="15"/>
    </row>
    <row r="2825" spans="1:9" ht="16.5">
      <c r="A2825" s="10" t="b">
        <v>0</v>
      </c>
      <c r="B2825" s="11" t="str">
        <f>IF(D2825&lt;&gt;"",IF(COUNTIF('USPTO TMs'!A:A,D2825)&gt;0,"Yes","No"),"")</f>
        <v/>
      </c>
      <c r="C2825" s="11"/>
      <c r="D2825" s="11"/>
      <c r="E2825" s="11"/>
      <c r="F2825" s="11"/>
      <c r="G2825" s="11"/>
      <c r="H2825" s="11"/>
      <c r="I2825" s="15"/>
    </row>
    <row r="2826" spans="1:9" ht="16.5">
      <c r="A2826" s="10" t="b">
        <v>0</v>
      </c>
      <c r="B2826" s="11" t="str">
        <f>IF(D2826&lt;&gt;"",IF(COUNTIF('USPTO TMs'!A:A,D2826)&gt;0,"Yes","No"),"")</f>
        <v/>
      </c>
      <c r="C2826" s="11"/>
      <c r="D2826" s="11"/>
      <c r="E2826" s="11"/>
      <c r="F2826" s="11"/>
      <c r="G2826" s="11"/>
      <c r="H2826" s="11"/>
      <c r="I2826" s="15"/>
    </row>
    <row r="2827" spans="1:9" ht="16.5">
      <c r="A2827" s="10" t="b">
        <v>0</v>
      </c>
      <c r="B2827" s="11" t="str">
        <f>IF(D2827&lt;&gt;"",IF(COUNTIF('USPTO TMs'!A:A,D2827)&gt;0,"Yes","No"),"")</f>
        <v/>
      </c>
      <c r="C2827" s="11"/>
      <c r="D2827" s="11"/>
      <c r="E2827" s="11"/>
      <c r="F2827" s="11"/>
      <c r="G2827" s="11"/>
      <c r="H2827" s="11"/>
      <c r="I2827" s="15"/>
    </row>
    <row r="2828" spans="1:9" ht="16.5">
      <c r="A2828" s="10" t="b">
        <v>0</v>
      </c>
      <c r="B2828" s="11" t="str">
        <f>IF(D2828&lt;&gt;"",IF(COUNTIF('USPTO TMs'!A:A,D2828)&gt;0,"Yes","No"),"")</f>
        <v/>
      </c>
      <c r="C2828" s="11"/>
      <c r="D2828" s="11"/>
      <c r="E2828" s="11"/>
      <c r="F2828" s="11"/>
      <c r="G2828" s="11"/>
      <c r="H2828" s="11"/>
      <c r="I2828" s="15"/>
    </row>
    <row r="2829" spans="1:9" ht="16.5">
      <c r="A2829" s="10" t="b">
        <v>0</v>
      </c>
      <c r="B2829" s="11" t="str">
        <f>IF(D2829&lt;&gt;"",IF(COUNTIF('USPTO TMs'!A:A,D2829)&gt;0,"Yes","No"),"")</f>
        <v/>
      </c>
      <c r="C2829" s="11"/>
      <c r="D2829" s="11"/>
      <c r="E2829" s="11"/>
      <c r="F2829" s="11"/>
      <c r="G2829" s="11"/>
      <c r="H2829" s="11"/>
      <c r="I2829" s="15"/>
    </row>
    <row r="2830" spans="1:9" ht="16.5">
      <c r="A2830" s="10" t="b">
        <v>0</v>
      </c>
      <c r="B2830" s="11" t="str">
        <f>IF(D2830&lt;&gt;"",IF(COUNTIF('USPTO TMs'!A:A,D2830)&gt;0,"Yes","No"),"")</f>
        <v/>
      </c>
      <c r="C2830" s="11"/>
      <c r="D2830" s="11"/>
      <c r="E2830" s="11"/>
      <c r="F2830" s="11"/>
      <c r="G2830" s="11"/>
      <c r="H2830" s="11"/>
      <c r="I2830" s="15"/>
    </row>
    <row r="2831" spans="1:9" ht="16.5">
      <c r="A2831" s="10" t="b">
        <v>0</v>
      </c>
      <c r="B2831" s="11" t="str">
        <f>IF(D2831&lt;&gt;"",IF(COUNTIF('USPTO TMs'!A:A,D2831)&gt;0,"Yes","No"),"")</f>
        <v/>
      </c>
      <c r="C2831" s="11"/>
      <c r="D2831" s="11"/>
      <c r="E2831" s="11"/>
      <c r="F2831" s="11"/>
      <c r="G2831" s="11"/>
      <c r="H2831" s="11"/>
      <c r="I2831" s="15"/>
    </row>
    <row r="2832" spans="1:9" ht="16.5">
      <c r="A2832" s="10" t="b">
        <v>0</v>
      </c>
      <c r="B2832" s="11" t="str">
        <f>IF(D2832&lt;&gt;"",IF(COUNTIF('USPTO TMs'!A:A,D2832)&gt;0,"Yes","No"),"")</f>
        <v/>
      </c>
      <c r="C2832" s="11"/>
      <c r="D2832" s="11"/>
      <c r="E2832" s="11"/>
      <c r="F2832" s="11"/>
      <c r="G2832" s="11"/>
      <c r="H2832" s="11"/>
      <c r="I2832" s="15"/>
    </row>
    <row r="2833" spans="1:9" ht="16.5">
      <c r="A2833" s="10" t="b">
        <v>0</v>
      </c>
      <c r="B2833" s="11" t="str">
        <f>IF(D2833&lt;&gt;"",IF(COUNTIF('USPTO TMs'!A:A,D2833)&gt;0,"Yes","No"),"")</f>
        <v/>
      </c>
      <c r="C2833" s="11"/>
      <c r="D2833" s="11"/>
      <c r="E2833" s="11"/>
      <c r="F2833" s="11"/>
      <c r="G2833" s="11"/>
      <c r="H2833" s="11"/>
      <c r="I2833" s="15"/>
    </row>
    <row r="2834" spans="1:9" ht="16.5">
      <c r="A2834" s="10" t="b">
        <v>0</v>
      </c>
      <c r="B2834" s="11" t="str">
        <f>IF(D2834&lt;&gt;"",IF(COUNTIF('USPTO TMs'!A:A,D2834)&gt;0,"Yes","No"),"")</f>
        <v/>
      </c>
      <c r="C2834" s="11"/>
      <c r="D2834" s="11"/>
      <c r="E2834" s="11"/>
      <c r="F2834" s="11"/>
      <c r="G2834" s="11"/>
      <c r="H2834" s="11"/>
      <c r="I2834" s="15"/>
    </row>
    <row r="2835" spans="1:9" ht="16.5">
      <c r="A2835" s="10" t="b">
        <v>0</v>
      </c>
      <c r="B2835" s="11" t="str">
        <f>IF(D2835&lt;&gt;"",IF(COUNTIF('USPTO TMs'!A:A,D2835)&gt;0,"Yes","No"),"")</f>
        <v/>
      </c>
      <c r="C2835" s="11"/>
      <c r="D2835" s="11"/>
      <c r="E2835" s="11"/>
      <c r="F2835" s="11"/>
      <c r="G2835" s="11"/>
      <c r="H2835" s="11"/>
      <c r="I2835" s="15"/>
    </row>
    <row r="2836" spans="1:9" ht="16.5">
      <c r="A2836" s="10" t="b">
        <v>0</v>
      </c>
      <c r="B2836" s="11" t="str">
        <f>IF(D2836&lt;&gt;"",IF(COUNTIF('USPTO TMs'!A:A,D2836)&gt;0,"Yes","No"),"")</f>
        <v/>
      </c>
      <c r="C2836" s="11"/>
      <c r="D2836" s="11"/>
      <c r="E2836" s="11"/>
      <c r="F2836" s="11"/>
      <c r="G2836" s="11"/>
      <c r="H2836" s="11"/>
      <c r="I2836" s="15"/>
    </row>
    <row r="2837" spans="1:9" ht="16.5">
      <c r="A2837" s="10" t="b">
        <v>0</v>
      </c>
      <c r="B2837" s="11" t="str">
        <f>IF(D2837&lt;&gt;"",IF(COUNTIF('USPTO TMs'!A:A,D2837)&gt;0,"Yes","No"),"")</f>
        <v/>
      </c>
      <c r="C2837" s="11"/>
      <c r="D2837" s="11"/>
      <c r="E2837" s="11"/>
      <c r="F2837" s="11"/>
      <c r="G2837" s="11"/>
      <c r="H2837" s="11"/>
      <c r="I2837" s="15"/>
    </row>
    <row r="2838" spans="1:9" ht="16.5">
      <c r="A2838" s="10" t="b">
        <v>0</v>
      </c>
      <c r="B2838" s="11" t="str">
        <f>IF(D2838&lt;&gt;"",IF(COUNTIF('USPTO TMs'!A:A,D2838)&gt;0,"Yes","No"),"")</f>
        <v/>
      </c>
      <c r="C2838" s="11"/>
      <c r="D2838" s="11"/>
      <c r="E2838" s="11"/>
      <c r="F2838" s="11"/>
      <c r="G2838" s="11"/>
      <c r="H2838" s="11"/>
      <c r="I2838" s="15"/>
    </row>
    <row r="2839" spans="1:9" ht="16.5">
      <c r="A2839" s="10" t="b">
        <v>0</v>
      </c>
      <c r="B2839" s="11" t="str">
        <f>IF(D2839&lt;&gt;"",IF(COUNTIF('USPTO TMs'!A:A,D2839)&gt;0,"Yes","No"),"")</f>
        <v/>
      </c>
      <c r="C2839" s="11"/>
      <c r="D2839" s="11"/>
      <c r="E2839" s="11"/>
      <c r="F2839" s="11"/>
      <c r="G2839" s="11"/>
      <c r="H2839" s="11"/>
      <c r="I2839" s="15"/>
    </row>
    <row r="2840" spans="1:9" ht="16.5">
      <c r="A2840" s="10" t="b">
        <v>0</v>
      </c>
      <c r="B2840" s="11" t="str">
        <f>IF(D2840&lt;&gt;"",IF(COUNTIF('USPTO TMs'!A:A,D2840)&gt;0,"Yes","No"),"")</f>
        <v/>
      </c>
      <c r="C2840" s="11"/>
      <c r="D2840" s="11"/>
      <c r="E2840" s="11"/>
      <c r="F2840" s="11"/>
      <c r="G2840" s="11"/>
      <c r="H2840" s="11"/>
      <c r="I2840" s="15"/>
    </row>
    <row r="2841" spans="1:9" ht="16.5">
      <c r="A2841" s="10" t="b">
        <v>0</v>
      </c>
      <c r="B2841" s="11" t="str">
        <f>IF(D2841&lt;&gt;"",IF(COUNTIF('USPTO TMs'!A:A,D2841)&gt;0,"Yes","No"),"")</f>
        <v/>
      </c>
      <c r="C2841" s="11"/>
      <c r="D2841" s="11"/>
      <c r="E2841" s="11"/>
      <c r="F2841" s="11"/>
      <c r="G2841" s="11"/>
      <c r="H2841" s="11"/>
      <c r="I2841" s="15"/>
    </row>
    <row r="2842" spans="1:9" ht="16.5">
      <c r="A2842" s="10" t="b">
        <v>0</v>
      </c>
      <c r="B2842" s="11" t="str">
        <f>IF(D2842&lt;&gt;"",IF(COUNTIF('USPTO TMs'!A:A,D2842)&gt;0,"Yes","No"),"")</f>
        <v/>
      </c>
      <c r="C2842" s="11"/>
      <c r="D2842" s="11"/>
      <c r="E2842" s="11"/>
      <c r="F2842" s="11"/>
      <c r="G2842" s="11"/>
      <c r="H2842" s="11"/>
      <c r="I2842" s="15"/>
    </row>
    <row r="2843" spans="1:9" ht="16.5">
      <c r="A2843" s="10" t="b">
        <v>0</v>
      </c>
      <c r="B2843" s="11" t="str">
        <f>IF(D2843&lt;&gt;"",IF(COUNTIF('USPTO TMs'!A:A,D2843)&gt;0,"Yes","No"),"")</f>
        <v/>
      </c>
      <c r="C2843" s="11"/>
      <c r="D2843" s="11"/>
      <c r="E2843" s="11"/>
      <c r="F2843" s="11"/>
      <c r="G2843" s="11"/>
      <c r="H2843" s="11"/>
      <c r="I2843" s="15"/>
    </row>
    <row r="2844" spans="1:9" ht="16.5">
      <c r="A2844" s="10" t="b">
        <v>0</v>
      </c>
      <c r="B2844" s="11" t="str">
        <f>IF(D2844&lt;&gt;"",IF(COUNTIF('USPTO TMs'!A:A,D2844)&gt;0,"Yes","No"),"")</f>
        <v/>
      </c>
      <c r="C2844" s="11"/>
      <c r="D2844" s="11"/>
      <c r="E2844" s="11"/>
      <c r="F2844" s="11"/>
      <c r="G2844" s="11"/>
      <c r="H2844" s="11"/>
      <c r="I2844" s="15"/>
    </row>
    <row r="2845" spans="1:9" ht="16.5">
      <c r="A2845" s="10" t="b">
        <v>0</v>
      </c>
      <c r="B2845" s="11" t="str">
        <f>IF(D2845&lt;&gt;"",IF(COUNTIF('USPTO TMs'!A:A,D2845)&gt;0,"Yes","No"),"")</f>
        <v/>
      </c>
      <c r="C2845" s="11"/>
      <c r="D2845" s="11"/>
      <c r="E2845" s="11"/>
      <c r="F2845" s="11"/>
      <c r="G2845" s="11"/>
      <c r="H2845" s="11"/>
      <c r="I2845" s="15"/>
    </row>
    <row r="2846" spans="1:9" ht="16.5">
      <c r="A2846" s="10" t="b">
        <v>0</v>
      </c>
      <c r="B2846" s="11" t="str">
        <f>IF(D2846&lt;&gt;"",IF(COUNTIF('USPTO TMs'!A:A,D2846)&gt;0,"Yes","No"),"")</f>
        <v/>
      </c>
      <c r="C2846" s="11"/>
      <c r="D2846" s="11"/>
      <c r="E2846" s="11"/>
      <c r="F2846" s="11"/>
      <c r="G2846" s="11"/>
      <c r="H2846" s="11"/>
      <c r="I2846" s="15"/>
    </row>
    <row r="2847" spans="1:9" ht="16.5">
      <c r="A2847" s="10" t="b">
        <v>0</v>
      </c>
      <c r="B2847" s="11" t="str">
        <f>IF(D2847&lt;&gt;"",IF(COUNTIF('USPTO TMs'!A:A,D2847)&gt;0,"Yes","No"),"")</f>
        <v/>
      </c>
      <c r="C2847" s="11"/>
      <c r="D2847" s="11"/>
      <c r="E2847" s="11"/>
      <c r="F2847" s="11"/>
      <c r="G2847" s="11"/>
      <c r="H2847" s="11"/>
      <c r="I2847" s="15"/>
    </row>
    <row r="2848" spans="1:9" ht="16.5">
      <c r="A2848" s="10" t="b">
        <v>0</v>
      </c>
      <c r="B2848" s="11" t="str">
        <f>IF(D2848&lt;&gt;"",IF(COUNTIF('USPTO TMs'!A:A,D2848)&gt;0,"Yes","No"),"")</f>
        <v/>
      </c>
      <c r="C2848" s="11"/>
      <c r="D2848" s="11"/>
      <c r="E2848" s="11"/>
      <c r="F2848" s="11"/>
      <c r="G2848" s="11"/>
      <c r="H2848" s="11"/>
      <c r="I2848" s="15"/>
    </row>
    <row r="2849" spans="1:9" ht="16.5">
      <c r="A2849" s="10" t="b">
        <v>0</v>
      </c>
      <c r="B2849" s="11" t="str">
        <f>IF(D2849&lt;&gt;"",IF(COUNTIF('USPTO TMs'!A:A,D2849)&gt;0,"Yes","No"),"")</f>
        <v/>
      </c>
      <c r="C2849" s="11"/>
      <c r="D2849" s="11"/>
      <c r="E2849" s="11"/>
      <c r="F2849" s="11"/>
      <c r="G2849" s="11"/>
      <c r="H2849" s="11"/>
      <c r="I2849" s="15"/>
    </row>
    <row r="2850" spans="1:9" ht="16.5">
      <c r="A2850" s="10" t="b">
        <v>0</v>
      </c>
      <c r="B2850" s="11" t="str">
        <f>IF(D2850&lt;&gt;"",IF(COUNTIF('USPTO TMs'!A:A,D2850)&gt;0,"Yes","No"),"")</f>
        <v/>
      </c>
      <c r="C2850" s="11"/>
      <c r="D2850" s="11"/>
      <c r="E2850" s="11"/>
      <c r="F2850" s="11"/>
      <c r="G2850" s="11"/>
      <c r="H2850" s="11"/>
      <c r="I2850" s="15"/>
    </row>
    <row r="2851" spans="1:9" ht="16.5">
      <c r="A2851" s="10" t="b">
        <v>0</v>
      </c>
      <c r="B2851" s="11" t="str">
        <f>IF(D2851&lt;&gt;"",IF(COUNTIF('USPTO TMs'!A:A,D2851)&gt;0,"Yes","No"),"")</f>
        <v/>
      </c>
      <c r="C2851" s="11"/>
      <c r="D2851" s="11"/>
      <c r="E2851" s="11"/>
      <c r="F2851" s="11"/>
      <c r="G2851" s="11"/>
      <c r="H2851" s="11"/>
      <c r="I2851" s="15"/>
    </row>
    <row r="2852" spans="1:9" ht="16.5">
      <c r="A2852" s="10" t="b">
        <v>0</v>
      </c>
      <c r="B2852" s="11" t="str">
        <f>IF(D2852&lt;&gt;"",IF(COUNTIF('USPTO TMs'!A:A,D2852)&gt;0,"Yes","No"),"")</f>
        <v/>
      </c>
      <c r="C2852" s="11"/>
      <c r="D2852" s="11"/>
      <c r="E2852" s="11"/>
      <c r="F2852" s="11"/>
      <c r="G2852" s="11"/>
      <c r="H2852" s="11"/>
      <c r="I2852" s="15"/>
    </row>
    <row r="2853" spans="1:9" ht="16.5">
      <c r="A2853" s="10" t="b">
        <v>0</v>
      </c>
      <c r="B2853" s="11" t="str">
        <f>IF(D2853&lt;&gt;"",IF(COUNTIF('USPTO TMs'!A:A,D2853)&gt;0,"Yes","No"),"")</f>
        <v/>
      </c>
      <c r="C2853" s="11"/>
      <c r="D2853" s="11"/>
      <c r="E2853" s="11"/>
      <c r="F2853" s="11"/>
      <c r="G2853" s="11"/>
      <c r="H2853" s="11"/>
      <c r="I2853" s="15"/>
    </row>
    <row r="2854" spans="1:9" ht="16.5">
      <c r="A2854" s="10" t="b">
        <v>0</v>
      </c>
      <c r="B2854" s="11" t="str">
        <f>IF(D2854&lt;&gt;"",IF(COUNTIF('USPTO TMs'!A:A,D2854)&gt;0,"Yes","No"),"")</f>
        <v/>
      </c>
      <c r="C2854" s="11"/>
      <c r="D2854" s="11"/>
      <c r="E2854" s="11"/>
      <c r="F2854" s="11"/>
      <c r="G2854" s="11"/>
      <c r="H2854" s="11"/>
      <c r="I2854" s="15"/>
    </row>
    <row r="2855" spans="1:9" ht="16.5">
      <c r="A2855" s="10" t="b">
        <v>0</v>
      </c>
      <c r="B2855" s="11" t="str">
        <f>IF(D2855&lt;&gt;"",IF(COUNTIF('USPTO TMs'!A:A,D2855)&gt;0,"Yes","No"),"")</f>
        <v/>
      </c>
      <c r="C2855" s="11"/>
      <c r="D2855" s="11"/>
      <c r="E2855" s="11"/>
      <c r="F2855" s="11"/>
      <c r="G2855" s="11"/>
      <c r="H2855" s="11"/>
      <c r="I2855" s="15"/>
    </row>
    <row r="2856" spans="1:9" ht="16.5">
      <c r="A2856" s="10" t="b">
        <v>0</v>
      </c>
      <c r="B2856" s="11" t="str">
        <f>IF(D2856&lt;&gt;"",IF(COUNTIF('USPTO TMs'!A:A,D2856)&gt;0,"Yes","No"),"")</f>
        <v/>
      </c>
      <c r="C2856" s="11"/>
      <c r="D2856" s="11"/>
      <c r="E2856" s="11"/>
      <c r="F2856" s="11"/>
      <c r="G2856" s="11"/>
      <c r="H2856" s="11"/>
      <c r="I2856" s="15"/>
    </row>
    <row r="2857" spans="1:9" ht="16.5">
      <c r="A2857" s="10" t="b">
        <v>0</v>
      </c>
      <c r="B2857" s="11" t="str">
        <f>IF(D2857&lt;&gt;"",IF(COUNTIF('USPTO TMs'!A:A,D2857)&gt;0,"Yes","No"),"")</f>
        <v/>
      </c>
      <c r="C2857" s="11"/>
      <c r="D2857" s="11"/>
      <c r="E2857" s="11"/>
      <c r="F2857" s="11"/>
      <c r="G2857" s="11"/>
      <c r="H2857" s="11"/>
      <c r="I2857" s="15"/>
    </row>
    <row r="2858" spans="1:9" ht="16.5">
      <c r="A2858" s="10" t="b">
        <v>0</v>
      </c>
      <c r="B2858" s="11" t="str">
        <f>IF(D2858&lt;&gt;"",IF(COUNTIF('USPTO TMs'!A:A,D2858)&gt;0,"Yes","No"),"")</f>
        <v/>
      </c>
      <c r="C2858" s="11"/>
      <c r="D2858" s="11"/>
      <c r="E2858" s="11"/>
      <c r="F2858" s="11"/>
      <c r="G2858" s="11"/>
      <c r="H2858" s="11"/>
      <c r="I2858" s="15"/>
    </row>
    <row r="2859" spans="1:9" ht="16.5">
      <c r="A2859" s="10" t="b">
        <v>0</v>
      </c>
      <c r="B2859" s="11" t="str">
        <f>IF(D2859&lt;&gt;"",IF(COUNTIF('USPTO TMs'!A:A,D2859)&gt;0,"Yes","No"),"")</f>
        <v/>
      </c>
      <c r="C2859" s="11"/>
      <c r="D2859" s="11"/>
      <c r="E2859" s="11"/>
      <c r="F2859" s="11"/>
      <c r="G2859" s="11"/>
      <c r="H2859" s="11"/>
      <c r="I2859" s="15"/>
    </row>
    <row r="2860" spans="1:9" ht="16.5">
      <c r="A2860" s="10" t="b">
        <v>0</v>
      </c>
      <c r="B2860" s="11" t="str">
        <f>IF(D2860&lt;&gt;"",IF(COUNTIF('USPTO TMs'!A:A,D2860)&gt;0,"Yes","No"),"")</f>
        <v/>
      </c>
      <c r="C2860" s="11"/>
      <c r="D2860" s="11"/>
      <c r="E2860" s="11"/>
      <c r="F2860" s="11"/>
      <c r="G2860" s="11"/>
      <c r="H2860" s="11"/>
      <c r="I2860" s="15"/>
    </row>
    <row r="2861" spans="1:9" ht="16.5">
      <c r="A2861" s="10" t="b">
        <v>0</v>
      </c>
      <c r="B2861" s="11" t="str">
        <f>IF(D2861&lt;&gt;"",IF(COUNTIF('USPTO TMs'!A:A,D2861)&gt;0,"Yes","No"),"")</f>
        <v/>
      </c>
      <c r="C2861" s="11"/>
      <c r="D2861" s="11"/>
      <c r="E2861" s="11"/>
      <c r="F2861" s="11"/>
      <c r="G2861" s="11"/>
      <c r="H2861" s="11"/>
      <c r="I2861" s="15"/>
    </row>
    <row r="2862" spans="1:9" ht="16.5">
      <c r="A2862" s="10" t="b">
        <v>0</v>
      </c>
      <c r="B2862" s="11" t="str">
        <f>IF(D2862&lt;&gt;"",IF(COUNTIF('USPTO TMs'!A:A,D2862)&gt;0,"Yes","No"),"")</f>
        <v/>
      </c>
      <c r="C2862" s="11"/>
      <c r="D2862" s="11"/>
      <c r="E2862" s="11"/>
      <c r="F2862" s="11"/>
      <c r="G2862" s="11"/>
      <c r="H2862" s="11"/>
      <c r="I2862" s="15"/>
    </row>
    <row r="2863" spans="1:9" ht="16.5">
      <c r="A2863" s="10" t="b">
        <v>0</v>
      </c>
      <c r="B2863" s="11" t="str">
        <f>IF(D2863&lt;&gt;"",IF(COUNTIF('USPTO TMs'!A:A,D2863)&gt;0,"Yes","No"),"")</f>
        <v/>
      </c>
      <c r="C2863" s="11"/>
      <c r="D2863" s="11"/>
      <c r="E2863" s="11"/>
      <c r="F2863" s="11"/>
      <c r="G2863" s="11"/>
      <c r="H2863" s="11"/>
      <c r="I2863" s="15"/>
    </row>
    <row r="2864" spans="1:9" ht="16.5">
      <c r="A2864" s="10" t="b">
        <v>0</v>
      </c>
      <c r="B2864" s="11" t="str">
        <f>IF(D2864&lt;&gt;"",IF(COUNTIF('USPTO TMs'!A:A,D2864)&gt;0,"Yes","No"),"")</f>
        <v/>
      </c>
      <c r="C2864" s="11"/>
      <c r="D2864" s="11"/>
      <c r="E2864" s="11"/>
      <c r="F2864" s="11"/>
      <c r="G2864" s="11"/>
      <c r="H2864" s="11"/>
      <c r="I2864" s="15"/>
    </row>
    <row r="2865" spans="1:9" ht="16.5">
      <c r="A2865" s="10" t="b">
        <v>0</v>
      </c>
      <c r="B2865" s="11" t="str">
        <f>IF(D2865&lt;&gt;"",IF(COUNTIF('USPTO TMs'!A:A,D2865)&gt;0,"Yes","No"),"")</f>
        <v/>
      </c>
      <c r="C2865" s="11"/>
      <c r="D2865" s="11"/>
      <c r="E2865" s="11"/>
      <c r="F2865" s="11"/>
      <c r="G2865" s="11"/>
      <c r="H2865" s="11"/>
      <c r="I2865" s="15"/>
    </row>
    <row r="2866" spans="1:9" ht="16.5">
      <c r="A2866" s="10" t="b">
        <v>0</v>
      </c>
      <c r="B2866" s="11" t="str">
        <f>IF(D2866&lt;&gt;"",IF(COUNTIF('USPTO TMs'!A:A,D2866)&gt;0,"Yes","No"),"")</f>
        <v/>
      </c>
      <c r="C2866" s="11"/>
      <c r="D2866" s="11"/>
      <c r="E2866" s="11"/>
      <c r="F2866" s="11"/>
      <c r="G2866" s="11"/>
      <c r="H2866" s="11"/>
      <c r="I2866" s="15"/>
    </row>
    <row r="2867" spans="1:9" ht="16.5">
      <c r="A2867" s="10" t="b">
        <v>0</v>
      </c>
      <c r="B2867" s="11" t="str">
        <f>IF(D2867&lt;&gt;"",IF(COUNTIF('USPTO TMs'!A:A,D2867)&gt;0,"Yes","No"),"")</f>
        <v/>
      </c>
      <c r="C2867" s="11"/>
      <c r="D2867" s="11"/>
      <c r="E2867" s="11"/>
      <c r="F2867" s="11"/>
      <c r="G2867" s="11"/>
      <c r="H2867" s="11"/>
      <c r="I2867" s="15"/>
    </row>
    <row r="2868" spans="1:9" ht="16.5">
      <c r="A2868" s="10" t="b">
        <v>0</v>
      </c>
      <c r="B2868" s="11" t="str">
        <f>IF(D2868&lt;&gt;"",IF(COUNTIF('USPTO TMs'!A:A,D2868)&gt;0,"Yes","No"),"")</f>
        <v/>
      </c>
      <c r="C2868" s="11"/>
      <c r="D2868" s="11"/>
      <c r="E2868" s="11"/>
      <c r="F2868" s="11"/>
      <c r="G2868" s="11"/>
      <c r="H2868" s="11"/>
      <c r="I2868" s="15"/>
    </row>
    <row r="2869" spans="1:9" ht="16.5">
      <c r="A2869" s="10" t="b">
        <v>0</v>
      </c>
      <c r="B2869" s="11" t="str">
        <f>IF(D2869&lt;&gt;"",IF(COUNTIF('USPTO TMs'!A:A,D2869)&gt;0,"Yes","No"),"")</f>
        <v/>
      </c>
      <c r="C2869" s="11"/>
      <c r="D2869" s="11"/>
      <c r="E2869" s="11"/>
      <c r="F2869" s="11"/>
      <c r="G2869" s="11"/>
      <c r="H2869" s="11"/>
      <c r="I2869" s="15"/>
    </row>
    <row r="2870" spans="1:9" ht="16.5">
      <c r="A2870" s="10" t="b">
        <v>0</v>
      </c>
      <c r="B2870" s="11" t="str">
        <f>IF(D2870&lt;&gt;"",IF(COUNTIF('USPTO TMs'!A:A,D2870)&gt;0,"Yes","No"),"")</f>
        <v/>
      </c>
      <c r="C2870" s="11"/>
      <c r="D2870" s="11"/>
      <c r="E2870" s="11"/>
      <c r="F2870" s="11"/>
      <c r="G2870" s="11"/>
      <c r="H2870" s="11"/>
      <c r="I2870" s="15"/>
    </row>
    <row r="2871" spans="1:9" ht="16.5">
      <c r="A2871" s="10" t="b">
        <v>0</v>
      </c>
      <c r="B2871" s="11" t="str">
        <f>IF(D2871&lt;&gt;"",IF(COUNTIF('USPTO TMs'!A:A,D2871)&gt;0,"Yes","No"),"")</f>
        <v/>
      </c>
      <c r="C2871" s="11"/>
      <c r="D2871" s="11"/>
      <c r="E2871" s="11"/>
      <c r="F2871" s="11"/>
      <c r="G2871" s="11"/>
      <c r="H2871" s="11"/>
      <c r="I2871" s="15"/>
    </row>
    <row r="2872" spans="1:9" ht="16.5">
      <c r="A2872" s="10" t="b">
        <v>0</v>
      </c>
      <c r="B2872" s="11" t="str">
        <f>IF(D2872&lt;&gt;"",IF(COUNTIF('USPTO TMs'!A:A,D2872)&gt;0,"Yes","No"),"")</f>
        <v/>
      </c>
      <c r="C2872" s="11"/>
      <c r="D2872" s="11"/>
      <c r="E2872" s="11"/>
      <c r="F2872" s="11"/>
      <c r="G2872" s="11"/>
      <c r="H2872" s="11"/>
      <c r="I2872" s="15"/>
    </row>
    <row r="2873" spans="1:9" ht="16.5">
      <c r="A2873" s="10" t="b">
        <v>0</v>
      </c>
      <c r="B2873" s="11" t="str">
        <f>IF(D2873&lt;&gt;"",IF(COUNTIF('USPTO TMs'!A:A,D2873)&gt;0,"Yes","No"),"")</f>
        <v/>
      </c>
      <c r="C2873" s="11"/>
      <c r="D2873" s="11"/>
      <c r="E2873" s="11"/>
      <c r="F2873" s="11"/>
      <c r="G2873" s="11"/>
      <c r="H2873" s="11"/>
      <c r="I2873" s="15"/>
    </row>
    <row r="2874" spans="1:9" ht="16.5">
      <c r="A2874" s="10" t="b">
        <v>0</v>
      </c>
      <c r="B2874" s="11" t="str">
        <f>IF(D2874&lt;&gt;"",IF(COUNTIF('USPTO TMs'!A:A,D2874)&gt;0,"Yes","No"),"")</f>
        <v/>
      </c>
      <c r="C2874" s="11"/>
      <c r="D2874" s="11"/>
      <c r="E2874" s="11"/>
      <c r="F2874" s="11"/>
      <c r="G2874" s="11"/>
      <c r="H2874" s="11"/>
      <c r="I2874" s="15"/>
    </row>
    <row r="2875" spans="1:9" ht="16.5">
      <c r="A2875" s="10" t="b">
        <v>0</v>
      </c>
      <c r="B2875" s="11" t="str">
        <f>IF(D2875&lt;&gt;"",IF(COUNTIF('USPTO TMs'!A:A,D2875)&gt;0,"Yes","No"),"")</f>
        <v/>
      </c>
      <c r="C2875" s="11"/>
      <c r="D2875" s="11"/>
      <c r="E2875" s="11"/>
      <c r="F2875" s="11"/>
      <c r="G2875" s="11"/>
      <c r="H2875" s="11"/>
      <c r="I2875" s="15"/>
    </row>
    <row r="2876" spans="1:9" ht="16.5">
      <c r="A2876" s="10" t="b">
        <v>0</v>
      </c>
      <c r="B2876" s="11" t="str">
        <f>IF(D2876&lt;&gt;"",IF(COUNTIF('USPTO TMs'!A:A,D2876)&gt;0,"Yes","No"),"")</f>
        <v/>
      </c>
      <c r="C2876" s="11"/>
      <c r="D2876" s="11"/>
      <c r="E2876" s="11"/>
      <c r="F2876" s="11"/>
      <c r="G2876" s="11"/>
      <c r="H2876" s="11"/>
      <c r="I2876" s="15"/>
    </row>
    <row r="2877" spans="1:9" ht="16.5">
      <c r="A2877" s="10" t="b">
        <v>0</v>
      </c>
      <c r="B2877" s="11" t="str">
        <f>IF(D2877&lt;&gt;"",IF(COUNTIF('USPTO TMs'!A:A,D2877)&gt;0,"Yes","No"),"")</f>
        <v/>
      </c>
      <c r="C2877" s="11"/>
      <c r="D2877" s="11"/>
      <c r="E2877" s="11"/>
      <c r="F2877" s="11"/>
      <c r="G2877" s="11"/>
      <c r="H2877" s="11"/>
      <c r="I2877" s="15"/>
    </row>
    <row r="2878" spans="1:9" ht="16.5">
      <c r="A2878" s="10" t="b">
        <v>0</v>
      </c>
      <c r="B2878" s="11" t="str">
        <f>IF(D2878&lt;&gt;"",IF(COUNTIF('USPTO TMs'!A:A,D2878)&gt;0,"Yes","No"),"")</f>
        <v/>
      </c>
      <c r="C2878" s="11"/>
      <c r="D2878" s="11"/>
      <c r="E2878" s="11"/>
      <c r="F2878" s="11"/>
      <c r="G2878" s="11"/>
      <c r="H2878" s="11"/>
      <c r="I2878" s="15"/>
    </row>
    <row r="2879" spans="1:9" ht="16.5">
      <c r="A2879" s="10" t="b">
        <v>0</v>
      </c>
      <c r="B2879" s="11" t="str">
        <f>IF(D2879&lt;&gt;"",IF(COUNTIF('USPTO TMs'!A:A,D2879)&gt;0,"Yes","No"),"")</f>
        <v/>
      </c>
      <c r="C2879" s="11"/>
      <c r="D2879" s="11"/>
      <c r="E2879" s="11"/>
      <c r="F2879" s="11"/>
      <c r="G2879" s="11"/>
      <c r="H2879" s="11"/>
      <c r="I2879" s="15"/>
    </row>
    <row r="2880" spans="1:9" ht="16.5">
      <c r="A2880" s="10" t="b">
        <v>0</v>
      </c>
      <c r="B2880" s="11" t="str">
        <f>IF(D2880&lt;&gt;"",IF(COUNTIF('USPTO TMs'!A:A,D2880)&gt;0,"Yes","No"),"")</f>
        <v/>
      </c>
      <c r="C2880" s="11"/>
      <c r="D2880" s="11"/>
      <c r="E2880" s="11"/>
      <c r="F2880" s="11"/>
      <c r="G2880" s="11"/>
      <c r="H2880" s="11"/>
      <c r="I2880" s="15"/>
    </row>
    <row r="2881" spans="1:9" ht="16.5">
      <c r="A2881" s="10" t="b">
        <v>0</v>
      </c>
      <c r="B2881" s="11" t="str">
        <f>IF(D2881&lt;&gt;"",IF(COUNTIF('USPTO TMs'!A:A,D2881)&gt;0,"Yes","No"),"")</f>
        <v/>
      </c>
      <c r="C2881" s="11"/>
      <c r="D2881" s="11"/>
      <c r="E2881" s="11"/>
      <c r="F2881" s="11"/>
      <c r="G2881" s="11"/>
      <c r="H2881" s="11"/>
      <c r="I2881" s="15"/>
    </row>
    <row r="2882" spans="1:9" ht="16.5">
      <c r="A2882" s="10" t="b">
        <v>0</v>
      </c>
      <c r="B2882" s="11" t="str">
        <f>IF(D2882&lt;&gt;"",IF(COUNTIF('USPTO TMs'!A:A,D2882)&gt;0,"Yes","No"),"")</f>
        <v/>
      </c>
      <c r="C2882" s="11"/>
      <c r="D2882" s="11"/>
      <c r="E2882" s="11"/>
      <c r="F2882" s="11"/>
      <c r="G2882" s="11"/>
      <c r="H2882" s="11"/>
      <c r="I2882" s="15"/>
    </row>
    <row r="2883" spans="1:9" ht="16.5">
      <c r="A2883" s="10" t="b">
        <v>0</v>
      </c>
      <c r="B2883" s="11" t="str">
        <f>IF(D2883&lt;&gt;"",IF(COUNTIF('USPTO TMs'!A:A,D2883)&gt;0,"Yes","No"),"")</f>
        <v/>
      </c>
      <c r="C2883" s="11"/>
      <c r="D2883" s="11"/>
      <c r="E2883" s="11"/>
      <c r="F2883" s="11"/>
      <c r="G2883" s="11"/>
      <c r="H2883" s="11"/>
      <c r="I2883" s="15"/>
    </row>
    <row r="2884" spans="1:9" ht="16.5">
      <c r="A2884" s="10" t="b">
        <v>0</v>
      </c>
      <c r="B2884" s="11" t="str">
        <f>IF(D2884&lt;&gt;"",IF(COUNTIF('USPTO TMs'!A:A,D2884)&gt;0,"Yes","No"),"")</f>
        <v/>
      </c>
      <c r="C2884" s="11"/>
      <c r="D2884" s="11"/>
      <c r="E2884" s="11"/>
      <c r="F2884" s="11"/>
      <c r="G2884" s="11"/>
      <c r="H2884" s="11"/>
      <c r="I2884" s="15"/>
    </row>
    <row r="2885" spans="1:9" ht="16.5">
      <c r="A2885" s="10" t="b">
        <v>0</v>
      </c>
      <c r="B2885" s="11" t="str">
        <f>IF(D2885&lt;&gt;"",IF(COUNTIF('USPTO TMs'!A:A,D2885)&gt;0,"Yes","No"),"")</f>
        <v/>
      </c>
      <c r="C2885" s="11"/>
      <c r="D2885" s="11"/>
      <c r="E2885" s="11"/>
      <c r="F2885" s="11"/>
      <c r="G2885" s="11"/>
      <c r="H2885" s="11"/>
      <c r="I2885" s="15"/>
    </row>
    <row r="2886" spans="1:9" ht="16.5">
      <c r="A2886" s="10" t="b">
        <v>0</v>
      </c>
      <c r="B2886" s="11" t="str">
        <f>IF(D2886&lt;&gt;"",IF(COUNTIF('USPTO TMs'!A:A,D2886)&gt;0,"Yes","No"),"")</f>
        <v/>
      </c>
      <c r="C2886" s="11"/>
      <c r="D2886" s="11"/>
      <c r="E2886" s="11"/>
      <c r="F2886" s="11"/>
      <c r="G2886" s="11"/>
      <c r="H2886" s="11"/>
      <c r="I2886" s="15"/>
    </row>
    <row r="2887" spans="1:9" ht="16.5">
      <c r="A2887" s="10" t="b">
        <v>0</v>
      </c>
      <c r="B2887" s="11" t="str">
        <f>IF(D2887&lt;&gt;"",IF(COUNTIF('USPTO TMs'!A:A,D2887)&gt;0,"Yes","No"),"")</f>
        <v/>
      </c>
      <c r="C2887" s="11"/>
      <c r="D2887" s="11"/>
      <c r="E2887" s="11"/>
      <c r="F2887" s="11"/>
      <c r="G2887" s="11"/>
      <c r="H2887" s="11"/>
      <c r="I2887" s="15"/>
    </row>
    <row r="2888" spans="1:9" ht="16.5">
      <c r="A2888" s="10" t="b">
        <v>0</v>
      </c>
      <c r="B2888" s="11" t="str">
        <f>IF(D2888&lt;&gt;"",IF(COUNTIF('USPTO TMs'!A:A,D2888)&gt;0,"Yes","No"),"")</f>
        <v/>
      </c>
      <c r="C2888" s="11"/>
      <c r="D2888" s="11"/>
      <c r="E2888" s="11"/>
      <c r="F2888" s="11"/>
      <c r="G2888" s="11"/>
      <c r="H2888" s="11"/>
      <c r="I2888" s="15"/>
    </row>
    <row r="2889" spans="1:9" ht="16.5">
      <c r="A2889" s="10" t="b">
        <v>0</v>
      </c>
      <c r="B2889" s="11" t="str">
        <f>IF(D2889&lt;&gt;"",IF(COUNTIF('USPTO TMs'!A:A,D2889)&gt;0,"Yes","No"),"")</f>
        <v/>
      </c>
      <c r="C2889" s="11"/>
      <c r="D2889" s="11"/>
      <c r="E2889" s="11"/>
      <c r="F2889" s="11"/>
      <c r="G2889" s="11"/>
      <c r="H2889" s="11"/>
      <c r="I2889" s="15"/>
    </row>
    <row r="2890" spans="1:9" ht="16.5">
      <c r="A2890" s="10" t="b">
        <v>0</v>
      </c>
      <c r="B2890" s="11" t="str">
        <f>IF(D2890&lt;&gt;"",IF(COUNTIF('USPTO TMs'!A:A,D2890)&gt;0,"Yes","No"),"")</f>
        <v/>
      </c>
      <c r="C2890" s="11"/>
      <c r="D2890" s="11"/>
      <c r="E2890" s="11"/>
      <c r="F2890" s="11"/>
      <c r="G2890" s="11"/>
      <c r="H2890" s="11"/>
      <c r="I2890" s="15"/>
    </row>
    <row r="2891" spans="1:9" ht="16.5">
      <c r="A2891" s="10" t="b">
        <v>0</v>
      </c>
      <c r="B2891" s="11" t="str">
        <f>IF(D2891&lt;&gt;"",IF(COUNTIF('USPTO TMs'!A:A,D2891)&gt;0,"Yes","No"),"")</f>
        <v/>
      </c>
      <c r="C2891" s="11"/>
      <c r="D2891" s="11"/>
      <c r="E2891" s="11"/>
      <c r="F2891" s="11"/>
      <c r="G2891" s="11"/>
      <c r="H2891" s="11"/>
      <c r="I2891" s="15"/>
    </row>
    <row r="2892" spans="1:9" ht="16.5">
      <c r="A2892" s="10" t="b">
        <v>0</v>
      </c>
      <c r="B2892" s="11" t="str">
        <f>IF(D2892&lt;&gt;"",IF(COUNTIF('USPTO TMs'!A:A,D2892)&gt;0,"Yes","No"),"")</f>
        <v/>
      </c>
      <c r="C2892" s="11"/>
      <c r="D2892" s="11"/>
      <c r="E2892" s="11"/>
      <c r="F2892" s="11"/>
      <c r="G2892" s="11"/>
      <c r="H2892" s="11"/>
      <c r="I2892" s="15"/>
    </row>
    <row r="2893" spans="1:9" ht="16.5">
      <c r="A2893" s="10" t="b">
        <v>0</v>
      </c>
      <c r="B2893" s="11" t="str">
        <f>IF(D2893&lt;&gt;"",IF(COUNTIF('USPTO TMs'!A:A,D2893)&gt;0,"Yes","No"),"")</f>
        <v/>
      </c>
      <c r="C2893" s="11"/>
      <c r="D2893" s="11"/>
      <c r="E2893" s="11"/>
      <c r="F2893" s="11"/>
      <c r="G2893" s="11"/>
      <c r="H2893" s="11"/>
      <c r="I2893" s="15"/>
    </row>
    <row r="2894" spans="1:9" ht="16.5">
      <c r="A2894" s="10" t="b">
        <v>0</v>
      </c>
      <c r="B2894" s="11" t="str">
        <f>IF(D2894&lt;&gt;"",IF(COUNTIF('USPTO TMs'!A:A,D2894)&gt;0,"Yes","No"),"")</f>
        <v/>
      </c>
      <c r="C2894" s="11"/>
      <c r="D2894" s="11"/>
      <c r="E2894" s="11"/>
      <c r="F2894" s="11"/>
      <c r="G2894" s="11"/>
      <c r="H2894" s="11"/>
      <c r="I2894" s="15"/>
    </row>
    <row r="2895" spans="1:9" ht="16.5">
      <c r="A2895" s="10" t="b">
        <v>0</v>
      </c>
      <c r="B2895" s="11" t="str">
        <f>IF(D2895&lt;&gt;"",IF(COUNTIF('USPTO TMs'!A:A,D2895)&gt;0,"Yes","No"),"")</f>
        <v/>
      </c>
      <c r="C2895" s="11"/>
      <c r="D2895" s="11"/>
      <c r="E2895" s="11"/>
      <c r="F2895" s="11"/>
      <c r="G2895" s="11"/>
      <c r="H2895" s="11"/>
      <c r="I2895" s="15"/>
    </row>
    <row r="2896" spans="1:9" ht="16.5">
      <c r="A2896" s="10" t="b">
        <v>0</v>
      </c>
      <c r="B2896" s="11" t="str">
        <f>IF(D2896&lt;&gt;"",IF(COUNTIF('USPTO TMs'!A:A,D2896)&gt;0,"Yes","No"),"")</f>
        <v/>
      </c>
      <c r="C2896" s="11"/>
      <c r="D2896" s="11"/>
      <c r="E2896" s="11"/>
      <c r="F2896" s="11"/>
      <c r="G2896" s="11"/>
      <c r="H2896" s="11"/>
      <c r="I2896" s="15"/>
    </row>
    <row r="2897" spans="1:9" ht="16.5">
      <c r="A2897" s="10" t="b">
        <v>0</v>
      </c>
      <c r="B2897" s="11" t="str">
        <f>IF(D2897&lt;&gt;"",IF(COUNTIF('USPTO TMs'!A:A,D2897)&gt;0,"Yes","No"),"")</f>
        <v/>
      </c>
      <c r="C2897" s="11"/>
      <c r="D2897" s="11"/>
      <c r="E2897" s="11"/>
      <c r="F2897" s="11"/>
      <c r="G2897" s="11"/>
      <c r="H2897" s="11"/>
      <c r="I2897" s="15"/>
    </row>
    <row r="2898" spans="1:9" ht="16.5">
      <c r="A2898" s="10" t="b">
        <v>0</v>
      </c>
      <c r="B2898" s="11" t="str">
        <f>IF(D2898&lt;&gt;"",IF(COUNTIF('USPTO TMs'!A:A,D2898)&gt;0,"Yes","No"),"")</f>
        <v/>
      </c>
      <c r="C2898" s="11"/>
      <c r="D2898" s="11"/>
      <c r="E2898" s="11"/>
      <c r="F2898" s="11"/>
      <c r="G2898" s="11"/>
      <c r="H2898" s="11"/>
      <c r="I2898" s="15"/>
    </row>
    <row r="2899" spans="1:9" ht="16.5">
      <c r="A2899" s="10" t="b">
        <v>0</v>
      </c>
      <c r="B2899" s="11" t="str">
        <f>IF(D2899&lt;&gt;"",IF(COUNTIF('USPTO TMs'!A:A,D2899)&gt;0,"Yes","No"),"")</f>
        <v/>
      </c>
      <c r="C2899" s="11"/>
      <c r="D2899" s="11"/>
      <c r="E2899" s="11"/>
      <c r="F2899" s="11"/>
      <c r="G2899" s="11"/>
      <c r="H2899" s="11"/>
      <c r="I2899" s="15"/>
    </row>
    <row r="2900" spans="1:9" ht="16.5">
      <c r="A2900" s="10" t="b">
        <v>0</v>
      </c>
      <c r="B2900" s="11" t="str">
        <f>IF(D2900&lt;&gt;"",IF(COUNTIF('USPTO TMs'!A:A,D2900)&gt;0,"Yes","No"),"")</f>
        <v/>
      </c>
      <c r="C2900" s="11"/>
      <c r="D2900" s="11"/>
      <c r="E2900" s="11"/>
      <c r="F2900" s="11"/>
      <c r="G2900" s="11"/>
      <c r="H2900" s="11"/>
      <c r="I2900" s="15"/>
    </row>
    <row r="2901" spans="1:9" ht="16.5">
      <c r="A2901" s="10" t="b">
        <v>0</v>
      </c>
      <c r="B2901" s="11" t="str">
        <f>IF(D2901&lt;&gt;"",IF(COUNTIF('USPTO TMs'!A:A,D2901)&gt;0,"Yes","No"),"")</f>
        <v/>
      </c>
      <c r="C2901" s="11"/>
      <c r="D2901" s="11"/>
      <c r="E2901" s="11"/>
      <c r="F2901" s="11"/>
      <c r="G2901" s="11"/>
      <c r="H2901" s="11"/>
      <c r="I2901" s="15"/>
    </row>
    <row r="2902" spans="1:9" ht="16.5">
      <c r="A2902" s="10" t="b">
        <v>0</v>
      </c>
      <c r="B2902" s="11" t="str">
        <f>IF(D2902&lt;&gt;"",IF(COUNTIF('USPTO TMs'!A:A,D2902)&gt;0,"Yes","No"),"")</f>
        <v/>
      </c>
      <c r="C2902" s="11"/>
      <c r="D2902" s="11"/>
      <c r="E2902" s="11"/>
      <c r="F2902" s="11"/>
      <c r="G2902" s="11"/>
      <c r="H2902" s="11"/>
      <c r="I2902" s="15"/>
    </row>
    <row r="2903" spans="1:9" ht="16.5">
      <c r="A2903" s="10" t="b">
        <v>0</v>
      </c>
      <c r="B2903" s="11" t="str">
        <f>IF(D2903&lt;&gt;"",IF(COUNTIF('USPTO TMs'!A:A,D2903)&gt;0,"Yes","No"),"")</f>
        <v/>
      </c>
      <c r="C2903" s="11"/>
      <c r="D2903" s="11"/>
      <c r="E2903" s="11"/>
      <c r="F2903" s="11"/>
      <c r="G2903" s="11"/>
      <c r="H2903" s="11"/>
      <c r="I2903" s="15"/>
    </row>
    <row r="2904" spans="1:9" ht="16.5">
      <c r="A2904" s="10" t="b">
        <v>0</v>
      </c>
      <c r="B2904" s="11" t="str">
        <f>IF(D2904&lt;&gt;"",IF(COUNTIF('USPTO TMs'!A:A,D2904)&gt;0,"Yes","No"),"")</f>
        <v/>
      </c>
      <c r="C2904" s="11"/>
      <c r="D2904" s="11"/>
      <c r="E2904" s="11"/>
      <c r="F2904" s="11"/>
      <c r="G2904" s="11"/>
      <c r="H2904" s="11"/>
      <c r="I2904" s="15"/>
    </row>
    <row r="2905" spans="1:9" ht="16.5">
      <c r="A2905" s="10" t="b">
        <v>0</v>
      </c>
      <c r="B2905" s="11" t="str">
        <f>IF(D2905&lt;&gt;"",IF(COUNTIF('USPTO TMs'!A:A,D2905)&gt;0,"Yes","No"),"")</f>
        <v/>
      </c>
      <c r="C2905" s="11"/>
      <c r="D2905" s="11"/>
      <c r="E2905" s="11"/>
      <c r="F2905" s="11"/>
      <c r="G2905" s="11"/>
      <c r="H2905" s="11"/>
      <c r="I2905" s="15"/>
    </row>
    <row r="2906" spans="1:9" ht="16.5">
      <c r="A2906" s="10" t="b">
        <v>0</v>
      </c>
      <c r="B2906" s="11" t="str">
        <f>IF(D2906&lt;&gt;"",IF(COUNTIF('USPTO TMs'!A:A,D2906)&gt;0,"Yes","No"),"")</f>
        <v/>
      </c>
      <c r="C2906" s="11"/>
      <c r="D2906" s="11"/>
      <c r="E2906" s="11"/>
      <c r="F2906" s="11"/>
      <c r="G2906" s="11"/>
      <c r="H2906" s="11"/>
      <c r="I2906" s="15"/>
    </row>
    <row r="2907" spans="1:9" ht="16.5">
      <c r="A2907" s="10" t="b">
        <v>0</v>
      </c>
      <c r="B2907" s="11" t="str">
        <f>IF(D2907&lt;&gt;"",IF(COUNTIF('USPTO TMs'!A:A,D2907)&gt;0,"Yes","No"),"")</f>
        <v/>
      </c>
      <c r="C2907" s="11"/>
      <c r="D2907" s="11"/>
      <c r="E2907" s="11"/>
      <c r="F2907" s="11"/>
      <c r="G2907" s="11"/>
      <c r="H2907" s="11"/>
      <c r="I2907" s="15"/>
    </row>
    <row r="2908" spans="1:9" ht="16.5">
      <c r="A2908" s="10" t="b">
        <v>0</v>
      </c>
      <c r="B2908" s="11" t="str">
        <f>IF(D2908&lt;&gt;"",IF(COUNTIF('USPTO TMs'!A:A,D2908)&gt;0,"Yes","No"),"")</f>
        <v/>
      </c>
      <c r="C2908" s="11"/>
      <c r="D2908" s="11"/>
      <c r="E2908" s="11"/>
      <c r="F2908" s="11"/>
      <c r="G2908" s="11"/>
      <c r="H2908" s="11"/>
      <c r="I2908" s="15"/>
    </row>
    <row r="2909" spans="1:9" ht="16.5">
      <c r="A2909" s="10" t="b">
        <v>0</v>
      </c>
      <c r="B2909" s="11" t="str">
        <f>IF(D2909&lt;&gt;"",IF(COUNTIF('USPTO TMs'!A:A,D2909)&gt;0,"Yes","No"),"")</f>
        <v/>
      </c>
      <c r="C2909" s="11"/>
      <c r="D2909" s="11"/>
      <c r="E2909" s="11"/>
      <c r="F2909" s="11"/>
      <c r="G2909" s="11"/>
      <c r="H2909" s="11"/>
      <c r="I2909" s="15"/>
    </row>
    <row r="2910" spans="1:9" ht="16.5">
      <c r="A2910" s="10" t="b">
        <v>0</v>
      </c>
      <c r="B2910" s="11" t="str">
        <f>IF(D2910&lt;&gt;"",IF(COUNTIF('USPTO TMs'!A:A,D2910)&gt;0,"Yes","No"),"")</f>
        <v/>
      </c>
      <c r="C2910" s="11"/>
      <c r="D2910" s="11"/>
      <c r="E2910" s="11"/>
      <c r="F2910" s="11"/>
      <c r="G2910" s="11"/>
      <c r="H2910" s="11"/>
      <c r="I2910" s="15"/>
    </row>
    <row r="2911" spans="1:9" ht="16.5">
      <c r="A2911" s="10" t="b">
        <v>0</v>
      </c>
      <c r="B2911" s="11" t="str">
        <f>IF(D2911&lt;&gt;"",IF(COUNTIF('USPTO TMs'!A:A,D2911)&gt;0,"Yes","No"),"")</f>
        <v/>
      </c>
      <c r="C2911" s="11"/>
      <c r="D2911" s="11"/>
      <c r="E2911" s="11"/>
      <c r="F2911" s="11"/>
      <c r="G2911" s="11"/>
      <c r="H2911" s="11"/>
      <c r="I2911" s="15"/>
    </row>
    <row r="2912" spans="1:9" ht="16.5">
      <c r="A2912" s="10" t="b">
        <v>0</v>
      </c>
      <c r="B2912" s="11" t="str">
        <f>IF(D2912&lt;&gt;"",IF(COUNTIF('USPTO TMs'!A:A,D2912)&gt;0,"Yes","No"),"")</f>
        <v/>
      </c>
      <c r="C2912" s="11"/>
      <c r="D2912" s="11"/>
      <c r="E2912" s="11"/>
      <c r="F2912" s="11"/>
      <c r="G2912" s="11"/>
      <c r="H2912" s="11"/>
      <c r="I2912" s="15"/>
    </row>
    <row r="2913" spans="1:9" ht="16.5">
      <c r="A2913" s="10" t="b">
        <v>0</v>
      </c>
      <c r="B2913" s="11" t="str">
        <f>IF(D2913&lt;&gt;"",IF(COUNTIF('USPTO TMs'!A:A,D2913)&gt;0,"Yes","No"),"")</f>
        <v/>
      </c>
      <c r="C2913" s="11"/>
      <c r="D2913" s="11"/>
      <c r="E2913" s="11"/>
      <c r="F2913" s="11"/>
      <c r="G2913" s="11"/>
      <c r="H2913" s="11"/>
      <c r="I2913" s="15"/>
    </row>
    <row r="2914" spans="1:9" ht="16.5">
      <c r="A2914" s="10" t="b">
        <v>0</v>
      </c>
      <c r="B2914" s="11" t="str">
        <f>IF(D2914&lt;&gt;"",IF(COUNTIF('USPTO TMs'!A:A,D2914)&gt;0,"Yes","No"),"")</f>
        <v/>
      </c>
      <c r="C2914" s="11"/>
      <c r="D2914" s="11"/>
      <c r="E2914" s="11"/>
      <c r="F2914" s="11"/>
      <c r="G2914" s="11"/>
      <c r="H2914" s="11"/>
      <c r="I2914" s="15"/>
    </row>
    <row r="2915" spans="1:9" ht="16.5">
      <c r="A2915" s="10" t="b">
        <v>0</v>
      </c>
      <c r="B2915" s="11" t="str">
        <f>IF(D2915&lt;&gt;"",IF(COUNTIF('USPTO TMs'!A:A,D2915)&gt;0,"Yes","No"),"")</f>
        <v/>
      </c>
      <c r="C2915" s="11"/>
      <c r="D2915" s="11"/>
      <c r="E2915" s="11"/>
      <c r="F2915" s="11"/>
      <c r="G2915" s="11"/>
      <c r="H2915" s="11"/>
      <c r="I2915" s="15"/>
    </row>
    <row r="2916" spans="1:9" ht="16.5">
      <c r="A2916" s="10" t="b">
        <v>0</v>
      </c>
      <c r="B2916" s="11" t="str">
        <f>IF(D2916&lt;&gt;"",IF(COUNTIF('USPTO TMs'!A:A,D2916)&gt;0,"Yes","No"),"")</f>
        <v/>
      </c>
      <c r="C2916" s="11"/>
      <c r="D2916" s="11"/>
      <c r="E2916" s="11"/>
      <c r="F2916" s="11"/>
      <c r="G2916" s="11"/>
      <c r="H2916" s="11"/>
      <c r="I2916" s="15"/>
    </row>
    <row r="2917" spans="1:9" ht="16.5">
      <c r="A2917" s="10" t="b">
        <v>0</v>
      </c>
      <c r="B2917" s="11" t="str">
        <f>IF(D2917&lt;&gt;"",IF(COUNTIF('USPTO TMs'!A:A,D2917)&gt;0,"Yes","No"),"")</f>
        <v/>
      </c>
      <c r="C2917" s="11"/>
      <c r="D2917" s="11"/>
      <c r="E2917" s="11"/>
      <c r="F2917" s="11"/>
      <c r="G2917" s="11"/>
      <c r="H2917" s="11"/>
      <c r="I2917" s="15"/>
    </row>
    <row r="2918" spans="1:9" ht="16.5">
      <c r="A2918" s="10" t="b">
        <v>0</v>
      </c>
      <c r="B2918" s="11" t="str">
        <f>IF(D2918&lt;&gt;"",IF(COUNTIF('USPTO TMs'!A:A,D2918)&gt;0,"Yes","No"),"")</f>
        <v/>
      </c>
      <c r="C2918" s="11"/>
      <c r="D2918" s="11"/>
      <c r="E2918" s="11"/>
      <c r="F2918" s="11"/>
      <c r="G2918" s="11"/>
      <c r="H2918" s="11"/>
      <c r="I2918" s="15"/>
    </row>
    <row r="2919" spans="1:9" ht="16.5">
      <c r="A2919" s="10" t="b">
        <v>0</v>
      </c>
      <c r="B2919" s="11" t="str">
        <f>IF(D2919&lt;&gt;"",IF(COUNTIF('USPTO TMs'!A:A,D2919)&gt;0,"Yes","No"),"")</f>
        <v/>
      </c>
      <c r="C2919" s="11"/>
      <c r="D2919" s="11"/>
      <c r="E2919" s="11"/>
      <c r="F2919" s="11"/>
      <c r="G2919" s="11"/>
      <c r="H2919" s="11"/>
      <c r="I2919" s="15"/>
    </row>
    <row r="2920" spans="1:9" ht="16.5">
      <c r="A2920" s="10" t="b">
        <v>0</v>
      </c>
      <c r="B2920" s="11" t="str">
        <f>IF(D2920&lt;&gt;"",IF(COUNTIF('USPTO TMs'!A:A,D2920)&gt;0,"Yes","No"),"")</f>
        <v/>
      </c>
      <c r="C2920" s="11"/>
      <c r="D2920" s="11"/>
      <c r="E2920" s="11"/>
      <c r="F2920" s="11"/>
      <c r="G2920" s="11"/>
      <c r="H2920" s="11"/>
      <c r="I2920" s="15"/>
    </row>
    <row r="2921" spans="1:9" ht="16.5">
      <c r="A2921" s="10" t="b">
        <v>0</v>
      </c>
      <c r="B2921" s="11" t="str">
        <f>IF(D2921&lt;&gt;"",IF(COUNTIF('USPTO TMs'!A:A,D2921)&gt;0,"Yes","No"),"")</f>
        <v/>
      </c>
      <c r="C2921" s="11"/>
      <c r="D2921" s="11"/>
      <c r="E2921" s="11"/>
      <c r="F2921" s="11"/>
      <c r="G2921" s="11"/>
      <c r="H2921" s="11"/>
      <c r="I2921" s="15"/>
    </row>
    <row r="2922" spans="1:9" ht="16.5">
      <c r="A2922" s="10" t="b">
        <v>0</v>
      </c>
      <c r="B2922" s="11" t="str">
        <f>IF(D2922&lt;&gt;"",IF(COUNTIF('USPTO TMs'!A:A,D2922)&gt;0,"Yes","No"),"")</f>
        <v/>
      </c>
      <c r="C2922" s="11"/>
      <c r="D2922" s="11"/>
      <c r="E2922" s="11"/>
      <c r="F2922" s="11"/>
      <c r="G2922" s="11"/>
      <c r="H2922" s="11"/>
      <c r="I2922" s="15"/>
    </row>
    <row r="2923" spans="1:9" ht="16.5">
      <c r="A2923" s="10" t="b">
        <v>0</v>
      </c>
      <c r="B2923" s="11" t="str">
        <f>IF(D2923&lt;&gt;"",IF(COUNTIF('USPTO TMs'!A:A,D2923)&gt;0,"Yes","No"),"")</f>
        <v/>
      </c>
      <c r="C2923" s="11"/>
      <c r="D2923" s="11"/>
      <c r="E2923" s="11"/>
      <c r="F2923" s="11"/>
      <c r="G2923" s="11"/>
      <c r="H2923" s="11"/>
      <c r="I2923" s="15"/>
    </row>
    <row r="2924" spans="1:9" ht="16.5">
      <c r="A2924" s="10" t="b">
        <v>0</v>
      </c>
      <c r="B2924" s="11" t="str">
        <f>IF(D2924&lt;&gt;"",IF(COUNTIF('USPTO TMs'!A:A,D2924)&gt;0,"Yes","No"),"")</f>
        <v/>
      </c>
      <c r="C2924" s="11"/>
      <c r="D2924" s="11"/>
      <c r="E2924" s="11"/>
      <c r="F2924" s="11"/>
      <c r="G2924" s="11"/>
      <c r="H2924" s="11"/>
      <c r="I2924" s="15"/>
    </row>
    <row r="2925" spans="1:9" ht="16.5">
      <c r="A2925" s="10" t="b">
        <v>0</v>
      </c>
      <c r="B2925" s="11" t="str">
        <f>IF(D2925&lt;&gt;"",IF(COUNTIF('USPTO TMs'!A:A,D2925)&gt;0,"Yes","No"),"")</f>
        <v/>
      </c>
      <c r="C2925" s="11"/>
      <c r="D2925" s="11"/>
      <c r="E2925" s="11"/>
      <c r="F2925" s="11"/>
      <c r="G2925" s="11"/>
      <c r="H2925" s="11"/>
      <c r="I2925" s="15"/>
    </row>
    <row r="2926" spans="1:9" ht="16.5">
      <c r="A2926" s="10" t="b">
        <v>0</v>
      </c>
      <c r="B2926" s="11" t="str">
        <f>IF(D2926&lt;&gt;"",IF(COUNTIF('USPTO TMs'!A:A,D2926)&gt;0,"Yes","No"),"")</f>
        <v/>
      </c>
      <c r="C2926" s="11"/>
      <c r="D2926" s="11"/>
      <c r="E2926" s="11"/>
      <c r="F2926" s="11"/>
      <c r="G2926" s="11"/>
      <c r="H2926" s="11"/>
      <c r="I2926" s="15"/>
    </row>
    <row r="2927" spans="1:9" ht="16.5">
      <c r="A2927" s="10" t="b">
        <v>0</v>
      </c>
      <c r="B2927" s="11" t="str">
        <f>IF(D2927&lt;&gt;"",IF(COUNTIF('USPTO TMs'!A:A,D2927)&gt;0,"Yes","No"),"")</f>
        <v/>
      </c>
      <c r="C2927" s="11"/>
      <c r="D2927" s="11"/>
      <c r="E2927" s="11"/>
      <c r="F2927" s="11"/>
      <c r="G2927" s="11"/>
      <c r="H2927" s="11"/>
      <c r="I2927" s="15"/>
    </row>
    <row r="2928" spans="1:9" ht="16.5">
      <c r="A2928" s="10" t="b">
        <v>0</v>
      </c>
      <c r="B2928" s="11" t="str">
        <f>IF(D2928&lt;&gt;"",IF(COUNTIF('USPTO TMs'!A:A,D2928)&gt;0,"Yes","No"),"")</f>
        <v/>
      </c>
      <c r="C2928" s="11"/>
      <c r="D2928" s="11"/>
      <c r="E2928" s="11"/>
      <c r="F2928" s="11"/>
      <c r="G2928" s="11"/>
      <c r="H2928" s="11"/>
      <c r="I2928" s="15"/>
    </row>
    <row r="2929" spans="1:9" ht="16.5">
      <c r="A2929" s="10" t="b">
        <v>0</v>
      </c>
      <c r="B2929" s="11" t="str">
        <f>IF(D2929&lt;&gt;"",IF(COUNTIF('USPTO TMs'!A:A,D2929)&gt;0,"Yes","No"),"")</f>
        <v/>
      </c>
      <c r="C2929" s="11"/>
      <c r="D2929" s="11"/>
      <c r="E2929" s="11"/>
      <c r="F2929" s="11"/>
      <c r="G2929" s="11"/>
      <c r="H2929" s="11"/>
      <c r="I2929" s="15"/>
    </row>
    <row r="2930" spans="1:9" ht="16.5">
      <c r="A2930" s="10" t="b">
        <v>0</v>
      </c>
      <c r="B2930" s="11" t="str">
        <f>IF(D2930&lt;&gt;"",IF(COUNTIF('USPTO TMs'!A:A,D2930)&gt;0,"Yes","No"),"")</f>
        <v/>
      </c>
      <c r="C2930" s="11"/>
      <c r="D2930" s="11"/>
      <c r="E2930" s="11"/>
      <c r="F2930" s="11"/>
      <c r="G2930" s="11"/>
      <c r="H2930" s="11"/>
      <c r="I2930" s="15"/>
    </row>
    <row r="2931" spans="1:9" ht="16.5">
      <c r="A2931" s="10" t="b">
        <v>0</v>
      </c>
      <c r="B2931" s="11" t="str">
        <f>IF(D2931&lt;&gt;"",IF(COUNTIF('USPTO TMs'!A:A,D2931)&gt;0,"Yes","No"),"")</f>
        <v/>
      </c>
      <c r="C2931" s="11"/>
      <c r="D2931" s="11"/>
      <c r="E2931" s="11"/>
      <c r="F2931" s="11"/>
      <c r="G2931" s="11"/>
      <c r="H2931" s="11"/>
      <c r="I2931" s="15"/>
    </row>
    <row r="2932" spans="1:9" ht="16.5">
      <c r="A2932" s="10" t="b">
        <v>0</v>
      </c>
      <c r="B2932" s="11" t="str">
        <f>IF(D2932&lt;&gt;"",IF(COUNTIF('USPTO TMs'!A:A,D2932)&gt;0,"Yes","No"),"")</f>
        <v/>
      </c>
      <c r="C2932" s="11"/>
      <c r="D2932" s="11"/>
      <c r="E2932" s="11"/>
      <c r="F2932" s="11"/>
      <c r="G2932" s="11"/>
      <c r="H2932" s="11"/>
      <c r="I2932" s="15"/>
    </row>
    <row r="2933" spans="1:9" ht="16.5">
      <c r="A2933" s="10" t="b">
        <v>0</v>
      </c>
      <c r="B2933" s="11" t="str">
        <f>IF(D2933&lt;&gt;"",IF(COUNTIF('USPTO TMs'!A:A,D2933)&gt;0,"Yes","No"),"")</f>
        <v/>
      </c>
      <c r="C2933" s="11"/>
      <c r="D2933" s="11"/>
      <c r="E2933" s="11"/>
      <c r="F2933" s="11"/>
      <c r="G2933" s="11"/>
      <c r="H2933" s="11"/>
      <c r="I2933" s="15"/>
    </row>
    <row r="2934" spans="1:9" ht="16.5">
      <c r="A2934" s="10" t="b">
        <v>0</v>
      </c>
      <c r="B2934" s="11" t="str">
        <f>IF(D2934&lt;&gt;"",IF(COUNTIF('USPTO TMs'!A:A,D2934)&gt;0,"Yes","No"),"")</f>
        <v/>
      </c>
      <c r="C2934" s="11"/>
      <c r="D2934" s="11"/>
      <c r="E2934" s="11"/>
      <c r="F2934" s="11"/>
      <c r="G2934" s="11"/>
      <c r="H2934" s="11"/>
      <c r="I2934" s="15"/>
    </row>
    <row r="2935" spans="1:9" ht="16.5">
      <c r="A2935" s="10" t="b">
        <v>0</v>
      </c>
      <c r="B2935" s="11" t="str">
        <f>IF(D2935&lt;&gt;"",IF(COUNTIF('USPTO TMs'!A:A,D2935)&gt;0,"Yes","No"),"")</f>
        <v/>
      </c>
      <c r="C2935" s="11"/>
      <c r="D2935" s="11"/>
      <c r="E2935" s="11"/>
      <c r="F2935" s="11"/>
      <c r="G2935" s="11"/>
      <c r="H2935" s="11"/>
      <c r="I2935" s="15"/>
    </row>
    <row r="2936" spans="1:9" ht="16.5">
      <c r="A2936" s="10" t="b">
        <v>0</v>
      </c>
      <c r="B2936" s="11" t="str">
        <f>IF(D2936&lt;&gt;"",IF(COUNTIF('USPTO TMs'!A:A,D2936)&gt;0,"Yes","No"),"")</f>
        <v/>
      </c>
      <c r="C2936" s="11"/>
      <c r="D2936" s="11"/>
      <c r="E2936" s="11"/>
      <c r="F2936" s="11"/>
      <c r="G2936" s="11"/>
      <c r="H2936" s="11"/>
      <c r="I2936" s="15"/>
    </row>
    <row r="2937" spans="1:9" ht="16.5">
      <c r="A2937" s="10" t="b">
        <v>0</v>
      </c>
      <c r="B2937" s="11" t="str">
        <f>IF(D2937&lt;&gt;"",IF(COUNTIF('USPTO TMs'!A:A,D2937)&gt;0,"Yes","No"),"")</f>
        <v/>
      </c>
      <c r="C2937" s="11"/>
      <c r="D2937" s="11"/>
      <c r="E2937" s="11"/>
      <c r="F2937" s="11"/>
      <c r="G2937" s="11"/>
      <c r="H2937" s="11"/>
      <c r="I2937" s="15"/>
    </row>
    <row r="2938" spans="1:9" ht="16.5">
      <c r="A2938" s="10" t="b">
        <v>0</v>
      </c>
      <c r="B2938" s="11" t="str">
        <f>IF(D2938&lt;&gt;"",IF(COUNTIF('USPTO TMs'!A:A,D2938)&gt;0,"Yes","No"),"")</f>
        <v/>
      </c>
      <c r="C2938" s="11"/>
      <c r="D2938" s="11"/>
      <c r="E2938" s="11"/>
      <c r="F2938" s="11"/>
      <c r="G2938" s="11"/>
      <c r="H2938" s="11"/>
      <c r="I2938" s="15"/>
    </row>
    <row r="2939" spans="1:9" ht="16.5">
      <c r="A2939" s="10" t="b">
        <v>0</v>
      </c>
      <c r="B2939" s="11" t="str">
        <f>IF(D2939&lt;&gt;"",IF(COUNTIF('USPTO TMs'!A:A,D2939)&gt;0,"Yes","No"),"")</f>
        <v/>
      </c>
      <c r="C2939" s="11"/>
      <c r="D2939" s="11"/>
      <c r="E2939" s="11"/>
      <c r="F2939" s="11"/>
      <c r="G2939" s="11"/>
      <c r="H2939" s="11"/>
      <c r="I2939" s="15"/>
    </row>
    <row r="2940" spans="1:9" ht="16.5">
      <c r="A2940" s="10" t="b">
        <v>0</v>
      </c>
      <c r="B2940" s="11" t="str">
        <f>IF(D2940&lt;&gt;"",IF(COUNTIF('USPTO TMs'!A:A,D2940)&gt;0,"Yes","No"),"")</f>
        <v/>
      </c>
      <c r="C2940" s="11"/>
      <c r="D2940" s="11"/>
      <c r="E2940" s="11"/>
      <c r="F2940" s="11"/>
      <c r="G2940" s="11"/>
      <c r="H2940" s="11"/>
      <c r="I2940" s="15"/>
    </row>
    <row r="2941" spans="1:9" ht="16.5">
      <c r="A2941" s="10" t="b">
        <v>0</v>
      </c>
      <c r="B2941" s="11" t="str">
        <f>IF(D2941&lt;&gt;"",IF(COUNTIF('USPTO TMs'!A:A,D2941)&gt;0,"Yes","No"),"")</f>
        <v/>
      </c>
      <c r="C2941" s="11"/>
      <c r="D2941" s="11"/>
      <c r="E2941" s="11"/>
      <c r="F2941" s="11"/>
      <c r="G2941" s="11"/>
      <c r="H2941" s="11"/>
      <c r="I2941" s="15"/>
    </row>
    <row r="2942" spans="1:9" ht="16.5">
      <c r="A2942" s="10" t="b">
        <v>0</v>
      </c>
      <c r="B2942" s="11" t="str">
        <f>IF(D2942&lt;&gt;"",IF(COUNTIF('USPTO TMs'!A:A,D2942)&gt;0,"Yes","No"),"")</f>
        <v/>
      </c>
      <c r="C2942" s="11"/>
      <c r="D2942" s="11"/>
      <c r="E2942" s="11"/>
      <c r="F2942" s="11"/>
      <c r="G2942" s="11"/>
      <c r="H2942" s="11"/>
      <c r="I2942" s="15"/>
    </row>
    <row r="2943" spans="1:9" ht="16.5">
      <c r="A2943" s="10" t="b">
        <v>0</v>
      </c>
      <c r="B2943" s="11" t="str">
        <f>IF(D2943&lt;&gt;"",IF(COUNTIF('USPTO TMs'!A:A,D2943)&gt;0,"Yes","No"),"")</f>
        <v/>
      </c>
      <c r="C2943" s="11"/>
      <c r="D2943" s="11"/>
      <c r="E2943" s="11"/>
      <c r="F2943" s="11"/>
      <c r="G2943" s="11"/>
      <c r="H2943" s="11"/>
      <c r="I2943" s="15"/>
    </row>
    <row r="2944" spans="1:9" ht="16.5">
      <c r="A2944" s="10" t="b">
        <v>0</v>
      </c>
      <c r="B2944" s="11" t="str">
        <f>IF(D2944&lt;&gt;"",IF(COUNTIF('USPTO TMs'!A:A,D2944)&gt;0,"Yes","No"),"")</f>
        <v/>
      </c>
      <c r="C2944" s="11"/>
      <c r="D2944" s="11"/>
      <c r="E2944" s="11"/>
      <c r="F2944" s="11"/>
      <c r="G2944" s="11"/>
      <c r="H2944" s="11"/>
      <c r="I2944" s="15"/>
    </row>
    <row r="2945" spans="1:9" ht="16.5">
      <c r="A2945" s="10" t="b">
        <v>0</v>
      </c>
      <c r="B2945" s="11" t="str">
        <f>IF(D2945&lt;&gt;"",IF(COUNTIF('USPTO TMs'!A:A,D2945)&gt;0,"Yes","No"),"")</f>
        <v/>
      </c>
      <c r="C2945" s="11"/>
      <c r="D2945" s="11"/>
      <c r="E2945" s="11"/>
      <c r="F2945" s="11"/>
      <c r="G2945" s="11"/>
      <c r="H2945" s="11"/>
      <c r="I2945" s="15"/>
    </row>
    <row r="2946" spans="1:9" ht="16.5">
      <c r="A2946" s="10" t="b">
        <v>0</v>
      </c>
      <c r="B2946" s="11" t="str">
        <f>IF(D2946&lt;&gt;"",IF(COUNTIF('USPTO TMs'!A:A,D2946)&gt;0,"Yes","No"),"")</f>
        <v/>
      </c>
      <c r="C2946" s="11"/>
      <c r="D2946" s="11"/>
      <c r="E2946" s="11"/>
      <c r="F2946" s="11"/>
      <c r="G2946" s="11"/>
      <c r="H2946" s="11"/>
      <c r="I2946" s="15"/>
    </row>
    <row r="2947" spans="1:9" ht="16.5">
      <c r="A2947" s="10" t="b">
        <v>0</v>
      </c>
      <c r="B2947" s="11" t="str">
        <f>IF(D2947&lt;&gt;"",IF(COUNTIF('USPTO TMs'!A:A,D2947)&gt;0,"Yes","No"),"")</f>
        <v/>
      </c>
      <c r="C2947" s="11"/>
      <c r="D2947" s="11"/>
      <c r="E2947" s="11"/>
      <c r="F2947" s="11"/>
      <c r="G2947" s="11"/>
      <c r="H2947" s="11"/>
      <c r="I2947" s="15"/>
    </row>
    <row r="2948" spans="1:9" ht="16.5">
      <c r="A2948" s="10" t="b">
        <v>0</v>
      </c>
      <c r="B2948" s="11" t="str">
        <f>IF(D2948&lt;&gt;"",IF(COUNTIF('USPTO TMs'!A:A,D2948)&gt;0,"Yes","No"),"")</f>
        <v/>
      </c>
      <c r="C2948" s="11"/>
      <c r="D2948" s="11"/>
      <c r="E2948" s="11"/>
      <c r="F2948" s="11"/>
      <c r="G2948" s="11"/>
      <c r="H2948" s="11"/>
      <c r="I2948" s="15"/>
    </row>
    <row r="2949" spans="1:9" ht="16.5">
      <c r="A2949" s="10" t="b">
        <v>0</v>
      </c>
      <c r="B2949" s="11" t="str">
        <f>IF(D2949&lt;&gt;"",IF(COUNTIF('USPTO TMs'!A:A,D2949)&gt;0,"Yes","No"),"")</f>
        <v/>
      </c>
      <c r="C2949" s="11"/>
      <c r="D2949" s="11"/>
      <c r="E2949" s="11"/>
      <c r="F2949" s="11"/>
      <c r="G2949" s="11"/>
      <c r="H2949" s="11"/>
      <c r="I2949" s="15"/>
    </row>
    <row r="2950" spans="1:9" ht="16.5">
      <c r="A2950" s="10" t="b">
        <v>0</v>
      </c>
      <c r="B2950" s="11" t="str">
        <f>IF(D2950&lt;&gt;"",IF(COUNTIF('USPTO TMs'!A:A,D2950)&gt;0,"Yes","No"),"")</f>
        <v/>
      </c>
      <c r="C2950" s="11"/>
      <c r="D2950" s="11"/>
      <c r="E2950" s="11"/>
      <c r="F2950" s="11"/>
      <c r="G2950" s="11"/>
      <c r="H2950" s="11"/>
      <c r="I2950" s="15"/>
    </row>
    <row r="2951" spans="1:9" ht="16.5">
      <c r="A2951" s="10" t="b">
        <v>0</v>
      </c>
      <c r="B2951" s="11" t="str">
        <f>IF(D2951&lt;&gt;"",IF(COUNTIF('USPTO TMs'!A:A,D2951)&gt;0,"Yes","No"),"")</f>
        <v/>
      </c>
      <c r="C2951" s="11"/>
      <c r="D2951" s="11"/>
      <c r="E2951" s="11"/>
      <c r="F2951" s="11"/>
      <c r="G2951" s="11"/>
      <c r="H2951" s="11"/>
      <c r="I2951" s="15"/>
    </row>
    <row r="2952" spans="1:9" ht="16.5">
      <c r="A2952" s="10" t="b">
        <v>0</v>
      </c>
      <c r="B2952" s="11" t="str">
        <f>IF(D2952&lt;&gt;"",IF(COUNTIF('USPTO TMs'!A:A,D2952)&gt;0,"Yes","No"),"")</f>
        <v/>
      </c>
      <c r="C2952" s="11"/>
      <c r="D2952" s="11"/>
      <c r="E2952" s="11"/>
      <c r="F2952" s="11"/>
      <c r="G2952" s="11"/>
      <c r="H2952" s="11"/>
      <c r="I2952" s="15"/>
    </row>
    <row r="2953" spans="1:9" ht="16.5">
      <c r="A2953" s="10" t="b">
        <v>0</v>
      </c>
      <c r="B2953" s="11" t="str">
        <f>IF(D2953&lt;&gt;"",IF(COUNTIF('USPTO TMs'!A:A,D2953)&gt;0,"Yes","No"),"")</f>
        <v/>
      </c>
      <c r="C2953" s="11"/>
      <c r="D2953" s="11"/>
      <c r="E2953" s="11"/>
      <c r="F2953" s="11"/>
      <c r="G2953" s="11"/>
      <c r="H2953" s="11"/>
      <c r="I2953" s="15"/>
    </row>
    <row r="2954" spans="1:9" ht="16.5">
      <c r="A2954" s="10" t="b">
        <v>0</v>
      </c>
      <c r="B2954" s="11" t="str">
        <f>IF(D2954&lt;&gt;"",IF(COUNTIF('USPTO TMs'!A:A,D2954)&gt;0,"Yes","No"),"")</f>
        <v/>
      </c>
      <c r="C2954" s="11"/>
      <c r="D2954" s="11"/>
      <c r="E2954" s="11"/>
      <c r="F2954" s="11"/>
      <c r="G2954" s="11"/>
      <c r="H2954" s="11"/>
      <c r="I2954" s="15"/>
    </row>
    <row r="2955" spans="1:9" ht="16.5">
      <c r="A2955" s="10" t="b">
        <v>0</v>
      </c>
      <c r="B2955" s="11" t="str">
        <f>IF(D2955&lt;&gt;"",IF(COUNTIF('USPTO TMs'!A:A,D2955)&gt;0,"Yes","No"),"")</f>
        <v/>
      </c>
      <c r="C2955" s="11"/>
      <c r="D2955" s="11"/>
      <c r="E2955" s="11"/>
      <c r="F2955" s="11"/>
      <c r="G2955" s="11"/>
      <c r="H2955" s="11"/>
      <c r="I2955" s="15"/>
    </row>
    <row r="2956" spans="1:9" ht="16.5">
      <c r="A2956" s="10" t="b">
        <v>0</v>
      </c>
      <c r="B2956" s="11" t="str">
        <f>IF(D2956&lt;&gt;"",IF(COUNTIF('USPTO TMs'!A:A,D2956)&gt;0,"Yes","No"),"")</f>
        <v/>
      </c>
      <c r="C2956" s="11"/>
      <c r="D2956" s="11"/>
      <c r="E2956" s="11"/>
      <c r="F2956" s="11"/>
      <c r="G2956" s="11"/>
      <c r="H2956" s="11"/>
      <c r="I2956" s="15"/>
    </row>
    <row r="2957" spans="1:9" ht="16.5">
      <c r="A2957" s="10" t="b">
        <v>0</v>
      </c>
      <c r="B2957" s="11" t="str">
        <f>IF(D2957&lt;&gt;"",IF(COUNTIF('USPTO TMs'!A:A,D2957)&gt;0,"Yes","No"),"")</f>
        <v/>
      </c>
      <c r="C2957" s="11"/>
      <c r="D2957" s="11"/>
      <c r="E2957" s="11"/>
      <c r="F2957" s="11"/>
      <c r="G2957" s="11"/>
      <c r="H2957" s="11"/>
      <c r="I2957" s="15"/>
    </row>
    <row r="2958" spans="1:9" ht="16.5">
      <c r="A2958" s="10" t="b">
        <v>0</v>
      </c>
      <c r="B2958" s="11" t="str">
        <f>IF(D2958&lt;&gt;"",IF(COUNTIF('USPTO TMs'!A:A,D2958)&gt;0,"Yes","No"),"")</f>
        <v/>
      </c>
      <c r="C2958" s="11"/>
      <c r="D2958" s="11"/>
      <c r="E2958" s="11"/>
      <c r="F2958" s="11"/>
      <c r="G2958" s="11"/>
      <c r="H2958" s="11"/>
      <c r="I2958" s="15"/>
    </row>
    <row r="2959" spans="1:9" ht="16.5">
      <c r="A2959" s="10" t="b">
        <v>0</v>
      </c>
      <c r="B2959" s="11" t="str">
        <f>IF(D2959&lt;&gt;"",IF(COUNTIF('USPTO TMs'!A:A,D2959)&gt;0,"Yes","No"),"")</f>
        <v/>
      </c>
      <c r="C2959" s="11"/>
      <c r="D2959" s="11"/>
      <c r="E2959" s="11"/>
      <c r="F2959" s="11"/>
      <c r="G2959" s="11"/>
      <c r="H2959" s="11"/>
      <c r="I2959" s="15"/>
    </row>
    <row r="2960" spans="1:9" ht="16.5">
      <c r="A2960" s="10" t="b">
        <v>0</v>
      </c>
      <c r="B2960" s="11" t="str">
        <f>IF(D2960&lt;&gt;"",IF(COUNTIF('USPTO TMs'!A:A,D2960)&gt;0,"Yes","No"),"")</f>
        <v/>
      </c>
      <c r="C2960" s="11"/>
      <c r="D2960" s="11"/>
      <c r="E2960" s="11"/>
      <c r="F2960" s="11"/>
      <c r="G2960" s="11"/>
      <c r="H2960" s="11"/>
      <c r="I2960" s="15"/>
    </row>
    <row r="2961" spans="1:9" ht="16.5">
      <c r="A2961" s="10" t="b">
        <v>0</v>
      </c>
      <c r="B2961" s="11" t="str">
        <f>IF(D2961&lt;&gt;"",IF(COUNTIF('USPTO TMs'!A:A,D2961)&gt;0,"Yes","No"),"")</f>
        <v/>
      </c>
      <c r="C2961" s="11"/>
      <c r="D2961" s="11"/>
      <c r="E2961" s="11"/>
      <c r="F2961" s="11"/>
      <c r="G2961" s="11"/>
      <c r="H2961" s="11"/>
      <c r="I2961" s="15"/>
    </row>
    <row r="2962" spans="1:9" ht="16.5">
      <c r="A2962" s="10" t="b">
        <v>0</v>
      </c>
      <c r="B2962" s="11" t="str">
        <f>IF(D2962&lt;&gt;"",IF(COUNTIF('USPTO TMs'!A:A,D2962)&gt;0,"Yes","No"),"")</f>
        <v/>
      </c>
      <c r="C2962" s="11"/>
      <c r="D2962" s="11"/>
      <c r="E2962" s="11"/>
      <c r="F2962" s="11"/>
      <c r="G2962" s="11"/>
      <c r="H2962" s="11"/>
      <c r="I2962" s="15"/>
    </row>
    <row r="2963" spans="1:9" ht="16.5">
      <c r="A2963" s="10" t="b">
        <v>0</v>
      </c>
      <c r="B2963" s="11" t="str">
        <f>IF(D2963&lt;&gt;"",IF(COUNTIF('USPTO TMs'!A:A,D2963)&gt;0,"Yes","No"),"")</f>
        <v/>
      </c>
      <c r="C2963" s="11"/>
      <c r="D2963" s="11"/>
      <c r="E2963" s="11"/>
      <c r="F2963" s="11"/>
      <c r="G2963" s="11"/>
      <c r="H2963" s="11"/>
      <c r="I2963" s="15"/>
    </row>
    <row r="2964" spans="1:9" ht="16.5">
      <c r="A2964" s="10" t="b">
        <v>0</v>
      </c>
      <c r="B2964" s="11" t="str">
        <f>IF(D2964&lt;&gt;"",IF(COUNTIF('USPTO TMs'!A:A,D2964)&gt;0,"Yes","No"),"")</f>
        <v/>
      </c>
      <c r="C2964" s="11"/>
      <c r="D2964" s="11"/>
      <c r="E2964" s="11"/>
      <c r="F2964" s="11"/>
      <c r="G2964" s="11"/>
      <c r="H2964" s="11"/>
      <c r="I2964" s="15"/>
    </row>
    <row r="2965" spans="1:9" ht="16.5">
      <c r="A2965" s="10" t="b">
        <v>0</v>
      </c>
      <c r="B2965" s="11" t="str">
        <f>IF(D2965&lt;&gt;"",IF(COUNTIF('USPTO TMs'!A:A,D2965)&gt;0,"Yes","No"),"")</f>
        <v/>
      </c>
      <c r="C2965" s="11"/>
      <c r="D2965" s="11"/>
      <c r="E2965" s="11"/>
      <c r="F2965" s="11"/>
      <c r="G2965" s="11"/>
      <c r="H2965" s="11"/>
      <c r="I2965" s="15"/>
    </row>
    <row r="2966" spans="1:9" ht="16.5">
      <c r="A2966" s="10" t="b">
        <v>0</v>
      </c>
      <c r="B2966" s="11" t="str">
        <f>IF(D2966&lt;&gt;"",IF(COUNTIF('USPTO TMs'!A:A,D2966)&gt;0,"Yes","No"),"")</f>
        <v/>
      </c>
      <c r="C2966" s="11"/>
      <c r="D2966" s="11"/>
      <c r="E2966" s="11"/>
      <c r="F2966" s="11"/>
      <c r="G2966" s="11"/>
      <c r="H2966" s="11"/>
      <c r="I2966" s="15"/>
    </row>
    <row r="2967" spans="1:9" ht="16.5">
      <c r="A2967" s="10" t="b">
        <v>0</v>
      </c>
      <c r="B2967" s="11" t="str">
        <f>IF(D2967&lt;&gt;"",IF(COUNTIF('USPTO TMs'!A:A,D2967)&gt;0,"Yes","No"),"")</f>
        <v/>
      </c>
      <c r="C2967" s="11"/>
      <c r="D2967" s="11"/>
      <c r="E2967" s="11"/>
      <c r="F2967" s="11"/>
      <c r="G2967" s="11"/>
      <c r="H2967" s="11"/>
      <c r="I2967" s="15"/>
    </row>
    <row r="2968" spans="1:9" ht="16.5">
      <c r="A2968" s="10" t="b">
        <v>0</v>
      </c>
      <c r="B2968" s="11" t="str">
        <f>IF(D2968&lt;&gt;"",IF(COUNTIF('USPTO TMs'!A:A,D2968)&gt;0,"Yes","No"),"")</f>
        <v/>
      </c>
      <c r="C2968" s="11"/>
      <c r="D2968" s="11"/>
      <c r="E2968" s="11"/>
      <c r="F2968" s="11"/>
      <c r="G2968" s="11"/>
      <c r="H2968" s="11"/>
      <c r="I2968" s="15"/>
    </row>
    <row r="2969" spans="1:9" ht="16.5">
      <c r="A2969" s="10" t="b">
        <v>0</v>
      </c>
      <c r="B2969" s="11" t="str">
        <f>IF(D2969&lt;&gt;"",IF(COUNTIF('USPTO TMs'!A:A,D2969)&gt;0,"Yes","No"),"")</f>
        <v/>
      </c>
      <c r="C2969" s="11"/>
      <c r="D2969" s="11"/>
      <c r="E2969" s="11"/>
      <c r="F2969" s="11"/>
      <c r="G2969" s="11"/>
      <c r="H2969" s="11"/>
      <c r="I2969" s="15"/>
    </row>
    <row r="2970" spans="1:9" ht="16.5">
      <c r="A2970" s="10" t="b">
        <v>0</v>
      </c>
      <c r="B2970" s="11" t="str">
        <f>IF(D2970&lt;&gt;"",IF(COUNTIF('USPTO TMs'!A:A,D2970)&gt;0,"Yes","No"),"")</f>
        <v/>
      </c>
      <c r="C2970" s="11"/>
      <c r="D2970" s="11"/>
      <c r="E2970" s="11"/>
      <c r="F2970" s="11"/>
      <c r="G2970" s="11"/>
      <c r="H2970" s="11"/>
      <c r="I2970" s="15"/>
    </row>
    <row r="2971" spans="1:9" ht="16.5">
      <c r="A2971" s="10" t="b">
        <v>0</v>
      </c>
      <c r="B2971" s="11" t="str">
        <f>IF(D2971&lt;&gt;"",IF(COUNTIF('USPTO TMs'!A:A,D2971)&gt;0,"Yes","No"),"")</f>
        <v/>
      </c>
      <c r="C2971" s="11"/>
      <c r="D2971" s="11"/>
      <c r="E2971" s="11"/>
      <c r="F2971" s="11"/>
      <c r="G2971" s="11"/>
      <c r="H2971" s="11"/>
      <c r="I2971" s="15"/>
    </row>
    <row r="2972" spans="1:9" ht="16.5">
      <c r="A2972" s="10" t="b">
        <v>0</v>
      </c>
      <c r="B2972" s="11" t="str">
        <f>IF(D2972&lt;&gt;"",IF(COUNTIF('USPTO TMs'!A:A,D2972)&gt;0,"Yes","No"),"")</f>
        <v/>
      </c>
      <c r="C2972" s="11"/>
      <c r="D2972" s="11"/>
      <c r="E2972" s="11"/>
      <c r="F2972" s="11"/>
      <c r="G2972" s="11"/>
      <c r="H2972" s="11"/>
      <c r="I2972" s="15"/>
    </row>
    <row r="2973" spans="1:9" ht="16.5">
      <c r="A2973" s="10" t="b">
        <v>0</v>
      </c>
      <c r="B2973" s="11" t="str">
        <f>IF(D2973&lt;&gt;"",IF(COUNTIF('USPTO TMs'!A:A,D2973)&gt;0,"Yes","No"),"")</f>
        <v/>
      </c>
      <c r="C2973" s="11"/>
      <c r="D2973" s="11"/>
      <c r="E2973" s="11"/>
      <c r="F2973" s="11"/>
      <c r="G2973" s="11"/>
      <c r="H2973" s="11"/>
      <c r="I2973" s="15"/>
    </row>
    <row r="2974" spans="1:9" ht="16.5">
      <c r="A2974" s="10" t="b">
        <v>0</v>
      </c>
      <c r="B2974" s="11" t="str">
        <f>IF(D2974&lt;&gt;"",IF(COUNTIF('USPTO TMs'!A:A,D2974)&gt;0,"Yes","No"),"")</f>
        <v/>
      </c>
      <c r="C2974" s="11"/>
      <c r="D2974" s="11"/>
      <c r="E2974" s="11"/>
      <c r="F2974" s="11"/>
      <c r="G2974" s="11"/>
      <c r="H2974" s="11"/>
      <c r="I2974" s="15"/>
    </row>
    <row r="2975" spans="1:9" ht="16.5">
      <c r="A2975" s="10" t="b">
        <v>0</v>
      </c>
      <c r="B2975" s="11" t="str">
        <f>IF(D2975&lt;&gt;"",IF(COUNTIF('USPTO TMs'!A:A,D2975)&gt;0,"Yes","No"),"")</f>
        <v/>
      </c>
      <c r="C2975" s="11"/>
      <c r="D2975" s="11"/>
      <c r="E2975" s="11"/>
      <c r="F2975" s="11"/>
      <c r="G2975" s="11"/>
      <c r="H2975" s="11"/>
      <c r="I2975" s="15"/>
    </row>
    <row r="2976" spans="1:9" ht="16.5">
      <c r="A2976" s="10" t="b">
        <v>0</v>
      </c>
      <c r="B2976" s="11" t="str">
        <f>IF(D2976&lt;&gt;"",IF(COUNTIF('USPTO TMs'!A:A,D2976)&gt;0,"Yes","No"),"")</f>
        <v/>
      </c>
      <c r="C2976" s="11"/>
      <c r="D2976" s="11"/>
      <c r="E2976" s="11"/>
      <c r="F2976" s="11"/>
      <c r="G2976" s="11"/>
      <c r="H2976" s="11"/>
      <c r="I2976" s="15"/>
    </row>
    <row r="2977" spans="1:9" ht="16.5">
      <c r="A2977" s="10" t="b">
        <v>0</v>
      </c>
      <c r="B2977" s="11" t="str">
        <f>IF(D2977&lt;&gt;"",IF(COUNTIF('USPTO TMs'!A:A,D2977)&gt;0,"Yes","No"),"")</f>
        <v/>
      </c>
      <c r="C2977" s="11"/>
      <c r="D2977" s="11"/>
      <c r="E2977" s="11"/>
      <c r="F2977" s="11"/>
      <c r="G2977" s="11"/>
      <c r="H2977" s="11"/>
      <c r="I2977" s="15"/>
    </row>
    <row r="2978" spans="1:9" ht="16.5">
      <c r="A2978" s="10" t="b">
        <v>0</v>
      </c>
      <c r="B2978" s="11" t="str">
        <f>IF(D2978&lt;&gt;"",IF(COUNTIF('USPTO TMs'!A:A,D2978)&gt;0,"Yes","No"),"")</f>
        <v/>
      </c>
      <c r="C2978" s="11"/>
      <c r="D2978" s="11"/>
      <c r="E2978" s="11"/>
      <c r="F2978" s="11"/>
      <c r="G2978" s="11"/>
      <c r="H2978" s="11"/>
      <c r="I2978" s="15"/>
    </row>
    <row r="2979" spans="1:9" ht="16.5">
      <c r="A2979" s="10" t="b">
        <v>0</v>
      </c>
      <c r="B2979" s="11" t="str">
        <f>IF(D2979&lt;&gt;"",IF(COUNTIF('USPTO TMs'!A:A,D2979)&gt;0,"Yes","No"),"")</f>
        <v/>
      </c>
      <c r="C2979" s="11"/>
      <c r="D2979" s="11"/>
      <c r="E2979" s="11"/>
      <c r="F2979" s="11"/>
      <c r="G2979" s="11"/>
      <c r="H2979" s="11"/>
      <c r="I2979" s="15"/>
    </row>
    <row r="2980" spans="1:9" ht="16.5">
      <c r="A2980" s="10" t="b">
        <v>0</v>
      </c>
      <c r="B2980" s="11" t="str">
        <f>IF(D2980&lt;&gt;"",IF(COUNTIF('USPTO TMs'!A:A,D2980)&gt;0,"Yes","No"),"")</f>
        <v/>
      </c>
      <c r="C2980" s="11"/>
      <c r="D2980" s="11"/>
      <c r="E2980" s="11"/>
      <c r="F2980" s="11"/>
      <c r="G2980" s="11"/>
      <c r="H2980" s="11"/>
      <c r="I2980" s="15"/>
    </row>
    <row r="2981" spans="1:9" ht="16.5">
      <c r="A2981" s="10" t="b">
        <v>0</v>
      </c>
      <c r="B2981" s="11" t="str">
        <f>IF(D2981&lt;&gt;"",IF(COUNTIF('USPTO TMs'!A:A,D2981)&gt;0,"Yes","No"),"")</f>
        <v/>
      </c>
      <c r="C2981" s="11"/>
      <c r="D2981" s="11"/>
      <c r="E2981" s="11"/>
      <c r="F2981" s="11"/>
      <c r="G2981" s="11"/>
      <c r="H2981" s="11"/>
      <c r="I2981" s="15"/>
    </row>
    <row r="2982" spans="1:9" ht="16.5">
      <c r="A2982" s="10" t="b">
        <v>0</v>
      </c>
      <c r="B2982" s="11" t="str">
        <f>IF(D2982&lt;&gt;"",IF(COUNTIF('USPTO TMs'!A:A,D2982)&gt;0,"Yes","No"),"")</f>
        <v/>
      </c>
      <c r="C2982" s="11"/>
      <c r="D2982" s="11"/>
      <c r="E2982" s="11"/>
      <c r="F2982" s="11"/>
      <c r="G2982" s="11"/>
      <c r="H2982" s="11"/>
      <c r="I2982" s="15"/>
    </row>
    <row r="2983" spans="1:9" ht="16.5">
      <c r="A2983" s="10" t="b">
        <v>0</v>
      </c>
      <c r="B2983" s="11" t="str">
        <f>IF(D2983&lt;&gt;"",IF(COUNTIF('USPTO TMs'!A:A,D2983)&gt;0,"Yes","No"),"")</f>
        <v/>
      </c>
      <c r="C2983" s="11"/>
      <c r="D2983" s="11"/>
      <c r="E2983" s="11"/>
      <c r="F2983" s="11"/>
      <c r="G2983" s="11"/>
      <c r="H2983" s="11"/>
      <c r="I2983" s="15"/>
    </row>
    <row r="2984" spans="1:9" ht="16.5">
      <c r="A2984" s="10" t="b">
        <v>0</v>
      </c>
      <c r="B2984" s="11" t="str">
        <f>IF(D2984&lt;&gt;"",IF(COUNTIF('USPTO TMs'!A:A,D2984)&gt;0,"Yes","No"),"")</f>
        <v/>
      </c>
      <c r="C2984" s="11"/>
      <c r="D2984" s="11"/>
      <c r="E2984" s="11"/>
      <c r="F2984" s="11"/>
      <c r="G2984" s="11"/>
      <c r="H2984" s="11"/>
      <c r="I2984" s="15"/>
    </row>
    <row r="2985" spans="1:9" ht="16.5">
      <c r="A2985" s="10" t="b">
        <v>0</v>
      </c>
      <c r="B2985" s="11" t="str">
        <f>IF(D2985&lt;&gt;"",IF(COUNTIF('USPTO TMs'!A:A,D2985)&gt;0,"Yes","No"),"")</f>
        <v/>
      </c>
      <c r="C2985" s="11"/>
      <c r="D2985" s="11"/>
      <c r="E2985" s="11"/>
      <c r="F2985" s="11"/>
      <c r="G2985" s="11"/>
      <c r="H2985" s="11"/>
      <c r="I2985" s="15"/>
    </row>
    <row r="2986" spans="1:9" ht="16.5">
      <c r="A2986" s="10" t="b">
        <v>0</v>
      </c>
      <c r="B2986" s="11" t="str">
        <f>IF(D2986&lt;&gt;"",IF(COUNTIF('USPTO TMs'!A:A,D2986)&gt;0,"Yes","No"),"")</f>
        <v/>
      </c>
      <c r="C2986" s="11"/>
      <c r="D2986" s="11"/>
      <c r="E2986" s="11"/>
      <c r="F2986" s="11"/>
      <c r="G2986" s="11"/>
      <c r="H2986" s="11"/>
      <c r="I2986" s="15"/>
    </row>
    <row r="2987" spans="1:9" ht="16.5">
      <c r="A2987" s="10" t="b">
        <v>0</v>
      </c>
      <c r="B2987" s="11" t="str">
        <f>IF(D2987&lt;&gt;"",IF(COUNTIF('USPTO TMs'!A:A,D2987)&gt;0,"Yes","No"),"")</f>
        <v/>
      </c>
      <c r="C2987" s="11"/>
      <c r="D2987" s="11"/>
      <c r="E2987" s="11"/>
      <c r="F2987" s="11"/>
      <c r="G2987" s="11"/>
      <c r="H2987" s="11"/>
      <c r="I2987" s="15"/>
    </row>
    <row r="2988" spans="1:9" ht="16.5">
      <c r="A2988" s="10" t="b">
        <v>0</v>
      </c>
      <c r="B2988" s="11" t="str">
        <f>IF(D2988&lt;&gt;"",IF(COUNTIF('USPTO TMs'!A:A,D2988)&gt;0,"Yes","No"),"")</f>
        <v/>
      </c>
      <c r="C2988" s="11"/>
      <c r="D2988" s="11"/>
      <c r="E2988" s="11"/>
      <c r="F2988" s="11"/>
      <c r="G2988" s="11"/>
      <c r="H2988" s="11"/>
      <c r="I2988" s="15"/>
    </row>
    <row r="2989" spans="1:9" ht="16.5">
      <c r="A2989" s="10" t="b">
        <v>0</v>
      </c>
      <c r="B2989" s="11" t="str">
        <f>IF(D2989&lt;&gt;"",IF(COUNTIF('USPTO TMs'!A:A,D2989)&gt;0,"Yes","No"),"")</f>
        <v/>
      </c>
      <c r="C2989" s="11"/>
      <c r="D2989" s="11"/>
      <c r="E2989" s="11"/>
      <c r="F2989" s="11"/>
      <c r="G2989" s="11"/>
      <c r="H2989" s="11"/>
      <c r="I2989" s="15"/>
    </row>
    <row r="2990" spans="1:9" ht="16.5">
      <c r="A2990" s="10" t="b">
        <v>0</v>
      </c>
      <c r="B2990" s="11" t="str">
        <f>IF(D2990&lt;&gt;"",IF(COUNTIF('USPTO TMs'!A:A,D2990)&gt;0,"Yes","No"),"")</f>
        <v/>
      </c>
      <c r="C2990" s="11"/>
      <c r="D2990" s="11"/>
      <c r="E2990" s="11"/>
      <c r="F2990" s="11"/>
      <c r="G2990" s="11"/>
      <c r="H2990" s="11"/>
      <c r="I2990" s="15"/>
    </row>
    <row r="2991" spans="1:9" ht="16.5">
      <c r="A2991" s="10" t="b">
        <v>0</v>
      </c>
      <c r="B2991" s="11" t="str">
        <f>IF(D2991&lt;&gt;"",IF(COUNTIF('USPTO TMs'!A:A,D2991)&gt;0,"Yes","No"),"")</f>
        <v/>
      </c>
      <c r="C2991" s="11"/>
      <c r="D2991" s="11"/>
      <c r="E2991" s="11"/>
      <c r="F2991" s="11"/>
      <c r="G2991" s="11"/>
      <c r="H2991" s="11"/>
      <c r="I2991" s="15"/>
    </row>
    <row r="2992" spans="1:9" ht="16.5">
      <c r="A2992" s="10" t="b">
        <v>0</v>
      </c>
      <c r="B2992" s="11" t="str">
        <f>IF(D2992&lt;&gt;"",IF(COUNTIF('USPTO TMs'!A:A,D2992)&gt;0,"Yes","No"),"")</f>
        <v/>
      </c>
      <c r="C2992" s="11"/>
      <c r="D2992" s="11"/>
      <c r="E2992" s="11"/>
      <c r="F2992" s="11"/>
      <c r="G2992" s="11"/>
      <c r="H2992" s="11"/>
      <c r="I2992" s="15"/>
    </row>
    <row r="2993" spans="1:9" ht="16.5">
      <c r="A2993" s="10" t="b">
        <v>0</v>
      </c>
      <c r="B2993" s="11" t="str">
        <f>IF(D2993&lt;&gt;"",IF(COUNTIF('USPTO TMs'!A:A,D2993)&gt;0,"Yes","No"),"")</f>
        <v/>
      </c>
      <c r="C2993" s="11"/>
      <c r="D2993" s="11"/>
      <c r="E2993" s="11"/>
      <c r="F2993" s="11"/>
      <c r="G2993" s="11"/>
      <c r="H2993" s="11"/>
      <c r="I2993" s="15"/>
    </row>
    <row r="2994" spans="1:9" ht="16.5">
      <c r="A2994" s="10" t="b">
        <v>0</v>
      </c>
      <c r="B2994" s="11" t="str">
        <f>IF(D2994&lt;&gt;"",IF(COUNTIF('USPTO TMs'!A:A,D2994)&gt;0,"Yes","No"),"")</f>
        <v/>
      </c>
      <c r="C2994" s="11"/>
      <c r="D2994" s="11"/>
      <c r="E2994" s="11"/>
      <c r="F2994" s="11"/>
      <c r="G2994" s="11"/>
      <c r="H2994" s="11"/>
      <c r="I2994" s="15"/>
    </row>
    <row r="2995" spans="1:9" ht="16.5">
      <c r="A2995" s="10" t="b">
        <v>0</v>
      </c>
      <c r="B2995" s="11" t="str">
        <f>IF(D2995&lt;&gt;"",IF(COUNTIF('USPTO TMs'!A:A,D2995)&gt;0,"Yes","No"),"")</f>
        <v/>
      </c>
      <c r="C2995" s="11"/>
      <c r="D2995" s="11"/>
      <c r="E2995" s="11"/>
      <c r="F2995" s="11"/>
      <c r="G2995" s="11"/>
      <c r="H2995" s="11"/>
      <c r="I2995" s="15"/>
    </row>
    <row r="2996" spans="1:9" ht="16.5">
      <c r="A2996" s="10" t="b">
        <v>0</v>
      </c>
      <c r="B2996" s="11" t="str">
        <f>IF(D2996&lt;&gt;"",IF(COUNTIF('USPTO TMs'!A:A,D2996)&gt;0,"Yes","No"),"")</f>
        <v/>
      </c>
      <c r="C2996" s="11"/>
      <c r="D2996" s="11"/>
      <c r="E2996" s="11"/>
      <c r="F2996" s="11"/>
      <c r="G2996" s="11"/>
      <c r="H2996" s="11"/>
      <c r="I2996" s="15"/>
    </row>
    <row r="2997" spans="1:9" ht="16.5">
      <c r="A2997" s="10" t="b">
        <v>0</v>
      </c>
      <c r="B2997" s="11" t="str">
        <f>IF(D2997&lt;&gt;"",IF(COUNTIF('USPTO TMs'!A:A,D2997)&gt;0,"Yes","No"),"")</f>
        <v/>
      </c>
      <c r="C2997" s="11"/>
      <c r="D2997" s="11"/>
      <c r="E2997" s="11"/>
      <c r="F2997" s="11"/>
      <c r="G2997" s="11"/>
      <c r="H2997" s="11"/>
      <c r="I2997" s="15"/>
    </row>
    <row r="2998" spans="1:9" ht="16.5">
      <c r="A2998" s="10" t="b">
        <v>0</v>
      </c>
      <c r="B2998" s="11" t="str">
        <f>IF(D2998&lt;&gt;"",IF(COUNTIF('USPTO TMs'!A:A,D2998)&gt;0,"Yes","No"),"")</f>
        <v/>
      </c>
      <c r="C2998" s="11"/>
      <c r="D2998" s="11"/>
      <c r="E2998" s="11"/>
      <c r="F2998" s="11"/>
      <c r="G2998" s="11"/>
      <c r="H2998" s="11"/>
      <c r="I2998" s="15"/>
    </row>
    <row r="2999" spans="1:9" ht="16.5">
      <c r="A2999" s="10" t="b">
        <v>0</v>
      </c>
      <c r="B2999" s="11" t="str">
        <f>IF(D2999&lt;&gt;"",IF(COUNTIF('USPTO TMs'!A:A,D2999)&gt;0,"Yes","No"),"")</f>
        <v/>
      </c>
      <c r="C2999" s="11"/>
      <c r="D2999" s="11"/>
      <c r="E2999" s="11"/>
      <c r="F2999" s="11"/>
      <c r="G2999" s="11"/>
      <c r="H2999" s="11"/>
      <c r="I2999" s="15"/>
    </row>
    <row r="3000" spans="1:9" ht="16.5">
      <c r="A3000" s="10" t="b">
        <v>0</v>
      </c>
      <c r="B3000" s="11" t="str">
        <f>IF(D3000&lt;&gt;"",IF(COUNTIF('USPTO TMs'!A:A,D3000)&gt;0,"Yes","No"),"")</f>
        <v/>
      </c>
      <c r="C3000" s="11"/>
      <c r="D3000" s="11"/>
      <c r="E3000" s="11"/>
      <c r="F3000" s="11"/>
      <c r="G3000" s="11"/>
      <c r="H3000" s="11"/>
      <c r="I3000" s="15"/>
    </row>
    <row r="3001" spans="1:9" ht="16.5">
      <c r="A3001" s="10" t="b">
        <v>0</v>
      </c>
      <c r="B3001" s="11" t="str">
        <f>IF(D3001&lt;&gt;"",IF(COUNTIF('USPTO TMs'!A:A,D3001)&gt;0,"Yes","No"),"")</f>
        <v/>
      </c>
      <c r="C3001" s="11"/>
      <c r="D3001" s="11"/>
      <c r="E3001" s="11"/>
      <c r="F3001" s="11"/>
      <c r="G3001" s="11"/>
      <c r="H3001" s="11"/>
      <c r="I3001" s="15"/>
    </row>
    <row r="3002" spans="1:9" ht="16.5">
      <c r="A3002" s="10" t="b">
        <v>0</v>
      </c>
      <c r="B3002" s="11" t="str">
        <f>IF(D3002&lt;&gt;"",IF(COUNTIF('USPTO TMs'!A:A,D3002)&gt;0,"Yes","No"),"")</f>
        <v/>
      </c>
      <c r="C3002" s="11"/>
      <c r="D3002" s="11"/>
      <c r="E3002" s="11"/>
      <c r="F3002" s="11"/>
      <c r="G3002" s="11"/>
      <c r="H3002" s="11"/>
      <c r="I3002" s="15"/>
    </row>
    <row r="3003" spans="1:9" ht="16.5">
      <c r="A3003" s="10" t="b">
        <v>0</v>
      </c>
      <c r="B3003" s="11" t="str">
        <f>IF(D3003&lt;&gt;"",IF(COUNTIF('USPTO TMs'!A:A,D3003)&gt;0,"Yes","No"),"")</f>
        <v/>
      </c>
      <c r="C3003" s="11"/>
      <c r="D3003" s="11"/>
      <c r="E3003" s="11"/>
      <c r="F3003" s="11"/>
      <c r="G3003" s="11"/>
      <c r="H3003" s="11"/>
      <c r="I3003" s="15"/>
    </row>
    <row r="3004" spans="1:9" ht="16.5">
      <c r="A3004" s="10" t="b">
        <v>0</v>
      </c>
      <c r="B3004" s="11" t="str">
        <f>IF(D3004&lt;&gt;"",IF(COUNTIF('USPTO TMs'!A:A,D3004)&gt;0,"Yes","No"),"")</f>
        <v/>
      </c>
      <c r="C3004" s="11"/>
      <c r="D3004" s="11"/>
      <c r="E3004" s="11"/>
      <c r="F3004" s="11"/>
      <c r="G3004" s="11"/>
      <c r="H3004" s="11"/>
      <c r="I3004" s="15"/>
    </row>
    <row r="3005" spans="1:9" ht="16.5">
      <c r="A3005" s="10" t="b">
        <v>0</v>
      </c>
      <c r="B3005" s="11" t="str">
        <f>IF(D3005&lt;&gt;"",IF(COUNTIF('USPTO TMs'!A:A,D3005)&gt;0,"Yes","No"),"")</f>
        <v/>
      </c>
      <c r="C3005" s="11"/>
      <c r="D3005" s="11"/>
      <c r="E3005" s="11"/>
      <c r="F3005" s="11"/>
      <c r="G3005" s="11"/>
      <c r="H3005" s="11"/>
      <c r="I3005" s="15"/>
    </row>
    <row r="3006" spans="1:9" ht="16.5">
      <c r="A3006" s="10" t="b">
        <v>0</v>
      </c>
      <c r="B3006" s="11" t="str">
        <f>IF(D3006&lt;&gt;"",IF(COUNTIF('USPTO TMs'!A:A,D3006)&gt;0,"Yes","No"),"")</f>
        <v/>
      </c>
      <c r="C3006" s="11"/>
      <c r="D3006" s="11"/>
      <c r="E3006" s="11"/>
      <c r="F3006" s="11"/>
      <c r="G3006" s="11"/>
      <c r="H3006" s="11"/>
      <c r="I3006" s="15"/>
    </row>
    <row r="3007" spans="1:9" ht="16.5">
      <c r="A3007" s="10" t="b">
        <v>0</v>
      </c>
      <c r="B3007" s="11" t="str">
        <f>IF(D3007&lt;&gt;"",IF(COUNTIF('USPTO TMs'!A:A,D3007)&gt;0,"Yes","No"),"")</f>
        <v/>
      </c>
      <c r="C3007" s="11"/>
      <c r="D3007" s="11"/>
      <c r="E3007" s="11"/>
      <c r="F3007" s="11"/>
      <c r="G3007" s="11"/>
      <c r="H3007" s="11"/>
      <c r="I3007" s="15"/>
    </row>
    <row r="3008" spans="1:9" ht="16.5">
      <c r="A3008" s="10" t="b">
        <v>0</v>
      </c>
      <c r="B3008" s="11" t="str">
        <f>IF(D3008&lt;&gt;"",IF(COUNTIF('USPTO TMs'!A:A,D3008)&gt;0,"Yes","No"),"")</f>
        <v/>
      </c>
      <c r="C3008" s="11"/>
      <c r="D3008" s="11"/>
      <c r="E3008" s="11"/>
      <c r="F3008" s="11"/>
      <c r="G3008" s="11"/>
      <c r="H3008" s="11"/>
      <c r="I3008" s="15"/>
    </row>
    <row r="3009" spans="1:9" ht="16.5">
      <c r="A3009" s="10" t="b">
        <v>0</v>
      </c>
      <c r="B3009" s="11" t="str">
        <f>IF(D3009&lt;&gt;"",IF(COUNTIF('USPTO TMs'!A:A,D3009)&gt;0,"Yes","No"),"")</f>
        <v/>
      </c>
      <c r="C3009" s="11"/>
      <c r="D3009" s="11"/>
      <c r="E3009" s="11"/>
      <c r="F3009" s="11"/>
      <c r="G3009" s="11"/>
      <c r="H3009" s="11"/>
      <c r="I3009" s="15"/>
    </row>
    <row r="3010" spans="1:9" ht="16.5">
      <c r="A3010" s="10" t="b">
        <v>0</v>
      </c>
      <c r="B3010" s="11" t="str">
        <f>IF(D3010&lt;&gt;"",IF(COUNTIF('USPTO TMs'!A:A,D3010)&gt;0,"Yes","No"),"")</f>
        <v/>
      </c>
      <c r="C3010" s="11"/>
      <c r="D3010" s="11"/>
      <c r="E3010" s="11"/>
      <c r="F3010" s="11"/>
      <c r="G3010" s="11"/>
      <c r="H3010" s="11"/>
      <c r="I3010" s="15"/>
    </row>
    <row r="3011" spans="1:9" ht="16.5">
      <c r="A3011" s="10" t="b">
        <v>0</v>
      </c>
      <c r="B3011" s="11" t="str">
        <f>IF(D3011&lt;&gt;"",IF(COUNTIF('USPTO TMs'!A:A,D3011)&gt;0,"Yes","No"),"")</f>
        <v/>
      </c>
      <c r="C3011" s="11"/>
      <c r="D3011" s="11"/>
      <c r="E3011" s="11"/>
      <c r="F3011" s="11"/>
      <c r="G3011" s="11"/>
      <c r="H3011" s="11"/>
      <c r="I3011" s="15"/>
    </row>
    <row r="3012" spans="1:9" ht="16.5">
      <c r="A3012" s="10" t="b">
        <v>0</v>
      </c>
      <c r="B3012" s="11" t="str">
        <f>IF(D3012&lt;&gt;"",IF(COUNTIF('USPTO TMs'!A:A,D3012)&gt;0,"Yes","No"),"")</f>
        <v/>
      </c>
      <c r="C3012" s="11"/>
      <c r="D3012" s="11"/>
      <c r="E3012" s="11"/>
      <c r="F3012" s="11"/>
      <c r="G3012" s="11"/>
      <c r="H3012" s="11"/>
      <c r="I3012" s="15"/>
    </row>
    <row r="3013" spans="1:9" ht="16.5">
      <c r="A3013" s="10" t="b">
        <v>0</v>
      </c>
      <c r="B3013" s="11" t="str">
        <f>IF(D3013&lt;&gt;"",IF(COUNTIF('USPTO TMs'!A:A,D3013)&gt;0,"Yes","No"),"")</f>
        <v/>
      </c>
      <c r="C3013" s="11"/>
      <c r="D3013" s="11"/>
      <c r="E3013" s="11"/>
      <c r="F3013" s="11"/>
      <c r="G3013" s="11"/>
      <c r="H3013" s="11"/>
      <c r="I3013" s="15"/>
    </row>
    <row r="3014" spans="1:9" ht="16.5">
      <c r="A3014" s="10" t="b">
        <v>0</v>
      </c>
      <c r="B3014" s="11" t="str">
        <f>IF(D3014&lt;&gt;"",IF(COUNTIF('USPTO TMs'!A:A,D3014)&gt;0,"Yes","No"),"")</f>
        <v/>
      </c>
      <c r="C3014" s="11"/>
      <c r="D3014" s="11"/>
      <c r="E3014" s="11"/>
      <c r="F3014" s="11"/>
      <c r="G3014" s="11"/>
      <c r="H3014" s="11"/>
      <c r="I3014" s="15"/>
    </row>
    <row r="3015" spans="1:9" ht="16.5">
      <c r="A3015" s="10" t="b">
        <v>0</v>
      </c>
      <c r="B3015" s="11" t="str">
        <f>IF(D3015&lt;&gt;"",IF(COUNTIF('USPTO TMs'!A:A,D3015)&gt;0,"Yes","No"),"")</f>
        <v/>
      </c>
      <c r="C3015" s="11"/>
      <c r="D3015" s="11"/>
      <c r="E3015" s="11"/>
      <c r="F3015" s="11"/>
      <c r="G3015" s="11"/>
      <c r="H3015" s="11"/>
      <c r="I3015" s="15"/>
    </row>
    <row r="3016" spans="1:9" ht="16.5">
      <c r="A3016" s="10" t="b">
        <v>0</v>
      </c>
      <c r="B3016" s="11" t="str">
        <f>IF(D3016&lt;&gt;"",IF(COUNTIF('USPTO TMs'!A:A,D3016)&gt;0,"Yes","No"),"")</f>
        <v/>
      </c>
      <c r="C3016" s="11"/>
      <c r="D3016" s="11"/>
      <c r="E3016" s="11"/>
      <c r="F3016" s="11"/>
      <c r="G3016" s="11"/>
      <c r="H3016" s="11"/>
      <c r="I3016" s="15"/>
    </row>
    <row r="3017" spans="1:9" ht="16.5">
      <c r="A3017" s="10" t="b">
        <v>0</v>
      </c>
      <c r="B3017" s="11" t="str">
        <f>IF(D3017&lt;&gt;"",IF(COUNTIF('USPTO TMs'!A:A,D3017)&gt;0,"Yes","No"),"")</f>
        <v/>
      </c>
      <c r="C3017" s="11"/>
      <c r="D3017" s="11"/>
      <c r="E3017" s="11"/>
      <c r="F3017" s="11"/>
      <c r="G3017" s="11"/>
      <c r="H3017" s="11"/>
      <c r="I3017" s="15"/>
    </row>
    <row r="3018" spans="1:9" ht="16.5">
      <c r="A3018" s="10" t="b">
        <v>0</v>
      </c>
      <c r="B3018" s="11" t="str">
        <f>IF(D3018&lt;&gt;"",IF(COUNTIF('USPTO TMs'!A:A,D3018)&gt;0,"Yes","No"),"")</f>
        <v/>
      </c>
      <c r="C3018" s="11"/>
      <c r="D3018" s="11"/>
      <c r="E3018" s="11"/>
      <c r="F3018" s="11"/>
      <c r="G3018" s="11"/>
      <c r="H3018" s="11"/>
      <c r="I3018" s="15"/>
    </row>
    <row r="3019" spans="1:9" ht="16.5">
      <c r="A3019" s="10" t="b">
        <v>0</v>
      </c>
      <c r="B3019" s="11" t="str">
        <f>IF(D3019&lt;&gt;"",IF(COUNTIF('USPTO TMs'!A:A,D3019)&gt;0,"Yes","No"),"")</f>
        <v/>
      </c>
      <c r="C3019" s="11"/>
      <c r="D3019" s="11"/>
      <c r="E3019" s="11"/>
      <c r="F3019" s="11"/>
      <c r="G3019" s="11"/>
      <c r="H3019" s="11"/>
      <c r="I3019" s="15"/>
    </row>
    <row r="3020" spans="1:9" ht="16.5">
      <c r="A3020" s="10" t="b">
        <v>0</v>
      </c>
      <c r="B3020" s="11" t="str">
        <f>IF(D3020&lt;&gt;"",IF(COUNTIF('USPTO TMs'!A:A,D3020)&gt;0,"Yes","No"),"")</f>
        <v/>
      </c>
      <c r="C3020" s="11"/>
      <c r="D3020" s="11"/>
      <c r="E3020" s="11"/>
      <c r="F3020" s="11"/>
      <c r="G3020" s="11"/>
      <c r="H3020" s="11"/>
      <c r="I3020" s="15"/>
    </row>
    <row r="3021" spans="1:9" ht="16.5">
      <c r="A3021" s="10" t="b">
        <v>0</v>
      </c>
      <c r="B3021" s="11" t="str">
        <f>IF(D3021&lt;&gt;"",IF(COUNTIF('USPTO TMs'!A:A,D3021)&gt;0,"Yes","No"),"")</f>
        <v/>
      </c>
      <c r="C3021" s="11"/>
      <c r="D3021" s="11"/>
      <c r="E3021" s="11"/>
      <c r="F3021" s="11"/>
      <c r="G3021" s="11"/>
      <c r="H3021" s="11"/>
      <c r="I3021" s="15"/>
    </row>
    <row r="3022" spans="1:9" ht="16.5">
      <c r="A3022" s="10" t="b">
        <v>0</v>
      </c>
      <c r="B3022" s="11" t="str">
        <f>IF(D3022&lt;&gt;"",IF(COUNTIF('USPTO TMs'!A:A,D3022)&gt;0,"Yes","No"),"")</f>
        <v/>
      </c>
      <c r="C3022" s="11"/>
      <c r="D3022" s="11"/>
      <c r="E3022" s="11"/>
      <c r="F3022" s="11"/>
      <c r="G3022" s="11"/>
      <c r="H3022" s="11"/>
      <c r="I3022" s="15"/>
    </row>
    <row r="3023" spans="1:9" ht="16.5">
      <c r="A3023" s="10" t="b">
        <v>0</v>
      </c>
      <c r="B3023" s="11" t="str">
        <f>IF(D3023&lt;&gt;"",IF(COUNTIF('USPTO TMs'!A:A,D3023)&gt;0,"Yes","No"),"")</f>
        <v/>
      </c>
      <c r="C3023" s="11"/>
      <c r="D3023" s="11"/>
      <c r="E3023" s="11"/>
      <c r="F3023" s="11"/>
      <c r="G3023" s="11"/>
      <c r="H3023" s="11"/>
      <c r="I3023" s="15"/>
    </row>
    <row r="3024" spans="1:9" ht="16.5">
      <c r="A3024" s="10" t="b">
        <v>0</v>
      </c>
      <c r="B3024" s="11" t="str">
        <f>IF(D3024&lt;&gt;"",IF(COUNTIF('USPTO TMs'!A:A,D3024)&gt;0,"Yes","No"),"")</f>
        <v/>
      </c>
      <c r="C3024" s="11"/>
      <c r="D3024" s="11"/>
      <c r="E3024" s="11"/>
      <c r="F3024" s="11"/>
      <c r="G3024" s="11"/>
      <c r="H3024" s="11"/>
      <c r="I3024" s="15"/>
    </row>
    <row r="3025" spans="1:9" ht="16.5">
      <c r="A3025" s="10" t="b">
        <v>0</v>
      </c>
      <c r="B3025" s="11" t="str">
        <f>IF(D3025&lt;&gt;"",IF(COUNTIF('USPTO TMs'!A:A,D3025)&gt;0,"Yes","No"),"")</f>
        <v/>
      </c>
      <c r="C3025" s="11"/>
      <c r="D3025" s="11"/>
      <c r="E3025" s="11"/>
      <c r="F3025" s="11"/>
      <c r="G3025" s="11"/>
      <c r="H3025" s="11"/>
      <c r="I3025" s="15"/>
    </row>
    <row r="3026" spans="1:9" ht="16.5">
      <c r="A3026" s="10" t="b">
        <v>0</v>
      </c>
      <c r="B3026" s="11" t="str">
        <f>IF(D3026&lt;&gt;"",IF(COUNTIF('USPTO TMs'!A:A,D3026)&gt;0,"Yes","No"),"")</f>
        <v/>
      </c>
      <c r="C3026" s="11"/>
      <c r="D3026" s="11"/>
      <c r="E3026" s="11"/>
      <c r="F3026" s="11"/>
      <c r="G3026" s="11"/>
      <c r="H3026" s="11"/>
      <c r="I3026" s="15"/>
    </row>
    <row r="3027" spans="1:9" ht="16.5">
      <c r="A3027" s="10" t="b">
        <v>0</v>
      </c>
      <c r="B3027" s="11" t="str">
        <f>IF(D3027&lt;&gt;"",IF(COUNTIF('USPTO TMs'!A:A,D3027)&gt;0,"Yes","No"),"")</f>
        <v/>
      </c>
      <c r="C3027" s="11"/>
      <c r="D3027" s="11"/>
      <c r="E3027" s="11"/>
      <c r="F3027" s="11"/>
      <c r="G3027" s="11"/>
      <c r="H3027" s="11"/>
      <c r="I3027" s="15"/>
    </row>
    <row r="3028" spans="1:9" ht="16.5">
      <c r="A3028" s="10" t="b">
        <v>0</v>
      </c>
      <c r="B3028" s="11" t="str">
        <f>IF(D3028&lt;&gt;"",IF(COUNTIF('USPTO TMs'!A:A,D3028)&gt;0,"Yes","No"),"")</f>
        <v/>
      </c>
      <c r="C3028" s="11"/>
      <c r="D3028" s="11"/>
      <c r="E3028" s="11"/>
      <c r="F3028" s="11"/>
      <c r="G3028" s="11"/>
      <c r="H3028" s="11"/>
      <c r="I3028" s="15"/>
    </row>
    <row r="3029" spans="1:9" ht="16.5">
      <c r="A3029" s="10" t="b">
        <v>0</v>
      </c>
      <c r="B3029" s="11" t="str">
        <f>IF(D3029&lt;&gt;"",IF(COUNTIF('USPTO TMs'!A:A,D3029)&gt;0,"Yes","No"),"")</f>
        <v/>
      </c>
      <c r="C3029" s="11"/>
      <c r="D3029" s="11"/>
      <c r="E3029" s="11"/>
      <c r="F3029" s="11"/>
      <c r="G3029" s="11"/>
      <c r="H3029" s="11"/>
      <c r="I3029" s="15"/>
    </row>
    <row r="3030" spans="1:9" ht="16.5">
      <c r="A3030" s="10" t="b">
        <v>0</v>
      </c>
      <c r="B3030" s="11" t="str">
        <f>IF(D3030&lt;&gt;"",IF(COUNTIF('USPTO TMs'!A:A,D3030)&gt;0,"Yes","No"),"")</f>
        <v/>
      </c>
      <c r="C3030" s="11"/>
      <c r="D3030" s="11"/>
      <c r="E3030" s="11"/>
      <c r="F3030" s="11"/>
      <c r="G3030" s="11"/>
      <c r="H3030" s="11"/>
      <c r="I3030" s="15"/>
    </row>
    <row r="3031" spans="1:9" ht="16.5">
      <c r="A3031" s="10" t="b">
        <v>0</v>
      </c>
      <c r="B3031" s="11" t="str">
        <f>IF(D3031&lt;&gt;"",IF(COUNTIF('USPTO TMs'!A:A,D3031)&gt;0,"Yes","No"),"")</f>
        <v/>
      </c>
      <c r="C3031" s="11"/>
      <c r="D3031" s="11"/>
      <c r="E3031" s="11"/>
      <c r="F3031" s="11"/>
      <c r="G3031" s="11"/>
      <c r="H3031" s="11"/>
      <c r="I3031" s="15"/>
    </row>
    <row r="3032" spans="1:9" ht="16.5">
      <c r="A3032" s="10" t="b">
        <v>0</v>
      </c>
      <c r="B3032" s="11" t="str">
        <f>IF(D3032&lt;&gt;"",IF(COUNTIF('USPTO TMs'!A:A,D3032)&gt;0,"Yes","No"),"")</f>
        <v/>
      </c>
      <c r="C3032" s="11"/>
      <c r="D3032" s="11"/>
      <c r="E3032" s="11"/>
      <c r="F3032" s="11"/>
      <c r="G3032" s="11"/>
      <c r="H3032" s="11"/>
      <c r="I3032" s="15"/>
    </row>
    <row r="3033" spans="1:9" ht="16.5">
      <c r="A3033" s="10" t="b">
        <v>0</v>
      </c>
      <c r="B3033" s="11" t="str">
        <f>IF(D3033&lt;&gt;"",IF(COUNTIF('USPTO TMs'!A:A,D3033)&gt;0,"Yes","No"),"")</f>
        <v/>
      </c>
      <c r="C3033" s="11"/>
      <c r="D3033" s="11"/>
      <c r="E3033" s="11"/>
      <c r="F3033" s="11"/>
      <c r="G3033" s="11"/>
      <c r="H3033" s="11"/>
      <c r="I3033" s="15"/>
    </row>
    <row r="3034" spans="1:9" ht="16.5">
      <c r="A3034" s="10" t="b">
        <v>0</v>
      </c>
      <c r="B3034" s="11" t="str">
        <f>IF(D3034&lt;&gt;"",IF(COUNTIF('USPTO TMs'!A:A,D3034)&gt;0,"Yes","No"),"")</f>
        <v/>
      </c>
      <c r="C3034" s="11"/>
      <c r="D3034" s="11"/>
      <c r="E3034" s="11"/>
      <c r="F3034" s="11"/>
      <c r="G3034" s="11"/>
      <c r="H3034" s="11"/>
      <c r="I3034" s="15"/>
    </row>
    <row r="3035" spans="1:9" ht="16.5">
      <c r="A3035" s="10" t="b">
        <v>0</v>
      </c>
      <c r="B3035" s="11" t="str">
        <f>IF(D3035&lt;&gt;"",IF(COUNTIF('USPTO TMs'!A:A,D3035)&gt;0,"Yes","No"),"")</f>
        <v/>
      </c>
      <c r="C3035" s="11"/>
      <c r="D3035" s="11"/>
      <c r="E3035" s="11"/>
      <c r="F3035" s="11"/>
      <c r="G3035" s="11"/>
      <c r="H3035" s="11"/>
      <c r="I3035" s="15"/>
    </row>
    <row r="3036" spans="1:9" ht="16.5">
      <c r="A3036" s="10" t="b">
        <v>0</v>
      </c>
      <c r="B3036" s="11" t="str">
        <f>IF(D3036&lt;&gt;"",IF(COUNTIF('USPTO TMs'!A:A,D3036)&gt;0,"Yes","No"),"")</f>
        <v/>
      </c>
      <c r="C3036" s="11"/>
      <c r="D3036" s="11"/>
      <c r="E3036" s="11"/>
      <c r="F3036" s="11"/>
      <c r="G3036" s="11"/>
      <c r="H3036" s="11"/>
      <c r="I3036" s="15"/>
    </row>
    <row r="3037" spans="1:9" ht="16.5">
      <c r="A3037" s="10" t="b">
        <v>0</v>
      </c>
      <c r="B3037" s="11" t="str">
        <f>IF(D3037&lt;&gt;"",IF(COUNTIF('USPTO TMs'!A:A,D3037)&gt;0,"Yes","No"),"")</f>
        <v/>
      </c>
      <c r="C3037" s="11"/>
      <c r="D3037" s="11"/>
      <c r="E3037" s="11"/>
      <c r="F3037" s="11"/>
      <c r="G3037" s="11"/>
      <c r="H3037" s="11"/>
      <c r="I3037" s="15"/>
    </row>
    <row r="3038" spans="1:9" ht="16.5">
      <c r="A3038" s="10" t="b">
        <v>0</v>
      </c>
      <c r="B3038" s="11" t="str">
        <f>IF(D3038&lt;&gt;"",IF(COUNTIF('USPTO TMs'!A:A,D3038)&gt;0,"Yes","No"),"")</f>
        <v/>
      </c>
      <c r="C3038" s="11"/>
      <c r="D3038" s="11"/>
      <c r="E3038" s="11"/>
      <c r="F3038" s="11"/>
      <c r="G3038" s="11"/>
      <c r="H3038" s="11"/>
      <c r="I3038" s="15"/>
    </row>
    <row r="3039" spans="1:9" ht="16.5">
      <c r="A3039" s="10" t="b">
        <v>0</v>
      </c>
      <c r="B3039" s="11" t="str">
        <f>IF(D3039&lt;&gt;"",IF(COUNTIF('USPTO TMs'!A:A,D3039)&gt;0,"Yes","No"),"")</f>
        <v/>
      </c>
      <c r="C3039" s="11"/>
      <c r="D3039" s="11"/>
      <c r="E3039" s="11"/>
      <c r="F3039" s="11"/>
      <c r="G3039" s="11"/>
      <c r="H3039" s="11"/>
      <c r="I3039" s="15"/>
    </row>
    <row r="3040" spans="1:9" ht="16.5">
      <c r="A3040" s="10" t="b">
        <v>0</v>
      </c>
      <c r="B3040" s="11" t="str">
        <f>IF(D3040&lt;&gt;"",IF(COUNTIF('USPTO TMs'!A:A,D3040)&gt;0,"Yes","No"),"")</f>
        <v/>
      </c>
      <c r="C3040" s="11"/>
      <c r="D3040" s="11"/>
      <c r="E3040" s="11"/>
      <c r="F3040" s="11"/>
      <c r="G3040" s="11"/>
      <c r="H3040" s="11"/>
      <c r="I3040" s="15"/>
    </row>
    <row r="3041" spans="1:9" ht="16.5">
      <c r="A3041" s="10" t="b">
        <v>0</v>
      </c>
      <c r="B3041" s="11" t="str">
        <f>IF(D3041&lt;&gt;"",IF(COUNTIF('USPTO TMs'!A:A,D3041)&gt;0,"Yes","No"),"")</f>
        <v/>
      </c>
      <c r="C3041" s="11"/>
      <c r="D3041" s="11"/>
      <c r="E3041" s="11"/>
      <c r="F3041" s="11"/>
      <c r="G3041" s="11"/>
      <c r="H3041" s="11"/>
      <c r="I3041" s="15"/>
    </row>
    <row r="3042" spans="1:9" ht="16.5">
      <c r="A3042" s="10" t="b">
        <v>0</v>
      </c>
      <c r="B3042" s="11" t="str">
        <f>IF(D3042&lt;&gt;"",IF(COUNTIF('USPTO TMs'!A:A,D3042)&gt;0,"Yes","No"),"")</f>
        <v/>
      </c>
      <c r="C3042" s="11"/>
      <c r="D3042" s="11"/>
      <c r="E3042" s="11"/>
      <c r="F3042" s="11"/>
      <c r="G3042" s="11"/>
      <c r="H3042" s="11"/>
      <c r="I3042" s="15"/>
    </row>
    <row r="3043" spans="1:9" ht="16.5">
      <c r="A3043" s="10" t="b">
        <v>0</v>
      </c>
      <c r="B3043" s="11" t="str">
        <f>IF(D3043&lt;&gt;"",IF(COUNTIF('USPTO TMs'!A:A,D3043)&gt;0,"Yes","No"),"")</f>
        <v/>
      </c>
      <c r="C3043" s="11"/>
      <c r="D3043" s="11"/>
      <c r="E3043" s="11"/>
      <c r="F3043" s="11"/>
      <c r="G3043" s="11"/>
      <c r="H3043" s="11"/>
      <c r="I3043" s="15"/>
    </row>
    <row r="3044" spans="1:9" ht="16.5">
      <c r="A3044" s="10" t="b">
        <v>0</v>
      </c>
      <c r="B3044" s="11" t="str">
        <f>IF(D3044&lt;&gt;"",IF(COUNTIF('USPTO TMs'!A:A,D3044)&gt;0,"Yes","No"),"")</f>
        <v/>
      </c>
      <c r="C3044" s="11"/>
      <c r="D3044" s="11"/>
      <c r="E3044" s="11"/>
      <c r="F3044" s="11"/>
      <c r="G3044" s="11"/>
      <c r="H3044" s="11"/>
      <c r="I3044" s="15"/>
    </row>
    <row r="3045" spans="1:9" ht="16.5">
      <c r="A3045" s="10" t="b">
        <v>0</v>
      </c>
      <c r="B3045" s="11" t="str">
        <f>IF(D3045&lt;&gt;"",IF(COUNTIF('USPTO TMs'!A:A,D3045)&gt;0,"Yes","No"),"")</f>
        <v/>
      </c>
      <c r="C3045" s="11"/>
      <c r="D3045" s="11"/>
      <c r="E3045" s="11"/>
      <c r="F3045" s="11"/>
      <c r="G3045" s="11"/>
      <c r="H3045" s="11"/>
      <c r="I3045" s="15"/>
    </row>
    <row r="3046" spans="1:9" ht="16.5">
      <c r="A3046" s="10" t="b">
        <v>0</v>
      </c>
      <c r="B3046" s="11" t="str">
        <f>IF(D3046&lt;&gt;"",IF(COUNTIF('USPTO TMs'!A:A,D3046)&gt;0,"Yes","No"),"")</f>
        <v/>
      </c>
      <c r="C3046" s="11"/>
      <c r="D3046" s="11"/>
      <c r="E3046" s="11"/>
      <c r="F3046" s="11"/>
      <c r="G3046" s="11"/>
      <c r="H3046" s="11"/>
      <c r="I3046" s="15"/>
    </row>
    <row r="3047" spans="1:9" ht="16.5">
      <c r="A3047" s="10" t="b">
        <v>0</v>
      </c>
      <c r="B3047" s="11" t="str">
        <f>IF(D3047&lt;&gt;"",IF(COUNTIF('USPTO TMs'!A:A,D3047)&gt;0,"Yes","No"),"")</f>
        <v/>
      </c>
      <c r="C3047" s="11"/>
      <c r="D3047" s="11"/>
      <c r="E3047" s="11"/>
      <c r="F3047" s="11"/>
      <c r="G3047" s="11"/>
      <c r="H3047" s="11"/>
      <c r="I3047" s="15"/>
    </row>
    <row r="3048" spans="1:9" ht="16.5">
      <c r="A3048" s="10" t="b">
        <v>0</v>
      </c>
      <c r="B3048" s="11" t="str">
        <f>IF(D3048&lt;&gt;"",IF(COUNTIF('USPTO TMs'!A:A,D3048)&gt;0,"Yes","No"),"")</f>
        <v/>
      </c>
      <c r="C3048" s="11"/>
      <c r="D3048" s="11"/>
      <c r="E3048" s="11"/>
      <c r="F3048" s="11"/>
      <c r="G3048" s="11"/>
      <c r="H3048" s="11"/>
      <c r="I3048" s="15"/>
    </row>
    <row r="3049" spans="1:9" ht="16.5">
      <c r="A3049" s="10" t="b">
        <v>0</v>
      </c>
      <c r="B3049" s="11" t="str">
        <f>IF(D3049&lt;&gt;"",IF(COUNTIF('USPTO TMs'!A:A,D3049)&gt;0,"Yes","No"),"")</f>
        <v/>
      </c>
      <c r="C3049" s="11"/>
      <c r="D3049" s="11"/>
      <c r="E3049" s="11"/>
      <c r="F3049" s="11"/>
      <c r="G3049" s="11"/>
      <c r="H3049" s="11"/>
      <c r="I3049" s="15"/>
    </row>
    <row r="3050" spans="1:9" ht="16.5">
      <c r="A3050" s="10" t="b">
        <v>0</v>
      </c>
      <c r="B3050" s="11" t="str">
        <f>IF(D3050&lt;&gt;"",IF(COUNTIF('USPTO TMs'!A:A,D3050)&gt;0,"Yes","No"),"")</f>
        <v/>
      </c>
      <c r="C3050" s="11"/>
      <c r="D3050" s="11"/>
      <c r="E3050" s="11"/>
      <c r="F3050" s="11"/>
      <c r="G3050" s="11"/>
      <c r="H3050" s="11"/>
      <c r="I3050" s="15"/>
    </row>
    <row r="3051" spans="1:9" ht="16.5">
      <c r="A3051" s="10" t="b">
        <v>0</v>
      </c>
      <c r="B3051" s="11" t="str">
        <f>IF(D3051&lt;&gt;"",IF(COUNTIF('USPTO TMs'!A:A,D3051)&gt;0,"Yes","No"),"")</f>
        <v/>
      </c>
      <c r="C3051" s="11"/>
      <c r="D3051" s="11"/>
      <c r="E3051" s="11"/>
      <c r="F3051" s="11"/>
      <c r="G3051" s="11"/>
      <c r="H3051" s="11"/>
      <c r="I3051" s="15"/>
    </row>
    <row r="3052" spans="1:9" ht="16.5">
      <c r="A3052" s="10" t="b">
        <v>0</v>
      </c>
      <c r="B3052" s="11" t="str">
        <f>IF(D3052&lt;&gt;"",IF(COUNTIF('USPTO TMs'!A:A,D3052)&gt;0,"Yes","No"),"")</f>
        <v/>
      </c>
      <c r="C3052" s="11"/>
      <c r="D3052" s="11"/>
      <c r="E3052" s="11"/>
      <c r="F3052" s="11"/>
      <c r="G3052" s="11"/>
      <c r="H3052" s="11"/>
      <c r="I3052" s="15"/>
    </row>
    <row r="3053" spans="1:9" ht="16.5">
      <c r="A3053" s="10" t="b">
        <v>0</v>
      </c>
      <c r="B3053" s="11" t="str">
        <f>IF(D3053&lt;&gt;"",IF(COUNTIF('USPTO TMs'!A:A,D3053)&gt;0,"Yes","No"),"")</f>
        <v/>
      </c>
      <c r="C3053" s="11"/>
      <c r="D3053" s="11"/>
      <c r="E3053" s="11"/>
      <c r="F3053" s="11"/>
      <c r="G3053" s="11"/>
      <c r="H3053" s="11"/>
      <c r="I3053" s="15"/>
    </row>
    <row r="3054" spans="1:9" ht="16.5">
      <c r="A3054" s="10" t="b">
        <v>0</v>
      </c>
      <c r="B3054" s="11" t="str">
        <f>IF(D3054&lt;&gt;"",IF(COUNTIF('USPTO TMs'!A:A,D3054)&gt;0,"Yes","No"),"")</f>
        <v/>
      </c>
      <c r="C3054" s="11"/>
      <c r="D3054" s="11"/>
      <c r="E3054" s="11"/>
      <c r="F3054" s="11"/>
      <c r="G3054" s="11"/>
      <c r="H3054" s="11"/>
      <c r="I3054" s="15"/>
    </row>
    <row r="3055" spans="1:9" ht="16.5">
      <c r="A3055" s="10" t="b">
        <v>0</v>
      </c>
      <c r="B3055" s="11" t="str">
        <f>IF(D3055&lt;&gt;"",IF(COUNTIF('USPTO TMs'!A:A,D3055)&gt;0,"Yes","No"),"")</f>
        <v/>
      </c>
      <c r="C3055" s="11"/>
      <c r="D3055" s="11"/>
      <c r="E3055" s="11"/>
      <c r="F3055" s="11"/>
      <c r="G3055" s="11"/>
      <c r="H3055" s="11"/>
      <c r="I3055" s="15"/>
    </row>
    <row r="3056" spans="1:9" ht="16.5">
      <c r="A3056" s="10" t="b">
        <v>0</v>
      </c>
      <c r="B3056" s="11" t="str">
        <f>IF(D3056&lt;&gt;"",IF(COUNTIF('USPTO TMs'!A:A,D3056)&gt;0,"Yes","No"),"")</f>
        <v/>
      </c>
      <c r="C3056" s="11"/>
      <c r="D3056" s="11"/>
      <c r="E3056" s="11"/>
      <c r="F3056" s="11"/>
      <c r="G3056" s="11"/>
      <c r="H3056" s="11"/>
      <c r="I3056" s="15"/>
    </row>
    <row r="3057" spans="1:9" ht="16.5">
      <c r="A3057" s="10" t="b">
        <v>0</v>
      </c>
      <c r="B3057" s="11" t="str">
        <f>IF(D3057&lt;&gt;"",IF(COUNTIF('USPTO TMs'!A:A,D3057)&gt;0,"Yes","No"),"")</f>
        <v/>
      </c>
      <c r="C3057" s="11"/>
      <c r="D3057" s="11"/>
      <c r="E3057" s="11"/>
      <c r="F3057" s="11"/>
      <c r="G3057" s="11"/>
      <c r="H3057" s="11"/>
      <c r="I3057" s="15"/>
    </row>
    <row r="3058" spans="1:9" ht="16.5">
      <c r="A3058" s="10" t="b">
        <v>0</v>
      </c>
      <c r="B3058" s="11" t="str">
        <f>IF(D3058&lt;&gt;"",IF(COUNTIF('USPTO TMs'!A:A,D3058)&gt;0,"Yes","No"),"")</f>
        <v/>
      </c>
      <c r="C3058" s="11"/>
      <c r="D3058" s="11"/>
      <c r="E3058" s="11"/>
      <c r="F3058" s="11"/>
      <c r="G3058" s="11"/>
      <c r="H3058" s="11"/>
      <c r="I3058" s="15"/>
    </row>
    <row r="3059" spans="1:9" ht="16.5">
      <c r="A3059" s="10" t="b">
        <v>0</v>
      </c>
      <c r="B3059" s="11" t="str">
        <f>IF(D3059&lt;&gt;"",IF(COUNTIF('USPTO TMs'!A:A,D3059)&gt;0,"Yes","No"),"")</f>
        <v/>
      </c>
      <c r="C3059" s="11"/>
      <c r="D3059" s="11"/>
      <c r="E3059" s="11"/>
      <c r="F3059" s="11"/>
      <c r="G3059" s="11"/>
      <c r="H3059" s="11"/>
      <c r="I3059" s="15"/>
    </row>
    <row r="3060" spans="1:9" ht="16.5">
      <c r="A3060" s="10" t="b">
        <v>0</v>
      </c>
      <c r="B3060" s="11" t="str">
        <f>IF(D3060&lt;&gt;"",IF(COUNTIF('USPTO TMs'!A:A,D3060)&gt;0,"Yes","No"),"")</f>
        <v/>
      </c>
      <c r="C3060" s="11"/>
      <c r="D3060" s="11"/>
      <c r="E3060" s="11"/>
      <c r="F3060" s="11"/>
      <c r="G3060" s="11"/>
      <c r="H3060" s="11"/>
      <c r="I3060" s="15"/>
    </row>
    <row r="3061" spans="1:9" ht="16.5">
      <c r="A3061" s="10" t="b">
        <v>0</v>
      </c>
      <c r="B3061" s="11" t="str">
        <f>IF(D3061&lt;&gt;"",IF(COUNTIF('USPTO TMs'!A:A,D3061)&gt;0,"Yes","No"),"")</f>
        <v/>
      </c>
      <c r="C3061" s="11"/>
      <c r="D3061" s="11"/>
      <c r="E3061" s="11"/>
      <c r="F3061" s="11"/>
      <c r="G3061" s="11"/>
      <c r="H3061" s="11"/>
      <c r="I3061" s="15"/>
    </row>
    <row r="3062" spans="1:9" ht="16.5">
      <c r="A3062" s="10" t="b">
        <v>0</v>
      </c>
      <c r="B3062" s="11" t="str">
        <f>IF(D3062&lt;&gt;"",IF(COUNTIF('USPTO TMs'!A:A,D3062)&gt;0,"Yes","No"),"")</f>
        <v/>
      </c>
      <c r="C3062" s="11"/>
      <c r="D3062" s="11"/>
      <c r="E3062" s="11"/>
      <c r="F3062" s="11"/>
      <c r="G3062" s="11"/>
      <c r="H3062" s="11"/>
      <c r="I3062" s="15"/>
    </row>
    <row r="3063" spans="1:9" ht="16.5">
      <c r="A3063" s="10" t="b">
        <v>0</v>
      </c>
      <c r="B3063" s="11" t="str">
        <f>IF(D3063&lt;&gt;"",IF(COUNTIF('USPTO TMs'!A:A,D3063)&gt;0,"Yes","No"),"")</f>
        <v/>
      </c>
      <c r="C3063" s="11"/>
      <c r="D3063" s="11"/>
      <c r="E3063" s="11"/>
      <c r="F3063" s="11"/>
      <c r="G3063" s="11"/>
      <c r="H3063" s="11"/>
      <c r="I3063" s="15"/>
    </row>
    <row r="3064" spans="1:9" ht="16.5">
      <c r="A3064" s="10" t="b">
        <v>0</v>
      </c>
      <c r="B3064" s="11" t="str">
        <f>IF(D3064&lt;&gt;"",IF(COUNTIF('USPTO TMs'!A:A,D3064)&gt;0,"Yes","No"),"")</f>
        <v/>
      </c>
      <c r="C3064" s="11"/>
      <c r="D3064" s="11"/>
      <c r="E3064" s="11"/>
      <c r="F3064" s="11"/>
      <c r="G3064" s="11"/>
      <c r="H3064" s="11"/>
      <c r="I3064" s="15"/>
    </row>
    <row r="3065" spans="1:9" ht="16.5">
      <c r="A3065" s="10" t="b">
        <v>0</v>
      </c>
      <c r="B3065" s="11" t="str">
        <f>IF(D3065&lt;&gt;"",IF(COUNTIF('USPTO TMs'!A:A,D3065)&gt;0,"Yes","No"),"")</f>
        <v/>
      </c>
      <c r="C3065" s="11"/>
      <c r="D3065" s="11"/>
      <c r="E3065" s="11"/>
      <c r="F3065" s="11"/>
      <c r="G3065" s="11"/>
      <c r="H3065" s="11"/>
      <c r="I3065" s="15"/>
    </row>
    <row r="3066" spans="1:9" ht="16.5">
      <c r="A3066" s="10" t="b">
        <v>0</v>
      </c>
      <c r="B3066" s="11" t="str">
        <f>IF(D3066&lt;&gt;"",IF(COUNTIF('USPTO TMs'!A:A,D3066)&gt;0,"Yes","No"),"")</f>
        <v/>
      </c>
      <c r="C3066" s="11"/>
      <c r="D3066" s="11"/>
      <c r="E3066" s="11"/>
      <c r="F3066" s="11"/>
      <c r="G3066" s="11"/>
      <c r="H3066" s="11"/>
      <c r="I3066" s="15"/>
    </row>
    <row r="3067" spans="1:9" ht="16.5">
      <c r="A3067" s="10" t="b">
        <v>0</v>
      </c>
      <c r="B3067" s="11" t="str">
        <f>IF(D3067&lt;&gt;"",IF(COUNTIF('USPTO TMs'!A:A,D3067)&gt;0,"Yes","No"),"")</f>
        <v/>
      </c>
      <c r="C3067" s="11"/>
      <c r="D3067" s="11"/>
      <c r="E3067" s="11"/>
      <c r="F3067" s="11"/>
      <c r="G3067" s="11"/>
      <c r="H3067" s="11"/>
      <c r="I3067" s="15"/>
    </row>
    <row r="3068" spans="1:9" ht="16.5">
      <c r="A3068" s="10" t="b">
        <v>0</v>
      </c>
      <c r="B3068" s="11" t="str">
        <f>IF(D3068&lt;&gt;"",IF(COUNTIF('USPTO TMs'!A:A,D3068)&gt;0,"Yes","No"),"")</f>
        <v/>
      </c>
      <c r="C3068" s="11"/>
      <c r="D3068" s="11"/>
      <c r="E3068" s="11"/>
      <c r="F3068" s="11"/>
      <c r="G3068" s="11"/>
      <c r="H3068" s="11"/>
      <c r="I3068" s="15"/>
    </row>
    <row r="3069" spans="1:9" ht="16.5">
      <c r="A3069" s="10" t="b">
        <v>0</v>
      </c>
      <c r="B3069" s="11" t="str">
        <f>IF(D3069&lt;&gt;"",IF(COUNTIF('USPTO TMs'!A:A,D3069)&gt;0,"Yes","No"),"")</f>
        <v/>
      </c>
      <c r="C3069" s="11"/>
      <c r="D3069" s="11"/>
      <c r="E3069" s="11"/>
      <c r="F3069" s="11"/>
      <c r="G3069" s="11"/>
      <c r="H3069" s="11"/>
      <c r="I3069" s="15"/>
    </row>
    <row r="3070" spans="1:9" ht="16.5">
      <c r="A3070" s="10" t="b">
        <v>0</v>
      </c>
      <c r="B3070" s="11" t="str">
        <f>IF(D3070&lt;&gt;"",IF(COUNTIF('USPTO TMs'!A:A,D3070)&gt;0,"Yes","No"),"")</f>
        <v/>
      </c>
      <c r="C3070" s="11"/>
      <c r="D3070" s="11"/>
      <c r="E3070" s="11"/>
      <c r="F3070" s="11"/>
      <c r="G3070" s="11"/>
      <c r="H3070" s="11"/>
      <c r="I3070" s="15"/>
    </row>
    <row r="3071" spans="1:9" ht="16.5">
      <c r="A3071" s="10" t="b">
        <v>0</v>
      </c>
      <c r="B3071" s="11" t="str">
        <f>IF(D3071&lt;&gt;"",IF(COUNTIF('USPTO TMs'!A:A,D3071)&gt;0,"Yes","No"),"")</f>
        <v/>
      </c>
      <c r="C3071" s="11"/>
      <c r="D3071" s="11"/>
      <c r="E3071" s="11"/>
      <c r="F3071" s="11"/>
      <c r="G3071" s="11"/>
      <c r="H3071" s="11"/>
      <c r="I3071" s="15"/>
    </row>
    <row r="3072" spans="1:9" ht="16.5">
      <c r="A3072" s="10" t="b">
        <v>0</v>
      </c>
      <c r="B3072" s="11" t="str">
        <f>IF(D3072&lt;&gt;"",IF(COUNTIF('USPTO TMs'!A:A,D3072)&gt;0,"Yes","No"),"")</f>
        <v/>
      </c>
      <c r="C3072" s="11"/>
      <c r="D3072" s="11"/>
      <c r="E3072" s="11"/>
      <c r="F3072" s="11"/>
      <c r="G3072" s="11"/>
      <c r="H3072" s="11"/>
      <c r="I3072" s="15"/>
    </row>
    <row r="3073" spans="1:9" ht="16.5">
      <c r="A3073" s="10" t="b">
        <v>0</v>
      </c>
      <c r="B3073" s="11" t="str">
        <f>IF(D3073&lt;&gt;"",IF(COUNTIF('USPTO TMs'!A:A,D3073)&gt;0,"Yes","No"),"")</f>
        <v/>
      </c>
      <c r="C3073" s="11"/>
      <c r="D3073" s="11"/>
      <c r="E3073" s="11"/>
      <c r="F3073" s="11"/>
      <c r="G3073" s="11"/>
      <c r="H3073" s="11"/>
      <c r="I3073" s="15"/>
    </row>
    <row r="3074" spans="1:9" ht="16.5">
      <c r="A3074" s="10" t="b">
        <v>0</v>
      </c>
      <c r="B3074" s="11" t="str">
        <f>IF(D3074&lt;&gt;"",IF(COUNTIF('USPTO TMs'!A:A,D3074)&gt;0,"Yes","No"),"")</f>
        <v/>
      </c>
      <c r="C3074" s="11"/>
      <c r="D3074" s="11"/>
      <c r="E3074" s="11"/>
      <c r="F3074" s="11"/>
      <c r="G3074" s="11"/>
      <c r="H3074" s="11"/>
      <c r="I3074" s="15"/>
    </row>
    <row r="3075" spans="1:9" ht="16.5">
      <c r="A3075" s="10" t="b">
        <v>0</v>
      </c>
      <c r="B3075" s="11" t="str">
        <f>IF(D3075&lt;&gt;"",IF(COUNTIF('USPTO TMs'!A:A,D3075)&gt;0,"Yes","No"),"")</f>
        <v/>
      </c>
      <c r="C3075" s="11"/>
      <c r="D3075" s="11"/>
      <c r="E3075" s="11"/>
      <c r="F3075" s="11"/>
      <c r="G3075" s="11"/>
      <c r="H3075" s="11"/>
      <c r="I3075" s="15"/>
    </row>
    <row r="3076" spans="1:9" ht="16.5">
      <c r="A3076" s="10" t="b">
        <v>0</v>
      </c>
      <c r="B3076" s="11" t="str">
        <f>IF(D3076&lt;&gt;"",IF(COUNTIF('USPTO TMs'!A:A,D3076)&gt;0,"Yes","No"),"")</f>
        <v/>
      </c>
      <c r="C3076" s="11"/>
      <c r="D3076" s="11"/>
      <c r="E3076" s="11"/>
      <c r="F3076" s="11"/>
      <c r="G3076" s="11"/>
      <c r="H3076" s="11"/>
      <c r="I3076" s="15"/>
    </row>
    <row r="3077" spans="1:9" ht="16.5">
      <c r="A3077" s="10" t="b">
        <v>0</v>
      </c>
      <c r="B3077" s="11" t="str">
        <f>IF(D3077&lt;&gt;"",IF(COUNTIF('USPTO TMs'!A:A,D3077)&gt;0,"Yes","No"),"")</f>
        <v/>
      </c>
      <c r="C3077" s="11"/>
      <c r="D3077" s="11"/>
      <c r="E3077" s="11"/>
      <c r="F3077" s="11"/>
      <c r="G3077" s="11"/>
      <c r="H3077" s="11"/>
      <c r="I3077" s="15"/>
    </row>
    <row r="3078" spans="1:9" ht="16.5">
      <c r="A3078" s="10" t="b">
        <v>0</v>
      </c>
      <c r="B3078" s="11" t="str">
        <f>IF(D3078&lt;&gt;"",IF(COUNTIF('USPTO TMs'!A:A,D3078)&gt;0,"Yes","No"),"")</f>
        <v/>
      </c>
      <c r="C3078" s="11"/>
      <c r="D3078" s="11"/>
      <c r="E3078" s="11"/>
      <c r="F3078" s="11"/>
      <c r="G3078" s="11"/>
      <c r="H3078" s="11"/>
      <c r="I3078" s="15"/>
    </row>
    <row r="3079" spans="1:9" ht="16.5">
      <c r="A3079" s="10" t="b">
        <v>0</v>
      </c>
      <c r="B3079" s="11" t="str">
        <f>IF(D3079&lt;&gt;"",IF(COUNTIF('USPTO TMs'!A:A,D3079)&gt;0,"Yes","No"),"")</f>
        <v/>
      </c>
      <c r="C3079" s="11"/>
      <c r="D3079" s="11"/>
      <c r="E3079" s="11"/>
      <c r="F3079" s="11"/>
      <c r="G3079" s="11"/>
      <c r="H3079" s="11"/>
      <c r="I3079" s="15"/>
    </row>
    <row r="3080" spans="1:9" ht="16.5">
      <c r="A3080" s="10" t="b">
        <v>0</v>
      </c>
      <c r="B3080" s="11" t="str">
        <f>IF(D3080&lt;&gt;"",IF(COUNTIF('USPTO TMs'!A:A,D3080)&gt;0,"Yes","No"),"")</f>
        <v/>
      </c>
      <c r="C3080" s="11"/>
      <c r="D3080" s="11"/>
      <c r="E3080" s="11"/>
      <c r="F3080" s="11"/>
      <c r="G3080" s="11"/>
      <c r="H3080" s="11"/>
      <c r="I3080" s="15"/>
    </row>
    <row r="3081" spans="1:9" ht="16.5">
      <c r="A3081" s="10" t="b">
        <v>0</v>
      </c>
      <c r="B3081" s="11" t="str">
        <f>IF(D3081&lt;&gt;"",IF(COUNTIF('USPTO TMs'!A:A,D3081)&gt;0,"Yes","No"),"")</f>
        <v/>
      </c>
      <c r="C3081" s="11"/>
      <c r="D3081" s="11"/>
      <c r="E3081" s="11"/>
      <c r="F3081" s="11"/>
      <c r="G3081" s="11"/>
      <c r="H3081" s="11"/>
      <c r="I3081" s="15"/>
    </row>
    <row r="3082" spans="1:9" ht="16.5">
      <c r="A3082" s="10" t="b">
        <v>0</v>
      </c>
      <c r="B3082" s="11" t="str">
        <f>IF(D3082&lt;&gt;"",IF(COUNTIF('USPTO TMs'!A:A,D3082)&gt;0,"Yes","No"),"")</f>
        <v/>
      </c>
      <c r="C3082" s="11"/>
      <c r="D3082" s="11"/>
      <c r="E3082" s="11"/>
      <c r="F3082" s="11"/>
      <c r="G3082" s="11"/>
      <c r="H3082" s="11"/>
      <c r="I3082" s="15"/>
    </row>
    <row r="3083" spans="1:9" ht="16.5">
      <c r="A3083" s="10" t="b">
        <v>0</v>
      </c>
      <c r="B3083" s="11" t="str">
        <f>IF(D3083&lt;&gt;"",IF(COUNTIF('USPTO TMs'!A:A,D3083)&gt;0,"Yes","No"),"")</f>
        <v/>
      </c>
      <c r="C3083" s="11"/>
      <c r="D3083" s="11"/>
      <c r="E3083" s="11"/>
      <c r="F3083" s="11"/>
      <c r="G3083" s="11"/>
      <c r="H3083" s="11"/>
      <c r="I3083" s="15"/>
    </row>
    <row r="3084" spans="1:9" ht="16.5">
      <c r="A3084" s="10" t="b">
        <v>0</v>
      </c>
      <c r="B3084" s="11" t="str">
        <f>IF(D3084&lt;&gt;"",IF(COUNTIF('USPTO TMs'!A:A,D3084)&gt;0,"Yes","No"),"")</f>
        <v/>
      </c>
      <c r="C3084" s="11"/>
      <c r="D3084" s="11"/>
      <c r="E3084" s="11"/>
      <c r="F3084" s="11"/>
      <c r="G3084" s="11"/>
      <c r="H3084" s="11"/>
      <c r="I3084" s="15"/>
    </row>
    <row r="3085" spans="1:9" ht="16.5">
      <c r="A3085" s="10" t="b">
        <v>0</v>
      </c>
      <c r="B3085" s="11" t="str">
        <f>IF(D3085&lt;&gt;"",IF(COUNTIF('USPTO TMs'!A:A,D3085)&gt;0,"Yes","No"),"")</f>
        <v/>
      </c>
      <c r="C3085" s="11"/>
      <c r="D3085" s="11"/>
      <c r="E3085" s="11"/>
      <c r="F3085" s="11"/>
      <c r="G3085" s="11"/>
      <c r="H3085" s="11"/>
      <c r="I3085" s="15"/>
    </row>
    <row r="3086" spans="1:9" ht="16.5">
      <c r="A3086" s="10" t="b">
        <v>0</v>
      </c>
      <c r="B3086" s="11" t="str">
        <f>IF(D3086&lt;&gt;"",IF(COUNTIF('USPTO TMs'!A:A,D3086)&gt;0,"Yes","No"),"")</f>
        <v/>
      </c>
      <c r="C3086" s="11"/>
      <c r="D3086" s="11"/>
      <c r="E3086" s="11"/>
      <c r="F3086" s="11"/>
      <c r="G3086" s="11"/>
      <c r="H3086" s="11"/>
      <c r="I3086" s="15"/>
    </row>
    <row r="3087" spans="1:9" ht="16.5">
      <c r="A3087" s="10" t="b">
        <v>0</v>
      </c>
      <c r="B3087" s="11" t="str">
        <f>IF(D3087&lt;&gt;"",IF(COUNTIF('USPTO TMs'!A:A,D3087)&gt;0,"Yes","No"),"")</f>
        <v/>
      </c>
      <c r="C3087" s="11"/>
      <c r="D3087" s="11"/>
      <c r="E3087" s="11"/>
      <c r="F3087" s="11"/>
      <c r="G3087" s="11"/>
      <c r="H3087" s="11"/>
      <c r="I3087" s="15"/>
    </row>
    <row r="3088" spans="1:9" ht="16.5">
      <c r="A3088" s="10" t="b">
        <v>0</v>
      </c>
      <c r="B3088" s="11" t="str">
        <f>IF(D3088&lt;&gt;"",IF(COUNTIF('USPTO TMs'!A:A,D3088)&gt;0,"Yes","No"),"")</f>
        <v/>
      </c>
      <c r="C3088" s="11"/>
      <c r="D3088" s="11"/>
      <c r="E3088" s="11"/>
      <c r="F3088" s="11"/>
      <c r="G3088" s="11"/>
      <c r="H3088" s="11"/>
      <c r="I3088" s="15"/>
    </row>
    <row r="3089" spans="1:9" ht="16.5">
      <c r="A3089" s="10" t="b">
        <v>0</v>
      </c>
      <c r="B3089" s="11" t="str">
        <f>IF(D3089&lt;&gt;"",IF(COUNTIF('USPTO TMs'!A:A,D3089)&gt;0,"Yes","No"),"")</f>
        <v/>
      </c>
      <c r="C3089" s="11"/>
      <c r="D3089" s="11"/>
      <c r="E3089" s="11"/>
      <c r="F3089" s="11"/>
      <c r="G3089" s="11"/>
      <c r="H3089" s="11"/>
      <c r="I3089" s="15"/>
    </row>
    <row r="3090" spans="1:9" ht="16.5">
      <c r="A3090" s="10" t="b">
        <v>0</v>
      </c>
      <c r="B3090" s="11" t="str">
        <f>IF(D3090&lt;&gt;"",IF(COUNTIF('USPTO TMs'!A:A,D3090)&gt;0,"Yes","No"),"")</f>
        <v/>
      </c>
      <c r="C3090" s="11"/>
      <c r="D3090" s="11"/>
      <c r="E3090" s="11"/>
      <c r="F3090" s="11"/>
      <c r="G3090" s="11"/>
      <c r="H3090" s="11"/>
      <c r="I3090" s="15"/>
    </row>
    <row r="3091" spans="1:9" ht="16.5">
      <c r="A3091" s="10" t="b">
        <v>0</v>
      </c>
      <c r="B3091" s="11" t="str">
        <f>IF(D3091&lt;&gt;"",IF(COUNTIF('USPTO TMs'!A:A,D3091)&gt;0,"Yes","No"),"")</f>
        <v/>
      </c>
      <c r="C3091" s="11"/>
      <c r="D3091" s="11"/>
      <c r="E3091" s="11"/>
      <c r="F3091" s="11"/>
      <c r="G3091" s="11"/>
      <c r="H3091" s="11"/>
      <c r="I3091" s="15"/>
    </row>
    <row r="3092" spans="1:9" ht="16.5">
      <c r="A3092" s="10" t="b">
        <v>0</v>
      </c>
      <c r="B3092" s="11" t="str">
        <f>IF(D3092&lt;&gt;"",IF(COUNTIF('USPTO TMs'!A:A,D3092)&gt;0,"Yes","No"),"")</f>
        <v/>
      </c>
      <c r="C3092" s="11"/>
      <c r="D3092" s="11"/>
      <c r="E3092" s="11"/>
      <c r="F3092" s="11"/>
      <c r="G3092" s="11"/>
      <c r="H3092" s="11"/>
      <c r="I3092" s="15"/>
    </row>
    <row r="3093" spans="1:9" ht="16.5">
      <c r="A3093" s="10" t="b">
        <v>0</v>
      </c>
      <c r="B3093" s="11" t="str">
        <f>IF(D3093&lt;&gt;"",IF(COUNTIF('USPTO TMs'!A:A,D3093)&gt;0,"Yes","No"),"")</f>
        <v/>
      </c>
      <c r="C3093" s="11"/>
      <c r="D3093" s="11"/>
      <c r="E3093" s="11"/>
      <c r="F3093" s="11"/>
      <c r="G3093" s="11"/>
      <c r="H3093" s="11"/>
      <c r="I3093" s="15"/>
    </row>
    <row r="3094" spans="1:9" ht="16.5">
      <c r="A3094" s="10" t="b">
        <v>0</v>
      </c>
      <c r="B3094" s="11" t="str">
        <f>IF(D3094&lt;&gt;"",IF(COUNTIF('USPTO TMs'!A:A,D3094)&gt;0,"Yes","No"),"")</f>
        <v/>
      </c>
      <c r="C3094" s="11"/>
      <c r="D3094" s="11"/>
      <c r="E3094" s="11"/>
      <c r="F3094" s="11"/>
      <c r="G3094" s="11"/>
      <c r="H3094" s="11"/>
      <c r="I3094" s="15"/>
    </row>
    <row r="3095" spans="1:9" ht="16.5">
      <c r="A3095" s="10" t="b">
        <v>0</v>
      </c>
      <c r="B3095" s="11" t="str">
        <f>IF(D3095&lt;&gt;"",IF(COUNTIF('USPTO TMs'!A:A,D3095)&gt;0,"Yes","No"),"")</f>
        <v/>
      </c>
      <c r="C3095" s="11"/>
      <c r="D3095" s="11"/>
      <c r="E3095" s="11"/>
      <c r="F3095" s="11"/>
      <c r="G3095" s="11"/>
      <c r="H3095" s="11"/>
      <c r="I3095" s="15"/>
    </row>
    <row r="3096" spans="1:9" ht="16.5">
      <c r="A3096" s="10" t="b">
        <v>0</v>
      </c>
      <c r="B3096" s="11" t="str">
        <f>IF(D3096&lt;&gt;"",IF(COUNTIF('USPTO TMs'!A:A,D3096)&gt;0,"Yes","No"),"")</f>
        <v/>
      </c>
      <c r="C3096" s="11"/>
      <c r="D3096" s="11"/>
      <c r="E3096" s="11"/>
      <c r="F3096" s="11"/>
      <c r="G3096" s="11"/>
      <c r="H3096" s="11"/>
      <c r="I3096" s="15"/>
    </row>
    <row r="3097" spans="1:9" ht="16.5">
      <c r="A3097" s="10" t="b">
        <v>0</v>
      </c>
      <c r="B3097" s="11" t="str">
        <f>IF(D3097&lt;&gt;"",IF(COUNTIF('USPTO TMs'!A:A,D3097)&gt;0,"Yes","No"),"")</f>
        <v/>
      </c>
      <c r="C3097" s="11"/>
      <c r="D3097" s="11"/>
      <c r="E3097" s="11"/>
      <c r="F3097" s="11"/>
      <c r="G3097" s="11"/>
      <c r="H3097" s="11"/>
      <c r="I3097" s="15"/>
    </row>
    <row r="3098" spans="1:9" ht="16.5">
      <c r="A3098" s="10" t="b">
        <v>0</v>
      </c>
      <c r="B3098" s="11" t="str">
        <f>IF(D3098&lt;&gt;"",IF(COUNTIF('USPTO TMs'!A:A,D3098)&gt;0,"Yes","No"),"")</f>
        <v/>
      </c>
      <c r="C3098" s="11"/>
      <c r="D3098" s="11"/>
      <c r="E3098" s="11"/>
      <c r="F3098" s="11"/>
      <c r="G3098" s="11"/>
      <c r="H3098" s="11"/>
      <c r="I3098" s="15"/>
    </row>
    <row r="3099" spans="1:9" ht="16.5">
      <c r="A3099" s="10" t="b">
        <v>0</v>
      </c>
      <c r="B3099" s="11" t="str">
        <f>IF(D3099&lt;&gt;"",IF(COUNTIF('USPTO TMs'!A:A,D3099)&gt;0,"Yes","No"),"")</f>
        <v/>
      </c>
      <c r="C3099" s="11"/>
      <c r="D3099" s="11"/>
      <c r="E3099" s="11"/>
      <c r="F3099" s="11"/>
      <c r="G3099" s="11"/>
      <c r="H3099" s="11"/>
      <c r="I3099" s="15"/>
    </row>
    <row r="3100" spans="1:9" ht="16.5">
      <c r="A3100" s="10" t="b">
        <v>0</v>
      </c>
      <c r="B3100" s="11" t="str">
        <f>IF(D3100&lt;&gt;"",IF(COUNTIF('USPTO TMs'!A:A,D3100)&gt;0,"Yes","No"),"")</f>
        <v/>
      </c>
      <c r="C3100" s="11"/>
      <c r="D3100" s="11"/>
      <c r="E3100" s="11"/>
      <c r="F3100" s="11"/>
      <c r="G3100" s="11"/>
      <c r="H3100" s="11"/>
      <c r="I3100" s="15"/>
    </row>
    <row r="3101" spans="1:9" ht="16.5">
      <c r="A3101" s="10" t="b">
        <v>0</v>
      </c>
      <c r="B3101" s="11" t="str">
        <f>IF(D3101&lt;&gt;"",IF(COUNTIF('USPTO TMs'!A:A,D3101)&gt;0,"Yes","No"),"")</f>
        <v/>
      </c>
      <c r="C3101" s="11"/>
      <c r="D3101" s="11"/>
      <c r="E3101" s="11"/>
      <c r="F3101" s="11"/>
      <c r="G3101" s="11"/>
      <c r="H3101" s="11"/>
      <c r="I3101" s="15"/>
    </row>
    <row r="3102" spans="1:9" ht="16.5">
      <c r="A3102" s="10" t="b">
        <v>0</v>
      </c>
      <c r="B3102" s="11" t="str">
        <f>IF(D3102&lt;&gt;"",IF(COUNTIF('USPTO TMs'!A:A,D3102)&gt;0,"Yes","No"),"")</f>
        <v/>
      </c>
      <c r="C3102" s="11"/>
      <c r="D3102" s="11"/>
      <c r="E3102" s="11"/>
      <c r="F3102" s="11"/>
      <c r="G3102" s="11"/>
      <c r="H3102" s="11"/>
      <c r="I3102" s="15"/>
    </row>
    <row r="3103" spans="1:9" ht="16.5">
      <c r="A3103" s="10" t="b">
        <v>0</v>
      </c>
      <c r="B3103" s="11" t="str">
        <f>IF(D3103&lt;&gt;"",IF(COUNTIF('USPTO TMs'!A:A,D3103)&gt;0,"Yes","No"),"")</f>
        <v/>
      </c>
      <c r="C3103" s="11"/>
      <c r="D3103" s="11"/>
      <c r="E3103" s="11"/>
      <c r="F3103" s="11"/>
      <c r="G3103" s="11"/>
      <c r="H3103" s="11"/>
      <c r="I3103" s="15"/>
    </row>
    <row r="3104" spans="1:9" ht="16.5">
      <c r="A3104" s="10" t="b">
        <v>0</v>
      </c>
      <c r="B3104" s="11" t="str">
        <f>IF(D3104&lt;&gt;"",IF(COUNTIF('USPTO TMs'!A:A,D3104)&gt;0,"Yes","No"),"")</f>
        <v/>
      </c>
      <c r="C3104" s="11"/>
      <c r="D3104" s="11"/>
      <c r="E3104" s="11"/>
      <c r="F3104" s="11"/>
      <c r="G3104" s="11"/>
      <c r="H3104" s="11"/>
      <c r="I3104" s="15"/>
    </row>
    <row r="3105" spans="1:9" ht="16.5">
      <c r="A3105" s="10" t="b">
        <v>0</v>
      </c>
      <c r="B3105" s="11" t="str">
        <f>IF(D3105&lt;&gt;"",IF(COUNTIF('USPTO TMs'!A:A,D3105)&gt;0,"Yes","No"),"")</f>
        <v/>
      </c>
      <c r="C3105" s="11"/>
      <c r="D3105" s="11"/>
      <c r="E3105" s="11"/>
      <c r="F3105" s="11"/>
      <c r="G3105" s="11"/>
      <c r="H3105" s="11"/>
      <c r="I3105" s="15"/>
    </row>
    <row r="3106" spans="1:9" ht="16.5">
      <c r="A3106" s="10" t="b">
        <v>0</v>
      </c>
      <c r="B3106" s="11" t="str">
        <f>IF(D3106&lt;&gt;"",IF(COUNTIF('USPTO TMs'!A:A,D3106)&gt;0,"Yes","No"),"")</f>
        <v/>
      </c>
      <c r="C3106" s="11"/>
      <c r="D3106" s="11"/>
      <c r="E3106" s="11"/>
      <c r="F3106" s="11"/>
      <c r="G3106" s="11"/>
      <c r="H3106" s="11"/>
      <c r="I3106" s="15"/>
    </row>
    <row r="3107" spans="1:9" ht="16.5">
      <c r="A3107" s="10" t="b">
        <v>0</v>
      </c>
      <c r="B3107" s="11" t="str">
        <f>IF(D3107&lt;&gt;"",IF(COUNTIF('USPTO TMs'!A:A,D3107)&gt;0,"Yes","No"),"")</f>
        <v/>
      </c>
      <c r="C3107" s="11"/>
      <c r="D3107" s="11"/>
      <c r="E3107" s="11"/>
      <c r="F3107" s="11"/>
      <c r="G3107" s="11"/>
      <c r="H3107" s="11"/>
      <c r="I3107" s="15"/>
    </row>
    <row r="3108" spans="1:9" ht="16.5">
      <c r="A3108" s="10" t="b">
        <v>0</v>
      </c>
      <c r="B3108" s="11" t="str">
        <f>IF(D3108&lt;&gt;"",IF(COUNTIF('USPTO TMs'!A:A,D3108)&gt;0,"Yes","No"),"")</f>
        <v/>
      </c>
      <c r="C3108" s="11"/>
      <c r="D3108" s="11"/>
      <c r="E3108" s="11"/>
      <c r="F3108" s="11"/>
      <c r="G3108" s="11"/>
      <c r="H3108" s="11"/>
      <c r="I3108" s="15"/>
    </row>
    <row r="3109" spans="1:9" ht="16.5">
      <c r="A3109" s="10" t="b">
        <v>0</v>
      </c>
      <c r="B3109" s="11" t="str">
        <f>IF(D3109&lt;&gt;"",IF(COUNTIF('USPTO TMs'!A:A,D3109)&gt;0,"Yes","No"),"")</f>
        <v/>
      </c>
      <c r="C3109" s="11"/>
      <c r="D3109" s="11"/>
      <c r="E3109" s="11"/>
      <c r="F3109" s="11"/>
      <c r="G3109" s="11"/>
      <c r="H3109" s="11"/>
      <c r="I3109" s="15"/>
    </row>
    <row r="3110" spans="1:9" ht="16.5">
      <c r="A3110" s="10" t="b">
        <v>0</v>
      </c>
      <c r="B3110" s="11" t="str">
        <f>IF(D3110&lt;&gt;"",IF(COUNTIF('USPTO TMs'!A:A,D3110)&gt;0,"Yes","No"),"")</f>
        <v/>
      </c>
      <c r="C3110" s="11"/>
      <c r="D3110" s="11"/>
      <c r="E3110" s="11"/>
      <c r="F3110" s="11"/>
      <c r="G3110" s="11"/>
      <c r="H3110" s="11"/>
      <c r="I3110" s="15"/>
    </row>
    <row r="3111" spans="1:9" ht="16.5">
      <c r="A3111" s="10" t="b">
        <v>0</v>
      </c>
      <c r="B3111" s="11" t="str">
        <f>IF(D3111&lt;&gt;"",IF(COUNTIF('USPTO TMs'!A:A,D3111)&gt;0,"Yes","No"),"")</f>
        <v/>
      </c>
      <c r="C3111" s="11"/>
      <c r="D3111" s="11"/>
      <c r="E3111" s="11"/>
      <c r="F3111" s="11"/>
      <c r="G3111" s="11"/>
      <c r="H3111" s="11"/>
      <c r="I3111" s="15"/>
    </row>
    <row r="3112" spans="1:9" ht="16.5">
      <c r="A3112" s="10" t="b">
        <v>0</v>
      </c>
      <c r="B3112" s="11" t="str">
        <f>IF(D3112&lt;&gt;"",IF(COUNTIF('USPTO TMs'!A:A,D3112)&gt;0,"Yes","No"),"")</f>
        <v/>
      </c>
      <c r="C3112" s="11"/>
      <c r="D3112" s="11"/>
      <c r="E3112" s="11"/>
      <c r="F3112" s="11"/>
      <c r="G3112" s="11"/>
      <c r="H3112" s="11"/>
      <c r="I3112" s="15"/>
    </row>
    <row r="3113" spans="1:9" ht="16.5">
      <c r="A3113" s="10" t="b">
        <v>0</v>
      </c>
      <c r="B3113" s="11" t="str">
        <f>IF(D3113&lt;&gt;"",IF(COUNTIF('USPTO TMs'!A:A,D3113)&gt;0,"Yes","No"),"")</f>
        <v/>
      </c>
      <c r="C3113" s="11"/>
      <c r="D3113" s="11"/>
      <c r="E3113" s="11"/>
      <c r="F3113" s="11"/>
      <c r="G3113" s="11"/>
      <c r="H3113" s="11"/>
      <c r="I3113" s="15"/>
    </row>
    <row r="3114" spans="1:9" ht="16.5">
      <c r="A3114" s="10" t="b">
        <v>0</v>
      </c>
      <c r="B3114" s="11" t="str">
        <f>IF(D3114&lt;&gt;"",IF(COUNTIF('USPTO TMs'!A:A,D3114)&gt;0,"Yes","No"),"")</f>
        <v/>
      </c>
      <c r="C3114" s="11"/>
      <c r="D3114" s="11"/>
      <c r="E3114" s="11"/>
      <c r="F3114" s="11"/>
      <c r="G3114" s="11"/>
      <c r="H3114" s="11"/>
      <c r="I3114" s="15"/>
    </row>
    <row r="3115" spans="1:9" ht="16.5">
      <c r="A3115" s="10" t="b">
        <v>0</v>
      </c>
      <c r="B3115" s="11" t="str">
        <f>IF(D3115&lt;&gt;"",IF(COUNTIF('USPTO TMs'!A:A,D3115)&gt;0,"Yes","No"),"")</f>
        <v/>
      </c>
      <c r="C3115" s="11"/>
      <c r="D3115" s="11"/>
      <c r="E3115" s="11"/>
      <c r="F3115" s="11"/>
      <c r="G3115" s="11"/>
      <c r="H3115" s="11"/>
      <c r="I3115" s="15"/>
    </row>
    <row r="3116" spans="1:9" ht="16.5">
      <c r="A3116" s="10" t="b">
        <v>0</v>
      </c>
      <c r="B3116" s="11" t="str">
        <f>IF(D3116&lt;&gt;"",IF(COUNTIF('USPTO TMs'!A:A,D3116)&gt;0,"Yes","No"),"")</f>
        <v/>
      </c>
      <c r="C3116" s="11"/>
      <c r="D3116" s="11"/>
      <c r="E3116" s="11"/>
      <c r="F3116" s="11"/>
      <c r="G3116" s="11"/>
      <c r="H3116" s="11"/>
      <c r="I3116" s="15"/>
    </row>
    <row r="3117" spans="1:9" ht="16.5">
      <c r="A3117" s="10" t="b">
        <v>0</v>
      </c>
      <c r="B3117" s="11" t="str">
        <f>IF(D3117&lt;&gt;"",IF(COUNTIF('USPTO TMs'!A:A,D3117)&gt;0,"Yes","No"),"")</f>
        <v/>
      </c>
      <c r="C3117" s="11"/>
      <c r="D3117" s="11"/>
      <c r="E3117" s="11"/>
      <c r="F3117" s="11"/>
      <c r="G3117" s="11"/>
      <c r="H3117" s="11"/>
      <c r="I3117" s="15"/>
    </row>
    <row r="3118" spans="1:9" ht="16.5">
      <c r="A3118" s="10" t="b">
        <v>0</v>
      </c>
      <c r="B3118" s="11" t="str">
        <f>IF(D3118&lt;&gt;"",IF(COUNTIF('USPTO TMs'!A:A,D3118)&gt;0,"Yes","No"),"")</f>
        <v/>
      </c>
      <c r="C3118" s="11"/>
      <c r="D3118" s="11"/>
      <c r="E3118" s="11"/>
      <c r="F3118" s="11"/>
      <c r="G3118" s="11"/>
      <c r="H3118" s="11"/>
      <c r="I3118" s="15"/>
    </row>
    <row r="3119" spans="1:9" ht="16.5">
      <c r="A3119" s="10" t="b">
        <v>0</v>
      </c>
      <c r="B3119" s="11" t="str">
        <f>IF(D3119&lt;&gt;"",IF(COUNTIF('USPTO TMs'!A:A,D3119)&gt;0,"Yes","No"),"")</f>
        <v/>
      </c>
      <c r="C3119" s="11"/>
      <c r="D3119" s="11"/>
      <c r="E3119" s="11"/>
      <c r="F3119" s="11"/>
      <c r="G3119" s="11"/>
      <c r="H3119" s="11"/>
      <c r="I3119" s="15"/>
    </row>
    <row r="3120" spans="1:9" ht="16.5">
      <c r="A3120" s="10" t="b">
        <v>0</v>
      </c>
      <c r="B3120" s="11" t="str">
        <f>IF(D3120&lt;&gt;"",IF(COUNTIF('USPTO TMs'!A:A,D3120)&gt;0,"Yes","No"),"")</f>
        <v/>
      </c>
      <c r="C3120" s="11"/>
      <c r="D3120" s="11"/>
      <c r="E3120" s="11"/>
      <c r="F3120" s="11"/>
      <c r="G3120" s="11"/>
      <c r="H3120" s="11"/>
      <c r="I3120" s="15"/>
    </row>
    <row r="3121" spans="1:9" ht="16.5">
      <c r="A3121" s="10" t="b">
        <v>0</v>
      </c>
      <c r="B3121" s="11" t="str">
        <f>IF(D3121&lt;&gt;"",IF(COUNTIF('USPTO TMs'!A:A,D3121)&gt;0,"Yes","No"),"")</f>
        <v/>
      </c>
      <c r="C3121" s="11"/>
      <c r="D3121" s="11"/>
      <c r="E3121" s="11"/>
      <c r="F3121" s="11"/>
      <c r="G3121" s="11"/>
      <c r="H3121" s="11"/>
      <c r="I3121" s="15"/>
    </row>
    <row r="3122" spans="1:9" ht="16.5">
      <c r="A3122" s="10" t="b">
        <v>0</v>
      </c>
      <c r="B3122" s="11" t="str">
        <f>IF(D3122&lt;&gt;"",IF(COUNTIF('USPTO TMs'!A:A,D3122)&gt;0,"Yes","No"),"")</f>
        <v/>
      </c>
      <c r="C3122" s="11"/>
      <c r="D3122" s="11"/>
      <c r="E3122" s="11"/>
      <c r="F3122" s="11"/>
      <c r="G3122" s="11"/>
      <c r="H3122" s="11"/>
      <c r="I3122" s="15"/>
    </row>
    <row r="3123" spans="1:9" ht="16.5">
      <c r="A3123" s="10" t="b">
        <v>0</v>
      </c>
      <c r="B3123" s="11" t="str">
        <f>IF(D3123&lt;&gt;"",IF(COUNTIF('USPTO TMs'!A:A,D3123)&gt;0,"Yes","No"),"")</f>
        <v/>
      </c>
      <c r="C3123" s="11"/>
      <c r="D3123" s="11"/>
      <c r="E3123" s="11"/>
      <c r="F3123" s="11"/>
      <c r="G3123" s="11"/>
      <c r="H3123" s="11"/>
      <c r="I3123" s="15"/>
    </row>
    <row r="3124" spans="1:9" ht="16.5">
      <c r="A3124" s="10" t="b">
        <v>0</v>
      </c>
      <c r="B3124" s="11" t="str">
        <f>IF(D3124&lt;&gt;"",IF(COUNTIF('USPTO TMs'!A:A,D3124)&gt;0,"Yes","No"),"")</f>
        <v/>
      </c>
      <c r="C3124" s="11"/>
      <c r="D3124" s="11"/>
      <c r="E3124" s="11"/>
      <c r="F3124" s="11"/>
      <c r="G3124" s="11"/>
      <c r="H3124" s="11"/>
      <c r="I3124" s="15"/>
    </row>
    <row r="3125" spans="1:9" ht="16.5">
      <c r="A3125" s="10" t="b">
        <v>0</v>
      </c>
      <c r="B3125" s="11" t="str">
        <f>IF(D3125&lt;&gt;"",IF(COUNTIF('USPTO TMs'!A:A,D3125)&gt;0,"Yes","No"),"")</f>
        <v/>
      </c>
      <c r="C3125" s="11"/>
      <c r="D3125" s="11"/>
      <c r="E3125" s="11"/>
      <c r="F3125" s="11"/>
      <c r="G3125" s="11"/>
      <c r="H3125" s="11"/>
      <c r="I3125" s="15"/>
    </row>
    <row r="3126" spans="1:9" ht="16.5">
      <c r="A3126" s="10" t="b">
        <v>0</v>
      </c>
      <c r="B3126" s="11" t="str">
        <f>IF(D3126&lt;&gt;"",IF(COUNTIF('USPTO TMs'!A:A,D3126)&gt;0,"Yes","No"),"")</f>
        <v/>
      </c>
      <c r="C3126" s="11"/>
      <c r="D3126" s="11"/>
      <c r="E3126" s="11"/>
      <c r="F3126" s="11"/>
      <c r="G3126" s="11"/>
      <c r="H3126" s="11"/>
      <c r="I3126" s="15"/>
    </row>
    <row r="3127" spans="1:9" ht="16.5">
      <c r="A3127" s="10" t="b">
        <v>0</v>
      </c>
      <c r="B3127" s="11" t="str">
        <f>IF(D3127&lt;&gt;"",IF(COUNTIF('USPTO TMs'!A:A,D3127)&gt;0,"Yes","No"),"")</f>
        <v/>
      </c>
      <c r="C3127" s="11"/>
      <c r="D3127" s="11"/>
      <c r="E3127" s="11"/>
      <c r="F3127" s="11"/>
      <c r="G3127" s="11"/>
      <c r="H3127" s="11"/>
      <c r="I3127" s="15"/>
    </row>
    <row r="3128" spans="1:9" ht="16.5">
      <c r="A3128" s="10" t="b">
        <v>0</v>
      </c>
      <c r="B3128" s="11" t="str">
        <f>IF(D3128&lt;&gt;"",IF(COUNTIF('USPTO TMs'!A:A,D3128)&gt;0,"Yes","No"),"")</f>
        <v/>
      </c>
      <c r="C3128" s="11"/>
      <c r="D3128" s="11"/>
      <c r="E3128" s="11"/>
      <c r="F3128" s="11"/>
      <c r="G3128" s="11"/>
      <c r="H3128" s="11"/>
      <c r="I3128" s="15"/>
    </row>
    <row r="3129" spans="1:9" ht="16.5">
      <c r="A3129" s="10" t="b">
        <v>0</v>
      </c>
      <c r="B3129" s="11" t="str">
        <f>IF(D3129&lt;&gt;"",IF(COUNTIF('USPTO TMs'!A:A,D3129)&gt;0,"Yes","No"),"")</f>
        <v/>
      </c>
      <c r="C3129" s="11"/>
      <c r="D3129" s="11"/>
      <c r="E3129" s="11"/>
      <c r="F3129" s="11"/>
      <c r="G3129" s="11"/>
      <c r="H3129" s="11"/>
      <c r="I3129" s="15"/>
    </row>
    <row r="3130" spans="1:9" ht="16.5">
      <c r="A3130" s="10" t="b">
        <v>0</v>
      </c>
      <c r="B3130" s="11" t="str">
        <f>IF(D3130&lt;&gt;"",IF(COUNTIF('USPTO TMs'!A:A,D3130)&gt;0,"Yes","No"),"")</f>
        <v/>
      </c>
      <c r="C3130" s="11"/>
      <c r="D3130" s="11"/>
      <c r="E3130" s="11"/>
      <c r="F3130" s="11"/>
      <c r="G3130" s="11"/>
      <c r="H3130" s="11"/>
      <c r="I3130" s="15"/>
    </row>
    <row r="3131" spans="1:9" ht="16.5">
      <c r="A3131" s="10" t="b">
        <v>0</v>
      </c>
      <c r="B3131" s="11" t="str">
        <f>IF(D3131&lt;&gt;"",IF(COUNTIF('USPTO TMs'!A:A,D3131)&gt;0,"Yes","No"),"")</f>
        <v/>
      </c>
      <c r="C3131" s="11"/>
      <c r="D3131" s="11"/>
      <c r="E3131" s="11"/>
      <c r="F3131" s="11"/>
      <c r="G3131" s="11"/>
      <c r="H3131" s="11"/>
      <c r="I3131" s="15"/>
    </row>
    <row r="3132" spans="1:9" ht="16.5">
      <c r="A3132" s="10" t="b">
        <v>0</v>
      </c>
      <c r="B3132" s="11" t="str">
        <f>IF(D3132&lt;&gt;"",IF(COUNTIF('USPTO TMs'!A:A,D3132)&gt;0,"Yes","No"),"")</f>
        <v/>
      </c>
      <c r="C3132" s="11"/>
      <c r="D3132" s="11"/>
      <c r="E3132" s="11"/>
      <c r="F3132" s="11"/>
      <c r="G3132" s="11"/>
      <c r="H3132" s="11"/>
      <c r="I3132" s="15"/>
    </row>
    <row r="3133" spans="1:9" ht="16.5">
      <c r="A3133" s="10" t="b">
        <v>0</v>
      </c>
      <c r="B3133" s="11" t="str">
        <f>IF(D3133&lt;&gt;"",IF(COUNTIF('USPTO TMs'!A:A,D3133)&gt;0,"Yes","No"),"")</f>
        <v/>
      </c>
      <c r="C3133" s="11"/>
      <c r="D3133" s="11"/>
      <c r="E3133" s="11"/>
      <c r="F3133" s="11"/>
      <c r="G3133" s="11"/>
      <c r="H3133" s="11"/>
      <c r="I3133" s="15"/>
    </row>
    <row r="3134" spans="1:9" ht="16.5">
      <c r="A3134" s="10" t="b">
        <v>0</v>
      </c>
      <c r="B3134" s="11" t="str">
        <f>IF(D3134&lt;&gt;"",IF(COUNTIF('USPTO TMs'!A:A,D3134)&gt;0,"Yes","No"),"")</f>
        <v/>
      </c>
      <c r="C3134" s="11"/>
      <c r="D3134" s="11"/>
      <c r="E3134" s="11"/>
      <c r="F3134" s="11"/>
      <c r="G3134" s="11"/>
      <c r="H3134" s="11"/>
      <c r="I3134" s="15"/>
    </row>
    <row r="3135" spans="1:9" ht="16.5">
      <c r="A3135" s="10" t="b">
        <v>0</v>
      </c>
      <c r="B3135" s="11" t="str">
        <f>IF(D3135&lt;&gt;"",IF(COUNTIF('USPTO TMs'!A:A,D3135)&gt;0,"Yes","No"),"")</f>
        <v/>
      </c>
      <c r="C3135" s="11"/>
      <c r="D3135" s="11"/>
      <c r="E3135" s="11"/>
      <c r="F3135" s="11"/>
      <c r="G3135" s="11"/>
      <c r="H3135" s="11"/>
      <c r="I3135" s="15"/>
    </row>
    <row r="3136" spans="1:9" ht="16.5">
      <c r="A3136" s="10" t="b">
        <v>0</v>
      </c>
      <c r="B3136" s="11" t="str">
        <f>IF(D3136&lt;&gt;"",IF(COUNTIF('USPTO TMs'!A:A,D3136)&gt;0,"Yes","No"),"")</f>
        <v/>
      </c>
      <c r="C3136" s="11"/>
      <c r="D3136" s="11"/>
      <c r="E3136" s="11"/>
      <c r="F3136" s="11"/>
      <c r="G3136" s="11"/>
      <c r="H3136" s="11"/>
      <c r="I3136" s="15"/>
    </row>
    <row r="3137" spans="1:9" ht="16.5">
      <c r="A3137" s="10" t="b">
        <v>0</v>
      </c>
      <c r="B3137" s="11" t="str">
        <f>IF(D3137&lt;&gt;"",IF(COUNTIF('USPTO TMs'!A:A,D3137)&gt;0,"Yes","No"),"")</f>
        <v/>
      </c>
      <c r="C3137" s="11"/>
      <c r="D3137" s="11"/>
      <c r="E3137" s="11"/>
      <c r="F3137" s="11"/>
      <c r="G3137" s="11"/>
      <c r="H3137" s="11"/>
      <c r="I3137" s="15"/>
    </row>
    <row r="3138" spans="1:9" ht="16.5">
      <c r="A3138" s="10" t="b">
        <v>0</v>
      </c>
      <c r="B3138" s="11" t="str">
        <f>IF(D3138&lt;&gt;"",IF(COUNTIF('USPTO TMs'!A:A,D3138)&gt;0,"Yes","No"),"")</f>
        <v/>
      </c>
      <c r="C3138" s="11"/>
      <c r="D3138" s="11"/>
      <c r="E3138" s="11"/>
      <c r="F3138" s="11"/>
      <c r="G3138" s="11"/>
      <c r="H3138" s="11"/>
      <c r="I3138" s="15"/>
    </row>
    <row r="3139" spans="1:9" ht="16.5">
      <c r="A3139" s="10" t="b">
        <v>0</v>
      </c>
      <c r="B3139" s="11" t="str">
        <f>IF(D3139&lt;&gt;"",IF(COUNTIF('USPTO TMs'!A:A,D3139)&gt;0,"Yes","No"),"")</f>
        <v/>
      </c>
      <c r="C3139" s="11"/>
      <c r="D3139" s="11"/>
      <c r="E3139" s="11"/>
      <c r="F3139" s="11"/>
      <c r="G3139" s="11"/>
      <c r="H3139" s="11"/>
      <c r="I3139" s="15"/>
    </row>
    <row r="3140" spans="1:9" ht="16.5">
      <c r="A3140" s="10" t="b">
        <v>0</v>
      </c>
      <c r="B3140" s="11" t="str">
        <f>IF(D3140&lt;&gt;"",IF(COUNTIF('USPTO TMs'!A:A,D3140)&gt;0,"Yes","No"),"")</f>
        <v/>
      </c>
      <c r="C3140" s="11"/>
      <c r="D3140" s="11"/>
      <c r="E3140" s="11"/>
      <c r="F3140" s="11"/>
      <c r="G3140" s="11"/>
      <c r="H3140" s="11"/>
      <c r="I3140" s="15"/>
    </row>
    <row r="3141" spans="1:9" ht="16.5">
      <c r="A3141" s="10" t="b">
        <v>0</v>
      </c>
      <c r="B3141" s="11" t="str">
        <f>IF(D3141&lt;&gt;"",IF(COUNTIF('USPTO TMs'!A:A,D3141)&gt;0,"Yes","No"),"")</f>
        <v/>
      </c>
      <c r="C3141" s="11"/>
      <c r="D3141" s="11"/>
      <c r="E3141" s="11"/>
      <c r="F3141" s="11"/>
      <c r="G3141" s="11"/>
      <c r="H3141" s="11"/>
      <c r="I3141" s="15"/>
    </row>
    <row r="3142" spans="1:9" ht="16.5">
      <c r="A3142" s="10" t="b">
        <v>0</v>
      </c>
      <c r="B3142" s="11" t="str">
        <f>IF(D3142&lt;&gt;"",IF(COUNTIF('USPTO TMs'!A:A,D3142)&gt;0,"Yes","No"),"")</f>
        <v/>
      </c>
      <c r="C3142" s="11"/>
      <c r="D3142" s="11"/>
      <c r="E3142" s="11"/>
      <c r="F3142" s="11"/>
      <c r="G3142" s="11"/>
      <c r="H3142" s="11"/>
      <c r="I3142" s="15"/>
    </row>
    <row r="3143" spans="1:9" ht="16.5">
      <c r="A3143" s="10" t="b">
        <v>0</v>
      </c>
      <c r="B3143" s="11" t="str">
        <f>IF(D3143&lt;&gt;"",IF(COUNTIF('USPTO TMs'!A:A,D3143)&gt;0,"Yes","No"),"")</f>
        <v/>
      </c>
      <c r="C3143" s="11"/>
      <c r="D3143" s="11"/>
      <c r="E3143" s="11"/>
      <c r="F3143" s="11"/>
      <c r="G3143" s="11"/>
      <c r="H3143" s="11"/>
      <c r="I3143" s="15"/>
    </row>
    <row r="3144" spans="1:9" ht="16.5">
      <c r="A3144" s="10" t="b">
        <v>0</v>
      </c>
      <c r="B3144" s="11" t="str">
        <f>IF(D3144&lt;&gt;"",IF(COUNTIF('USPTO TMs'!A:A,D3144)&gt;0,"Yes","No"),"")</f>
        <v/>
      </c>
      <c r="C3144" s="11"/>
      <c r="D3144" s="11"/>
      <c r="E3144" s="11"/>
      <c r="F3144" s="11"/>
      <c r="G3144" s="11"/>
      <c r="H3144" s="11"/>
      <c r="I3144" s="15"/>
    </row>
    <row r="3145" spans="1:9" ht="16.5">
      <c r="A3145" s="10" t="b">
        <v>0</v>
      </c>
      <c r="B3145" s="11" t="str">
        <f>IF(D3145&lt;&gt;"",IF(COUNTIF('USPTO TMs'!A:A,D3145)&gt;0,"Yes","No"),"")</f>
        <v/>
      </c>
      <c r="C3145" s="11"/>
      <c r="D3145" s="11"/>
      <c r="E3145" s="11"/>
      <c r="F3145" s="11"/>
      <c r="G3145" s="11"/>
      <c r="H3145" s="11"/>
      <c r="I3145" s="15"/>
    </row>
    <row r="3146" spans="1:9" ht="16.5">
      <c r="A3146" s="10" t="b">
        <v>0</v>
      </c>
      <c r="B3146" s="11" t="str">
        <f>IF(D3146&lt;&gt;"",IF(COUNTIF('USPTO TMs'!A:A,D3146)&gt;0,"Yes","No"),"")</f>
        <v/>
      </c>
      <c r="C3146" s="11"/>
      <c r="D3146" s="11"/>
      <c r="E3146" s="11"/>
      <c r="F3146" s="11"/>
      <c r="G3146" s="11"/>
      <c r="H3146" s="11"/>
      <c r="I3146" s="15"/>
    </row>
    <row r="3147" spans="1:9" ht="16.5">
      <c r="A3147" s="10" t="b">
        <v>0</v>
      </c>
      <c r="B3147" s="11" t="str">
        <f>IF(D3147&lt;&gt;"",IF(COUNTIF('USPTO TMs'!A:A,D3147)&gt;0,"Yes","No"),"")</f>
        <v/>
      </c>
      <c r="C3147" s="11"/>
      <c r="D3147" s="11"/>
      <c r="E3147" s="11"/>
      <c r="F3147" s="11"/>
      <c r="G3147" s="11"/>
      <c r="H3147" s="11"/>
      <c r="I3147" s="15"/>
    </row>
    <row r="3148" spans="1:9" ht="16.5">
      <c r="A3148" s="10" t="b">
        <v>0</v>
      </c>
      <c r="B3148" s="11" t="str">
        <f>IF(D3148&lt;&gt;"",IF(COUNTIF('USPTO TMs'!A:A,D3148)&gt;0,"Yes","No"),"")</f>
        <v/>
      </c>
      <c r="C3148" s="11"/>
      <c r="D3148" s="11"/>
      <c r="E3148" s="11"/>
      <c r="F3148" s="11"/>
      <c r="G3148" s="11"/>
      <c r="H3148" s="11"/>
      <c r="I3148" s="15"/>
    </row>
    <row r="3149" spans="1:9" ht="16.5">
      <c r="A3149" s="10" t="b">
        <v>0</v>
      </c>
      <c r="B3149" s="11" t="str">
        <f>IF(D3149&lt;&gt;"",IF(COUNTIF('USPTO TMs'!A:A,D3149)&gt;0,"Yes","No"),"")</f>
        <v/>
      </c>
      <c r="C3149" s="11"/>
      <c r="D3149" s="11"/>
      <c r="E3149" s="11"/>
      <c r="F3149" s="11"/>
      <c r="G3149" s="11"/>
      <c r="H3149" s="11"/>
      <c r="I3149" s="15"/>
    </row>
    <row r="3150" spans="1:9" ht="16.5">
      <c r="A3150" s="10" t="b">
        <v>0</v>
      </c>
      <c r="B3150" s="11" t="str">
        <f>IF(D3150&lt;&gt;"",IF(COUNTIF('USPTO TMs'!A:A,D3150)&gt;0,"Yes","No"),"")</f>
        <v/>
      </c>
      <c r="C3150" s="11"/>
      <c r="D3150" s="11"/>
      <c r="E3150" s="11"/>
      <c r="F3150" s="11"/>
      <c r="G3150" s="11"/>
      <c r="H3150" s="11"/>
      <c r="I3150" s="15"/>
    </row>
    <row r="3151" spans="1:9" ht="16.5">
      <c r="A3151" s="10" t="b">
        <v>0</v>
      </c>
      <c r="B3151" s="11" t="str">
        <f>IF(D3151&lt;&gt;"",IF(COUNTIF('USPTO TMs'!A:A,D3151)&gt;0,"Yes","No"),"")</f>
        <v/>
      </c>
      <c r="C3151" s="11"/>
      <c r="D3151" s="11"/>
      <c r="E3151" s="11"/>
      <c r="F3151" s="11"/>
      <c r="G3151" s="11"/>
      <c r="H3151" s="11"/>
      <c r="I3151" s="15"/>
    </row>
    <row r="3152" spans="1:9" ht="16.5">
      <c r="A3152" s="10" t="b">
        <v>0</v>
      </c>
      <c r="B3152" s="11" t="str">
        <f>IF(D3152&lt;&gt;"",IF(COUNTIF('USPTO TMs'!A:A,D3152)&gt;0,"Yes","No"),"")</f>
        <v/>
      </c>
      <c r="C3152" s="11"/>
      <c r="D3152" s="11"/>
      <c r="E3152" s="11"/>
      <c r="F3152" s="11"/>
      <c r="G3152" s="11"/>
      <c r="H3152" s="11"/>
      <c r="I3152" s="15"/>
    </row>
    <row r="3153" spans="1:9" ht="16.5">
      <c r="A3153" s="10" t="b">
        <v>0</v>
      </c>
      <c r="B3153" s="11" t="str">
        <f>IF(D3153&lt;&gt;"",IF(COUNTIF('USPTO TMs'!A:A,D3153)&gt;0,"Yes","No"),"")</f>
        <v/>
      </c>
      <c r="C3153" s="11"/>
      <c r="D3153" s="11"/>
      <c r="E3153" s="11"/>
      <c r="F3153" s="11"/>
      <c r="G3153" s="11"/>
      <c r="H3153" s="11"/>
      <c r="I3153" s="15"/>
    </row>
    <row r="3154" spans="1:9" ht="16.5">
      <c r="A3154" s="10" t="b">
        <v>0</v>
      </c>
      <c r="B3154" s="11" t="str">
        <f>IF(D3154&lt;&gt;"",IF(COUNTIF('USPTO TMs'!A:A,D3154)&gt;0,"Yes","No"),"")</f>
        <v/>
      </c>
      <c r="C3154" s="11"/>
      <c r="D3154" s="11"/>
      <c r="E3154" s="11"/>
      <c r="F3154" s="11"/>
      <c r="G3154" s="11"/>
      <c r="H3154" s="11"/>
      <c r="I3154" s="15"/>
    </row>
    <row r="3155" spans="1:9" ht="16.5">
      <c r="A3155" s="10" t="b">
        <v>0</v>
      </c>
      <c r="B3155" s="11" t="str">
        <f>IF(D3155&lt;&gt;"",IF(COUNTIF('USPTO TMs'!A:A,D3155)&gt;0,"Yes","No"),"")</f>
        <v/>
      </c>
      <c r="C3155" s="11"/>
      <c r="D3155" s="11"/>
      <c r="E3155" s="11"/>
      <c r="F3155" s="11"/>
      <c r="G3155" s="11"/>
      <c r="H3155" s="11"/>
      <c r="I3155" s="15"/>
    </row>
    <row r="3156" spans="1:9" ht="16.5">
      <c r="A3156" s="10" t="b">
        <v>0</v>
      </c>
      <c r="B3156" s="11" t="str">
        <f>IF(D3156&lt;&gt;"",IF(COUNTIF('USPTO TMs'!A:A,D3156)&gt;0,"Yes","No"),"")</f>
        <v/>
      </c>
      <c r="C3156" s="11"/>
      <c r="D3156" s="11"/>
      <c r="E3156" s="11"/>
      <c r="F3156" s="11"/>
      <c r="G3156" s="11"/>
      <c r="H3156" s="11"/>
      <c r="I3156" s="15"/>
    </row>
    <row r="3157" spans="1:9" ht="16.5">
      <c r="A3157" s="10" t="b">
        <v>0</v>
      </c>
      <c r="B3157" s="11" t="str">
        <f>IF(D3157&lt;&gt;"",IF(COUNTIF('USPTO TMs'!A:A,D3157)&gt;0,"Yes","No"),"")</f>
        <v/>
      </c>
      <c r="C3157" s="11"/>
      <c r="D3157" s="11"/>
      <c r="E3157" s="11"/>
      <c r="F3157" s="11"/>
      <c r="G3157" s="11"/>
      <c r="H3157" s="11"/>
      <c r="I3157" s="15"/>
    </row>
    <row r="3158" spans="1:9" ht="16.5">
      <c r="A3158" s="10" t="b">
        <v>0</v>
      </c>
      <c r="B3158" s="11" t="str">
        <f>IF(D3158&lt;&gt;"",IF(COUNTIF('USPTO TMs'!A:A,D3158)&gt;0,"Yes","No"),"")</f>
        <v/>
      </c>
      <c r="C3158" s="11"/>
      <c r="D3158" s="11"/>
      <c r="E3158" s="11"/>
      <c r="F3158" s="11"/>
      <c r="G3158" s="11"/>
      <c r="H3158" s="11"/>
      <c r="I3158" s="15"/>
    </row>
    <row r="3159" spans="1:9" ht="16.5">
      <c r="A3159" s="10" t="b">
        <v>0</v>
      </c>
      <c r="B3159" s="11" t="str">
        <f>IF(D3159&lt;&gt;"",IF(COUNTIF('USPTO TMs'!A:A,D3159)&gt;0,"Yes","No"),"")</f>
        <v/>
      </c>
      <c r="C3159" s="11"/>
      <c r="D3159" s="11"/>
      <c r="E3159" s="11"/>
      <c r="F3159" s="11"/>
      <c r="G3159" s="11"/>
      <c r="H3159" s="11"/>
      <c r="I3159" s="15"/>
    </row>
    <row r="3160" spans="1:9" ht="16.5">
      <c r="A3160" s="10" t="b">
        <v>0</v>
      </c>
      <c r="B3160" s="11" t="str">
        <f>IF(D3160&lt;&gt;"",IF(COUNTIF('USPTO TMs'!A:A,D3160)&gt;0,"Yes","No"),"")</f>
        <v/>
      </c>
      <c r="C3160" s="11"/>
      <c r="D3160" s="11"/>
      <c r="E3160" s="11"/>
      <c r="F3160" s="11"/>
      <c r="G3160" s="11"/>
      <c r="H3160" s="11"/>
      <c r="I3160" s="15"/>
    </row>
    <row r="3161" spans="1:9" ht="16.5">
      <c r="A3161" s="10" t="b">
        <v>0</v>
      </c>
      <c r="B3161" s="11" t="str">
        <f>IF(D3161&lt;&gt;"",IF(COUNTIF('USPTO TMs'!A:A,D3161)&gt;0,"Yes","No"),"")</f>
        <v/>
      </c>
      <c r="C3161" s="11"/>
      <c r="D3161" s="11"/>
      <c r="E3161" s="11"/>
      <c r="F3161" s="11"/>
      <c r="G3161" s="11"/>
      <c r="H3161" s="11"/>
      <c r="I3161" s="15"/>
    </row>
    <row r="3162" spans="1:9" ht="16.5">
      <c r="A3162" s="10" t="b">
        <v>0</v>
      </c>
      <c r="B3162" s="11" t="str">
        <f>IF(D3162&lt;&gt;"",IF(COUNTIF('USPTO TMs'!A:A,D3162)&gt;0,"Yes","No"),"")</f>
        <v/>
      </c>
      <c r="C3162" s="11"/>
      <c r="D3162" s="11"/>
      <c r="E3162" s="11"/>
      <c r="F3162" s="11"/>
      <c r="G3162" s="11"/>
      <c r="H3162" s="11"/>
      <c r="I3162" s="15"/>
    </row>
    <row r="3163" spans="1:9" ht="16.5">
      <c r="A3163" s="10" t="b">
        <v>0</v>
      </c>
      <c r="B3163" s="11" t="str">
        <f>IF(D3163&lt;&gt;"",IF(COUNTIF('USPTO TMs'!A:A,D3163)&gt;0,"Yes","No"),"")</f>
        <v/>
      </c>
      <c r="C3163" s="11"/>
      <c r="D3163" s="11"/>
      <c r="E3163" s="11"/>
      <c r="F3163" s="11"/>
      <c r="G3163" s="11"/>
      <c r="H3163" s="11"/>
      <c r="I3163" s="15"/>
    </row>
    <row r="3164" spans="1:9" ht="16.5">
      <c r="A3164" s="10" t="b">
        <v>0</v>
      </c>
      <c r="B3164" s="11" t="str">
        <f>IF(D3164&lt;&gt;"",IF(COUNTIF('USPTO TMs'!A:A,D3164)&gt;0,"Yes","No"),"")</f>
        <v/>
      </c>
      <c r="C3164" s="11"/>
      <c r="D3164" s="11"/>
      <c r="E3164" s="11"/>
      <c r="F3164" s="11"/>
      <c r="G3164" s="11"/>
      <c r="H3164" s="11"/>
      <c r="I3164" s="15"/>
    </row>
    <row r="3165" spans="1:9" ht="16.5">
      <c r="A3165" s="10" t="b">
        <v>0</v>
      </c>
      <c r="B3165" s="11" t="str">
        <f>IF(D3165&lt;&gt;"",IF(COUNTIF('USPTO TMs'!A:A,D3165)&gt;0,"Yes","No"),"")</f>
        <v/>
      </c>
      <c r="C3165" s="11"/>
      <c r="D3165" s="11"/>
      <c r="E3165" s="11"/>
      <c r="F3165" s="11"/>
      <c r="G3165" s="11"/>
      <c r="H3165" s="11"/>
      <c r="I3165" s="15"/>
    </row>
    <row r="3166" spans="1:9" ht="16.5">
      <c r="A3166" s="10" t="b">
        <v>0</v>
      </c>
      <c r="B3166" s="11" t="str">
        <f>IF(D3166&lt;&gt;"",IF(COUNTIF('USPTO TMs'!A:A,D3166)&gt;0,"Yes","No"),"")</f>
        <v/>
      </c>
      <c r="C3166" s="11"/>
      <c r="D3166" s="11"/>
      <c r="E3166" s="11"/>
      <c r="F3166" s="11"/>
      <c r="G3166" s="11"/>
      <c r="H3166" s="11"/>
      <c r="I3166" s="15"/>
    </row>
    <row r="3167" spans="1:9" ht="16.5">
      <c r="A3167" s="10" t="b">
        <v>0</v>
      </c>
      <c r="B3167" s="11" t="str">
        <f>IF(D3167&lt;&gt;"",IF(COUNTIF('USPTO TMs'!A:A,D3167)&gt;0,"Yes","No"),"")</f>
        <v/>
      </c>
      <c r="C3167" s="11"/>
      <c r="D3167" s="11"/>
      <c r="E3167" s="11"/>
      <c r="F3167" s="11"/>
      <c r="G3167" s="11"/>
      <c r="H3167" s="11"/>
      <c r="I3167" s="15"/>
    </row>
    <row r="3168" spans="1:9" ht="16.5">
      <c r="A3168" s="10" t="b">
        <v>0</v>
      </c>
      <c r="B3168" s="11" t="str">
        <f>IF(D3168&lt;&gt;"",IF(COUNTIF('USPTO TMs'!A:A,D3168)&gt;0,"Yes","No"),"")</f>
        <v/>
      </c>
      <c r="C3168" s="11"/>
      <c r="D3168" s="11"/>
      <c r="E3168" s="11"/>
      <c r="F3168" s="11"/>
      <c r="G3168" s="11"/>
      <c r="H3168" s="11"/>
      <c r="I3168" s="15"/>
    </row>
    <row r="3169" spans="1:9" ht="16.5">
      <c r="A3169" s="10" t="b">
        <v>0</v>
      </c>
      <c r="B3169" s="11" t="str">
        <f>IF(D3169&lt;&gt;"",IF(COUNTIF('USPTO TMs'!A:A,D3169)&gt;0,"Yes","No"),"")</f>
        <v/>
      </c>
      <c r="C3169" s="11"/>
      <c r="D3169" s="11"/>
      <c r="E3169" s="11"/>
      <c r="F3169" s="11"/>
      <c r="G3169" s="11"/>
      <c r="H3169" s="11"/>
      <c r="I3169" s="15"/>
    </row>
    <row r="3170" spans="1:9" ht="16.5">
      <c r="A3170" s="10" t="b">
        <v>0</v>
      </c>
      <c r="B3170" s="11" t="str">
        <f>IF(D3170&lt;&gt;"",IF(COUNTIF('USPTO TMs'!A:A,D3170)&gt;0,"Yes","No"),"")</f>
        <v/>
      </c>
      <c r="C3170" s="11"/>
      <c r="D3170" s="11"/>
      <c r="E3170" s="11"/>
      <c r="F3170" s="11"/>
      <c r="G3170" s="11"/>
      <c r="H3170" s="11"/>
      <c r="I3170" s="15"/>
    </row>
    <row r="3171" spans="1:9" ht="16.5">
      <c r="A3171" s="10" t="b">
        <v>0</v>
      </c>
      <c r="B3171" s="11" t="str">
        <f>IF(D3171&lt;&gt;"",IF(COUNTIF('USPTO TMs'!A:A,D3171)&gt;0,"Yes","No"),"")</f>
        <v/>
      </c>
      <c r="C3171" s="11"/>
      <c r="D3171" s="11"/>
      <c r="E3171" s="11"/>
      <c r="F3171" s="11"/>
      <c r="G3171" s="11"/>
      <c r="H3171" s="11"/>
      <c r="I3171" s="15"/>
    </row>
    <row r="3172" spans="1:9" ht="16.5">
      <c r="A3172" s="10" t="b">
        <v>0</v>
      </c>
      <c r="B3172" s="11" t="str">
        <f>IF(D3172&lt;&gt;"",IF(COUNTIF('USPTO TMs'!A:A,D3172)&gt;0,"Yes","No"),"")</f>
        <v/>
      </c>
      <c r="C3172" s="11"/>
      <c r="D3172" s="11"/>
      <c r="E3172" s="11"/>
      <c r="F3172" s="11"/>
      <c r="G3172" s="11"/>
      <c r="H3172" s="11"/>
      <c r="I3172" s="15"/>
    </row>
    <row r="3173" spans="1:9" ht="16.5">
      <c r="A3173" s="10" t="b">
        <v>0</v>
      </c>
      <c r="B3173" s="11" t="str">
        <f>IF(D3173&lt;&gt;"",IF(COUNTIF('USPTO TMs'!A:A,D3173)&gt;0,"Yes","No"),"")</f>
        <v/>
      </c>
      <c r="C3173" s="11"/>
      <c r="D3173" s="11"/>
      <c r="E3173" s="11"/>
      <c r="F3173" s="11"/>
      <c r="G3173" s="11"/>
      <c r="H3173" s="11"/>
      <c r="I3173" s="15"/>
    </row>
    <row r="3174" spans="1:9" ht="16.5">
      <c r="A3174" s="10" t="b">
        <v>0</v>
      </c>
      <c r="B3174" s="11" t="str">
        <f>IF(D3174&lt;&gt;"",IF(COUNTIF('USPTO TMs'!A:A,D3174)&gt;0,"Yes","No"),"")</f>
        <v/>
      </c>
      <c r="C3174" s="11"/>
      <c r="D3174" s="11"/>
      <c r="E3174" s="11"/>
      <c r="F3174" s="11"/>
      <c r="G3174" s="11"/>
      <c r="H3174" s="11"/>
      <c r="I3174" s="15"/>
    </row>
    <row r="3175" spans="1:9" ht="16.5">
      <c r="A3175" s="10" t="b">
        <v>0</v>
      </c>
      <c r="B3175" s="11" t="str">
        <f>IF(D3175&lt;&gt;"",IF(COUNTIF('USPTO TMs'!A:A,D3175)&gt;0,"Yes","No"),"")</f>
        <v/>
      </c>
      <c r="C3175" s="11"/>
      <c r="D3175" s="11"/>
      <c r="E3175" s="11"/>
      <c r="F3175" s="11"/>
      <c r="G3175" s="11"/>
      <c r="H3175" s="11"/>
      <c r="I3175" s="15"/>
    </row>
    <row r="3176" spans="1:9" ht="16.5">
      <c r="A3176" s="10" t="b">
        <v>0</v>
      </c>
      <c r="B3176" s="11" t="str">
        <f>IF(D3176&lt;&gt;"",IF(COUNTIF('USPTO TMs'!A:A,D3176)&gt;0,"Yes","No"),"")</f>
        <v/>
      </c>
      <c r="C3176" s="11"/>
      <c r="D3176" s="11"/>
      <c r="E3176" s="11"/>
      <c r="F3176" s="11"/>
      <c r="G3176" s="11"/>
      <c r="H3176" s="11"/>
      <c r="I3176" s="15"/>
    </row>
    <row r="3177" spans="1:9" ht="16.5">
      <c r="A3177" s="10" t="b">
        <v>0</v>
      </c>
      <c r="B3177" s="11" t="str">
        <f>IF(D3177&lt;&gt;"",IF(COUNTIF('USPTO TMs'!A:A,D3177)&gt;0,"Yes","No"),"")</f>
        <v/>
      </c>
      <c r="C3177" s="11"/>
      <c r="D3177" s="11"/>
      <c r="E3177" s="11"/>
      <c r="F3177" s="11"/>
      <c r="G3177" s="11"/>
      <c r="H3177" s="11"/>
      <c r="I3177" s="15"/>
    </row>
    <row r="3178" spans="1:9" ht="16.5">
      <c r="A3178" s="10" t="b">
        <v>0</v>
      </c>
      <c r="B3178" s="11" t="str">
        <f>IF(D3178&lt;&gt;"",IF(COUNTIF('USPTO TMs'!A:A,D3178)&gt;0,"Yes","No"),"")</f>
        <v/>
      </c>
      <c r="C3178" s="11"/>
      <c r="D3178" s="11"/>
      <c r="E3178" s="11"/>
      <c r="F3178" s="11"/>
      <c r="G3178" s="11"/>
      <c r="H3178" s="11"/>
      <c r="I3178" s="15"/>
    </row>
    <row r="3179" spans="1:9" ht="16.5">
      <c r="A3179" s="10" t="b">
        <v>0</v>
      </c>
      <c r="B3179" s="11" t="str">
        <f>IF(D3179&lt;&gt;"",IF(COUNTIF('USPTO TMs'!A:A,D3179)&gt;0,"Yes","No"),"")</f>
        <v/>
      </c>
      <c r="C3179" s="11"/>
      <c r="D3179" s="11"/>
      <c r="E3179" s="11"/>
      <c r="F3179" s="11"/>
      <c r="G3179" s="11"/>
      <c r="H3179" s="11"/>
      <c r="I3179" s="15"/>
    </row>
    <row r="3180" spans="1:9" ht="16.5">
      <c r="A3180" s="10" t="b">
        <v>0</v>
      </c>
      <c r="B3180" s="11" t="str">
        <f>IF(D3180&lt;&gt;"",IF(COUNTIF('USPTO TMs'!A:A,D3180)&gt;0,"Yes","No"),"")</f>
        <v/>
      </c>
      <c r="C3180" s="11"/>
      <c r="D3180" s="11"/>
      <c r="E3180" s="11"/>
      <c r="F3180" s="11"/>
      <c r="G3180" s="11"/>
      <c r="H3180" s="11"/>
      <c r="I3180" s="15"/>
    </row>
    <row r="3181" spans="1:9" ht="16.5">
      <c r="A3181" s="10" t="b">
        <v>0</v>
      </c>
      <c r="B3181" s="11" t="str">
        <f>IF(D3181&lt;&gt;"",IF(COUNTIF('USPTO TMs'!A:A,D3181)&gt;0,"Yes","No"),"")</f>
        <v/>
      </c>
      <c r="C3181" s="11"/>
      <c r="D3181" s="11"/>
      <c r="E3181" s="11"/>
      <c r="F3181" s="11"/>
      <c r="G3181" s="11"/>
      <c r="H3181" s="11"/>
      <c r="I3181" s="15"/>
    </row>
    <row r="3182" spans="1:9" ht="16.5">
      <c r="A3182" s="10" t="b">
        <v>0</v>
      </c>
      <c r="B3182" s="11" t="str">
        <f>IF(D3182&lt;&gt;"",IF(COUNTIF('USPTO TMs'!A:A,D3182)&gt;0,"Yes","No"),"")</f>
        <v/>
      </c>
      <c r="C3182" s="11"/>
      <c r="D3182" s="11"/>
      <c r="E3182" s="11"/>
      <c r="F3182" s="11"/>
      <c r="G3182" s="11"/>
      <c r="H3182" s="11"/>
      <c r="I3182" s="15"/>
    </row>
    <row r="3183" spans="1:9" ht="16.5">
      <c r="A3183" s="10" t="b">
        <v>0</v>
      </c>
      <c r="B3183" s="11" t="str">
        <f>IF(D3183&lt;&gt;"",IF(COUNTIF('USPTO TMs'!A:A,D3183)&gt;0,"Yes","No"),"")</f>
        <v/>
      </c>
      <c r="C3183" s="11"/>
      <c r="D3183" s="11"/>
      <c r="E3183" s="11"/>
      <c r="F3183" s="11"/>
      <c r="G3183" s="11"/>
      <c r="H3183" s="11"/>
      <c r="I3183" s="15"/>
    </row>
    <row r="3184" spans="1:9" ht="16.5">
      <c r="A3184" s="10" t="b">
        <v>0</v>
      </c>
      <c r="B3184" s="11" t="str">
        <f>IF(D3184&lt;&gt;"",IF(COUNTIF('USPTO TMs'!A:A,D3184)&gt;0,"Yes","No"),"")</f>
        <v/>
      </c>
      <c r="C3184" s="11"/>
      <c r="D3184" s="11"/>
      <c r="E3184" s="11"/>
      <c r="F3184" s="11"/>
      <c r="G3184" s="11"/>
      <c r="H3184" s="11"/>
      <c r="I3184" s="15"/>
    </row>
    <row r="3185" spans="1:9" ht="16.5">
      <c r="A3185" s="10" t="b">
        <v>0</v>
      </c>
      <c r="B3185" s="11" t="str">
        <f>IF(D3185&lt;&gt;"",IF(COUNTIF('USPTO TMs'!A:A,D3185)&gt;0,"Yes","No"),"")</f>
        <v/>
      </c>
      <c r="C3185" s="11"/>
      <c r="D3185" s="11"/>
      <c r="E3185" s="11"/>
      <c r="F3185" s="11"/>
      <c r="G3185" s="11"/>
      <c r="H3185" s="11"/>
      <c r="I3185" s="15"/>
    </row>
    <row r="3186" spans="1:9" ht="16.5">
      <c r="A3186" s="10" t="b">
        <v>0</v>
      </c>
      <c r="B3186" s="11" t="str">
        <f>IF(D3186&lt;&gt;"",IF(COUNTIF('USPTO TMs'!A:A,D3186)&gt;0,"Yes","No"),"")</f>
        <v/>
      </c>
      <c r="C3186" s="11"/>
      <c r="D3186" s="11"/>
      <c r="E3186" s="11"/>
      <c r="F3186" s="11"/>
      <c r="G3186" s="11"/>
      <c r="H3186" s="11"/>
      <c r="I3186" s="15"/>
    </row>
    <row r="3187" spans="1:9" ht="16.5">
      <c r="A3187" s="10" t="b">
        <v>0</v>
      </c>
      <c r="B3187" s="11" t="str">
        <f>IF(D3187&lt;&gt;"",IF(COUNTIF('USPTO TMs'!A:A,D3187)&gt;0,"Yes","No"),"")</f>
        <v/>
      </c>
      <c r="C3187" s="11"/>
      <c r="D3187" s="11"/>
      <c r="E3187" s="11"/>
      <c r="F3187" s="11"/>
      <c r="G3187" s="11"/>
      <c r="H3187" s="11"/>
      <c r="I3187" s="15"/>
    </row>
    <row r="3188" spans="1:9" ht="16.5">
      <c r="A3188" s="10" t="b">
        <v>0</v>
      </c>
      <c r="B3188" s="11" t="str">
        <f>IF(D3188&lt;&gt;"",IF(COUNTIF('USPTO TMs'!A:A,D3188)&gt;0,"Yes","No"),"")</f>
        <v/>
      </c>
      <c r="C3188" s="11"/>
      <c r="D3188" s="11"/>
      <c r="E3188" s="11"/>
      <c r="F3188" s="11"/>
      <c r="G3188" s="11"/>
      <c r="H3188" s="11"/>
      <c r="I3188" s="15"/>
    </row>
    <row r="3189" spans="1:9" ht="16.5">
      <c r="A3189" s="10" t="b">
        <v>0</v>
      </c>
      <c r="B3189" s="11" t="str">
        <f>IF(D3189&lt;&gt;"",IF(COUNTIF('USPTO TMs'!A:A,D3189)&gt;0,"Yes","No"),"")</f>
        <v/>
      </c>
      <c r="C3189" s="11"/>
      <c r="D3189" s="11"/>
      <c r="E3189" s="11"/>
      <c r="F3189" s="11"/>
      <c r="G3189" s="11"/>
      <c r="H3189" s="11"/>
      <c r="I3189" s="15"/>
    </row>
    <row r="3190" spans="1:9" ht="16.5">
      <c r="A3190" s="10" t="b">
        <v>0</v>
      </c>
      <c r="B3190" s="11" t="str">
        <f>IF(D3190&lt;&gt;"",IF(COUNTIF('USPTO TMs'!A:A,D3190)&gt;0,"Yes","No"),"")</f>
        <v/>
      </c>
      <c r="C3190" s="11"/>
      <c r="D3190" s="11"/>
      <c r="E3190" s="11"/>
      <c r="F3190" s="11"/>
      <c r="G3190" s="11"/>
      <c r="H3190" s="11"/>
      <c r="I3190" s="15"/>
    </row>
    <row r="3191" spans="1:9" ht="16.5">
      <c r="A3191" s="10" t="b">
        <v>0</v>
      </c>
      <c r="B3191" s="11" t="str">
        <f>IF(D3191&lt;&gt;"",IF(COUNTIF('USPTO TMs'!A:A,D3191)&gt;0,"Yes","No"),"")</f>
        <v/>
      </c>
      <c r="C3191" s="11"/>
      <c r="D3191" s="11"/>
      <c r="E3191" s="11"/>
      <c r="F3191" s="11"/>
      <c r="G3191" s="11"/>
      <c r="H3191" s="11"/>
      <c r="I3191" s="15"/>
    </row>
    <row r="3192" spans="1:9" ht="16.5">
      <c r="A3192" s="10" t="b">
        <v>0</v>
      </c>
      <c r="B3192" s="11" t="str">
        <f>IF(D3192&lt;&gt;"",IF(COUNTIF('USPTO TMs'!A:A,D3192)&gt;0,"Yes","No"),"")</f>
        <v/>
      </c>
      <c r="C3192" s="11"/>
      <c r="D3192" s="11"/>
      <c r="E3192" s="11"/>
      <c r="F3192" s="11"/>
      <c r="G3192" s="11"/>
      <c r="H3192" s="11"/>
      <c r="I3192" s="15"/>
    </row>
    <row r="3193" spans="1:9" ht="16.5">
      <c r="A3193" s="10" t="b">
        <v>0</v>
      </c>
      <c r="B3193" s="11" t="str">
        <f>IF(D3193&lt;&gt;"",IF(COUNTIF('USPTO TMs'!A:A,D3193)&gt;0,"Yes","No"),"")</f>
        <v/>
      </c>
      <c r="C3193" s="11"/>
      <c r="D3193" s="11"/>
      <c r="E3193" s="11"/>
      <c r="F3193" s="11"/>
      <c r="G3193" s="11"/>
      <c r="H3193" s="11"/>
      <c r="I3193" s="15"/>
    </row>
    <row r="3194" spans="1:9" ht="16.5">
      <c r="A3194" s="10" t="b">
        <v>0</v>
      </c>
      <c r="B3194" s="11" t="str">
        <f>IF(D3194&lt;&gt;"",IF(COUNTIF('USPTO TMs'!A:A,D3194)&gt;0,"Yes","No"),"")</f>
        <v/>
      </c>
      <c r="C3194" s="11"/>
      <c r="D3194" s="11"/>
      <c r="E3194" s="11"/>
      <c r="F3194" s="11"/>
      <c r="G3194" s="11"/>
      <c r="H3194" s="11"/>
      <c r="I3194" s="15"/>
    </row>
    <row r="3195" spans="1:9" ht="16.5">
      <c r="A3195" s="10" t="b">
        <v>0</v>
      </c>
      <c r="B3195" s="11" t="str">
        <f>IF(D3195&lt;&gt;"",IF(COUNTIF('USPTO TMs'!A:A,D3195)&gt;0,"Yes","No"),"")</f>
        <v/>
      </c>
      <c r="C3195" s="11"/>
      <c r="D3195" s="11"/>
      <c r="E3195" s="11"/>
      <c r="F3195" s="11"/>
      <c r="G3195" s="11"/>
      <c r="H3195" s="11"/>
      <c r="I3195" s="15"/>
    </row>
    <row r="3196" spans="1:9" ht="16.5">
      <c r="A3196" s="10" t="b">
        <v>0</v>
      </c>
      <c r="B3196" s="11" t="str">
        <f>IF(D3196&lt;&gt;"",IF(COUNTIF('USPTO TMs'!A:A,D3196)&gt;0,"Yes","No"),"")</f>
        <v/>
      </c>
      <c r="C3196" s="11"/>
      <c r="D3196" s="11"/>
      <c r="E3196" s="11"/>
      <c r="F3196" s="11"/>
      <c r="G3196" s="11"/>
      <c r="H3196" s="11"/>
      <c r="I3196" s="15"/>
    </row>
    <row r="3197" spans="1:9" ht="16.5">
      <c r="A3197" s="10" t="b">
        <v>0</v>
      </c>
      <c r="B3197" s="11" t="str">
        <f>IF(D3197&lt;&gt;"",IF(COUNTIF('USPTO TMs'!A:A,D3197)&gt;0,"Yes","No"),"")</f>
        <v/>
      </c>
      <c r="C3197" s="11"/>
      <c r="D3197" s="11"/>
      <c r="E3197" s="11"/>
      <c r="F3197" s="11"/>
      <c r="G3197" s="11"/>
      <c r="H3197" s="11"/>
      <c r="I3197" s="15"/>
    </row>
    <row r="3198" spans="1:9" ht="16.5">
      <c r="A3198" s="10" t="b">
        <v>0</v>
      </c>
      <c r="B3198" s="11" t="str">
        <f>IF(D3198&lt;&gt;"",IF(COUNTIF('USPTO TMs'!A:A,D3198)&gt;0,"Yes","No"),"")</f>
        <v/>
      </c>
      <c r="C3198" s="11"/>
      <c r="D3198" s="11"/>
      <c r="E3198" s="11"/>
      <c r="F3198" s="11"/>
      <c r="G3198" s="11"/>
      <c r="H3198" s="11"/>
      <c r="I3198" s="15"/>
    </row>
    <row r="3199" spans="1:9" ht="16.5">
      <c r="A3199" s="10" t="b">
        <v>0</v>
      </c>
      <c r="B3199" s="11" t="str">
        <f>IF(D3199&lt;&gt;"",IF(COUNTIF('USPTO TMs'!A:A,D3199)&gt;0,"Yes","No"),"")</f>
        <v/>
      </c>
      <c r="C3199" s="11"/>
      <c r="D3199" s="11"/>
      <c r="E3199" s="11"/>
      <c r="F3199" s="11"/>
      <c r="G3199" s="11"/>
      <c r="H3199" s="11"/>
      <c r="I3199" s="15"/>
    </row>
    <row r="3200" spans="1:9" ht="16.5">
      <c r="A3200" s="10" t="b">
        <v>0</v>
      </c>
      <c r="B3200" s="11" t="str">
        <f>IF(D3200&lt;&gt;"",IF(COUNTIF('USPTO TMs'!A:A,D3200)&gt;0,"Yes","No"),"")</f>
        <v/>
      </c>
      <c r="C3200" s="11"/>
      <c r="D3200" s="11"/>
      <c r="E3200" s="11"/>
      <c r="F3200" s="11"/>
      <c r="G3200" s="11"/>
      <c r="H3200" s="11"/>
      <c r="I3200" s="15"/>
    </row>
    <row r="3201" spans="1:9" ht="16.5">
      <c r="A3201" s="10" t="b">
        <v>0</v>
      </c>
      <c r="B3201" s="11" t="str">
        <f>IF(D3201&lt;&gt;"",IF(COUNTIF('USPTO TMs'!A:A,D3201)&gt;0,"Yes","No"),"")</f>
        <v/>
      </c>
      <c r="C3201" s="11"/>
      <c r="D3201" s="11"/>
      <c r="E3201" s="11"/>
      <c r="F3201" s="11"/>
      <c r="G3201" s="11"/>
      <c r="H3201" s="11"/>
      <c r="I3201" s="15"/>
    </row>
    <row r="3202" spans="1:9" ht="16.5">
      <c r="A3202" s="10" t="b">
        <v>0</v>
      </c>
      <c r="B3202" s="11" t="str">
        <f>IF(D3202&lt;&gt;"",IF(COUNTIF('USPTO TMs'!A:A,D3202)&gt;0,"Yes","No"),"")</f>
        <v/>
      </c>
      <c r="C3202" s="11"/>
      <c r="D3202" s="11"/>
      <c r="E3202" s="11"/>
      <c r="F3202" s="11"/>
      <c r="G3202" s="11"/>
      <c r="H3202" s="11"/>
      <c r="I3202" s="15"/>
    </row>
    <row r="3203" spans="1:9" ht="16.5">
      <c r="A3203" s="10" t="b">
        <v>0</v>
      </c>
      <c r="B3203" s="11" t="str">
        <f>IF(D3203&lt;&gt;"",IF(COUNTIF('USPTO TMs'!A:A,D3203)&gt;0,"Yes","No"),"")</f>
        <v/>
      </c>
      <c r="C3203" s="11"/>
      <c r="D3203" s="11"/>
      <c r="E3203" s="11"/>
      <c r="F3203" s="11"/>
      <c r="G3203" s="11"/>
      <c r="H3203" s="11"/>
      <c r="I3203" s="15"/>
    </row>
    <row r="3204" spans="1:9" ht="16.5">
      <c r="A3204" s="10" t="b">
        <v>0</v>
      </c>
      <c r="B3204" s="11" t="str">
        <f>IF(D3204&lt;&gt;"",IF(COUNTIF('USPTO TMs'!A:A,D3204)&gt;0,"Yes","No"),"")</f>
        <v/>
      </c>
      <c r="C3204" s="11"/>
      <c r="D3204" s="11"/>
      <c r="E3204" s="11"/>
      <c r="F3204" s="11"/>
      <c r="G3204" s="11"/>
      <c r="H3204" s="11"/>
      <c r="I3204" s="15"/>
    </row>
    <row r="3205" spans="1:9" ht="16.5">
      <c r="A3205" s="10" t="b">
        <v>0</v>
      </c>
      <c r="B3205" s="11" t="str">
        <f>IF(D3205&lt;&gt;"",IF(COUNTIF('USPTO TMs'!A:A,D3205)&gt;0,"Yes","No"),"")</f>
        <v/>
      </c>
      <c r="C3205" s="11"/>
      <c r="D3205" s="11"/>
      <c r="E3205" s="11"/>
      <c r="F3205" s="11"/>
      <c r="G3205" s="11"/>
      <c r="H3205" s="11"/>
      <c r="I3205" s="15"/>
    </row>
    <row r="3206" spans="1:9" ht="16.5">
      <c r="A3206" s="10" t="b">
        <v>0</v>
      </c>
      <c r="B3206" s="11" t="str">
        <f>IF(D3206&lt;&gt;"",IF(COUNTIF('USPTO TMs'!A:A,D3206)&gt;0,"Yes","No"),"")</f>
        <v/>
      </c>
      <c r="C3206" s="11"/>
      <c r="D3206" s="11"/>
      <c r="E3206" s="11"/>
      <c r="F3206" s="11"/>
      <c r="G3206" s="11"/>
      <c r="H3206" s="11"/>
      <c r="I3206" s="15"/>
    </row>
    <row r="3207" spans="1:9" ht="16.5">
      <c r="A3207" s="10" t="b">
        <v>0</v>
      </c>
      <c r="B3207" s="11" t="str">
        <f>IF(D3207&lt;&gt;"",IF(COUNTIF('USPTO TMs'!A:A,D3207)&gt;0,"Yes","No"),"")</f>
        <v/>
      </c>
      <c r="C3207" s="11"/>
      <c r="D3207" s="11"/>
      <c r="E3207" s="11"/>
      <c r="F3207" s="11"/>
      <c r="G3207" s="11"/>
      <c r="H3207" s="11"/>
      <c r="I3207" s="15"/>
    </row>
    <row r="3208" spans="1:9" ht="16.5">
      <c r="A3208" s="10" t="b">
        <v>0</v>
      </c>
      <c r="B3208" s="11" t="str">
        <f>IF(D3208&lt;&gt;"",IF(COUNTIF('USPTO TMs'!A:A,D3208)&gt;0,"Yes","No"),"")</f>
        <v/>
      </c>
      <c r="C3208" s="11"/>
      <c r="D3208" s="11"/>
      <c r="E3208" s="11"/>
      <c r="F3208" s="11"/>
      <c r="G3208" s="11"/>
      <c r="H3208" s="11"/>
      <c r="I3208" s="15"/>
    </row>
    <row r="3209" spans="1:9" ht="16.5">
      <c r="A3209" s="10" t="b">
        <v>0</v>
      </c>
      <c r="B3209" s="11" t="str">
        <f>IF(D3209&lt;&gt;"",IF(COUNTIF('USPTO TMs'!A:A,D3209)&gt;0,"Yes","No"),"")</f>
        <v/>
      </c>
      <c r="C3209" s="11"/>
      <c r="D3209" s="11"/>
      <c r="E3209" s="11"/>
      <c r="F3209" s="11"/>
      <c r="G3209" s="11"/>
      <c r="H3209" s="11"/>
      <c r="I3209" s="15"/>
    </row>
    <row r="3210" spans="1:9" ht="16.5">
      <c r="A3210" s="10" t="b">
        <v>0</v>
      </c>
      <c r="B3210" s="11" t="str">
        <f>IF(D3210&lt;&gt;"",IF(COUNTIF('USPTO TMs'!A:A,D3210)&gt;0,"Yes","No"),"")</f>
        <v/>
      </c>
      <c r="C3210" s="11"/>
      <c r="D3210" s="11"/>
      <c r="E3210" s="11"/>
      <c r="F3210" s="11"/>
      <c r="G3210" s="11"/>
      <c r="H3210" s="11"/>
      <c r="I3210" s="15"/>
    </row>
    <row r="3211" spans="1:9" ht="16.5">
      <c r="A3211" s="10" t="b">
        <v>0</v>
      </c>
      <c r="B3211" s="11" t="str">
        <f>IF(D3211&lt;&gt;"",IF(COUNTIF('USPTO TMs'!A:A,D3211)&gt;0,"Yes","No"),"")</f>
        <v/>
      </c>
      <c r="C3211" s="11"/>
      <c r="D3211" s="11"/>
      <c r="E3211" s="11"/>
      <c r="F3211" s="11"/>
      <c r="G3211" s="11"/>
      <c r="H3211" s="11"/>
      <c r="I3211" s="15"/>
    </row>
    <row r="3212" spans="1:9" ht="16.5">
      <c r="A3212" s="10" t="b">
        <v>0</v>
      </c>
      <c r="B3212" s="11" t="str">
        <f>IF(D3212&lt;&gt;"",IF(COUNTIF('USPTO TMs'!A:A,D3212)&gt;0,"Yes","No"),"")</f>
        <v/>
      </c>
      <c r="C3212" s="11"/>
      <c r="D3212" s="11"/>
      <c r="E3212" s="11"/>
      <c r="F3212" s="11"/>
      <c r="G3212" s="11"/>
      <c r="H3212" s="11"/>
      <c r="I3212" s="15"/>
    </row>
    <row r="3213" spans="1:9" ht="16.5">
      <c r="A3213" s="10" t="b">
        <v>0</v>
      </c>
      <c r="B3213" s="11" t="str">
        <f>IF(D3213&lt;&gt;"",IF(COUNTIF('USPTO TMs'!A:A,D3213)&gt;0,"Yes","No"),"")</f>
        <v/>
      </c>
      <c r="C3213" s="11"/>
      <c r="D3213" s="11"/>
      <c r="E3213" s="11"/>
      <c r="F3213" s="11"/>
      <c r="G3213" s="11"/>
      <c r="H3213" s="11"/>
      <c r="I3213" s="15"/>
    </row>
    <row r="3214" spans="1:9" ht="16.5">
      <c r="A3214" s="10" t="b">
        <v>0</v>
      </c>
      <c r="B3214" s="11" t="str">
        <f>IF(D3214&lt;&gt;"",IF(COUNTIF('USPTO TMs'!A:A,D3214)&gt;0,"Yes","No"),"")</f>
        <v/>
      </c>
      <c r="C3214" s="11"/>
      <c r="D3214" s="11"/>
      <c r="E3214" s="11"/>
      <c r="F3214" s="11"/>
      <c r="G3214" s="11"/>
      <c r="H3214" s="11"/>
      <c r="I3214" s="15"/>
    </row>
    <row r="3215" spans="1:9" ht="16.5">
      <c r="A3215" s="10" t="b">
        <v>0</v>
      </c>
      <c r="B3215" s="11" t="str">
        <f>IF(D3215&lt;&gt;"",IF(COUNTIF('USPTO TMs'!A:A,D3215)&gt;0,"Yes","No"),"")</f>
        <v/>
      </c>
      <c r="C3215" s="11"/>
      <c r="D3215" s="11"/>
      <c r="E3215" s="11"/>
      <c r="F3215" s="11"/>
      <c r="G3215" s="11"/>
      <c r="H3215" s="11"/>
      <c r="I3215" s="15"/>
    </row>
    <row r="3216" spans="1:9" ht="16.5">
      <c r="A3216" s="10" t="b">
        <v>0</v>
      </c>
      <c r="B3216" s="11" t="str">
        <f>IF(D3216&lt;&gt;"",IF(COUNTIF('USPTO TMs'!A:A,D3216)&gt;0,"Yes","No"),"")</f>
        <v/>
      </c>
      <c r="C3216" s="11"/>
      <c r="D3216" s="11"/>
      <c r="E3216" s="11"/>
      <c r="F3216" s="11"/>
      <c r="G3216" s="11"/>
      <c r="H3216" s="11"/>
      <c r="I3216" s="15"/>
    </row>
    <row r="3217" spans="1:9" ht="16.5">
      <c r="A3217" s="10" t="b">
        <v>0</v>
      </c>
      <c r="B3217" s="11" t="str">
        <f>IF(D3217&lt;&gt;"",IF(COUNTIF('USPTO TMs'!A:A,D3217)&gt;0,"Yes","No"),"")</f>
        <v/>
      </c>
      <c r="C3217" s="11"/>
      <c r="D3217" s="11"/>
      <c r="E3217" s="11"/>
      <c r="F3217" s="11"/>
      <c r="G3217" s="11"/>
      <c r="H3217" s="11"/>
      <c r="I3217" s="15"/>
    </row>
    <row r="3218" spans="1:9" ht="16.5">
      <c r="A3218" s="10" t="b">
        <v>0</v>
      </c>
      <c r="B3218" s="11" t="str">
        <f>IF(D3218&lt;&gt;"",IF(COUNTIF('USPTO TMs'!A:A,D3218)&gt;0,"Yes","No"),"")</f>
        <v/>
      </c>
      <c r="C3218" s="11"/>
      <c r="D3218" s="11"/>
      <c r="E3218" s="11"/>
      <c r="F3218" s="11"/>
      <c r="G3218" s="11"/>
      <c r="H3218" s="11"/>
      <c r="I3218" s="15"/>
    </row>
    <row r="3219" spans="1:9" ht="16.5">
      <c r="A3219" s="10" t="b">
        <v>0</v>
      </c>
      <c r="B3219" s="11" t="str">
        <f>IF(D3219&lt;&gt;"",IF(COUNTIF('USPTO TMs'!A:A,D3219)&gt;0,"Yes","No"),"")</f>
        <v/>
      </c>
      <c r="C3219" s="11"/>
      <c r="D3219" s="11"/>
      <c r="E3219" s="11"/>
      <c r="F3219" s="11"/>
      <c r="G3219" s="11"/>
      <c r="H3219" s="11"/>
      <c r="I3219" s="15"/>
    </row>
    <row r="3220" spans="1:9" ht="16.5">
      <c r="A3220" s="10" t="b">
        <v>0</v>
      </c>
      <c r="B3220" s="11" t="str">
        <f>IF(D3220&lt;&gt;"",IF(COUNTIF('USPTO TMs'!A:A,D3220)&gt;0,"Yes","No"),"")</f>
        <v/>
      </c>
      <c r="C3220" s="11"/>
      <c r="D3220" s="11"/>
      <c r="E3220" s="11"/>
      <c r="F3220" s="11"/>
      <c r="G3220" s="11"/>
      <c r="H3220" s="11"/>
      <c r="I3220" s="15"/>
    </row>
    <row r="3221" spans="1:9" ht="16.5">
      <c r="A3221" s="10" t="b">
        <v>0</v>
      </c>
      <c r="B3221" s="11" t="str">
        <f>IF(D3221&lt;&gt;"",IF(COUNTIF('USPTO TMs'!A:A,D3221)&gt;0,"Yes","No"),"")</f>
        <v/>
      </c>
      <c r="C3221" s="11"/>
      <c r="D3221" s="11"/>
      <c r="E3221" s="11"/>
      <c r="F3221" s="11"/>
      <c r="G3221" s="11"/>
      <c r="H3221" s="11"/>
      <c r="I3221" s="15"/>
    </row>
    <row r="3222" spans="1:9" ht="16.5">
      <c r="A3222" s="10" t="b">
        <v>0</v>
      </c>
      <c r="B3222" s="11" t="str">
        <f>IF(D3222&lt;&gt;"",IF(COUNTIF('USPTO TMs'!A:A,D3222)&gt;0,"Yes","No"),"")</f>
        <v/>
      </c>
      <c r="C3222" s="11"/>
      <c r="D3222" s="11"/>
      <c r="E3222" s="11"/>
      <c r="F3222" s="11"/>
      <c r="G3222" s="11"/>
      <c r="H3222" s="11"/>
      <c r="I3222" s="15"/>
    </row>
    <row r="3223" spans="1:9" ht="16.5">
      <c r="A3223" s="10" t="b">
        <v>0</v>
      </c>
      <c r="B3223" s="11" t="str">
        <f>IF(D3223&lt;&gt;"",IF(COUNTIF('USPTO TMs'!A:A,D3223)&gt;0,"Yes","No"),"")</f>
        <v/>
      </c>
      <c r="C3223" s="11"/>
      <c r="D3223" s="11"/>
      <c r="E3223" s="11"/>
      <c r="F3223" s="11"/>
      <c r="G3223" s="11"/>
      <c r="H3223" s="11"/>
      <c r="I3223" s="15"/>
    </row>
    <row r="3224" spans="1:9" ht="16.5">
      <c r="A3224" s="10" t="b">
        <v>0</v>
      </c>
      <c r="B3224" s="11" t="str">
        <f>IF(D3224&lt;&gt;"",IF(COUNTIF('USPTO TMs'!A:A,D3224)&gt;0,"Yes","No"),"")</f>
        <v/>
      </c>
      <c r="C3224" s="11"/>
      <c r="D3224" s="11"/>
      <c r="E3224" s="11"/>
      <c r="F3224" s="11"/>
      <c r="G3224" s="11"/>
      <c r="H3224" s="11"/>
      <c r="I3224" s="15"/>
    </row>
    <row r="3225" spans="1:9" ht="16.5">
      <c r="A3225" s="10" t="b">
        <v>0</v>
      </c>
      <c r="B3225" s="11" t="str">
        <f>IF(D3225&lt;&gt;"",IF(COUNTIF('USPTO TMs'!A:A,D3225)&gt;0,"Yes","No"),"")</f>
        <v/>
      </c>
      <c r="C3225" s="11"/>
      <c r="D3225" s="11"/>
      <c r="E3225" s="11"/>
      <c r="F3225" s="11"/>
      <c r="G3225" s="11"/>
      <c r="H3225" s="11"/>
      <c r="I3225" s="15"/>
    </row>
    <row r="3226" spans="1:9" ht="16.5">
      <c r="A3226" s="10" t="b">
        <v>0</v>
      </c>
      <c r="B3226" s="11" t="str">
        <f>IF(D3226&lt;&gt;"",IF(COUNTIF('USPTO TMs'!A:A,D3226)&gt;0,"Yes","No"),"")</f>
        <v/>
      </c>
      <c r="C3226" s="11"/>
      <c r="D3226" s="11"/>
      <c r="E3226" s="11"/>
      <c r="F3226" s="11"/>
      <c r="G3226" s="11"/>
      <c r="H3226" s="11"/>
      <c r="I3226" s="15"/>
    </row>
    <row r="3227" spans="1:9" ht="16.5">
      <c r="A3227" s="10" t="b">
        <v>0</v>
      </c>
      <c r="B3227" s="11" t="str">
        <f>IF(D3227&lt;&gt;"",IF(COUNTIF('USPTO TMs'!A:A,D3227)&gt;0,"Yes","No"),"")</f>
        <v/>
      </c>
      <c r="C3227" s="11"/>
      <c r="D3227" s="11"/>
      <c r="E3227" s="11"/>
      <c r="F3227" s="11"/>
      <c r="G3227" s="11"/>
      <c r="H3227" s="11"/>
      <c r="I3227" s="15"/>
    </row>
    <row r="3228" spans="1:9" ht="16.5">
      <c r="A3228" s="10" t="b">
        <v>0</v>
      </c>
      <c r="B3228" s="11" t="str">
        <f>IF(D3228&lt;&gt;"",IF(COUNTIF('USPTO TMs'!A:A,D3228)&gt;0,"Yes","No"),"")</f>
        <v/>
      </c>
      <c r="C3228" s="11"/>
      <c r="D3228" s="11"/>
      <c r="E3228" s="11"/>
      <c r="F3228" s="11"/>
      <c r="G3228" s="11"/>
      <c r="H3228" s="11"/>
      <c r="I3228" s="15"/>
    </row>
    <row r="3229" spans="1:9" ht="16.5">
      <c r="A3229" s="10" t="b">
        <v>0</v>
      </c>
      <c r="B3229" s="11" t="str">
        <f>IF(D3229&lt;&gt;"",IF(COUNTIF('USPTO TMs'!A:A,D3229)&gt;0,"Yes","No"),"")</f>
        <v/>
      </c>
      <c r="C3229" s="11"/>
      <c r="D3229" s="11"/>
      <c r="E3229" s="11"/>
      <c r="F3229" s="11"/>
      <c r="G3229" s="11"/>
      <c r="H3229" s="11"/>
      <c r="I3229" s="15"/>
    </row>
    <row r="3230" spans="1:9" ht="16.5">
      <c r="A3230" s="10" t="b">
        <v>0</v>
      </c>
      <c r="B3230" s="11" t="str">
        <f>IF(D3230&lt;&gt;"",IF(COUNTIF('USPTO TMs'!A:A,D3230)&gt;0,"Yes","No"),"")</f>
        <v/>
      </c>
      <c r="C3230" s="11"/>
      <c r="D3230" s="11"/>
      <c r="E3230" s="11"/>
      <c r="F3230" s="11"/>
      <c r="G3230" s="11"/>
      <c r="H3230" s="11"/>
      <c r="I3230" s="15"/>
    </row>
    <row r="3231" spans="1:9" ht="16.5">
      <c r="A3231" s="10" t="b">
        <v>0</v>
      </c>
      <c r="B3231" s="11" t="str">
        <f>IF(D3231&lt;&gt;"",IF(COUNTIF('USPTO TMs'!A:A,D3231)&gt;0,"Yes","No"),"")</f>
        <v/>
      </c>
      <c r="C3231" s="11"/>
      <c r="D3231" s="11"/>
      <c r="E3231" s="11"/>
      <c r="F3231" s="11"/>
      <c r="G3231" s="11"/>
      <c r="H3231" s="11"/>
      <c r="I3231" s="15"/>
    </row>
    <row r="3232" spans="1:9" ht="16.5">
      <c r="A3232" s="10" t="b">
        <v>0</v>
      </c>
      <c r="B3232" s="11" t="str">
        <f>IF(D3232&lt;&gt;"",IF(COUNTIF('USPTO TMs'!A:A,D3232)&gt;0,"Yes","No"),"")</f>
        <v/>
      </c>
      <c r="C3232" s="11"/>
      <c r="D3232" s="11"/>
      <c r="E3232" s="11"/>
      <c r="F3232" s="11"/>
      <c r="G3232" s="11"/>
      <c r="H3232" s="11"/>
      <c r="I3232" s="15"/>
    </row>
    <row r="3233" spans="1:9" ht="16.5">
      <c r="A3233" s="10" t="b">
        <v>0</v>
      </c>
      <c r="B3233" s="11" t="str">
        <f>IF(D3233&lt;&gt;"",IF(COUNTIF('USPTO TMs'!A:A,D3233)&gt;0,"Yes","No"),"")</f>
        <v/>
      </c>
      <c r="C3233" s="11"/>
      <c r="D3233" s="11"/>
      <c r="E3233" s="11"/>
      <c r="F3233" s="11"/>
      <c r="G3233" s="11"/>
      <c r="H3233" s="11"/>
      <c r="I3233" s="15"/>
    </row>
    <row r="3234" spans="1:9" ht="16.5">
      <c r="A3234" s="10" t="b">
        <v>0</v>
      </c>
      <c r="B3234" s="11" t="str">
        <f>IF(D3234&lt;&gt;"",IF(COUNTIF('USPTO TMs'!A:A,D3234)&gt;0,"Yes","No"),"")</f>
        <v/>
      </c>
      <c r="C3234" s="11"/>
      <c r="D3234" s="11"/>
      <c r="E3234" s="11"/>
      <c r="F3234" s="11"/>
      <c r="G3234" s="11"/>
      <c r="H3234" s="11"/>
      <c r="I3234" s="15"/>
    </row>
    <row r="3235" spans="1:9" ht="16.5">
      <c r="A3235" s="10" t="b">
        <v>0</v>
      </c>
      <c r="B3235" s="11" t="str">
        <f>IF(D3235&lt;&gt;"",IF(COUNTIF('USPTO TMs'!A:A,D3235)&gt;0,"Yes","No"),"")</f>
        <v/>
      </c>
      <c r="C3235" s="11"/>
      <c r="D3235" s="11"/>
      <c r="E3235" s="11"/>
      <c r="F3235" s="11"/>
      <c r="G3235" s="11"/>
      <c r="H3235" s="11"/>
      <c r="I3235" s="15"/>
    </row>
    <row r="3236" spans="1:9" ht="16.5">
      <c r="A3236" s="10" t="b">
        <v>0</v>
      </c>
      <c r="B3236" s="11" t="str">
        <f>IF(D3236&lt;&gt;"",IF(COUNTIF('USPTO TMs'!A:A,D3236)&gt;0,"Yes","No"),"")</f>
        <v/>
      </c>
      <c r="C3236" s="11"/>
      <c r="D3236" s="11"/>
      <c r="E3236" s="11"/>
      <c r="F3236" s="11"/>
      <c r="G3236" s="11"/>
      <c r="H3236" s="11"/>
      <c r="I3236" s="15"/>
    </row>
    <row r="3237" spans="1:9" ht="16.5">
      <c r="A3237" s="10" t="b">
        <v>0</v>
      </c>
      <c r="B3237" s="11" t="str">
        <f>IF(D3237&lt;&gt;"",IF(COUNTIF('USPTO TMs'!A:A,D3237)&gt;0,"Yes","No"),"")</f>
        <v/>
      </c>
      <c r="C3237" s="11"/>
      <c r="D3237" s="11"/>
      <c r="E3237" s="11"/>
      <c r="F3237" s="11"/>
      <c r="G3237" s="11"/>
      <c r="H3237" s="11"/>
      <c r="I3237" s="15"/>
    </row>
    <row r="3238" spans="1:9" ht="16.5">
      <c r="A3238" s="10" t="b">
        <v>0</v>
      </c>
      <c r="B3238" s="11" t="str">
        <f>IF(D3238&lt;&gt;"",IF(COUNTIF('USPTO TMs'!A:A,D3238)&gt;0,"Yes","No"),"")</f>
        <v/>
      </c>
      <c r="C3238" s="11"/>
      <c r="D3238" s="11"/>
      <c r="E3238" s="11"/>
      <c r="F3238" s="11"/>
      <c r="G3238" s="11"/>
      <c r="H3238" s="11"/>
      <c r="I3238" s="15"/>
    </row>
    <row r="3239" spans="1:9" ht="16.5">
      <c r="A3239" s="10" t="b">
        <v>0</v>
      </c>
      <c r="B3239" s="11" t="str">
        <f>IF(D3239&lt;&gt;"",IF(COUNTIF('USPTO TMs'!A:A,D3239)&gt;0,"Yes","No"),"")</f>
        <v/>
      </c>
      <c r="C3239" s="11"/>
      <c r="D3239" s="11"/>
      <c r="E3239" s="11"/>
      <c r="F3239" s="11"/>
      <c r="G3239" s="11"/>
      <c r="H3239" s="11"/>
      <c r="I3239" s="15"/>
    </row>
    <row r="3240" spans="1:9" ht="16.5">
      <c r="A3240" s="10" t="b">
        <v>0</v>
      </c>
      <c r="B3240" s="11" t="str">
        <f>IF(D3240&lt;&gt;"",IF(COUNTIF('USPTO TMs'!A:A,D3240)&gt;0,"Yes","No"),"")</f>
        <v/>
      </c>
      <c r="C3240" s="11"/>
      <c r="D3240" s="11"/>
      <c r="E3240" s="11"/>
      <c r="F3240" s="11"/>
      <c r="G3240" s="11"/>
      <c r="H3240" s="11"/>
      <c r="I3240" s="15"/>
    </row>
    <row r="3241" spans="1:9" ht="16.5">
      <c r="A3241" s="10" t="b">
        <v>0</v>
      </c>
      <c r="B3241" s="11" t="str">
        <f>IF(D3241&lt;&gt;"",IF(COUNTIF('USPTO TMs'!A:A,D3241)&gt;0,"Yes","No"),"")</f>
        <v/>
      </c>
      <c r="C3241" s="11"/>
      <c r="D3241" s="11"/>
      <c r="E3241" s="11"/>
      <c r="F3241" s="11"/>
      <c r="G3241" s="11"/>
      <c r="H3241" s="11"/>
      <c r="I3241" s="15"/>
    </row>
    <row r="3242" spans="1:9" ht="16.5">
      <c r="A3242" s="10" t="b">
        <v>0</v>
      </c>
      <c r="B3242" s="11" t="str">
        <f>IF(D3242&lt;&gt;"",IF(COUNTIF('USPTO TMs'!A:A,D3242)&gt;0,"Yes","No"),"")</f>
        <v/>
      </c>
      <c r="C3242" s="11"/>
      <c r="D3242" s="11"/>
      <c r="E3242" s="11"/>
      <c r="F3242" s="11"/>
      <c r="G3242" s="11"/>
      <c r="H3242" s="11"/>
      <c r="I3242" s="15"/>
    </row>
    <row r="3243" spans="1:9" ht="16.5">
      <c r="A3243" s="10" t="b">
        <v>0</v>
      </c>
      <c r="B3243" s="11" t="str">
        <f>IF(D3243&lt;&gt;"",IF(COUNTIF('USPTO TMs'!A:A,D3243)&gt;0,"Yes","No"),"")</f>
        <v/>
      </c>
      <c r="C3243" s="11"/>
      <c r="D3243" s="11"/>
      <c r="E3243" s="11"/>
      <c r="F3243" s="11"/>
      <c r="G3243" s="11"/>
      <c r="H3243" s="11"/>
      <c r="I3243" s="15"/>
    </row>
    <row r="3244" spans="1:9" ht="16.5">
      <c r="A3244" s="10" t="b">
        <v>0</v>
      </c>
      <c r="B3244" s="11" t="str">
        <f>IF(D3244&lt;&gt;"",IF(COUNTIF('USPTO TMs'!A:A,D3244)&gt;0,"Yes","No"),"")</f>
        <v/>
      </c>
      <c r="C3244" s="11"/>
      <c r="D3244" s="11"/>
      <c r="E3244" s="11"/>
      <c r="F3244" s="11"/>
      <c r="G3244" s="11"/>
      <c r="H3244" s="11"/>
      <c r="I3244" s="15"/>
    </row>
    <row r="3245" spans="1:9" ht="16.5">
      <c r="A3245" s="10" t="b">
        <v>0</v>
      </c>
      <c r="B3245" s="11" t="str">
        <f>IF(D3245&lt;&gt;"",IF(COUNTIF('USPTO TMs'!A:A,D3245)&gt;0,"Yes","No"),"")</f>
        <v/>
      </c>
      <c r="C3245" s="11"/>
      <c r="D3245" s="11"/>
      <c r="E3245" s="11"/>
      <c r="F3245" s="11"/>
      <c r="G3245" s="11"/>
      <c r="H3245" s="11"/>
      <c r="I3245" s="15"/>
    </row>
    <row r="3246" spans="1:9" ht="16.5">
      <c r="A3246" s="10" t="b">
        <v>0</v>
      </c>
      <c r="B3246" s="11" t="str">
        <f>IF(D3246&lt;&gt;"",IF(COUNTIF('USPTO TMs'!A:A,D3246)&gt;0,"Yes","No"),"")</f>
        <v/>
      </c>
      <c r="C3246" s="11"/>
      <c r="D3246" s="11"/>
      <c r="E3246" s="11"/>
      <c r="F3246" s="11"/>
      <c r="G3246" s="11"/>
      <c r="H3246" s="11"/>
      <c r="I3246" s="15"/>
    </row>
    <row r="3247" spans="1:9" ht="16.5">
      <c r="A3247" s="10" t="b">
        <v>0</v>
      </c>
      <c r="B3247" s="11" t="str">
        <f>IF(D3247&lt;&gt;"",IF(COUNTIF('USPTO TMs'!A:A,D3247)&gt;0,"Yes","No"),"")</f>
        <v/>
      </c>
      <c r="C3247" s="11"/>
      <c r="D3247" s="11"/>
      <c r="E3247" s="11"/>
      <c r="F3247" s="11"/>
      <c r="G3247" s="11"/>
      <c r="H3247" s="11"/>
      <c r="I3247" s="15"/>
    </row>
    <row r="3248" spans="1:9" ht="16.5">
      <c r="A3248" s="10" t="b">
        <v>0</v>
      </c>
      <c r="B3248" s="11" t="str">
        <f>IF(D3248&lt;&gt;"",IF(COUNTIF('USPTO TMs'!A:A,D3248)&gt;0,"Yes","No"),"")</f>
        <v/>
      </c>
      <c r="C3248" s="11"/>
      <c r="D3248" s="11"/>
      <c r="E3248" s="11"/>
      <c r="F3248" s="11"/>
      <c r="G3248" s="11"/>
      <c r="H3248" s="11"/>
      <c r="I3248" s="15"/>
    </row>
    <row r="3249" spans="1:9" ht="16.5">
      <c r="A3249" s="10" t="b">
        <v>0</v>
      </c>
      <c r="B3249" s="11" t="str">
        <f>IF(D3249&lt;&gt;"",IF(COUNTIF('USPTO TMs'!A:A,D3249)&gt;0,"Yes","No"),"")</f>
        <v/>
      </c>
      <c r="C3249" s="11"/>
      <c r="D3249" s="11"/>
      <c r="E3249" s="11"/>
      <c r="F3249" s="11"/>
      <c r="G3249" s="11"/>
      <c r="H3249" s="11"/>
      <c r="I3249" s="15"/>
    </row>
    <row r="3250" spans="1:9" ht="16.5">
      <c r="A3250" s="10" t="b">
        <v>0</v>
      </c>
      <c r="B3250" s="11" t="str">
        <f>IF(D3250&lt;&gt;"",IF(COUNTIF('USPTO TMs'!A:A,D3250)&gt;0,"Yes","No"),"")</f>
        <v/>
      </c>
      <c r="C3250" s="11"/>
      <c r="D3250" s="11"/>
      <c r="E3250" s="11"/>
      <c r="F3250" s="11"/>
      <c r="G3250" s="11"/>
      <c r="H3250" s="11"/>
      <c r="I3250" s="15"/>
    </row>
    <row r="3251" spans="1:9" ht="16.5">
      <c r="A3251" s="10" t="b">
        <v>0</v>
      </c>
      <c r="B3251" s="11" t="str">
        <f>IF(D3251&lt;&gt;"",IF(COUNTIF('USPTO TMs'!A:A,D3251)&gt;0,"Yes","No"),"")</f>
        <v/>
      </c>
      <c r="C3251" s="11"/>
      <c r="D3251" s="11"/>
      <c r="E3251" s="11"/>
      <c r="F3251" s="11"/>
      <c r="G3251" s="11"/>
      <c r="H3251" s="11"/>
      <c r="I3251" s="15"/>
    </row>
    <row r="3252" spans="1:9" ht="16.5">
      <c r="A3252" s="10" t="b">
        <v>0</v>
      </c>
      <c r="B3252" s="11" t="str">
        <f>IF(D3252&lt;&gt;"",IF(COUNTIF('USPTO TMs'!A:A,D3252)&gt;0,"Yes","No"),"")</f>
        <v/>
      </c>
      <c r="C3252" s="11"/>
      <c r="D3252" s="11"/>
      <c r="E3252" s="11"/>
      <c r="F3252" s="11"/>
      <c r="G3252" s="11"/>
      <c r="H3252" s="11"/>
      <c r="I3252" s="15"/>
    </row>
    <row r="3253" spans="1:9" ht="16.5">
      <c r="A3253" s="10" t="b">
        <v>0</v>
      </c>
      <c r="B3253" s="11" t="str">
        <f>IF(D3253&lt;&gt;"",IF(COUNTIF('USPTO TMs'!A:A,D3253)&gt;0,"Yes","No"),"")</f>
        <v/>
      </c>
      <c r="C3253" s="11"/>
      <c r="D3253" s="11"/>
      <c r="E3253" s="11"/>
      <c r="F3253" s="11"/>
      <c r="G3253" s="11"/>
      <c r="H3253" s="11"/>
      <c r="I3253" s="15"/>
    </row>
    <row r="3254" spans="1:9" ht="16.5">
      <c r="A3254" s="10" t="b">
        <v>0</v>
      </c>
      <c r="B3254" s="11" t="str">
        <f>IF(D3254&lt;&gt;"",IF(COUNTIF('USPTO TMs'!A:A,D3254)&gt;0,"Yes","No"),"")</f>
        <v/>
      </c>
      <c r="C3254" s="11"/>
      <c r="D3254" s="11"/>
      <c r="E3254" s="11"/>
      <c r="F3254" s="11"/>
      <c r="G3254" s="11"/>
      <c r="H3254" s="11"/>
      <c r="I3254" s="15"/>
    </row>
    <row r="3255" spans="1:9" ht="16.5">
      <c r="A3255" s="10" t="b">
        <v>0</v>
      </c>
      <c r="B3255" s="11" t="str">
        <f>IF(D3255&lt;&gt;"",IF(COUNTIF('USPTO TMs'!A:A,D3255)&gt;0,"Yes","No"),"")</f>
        <v/>
      </c>
      <c r="C3255" s="11"/>
      <c r="D3255" s="11"/>
      <c r="E3255" s="11"/>
      <c r="F3255" s="11"/>
      <c r="G3255" s="11"/>
      <c r="H3255" s="11"/>
      <c r="I3255" s="15"/>
    </row>
    <row r="3256" spans="1:9" ht="16.5">
      <c r="A3256" s="10" t="b">
        <v>0</v>
      </c>
      <c r="B3256" s="11" t="str">
        <f>IF(D3256&lt;&gt;"",IF(COUNTIF('USPTO TMs'!A:A,D3256)&gt;0,"Yes","No"),"")</f>
        <v/>
      </c>
      <c r="C3256" s="11"/>
      <c r="D3256" s="11"/>
      <c r="E3256" s="11"/>
      <c r="F3256" s="11"/>
      <c r="G3256" s="11"/>
      <c r="H3256" s="11"/>
      <c r="I3256" s="15"/>
    </row>
    <row r="3257" spans="1:9" ht="16.5">
      <c r="A3257" s="10" t="b">
        <v>0</v>
      </c>
      <c r="B3257" s="11" t="str">
        <f>IF(D3257&lt;&gt;"",IF(COUNTIF('USPTO TMs'!A:A,D3257)&gt;0,"Yes","No"),"")</f>
        <v/>
      </c>
      <c r="C3257" s="11"/>
      <c r="D3257" s="11"/>
      <c r="E3257" s="11"/>
      <c r="F3257" s="11"/>
      <c r="G3257" s="11"/>
      <c r="H3257" s="11"/>
      <c r="I3257" s="15"/>
    </row>
    <row r="3258" spans="1:9" ht="16.5">
      <c r="A3258" s="10" t="b">
        <v>0</v>
      </c>
      <c r="B3258" s="11" t="str">
        <f>IF(D3258&lt;&gt;"",IF(COUNTIF('USPTO TMs'!A:A,D3258)&gt;0,"Yes","No"),"")</f>
        <v/>
      </c>
      <c r="C3258" s="11"/>
      <c r="D3258" s="11"/>
      <c r="E3258" s="11"/>
      <c r="F3258" s="11"/>
      <c r="G3258" s="11"/>
      <c r="H3258" s="11"/>
      <c r="I3258" s="15"/>
    </row>
    <row r="3259" spans="1:9" ht="16.5">
      <c r="A3259" s="10" t="b">
        <v>0</v>
      </c>
      <c r="B3259" s="11" t="str">
        <f>IF(D3259&lt;&gt;"",IF(COUNTIF('USPTO TMs'!A:A,D3259)&gt;0,"Yes","No"),"")</f>
        <v/>
      </c>
      <c r="C3259" s="11"/>
      <c r="D3259" s="11"/>
      <c r="E3259" s="11"/>
      <c r="F3259" s="11"/>
      <c r="G3259" s="11"/>
      <c r="H3259" s="11"/>
      <c r="I3259" s="15"/>
    </row>
    <row r="3260" spans="1:9" ht="16.5">
      <c r="A3260" s="10" t="b">
        <v>0</v>
      </c>
      <c r="B3260" s="11" t="str">
        <f>IF(D3260&lt;&gt;"",IF(COUNTIF('USPTO TMs'!A:A,D3260)&gt;0,"Yes","No"),"")</f>
        <v/>
      </c>
      <c r="C3260" s="11"/>
      <c r="D3260" s="11"/>
      <c r="E3260" s="11"/>
      <c r="F3260" s="11"/>
      <c r="G3260" s="11"/>
      <c r="H3260" s="11"/>
      <c r="I3260" s="15"/>
    </row>
    <row r="3261" spans="1:9" ht="16.5">
      <c r="A3261" s="10" t="b">
        <v>0</v>
      </c>
      <c r="B3261" s="11" t="str">
        <f>IF(D3261&lt;&gt;"",IF(COUNTIF('USPTO TMs'!A:A,D3261)&gt;0,"Yes","No"),"")</f>
        <v/>
      </c>
      <c r="C3261" s="11"/>
      <c r="D3261" s="11"/>
      <c r="E3261" s="11"/>
      <c r="F3261" s="11"/>
      <c r="G3261" s="11"/>
      <c r="H3261" s="11"/>
      <c r="I3261" s="15"/>
    </row>
    <row r="3262" spans="1:9" ht="16.5">
      <c r="A3262" s="10" t="b">
        <v>0</v>
      </c>
      <c r="B3262" s="11" t="str">
        <f>IF(D3262&lt;&gt;"",IF(COUNTIF('USPTO TMs'!A:A,D3262)&gt;0,"Yes","No"),"")</f>
        <v/>
      </c>
      <c r="C3262" s="11"/>
      <c r="D3262" s="11"/>
      <c r="E3262" s="11"/>
      <c r="F3262" s="11"/>
      <c r="G3262" s="11"/>
      <c r="H3262" s="11"/>
      <c r="I3262" s="15"/>
    </row>
    <row r="3263" spans="1:9" ht="16.5">
      <c r="A3263" s="10" t="b">
        <v>0</v>
      </c>
      <c r="B3263" s="11" t="str">
        <f>IF(D3263&lt;&gt;"",IF(COUNTIF('USPTO TMs'!A:A,D3263)&gt;0,"Yes","No"),"")</f>
        <v/>
      </c>
      <c r="C3263" s="11"/>
      <c r="D3263" s="11"/>
      <c r="E3263" s="11"/>
      <c r="F3263" s="11"/>
      <c r="G3263" s="11"/>
      <c r="H3263" s="11"/>
      <c r="I3263" s="15"/>
    </row>
    <row r="3264" spans="1:9" ht="16.5">
      <c r="A3264" s="10" t="b">
        <v>0</v>
      </c>
      <c r="B3264" s="11" t="str">
        <f>IF(D3264&lt;&gt;"",IF(COUNTIF('USPTO TMs'!A:A,D3264)&gt;0,"Yes","No"),"")</f>
        <v/>
      </c>
      <c r="C3264" s="11"/>
      <c r="D3264" s="11"/>
      <c r="E3264" s="11"/>
      <c r="F3264" s="11"/>
      <c r="G3264" s="11"/>
      <c r="H3264" s="11"/>
      <c r="I3264" s="15"/>
    </row>
    <row r="3265" spans="1:9" ht="16.5">
      <c r="A3265" s="10" t="b">
        <v>0</v>
      </c>
      <c r="B3265" s="11" t="str">
        <f>IF(D3265&lt;&gt;"",IF(COUNTIF('USPTO TMs'!A:A,D3265)&gt;0,"Yes","No"),"")</f>
        <v/>
      </c>
      <c r="C3265" s="11"/>
      <c r="D3265" s="11"/>
      <c r="E3265" s="11"/>
      <c r="F3265" s="11"/>
      <c r="G3265" s="11"/>
      <c r="H3265" s="11"/>
      <c r="I3265" s="15"/>
    </row>
    <row r="3266" spans="1:9" ht="16.5">
      <c r="A3266" s="10" t="b">
        <v>0</v>
      </c>
      <c r="B3266" s="11" t="str">
        <f>IF(D3266&lt;&gt;"",IF(COUNTIF('USPTO TMs'!A:A,D3266)&gt;0,"Yes","No"),"")</f>
        <v/>
      </c>
      <c r="C3266" s="11"/>
      <c r="D3266" s="11"/>
      <c r="E3266" s="11"/>
      <c r="F3266" s="11"/>
      <c r="G3266" s="11"/>
      <c r="H3266" s="11"/>
      <c r="I3266" s="15"/>
    </row>
    <row r="3267" spans="1:9" ht="16.5">
      <c r="A3267" s="10" t="b">
        <v>0</v>
      </c>
      <c r="B3267" s="11" t="str">
        <f>IF(D3267&lt;&gt;"",IF(COUNTIF('USPTO TMs'!A:A,D3267)&gt;0,"Yes","No"),"")</f>
        <v/>
      </c>
      <c r="C3267" s="11"/>
      <c r="D3267" s="11"/>
      <c r="E3267" s="11"/>
      <c r="F3267" s="11"/>
      <c r="G3267" s="11"/>
      <c r="H3267" s="11"/>
      <c r="I3267" s="15"/>
    </row>
    <row r="3268" spans="1:9" ht="16.5">
      <c r="A3268" s="10" t="b">
        <v>0</v>
      </c>
      <c r="B3268" s="11" t="str">
        <f>IF(D3268&lt;&gt;"",IF(COUNTIF('USPTO TMs'!A:A,D3268)&gt;0,"Yes","No"),"")</f>
        <v/>
      </c>
      <c r="C3268" s="11"/>
      <c r="D3268" s="11"/>
      <c r="E3268" s="11"/>
      <c r="F3268" s="11"/>
      <c r="G3268" s="11"/>
      <c r="H3268" s="11"/>
      <c r="I3268" s="15"/>
    </row>
    <row r="3269" spans="1:9" ht="16.5">
      <c r="A3269" s="10" t="b">
        <v>0</v>
      </c>
      <c r="B3269" s="11" t="str">
        <f>IF(D3269&lt;&gt;"",IF(COUNTIF('USPTO TMs'!A:A,D3269)&gt;0,"Yes","No"),"")</f>
        <v/>
      </c>
      <c r="C3269" s="11"/>
      <c r="D3269" s="11"/>
      <c r="E3269" s="11"/>
      <c r="F3269" s="11"/>
      <c r="G3269" s="11"/>
      <c r="H3269" s="11"/>
      <c r="I3269" s="15"/>
    </row>
    <row r="3270" spans="1:9" ht="16.5">
      <c r="A3270" s="10" t="b">
        <v>0</v>
      </c>
      <c r="B3270" s="11" t="str">
        <f>IF(D3270&lt;&gt;"",IF(COUNTIF('USPTO TMs'!A:A,D3270)&gt;0,"Yes","No"),"")</f>
        <v/>
      </c>
      <c r="C3270" s="11"/>
      <c r="D3270" s="11"/>
      <c r="E3270" s="11"/>
      <c r="F3270" s="11"/>
      <c r="G3270" s="11"/>
      <c r="H3270" s="11"/>
      <c r="I3270" s="15"/>
    </row>
    <row r="3271" spans="1:9" ht="16.5">
      <c r="A3271" s="10" t="b">
        <v>0</v>
      </c>
      <c r="B3271" s="11" t="str">
        <f>IF(D3271&lt;&gt;"",IF(COUNTIF('USPTO TMs'!A:A,D3271)&gt;0,"Yes","No"),"")</f>
        <v/>
      </c>
      <c r="C3271" s="11"/>
      <c r="D3271" s="11"/>
      <c r="E3271" s="11"/>
      <c r="F3271" s="11"/>
      <c r="G3271" s="11"/>
      <c r="H3271" s="11"/>
      <c r="I3271" s="15"/>
    </row>
    <row r="3272" spans="1:9" ht="16.5">
      <c r="A3272" s="10" t="b">
        <v>0</v>
      </c>
      <c r="B3272" s="11" t="str">
        <f>IF(D3272&lt;&gt;"",IF(COUNTIF('USPTO TMs'!A:A,D3272)&gt;0,"Yes","No"),"")</f>
        <v/>
      </c>
      <c r="C3272" s="11"/>
      <c r="D3272" s="11"/>
      <c r="E3272" s="11"/>
      <c r="F3272" s="11"/>
      <c r="G3272" s="11"/>
      <c r="H3272" s="11"/>
      <c r="I3272" s="15"/>
    </row>
    <row r="3273" spans="1:9" ht="16.5">
      <c r="A3273" s="10" t="b">
        <v>0</v>
      </c>
      <c r="B3273" s="11" t="str">
        <f>IF(D3273&lt;&gt;"",IF(COUNTIF('USPTO TMs'!A:A,D3273)&gt;0,"Yes","No"),"")</f>
        <v/>
      </c>
      <c r="C3273" s="11"/>
      <c r="D3273" s="11"/>
      <c r="E3273" s="11"/>
      <c r="F3273" s="11"/>
      <c r="G3273" s="11"/>
      <c r="H3273" s="11"/>
      <c r="I3273" s="15"/>
    </row>
    <row r="3274" spans="1:9" ht="16.5">
      <c r="A3274" s="10" t="b">
        <v>0</v>
      </c>
      <c r="B3274" s="11" t="str">
        <f>IF(D3274&lt;&gt;"",IF(COUNTIF('USPTO TMs'!A:A,D3274)&gt;0,"Yes","No"),"")</f>
        <v/>
      </c>
      <c r="C3274" s="11"/>
      <c r="D3274" s="11"/>
      <c r="E3274" s="11"/>
      <c r="F3274" s="11"/>
      <c r="G3274" s="11"/>
      <c r="H3274" s="11"/>
      <c r="I3274" s="15"/>
    </row>
    <row r="3275" spans="1:9" ht="16.5">
      <c r="A3275" s="10" t="b">
        <v>0</v>
      </c>
      <c r="B3275" s="11" t="str">
        <f>IF(D3275&lt;&gt;"",IF(COUNTIF('USPTO TMs'!A:A,D3275)&gt;0,"Yes","No"),"")</f>
        <v/>
      </c>
      <c r="C3275" s="11"/>
      <c r="D3275" s="11"/>
      <c r="E3275" s="11"/>
      <c r="F3275" s="11"/>
      <c r="G3275" s="11"/>
      <c r="H3275" s="11"/>
      <c r="I3275" s="15"/>
    </row>
    <row r="3276" spans="1:9" ht="16.5">
      <c r="A3276" s="10" t="b">
        <v>0</v>
      </c>
      <c r="B3276" s="11" t="str">
        <f>IF(D3276&lt;&gt;"",IF(COUNTIF('USPTO TMs'!A:A,D3276)&gt;0,"Yes","No"),"")</f>
        <v/>
      </c>
      <c r="C3276" s="11"/>
      <c r="D3276" s="11"/>
      <c r="E3276" s="11"/>
      <c r="F3276" s="11"/>
      <c r="G3276" s="11"/>
      <c r="H3276" s="11"/>
      <c r="I3276" s="15"/>
    </row>
    <row r="3277" spans="1:9" ht="16.5">
      <c r="A3277" s="10" t="b">
        <v>0</v>
      </c>
      <c r="B3277" s="11" t="str">
        <f>IF(D3277&lt;&gt;"",IF(COUNTIF('USPTO TMs'!A:A,D3277)&gt;0,"Yes","No"),"")</f>
        <v/>
      </c>
      <c r="C3277" s="11"/>
      <c r="D3277" s="11"/>
      <c r="E3277" s="11"/>
      <c r="F3277" s="11"/>
      <c r="G3277" s="11"/>
      <c r="H3277" s="11"/>
      <c r="I3277" s="15"/>
    </row>
    <row r="3278" spans="1:9" ht="16.5">
      <c r="A3278" s="10" t="b">
        <v>0</v>
      </c>
      <c r="B3278" s="11" t="str">
        <f>IF(D3278&lt;&gt;"",IF(COUNTIF('USPTO TMs'!A:A,D3278)&gt;0,"Yes","No"),"")</f>
        <v/>
      </c>
      <c r="C3278" s="11"/>
      <c r="D3278" s="11"/>
      <c r="E3278" s="11"/>
      <c r="F3278" s="11"/>
      <c r="G3278" s="11"/>
      <c r="H3278" s="11"/>
      <c r="I3278" s="15"/>
    </row>
    <row r="3279" spans="1:9" ht="16.5">
      <c r="A3279" s="10" t="b">
        <v>0</v>
      </c>
      <c r="B3279" s="11" t="str">
        <f>IF(D3279&lt;&gt;"",IF(COUNTIF('USPTO TMs'!A:A,D3279)&gt;0,"Yes","No"),"")</f>
        <v/>
      </c>
      <c r="C3279" s="11"/>
      <c r="D3279" s="11"/>
      <c r="E3279" s="11"/>
      <c r="F3279" s="11"/>
      <c r="G3279" s="11"/>
      <c r="H3279" s="11"/>
      <c r="I3279" s="15"/>
    </row>
    <row r="3280" spans="1:9" ht="16.5">
      <c r="A3280" s="10" t="b">
        <v>0</v>
      </c>
      <c r="B3280" s="11" t="str">
        <f>IF(D3280&lt;&gt;"",IF(COUNTIF('USPTO TMs'!A:A,D3280)&gt;0,"Yes","No"),"")</f>
        <v/>
      </c>
      <c r="C3280" s="11"/>
      <c r="D3280" s="11"/>
      <c r="E3280" s="11"/>
      <c r="F3280" s="11"/>
      <c r="G3280" s="11"/>
      <c r="H3280" s="11"/>
      <c r="I3280" s="15"/>
    </row>
    <row r="3281" spans="1:9" ht="16.5">
      <c r="A3281" s="10" t="b">
        <v>0</v>
      </c>
      <c r="B3281" s="11" t="str">
        <f>IF(D3281&lt;&gt;"",IF(COUNTIF('USPTO TMs'!A:A,D3281)&gt;0,"Yes","No"),"")</f>
        <v/>
      </c>
      <c r="C3281" s="11"/>
      <c r="D3281" s="11"/>
      <c r="E3281" s="11"/>
      <c r="F3281" s="11"/>
      <c r="G3281" s="11"/>
      <c r="H3281" s="11"/>
      <c r="I3281" s="15"/>
    </row>
    <row r="3282" spans="1:9" ht="16.5">
      <c r="A3282" s="10" t="b">
        <v>0</v>
      </c>
      <c r="B3282" s="11" t="str">
        <f>IF(D3282&lt;&gt;"",IF(COUNTIF('USPTO TMs'!A:A,D3282)&gt;0,"Yes","No"),"")</f>
        <v/>
      </c>
      <c r="C3282" s="11"/>
      <c r="D3282" s="11"/>
      <c r="E3282" s="11"/>
      <c r="F3282" s="11"/>
      <c r="G3282" s="11"/>
      <c r="H3282" s="11"/>
      <c r="I3282" s="15"/>
    </row>
    <row r="3283" spans="1:9" ht="16.5">
      <c r="A3283" s="10" t="b">
        <v>0</v>
      </c>
      <c r="B3283" s="11" t="str">
        <f>IF(D3283&lt;&gt;"",IF(COUNTIF('USPTO TMs'!A:A,D3283)&gt;0,"Yes","No"),"")</f>
        <v/>
      </c>
      <c r="C3283" s="11"/>
      <c r="D3283" s="11"/>
      <c r="E3283" s="11"/>
      <c r="F3283" s="11"/>
      <c r="G3283" s="11"/>
      <c r="H3283" s="11"/>
      <c r="I3283" s="15"/>
    </row>
    <row r="3284" spans="1:9" ht="16.5">
      <c r="A3284" s="10" t="b">
        <v>0</v>
      </c>
      <c r="B3284" s="11" t="str">
        <f>IF(D3284&lt;&gt;"",IF(COUNTIF('USPTO TMs'!A:A,D3284)&gt;0,"Yes","No"),"")</f>
        <v/>
      </c>
      <c r="C3284" s="11"/>
      <c r="D3284" s="11"/>
      <c r="E3284" s="11"/>
      <c r="F3284" s="11"/>
      <c r="G3284" s="11"/>
      <c r="H3284" s="11"/>
      <c r="I3284" s="15"/>
    </row>
    <row r="3285" spans="1:9" ht="16.5">
      <c r="A3285" s="10" t="b">
        <v>0</v>
      </c>
      <c r="B3285" s="11" t="str">
        <f>IF(D3285&lt;&gt;"",IF(COUNTIF('USPTO TMs'!A:A,D3285)&gt;0,"Yes","No"),"")</f>
        <v/>
      </c>
      <c r="C3285" s="11"/>
      <c r="D3285" s="11"/>
      <c r="E3285" s="11"/>
      <c r="F3285" s="11"/>
      <c r="G3285" s="11"/>
      <c r="H3285" s="11"/>
      <c r="I3285" s="15"/>
    </row>
    <row r="3286" spans="1:9" ht="16.5">
      <c r="A3286" s="10" t="b">
        <v>0</v>
      </c>
      <c r="B3286" s="11" t="str">
        <f>IF(D3286&lt;&gt;"",IF(COUNTIF('USPTO TMs'!A:A,D3286)&gt;0,"Yes","No"),"")</f>
        <v/>
      </c>
      <c r="C3286" s="11"/>
      <c r="D3286" s="11"/>
      <c r="E3286" s="11"/>
      <c r="F3286" s="11"/>
      <c r="G3286" s="11"/>
      <c r="H3286" s="11"/>
      <c r="I3286" s="15"/>
    </row>
    <row r="3287" spans="1:9" ht="16.5">
      <c r="A3287" s="10" t="b">
        <v>0</v>
      </c>
      <c r="B3287" s="11" t="str">
        <f>IF(D3287&lt;&gt;"",IF(COUNTIF('USPTO TMs'!A:A,D3287)&gt;0,"Yes","No"),"")</f>
        <v/>
      </c>
      <c r="C3287" s="11"/>
      <c r="D3287" s="11"/>
      <c r="E3287" s="11"/>
      <c r="F3287" s="11"/>
      <c r="G3287" s="11"/>
      <c r="H3287" s="11"/>
      <c r="I3287" s="15"/>
    </row>
    <row r="3288" spans="1:9" ht="16.5">
      <c r="A3288" s="10" t="b">
        <v>0</v>
      </c>
      <c r="B3288" s="11" t="str">
        <f>IF(D3288&lt;&gt;"",IF(COUNTIF('USPTO TMs'!A:A,D3288)&gt;0,"Yes","No"),"")</f>
        <v/>
      </c>
      <c r="C3288" s="11"/>
      <c r="D3288" s="11"/>
      <c r="E3288" s="11"/>
      <c r="F3288" s="11"/>
      <c r="G3288" s="11"/>
      <c r="H3288" s="11"/>
      <c r="I3288" s="15"/>
    </row>
    <row r="3289" spans="1:9" ht="16.5">
      <c r="A3289" s="10" t="b">
        <v>0</v>
      </c>
      <c r="B3289" s="11" t="str">
        <f>IF(D3289&lt;&gt;"",IF(COUNTIF('USPTO TMs'!A:A,D3289)&gt;0,"Yes","No"),"")</f>
        <v/>
      </c>
      <c r="C3289" s="11"/>
      <c r="D3289" s="11"/>
      <c r="E3289" s="11"/>
      <c r="F3289" s="11"/>
      <c r="G3289" s="11"/>
      <c r="H3289" s="11"/>
      <c r="I3289" s="15"/>
    </row>
    <row r="3290" spans="1:9" ht="16.5">
      <c r="A3290" s="10" t="b">
        <v>0</v>
      </c>
      <c r="B3290" s="11" t="str">
        <f>IF(D3290&lt;&gt;"",IF(COUNTIF('USPTO TMs'!A:A,D3290)&gt;0,"Yes","No"),"")</f>
        <v/>
      </c>
      <c r="C3290" s="11"/>
      <c r="D3290" s="11"/>
      <c r="E3290" s="11"/>
      <c r="F3290" s="11"/>
      <c r="G3290" s="11"/>
      <c r="H3290" s="11"/>
      <c r="I3290" s="15"/>
    </row>
    <row r="3291" spans="1:9" ht="16.5">
      <c r="A3291" s="10" t="b">
        <v>0</v>
      </c>
      <c r="B3291" s="11" t="str">
        <f>IF(D3291&lt;&gt;"",IF(COUNTIF('USPTO TMs'!A:A,D3291)&gt;0,"Yes","No"),"")</f>
        <v/>
      </c>
      <c r="C3291" s="11"/>
      <c r="D3291" s="11"/>
      <c r="E3291" s="11"/>
      <c r="F3291" s="11"/>
      <c r="G3291" s="11"/>
      <c r="H3291" s="11"/>
      <c r="I3291" s="15"/>
    </row>
    <row r="3292" spans="1:9" ht="16.5">
      <c r="A3292" s="10" t="b">
        <v>0</v>
      </c>
      <c r="B3292" s="11" t="str">
        <f>IF(D3292&lt;&gt;"",IF(COUNTIF('USPTO TMs'!A:A,D3292)&gt;0,"Yes","No"),"")</f>
        <v/>
      </c>
      <c r="C3292" s="11"/>
      <c r="D3292" s="11"/>
      <c r="E3292" s="11"/>
      <c r="F3292" s="11"/>
      <c r="G3292" s="11"/>
      <c r="H3292" s="11"/>
      <c r="I3292" s="15"/>
    </row>
    <row r="3293" spans="1:9" ht="16.5">
      <c r="A3293" s="10" t="b">
        <v>0</v>
      </c>
      <c r="B3293" s="11" t="str">
        <f>IF(D3293&lt;&gt;"",IF(COUNTIF('USPTO TMs'!A:A,D3293)&gt;0,"Yes","No"),"")</f>
        <v/>
      </c>
      <c r="C3293" s="11"/>
      <c r="D3293" s="11"/>
      <c r="E3293" s="11"/>
      <c r="F3293" s="11"/>
      <c r="G3293" s="11"/>
      <c r="H3293" s="11"/>
      <c r="I3293" s="15"/>
    </row>
    <row r="3294" spans="1:9" ht="16.5">
      <c r="A3294" s="10" t="b">
        <v>0</v>
      </c>
      <c r="B3294" s="11" t="str">
        <f>IF(D3294&lt;&gt;"",IF(COUNTIF('USPTO TMs'!A:A,D3294)&gt;0,"Yes","No"),"")</f>
        <v/>
      </c>
      <c r="C3294" s="11"/>
      <c r="D3294" s="11"/>
      <c r="E3294" s="11"/>
      <c r="F3294" s="11"/>
      <c r="G3294" s="11"/>
      <c r="H3294" s="11"/>
      <c r="I3294" s="15"/>
    </row>
    <row r="3295" spans="1:9" ht="16.5">
      <c r="A3295" s="10" t="b">
        <v>0</v>
      </c>
      <c r="B3295" s="11" t="str">
        <f>IF(D3295&lt;&gt;"",IF(COUNTIF('USPTO TMs'!A:A,D3295)&gt;0,"Yes","No"),"")</f>
        <v/>
      </c>
      <c r="C3295" s="11"/>
      <c r="D3295" s="11"/>
      <c r="E3295" s="11"/>
      <c r="F3295" s="11"/>
      <c r="G3295" s="11"/>
      <c r="H3295" s="11"/>
      <c r="I3295" s="15"/>
    </row>
    <row r="3296" spans="1:9" ht="16.5">
      <c r="A3296" s="10" t="b">
        <v>0</v>
      </c>
      <c r="B3296" s="11" t="str">
        <f>IF(D3296&lt;&gt;"",IF(COUNTIF('USPTO TMs'!A:A,D3296)&gt;0,"Yes","No"),"")</f>
        <v/>
      </c>
      <c r="C3296" s="11"/>
      <c r="D3296" s="11"/>
      <c r="E3296" s="11"/>
      <c r="F3296" s="11"/>
      <c r="G3296" s="11"/>
      <c r="H3296" s="11"/>
      <c r="I3296" s="15"/>
    </row>
    <row r="3297" spans="1:9" ht="16.5">
      <c r="A3297" s="10" t="b">
        <v>0</v>
      </c>
      <c r="B3297" s="11" t="str">
        <f>IF(D3297&lt;&gt;"",IF(COUNTIF('USPTO TMs'!A:A,D3297)&gt;0,"Yes","No"),"")</f>
        <v/>
      </c>
      <c r="C3297" s="11"/>
      <c r="D3297" s="11"/>
      <c r="E3297" s="11"/>
      <c r="F3297" s="11"/>
      <c r="G3297" s="11"/>
      <c r="H3297" s="11"/>
      <c r="I3297" s="15"/>
    </row>
    <row r="3298" spans="1:9" ht="16.5">
      <c r="A3298" s="10" t="b">
        <v>0</v>
      </c>
      <c r="B3298" s="11" t="str">
        <f>IF(D3298&lt;&gt;"",IF(COUNTIF('USPTO TMs'!A:A,D3298)&gt;0,"Yes","No"),"")</f>
        <v/>
      </c>
      <c r="C3298" s="11"/>
      <c r="D3298" s="11"/>
      <c r="E3298" s="11"/>
      <c r="F3298" s="11"/>
      <c r="G3298" s="11"/>
      <c r="H3298" s="11"/>
      <c r="I3298" s="15"/>
    </row>
    <row r="3299" spans="1:9" ht="16.5">
      <c r="A3299" s="10" t="b">
        <v>0</v>
      </c>
      <c r="B3299" s="11" t="str">
        <f>IF(D3299&lt;&gt;"",IF(COUNTIF('USPTO TMs'!A:A,D3299)&gt;0,"Yes","No"),"")</f>
        <v/>
      </c>
      <c r="C3299" s="11"/>
      <c r="D3299" s="11"/>
      <c r="E3299" s="11"/>
      <c r="F3299" s="11"/>
      <c r="G3299" s="11"/>
      <c r="H3299" s="11"/>
      <c r="I3299" s="15"/>
    </row>
    <row r="3300" spans="1:9" ht="16.5">
      <c r="A3300" s="10" t="b">
        <v>0</v>
      </c>
      <c r="B3300" s="11" t="str">
        <f>IF(D3300&lt;&gt;"",IF(COUNTIF('USPTO TMs'!A:A,D3300)&gt;0,"Yes","No"),"")</f>
        <v/>
      </c>
      <c r="C3300" s="11"/>
      <c r="D3300" s="11"/>
      <c r="E3300" s="11"/>
      <c r="F3300" s="11"/>
      <c r="G3300" s="11"/>
      <c r="H3300" s="11"/>
      <c r="I3300" s="15"/>
    </row>
    <row r="3301" spans="1:9" ht="16.5">
      <c r="A3301" s="10" t="b">
        <v>0</v>
      </c>
      <c r="B3301" s="11" t="str">
        <f>IF(D3301&lt;&gt;"",IF(COUNTIF('USPTO TMs'!A:A,D3301)&gt;0,"Yes","No"),"")</f>
        <v/>
      </c>
      <c r="C3301" s="11"/>
      <c r="D3301" s="11"/>
      <c r="E3301" s="11"/>
      <c r="F3301" s="11"/>
      <c r="G3301" s="11"/>
      <c r="H3301" s="11"/>
      <c r="I3301" s="15"/>
    </row>
    <row r="3302" spans="1:9" ht="16.5">
      <c r="A3302" s="10" t="b">
        <v>0</v>
      </c>
      <c r="B3302" s="11" t="str">
        <f>IF(D3302&lt;&gt;"",IF(COUNTIF('USPTO TMs'!A:A,D3302)&gt;0,"Yes","No"),"")</f>
        <v/>
      </c>
      <c r="C3302" s="11"/>
      <c r="D3302" s="11"/>
      <c r="E3302" s="11"/>
      <c r="F3302" s="11"/>
      <c r="G3302" s="11"/>
      <c r="H3302" s="11"/>
      <c r="I3302" s="15"/>
    </row>
    <row r="3303" spans="1:9" ht="16.5">
      <c r="A3303" s="10" t="b">
        <v>0</v>
      </c>
      <c r="B3303" s="11" t="str">
        <f>IF(D3303&lt;&gt;"",IF(COUNTIF('USPTO TMs'!A:A,D3303)&gt;0,"Yes","No"),"")</f>
        <v/>
      </c>
      <c r="C3303" s="11"/>
      <c r="D3303" s="11"/>
      <c r="E3303" s="11"/>
      <c r="F3303" s="11"/>
      <c r="G3303" s="11"/>
      <c r="H3303" s="11"/>
      <c r="I3303" s="15"/>
    </row>
    <row r="3304" spans="1:9" ht="16.5">
      <c r="A3304" s="10" t="b">
        <v>0</v>
      </c>
      <c r="B3304" s="11" t="str">
        <f>IF(D3304&lt;&gt;"",IF(COUNTIF('USPTO TMs'!A:A,D3304)&gt;0,"Yes","No"),"")</f>
        <v/>
      </c>
      <c r="C3304" s="11"/>
      <c r="D3304" s="11"/>
      <c r="E3304" s="11"/>
      <c r="F3304" s="11"/>
      <c r="G3304" s="11"/>
      <c r="H3304" s="11"/>
      <c r="I3304" s="15"/>
    </row>
    <row r="3305" spans="1:9" ht="16.5">
      <c r="A3305" s="10" t="b">
        <v>0</v>
      </c>
      <c r="B3305" s="11" t="str">
        <f>IF(D3305&lt;&gt;"",IF(COUNTIF('USPTO TMs'!A:A,D3305)&gt;0,"Yes","No"),"")</f>
        <v/>
      </c>
      <c r="C3305" s="11"/>
      <c r="D3305" s="11"/>
      <c r="E3305" s="11"/>
      <c r="F3305" s="11"/>
      <c r="G3305" s="11"/>
      <c r="H3305" s="11"/>
      <c r="I3305" s="15"/>
    </row>
    <row r="3306" spans="1:9" ht="16.5">
      <c r="A3306" s="10" t="b">
        <v>0</v>
      </c>
      <c r="B3306" s="11" t="str">
        <f>IF(D3306&lt;&gt;"",IF(COUNTIF('USPTO TMs'!A:A,D3306)&gt;0,"Yes","No"),"")</f>
        <v/>
      </c>
      <c r="C3306" s="11"/>
      <c r="D3306" s="11"/>
      <c r="E3306" s="11"/>
      <c r="F3306" s="11"/>
      <c r="G3306" s="11"/>
      <c r="H3306" s="11"/>
      <c r="I3306" s="15"/>
    </row>
    <row r="3307" spans="1:9" ht="16.5">
      <c r="A3307" s="10" t="b">
        <v>0</v>
      </c>
      <c r="B3307" s="11" t="str">
        <f>IF(D3307&lt;&gt;"",IF(COUNTIF('USPTO TMs'!A:A,D3307)&gt;0,"Yes","No"),"")</f>
        <v/>
      </c>
      <c r="C3307" s="11"/>
      <c r="D3307" s="11"/>
      <c r="E3307" s="11"/>
      <c r="F3307" s="11"/>
      <c r="G3307" s="11"/>
      <c r="H3307" s="11"/>
      <c r="I3307" s="15"/>
    </row>
    <row r="3308" spans="1:9" ht="16.5">
      <c r="A3308" s="10" t="b">
        <v>0</v>
      </c>
      <c r="B3308" s="11" t="str">
        <f>IF(D3308&lt;&gt;"",IF(COUNTIF('USPTO TMs'!A:A,D3308)&gt;0,"Yes","No"),"")</f>
        <v/>
      </c>
      <c r="C3308" s="11"/>
      <c r="D3308" s="11"/>
      <c r="E3308" s="11"/>
      <c r="F3308" s="11"/>
      <c r="G3308" s="11"/>
      <c r="H3308" s="11"/>
      <c r="I3308" s="15"/>
    </row>
    <row r="3309" spans="1:9" ht="16.5">
      <c r="A3309" s="10" t="b">
        <v>0</v>
      </c>
      <c r="B3309" s="11" t="str">
        <f>IF(D3309&lt;&gt;"",IF(COUNTIF('USPTO TMs'!A:A,D3309)&gt;0,"Yes","No"),"")</f>
        <v/>
      </c>
      <c r="C3309" s="11"/>
      <c r="D3309" s="11"/>
      <c r="E3309" s="11"/>
      <c r="F3309" s="11"/>
      <c r="G3309" s="11"/>
      <c r="H3309" s="11"/>
      <c r="I3309" s="15"/>
    </row>
    <row r="3310" spans="1:9" ht="16.5">
      <c r="A3310" s="10" t="b">
        <v>0</v>
      </c>
      <c r="B3310" s="11" t="str">
        <f>IF(D3310&lt;&gt;"",IF(COUNTIF('USPTO TMs'!A:A,D3310)&gt;0,"Yes","No"),"")</f>
        <v/>
      </c>
      <c r="C3310" s="11"/>
      <c r="D3310" s="11"/>
      <c r="E3310" s="11"/>
      <c r="F3310" s="11"/>
      <c r="G3310" s="11"/>
      <c r="H3310" s="11"/>
      <c r="I3310" s="15"/>
    </row>
    <row r="3311" spans="1:9" ht="16.5">
      <c r="A3311" s="10" t="b">
        <v>0</v>
      </c>
      <c r="B3311" s="11" t="str">
        <f>IF(D3311&lt;&gt;"",IF(COUNTIF('USPTO TMs'!A:A,D3311)&gt;0,"Yes","No"),"")</f>
        <v/>
      </c>
      <c r="C3311" s="11"/>
      <c r="D3311" s="11"/>
      <c r="E3311" s="11"/>
      <c r="F3311" s="11"/>
      <c r="G3311" s="11"/>
      <c r="H3311" s="11"/>
      <c r="I3311" s="15"/>
    </row>
    <row r="3312" spans="1:9" ht="16.5">
      <c r="A3312" s="10" t="b">
        <v>0</v>
      </c>
      <c r="B3312" s="11" t="str">
        <f>IF(D3312&lt;&gt;"",IF(COUNTIF('USPTO TMs'!A:A,D3312)&gt;0,"Yes","No"),"")</f>
        <v/>
      </c>
      <c r="C3312" s="11"/>
      <c r="D3312" s="11"/>
      <c r="E3312" s="11"/>
      <c r="F3312" s="11"/>
      <c r="G3312" s="11"/>
      <c r="H3312" s="11"/>
      <c r="I3312" s="15"/>
    </row>
    <row r="3313" spans="1:9" ht="16.5">
      <c r="A3313" s="10" t="b">
        <v>0</v>
      </c>
      <c r="B3313" s="11" t="str">
        <f>IF(D3313&lt;&gt;"",IF(COUNTIF('USPTO TMs'!A:A,D3313)&gt;0,"Yes","No"),"")</f>
        <v/>
      </c>
      <c r="C3313" s="11"/>
      <c r="D3313" s="11"/>
      <c r="E3313" s="11"/>
      <c r="F3313" s="11"/>
      <c r="G3313" s="11"/>
      <c r="H3313" s="11"/>
      <c r="I3313" s="15"/>
    </row>
    <row r="3314" spans="1:9" ht="16.5">
      <c r="A3314" s="10" t="b">
        <v>0</v>
      </c>
      <c r="B3314" s="11" t="str">
        <f>IF(D3314&lt;&gt;"",IF(COUNTIF('USPTO TMs'!A:A,D3314)&gt;0,"Yes","No"),"")</f>
        <v/>
      </c>
      <c r="C3314" s="11"/>
      <c r="D3314" s="11"/>
      <c r="E3314" s="11"/>
      <c r="F3314" s="11"/>
      <c r="G3314" s="11"/>
      <c r="H3314" s="11"/>
      <c r="I3314" s="15"/>
    </row>
    <row r="3315" spans="1:9" ht="16.5">
      <c r="A3315" s="10" t="b">
        <v>0</v>
      </c>
      <c r="B3315" s="11" t="str">
        <f>IF(D3315&lt;&gt;"",IF(COUNTIF('USPTO TMs'!A:A,D3315)&gt;0,"Yes","No"),"")</f>
        <v/>
      </c>
      <c r="C3315" s="11"/>
      <c r="D3315" s="11"/>
      <c r="E3315" s="11"/>
      <c r="F3315" s="11"/>
      <c r="G3315" s="11"/>
      <c r="H3315" s="11"/>
      <c r="I3315" s="15"/>
    </row>
    <row r="3316" spans="1:9" ht="16.5">
      <c r="A3316" s="10" t="b">
        <v>0</v>
      </c>
      <c r="B3316" s="11" t="str">
        <f>IF(D3316&lt;&gt;"",IF(COUNTIF('USPTO TMs'!A:A,D3316)&gt;0,"Yes","No"),"")</f>
        <v/>
      </c>
      <c r="C3316" s="11"/>
      <c r="D3316" s="11"/>
      <c r="E3316" s="11"/>
      <c r="F3316" s="11"/>
      <c r="G3316" s="11"/>
      <c r="H3316" s="11"/>
      <c r="I3316" s="15"/>
    </row>
    <row r="3317" spans="1:9" ht="16.5">
      <c r="A3317" s="10" t="b">
        <v>0</v>
      </c>
      <c r="B3317" s="11" t="str">
        <f>IF(D3317&lt;&gt;"",IF(COUNTIF('USPTO TMs'!A:A,D3317)&gt;0,"Yes","No"),"")</f>
        <v/>
      </c>
      <c r="C3317" s="11"/>
      <c r="D3317" s="11"/>
      <c r="E3317" s="11"/>
      <c r="F3317" s="11"/>
      <c r="G3317" s="11"/>
      <c r="H3317" s="11"/>
      <c r="I3317" s="15"/>
    </row>
    <row r="3318" spans="1:9" ht="16.5">
      <c r="A3318" s="10" t="b">
        <v>0</v>
      </c>
      <c r="B3318" s="11" t="str">
        <f>IF(D3318&lt;&gt;"",IF(COUNTIF('USPTO TMs'!A:A,D3318)&gt;0,"Yes","No"),"")</f>
        <v/>
      </c>
      <c r="C3318" s="11"/>
      <c r="D3318" s="11"/>
      <c r="E3318" s="11"/>
      <c r="F3318" s="11"/>
      <c r="G3318" s="11"/>
      <c r="H3318" s="11"/>
      <c r="I3318" s="15"/>
    </row>
    <row r="3319" spans="1:9" ht="16.5">
      <c r="A3319" s="10" t="b">
        <v>0</v>
      </c>
      <c r="B3319" s="11" t="str">
        <f>IF(D3319&lt;&gt;"",IF(COUNTIF('USPTO TMs'!A:A,D3319)&gt;0,"Yes","No"),"")</f>
        <v/>
      </c>
      <c r="C3319" s="11"/>
      <c r="D3319" s="11"/>
      <c r="E3319" s="11"/>
      <c r="F3319" s="11"/>
      <c r="G3319" s="11"/>
      <c r="H3319" s="11"/>
      <c r="I3319" s="15"/>
    </row>
    <row r="3320" spans="1:9" ht="16.5">
      <c r="A3320" s="10" t="b">
        <v>0</v>
      </c>
      <c r="B3320" s="11" t="str">
        <f>IF(D3320&lt;&gt;"",IF(COUNTIF('USPTO TMs'!A:A,D3320)&gt;0,"Yes","No"),"")</f>
        <v/>
      </c>
      <c r="C3320" s="11"/>
      <c r="D3320" s="11"/>
      <c r="E3320" s="11"/>
      <c r="F3320" s="11"/>
      <c r="G3320" s="11"/>
      <c r="H3320" s="11"/>
      <c r="I3320" s="15"/>
    </row>
    <row r="3321" spans="1:9" ht="16.5">
      <c r="A3321" s="10" t="b">
        <v>0</v>
      </c>
      <c r="B3321" s="11" t="str">
        <f>IF(D3321&lt;&gt;"",IF(COUNTIF('USPTO TMs'!A:A,D3321)&gt;0,"Yes","No"),"")</f>
        <v/>
      </c>
      <c r="C3321" s="11"/>
      <c r="D3321" s="11"/>
      <c r="E3321" s="11"/>
      <c r="F3321" s="11"/>
      <c r="G3321" s="11"/>
      <c r="H3321" s="11"/>
      <c r="I3321" s="15"/>
    </row>
    <row r="3322" spans="1:9" ht="16.5">
      <c r="A3322" s="10" t="b">
        <v>0</v>
      </c>
      <c r="B3322" s="11" t="str">
        <f>IF(D3322&lt;&gt;"",IF(COUNTIF('USPTO TMs'!A:A,D3322)&gt;0,"Yes","No"),"")</f>
        <v/>
      </c>
      <c r="C3322" s="11"/>
      <c r="D3322" s="11"/>
      <c r="E3322" s="11"/>
      <c r="F3322" s="11"/>
      <c r="G3322" s="11"/>
      <c r="H3322" s="11"/>
      <c r="I3322" s="15"/>
    </row>
    <row r="3323" spans="1:9" ht="16.5">
      <c r="A3323" s="10" t="b">
        <v>0</v>
      </c>
      <c r="B3323" s="11" t="str">
        <f>IF(D3323&lt;&gt;"",IF(COUNTIF('USPTO TMs'!A:A,D3323)&gt;0,"Yes","No"),"")</f>
        <v/>
      </c>
      <c r="C3323" s="11"/>
      <c r="D3323" s="11"/>
      <c r="E3323" s="11"/>
      <c r="F3323" s="11"/>
      <c r="G3323" s="11"/>
      <c r="H3323" s="11"/>
      <c r="I3323" s="15"/>
    </row>
    <row r="3324" spans="1:9" ht="16.5">
      <c r="A3324" s="10" t="b">
        <v>0</v>
      </c>
      <c r="B3324" s="11" t="str">
        <f>IF(D3324&lt;&gt;"",IF(COUNTIF('USPTO TMs'!A:A,D3324)&gt;0,"Yes","No"),"")</f>
        <v/>
      </c>
      <c r="C3324" s="11"/>
      <c r="D3324" s="11"/>
      <c r="E3324" s="11"/>
      <c r="F3324" s="11"/>
      <c r="G3324" s="11"/>
      <c r="H3324" s="11"/>
      <c r="I3324" s="15"/>
    </row>
    <row r="3325" spans="1:9" ht="16.5">
      <c r="A3325" s="10" t="b">
        <v>0</v>
      </c>
      <c r="B3325" s="11" t="str">
        <f>IF(D3325&lt;&gt;"",IF(COUNTIF('USPTO TMs'!A:A,D3325)&gt;0,"Yes","No"),"")</f>
        <v/>
      </c>
      <c r="C3325" s="11"/>
      <c r="D3325" s="11"/>
      <c r="E3325" s="11"/>
      <c r="F3325" s="11"/>
      <c r="G3325" s="11"/>
      <c r="H3325" s="11"/>
      <c r="I3325" s="15"/>
    </row>
    <row r="3326" spans="1:9" ht="16.5">
      <c r="A3326" s="10" t="b">
        <v>0</v>
      </c>
      <c r="B3326" s="11" t="str">
        <f>IF(D3326&lt;&gt;"",IF(COUNTIF('USPTO TMs'!A:A,D3326)&gt;0,"Yes","No"),"")</f>
        <v/>
      </c>
      <c r="C3326" s="11"/>
      <c r="D3326" s="11"/>
      <c r="E3326" s="11"/>
      <c r="F3326" s="11"/>
      <c r="G3326" s="11"/>
      <c r="H3326" s="11"/>
      <c r="I3326" s="15"/>
    </row>
    <row r="3327" spans="1:9" ht="16.5">
      <c r="A3327" s="10" t="b">
        <v>0</v>
      </c>
      <c r="B3327" s="11" t="str">
        <f>IF(D3327&lt;&gt;"",IF(COUNTIF('USPTO TMs'!A:A,D3327)&gt;0,"Yes","No"),"")</f>
        <v/>
      </c>
      <c r="C3327" s="11"/>
      <c r="D3327" s="11"/>
      <c r="E3327" s="11"/>
      <c r="F3327" s="11"/>
      <c r="G3327" s="11"/>
      <c r="H3327" s="11"/>
      <c r="I3327" s="15"/>
    </row>
    <row r="3328" spans="1:9" ht="16.5">
      <c r="A3328" s="10" t="b">
        <v>0</v>
      </c>
      <c r="B3328" s="11" t="str">
        <f>IF(D3328&lt;&gt;"",IF(COUNTIF('USPTO TMs'!A:A,D3328)&gt;0,"Yes","No"),"")</f>
        <v/>
      </c>
      <c r="C3328" s="11"/>
      <c r="D3328" s="11"/>
      <c r="E3328" s="11"/>
      <c r="F3328" s="11"/>
      <c r="G3328" s="11"/>
      <c r="H3328" s="11"/>
      <c r="I3328" s="15"/>
    </row>
    <row r="3329" spans="1:9" ht="16.5">
      <c r="A3329" s="10" t="b">
        <v>0</v>
      </c>
      <c r="B3329" s="11" t="str">
        <f>IF(D3329&lt;&gt;"",IF(COUNTIF('USPTO TMs'!A:A,D3329)&gt;0,"Yes","No"),"")</f>
        <v/>
      </c>
      <c r="C3329" s="11"/>
      <c r="D3329" s="11"/>
      <c r="E3329" s="11"/>
      <c r="F3329" s="11"/>
      <c r="G3329" s="11"/>
      <c r="H3329" s="11"/>
      <c r="I3329" s="15"/>
    </row>
    <row r="3330" spans="1:9" ht="16.5">
      <c r="A3330" s="10" t="b">
        <v>0</v>
      </c>
      <c r="B3330" s="11" t="str">
        <f>IF(D3330&lt;&gt;"",IF(COUNTIF('USPTO TMs'!A:A,D3330)&gt;0,"Yes","No"),"")</f>
        <v/>
      </c>
      <c r="C3330" s="11"/>
      <c r="D3330" s="11"/>
      <c r="E3330" s="11"/>
      <c r="F3330" s="11"/>
      <c r="G3330" s="11"/>
      <c r="H3330" s="11"/>
      <c r="I3330" s="15"/>
    </row>
    <row r="3331" spans="1:9" ht="16.5">
      <c r="A3331" s="10" t="b">
        <v>0</v>
      </c>
      <c r="B3331" s="11" t="str">
        <f>IF(D3331&lt;&gt;"",IF(COUNTIF('USPTO TMs'!A:A,D3331)&gt;0,"Yes","No"),"")</f>
        <v/>
      </c>
      <c r="C3331" s="11"/>
      <c r="D3331" s="11"/>
      <c r="E3331" s="11"/>
      <c r="F3331" s="11"/>
      <c r="G3331" s="11"/>
      <c r="H3331" s="11"/>
      <c r="I3331" s="15"/>
    </row>
    <row r="3332" spans="1:9" ht="16.5">
      <c r="A3332" s="10" t="b">
        <v>0</v>
      </c>
      <c r="B3332" s="11" t="str">
        <f>IF(D3332&lt;&gt;"",IF(COUNTIF('USPTO TMs'!A:A,D3332)&gt;0,"Yes","No"),"")</f>
        <v/>
      </c>
      <c r="C3332" s="11"/>
      <c r="D3332" s="11"/>
      <c r="E3332" s="11"/>
      <c r="F3332" s="11"/>
      <c r="G3332" s="11"/>
      <c r="H3332" s="11"/>
      <c r="I3332" s="15"/>
    </row>
    <row r="3333" spans="1:9" ht="16.5">
      <c r="A3333" s="10" t="b">
        <v>0</v>
      </c>
      <c r="B3333" s="11" t="str">
        <f>IF(D3333&lt;&gt;"",IF(COUNTIF('USPTO TMs'!A:A,D3333)&gt;0,"Yes","No"),"")</f>
        <v/>
      </c>
      <c r="C3333" s="11"/>
      <c r="D3333" s="11"/>
      <c r="E3333" s="11"/>
      <c r="F3333" s="11"/>
      <c r="G3333" s="11"/>
      <c r="H3333" s="11"/>
      <c r="I3333" s="15"/>
    </row>
    <row r="3334" spans="1:9" ht="16.5">
      <c r="A3334" s="10" t="b">
        <v>0</v>
      </c>
      <c r="B3334" s="11" t="str">
        <f>IF(D3334&lt;&gt;"",IF(COUNTIF('USPTO TMs'!A:A,D3334)&gt;0,"Yes","No"),"")</f>
        <v/>
      </c>
      <c r="C3334" s="11"/>
      <c r="D3334" s="11"/>
      <c r="E3334" s="11"/>
      <c r="F3334" s="11"/>
      <c r="G3334" s="11"/>
      <c r="H3334" s="11"/>
      <c r="I3334" s="15"/>
    </row>
    <row r="3335" spans="1:9" ht="16.5">
      <c r="A3335" s="10" t="b">
        <v>0</v>
      </c>
      <c r="B3335" s="11" t="str">
        <f>IF(D3335&lt;&gt;"",IF(COUNTIF('USPTO TMs'!A:A,D3335)&gt;0,"Yes","No"),"")</f>
        <v/>
      </c>
      <c r="C3335" s="11"/>
      <c r="D3335" s="11"/>
      <c r="E3335" s="11"/>
      <c r="F3335" s="11"/>
      <c r="G3335" s="11"/>
      <c r="H3335" s="11"/>
      <c r="I3335" s="15"/>
    </row>
    <row r="3336" spans="1:9" ht="16.5">
      <c r="A3336" s="10" t="b">
        <v>0</v>
      </c>
      <c r="B3336" s="11" t="str">
        <f>IF(D3336&lt;&gt;"",IF(COUNTIF('USPTO TMs'!A:A,D3336)&gt;0,"Yes","No"),"")</f>
        <v/>
      </c>
      <c r="C3336" s="11"/>
      <c r="D3336" s="11"/>
      <c r="E3336" s="11"/>
      <c r="F3336" s="11"/>
      <c r="G3336" s="11"/>
      <c r="H3336" s="11"/>
      <c r="I3336" s="15"/>
    </row>
    <row r="3337" spans="1:9" ht="16.5">
      <c r="A3337" s="10" t="b">
        <v>0</v>
      </c>
      <c r="B3337" s="11" t="str">
        <f>IF(D3337&lt;&gt;"",IF(COUNTIF('USPTO TMs'!A:A,D3337)&gt;0,"Yes","No"),"")</f>
        <v/>
      </c>
      <c r="C3337" s="11"/>
      <c r="D3337" s="11"/>
      <c r="E3337" s="11"/>
      <c r="F3337" s="11"/>
      <c r="G3337" s="11"/>
      <c r="H3337" s="11"/>
      <c r="I3337" s="15"/>
    </row>
    <row r="3338" spans="1:9" ht="16.5">
      <c r="A3338" s="10" t="b">
        <v>0</v>
      </c>
      <c r="B3338" s="11" t="str">
        <f>IF(D3338&lt;&gt;"",IF(COUNTIF('USPTO TMs'!A:A,D3338)&gt;0,"Yes","No"),"")</f>
        <v/>
      </c>
      <c r="C3338" s="11"/>
      <c r="D3338" s="11"/>
      <c r="E3338" s="11"/>
      <c r="F3338" s="11"/>
      <c r="G3338" s="11"/>
      <c r="H3338" s="11"/>
      <c r="I3338" s="15"/>
    </row>
    <row r="3339" spans="1:9" ht="16.5">
      <c r="A3339" s="10" t="b">
        <v>0</v>
      </c>
      <c r="B3339" s="11" t="str">
        <f>IF(D3339&lt;&gt;"",IF(COUNTIF('USPTO TMs'!A:A,D3339)&gt;0,"Yes","No"),"")</f>
        <v/>
      </c>
      <c r="C3339" s="11"/>
      <c r="D3339" s="11"/>
      <c r="E3339" s="11"/>
      <c r="F3339" s="11"/>
      <c r="G3339" s="11"/>
      <c r="H3339" s="11"/>
      <c r="I3339" s="15"/>
    </row>
    <row r="3340" spans="1:9" ht="16.5">
      <c r="A3340" s="10" t="b">
        <v>0</v>
      </c>
      <c r="B3340" s="11" t="str">
        <f>IF(D3340&lt;&gt;"",IF(COUNTIF('USPTO TMs'!A:A,D3340)&gt;0,"Yes","No"),"")</f>
        <v/>
      </c>
      <c r="C3340" s="11"/>
      <c r="D3340" s="11"/>
      <c r="E3340" s="11"/>
      <c r="F3340" s="11"/>
      <c r="G3340" s="11"/>
      <c r="H3340" s="11"/>
      <c r="I3340" s="15"/>
    </row>
    <row r="3341" spans="1:9" ht="16.5">
      <c r="A3341" s="10" t="b">
        <v>0</v>
      </c>
      <c r="B3341" s="11" t="str">
        <f>IF(D3341&lt;&gt;"",IF(COUNTIF('USPTO TMs'!A:A,D3341)&gt;0,"Yes","No"),"")</f>
        <v/>
      </c>
      <c r="C3341" s="11"/>
      <c r="D3341" s="11"/>
      <c r="E3341" s="11"/>
      <c r="F3341" s="11"/>
      <c r="G3341" s="11"/>
      <c r="H3341" s="11"/>
      <c r="I3341" s="15"/>
    </row>
    <row r="3342" spans="1:9" ht="16.5">
      <c r="A3342" s="10" t="b">
        <v>0</v>
      </c>
      <c r="B3342" s="11" t="str">
        <f>IF(D3342&lt;&gt;"",IF(COUNTIF('USPTO TMs'!A:A,D3342)&gt;0,"Yes","No"),"")</f>
        <v/>
      </c>
      <c r="C3342" s="11"/>
      <c r="D3342" s="11"/>
      <c r="E3342" s="11"/>
      <c r="F3342" s="11"/>
      <c r="G3342" s="11"/>
      <c r="H3342" s="11"/>
      <c r="I3342" s="15"/>
    </row>
    <row r="3343" spans="1:9" ht="16.5">
      <c r="A3343" s="10" t="b">
        <v>0</v>
      </c>
      <c r="B3343" s="11" t="str">
        <f>IF(D3343&lt;&gt;"",IF(COUNTIF('USPTO TMs'!A:A,D3343)&gt;0,"Yes","No"),"")</f>
        <v/>
      </c>
      <c r="C3343" s="11"/>
      <c r="D3343" s="11"/>
      <c r="E3343" s="11"/>
      <c r="F3343" s="11"/>
      <c r="G3343" s="11"/>
      <c r="H3343" s="11"/>
      <c r="I3343" s="15"/>
    </row>
    <row r="3344" spans="1:9" ht="16.5">
      <c r="A3344" s="10" t="b">
        <v>0</v>
      </c>
      <c r="B3344" s="11" t="str">
        <f>IF(D3344&lt;&gt;"",IF(COUNTIF('USPTO TMs'!A:A,D3344)&gt;0,"Yes","No"),"")</f>
        <v/>
      </c>
      <c r="C3344" s="11"/>
      <c r="D3344" s="11"/>
      <c r="E3344" s="11"/>
      <c r="F3344" s="11"/>
      <c r="G3344" s="11"/>
      <c r="H3344" s="11"/>
      <c r="I3344" s="15"/>
    </row>
    <row r="3345" spans="1:9" ht="16.5">
      <c r="A3345" s="10" t="b">
        <v>0</v>
      </c>
      <c r="B3345" s="11" t="str">
        <f>IF(D3345&lt;&gt;"",IF(COUNTIF('USPTO TMs'!A:A,D3345)&gt;0,"Yes","No"),"")</f>
        <v/>
      </c>
      <c r="C3345" s="11"/>
      <c r="D3345" s="11"/>
      <c r="E3345" s="11"/>
      <c r="F3345" s="11"/>
      <c r="G3345" s="11"/>
      <c r="H3345" s="11"/>
      <c r="I3345" s="15"/>
    </row>
    <row r="3346" spans="1:9" ht="16.5">
      <c r="A3346" s="10" t="b">
        <v>0</v>
      </c>
      <c r="B3346" s="11" t="str">
        <f>IF(D3346&lt;&gt;"",IF(COUNTIF('USPTO TMs'!A:A,D3346)&gt;0,"Yes","No"),"")</f>
        <v/>
      </c>
      <c r="C3346" s="11"/>
      <c r="D3346" s="11"/>
      <c r="E3346" s="11"/>
      <c r="F3346" s="11"/>
      <c r="G3346" s="11"/>
      <c r="H3346" s="11"/>
      <c r="I3346" s="15"/>
    </row>
    <row r="3347" spans="1:9" ht="16.5">
      <c r="A3347" s="10" t="b">
        <v>0</v>
      </c>
      <c r="B3347" s="11" t="str">
        <f>IF(D3347&lt;&gt;"",IF(COUNTIF('USPTO TMs'!A:A,D3347)&gt;0,"Yes","No"),"")</f>
        <v/>
      </c>
      <c r="C3347" s="11"/>
      <c r="D3347" s="11"/>
      <c r="E3347" s="11"/>
      <c r="F3347" s="11"/>
      <c r="G3347" s="11"/>
      <c r="H3347" s="11"/>
      <c r="I3347" s="15"/>
    </row>
    <row r="3348" spans="1:9" ht="16.5">
      <c r="A3348" s="10" t="b">
        <v>0</v>
      </c>
      <c r="B3348" s="11" t="str">
        <f>IF(D3348&lt;&gt;"",IF(COUNTIF('USPTO TMs'!A:A,D3348)&gt;0,"Yes","No"),"")</f>
        <v/>
      </c>
      <c r="C3348" s="11"/>
      <c r="D3348" s="11"/>
      <c r="E3348" s="11"/>
      <c r="F3348" s="11"/>
      <c r="G3348" s="11"/>
      <c r="H3348" s="11"/>
      <c r="I3348" s="15"/>
    </row>
    <row r="3349" spans="1:9" ht="16.5">
      <c r="A3349" s="10" t="b">
        <v>0</v>
      </c>
      <c r="B3349" s="11" t="str">
        <f>IF(D3349&lt;&gt;"",IF(COUNTIF('USPTO TMs'!A:A,D3349)&gt;0,"Yes","No"),"")</f>
        <v/>
      </c>
      <c r="C3349" s="11"/>
      <c r="D3349" s="11"/>
      <c r="E3349" s="11"/>
      <c r="F3349" s="11"/>
      <c r="G3349" s="11"/>
      <c r="H3349" s="11"/>
      <c r="I3349" s="15"/>
    </row>
    <row r="3350" spans="1:9" ht="16.5">
      <c r="A3350" s="10" t="b">
        <v>0</v>
      </c>
      <c r="B3350" s="11" t="str">
        <f>IF(D3350&lt;&gt;"",IF(COUNTIF('USPTO TMs'!A:A,D3350)&gt;0,"Yes","No"),"")</f>
        <v/>
      </c>
      <c r="C3350" s="11"/>
      <c r="D3350" s="11"/>
      <c r="E3350" s="11"/>
      <c r="F3350" s="11"/>
      <c r="G3350" s="11"/>
      <c r="H3350" s="11"/>
      <c r="I3350" s="15"/>
    </row>
    <row r="3351" spans="1:9" ht="16.5">
      <c r="A3351" s="10" t="b">
        <v>0</v>
      </c>
      <c r="B3351" s="11" t="str">
        <f>IF(D3351&lt;&gt;"",IF(COUNTIF('USPTO TMs'!A:A,D3351)&gt;0,"Yes","No"),"")</f>
        <v/>
      </c>
      <c r="C3351" s="11"/>
      <c r="D3351" s="11"/>
      <c r="E3351" s="11"/>
      <c r="F3351" s="11"/>
      <c r="G3351" s="11"/>
      <c r="H3351" s="11"/>
      <c r="I3351" s="15"/>
    </row>
    <row r="3352" spans="1:9" ht="16.5">
      <c r="A3352" s="10" t="b">
        <v>0</v>
      </c>
      <c r="B3352" s="11" t="str">
        <f>IF(D3352&lt;&gt;"",IF(COUNTIF('USPTO TMs'!A:A,D3352)&gt;0,"Yes","No"),"")</f>
        <v/>
      </c>
      <c r="C3352" s="11"/>
      <c r="D3352" s="11"/>
      <c r="E3352" s="11"/>
      <c r="F3352" s="11"/>
      <c r="G3352" s="11"/>
      <c r="H3352" s="11"/>
      <c r="I3352" s="15"/>
    </row>
    <row r="3353" spans="1:9" ht="16.5">
      <c r="A3353" s="10" t="b">
        <v>0</v>
      </c>
      <c r="B3353" s="11" t="str">
        <f>IF(D3353&lt;&gt;"",IF(COUNTIF('USPTO TMs'!A:A,D3353)&gt;0,"Yes","No"),"")</f>
        <v/>
      </c>
      <c r="C3353" s="11"/>
      <c r="D3353" s="11"/>
      <c r="E3353" s="11"/>
      <c r="F3353" s="11"/>
      <c r="G3353" s="11"/>
      <c r="H3353" s="11"/>
      <c r="I3353" s="15"/>
    </row>
    <row r="3354" spans="1:9" ht="16.5">
      <c r="A3354" s="10" t="b">
        <v>0</v>
      </c>
      <c r="B3354" s="11" t="str">
        <f>IF(D3354&lt;&gt;"",IF(COUNTIF('USPTO TMs'!A:A,D3354)&gt;0,"Yes","No"),"")</f>
        <v/>
      </c>
      <c r="C3354" s="11"/>
      <c r="D3354" s="11"/>
      <c r="E3354" s="11"/>
      <c r="F3354" s="11"/>
      <c r="G3354" s="11"/>
      <c r="H3354" s="11"/>
      <c r="I3354" s="15"/>
    </row>
    <row r="3355" spans="1:9" ht="16.5">
      <c r="A3355" s="10" t="b">
        <v>0</v>
      </c>
      <c r="B3355" s="11" t="str">
        <f>IF(D3355&lt;&gt;"",IF(COUNTIF('USPTO TMs'!A:A,D3355)&gt;0,"Yes","No"),"")</f>
        <v/>
      </c>
      <c r="C3355" s="11"/>
      <c r="D3355" s="11"/>
      <c r="E3355" s="11"/>
      <c r="F3355" s="11"/>
      <c r="G3355" s="11"/>
      <c r="H3355" s="11"/>
      <c r="I3355" s="15"/>
    </row>
    <row r="3356" spans="1:9" ht="16.5">
      <c r="A3356" s="10" t="b">
        <v>0</v>
      </c>
      <c r="B3356" s="11" t="str">
        <f>IF(D3356&lt;&gt;"",IF(COUNTIF('USPTO TMs'!A:A,D3356)&gt;0,"Yes","No"),"")</f>
        <v/>
      </c>
      <c r="C3356" s="11"/>
      <c r="D3356" s="11"/>
      <c r="E3356" s="11"/>
      <c r="F3356" s="11"/>
      <c r="G3356" s="11"/>
      <c r="H3356" s="11"/>
      <c r="I3356" s="15"/>
    </row>
    <row r="3357" spans="1:9" ht="16.5">
      <c r="A3357" s="10" t="b">
        <v>0</v>
      </c>
      <c r="B3357" s="11" t="str">
        <f>IF(D3357&lt;&gt;"",IF(COUNTIF('USPTO TMs'!A:A,D3357)&gt;0,"Yes","No"),"")</f>
        <v/>
      </c>
      <c r="C3357" s="11"/>
      <c r="D3357" s="11"/>
      <c r="E3357" s="11"/>
      <c r="F3357" s="11"/>
      <c r="G3357" s="11"/>
      <c r="H3357" s="11"/>
      <c r="I3357" s="15"/>
    </row>
    <row r="3358" spans="1:9" ht="16.5">
      <c r="A3358" s="10" t="b">
        <v>0</v>
      </c>
      <c r="B3358" s="11" t="str">
        <f>IF(D3358&lt;&gt;"",IF(COUNTIF('USPTO TMs'!A:A,D3358)&gt;0,"Yes","No"),"")</f>
        <v/>
      </c>
      <c r="C3358" s="11"/>
      <c r="D3358" s="11"/>
      <c r="E3358" s="11"/>
      <c r="F3358" s="11"/>
      <c r="G3358" s="11"/>
      <c r="H3358" s="11"/>
      <c r="I3358" s="15"/>
    </row>
    <row r="3359" spans="1:9" ht="16.5">
      <c r="A3359" s="10" t="b">
        <v>0</v>
      </c>
      <c r="B3359" s="11" t="str">
        <f>IF(D3359&lt;&gt;"",IF(COUNTIF('USPTO TMs'!A:A,D3359)&gt;0,"Yes","No"),"")</f>
        <v/>
      </c>
      <c r="C3359" s="11"/>
      <c r="D3359" s="11"/>
      <c r="E3359" s="11"/>
      <c r="F3359" s="11"/>
      <c r="G3359" s="11"/>
      <c r="H3359" s="11"/>
      <c r="I3359" s="15"/>
    </row>
    <row r="3360" spans="1:9" ht="16.5">
      <c r="A3360" s="10" t="b">
        <v>0</v>
      </c>
      <c r="B3360" s="11" t="str">
        <f>IF(D3360&lt;&gt;"",IF(COUNTIF('USPTO TMs'!A:A,D3360)&gt;0,"Yes","No"),"")</f>
        <v/>
      </c>
      <c r="C3360" s="11"/>
      <c r="D3360" s="11"/>
      <c r="E3360" s="11"/>
      <c r="F3360" s="11"/>
      <c r="G3360" s="11"/>
      <c r="H3360" s="11"/>
      <c r="I3360" s="15"/>
    </row>
    <row r="3361" spans="1:9" ht="16.5">
      <c r="A3361" s="10" t="b">
        <v>0</v>
      </c>
      <c r="B3361" s="11" t="str">
        <f>IF(D3361&lt;&gt;"",IF(COUNTIF('USPTO TMs'!A:A,D3361)&gt;0,"Yes","No"),"")</f>
        <v/>
      </c>
      <c r="C3361" s="11"/>
      <c r="D3361" s="11"/>
      <c r="E3361" s="11"/>
      <c r="F3361" s="11"/>
      <c r="G3361" s="11"/>
      <c r="H3361" s="11"/>
      <c r="I3361" s="15"/>
    </row>
    <row r="3362" spans="1:9" ht="16.5">
      <c r="A3362" s="10" t="b">
        <v>0</v>
      </c>
      <c r="B3362" s="11" t="str">
        <f>IF(D3362&lt;&gt;"",IF(COUNTIF('USPTO TMs'!A:A,D3362)&gt;0,"Yes","No"),"")</f>
        <v/>
      </c>
      <c r="C3362" s="11"/>
      <c r="D3362" s="11"/>
      <c r="E3362" s="11"/>
      <c r="F3362" s="11"/>
      <c r="G3362" s="11"/>
      <c r="H3362" s="11"/>
      <c r="I3362" s="15"/>
    </row>
    <row r="3363" spans="1:9" ht="16.5">
      <c r="A3363" s="10" t="b">
        <v>0</v>
      </c>
      <c r="B3363" s="11" t="str">
        <f>IF(D3363&lt;&gt;"",IF(COUNTIF('USPTO TMs'!A:A,D3363)&gt;0,"Yes","No"),"")</f>
        <v/>
      </c>
      <c r="C3363" s="11"/>
      <c r="D3363" s="11"/>
      <c r="E3363" s="11"/>
      <c r="F3363" s="11"/>
      <c r="G3363" s="11"/>
      <c r="H3363" s="11"/>
      <c r="I3363" s="15"/>
    </row>
    <row r="3364" spans="1:9" ht="16.5">
      <c r="A3364" s="10" t="b">
        <v>0</v>
      </c>
      <c r="B3364" s="11" t="str">
        <f>IF(D3364&lt;&gt;"",IF(COUNTIF('USPTO TMs'!A:A,D3364)&gt;0,"Yes","No"),"")</f>
        <v/>
      </c>
      <c r="C3364" s="11"/>
      <c r="D3364" s="11"/>
      <c r="E3364" s="11"/>
      <c r="F3364" s="11"/>
      <c r="G3364" s="11"/>
      <c r="H3364" s="11"/>
      <c r="I3364" s="15"/>
    </row>
    <row r="3365" spans="1:9" ht="16.5">
      <c r="A3365" s="10" t="b">
        <v>0</v>
      </c>
      <c r="B3365" s="11" t="str">
        <f>IF(D3365&lt;&gt;"",IF(COUNTIF('USPTO TMs'!A:A,D3365)&gt;0,"Yes","No"),"")</f>
        <v/>
      </c>
      <c r="C3365" s="11"/>
      <c r="D3365" s="11"/>
      <c r="E3365" s="11"/>
      <c r="F3365" s="11"/>
      <c r="G3365" s="11"/>
      <c r="H3365" s="11"/>
      <c r="I3365" s="15"/>
    </row>
    <row r="3366" spans="1:9" ht="16.5">
      <c r="A3366" s="10" t="b">
        <v>0</v>
      </c>
      <c r="B3366" s="11" t="str">
        <f>IF(D3366&lt;&gt;"",IF(COUNTIF('USPTO TMs'!A:A,D3366)&gt;0,"Yes","No"),"")</f>
        <v/>
      </c>
      <c r="C3366" s="11"/>
      <c r="D3366" s="11"/>
      <c r="E3366" s="11"/>
      <c r="F3366" s="11"/>
      <c r="G3366" s="11"/>
      <c r="H3366" s="11"/>
      <c r="I3366" s="15"/>
    </row>
    <row r="3367" spans="1:9" ht="16.5">
      <c r="A3367" s="10" t="b">
        <v>0</v>
      </c>
      <c r="B3367" s="11" t="str">
        <f>IF(D3367&lt;&gt;"",IF(COUNTIF('USPTO TMs'!A:A,D3367)&gt;0,"Yes","No"),"")</f>
        <v/>
      </c>
      <c r="C3367" s="11"/>
      <c r="D3367" s="11"/>
      <c r="E3367" s="11"/>
      <c r="F3367" s="11"/>
      <c r="G3367" s="11"/>
      <c r="H3367" s="11"/>
      <c r="I3367" s="15"/>
    </row>
    <row r="3368" spans="1:9" ht="16.5">
      <c r="A3368" s="10" t="b">
        <v>0</v>
      </c>
      <c r="B3368" s="11" t="str">
        <f>IF(D3368&lt;&gt;"",IF(COUNTIF('USPTO TMs'!A:A,D3368)&gt;0,"Yes","No"),"")</f>
        <v/>
      </c>
      <c r="C3368" s="11"/>
      <c r="D3368" s="11"/>
      <c r="E3368" s="11"/>
      <c r="F3368" s="11"/>
      <c r="G3368" s="11"/>
      <c r="H3368" s="11"/>
      <c r="I3368" s="15"/>
    </row>
    <row r="3369" spans="1:9" ht="16.5">
      <c r="A3369" s="10" t="b">
        <v>0</v>
      </c>
      <c r="B3369" s="11" t="str">
        <f>IF(D3369&lt;&gt;"",IF(COUNTIF('USPTO TMs'!A:A,D3369)&gt;0,"Yes","No"),"")</f>
        <v/>
      </c>
      <c r="C3369" s="11"/>
      <c r="D3369" s="11"/>
      <c r="E3369" s="11"/>
      <c r="F3369" s="11"/>
      <c r="G3369" s="11"/>
      <c r="H3369" s="11"/>
      <c r="I3369" s="15"/>
    </row>
    <row r="3370" spans="1:9" ht="16.5">
      <c r="A3370" s="10" t="b">
        <v>0</v>
      </c>
      <c r="B3370" s="11" t="str">
        <f>IF(D3370&lt;&gt;"",IF(COUNTIF('USPTO TMs'!A:A,D3370)&gt;0,"Yes","No"),"")</f>
        <v/>
      </c>
      <c r="C3370" s="11"/>
      <c r="D3370" s="11"/>
      <c r="E3370" s="11"/>
      <c r="F3370" s="11"/>
      <c r="G3370" s="11"/>
      <c r="H3370" s="11"/>
      <c r="I3370" s="15"/>
    </row>
    <row r="3371" spans="1:9" ht="16.5">
      <c r="A3371" s="10" t="b">
        <v>0</v>
      </c>
      <c r="B3371" s="11" t="str">
        <f>IF(D3371&lt;&gt;"",IF(COUNTIF('USPTO TMs'!A:A,D3371)&gt;0,"Yes","No"),"")</f>
        <v/>
      </c>
      <c r="C3371" s="11"/>
      <c r="D3371" s="11"/>
      <c r="E3371" s="11"/>
      <c r="F3371" s="11"/>
      <c r="G3371" s="11"/>
      <c r="H3371" s="11"/>
      <c r="I3371" s="15"/>
    </row>
    <row r="3372" spans="1:9" ht="16.5">
      <c r="A3372" s="10" t="b">
        <v>0</v>
      </c>
      <c r="B3372" s="11" t="str">
        <f>IF(D3372&lt;&gt;"",IF(COUNTIF('USPTO TMs'!A:A,D3372)&gt;0,"Yes","No"),"")</f>
        <v/>
      </c>
      <c r="C3372" s="11"/>
      <c r="D3372" s="11"/>
      <c r="E3372" s="11"/>
      <c r="F3372" s="11"/>
      <c r="G3372" s="11"/>
      <c r="H3372" s="11"/>
      <c r="I3372" s="15"/>
    </row>
    <row r="3373" spans="1:9" ht="16.5">
      <c r="A3373" s="10" t="b">
        <v>0</v>
      </c>
      <c r="B3373" s="11" t="str">
        <f>IF(D3373&lt;&gt;"",IF(COUNTIF('USPTO TMs'!A:A,D3373)&gt;0,"Yes","No"),"")</f>
        <v/>
      </c>
      <c r="C3373" s="11"/>
      <c r="D3373" s="11"/>
      <c r="E3373" s="11"/>
      <c r="F3373" s="11"/>
      <c r="G3373" s="11"/>
      <c r="H3373" s="11"/>
      <c r="I3373" s="15"/>
    </row>
    <row r="3374" spans="1:9" ht="16.5">
      <c r="A3374" s="10" t="b">
        <v>0</v>
      </c>
      <c r="B3374" s="11" t="str">
        <f>IF(D3374&lt;&gt;"",IF(COUNTIF('USPTO TMs'!A:A,D3374)&gt;0,"Yes","No"),"")</f>
        <v/>
      </c>
      <c r="C3374" s="11"/>
      <c r="D3374" s="11"/>
      <c r="E3374" s="11"/>
      <c r="F3374" s="11"/>
      <c r="G3374" s="11"/>
      <c r="H3374" s="11"/>
      <c r="I3374" s="15"/>
    </row>
    <row r="3375" spans="1:9" ht="16.5">
      <c r="A3375" s="10" t="b">
        <v>0</v>
      </c>
      <c r="B3375" s="11" t="str">
        <f>IF(D3375&lt;&gt;"",IF(COUNTIF('USPTO TMs'!A:A,D3375)&gt;0,"Yes","No"),"")</f>
        <v/>
      </c>
      <c r="C3375" s="11"/>
      <c r="D3375" s="11"/>
      <c r="E3375" s="11"/>
      <c r="F3375" s="11"/>
      <c r="G3375" s="11"/>
      <c r="H3375" s="11"/>
      <c r="I3375" s="15"/>
    </row>
    <row r="3376" spans="1:9" ht="16.5">
      <c r="A3376" s="10" t="b">
        <v>0</v>
      </c>
      <c r="B3376" s="11" t="str">
        <f>IF(D3376&lt;&gt;"",IF(COUNTIF('USPTO TMs'!A:A,D3376)&gt;0,"Yes","No"),"")</f>
        <v/>
      </c>
      <c r="C3376" s="11"/>
      <c r="D3376" s="11"/>
      <c r="E3376" s="11"/>
      <c r="F3376" s="11"/>
      <c r="G3376" s="11"/>
      <c r="H3376" s="11"/>
      <c r="I3376" s="15"/>
    </row>
    <row r="3377" spans="1:9" ht="16.5">
      <c r="A3377" s="10" t="b">
        <v>0</v>
      </c>
      <c r="B3377" s="11" t="str">
        <f>IF(D3377&lt;&gt;"",IF(COUNTIF('USPTO TMs'!A:A,D3377)&gt;0,"Yes","No"),"")</f>
        <v/>
      </c>
      <c r="C3377" s="11"/>
      <c r="D3377" s="11"/>
      <c r="E3377" s="11"/>
      <c r="F3377" s="11"/>
      <c r="G3377" s="11"/>
      <c r="H3377" s="11"/>
      <c r="I3377" s="15"/>
    </row>
    <row r="3378" spans="1:9" ht="16.5">
      <c r="A3378" s="10" t="b">
        <v>0</v>
      </c>
      <c r="B3378" s="11" t="str">
        <f>IF(D3378&lt;&gt;"",IF(COUNTIF('USPTO TMs'!A:A,D3378)&gt;0,"Yes","No"),"")</f>
        <v/>
      </c>
      <c r="C3378" s="11"/>
      <c r="D3378" s="11"/>
      <c r="E3378" s="11"/>
      <c r="F3378" s="11"/>
      <c r="G3378" s="11"/>
      <c r="H3378" s="11"/>
      <c r="I3378" s="15"/>
    </row>
    <row r="3379" spans="1:9" ht="16.5">
      <c r="A3379" s="10" t="b">
        <v>0</v>
      </c>
      <c r="B3379" s="11" t="str">
        <f>IF(D3379&lt;&gt;"",IF(COUNTIF('USPTO TMs'!A:A,D3379)&gt;0,"Yes","No"),"")</f>
        <v/>
      </c>
      <c r="C3379" s="11"/>
      <c r="D3379" s="11"/>
      <c r="E3379" s="11"/>
      <c r="F3379" s="11"/>
      <c r="G3379" s="11"/>
      <c r="H3379" s="11"/>
      <c r="I3379" s="15"/>
    </row>
    <row r="3380" spans="1:9" ht="16.5">
      <c r="A3380" s="10" t="b">
        <v>0</v>
      </c>
      <c r="B3380" s="11" t="str">
        <f>IF(D3380&lt;&gt;"",IF(COUNTIF('USPTO TMs'!A:A,D3380)&gt;0,"Yes","No"),"")</f>
        <v/>
      </c>
      <c r="C3380" s="11"/>
      <c r="D3380" s="11"/>
      <c r="E3380" s="11"/>
      <c r="F3380" s="11"/>
      <c r="G3380" s="11"/>
      <c r="H3380" s="11"/>
      <c r="I3380" s="15"/>
    </row>
    <row r="3381" spans="1:9" ht="16.5">
      <c r="A3381" s="10" t="b">
        <v>0</v>
      </c>
      <c r="B3381" s="11" t="str">
        <f>IF(D3381&lt;&gt;"",IF(COUNTIF('USPTO TMs'!A:A,D3381)&gt;0,"Yes","No"),"")</f>
        <v/>
      </c>
      <c r="C3381" s="11"/>
      <c r="D3381" s="11"/>
      <c r="E3381" s="11"/>
      <c r="F3381" s="11"/>
      <c r="G3381" s="11"/>
      <c r="H3381" s="11"/>
      <c r="I3381" s="15"/>
    </row>
    <row r="3382" spans="1:9" ht="16.5">
      <c r="A3382" s="10" t="b">
        <v>0</v>
      </c>
      <c r="B3382" s="11" t="str">
        <f>IF(D3382&lt;&gt;"",IF(COUNTIF('USPTO TMs'!A:A,D3382)&gt;0,"Yes","No"),"")</f>
        <v/>
      </c>
      <c r="C3382" s="11"/>
      <c r="D3382" s="11"/>
      <c r="E3382" s="11"/>
      <c r="F3382" s="11"/>
      <c r="G3382" s="11"/>
      <c r="H3382" s="11"/>
      <c r="I3382" s="15"/>
    </row>
    <row r="3383" spans="1:9" ht="16.5">
      <c r="A3383" s="10" t="b">
        <v>0</v>
      </c>
      <c r="B3383" s="11" t="str">
        <f>IF(D3383&lt;&gt;"",IF(COUNTIF('USPTO TMs'!A:A,D3383)&gt;0,"Yes","No"),"")</f>
        <v/>
      </c>
      <c r="C3383" s="11"/>
      <c r="D3383" s="11"/>
      <c r="E3383" s="11"/>
      <c r="F3383" s="11"/>
      <c r="G3383" s="11"/>
      <c r="H3383" s="11"/>
      <c r="I3383" s="15"/>
    </row>
    <row r="3384" spans="1:9" ht="16.5">
      <c r="A3384" s="10" t="b">
        <v>0</v>
      </c>
      <c r="B3384" s="11" t="str">
        <f>IF(D3384&lt;&gt;"",IF(COUNTIF('USPTO TMs'!A:A,D3384)&gt;0,"Yes","No"),"")</f>
        <v/>
      </c>
      <c r="C3384" s="11"/>
      <c r="D3384" s="11"/>
      <c r="E3384" s="11"/>
      <c r="F3384" s="11"/>
      <c r="G3384" s="11"/>
      <c r="H3384" s="11"/>
      <c r="I3384" s="15"/>
    </row>
    <row r="3385" spans="1:9" ht="16.5">
      <c r="A3385" s="10" t="b">
        <v>0</v>
      </c>
      <c r="B3385" s="11" t="str">
        <f>IF(D3385&lt;&gt;"",IF(COUNTIF('USPTO TMs'!A:A,D3385)&gt;0,"Yes","No"),"")</f>
        <v/>
      </c>
      <c r="C3385" s="11"/>
      <c r="D3385" s="11"/>
      <c r="E3385" s="11"/>
      <c r="F3385" s="11"/>
      <c r="G3385" s="11"/>
      <c r="H3385" s="11"/>
      <c r="I3385" s="15"/>
    </row>
    <row r="3386" spans="1:9" ht="16.5">
      <c r="A3386" s="10" t="b">
        <v>0</v>
      </c>
      <c r="B3386" s="11" t="str">
        <f>IF(D3386&lt;&gt;"",IF(COUNTIF('USPTO TMs'!A:A,D3386)&gt;0,"Yes","No"),"")</f>
        <v/>
      </c>
      <c r="C3386" s="11"/>
      <c r="D3386" s="11"/>
      <c r="E3386" s="11"/>
      <c r="F3386" s="11"/>
      <c r="G3386" s="11"/>
      <c r="H3386" s="11"/>
      <c r="I3386" s="15"/>
    </row>
    <row r="3387" spans="1:9" ht="16.5">
      <c r="A3387" s="10" t="b">
        <v>0</v>
      </c>
      <c r="B3387" s="11" t="str">
        <f>IF(D3387&lt;&gt;"",IF(COUNTIF('USPTO TMs'!A:A,D3387)&gt;0,"Yes","No"),"")</f>
        <v/>
      </c>
      <c r="C3387" s="11"/>
      <c r="D3387" s="11"/>
      <c r="E3387" s="11"/>
      <c r="F3387" s="11"/>
      <c r="G3387" s="11"/>
      <c r="H3387" s="11"/>
      <c r="I3387" s="15"/>
    </row>
    <row r="3388" spans="1:9" ht="16.5">
      <c r="A3388" s="10" t="b">
        <v>0</v>
      </c>
      <c r="B3388" s="11" t="str">
        <f>IF(D3388&lt;&gt;"",IF(COUNTIF('USPTO TMs'!A:A,D3388)&gt;0,"Yes","No"),"")</f>
        <v/>
      </c>
      <c r="C3388" s="11"/>
      <c r="D3388" s="11"/>
      <c r="E3388" s="11"/>
      <c r="F3388" s="11"/>
      <c r="G3388" s="11"/>
      <c r="H3388" s="11"/>
      <c r="I3388" s="15"/>
    </row>
    <row r="3389" spans="1:9" ht="16.5">
      <c r="A3389" s="10" t="b">
        <v>0</v>
      </c>
      <c r="B3389" s="11" t="str">
        <f>IF(D3389&lt;&gt;"",IF(COUNTIF('USPTO TMs'!A:A,D3389)&gt;0,"Yes","No"),"")</f>
        <v/>
      </c>
      <c r="C3389" s="11"/>
      <c r="D3389" s="11"/>
      <c r="E3389" s="11"/>
      <c r="F3389" s="11"/>
      <c r="G3389" s="11"/>
      <c r="H3389" s="11"/>
      <c r="I3389" s="15"/>
    </row>
    <row r="3390" spans="1:9" ht="16.5">
      <c r="A3390" s="10" t="b">
        <v>0</v>
      </c>
      <c r="B3390" s="11" t="str">
        <f>IF(D3390&lt;&gt;"",IF(COUNTIF('USPTO TMs'!A:A,D3390)&gt;0,"Yes","No"),"")</f>
        <v/>
      </c>
      <c r="C3390" s="11"/>
      <c r="D3390" s="11"/>
      <c r="E3390" s="11"/>
      <c r="F3390" s="11"/>
      <c r="G3390" s="11"/>
      <c r="H3390" s="11"/>
      <c r="I3390" s="15"/>
    </row>
    <row r="3391" spans="1:9" ht="16.5">
      <c r="A3391" s="10" t="b">
        <v>0</v>
      </c>
      <c r="B3391" s="11" t="str">
        <f>IF(D3391&lt;&gt;"",IF(COUNTIF('USPTO TMs'!A:A,D3391)&gt;0,"Yes","No"),"")</f>
        <v/>
      </c>
      <c r="C3391" s="11"/>
      <c r="D3391" s="11"/>
      <c r="E3391" s="11"/>
      <c r="F3391" s="11"/>
      <c r="G3391" s="11"/>
      <c r="H3391" s="11"/>
      <c r="I3391" s="15"/>
    </row>
    <row r="3392" spans="1:9" ht="16.5">
      <c r="A3392" s="10" t="b">
        <v>0</v>
      </c>
      <c r="B3392" s="11" t="str">
        <f>IF(D3392&lt;&gt;"",IF(COUNTIF('USPTO TMs'!A:A,D3392)&gt;0,"Yes","No"),"")</f>
        <v/>
      </c>
      <c r="C3392" s="11"/>
      <c r="D3392" s="11"/>
      <c r="E3392" s="11"/>
      <c r="F3392" s="11"/>
      <c r="G3392" s="11"/>
      <c r="H3392" s="11"/>
      <c r="I3392" s="15"/>
    </row>
    <row r="3393" spans="1:9" ht="16.5">
      <c r="A3393" s="10" t="b">
        <v>0</v>
      </c>
      <c r="B3393" s="11" t="str">
        <f>IF(D3393&lt;&gt;"",IF(COUNTIF('USPTO TMs'!A:A,D3393)&gt;0,"Yes","No"),"")</f>
        <v/>
      </c>
      <c r="C3393" s="11"/>
      <c r="D3393" s="11"/>
      <c r="E3393" s="11"/>
      <c r="F3393" s="11"/>
      <c r="G3393" s="11"/>
      <c r="H3393" s="11"/>
      <c r="I3393" s="15"/>
    </row>
    <row r="3394" spans="1:9" ht="16.5">
      <c r="A3394" s="10" t="b">
        <v>0</v>
      </c>
      <c r="B3394" s="11" t="str">
        <f>IF(D3394&lt;&gt;"",IF(COUNTIF('USPTO TMs'!A:A,D3394)&gt;0,"Yes","No"),"")</f>
        <v/>
      </c>
      <c r="C3394" s="11"/>
      <c r="D3394" s="11"/>
      <c r="E3394" s="11"/>
      <c r="F3394" s="11"/>
      <c r="G3394" s="11"/>
      <c r="H3394" s="11"/>
      <c r="I3394" s="15"/>
    </row>
    <row r="3395" spans="1:9" ht="16.5">
      <c r="A3395" s="10" t="b">
        <v>0</v>
      </c>
      <c r="B3395" s="11" t="str">
        <f>IF(D3395&lt;&gt;"",IF(COUNTIF('USPTO TMs'!A:A,D3395)&gt;0,"Yes","No"),"")</f>
        <v/>
      </c>
      <c r="C3395" s="11"/>
      <c r="D3395" s="11"/>
      <c r="E3395" s="11"/>
      <c r="F3395" s="11"/>
      <c r="G3395" s="11"/>
      <c r="H3395" s="11"/>
      <c r="I3395" s="15"/>
    </row>
    <row r="3396" spans="1:9" ht="16.5">
      <c r="A3396" s="10" t="b">
        <v>0</v>
      </c>
      <c r="B3396" s="11" t="str">
        <f>IF(D3396&lt;&gt;"",IF(COUNTIF('USPTO TMs'!A:A,D3396)&gt;0,"Yes","No"),"")</f>
        <v/>
      </c>
      <c r="C3396" s="11"/>
      <c r="D3396" s="11"/>
      <c r="E3396" s="11"/>
      <c r="F3396" s="11"/>
      <c r="G3396" s="11"/>
      <c r="H3396" s="11"/>
      <c r="I3396" s="15"/>
    </row>
    <row r="3397" spans="1:9" ht="16.5">
      <c r="A3397" s="10" t="b">
        <v>0</v>
      </c>
      <c r="B3397" s="11" t="str">
        <f>IF(D3397&lt;&gt;"",IF(COUNTIF('USPTO TMs'!A:A,D3397)&gt;0,"Yes","No"),"")</f>
        <v/>
      </c>
      <c r="C3397" s="11"/>
      <c r="D3397" s="11"/>
      <c r="E3397" s="11"/>
      <c r="F3397" s="11"/>
      <c r="G3397" s="11"/>
      <c r="H3397" s="11"/>
      <c r="I3397" s="15"/>
    </row>
    <row r="3398" spans="1:9" ht="16.5">
      <c r="A3398" s="10" t="b">
        <v>0</v>
      </c>
      <c r="B3398" s="11" t="str">
        <f>IF(D3398&lt;&gt;"",IF(COUNTIF('USPTO TMs'!A:A,D3398)&gt;0,"Yes","No"),"")</f>
        <v/>
      </c>
      <c r="C3398" s="11"/>
      <c r="D3398" s="11"/>
      <c r="E3398" s="11"/>
      <c r="F3398" s="11"/>
      <c r="G3398" s="11"/>
      <c r="H3398" s="11"/>
      <c r="I3398" s="15"/>
    </row>
    <row r="3399" spans="1:9" ht="16.5">
      <c r="A3399" s="10" t="b">
        <v>0</v>
      </c>
      <c r="B3399" s="11" t="str">
        <f>IF(D3399&lt;&gt;"",IF(COUNTIF('USPTO TMs'!A:A,D3399)&gt;0,"Yes","No"),"")</f>
        <v/>
      </c>
      <c r="C3399" s="11"/>
      <c r="D3399" s="11"/>
      <c r="E3399" s="11"/>
      <c r="F3399" s="11"/>
      <c r="G3399" s="11"/>
      <c r="H3399" s="11"/>
      <c r="I3399" s="15"/>
    </row>
    <row r="3400" spans="1:9" ht="16.5">
      <c r="A3400" s="10" t="b">
        <v>0</v>
      </c>
      <c r="B3400" s="11" t="str">
        <f>IF(D3400&lt;&gt;"",IF(COUNTIF('USPTO TMs'!A:A,D3400)&gt;0,"Yes","No"),"")</f>
        <v/>
      </c>
      <c r="C3400" s="11"/>
      <c r="D3400" s="11"/>
      <c r="E3400" s="11"/>
      <c r="F3400" s="11"/>
      <c r="G3400" s="11"/>
      <c r="H3400" s="11"/>
      <c r="I3400" s="15"/>
    </row>
    <row r="3401" spans="1:9" ht="16.5">
      <c r="A3401" s="10" t="b">
        <v>0</v>
      </c>
      <c r="B3401" s="11" t="str">
        <f>IF(D3401&lt;&gt;"",IF(COUNTIF('USPTO TMs'!A:A,D3401)&gt;0,"Yes","No"),"")</f>
        <v/>
      </c>
      <c r="C3401" s="11"/>
      <c r="D3401" s="11"/>
      <c r="E3401" s="11"/>
      <c r="F3401" s="11"/>
      <c r="G3401" s="11"/>
      <c r="H3401" s="11"/>
      <c r="I3401" s="15"/>
    </row>
    <row r="3402" spans="1:9" ht="16.5">
      <c r="A3402" s="10" t="b">
        <v>0</v>
      </c>
      <c r="B3402" s="11" t="str">
        <f>IF(D3402&lt;&gt;"",IF(COUNTIF('USPTO TMs'!A:A,D3402)&gt;0,"Yes","No"),"")</f>
        <v/>
      </c>
      <c r="C3402" s="11"/>
      <c r="D3402" s="11"/>
      <c r="E3402" s="11"/>
      <c r="F3402" s="11"/>
      <c r="G3402" s="11"/>
      <c r="H3402" s="11"/>
      <c r="I3402" s="15"/>
    </row>
    <row r="3403" spans="1:9" ht="16.5">
      <c r="A3403" s="10" t="b">
        <v>0</v>
      </c>
      <c r="B3403" s="11" t="str">
        <f>IF(D3403&lt;&gt;"",IF(COUNTIF('USPTO TMs'!A:A,D3403)&gt;0,"Yes","No"),"")</f>
        <v/>
      </c>
      <c r="C3403" s="11"/>
      <c r="D3403" s="11"/>
      <c r="E3403" s="11"/>
      <c r="F3403" s="11"/>
      <c r="G3403" s="11"/>
      <c r="H3403" s="11"/>
      <c r="I3403" s="15"/>
    </row>
    <row r="3404" spans="1:9" ht="16.5">
      <c r="A3404" s="10" t="b">
        <v>0</v>
      </c>
      <c r="B3404" s="11" t="str">
        <f>IF(D3404&lt;&gt;"",IF(COUNTIF('USPTO TMs'!A:A,D3404)&gt;0,"Yes","No"),"")</f>
        <v/>
      </c>
      <c r="C3404" s="11"/>
      <c r="D3404" s="11"/>
      <c r="E3404" s="11"/>
      <c r="F3404" s="11"/>
      <c r="G3404" s="11"/>
      <c r="H3404" s="11"/>
      <c r="I3404" s="15"/>
    </row>
    <row r="3405" spans="1:9" ht="16.5">
      <c r="A3405" s="10" t="b">
        <v>0</v>
      </c>
      <c r="B3405" s="11" t="str">
        <f>IF(D3405&lt;&gt;"",IF(COUNTIF('USPTO TMs'!A:A,D3405)&gt;0,"Yes","No"),"")</f>
        <v/>
      </c>
      <c r="C3405" s="11"/>
      <c r="D3405" s="11"/>
      <c r="E3405" s="11"/>
      <c r="F3405" s="11"/>
      <c r="G3405" s="11"/>
      <c r="H3405" s="11"/>
      <c r="I3405" s="15"/>
    </row>
    <row r="3406" spans="1:9" ht="16.5">
      <c r="A3406" s="10" t="b">
        <v>0</v>
      </c>
      <c r="B3406" s="11" t="str">
        <f>IF(D3406&lt;&gt;"",IF(COUNTIF('USPTO TMs'!A:A,D3406)&gt;0,"Yes","No"),"")</f>
        <v/>
      </c>
      <c r="C3406" s="11"/>
      <c r="D3406" s="11"/>
      <c r="E3406" s="11"/>
      <c r="F3406" s="11"/>
      <c r="G3406" s="11"/>
      <c r="H3406" s="11"/>
      <c r="I3406" s="15"/>
    </row>
    <row r="3407" spans="1:9" ht="16.5">
      <c r="A3407" s="10" t="b">
        <v>0</v>
      </c>
      <c r="B3407" s="11" t="str">
        <f>IF(D3407&lt;&gt;"",IF(COUNTIF('USPTO TMs'!A:A,D3407)&gt;0,"Yes","No"),"")</f>
        <v/>
      </c>
      <c r="C3407" s="11"/>
      <c r="D3407" s="11"/>
      <c r="E3407" s="11"/>
      <c r="F3407" s="11"/>
      <c r="G3407" s="11"/>
      <c r="H3407" s="11"/>
      <c r="I3407" s="15"/>
    </row>
    <row r="3408" spans="1:9" ht="16.5">
      <c r="A3408" s="10" t="b">
        <v>0</v>
      </c>
      <c r="B3408" s="11" t="str">
        <f>IF(D3408&lt;&gt;"",IF(COUNTIF('USPTO TMs'!A:A,D3408)&gt;0,"Yes","No"),"")</f>
        <v/>
      </c>
      <c r="C3408" s="11"/>
      <c r="D3408" s="11"/>
      <c r="E3408" s="11"/>
      <c r="F3408" s="11"/>
      <c r="G3408" s="11"/>
      <c r="H3408" s="11"/>
      <c r="I3408" s="15"/>
    </row>
    <row r="3409" spans="1:9" ht="16.5">
      <c r="A3409" s="10" t="b">
        <v>0</v>
      </c>
      <c r="B3409" s="11" t="str">
        <f>IF(D3409&lt;&gt;"",IF(COUNTIF('USPTO TMs'!A:A,D3409)&gt;0,"Yes","No"),"")</f>
        <v/>
      </c>
      <c r="C3409" s="11"/>
      <c r="D3409" s="11"/>
      <c r="E3409" s="11"/>
      <c r="F3409" s="11"/>
      <c r="G3409" s="11"/>
      <c r="H3409" s="11"/>
      <c r="I3409" s="15"/>
    </row>
    <row r="3410" spans="1:9" ht="16.5">
      <c r="A3410" s="10" t="b">
        <v>0</v>
      </c>
      <c r="B3410" s="11" t="str">
        <f>IF(D3410&lt;&gt;"",IF(COUNTIF('USPTO TMs'!A:A,D3410)&gt;0,"Yes","No"),"")</f>
        <v/>
      </c>
      <c r="C3410" s="11"/>
      <c r="D3410" s="11"/>
      <c r="E3410" s="11"/>
      <c r="F3410" s="11"/>
      <c r="G3410" s="11"/>
      <c r="H3410" s="11"/>
      <c r="I3410" s="15"/>
    </row>
    <row r="3411" spans="1:9" ht="16.5">
      <c r="A3411" s="10" t="b">
        <v>0</v>
      </c>
      <c r="B3411" s="11" t="str">
        <f>IF(D3411&lt;&gt;"",IF(COUNTIF('USPTO TMs'!A:A,D3411)&gt;0,"Yes","No"),"")</f>
        <v/>
      </c>
      <c r="C3411" s="11"/>
      <c r="D3411" s="11"/>
      <c r="E3411" s="11"/>
      <c r="F3411" s="11"/>
      <c r="G3411" s="11"/>
      <c r="H3411" s="11"/>
      <c r="I3411" s="15"/>
    </row>
    <row r="3412" spans="1:9" ht="16.5">
      <c r="A3412" s="10" t="b">
        <v>0</v>
      </c>
      <c r="B3412" s="11" t="str">
        <f>IF(D3412&lt;&gt;"",IF(COUNTIF('USPTO TMs'!A:A,D3412)&gt;0,"Yes","No"),"")</f>
        <v/>
      </c>
      <c r="C3412" s="11"/>
      <c r="D3412" s="11"/>
      <c r="E3412" s="11"/>
      <c r="F3412" s="11"/>
      <c r="G3412" s="11"/>
      <c r="H3412" s="11"/>
      <c r="I3412" s="15"/>
    </row>
    <row r="3413" spans="1:9" ht="16.5">
      <c r="A3413" s="10" t="b">
        <v>0</v>
      </c>
      <c r="B3413" s="11" t="str">
        <f>IF(D3413&lt;&gt;"",IF(COUNTIF('USPTO TMs'!A:A,D3413)&gt;0,"Yes","No"),"")</f>
        <v/>
      </c>
      <c r="C3413" s="11"/>
      <c r="D3413" s="11"/>
      <c r="E3413" s="11"/>
      <c r="F3413" s="11"/>
      <c r="G3413" s="11"/>
      <c r="H3413" s="11"/>
      <c r="I3413" s="15"/>
    </row>
    <row r="3414" spans="1:9" ht="16.5">
      <c r="A3414" s="10" t="b">
        <v>0</v>
      </c>
      <c r="B3414" s="11" t="str">
        <f>IF(D3414&lt;&gt;"",IF(COUNTIF('USPTO TMs'!A:A,D3414)&gt;0,"Yes","No"),"")</f>
        <v/>
      </c>
      <c r="C3414" s="11"/>
      <c r="D3414" s="11"/>
      <c r="E3414" s="11"/>
      <c r="F3414" s="11"/>
      <c r="G3414" s="11"/>
      <c r="H3414" s="11"/>
      <c r="I3414" s="15"/>
    </row>
    <row r="3415" spans="1:9" ht="16.5">
      <c r="A3415" s="10" t="b">
        <v>0</v>
      </c>
      <c r="B3415" s="11" t="str">
        <f>IF(D3415&lt;&gt;"",IF(COUNTIF('USPTO TMs'!A:A,D3415)&gt;0,"Yes","No"),"")</f>
        <v/>
      </c>
      <c r="C3415" s="11"/>
      <c r="D3415" s="11"/>
      <c r="E3415" s="11"/>
      <c r="F3415" s="11"/>
      <c r="G3415" s="11"/>
      <c r="H3415" s="11"/>
      <c r="I3415" s="15"/>
    </row>
    <row r="3416" spans="1:9" ht="16.5">
      <c r="A3416" s="10" t="b">
        <v>0</v>
      </c>
      <c r="B3416" s="11" t="str">
        <f>IF(D3416&lt;&gt;"",IF(COUNTIF('USPTO TMs'!A:A,D3416)&gt;0,"Yes","No"),"")</f>
        <v/>
      </c>
      <c r="C3416" s="11"/>
      <c r="D3416" s="11"/>
      <c r="E3416" s="11"/>
      <c r="F3416" s="11"/>
      <c r="G3416" s="11"/>
      <c r="H3416" s="11"/>
      <c r="I3416" s="15"/>
    </row>
    <row r="3417" spans="1:9" ht="16.5">
      <c r="A3417" s="10" t="b">
        <v>0</v>
      </c>
      <c r="B3417" s="11" t="str">
        <f>IF(D3417&lt;&gt;"",IF(COUNTIF('USPTO TMs'!A:A,D3417)&gt;0,"Yes","No"),"")</f>
        <v/>
      </c>
      <c r="C3417" s="11"/>
      <c r="D3417" s="11"/>
      <c r="E3417" s="11"/>
      <c r="F3417" s="11"/>
      <c r="G3417" s="11"/>
      <c r="H3417" s="11"/>
      <c r="I3417" s="15"/>
    </row>
    <row r="3418" spans="1:9" ht="16.5">
      <c r="A3418" s="10" t="b">
        <v>0</v>
      </c>
      <c r="B3418" s="11" t="str">
        <f>IF(D3418&lt;&gt;"",IF(COUNTIF('USPTO TMs'!A:A,D3418)&gt;0,"Yes","No"),"")</f>
        <v/>
      </c>
      <c r="C3418" s="11"/>
      <c r="D3418" s="11"/>
      <c r="E3418" s="11"/>
      <c r="F3418" s="11"/>
      <c r="G3418" s="11"/>
      <c r="H3418" s="11"/>
      <c r="I3418" s="15"/>
    </row>
    <row r="3419" spans="1:9" ht="16.5">
      <c r="A3419" s="10" t="b">
        <v>0</v>
      </c>
      <c r="B3419" s="11" t="str">
        <f>IF(D3419&lt;&gt;"",IF(COUNTIF('USPTO TMs'!A:A,D3419)&gt;0,"Yes","No"),"")</f>
        <v/>
      </c>
      <c r="C3419" s="11"/>
      <c r="D3419" s="11"/>
      <c r="E3419" s="11"/>
      <c r="F3419" s="11"/>
      <c r="G3419" s="11"/>
      <c r="H3419" s="11"/>
      <c r="I3419" s="15"/>
    </row>
    <row r="3420" spans="1:9" ht="16.5">
      <c r="A3420" s="10" t="b">
        <v>0</v>
      </c>
      <c r="B3420" s="11" t="str">
        <f>IF(D3420&lt;&gt;"",IF(COUNTIF('USPTO TMs'!A:A,D3420)&gt;0,"Yes","No"),"")</f>
        <v/>
      </c>
      <c r="C3420" s="11"/>
      <c r="D3420" s="11"/>
      <c r="E3420" s="11"/>
      <c r="F3420" s="11"/>
      <c r="G3420" s="11"/>
      <c r="H3420" s="11"/>
      <c r="I3420" s="15"/>
    </row>
    <row r="3421" spans="1:9" ht="16.5">
      <c r="A3421" s="10" t="b">
        <v>0</v>
      </c>
      <c r="B3421" s="11" t="str">
        <f>IF(D3421&lt;&gt;"",IF(COUNTIF('USPTO TMs'!A:A,D3421)&gt;0,"Yes","No"),"")</f>
        <v/>
      </c>
      <c r="C3421" s="11"/>
      <c r="D3421" s="11"/>
      <c r="E3421" s="11"/>
      <c r="F3421" s="11"/>
      <c r="G3421" s="11"/>
      <c r="H3421" s="11"/>
      <c r="I3421" s="15"/>
    </row>
    <row r="3422" spans="1:9" ht="16.5">
      <c r="A3422" s="10" t="b">
        <v>0</v>
      </c>
      <c r="B3422" s="11" t="str">
        <f>IF(D3422&lt;&gt;"",IF(COUNTIF('USPTO TMs'!A:A,D3422)&gt;0,"Yes","No"),"")</f>
        <v/>
      </c>
      <c r="C3422" s="11"/>
      <c r="D3422" s="11"/>
      <c r="E3422" s="11"/>
      <c r="F3422" s="11"/>
      <c r="G3422" s="11"/>
      <c r="H3422" s="11"/>
      <c r="I3422" s="15"/>
    </row>
    <row r="3423" spans="1:9" ht="16.5">
      <c r="A3423" s="10" t="b">
        <v>0</v>
      </c>
      <c r="B3423" s="11" t="str">
        <f>IF(D3423&lt;&gt;"",IF(COUNTIF('USPTO TMs'!A:A,D3423)&gt;0,"Yes","No"),"")</f>
        <v/>
      </c>
      <c r="C3423" s="11"/>
      <c r="D3423" s="11"/>
      <c r="E3423" s="11"/>
      <c r="F3423" s="11"/>
      <c r="G3423" s="11"/>
      <c r="H3423" s="11"/>
      <c r="I3423" s="15"/>
    </row>
    <row r="3424" spans="1:9" ht="16.5">
      <c r="A3424" s="10" t="b">
        <v>0</v>
      </c>
      <c r="B3424" s="11" t="str">
        <f>IF(D3424&lt;&gt;"",IF(COUNTIF('USPTO TMs'!A:A,D3424)&gt;0,"Yes","No"),"")</f>
        <v/>
      </c>
      <c r="C3424" s="11"/>
      <c r="D3424" s="11"/>
      <c r="E3424" s="11"/>
      <c r="F3424" s="11"/>
      <c r="G3424" s="11"/>
      <c r="H3424" s="11"/>
      <c r="I3424" s="15"/>
    </row>
    <row r="3425" spans="1:9" ht="16.5">
      <c r="A3425" s="10" t="b">
        <v>0</v>
      </c>
      <c r="B3425" s="11" t="str">
        <f>IF(D3425&lt;&gt;"",IF(COUNTIF('USPTO TMs'!A:A,D3425)&gt;0,"Yes","No"),"")</f>
        <v/>
      </c>
      <c r="C3425" s="11"/>
      <c r="D3425" s="11"/>
      <c r="E3425" s="11"/>
      <c r="F3425" s="11"/>
      <c r="G3425" s="11"/>
      <c r="H3425" s="11"/>
      <c r="I3425" s="15"/>
    </row>
    <row r="3426" spans="1:9" ht="16.5">
      <c r="A3426" s="10" t="b">
        <v>0</v>
      </c>
      <c r="B3426" s="11" t="str">
        <f>IF(D3426&lt;&gt;"",IF(COUNTIF('USPTO TMs'!A:A,D3426)&gt;0,"Yes","No"),"")</f>
        <v/>
      </c>
      <c r="C3426" s="11"/>
      <c r="D3426" s="11"/>
      <c r="E3426" s="11"/>
      <c r="F3426" s="11"/>
      <c r="G3426" s="11"/>
      <c r="H3426" s="11"/>
      <c r="I3426" s="15"/>
    </row>
    <row r="3427" spans="1:9" ht="16.5">
      <c r="A3427" s="10" t="b">
        <v>0</v>
      </c>
      <c r="B3427" s="11" t="str">
        <f>IF(D3427&lt;&gt;"",IF(COUNTIF('USPTO TMs'!A:A,D3427)&gt;0,"Yes","No"),"")</f>
        <v/>
      </c>
      <c r="C3427" s="11"/>
      <c r="D3427" s="11"/>
      <c r="E3427" s="11"/>
      <c r="F3427" s="11"/>
      <c r="G3427" s="11"/>
      <c r="H3427" s="11"/>
      <c r="I3427" s="15"/>
    </row>
    <row r="3428" spans="1:9" ht="16.5">
      <c r="A3428" s="10" t="b">
        <v>0</v>
      </c>
      <c r="B3428" s="11" t="str">
        <f>IF(D3428&lt;&gt;"",IF(COUNTIF('USPTO TMs'!A:A,D3428)&gt;0,"Yes","No"),"")</f>
        <v/>
      </c>
      <c r="C3428" s="11"/>
      <c r="D3428" s="11"/>
      <c r="E3428" s="11"/>
      <c r="F3428" s="11"/>
      <c r="G3428" s="11"/>
      <c r="H3428" s="11"/>
      <c r="I3428" s="15"/>
    </row>
    <row r="3429" spans="1:9" ht="16.5">
      <c r="A3429" s="10" t="b">
        <v>0</v>
      </c>
      <c r="B3429" s="11" t="str">
        <f>IF(D3429&lt;&gt;"",IF(COUNTIF('USPTO TMs'!A:A,D3429)&gt;0,"Yes","No"),"")</f>
        <v/>
      </c>
      <c r="C3429" s="11"/>
      <c r="D3429" s="11"/>
      <c r="E3429" s="11"/>
      <c r="F3429" s="11"/>
      <c r="G3429" s="11"/>
      <c r="H3429" s="11"/>
      <c r="I3429" s="15"/>
    </row>
    <row r="3430" spans="1:9" ht="16.5">
      <c r="A3430" s="10" t="b">
        <v>0</v>
      </c>
      <c r="B3430" s="11" t="str">
        <f>IF(D3430&lt;&gt;"",IF(COUNTIF('USPTO TMs'!A:A,D3430)&gt;0,"Yes","No"),"")</f>
        <v/>
      </c>
      <c r="C3430" s="11"/>
      <c r="D3430" s="11"/>
      <c r="E3430" s="11"/>
      <c r="F3430" s="11"/>
      <c r="G3430" s="11"/>
      <c r="H3430" s="11"/>
      <c r="I3430" s="15"/>
    </row>
    <row r="3431" spans="1:9" ht="16.5">
      <c r="A3431" s="10" t="b">
        <v>0</v>
      </c>
      <c r="B3431" s="11" t="str">
        <f>IF(D3431&lt;&gt;"",IF(COUNTIF('USPTO TMs'!A:A,D3431)&gt;0,"Yes","No"),"")</f>
        <v/>
      </c>
      <c r="C3431" s="11"/>
      <c r="D3431" s="11"/>
      <c r="E3431" s="11"/>
      <c r="F3431" s="11"/>
      <c r="G3431" s="11"/>
      <c r="H3431" s="11"/>
      <c r="I3431" s="15"/>
    </row>
    <row r="3432" spans="1:9" ht="16.5">
      <c r="A3432" s="10" t="b">
        <v>0</v>
      </c>
      <c r="B3432" s="11" t="str">
        <f>IF(D3432&lt;&gt;"",IF(COUNTIF('USPTO TMs'!A:A,D3432)&gt;0,"Yes","No"),"")</f>
        <v/>
      </c>
      <c r="C3432" s="11"/>
      <c r="D3432" s="11"/>
      <c r="E3432" s="11"/>
      <c r="F3432" s="11"/>
      <c r="G3432" s="11"/>
      <c r="H3432" s="11"/>
      <c r="I3432" s="15"/>
    </row>
    <row r="3433" spans="1:9" ht="16.5">
      <c r="A3433" s="10" t="b">
        <v>0</v>
      </c>
      <c r="B3433" s="11" t="str">
        <f>IF(D3433&lt;&gt;"",IF(COUNTIF('USPTO TMs'!A:A,D3433)&gt;0,"Yes","No"),"")</f>
        <v/>
      </c>
      <c r="C3433" s="11"/>
      <c r="D3433" s="11"/>
      <c r="E3433" s="11"/>
      <c r="F3433" s="11"/>
      <c r="G3433" s="11"/>
      <c r="H3433" s="11"/>
      <c r="I3433" s="15"/>
    </row>
    <row r="3434" spans="1:9" ht="16.5">
      <c r="A3434" s="10" t="b">
        <v>0</v>
      </c>
      <c r="B3434" s="11" t="str">
        <f>IF(D3434&lt;&gt;"",IF(COUNTIF('USPTO TMs'!A:A,D3434)&gt;0,"Yes","No"),"")</f>
        <v/>
      </c>
      <c r="C3434" s="11"/>
      <c r="D3434" s="11"/>
      <c r="E3434" s="11"/>
      <c r="F3434" s="11"/>
      <c r="G3434" s="11"/>
      <c r="H3434" s="11"/>
      <c r="I3434" s="15"/>
    </row>
    <row r="3435" spans="1:9" ht="16.5">
      <c r="A3435" s="10" t="b">
        <v>0</v>
      </c>
      <c r="B3435" s="11" t="str">
        <f>IF(D3435&lt;&gt;"",IF(COUNTIF('USPTO TMs'!A:A,D3435)&gt;0,"Yes","No"),"")</f>
        <v/>
      </c>
      <c r="C3435" s="11"/>
      <c r="D3435" s="11"/>
      <c r="E3435" s="11"/>
      <c r="F3435" s="11"/>
      <c r="G3435" s="11"/>
      <c r="H3435" s="11"/>
      <c r="I3435" s="15"/>
    </row>
    <row r="3436" spans="1:9" ht="16.5">
      <c r="A3436" s="10" t="b">
        <v>0</v>
      </c>
      <c r="B3436" s="11" t="str">
        <f>IF(D3436&lt;&gt;"",IF(COUNTIF('USPTO TMs'!A:A,D3436)&gt;0,"Yes","No"),"")</f>
        <v/>
      </c>
      <c r="C3436" s="11"/>
      <c r="D3436" s="11"/>
      <c r="E3436" s="11"/>
      <c r="F3436" s="11"/>
      <c r="G3436" s="11"/>
      <c r="H3436" s="11"/>
      <c r="I3436" s="15"/>
    </row>
    <row r="3437" spans="1:9" ht="16.5">
      <c r="A3437" s="10" t="b">
        <v>0</v>
      </c>
      <c r="B3437" s="11" t="str">
        <f>IF(D3437&lt;&gt;"",IF(COUNTIF('USPTO TMs'!A:A,D3437)&gt;0,"Yes","No"),"")</f>
        <v/>
      </c>
      <c r="C3437" s="11"/>
      <c r="D3437" s="11"/>
      <c r="E3437" s="11"/>
      <c r="F3437" s="11"/>
      <c r="G3437" s="11"/>
      <c r="H3437" s="11"/>
      <c r="I3437" s="15"/>
    </row>
    <row r="3438" spans="1:9" ht="16.5">
      <c r="A3438" s="10" t="b">
        <v>0</v>
      </c>
      <c r="B3438" s="11" t="str">
        <f>IF(D3438&lt;&gt;"",IF(COUNTIF('USPTO TMs'!A:A,D3438)&gt;0,"Yes","No"),"")</f>
        <v/>
      </c>
      <c r="C3438" s="11"/>
      <c r="D3438" s="11"/>
      <c r="E3438" s="11"/>
      <c r="F3438" s="11"/>
      <c r="G3438" s="11"/>
      <c r="H3438" s="11"/>
      <c r="I3438" s="15"/>
    </row>
    <row r="3439" spans="1:9" ht="16.5">
      <c r="A3439" s="10" t="b">
        <v>0</v>
      </c>
      <c r="B3439" s="11" t="str">
        <f>IF(D3439&lt;&gt;"",IF(COUNTIF('USPTO TMs'!A:A,D3439)&gt;0,"Yes","No"),"")</f>
        <v/>
      </c>
      <c r="C3439" s="11"/>
      <c r="D3439" s="11"/>
      <c r="E3439" s="11"/>
      <c r="F3439" s="11"/>
      <c r="G3439" s="11"/>
      <c r="H3439" s="11"/>
      <c r="I3439" s="15"/>
    </row>
    <row r="3440" spans="1:9" ht="16.5">
      <c r="A3440" s="10" t="b">
        <v>0</v>
      </c>
      <c r="B3440" s="11" t="str">
        <f>IF(D3440&lt;&gt;"",IF(COUNTIF('USPTO TMs'!A:A,D3440)&gt;0,"Yes","No"),"")</f>
        <v/>
      </c>
      <c r="C3440" s="11"/>
      <c r="D3440" s="11"/>
      <c r="E3440" s="11"/>
      <c r="F3440" s="11"/>
      <c r="G3440" s="11"/>
      <c r="H3440" s="11"/>
      <c r="I3440" s="15"/>
    </row>
    <row r="3441" spans="1:9" ht="16.5">
      <c r="A3441" s="10" t="b">
        <v>0</v>
      </c>
      <c r="B3441" s="11" t="str">
        <f>IF(D3441&lt;&gt;"",IF(COUNTIF('USPTO TMs'!A:A,D3441)&gt;0,"Yes","No"),"")</f>
        <v/>
      </c>
      <c r="C3441" s="11"/>
      <c r="D3441" s="11"/>
      <c r="E3441" s="11"/>
      <c r="F3441" s="11"/>
      <c r="G3441" s="11"/>
      <c r="H3441" s="11"/>
      <c r="I3441" s="15"/>
    </row>
    <row r="3442" spans="1:9" ht="16.5">
      <c r="A3442" s="10" t="b">
        <v>0</v>
      </c>
      <c r="B3442" s="11" t="str">
        <f>IF(D3442&lt;&gt;"",IF(COUNTIF('USPTO TMs'!A:A,D3442)&gt;0,"Yes","No"),"")</f>
        <v/>
      </c>
      <c r="C3442" s="11"/>
      <c r="D3442" s="11"/>
      <c r="E3442" s="11"/>
      <c r="F3442" s="11"/>
      <c r="G3442" s="11"/>
      <c r="H3442" s="11"/>
      <c r="I3442" s="15"/>
    </row>
    <row r="3443" spans="1:9" ht="16.5">
      <c r="A3443" s="10" t="b">
        <v>0</v>
      </c>
      <c r="B3443" s="11" t="str">
        <f>IF(D3443&lt;&gt;"",IF(COUNTIF('USPTO TMs'!A:A,D3443)&gt;0,"Yes","No"),"")</f>
        <v/>
      </c>
      <c r="C3443" s="11"/>
      <c r="D3443" s="11"/>
      <c r="E3443" s="11"/>
      <c r="F3443" s="11"/>
      <c r="G3443" s="11"/>
      <c r="H3443" s="11"/>
      <c r="I3443" s="15"/>
    </row>
    <row r="3444" spans="1:9" ht="16.5">
      <c r="A3444" s="10" t="b">
        <v>0</v>
      </c>
      <c r="B3444" s="11" t="str">
        <f>IF(D3444&lt;&gt;"",IF(COUNTIF('USPTO TMs'!A:A,D3444)&gt;0,"Yes","No"),"")</f>
        <v/>
      </c>
      <c r="C3444" s="11"/>
      <c r="D3444" s="11"/>
      <c r="E3444" s="11"/>
      <c r="F3444" s="11"/>
      <c r="G3444" s="11"/>
      <c r="H3444" s="11"/>
      <c r="I3444" s="15"/>
    </row>
    <row r="3445" spans="1:9" ht="16.5">
      <c r="A3445" s="10" t="b">
        <v>0</v>
      </c>
      <c r="B3445" s="11" t="str">
        <f>IF(D3445&lt;&gt;"",IF(COUNTIF('USPTO TMs'!A:A,D3445)&gt;0,"Yes","No"),"")</f>
        <v/>
      </c>
      <c r="C3445" s="11"/>
      <c r="D3445" s="11"/>
      <c r="E3445" s="11"/>
      <c r="F3445" s="11"/>
      <c r="G3445" s="11"/>
      <c r="H3445" s="11"/>
      <c r="I3445" s="15"/>
    </row>
    <row r="3446" spans="1:9" ht="16.5">
      <c r="A3446" s="10" t="b">
        <v>0</v>
      </c>
      <c r="B3446" s="11" t="str">
        <f>IF(D3446&lt;&gt;"",IF(COUNTIF('USPTO TMs'!A:A,D3446)&gt;0,"Yes","No"),"")</f>
        <v/>
      </c>
      <c r="C3446" s="11"/>
      <c r="D3446" s="11"/>
      <c r="E3446" s="11"/>
      <c r="F3446" s="11"/>
      <c r="G3446" s="11"/>
      <c r="H3446" s="11"/>
      <c r="I3446" s="15"/>
    </row>
    <row r="3447" spans="1:9" ht="16.5">
      <c r="A3447" s="10" t="b">
        <v>0</v>
      </c>
      <c r="B3447" s="11" t="str">
        <f>IF(D3447&lt;&gt;"",IF(COUNTIF('USPTO TMs'!A:A,D3447)&gt;0,"Yes","No"),"")</f>
        <v/>
      </c>
      <c r="C3447" s="11"/>
      <c r="D3447" s="11"/>
      <c r="E3447" s="11"/>
      <c r="F3447" s="11"/>
      <c r="G3447" s="11"/>
      <c r="H3447" s="11"/>
      <c r="I3447" s="15"/>
    </row>
    <row r="3448" spans="1:9" ht="16.5">
      <c r="A3448" s="10" t="b">
        <v>0</v>
      </c>
      <c r="B3448" s="11" t="str">
        <f>IF(D3448&lt;&gt;"",IF(COUNTIF('USPTO TMs'!A:A,D3448)&gt;0,"Yes","No"),"")</f>
        <v/>
      </c>
      <c r="C3448" s="11"/>
      <c r="D3448" s="11"/>
      <c r="E3448" s="11"/>
      <c r="F3448" s="11"/>
      <c r="G3448" s="11"/>
      <c r="H3448" s="11"/>
      <c r="I3448" s="15"/>
    </row>
    <row r="3449" spans="1:9" ht="16.5">
      <c r="A3449" s="10" t="b">
        <v>0</v>
      </c>
      <c r="B3449" s="11" t="str">
        <f>IF(D3449&lt;&gt;"",IF(COUNTIF('USPTO TMs'!A:A,D3449)&gt;0,"Yes","No"),"")</f>
        <v/>
      </c>
      <c r="C3449" s="11"/>
      <c r="D3449" s="11"/>
      <c r="E3449" s="11"/>
      <c r="F3449" s="11"/>
      <c r="G3449" s="11"/>
      <c r="H3449" s="11"/>
      <c r="I3449" s="15"/>
    </row>
    <row r="3450" spans="1:9" ht="16.5">
      <c r="A3450" s="10" t="b">
        <v>0</v>
      </c>
      <c r="B3450" s="11" t="str">
        <f>IF(D3450&lt;&gt;"",IF(COUNTIF('USPTO TMs'!A:A,D3450)&gt;0,"Yes","No"),"")</f>
        <v/>
      </c>
      <c r="C3450" s="11"/>
      <c r="D3450" s="11"/>
      <c r="E3450" s="11"/>
      <c r="F3450" s="11"/>
      <c r="G3450" s="11"/>
      <c r="H3450" s="11"/>
      <c r="I3450" s="15"/>
    </row>
    <row r="3451" spans="1:9" ht="16.5">
      <c r="A3451" s="10" t="b">
        <v>0</v>
      </c>
      <c r="B3451" s="11" t="str">
        <f>IF(D3451&lt;&gt;"",IF(COUNTIF('USPTO TMs'!A:A,D3451)&gt;0,"Yes","No"),"")</f>
        <v/>
      </c>
      <c r="C3451" s="11"/>
      <c r="D3451" s="11"/>
      <c r="E3451" s="11"/>
      <c r="F3451" s="11"/>
      <c r="G3451" s="11"/>
      <c r="H3451" s="11"/>
      <c r="I3451" s="15"/>
    </row>
    <row r="3452" spans="1:9" ht="16.5">
      <c r="A3452" s="10" t="b">
        <v>0</v>
      </c>
      <c r="B3452" s="11" t="str">
        <f>IF(D3452&lt;&gt;"",IF(COUNTIF('USPTO TMs'!A:A,D3452)&gt;0,"Yes","No"),"")</f>
        <v/>
      </c>
      <c r="C3452" s="11"/>
      <c r="D3452" s="11"/>
      <c r="E3452" s="11"/>
      <c r="F3452" s="11"/>
      <c r="G3452" s="11"/>
      <c r="H3452" s="11"/>
      <c r="I3452" s="15"/>
    </row>
    <row r="3453" spans="1:9" ht="16.5">
      <c r="A3453" s="10" t="b">
        <v>0</v>
      </c>
      <c r="B3453" s="11" t="str">
        <f>IF(D3453&lt;&gt;"",IF(COUNTIF('USPTO TMs'!A:A,D3453)&gt;0,"Yes","No"),"")</f>
        <v/>
      </c>
      <c r="C3453" s="11"/>
      <c r="D3453" s="11"/>
      <c r="E3453" s="11"/>
      <c r="F3453" s="11"/>
      <c r="G3453" s="11"/>
      <c r="H3453" s="11"/>
      <c r="I3453" s="15"/>
    </row>
    <row r="3454" spans="1:9" ht="16.5">
      <c r="A3454" s="10" t="b">
        <v>0</v>
      </c>
      <c r="B3454" s="11" t="str">
        <f>IF(D3454&lt;&gt;"",IF(COUNTIF('USPTO TMs'!A:A,D3454)&gt;0,"Yes","No"),"")</f>
        <v/>
      </c>
      <c r="C3454" s="11"/>
      <c r="D3454" s="11"/>
      <c r="E3454" s="11"/>
      <c r="F3454" s="11"/>
      <c r="G3454" s="11"/>
      <c r="H3454" s="11"/>
      <c r="I3454" s="15"/>
    </row>
    <row r="3455" spans="1:9" ht="16.5">
      <c r="A3455" s="10" t="b">
        <v>0</v>
      </c>
      <c r="B3455" s="11" t="str">
        <f>IF(D3455&lt;&gt;"",IF(COUNTIF('USPTO TMs'!A:A,D3455)&gt;0,"Yes","No"),"")</f>
        <v/>
      </c>
      <c r="C3455" s="11"/>
      <c r="D3455" s="11"/>
      <c r="E3455" s="11"/>
      <c r="F3455" s="11"/>
      <c r="G3455" s="11"/>
      <c r="H3455" s="11"/>
      <c r="I3455" s="15"/>
    </row>
    <row r="3456" spans="1:9" ht="16.5">
      <c r="A3456" s="10" t="b">
        <v>0</v>
      </c>
      <c r="B3456" s="11" t="str">
        <f>IF(D3456&lt;&gt;"",IF(COUNTIF('USPTO TMs'!A:A,D3456)&gt;0,"Yes","No"),"")</f>
        <v/>
      </c>
      <c r="C3456" s="11"/>
      <c r="D3456" s="11"/>
      <c r="E3456" s="11"/>
      <c r="F3456" s="11"/>
      <c r="G3456" s="11"/>
      <c r="H3456" s="11"/>
      <c r="I3456" s="15"/>
    </row>
    <row r="3457" spans="1:9" ht="16.5">
      <c r="A3457" s="10" t="b">
        <v>0</v>
      </c>
      <c r="B3457" s="11" t="str">
        <f>IF(D3457&lt;&gt;"",IF(COUNTIF('USPTO TMs'!A:A,D3457)&gt;0,"Yes","No"),"")</f>
        <v/>
      </c>
      <c r="C3457" s="11"/>
      <c r="D3457" s="11"/>
      <c r="E3457" s="11"/>
      <c r="F3457" s="11"/>
      <c r="G3457" s="11"/>
      <c r="H3457" s="11"/>
      <c r="I3457" s="15"/>
    </row>
    <row r="3458" spans="1:9" ht="16.5">
      <c r="A3458" s="10" t="b">
        <v>0</v>
      </c>
      <c r="B3458" s="11" t="str">
        <f>IF(D3458&lt;&gt;"",IF(COUNTIF('USPTO TMs'!A:A,D3458)&gt;0,"Yes","No"),"")</f>
        <v/>
      </c>
      <c r="C3458" s="11"/>
      <c r="D3458" s="11"/>
      <c r="E3458" s="11"/>
      <c r="F3458" s="11"/>
      <c r="G3458" s="11"/>
      <c r="H3458" s="11"/>
      <c r="I3458" s="15"/>
    </row>
    <row r="3459" spans="1:9" ht="16.5">
      <c r="A3459" s="10" t="b">
        <v>0</v>
      </c>
      <c r="B3459" s="11" t="str">
        <f>IF(D3459&lt;&gt;"",IF(COUNTIF('USPTO TMs'!A:A,D3459)&gt;0,"Yes","No"),"")</f>
        <v/>
      </c>
      <c r="C3459" s="11"/>
      <c r="D3459" s="11"/>
      <c r="E3459" s="11"/>
      <c r="F3459" s="11"/>
      <c r="G3459" s="11"/>
      <c r="H3459" s="11"/>
      <c r="I3459" s="15"/>
    </row>
    <row r="3460" spans="1:9" ht="16.5">
      <c r="A3460" s="10" t="b">
        <v>0</v>
      </c>
      <c r="B3460" s="11" t="str">
        <f>IF(D3460&lt;&gt;"",IF(COUNTIF('USPTO TMs'!A:A,D3460)&gt;0,"Yes","No"),"")</f>
        <v/>
      </c>
      <c r="C3460" s="11"/>
      <c r="D3460" s="11"/>
      <c r="E3460" s="11"/>
      <c r="F3460" s="11"/>
      <c r="G3460" s="11"/>
      <c r="H3460" s="11"/>
      <c r="I3460" s="15"/>
    </row>
    <row r="3461" spans="1:9" ht="16.5">
      <c r="A3461" s="10" t="b">
        <v>0</v>
      </c>
      <c r="B3461" s="11" t="str">
        <f>IF(D3461&lt;&gt;"",IF(COUNTIF('USPTO TMs'!A:A,D3461)&gt;0,"Yes","No"),"")</f>
        <v/>
      </c>
      <c r="C3461" s="11"/>
      <c r="D3461" s="11"/>
      <c r="E3461" s="11"/>
      <c r="F3461" s="11"/>
      <c r="G3461" s="11"/>
      <c r="H3461" s="11"/>
      <c r="I3461" s="15"/>
    </row>
    <row r="3462" spans="1:9" ht="16.5">
      <c r="A3462" s="10" t="b">
        <v>0</v>
      </c>
      <c r="B3462" s="11" t="str">
        <f>IF(D3462&lt;&gt;"",IF(COUNTIF('USPTO TMs'!A:A,D3462)&gt;0,"Yes","No"),"")</f>
        <v/>
      </c>
      <c r="C3462" s="11"/>
      <c r="D3462" s="11"/>
      <c r="E3462" s="11"/>
      <c r="F3462" s="11"/>
      <c r="G3462" s="11"/>
      <c r="H3462" s="11"/>
      <c r="I3462" s="15"/>
    </row>
    <row r="3463" spans="1:9" ht="16.5">
      <c r="A3463" s="10" t="b">
        <v>0</v>
      </c>
      <c r="B3463" s="11" t="str">
        <f>IF(D3463&lt;&gt;"",IF(COUNTIF('USPTO TMs'!A:A,D3463)&gt;0,"Yes","No"),"")</f>
        <v/>
      </c>
      <c r="C3463" s="11"/>
      <c r="D3463" s="11"/>
      <c r="E3463" s="11"/>
      <c r="F3463" s="11"/>
      <c r="G3463" s="11"/>
      <c r="H3463" s="11"/>
      <c r="I3463" s="15"/>
    </row>
    <row r="3464" spans="1:9" ht="16.5">
      <c r="A3464" s="10" t="b">
        <v>0</v>
      </c>
      <c r="B3464" s="11" t="str">
        <f>IF(D3464&lt;&gt;"",IF(COUNTIF('USPTO TMs'!A:A,D3464)&gt;0,"Yes","No"),"")</f>
        <v/>
      </c>
      <c r="C3464" s="11"/>
      <c r="D3464" s="11"/>
      <c r="E3464" s="11"/>
      <c r="F3464" s="11"/>
      <c r="G3464" s="11"/>
      <c r="H3464" s="11"/>
      <c r="I3464" s="15"/>
    </row>
    <row r="3465" spans="1:9" ht="16.5">
      <c r="A3465" s="10" t="b">
        <v>0</v>
      </c>
      <c r="B3465" s="11" t="str">
        <f>IF(D3465&lt;&gt;"",IF(COUNTIF('USPTO TMs'!A:A,D3465)&gt;0,"Yes","No"),"")</f>
        <v/>
      </c>
      <c r="C3465" s="11"/>
      <c r="D3465" s="11"/>
      <c r="E3465" s="11"/>
      <c r="F3465" s="11"/>
      <c r="G3465" s="11"/>
      <c r="H3465" s="11"/>
      <c r="I3465" s="15"/>
    </row>
    <row r="3466" spans="1:9" ht="16.5">
      <c r="A3466" s="10" t="b">
        <v>0</v>
      </c>
      <c r="B3466" s="11" t="str">
        <f>IF(D3466&lt;&gt;"",IF(COUNTIF('USPTO TMs'!A:A,D3466)&gt;0,"Yes","No"),"")</f>
        <v/>
      </c>
      <c r="C3466" s="11"/>
      <c r="D3466" s="11"/>
      <c r="E3466" s="11"/>
      <c r="F3466" s="11"/>
      <c r="G3466" s="11"/>
      <c r="H3466" s="11"/>
      <c r="I3466" s="15"/>
    </row>
    <row r="3467" spans="1:9" ht="16.5">
      <c r="A3467" s="10" t="b">
        <v>0</v>
      </c>
      <c r="B3467" s="11" t="str">
        <f>IF(D3467&lt;&gt;"",IF(COUNTIF('USPTO TMs'!A:A,D3467)&gt;0,"Yes","No"),"")</f>
        <v/>
      </c>
      <c r="C3467" s="11"/>
      <c r="D3467" s="11"/>
      <c r="E3467" s="11"/>
      <c r="F3467" s="11"/>
      <c r="G3467" s="11"/>
      <c r="H3467" s="11"/>
      <c r="I3467" s="15"/>
    </row>
    <row r="3468" spans="1:9" ht="16.5">
      <c r="A3468" s="10" t="b">
        <v>0</v>
      </c>
      <c r="B3468" s="11" t="str">
        <f>IF(D3468&lt;&gt;"",IF(COUNTIF('USPTO TMs'!A:A,D3468)&gt;0,"Yes","No"),"")</f>
        <v/>
      </c>
      <c r="C3468" s="11"/>
      <c r="D3468" s="11"/>
      <c r="E3468" s="11"/>
      <c r="F3468" s="11"/>
      <c r="G3468" s="11"/>
      <c r="H3468" s="11"/>
      <c r="I3468" s="15"/>
    </row>
    <row r="3469" spans="1:9" ht="16.5">
      <c r="A3469" s="10" t="b">
        <v>0</v>
      </c>
      <c r="B3469" s="11" t="str">
        <f>IF(D3469&lt;&gt;"",IF(COUNTIF('USPTO TMs'!A:A,D3469)&gt;0,"Yes","No"),"")</f>
        <v/>
      </c>
      <c r="C3469" s="11"/>
      <c r="D3469" s="11"/>
      <c r="E3469" s="11"/>
      <c r="F3469" s="11"/>
      <c r="G3469" s="11"/>
      <c r="H3469" s="11"/>
      <c r="I3469" s="15"/>
    </row>
    <row r="3470" spans="1:9" ht="16.5">
      <c r="A3470" s="10" t="b">
        <v>0</v>
      </c>
      <c r="B3470" s="11" t="str">
        <f>IF(D3470&lt;&gt;"",IF(COUNTIF('USPTO TMs'!A:A,D3470)&gt;0,"Yes","No"),"")</f>
        <v/>
      </c>
      <c r="C3470" s="11"/>
      <c r="D3470" s="11"/>
      <c r="E3470" s="11"/>
      <c r="F3470" s="11"/>
      <c r="G3470" s="11"/>
      <c r="H3470" s="11"/>
      <c r="I3470" s="15"/>
    </row>
    <row r="3471" spans="1:9" ht="16.5">
      <c r="A3471" s="10" t="b">
        <v>0</v>
      </c>
      <c r="B3471" s="11" t="str">
        <f>IF(D3471&lt;&gt;"",IF(COUNTIF('USPTO TMs'!A:A,D3471)&gt;0,"Yes","No"),"")</f>
        <v/>
      </c>
      <c r="C3471" s="11"/>
      <c r="D3471" s="11"/>
      <c r="E3471" s="11"/>
      <c r="F3471" s="11"/>
      <c r="G3471" s="11"/>
      <c r="H3471" s="11"/>
      <c r="I3471" s="15"/>
    </row>
    <row r="3472" spans="1:9" ht="16.5">
      <c r="A3472" s="10" t="b">
        <v>0</v>
      </c>
      <c r="B3472" s="11" t="str">
        <f>IF(D3472&lt;&gt;"",IF(COUNTIF('USPTO TMs'!A:A,D3472)&gt;0,"Yes","No"),"")</f>
        <v/>
      </c>
      <c r="C3472" s="11"/>
      <c r="D3472" s="11"/>
      <c r="E3472" s="11"/>
      <c r="F3472" s="11"/>
      <c r="G3472" s="11"/>
      <c r="H3472" s="11"/>
      <c r="I3472" s="15"/>
    </row>
    <row r="3473" spans="1:9" ht="16.5">
      <c r="A3473" s="10" t="b">
        <v>0</v>
      </c>
      <c r="B3473" s="11" t="str">
        <f>IF(D3473&lt;&gt;"",IF(COUNTIF('USPTO TMs'!A:A,D3473)&gt;0,"Yes","No"),"")</f>
        <v/>
      </c>
      <c r="C3473" s="11"/>
      <c r="D3473" s="11"/>
      <c r="E3473" s="11"/>
      <c r="F3473" s="11"/>
      <c r="G3473" s="11"/>
      <c r="H3473" s="11"/>
      <c r="I3473" s="15"/>
    </row>
    <row r="3474" spans="1:9" ht="16.5">
      <c r="A3474" s="10" t="b">
        <v>0</v>
      </c>
      <c r="B3474" s="11" t="str">
        <f>IF(D3474&lt;&gt;"",IF(COUNTIF('USPTO TMs'!A:A,D3474)&gt;0,"Yes","No"),"")</f>
        <v/>
      </c>
      <c r="C3474" s="11"/>
      <c r="D3474" s="11"/>
      <c r="E3474" s="11"/>
      <c r="F3474" s="11"/>
      <c r="G3474" s="11"/>
      <c r="H3474" s="11"/>
      <c r="I3474" s="15"/>
    </row>
    <row r="3475" spans="1:9" ht="16.5">
      <c r="A3475" s="10" t="b">
        <v>0</v>
      </c>
      <c r="B3475" s="11" t="str">
        <f>IF(D3475&lt;&gt;"",IF(COUNTIF('USPTO TMs'!A:A,D3475)&gt;0,"Yes","No"),"")</f>
        <v/>
      </c>
      <c r="C3475" s="11"/>
      <c r="D3475" s="11"/>
      <c r="E3475" s="11"/>
      <c r="F3475" s="11"/>
      <c r="G3475" s="11"/>
      <c r="H3475" s="11"/>
      <c r="I3475" s="15"/>
    </row>
    <row r="3476" spans="1:9" ht="16.5">
      <c r="A3476" s="10" t="b">
        <v>0</v>
      </c>
      <c r="B3476" s="11" t="str">
        <f>IF(D3476&lt;&gt;"",IF(COUNTIF('USPTO TMs'!A:A,D3476)&gt;0,"Yes","No"),"")</f>
        <v/>
      </c>
      <c r="C3476" s="11"/>
      <c r="D3476" s="11"/>
      <c r="E3476" s="11"/>
      <c r="F3476" s="11"/>
      <c r="G3476" s="11"/>
      <c r="H3476" s="11"/>
      <c r="I3476" s="15"/>
    </row>
    <row r="3477" spans="1:9" ht="16.5">
      <c r="A3477" s="10" t="b">
        <v>0</v>
      </c>
      <c r="B3477" s="11" t="str">
        <f>IF(D3477&lt;&gt;"",IF(COUNTIF('USPTO TMs'!A:A,D3477)&gt;0,"Yes","No"),"")</f>
        <v/>
      </c>
      <c r="C3477" s="11"/>
      <c r="D3477" s="11"/>
      <c r="E3477" s="11"/>
      <c r="F3477" s="11"/>
      <c r="G3477" s="11"/>
      <c r="H3477" s="11"/>
      <c r="I3477" s="15"/>
    </row>
    <row r="3478" spans="1:9" ht="16.5">
      <c r="A3478" s="10" t="b">
        <v>0</v>
      </c>
      <c r="B3478" s="11" t="str">
        <f>IF(D3478&lt;&gt;"",IF(COUNTIF('USPTO TMs'!A:A,D3478)&gt;0,"Yes","No"),"")</f>
        <v/>
      </c>
      <c r="C3478" s="11"/>
      <c r="D3478" s="11"/>
      <c r="E3478" s="11"/>
      <c r="F3478" s="11"/>
      <c r="G3478" s="11"/>
      <c r="H3478" s="11"/>
      <c r="I3478" s="15"/>
    </row>
    <row r="3479" spans="1:9" ht="16.5">
      <c r="A3479" s="10" t="b">
        <v>0</v>
      </c>
      <c r="B3479" s="11" t="str">
        <f>IF(D3479&lt;&gt;"",IF(COUNTIF('USPTO TMs'!A:A,D3479)&gt;0,"Yes","No"),"")</f>
        <v/>
      </c>
      <c r="C3479" s="11"/>
      <c r="D3479" s="11"/>
      <c r="E3479" s="11"/>
      <c r="F3479" s="11"/>
      <c r="G3479" s="11"/>
      <c r="H3479" s="11"/>
      <c r="I3479" s="15"/>
    </row>
    <row r="3480" spans="1:9" ht="16.5">
      <c r="A3480" s="10" t="b">
        <v>0</v>
      </c>
      <c r="B3480" s="11" t="str">
        <f>IF(D3480&lt;&gt;"",IF(COUNTIF('USPTO TMs'!A:A,D3480)&gt;0,"Yes","No"),"")</f>
        <v/>
      </c>
      <c r="C3480" s="11"/>
      <c r="D3480" s="11"/>
      <c r="E3480" s="11"/>
      <c r="F3480" s="11"/>
      <c r="G3480" s="11"/>
      <c r="H3480" s="11"/>
      <c r="I3480" s="15"/>
    </row>
    <row r="3481" spans="1:9" ht="16.5">
      <c r="A3481" s="10" t="b">
        <v>0</v>
      </c>
      <c r="B3481" s="11" t="str">
        <f>IF(D3481&lt;&gt;"",IF(COUNTIF('USPTO TMs'!A:A,D3481)&gt;0,"Yes","No"),"")</f>
        <v/>
      </c>
      <c r="C3481" s="11"/>
      <c r="D3481" s="11"/>
      <c r="E3481" s="11"/>
      <c r="F3481" s="11"/>
      <c r="G3481" s="11"/>
      <c r="H3481" s="11"/>
      <c r="I3481" s="15"/>
    </row>
    <row r="3482" spans="1:9" ht="16.5">
      <c r="A3482" s="10" t="b">
        <v>0</v>
      </c>
      <c r="B3482" s="11" t="str">
        <f>IF(D3482&lt;&gt;"",IF(COUNTIF('USPTO TMs'!A:A,D3482)&gt;0,"Yes","No"),"")</f>
        <v/>
      </c>
      <c r="C3482" s="11"/>
      <c r="D3482" s="11"/>
      <c r="E3482" s="11"/>
      <c r="F3482" s="11"/>
      <c r="G3482" s="11"/>
      <c r="H3482" s="11"/>
      <c r="I3482" s="15"/>
    </row>
    <row r="3483" spans="1:9" ht="16.5">
      <c r="A3483" s="10" t="b">
        <v>0</v>
      </c>
      <c r="B3483" s="11" t="str">
        <f>IF(D3483&lt;&gt;"",IF(COUNTIF('USPTO TMs'!A:A,D3483)&gt;0,"Yes","No"),"")</f>
        <v/>
      </c>
      <c r="C3483" s="11"/>
      <c r="D3483" s="11"/>
      <c r="E3483" s="11"/>
      <c r="F3483" s="11"/>
      <c r="G3483" s="11"/>
      <c r="H3483" s="11"/>
      <c r="I3483" s="15"/>
    </row>
    <row r="3484" spans="1:9" ht="16.5">
      <c r="A3484" s="10" t="b">
        <v>0</v>
      </c>
      <c r="B3484" s="11" t="str">
        <f>IF(D3484&lt;&gt;"",IF(COUNTIF('USPTO TMs'!A:A,D3484)&gt;0,"Yes","No"),"")</f>
        <v/>
      </c>
      <c r="C3484" s="11"/>
      <c r="D3484" s="11"/>
      <c r="E3484" s="11"/>
      <c r="F3484" s="11"/>
      <c r="G3484" s="11"/>
      <c r="H3484" s="11"/>
      <c r="I3484" s="15"/>
    </row>
    <row r="3485" spans="1:9" ht="16.5">
      <c r="A3485" s="10" t="b">
        <v>0</v>
      </c>
      <c r="B3485" s="11" t="str">
        <f>IF(D3485&lt;&gt;"",IF(COUNTIF('USPTO TMs'!A:A,D3485)&gt;0,"Yes","No"),"")</f>
        <v/>
      </c>
      <c r="C3485" s="11"/>
      <c r="D3485" s="11"/>
      <c r="E3485" s="11"/>
      <c r="F3485" s="11"/>
      <c r="G3485" s="11"/>
      <c r="H3485" s="11"/>
      <c r="I3485" s="15"/>
    </row>
    <row r="3486" spans="1:9" ht="16.5">
      <c r="A3486" s="10" t="b">
        <v>0</v>
      </c>
      <c r="B3486" s="11" t="str">
        <f>IF(D3486&lt;&gt;"",IF(COUNTIF('USPTO TMs'!A:A,D3486)&gt;0,"Yes","No"),"")</f>
        <v/>
      </c>
      <c r="C3486" s="11"/>
      <c r="D3486" s="11"/>
      <c r="E3486" s="11"/>
      <c r="F3486" s="11"/>
      <c r="G3486" s="11"/>
      <c r="H3486" s="11"/>
      <c r="I3486" s="15"/>
    </row>
    <row r="3487" spans="1:9" ht="16.5">
      <c r="A3487" s="10" t="b">
        <v>0</v>
      </c>
      <c r="B3487" s="11" t="str">
        <f>IF(D3487&lt;&gt;"",IF(COUNTIF('USPTO TMs'!A:A,D3487)&gt;0,"Yes","No"),"")</f>
        <v/>
      </c>
      <c r="C3487" s="11"/>
      <c r="D3487" s="11"/>
      <c r="E3487" s="11"/>
      <c r="F3487" s="11"/>
      <c r="G3487" s="11"/>
      <c r="H3487" s="11"/>
      <c r="I3487" s="15"/>
    </row>
    <row r="3488" spans="1:9" ht="16.5">
      <c r="A3488" s="10" t="b">
        <v>0</v>
      </c>
      <c r="B3488" s="11" t="str">
        <f>IF(D3488&lt;&gt;"",IF(COUNTIF('USPTO TMs'!A:A,D3488)&gt;0,"Yes","No"),"")</f>
        <v/>
      </c>
      <c r="C3488" s="11"/>
      <c r="D3488" s="11"/>
      <c r="E3488" s="11"/>
      <c r="F3488" s="11"/>
      <c r="G3488" s="11"/>
      <c r="H3488" s="11"/>
      <c r="I3488" s="15"/>
    </row>
    <row r="3489" spans="1:9" ht="16.5">
      <c r="A3489" s="10" t="b">
        <v>0</v>
      </c>
      <c r="B3489" s="11" t="str">
        <f>IF(D3489&lt;&gt;"",IF(COUNTIF('USPTO TMs'!A:A,D3489)&gt;0,"Yes","No"),"")</f>
        <v/>
      </c>
      <c r="C3489" s="11"/>
      <c r="D3489" s="11"/>
      <c r="E3489" s="11"/>
      <c r="F3489" s="11"/>
      <c r="G3489" s="11"/>
      <c r="H3489" s="11"/>
      <c r="I3489" s="15"/>
    </row>
    <row r="3490" spans="1:9" ht="16.5">
      <c r="A3490" s="10" t="b">
        <v>0</v>
      </c>
      <c r="B3490" s="11" t="str">
        <f>IF(D3490&lt;&gt;"",IF(COUNTIF('USPTO TMs'!A:A,D3490)&gt;0,"Yes","No"),"")</f>
        <v/>
      </c>
      <c r="C3490" s="11"/>
      <c r="D3490" s="11"/>
      <c r="E3490" s="11"/>
      <c r="F3490" s="11"/>
      <c r="G3490" s="11"/>
      <c r="H3490" s="11"/>
      <c r="I3490" s="15"/>
    </row>
    <row r="3491" spans="1:9" ht="16.5">
      <c r="A3491" s="10" t="b">
        <v>0</v>
      </c>
      <c r="B3491" s="11" t="str">
        <f>IF(D3491&lt;&gt;"",IF(COUNTIF('USPTO TMs'!A:A,D3491)&gt;0,"Yes","No"),"")</f>
        <v/>
      </c>
      <c r="C3491" s="11"/>
      <c r="D3491" s="11"/>
      <c r="E3491" s="11"/>
      <c r="F3491" s="11"/>
      <c r="G3491" s="11"/>
      <c r="H3491" s="11"/>
      <c r="I3491" s="15"/>
    </row>
    <row r="3492" spans="1:9" ht="16.5">
      <c r="A3492" s="10" t="b">
        <v>0</v>
      </c>
      <c r="B3492" s="11" t="str">
        <f>IF(D3492&lt;&gt;"",IF(COUNTIF('USPTO TMs'!A:A,D3492)&gt;0,"Yes","No"),"")</f>
        <v/>
      </c>
      <c r="C3492" s="11"/>
      <c r="D3492" s="11"/>
      <c r="E3492" s="11"/>
      <c r="F3492" s="11"/>
      <c r="G3492" s="11"/>
      <c r="H3492" s="11"/>
      <c r="I3492" s="15"/>
    </row>
    <row r="3493" spans="1:9" ht="16.5">
      <c r="A3493" s="10" t="b">
        <v>0</v>
      </c>
      <c r="B3493" s="11" t="str">
        <f>IF(D3493&lt;&gt;"",IF(COUNTIF('USPTO TMs'!A:A,D3493)&gt;0,"Yes","No"),"")</f>
        <v/>
      </c>
      <c r="C3493" s="11"/>
      <c r="D3493" s="11"/>
      <c r="E3493" s="11"/>
      <c r="F3493" s="11"/>
      <c r="G3493" s="11"/>
      <c r="H3493" s="11"/>
      <c r="I3493" s="15"/>
    </row>
    <row r="3494" spans="1:9" ht="16.5">
      <c r="A3494" s="10" t="b">
        <v>0</v>
      </c>
      <c r="B3494" s="11" t="str">
        <f>IF(D3494&lt;&gt;"",IF(COUNTIF('USPTO TMs'!A:A,D3494)&gt;0,"Yes","No"),"")</f>
        <v/>
      </c>
      <c r="C3494" s="11"/>
      <c r="D3494" s="11"/>
      <c r="E3494" s="11"/>
      <c r="F3494" s="11"/>
      <c r="G3494" s="11"/>
      <c r="H3494" s="11"/>
      <c r="I3494" s="15"/>
    </row>
    <row r="3495" spans="1:9" ht="16.5">
      <c r="A3495" s="10" t="b">
        <v>0</v>
      </c>
      <c r="B3495" s="11" t="str">
        <f>IF(D3495&lt;&gt;"",IF(COUNTIF('USPTO TMs'!A:A,D3495)&gt;0,"Yes","No"),"")</f>
        <v/>
      </c>
      <c r="C3495" s="11"/>
      <c r="D3495" s="11"/>
      <c r="E3495" s="11"/>
      <c r="F3495" s="11"/>
      <c r="G3495" s="11"/>
      <c r="H3495" s="11"/>
      <c r="I3495" s="15"/>
    </row>
    <row r="3496" spans="1:9" ht="16.5">
      <c r="A3496" s="10" t="b">
        <v>0</v>
      </c>
      <c r="B3496" s="11" t="str">
        <f>IF(D3496&lt;&gt;"",IF(COUNTIF('USPTO TMs'!A:A,D3496)&gt;0,"Yes","No"),"")</f>
        <v/>
      </c>
      <c r="C3496" s="11"/>
      <c r="D3496" s="11"/>
      <c r="E3496" s="11"/>
      <c r="F3496" s="11"/>
      <c r="G3496" s="11"/>
      <c r="H3496" s="11"/>
      <c r="I3496" s="15"/>
    </row>
    <row r="3497" spans="1:9" ht="16.5">
      <c r="A3497" s="10" t="b">
        <v>0</v>
      </c>
      <c r="B3497" s="11" t="str">
        <f>IF(D3497&lt;&gt;"",IF(COUNTIF('USPTO TMs'!A:A,D3497)&gt;0,"Yes","No"),"")</f>
        <v/>
      </c>
      <c r="C3497" s="11"/>
      <c r="D3497" s="11"/>
      <c r="E3497" s="11"/>
      <c r="F3497" s="11"/>
      <c r="G3497" s="11"/>
      <c r="H3497" s="11"/>
      <c r="I3497" s="15"/>
    </row>
    <row r="3498" spans="1:9" ht="16.5">
      <c r="A3498" s="10" t="b">
        <v>0</v>
      </c>
      <c r="B3498" s="11" t="str">
        <f>IF(D3498&lt;&gt;"",IF(COUNTIF('USPTO TMs'!A:A,D3498)&gt;0,"Yes","No"),"")</f>
        <v/>
      </c>
      <c r="C3498" s="11"/>
      <c r="D3498" s="11"/>
      <c r="E3498" s="11"/>
      <c r="F3498" s="11"/>
      <c r="G3498" s="11"/>
      <c r="H3498" s="11"/>
      <c r="I3498" s="15"/>
    </row>
    <row r="3499" spans="1:9" ht="16.5">
      <c r="A3499" s="10" t="b">
        <v>0</v>
      </c>
      <c r="B3499" s="11" t="str">
        <f>IF(D3499&lt;&gt;"",IF(COUNTIF('USPTO TMs'!A:A,D3499)&gt;0,"Yes","No"),"")</f>
        <v/>
      </c>
      <c r="C3499" s="11"/>
      <c r="D3499" s="11"/>
      <c r="E3499" s="11"/>
      <c r="F3499" s="11"/>
      <c r="G3499" s="11"/>
      <c r="H3499" s="11"/>
      <c r="I3499" s="15"/>
    </row>
    <row r="3500" spans="1:9" ht="16.5">
      <c r="A3500" s="10" t="b">
        <v>0</v>
      </c>
      <c r="B3500" s="11" t="str">
        <f>IF(D3500&lt;&gt;"",IF(COUNTIF('USPTO TMs'!A:A,D3500)&gt;0,"Yes","No"),"")</f>
        <v/>
      </c>
      <c r="C3500" s="11"/>
      <c r="D3500" s="11"/>
      <c r="E3500" s="11"/>
      <c r="F3500" s="11"/>
      <c r="G3500" s="11"/>
      <c r="H3500" s="11"/>
      <c r="I3500" s="15"/>
    </row>
    <row r="3501" spans="1:9" ht="16.5">
      <c r="A3501" s="10" t="b">
        <v>0</v>
      </c>
      <c r="B3501" s="11" t="str">
        <f>IF(D3501&lt;&gt;"",IF(COUNTIF('USPTO TMs'!A:A,D3501)&gt;0,"Yes","No"),"")</f>
        <v/>
      </c>
      <c r="C3501" s="11"/>
      <c r="D3501" s="11"/>
      <c r="E3501" s="11"/>
      <c r="F3501" s="11"/>
      <c r="G3501" s="11"/>
      <c r="H3501" s="11"/>
      <c r="I3501" s="15"/>
    </row>
    <row r="3502" spans="1:9" ht="16.5">
      <c r="A3502" s="10" t="b">
        <v>0</v>
      </c>
      <c r="B3502" s="11" t="str">
        <f>IF(D3502&lt;&gt;"",IF(COUNTIF('USPTO TMs'!A:A,D3502)&gt;0,"Yes","No"),"")</f>
        <v/>
      </c>
      <c r="C3502" s="11"/>
      <c r="D3502" s="11"/>
      <c r="E3502" s="11"/>
      <c r="F3502" s="11"/>
      <c r="G3502" s="11"/>
      <c r="H3502" s="11"/>
      <c r="I3502" s="15"/>
    </row>
    <row r="3503" spans="1:9" ht="16.5">
      <c r="A3503" s="10" t="b">
        <v>0</v>
      </c>
      <c r="B3503" s="11" t="str">
        <f>IF(D3503&lt;&gt;"",IF(COUNTIF('USPTO TMs'!A:A,D3503)&gt;0,"Yes","No"),"")</f>
        <v/>
      </c>
      <c r="C3503" s="11"/>
      <c r="D3503" s="11"/>
      <c r="E3503" s="11"/>
      <c r="F3503" s="11"/>
      <c r="G3503" s="11"/>
      <c r="H3503" s="11"/>
      <c r="I3503" s="15"/>
    </row>
    <row r="3504" spans="1:9" ht="16.5">
      <c r="A3504" s="10" t="b">
        <v>0</v>
      </c>
      <c r="B3504" s="11" t="str">
        <f>IF(D3504&lt;&gt;"",IF(COUNTIF('USPTO TMs'!A:A,D3504)&gt;0,"Yes","No"),"")</f>
        <v/>
      </c>
      <c r="C3504" s="11"/>
      <c r="D3504" s="11"/>
      <c r="E3504" s="11"/>
      <c r="F3504" s="11"/>
      <c r="G3504" s="11"/>
      <c r="H3504" s="11"/>
      <c r="I3504" s="15"/>
    </row>
    <row r="3505" spans="1:9" ht="16.5">
      <c r="A3505" s="10" t="b">
        <v>0</v>
      </c>
      <c r="B3505" s="11" t="str">
        <f>IF(D3505&lt;&gt;"",IF(COUNTIF('USPTO TMs'!A:A,D3505)&gt;0,"Yes","No"),"")</f>
        <v/>
      </c>
      <c r="C3505" s="11"/>
      <c r="D3505" s="11"/>
      <c r="E3505" s="11"/>
      <c r="F3505" s="11"/>
      <c r="G3505" s="11"/>
      <c r="H3505" s="11"/>
      <c r="I3505" s="15"/>
    </row>
    <row r="3506" spans="1:9" ht="16.5">
      <c r="A3506" s="10" t="b">
        <v>0</v>
      </c>
      <c r="B3506" s="11" t="str">
        <f>IF(D3506&lt;&gt;"",IF(COUNTIF('USPTO TMs'!A:A,D3506)&gt;0,"Yes","No"),"")</f>
        <v/>
      </c>
      <c r="C3506" s="11"/>
      <c r="D3506" s="11"/>
      <c r="E3506" s="11"/>
      <c r="F3506" s="11"/>
      <c r="G3506" s="11"/>
      <c r="H3506" s="11"/>
      <c r="I3506" s="15"/>
    </row>
    <row r="3507" spans="1:9" ht="16.5">
      <c r="A3507" s="10" t="b">
        <v>0</v>
      </c>
      <c r="B3507" s="11" t="str">
        <f>IF(D3507&lt;&gt;"",IF(COUNTIF('USPTO TMs'!A:A,D3507)&gt;0,"Yes","No"),"")</f>
        <v/>
      </c>
      <c r="C3507" s="11"/>
      <c r="D3507" s="11"/>
      <c r="E3507" s="11"/>
      <c r="F3507" s="11"/>
      <c r="G3507" s="11"/>
      <c r="H3507" s="11"/>
      <c r="I3507" s="15"/>
    </row>
    <row r="3508" spans="1:9" ht="16.5">
      <c r="A3508" s="10" t="b">
        <v>0</v>
      </c>
      <c r="B3508" s="11" t="str">
        <f>IF(D3508&lt;&gt;"",IF(COUNTIF('USPTO TMs'!A:A,D3508)&gt;0,"Yes","No"),"")</f>
        <v/>
      </c>
      <c r="C3508" s="11"/>
      <c r="D3508" s="11"/>
      <c r="E3508" s="11"/>
      <c r="F3508" s="11"/>
      <c r="G3508" s="11"/>
      <c r="H3508" s="11"/>
      <c r="I3508" s="15"/>
    </row>
    <row r="3509" spans="1:9" ht="16.5">
      <c r="A3509" s="10" t="b">
        <v>0</v>
      </c>
      <c r="B3509" s="11" t="str">
        <f>IF(D3509&lt;&gt;"",IF(COUNTIF('USPTO TMs'!A:A,D3509)&gt;0,"Yes","No"),"")</f>
        <v/>
      </c>
      <c r="C3509" s="11"/>
      <c r="D3509" s="11"/>
      <c r="E3509" s="11"/>
      <c r="F3509" s="11"/>
      <c r="G3509" s="11"/>
      <c r="H3509" s="11"/>
      <c r="I3509" s="15"/>
    </row>
    <row r="3510" spans="1:9" ht="16.5">
      <c r="A3510" s="10" t="b">
        <v>0</v>
      </c>
      <c r="B3510" s="11" t="str">
        <f>IF(D3510&lt;&gt;"",IF(COUNTIF('USPTO TMs'!A:A,D3510)&gt;0,"Yes","No"),"")</f>
        <v/>
      </c>
      <c r="C3510" s="11"/>
      <c r="D3510" s="11"/>
      <c r="E3510" s="11"/>
      <c r="F3510" s="11"/>
      <c r="G3510" s="11"/>
      <c r="H3510" s="11"/>
      <c r="I3510" s="15"/>
    </row>
    <row r="3511" spans="1:9" ht="16.5">
      <c r="A3511" s="10" t="b">
        <v>0</v>
      </c>
      <c r="B3511" s="11" t="str">
        <f>IF(D3511&lt;&gt;"",IF(COUNTIF('USPTO TMs'!A:A,D3511)&gt;0,"Yes","No"),"")</f>
        <v/>
      </c>
      <c r="C3511" s="11"/>
      <c r="D3511" s="11"/>
      <c r="E3511" s="11"/>
      <c r="F3511" s="11"/>
      <c r="G3511" s="11"/>
      <c r="H3511" s="11"/>
      <c r="I3511" s="15"/>
    </row>
    <row r="3512" spans="1:9" ht="16.5">
      <c r="A3512" s="10" t="b">
        <v>0</v>
      </c>
      <c r="B3512" s="11" t="str">
        <f>IF(D3512&lt;&gt;"",IF(COUNTIF('USPTO TMs'!A:A,D3512)&gt;0,"Yes","No"),"")</f>
        <v/>
      </c>
      <c r="C3512" s="11"/>
      <c r="D3512" s="11"/>
      <c r="E3512" s="11"/>
      <c r="F3512" s="11"/>
      <c r="G3512" s="11"/>
      <c r="H3512" s="11"/>
      <c r="I3512" s="15"/>
    </row>
    <row r="3513" spans="1:9" ht="16.5">
      <c r="A3513" s="10" t="b">
        <v>0</v>
      </c>
      <c r="B3513" s="11" t="str">
        <f>IF(D3513&lt;&gt;"",IF(COUNTIF('USPTO TMs'!A:A,D3513)&gt;0,"Yes","No"),"")</f>
        <v/>
      </c>
      <c r="C3513" s="11"/>
      <c r="D3513" s="11"/>
      <c r="E3513" s="11"/>
      <c r="F3513" s="11"/>
      <c r="G3513" s="11"/>
      <c r="H3513" s="11"/>
      <c r="I3513" s="15"/>
    </row>
    <row r="3514" spans="1:9" ht="16.5">
      <c r="A3514" s="10" t="b">
        <v>0</v>
      </c>
      <c r="B3514" s="11" t="str">
        <f>IF(D3514&lt;&gt;"",IF(COUNTIF('USPTO TMs'!A:A,D3514)&gt;0,"Yes","No"),"")</f>
        <v/>
      </c>
      <c r="C3514" s="11"/>
      <c r="D3514" s="11"/>
      <c r="E3514" s="11"/>
      <c r="F3514" s="11"/>
      <c r="G3514" s="11"/>
      <c r="H3514" s="11"/>
      <c r="I3514" s="15"/>
    </row>
    <row r="3515" spans="1:9" ht="16.5">
      <c r="A3515" s="10" t="b">
        <v>0</v>
      </c>
      <c r="B3515" s="11" t="str">
        <f>IF(D3515&lt;&gt;"",IF(COUNTIF('USPTO TMs'!A:A,D3515)&gt;0,"Yes","No"),"")</f>
        <v/>
      </c>
      <c r="C3515" s="11"/>
      <c r="D3515" s="11"/>
      <c r="E3515" s="11"/>
      <c r="F3515" s="11"/>
      <c r="G3515" s="11"/>
      <c r="H3515" s="11"/>
      <c r="I3515" s="15"/>
    </row>
    <row r="3516" spans="1:9" ht="16.5">
      <c r="A3516" s="10" t="b">
        <v>0</v>
      </c>
      <c r="B3516" s="11" t="str">
        <f>IF(D3516&lt;&gt;"",IF(COUNTIF('USPTO TMs'!A:A,D3516)&gt;0,"Yes","No"),"")</f>
        <v/>
      </c>
      <c r="C3516" s="11"/>
      <c r="D3516" s="11"/>
      <c r="E3516" s="11"/>
      <c r="F3516" s="11"/>
      <c r="G3516" s="11"/>
      <c r="H3516" s="11"/>
      <c r="I3516" s="15"/>
    </row>
    <row r="3517" spans="1:9" ht="16.5">
      <c r="A3517" s="10" t="b">
        <v>0</v>
      </c>
      <c r="B3517" s="11" t="str">
        <f>IF(D3517&lt;&gt;"",IF(COUNTIF('USPTO TMs'!A:A,D3517)&gt;0,"Yes","No"),"")</f>
        <v/>
      </c>
      <c r="C3517" s="11"/>
      <c r="D3517" s="11"/>
      <c r="E3517" s="11"/>
      <c r="F3517" s="11"/>
      <c r="G3517" s="11"/>
      <c r="H3517" s="11"/>
      <c r="I3517" s="15"/>
    </row>
    <row r="3518" spans="1:9" ht="16.5">
      <c r="A3518" s="10" t="b">
        <v>0</v>
      </c>
      <c r="B3518" s="11" t="str">
        <f>IF(D3518&lt;&gt;"",IF(COUNTIF('USPTO TMs'!A:A,D3518)&gt;0,"Yes","No"),"")</f>
        <v/>
      </c>
      <c r="C3518" s="11"/>
      <c r="D3518" s="11"/>
      <c r="E3518" s="11"/>
      <c r="F3518" s="11"/>
      <c r="G3518" s="11"/>
      <c r="H3518" s="11"/>
      <c r="I3518" s="15"/>
    </row>
    <row r="3519" spans="1:9" ht="16.5">
      <c r="A3519" s="10" t="b">
        <v>0</v>
      </c>
      <c r="B3519" s="11" t="str">
        <f>IF(D3519&lt;&gt;"",IF(COUNTIF('USPTO TMs'!A:A,D3519)&gt;0,"Yes","No"),"")</f>
        <v/>
      </c>
      <c r="C3519" s="11"/>
      <c r="D3519" s="11"/>
      <c r="E3519" s="11"/>
      <c r="F3519" s="11"/>
      <c r="G3519" s="11"/>
      <c r="H3519" s="11"/>
      <c r="I3519" s="15"/>
    </row>
    <row r="3520" spans="1:9" ht="16.5">
      <c r="A3520" s="10" t="b">
        <v>0</v>
      </c>
      <c r="B3520" s="11" t="str">
        <f>IF(D3520&lt;&gt;"",IF(COUNTIF('USPTO TMs'!A:A,D3520)&gt;0,"Yes","No"),"")</f>
        <v/>
      </c>
      <c r="C3520" s="11"/>
      <c r="D3520" s="11"/>
      <c r="E3520" s="11"/>
      <c r="F3520" s="11"/>
      <c r="G3520" s="11"/>
      <c r="H3520" s="11"/>
      <c r="I3520" s="15"/>
    </row>
    <row r="3521" spans="1:9" ht="16.5">
      <c r="A3521" s="10" t="b">
        <v>0</v>
      </c>
      <c r="B3521" s="11" t="str">
        <f>IF(D3521&lt;&gt;"",IF(COUNTIF('USPTO TMs'!A:A,D3521)&gt;0,"Yes","No"),"")</f>
        <v/>
      </c>
      <c r="C3521" s="11"/>
      <c r="D3521" s="11"/>
      <c r="E3521" s="11"/>
      <c r="F3521" s="11"/>
      <c r="G3521" s="11"/>
      <c r="H3521" s="11"/>
      <c r="I3521" s="15"/>
    </row>
    <row r="3522" spans="1:9" ht="16.5">
      <c r="A3522" s="10" t="b">
        <v>0</v>
      </c>
      <c r="B3522" s="11" t="str">
        <f>IF(D3522&lt;&gt;"",IF(COUNTIF('USPTO TMs'!A:A,D3522)&gt;0,"Yes","No"),"")</f>
        <v/>
      </c>
      <c r="C3522" s="11"/>
      <c r="D3522" s="11"/>
      <c r="E3522" s="11"/>
      <c r="F3522" s="11"/>
      <c r="G3522" s="11"/>
      <c r="H3522" s="11"/>
      <c r="I3522" s="15"/>
    </row>
    <row r="3523" spans="1:9" ht="16.5">
      <c r="A3523" s="10" t="b">
        <v>0</v>
      </c>
      <c r="B3523" s="11" t="str">
        <f>IF(D3523&lt;&gt;"",IF(COUNTIF('USPTO TMs'!A:A,D3523)&gt;0,"Yes","No"),"")</f>
        <v/>
      </c>
      <c r="C3523" s="11"/>
      <c r="D3523" s="11"/>
      <c r="E3523" s="11"/>
      <c r="F3523" s="11"/>
      <c r="G3523" s="11"/>
      <c r="H3523" s="11"/>
      <c r="I3523" s="15"/>
    </row>
    <row r="3524" spans="1:9" ht="16.5">
      <c r="A3524" s="10" t="b">
        <v>0</v>
      </c>
      <c r="B3524" s="11" t="str">
        <f>IF(D3524&lt;&gt;"",IF(COUNTIF('USPTO TMs'!A:A,D3524)&gt;0,"Yes","No"),"")</f>
        <v/>
      </c>
      <c r="C3524" s="11"/>
      <c r="D3524" s="11"/>
      <c r="E3524" s="11"/>
      <c r="F3524" s="11"/>
      <c r="G3524" s="11"/>
      <c r="H3524" s="11"/>
      <c r="I3524" s="15"/>
    </row>
    <row r="3525" spans="1:9" ht="16.5">
      <c r="A3525" s="10" t="b">
        <v>0</v>
      </c>
      <c r="B3525" s="11" t="str">
        <f>IF(D3525&lt;&gt;"",IF(COUNTIF('USPTO TMs'!A:A,D3525)&gt;0,"Yes","No"),"")</f>
        <v/>
      </c>
      <c r="C3525" s="11"/>
      <c r="D3525" s="11"/>
      <c r="E3525" s="11"/>
      <c r="F3525" s="11"/>
      <c r="G3525" s="11"/>
      <c r="H3525" s="11"/>
      <c r="I3525" s="15"/>
    </row>
    <row r="3526" spans="1:9" ht="16.5">
      <c r="A3526" s="10" t="b">
        <v>0</v>
      </c>
      <c r="B3526" s="11" t="str">
        <f>IF(D3526&lt;&gt;"",IF(COUNTIF('USPTO TMs'!A:A,D3526)&gt;0,"Yes","No"),"")</f>
        <v/>
      </c>
      <c r="C3526" s="11"/>
      <c r="D3526" s="11"/>
      <c r="E3526" s="11"/>
      <c r="F3526" s="11"/>
      <c r="G3526" s="11"/>
      <c r="H3526" s="11"/>
      <c r="I3526" s="15"/>
    </row>
    <row r="3527" spans="1:9" ht="16.5">
      <c r="A3527" s="10" t="b">
        <v>0</v>
      </c>
      <c r="B3527" s="11" t="str">
        <f>IF(D3527&lt;&gt;"",IF(COUNTIF('USPTO TMs'!A:A,D3527)&gt;0,"Yes","No"),"")</f>
        <v/>
      </c>
      <c r="C3527" s="11"/>
      <c r="D3527" s="11"/>
      <c r="E3527" s="11"/>
      <c r="F3527" s="11"/>
      <c r="G3527" s="11"/>
      <c r="H3527" s="11"/>
      <c r="I3527" s="15"/>
    </row>
    <row r="3528" spans="1:9" ht="16.5">
      <c r="A3528" s="10" t="b">
        <v>0</v>
      </c>
      <c r="B3528" s="11" t="str">
        <f>IF(D3528&lt;&gt;"",IF(COUNTIF('USPTO TMs'!A:A,D3528)&gt;0,"Yes","No"),"")</f>
        <v/>
      </c>
      <c r="C3528" s="11"/>
      <c r="D3528" s="11"/>
      <c r="E3528" s="11"/>
      <c r="F3528" s="11"/>
      <c r="G3528" s="11"/>
      <c r="H3528" s="11"/>
      <c r="I3528" s="15"/>
    </row>
    <row r="3529" spans="1:9" ht="16.5">
      <c r="A3529" s="10" t="b">
        <v>0</v>
      </c>
      <c r="B3529" s="11" t="str">
        <f>IF(D3529&lt;&gt;"",IF(COUNTIF('USPTO TMs'!A:A,D3529)&gt;0,"Yes","No"),"")</f>
        <v/>
      </c>
      <c r="C3529" s="11"/>
      <c r="D3529" s="11"/>
      <c r="E3529" s="11"/>
      <c r="F3529" s="11"/>
      <c r="G3529" s="11"/>
      <c r="H3529" s="11"/>
      <c r="I3529" s="15"/>
    </row>
    <row r="3530" spans="1:9" ht="16.5">
      <c r="A3530" s="10" t="b">
        <v>0</v>
      </c>
      <c r="B3530" s="11" t="str">
        <f>IF(D3530&lt;&gt;"",IF(COUNTIF('USPTO TMs'!A:A,D3530)&gt;0,"Yes","No"),"")</f>
        <v/>
      </c>
      <c r="C3530" s="11"/>
      <c r="D3530" s="11"/>
      <c r="E3530" s="11"/>
      <c r="F3530" s="11"/>
      <c r="G3530" s="11"/>
      <c r="H3530" s="11"/>
      <c r="I3530" s="15"/>
    </row>
    <row r="3531" spans="1:9" ht="16.5">
      <c r="A3531" s="10" t="b">
        <v>0</v>
      </c>
      <c r="B3531" s="11" t="str">
        <f>IF(D3531&lt;&gt;"",IF(COUNTIF('USPTO TMs'!A:A,D3531)&gt;0,"Yes","No"),"")</f>
        <v/>
      </c>
      <c r="C3531" s="11"/>
      <c r="D3531" s="11"/>
      <c r="E3531" s="11"/>
      <c r="F3531" s="11"/>
      <c r="G3531" s="11"/>
      <c r="H3531" s="11"/>
      <c r="I3531" s="15"/>
    </row>
    <row r="3532" spans="1:9" ht="16.5">
      <c r="A3532" s="10" t="b">
        <v>0</v>
      </c>
      <c r="B3532" s="11" t="str">
        <f>IF(D3532&lt;&gt;"",IF(COUNTIF('USPTO TMs'!A:A,D3532)&gt;0,"Yes","No"),"")</f>
        <v/>
      </c>
      <c r="C3532" s="11"/>
      <c r="D3532" s="11"/>
      <c r="E3532" s="11"/>
      <c r="F3532" s="11"/>
      <c r="G3532" s="11"/>
      <c r="H3532" s="11"/>
      <c r="I3532" s="15"/>
    </row>
    <row r="3533" spans="1:9" ht="16.5">
      <c r="A3533" s="10" t="b">
        <v>0</v>
      </c>
      <c r="B3533" s="11" t="str">
        <f>IF(D3533&lt;&gt;"",IF(COUNTIF('USPTO TMs'!A:A,D3533)&gt;0,"Yes","No"),"")</f>
        <v/>
      </c>
      <c r="C3533" s="11"/>
      <c r="D3533" s="11"/>
      <c r="E3533" s="11"/>
      <c r="F3533" s="11"/>
      <c r="G3533" s="11"/>
      <c r="H3533" s="11"/>
      <c r="I3533" s="15"/>
    </row>
    <row r="3534" spans="1:9" ht="16.5">
      <c r="A3534" s="10" t="b">
        <v>0</v>
      </c>
      <c r="B3534" s="11" t="str">
        <f>IF(D3534&lt;&gt;"",IF(COUNTIF('USPTO TMs'!A:A,D3534)&gt;0,"Yes","No"),"")</f>
        <v/>
      </c>
      <c r="C3534" s="11"/>
      <c r="D3534" s="11"/>
      <c r="E3534" s="11"/>
      <c r="F3534" s="11"/>
      <c r="G3534" s="11"/>
      <c r="H3534" s="11"/>
      <c r="I3534" s="15"/>
    </row>
    <row r="3535" spans="1:9" ht="16.5">
      <c r="A3535" s="10" t="b">
        <v>0</v>
      </c>
      <c r="B3535" s="11" t="str">
        <f>IF(D3535&lt;&gt;"",IF(COUNTIF('USPTO TMs'!A:A,D3535)&gt;0,"Yes","No"),"")</f>
        <v/>
      </c>
      <c r="C3535" s="11"/>
      <c r="D3535" s="11"/>
      <c r="E3535" s="11"/>
      <c r="F3535" s="11"/>
      <c r="G3535" s="11"/>
      <c r="H3535" s="11"/>
      <c r="I3535" s="15"/>
    </row>
    <row r="3536" spans="1:9" ht="16.5">
      <c r="A3536" s="10" t="b">
        <v>0</v>
      </c>
      <c r="B3536" s="11" t="str">
        <f>IF(D3536&lt;&gt;"",IF(COUNTIF('USPTO TMs'!A:A,D3536)&gt;0,"Yes","No"),"")</f>
        <v/>
      </c>
      <c r="C3536" s="11"/>
      <c r="D3536" s="11"/>
      <c r="E3536" s="11"/>
      <c r="F3536" s="11"/>
      <c r="G3536" s="11"/>
      <c r="H3536" s="11"/>
      <c r="I3536" s="15"/>
    </row>
    <row r="3537" spans="1:9" ht="16.5">
      <c r="A3537" s="10" t="b">
        <v>0</v>
      </c>
      <c r="B3537" s="11" t="str">
        <f>IF(D3537&lt;&gt;"",IF(COUNTIF('USPTO TMs'!A:A,D3537)&gt;0,"Yes","No"),"")</f>
        <v/>
      </c>
      <c r="C3537" s="11"/>
      <c r="D3537" s="11"/>
      <c r="E3537" s="11"/>
      <c r="F3537" s="11"/>
      <c r="G3537" s="11"/>
      <c r="H3537" s="11"/>
      <c r="I3537" s="15"/>
    </row>
    <row r="3538" spans="1:9" ht="16.5">
      <c r="A3538" s="10" t="b">
        <v>0</v>
      </c>
      <c r="B3538" s="11" t="str">
        <f>IF(D3538&lt;&gt;"",IF(COUNTIF('USPTO TMs'!A:A,D3538)&gt;0,"Yes","No"),"")</f>
        <v/>
      </c>
      <c r="C3538" s="11"/>
      <c r="D3538" s="11"/>
      <c r="E3538" s="11"/>
      <c r="F3538" s="11"/>
      <c r="G3538" s="11"/>
      <c r="H3538" s="11"/>
      <c r="I3538" s="15"/>
    </row>
    <row r="3539" spans="1:9" ht="16.5">
      <c r="A3539" s="10" t="b">
        <v>0</v>
      </c>
      <c r="B3539" s="11" t="str">
        <f>IF(D3539&lt;&gt;"",IF(COUNTIF('USPTO TMs'!A:A,D3539)&gt;0,"Yes","No"),"")</f>
        <v/>
      </c>
      <c r="C3539" s="11"/>
      <c r="D3539" s="11"/>
      <c r="E3539" s="11"/>
      <c r="F3539" s="11"/>
      <c r="G3539" s="11"/>
      <c r="H3539" s="11"/>
      <c r="I3539" s="15"/>
    </row>
    <row r="3540" spans="1:9" ht="16.5">
      <c r="A3540" s="10" t="b">
        <v>0</v>
      </c>
      <c r="B3540" s="11" t="str">
        <f>IF(D3540&lt;&gt;"",IF(COUNTIF('USPTO TMs'!A:A,D3540)&gt;0,"Yes","No"),"")</f>
        <v/>
      </c>
      <c r="C3540" s="11"/>
      <c r="D3540" s="11"/>
      <c r="E3540" s="11"/>
      <c r="F3540" s="11"/>
      <c r="G3540" s="11"/>
      <c r="H3540" s="11"/>
      <c r="I3540" s="15"/>
    </row>
    <row r="3541" spans="1:9" ht="16.5">
      <c r="A3541" s="10" t="b">
        <v>0</v>
      </c>
      <c r="B3541" s="11" t="str">
        <f>IF(D3541&lt;&gt;"",IF(COUNTIF('USPTO TMs'!A:A,D3541)&gt;0,"Yes","No"),"")</f>
        <v/>
      </c>
      <c r="C3541" s="11"/>
      <c r="D3541" s="11"/>
      <c r="E3541" s="11"/>
      <c r="F3541" s="11"/>
      <c r="G3541" s="11"/>
      <c r="H3541" s="11"/>
      <c r="I3541" s="15"/>
    </row>
    <row r="3542" spans="1:9" ht="16.5">
      <c r="A3542" s="10" t="b">
        <v>0</v>
      </c>
      <c r="B3542" s="11" t="str">
        <f>IF(D3542&lt;&gt;"",IF(COUNTIF('USPTO TMs'!A:A,D3542)&gt;0,"Yes","No"),"")</f>
        <v/>
      </c>
      <c r="C3542" s="11"/>
      <c r="D3542" s="11"/>
      <c r="E3542" s="11"/>
      <c r="F3542" s="11"/>
      <c r="G3542" s="11"/>
      <c r="H3542" s="11"/>
      <c r="I3542" s="15"/>
    </row>
    <row r="3543" spans="1:9" ht="16.5">
      <c r="A3543" s="10" t="b">
        <v>0</v>
      </c>
      <c r="B3543" s="11" t="str">
        <f>IF(D3543&lt;&gt;"",IF(COUNTIF('USPTO TMs'!A:A,D3543)&gt;0,"Yes","No"),"")</f>
        <v/>
      </c>
      <c r="C3543" s="11"/>
      <c r="D3543" s="11"/>
      <c r="E3543" s="11"/>
      <c r="F3543" s="11"/>
      <c r="G3543" s="11"/>
      <c r="H3543" s="11"/>
      <c r="I3543" s="15"/>
    </row>
    <row r="3544" spans="1:9" ht="16.5">
      <c r="A3544" s="10" t="b">
        <v>0</v>
      </c>
      <c r="B3544" s="11" t="str">
        <f>IF(D3544&lt;&gt;"",IF(COUNTIF('USPTO TMs'!A:A,D3544)&gt;0,"Yes","No"),"")</f>
        <v/>
      </c>
      <c r="C3544" s="11"/>
      <c r="D3544" s="11"/>
      <c r="E3544" s="11"/>
      <c r="F3544" s="11"/>
      <c r="G3544" s="11"/>
      <c r="H3544" s="11"/>
      <c r="I3544" s="15"/>
    </row>
    <row r="3545" spans="1:9" ht="16.5">
      <c r="A3545" s="10" t="b">
        <v>0</v>
      </c>
      <c r="B3545" s="11" t="str">
        <f>IF(D3545&lt;&gt;"",IF(COUNTIF('USPTO TMs'!A:A,D3545)&gt;0,"Yes","No"),"")</f>
        <v/>
      </c>
      <c r="C3545" s="11"/>
      <c r="D3545" s="11"/>
      <c r="E3545" s="11"/>
      <c r="F3545" s="11"/>
      <c r="G3545" s="11"/>
      <c r="H3545" s="11"/>
      <c r="I3545" s="15"/>
    </row>
    <row r="3546" spans="1:9" ht="16.5">
      <c r="A3546" s="10" t="b">
        <v>0</v>
      </c>
      <c r="B3546" s="11" t="str">
        <f>IF(D3546&lt;&gt;"",IF(COUNTIF('USPTO TMs'!A:A,D3546)&gt;0,"Yes","No"),"")</f>
        <v/>
      </c>
      <c r="C3546" s="11"/>
      <c r="D3546" s="11"/>
      <c r="E3546" s="11"/>
      <c r="F3546" s="11"/>
      <c r="G3546" s="11"/>
      <c r="H3546" s="11"/>
      <c r="I3546" s="15"/>
    </row>
    <row r="3547" spans="1:9" ht="16.5">
      <c r="A3547" s="10" t="b">
        <v>0</v>
      </c>
      <c r="B3547" s="11" t="str">
        <f>IF(D3547&lt;&gt;"",IF(COUNTIF('USPTO TMs'!A:A,D3547)&gt;0,"Yes","No"),"")</f>
        <v/>
      </c>
      <c r="C3547" s="11"/>
      <c r="D3547" s="11"/>
      <c r="E3547" s="11"/>
      <c r="F3547" s="11"/>
      <c r="G3547" s="11"/>
      <c r="H3547" s="11"/>
      <c r="I3547" s="15"/>
    </row>
    <row r="3548" spans="1:9" ht="16.5">
      <c r="A3548" s="10" t="b">
        <v>0</v>
      </c>
      <c r="B3548" s="11" t="str">
        <f>IF(D3548&lt;&gt;"",IF(COUNTIF('USPTO TMs'!A:A,D3548)&gt;0,"Yes","No"),"")</f>
        <v/>
      </c>
      <c r="C3548" s="11"/>
      <c r="D3548" s="11"/>
      <c r="E3548" s="11"/>
      <c r="F3548" s="11"/>
      <c r="G3548" s="11"/>
      <c r="H3548" s="11"/>
      <c r="I3548" s="15"/>
    </row>
    <row r="3549" spans="1:9" ht="16.5">
      <c r="A3549" s="10" t="b">
        <v>0</v>
      </c>
      <c r="B3549" s="11" t="str">
        <f>IF(D3549&lt;&gt;"",IF(COUNTIF('USPTO TMs'!A:A,D3549)&gt;0,"Yes","No"),"")</f>
        <v/>
      </c>
      <c r="C3549" s="11"/>
      <c r="D3549" s="11"/>
      <c r="E3549" s="11"/>
      <c r="F3549" s="11"/>
      <c r="G3549" s="11"/>
      <c r="H3549" s="11"/>
      <c r="I3549" s="15"/>
    </row>
    <row r="3550" spans="1:9" ht="16.5">
      <c r="A3550" s="10" t="b">
        <v>0</v>
      </c>
      <c r="B3550" s="11" t="str">
        <f>IF(D3550&lt;&gt;"",IF(COUNTIF('USPTO TMs'!A:A,D3550)&gt;0,"Yes","No"),"")</f>
        <v/>
      </c>
      <c r="C3550" s="11"/>
      <c r="D3550" s="11"/>
      <c r="E3550" s="11"/>
      <c r="F3550" s="11"/>
      <c r="G3550" s="11"/>
      <c r="H3550" s="11"/>
      <c r="I3550" s="15"/>
    </row>
    <row r="3551" spans="1:9" ht="16.5">
      <c r="A3551" s="10" t="b">
        <v>0</v>
      </c>
      <c r="B3551" s="11" t="str">
        <f>IF(D3551&lt;&gt;"",IF(COUNTIF('USPTO TMs'!A:A,D3551)&gt;0,"Yes","No"),"")</f>
        <v/>
      </c>
      <c r="C3551" s="11"/>
      <c r="D3551" s="11"/>
      <c r="E3551" s="11"/>
      <c r="F3551" s="11"/>
      <c r="G3551" s="11"/>
      <c r="H3551" s="11"/>
      <c r="I3551" s="15"/>
    </row>
    <row r="3552" spans="1:9" ht="16.5">
      <c r="A3552" s="10" t="b">
        <v>0</v>
      </c>
      <c r="B3552" s="11" t="str">
        <f>IF(D3552&lt;&gt;"",IF(COUNTIF('USPTO TMs'!A:A,D3552)&gt;0,"Yes","No"),"")</f>
        <v/>
      </c>
      <c r="C3552" s="11"/>
      <c r="D3552" s="11"/>
      <c r="E3552" s="11"/>
      <c r="F3552" s="11"/>
      <c r="G3552" s="11"/>
      <c r="H3552" s="11"/>
      <c r="I3552" s="15"/>
    </row>
    <row r="3553" spans="1:9" ht="16.5">
      <c r="A3553" s="10" t="b">
        <v>0</v>
      </c>
      <c r="B3553" s="11" t="str">
        <f>IF(D3553&lt;&gt;"",IF(COUNTIF('USPTO TMs'!A:A,D3553)&gt;0,"Yes","No"),"")</f>
        <v/>
      </c>
      <c r="C3553" s="11"/>
      <c r="D3553" s="11"/>
      <c r="E3553" s="11"/>
      <c r="F3553" s="11"/>
      <c r="G3553" s="11"/>
      <c r="H3553" s="11"/>
      <c r="I3553" s="15"/>
    </row>
    <row r="3554" spans="1:9" ht="16.5">
      <c r="A3554" s="10" t="b">
        <v>0</v>
      </c>
      <c r="B3554" s="11" t="str">
        <f>IF(D3554&lt;&gt;"",IF(COUNTIF('USPTO TMs'!A:A,D3554)&gt;0,"Yes","No"),"")</f>
        <v/>
      </c>
      <c r="C3554" s="11"/>
      <c r="D3554" s="11"/>
      <c r="E3554" s="11"/>
      <c r="F3554" s="11"/>
      <c r="G3554" s="11"/>
      <c r="H3554" s="11"/>
      <c r="I3554" s="15"/>
    </row>
    <row r="3555" spans="1:9" ht="16.5">
      <c r="A3555" s="10" t="b">
        <v>0</v>
      </c>
      <c r="B3555" s="11" t="str">
        <f>IF(D3555&lt;&gt;"",IF(COUNTIF('USPTO TMs'!A:A,D3555)&gt;0,"Yes","No"),"")</f>
        <v/>
      </c>
      <c r="C3555" s="11"/>
      <c r="D3555" s="11"/>
      <c r="E3555" s="11"/>
      <c r="F3555" s="11"/>
      <c r="G3555" s="11"/>
      <c r="H3555" s="11"/>
      <c r="I3555" s="15"/>
    </row>
    <row r="3556" spans="1:9" ht="16.5">
      <c r="A3556" s="10" t="b">
        <v>0</v>
      </c>
      <c r="B3556" s="11" t="str">
        <f>IF(D3556&lt;&gt;"",IF(COUNTIF('USPTO TMs'!A:A,D3556)&gt;0,"Yes","No"),"")</f>
        <v/>
      </c>
      <c r="C3556" s="11"/>
      <c r="D3556" s="11"/>
      <c r="E3556" s="11"/>
      <c r="F3556" s="11"/>
      <c r="G3556" s="11"/>
      <c r="H3556" s="11"/>
      <c r="I3556" s="15"/>
    </row>
    <row r="3557" spans="1:9" ht="16.5">
      <c r="A3557" s="10" t="b">
        <v>0</v>
      </c>
      <c r="B3557" s="11" t="str">
        <f>IF(D3557&lt;&gt;"",IF(COUNTIF('USPTO TMs'!A:A,D3557)&gt;0,"Yes","No"),"")</f>
        <v/>
      </c>
      <c r="C3557" s="11"/>
      <c r="D3557" s="11"/>
      <c r="E3557" s="11"/>
      <c r="F3557" s="11"/>
      <c r="G3557" s="11"/>
      <c r="H3557" s="11"/>
      <c r="I3557" s="15"/>
    </row>
    <row r="3558" spans="1:9" ht="16.5">
      <c r="A3558" s="10" t="b">
        <v>0</v>
      </c>
      <c r="B3558" s="11" t="str">
        <f>IF(D3558&lt;&gt;"",IF(COUNTIF('USPTO TMs'!A:A,D3558)&gt;0,"Yes","No"),"")</f>
        <v/>
      </c>
      <c r="C3558" s="11"/>
      <c r="D3558" s="11"/>
      <c r="E3558" s="11"/>
      <c r="F3558" s="11"/>
      <c r="G3558" s="11"/>
      <c r="H3558" s="11"/>
      <c r="I3558" s="15"/>
    </row>
    <row r="3559" spans="1:9" ht="16.5">
      <c r="A3559" s="10" t="b">
        <v>0</v>
      </c>
      <c r="B3559" s="11" t="str">
        <f>IF(D3559&lt;&gt;"",IF(COUNTIF('USPTO TMs'!A:A,D3559)&gt;0,"Yes","No"),"")</f>
        <v/>
      </c>
      <c r="C3559" s="11"/>
      <c r="D3559" s="11"/>
      <c r="E3559" s="11"/>
      <c r="F3559" s="11"/>
      <c r="G3559" s="11"/>
      <c r="H3559" s="11"/>
      <c r="I3559" s="15"/>
    </row>
    <row r="3560" spans="1:9" ht="16.5">
      <c r="A3560" s="10" t="b">
        <v>0</v>
      </c>
      <c r="B3560" s="11" t="str">
        <f>IF(D3560&lt;&gt;"",IF(COUNTIF('USPTO TMs'!A:A,D3560)&gt;0,"Yes","No"),"")</f>
        <v/>
      </c>
      <c r="C3560" s="11"/>
      <c r="D3560" s="11"/>
      <c r="E3560" s="11"/>
      <c r="F3560" s="11"/>
      <c r="G3560" s="11"/>
      <c r="H3560" s="11"/>
      <c r="I3560" s="15"/>
    </row>
    <row r="3561" spans="1:9" ht="16.5">
      <c r="A3561" s="10" t="b">
        <v>0</v>
      </c>
      <c r="B3561" s="11" t="str">
        <f>IF(D3561&lt;&gt;"",IF(COUNTIF('USPTO TMs'!A:A,D3561)&gt;0,"Yes","No"),"")</f>
        <v/>
      </c>
      <c r="C3561" s="11"/>
      <c r="D3561" s="11"/>
      <c r="E3561" s="11"/>
      <c r="F3561" s="11"/>
      <c r="G3561" s="11"/>
      <c r="H3561" s="11"/>
      <c r="I3561" s="15"/>
    </row>
    <row r="3562" spans="1:9" ht="16.5">
      <c r="A3562" s="10" t="b">
        <v>0</v>
      </c>
      <c r="B3562" s="11" t="str">
        <f>IF(D3562&lt;&gt;"",IF(COUNTIF('USPTO TMs'!A:A,D3562)&gt;0,"Yes","No"),"")</f>
        <v/>
      </c>
      <c r="C3562" s="11"/>
      <c r="D3562" s="11"/>
      <c r="E3562" s="11"/>
      <c r="F3562" s="11"/>
      <c r="G3562" s="11"/>
      <c r="H3562" s="11"/>
      <c r="I3562" s="15"/>
    </row>
    <row r="3563" spans="1:9" ht="16.5">
      <c r="A3563" s="10" t="b">
        <v>0</v>
      </c>
      <c r="B3563" s="11" t="str">
        <f>IF(D3563&lt;&gt;"",IF(COUNTIF('USPTO TMs'!A:A,D3563)&gt;0,"Yes","No"),"")</f>
        <v/>
      </c>
      <c r="C3563" s="11"/>
      <c r="D3563" s="11"/>
      <c r="E3563" s="11"/>
      <c r="F3563" s="11"/>
      <c r="G3563" s="11"/>
      <c r="H3563" s="11"/>
      <c r="I3563" s="15"/>
    </row>
    <row r="3564" spans="1:9" ht="16.5">
      <c r="A3564" s="10" t="b">
        <v>0</v>
      </c>
      <c r="B3564" s="11" t="str">
        <f>IF(D3564&lt;&gt;"",IF(COUNTIF('USPTO TMs'!A:A,D3564)&gt;0,"Yes","No"),"")</f>
        <v/>
      </c>
      <c r="C3564" s="11"/>
      <c r="D3564" s="11"/>
      <c r="E3564" s="11"/>
      <c r="F3564" s="11"/>
      <c r="G3564" s="11"/>
      <c r="H3564" s="11"/>
      <c r="I3564" s="15"/>
    </row>
    <row r="3565" spans="1:9" ht="16.5">
      <c r="A3565" s="10" t="b">
        <v>0</v>
      </c>
      <c r="B3565" s="11" t="str">
        <f>IF(D3565&lt;&gt;"",IF(COUNTIF('USPTO TMs'!A:A,D3565)&gt;0,"Yes","No"),"")</f>
        <v/>
      </c>
      <c r="C3565" s="11"/>
      <c r="D3565" s="11"/>
      <c r="E3565" s="11"/>
      <c r="F3565" s="11"/>
      <c r="G3565" s="11"/>
      <c r="H3565" s="11"/>
      <c r="I3565" s="15"/>
    </row>
    <row r="3566" spans="1:9" ht="16.5">
      <c r="A3566" s="10" t="b">
        <v>0</v>
      </c>
      <c r="B3566" s="11" t="str">
        <f>IF(D3566&lt;&gt;"",IF(COUNTIF('USPTO TMs'!A:A,D3566)&gt;0,"Yes","No"),"")</f>
        <v/>
      </c>
      <c r="C3566" s="11"/>
      <c r="D3566" s="11"/>
      <c r="E3566" s="11"/>
      <c r="F3566" s="11"/>
      <c r="G3566" s="11"/>
      <c r="H3566" s="11"/>
      <c r="I3566" s="15"/>
    </row>
    <row r="3567" spans="1:9" ht="16.5">
      <c r="A3567" s="10" t="b">
        <v>0</v>
      </c>
      <c r="B3567" s="11" t="str">
        <f>IF(D3567&lt;&gt;"",IF(COUNTIF('USPTO TMs'!A:A,D3567)&gt;0,"Yes","No"),"")</f>
        <v/>
      </c>
      <c r="C3567" s="11"/>
      <c r="D3567" s="11"/>
      <c r="E3567" s="11"/>
      <c r="F3567" s="11"/>
      <c r="G3567" s="11"/>
      <c r="H3567" s="11"/>
      <c r="I3567" s="15"/>
    </row>
    <row r="3568" spans="1:9" ht="16.5">
      <c r="A3568" s="10" t="b">
        <v>0</v>
      </c>
      <c r="B3568" s="11" t="str">
        <f>IF(D3568&lt;&gt;"",IF(COUNTIF('USPTO TMs'!A:A,D3568)&gt;0,"Yes","No"),"")</f>
        <v/>
      </c>
      <c r="C3568" s="11"/>
      <c r="D3568" s="11"/>
      <c r="E3568" s="11"/>
      <c r="F3568" s="11"/>
      <c r="G3568" s="11"/>
      <c r="H3568" s="11"/>
      <c r="I3568" s="15"/>
    </row>
    <row r="3569" spans="1:9" ht="16.5">
      <c r="A3569" s="10" t="b">
        <v>0</v>
      </c>
      <c r="B3569" s="11" t="str">
        <f>IF(D3569&lt;&gt;"",IF(COUNTIF('USPTO TMs'!A:A,D3569)&gt;0,"Yes","No"),"")</f>
        <v/>
      </c>
      <c r="C3569" s="11"/>
      <c r="D3569" s="11"/>
      <c r="E3569" s="11"/>
      <c r="F3569" s="11"/>
      <c r="G3569" s="11"/>
      <c r="H3569" s="11"/>
      <c r="I3569" s="15"/>
    </row>
    <row r="3570" spans="1:9" ht="16.5">
      <c r="A3570" s="10" t="b">
        <v>0</v>
      </c>
      <c r="B3570" s="11" t="str">
        <f>IF(D3570&lt;&gt;"",IF(COUNTIF('USPTO TMs'!A:A,D3570)&gt;0,"Yes","No"),"")</f>
        <v/>
      </c>
      <c r="C3570" s="11"/>
      <c r="D3570" s="11"/>
      <c r="E3570" s="11"/>
      <c r="F3570" s="11"/>
      <c r="G3570" s="11"/>
      <c r="H3570" s="11"/>
      <c r="I3570" s="15"/>
    </row>
    <row r="3571" spans="1:9" ht="16.5">
      <c r="A3571" s="10" t="b">
        <v>0</v>
      </c>
      <c r="B3571" s="11" t="str">
        <f>IF(D3571&lt;&gt;"",IF(COUNTIF('USPTO TMs'!A:A,D3571)&gt;0,"Yes","No"),"")</f>
        <v/>
      </c>
      <c r="C3571" s="11"/>
      <c r="D3571" s="11"/>
      <c r="E3571" s="11"/>
      <c r="F3571" s="11"/>
      <c r="G3571" s="11"/>
      <c r="H3571" s="11"/>
      <c r="I3571" s="15"/>
    </row>
    <row r="3572" spans="1:9" ht="16.5">
      <c r="A3572" s="10" t="b">
        <v>0</v>
      </c>
      <c r="B3572" s="11" t="str">
        <f>IF(D3572&lt;&gt;"",IF(COUNTIF('USPTO TMs'!A:A,D3572)&gt;0,"Yes","No"),"")</f>
        <v/>
      </c>
      <c r="C3572" s="11"/>
      <c r="D3572" s="11"/>
      <c r="E3572" s="11"/>
      <c r="F3572" s="11"/>
      <c r="G3572" s="11"/>
      <c r="H3572" s="11"/>
      <c r="I3572" s="15"/>
    </row>
    <row r="3573" spans="1:9" ht="16.5">
      <c r="A3573" s="10" t="b">
        <v>0</v>
      </c>
      <c r="B3573" s="11" t="str">
        <f>IF(D3573&lt;&gt;"",IF(COUNTIF('USPTO TMs'!A:A,D3573)&gt;0,"Yes","No"),"")</f>
        <v/>
      </c>
      <c r="C3573" s="11"/>
      <c r="D3573" s="11"/>
      <c r="E3573" s="11"/>
      <c r="F3573" s="11"/>
      <c r="G3573" s="11"/>
      <c r="H3573" s="11"/>
      <c r="I3573" s="15"/>
    </row>
    <row r="3574" spans="1:9" ht="16.5">
      <c r="A3574" s="10" t="b">
        <v>0</v>
      </c>
      <c r="B3574" s="11" t="str">
        <f>IF(D3574&lt;&gt;"",IF(COUNTIF('USPTO TMs'!A:A,D3574)&gt;0,"Yes","No"),"")</f>
        <v/>
      </c>
      <c r="C3574" s="11"/>
      <c r="D3574" s="11"/>
      <c r="E3574" s="11"/>
      <c r="F3574" s="11"/>
      <c r="G3574" s="11"/>
      <c r="H3574" s="11"/>
      <c r="I3574" s="15"/>
    </row>
    <row r="3575" spans="1:9" ht="16.5">
      <c r="A3575" s="10" t="b">
        <v>0</v>
      </c>
      <c r="B3575" s="11" t="str">
        <f>IF(D3575&lt;&gt;"",IF(COUNTIF('USPTO TMs'!A:A,D3575)&gt;0,"Yes","No"),"")</f>
        <v/>
      </c>
      <c r="C3575" s="11"/>
      <c r="D3575" s="11"/>
      <c r="E3575" s="11"/>
      <c r="F3575" s="11"/>
      <c r="G3575" s="11"/>
      <c r="H3575" s="11"/>
      <c r="I3575" s="15"/>
    </row>
    <row r="3576" spans="1:9" ht="16.5">
      <c r="A3576" s="10" t="b">
        <v>0</v>
      </c>
      <c r="B3576" s="11" t="str">
        <f>IF(D3576&lt;&gt;"",IF(COUNTIF('USPTO TMs'!A:A,D3576)&gt;0,"Yes","No"),"")</f>
        <v/>
      </c>
      <c r="C3576" s="11"/>
      <c r="D3576" s="11"/>
      <c r="E3576" s="11"/>
      <c r="F3576" s="11"/>
      <c r="G3576" s="11"/>
      <c r="H3576" s="11"/>
      <c r="I3576" s="15"/>
    </row>
    <row r="3577" spans="1:9" ht="16.5">
      <c r="A3577" s="10" t="b">
        <v>0</v>
      </c>
      <c r="B3577" s="11" t="str">
        <f>IF(D3577&lt;&gt;"",IF(COUNTIF('USPTO TMs'!A:A,D3577)&gt;0,"Yes","No"),"")</f>
        <v/>
      </c>
      <c r="C3577" s="11"/>
      <c r="D3577" s="11"/>
      <c r="E3577" s="11"/>
      <c r="F3577" s="11"/>
      <c r="G3577" s="11"/>
      <c r="H3577" s="11"/>
      <c r="I3577" s="15"/>
    </row>
    <row r="3578" spans="1:9" ht="16.5">
      <c r="A3578" s="10" t="b">
        <v>0</v>
      </c>
      <c r="B3578" s="11" t="str">
        <f>IF(D3578&lt;&gt;"",IF(COUNTIF('USPTO TMs'!A:A,D3578)&gt;0,"Yes","No"),"")</f>
        <v/>
      </c>
      <c r="C3578" s="11"/>
      <c r="D3578" s="11"/>
      <c r="E3578" s="11"/>
      <c r="F3578" s="11"/>
      <c r="G3578" s="11"/>
      <c r="H3578" s="11"/>
      <c r="I3578" s="15"/>
    </row>
    <row r="3579" spans="1:9" ht="16.5">
      <c r="A3579" s="10" t="b">
        <v>0</v>
      </c>
      <c r="B3579" s="11" t="str">
        <f>IF(D3579&lt;&gt;"",IF(COUNTIF('USPTO TMs'!A:A,D3579)&gt;0,"Yes","No"),"")</f>
        <v/>
      </c>
      <c r="C3579" s="11"/>
      <c r="D3579" s="11"/>
      <c r="E3579" s="11"/>
      <c r="F3579" s="11"/>
      <c r="G3579" s="11"/>
      <c r="H3579" s="11"/>
      <c r="I3579" s="15"/>
    </row>
    <row r="3580" spans="1:9" ht="16.5">
      <c r="A3580" s="10" t="b">
        <v>0</v>
      </c>
      <c r="B3580" s="11" t="str">
        <f>IF(D3580&lt;&gt;"",IF(COUNTIF('USPTO TMs'!A:A,D3580)&gt;0,"Yes","No"),"")</f>
        <v/>
      </c>
      <c r="C3580" s="11"/>
      <c r="D3580" s="11"/>
      <c r="E3580" s="11"/>
      <c r="F3580" s="11"/>
      <c r="G3580" s="11"/>
      <c r="H3580" s="11"/>
      <c r="I3580" s="15"/>
    </row>
    <row r="3581" spans="1:9" ht="16.5">
      <c r="A3581" s="10" t="b">
        <v>0</v>
      </c>
      <c r="B3581" s="11" t="str">
        <f>IF(D3581&lt;&gt;"",IF(COUNTIF('USPTO TMs'!A:A,D3581)&gt;0,"Yes","No"),"")</f>
        <v/>
      </c>
      <c r="C3581" s="11"/>
      <c r="D3581" s="11"/>
      <c r="E3581" s="11"/>
      <c r="F3581" s="11"/>
      <c r="G3581" s="11"/>
      <c r="H3581" s="11"/>
      <c r="I3581" s="15"/>
    </row>
    <row r="3582" spans="1:9" ht="16.5">
      <c r="A3582" s="10" t="b">
        <v>0</v>
      </c>
      <c r="B3582" s="11" t="str">
        <f>IF(D3582&lt;&gt;"",IF(COUNTIF('USPTO TMs'!A:A,D3582)&gt;0,"Yes","No"),"")</f>
        <v/>
      </c>
      <c r="C3582" s="11"/>
      <c r="D3582" s="11"/>
      <c r="E3582" s="11"/>
      <c r="F3582" s="11"/>
      <c r="G3582" s="11"/>
      <c r="H3582" s="11"/>
      <c r="I3582" s="15"/>
    </row>
    <row r="3583" spans="1:9" ht="16.5">
      <c r="A3583" s="10" t="b">
        <v>0</v>
      </c>
      <c r="B3583" s="11" t="str">
        <f>IF(D3583&lt;&gt;"",IF(COUNTIF('USPTO TMs'!A:A,D3583)&gt;0,"Yes","No"),"")</f>
        <v/>
      </c>
      <c r="C3583" s="11"/>
      <c r="D3583" s="11"/>
      <c r="E3583" s="11"/>
      <c r="F3583" s="11"/>
      <c r="G3583" s="11"/>
      <c r="H3583" s="11"/>
      <c r="I3583" s="15"/>
    </row>
    <row r="3584" spans="1:9" ht="16.5">
      <c r="A3584" s="10" t="b">
        <v>0</v>
      </c>
      <c r="B3584" s="11" t="str">
        <f>IF(D3584&lt;&gt;"",IF(COUNTIF('USPTO TMs'!A:A,D3584)&gt;0,"Yes","No"),"")</f>
        <v/>
      </c>
      <c r="C3584" s="11"/>
      <c r="D3584" s="11"/>
      <c r="E3584" s="11"/>
      <c r="F3584" s="11"/>
      <c r="G3584" s="11"/>
      <c r="H3584" s="11"/>
      <c r="I3584" s="15"/>
    </row>
    <row r="3585" spans="1:9" ht="16.5">
      <c r="A3585" s="10" t="b">
        <v>0</v>
      </c>
      <c r="B3585" s="11" t="str">
        <f>IF(D3585&lt;&gt;"",IF(COUNTIF('USPTO TMs'!A:A,D3585)&gt;0,"Yes","No"),"")</f>
        <v/>
      </c>
      <c r="C3585" s="11"/>
      <c r="D3585" s="11"/>
      <c r="E3585" s="11"/>
      <c r="F3585" s="11"/>
      <c r="G3585" s="11"/>
      <c r="H3585" s="11"/>
      <c r="I3585" s="15"/>
    </row>
    <row r="3586" spans="1:9" ht="16.5">
      <c r="A3586" s="10" t="b">
        <v>0</v>
      </c>
      <c r="B3586" s="11" t="str">
        <f>IF(D3586&lt;&gt;"",IF(COUNTIF('USPTO TMs'!A:A,D3586)&gt;0,"Yes","No"),"")</f>
        <v/>
      </c>
      <c r="C3586" s="11"/>
      <c r="D3586" s="11"/>
      <c r="E3586" s="11"/>
      <c r="F3586" s="11"/>
      <c r="G3586" s="11"/>
      <c r="H3586" s="11"/>
      <c r="I3586" s="15"/>
    </row>
    <row r="3587" spans="1:9" ht="16.5">
      <c r="A3587" s="10" t="b">
        <v>0</v>
      </c>
      <c r="B3587" s="11" t="str">
        <f>IF(D3587&lt;&gt;"",IF(COUNTIF('USPTO TMs'!A:A,D3587)&gt;0,"Yes","No"),"")</f>
        <v/>
      </c>
      <c r="C3587" s="11"/>
      <c r="D3587" s="11"/>
      <c r="E3587" s="11"/>
      <c r="F3587" s="11"/>
      <c r="G3587" s="11"/>
      <c r="H3587" s="11"/>
      <c r="I3587" s="15"/>
    </row>
    <row r="3588" spans="1:9" ht="16.5">
      <c r="A3588" s="10" t="b">
        <v>0</v>
      </c>
      <c r="B3588" s="11" t="str">
        <f>IF(D3588&lt;&gt;"",IF(COUNTIF('USPTO TMs'!A:A,D3588)&gt;0,"Yes","No"),"")</f>
        <v/>
      </c>
      <c r="C3588" s="11"/>
      <c r="D3588" s="11"/>
      <c r="E3588" s="11"/>
      <c r="F3588" s="11"/>
      <c r="G3588" s="11"/>
      <c r="H3588" s="11"/>
      <c r="I3588" s="15"/>
    </row>
    <row r="3589" spans="1:9" ht="16.5">
      <c r="A3589" s="10" t="b">
        <v>0</v>
      </c>
      <c r="B3589" s="11" t="str">
        <f>IF(D3589&lt;&gt;"",IF(COUNTIF('USPTO TMs'!A:A,D3589)&gt;0,"Yes","No"),"")</f>
        <v/>
      </c>
      <c r="C3589" s="11"/>
      <c r="D3589" s="11"/>
      <c r="E3589" s="11"/>
      <c r="F3589" s="11"/>
      <c r="G3589" s="11"/>
      <c r="H3589" s="11"/>
      <c r="I3589" s="15"/>
    </row>
    <row r="3590" spans="1:9" ht="16.5">
      <c r="A3590" s="10" t="b">
        <v>0</v>
      </c>
      <c r="B3590" s="11" t="str">
        <f>IF(D3590&lt;&gt;"",IF(COUNTIF('USPTO TMs'!A:A,D3590)&gt;0,"Yes","No"),"")</f>
        <v/>
      </c>
      <c r="C3590" s="11"/>
      <c r="D3590" s="11"/>
      <c r="E3590" s="11"/>
      <c r="F3590" s="11"/>
      <c r="G3590" s="11"/>
      <c r="H3590" s="11"/>
      <c r="I3590" s="15"/>
    </row>
    <row r="3591" spans="1:9" ht="16.5">
      <c r="A3591" s="10" t="b">
        <v>0</v>
      </c>
      <c r="B3591" s="11" t="str">
        <f>IF(D3591&lt;&gt;"",IF(COUNTIF('USPTO TMs'!A:A,D3591)&gt;0,"Yes","No"),"")</f>
        <v/>
      </c>
      <c r="C3591" s="11"/>
      <c r="D3591" s="11"/>
      <c r="E3591" s="11"/>
      <c r="F3591" s="11"/>
      <c r="G3591" s="11"/>
      <c r="H3591" s="11"/>
      <c r="I3591" s="15"/>
    </row>
    <row r="3592" spans="1:9" ht="16.5">
      <c r="A3592" s="10" t="b">
        <v>0</v>
      </c>
      <c r="B3592" s="11" t="str">
        <f>IF(D3592&lt;&gt;"",IF(COUNTIF('USPTO TMs'!A:A,D3592)&gt;0,"Yes","No"),"")</f>
        <v/>
      </c>
      <c r="C3592" s="11"/>
      <c r="D3592" s="11"/>
      <c r="E3592" s="11"/>
      <c r="F3592" s="11"/>
      <c r="G3592" s="11"/>
      <c r="H3592" s="11"/>
      <c r="I3592" s="15"/>
    </row>
    <row r="3593" spans="1:9" ht="16.5">
      <c r="A3593" s="10" t="b">
        <v>0</v>
      </c>
      <c r="B3593" s="11" t="str">
        <f>IF(D3593&lt;&gt;"",IF(COUNTIF('USPTO TMs'!A:A,D3593)&gt;0,"Yes","No"),"")</f>
        <v/>
      </c>
      <c r="C3593" s="11"/>
      <c r="D3593" s="11"/>
      <c r="E3593" s="11"/>
      <c r="F3593" s="11"/>
      <c r="G3593" s="11"/>
      <c r="H3593" s="11"/>
      <c r="I3593" s="15"/>
    </row>
    <row r="3594" spans="1:9" ht="16.5">
      <c r="A3594" s="10" t="b">
        <v>0</v>
      </c>
      <c r="B3594" s="11" t="str">
        <f>IF(D3594&lt;&gt;"",IF(COUNTIF('USPTO TMs'!A:A,D3594)&gt;0,"Yes","No"),"")</f>
        <v/>
      </c>
      <c r="C3594" s="11"/>
      <c r="D3594" s="11"/>
      <c r="E3594" s="11"/>
      <c r="F3594" s="11"/>
      <c r="G3594" s="11"/>
      <c r="H3594" s="11"/>
      <c r="I3594" s="15"/>
    </row>
    <row r="3595" spans="1:9" ht="16.5">
      <c r="A3595" s="10" t="b">
        <v>0</v>
      </c>
      <c r="B3595" s="11" t="str">
        <f>IF(D3595&lt;&gt;"",IF(COUNTIF('USPTO TMs'!A:A,D3595)&gt;0,"Yes","No"),"")</f>
        <v/>
      </c>
      <c r="C3595" s="11"/>
      <c r="D3595" s="11"/>
      <c r="E3595" s="11"/>
      <c r="F3595" s="11"/>
      <c r="G3595" s="11"/>
      <c r="H3595" s="11"/>
      <c r="I3595" s="15"/>
    </row>
    <row r="3596" spans="1:9" ht="16.5">
      <c r="A3596" s="10" t="b">
        <v>0</v>
      </c>
      <c r="B3596" s="11" t="str">
        <f>IF(D3596&lt;&gt;"",IF(COUNTIF('USPTO TMs'!A:A,D3596)&gt;0,"Yes","No"),"")</f>
        <v/>
      </c>
      <c r="C3596" s="11"/>
      <c r="D3596" s="11"/>
      <c r="E3596" s="11"/>
      <c r="F3596" s="11"/>
      <c r="G3596" s="11"/>
      <c r="H3596" s="11"/>
      <c r="I3596" s="15"/>
    </row>
    <row r="3597" spans="1:9" ht="16.5">
      <c r="A3597" s="10" t="b">
        <v>0</v>
      </c>
      <c r="B3597" s="11" t="str">
        <f>IF(D3597&lt;&gt;"",IF(COUNTIF('USPTO TMs'!A:A,D3597)&gt;0,"Yes","No"),"")</f>
        <v/>
      </c>
      <c r="C3597" s="11"/>
      <c r="D3597" s="11"/>
      <c r="E3597" s="11"/>
      <c r="F3597" s="11"/>
      <c r="G3597" s="11"/>
      <c r="H3597" s="11"/>
      <c r="I3597" s="15"/>
    </row>
    <row r="3598" spans="1:9" ht="16.5">
      <c r="A3598" s="10" t="b">
        <v>0</v>
      </c>
      <c r="B3598" s="11" t="str">
        <f>IF(D3598&lt;&gt;"",IF(COUNTIF('USPTO TMs'!A:A,D3598)&gt;0,"Yes","No"),"")</f>
        <v/>
      </c>
      <c r="C3598" s="11"/>
      <c r="D3598" s="11"/>
      <c r="E3598" s="11"/>
      <c r="F3598" s="11"/>
      <c r="G3598" s="11"/>
      <c r="H3598" s="11"/>
      <c r="I3598" s="15"/>
    </row>
    <row r="3599" spans="1:9" ht="16.5">
      <c r="A3599" s="10" t="b">
        <v>0</v>
      </c>
      <c r="B3599" s="11" t="str">
        <f>IF(D3599&lt;&gt;"",IF(COUNTIF('USPTO TMs'!A:A,D3599)&gt;0,"Yes","No"),"")</f>
        <v/>
      </c>
      <c r="C3599" s="11"/>
      <c r="D3599" s="11"/>
      <c r="E3599" s="11"/>
      <c r="F3599" s="11"/>
      <c r="G3599" s="11"/>
      <c r="H3599" s="11"/>
      <c r="I3599" s="15"/>
    </row>
    <row r="3600" spans="1:9" ht="16.5">
      <c r="A3600" s="10" t="b">
        <v>0</v>
      </c>
      <c r="B3600" s="11" t="str">
        <f>IF(D3600&lt;&gt;"",IF(COUNTIF('USPTO TMs'!A:A,D3600)&gt;0,"Yes","No"),"")</f>
        <v/>
      </c>
      <c r="C3600" s="11"/>
      <c r="D3600" s="11"/>
      <c r="E3600" s="11"/>
      <c r="F3600" s="11"/>
      <c r="G3600" s="11"/>
      <c r="H3600" s="11"/>
      <c r="I3600" s="15"/>
    </row>
    <row r="3601" spans="1:9" ht="16.5">
      <c r="A3601" s="10" t="b">
        <v>0</v>
      </c>
      <c r="B3601" s="11" t="str">
        <f>IF(D3601&lt;&gt;"",IF(COUNTIF('USPTO TMs'!A:A,D3601)&gt;0,"Yes","No"),"")</f>
        <v/>
      </c>
      <c r="C3601" s="11"/>
      <c r="D3601" s="11"/>
      <c r="E3601" s="11"/>
      <c r="F3601" s="11"/>
      <c r="G3601" s="11"/>
      <c r="H3601" s="11"/>
      <c r="I3601" s="15"/>
    </row>
    <row r="3602" spans="1:9" ht="16.5">
      <c r="A3602" s="10" t="b">
        <v>0</v>
      </c>
      <c r="B3602" s="11" t="str">
        <f>IF(D3602&lt;&gt;"",IF(COUNTIF('USPTO TMs'!A:A,D3602)&gt;0,"Yes","No"),"")</f>
        <v/>
      </c>
      <c r="C3602" s="11"/>
      <c r="D3602" s="11"/>
      <c r="E3602" s="11"/>
      <c r="F3602" s="11"/>
      <c r="G3602" s="11"/>
      <c r="H3602" s="11"/>
      <c r="I3602" s="15"/>
    </row>
    <row r="3603" spans="1:9" ht="16.5">
      <c r="A3603" s="10" t="b">
        <v>0</v>
      </c>
      <c r="B3603" s="11" t="str">
        <f>IF(D3603&lt;&gt;"",IF(COUNTIF('USPTO TMs'!A:A,D3603)&gt;0,"Yes","No"),"")</f>
        <v/>
      </c>
      <c r="C3603" s="11"/>
      <c r="D3603" s="11"/>
      <c r="E3603" s="11"/>
      <c r="F3603" s="11"/>
      <c r="G3603" s="11"/>
      <c r="H3603" s="11"/>
      <c r="I3603" s="15"/>
    </row>
    <row r="3604" spans="1:9" ht="16.5">
      <c r="A3604" s="10" t="b">
        <v>0</v>
      </c>
      <c r="B3604" s="11" t="str">
        <f>IF(D3604&lt;&gt;"",IF(COUNTIF('USPTO TMs'!A:A,D3604)&gt;0,"Yes","No"),"")</f>
        <v/>
      </c>
      <c r="C3604" s="11"/>
      <c r="D3604" s="11"/>
      <c r="E3604" s="11"/>
      <c r="F3604" s="11"/>
      <c r="G3604" s="11"/>
      <c r="H3604" s="11"/>
      <c r="I3604" s="15"/>
    </row>
    <row r="3605" spans="1:9" ht="16.5">
      <c r="A3605" s="10" t="b">
        <v>0</v>
      </c>
      <c r="B3605" s="11" t="str">
        <f>IF(D3605&lt;&gt;"",IF(COUNTIF('USPTO TMs'!A:A,D3605)&gt;0,"Yes","No"),"")</f>
        <v/>
      </c>
      <c r="C3605" s="11"/>
      <c r="D3605" s="11"/>
      <c r="E3605" s="11"/>
      <c r="F3605" s="11"/>
      <c r="G3605" s="11"/>
      <c r="H3605" s="11"/>
      <c r="I3605" s="15"/>
    </row>
    <row r="3606" spans="1:9" ht="16.5">
      <c r="A3606" s="10" t="b">
        <v>0</v>
      </c>
      <c r="B3606" s="11" t="str">
        <f>IF(D3606&lt;&gt;"",IF(COUNTIF('USPTO TMs'!A:A,D3606)&gt;0,"Yes","No"),"")</f>
        <v/>
      </c>
      <c r="C3606" s="11"/>
      <c r="D3606" s="11"/>
      <c r="E3606" s="11"/>
      <c r="F3606" s="11"/>
      <c r="G3606" s="11"/>
      <c r="H3606" s="11"/>
      <c r="I3606" s="15"/>
    </row>
    <row r="3607" spans="1:9" ht="16.5">
      <c r="A3607" s="10" t="b">
        <v>0</v>
      </c>
      <c r="B3607" s="11" t="str">
        <f>IF(D3607&lt;&gt;"",IF(COUNTIF('USPTO TMs'!A:A,D3607)&gt;0,"Yes","No"),"")</f>
        <v/>
      </c>
      <c r="C3607" s="11"/>
      <c r="D3607" s="11"/>
      <c r="E3607" s="11"/>
      <c r="F3607" s="11"/>
      <c r="G3607" s="11"/>
      <c r="H3607" s="11"/>
      <c r="I3607" s="15"/>
    </row>
    <row r="3608" spans="1:9" ht="16.5">
      <c r="A3608" s="10" t="b">
        <v>0</v>
      </c>
      <c r="B3608" s="11" t="str">
        <f>IF(D3608&lt;&gt;"",IF(COUNTIF('USPTO TMs'!A:A,D3608)&gt;0,"Yes","No"),"")</f>
        <v/>
      </c>
      <c r="C3608" s="11"/>
      <c r="D3608" s="11"/>
      <c r="E3608" s="11"/>
      <c r="F3608" s="11"/>
      <c r="G3608" s="11"/>
      <c r="H3608" s="11"/>
      <c r="I3608" s="15"/>
    </row>
    <row r="3609" spans="1:9" ht="16.5">
      <c r="A3609" s="10" t="b">
        <v>0</v>
      </c>
      <c r="B3609" s="11" t="str">
        <f>IF(D3609&lt;&gt;"",IF(COUNTIF('USPTO TMs'!A:A,D3609)&gt;0,"Yes","No"),"")</f>
        <v/>
      </c>
      <c r="C3609" s="11"/>
      <c r="D3609" s="11"/>
      <c r="E3609" s="11"/>
      <c r="F3609" s="11"/>
      <c r="G3609" s="11"/>
      <c r="H3609" s="11"/>
      <c r="I3609" s="15"/>
    </row>
    <row r="3610" spans="1:9" ht="16.5">
      <c r="A3610" s="10" t="b">
        <v>0</v>
      </c>
      <c r="B3610" s="11" t="str">
        <f>IF(D3610&lt;&gt;"",IF(COUNTIF('USPTO TMs'!A:A,D3610)&gt;0,"Yes","No"),"")</f>
        <v/>
      </c>
      <c r="C3610" s="11"/>
      <c r="D3610" s="11"/>
      <c r="E3610" s="11"/>
      <c r="F3610" s="11"/>
      <c r="G3610" s="11"/>
      <c r="H3610" s="11"/>
      <c r="I3610" s="15"/>
    </row>
    <row r="3611" spans="1:9" ht="16.5">
      <c r="A3611" s="10" t="b">
        <v>0</v>
      </c>
      <c r="B3611" s="11" t="str">
        <f>IF(D3611&lt;&gt;"",IF(COUNTIF('USPTO TMs'!A:A,D3611)&gt;0,"Yes","No"),"")</f>
        <v/>
      </c>
      <c r="C3611" s="11"/>
      <c r="D3611" s="11"/>
      <c r="E3611" s="11"/>
      <c r="F3611" s="11"/>
      <c r="G3611" s="11"/>
      <c r="H3611" s="11"/>
      <c r="I3611" s="15"/>
    </row>
    <row r="3612" spans="1:9" ht="16.5">
      <c r="A3612" s="10" t="b">
        <v>0</v>
      </c>
      <c r="B3612" s="11" t="str">
        <f>IF(D3612&lt;&gt;"",IF(COUNTIF('USPTO TMs'!A:A,D3612)&gt;0,"Yes","No"),"")</f>
        <v/>
      </c>
      <c r="C3612" s="11"/>
      <c r="D3612" s="11"/>
      <c r="E3612" s="11"/>
      <c r="F3612" s="11"/>
      <c r="G3612" s="11"/>
      <c r="H3612" s="11"/>
      <c r="I3612" s="15"/>
    </row>
    <row r="3613" spans="1:9" ht="16.5">
      <c r="A3613" s="10" t="b">
        <v>0</v>
      </c>
      <c r="B3613" s="11" t="str">
        <f>IF(D3613&lt;&gt;"",IF(COUNTIF('USPTO TMs'!A:A,D3613)&gt;0,"Yes","No"),"")</f>
        <v/>
      </c>
      <c r="C3613" s="11"/>
      <c r="D3613" s="11"/>
      <c r="E3613" s="11"/>
      <c r="F3613" s="11"/>
      <c r="G3613" s="11"/>
      <c r="H3613" s="11"/>
      <c r="I3613" s="15"/>
    </row>
    <row r="3614" spans="1:9" ht="16.5">
      <c r="A3614" s="10" t="b">
        <v>0</v>
      </c>
      <c r="B3614" s="11" t="str">
        <f>IF(D3614&lt;&gt;"",IF(COUNTIF('USPTO TMs'!A:A,D3614)&gt;0,"Yes","No"),"")</f>
        <v/>
      </c>
      <c r="C3614" s="11"/>
      <c r="D3614" s="11"/>
      <c r="E3614" s="11"/>
      <c r="F3614" s="11"/>
      <c r="G3614" s="11"/>
      <c r="H3614" s="11"/>
      <c r="I3614" s="15"/>
    </row>
    <row r="3615" spans="1:9" ht="16.5">
      <c r="A3615" s="10" t="b">
        <v>0</v>
      </c>
      <c r="B3615" s="11" t="str">
        <f>IF(D3615&lt;&gt;"",IF(COUNTIF('USPTO TMs'!A:A,D3615)&gt;0,"Yes","No"),"")</f>
        <v/>
      </c>
      <c r="C3615" s="11"/>
      <c r="D3615" s="11"/>
      <c r="E3615" s="11"/>
      <c r="F3615" s="11"/>
      <c r="G3615" s="11"/>
      <c r="H3615" s="11"/>
      <c r="I3615" s="15"/>
    </row>
    <row r="3616" spans="1:9" ht="16.5">
      <c r="A3616" s="10" t="b">
        <v>0</v>
      </c>
      <c r="B3616" s="11" t="str">
        <f>IF(D3616&lt;&gt;"",IF(COUNTIF('USPTO TMs'!A:A,D3616)&gt;0,"Yes","No"),"")</f>
        <v/>
      </c>
      <c r="C3616" s="11"/>
      <c r="D3616" s="11"/>
      <c r="E3616" s="11"/>
      <c r="F3616" s="11"/>
      <c r="G3616" s="11"/>
      <c r="H3616" s="11"/>
      <c r="I3616" s="15"/>
    </row>
    <row r="3617" spans="1:9" ht="16.5">
      <c r="A3617" s="10" t="b">
        <v>0</v>
      </c>
      <c r="B3617" s="11" t="str">
        <f>IF(D3617&lt;&gt;"",IF(COUNTIF('USPTO TMs'!A:A,D3617)&gt;0,"Yes","No"),"")</f>
        <v/>
      </c>
      <c r="C3617" s="11"/>
      <c r="D3617" s="11"/>
      <c r="E3617" s="11"/>
      <c r="F3617" s="11"/>
      <c r="G3617" s="11"/>
      <c r="H3617" s="11"/>
      <c r="I3617" s="15"/>
    </row>
    <row r="3618" spans="1:9" ht="16.5">
      <c r="A3618" s="10" t="b">
        <v>0</v>
      </c>
      <c r="B3618" s="11" t="str">
        <f>IF(D3618&lt;&gt;"",IF(COUNTIF('USPTO TMs'!A:A,D3618)&gt;0,"Yes","No"),"")</f>
        <v/>
      </c>
      <c r="C3618" s="11"/>
      <c r="D3618" s="11"/>
      <c r="E3618" s="11"/>
      <c r="F3618" s="11"/>
      <c r="G3618" s="11"/>
      <c r="H3618" s="11"/>
      <c r="I3618" s="15"/>
    </row>
    <row r="3619" spans="1:9" ht="16.5">
      <c r="A3619" s="10" t="b">
        <v>0</v>
      </c>
      <c r="B3619" s="11" t="str">
        <f>IF(D3619&lt;&gt;"",IF(COUNTIF('USPTO TMs'!A:A,D3619)&gt;0,"Yes","No"),"")</f>
        <v/>
      </c>
      <c r="C3619" s="11"/>
      <c r="D3619" s="11"/>
      <c r="E3619" s="11"/>
      <c r="F3619" s="11"/>
      <c r="G3619" s="11"/>
      <c r="H3619" s="11"/>
      <c r="I3619" s="15"/>
    </row>
    <row r="3620" spans="1:9" ht="16.5">
      <c r="A3620" s="10" t="b">
        <v>0</v>
      </c>
      <c r="B3620" s="11" t="str">
        <f>IF(D3620&lt;&gt;"",IF(COUNTIF('USPTO TMs'!A:A,D3620)&gt;0,"Yes","No"),"")</f>
        <v/>
      </c>
      <c r="C3620" s="11"/>
      <c r="D3620" s="11"/>
      <c r="E3620" s="11"/>
      <c r="F3620" s="11"/>
      <c r="G3620" s="11"/>
      <c r="H3620" s="11"/>
      <c r="I3620" s="15"/>
    </row>
    <row r="3621" spans="1:9" ht="16.5">
      <c r="A3621" s="10" t="b">
        <v>0</v>
      </c>
      <c r="B3621" s="11" t="str">
        <f>IF(D3621&lt;&gt;"",IF(COUNTIF('USPTO TMs'!A:A,D3621)&gt;0,"Yes","No"),"")</f>
        <v/>
      </c>
      <c r="C3621" s="11"/>
      <c r="D3621" s="11"/>
      <c r="E3621" s="11"/>
      <c r="F3621" s="11"/>
      <c r="G3621" s="11"/>
      <c r="H3621" s="11"/>
      <c r="I3621" s="15"/>
    </row>
    <row r="3622" spans="1:9" ht="16.5">
      <c r="A3622" s="10" t="b">
        <v>0</v>
      </c>
      <c r="B3622" s="11" t="str">
        <f>IF(D3622&lt;&gt;"",IF(COUNTIF('USPTO TMs'!A:A,D3622)&gt;0,"Yes","No"),"")</f>
        <v/>
      </c>
      <c r="C3622" s="11"/>
      <c r="D3622" s="11"/>
      <c r="E3622" s="11"/>
      <c r="F3622" s="11"/>
      <c r="G3622" s="11"/>
      <c r="H3622" s="11"/>
      <c r="I3622" s="15"/>
    </row>
    <row r="3623" spans="1:9" ht="16.5">
      <c r="A3623" s="10" t="b">
        <v>0</v>
      </c>
      <c r="B3623" s="11" t="str">
        <f>IF(D3623&lt;&gt;"",IF(COUNTIF('USPTO TMs'!A:A,D3623)&gt;0,"Yes","No"),"")</f>
        <v/>
      </c>
      <c r="C3623" s="11"/>
      <c r="D3623" s="11"/>
      <c r="E3623" s="11"/>
      <c r="F3623" s="11"/>
      <c r="G3623" s="11"/>
      <c r="H3623" s="11"/>
      <c r="I3623" s="15"/>
    </row>
    <row r="3624" spans="1:9" ht="16.5">
      <c r="A3624" s="10" t="b">
        <v>0</v>
      </c>
      <c r="B3624" s="11" t="str">
        <f>IF(D3624&lt;&gt;"",IF(COUNTIF('USPTO TMs'!A:A,D3624)&gt;0,"Yes","No"),"")</f>
        <v/>
      </c>
      <c r="C3624" s="11"/>
      <c r="D3624" s="11"/>
      <c r="E3624" s="11"/>
      <c r="F3624" s="11"/>
      <c r="G3624" s="11"/>
      <c r="H3624" s="11"/>
      <c r="I3624" s="15"/>
    </row>
    <row r="3625" spans="1:9" ht="16.5">
      <c r="A3625" s="10" t="b">
        <v>0</v>
      </c>
      <c r="B3625" s="11" t="str">
        <f>IF(D3625&lt;&gt;"",IF(COUNTIF('USPTO TMs'!A:A,D3625)&gt;0,"Yes","No"),"")</f>
        <v/>
      </c>
      <c r="C3625" s="11"/>
      <c r="D3625" s="11"/>
      <c r="E3625" s="11"/>
      <c r="F3625" s="11"/>
      <c r="G3625" s="11"/>
      <c r="H3625" s="11"/>
      <c r="I3625" s="15"/>
    </row>
    <row r="3626" spans="1:9" ht="16.5">
      <c r="A3626" s="10" t="b">
        <v>0</v>
      </c>
      <c r="B3626" s="11" t="str">
        <f>IF(D3626&lt;&gt;"",IF(COUNTIF('USPTO TMs'!A:A,D3626)&gt;0,"Yes","No"),"")</f>
        <v/>
      </c>
      <c r="C3626" s="11"/>
      <c r="D3626" s="11"/>
      <c r="E3626" s="11"/>
      <c r="F3626" s="11"/>
      <c r="G3626" s="11"/>
      <c r="H3626" s="11"/>
      <c r="I3626" s="15"/>
    </row>
    <row r="3627" spans="1:9" ht="16.5">
      <c r="A3627" s="10" t="b">
        <v>0</v>
      </c>
      <c r="B3627" s="11" t="str">
        <f>IF(D3627&lt;&gt;"",IF(COUNTIF('USPTO TMs'!A:A,D3627)&gt;0,"Yes","No"),"")</f>
        <v/>
      </c>
      <c r="C3627" s="11"/>
      <c r="D3627" s="11"/>
      <c r="E3627" s="11"/>
      <c r="F3627" s="11"/>
      <c r="G3627" s="11"/>
      <c r="H3627" s="11"/>
      <c r="I3627" s="15"/>
    </row>
    <row r="3628" spans="1:9" ht="16.5">
      <c r="A3628" s="10" t="b">
        <v>0</v>
      </c>
      <c r="B3628" s="11" t="str">
        <f>IF(D3628&lt;&gt;"",IF(COUNTIF('USPTO TMs'!A:A,D3628)&gt;0,"Yes","No"),"")</f>
        <v/>
      </c>
      <c r="C3628" s="11"/>
      <c r="D3628" s="11"/>
      <c r="E3628" s="11"/>
      <c r="F3628" s="11"/>
      <c r="G3628" s="11"/>
      <c r="H3628" s="11"/>
      <c r="I3628" s="15"/>
    </row>
    <row r="3629" spans="1:9" ht="16.5">
      <c r="A3629" s="10" t="b">
        <v>0</v>
      </c>
      <c r="B3629" s="11" t="str">
        <f>IF(D3629&lt;&gt;"",IF(COUNTIF('USPTO TMs'!A:A,D3629)&gt;0,"Yes","No"),"")</f>
        <v/>
      </c>
      <c r="C3629" s="11"/>
      <c r="D3629" s="11"/>
      <c r="E3629" s="11"/>
      <c r="F3629" s="11"/>
      <c r="G3629" s="11"/>
      <c r="H3629" s="11"/>
      <c r="I3629" s="15"/>
    </row>
    <row r="3630" spans="1:9" ht="16.5">
      <c r="A3630" s="10" t="b">
        <v>0</v>
      </c>
      <c r="B3630" s="11" t="str">
        <f>IF(D3630&lt;&gt;"",IF(COUNTIF('USPTO TMs'!A:A,D3630)&gt;0,"Yes","No"),"")</f>
        <v/>
      </c>
      <c r="C3630" s="11"/>
      <c r="D3630" s="11"/>
      <c r="E3630" s="11"/>
      <c r="F3630" s="11"/>
      <c r="G3630" s="11"/>
      <c r="H3630" s="11"/>
      <c r="I3630" s="15"/>
    </row>
    <row r="3631" spans="1:9" ht="16.5">
      <c r="A3631" s="10" t="b">
        <v>0</v>
      </c>
      <c r="B3631" s="11" t="str">
        <f>IF(D3631&lt;&gt;"",IF(COUNTIF('USPTO TMs'!A:A,D3631)&gt;0,"Yes","No"),"")</f>
        <v/>
      </c>
      <c r="C3631" s="11"/>
      <c r="D3631" s="11"/>
      <c r="E3631" s="11"/>
      <c r="F3631" s="11"/>
      <c r="G3631" s="11"/>
      <c r="H3631" s="11"/>
      <c r="I3631" s="15"/>
    </row>
    <row r="3632" spans="1:9" ht="16.5">
      <c r="A3632" s="10" t="b">
        <v>0</v>
      </c>
      <c r="B3632" s="11" t="str">
        <f>IF(D3632&lt;&gt;"",IF(COUNTIF('USPTO TMs'!A:A,D3632)&gt;0,"Yes","No"),"")</f>
        <v/>
      </c>
      <c r="C3632" s="11"/>
      <c r="D3632" s="11"/>
      <c r="E3632" s="11"/>
      <c r="F3632" s="11"/>
      <c r="G3632" s="11"/>
      <c r="H3632" s="11"/>
      <c r="I3632" s="15"/>
    </row>
    <row r="3633" spans="1:9" ht="16.5">
      <c r="A3633" s="10" t="b">
        <v>0</v>
      </c>
      <c r="B3633" s="11" t="str">
        <f>IF(D3633&lt;&gt;"",IF(COUNTIF('USPTO TMs'!A:A,D3633)&gt;0,"Yes","No"),"")</f>
        <v/>
      </c>
      <c r="C3633" s="11"/>
      <c r="D3633" s="11"/>
      <c r="E3633" s="11"/>
      <c r="F3633" s="11"/>
      <c r="G3633" s="11"/>
      <c r="H3633" s="11"/>
      <c r="I3633" s="15"/>
    </row>
    <row r="3634" spans="1:9" ht="16.5">
      <c r="A3634" s="10" t="b">
        <v>0</v>
      </c>
      <c r="B3634" s="11" t="str">
        <f>IF(D3634&lt;&gt;"",IF(COUNTIF('USPTO TMs'!A:A,D3634)&gt;0,"Yes","No"),"")</f>
        <v/>
      </c>
      <c r="C3634" s="11"/>
      <c r="D3634" s="11"/>
      <c r="E3634" s="11"/>
      <c r="F3634" s="11"/>
      <c r="G3634" s="11"/>
      <c r="H3634" s="11"/>
      <c r="I3634" s="15"/>
    </row>
    <row r="3635" spans="1:9" ht="16.5">
      <c r="A3635" s="10" t="b">
        <v>0</v>
      </c>
      <c r="B3635" s="11" t="str">
        <f>IF(D3635&lt;&gt;"",IF(COUNTIF('USPTO TMs'!A:A,D3635)&gt;0,"Yes","No"),"")</f>
        <v/>
      </c>
      <c r="C3635" s="11"/>
      <c r="D3635" s="11"/>
      <c r="E3635" s="11"/>
      <c r="F3635" s="11"/>
      <c r="G3635" s="11"/>
      <c r="H3635" s="11"/>
      <c r="I3635" s="15"/>
    </row>
    <row r="3636" spans="1:9" ht="16.5">
      <c r="A3636" s="10" t="b">
        <v>0</v>
      </c>
      <c r="B3636" s="11" t="str">
        <f>IF(D3636&lt;&gt;"",IF(COUNTIF('USPTO TMs'!A:A,D3636)&gt;0,"Yes","No"),"")</f>
        <v/>
      </c>
      <c r="C3636" s="11"/>
      <c r="D3636" s="11"/>
      <c r="E3636" s="11"/>
      <c r="F3636" s="11"/>
      <c r="G3636" s="11"/>
      <c r="H3636" s="11"/>
      <c r="I3636" s="15"/>
    </row>
    <row r="3637" spans="1:9" ht="16.5">
      <c r="A3637" s="10" t="b">
        <v>0</v>
      </c>
      <c r="B3637" s="11" t="str">
        <f>IF(D3637&lt;&gt;"",IF(COUNTIF('USPTO TMs'!A:A,D3637)&gt;0,"Yes","No"),"")</f>
        <v/>
      </c>
      <c r="C3637" s="11"/>
      <c r="D3637" s="11"/>
      <c r="E3637" s="11"/>
      <c r="F3637" s="11"/>
      <c r="G3637" s="11"/>
      <c r="H3637" s="11"/>
      <c r="I3637" s="15"/>
    </row>
    <row r="3638" spans="1:9" ht="16.5">
      <c r="A3638" s="10" t="b">
        <v>0</v>
      </c>
      <c r="B3638" s="11" t="str">
        <f>IF(D3638&lt;&gt;"",IF(COUNTIF('USPTO TMs'!A:A,D3638)&gt;0,"Yes","No"),"")</f>
        <v/>
      </c>
      <c r="C3638" s="11"/>
      <c r="D3638" s="11"/>
      <c r="E3638" s="11"/>
      <c r="F3638" s="11"/>
      <c r="G3638" s="11"/>
      <c r="H3638" s="11"/>
      <c r="I3638" s="15"/>
    </row>
    <row r="3639" spans="1:9" ht="16.5">
      <c r="A3639" s="10" t="b">
        <v>0</v>
      </c>
      <c r="B3639" s="11" t="str">
        <f>IF(D3639&lt;&gt;"",IF(COUNTIF('USPTO TMs'!A:A,D3639)&gt;0,"Yes","No"),"")</f>
        <v/>
      </c>
      <c r="C3639" s="11"/>
      <c r="D3639" s="11"/>
      <c r="E3639" s="11"/>
      <c r="F3639" s="11"/>
      <c r="G3639" s="11"/>
      <c r="H3639" s="11"/>
      <c r="I3639" s="15"/>
    </row>
    <row r="3640" spans="1:9" ht="16.5">
      <c r="A3640" s="10" t="b">
        <v>0</v>
      </c>
      <c r="B3640" s="11" t="str">
        <f>IF(D3640&lt;&gt;"",IF(COUNTIF('USPTO TMs'!A:A,D3640)&gt;0,"Yes","No"),"")</f>
        <v/>
      </c>
      <c r="C3640" s="11"/>
      <c r="D3640" s="11"/>
      <c r="E3640" s="11"/>
      <c r="F3640" s="11"/>
      <c r="G3640" s="11"/>
      <c r="H3640" s="11"/>
      <c r="I3640" s="15"/>
    </row>
    <row r="3641" spans="1:9" ht="16.5">
      <c r="A3641" s="10" t="b">
        <v>0</v>
      </c>
      <c r="B3641" s="11" t="str">
        <f>IF(D3641&lt;&gt;"",IF(COUNTIF('USPTO TMs'!A:A,D3641)&gt;0,"Yes","No"),"")</f>
        <v/>
      </c>
      <c r="C3641" s="11"/>
      <c r="D3641" s="11"/>
      <c r="E3641" s="11"/>
      <c r="F3641" s="11"/>
      <c r="G3641" s="11"/>
      <c r="H3641" s="11"/>
      <c r="I3641" s="15"/>
    </row>
    <row r="3642" spans="1:9" ht="16.5">
      <c r="A3642" s="10" t="b">
        <v>0</v>
      </c>
      <c r="B3642" s="11" t="str">
        <f>IF(D3642&lt;&gt;"",IF(COUNTIF('USPTO TMs'!A:A,D3642)&gt;0,"Yes","No"),"")</f>
        <v/>
      </c>
      <c r="C3642" s="11"/>
      <c r="D3642" s="11"/>
      <c r="E3642" s="11"/>
      <c r="F3642" s="11"/>
      <c r="G3642" s="11"/>
      <c r="H3642" s="11"/>
      <c r="I3642" s="15"/>
    </row>
    <row r="3643" spans="1:9" ht="16.5">
      <c r="A3643" s="10" t="b">
        <v>0</v>
      </c>
      <c r="B3643" s="11" t="str">
        <f>IF(D3643&lt;&gt;"",IF(COUNTIF('USPTO TMs'!A:A,D3643)&gt;0,"Yes","No"),"")</f>
        <v/>
      </c>
      <c r="C3643" s="11"/>
      <c r="D3643" s="11"/>
      <c r="E3643" s="11"/>
      <c r="F3643" s="11"/>
      <c r="G3643" s="11"/>
      <c r="H3643" s="11"/>
      <c r="I3643" s="15"/>
    </row>
    <row r="3644" spans="1:9" ht="16.5">
      <c r="A3644" s="10" t="b">
        <v>0</v>
      </c>
      <c r="B3644" s="11" t="str">
        <f>IF(D3644&lt;&gt;"",IF(COUNTIF('USPTO TMs'!A:A,D3644)&gt;0,"Yes","No"),"")</f>
        <v/>
      </c>
      <c r="C3644" s="11"/>
      <c r="D3644" s="11"/>
      <c r="E3644" s="11"/>
      <c r="F3644" s="11"/>
      <c r="G3644" s="11"/>
      <c r="H3644" s="11"/>
      <c r="I3644" s="15"/>
    </row>
    <row r="3645" spans="1:9" ht="16.5">
      <c r="A3645" s="10" t="b">
        <v>0</v>
      </c>
      <c r="B3645" s="11" t="str">
        <f>IF(D3645&lt;&gt;"",IF(COUNTIF('USPTO TMs'!A:A,D3645)&gt;0,"Yes","No"),"")</f>
        <v/>
      </c>
      <c r="C3645" s="11"/>
      <c r="D3645" s="11"/>
      <c r="E3645" s="11"/>
      <c r="F3645" s="11"/>
      <c r="G3645" s="11"/>
      <c r="H3645" s="11"/>
      <c r="I3645" s="15"/>
    </row>
    <row r="3646" spans="1:9" ht="16.5">
      <c r="A3646" s="10" t="b">
        <v>0</v>
      </c>
      <c r="B3646" s="11" t="str">
        <f>IF(D3646&lt;&gt;"",IF(COUNTIF('USPTO TMs'!A:A,D3646)&gt;0,"Yes","No"),"")</f>
        <v/>
      </c>
      <c r="C3646" s="11"/>
      <c r="D3646" s="11"/>
      <c r="E3646" s="11"/>
      <c r="F3646" s="11"/>
      <c r="G3646" s="11"/>
      <c r="H3646" s="11"/>
      <c r="I3646" s="15"/>
    </row>
    <row r="3647" spans="1:9" ht="16.5">
      <c r="A3647" s="10" t="b">
        <v>0</v>
      </c>
      <c r="B3647" s="11" t="str">
        <f>IF(D3647&lt;&gt;"",IF(COUNTIF('USPTO TMs'!A:A,D3647)&gt;0,"Yes","No"),"")</f>
        <v/>
      </c>
      <c r="C3647" s="11"/>
      <c r="D3647" s="11"/>
      <c r="E3647" s="11"/>
      <c r="F3647" s="11"/>
      <c r="G3647" s="11"/>
      <c r="H3647" s="11"/>
      <c r="I3647" s="15"/>
    </row>
    <row r="3648" spans="1:9" ht="16.5">
      <c r="A3648" s="10" t="b">
        <v>0</v>
      </c>
      <c r="B3648" s="11" t="str">
        <f>IF(D3648&lt;&gt;"",IF(COUNTIF('USPTO TMs'!A:A,D3648)&gt;0,"Yes","No"),"")</f>
        <v/>
      </c>
      <c r="C3648" s="11"/>
      <c r="D3648" s="11"/>
      <c r="E3648" s="11"/>
      <c r="F3648" s="11"/>
      <c r="G3648" s="11"/>
      <c r="H3648" s="11"/>
      <c r="I3648" s="15"/>
    </row>
    <row r="3649" spans="1:9" ht="16.5">
      <c r="A3649" s="10" t="b">
        <v>0</v>
      </c>
      <c r="B3649" s="11" t="str">
        <f>IF(D3649&lt;&gt;"",IF(COUNTIF('USPTO TMs'!A:A,D3649)&gt;0,"Yes","No"),"")</f>
        <v/>
      </c>
      <c r="C3649" s="11"/>
      <c r="D3649" s="11"/>
      <c r="E3649" s="11"/>
      <c r="F3649" s="11"/>
      <c r="G3649" s="11"/>
      <c r="H3649" s="11"/>
      <c r="I3649" s="15"/>
    </row>
    <row r="3650" spans="1:9" ht="16.5">
      <c r="A3650" s="10" t="b">
        <v>0</v>
      </c>
      <c r="B3650" s="11" t="str">
        <f>IF(D3650&lt;&gt;"",IF(COUNTIF('USPTO TMs'!A:A,D3650)&gt;0,"Yes","No"),"")</f>
        <v/>
      </c>
      <c r="C3650" s="11"/>
      <c r="D3650" s="11"/>
      <c r="E3650" s="11"/>
      <c r="F3650" s="11"/>
      <c r="G3650" s="11"/>
      <c r="H3650" s="11"/>
      <c r="I3650" s="15"/>
    </row>
    <row r="3651" spans="1:9" ht="16.5">
      <c r="A3651" s="10" t="b">
        <v>0</v>
      </c>
      <c r="B3651" s="11" t="str">
        <f>IF(D3651&lt;&gt;"",IF(COUNTIF('USPTO TMs'!A:A,D3651)&gt;0,"Yes","No"),"")</f>
        <v/>
      </c>
      <c r="C3651" s="11"/>
      <c r="D3651" s="11"/>
      <c r="E3651" s="11"/>
      <c r="F3651" s="11"/>
      <c r="G3651" s="11"/>
      <c r="H3651" s="11"/>
      <c r="I3651" s="15"/>
    </row>
    <row r="3652" spans="1:9" ht="16.5">
      <c r="A3652" s="10" t="b">
        <v>0</v>
      </c>
      <c r="B3652" s="11" t="str">
        <f>IF(D3652&lt;&gt;"",IF(COUNTIF('USPTO TMs'!A:A,D3652)&gt;0,"Yes","No"),"")</f>
        <v/>
      </c>
      <c r="C3652" s="11"/>
      <c r="D3652" s="11"/>
      <c r="E3652" s="11"/>
      <c r="F3652" s="11"/>
      <c r="G3652" s="11"/>
      <c r="H3652" s="11"/>
      <c r="I3652" s="15"/>
    </row>
    <row r="3653" spans="1:9" ht="16.5">
      <c r="A3653" s="10" t="b">
        <v>0</v>
      </c>
      <c r="B3653" s="11" t="str">
        <f>IF(D3653&lt;&gt;"",IF(COUNTIF('USPTO TMs'!A:A,D3653)&gt;0,"Yes","No"),"")</f>
        <v/>
      </c>
      <c r="C3653" s="11"/>
      <c r="D3653" s="11"/>
      <c r="E3653" s="11"/>
      <c r="F3653" s="11"/>
      <c r="G3653" s="11"/>
      <c r="H3653" s="11"/>
      <c r="I3653" s="15"/>
    </row>
    <row r="3654" spans="1:9" ht="16.5">
      <c r="A3654" s="10" t="b">
        <v>0</v>
      </c>
      <c r="B3654" s="11" t="str">
        <f>IF(D3654&lt;&gt;"",IF(COUNTIF('USPTO TMs'!A:A,D3654)&gt;0,"Yes","No"),"")</f>
        <v/>
      </c>
      <c r="C3654" s="11"/>
      <c r="D3654" s="11"/>
      <c r="E3654" s="11"/>
      <c r="F3654" s="11"/>
      <c r="G3654" s="11"/>
      <c r="H3654" s="11"/>
      <c r="I3654" s="15"/>
    </row>
    <row r="3655" spans="1:9" ht="16.5">
      <c r="A3655" s="10" t="b">
        <v>0</v>
      </c>
      <c r="B3655" s="11" t="str">
        <f>IF(D3655&lt;&gt;"",IF(COUNTIF('USPTO TMs'!A:A,D3655)&gt;0,"Yes","No"),"")</f>
        <v/>
      </c>
      <c r="C3655" s="11"/>
      <c r="D3655" s="11"/>
      <c r="E3655" s="11"/>
      <c r="F3655" s="11"/>
      <c r="G3655" s="11"/>
      <c r="H3655" s="11"/>
      <c r="I3655" s="15"/>
    </row>
    <row r="3656" spans="1:9" ht="16.5">
      <c r="A3656" s="10" t="b">
        <v>0</v>
      </c>
      <c r="B3656" s="11" t="str">
        <f>IF(D3656&lt;&gt;"",IF(COUNTIF('USPTO TMs'!A:A,D3656)&gt;0,"Yes","No"),"")</f>
        <v/>
      </c>
      <c r="C3656" s="11"/>
      <c r="D3656" s="11"/>
      <c r="E3656" s="11"/>
      <c r="F3656" s="11"/>
      <c r="G3656" s="11"/>
      <c r="H3656" s="11"/>
      <c r="I3656" s="15"/>
    </row>
    <row r="3657" spans="1:9" ht="16.5">
      <c r="A3657" s="10" t="b">
        <v>0</v>
      </c>
      <c r="B3657" s="11" t="str">
        <f>IF(D3657&lt;&gt;"",IF(COUNTIF('USPTO TMs'!A:A,D3657)&gt;0,"Yes","No"),"")</f>
        <v/>
      </c>
      <c r="C3657" s="11"/>
      <c r="D3657" s="11"/>
      <c r="E3657" s="11"/>
      <c r="F3657" s="11"/>
      <c r="G3657" s="11"/>
      <c r="H3657" s="11"/>
      <c r="I3657" s="15"/>
    </row>
    <row r="3658" spans="1:9" ht="16.5">
      <c r="A3658" s="10" t="b">
        <v>0</v>
      </c>
      <c r="B3658" s="11" t="str">
        <f>IF(D3658&lt;&gt;"",IF(COUNTIF('USPTO TMs'!A:A,D3658)&gt;0,"Yes","No"),"")</f>
        <v/>
      </c>
      <c r="C3658" s="11"/>
      <c r="D3658" s="11"/>
      <c r="E3658" s="11"/>
      <c r="F3658" s="11"/>
      <c r="G3658" s="11"/>
      <c r="H3658" s="11"/>
      <c r="I3658" s="15"/>
    </row>
    <row r="3659" spans="1:9" ht="16.5">
      <c r="A3659" s="10" t="b">
        <v>0</v>
      </c>
      <c r="B3659" s="11" t="str">
        <f>IF(D3659&lt;&gt;"",IF(COUNTIF('USPTO TMs'!A:A,D3659)&gt;0,"Yes","No"),"")</f>
        <v/>
      </c>
      <c r="C3659" s="11"/>
      <c r="D3659" s="11"/>
      <c r="E3659" s="11"/>
      <c r="F3659" s="11"/>
      <c r="G3659" s="11"/>
      <c r="H3659" s="11"/>
      <c r="I3659" s="15"/>
    </row>
    <row r="3660" spans="1:9" ht="16.5">
      <c r="A3660" s="10" t="b">
        <v>0</v>
      </c>
      <c r="B3660" s="11" t="str">
        <f>IF(D3660&lt;&gt;"",IF(COUNTIF('USPTO TMs'!A:A,D3660)&gt;0,"Yes","No"),"")</f>
        <v/>
      </c>
      <c r="C3660" s="11"/>
      <c r="D3660" s="11"/>
      <c r="E3660" s="11"/>
      <c r="F3660" s="11"/>
      <c r="G3660" s="11"/>
      <c r="H3660" s="11"/>
      <c r="I3660" s="15"/>
    </row>
    <row r="3661" spans="1:9" ht="16.5">
      <c r="A3661" s="10" t="b">
        <v>0</v>
      </c>
      <c r="B3661" s="11" t="str">
        <f>IF(D3661&lt;&gt;"",IF(COUNTIF('USPTO TMs'!A:A,D3661)&gt;0,"Yes","No"),"")</f>
        <v/>
      </c>
      <c r="C3661" s="11"/>
      <c r="D3661" s="11"/>
      <c r="E3661" s="11"/>
      <c r="F3661" s="11"/>
      <c r="G3661" s="11"/>
      <c r="H3661" s="11"/>
      <c r="I3661" s="15"/>
    </row>
    <row r="3662" spans="1:9" ht="16.5">
      <c r="A3662" s="10" t="b">
        <v>0</v>
      </c>
      <c r="B3662" s="11" t="str">
        <f>IF(D3662&lt;&gt;"",IF(COUNTIF('USPTO TMs'!A:A,D3662)&gt;0,"Yes","No"),"")</f>
        <v/>
      </c>
      <c r="C3662" s="11"/>
      <c r="D3662" s="11"/>
      <c r="E3662" s="11"/>
      <c r="F3662" s="11"/>
      <c r="G3662" s="11"/>
      <c r="H3662" s="11"/>
      <c r="I3662" s="15"/>
    </row>
    <row r="3663" spans="1:9" ht="16.5">
      <c r="A3663" s="10" t="b">
        <v>0</v>
      </c>
      <c r="B3663" s="11" t="str">
        <f>IF(D3663&lt;&gt;"",IF(COUNTIF('USPTO TMs'!A:A,D3663)&gt;0,"Yes","No"),"")</f>
        <v/>
      </c>
      <c r="C3663" s="11"/>
      <c r="D3663" s="11"/>
      <c r="E3663" s="11"/>
      <c r="F3663" s="11"/>
      <c r="G3663" s="11"/>
      <c r="H3663" s="11"/>
      <c r="I3663" s="15"/>
    </row>
    <row r="3664" spans="1:9" ht="16.5">
      <c r="A3664" s="10" t="b">
        <v>0</v>
      </c>
      <c r="B3664" s="11" t="str">
        <f>IF(D3664&lt;&gt;"",IF(COUNTIF('USPTO TMs'!A:A,D3664)&gt;0,"Yes","No"),"")</f>
        <v/>
      </c>
      <c r="C3664" s="11"/>
      <c r="D3664" s="11"/>
      <c r="E3664" s="11"/>
      <c r="F3664" s="11"/>
      <c r="G3664" s="11"/>
      <c r="H3664" s="11"/>
      <c r="I3664" s="15"/>
    </row>
    <row r="3665" spans="1:9" ht="16.5">
      <c r="A3665" s="10" t="b">
        <v>0</v>
      </c>
      <c r="B3665" s="11" t="str">
        <f>IF(D3665&lt;&gt;"",IF(COUNTIF('USPTO TMs'!A:A,D3665)&gt;0,"Yes","No"),"")</f>
        <v/>
      </c>
      <c r="C3665" s="11"/>
      <c r="D3665" s="11"/>
      <c r="E3665" s="11"/>
      <c r="F3665" s="11"/>
      <c r="G3665" s="11"/>
      <c r="H3665" s="11"/>
      <c r="I3665" s="15"/>
    </row>
    <row r="3666" spans="1:9" ht="16.5">
      <c r="A3666" s="10" t="b">
        <v>0</v>
      </c>
      <c r="B3666" s="11" t="str">
        <f>IF(D3666&lt;&gt;"",IF(COUNTIF('USPTO TMs'!A:A,D3666)&gt;0,"Yes","No"),"")</f>
        <v/>
      </c>
      <c r="C3666" s="11"/>
      <c r="D3666" s="11"/>
      <c r="E3666" s="11"/>
      <c r="F3666" s="11"/>
      <c r="G3666" s="11"/>
      <c r="H3666" s="11"/>
      <c r="I3666" s="15"/>
    </row>
    <row r="3667" spans="1:9" ht="16.5">
      <c r="A3667" s="10" t="b">
        <v>0</v>
      </c>
      <c r="B3667" s="11" t="str">
        <f>IF(D3667&lt;&gt;"",IF(COUNTIF('USPTO TMs'!A:A,D3667)&gt;0,"Yes","No"),"")</f>
        <v/>
      </c>
      <c r="C3667" s="11"/>
      <c r="D3667" s="11"/>
      <c r="E3667" s="11"/>
      <c r="F3667" s="11"/>
      <c r="G3667" s="11"/>
      <c r="H3667" s="11"/>
      <c r="I3667" s="15"/>
    </row>
    <row r="3668" spans="1:9" ht="16.5">
      <c r="A3668" s="10" t="b">
        <v>0</v>
      </c>
      <c r="B3668" s="11" t="str">
        <f>IF(D3668&lt;&gt;"",IF(COUNTIF('USPTO TMs'!A:A,D3668)&gt;0,"Yes","No"),"")</f>
        <v/>
      </c>
      <c r="C3668" s="11"/>
      <c r="D3668" s="11"/>
      <c r="E3668" s="11"/>
      <c r="F3668" s="11"/>
      <c r="G3668" s="11"/>
      <c r="H3668" s="11"/>
      <c r="I3668" s="15"/>
    </row>
    <row r="3669" spans="1:9" ht="16.5">
      <c r="A3669" s="10" t="b">
        <v>0</v>
      </c>
      <c r="B3669" s="11" t="str">
        <f>IF(D3669&lt;&gt;"",IF(COUNTIF('USPTO TMs'!A:A,D3669)&gt;0,"Yes","No"),"")</f>
        <v/>
      </c>
      <c r="C3669" s="11"/>
      <c r="D3669" s="11"/>
      <c r="E3669" s="11"/>
      <c r="F3669" s="11"/>
      <c r="G3669" s="11"/>
      <c r="H3669" s="11"/>
      <c r="I3669" s="15"/>
    </row>
    <row r="3670" spans="1:9" ht="16.5">
      <c r="A3670" s="10" t="b">
        <v>0</v>
      </c>
      <c r="B3670" s="11" t="str">
        <f>IF(D3670&lt;&gt;"",IF(COUNTIF('USPTO TMs'!A:A,D3670)&gt;0,"Yes","No"),"")</f>
        <v/>
      </c>
      <c r="C3670" s="11"/>
      <c r="D3670" s="11"/>
      <c r="E3670" s="11"/>
      <c r="F3670" s="11"/>
      <c r="G3670" s="11"/>
      <c r="H3670" s="11"/>
      <c r="I3670" s="15"/>
    </row>
    <row r="3671" spans="1:9" ht="16.5">
      <c r="A3671" s="10" t="b">
        <v>0</v>
      </c>
      <c r="B3671" s="11" t="str">
        <f>IF(D3671&lt;&gt;"",IF(COUNTIF('USPTO TMs'!A:A,D3671)&gt;0,"Yes","No"),"")</f>
        <v/>
      </c>
      <c r="C3671" s="11"/>
      <c r="D3671" s="11"/>
      <c r="E3671" s="11"/>
      <c r="F3671" s="11"/>
      <c r="G3671" s="11"/>
      <c r="H3671" s="11"/>
      <c r="I3671" s="15"/>
    </row>
    <row r="3672" spans="1:9" ht="16.5">
      <c r="A3672" s="10" t="b">
        <v>0</v>
      </c>
      <c r="B3672" s="11" t="str">
        <f>IF(D3672&lt;&gt;"",IF(COUNTIF('USPTO TMs'!A:A,D3672)&gt;0,"Yes","No"),"")</f>
        <v/>
      </c>
      <c r="C3672" s="11"/>
      <c r="D3672" s="11"/>
      <c r="E3672" s="11"/>
      <c r="F3672" s="11"/>
      <c r="G3672" s="11"/>
      <c r="H3672" s="11"/>
      <c r="I3672" s="15"/>
    </row>
    <row r="3673" spans="1:9" ht="16.5">
      <c r="A3673" s="10" t="b">
        <v>0</v>
      </c>
      <c r="B3673" s="11" t="str">
        <f>IF(D3673&lt;&gt;"",IF(COUNTIF('USPTO TMs'!A:A,D3673)&gt;0,"Yes","No"),"")</f>
        <v/>
      </c>
      <c r="C3673" s="11"/>
      <c r="D3673" s="11"/>
      <c r="E3673" s="11"/>
      <c r="F3673" s="11"/>
      <c r="G3673" s="11"/>
      <c r="H3673" s="11"/>
      <c r="I3673" s="15"/>
    </row>
    <row r="3674" spans="1:9" ht="16.5">
      <c r="A3674" s="10" t="b">
        <v>0</v>
      </c>
      <c r="B3674" s="11" t="str">
        <f>IF(D3674&lt;&gt;"",IF(COUNTIF('USPTO TMs'!A:A,D3674)&gt;0,"Yes","No"),"")</f>
        <v/>
      </c>
      <c r="C3674" s="11"/>
      <c r="D3674" s="11"/>
      <c r="E3674" s="11"/>
      <c r="F3674" s="11"/>
      <c r="G3674" s="11"/>
      <c r="H3674" s="11"/>
      <c r="I3674" s="15"/>
    </row>
    <row r="3675" spans="1:9" ht="16.5">
      <c r="A3675" s="10" t="b">
        <v>0</v>
      </c>
      <c r="B3675" s="11" t="str">
        <f>IF(D3675&lt;&gt;"",IF(COUNTIF('USPTO TMs'!A:A,D3675)&gt;0,"Yes","No"),"")</f>
        <v/>
      </c>
      <c r="C3675" s="11"/>
      <c r="D3675" s="11"/>
      <c r="E3675" s="11"/>
      <c r="F3675" s="11"/>
      <c r="G3675" s="11"/>
      <c r="H3675" s="11"/>
      <c r="I3675" s="15"/>
    </row>
    <row r="3676" spans="1:9" ht="16.5">
      <c r="A3676" s="10" t="b">
        <v>0</v>
      </c>
      <c r="B3676" s="11" t="str">
        <f>IF(D3676&lt;&gt;"",IF(COUNTIF('USPTO TMs'!A:A,D3676)&gt;0,"Yes","No"),"")</f>
        <v/>
      </c>
      <c r="C3676" s="11"/>
      <c r="D3676" s="11"/>
      <c r="E3676" s="11"/>
      <c r="F3676" s="11"/>
      <c r="G3676" s="11"/>
      <c r="H3676" s="11"/>
      <c r="I3676" s="15"/>
    </row>
    <row r="3677" spans="1:9" ht="16.5">
      <c r="A3677" s="10" t="b">
        <v>0</v>
      </c>
      <c r="B3677" s="11" t="str">
        <f>IF(D3677&lt;&gt;"",IF(COUNTIF('USPTO TMs'!A:A,D3677)&gt;0,"Yes","No"),"")</f>
        <v/>
      </c>
      <c r="C3677" s="11"/>
      <c r="D3677" s="11"/>
      <c r="E3677" s="11"/>
      <c r="F3677" s="11"/>
      <c r="G3677" s="11"/>
      <c r="H3677" s="11"/>
      <c r="I3677" s="15"/>
    </row>
    <row r="3678" spans="1:9" ht="16.5">
      <c r="A3678" s="10" t="b">
        <v>0</v>
      </c>
      <c r="B3678" s="11" t="str">
        <f>IF(D3678&lt;&gt;"",IF(COUNTIF('USPTO TMs'!A:A,D3678)&gt;0,"Yes","No"),"")</f>
        <v/>
      </c>
      <c r="C3678" s="11"/>
      <c r="D3678" s="11"/>
      <c r="E3678" s="11"/>
      <c r="F3678" s="11"/>
      <c r="G3678" s="11"/>
      <c r="H3678" s="11"/>
      <c r="I3678" s="15"/>
    </row>
    <row r="3679" spans="1:9" ht="16.5">
      <c r="A3679" s="10" t="b">
        <v>0</v>
      </c>
      <c r="B3679" s="11" t="str">
        <f>IF(D3679&lt;&gt;"",IF(COUNTIF('USPTO TMs'!A:A,D3679)&gt;0,"Yes","No"),"")</f>
        <v/>
      </c>
      <c r="C3679" s="11"/>
      <c r="D3679" s="11"/>
      <c r="E3679" s="11"/>
      <c r="F3679" s="11"/>
      <c r="G3679" s="11"/>
      <c r="H3679" s="11"/>
      <c r="I3679" s="15"/>
    </row>
    <row r="3680" spans="1:9" ht="16.5">
      <c r="A3680" s="10" t="b">
        <v>0</v>
      </c>
      <c r="B3680" s="11" t="str">
        <f>IF(D3680&lt;&gt;"",IF(COUNTIF('USPTO TMs'!A:A,D3680)&gt;0,"Yes","No"),"")</f>
        <v/>
      </c>
      <c r="C3680" s="11"/>
      <c r="D3680" s="11"/>
      <c r="E3680" s="11"/>
      <c r="F3680" s="11"/>
      <c r="G3680" s="11"/>
      <c r="H3680" s="11"/>
      <c r="I3680" s="15"/>
    </row>
    <row r="3681" spans="1:9" ht="16.5">
      <c r="A3681" s="10" t="b">
        <v>0</v>
      </c>
      <c r="B3681" s="11" t="str">
        <f>IF(D3681&lt;&gt;"",IF(COUNTIF('USPTO TMs'!A:A,D3681)&gt;0,"Yes","No"),"")</f>
        <v/>
      </c>
      <c r="C3681" s="11"/>
      <c r="D3681" s="11"/>
      <c r="E3681" s="11"/>
      <c r="F3681" s="11"/>
      <c r="G3681" s="11"/>
      <c r="H3681" s="11"/>
      <c r="I3681" s="15"/>
    </row>
    <row r="3682" spans="1:9" ht="16.5">
      <c r="A3682" s="10" t="b">
        <v>0</v>
      </c>
      <c r="B3682" s="11" t="str">
        <f>IF(D3682&lt;&gt;"",IF(COUNTIF('USPTO TMs'!A:A,D3682)&gt;0,"Yes","No"),"")</f>
        <v/>
      </c>
      <c r="C3682" s="11"/>
      <c r="D3682" s="11"/>
      <c r="E3682" s="11"/>
      <c r="F3682" s="11"/>
      <c r="G3682" s="11"/>
      <c r="H3682" s="11"/>
      <c r="I3682" s="15"/>
    </row>
    <row r="3683" spans="1:9" ht="16.5">
      <c r="A3683" s="10" t="b">
        <v>0</v>
      </c>
      <c r="B3683" s="11" t="str">
        <f>IF(D3683&lt;&gt;"",IF(COUNTIF('USPTO TMs'!A:A,D3683)&gt;0,"Yes","No"),"")</f>
        <v/>
      </c>
      <c r="C3683" s="11"/>
      <c r="D3683" s="11"/>
      <c r="E3683" s="11"/>
      <c r="F3683" s="11"/>
      <c r="G3683" s="11"/>
      <c r="H3683" s="11"/>
      <c r="I3683" s="15"/>
    </row>
    <row r="3684" spans="1:9" ht="16.5">
      <c r="A3684" s="10" t="b">
        <v>0</v>
      </c>
      <c r="B3684" s="11" t="str">
        <f>IF(D3684&lt;&gt;"",IF(COUNTIF('USPTO TMs'!A:A,D3684)&gt;0,"Yes","No"),"")</f>
        <v/>
      </c>
      <c r="C3684" s="11"/>
      <c r="D3684" s="11"/>
      <c r="E3684" s="11"/>
      <c r="F3684" s="11"/>
      <c r="G3684" s="11"/>
      <c r="H3684" s="11"/>
      <c r="I3684" s="15"/>
    </row>
    <row r="3685" spans="1:9" ht="16.5">
      <c r="A3685" s="10" t="b">
        <v>0</v>
      </c>
      <c r="B3685" s="11" t="str">
        <f>IF(D3685&lt;&gt;"",IF(COUNTIF('USPTO TMs'!A:A,D3685)&gt;0,"Yes","No"),"")</f>
        <v/>
      </c>
      <c r="C3685" s="11"/>
      <c r="D3685" s="11"/>
      <c r="E3685" s="11"/>
      <c r="F3685" s="11"/>
      <c r="G3685" s="11"/>
      <c r="H3685" s="11"/>
      <c r="I3685" s="15"/>
    </row>
    <row r="3686" spans="1:9" ht="16.5">
      <c r="A3686" s="10" t="b">
        <v>0</v>
      </c>
      <c r="B3686" s="11" t="str">
        <f>IF(D3686&lt;&gt;"",IF(COUNTIF('USPTO TMs'!A:A,D3686)&gt;0,"Yes","No"),"")</f>
        <v/>
      </c>
      <c r="C3686" s="11"/>
      <c r="D3686" s="11"/>
      <c r="E3686" s="11"/>
      <c r="F3686" s="11"/>
      <c r="G3686" s="11"/>
      <c r="H3686" s="11"/>
      <c r="I3686" s="15"/>
    </row>
    <row r="3687" spans="1:9" ht="16.5">
      <c r="A3687" s="10" t="b">
        <v>0</v>
      </c>
      <c r="B3687" s="11" t="str">
        <f>IF(D3687&lt;&gt;"",IF(COUNTIF('USPTO TMs'!A:A,D3687)&gt;0,"Yes","No"),"")</f>
        <v/>
      </c>
      <c r="C3687" s="11"/>
      <c r="D3687" s="11"/>
      <c r="E3687" s="11"/>
      <c r="F3687" s="11"/>
      <c r="G3687" s="11"/>
      <c r="H3687" s="11"/>
      <c r="I3687" s="15"/>
    </row>
    <row r="3688" spans="1:9" ht="16.5">
      <c r="A3688" s="10" t="b">
        <v>0</v>
      </c>
      <c r="B3688" s="11" t="str">
        <f>IF(D3688&lt;&gt;"",IF(COUNTIF('USPTO TMs'!A:A,D3688)&gt;0,"Yes","No"),"")</f>
        <v/>
      </c>
      <c r="C3688" s="11"/>
      <c r="D3688" s="11"/>
      <c r="E3688" s="11"/>
      <c r="F3688" s="11"/>
      <c r="G3688" s="11"/>
      <c r="H3688" s="11"/>
      <c r="I3688" s="15"/>
    </row>
    <row r="3689" spans="1:9" ht="16.5">
      <c r="A3689" s="10" t="b">
        <v>0</v>
      </c>
      <c r="B3689" s="11" t="str">
        <f>IF(D3689&lt;&gt;"",IF(COUNTIF('USPTO TMs'!A:A,D3689)&gt;0,"Yes","No"),"")</f>
        <v/>
      </c>
      <c r="C3689" s="11"/>
      <c r="D3689" s="11"/>
      <c r="E3689" s="11"/>
      <c r="F3689" s="11"/>
      <c r="G3689" s="11"/>
      <c r="H3689" s="11"/>
      <c r="I3689" s="15"/>
    </row>
    <row r="3690" spans="1:9" ht="16.5">
      <c r="A3690" s="10" t="b">
        <v>0</v>
      </c>
      <c r="B3690" s="11" t="str">
        <f>IF(D3690&lt;&gt;"",IF(COUNTIF('USPTO TMs'!A:A,D3690)&gt;0,"Yes","No"),"")</f>
        <v/>
      </c>
      <c r="C3690" s="11"/>
      <c r="D3690" s="11"/>
      <c r="E3690" s="11"/>
      <c r="F3690" s="11"/>
      <c r="G3690" s="11"/>
      <c r="H3690" s="11"/>
      <c r="I3690" s="15"/>
    </row>
    <row r="3691" spans="1:9" ht="16.5">
      <c r="A3691" s="10" t="b">
        <v>0</v>
      </c>
      <c r="B3691" s="11" t="str">
        <f>IF(D3691&lt;&gt;"",IF(COUNTIF('USPTO TMs'!A:A,D3691)&gt;0,"Yes","No"),"")</f>
        <v/>
      </c>
      <c r="C3691" s="11"/>
      <c r="D3691" s="11"/>
      <c r="E3691" s="11"/>
      <c r="F3691" s="11"/>
      <c r="G3691" s="11"/>
      <c r="H3691" s="11"/>
      <c r="I3691" s="15"/>
    </row>
    <row r="3692" spans="1:9" ht="16.5">
      <c r="A3692" s="10" t="b">
        <v>0</v>
      </c>
      <c r="B3692" s="11" t="str">
        <f>IF(D3692&lt;&gt;"",IF(COUNTIF('USPTO TMs'!A:A,D3692)&gt;0,"Yes","No"),"")</f>
        <v/>
      </c>
      <c r="C3692" s="11"/>
      <c r="D3692" s="11"/>
      <c r="E3692" s="11"/>
      <c r="F3692" s="11"/>
      <c r="G3692" s="11"/>
      <c r="H3692" s="11"/>
      <c r="I3692" s="15"/>
    </row>
    <row r="3693" spans="1:9" ht="16.5">
      <c r="A3693" s="10" t="b">
        <v>0</v>
      </c>
      <c r="B3693" s="11" t="str">
        <f>IF(D3693&lt;&gt;"",IF(COUNTIF('USPTO TMs'!A:A,D3693)&gt;0,"Yes","No"),"")</f>
        <v/>
      </c>
      <c r="C3693" s="11"/>
      <c r="D3693" s="11"/>
      <c r="E3693" s="11"/>
      <c r="F3693" s="11"/>
      <c r="G3693" s="11"/>
      <c r="H3693" s="11"/>
      <c r="I3693" s="15"/>
    </row>
    <row r="3694" spans="1:9" ht="16.5">
      <c r="A3694" s="10" t="b">
        <v>0</v>
      </c>
      <c r="B3694" s="11" t="str">
        <f>IF(D3694&lt;&gt;"",IF(COUNTIF('USPTO TMs'!A:A,D3694)&gt;0,"Yes","No"),"")</f>
        <v/>
      </c>
      <c r="C3694" s="11"/>
      <c r="D3694" s="11"/>
      <c r="E3694" s="11"/>
      <c r="F3694" s="11"/>
      <c r="G3694" s="11"/>
      <c r="H3694" s="11"/>
      <c r="I3694" s="15"/>
    </row>
    <row r="3695" spans="1:9" ht="16.5">
      <c r="A3695" s="10" t="b">
        <v>0</v>
      </c>
      <c r="B3695" s="11" t="str">
        <f>IF(D3695&lt;&gt;"",IF(COUNTIF('USPTO TMs'!A:A,D3695)&gt;0,"Yes","No"),"")</f>
        <v/>
      </c>
      <c r="C3695" s="11"/>
      <c r="D3695" s="11"/>
      <c r="E3695" s="11"/>
      <c r="F3695" s="11"/>
      <c r="G3695" s="11"/>
      <c r="H3695" s="11"/>
      <c r="I3695" s="15"/>
    </row>
    <row r="3696" spans="1:9" ht="16.5">
      <c r="A3696" s="10" t="b">
        <v>0</v>
      </c>
      <c r="B3696" s="11" t="str">
        <f>IF(D3696&lt;&gt;"",IF(COUNTIF('USPTO TMs'!A:A,D3696)&gt;0,"Yes","No"),"")</f>
        <v/>
      </c>
      <c r="C3696" s="11"/>
      <c r="D3696" s="11"/>
      <c r="E3696" s="11"/>
      <c r="F3696" s="11"/>
      <c r="G3696" s="11"/>
      <c r="H3696" s="11"/>
      <c r="I3696" s="15"/>
    </row>
    <row r="3697" spans="1:9" ht="16.5">
      <c r="A3697" s="10" t="b">
        <v>0</v>
      </c>
      <c r="B3697" s="11" t="str">
        <f>IF(D3697&lt;&gt;"",IF(COUNTIF('USPTO TMs'!A:A,D3697)&gt;0,"Yes","No"),"")</f>
        <v/>
      </c>
      <c r="C3697" s="11"/>
      <c r="D3697" s="11"/>
      <c r="E3697" s="11"/>
      <c r="F3697" s="11"/>
      <c r="G3697" s="11"/>
      <c r="H3697" s="11"/>
      <c r="I3697" s="15"/>
    </row>
    <row r="3698" spans="1:9" ht="16.5">
      <c r="A3698" s="10" t="b">
        <v>0</v>
      </c>
      <c r="B3698" s="11" t="str">
        <f>IF(D3698&lt;&gt;"",IF(COUNTIF('USPTO TMs'!A:A,D3698)&gt;0,"Yes","No"),"")</f>
        <v/>
      </c>
      <c r="C3698" s="11"/>
      <c r="D3698" s="11"/>
      <c r="E3698" s="11"/>
      <c r="F3698" s="11"/>
      <c r="G3698" s="11"/>
      <c r="H3698" s="11"/>
      <c r="I3698" s="15"/>
    </row>
    <row r="3699" spans="1:9" ht="16.5">
      <c r="A3699" s="10" t="b">
        <v>0</v>
      </c>
      <c r="B3699" s="11" t="str">
        <f>IF(D3699&lt;&gt;"",IF(COUNTIF('USPTO TMs'!A:A,D3699)&gt;0,"Yes","No"),"")</f>
        <v/>
      </c>
      <c r="C3699" s="11"/>
      <c r="D3699" s="11"/>
      <c r="E3699" s="11"/>
      <c r="F3699" s="11"/>
      <c r="G3699" s="11"/>
      <c r="H3699" s="11"/>
      <c r="I3699" s="15"/>
    </row>
    <row r="3700" spans="1:9" ht="16.5">
      <c r="A3700" s="10" t="b">
        <v>0</v>
      </c>
      <c r="B3700" s="11" t="str">
        <f>IF(D3700&lt;&gt;"",IF(COUNTIF('USPTO TMs'!A:A,D3700)&gt;0,"Yes","No"),"")</f>
        <v/>
      </c>
      <c r="C3700" s="11"/>
      <c r="D3700" s="11"/>
      <c r="E3700" s="11"/>
      <c r="F3700" s="11"/>
      <c r="G3700" s="11"/>
      <c r="H3700" s="11"/>
      <c r="I3700" s="15"/>
    </row>
    <row r="3701" spans="1:9" ht="16.5">
      <c r="A3701" s="10" t="b">
        <v>0</v>
      </c>
      <c r="B3701" s="11" t="str">
        <f>IF(D3701&lt;&gt;"",IF(COUNTIF('USPTO TMs'!A:A,D3701)&gt;0,"Yes","No"),"")</f>
        <v/>
      </c>
      <c r="C3701" s="11"/>
      <c r="D3701" s="11"/>
      <c r="E3701" s="11"/>
      <c r="F3701" s="11"/>
      <c r="G3701" s="11"/>
      <c r="H3701" s="11"/>
      <c r="I3701" s="15"/>
    </row>
    <row r="3702" spans="1:9" ht="16.5">
      <c r="A3702" s="10" t="b">
        <v>0</v>
      </c>
      <c r="B3702" s="11" t="str">
        <f>IF(D3702&lt;&gt;"",IF(COUNTIF('USPTO TMs'!A:A,D3702)&gt;0,"Yes","No"),"")</f>
        <v/>
      </c>
      <c r="C3702" s="11"/>
      <c r="D3702" s="11"/>
      <c r="E3702" s="11"/>
      <c r="F3702" s="11"/>
      <c r="G3702" s="11"/>
      <c r="H3702" s="11"/>
      <c r="I3702" s="15"/>
    </row>
    <row r="3703" spans="1:9" ht="16.5">
      <c r="A3703" s="10" t="b">
        <v>0</v>
      </c>
      <c r="B3703" s="11" t="str">
        <f>IF(D3703&lt;&gt;"",IF(COUNTIF('USPTO TMs'!A:A,D3703)&gt;0,"Yes","No"),"")</f>
        <v/>
      </c>
      <c r="C3703" s="11"/>
      <c r="D3703" s="11"/>
      <c r="E3703" s="11"/>
      <c r="F3703" s="11"/>
      <c r="G3703" s="11"/>
      <c r="H3703" s="11"/>
      <c r="I3703" s="15"/>
    </row>
    <row r="3704" spans="1:9" ht="16.5">
      <c r="A3704" s="10" t="b">
        <v>0</v>
      </c>
      <c r="B3704" s="11" t="str">
        <f>IF(D3704&lt;&gt;"",IF(COUNTIF('USPTO TMs'!A:A,D3704)&gt;0,"Yes","No"),"")</f>
        <v/>
      </c>
      <c r="C3704" s="11"/>
      <c r="D3704" s="11"/>
      <c r="E3704" s="11"/>
      <c r="F3704" s="11"/>
      <c r="G3704" s="11"/>
      <c r="H3704" s="11"/>
      <c r="I3704" s="15"/>
    </row>
    <row r="3705" spans="1:9" ht="16.5">
      <c r="A3705" s="10" t="b">
        <v>0</v>
      </c>
      <c r="B3705" s="11" t="str">
        <f>IF(D3705&lt;&gt;"",IF(COUNTIF('USPTO TMs'!A:A,D3705)&gt;0,"Yes","No"),"")</f>
        <v/>
      </c>
      <c r="C3705" s="11"/>
      <c r="D3705" s="11"/>
      <c r="E3705" s="11"/>
      <c r="F3705" s="11"/>
      <c r="G3705" s="11"/>
      <c r="H3705" s="11"/>
      <c r="I3705" s="15"/>
    </row>
    <row r="3706" spans="1:9" ht="16.5">
      <c r="A3706" s="10" t="b">
        <v>0</v>
      </c>
      <c r="B3706" s="11" t="str">
        <f>IF(D3706&lt;&gt;"",IF(COUNTIF('USPTO TMs'!A:A,D3706)&gt;0,"Yes","No"),"")</f>
        <v/>
      </c>
      <c r="C3706" s="11"/>
      <c r="D3706" s="11"/>
      <c r="E3706" s="11"/>
      <c r="F3706" s="11"/>
      <c r="G3706" s="11"/>
      <c r="H3706" s="11"/>
      <c r="I3706" s="15"/>
    </row>
    <row r="3707" spans="1:9" ht="16.5">
      <c r="A3707" s="10" t="b">
        <v>0</v>
      </c>
      <c r="B3707" s="11" t="str">
        <f>IF(D3707&lt;&gt;"",IF(COUNTIF('USPTO TMs'!A:A,D3707)&gt;0,"Yes","No"),"")</f>
        <v/>
      </c>
      <c r="C3707" s="11"/>
      <c r="D3707" s="11"/>
      <c r="E3707" s="11"/>
      <c r="F3707" s="11"/>
      <c r="G3707" s="11"/>
      <c r="H3707" s="11"/>
      <c r="I3707" s="15"/>
    </row>
    <row r="3708" spans="1:9" ht="16.5">
      <c r="A3708" s="10" t="b">
        <v>0</v>
      </c>
      <c r="B3708" s="11" t="str">
        <f>IF(D3708&lt;&gt;"",IF(COUNTIF('USPTO TMs'!A:A,D3708)&gt;0,"Yes","No"),"")</f>
        <v/>
      </c>
      <c r="C3708" s="11"/>
      <c r="D3708" s="11"/>
      <c r="E3708" s="11"/>
      <c r="F3708" s="11"/>
      <c r="G3708" s="11"/>
      <c r="H3708" s="11"/>
      <c r="I3708" s="15"/>
    </row>
    <row r="3709" spans="1:9" ht="16.5">
      <c r="A3709" s="10" t="b">
        <v>0</v>
      </c>
      <c r="B3709" s="11" t="str">
        <f>IF(D3709&lt;&gt;"",IF(COUNTIF('USPTO TMs'!A:A,D3709)&gt;0,"Yes","No"),"")</f>
        <v/>
      </c>
      <c r="C3709" s="11"/>
      <c r="D3709" s="11"/>
      <c r="E3709" s="11"/>
      <c r="F3709" s="11"/>
      <c r="G3709" s="11"/>
      <c r="H3709" s="11"/>
      <c r="I3709" s="15"/>
    </row>
    <row r="3710" spans="1:9" ht="16.5">
      <c r="A3710" s="10" t="b">
        <v>0</v>
      </c>
      <c r="B3710" s="11" t="str">
        <f>IF(D3710&lt;&gt;"",IF(COUNTIF('USPTO TMs'!A:A,D3710)&gt;0,"Yes","No"),"")</f>
        <v/>
      </c>
      <c r="C3710" s="11"/>
      <c r="D3710" s="11"/>
      <c r="E3710" s="11"/>
      <c r="F3710" s="11"/>
      <c r="G3710" s="11"/>
      <c r="H3710" s="11"/>
      <c r="I3710" s="15"/>
    </row>
    <row r="3711" spans="1:9" ht="16.5">
      <c r="A3711" s="10" t="b">
        <v>0</v>
      </c>
      <c r="B3711" s="11" t="str">
        <f>IF(D3711&lt;&gt;"",IF(COUNTIF('USPTO TMs'!A:A,D3711)&gt;0,"Yes","No"),"")</f>
        <v/>
      </c>
      <c r="C3711" s="11"/>
      <c r="D3711" s="11"/>
      <c r="E3711" s="11"/>
      <c r="F3711" s="11"/>
      <c r="G3711" s="11"/>
      <c r="H3711" s="11"/>
      <c r="I3711" s="15"/>
    </row>
    <row r="3712" spans="1:9" ht="16.5">
      <c r="A3712" s="10" t="b">
        <v>0</v>
      </c>
      <c r="B3712" s="11" t="str">
        <f>IF(D3712&lt;&gt;"",IF(COUNTIF('USPTO TMs'!A:A,D3712)&gt;0,"Yes","No"),"")</f>
        <v/>
      </c>
      <c r="C3712" s="11"/>
      <c r="D3712" s="11"/>
      <c r="E3712" s="11"/>
      <c r="F3712" s="11"/>
      <c r="G3712" s="11"/>
      <c r="H3712" s="11"/>
      <c r="I3712" s="15"/>
    </row>
    <row r="3713" spans="1:9" ht="16.5">
      <c r="A3713" s="10" t="b">
        <v>0</v>
      </c>
      <c r="B3713" s="11" t="str">
        <f>IF(D3713&lt;&gt;"",IF(COUNTIF('USPTO TMs'!A:A,D3713)&gt;0,"Yes","No"),"")</f>
        <v/>
      </c>
      <c r="C3713" s="11"/>
      <c r="D3713" s="11"/>
      <c r="E3713" s="11"/>
      <c r="F3713" s="11"/>
      <c r="G3713" s="11"/>
      <c r="H3713" s="11"/>
      <c r="I3713" s="15"/>
    </row>
    <row r="3714" spans="1:9" ht="16.5">
      <c r="A3714" s="10" t="b">
        <v>0</v>
      </c>
      <c r="B3714" s="11" t="str">
        <f>IF(D3714&lt;&gt;"",IF(COUNTIF('USPTO TMs'!A:A,D3714)&gt;0,"Yes","No"),"")</f>
        <v/>
      </c>
      <c r="C3714" s="11"/>
      <c r="D3714" s="11"/>
      <c r="E3714" s="11"/>
      <c r="F3714" s="11"/>
      <c r="G3714" s="11"/>
      <c r="H3714" s="11"/>
      <c r="I3714" s="15"/>
    </row>
    <row r="3715" spans="1:9" ht="16.5">
      <c r="A3715" s="10" t="b">
        <v>0</v>
      </c>
      <c r="B3715" s="11" t="str">
        <f>IF(D3715&lt;&gt;"",IF(COUNTIF('USPTO TMs'!A:A,D3715)&gt;0,"Yes","No"),"")</f>
        <v/>
      </c>
      <c r="C3715" s="11"/>
      <c r="D3715" s="11"/>
      <c r="E3715" s="11"/>
      <c r="F3715" s="11"/>
      <c r="G3715" s="11"/>
      <c r="H3715" s="11"/>
      <c r="I3715" s="15"/>
    </row>
    <row r="3716" spans="1:9" ht="16.5">
      <c r="A3716" s="10" t="b">
        <v>0</v>
      </c>
      <c r="B3716" s="11" t="str">
        <f>IF(D3716&lt;&gt;"",IF(COUNTIF('USPTO TMs'!A:A,D3716)&gt;0,"Yes","No"),"")</f>
        <v/>
      </c>
      <c r="C3716" s="11"/>
      <c r="D3716" s="11"/>
      <c r="E3716" s="11"/>
      <c r="F3716" s="11"/>
      <c r="G3716" s="11"/>
      <c r="H3716" s="11"/>
      <c r="I3716" s="15"/>
    </row>
    <row r="3717" spans="1:9" ht="16.5">
      <c r="A3717" s="10" t="b">
        <v>0</v>
      </c>
      <c r="B3717" s="11" t="str">
        <f>IF(D3717&lt;&gt;"",IF(COUNTIF('USPTO TMs'!A:A,D3717)&gt;0,"Yes","No"),"")</f>
        <v/>
      </c>
      <c r="C3717" s="11"/>
      <c r="D3717" s="11"/>
      <c r="E3717" s="11"/>
      <c r="F3717" s="11"/>
      <c r="G3717" s="11"/>
      <c r="H3717" s="11"/>
      <c r="I3717" s="15"/>
    </row>
    <row r="3718" spans="1:9" ht="16.5">
      <c r="A3718" s="10" t="b">
        <v>0</v>
      </c>
      <c r="B3718" s="11" t="str">
        <f>IF(D3718&lt;&gt;"",IF(COUNTIF('USPTO TMs'!A:A,D3718)&gt;0,"Yes","No"),"")</f>
        <v/>
      </c>
      <c r="C3718" s="11"/>
      <c r="D3718" s="11"/>
      <c r="E3718" s="11"/>
      <c r="F3718" s="11"/>
      <c r="G3718" s="11"/>
      <c r="H3718" s="11"/>
      <c r="I3718" s="15"/>
    </row>
    <row r="3719" spans="1:9" ht="16.5">
      <c r="A3719" s="10" t="b">
        <v>0</v>
      </c>
      <c r="B3719" s="11" t="str">
        <f>IF(D3719&lt;&gt;"",IF(COUNTIF('USPTO TMs'!A:A,D3719)&gt;0,"Yes","No"),"")</f>
        <v/>
      </c>
      <c r="C3719" s="11"/>
      <c r="D3719" s="11"/>
      <c r="E3719" s="11"/>
      <c r="F3719" s="11"/>
      <c r="G3719" s="11"/>
      <c r="H3719" s="11"/>
      <c r="I3719" s="15"/>
    </row>
    <row r="3720" spans="1:9" ht="16.5">
      <c r="A3720" s="10" t="b">
        <v>0</v>
      </c>
      <c r="B3720" s="11" t="str">
        <f>IF(D3720&lt;&gt;"",IF(COUNTIF('USPTO TMs'!A:A,D3720)&gt;0,"Yes","No"),"")</f>
        <v/>
      </c>
      <c r="C3720" s="11"/>
      <c r="D3720" s="11"/>
      <c r="E3720" s="11"/>
      <c r="F3720" s="11"/>
      <c r="G3720" s="11"/>
      <c r="H3720" s="11"/>
      <c r="I3720" s="15"/>
    </row>
    <row r="3721" spans="1:9" ht="16.5">
      <c r="A3721" s="10" t="b">
        <v>0</v>
      </c>
      <c r="B3721" s="11" t="str">
        <f>IF(D3721&lt;&gt;"",IF(COUNTIF('USPTO TMs'!A:A,D3721)&gt;0,"Yes","No"),"")</f>
        <v/>
      </c>
      <c r="C3721" s="11"/>
      <c r="D3721" s="11"/>
      <c r="E3721" s="11"/>
      <c r="F3721" s="11"/>
      <c r="G3721" s="11"/>
      <c r="H3721" s="11"/>
      <c r="I3721" s="15"/>
    </row>
    <row r="3722" spans="1:9" ht="16.5">
      <c r="A3722" s="10" t="b">
        <v>0</v>
      </c>
      <c r="B3722" s="11" t="str">
        <f>IF(D3722&lt;&gt;"",IF(COUNTIF('USPTO TMs'!A:A,D3722)&gt;0,"Yes","No"),"")</f>
        <v/>
      </c>
      <c r="C3722" s="11"/>
      <c r="D3722" s="11"/>
      <c r="E3722" s="11"/>
      <c r="F3722" s="11"/>
      <c r="G3722" s="11"/>
      <c r="H3722" s="11"/>
      <c r="I3722" s="15"/>
    </row>
    <row r="3723" spans="1:9" ht="16.5">
      <c r="A3723" s="10" t="b">
        <v>0</v>
      </c>
      <c r="B3723" s="11" t="str">
        <f>IF(D3723&lt;&gt;"",IF(COUNTIF('USPTO TMs'!A:A,D3723)&gt;0,"Yes","No"),"")</f>
        <v/>
      </c>
      <c r="C3723" s="11"/>
      <c r="D3723" s="11"/>
      <c r="E3723" s="11"/>
      <c r="F3723" s="11"/>
      <c r="G3723" s="11"/>
      <c r="H3723" s="11"/>
      <c r="I3723" s="15"/>
    </row>
    <row r="3724" spans="1:9" ht="16.5">
      <c r="A3724" s="10" t="b">
        <v>0</v>
      </c>
      <c r="B3724" s="11" t="str">
        <f>IF(D3724&lt;&gt;"",IF(COUNTIF('USPTO TMs'!A:A,D3724)&gt;0,"Yes","No"),"")</f>
        <v/>
      </c>
      <c r="C3724" s="11"/>
      <c r="D3724" s="11"/>
      <c r="E3724" s="11"/>
      <c r="F3724" s="11"/>
      <c r="G3724" s="11"/>
      <c r="H3724" s="11"/>
      <c r="I3724" s="15"/>
    </row>
    <row r="3725" spans="1:9" ht="16.5">
      <c r="A3725" s="10" t="b">
        <v>0</v>
      </c>
      <c r="B3725" s="11" t="str">
        <f>IF(D3725&lt;&gt;"",IF(COUNTIF('USPTO TMs'!A:A,D3725)&gt;0,"Yes","No"),"")</f>
        <v/>
      </c>
      <c r="C3725" s="11"/>
      <c r="D3725" s="11"/>
      <c r="E3725" s="11"/>
      <c r="F3725" s="11"/>
      <c r="G3725" s="11"/>
      <c r="H3725" s="11"/>
      <c r="I3725" s="15"/>
    </row>
    <row r="3726" spans="1:9" ht="16.5">
      <c r="A3726" s="10" t="b">
        <v>0</v>
      </c>
      <c r="B3726" s="11" t="str">
        <f>IF(D3726&lt;&gt;"",IF(COUNTIF('USPTO TMs'!A:A,D3726)&gt;0,"Yes","No"),"")</f>
        <v/>
      </c>
      <c r="C3726" s="11"/>
      <c r="D3726" s="11"/>
      <c r="E3726" s="11"/>
      <c r="F3726" s="11"/>
      <c r="G3726" s="11"/>
      <c r="H3726" s="11"/>
      <c r="I3726" s="15"/>
    </row>
    <row r="3727" spans="1:9" ht="16.5">
      <c r="A3727" s="10" t="b">
        <v>0</v>
      </c>
      <c r="B3727" s="11" t="str">
        <f>IF(D3727&lt;&gt;"",IF(COUNTIF('USPTO TMs'!A:A,D3727)&gt;0,"Yes","No"),"")</f>
        <v/>
      </c>
      <c r="C3727" s="11"/>
      <c r="D3727" s="11"/>
      <c r="E3727" s="11"/>
      <c r="F3727" s="11"/>
      <c r="G3727" s="11"/>
      <c r="H3727" s="11"/>
      <c r="I3727" s="15"/>
    </row>
    <row r="3728" spans="1:9" ht="16.5">
      <c r="A3728" s="10" t="b">
        <v>0</v>
      </c>
      <c r="B3728" s="11" t="str">
        <f>IF(D3728&lt;&gt;"",IF(COUNTIF('USPTO TMs'!A:A,D3728)&gt;0,"Yes","No"),"")</f>
        <v/>
      </c>
      <c r="C3728" s="11"/>
      <c r="D3728" s="11"/>
      <c r="E3728" s="11"/>
      <c r="F3728" s="11"/>
      <c r="G3728" s="11"/>
      <c r="H3728" s="11"/>
      <c r="I3728" s="15"/>
    </row>
    <row r="3729" spans="1:9" ht="16.5">
      <c r="A3729" s="10" t="b">
        <v>0</v>
      </c>
      <c r="B3729" s="11" t="str">
        <f>IF(D3729&lt;&gt;"",IF(COUNTIF('USPTO TMs'!A:A,D3729)&gt;0,"Yes","No"),"")</f>
        <v/>
      </c>
      <c r="C3729" s="11"/>
      <c r="D3729" s="11"/>
      <c r="E3729" s="11"/>
      <c r="F3729" s="11"/>
      <c r="G3729" s="11"/>
      <c r="H3729" s="11"/>
      <c r="I3729" s="15"/>
    </row>
    <row r="3730" spans="1:9" ht="16.5">
      <c r="A3730" s="10" t="b">
        <v>0</v>
      </c>
      <c r="B3730" s="11" t="str">
        <f>IF(D3730&lt;&gt;"",IF(COUNTIF('USPTO TMs'!A:A,D3730)&gt;0,"Yes","No"),"")</f>
        <v/>
      </c>
      <c r="C3730" s="11"/>
      <c r="D3730" s="11"/>
      <c r="E3730" s="11"/>
      <c r="F3730" s="11"/>
      <c r="G3730" s="11"/>
      <c r="H3730" s="11"/>
      <c r="I3730" s="15"/>
    </row>
    <row r="3731" spans="1:9" ht="16.5">
      <c r="A3731" s="10" t="b">
        <v>0</v>
      </c>
      <c r="B3731" s="11" t="str">
        <f>IF(D3731&lt;&gt;"",IF(COUNTIF('USPTO TMs'!A:A,D3731)&gt;0,"Yes","No"),"")</f>
        <v/>
      </c>
      <c r="C3731" s="11"/>
      <c r="D3731" s="11"/>
      <c r="E3731" s="11"/>
      <c r="F3731" s="11"/>
      <c r="G3731" s="11"/>
      <c r="H3731" s="11"/>
      <c r="I3731" s="15"/>
    </row>
    <row r="3732" spans="1:9" ht="16.5">
      <c r="A3732" s="10" t="b">
        <v>0</v>
      </c>
      <c r="B3732" s="11" t="str">
        <f>IF(D3732&lt;&gt;"",IF(COUNTIF('USPTO TMs'!A:A,D3732)&gt;0,"Yes","No"),"")</f>
        <v/>
      </c>
      <c r="C3732" s="11"/>
      <c r="D3732" s="11"/>
      <c r="E3732" s="11"/>
      <c r="F3732" s="11"/>
      <c r="G3732" s="11"/>
      <c r="H3732" s="11"/>
      <c r="I3732" s="15"/>
    </row>
    <row r="3733" spans="1:9" ht="16.5">
      <c r="A3733" s="10" t="b">
        <v>0</v>
      </c>
      <c r="B3733" s="11" t="str">
        <f>IF(D3733&lt;&gt;"",IF(COUNTIF('USPTO TMs'!A:A,D3733)&gt;0,"Yes","No"),"")</f>
        <v/>
      </c>
      <c r="C3733" s="11"/>
      <c r="D3733" s="11"/>
      <c r="E3733" s="11"/>
      <c r="F3733" s="11"/>
      <c r="G3733" s="11"/>
      <c r="H3733" s="11"/>
      <c r="I3733" s="15"/>
    </row>
    <row r="3734" spans="1:9" ht="16.5">
      <c r="A3734" s="10" t="b">
        <v>0</v>
      </c>
      <c r="B3734" s="11" t="str">
        <f>IF(D3734&lt;&gt;"",IF(COUNTIF('USPTO TMs'!A:A,D3734)&gt;0,"Yes","No"),"")</f>
        <v/>
      </c>
      <c r="C3734" s="11"/>
      <c r="D3734" s="11"/>
      <c r="E3734" s="11"/>
      <c r="F3734" s="11"/>
      <c r="G3734" s="11"/>
      <c r="H3734" s="11"/>
      <c r="I3734" s="15"/>
    </row>
    <row r="3735" spans="1:9" ht="16.5">
      <c r="A3735" s="10" t="b">
        <v>0</v>
      </c>
      <c r="B3735" s="11" t="str">
        <f>IF(D3735&lt;&gt;"",IF(COUNTIF('USPTO TMs'!A:A,D3735)&gt;0,"Yes","No"),"")</f>
        <v/>
      </c>
      <c r="C3735" s="11"/>
      <c r="D3735" s="11"/>
      <c r="E3735" s="11"/>
      <c r="F3735" s="11"/>
      <c r="G3735" s="11"/>
      <c r="H3735" s="11"/>
      <c r="I3735" s="15"/>
    </row>
    <row r="3736" spans="1:9" ht="16.5">
      <c r="A3736" s="10" t="b">
        <v>0</v>
      </c>
      <c r="B3736" s="11" t="str">
        <f>IF(D3736&lt;&gt;"",IF(COUNTIF('USPTO TMs'!A:A,D3736)&gt;0,"Yes","No"),"")</f>
        <v/>
      </c>
      <c r="C3736" s="11"/>
      <c r="D3736" s="11"/>
      <c r="E3736" s="11"/>
      <c r="F3736" s="11"/>
      <c r="G3736" s="11"/>
      <c r="H3736" s="11"/>
      <c r="I3736" s="15"/>
    </row>
    <row r="3737" spans="1:9" ht="16.5">
      <c r="A3737" s="10" t="b">
        <v>0</v>
      </c>
      <c r="B3737" s="11" t="str">
        <f>IF(D3737&lt;&gt;"",IF(COUNTIF('USPTO TMs'!A:A,D3737)&gt;0,"Yes","No"),"")</f>
        <v/>
      </c>
      <c r="C3737" s="11"/>
      <c r="D3737" s="11"/>
      <c r="E3737" s="11"/>
      <c r="F3737" s="11"/>
      <c r="G3737" s="11"/>
      <c r="H3737" s="11"/>
      <c r="I3737" s="15"/>
    </row>
    <row r="3738" spans="1:9" ht="16.5">
      <c r="A3738" s="10" t="b">
        <v>0</v>
      </c>
      <c r="B3738" s="11" t="str">
        <f>IF(D3738&lt;&gt;"",IF(COUNTIF('USPTO TMs'!A:A,D3738)&gt;0,"Yes","No"),"")</f>
        <v/>
      </c>
      <c r="C3738" s="11"/>
      <c r="D3738" s="11"/>
      <c r="E3738" s="11"/>
      <c r="F3738" s="11"/>
      <c r="G3738" s="11"/>
      <c r="H3738" s="11"/>
      <c r="I3738" s="15"/>
    </row>
    <row r="3739" spans="1:9" ht="16.5">
      <c r="A3739" s="10" t="b">
        <v>0</v>
      </c>
      <c r="B3739" s="11" t="str">
        <f>IF(D3739&lt;&gt;"",IF(COUNTIF('USPTO TMs'!A:A,D3739)&gt;0,"Yes","No"),"")</f>
        <v/>
      </c>
      <c r="C3739" s="11"/>
      <c r="D3739" s="11"/>
      <c r="E3739" s="11"/>
      <c r="F3739" s="11"/>
      <c r="G3739" s="11"/>
      <c r="H3739" s="11"/>
      <c r="I3739" s="15"/>
    </row>
    <row r="3740" spans="1:9" ht="16.5">
      <c r="A3740" s="10" t="b">
        <v>0</v>
      </c>
      <c r="B3740" s="11" t="str">
        <f>IF(D3740&lt;&gt;"",IF(COUNTIF('USPTO TMs'!A:A,D3740)&gt;0,"Yes","No"),"")</f>
        <v/>
      </c>
      <c r="C3740" s="11"/>
      <c r="D3740" s="11"/>
      <c r="E3740" s="11"/>
      <c r="F3740" s="11"/>
      <c r="G3740" s="11"/>
      <c r="H3740" s="11"/>
      <c r="I3740" s="15"/>
    </row>
    <row r="3741" spans="1:9" ht="16.5">
      <c r="A3741" s="10" t="b">
        <v>0</v>
      </c>
      <c r="B3741" s="11" t="str">
        <f>IF(D3741&lt;&gt;"",IF(COUNTIF('USPTO TMs'!A:A,D3741)&gt;0,"Yes","No"),"")</f>
        <v/>
      </c>
      <c r="C3741" s="11"/>
      <c r="D3741" s="11"/>
      <c r="E3741" s="11"/>
      <c r="F3741" s="11"/>
      <c r="G3741" s="11"/>
      <c r="H3741" s="11"/>
      <c r="I3741" s="15"/>
    </row>
    <row r="3742" spans="1:9" ht="16.5">
      <c r="A3742" s="10" t="b">
        <v>0</v>
      </c>
      <c r="B3742" s="11" t="str">
        <f>IF(D3742&lt;&gt;"",IF(COUNTIF('USPTO TMs'!A:A,D3742)&gt;0,"Yes","No"),"")</f>
        <v/>
      </c>
      <c r="C3742" s="11"/>
      <c r="D3742" s="11"/>
      <c r="E3742" s="11"/>
      <c r="F3742" s="11"/>
      <c r="G3742" s="11"/>
      <c r="H3742" s="11"/>
      <c r="I3742" s="15"/>
    </row>
    <row r="3743" spans="1:9" ht="16.5">
      <c r="A3743" s="10" t="b">
        <v>0</v>
      </c>
      <c r="B3743" s="11" t="str">
        <f>IF(D3743&lt;&gt;"",IF(COUNTIF('USPTO TMs'!A:A,D3743)&gt;0,"Yes","No"),"")</f>
        <v/>
      </c>
      <c r="C3743" s="11"/>
      <c r="D3743" s="11"/>
      <c r="E3743" s="11"/>
      <c r="F3743" s="11"/>
      <c r="G3743" s="11"/>
      <c r="H3743" s="11"/>
      <c r="I3743" s="15"/>
    </row>
    <row r="3744" spans="1:9" ht="16.5">
      <c r="A3744" s="10" t="b">
        <v>0</v>
      </c>
      <c r="B3744" s="11" t="str">
        <f>IF(D3744&lt;&gt;"",IF(COUNTIF('USPTO TMs'!A:A,D3744)&gt;0,"Yes","No"),"")</f>
        <v/>
      </c>
      <c r="C3744" s="11"/>
      <c r="D3744" s="11"/>
      <c r="E3744" s="11"/>
      <c r="F3744" s="11"/>
      <c r="G3744" s="11"/>
      <c r="H3744" s="11"/>
      <c r="I3744" s="15"/>
    </row>
    <row r="3745" spans="1:9" ht="16.5">
      <c r="A3745" s="10" t="b">
        <v>0</v>
      </c>
      <c r="B3745" s="11" t="str">
        <f>IF(D3745&lt;&gt;"",IF(COUNTIF('USPTO TMs'!A:A,D3745)&gt;0,"Yes","No"),"")</f>
        <v/>
      </c>
      <c r="C3745" s="11"/>
      <c r="D3745" s="11"/>
      <c r="E3745" s="11"/>
      <c r="F3745" s="11"/>
      <c r="G3745" s="11"/>
      <c r="H3745" s="11"/>
      <c r="I3745" s="15"/>
    </row>
    <row r="3746" spans="1:9" ht="16.5">
      <c r="A3746" s="10" t="b">
        <v>0</v>
      </c>
      <c r="B3746" s="11" t="str">
        <f>IF(D3746&lt;&gt;"",IF(COUNTIF('USPTO TMs'!A:A,D3746)&gt;0,"Yes","No"),"")</f>
        <v/>
      </c>
      <c r="C3746" s="11"/>
      <c r="D3746" s="11"/>
      <c r="E3746" s="11"/>
      <c r="F3746" s="11"/>
      <c r="G3746" s="11"/>
      <c r="H3746" s="11"/>
      <c r="I3746" s="15"/>
    </row>
    <row r="3747" spans="1:9" ht="16.5">
      <c r="A3747" s="10" t="b">
        <v>0</v>
      </c>
      <c r="B3747" s="11" t="str">
        <f>IF(D3747&lt;&gt;"",IF(COUNTIF('USPTO TMs'!A:A,D3747)&gt;0,"Yes","No"),"")</f>
        <v/>
      </c>
      <c r="C3747" s="11"/>
      <c r="D3747" s="11"/>
      <c r="E3747" s="11"/>
      <c r="F3747" s="11"/>
      <c r="G3747" s="11"/>
      <c r="H3747" s="11"/>
      <c r="I3747" s="15"/>
    </row>
    <row r="3748" spans="1:9" ht="16.5">
      <c r="A3748" s="10" t="b">
        <v>0</v>
      </c>
      <c r="B3748" s="11" t="str">
        <f>IF(D3748&lt;&gt;"",IF(COUNTIF('USPTO TMs'!A:A,D3748)&gt;0,"Yes","No"),"")</f>
        <v/>
      </c>
      <c r="C3748" s="11"/>
      <c r="D3748" s="11"/>
      <c r="E3748" s="11"/>
      <c r="F3748" s="11"/>
      <c r="G3748" s="11"/>
      <c r="H3748" s="11"/>
      <c r="I3748" s="15"/>
    </row>
    <row r="3749" spans="1:9" ht="16.5">
      <c r="A3749" s="10" t="b">
        <v>0</v>
      </c>
      <c r="B3749" s="11" t="str">
        <f>IF(D3749&lt;&gt;"",IF(COUNTIF('USPTO TMs'!A:A,D3749)&gt;0,"Yes","No"),"")</f>
        <v/>
      </c>
      <c r="C3749" s="11"/>
      <c r="D3749" s="11"/>
      <c r="E3749" s="11"/>
      <c r="F3749" s="11"/>
      <c r="G3749" s="11"/>
      <c r="H3749" s="11"/>
      <c r="I3749" s="15"/>
    </row>
    <row r="3750" spans="1:9" ht="16.5">
      <c r="A3750" s="10" t="b">
        <v>0</v>
      </c>
      <c r="B3750" s="11" t="str">
        <f>IF(D3750&lt;&gt;"",IF(COUNTIF('USPTO TMs'!A:A,D3750)&gt;0,"Yes","No"),"")</f>
        <v/>
      </c>
      <c r="C3750" s="11"/>
      <c r="D3750" s="11"/>
      <c r="E3750" s="11"/>
      <c r="F3750" s="11"/>
      <c r="G3750" s="11"/>
      <c r="H3750" s="11"/>
      <c r="I3750" s="15"/>
    </row>
    <row r="3751" spans="1:9" ht="16.5">
      <c r="A3751" s="10" t="b">
        <v>0</v>
      </c>
      <c r="B3751" s="11" t="str">
        <f>IF(D3751&lt;&gt;"",IF(COUNTIF('USPTO TMs'!A:A,D3751)&gt;0,"Yes","No"),"")</f>
        <v/>
      </c>
      <c r="C3751" s="11"/>
      <c r="D3751" s="11"/>
      <c r="E3751" s="11"/>
      <c r="F3751" s="11"/>
      <c r="G3751" s="11"/>
      <c r="H3751" s="11"/>
      <c r="I3751" s="15"/>
    </row>
    <row r="3752" spans="1:9" ht="16.5">
      <c r="A3752" s="10" t="b">
        <v>0</v>
      </c>
      <c r="B3752" s="11" t="str">
        <f>IF(D3752&lt;&gt;"",IF(COUNTIF('USPTO TMs'!A:A,D3752)&gt;0,"Yes","No"),"")</f>
        <v/>
      </c>
      <c r="C3752" s="11"/>
      <c r="D3752" s="11"/>
      <c r="E3752" s="11"/>
      <c r="F3752" s="11"/>
      <c r="G3752" s="11"/>
      <c r="H3752" s="11"/>
      <c r="I3752" s="15"/>
    </row>
    <row r="3753" spans="1:9" ht="16.5">
      <c r="A3753" s="10" t="b">
        <v>0</v>
      </c>
      <c r="B3753" s="11" t="str">
        <f>IF(D3753&lt;&gt;"",IF(COUNTIF('USPTO TMs'!A:A,D3753)&gt;0,"Yes","No"),"")</f>
        <v/>
      </c>
      <c r="C3753" s="11"/>
      <c r="D3753" s="11"/>
      <c r="E3753" s="11"/>
      <c r="F3753" s="11"/>
      <c r="G3753" s="11"/>
      <c r="H3753" s="11"/>
      <c r="I3753" s="15"/>
    </row>
    <row r="3754" spans="1:9" ht="16.5">
      <c r="A3754" s="10" t="b">
        <v>0</v>
      </c>
      <c r="B3754" s="11" t="str">
        <f>IF(D3754&lt;&gt;"",IF(COUNTIF('USPTO TMs'!A:A,D3754)&gt;0,"Yes","No"),"")</f>
        <v/>
      </c>
      <c r="C3754" s="11"/>
      <c r="D3754" s="11"/>
      <c r="E3754" s="11"/>
      <c r="F3754" s="11"/>
      <c r="G3754" s="11"/>
      <c r="H3754" s="11"/>
      <c r="I3754" s="15"/>
    </row>
    <row r="3755" spans="1:9" ht="16.5">
      <c r="A3755" s="10" t="b">
        <v>0</v>
      </c>
      <c r="B3755" s="11" t="str">
        <f>IF(D3755&lt;&gt;"",IF(COUNTIF('USPTO TMs'!A:A,D3755)&gt;0,"Yes","No"),"")</f>
        <v/>
      </c>
      <c r="C3755" s="11"/>
      <c r="D3755" s="11"/>
      <c r="E3755" s="11"/>
      <c r="F3755" s="11"/>
      <c r="G3755" s="11"/>
      <c r="H3755" s="11"/>
      <c r="I3755" s="15"/>
    </row>
    <row r="3756" spans="1:9" ht="16.5">
      <c r="A3756" s="10" t="b">
        <v>0</v>
      </c>
      <c r="B3756" s="11" t="str">
        <f>IF(D3756&lt;&gt;"",IF(COUNTIF('USPTO TMs'!A:A,D3756)&gt;0,"Yes","No"),"")</f>
        <v/>
      </c>
      <c r="C3756" s="11"/>
      <c r="D3756" s="11"/>
      <c r="E3756" s="11"/>
      <c r="F3756" s="11"/>
      <c r="G3756" s="11"/>
      <c r="H3756" s="11"/>
      <c r="I3756" s="15"/>
    </row>
    <row r="3757" spans="1:9" ht="16.5">
      <c r="A3757" s="10" t="b">
        <v>0</v>
      </c>
      <c r="B3757" s="11" t="str">
        <f>IF(D3757&lt;&gt;"",IF(COUNTIF('USPTO TMs'!A:A,D3757)&gt;0,"Yes","No"),"")</f>
        <v/>
      </c>
      <c r="C3757" s="11"/>
      <c r="D3757" s="11"/>
      <c r="E3757" s="11"/>
      <c r="F3757" s="11"/>
      <c r="G3757" s="11"/>
      <c r="H3757" s="11"/>
      <c r="I3757" s="15"/>
    </row>
    <row r="3758" spans="1:9" ht="16.5">
      <c r="A3758" s="10" t="b">
        <v>0</v>
      </c>
      <c r="B3758" s="11" t="str">
        <f>IF(D3758&lt;&gt;"",IF(COUNTIF('USPTO TMs'!A:A,D3758)&gt;0,"Yes","No"),"")</f>
        <v/>
      </c>
      <c r="C3758" s="11"/>
      <c r="D3758" s="11"/>
      <c r="E3758" s="11"/>
      <c r="F3758" s="11"/>
      <c r="G3758" s="11"/>
      <c r="H3758" s="11"/>
      <c r="I3758" s="15"/>
    </row>
    <row r="3759" spans="1:9" ht="16.5">
      <c r="A3759" s="10" t="b">
        <v>0</v>
      </c>
      <c r="B3759" s="11" t="str">
        <f>IF(D3759&lt;&gt;"",IF(COUNTIF('USPTO TMs'!A:A,D3759)&gt;0,"Yes","No"),"")</f>
        <v/>
      </c>
      <c r="C3759" s="11"/>
      <c r="D3759" s="11"/>
      <c r="E3759" s="11"/>
      <c r="F3759" s="11"/>
      <c r="G3759" s="11"/>
      <c r="H3759" s="11"/>
      <c r="I3759" s="15"/>
    </row>
    <row r="3760" spans="1:9" ht="16.5">
      <c r="A3760" s="10" t="b">
        <v>0</v>
      </c>
      <c r="B3760" s="11" t="str">
        <f>IF(D3760&lt;&gt;"",IF(COUNTIF('USPTO TMs'!A:A,D3760)&gt;0,"Yes","No"),"")</f>
        <v/>
      </c>
      <c r="C3760" s="11"/>
      <c r="D3760" s="11"/>
      <c r="E3760" s="11"/>
      <c r="F3760" s="11"/>
      <c r="G3760" s="11"/>
      <c r="H3760" s="11"/>
      <c r="I3760" s="15"/>
    </row>
    <row r="3761" spans="1:9" ht="16.5">
      <c r="A3761" s="10" t="b">
        <v>0</v>
      </c>
      <c r="B3761" s="11" t="str">
        <f>IF(D3761&lt;&gt;"",IF(COUNTIF('USPTO TMs'!A:A,D3761)&gt;0,"Yes","No"),"")</f>
        <v/>
      </c>
      <c r="C3761" s="11"/>
      <c r="D3761" s="11"/>
      <c r="E3761" s="11"/>
      <c r="F3761" s="11"/>
      <c r="G3761" s="11"/>
      <c r="H3761" s="11"/>
      <c r="I3761" s="15"/>
    </row>
    <row r="3762" spans="1:9" ht="16.5">
      <c r="A3762" s="10" t="b">
        <v>0</v>
      </c>
      <c r="B3762" s="11" t="str">
        <f>IF(D3762&lt;&gt;"",IF(COUNTIF('USPTO TMs'!A:A,D3762)&gt;0,"Yes","No"),"")</f>
        <v/>
      </c>
      <c r="C3762" s="11"/>
      <c r="D3762" s="11"/>
      <c r="E3762" s="11"/>
      <c r="F3762" s="11"/>
      <c r="G3762" s="11"/>
      <c r="H3762" s="11"/>
      <c r="I3762" s="15"/>
    </row>
    <row r="3763" spans="1:9" ht="16.5">
      <c r="A3763" s="10" t="b">
        <v>0</v>
      </c>
      <c r="B3763" s="11" t="str">
        <f>IF(D3763&lt;&gt;"",IF(COUNTIF('USPTO TMs'!A:A,D3763)&gt;0,"Yes","No"),"")</f>
        <v/>
      </c>
      <c r="C3763" s="11"/>
      <c r="D3763" s="11"/>
      <c r="E3763" s="11"/>
      <c r="F3763" s="11"/>
      <c r="G3763" s="11"/>
      <c r="H3763" s="11"/>
      <c r="I3763" s="15"/>
    </row>
    <row r="3764" spans="1:9" ht="16.5">
      <c r="A3764" s="10" t="b">
        <v>0</v>
      </c>
      <c r="B3764" s="11" t="str">
        <f>IF(D3764&lt;&gt;"",IF(COUNTIF('USPTO TMs'!A:A,D3764)&gt;0,"Yes","No"),"")</f>
        <v/>
      </c>
      <c r="C3764" s="11"/>
      <c r="D3764" s="11"/>
      <c r="E3764" s="11"/>
      <c r="F3764" s="11"/>
      <c r="G3764" s="11"/>
      <c r="H3764" s="11"/>
      <c r="I3764" s="15"/>
    </row>
    <row r="3765" spans="1:9" ht="16.5">
      <c r="A3765" s="10" t="b">
        <v>0</v>
      </c>
      <c r="B3765" s="11" t="str">
        <f>IF(D3765&lt;&gt;"",IF(COUNTIF('USPTO TMs'!A:A,D3765)&gt;0,"Yes","No"),"")</f>
        <v/>
      </c>
      <c r="C3765" s="11"/>
      <c r="D3765" s="11"/>
      <c r="E3765" s="11"/>
      <c r="F3765" s="11"/>
      <c r="G3765" s="11"/>
      <c r="H3765" s="11"/>
      <c r="I3765" s="15"/>
    </row>
    <row r="3766" spans="1:9" ht="16.5">
      <c r="A3766" s="10" t="b">
        <v>0</v>
      </c>
      <c r="B3766" s="11" t="str">
        <f>IF(D3766&lt;&gt;"",IF(COUNTIF('USPTO TMs'!A:A,D3766)&gt;0,"Yes","No"),"")</f>
        <v/>
      </c>
      <c r="C3766" s="11"/>
      <c r="D3766" s="11"/>
      <c r="E3766" s="11"/>
      <c r="F3766" s="11"/>
      <c r="G3766" s="11"/>
      <c r="H3766" s="11"/>
      <c r="I3766" s="15"/>
    </row>
    <row r="3767" spans="1:9" ht="16.5">
      <c r="A3767" s="10" t="b">
        <v>0</v>
      </c>
      <c r="B3767" s="11" t="str">
        <f>IF(D3767&lt;&gt;"",IF(COUNTIF('USPTO TMs'!A:A,D3767)&gt;0,"Yes","No"),"")</f>
        <v/>
      </c>
      <c r="C3767" s="11"/>
      <c r="D3767" s="11"/>
      <c r="E3767" s="11"/>
      <c r="F3767" s="11"/>
      <c r="G3767" s="11"/>
      <c r="H3767" s="11"/>
      <c r="I3767" s="15"/>
    </row>
    <row r="3768" spans="1:9" ht="16.5">
      <c r="A3768" s="10" t="b">
        <v>0</v>
      </c>
      <c r="B3768" s="11" t="str">
        <f>IF(D3768&lt;&gt;"",IF(COUNTIF('USPTO TMs'!A:A,D3768)&gt;0,"Yes","No"),"")</f>
        <v/>
      </c>
      <c r="C3768" s="11"/>
      <c r="D3768" s="11"/>
      <c r="E3768" s="11"/>
      <c r="F3768" s="11"/>
      <c r="G3768" s="11"/>
      <c r="H3768" s="11"/>
      <c r="I3768" s="15"/>
    </row>
    <row r="3769" spans="1:9" ht="16.5">
      <c r="A3769" s="10" t="b">
        <v>0</v>
      </c>
      <c r="B3769" s="11" t="str">
        <f>IF(D3769&lt;&gt;"",IF(COUNTIF('USPTO TMs'!A:A,D3769)&gt;0,"Yes","No"),"")</f>
        <v/>
      </c>
      <c r="C3769" s="11"/>
      <c r="D3769" s="11"/>
      <c r="E3769" s="11"/>
      <c r="F3769" s="11"/>
      <c r="G3769" s="11"/>
      <c r="H3769" s="11"/>
      <c r="I3769" s="15"/>
    </row>
    <row r="3770" spans="1:9" ht="16.5">
      <c r="A3770" s="10" t="b">
        <v>0</v>
      </c>
      <c r="B3770" s="11" t="str">
        <f>IF(D3770&lt;&gt;"",IF(COUNTIF('USPTO TMs'!A:A,D3770)&gt;0,"Yes","No"),"")</f>
        <v/>
      </c>
      <c r="C3770" s="11"/>
      <c r="D3770" s="11"/>
      <c r="E3770" s="11"/>
      <c r="F3770" s="11"/>
      <c r="G3770" s="11"/>
      <c r="H3770" s="11"/>
      <c r="I3770" s="15"/>
    </row>
    <row r="3771" spans="1:9" ht="16.5">
      <c r="A3771" s="10" t="b">
        <v>0</v>
      </c>
      <c r="B3771" s="11" t="str">
        <f>IF(D3771&lt;&gt;"",IF(COUNTIF('USPTO TMs'!A:A,D3771)&gt;0,"Yes","No"),"")</f>
        <v/>
      </c>
      <c r="C3771" s="11"/>
      <c r="D3771" s="11"/>
      <c r="E3771" s="11"/>
      <c r="F3771" s="11"/>
      <c r="G3771" s="11"/>
      <c r="H3771" s="11"/>
      <c r="I3771" s="15"/>
    </row>
    <row r="3772" spans="1:9" ht="16.5">
      <c r="A3772" s="10" t="b">
        <v>0</v>
      </c>
      <c r="B3772" s="11" t="str">
        <f>IF(D3772&lt;&gt;"",IF(COUNTIF('USPTO TMs'!A:A,D3772)&gt;0,"Yes","No"),"")</f>
        <v/>
      </c>
      <c r="C3772" s="11"/>
      <c r="D3772" s="11"/>
      <c r="E3772" s="11"/>
      <c r="F3772" s="11"/>
      <c r="G3772" s="11"/>
      <c r="H3772" s="11"/>
      <c r="I3772" s="15"/>
    </row>
    <row r="3773" spans="1:9" ht="16.5">
      <c r="A3773" s="10" t="b">
        <v>0</v>
      </c>
      <c r="B3773" s="11" t="str">
        <f>IF(D3773&lt;&gt;"",IF(COUNTIF('USPTO TMs'!A:A,D3773)&gt;0,"Yes","No"),"")</f>
        <v/>
      </c>
      <c r="C3773" s="11"/>
      <c r="D3773" s="11"/>
      <c r="E3773" s="11"/>
      <c r="F3773" s="11"/>
      <c r="G3773" s="11"/>
      <c r="H3773" s="11"/>
      <c r="I3773" s="15"/>
    </row>
    <row r="3774" spans="1:9" ht="16.5">
      <c r="A3774" s="10" t="b">
        <v>0</v>
      </c>
      <c r="B3774" s="11" t="str">
        <f>IF(D3774&lt;&gt;"",IF(COUNTIF('USPTO TMs'!A:A,D3774)&gt;0,"Yes","No"),"")</f>
        <v/>
      </c>
      <c r="C3774" s="11"/>
      <c r="D3774" s="11"/>
      <c r="E3774" s="11"/>
      <c r="F3774" s="11"/>
      <c r="G3774" s="11"/>
      <c r="H3774" s="11"/>
      <c r="I3774" s="15"/>
    </row>
    <row r="3775" spans="1:9" ht="16.5">
      <c r="A3775" s="10" t="b">
        <v>0</v>
      </c>
      <c r="B3775" s="11" t="str">
        <f>IF(D3775&lt;&gt;"",IF(COUNTIF('USPTO TMs'!A:A,D3775)&gt;0,"Yes","No"),"")</f>
        <v/>
      </c>
      <c r="C3775" s="11"/>
      <c r="D3775" s="11"/>
      <c r="E3775" s="11"/>
      <c r="F3775" s="11"/>
      <c r="G3775" s="11"/>
      <c r="H3775" s="11"/>
      <c r="I3775" s="15"/>
    </row>
    <row r="3776" spans="1:9" ht="16.5">
      <c r="A3776" s="10" t="b">
        <v>0</v>
      </c>
      <c r="B3776" s="11" t="str">
        <f>IF(D3776&lt;&gt;"",IF(COUNTIF('USPTO TMs'!A:A,D3776)&gt;0,"Yes","No"),"")</f>
        <v/>
      </c>
      <c r="C3776" s="11"/>
      <c r="D3776" s="11"/>
      <c r="E3776" s="11"/>
      <c r="F3776" s="11"/>
      <c r="G3776" s="11"/>
      <c r="H3776" s="11"/>
      <c r="I3776" s="15"/>
    </row>
    <row r="3777" spans="1:9" ht="16.5">
      <c r="A3777" s="10" t="b">
        <v>0</v>
      </c>
      <c r="B3777" s="11" t="str">
        <f>IF(D3777&lt;&gt;"",IF(COUNTIF('USPTO TMs'!A:A,D3777)&gt;0,"Yes","No"),"")</f>
        <v/>
      </c>
      <c r="C3777" s="11"/>
      <c r="D3777" s="11"/>
      <c r="E3777" s="11"/>
      <c r="F3777" s="11"/>
      <c r="G3777" s="11"/>
      <c r="H3777" s="11"/>
      <c r="I3777" s="15"/>
    </row>
    <row r="3778" spans="1:9" ht="16.5">
      <c r="A3778" s="10" t="b">
        <v>0</v>
      </c>
      <c r="B3778" s="11" t="str">
        <f>IF(D3778&lt;&gt;"",IF(COUNTIF('USPTO TMs'!A:A,D3778)&gt;0,"Yes","No"),"")</f>
        <v/>
      </c>
      <c r="C3778" s="11"/>
      <c r="D3778" s="11"/>
      <c r="E3778" s="11"/>
      <c r="F3778" s="11"/>
      <c r="G3778" s="11"/>
      <c r="H3778" s="11"/>
      <c r="I3778" s="15"/>
    </row>
    <row r="3779" spans="1:9" ht="16.5">
      <c r="A3779" s="10" t="b">
        <v>0</v>
      </c>
      <c r="B3779" s="11" t="str">
        <f>IF(D3779&lt;&gt;"",IF(COUNTIF('USPTO TMs'!A:A,D3779)&gt;0,"Yes","No"),"")</f>
        <v/>
      </c>
      <c r="C3779" s="11"/>
      <c r="D3779" s="11"/>
      <c r="E3779" s="11"/>
      <c r="F3779" s="11"/>
      <c r="G3779" s="11"/>
      <c r="H3779" s="11"/>
      <c r="I3779" s="15"/>
    </row>
    <row r="3780" spans="1:9" ht="16.5">
      <c r="A3780" s="10" t="b">
        <v>0</v>
      </c>
      <c r="B3780" s="11" t="str">
        <f>IF(D3780&lt;&gt;"",IF(COUNTIF('USPTO TMs'!A:A,D3780)&gt;0,"Yes","No"),"")</f>
        <v/>
      </c>
      <c r="C3780" s="11"/>
      <c r="D3780" s="11"/>
      <c r="E3780" s="11"/>
      <c r="F3780" s="11"/>
      <c r="G3780" s="11"/>
      <c r="H3780" s="11"/>
      <c r="I3780" s="15"/>
    </row>
    <row r="3781" spans="1:9" ht="16.5">
      <c r="A3781" s="10" t="b">
        <v>0</v>
      </c>
      <c r="B3781" s="11" t="str">
        <f>IF(D3781&lt;&gt;"",IF(COUNTIF('USPTO TMs'!A:A,D3781)&gt;0,"Yes","No"),"")</f>
        <v/>
      </c>
      <c r="C3781" s="11"/>
      <c r="D3781" s="11"/>
      <c r="E3781" s="11"/>
      <c r="F3781" s="11"/>
      <c r="G3781" s="11"/>
      <c r="H3781" s="11"/>
      <c r="I3781" s="15"/>
    </row>
    <row r="3782" spans="1:9" ht="16.5">
      <c r="A3782" s="10" t="b">
        <v>0</v>
      </c>
      <c r="B3782" s="11" t="str">
        <f>IF(D3782&lt;&gt;"",IF(COUNTIF('USPTO TMs'!A:A,D3782)&gt;0,"Yes","No"),"")</f>
        <v/>
      </c>
      <c r="C3782" s="11"/>
      <c r="D3782" s="11"/>
      <c r="E3782" s="11"/>
      <c r="F3782" s="11"/>
      <c r="G3782" s="11"/>
      <c r="H3782" s="11"/>
      <c r="I3782" s="15"/>
    </row>
    <row r="3783" spans="1:9" ht="16.5">
      <c r="A3783" s="10" t="b">
        <v>0</v>
      </c>
      <c r="B3783" s="11" t="str">
        <f>IF(D3783&lt;&gt;"",IF(COUNTIF('USPTO TMs'!A:A,D3783)&gt;0,"Yes","No"),"")</f>
        <v/>
      </c>
      <c r="C3783" s="11"/>
      <c r="D3783" s="11"/>
      <c r="E3783" s="11"/>
      <c r="F3783" s="11"/>
      <c r="G3783" s="11"/>
      <c r="H3783" s="11"/>
      <c r="I3783" s="15"/>
    </row>
    <row r="3784" spans="1:9" ht="16.5">
      <c r="A3784" s="10" t="b">
        <v>0</v>
      </c>
      <c r="B3784" s="11" t="str">
        <f>IF(D3784&lt;&gt;"",IF(COUNTIF('USPTO TMs'!A:A,D3784)&gt;0,"Yes","No"),"")</f>
        <v/>
      </c>
      <c r="C3784" s="11"/>
      <c r="D3784" s="11"/>
      <c r="E3784" s="11"/>
      <c r="F3784" s="11"/>
      <c r="G3784" s="11"/>
      <c r="H3784" s="11"/>
      <c r="I3784" s="15"/>
    </row>
    <row r="3785" spans="1:9" ht="16.5">
      <c r="A3785" s="10" t="b">
        <v>0</v>
      </c>
      <c r="B3785" s="11" t="str">
        <f>IF(D3785&lt;&gt;"",IF(COUNTIF('USPTO TMs'!A:A,D3785)&gt;0,"Yes","No"),"")</f>
        <v/>
      </c>
      <c r="C3785" s="11"/>
      <c r="D3785" s="11"/>
      <c r="E3785" s="11"/>
      <c r="F3785" s="11"/>
      <c r="G3785" s="11"/>
      <c r="H3785" s="11"/>
      <c r="I3785" s="15"/>
    </row>
    <row r="3786" spans="1:9" ht="16.5">
      <c r="A3786" s="10" t="b">
        <v>0</v>
      </c>
      <c r="B3786" s="11" t="str">
        <f>IF(D3786&lt;&gt;"",IF(COUNTIF('USPTO TMs'!A:A,D3786)&gt;0,"Yes","No"),"")</f>
        <v/>
      </c>
      <c r="C3786" s="11"/>
      <c r="D3786" s="11"/>
      <c r="E3786" s="11"/>
      <c r="F3786" s="11"/>
      <c r="G3786" s="11"/>
      <c r="H3786" s="11"/>
      <c r="I3786" s="15"/>
    </row>
    <row r="3787" spans="1:9" ht="16.5">
      <c r="A3787" s="10" t="b">
        <v>0</v>
      </c>
      <c r="B3787" s="11" t="str">
        <f>IF(D3787&lt;&gt;"",IF(COUNTIF('USPTO TMs'!A:A,D3787)&gt;0,"Yes","No"),"")</f>
        <v/>
      </c>
      <c r="C3787" s="11"/>
      <c r="D3787" s="11"/>
      <c r="E3787" s="11"/>
      <c r="F3787" s="11"/>
      <c r="G3787" s="11"/>
      <c r="H3787" s="11"/>
      <c r="I3787" s="15"/>
    </row>
    <row r="3788" spans="1:9" ht="16.5">
      <c r="A3788" s="10" t="b">
        <v>0</v>
      </c>
      <c r="B3788" s="11" t="str">
        <f>IF(D3788&lt;&gt;"",IF(COUNTIF('USPTO TMs'!A:A,D3788)&gt;0,"Yes","No"),"")</f>
        <v/>
      </c>
      <c r="C3788" s="11"/>
      <c r="D3788" s="11"/>
      <c r="E3788" s="11"/>
      <c r="F3788" s="11"/>
      <c r="G3788" s="11"/>
      <c r="H3788" s="11"/>
      <c r="I3788" s="15"/>
    </row>
    <row r="3789" spans="1:9" ht="16.5">
      <c r="A3789" s="10" t="b">
        <v>0</v>
      </c>
      <c r="B3789" s="11" t="str">
        <f>IF(D3789&lt;&gt;"",IF(COUNTIF('USPTO TMs'!A:A,D3789)&gt;0,"Yes","No"),"")</f>
        <v/>
      </c>
      <c r="C3789" s="11"/>
      <c r="D3789" s="11"/>
      <c r="E3789" s="11"/>
      <c r="F3789" s="11"/>
      <c r="G3789" s="11"/>
      <c r="H3789" s="11"/>
      <c r="I3789" s="15"/>
    </row>
    <row r="3790" spans="1:9" ht="16.5">
      <c r="A3790" s="10" t="b">
        <v>0</v>
      </c>
      <c r="B3790" s="11" t="str">
        <f>IF(D3790&lt;&gt;"",IF(COUNTIF('USPTO TMs'!A:A,D3790)&gt;0,"Yes","No"),"")</f>
        <v/>
      </c>
      <c r="C3790" s="11"/>
      <c r="D3790" s="11"/>
      <c r="E3790" s="11"/>
      <c r="F3790" s="11"/>
      <c r="G3790" s="11"/>
      <c r="H3790" s="11"/>
      <c r="I3790" s="15"/>
    </row>
    <row r="3791" spans="1:9" ht="16.5">
      <c r="A3791" s="10" t="b">
        <v>0</v>
      </c>
      <c r="B3791" s="11" t="str">
        <f>IF(D3791&lt;&gt;"",IF(COUNTIF('USPTO TMs'!A:A,D3791)&gt;0,"Yes","No"),"")</f>
        <v/>
      </c>
      <c r="C3791" s="11"/>
      <c r="D3791" s="11"/>
      <c r="E3791" s="11"/>
      <c r="F3791" s="11"/>
      <c r="G3791" s="11"/>
      <c r="H3791" s="11"/>
      <c r="I3791" s="15"/>
    </row>
    <row r="3792" spans="1:9" ht="16.5">
      <c r="A3792" s="10" t="b">
        <v>0</v>
      </c>
      <c r="B3792" s="11" t="str">
        <f>IF(D3792&lt;&gt;"",IF(COUNTIF('USPTO TMs'!A:A,D3792)&gt;0,"Yes","No"),"")</f>
        <v/>
      </c>
      <c r="C3792" s="11"/>
      <c r="D3792" s="11"/>
      <c r="E3792" s="11"/>
      <c r="F3792" s="11"/>
      <c r="G3792" s="11"/>
      <c r="H3792" s="11"/>
      <c r="I3792" s="15"/>
    </row>
    <row r="3793" spans="1:9" ht="16.5">
      <c r="A3793" s="10" t="b">
        <v>0</v>
      </c>
      <c r="B3793" s="11" t="str">
        <f>IF(D3793&lt;&gt;"",IF(COUNTIF('USPTO TMs'!A:A,D3793)&gt;0,"Yes","No"),"")</f>
        <v/>
      </c>
      <c r="C3793" s="11"/>
      <c r="D3793" s="11"/>
      <c r="E3793" s="11"/>
      <c r="F3793" s="11"/>
      <c r="G3793" s="11"/>
      <c r="H3793" s="11"/>
      <c r="I3793" s="15"/>
    </row>
    <row r="3794" spans="1:9" ht="16.5">
      <c r="A3794" s="10" t="b">
        <v>0</v>
      </c>
      <c r="B3794" s="11" t="str">
        <f>IF(D3794&lt;&gt;"",IF(COUNTIF('USPTO TMs'!A:A,D3794)&gt;0,"Yes","No"),"")</f>
        <v/>
      </c>
      <c r="C3794" s="11"/>
      <c r="D3794" s="11"/>
      <c r="E3794" s="11"/>
      <c r="F3794" s="11"/>
      <c r="G3794" s="11"/>
      <c r="H3794" s="11"/>
      <c r="I3794" s="15"/>
    </row>
    <row r="3795" spans="1:9" ht="16.5">
      <c r="A3795" s="10" t="b">
        <v>0</v>
      </c>
      <c r="B3795" s="11" t="str">
        <f>IF(D3795&lt;&gt;"",IF(COUNTIF('USPTO TMs'!A:A,D3795)&gt;0,"Yes","No"),"")</f>
        <v/>
      </c>
      <c r="C3795" s="11"/>
      <c r="D3795" s="11"/>
      <c r="E3795" s="11"/>
      <c r="F3795" s="11"/>
      <c r="G3795" s="11"/>
      <c r="H3795" s="11"/>
      <c r="I3795" s="15"/>
    </row>
    <row r="3796" spans="1:9" ht="16.5">
      <c r="A3796" s="10" t="b">
        <v>0</v>
      </c>
      <c r="B3796" s="11" t="str">
        <f>IF(D3796&lt;&gt;"",IF(COUNTIF('USPTO TMs'!A:A,D3796)&gt;0,"Yes","No"),"")</f>
        <v/>
      </c>
      <c r="C3796" s="11"/>
      <c r="D3796" s="11"/>
      <c r="E3796" s="11"/>
      <c r="F3796" s="11"/>
      <c r="G3796" s="11"/>
      <c r="H3796" s="11"/>
      <c r="I3796" s="15"/>
    </row>
    <row r="3797" spans="1:9" ht="16.5">
      <c r="A3797" s="10" t="b">
        <v>0</v>
      </c>
      <c r="B3797" s="11" t="str">
        <f>IF(D3797&lt;&gt;"",IF(COUNTIF('USPTO TMs'!A:A,D3797)&gt;0,"Yes","No"),"")</f>
        <v/>
      </c>
      <c r="C3797" s="11"/>
      <c r="D3797" s="11"/>
      <c r="E3797" s="11"/>
      <c r="F3797" s="11"/>
      <c r="G3797" s="11"/>
      <c r="H3797" s="11"/>
      <c r="I3797" s="15"/>
    </row>
    <row r="3798" spans="1:9" ht="16.5">
      <c r="A3798" s="10" t="b">
        <v>0</v>
      </c>
      <c r="B3798" s="11" t="str">
        <f>IF(D3798&lt;&gt;"",IF(COUNTIF('USPTO TMs'!A:A,D3798)&gt;0,"Yes","No"),"")</f>
        <v/>
      </c>
      <c r="C3798" s="11"/>
      <c r="D3798" s="11"/>
      <c r="E3798" s="11"/>
      <c r="F3798" s="11"/>
      <c r="G3798" s="11"/>
      <c r="H3798" s="11"/>
      <c r="I3798" s="15"/>
    </row>
    <row r="3799" spans="1:9" ht="16.5">
      <c r="A3799" s="10" t="b">
        <v>0</v>
      </c>
      <c r="B3799" s="11" t="str">
        <f>IF(D3799&lt;&gt;"",IF(COUNTIF('USPTO TMs'!A:A,D3799)&gt;0,"Yes","No"),"")</f>
        <v/>
      </c>
      <c r="C3799" s="11"/>
      <c r="D3799" s="11"/>
      <c r="E3799" s="11"/>
      <c r="F3799" s="11"/>
      <c r="G3799" s="11"/>
      <c r="H3799" s="11"/>
      <c r="I3799" s="15"/>
    </row>
    <row r="3800" spans="1:9" ht="16.5">
      <c r="A3800" s="10" t="b">
        <v>0</v>
      </c>
      <c r="B3800" s="11" t="str">
        <f>IF(D3800&lt;&gt;"",IF(COUNTIF('USPTO TMs'!A:A,D3800)&gt;0,"Yes","No"),"")</f>
        <v/>
      </c>
      <c r="C3800" s="11"/>
      <c r="D3800" s="11"/>
      <c r="E3800" s="11"/>
      <c r="F3800" s="11"/>
      <c r="G3800" s="11"/>
      <c r="H3800" s="11"/>
      <c r="I3800" s="15"/>
    </row>
    <row r="3801" spans="1:9" ht="16.5">
      <c r="A3801" s="10" t="b">
        <v>0</v>
      </c>
      <c r="B3801" s="11" t="str">
        <f>IF(D3801&lt;&gt;"",IF(COUNTIF('USPTO TMs'!A:A,D3801)&gt;0,"Yes","No"),"")</f>
        <v/>
      </c>
      <c r="C3801" s="11"/>
      <c r="D3801" s="11"/>
      <c r="E3801" s="11"/>
      <c r="F3801" s="11"/>
      <c r="G3801" s="11"/>
      <c r="H3801" s="11"/>
      <c r="I3801" s="15"/>
    </row>
    <row r="3802" spans="1:9" ht="16.5">
      <c r="A3802" s="10" t="b">
        <v>0</v>
      </c>
      <c r="B3802" s="11" t="str">
        <f>IF(D3802&lt;&gt;"",IF(COUNTIF('USPTO TMs'!A:A,D3802)&gt;0,"Yes","No"),"")</f>
        <v/>
      </c>
      <c r="C3802" s="11"/>
      <c r="D3802" s="11"/>
      <c r="E3802" s="11"/>
      <c r="F3802" s="11"/>
      <c r="G3802" s="11"/>
      <c r="H3802" s="11"/>
      <c r="I3802" s="15"/>
    </row>
    <row r="3803" spans="1:9" ht="16.5">
      <c r="A3803" s="10" t="b">
        <v>0</v>
      </c>
      <c r="B3803" s="11" t="str">
        <f>IF(D3803&lt;&gt;"",IF(COUNTIF('USPTO TMs'!A:A,D3803)&gt;0,"Yes","No"),"")</f>
        <v/>
      </c>
      <c r="C3803" s="11"/>
      <c r="D3803" s="11"/>
      <c r="E3803" s="11"/>
      <c r="F3803" s="11"/>
      <c r="G3803" s="11"/>
      <c r="H3803" s="11"/>
      <c r="I3803" s="15"/>
    </row>
    <row r="3804" spans="1:9" ht="16.5">
      <c r="A3804" s="10" t="b">
        <v>0</v>
      </c>
      <c r="B3804" s="11" t="str">
        <f>IF(D3804&lt;&gt;"",IF(COUNTIF('USPTO TMs'!A:A,D3804)&gt;0,"Yes","No"),"")</f>
        <v/>
      </c>
      <c r="C3804" s="11"/>
      <c r="D3804" s="11"/>
      <c r="E3804" s="11"/>
      <c r="F3804" s="11"/>
      <c r="G3804" s="11"/>
      <c r="H3804" s="11"/>
      <c r="I3804" s="15"/>
    </row>
    <row r="3805" spans="1:9" ht="16.5">
      <c r="A3805" s="10" t="b">
        <v>0</v>
      </c>
      <c r="B3805" s="11" t="str">
        <f>IF(D3805&lt;&gt;"",IF(COUNTIF('USPTO TMs'!A:A,D3805)&gt;0,"Yes","No"),"")</f>
        <v/>
      </c>
      <c r="C3805" s="11"/>
      <c r="D3805" s="11"/>
      <c r="E3805" s="11"/>
      <c r="F3805" s="11"/>
      <c r="G3805" s="11"/>
      <c r="H3805" s="11"/>
      <c r="I3805" s="15"/>
    </row>
    <row r="3806" spans="1:9" ht="16.5">
      <c r="A3806" s="10" t="b">
        <v>0</v>
      </c>
      <c r="B3806" s="11" t="str">
        <f>IF(D3806&lt;&gt;"",IF(COUNTIF('USPTO TMs'!A:A,D3806)&gt;0,"Yes","No"),"")</f>
        <v/>
      </c>
      <c r="C3806" s="11"/>
      <c r="D3806" s="11"/>
      <c r="E3806" s="11"/>
      <c r="F3806" s="11"/>
      <c r="G3806" s="11"/>
      <c r="H3806" s="11"/>
      <c r="I3806" s="15"/>
    </row>
    <row r="3807" spans="1:9" ht="16.5">
      <c r="A3807" s="10" t="b">
        <v>0</v>
      </c>
      <c r="B3807" s="11" t="str">
        <f>IF(D3807&lt;&gt;"",IF(COUNTIF('USPTO TMs'!A:A,D3807)&gt;0,"Yes","No"),"")</f>
        <v/>
      </c>
      <c r="C3807" s="11"/>
      <c r="D3807" s="11"/>
      <c r="E3807" s="11"/>
      <c r="F3807" s="11"/>
      <c r="G3807" s="11"/>
      <c r="H3807" s="11"/>
      <c r="I3807" s="15"/>
    </row>
    <row r="3808" spans="1:9" ht="16.5">
      <c r="A3808" s="10" t="b">
        <v>0</v>
      </c>
      <c r="B3808" s="11" t="str">
        <f>IF(D3808&lt;&gt;"",IF(COUNTIF('USPTO TMs'!A:A,D3808)&gt;0,"Yes","No"),"")</f>
        <v/>
      </c>
      <c r="C3808" s="11"/>
      <c r="D3808" s="11"/>
      <c r="E3808" s="11"/>
      <c r="F3808" s="11"/>
      <c r="G3808" s="11"/>
      <c r="H3808" s="11"/>
      <c r="I3808" s="15"/>
    </row>
    <row r="3809" spans="1:9" ht="16.5">
      <c r="A3809" s="10" t="b">
        <v>0</v>
      </c>
      <c r="B3809" s="11" t="str">
        <f>IF(D3809&lt;&gt;"",IF(COUNTIF('USPTO TMs'!A:A,D3809)&gt;0,"Yes","No"),"")</f>
        <v/>
      </c>
      <c r="C3809" s="11"/>
      <c r="D3809" s="11"/>
      <c r="E3809" s="11"/>
      <c r="F3809" s="11"/>
      <c r="G3809" s="11"/>
      <c r="H3809" s="11"/>
      <c r="I3809" s="15"/>
    </row>
    <row r="3810" spans="1:9" ht="16.5">
      <c r="A3810" s="10" t="b">
        <v>0</v>
      </c>
      <c r="B3810" s="11" t="str">
        <f>IF(D3810&lt;&gt;"",IF(COUNTIF('USPTO TMs'!A:A,D3810)&gt;0,"Yes","No"),"")</f>
        <v/>
      </c>
      <c r="C3810" s="11"/>
      <c r="D3810" s="11"/>
      <c r="E3810" s="11"/>
      <c r="F3810" s="11"/>
      <c r="G3810" s="11"/>
      <c r="H3810" s="11"/>
      <c r="I3810" s="15"/>
    </row>
    <row r="3811" spans="1:9" ht="16.5">
      <c r="A3811" s="10" t="b">
        <v>0</v>
      </c>
      <c r="B3811" s="11" t="str">
        <f>IF(D3811&lt;&gt;"",IF(COUNTIF('USPTO TMs'!A:A,D3811)&gt;0,"Yes","No"),"")</f>
        <v/>
      </c>
      <c r="C3811" s="11"/>
      <c r="D3811" s="11"/>
      <c r="E3811" s="11"/>
      <c r="F3811" s="11"/>
      <c r="G3811" s="11"/>
      <c r="H3811" s="11"/>
      <c r="I3811" s="15"/>
    </row>
    <row r="3812" spans="1:9" ht="16.5">
      <c r="A3812" s="10" t="b">
        <v>0</v>
      </c>
      <c r="B3812" s="11" t="str">
        <f>IF(D3812&lt;&gt;"",IF(COUNTIF('USPTO TMs'!A:A,D3812)&gt;0,"Yes","No"),"")</f>
        <v/>
      </c>
      <c r="C3812" s="11"/>
      <c r="D3812" s="11"/>
      <c r="E3812" s="11"/>
      <c r="F3812" s="11"/>
      <c r="G3812" s="11"/>
      <c r="H3812" s="11"/>
      <c r="I3812" s="15"/>
    </row>
    <row r="3813" spans="1:9" ht="16.5">
      <c r="A3813" s="10" t="b">
        <v>0</v>
      </c>
      <c r="B3813" s="11" t="str">
        <f>IF(D3813&lt;&gt;"",IF(COUNTIF('USPTO TMs'!A:A,D3813)&gt;0,"Yes","No"),"")</f>
        <v/>
      </c>
      <c r="C3813" s="11"/>
      <c r="D3813" s="11"/>
      <c r="E3813" s="11"/>
      <c r="F3813" s="11"/>
      <c r="G3813" s="11"/>
      <c r="H3813" s="11"/>
      <c r="I3813" s="15"/>
    </row>
    <row r="3814" spans="1:9" ht="16.5">
      <c r="A3814" s="10" t="b">
        <v>0</v>
      </c>
      <c r="B3814" s="11" t="str">
        <f>IF(D3814&lt;&gt;"",IF(COUNTIF('USPTO TMs'!A:A,D3814)&gt;0,"Yes","No"),"")</f>
        <v/>
      </c>
      <c r="C3814" s="11"/>
      <c r="D3814" s="11"/>
      <c r="E3814" s="11"/>
      <c r="F3814" s="11"/>
      <c r="G3814" s="11"/>
      <c r="H3814" s="11"/>
      <c r="I3814" s="15"/>
    </row>
    <row r="3815" spans="1:9" ht="16.5">
      <c r="A3815" s="10" t="b">
        <v>0</v>
      </c>
      <c r="B3815" s="11" t="str">
        <f>IF(D3815&lt;&gt;"",IF(COUNTIF('USPTO TMs'!A:A,D3815)&gt;0,"Yes","No"),"")</f>
        <v/>
      </c>
      <c r="C3815" s="11"/>
      <c r="D3815" s="11"/>
      <c r="E3815" s="11"/>
      <c r="F3815" s="11"/>
      <c r="G3815" s="11"/>
      <c r="H3815" s="11"/>
      <c r="I3815" s="15"/>
    </row>
    <row r="3816" spans="1:9" ht="16.5">
      <c r="A3816" s="10" t="b">
        <v>0</v>
      </c>
      <c r="B3816" s="11" t="str">
        <f>IF(D3816&lt;&gt;"",IF(COUNTIF('USPTO TMs'!A:A,D3816)&gt;0,"Yes","No"),"")</f>
        <v/>
      </c>
      <c r="C3816" s="11"/>
      <c r="D3816" s="11"/>
      <c r="E3816" s="11"/>
      <c r="F3816" s="11"/>
      <c r="G3816" s="11"/>
      <c r="H3816" s="11"/>
      <c r="I3816" s="15"/>
    </row>
    <row r="3817" spans="1:9" ht="16.5">
      <c r="A3817" s="10" t="b">
        <v>0</v>
      </c>
      <c r="B3817" s="11" t="str">
        <f>IF(D3817&lt;&gt;"",IF(COUNTIF('USPTO TMs'!A:A,D3817)&gt;0,"Yes","No"),"")</f>
        <v/>
      </c>
      <c r="C3817" s="11"/>
      <c r="D3817" s="11"/>
      <c r="E3817" s="11"/>
      <c r="F3817" s="11"/>
      <c r="G3817" s="11"/>
      <c r="H3817" s="11"/>
      <c r="I3817" s="15"/>
    </row>
    <row r="3818" spans="1:9" ht="16.5">
      <c r="A3818" s="10" t="b">
        <v>0</v>
      </c>
      <c r="B3818" s="11" t="str">
        <f>IF(D3818&lt;&gt;"",IF(COUNTIF('USPTO TMs'!A:A,D3818)&gt;0,"Yes","No"),"")</f>
        <v/>
      </c>
      <c r="C3818" s="11"/>
      <c r="D3818" s="11"/>
      <c r="E3818" s="11"/>
      <c r="F3818" s="11"/>
      <c r="G3818" s="11"/>
      <c r="H3818" s="11"/>
      <c r="I3818" s="15"/>
    </row>
    <row r="3819" spans="1:9" ht="16.5">
      <c r="A3819" s="10" t="b">
        <v>0</v>
      </c>
      <c r="B3819" s="11" t="str">
        <f>IF(D3819&lt;&gt;"",IF(COUNTIF('USPTO TMs'!A:A,D3819)&gt;0,"Yes","No"),"")</f>
        <v/>
      </c>
      <c r="C3819" s="11"/>
      <c r="D3819" s="11"/>
      <c r="E3819" s="11"/>
      <c r="F3819" s="11"/>
      <c r="G3819" s="11"/>
      <c r="H3819" s="11"/>
      <c r="I3819" s="15"/>
    </row>
    <row r="3820" spans="1:9" ht="16.5">
      <c r="A3820" s="10" t="b">
        <v>0</v>
      </c>
      <c r="B3820" s="11" t="str">
        <f>IF(D3820&lt;&gt;"",IF(COUNTIF('USPTO TMs'!A:A,D3820)&gt;0,"Yes","No"),"")</f>
        <v/>
      </c>
      <c r="C3820" s="11"/>
      <c r="D3820" s="11"/>
      <c r="E3820" s="11"/>
      <c r="F3820" s="11"/>
      <c r="G3820" s="11"/>
      <c r="H3820" s="11"/>
      <c r="I3820" s="15"/>
    </row>
    <row r="3821" spans="1:9" ht="16.5">
      <c r="A3821" s="10" t="b">
        <v>0</v>
      </c>
      <c r="B3821" s="11" t="str">
        <f>IF(D3821&lt;&gt;"",IF(COUNTIF('USPTO TMs'!A:A,D3821)&gt;0,"Yes","No"),"")</f>
        <v/>
      </c>
      <c r="C3821" s="11"/>
      <c r="D3821" s="11"/>
      <c r="E3821" s="11"/>
      <c r="F3821" s="11"/>
      <c r="G3821" s="11"/>
      <c r="H3821" s="11"/>
      <c r="I3821" s="15"/>
    </row>
    <row r="3822" spans="1:9" ht="16.5">
      <c r="A3822" s="10" t="b">
        <v>0</v>
      </c>
      <c r="B3822" s="11" t="str">
        <f>IF(D3822&lt;&gt;"",IF(COUNTIF('USPTO TMs'!A:A,D3822)&gt;0,"Yes","No"),"")</f>
        <v/>
      </c>
      <c r="C3822" s="11"/>
      <c r="D3822" s="11"/>
      <c r="E3822" s="11"/>
      <c r="F3822" s="11"/>
      <c r="G3822" s="11"/>
      <c r="H3822" s="11"/>
      <c r="I3822" s="15"/>
    </row>
    <row r="3823" spans="1:9" ht="16.5">
      <c r="A3823" s="10" t="b">
        <v>0</v>
      </c>
      <c r="B3823" s="11" t="str">
        <f>IF(D3823&lt;&gt;"",IF(COUNTIF('USPTO TMs'!A:A,D3823)&gt;0,"Yes","No"),"")</f>
        <v/>
      </c>
      <c r="C3823" s="11"/>
      <c r="D3823" s="11"/>
      <c r="E3823" s="11"/>
      <c r="F3823" s="11"/>
      <c r="G3823" s="11"/>
      <c r="H3823" s="11"/>
      <c r="I3823" s="15"/>
    </row>
    <row r="3824" spans="1:9" ht="16.5">
      <c r="A3824" s="10" t="b">
        <v>0</v>
      </c>
      <c r="B3824" s="11" t="str">
        <f>IF(D3824&lt;&gt;"",IF(COUNTIF('USPTO TMs'!A:A,D3824)&gt;0,"Yes","No"),"")</f>
        <v/>
      </c>
      <c r="C3824" s="11"/>
      <c r="D3824" s="11"/>
      <c r="E3824" s="11"/>
      <c r="F3824" s="11"/>
      <c r="G3824" s="11"/>
      <c r="H3824" s="11"/>
      <c r="I3824" s="15"/>
    </row>
    <row r="3825" spans="1:9" ht="16.5">
      <c r="A3825" s="10" t="b">
        <v>0</v>
      </c>
      <c r="B3825" s="11" t="str">
        <f>IF(D3825&lt;&gt;"",IF(COUNTIF('USPTO TMs'!A:A,D3825)&gt;0,"Yes","No"),"")</f>
        <v/>
      </c>
      <c r="C3825" s="11"/>
      <c r="D3825" s="11"/>
      <c r="E3825" s="11"/>
      <c r="F3825" s="11"/>
      <c r="G3825" s="11"/>
      <c r="H3825" s="11"/>
      <c r="I3825" s="15"/>
    </row>
    <row r="3826" spans="1:9" ht="16.5">
      <c r="A3826" s="10" t="b">
        <v>0</v>
      </c>
      <c r="B3826" s="11" t="str">
        <f>IF(D3826&lt;&gt;"",IF(COUNTIF('USPTO TMs'!A:A,D3826)&gt;0,"Yes","No"),"")</f>
        <v/>
      </c>
      <c r="C3826" s="11"/>
      <c r="D3826" s="11"/>
      <c r="E3826" s="11"/>
      <c r="F3826" s="11"/>
      <c r="G3826" s="11"/>
      <c r="H3826" s="11"/>
      <c r="I3826" s="15"/>
    </row>
    <row r="3827" spans="1:9" ht="16.5">
      <c r="A3827" s="10" t="b">
        <v>0</v>
      </c>
      <c r="B3827" s="11" t="str">
        <f>IF(D3827&lt;&gt;"",IF(COUNTIF('USPTO TMs'!A:A,D3827)&gt;0,"Yes","No"),"")</f>
        <v/>
      </c>
      <c r="C3827" s="11"/>
      <c r="D3827" s="11"/>
      <c r="E3827" s="11"/>
      <c r="F3827" s="11"/>
      <c r="G3827" s="11"/>
      <c r="H3827" s="11"/>
      <c r="I3827" s="15"/>
    </row>
    <row r="3828" spans="1:9" ht="16.5">
      <c r="A3828" s="10" t="b">
        <v>0</v>
      </c>
      <c r="B3828" s="11" t="str">
        <f>IF(D3828&lt;&gt;"",IF(COUNTIF('USPTO TMs'!A:A,D3828)&gt;0,"Yes","No"),"")</f>
        <v/>
      </c>
      <c r="C3828" s="11"/>
      <c r="D3828" s="11"/>
      <c r="E3828" s="11"/>
      <c r="F3828" s="11"/>
      <c r="G3828" s="11"/>
      <c r="H3828" s="11"/>
      <c r="I3828" s="15"/>
    </row>
    <row r="3829" spans="1:9" ht="16.5">
      <c r="A3829" s="10" t="b">
        <v>0</v>
      </c>
      <c r="B3829" s="11" t="str">
        <f>IF(D3829&lt;&gt;"",IF(COUNTIF('USPTO TMs'!A:A,D3829)&gt;0,"Yes","No"),"")</f>
        <v/>
      </c>
      <c r="C3829" s="11"/>
      <c r="D3829" s="11"/>
      <c r="E3829" s="11"/>
      <c r="F3829" s="11"/>
      <c r="G3829" s="11"/>
      <c r="H3829" s="11"/>
      <c r="I3829" s="15"/>
    </row>
    <row r="3830" spans="1:9" ht="16.5">
      <c r="A3830" s="10" t="b">
        <v>0</v>
      </c>
      <c r="B3830" s="11" t="str">
        <f>IF(D3830&lt;&gt;"",IF(COUNTIF('USPTO TMs'!A:A,D3830)&gt;0,"Yes","No"),"")</f>
        <v/>
      </c>
      <c r="C3830" s="11"/>
      <c r="D3830" s="11"/>
      <c r="E3830" s="11"/>
      <c r="F3830" s="11"/>
      <c r="G3830" s="11"/>
      <c r="H3830" s="11"/>
      <c r="I3830" s="15"/>
    </row>
    <row r="3831" spans="1:9" ht="16.5">
      <c r="A3831" s="10" t="b">
        <v>0</v>
      </c>
      <c r="B3831" s="11" t="str">
        <f>IF(D3831&lt;&gt;"",IF(COUNTIF('USPTO TMs'!A:A,D3831)&gt;0,"Yes","No"),"")</f>
        <v/>
      </c>
      <c r="C3831" s="11"/>
      <c r="D3831" s="11"/>
      <c r="E3831" s="11"/>
      <c r="F3831" s="11"/>
      <c r="G3831" s="11"/>
      <c r="H3831" s="11"/>
      <c r="I3831" s="15"/>
    </row>
    <row r="3832" spans="1:9" ht="16.5">
      <c r="A3832" s="10" t="b">
        <v>0</v>
      </c>
      <c r="B3832" s="11" t="str">
        <f>IF(D3832&lt;&gt;"",IF(COUNTIF('USPTO TMs'!A:A,D3832)&gt;0,"Yes","No"),"")</f>
        <v/>
      </c>
      <c r="C3832" s="11"/>
      <c r="D3832" s="11"/>
      <c r="E3832" s="11"/>
      <c r="F3832" s="11"/>
      <c r="G3832" s="11"/>
      <c r="H3832" s="11"/>
      <c r="I3832" s="15"/>
    </row>
    <row r="3833" spans="1:9" ht="16.5">
      <c r="A3833" s="10" t="b">
        <v>0</v>
      </c>
      <c r="B3833" s="11" t="str">
        <f>IF(D3833&lt;&gt;"",IF(COUNTIF('USPTO TMs'!A:A,D3833)&gt;0,"Yes","No"),"")</f>
        <v/>
      </c>
      <c r="C3833" s="11"/>
      <c r="D3833" s="11"/>
      <c r="E3833" s="11"/>
      <c r="F3833" s="11"/>
      <c r="G3833" s="11"/>
      <c r="H3833" s="11"/>
      <c r="I3833" s="15"/>
    </row>
    <row r="3834" spans="1:9" ht="16.5">
      <c r="A3834" s="10" t="b">
        <v>0</v>
      </c>
      <c r="B3834" s="11" t="str">
        <f>IF(D3834&lt;&gt;"",IF(COUNTIF('USPTO TMs'!A:A,D3834)&gt;0,"Yes","No"),"")</f>
        <v/>
      </c>
      <c r="C3834" s="11"/>
      <c r="D3834" s="11"/>
      <c r="E3834" s="11"/>
      <c r="F3834" s="11"/>
      <c r="G3834" s="11"/>
      <c r="H3834" s="11"/>
      <c r="I3834" s="15"/>
    </row>
    <row r="3835" spans="1:9" ht="16.5">
      <c r="A3835" s="10" t="b">
        <v>0</v>
      </c>
      <c r="B3835" s="11" t="str">
        <f>IF(D3835&lt;&gt;"",IF(COUNTIF('USPTO TMs'!A:A,D3835)&gt;0,"Yes","No"),"")</f>
        <v/>
      </c>
      <c r="C3835" s="11"/>
      <c r="D3835" s="11"/>
      <c r="E3835" s="11"/>
      <c r="F3835" s="11"/>
      <c r="G3835" s="11"/>
      <c r="H3835" s="11"/>
      <c r="I3835" s="15"/>
    </row>
    <row r="3836" spans="1:9" ht="16.5">
      <c r="A3836" s="10" t="b">
        <v>0</v>
      </c>
      <c r="B3836" s="11" t="str">
        <f>IF(D3836&lt;&gt;"",IF(COUNTIF('USPTO TMs'!A:A,D3836)&gt;0,"Yes","No"),"")</f>
        <v/>
      </c>
      <c r="C3836" s="11"/>
      <c r="D3836" s="11"/>
      <c r="E3836" s="11"/>
      <c r="F3836" s="11"/>
      <c r="G3836" s="11"/>
      <c r="H3836" s="11"/>
      <c r="I3836" s="15"/>
    </row>
    <row r="3837" spans="1:9" ht="16.5">
      <c r="A3837" s="10" t="b">
        <v>0</v>
      </c>
      <c r="B3837" s="11" t="str">
        <f>IF(D3837&lt;&gt;"",IF(COUNTIF('USPTO TMs'!A:A,D3837)&gt;0,"Yes","No"),"")</f>
        <v/>
      </c>
      <c r="C3837" s="11"/>
      <c r="D3837" s="11"/>
      <c r="E3837" s="11"/>
      <c r="F3837" s="11"/>
      <c r="G3837" s="11"/>
      <c r="H3837" s="11"/>
      <c r="I3837" s="15"/>
    </row>
    <row r="3838" spans="1:9" ht="16.5">
      <c r="A3838" s="10" t="b">
        <v>0</v>
      </c>
      <c r="B3838" s="11" t="str">
        <f>IF(D3838&lt;&gt;"",IF(COUNTIF('USPTO TMs'!A:A,D3838)&gt;0,"Yes","No"),"")</f>
        <v/>
      </c>
      <c r="C3838" s="11"/>
      <c r="D3838" s="11"/>
      <c r="E3838" s="11"/>
      <c r="F3838" s="11"/>
      <c r="G3838" s="11"/>
      <c r="H3838" s="11"/>
      <c r="I3838" s="15"/>
    </row>
    <row r="3839" spans="1:9" ht="16.5">
      <c r="A3839" s="10" t="b">
        <v>0</v>
      </c>
      <c r="B3839" s="11" t="str">
        <f>IF(D3839&lt;&gt;"",IF(COUNTIF('USPTO TMs'!A:A,D3839)&gt;0,"Yes","No"),"")</f>
        <v/>
      </c>
      <c r="C3839" s="11"/>
      <c r="D3839" s="11"/>
      <c r="E3839" s="11"/>
      <c r="F3839" s="11"/>
      <c r="G3839" s="11"/>
      <c r="H3839" s="11"/>
      <c r="I3839" s="15"/>
    </row>
    <row r="3840" spans="1:9" ht="16.5">
      <c r="A3840" s="10" t="b">
        <v>0</v>
      </c>
      <c r="B3840" s="11" t="str">
        <f>IF(D3840&lt;&gt;"",IF(COUNTIF('USPTO TMs'!A:A,D3840)&gt;0,"Yes","No"),"")</f>
        <v/>
      </c>
      <c r="C3840" s="11"/>
      <c r="D3840" s="11"/>
      <c r="E3840" s="11"/>
      <c r="F3840" s="11"/>
      <c r="G3840" s="11"/>
      <c r="H3840" s="11"/>
      <c r="I3840" s="15"/>
    </row>
    <row r="3841" spans="1:9" ht="16.5">
      <c r="A3841" s="10" t="b">
        <v>0</v>
      </c>
      <c r="B3841" s="11" t="str">
        <f>IF(D3841&lt;&gt;"",IF(COUNTIF('USPTO TMs'!A:A,D3841)&gt;0,"Yes","No"),"")</f>
        <v/>
      </c>
      <c r="C3841" s="11"/>
      <c r="D3841" s="11"/>
      <c r="E3841" s="11"/>
      <c r="F3841" s="11"/>
      <c r="G3841" s="11"/>
      <c r="H3841" s="11"/>
      <c r="I3841" s="15"/>
    </row>
    <row r="3842" spans="1:9" ht="16.5">
      <c r="A3842" s="10" t="b">
        <v>0</v>
      </c>
      <c r="B3842" s="11" t="str">
        <f>IF(D3842&lt;&gt;"",IF(COUNTIF('USPTO TMs'!A:A,D3842)&gt;0,"Yes","No"),"")</f>
        <v/>
      </c>
      <c r="C3842" s="11"/>
      <c r="D3842" s="11"/>
      <c r="E3842" s="11"/>
      <c r="F3842" s="11"/>
      <c r="G3842" s="11"/>
      <c r="H3842" s="11"/>
      <c r="I3842" s="15"/>
    </row>
    <row r="3843" spans="1:9" ht="16.5">
      <c r="A3843" s="10" t="b">
        <v>0</v>
      </c>
      <c r="B3843" s="11" t="str">
        <f>IF(D3843&lt;&gt;"",IF(COUNTIF('USPTO TMs'!A:A,D3843)&gt;0,"Yes","No"),"")</f>
        <v/>
      </c>
      <c r="C3843" s="11"/>
      <c r="D3843" s="11"/>
      <c r="E3843" s="11"/>
      <c r="F3843" s="11"/>
      <c r="G3843" s="11"/>
      <c r="H3843" s="11"/>
      <c r="I3843" s="15"/>
    </row>
    <row r="3844" spans="1:9" ht="16.5">
      <c r="A3844" s="10" t="b">
        <v>0</v>
      </c>
      <c r="B3844" s="11" t="str">
        <f>IF(D3844&lt;&gt;"",IF(COUNTIF('USPTO TMs'!A:A,D3844)&gt;0,"Yes","No"),"")</f>
        <v/>
      </c>
      <c r="C3844" s="11"/>
      <c r="D3844" s="11"/>
      <c r="E3844" s="11"/>
      <c r="F3844" s="11"/>
      <c r="G3844" s="11"/>
      <c r="H3844" s="11"/>
      <c r="I3844" s="15"/>
    </row>
    <row r="3845" spans="1:9" ht="16.5">
      <c r="A3845" s="10" t="b">
        <v>0</v>
      </c>
      <c r="B3845" s="11" t="str">
        <f>IF(D3845&lt;&gt;"",IF(COUNTIF('USPTO TMs'!A:A,D3845)&gt;0,"Yes","No"),"")</f>
        <v/>
      </c>
      <c r="C3845" s="11"/>
      <c r="D3845" s="11"/>
      <c r="E3845" s="11"/>
      <c r="F3845" s="11"/>
      <c r="G3845" s="11"/>
      <c r="H3845" s="11"/>
      <c r="I3845" s="15"/>
    </row>
    <row r="3846" spans="1:9" ht="16.5">
      <c r="A3846" s="10" t="b">
        <v>0</v>
      </c>
      <c r="B3846" s="11" t="str">
        <f>IF(D3846&lt;&gt;"",IF(COUNTIF('USPTO TMs'!A:A,D3846)&gt;0,"Yes","No"),"")</f>
        <v/>
      </c>
      <c r="C3846" s="11"/>
      <c r="D3846" s="11"/>
      <c r="E3846" s="11"/>
      <c r="F3846" s="11"/>
      <c r="G3846" s="11"/>
      <c r="H3846" s="11"/>
      <c r="I3846" s="15"/>
    </row>
    <row r="3847" spans="1:9" ht="16.5">
      <c r="A3847" s="10" t="b">
        <v>0</v>
      </c>
      <c r="B3847" s="11" t="str">
        <f>IF(D3847&lt;&gt;"",IF(COUNTIF('USPTO TMs'!A:A,D3847)&gt;0,"Yes","No"),"")</f>
        <v/>
      </c>
      <c r="C3847" s="11"/>
      <c r="D3847" s="11"/>
      <c r="E3847" s="11"/>
      <c r="F3847" s="11"/>
      <c r="G3847" s="11"/>
      <c r="H3847" s="11"/>
      <c r="I3847" s="15"/>
    </row>
    <row r="3848" spans="1:9" ht="16.5">
      <c r="A3848" s="10" t="b">
        <v>0</v>
      </c>
      <c r="B3848" s="11" t="str">
        <f>IF(D3848&lt;&gt;"",IF(COUNTIF('USPTO TMs'!A:A,D3848)&gt;0,"Yes","No"),"")</f>
        <v/>
      </c>
      <c r="C3848" s="11"/>
      <c r="D3848" s="11"/>
      <c r="E3848" s="11"/>
      <c r="F3848" s="11"/>
      <c r="G3848" s="11"/>
      <c r="H3848" s="11"/>
      <c r="I3848" s="15"/>
    </row>
    <row r="3849" spans="1:9" ht="16.5">
      <c r="A3849" s="10" t="b">
        <v>0</v>
      </c>
      <c r="B3849" s="11" t="str">
        <f>IF(D3849&lt;&gt;"",IF(COUNTIF('USPTO TMs'!A:A,D3849)&gt;0,"Yes","No"),"")</f>
        <v/>
      </c>
      <c r="C3849" s="11"/>
      <c r="D3849" s="11"/>
      <c r="E3849" s="11"/>
      <c r="F3849" s="11"/>
      <c r="G3849" s="11"/>
      <c r="H3849" s="11"/>
      <c r="I3849" s="15"/>
    </row>
    <row r="3850" spans="1:9" ht="16.5">
      <c r="A3850" s="10" t="b">
        <v>0</v>
      </c>
      <c r="B3850" s="11" t="str">
        <f>IF(D3850&lt;&gt;"",IF(COUNTIF('USPTO TMs'!A:A,D3850)&gt;0,"Yes","No"),"")</f>
        <v/>
      </c>
      <c r="C3850" s="11"/>
      <c r="D3850" s="11"/>
      <c r="E3850" s="11"/>
      <c r="F3850" s="11"/>
      <c r="G3850" s="11"/>
      <c r="H3850" s="11"/>
      <c r="I3850" s="15"/>
    </row>
    <row r="3851" spans="1:9" ht="16.5">
      <c r="A3851" s="10" t="b">
        <v>0</v>
      </c>
      <c r="B3851" s="11" t="str">
        <f>IF(D3851&lt;&gt;"",IF(COUNTIF('USPTO TMs'!A:A,D3851)&gt;0,"Yes","No"),"")</f>
        <v/>
      </c>
      <c r="C3851" s="11"/>
      <c r="D3851" s="11"/>
      <c r="E3851" s="11"/>
      <c r="F3851" s="11"/>
      <c r="G3851" s="11"/>
      <c r="H3851" s="11"/>
      <c r="I3851" s="15"/>
    </row>
    <row r="3852" spans="1:9" ht="16.5">
      <c r="A3852" s="10" t="b">
        <v>0</v>
      </c>
      <c r="B3852" s="11" t="str">
        <f>IF(D3852&lt;&gt;"",IF(COUNTIF('USPTO TMs'!A:A,D3852)&gt;0,"Yes","No"),"")</f>
        <v/>
      </c>
      <c r="C3852" s="11"/>
      <c r="D3852" s="11"/>
      <c r="E3852" s="11"/>
      <c r="F3852" s="11"/>
      <c r="G3852" s="11"/>
      <c r="H3852" s="11"/>
      <c r="I3852" s="15"/>
    </row>
    <row r="3853" spans="1:9" ht="16.5">
      <c r="A3853" s="10" t="b">
        <v>0</v>
      </c>
      <c r="B3853" s="11" t="str">
        <f>IF(D3853&lt;&gt;"",IF(COUNTIF('USPTO TMs'!A:A,D3853)&gt;0,"Yes","No"),"")</f>
        <v/>
      </c>
      <c r="C3853" s="11"/>
      <c r="D3853" s="11"/>
      <c r="E3853" s="11"/>
      <c r="F3853" s="11"/>
      <c r="G3853" s="11"/>
      <c r="H3853" s="11"/>
      <c r="I3853" s="15"/>
    </row>
    <row r="3854" spans="1:9" ht="16.5">
      <c r="A3854" s="10" t="b">
        <v>0</v>
      </c>
      <c r="B3854" s="11" t="str">
        <f>IF(D3854&lt;&gt;"",IF(COUNTIF('USPTO TMs'!A:A,D3854)&gt;0,"Yes","No"),"")</f>
        <v/>
      </c>
      <c r="C3854" s="11"/>
      <c r="D3854" s="11"/>
      <c r="E3854" s="11"/>
      <c r="F3854" s="11"/>
      <c r="G3854" s="11"/>
      <c r="H3854" s="11"/>
      <c r="I3854" s="15"/>
    </row>
    <row r="3855" spans="1:9" ht="16.5">
      <c r="A3855" s="10" t="b">
        <v>0</v>
      </c>
      <c r="B3855" s="11" t="str">
        <f>IF(D3855&lt;&gt;"",IF(COUNTIF('USPTO TMs'!A:A,D3855)&gt;0,"Yes","No"),"")</f>
        <v/>
      </c>
      <c r="C3855" s="11"/>
      <c r="D3855" s="11"/>
      <c r="E3855" s="11"/>
      <c r="F3855" s="11"/>
      <c r="G3855" s="11"/>
      <c r="H3855" s="11"/>
      <c r="I3855" s="15"/>
    </row>
    <row r="3856" spans="1:9" ht="16.5">
      <c r="A3856" s="10" t="b">
        <v>0</v>
      </c>
      <c r="B3856" s="11" t="str">
        <f>IF(D3856&lt;&gt;"",IF(COUNTIF('USPTO TMs'!A:A,D3856)&gt;0,"Yes","No"),"")</f>
        <v/>
      </c>
      <c r="C3856" s="11"/>
      <c r="D3856" s="11"/>
      <c r="E3856" s="11"/>
      <c r="F3856" s="11"/>
      <c r="G3856" s="11"/>
      <c r="H3856" s="11"/>
      <c r="I3856" s="15"/>
    </row>
    <row r="3857" spans="1:9" ht="16.5">
      <c r="A3857" s="10" t="b">
        <v>0</v>
      </c>
      <c r="B3857" s="11" t="str">
        <f>IF(D3857&lt;&gt;"",IF(COUNTIF('USPTO TMs'!A:A,D3857)&gt;0,"Yes","No"),"")</f>
        <v/>
      </c>
      <c r="C3857" s="11"/>
      <c r="D3857" s="11"/>
      <c r="E3857" s="11"/>
      <c r="F3857" s="11"/>
      <c r="G3857" s="11"/>
      <c r="H3857" s="11"/>
      <c r="I3857" s="15"/>
    </row>
    <row r="3858" spans="1:9" ht="16.5">
      <c r="A3858" s="10" t="b">
        <v>0</v>
      </c>
      <c r="B3858" s="11" t="str">
        <f>IF(D3858&lt;&gt;"",IF(COUNTIF('USPTO TMs'!A:A,D3858)&gt;0,"Yes","No"),"")</f>
        <v/>
      </c>
      <c r="C3858" s="11"/>
      <c r="D3858" s="11"/>
      <c r="E3858" s="11"/>
      <c r="F3858" s="11"/>
      <c r="G3858" s="11"/>
      <c r="H3858" s="11"/>
      <c r="I3858" s="15"/>
    </row>
    <row r="3859" spans="1:9" ht="16.5">
      <c r="A3859" s="10" t="b">
        <v>0</v>
      </c>
      <c r="B3859" s="11" t="str">
        <f>IF(D3859&lt;&gt;"",IF(COUNTIF('USPTO TMs'!A:A,D3859)&gt;0,"Yes","No"),"")</f>
        <v/>
      </c>
      <c r="C3859" s="11"/>
      <c r="D3859" s="11"/>
      <c r="E3859" s="11"/>
      <c r="F3859" s="11"/>
      <c r="G3859" s="11"/>
      <c r="H3859" s="11"/>
      <c r="I3859" s="15"/>
    </row>
    <row r="3860" spans="1:9" ht="16.5">
      <c r="A3860" s="10" t="b">
        <v>0</v>
      </c>
      <c r="B3860" s="11" t="str">
        <f>IF(D3860&lt;&gt;"",IF(COUNTIF('USPTO TMs'!A:A,D3860)&gt;0,"Yes","No"),"")</f>
        <v/>
      </c>
      <c r="C3860" s="11"/>
      <c r="D3860" s="11"/>
      <c r="E3860" s="11"/>
      <c r="F3860" s="11"/>
      <c r="G3860" s="11"/>
      <c r="H3860" s="11"/>
      <c r="I3860" s="15"/>
    </row>
    <row r="3861" spans="1:9" ht="16.5">
      <c r="A3861" s="10" t="b">
        <v>0</v>
      </c>
      <c r="B3861" s="11" t="str">
        <f>IF(D3861&lt;&gt;"",IF(COUNTIF('USPTO TMs'!A:A,D3861)&gt;0,"Yes","No"),"")</f>
        <v/>
      </c>
      <c r="C3861" s="11"/>
      <c r="D3861" s="11"/>
      <c r="E3861" s="11"/>
      <c r="F3861" s="11"/>
      <c r="G3861" s="11"/>
      <c r="H3861" s="11"/>
      <c r="I3861" s="15"/>
    </row>
    <row r="3862" spans="1:9" ht="16.5">
      <c r="A3862" s="10" t="b">
        <v>0</v>
      </c>
      <c r="B3862" s="11" t="str">
        <f>IF(D3862&lt;&gt;"",IF(COUNTIF('USPTO TMs'!A:A,D3862)&gt;0,"Yes","No"),"")</f>
        <v/>
      </c>
      <c r="C3862" s="11"/>
      <c r="D3862" s="11"/>
      <c r="E3862" s="11"/>
      <c r="F3862" s="11"/>
      <c r="G3862" s="11"/>
      <c r="H3862" s="11"/>
      <c r="I3862" s="15"/>
    </row>
    <row r="3863" spans="1:9" ht="16.5">
      <c r="A3863" s="10" t="b">
        <v>0</v>
      </c>
      <c r="B3863" s="11" t="str">
        <f>IF(D3863&lt;&gt;"",IF(COUNTIF('USPTO TMs'!A:A,D3863)&gt;0,"Yes","No"),"")</f>
        <v/>
      </c>
      <c r="C3863" s="11"/>
      <c r="D3863" s="11"/>
      <c r="E3863" s="11"/>
      <c r="F3863" s="11"/>
      <c r="G3863" s="11"/>
      <c r="H3863" s="11"/>
      <c r="I3863" s="15"/>
    </row>
    <row r="3864" spans="1:9" ht="16.5">
      <c r="A3864" s="10" t="b">
        <v>0</v>
      </c>
      <c r="B3864" s="11" t="str">
        <f>IF(D3864&lt;&gt;"",IF(COUNTIF('USPTO TMs'!A:A,D3864)&gt;0,"Yes","No"),"")</f>
        <v/>
      </c>
      <c r="C3864" s="11"/>
      <c r="D3864" s="11"/>
      <c r="E3864" s="11"/>
      <c r="F3864" s="11"/>
      <c r="G3864" s="11"/>
      <c r="H3864" s="11"/>
      <c r="I3864" s="15"/>
    </row>
    <row r="3865" spans="1:9" ht="16.5">
      <c r="A3865" s="10" t="b">
        <v>0</v>
      </c>
      <c r="B3865" s="11" t="str">
        <f>IF(D3865&lt;&gt;"",IF(COUNTIF('USPTO TMs'!A:A,D3865)&gt;0,"Yes","No"),"")</f>
        <v/>
      </c>
      <c r="C3865" s="11"/>
      <c r="D3865" s="11"/>
      <c r="E3865" s="11"/>
      <c r="F3865" s="11"/>
      <c r="G3865" s="11"/>
      <c r="H3865" s="11"/>
      <c r="I3865" s="15"/>
    </row>
    <row r="3866" spans="1:9" ht="16.5">
      <c r="A3866" s="10" t="b">
        <v>0</v>
      </c>
      <c r="B3866" s="11" t="str">
        <f>IF(D3866&lt;&gt;"",IF(COUNTIF('USPTO TMs'!A:A,D3866)&gt;0,"Yes","No"),"")</f>
        <v/>
      </c>
      <c r="C3866" s="11"/>
      <c r="D3866" s="11"/>
      <c r="E3866" s="11"/>
      <c r="F3866" s="11"/>
      <c r="G3866" s="11"/>
      <c r="H3866" s="11"/>
      <c r="I3866" s="15"/>
    </row>
    <row r="3867" spans="1:9" ht="16.5">
      <c r="A3867" s="10" t="b">
        <v>0</v>
      </c>
      <c r="B3867" s="11" t="str">
        <f>IF(D3867&lt;&gt;"",IF(COUNTIF('USPTO TMs'!A:A,D3867)&gt;0,"Yes","No"),"")</f>
        <v/>
      </c>
      <c r="C3867" s="11"/>
      <c r="D3867" s="11"/>
      <c r="E3867" s="11"/>
      <c r="F3867" s="11"/>
      <c r="G3867" s="11"/>
      <c r="H3867" s="11"/>
      <c r="I3867" s="15"/>
    </row>
    <row r="3868" spans="1:9" ht="16.5">
      <c r="A3868" s="10" t="b">
        <v>0</v>
      </c>
      <c r="B3868" s="11" t="str">
        <f>IF(D3868&lt;&gt;"",IF(COUNTIF('USPTO TMs'!A:A,D3868)&gt;0,"Yes","No"),"")</f>
        <v/>
      </c>
      <c r="C3868" s="11"/>
      <c r="D3868" s="11"/>
      <c r="E3868" s="11"/>
      <c r="F3868" s="11"/>
      <c r="G3868" s="11"/>
      <c r="H3868" s="11"/>
      <c r="I3868" s="15"/>
    </row>
    <row r="3869" spans="1:9" ht="16.5">
      <c r="A3869" s="10" t="b">
        <v>0</v>
      </c>
      <c r="B3869" s="11" t="str">
        <f>IF(D3869&lt;&gt;"",IF(COUNTIF('USPTO TMs'!A:A,D3869)&gt;0,"Yes","No"),"")</f>
        <v/>
      </c>
      <c r="C3869" s="11"/>
      <c r="D3869" s="11"/>
      <c r="E3869" s="11"/>
      <c r="F3869" s="11"/>
      <c r="G3869" s="11"/>
      <c r="H3869" s="11"/>
      <c r="I3869" s="15"/>
    </row>
    <row r="3870" spans="1:9" ht="16.5">
      <c r="A3870" s="10" t="b">
        <v>0</v>
      </c>
      <c r="B3870" s="11" t="str">
        <f>IF(D3870&lt;&gt;"",IF(COUNTIF('USPTO TMs'!A:A,D3870)&gt;0,"Yes","No"),"")</f>
        <v/>
      </c>
      <c r="C3870" s="11"/>
      <c r="D3870" s="11"/>
      <c r="E3870" s="11"/>
      <c r="F3870" s="11"/>
      <c r="G3870" s="11"/>
      <c r="H3870" s="11"/>
      <c r="I3870" s="15"/>
    </row>
    <row r="3871" spans="1:9" ht="16.5">
      <c r="A3871" s="10" t="b">
        <v>0</v>
      </c>
      <c r="B3871" s="11" t="str">
        <f>IF(D3871&lt;&gt;"",IF(COUNTIF('USPTO TMs'!A:A,D3871)&gt;0,"Yes","No"),"")</f>
        <v/>
      </c>
      <c r="C3871" s="11"/>
      <c r="D3871" s="11"/>
      <c r="E3871" s="11"/>
      <c r="F3871" s="11"/>
      <c r="G3871" s="11"/>
      <c r="H3871" s="11"/>
      <c r="I3871" s="15"/>
    </row>
    <row r="3872" spans="1:9" ht="16.5">
      <c r="A3872" s="10" t="b">
        <v>0</v>
      </c>
      <c r="B3872" s="11" t="str">
        <f>IF(D3872&lt;&gt;"",IF(COUNTIF('USPTO TMs'!A:A,D3872)&gt;0,"Yes","No"),"")</f>
        <v/>
      </c>
      <c r="C3872" s="11"/>
      <c r="D3872" s="11"/>
      <c r="E3872" s="11"/>
      <c r="F3872" s="11"/>
      <c r="G3872" s="11"/>
      <c r="H3872" s="11"/>
      <c r="I3872" s="15"/>
    </row>
    <row r="3873" spans="1:9" ht="16.5">
      <c r="A3873" s="10" t="b">
        <v>0</v>
      </c>
      <c r="B3873" s="11" t="str">
        <f>IF(D3873&lt;&gt;"",IF(COUNTIF('USPTO TMs'!A:A,D3873)&gt;0,"Yes","No"),"")</f>
        <v/>
      </c>
      <c r="C3873" s="11"/>
      <c r="D3873" s="11"/>
      <c r="E3873" s="11"/>
      <c r="F3873" s="11"/>
      <c r="G3873" s="11"/>
      <c r="H3873" s="11"/>
      <c r="I3873" s="15"/>
    </row>
    <row r="3874" spans="1:9" ht="16.5">
      <c r="A3874" s="10" t="b">
        <v>0</v>
      </c>
      <c r="B3874" s="11" t="str">
        <f>IF(D3874&lt;&gt;"",IF(COUNTIF('USPTO TMs'!A:A,D3874)&gt;0,"Yes","No"),"")</f>
        <v/>
      </c>
      <c r="C3874" s="11"/>
      <c r="D3874" s="11"/>
      <c r="E3874" s="11"/>
      <c r="F3874" s="11"/>
      <c r="G3874" s="11"/>
      <c r="H3874" s="11"/>
      <c r="I3874" s="15"/>
    </row>
    <row r="3875" spans="1:9" ht="16.5">
      <c r="A3875" s="10" t="b">
        <v>0</v>
      </c>
      <c r="B3875" s="11" t="str">
        <f>IF(D3875&lt;&gt;"",IF(COUNTIF('USPTO TMs'!A:A,D3875)&gt;0,"Yes","No"),"")</f>
        <v/>
      </c>
      <c r="C3875" s="11"/>
      <c r="D3875" s="11"/>
      <c r="E3875" s="11"/>
      <c r="F3875" s="11"/>
      <c r="G3875" s="11"/>
      <c r="H3875" s="11"/>
      <c r="I3875" s="15"/>
    </row>
    <row r="3876" spans="1:9" ht="16.5">
      <c r="A3876" s="10" t="b">
        <v>0</v>
      </c>
      <c r="B3876" s="11" t="str">
        <f>IF(D3876&lt;&gt;"",IF(COUNTIF('USPTO TMs'!A:A,D3876)&gt;0,"Yes","No"),"")</f>
        <v/>
      </c>
      <c r="C3876" s="11"/>
      <c r="D3876" s="11"/>
      <c r="E3876" s="11"/>
      <c r="F3876" s="11"/>
      <c r="G3876" s="11"/>
      <c r="H3876" s="11"/>
      <c r="I3876" s="15"/>
    </row>
    <row r="3877" spans="1:9" ht="16.5">
      <c r="A3877" s="10" t="b">
        <v>0</v>
      </c>
      <c r="B3877" s="11" t="str">
        <f>IF(D3877&lt;&gt;"",IF(COUNTIF('USPTO TMs'!A:A,D3877)&gt;0,"Yes","No"),"")</f>
        <v/>
      </c>
      <c r="C3877" s="11"/>
      <c r="D3877" s="11"/>
      <c r="E3877" s="11"/>
      <c r="F3877" s="11"/>
      <c r="G3877" s="11"/>
      <c r="H3877" s="11"/>
      <c r="I3877" s="15"/>
    </row>
    <row r="3878" spans="1:9" ht="16.5">
      <c r="A3878" s="10" t="b">
        <v>0</v>
      </c>
      <c r="B3878" s="11" t="str">
        <f>IF(D3878&lt;&gt;"",IF(COUNTIF('USPTO TMs'!A:A,D3878)&gt;0,"Yes","No"),"")</f>
        <v/>
      </c>
      <c r="C3878" s="11"/>
      <c r="D3878" s="11"/>
      <c r="E3878" s="11"/>
      <c r="F3878" s="11"/>
      <c r="G3878" s="11"/>
      <c r="H3878" s="11"/>
      <c r="I3878" s="15"/>
    </row>
    <row r="3879" spans="1:9" ht="16.5">
      <c r="A3879" s="10" t="b">
        <v>0</v>
      </c>
      <c r="B3879" s="11" t="str">
        <f>IF(D3879&lt;&gt;"",IF(COUNTIF('USPTO TMs'!A:A,D3879)&gt;0,"Yes","No"),"")</f>
        <v/>
      </c>
      <c r="C3879" s="11"/>
      <c r="D3879" s="11"/>
      <c r="E3879" s="11"/>
      <c r="F3879" s="11"/>
      <c r="G3879" s="11"/>
      <c r="H3879" s="11"/>
      <c r="I3879" s="15"/>
    </row>
    <row r="3880" spans="1:9" ht="16.5">
      <c r="A3880" s="10" t="b">
        <v>0</v>
      </c>
      <c r="B3880" s="11" t="str">
        <f>IF(D3880&lt;&gt;"",IF(COUNTIF('USPTO TMs'!A:A,D3880)&gt;0,"Yes","No"),"")</f>
        <v/>
      </c>
      <c r="C3880" s="11"/>
      <c r="D3880" s="11"/>
      <c r="E3880" s="11"/>
      <c r="F3880" s="11"/>
      <c r="G3880" s="11"/>
      <c r="H3880" s="11"/>
      <c r="I3880" s="15"/>
    </row>
    <row r="3881" spans="1:9" ht="16.5">
      <c r="A3881" s="10" t="b">
        <v>0</v>
      </c>
      <c r="B3881" s="11" t="str">
        <f>IF(D3881&lt;&gt;"",IF(COUNTIF('USPTO TMs'!A:A,D3881)&gt;0,"Yes","No"),"")</f>
        <v/>
      </c>
      <c r="C3881" s="11"/>
      <c r="D3881" s="11"/>
      <c r="E3881" s="11"/>
      <c r="F3881" s="11"/>
      <c r="G3881" s="11"/>
      <c r="H3881" s="11"/>
      <c r="I3881" s="15"/>
    </row>
    <row r="3882" spans="1:9" ht="16.5">
      <c r="A3882" s="10" t="b">
        <v>0</v>
      </c>
      <c r="B3882" s="11" t="str">
        <f>IF(D3882&lt;&gt;"",IF(COUNTIF('USPTO TMs'!A:A,D3882)&gt;0,"Yes","No"),"")</f>
        <v/>
      </c>
      <c r="C3882" s="11"/>
      <c r="D3882" s="11"/>
      <c r="E3882" s="11"/>
      <c r="F3882" s="11"/>
      <c r="G3882" s="11"/>
      <c r="H3882" s="11"/>
      <c r="I3882" s="15"/>
    </row>
    <row r="3883" spans="1:9" ht="16.5">
      <c r="A3883" s="10" t="b">
        <v>0</v>
      </c>
      <c r="B3883" s="11" t="str">
        <f>IF(D3883&lt;&gt;"",IF(COUNTIF('USPTO TMs'!A:A,D3883)&gt;0,"Yes","No"),"")</f>
        <v/>
      </c>
      <c r="C3883" s="11"/>
      <c r="D3883" s="11"/>
      <c r="E3883" s="11"/>
      <c r="F3883" s="11"/>
      <c r="G3883" s="11"/>
      <c r="H3883" s="11"/>
      <c r="I3883" s="15"/>
    </row>
    <row r="3884" spans="1:9" ht="16.5">
      <c r="A3884" s="10" t="b">
        <v>0</v>
      </c>
      <c r="B3884" s="11" t="str">
        <f>IF(D3884&lt;&gt;"",IF(COUNTIF('USPTO TMs'!A:A,D3884)&gt;0,"Yes","No"),"")</f>
        <v/>
      </c>
      <c r="C3884" s="11"/>
      <c r="D3884" s="11"/>
      <c r="E3884" s="11"/>
      <c r="F3884" s="11"/>
      <c r="G3884" s="11"/>
      <c r="H3884" s="11"/>
      <c r="I3884" s="15"/>
    </row>
    <row r="3885" spans="1:9" ht="16.5">
      <c r="A3885" s="10" t="b">
        <v>0</v>
      </c>
      <c r="B3885" s="11" t="str">
        <f>IF(D3885&lt;&gt;"",IF(COUNTIF('USPTO TMs'!A:A,D3885)&gt;0,"Yes","No"),"")</f>
        <v/>
      </c>
      <c r="C3885" s="11"/>
      <c r="D3885" s="11"/>
      <c r="E3885" s="11"/>
      <c r="F3885" s="11"/>
      <c r="G3885" s="11"/>
      <c r="H3885" s="11"/>
      <c r="I3885" s="15"/>
    </row>
    <row r="3886" spans="1:9" ht="16.5">
      <c r="A3886" s="10" t="b">
        <v>0</v>
      </c>
      <c r="B3886" s="11" t="str">
        <f>IF(D3886&lt;&gt;"",IF(COUNTIF('USPTO TMs'!A:A,D3886)&gt;0,"Yes","No"),"")</f>
        <v/>
      </c>
      <c r="C3886" s="11"/>
      <c r="D3886" s="11"/>
      <c r="E3886" s="11"/>
      <c r="F3886" s="11"/>
      <c r="G3886" s="11"/>
      <c r="H3886" s="11"/>
      <c r="I3886" s="15"/>
    </row>
    <row r="3887" spans="1:9" ht="16.5">
      <c r="A3887" s="10" t="b">
        <v>0</v>
      </c>
      <c r="B3887" s="11" t="str">
        <f>IF(D3887&lt;&gt;"",IF(COUNTIF('USPTO TMs'!A:A,D3887)&gt;0,"Yes","No"),"")</f>
        <v/>
      </c>
      <c r="C3887" s="11"/>
      <c r="D3887" s="11"/>
      <c r="E3887" s="11"/>
      <c r="F3887" s="11"/>
      <c r="G3887" s="11"/>
      <c r="H3887" s="11"/>
      <c r="I3887" s="15"/>
    </row>
    <row r="3888" spans="1:9" ht="16.5">
      <c r="A3888" s="10" t="b">
        <v>0</v>
      </c>
      <c r="B3888" s="11" t="str">
        <f>IF(D3888&lt;&gt;"",IF(COUNTIF('USPTO TMs'!A:A,D3888)&gt;0,"Yes","No"),"")</f>
        <v/>
      </c>
      <c r="C3888" s="11"/>
      <c r="D3888" s="11"/>
      <c r="E3888" s="11"/>
      <c r="F3888" s="11"/>
      <c r="G3888" s="11"/>
      <c r="H3888" s="11"/>
      <c r="I3888" s="15"/>
    </row>
    <row r="3889" spans="1:9" ht="16.5">
      <c r="A3889" s="10" t="b">
        <v>0</v>
      </c>
      <c r="B3889" s="11" t="str">
        <f>IF(D3889&lt;&gt;"",IF(COUNTIF('USPTO TMs'!A:A,D3889)&gt;0,"Yes","No"),"")</f>
        <v/>
      </c>
      <c r="C3889" s="11"/>
      <c r="D3889" s="11"/>
      <c r="E3889" s="11"/>
      <c r="F3889" s="11"/>
      <c r="G3889" s="11"/>
      <c r="H3889" s="11"/>
      <c r="I3889" s="15"/>
    </row>
    <row r="3890" spans="1:9" ht="16.5">
      <c r="A3890" s="10" t="b">
        <v>0</v>
      </c>
      <c r="B3890" s="11" t="str">
        <f>IF(D3890&lt;&gt;"",IF(COUNTIF('USPTO TMs'!A:A,D3890)&gt;0,"Yes","No"),"")</f>
        <v/>
      </c>
      <c r="C3890" s="11"/>
      <c r="D3890" s="11"/>
      <c r="E3890" s="11"/>
      <c r="F3890" s="11"/>
      <c r="G3890" s="11"/>
      <c r="H3890" s="11"/>
      <c r="I3890" s="15"/>
    </row>
    <row r="3891" spans="1:9" ht="16.5">
      <c r="A3891" s="10" t="b">
        <v>0</v>
      </c>
      <c r="B3891" s="11" t="str">
        <f>IF(D3891&lt;&gt;"",IF(COUNTIF('USPTO TMs'!A:A,D3891)&gt;0,"Yes","No"),"")</f>
        <v/>
      </c>
      <c r="C3891" s="11"/>
      <c r="D3891" s="11"/>
      <c r="E3891" s="11"/>
      <c r="F3891" s="11"/>
      <c r="G3891" s="11"/>
      <c r="H3891" s="11"/>
      <c r="I3891" s="15"/>
    </row>
    <row r="3892" spans="1:9" ht="16.5">
      <c r="A3892" s="10" t="b">
        <v>0</v>
      </c>
      <c r="B3892" s="11" t="str">
        <f>IF(D3892&lt;&gt;"",IF(COUNTIF('USPTO TMs'!A:A,D3892)&gt;0,"Yes","No"),"")</f>
        <v/>
      </c>
      <c r="C3892" s="11"/>
      <c r="D3892" s="11"/>
      <c r="E3892" s="11"/>
      <c r="F3892" s="11"/>
      <c r="G3892" s="11"/>
      <c r="H3892" s="11"/>
      <c r="I3892" s="15"/>
    </row>
    <row r="3893" spans="1:9" ht="16.5">
      <c r="A3893" s="10" t="b">
        <v>0</v>
      </c>
      <c r="B3893" s="11" t="str">
        <f>IF(D3893&lt;&gt;"",IF(COUNTIF('USPTO TMs'!A:A,D3893)&gt;0,"Yes","No"),"")</f>
        <v/>
      </c>
      <c r="C3893" s="11"/>
      <c r="D3893" s="11"/>
      <c r="E3893" s="11"/>
      <c r="F3893" s="11"/>
      <c r="G3893" s="11"/>
      <c r="H3893" s="11"/>
      <c r="I3893" s="15"/>
    </row>
    <row r="3894" spans="1:9" ht="16.5">
      <c r="A3894" s="10" t="b">
        <v>0</v>
      </c>
      <c r="B3894" s="11" t="str">
        <f>IF(D3894&lt;&gt;"",IF(COUNTIF('USPTO TMs'!A:A,D3894)&gt;0,"Yes","No"),"")</f>
        <v/>
      </c>
      <c r="C3894" s="11"/>
      <c r="D3894" s="11"/>
      <c r="E3894" s="11"/>
      <c r="F3894" s="11"/>
      <c r="G3894" s="11"/>
      <c r="H3894" s="11"/>
      <c r="I3894" s="15"/>
    </row>
    <row r="3895" spans="1:9" ht="16.5">
      <c r="A3895" s="10" t="b">
        <v>0</v>
      </c>
      <c r="B3895" s="11" t="str">
        <f>IF(D3895&lt;&gt;"",IF(COUNTIF('USPTO TMs'!A:A,D3895)&gt;0,"Yes","No"),"")</f>
        <v/>
      </c>
      <c r="C3895" s="11"/>
      <c r="D3895" s="11"/>
      <c r="E3895" s="11"/>
      <c r="F3895" s="11"/>
      <c r="G3895" s="11"/>
      <c r="H3895" s="11"/>
      <c r="I3895" s="15"/>
    </row>
    <row r="3896" spans="1:9" ht="16.5">
      <c r="A3896" s="10" t="b">
        <v>0</v>
      </c>
      <c r="B3896" s="11" t="str">
        <f>IF(D3896&lt;&gt;"",IF(COUNTIF('USPTO TMs'!A:A,D3896)&gt;0,"Yes","No"),"")</f>
        <v/>
      </c>
      <c r="C3896" s="11"/>
      <c r="D3896" s="11"/>
      <c r="E3896" s="11"/>
      <c r="F3896" s="11"/>
      <c r="G3896" s="11"/>
      <c r="H3896" s="11"/>
      <c r="I3896" s="15"/>
    </row>
    <row r="3897" spans="1:9" ht="16.5">
      <c r="A3897" s="10" t="b">
        <v>0</v>
      </c>
      <c r="B3897" s="11" t="str">
        <f>IF(D3897&lt;&gt;"",IF(COUNTIF('USPTO TMs'!A:A,D3897)&gt;0,"Yes","No"),"")</f>
        <v/>
      </c>
      <c r="C3897" s="11"/>
      <c r="D3897" s="11"/>
      <c r="E3897" s="11"/>
      <c r="F3897" s="11"/>
      <c r="G3897" s="11"/>
      <c r="H3897" s="11"/>
      <c r="I3897" s="15"/>
    </row>
    <row r="3898" spans="1:9" ht="16.5">
      <c r="A3898" s="10" t="b">
        <v>0</v>
      </c>
      <c r="B3898" s="11" t="str">
        <f>IF(D3898&lt;&gt;"",IF(COUNTIF('USPTO TMs'!A:A,D3898)&gt;0,"Yes","No"),"")</f>
        <v/>
      </c>
      <c r="C3898" s="11"/>
      <c r="D3898" s="11"/>
      <c r="E3898" s="11"/>
      <c r="F3898" s="11"/>
      <c r="G3898" s="11"/>
      <c r="H3898" s="11"/>
      <c r="I3898" s="15"/>
    </row>
    <row r="3899" spans="1:9" ht="16.5">
      <c r="A3899" s="10" t="b">
        <v>0</v>
      </c>
      <c r="B3899" s="11" t="str">
        <f>IF(D3899&lt;&gt;"",IF(COUNTIF('USPTO TMs'!A:A,D3899)&gt;0,"Yes","No"),"")</f>
        <v/>
      </c>
      <c r="C3899" s="11"/>
      <c r="D3899" s="11"/>
      <c r="E3899" s="11"/>
      <c r="F3899" s="11"/>
      <c r="G3899" s="11"/>
      <c r="H3899" s="11"/>
      <c r="I3899" s="15"/>
    </row>
    <row r="3900" spans="1:9" ht="16.5">
      <c r="A3900" s="10" t="b">
        <v>0</v>
      </c>
      <c r="B3900" s="11" t="str">
        <f>IF(D3900&lt;&gt;"",IF(COUNTIF('USPTO TMs'!A:A,D3900)&gt;0,"Yes","No"),"")</f>
        <v/>
      </c>
      <c r="C3900" s="11"/>
      <c r="D3900" s="11"/>
      <c r="E3900" s="11"/>
      <c r="F3900" s="11"/>
      <c r="G3900" s="11"/>
      <c r="H3900" s="11"/>
      <c r="I3900" s="15"/>
    </row>
    <row r="3901" spans="1:9" ht="16.5">
      <c r="A3901" s="10" t="b">
        <v>0</v>
      </c>
      <c r="B3901" s="11" t="str">
        <f>IF(D3901&lt;&gt;"",IF(COUNTIF('USPTO TMs'!A:A,D3901)&gt;0,"Yes","No"),"")</f>
        <v/>
      </c>
      <c r="C3901" s="11"/>
      <c r="D3901" s="11"/>
      <c r="E3901" s="11"/>
      <c r="F3901" s="11"/>
      <c r="G3901" s="11"/>
      <c r="H3901" s="11"/>
      <c r="I3901" s="15"/>
    </row>
    <row r="3902" spans="1:9" ht="16.5">
      <c r="A3902" s="10" t="b">
        <v>0</v>
      </c>
      <c r="B3902" s="11" t="str">
        <f>IF(D3902&lt;&gt;"",IF(COUNTIF('USPTO TMs'!A:A,D3902)&gt;0,"Yes","No"),"")</f>
        <v/>
      </c>
      <c r="C3902" s="11"/>
      <c r="D3902" s="11"/>
      <c r="E3902" s="11"/>
      <c r="F3902" s="11"/>
      <c r="G3902" s="11"/>
      <c r="H3902" s="11"/>
      <c r="I3902" s="15"/>
    </row>
    <row r="3903" spans="1:9" ht="16.5">
      <c r="A3903" s="10" t="b">
        <v>0</v>
      </c>
      <c r="B3903" s="11" t="str">
        <f>IF(D3903&lt;&gt;"",IF(COUNTIF('USPTO TMs'!A:A,D3903)&gt;0,"Yes","No"),"")</f>
        <v/>
      </c>
      <c r="C3903" s="11"/>
      <c r="D3903" s="11"/>
      <c r="E3903" s="11"/>
      <c r="F3903" s="11"/>
      <c r="G3903" s="11"/>
      <c r="H3903" s="11"/>
      <c r="I3903" s="15"/>
    </row>
    <row r="3904" spans="1:9" ht="16.5">
      <c r="A3904" s="10" t="b">
        <v>0</v>
      </c>
      <c r="B3904" s="11" t="str">
        <f>IF(D3904&lt;&gt;"",IF(COUNTIF('USPTO TMs'!A:A,D3904)&gt;0,"Yes","No"),"")</f>
        <v/>
      </c>
      <c r="C3904" s="11"/>
      <c r="D3904" s="11"/>
      <c r="E3904" s="11"/>
      <c r="F3904" s="11"/>
      <c r="G3904" s="11"/>
      <c r="H3904" s="11"/>
      <c r="I3904" s="15"/>
    </row>
    <row r="3905" spans="1:9" ht="16.5">
      <c r="A3905" s="10" t="b">
        <v>0</v>
      </c>
      <c r="B3905" s="11" t="str">
        <f>IF(D3905&lt;&gt;"",IF(COUNTIF('USPTO TMs'!A:A,D3905)&gt;0,"Yes","No"),"")</f>
        <v/>
      </c>
      <c r="C3905" s="11"/>
      <c r="D3905" s="11"/>
      <c r="E3905" s="11"/>
      <c r="F3905" s="11"/>
      <c r="G3905" s="11"/>
      <c r="H3905" s="11"/>
      <c r="I3905" s="15"/>
    </row>
    <row r="3906" spans="1:9" ht="16.5">
      <c r="A3906" s="10" t="b">
        <v>0</v>
      </c>
      <c r="B3906" s="11" t="str">
        <f>IF(D3906&lt;&gt;"",IF(COUNTIF('USPTO TMs'!A:A,D3906)&gt;0,"Yes","No"),"")</f>
        <v/>
      </c>
      <c r="C3906" s="11"/>
      <c r="D3906" s="11"/>
      <c r="E3906" s="11"/>
      <c r="F3906" s="11"/>
      <c r="G3906" s="11"/>
      <c r="H3906" s="11"/>
      <c r="I3906" s="15"/>
    </row>
    <row r="3907" spans="1:9" ht="16.5">
      <c r="A3907" s="10" t="b">
        <v>0</v>
      </c>
      <c r="B3907" s="11" t="str">
        <f>IF(D3907&lt;&gt;"",IF(COUNTIF('USPTO TMs'!A:A,D3907)&gt;0,"Yes","No"),"")</f>
        <v/>
      </c>
      <c r="C3907" s="11"/>
      <c r="D3907" s="11"/>
      <c r="E3907" s="11"/>
      <c r="F3907" s="11"/>
      <c r="G3907" s="11"/>
      <c r="H3907" s="11"/>
      <c r="I3907" s="15"/>
    </row>
    <row r="3908" spans="1:9" ht="16.5">
      <c r="A3908" s="10" t="b">
        <v>0</v>
      </c>
      <c r="B3908" s="11" t="str">
        <f>IF(D3908&lt;&gt;"",IF(COUNTIF('USPTO TMs'!A:A,D3908)&gt;0,"Yes","No"),"")</f>
        <v/>
      </c>
      <c r="C3908" s="11"/>
      <c r="D3908" s="11"/>
      <c r="E3908" s="11"/>
      <c r="F3908" s="11"/>
      <c r="G3908" s="11"/>
      <c r="H3908" s="11"/>
      <c r="I3908" s="15"/>
    </row>
    <row r="3909" spans="1:9" ht="16.5">
      <c r="A3909" s="10" t="b">
        <v>0</v>
      </c>
      <c r="B3909" s="11" t="str">
        <f>IF(D3909&lt;&gt;"",IF(COUNTIF('USPTO TMs'!A:A,D3909)&gt;0,"Yes","No"),"")</f>
        <v/>
      </c>
      <c r="C3909" s="11"/>
      <c r="D3909" s="11"/>
      <c r="E3909" s="11"/>
      <c r="F3909" s="11"/>
      <c r="G3909" s="11"/>
      <c r="H3909" s="11"/>
      <c r="I3909" s="15"/>
    </row>
    <row r="3910" spans="1:9" ht="16.5">
      <c r="A3910" s="10" t="b">
        <v>0</v>
      </c>
      <c r="B3910" s="11" t="str">
        <f>IF(D3910&lt;&gt;"",IF(COUNTIF('USPTO TMs'!A:A,D3910)&gt;0,"Yes","No"),"")</f>
        <v/>
      </c>
      <c r="C3910" s="11"/>
      <c r="D3910" s="11"/>
      <c r="E3910" s="11"/>
      <c r="F3910" s="11"/>
      <c r="G3910" s="11"/>
      <c r="H3910" s="11"/>
      <c r="I3910" s="15"/>
    </row>
    <row r="3911" spans="1:9" ht="16.5">
      <c r="A3911" s="10" t="b">
        <v>0</v>
      </c>
      <c r="B3911" s="11" t="str">
        <f>IF(D3911&lt;&gt;"",IF(COUNTIF('USPTO TMs'!A:A,D3911)&gt;0,"Yes","No"),"")</f>
        <v/>
      </c>
      <c r="C3911" s="11"/>
      <c r="D3911" s="11"/>
      <c r="E3911" s="11"/>
      <c r="F3911" s="11"/>
      <c r="G3911" s="11"/>
      <c r="H3911" s="11"/>
      <c r="I3911" s="15"/>
    </row>
    <row r="3912" spans="1:9" ht="16.5">
      <c r="A3912" s="10" t="b">
        <v>0</v>
      </c>
      <c r="B3912" s="11" t="str">
        <f>IF(D3912&lt;&gt;"",IF(COUNTIF('USPTO TMs'!A:A,D3912)&gt;0,"Yes","No"),"")</f>
        <v/>
      </c>
      <c r="C3912" s="11"/>
      <c r="D3912" s="11"/>
      <c r="E3912" s="11"/>
      <c r="F3912" s="11"/>
      <c r="G3912" s="11"/>
      <c r="H3912" s="11"/>
      <c r="I3912" s="15"/>
    </row>
    <row r="3913" spans="1:9" ht="16.5">
      <c r="A3913" s="10" t="b">
        <v>0</v>
      </c>
      <c r="B3913" s="11" t="str">
        <f>IF(D3913&lt;&gt;"",IF(COUNTIF('USPTO TMs'!A:A,D3913)&gt;0,"Yes","No"),"")</f>
        <v/>
      </c>
      <c r="C3913" s="11"/>
      <c r="D3913" s="11"/>
      <c r="E3913" s="11"/>
      <c r="F3913" s="11"/>
      <c r="G3913" s="11"/>
      <c r="H3913" s="11"/>
      <c r="I3913" s="15"/>
    </row>
    <row r="3914" spans="1:9" ht="16.5">
      <c r="A3914" s="10" t="b">
        <v>0</v>
      </c>
      <c r="B3914" s="11" t="str">
        <f>IF(D3914&lt;&gt;"",IF(COUNTIF('USPTO TMs'!A:A,D3914)&gt;0,"Yes","No"),"")</f>
        <v/>
      </c>
      <c r="C3914" s="11"/>
      <c r="D3914" s="11"/>
      <c r="E3914" s="11"/>
      <c r="F3914" s="11"/>
      <c r="G3914" s="11"/>
      <c r="H3914" s="11"/>
      <c r="I3914" s="15"/>
    </row>
    <row r="3915" spans="1:9" ht="16.5">
      <c r="A3915" s="10" t="b">
        <v>0</v>
      </c>
      <c r="B3915" s="11" t="str">
        <f>IF(D3915&lt;&gt;"",IF(COUNTIF('USPTO TMs'!A:A,D3915)&gt;0,"Yes","No"),"")</f>
        <v/>
      </c>
      <c r="C3915" s="11"/>
      <c r="D3915" s="11"/>
      <c r="E3915" s="11"/>
      <c r="F3915" s="11"/>
      <c r="G3915" s="11"/>
      <c r="H3915" s="11"/>
      <c r="I3915" s="15"/>
    </row>
    <row r="3916" spans="1:9" ht="16.5">
      <c r="A3916" s="10" t="b">
        <v>0</v>
      </c>
      <c r="B3916" s="11" t="str">
        <f>IF(D3916&lt;&gt;"",IF(COUNTIF('USPTO TMs'!A:A,D3916)&gt;0,"Yes","No"),"")</f>
        <v/>
      </c>
      <c r="C3916" s="11"/>
      <c r="D3916" s="11"/>
      <c r="E3916" s="11"/>
      <c r="F3916" s="11"/>
      <c r="G3916" s="11"/>
      <c r="H3916" s="11"/>
      <c r="I3916" s="15"/>
    </row>
    <row r="3917" spans="1:9" ht="16.5">
      <c r="A3917" s="10" t="b">
        <v>0</v>
      </c>
      <c r="B3917" s="11" t="str">
        <f>IF(D3917&lt;&gt;"",IF(COUNTIF('USPTO TMs'!A:A,D3917)&gt;0,"Yes","No"),"")</f>
        <v/>
      </c>
      <c r="C3917" s="11"/>
      <c r="D3917" s="11"/>
      <c r="E3917" s="11"/>
      <c r="F3917" s="11"/>
      <c r="G3917" s="11"/>
      <c r="H3917" s="11"/>
      <c r="I3917" s="15"/>
    </row>
    <row r="3918" spans="1:9" ht="16.5">
      <c r="A3918" s="10" t="b">
        <v>0</v>
      </c>
      <c r="B3918" s="11" t="str">
        <f>IF(D3918&lt;&gt;"",IF(COUNTIF('USPTO TMs'!A:A,D3918)&gt;0,"Yes","No"),"")</f>
        <v/>
      </c>
      <c r="C3918" s="11"/>
      <c r="D3918" s="11"/>
      <c r="E3918" s="11"/>
      <c r="F3918" s="11"/>
      <c r="G3918" s="11"/>
      <c r="H3918" s="11"/>
      <c r="I3918" s="15"/>
    </row>
    <row r="3919" spans="1:9" ht="16.5">
      <c r="A3919" s="10" t="b">
        <v>0</v>
      </c>
      <c r="B3919" s="11" t="str">
        <f>IF(D3919&lt;&gt;"",IF(COUNTIF('USPTO TMs'!A:A,D3919)&gt;0,"Yes","No"),"")</f>
        <v/>
      </c>
      <c r="C3919" s="11"/>
      <c r="D3919" s="11"/>
      <c r="E3919" s="11"/>
      <c r="F3919" s="11"/>
      <c r="G3919" s="11"/>
      <c r="H3919" s="11"/>
      <c r="I3919" s="15"/>
    </row>
    <row r="3920" spans="1:9" ht="16.5">
      <c r="A3920" s="10" t="b">
        <v>0</v>
      </c>
      <c r="B3920" s="11" t="str">
        <f>IF(D3920&lt;&gt;"",IF(COUNTIF('USPTO TMs'!A:A,D3920)&gt;0,"Yes","No"),"")</f>
        <v/>
      </c>
      <c r="C3920" s="11"/>
      <c r="D3920" s="11"/>
      <c r="E3920" s="11"/>
      <c r="F3920" s="11"/>
      <c r="G3920" s="11"/>
      <c r="H3920" s="11"/>
      <c r="I3920" s="15"/>
    </row>
    <row r="3921" spans="1:9" ht="16.5">
      <c r="A3921" s="10" t="b">
        <v>0</v>
      </c>
      <c r="B3921" s="11" t="str">
        <f>IF(D3921&lt;&gt;"",IF(COUNTIF('USPTO TMs'!A:A,D3921)&gt;0,"Yes","No"),"")</f>
        <v/>
      </c>
      <c r="C3921" s="11"/>
      <c r="D3921" s="11"/>
      <c r="E3921" s="11"/>
      <c r="F3921" s="11"/>
      <c r="G3921" s="11"/>
      <c r="H3921" s="11"/>
      <c r="I3921" s="15"/>
    </row>
    <row r="3922" spans="1:9" ht="16.5">
      <c r="A3922" s="10" t="b">
        <v>0</v>
      </c>
      <c r="B3922" s="11" t="str">
        <f>IF(D3922&lt;&gt;"",IF(COUNTIF('USPTO TMs'!A:A,D3922)&gt;0,"Yes","No"),"")</f>
        <v/>
      </c>
      <c r="C3922" s="11"/>
      <c r="D3922" s="11"/>
      <c r="E3922" s="11"/>
      <c r="F3922" s="11"/>
      <c r="G3922" s="11"/>
      <c r="H3922" s="11"/>
      <c r="I3922" s="15"/>
    </row>
    <row r="3923" spans="1:9" ht="16.5">
      <c r="A3923" s="10" t="b">
        <v>0</v>
      </c>
      <c r="B3923" s="11" t="str">
        <f>IF(D3923&lt;&gt;"",IF(COUNTIF('USPTO TMs'!A:A,D3923)&gt;0,"Yes","No"),"")</f>
        <v/>
      </c>
      <c r="C3923" s="11"/>
      <c r="D3923" s="11"/>
      <c r="E3923" s="11"/>
      <c r="F3923" s="11"/>
      <c r="G3923" s="11"/>
      <c r="H3923" s="11"/>
      <c r="I3923" s="15"/>
    </row>
    <row r="3924" spans="1:9" ht="16.5">
      <c r="A3924" s="10" t="b">
        <v>0</v>
      </c>
      <c r="B3924" s="11" t="str">
        <f>IF(D3924&lt;&gt;"",IF(COUNTIF('USPTO TMs'!A:A,D3924)&gt;0,"Yes","No"),"")</f>
        <v/>
      </c>
      <c r="C3924" s="11"/>
      <c r="D3924" s="11"/>
      <c r="E3924" s="11"/>
      <c r="F3924" s="11"/>
      <c r="G3924" s="11"/>
      <c r="H3924" s="11"/>
      <c r="I3924" s="15"/>
    </row>
    <row r="3925" spans="1:9" ht="16.5">
      <c r="A3925" s="10" t="b">
        <v>0</v>
      </c>
      <c r="B3925" s="11" t="str">
        <f>IF(D3925&lt;&gt;"",IF(COUNTIF('USPTO TMs'!A:A,D3925)&gt;0,"Yes","No"),"")</f>
        <v/>
      </c>
      <c r="C3925" s="11"/>
      <c r="D3925" s="11"/>
      <c r="E3925" s="11"/>
      <c r="F3925" s="11"/>
      <c r="G3925" s="11"/>
      <c r="H3925" s="11"/>
      <c r="I3925" s="15"/>
    </row>
    <row r="3926" spans="1:9" ht="16.5">
      <c r="A3926" s="10" t="b">
        <v>0</v>
      </c>
      <c r="B3926" s="11" t="str">
        <f>IF(D3926&lt;&gt;"",IF(COUNTIF('USPTO TMs'!A:A,D3926)&gt;0,"Yes","No"),"")</f>
        <v/>
      </c>
      <c r="C3926" s="11"/>
      <c r="D3926" s="11"/>
      <c r="E3926" s="11"/>
      <c r="F3926" s="11"/>
      <c r="G3926" s="11"/>
      <c r="H3926" s="11"/>
      <c r="I3926" s="15"/>
    </row>
    <row r="3927" spans="1:9" ht="16.5">
      <c r="A3927" s="10" t="b">
        <v>0</v>
      </c>
      <c r="B3927" s="11" t="str">
        <f>IF(D3927&lt;&gt;"",IF(COUNTIF('USPTO TMs'!A:A,D3927)&gt;0,"Yes","No"),"")</f>
        <v/>
      </c>
      <c r="C3927" s="11"/>
      <c r="D3927" s="11"/>
      <c r="E3927" s="11"/>
      <c r="F3927" s="11"/>
      <c r="G3927" s="11"/>
      <c r="H3927" s="11"/>
      <c r="I3927" s="15"/>
    </row>
    <row r="3928" spans="1:9" ht="16.5">
      <c r="A3928" s="10" t="b">
        <v>0</v>
      </c>
      <c r="B3928" s="11" t="str">
        <f>IF(D3928&lt;&gt;"",IF(COUNTIF('USPTO TMs'!A:A,D3928)&gt;0,"Yes","No"),"")</f>
        <v/>
      </c>
      <c r="C3928" s="11"/>
      <c r="D3928" s="11"/>
      <c r="E3928" s="11"/>
      <c r="F3928" s="11"/>
      <c r="G3928" s="11"/>
      <c r="H3928" s="11"/>
      <c r="I3928" s="15"/>
    </row>
    <row r="3929" spans="1:9" ht="16.5">
      <c r="A3929" s="10" t="b">
        <v>0</v>
      </c>
      <c r="B3929" s="11" t="str">
        <f>IF(D3929&lt;&gt;"",IF(COUNTIF('USPTO TMs'!A:A,D3929)&gt;0,"Yes","No"),"")</f>
        <v/>
      </c>
      <c r="C3929" s="11"/>
      <c r="D3929" s="11"/>
      <c r="E3929" s="11"/>
      <c r="F3929" s="11"/>
      <c r="G3929" s="11"/>
      <c r="H3929" s="11"/>
      <c r="I3929" s="15"/>
    </row>
    <row r="3930" spans="1:9" ht="16.5">
      <c r="A3930" s="10" t="b">
        <v>0</v>
      </c>
      <c r="B3930" s="11" t="str">
        <f>IF(D3930&lt;&gt;"",IF(COUNTIF('USPTO TMs'!A:A,D3930)&gt;0,"Yes","No"),"")</f>
        <v/>
      </c>
      <c r="C3930" s="11"/>
      <c r="D3930" s="11"/>
      <c r="E3930" s="11"/>
      <c r="F3930" s="11"/>
      <c r="G3930" s="11"/>
      <c r="H3930" s="11"/>
      <c r="I3930" s="15"/>
    </row>
    <row r="3931" spans="1:9" ht="16.5">
      <c r="A3931" s="10" t="b">
        <v>0</v>
      </c>
      <c r="B3931" s="11" t="str">
        <f>IF(D3931&lt;&gt;"",IF(COUNTIF('USPTO TMs'!A:A,D3931)&gt;0,"Yes","No"),"")</f>
        <v/>
      </c>
      <c r="C3931" s="11"/>
      <c r="D3931" s="11"/>
      <c r="E3931" s="11"/>
      <c r="F3931" s="11"/>
      <c r="G3931" s="11"/>
      <c r="H3931" s="11"/>
      <c r="I3931" s="15"/>
    </row>
    <row r="3932" spans="1:9" ht="16.5">
      <c r="A3932" s="10" t="b">
        <v>0</v>
      </c>
      <c r="B3932" s="11" t="str">
        <f>IF(D3932&lt;&gt;"",IF(COUNTIF('USPTO TMs'!A:A,D3932)&gt;0,"Yes","No"),"")</f>
        <v/>
      </c>
      <c r="C3932" s="11"/>
      <c r="D3932" s="11"/>
      <c r="E3932" s="11"/>
      <c r="F3932" s="11"/>
      <c r="G3932" s="11"/>
      <c r="H3932" s="11"/>
      <c r="I3932" s="15"/>
    </row>
    <row r="3933" spans="1:9" ht="16.5">
      <c r="A3933" s="10" t="b">
        <v>0</v>
      </c>
      <c r="B3933" s="11" t="str">
        <f>IF(D3933&lt;&gt;"",IF(COUNTIF('USPTO TMs'!A:A,D3933)&gt;0,"Yes","No"),"")</f>
        <v/>
      </c>
      <c r="C3933" s="11"/>
      <c r="D3933" s="11"/>
      <c r="E3933" s="11"/>
      <c r="F3933" s="11"/>
      <c r="G3933" s="11"/>
      <c r="H3933" s="11"/>
      <c r="I3933" s="15"/>
    </row>
    <row r="3934" spans="1:9" ht="16.5">
      <c r="A3934" s="10" t="b">
        <v>0</v>
      </c>
      <c r="B3934" s="11" t="str">
        <f>IF(D3934&lt;&gt;"",IF(COUNTIF('USPTO TMs'!A:A,D3934)&gt;0,"Yes","No"),"")</f>
        <v/>
      </c>
      <c r="C3934" s="11"/>
      <c r="D3934" s="11"/>
      <c r="E3934" s="11"/>
      <c r="F3934" s="11"/>
      <c r="G3934" s="11"/>
      <c r="H3934" s="11"/>
      <c r="I3934" s="15"/>
    </row>
    <row r="3935" spans="1:9" ht="16.5">
      <c r="A3935" s="10" t="b">
        <v>0</v>
      </c>
      <c r="B3935" s="11" t="str">
        <f>IF(D3935&lt;&gt;"",IF(COUNTIF('USPTO TMs'!A:A,D3935)&gt;0,"Yes","No"),"")</f>
        <v/>
      </c>
      <c r="C3935" s="11"/>
      <c r="D3935" s="11"/>
      <c r="E3935" s="11"/>
      <c r="F3935" s="11"/>
      <c r="G3935" s="11"/>
      <c r="H3935" s="11"/>
      <c r="I3935" s="15"/>
    </row>
    <row r="3936" spans="1:9" ht="16.5">
      <c r="A3936" s="10" t="b">
        <v>0</v>
      </c>
      <c r="B3936" s="11" t="str">
        <f>IF(D3936&lt;&gt;"",IF(COUNTIF('USPTO TMs'!A:A,D3936)&gt;0,"Yes","No"),"")</f>
        <v/>
      </c>
      <c r="C3936" s="11"/>
      <c r="D3936" s="11"/>
      <c r="E3936" s="11"/>
      <c r="F3936" s="11"/>
      <c r="G3936" s="11"/>
      <c r="H3936" s="11"/>
      <c r="I3936" s="15"/>
    </row>
    <row r="3937" spans="1:9" ht="16.5">
      <c r="A3937" s="10" t="b">
        <v>0</v>
      </c>
      <c r="B3937" s="11" t="str">
        <f>IF(D3937&lt;&gt;"",IF(COUNTIF('USPTO TMs'!A:A,D3937)&gt;0,"Yes","No"),"")</f>
        <v/>
      </c>
      <c r="C3937" s="11"/>
      <c r="D3937" s="11"/>
      <c r="E3937" s="11"/>
      <c r="F3937" s="11"/>
      <c r="G3937" s="11"/>
      <c r="H3937" s="11"/>
      <c r="I3937" s="15"/>
    </row>
    <row r="3938" spans="1:9" ht="16.5">
      <c r="A3938" s="10" t="b">
        <v>0</v>
      </c>
      <c r="B3938" s="11" t="str">
        <f>IF(D3938&lt;&gt;"",IF(COUNTIF('USPTO TMs'!A:A,D3938)&gt;0,"Yes","No"),"")</f>
        <v/>
      </c>
      <c r="C3938" s="11"/>
      <c r="D3938" s="11"/>
      <c r="E3938" s="11"/>
      <c r="F3938" s="11"/>
      <c r="G3938" s="11"/>
      <c r="H3938" s="11"/>
      <c r="I3938" s="15"/>
    </row>
    <row r="3939" spans="1:9" ht="16.5">
      <c r="A3939" s="10" t="b">
        <v>0</v>
      </c>
      <c r="B3939" s="11" t="str">
        <f>IF(D3939&lt;&gt;"",IF(COUNTIF('USPTO TMs'!A:A,D3939)&gt;0,"Yes","No"),"")</f>
        <v/>
      </c>
      <c r="C3939" s="11"/>
      <c r="D3939" s="11"/>
      <c r="E3939" s="11"/>
      <c r="F3939" s="11"/>
      <c r="G3939" s="11"/>
      <c r="H3939" s="11"/>
      <c r="I3939" s="15"/>
    </row>
    <row r="3940" spans="1:9" ht="16.5">
      <c r="A3940" s="10" t="b">
        <v>0</v>
      </c>
      <c r="B3940" s="11" t="str">
        <f>IF(D3940&lt;&gt;"",IF(COUNTIF('USPTO TMs'!A:A,D3940)&gt;0,"Yes","No"),"")</f>
        <v/>
      </c>
      <c r="C3940" s="11"/>
      <c r="D3940" s="11"/>
      <c r="E3940" s="11"/>
      <c r="F3940" s="11"/>
      <c r="G3940" s="11"/>
      <c r="H3940" s="11"/>
      <c r="I3940" s="15"/>
    </row>
    <row r="3941" spans="1:9" ht="16.5">
      <c r="A3941" s="10" t="b">
        <v>0</v>
      </c>
      <c r="B3941" s="11" t="str">
        <f>IF(D3941&lt;&gt;"",IF(COUNTIF('USPTO TMs'!A:A,D3941)&gt;0,"Yes","No"),"")</f>
        <v/>
      </c>
      <c r="C3941" s="11"/>
      <c r="D3941" s="11"/>
      <c r="E3941" s="11"/>
      <c r="F3941" s="11"/>
      <c r="G3941" s="11"/>
      <c r="H3941" s="11"/>
      <c r="I3941" s="15"/>
    </row>
    <row r="3942" spans="1:9" ht="16.5">
      <c r="A3942" s="10" t="b">
        <v>0</v>
      </c>
      <c r="B3942" s="11" t="str">
        <f>IF(D3942&lt;&gt;"",IF(COUNTIF('USPTO TMs'!A:A,D3942)&gt;0,"Yes","No"),"")</f>
        <v/>
      </c>
      <c r="C3942" s="11"/>
      <c r="D3942" s="11"/>
      <c r="E3942" s="11"/>
      <c r="F3942" s="11"/>
      <c r="G3942" s="11"/>
      <c r="H3942" s="11"/>
      <c r="I3942" s="15"/>
    </row>
    <row r="3943" spans="1:9" ht="16.5">
      <c r="A3943" s="10" t="b">
        <v>0</v>
      </c>
      <c r="B3943" s="11" t="str">
        <f>IF(D3943&lt;&gt;"",IF(COUNTIF('USPTO TMs'!A:A,D3943)&gt;0,"Yes","No"),"")</f>
        <v/>
      </c>
      <c r="C3943" s="11"/>
      <c r="D3943" s="11"/>
      <c r="E3943" s="11"/>
      <c r="F3943" s="11"/>
      <c r="G3943" s="11"/>
      <c r="H3943" s="11"/>
      <c r="I3943" s="15"/>
    </row>
    <row r="3944" spans="1:9" ht="16.5">
      <c r="A3944" s="10" t="b">
        <v>0</v>
      </c>
      <c r="B3944" s="11" t="str">
        <f>IF(D3944&lt;&gt;"",IF(COUNTIF('USPTO TMs'!A:A,D3944)&gt;0,"Yes","No"),"")</f>
        <v/>
      </c>
      <c r="C3944" s="11"/>
      <c r="D3944" s="11"/>
      <c r="E3944" s="11"/>
      <c r="F3944" s="11"/>
      <c r="G3944" s="11"/>
      <c r="H3944" s="11"/>
      <c r="I3944" s="15"/>
    </row>
    <row r="3945" spans="1:9" ht="16.5">
      <c r="A3945" s="10" t="b">
        <v>0</v>
      </c>
      <c r="B3945" s="11" t="str">
        <f>IF(D3945&lt;&gt;"",IF(COUNTIF('USPTO TMs'!A:A,D3945)&gt;0,"Yes","No"),"")</f>
        <v/>
      </c>
      <c r="C3945" s="11"/>
      <c r="D3945" s="11"/>
      <c r="E3945" s="11"/>
      <c r="F3945" s="11"/>
      <c r="G3945" s="11"/>
      <c r="H3945" s="11"/>
      <c r="I3945" s="15"/>
    </row>
    <row r="3946" spans="1:9" ht="16.5">
      <c r="A3946" s="10" t="b">
        <v>0</v>
      </c>
      <c r="B3946" s="11" t="str">
        <f>IF(D3946&lt;&gt;"",IF(COUNTIF('USPTO TMs'!A:A,D3946)&gt;0,"Yes","No"),"")</f>
        <v/>
      </c>
      <c r="C3946" s="11"/>
      <c r="D3946" s="11"/>
      <c r="E3946" s="11"/>
      <c r="F3946" s="11"/>
      <c r="G3946" s="11"/>
      <c r="H3946" s="11"/>
      <c r="I3946" s="15"/>
    </row>
    <row r="3947" spans="1:9" ht="16.5">
      <c r="A3947" s="10" t="b">
        <v>0</v>
      </c>
      <c r="B3947" s="11" t="str">
        <f>IF(D3947&lt;&gt;"",IF(COUNTIF('USPTO TMs'!A:A,D3947)&gt;0,"Yes","No"),"")</f>
        <v/>
      </c>
      <c r="C3947" s="11"/>
      <c r="D3947" s="11"/>
      <c r="E3947" s="11"/>
      <c r="F3947" s="11"/>
      <c r="G3947" s="11"/>
      <c r="H3947" s="11"/>
      <c r="I3947" s="15"/>
    </row>
    <row r="3948" spans="1:9" ht="16.5">
      <c r="A3948" s="10" t="b">
        <v>0</v>
      </c>
      <c r="B3948" s="11" t="str">
        <f>IF(D3948&lt;&gt;"",IF(COUNTIF('USPTO TMs'!A:A,D3948)&gt;0,"Yes","No"),"")</f>
        <v/>
      </c>
      <c r="C3948" s="11"/>
      <c r="D3948" s="11"/>
      <c r="E3948" s="11"/>
      <c r="F3948" s="11"/>
      <c r="G3948" s="11"/>
      <c r="H3948" s="11"/>
      <c r="I3948" s="15"/>
    </row>
    <row r="3949" spans="1:9" ht="16.5">
      <c r="A3949" s="10" t="b">
        <v>0</v>
      </c>
      <c r="B3949" s="11" t="str">
        <f>IF(D3949&lt;&gt;"",IF(COUNTIF('USPTO TMs'!A:A,D3949)&gt;0,"Yes","No"),"")</f>
        <v/>
      </c>
      <c r="C3949" s="11"/>
      <c r="D3949" s="11"/>
      <c r="E3949" s="11"/>
      <c r="F3949" s="11"/>
      <c r="G3949" s="11"/>
      <c r="H3949" s="11"/>
      <c r="I3949" s="15"/>
    </row>
    <row r="3950" spans="1:9" ht="16.5">
      <c r="A3950" s="10" t="b">
        <v>0</v>
      </c>
      <c r="B3950" s="11" t="str">
        <f>IF(D3950&lt;&gt;"",IF(COUNTIF('USPTO TMs'!A:A,D3950)&gt;0,"Yes","No"),"")</f>
        <v/>
      </c>
      <c r="C3950" s="11"/>
      <c r="D3950" s="11"/>
      <c r="E3950" s="11"/>
      <c r="F3950" s="11"/>
      <c r="G3950" s="11"/>
      <c r="H3950" s="11"/>
      <c r="I3950" s="15"/>
    </row>
    <row r="3951" spans="1:9" ht="16.5">
      <c r="A3951" s="10" t="b">
        <v>0</v>
      </c>
      <c r="B3951" s="11" t="str">
        <f>IF(D3951&lt;&gt;"",IF(COUNTIF('USPTO TMs'!A:A,D3951)&gt;0,"Yes","No"),"")</f>
        <v/>
      </c>
      <c r="C3951" s="11"/>
      <c r="D3951" s="11"/>
      <c r="E3951" s="11"/>
      <c r="F3951" s="11"/>
      <c r="G3951" s="11"/>
      <c r="H3951" s="11"/>
      <c r="I3951" s="15"/>
    </row>
    <row r="3952" spans="1:9" ht="16.5">
      <c r="A3952" s="10" t="b">
        <v>0</v>
      </c>
      <c r="B3952" s="11" t="str">
        <f>IF(D3952&lt;&gt;"",IF(COUNTIF('USPTO TMs'!A:A,D3952)&gt;0,"Yes","No"),"")</f>
        <v/>
      </c>
      <c r="C3952" s="11"/>
      <c r="D3952" s="11"/>
      <c r="E3952" s="11"/>
      <c r="F3952" s="11"/>
      <c r="G3952" s="11"/>
      <c r="H3952" s="11"/>
      <c r="I3952" s="15"/>
    </row>
    <row r="3953" spans="1:9" ht="16.5">
      <c r="A3953" s="10" t="b">
        <v>0</v>
      </c>
      <c r="B3953" s="11" t="str">
        <f>IF(D3953&lt;&gt;"",IF(COUNTIF('USPTO TMs'!A:A,D3953)&gt;0,"Yes","No"),"")</f>
        <v/>
      </c>
      <c r="C3953" s="11"/>
      <c r="D3953" s="11"/>
      <c r="E3953" s="11"/>
      <c r="F3953" s="11"/>
      <c r="G3953" s="11"/>
      <c r="H3953" s="11"/>
      <c r="I3953" s="15"/>
    </row>
    <row r="3954" spans="1:9" ht="16.5">
      <c r="A3954" s="10" t="b">
        <v>0</v>
      </c>
      <c r="B3954" s="11" t="str">
        <f>IF(D3954&lt;&gt;"",IF(COUNTIF('USPTO TMs'!A:A,D3954)&gt;0,"Yes","No"),"")</f>
        <v/>
      </c>
      <c r="C3954" s="11"/>
      <c r="D3954" s="11"/>
      <c r="E3954" s="11"/>
      <c r="F3954" s="11"/>
      <c r="G3954" s="11"/>
      <c r="H3954" s="11"/>
      <c r="I3954" s="15"/>
    </row>
    <row r="3955" spans="1:9" ht="16.5">
      <c r="A3955" s="10" t="b">
        <v>0</v>
      </c>
      <c r="B3955" s="11" t="str">
        <f>IF(D3955&lt;&gt;"",IF(COUNTIF('USPTO TMs'!A:A,D3955)&gt;0,"Yes","No"),"")</f>
        <v/>
      </c>
      <c r="C3955" s="11"/>
      <c r="D3955" s="11"/>
      <c r="E3955" s="11"/>
      <c r="F3955" s="11"/>
      <c r="G3955" s="11"/>
      <c r="H3955" s="11"/>
      <c r="I3955" s="15"/>
    </row>
    <row r="3956" spans="1:9" ht="16.5">
      <c r="A3956" s="10" t="b">
        <v>0</v>
      </c>
      <c r="B3956" s="11" t="str">
        <f>IF(D3956&lt;&gt;"",IF(COUNTIF('USPTO TMs'!A:A,D3956)&gt;0,"Yes","No"),"")</f>
        <v/>
      </c>
      <c r="C3956" s="11"/>
      <c r="D3956" s="11"/>
      <c r="E3956" s="11"/>
      <c r="F3956" s="11"/>
      <c r="G3956" s="11"/>
      <c r="H3956" s="11"/>
      <c r="I3956" s="15"/>
    </row>
    <row r="3957" spans="1:9" ht="16.5">
      <c r="A3957" s="10" t="b">
        <v>0</v>
      </c>
      <c r="B3957" s="11" t="str">
        <f>IF(D3957&lt;&gt;"",IF(COUNTIF('USPTO TMs'!A:A,D3957)&gt;0,"Yes","No"),"")</f>
        <v/>
      </c>
      <c r="C3957" s="11"/>
      <c r="D3957" s="11"/>
      <c r="E3957" s="11"/>
      <c r="F3957" s="11"/>
      <c r="G3957" s="11"/>
      <c r="H3957" s="11"/>
      <c r="I3957" s="15"/>
    </row>
    <row r="3958" spans="1:9" ht="16.5">
      <c r="A3958" s="10" t="b">
        <v>0</v>
      </c>
      <c r="B3958" s="11" t="str">
        <f>IF(D3958&lt;&gt;"",IF(COUNTIF('USPTO TMs'!A:A,D3958)&gt;0,"Yes","No"),"")</f>
        <v/>
      </c>
      <c r="C3958" s="11"/>
      <c r="D3958" s="11"/>
      <c r="E3958" s="11"/>
      <c r="F3958" s="11"/>
      <c r="G3958" s="11"/>
      <c r="H3958" s="11"/>
      <c r="I3958" s="15"/>
    </row>
    <row r="3959" spans="1:9" ht="16.5">
      <c r="A3959" s="10" t="b">
        <v>0</v>
      </c>
      <c r="B3959" s="11" t="str">
        <f>IF(D3959&lt;&gt;"",IF(COUNTIF('USPTO TMs'!A:A,D3959)&gt;0,"Yes","No"),"")</f>
        <v/>
      </c>
      <c r="C3959" s="11"/>
      <c r="D3959" s="11"/>
      <c r="E3959" s="11"/>
      <c r="F3959" s="11"/>
      <c r="G3959" s="11"/>
      <c r="H3959" s="11"/>
      <c r="I3959" s="15"/>
    </row>
    <row r="3960" spans="1:9" ht="16.5">
      <c r="A3960" s="10" t="b">
        <v>0</v>
      </c>
      <c r="B3960" s="11" t="str">
        <f>IF(D3960&lt;&gt;"",IF(COUNTIF('USPTO TMs'!A:A,D3960)&gt;0,"Yes","No"),"")</f>
        <v/>
      </c>
      <c r="C3960" s="11"/>
      <c r="D3960" s="11"/>
      <c r="E3960" s="11"/>
      <c r="F3960" s="11"/>
      <c r="G3960" s="11"/>
      <c r="H3960" s="11"/>
      <c r="I3960" s="15"/>
    </row>
    <row r="3961" spans="1:9" ht="16.5">
      <c r="A3961" s="10" t="b">
        <v>0</v>
      </c>
      <c r="B3961" s="11" t="str">
        <f>IF(D3961&lt;&gt;"",IF(COUNTIF('USPTO TMs'!A:A,D3961)&gt;0,"Yes","No"),"")</f>
        <v/>
      </c>
      <c r="C3961" s="11"/>
      <c r="D3961" s="11"/>
      <c r="E3961" s="11"/>
      <c r="F3961" s="11"/>
      <c r="G3961" s="11"/>
      <c r="H3961" s="11"/>
      <c r="I3961" s="15"/>
    </row>
    <row r="3962" spans="1:9" ht="16.5">
      <c r="A3962" s="10" t="b">
        <v>0</v>
      </c>
      <c r="B3962" s="11" t="str">
        <f>IF(D3962&lt;&gt;"",IF(COUNTIF('USPTO TMs'!A:A,D3962)&gt;0,"Yes","No"),"")</f>
        <v/>
      </c>
      <c r="C3962" s="11"/>
      <c r="D3962" s="11"/>
      <c r="E3962" s="11"/>
      <c r="F3962" s="11"/>
      <c r="G3962" s="11"/>
      <c r="H3962" s="11"/>
      <c r="I3962" s="15"/>
    </row>
    <row r="3963" spans="1:9" ht="16.5">
      <c r="A3963" s="10" t="b">
        <v>0</v>
      </c>
      <c r="B3963" s="11" t="str">
        <f>IF(D3963&lt;&gt;"",IF(COUNTIF('USPTO TMs'!A:A,D3963)&gt;0,"Yes","No"),"")</f>
        <v/>
      </c>
      <c r="C3963" s="11"/>
      <c r="D3963" s="11"/>
      <c r="E3963" s="11"/>
      <c r="F3963" s="11"/>
      <c r="G3963" s="11"/>
      <c r="H3963" s="11"/>
      <c r="I3963" s="15"/>
    </row>
    <row r="3964" spans="1:9" ht="16.5">
      <c r="A3964" s="10" t="b">
        <v>0</v>
      </c>
      <c r="B3964" s="11" t="str">
        <f>IF(D3964&lt;&gt;"",IF(COUNTIF('USPTO TMs'!A:A,D3964)&gt;0,"Yes","No"),"")</f>
        <v/>
      </c>
      <c r="C3964" s="11"/>
      <c r="D3964" s="11"/>
      <c r="E3964" s="11"/>
      <c r="F3964" s="11"/>
      <c r="G3964" s="11"/>
      <c r="H3964" s="11"/>
      <c r="I3964" s="15"/>
    </row>
    <row r="3965" spans="1:9" ht="16.5">
      <c r="A3965" s="10" t="b">
        <v>0</v>
      </c>
      <c r="B3965" s="11" t="str">
        <f>IF(D3965&lt;&gt;"",IF(COUNTIF('USPTO TMs'!A:A,D3965)&gt;0,"Yes","No"),"")</f>
        <v/>
      </c>
      <c r="C3965" s="11"/>
      <c r="D3965" s="11"/>
      <c r="E3965" s="11"/>
      <c r="F3965" s="11"/>
      <c r="G3965" s="11"/>
      <c r="H3965" s="11"/>
      <c r="I3965" s="15"/>
    </row>
    <row r="3966" spans="1:9" ht="16.5">
      <c r="A3966" s="10" t="b">
        <v>0</v>
      </c>
      <c r="B3966" s="11" t="str">
        <f>IF(D3966&lt;&gt;"",IF(COUNTIF('USPTO TMs'!A:A,D3966)&gt;0,"Yes","No"),"")</f>
        <v/>
      </c>
      <c r="C3966" s="11"/>
      <c r="D3966" s="11"/>
      <c r="E3966" s="11"/>
      <c r="F3966" s="11"/>
      <c r="G3966" s="11"/>
      <c r="H3966" s="11"/>
      <c r="I3966" s="15"/>
    </row>
    <row r="3967" spans="1:9" ht="16.5">
      <c r="A3967" s="10" t="b">
        <v>0</v>
      </c>
      <c r="B3967" s="11" t="str">
        <f>IF(D3967&lt;&gt;"",IF(COUNTIF('USPTO TMs'!A:A,D3967)&gt;0,"Yes","No"),"")</f>
        <v/>
      </c>
      <c r="C3967" s="11"/>
      <c r="D3967" s="11"/>
      <c r="E3967" s="11"/>
      <c r="F3967" s="11"/>
      <c r="G3967" s="11"/>
      <c r="H3967" s="11"/>
      <c r="I3967" s="15"/>
    </row>
    <row r="3968" spans="1:9" ht="16.5">
      <c r="A3968" s="10" t="b">
        <v>0</v>
      </c>
      <c r="B3968" s="11" t="str">
        <f>IF(D3968&lt;&gt;"",IF(COUNTIF('USPTO TMs'!A:A,D3968)&gt;0,"Yes","No"),"")</f>
        <v/>
      </c>
      <c r="C3968" s="11"/>
      <c r="D3968" s="11"/>
      <c r="E3968" s="11"/>
      <c r="F3968" s="11"/>
      <c r="G3968" s="11"/>
      <c r="H3968" s="11"/>
      <c r="I3968" s="15"/>
    </row>
    <row r="3969" spans="1:9" ht="16.5">
      <c r="A3969" s="10" t="b">
        <v>0</v>
      </c>
      <c r="B3969" s="11" t="str">
        <f>IF(D3969&lt;&gt;"",IF(COUNTIF('USPTO TMs'!A:A,D3969)&gt;0,"Yes","No"),"")</f>
        <v/>
      </c>
      <c r="C3969" s="11"/>
      <c r="D3969" s="11"/>
      <c r="E3969" s="11"/>
      <c r="F3969" s="11"/>
      <c r="G3969" s="11"/>
      <c r="H3969" s="11"/>
      <c r="I3969" s="15"/>
    </row>
    <row r="3970" spans="1:9" ht="16.5">
      <c r="A3970" s="10" t="b">
        <v>0</v>
      </c>
      <c r="B3970" s="11" t="str">
        <f>IF(D3970&lt;&gt;"",IF(COUNTIF('USPTO TMs'!A:A,D3970)&gt;0,"Yes","No"),"")</f>
        <v/>
      </c>
      <c r="C3970" s="11"/>
      <c r="D3970" s="11"/>
      <c r="E3970" s="11"/>
      <c r="F3970" s="11"/>
      <c r="G3970" s="11"/>
      <c r="H3970" s="11"/>
      <c r="I3970" s="15"/>
    </row>
    <row r="3971" spans="1:9" ht="16.5">
      <c r="A3971" s="10" t="b">
        <v>0</v>
      </c>
      <c r="B3971" s="11" t="str">
        <f>IF(D3971&lt;&gt;"",IF(COUNTIF('USPTO TMs'!A:A,D3971)&gt;0,"Yes","No"),"")</f>
        <v/>
      </c>
      <c r="C3971" s="11"/>
      <c r="D3971" s="11"/>
      <c r="E3971" s="11"/>
      <c r="F3971" s="11"/>
      <c r="G3971" s="11"/>
      <c r="H3971" s="11"/>
      <c r="I3971" s="15"/>
    </row>
    <row r="3972" spans="1:9" ht="16.5">
      <c r="A3972" s="10" t="b">
        <v>0</v>
      </c>
      <c r="B3972" s="11" t="str">
        <f>IF(D3972&lt;&gt;"",IF(COUNTIF('USPTO TMs'!A:A,D3972)&gt;0,"Yes","No"),"")</f>
        <v/>
      </c>
      <c r="C3972" s="11"/>
      <c r="D3972" s="11"/>
      <c r="E3972" s="11"/>
      <c r="F3972" s="11"/>
      <c r="G3972" s="11"/>
      <c r="H3972" s="11"/>
      <c r="I3972" s="15"/>
    </row>
    <row r="3973" spans="1:9" ht="16.5">
      <c r="A3973" s="10" t="b">
        <v>0</v>
      </c>
      <c r="B3973" s="11" t="str">
        <f>IF(D3973&lt;&gt;"",IF(COUNTIF('USPTO TMs'!A:A,D3973)&gt;0,"Yes","No"),"")</f>
        <v/>
      </c>
      <c r="C3973" s="11"/>
      <c r="D3973" s="11"/>
      <c r="E3973" s="11"/>
      <c r="F3973" s="11"/>
      <c r="G3973" s="11"/>
      <c r="H3973" s="11"/>
      <c r="I3973" s="15"/>
    </row>
    <row r="3974" spans="1:9" ht="16.5">
      <c r="A3974" s="10" t="b">
        <v>0</v>
      </c>
      <c r="B3974" s="11" t="str">
        <f>IF(D3974&lt;&gt;"",IF(COUNTIF('USPTO TMs'!A:A,D3974)&gt;0,"Yes","No"),"")</f>
        <v/>
      </c>
      <c r="C3974" s="11"/>
      <c r="D3974" s="11"/>
      <c r="E3974" s="11"/>
      <c r="F3974" s="11"/>
      <c r="G3974" s="11"/>
      <c r="H3974" s="11"/>
      <c r="I3974" s="15"/>
    </row>
    <row r="3975" spans="1:9" ht="16.5">
      <c r="A3975" s="10" t="b">
        <v>0</v>
      </c>
      <c r="B3975" s="11" t="str">
        <f>IF(D3975&lt;&gt;"",IF(COUNTIF('USPTO TMs'!A:A,D3975)&gt;0,"Yes","No"),"")</f>
        <v/>
      </c>
      <c r="C3975" s="11"/>
      <c r="D3975" s="11"/>
      <c r="E3975" s="11"/>
      <c r="F3975" s="11"/>
      <c r="G3975" s="11"/>
      <c r="H3975" s="11"/>
      <c r="I3975" s="15"/>
    </row>
    <row r="3976" spans="1:9" ht="16.5">
      <c r="A3976" s="10" t="b">
        <v>0</v>
      </c>
      <c r="B3976" s="11" t="str">
        <f>IF(D3976&lt;&gt;"",IF(COUNTIF('USPTO TMs'!A:A,D3976)&gt;0,"Yes","No"),"")</f>
        <v/>
      </c>
      <c r="C3976" s="11"/>
      <c r="D3976" s="11"/>
      <c r="E3976" s="11"/>
      <c r="F3976" s="11"/>
      <c r="G3976" s="11"/>
      <c r="H3976" s="11"/>
      <c r="I3976" s="15"/>
    </row>
    <row r="3977" spans="1:9" ht="16.5">
      <c r="A3977" s="10" t="b">
        <v>0</v>
      </c>
      <c r="B3977" s="11" t="str">
        <f>IF(D3977&lt;&gt;"",IF(COUNTIF('USPTO TMs'!A:A,D3977)&gt;0,"Yes","No"),"")</f>
        <v/>
      </c>
      <c r="C3977" s="11"/>
      <c r="D3977" s="11"/>
      <c r="E3977" s="11"/>
      <c r="F3977" s="11"/>
      <c r="G3977" s="11"/>
      <c r="H3977" s="11"/>
      <c r="I3977" s="15"/>
    </row>
    <row r="3978" spans="1:9" ht="16.5">
      <c r="A3978" s="10" t="b">
        <v>0</v>
      </c>
      <c r="B3978" s="11" t="str">
        <f>IF(D3978&lt;&gt;"",IF(COUNTIF('USPTO TMs'!A:A,D3978)&gt;0,"Yes","No"),"")</f>
        <v/>
      </c>
      <c r="C3978" s="11"/>
      <c r="D3978" s="11"/>
      <c r="E3978" s="11"/>
      <c r="F3978" s="11"/>
      <c r="G3978" s="11"/>
      <c r="H3978" s="11"/>
      <c r="I3978" s="15"/>
    </row>
    <row r="3979" spans="1:9" ht="16.5">
      <c r="A3979" s="10" t="b">
        <v>0</v>
      </c>
      <c r="B3979" s="11" t="str">
        <f>IF(D3979&lt;&gt;"",IF(COUNTIF('USPTO TMs'!A:A,D3979)&gt;0,"Yes","No"),"")</f>
        <v/>
      </c>
      <c r="C3979" s="11"/>
      <c r="D3979" s="11"/>
      <c r="E3979" s="11"/>
      <c r="F3979" s="11"/>
      <c r="G3979" s="11"/>
      <c r="H3979" s="11"/>
      <c r="I3979" s="15"/>
    </row>
    <row r="3980" spans="1:9" ht="16.5">
      <c r="A3980" s="10" t="b">
        <v>0</v>
      </c>
      <c r="B3980" s="11" t="str">
        <f>IF(D3980&lt;&gt;"",IF(COUNTIF('USPTO TMs'!A:A,D3980)&gt;0,"Yes","No"),"")</f>
        <v/>
      </c>
      <c r="C3980" s="11"/>
      <c r="D3980" s="11"/>
      <c r="E3980" s="11"/>
      <c r="F3980" s="11"/>
      <c r="G3980" s="11"/>
      <c r="H3980" s="11"/>
      <c r="I3980" s="15"/>
    </row>
    <row r="3981" spans="1:9" ht="16.5">
      <c r="A3981" s="10" t="b">
        <v>0</v>
      </c>
      <c r="B3981" s="11" t="str">
        <f>IF(D3981&lt;&gt;"",IF(COUNTIF('USPTO TMs'!A:A,D3981)&gt;0,"Yes","No"),"")</f>
        <v/>
      </c>
      <c r="C3981" s="11"/>
      <c r="D3981" s="11"/>
      <c r="E3981" s="11"/>
      <c r="F3981" s="11"/>
      <c r="G3981" s="11"/>
      <c r="H3981" s="11"/>
      <c r="I3981" s="15"/>
    </row>
    <row r="3982" spans="1:9" ht="16.5">
      <c r="A3982" s="10" t="b">
        <v>0</v>
      </c>
      <c r="B3982" s="11" t="str">
        <f>IF(D3982&lt;&gt;"",IF(COUNTIF('USPTO TMs'!A:A,D3982)&gt;0,"Yes","No"),"")</f>
        <v/>
      </c>
      <c r="C3982" s="11"/>
      <c r="D3982" s="11"/>
      <c r="E3982" s="11"/>
      <c r="F3982" s="11"/>
      <c r="G3982" s="11"/>
      <c r="H3982" s="11"/>
      <c r="I3982" s="15"/>
    </row>
    <row r="3983" spans="1:9" ht="16.5">
      <c r="A3983" s="10" t="b">
        <v>0</v>
      </c>
      <c r="B3983" s="11" t="str">
        <f>IF(D3983&lt;&gt;"",IF(COUNTIF('USPTO TMs'!A:A,D3983)&gt;0,"Yes","No"),"")</f>
        <v/>
      </c>
      <c r="C3983" s="11"/>
      <c r="D3983" s="11"/>
      <c r="E3983" s="11"/>
      <c r="F3983" s="11"/>
      <c r="G3983" s="11"/>
      <c r="H3983" s="11"/>
      <c r="I3983" s="15"/>
    </row>
    <row r="3984" spans="1:9" ht="16.5">
      <c r="A3984" s="10" t="b">
        <v>0</v>
      </c>
      <c r="B3984" s="11" t="str">
        <f>IF(D3984&lt;&gt;"",IF(COUNTIF('USPTO TMs'!A:A,D3984)&gt;0,"Yes","No"),"")</f>
        <v/>
      </c>
      <c r="C3984" s="11"/>
      <c r="D3984" s="11"/>
      <c r="E3984" s="11"/>
      <c r="F3984" s="11"/>
      <c r="G3984" s="11"/>
      <c r="H3984" s="11"/>
      <c r="I3984" s="15"/>
    </row>
    <row r="3985" spans="1:9" ht="16.5">
      <c r="A3985" s="10" t="b">
        <v>0</v>
      </c>
      <c r="B3985" s="11" t="str">
        <f>IF(D3985&lt;&gt;"",IF(COUNTIF('USPTO TMs'!A:A,D3985)&gt;0,"Yes","No"),"")</f>
        <v/>
      </c>
      <c r="C3985" s="11"/>
      <c r="D3985" s="11"/>
      <c r="E3985" s="11"/>
      <c r="F3985" s="11"/>
      <c r="G3985" s="11"/>
      <c r="H3985" s="11"/>
      <c r="I3985" s="15"/>
    </row>
    <row r="3986" spans="1:9" ht="16.5">
      <c r="A3986" s="10" t="b">
        <v>0</v>
      </c>
      <c r="B3986" s="11" t="str">
        <f>IF(D3986&lt;&gt;"",IF(COUNTIF('USPTO TMs'!A:A,D3986)&gt;0,"Yes","No"),"")</f>
        <v/>
      </c>
      <c r="C3986" s="11"/>
      <c r="D3986" s="11"/>
      <c r="E3986" s="11"/>
      <c r="F3986" s="11"/>
      <c r="G3986" s="11"/>
      <c r="H3986" s="11"/>
      <c r="I3986" s="15"/>
    </row>
    <row r="3987" spans="1:9" ht="16.5">
      <c r="A3987" s="10" t="b">
        <v>0</v>
      </c>
      <c r="B3987" s="11" t="str">
        <f>IF(D3987&lt;&gt;"",IF(COUNTIF('USPTO TMs'!A:A,D3987)&gt;0,"Yes","No"),"")</f>
        <v/>
      </c>
      <c r="C3987" s="11"/>
      <c r="D3987" s="11"/>
      <c r="E3987" s="11"/>
      <c r="F3987" s="11"/>
      <c r="G3987" s="11"/>
      <c r="H3987" s="11"/>
      <c r="I3987" s="15"/>
    </row>
    <row r="3988" spans="1:9" ht="16.5">
      <c r="A3988" s="10" t="b">
        <v>0</v>
      </c>
      <c r="B3988" s="11" t="str">
        <f>IF(D3988&lt;&gt;"",IF(COUNTIF('USPTO TMs'!A:A,D3988)&gt;0,"Yes","No"),"")</f>
        <v/>
      </c>
      <c r="C3988" s="11"/>
      <c r="D3988" s="11"/>
      <c r="E3988" s="11"/>
      <c r="F3988" s="11"/>
      <c r="G3988" s="11"/>
      <c r="H3988" s="11"/>
      <c r="I3988" s="15"/>
    </row>
    <row r="3989" spans="1:9" ht="16.5">
      <c r="A3989" s="10" t="b">
        <v>0</v>
      </c>
      <c r="B3989" s="11" t="str">
        <f>IF(D3989&lt;&gt;"",IF(COUNTIF('USPTO TMs'!A:A,D3989)&gt;0,"Yes","No"),"")</f>
        <v/>
      </c>
      <c r="C3989" s="11"/>
      <c r="D3989" s="11"/>
      <c r="E3989" s="11"/>
      <c r="F3989" s="11"/>
      <c r="G3989" s="11"/>
      <c r="H3989" s="11"/>
      <c r="I3989" s="15"/>
    </row>
    <row r="3990" spans="1:9" ht="16.5">
      <c r="A3990" s="10" t="b">
        <v>0</v>
      </c>
      <c r="B3990" s="11" t="str">
        <f>IF(D3990&lt;&gt;"",IF(COUNTIF('USPTO TMs'!A:A,D3990)&gt;0,"Yes","No"),"")</f>
        <v/>
      </c>
      <c r="C3990" s="11"/>
      <c r="D3990" s="11"/>
      <c r="E3990" s="11"/>
      <c r="F3990" s="11"/>
      <c r="G3990" s="11"/>
      <c r="H3990" s="11"/>
      <c r="I3990" s="15"/>
    </row>
    <row r="3991" spans="1:9" ht="16.5">
      <c r="A3991" s="10" t="b">
        <v>0</v>
      </c>
      <c r="B3991" s="11" t="str">
        <f>IF(D3991&lt;&gt;"",IF(COUNTIF('USPTO TMs'!A:A,D3991)&gt;0,"Yes","No"),"")</f>
        <v/>
      </c>
      <c r="C3991" s="11"/>
      <c r="D3991" s="11"/>
      <c r="E3991" s="11"/>
      <c r="F3991" s="11"/>
      <c r="G3991" s="11"/>
      <c r="H3991" s="11"/>
      <c r="I3991" s="15"/>
    </row>
    <row r="3992" spans="1:9" ht="16.5">
      <c r="A3992" s="10" t="b">
        <v>0</v>
      </c>
      <c r="B3992" s="11" t="str">
        <f>IF(D3992&lt;&gt;"",IF(COUNTIF('USPTO TMs'!A:A,D3992)&gt;0,"Yes","No"),"")</f>
        <v/>
      </c>
      <c r="C3992" s="11"/>
      <c r="D3992" s="11"/>
      <c r="E3992" s="11"/>
      <c r="F3992" s="11"/>
      <c r="G3992" s="11"/>
      <c r="H3992" s="11"/>
      <c r="I3992" s="15"/>
    </row>
    <row r="3993" spans="1:9" ht="16.5">
      <c r="A3993" s="10" t="b">
        <v>0</v>
      </c>
      <c r="B3993" s="11" t="str">
        <f>IF(D3993&lt;&gt;"",IF(COUNTIF('USPTO TMs'!A:A,D3993)&gt;0,"Yes","No"),"")</f>
        <v/>
      </c>
      <c r="C3993" s="11"/>
      <c r="D3993" s="11"/>
      <c r="E3993" s="11"/>
      <c r="F3993" s="11"/>
      <c r="G3993" s="11"/>
      <c r="H3993" s="11"/>
      <c r="I3993" s="15"/>
    </row>
    <row r="3994" spans="1:9" ht="16.5">
      <c r="A3994" s="10" t="b">
        <v>0</v>
      </c>
      <c r="B3994" s="11" t="str">
        <f>IF(D3994&lt;&gt;"",IF(COUNTIF('USPTO TMs'!A:A,D3994)&gt;0,"Yes","No"),"")</f>
        <v/>
      </c>
      <c r="C3994" s="11"/>
      <c r="D3994" s="11"/>
      <c r="E3994" s="11"/>
      <c r="F3994" s="11"/>
      <c r="G3994" s="11"/>
      <c r="H3994" s="11"/>
      <c r="I3994" s="15"/>
    </row>
    <row r="3995" spans="1:9" ht="16.5">
      <c r="A3995" s="10" t="b">
        <v>0</v>
      </c>
      <c r="B3995" s="11" t="str">
        <f>IF(D3995&lt;&gt;"",IF(COUNTIF('USPTO TMs'!A:A,D3995)&gt;0,"Yes","No"),"")</f>
        <v/>
      </c>
      <c r="C3995" s="11"/>
      <c r="D3995" s="11"/>
      <c r="E3995" s="11"/>
      <c r="F3995" s="11"/>
      <c r="G3995" s="11"/>
      <c r="H3995" s="11"/>
      <c r="I3995" s="15"/>
    </row>
    <row r="3996" spans="1:9" ht="16.5">
      <c r="A3996" s="10" t="b">
        <v>0</v>
      </c>
      <c r="B3996" s="11" t="str">
        <f>IF(D3996&lt;&gt;"",IF(COUNTIF('USPTO TMs'!A:A,D3996)&gt;0,"Yes","No"),"")</f>
        <v/>
      </c>
      <c r="C3996" s="11"/>
      <c r="D3996" s="11"/>
      <c r="E3996" s="11"/>
      <c r="F3996" s="11"/>
      <c r="G3996" s="11"/>
      <c r="H3996" s="11"/>
      <c r="I3996" s="15"/>
    </row>
    <row r="3997" spans="1:9" ht="16.5">
      <c r="A3997" s="10" t="b">
        <v>0</v>
      </c>
      <c r="B3997" s="11" t="str">
        <f>IF(D3997&lt;&gt;"",IF(COUNTIF('USPTO TMs'!A:A,D3997)&gt;0,"Yes","No"),"")</f>
        <v/>
      </c>
      <c r="C3997" s="11"/>
      <c r="D3997" s="11"/>
      <c r="E3997" s="11"/>
      <c r="F3997" s="11"/>
      <c r="G3997" s="11"/>
      <c r="H3997" s="11"/>
      <c r="I3997" s="15"/>
    </row>
    <row r="3998" spans="1:9" ht="16.5">
      <c r="A3998" s="10" t="b">
        <v>0</v>
      </c>
      <c r="B3998" s="11" t="str">
        <f>IF(D3998&lt;&gt;"",IF(COUNTIF('USPTO TMs'!A:A,D3998)&gt;0,"Yes","No"),"")</f>
        <v/>
      </c>
      <c r="C3998" s="11"/>
      <c r="D3998" s="11"/>
      <c r="E3998" s="11"/>
      <c r="F3998" s="11"/>
      <c r="G3998" s="11"/>
      <c r="H3998" s="11"/>
      <c r="I3998" s="15"/>
    </row>
    <row r="3999" spans="1:9" ht="16.5">
      <c r="A3999" s="10" t="b">
        <v>0</v>
      </c>
      <c r="B3999" s="11" t="str">
        <f>IF(D3999&lt;&gt;"",IF(COUNTIF('USPTO TMs'!A:A,D3999)&gt;0,"Yes","No"),"")</f>
        <v/>
      </c>
      <c r="C3999" s="11"/>
      <c r="D3999" s="11"/>
      <c r="E3999" s="11"/>
      <c r="F3999" s="11"/>
      <c r="G3999" s="11"/>
      <c r="H3999" s="11"/>
      <c r="I3999" s="15"/>
    </row>
    <row r="4000" spans="1:9" ht="16.5">
      <c r="A4000" s="10" t="b">
        <v>0</v>
      </c>
      <c r="B4000" s="11" t="str">
        <f>IF(D4000&lt;&gt;"",IF(COUNTIF('USPTO TMs'!A:A,D4000)&gt;0,"Yes","No"),"")</f>
        <v/>
      </c>
      <c r="C4000" s="11"/>
      <c r="D4000" s="11"/>
      <c r="E4000" s="11"/>
      <c r="F4000" s="11"/>
      <c r="G4000" s="11"/>
      <c r="H4000" s="11"/>
      <c r="I4000" s="15"/>
    </row>
    <row r="4001" spans="1:9" ht="16.5">
      <c r="A4001" s="10" t="b">
        <v>0</v>
      </c>
      <c r="B4001" s="11" t="str">
        <f>IF(D4001&lt;&gt;"",IF(COUNTIF('USPTO TMs'!A:A,D4001)&gt;0,"Yes","No"),"")</f>
        <v/>
      </c>
      <c r="C4001" s="11"/>
      <c r="D4001" s="11"/>
      <c r="E4001" s="11"/>
      <c r="F4001" s="11"/>
      <c r="G4001" s="11"/>
      <c r="H4001" s="11"/>
      <c r="I4001" s="15"/>
    </row>
    <row r="4002" spans="1:9" ht="16.5">
      <c r="A4002" s="10" t="b">
        <v>0</v>
      </c>
      <c r="B4002" s="11" t="str">
        <f>IF(D4002&lt;&gt;"",IF(COUNTIF('USPTO TMs'!A:A,D4002)&gt;0,"Yes","No"),"")</f>
        <v/>
      </c>
      <c r="C4002" s="11"/>
      <c r="D4002" s="11"/>
      <c r="E4002" s="11"/>
      <c r="F4002" s="11"/>
      <c r="G4002" s="11"/>
      <c r="H4002" s="11"/>
      <c r="I4002" s="15"/>
    </row>
    <row r="4003" spans="1:9" ht="16.5">
      <c r="A4003" s="10" t="b">
        <v>0</v>
      </c>
      <c r="B4003" s="11" t="str">
        <f>IF(D4003&lt;&gt;"",IF(COUNTIF('USPTO TMs'!A:A,D4003)&gt;0,"Yes","No"),"")</f>
        <v/>
      </c>
      <c r="C4003" s="11"/>
      <c r="D4003" s="11"/>
      <c r="E4003" s="11"/>
      <c r="F4003" s="11"/>
      <c r="G4003" s="11"/>
      <c r="H4003" s="11"/>
      <c r="I4003" s="15"/>
    </row>
    <row r="4004" spans="1:9" ht="16.5">
      <c r="A4004" s="10" t="b">
        <v>0</v>
      </c>
      <c r="B4004" s="11" t="str">
        <f>IF(D4004&lt;&gt;"",IF(COUNTIF('USPTO TMs'!A:A,D4004)&gt;0,"Yes","No"),"")</f>
        <v/>
      </c>
      <c r="C4004" s="11"/>
      <c r="D4004" s="11"/>
      <c r="E4004" s="11"/>
      <c r="F4004" s="11"/>
      <c r="G4004" s="11"/>
      <c r="H4004" s="11"/>
      <c r="I4004" s="15"/>
    </row>
    <row r="4005" spans="1:9" ht="16.5">
      <c r="A4005" s="10" t="b">
        <v>0</v>
      </c>
      <c r="B4005" s="11" t="str">
        <f>IF(D4005&lt;&gt;"",IF(COUNTIF('USPTO TMs'!A:A,D4005)&gt;0,"Yes","No"),"")</f>
        <v/>
      </c>
      <c r="C4005" s="11"/>
      <c r="D4005" s="11"/>
      <c r="E4005" s="11"/>
      <c r="F4005" s="11"/>
      <c r="G4005" s="11"/>
      <c r="H4005" s="11"/>
      <c r="I4005" s="15"/>
    </row>
    <row r="4006" spans="1:9" ht="16.5">
      <c r="A4006" s="10" t="b">
        <v>0</v>
      </c>
      <c r="B4006" s="11" t="str">
        <f>IF(D4006&lt;&gt;"",IF(COUNTIF('USPTO TMs'!A:A,D4006)&gt;0,"Yes","No"),"")</f>
        <v/>
      </c>
      <c r="C4006" s="11"/>
      <c r="D4006" s="11"/>
      <c r="E4006" s="11"/>
      <c r="F4006" s="11"/>
      <c r="G4006" s="11"/>
      <c r="H4006" s="11"/>
      <c r="I4006" s="15"/>
    </row>
    <row r="4007" spans="1:9" ht="16.5">
      <c r="A4007" s="10" t="b">
        <v>0</v>
      </c>
      <c r="B4007" s="11" t="str">
        <f>IF(D4007&lt;&gt;"",IF(COUNTIF('USPTO TMs'!A:A,D4007)&gt;0,"Yes","No"),"")</f>
        <v/>
      </c>
      <c r="C4007" s="11"/>
      <c r="D4007" s="11"/>
      <c r="E4007" s="11"/>
      <c r="F4007" s="11"/>
      <c r="G4007" s="11"/>
      <c r="H4007" s="11"/>
      <c r="I4007" s="15"/>
    </row>
    <row r="4008" spans="1:9" ht="16.5">
      <c r="A4008" s="10" t="b">
        <v>0</v>
      </c>
      <c r="B4008" s="11" t="str">
        <f>IF(D4008&lt;&gt;"",IF(COUNTIF('USPTO TMs'!A:A,D4008)&gt;0,"Yes","No"),"")</f>
        <v/>
      </c>
      <c r="C4008" s="11"/>
      <c r="D4008" s="11"/>
      <c r="E4008" s="11"/>
      <c r="F4008" s="11"/>
      <c r="G4008" s="11"/>
      <c r="H4008" s="11"/>
      <c r="I4008" s="15"/>
    </row>
    <row r="4009" spans="1:9" ht="16.5">
      <c r="A4009" s="10" t="b">
        <v>0</v>
      </c>
      <c r="B4009" s="11" t="str">
        <f>IF(D4009&lt;&gt;"",IF(COUNTIF('USPTO TMs'!A:A,D4009)&gt;0,"Yes","No"),"")</f>
        <v/>
      </c>
      <c r="C4009" s="11"/>
      <c r="D4009" s="11"/>
      <c r="E4009" s="11"/>
      <c r="F4009" s="11"/>
      <c r="G4009" s="11"/>
      <c r="H4009" s="11"/>
      <c r="I4009" s="15"/>
    </row>
    <row r="4010" spans="1:9" ht="16.5">
      <c r="A4010" s="10" t="b">
        <v>0</v>
      </c>
      <c r="B4010" s="11" t="str">
        <f>IF(D4010&lt;&gt;"",IF(COUNTIF('USPTO TMs'!A:A,D4010)&gt;0,"Yes","No"),"")</f>
        <v/>
      </c>
      <c r="C4010" s="11"/>
      <c r="D4010" s="11"/>
      <c r="E4010" s="11"/>
      <c r="F4010" s="11"/>
      <c r="G4010" s="11"/>
      <c r="H4010" s="11"/>
      <c r="I4010" s="15"/>
    </row>
    <row r="4011" spans="1:9" ht="16.5">
      <c r="A4011" s="10" t="b">
        <v>0</v>
      </c>
      <c r="B4011" s="11" t="str">
        <f>IF(D4011&lt;&gt;"",IF(COUNTIF('USPTO TMs'!A:A,D4011)&gt;0,"Yes","No"),"")</f>
        <v/>
      </c>
      <c r="C4011" s="11"/>
      <c r="D4011" s="11"/>
      <c r="E4011" s="11"/>
      <c r="F4011" s="11"/>
      <c r="G4011" s="11"/>
      <c r="H4011" s="11"/>
      <c r="I4011" s="15"/>
    </row>
    <row r="4012" spans="1:9" ht="16.5">
      <c r="A4012" s="10" t="b">
        <v>0</v>
      </c>
      <c r="B4012" s="11" t="str">
        <f>IF(D4012&lt;&gt;"",IF(COUNTIF('USPTO TMs'!A:A,D4012)&gt;0,"Yes","No"),"")</f>
        <v/>
      </c>
      <c r="C4012" s="11"/>
      <c r="D4012" s="11"/>
      <c r="E4012" s="11"/>
      <c r="F4012" s="11"/>
      <c r="G4012" s="11"/>
      <c r="H4012" s="11"/>
      <c r="I4012" s="15"/>
    </row>
    <row r="4013" spans="1:9" ht="16.5">
      <c r="A4013" s="10" t="b">
        <v>0</v>
      </c>
      <c r="B4013" s="11" t="str">
        <f>IF(D4013&lt;&gt;"",IF(COUNTIF('USPTO TMs'!A:A,D4013)&gt;0,"Yes","No"),"")</f>
        <v/>
      </c>
      <c r="C4013" s="11"/>
      <c r="D4013" s="11"/>
      <c r="E4013" s="11"/>
      <c r="F4013" s="11"/>
      <c r="G4013" s="11"/>
      <c r="H4013" s="11"/>
      <c r="I4013" s="15"/>
    </row>
    <row r="4014" spans="1:9" ht="16.5">
      <c r="A4014" s="10" t="b">
        <v>0</v>
      </c>
      <c r="B4014" s="11" t="str">
        <f>IF(D4014&lt;&gt;"",IF(COUNTIF('USPTO TMs'!A:A,D4014)&gt;0,"Yes","No"),"")</f>
        <v/>
      </c>
      <c r="C4014" s="11"/>
      <c r="D4014" s="11"/>
      <c r="E4014" s="11"/>
      <c r="F4014" s="11"/>
      <c r="G4014" s="11"/>
      <c r="H4014" s="11"/>
      <c r="I4014" s="15"/>
    </row>
    <row r="4015" spans="1:9" ht="16.5">
      <c r="A4015" s="10" t="b">
        <v>0</v>
      </c>
      <c r="B4015" s="11" t="str">
        <f>IF(D4015&lt;&gt;"",IF(COUNTIF('USPTO TMs'!A:A,D4015)&gt;0,"Yes","No"),"")</f>
        <v/>
      </c>
      <c r="C4015" s="11"/>
      <c r="D4015" s="11"/>
      <c r="E4015" s="11"/>
      <c r="F4015" s="11"/>
      <c r="G4015" s="11"/>
      <c r="H4015" s="11"/>
      <c r="I4015" s="15"/>
    </row>
    <row r="4016" spans="1:9" ht="16.5">
      <c r="A4016" s="10" t="b">
        <v>0</v>
      </c>
      <c r="B4016" s="11" t="str">
        <f>IF(D4016&lt;&gt;"",IF(COUNTIF('USPTO TMs'!A:A,D4016)&gt;0,"Yes","No"),"")</f>
        <v/>
      </c>
      <c r="C4016" s="11"/>
      <c r="D4016" s="11"/>
      <c r="E4016" s="11"/>
      <c r="F4016" s="11"/>
      <c r="G4016" s="11"/>
      <c r="H4016" s="11"/>
      <c r="I4016" s="15"/>
    </row>
    <row r="4017" spans="1:9" ht="16.5">
      <c r="A4017" s="10" t="b">
        <v>0</v>
      </c>
      <c r="B4017" s="11" t="str">
        <f>IF(D4017&lt;&gt;"",IF(COUNTIF('USPTO TMs'!A:A,D4017)&gt;0,"Yes","No"),"")</f>
        <v/>
      </c>
      <c r="C4017" s="11"/>
      <c r="D4017" s="11"/>
      <c r="E4017" s="11"/>
      <c r="F4017" s="11"/>
      <c r="G4017" s="11"/>
      <c r="H4017" s="11"/>
      <c r="I4017" s="15"/>
    </row>
    <row r="4018" spans="1:9" ht="16.5">
      <c r="A4018" s="10" t="b">
        <v>0</v>
      </c>
      <c r="B4018" s="11" t="str">
        <f>IF(D4018&lt;&gt;"",IF(COUNTIF('USPTO TMs'!A:A,D4018)&gt;0,"Yes","No"),"")</f>
        <v/>
      </c>
      <c r="C4018" s="11"/>
      <c r="D4018" s="11"/>
      <c r="E4018" s="11"/>
      <c r="F4018" s="11"/>
      <c r="G4018" s="11"/>
      <c r="H4018" s="11"/>
      <c r="I4018" s="15"/>
    </row>
    <row r="4019" spans="1:9" ht="16.5">
      <c r="A4019" s="10" t="b">
        <v>0</v>
      </c>
      <c r="B4019" s="11" t="str">
        <f>IF(D4019&lt;&gt;"",IF(COUNTIF('USPTO TMs'!A:A,D4019)&gt;0,"Yes","No"),"")</f>
        <v/>
      </c>
      <c r="C4019" s="11"/>
      <c r="D4019" s="11"/>
      <c r="E4019" s="11"/>
      <c r="F4019" s="11"/>
      <c r="G4019" s="11"/>
      <c r="H4019" s="11"/>
      <c r="I4019" s="15"/>
    </row>
    <row r="4020" spans="1:9" ht="16.5">
      <c r="A4020" s="10" t="b">
        <v>0</v>
      </c>
      <c r="B4020" s="11" t="str">
        <f>IF(D4020&lt;&gt;"",IF(COUNTIF('USPTO TMs'!A:A,D4020)&gt;0,"Yes","No"),"")</f>
        <v/>
      </c>
      <c r="C4020" s="11"/>
      <c r="D4020" s="11"/>
      <c r="E4020" s="11"/>
      <c r="F4020" s="11"/>
      <c r="G4020" s="11"/>
      <c r="H4020" s="11"/>
      <c r="I4020" s="15"/>
    </row>
    <row r="4021" spans="1:9" ht="16.5">
      <c r="A4021" s="10" t="b">
        <v>0</v>
      </c>
      <c r="B4021" s="11" t="str">
        <f>IF(D4021&lt;&gt;"",IF(COUNTIF('USPTO TMs'!A:A,D4021)&gt;0,"Yes","No"),"")</f>
        <v/>
      </c>
      <c r="C4021" s="11"/>
      <c r="D4021" s="11"/>
      <c r="E4021" s="11"/>
      <c r="F4021" s="11"/>
      <c r="G4021" s="11"/>
      <c r="H4021" s="11"/>
      <c r="I4021" s="15"/>
    </row>
    <row r="4022" spans="1:9" ht="16.5">
      <c r="A4022" s="10" t="b">
        <v>0</v>
      </c>
      <c r="B4022" s="11" t="str">
        <f>IF(D4022&lt;&gt;"",IF(COUNTIF('USPTO TMs'!A:A,D4022)&gt;0,"Yes","No"),"")</f>
        <v/>
      </c>
      <c r="C4022" s="11"/>
      <c r="D4022" s="11"/>
      <c r="E4022" s="11"/>
      <c r="F4022" s="11"/>
      <c r="G4022" s="11"/>
      <c r="H4022" s="11"/>
      <c r="I4022" s="15"/>
    </row>
    <row r="4023" spans="1:9" ht="16.5">
      <c r="A4023" s="10" t="b">
        <v>0</v>
      </c>
      <c r="B4023" s="11" t="str">
        <f>IF(D4023&lt;&gt;"",IF(COUNTIF('USPTO TMs'!A:A,D4023)&gt;0,"Yes","No"),"")</f>
        <v/>
      </c>
      <c r="C4023" s="11"/>
      <c r="D4023" s="11"/>
      <c r="E4023" s="11"/>
      <c r="F4023" s="11"/>
      <c r="G4023" s="11"/>
      <c r="H4023" s="11"/>
      <c r="I4023" s="15"/>
    </row>
    <row r="4024" spans="1:9" ht="16.5">
      <c r="A4024" s="10" t="b">
        <v>0</v>
      </c>
      <c r="B4024" s="11" t="str">
        <f>IF(D4024&lt;&gt;"",IF(COUNTIF('USPTO TMs'!A:A,D4024)&gt;0,"Yes","No"),"")</f>
        <v/>
      </c>
      <c r="C4024" s="11"/>
      <c r="D4024" s="11"/>
      <c r="E4024" s="11"/>
      <c r="F4024" s="11"/>
      <c r="G4024" s="11"/>
      <c r="H4024" s="11"/>
      <c r="I4024" s="15"/>
    </row>
    <row r="4025" spans="1:9" ht="16.5">
      <c r="A4025" s="10" t="b">
        <v>0</v>
      </c>
      <c r="B4025" s="11" t="str">
        <f>IF(D4025&lt;&gt;"",IF(COUNTIF('USPTO TMs'!A:A,D4025)&gt;0,"Yes","No"),"")</f>
        <v/>
      </c>
      <c r="C4025" s="11"/>
      <c r="D4025" s="11"/>
      <c r="E4025" s="11"/>
      <c r="F4025" s="11"/>
      <c r="G4025" s="11"/>
      <c r="H4025" s="11"/>
      <c r="I4025" s="15"/>
    </row>
    <row r="4026" spans="1:9" ht="16.5">
      <c r="A4026" s="10" t="b">
        <v>0</v>
      </c>
      <c r="B4026" s="11" t="str">
        <f>IF(D4026&lt;&gt;"",IF(COUNTIF('USPTO TMs'!A:A,D4026)&gt;0,"Yes","No"),"")</f>
        <v/>
      </c>
      <c r="C4026" s="11"/>
      <c r="D4026" s="11"/>
      <c r="E4026" s="11"/>
      <c r="F4026" s="11"/>
      <c r="G4026" s="11"/>
      <c r="H4026" s="11"/>
      <c r="I4026" s="15"/>
    </row>
    <row r="4027" spans="1:9" ht="16.5">
      <c r="A4027" s="10" t="b">
        <v>0</v>
      </c>
      <c r="B4027" s="11" t="str">
        <f>IF(D4027&lt;&gt;"",IF(COUNTIF('USPTO TMs'!A:A,D4027)&gt;0,"Yes","No"),"")</f>
        <v/>
      </c>
      <c r="C4027" s="11"/>
      <c r="D4027" s="11"/>
      <c r="E4027" s="11"/>
      <c r="F4027" s="11"/>
      <c r="G4027" s="11"/>
      <c r="H4027" s="11"/>
      <c r="I4027" s="15"/>
    </row>
    <row r="4028" spans="1:9" ht="16.5">
      <c r="A4028" s="10" t="b">
        <v>0</v>
      </c>
      <c r="B4028" s="11" t="str">
        <f>IF(D4028&lt;&gt;"",IF(COUNTIF('USPTO TMs'!A:A,D4028)&gt;0,"Yes","No"),"")</f>
        <v/>
      </c>
      <c r="C4028" s="11"/>
      <c r="D4028" s="11"/>
      <c r="E4028" s="11"/>
      <c r="F4028" s="11"/>
      <c r="G4028" s="11"/>
      <c r="H4028" s="11"/>
      <c r="I4028" s="15"/>
    </row>
    <row r="4029" spans="1:9" ht="16.5">
      <c r="A4029" s="10" t="b">
        <v>0</v>
      </c>
      <c r="B4029" s="11" t="str">
        <f>IF(D4029&lt;&gt;"",IF(COUNTIF('USPTO TMs'!A:A,D4029)&gt;0,"Yes","No"),"")</f>
        <v/>
      </c>
      <c r="C4029" s="11"/>
      <c r="D4029" s="11"/>
      <c r="E4029" s="11"/>
      <c r="F4029" s="11"/>
      <c r="G4029" s="11"/>
      <c r="H4029" s="11"/>
      <c r="I4029" s="15"/>
    </row>
    <row r="4030" spans="1:9" ht="16.5">
      <c r="A4030" s="10" t="b">
        <v>0</v>
      </c>
      <c r="B4030" s="11" t="str">
        <f>IF(D4030&lt;&gt;"",IF(COUNTIF('USPTO TMs'!A:A,D4030)&gt;0,"Yes","No"),"")</f>
        <v/>
      </c>
      <c r="C4030" s="11"/>
      <c r="D4030" s="11"/>
      <c r="E4030" s="11"/>
      <c r="F4030" s="11"/>
      <c r="G4030" s="11"/>
      <c r="H4030" s="11"/>
      <c r="I4030" s="15"/>
    </row>
    <row r="4031" spans="1:9" ht="16.5">
      <c r="A4031" s="10" t="b">
        <v>0</v>
      </c>
      <c r="B4031" s="11" t="str">
        <f>IF(D4031&lt;&gt;"",IF(COUNTIF('USPTO TMs'!A:A,D4031)&gt;0,"Yes","No"),"")</f>
        <v/>
      </c>
      <c r="C4031" s="11"/>
      <c r="D4031" s="11"/>
      <c r="E4031" s="11"/>
      <c r="F4031" s="11"/>
      <c r="G4031" s="11"/>
      <c r="H4031" s="11"/>
      <c r="I4031" s="15"/>
    </row>
    <row r="4032" spans="1:9" ht="16.5">
      <c r="A4032" s="10" t="b">
        <v>0</v>
      </c>
      <c r="B4032" s="11" t="str">
        <f>IF(D4032&lt;&gt;"",IF(COUNTIF('USPTO TMs'!A:A,D4032)&gt;0,"Yes","No"),"")</f>
        <v/>
      </c>
      <c r="C4032" s="11"/>
      <c r="D4032" s="11"/>
      <c r="E4032" s="11"/>
      <c r="F4032" s="11"/>
      <c r="G4032" s="11"/>
      <c r="H4032" s="11"/>
      <c r="I4032" s="15"/>
    </row>
    <row r="4033" spans="1:9" ht="16.5">
      <c r="A4033" s="10" t="b">
        <v>0</v>
      </c>
      <c r="B4033" s="11" t="str">
        <f>IF(D4033&lt;&gt;"",IF(COUNTIF('USPTO TMs'!A:A,D4033)&gt;0,"Yes","No"),"")</f>
        <v/>
      </c>
      <c r="C4033" s="11"/>
      <c r="D4033" s="11"/>
      <c r="E4033" s="11"/>
      <c r="F4033" s="11"/>
      <c r="G4033" s="11"/>
      <c r="H4033" s="11"/>
      <c r="I4033" s="15"/>
    </row>
    <row r="4034" spans="1:9" ht="16.5">
      <c r="A4034" s="10" t="b">
        <v>0</v>
      </c>
      <c r="B4034" s="11" t="str">
        <f>IF(D4034&lt;&gt;"",IF(COUNTIF('USPTO TMs'!A:A,D4034)&gt;0,"Yes","No"),"")</f>
        <v/>
      </c>
      <c r="C4034" s="11"/>
      <c r="D4034" s="11"/>
      <c r="E4034" s="11"/>
      <c r="F4034" s="11"/>
      <c r="G4034" s="11"/>
      <c r="H4034" s="11"/>
      <c r="I4034" s="15"/>
    </row>
    <row r="4035" spans="1:9" ht="16.5">
      <c r="A4035" s="10" t="b">
        <v>0</v>
      </c>
      <c r="B4035" s="11" t="str">
        <f>IF(D4035&lt;&gt;"",IF(COUNTIF('USPTO TMs'!A:A,D4035)&gt;0,"Yes","No"),"")</f>
        <v/>
      </c>
      <c r="C4035" s="11"/>
      <c r="D4035" s="11"/>
      <c r="E4035" s="11"/>
      <c r="F4035" s="11"/>
      <c r="G4035" s="11"/>
      <c r="H4035" s="11"/>
      <c r="I4035" s="15"/>
    </row>
    <row r="4036" spans="1:9" ht="16.5">
      <c r="A4036" s="10" t="b">
        <v>0</v>
      </c>
      <c r="B4036" s="11" t="str">
        <f>IF(D4036&lt;&gt;"",IF(COUNTIF('USPTO TMs'!A:A,D4036)&gt;0,"Yes","No"),"")</f>
        <v/>
      </c>
      <c r="C4036" s="11"/>
      <c r="D4036" s="11"/>
      <c r="E4036" s="11"/>
      <c r="F4036" s="11"/>
      <c r="G4036" s="11"/>
      <c r="H4036" s="11"/>
      <c r="I4036" s="15"/>
    </row>
    <row r="4037" spans="1:9" ht="16.5">
      <c r="A4037" s="10" t="b">
        <v>0</v>
      </c>
      <c r="B4037" s="11" t="str">
        <f>IF(D4037&lt;&gt;"",IF(COUNTIF('USPTO TMs'!A:A,D4037)&gt;0,"Yes","No"),"")</f>
        <v/>
      </c>
      <c r="C4037" s="11"/>
      <c r="D4037" s="11"/>
      <c r="E4037" s="11"/>
      <c r="F4037" s="11"/>
      <c r="G4037" s="11"/>
      <c r="H4037" s="11"/>
      <c r="I4037" s="15"/>
    </row>
    <row r="4038" spans="1:9" ht="16.5">
      <c r="A4038" s="10" t="b">
        <v>0</v>
      </c>
      <c r="B4038" s="11" t="str">
        <f>IF(D4038&lt;&gt;"",IF(COUNTIF('USPTO TMs'!A:A,D4038)&gt;0,"Yes","No"),"")</f>
        <v/>
      </c>
      <c r="C4038" s="11"/>
      <c r="D4038" s="11"/>
      <c r="E4038" s="11"/>
      <c r="F4038" s="11"/>
      <c r="G4038" s="11"/>
      <c r="H4038" s="11"/>
      <c r="I4038" s="15"/>
    </row>
    <row r="4039" spans="1:9" ht="16.5">
      <c r="A4039" s="10" t="b">
        <v>0</v>
      </c>
      <c r="B4039" s="11" t="str">
        <f>IF(D4039&lt;&gt;"",IF(COUNTIF('USPTO TMs'!A:A,D4039)&gt;0,"Yes","No"),"")</f>
        <v/>
      </c>
      <c r="C4039" s="11"/>
      <c r="D4039" s="11"/>
      <c r="E4039" s="11"/>
      <c r="F4039" s="11"/>
      <c r="G4039" s="11"/>
      <c r="H4039" s="11"/>
      <c r="I4039" s="15"/>
    </row>
    <row r="4040" spans="1:9" ht="16.5">
      <c r="A4040" s="10" t="b">
        <v>0</v>
      </c>
      <c r="B4040" s="11" t="str">
        <f>IF(D4040&lt;&gt;"",IF(COUNTIF('USPTO TMs'!A:A,D4040)&gt;0,"Yes","No"),"")</f>
        <v/>
      </c>
      <c r="C4040" s="11"/>
      <c r="D4040" s="11"/>
      <c r="E4040" s="11"/>
      <c r="F4040" s="11"/>
      <c r="G4040" s="11"/>
      <c r="H4040" s="11"/>
      <c r="I4040" s="15"/>
    </row>
    <row r="4041" spans="1:9" ht="16.5">
      <c r="A4041" s="10" t="b">
        <v>0</v>
      </c>
      <c r="B4041" s="11" t="str">
        <f>IF(D4041&lt;&gt;"",IF(COUNTIF('USPTO TMs'!A:A,D4041)&gt;0,"Yes","No"),"")</f>
        <v/>
      </c>
      <c r="C4041" s="11"/>
      <c r="D4041" s="11"/>
      <c r="E4041" s="11"/>
      <c r="F4041" s="11"/>
      <c r="G4041" s="11"/>
      <c r="H4041" s="11"/>
      <c r="I4041" s="15"/>
    </row>
    <row r="4042" spans="1:9" ht="16.5">
      <c r="A4042" s="10" t="b">
        <v>0</v>
      </c>
      <c r="B4042" s="11" t="str">
        <f>IF(D4042&lt;&gt;"",IF(COUNTIF('USPTO TMs'!A:A,D4042)&gt;0,"Yes","No"),"")</f>
        <v/>
      </c>
      <c r="C4042" s="11"/>
      <c r="D4042" s="11"/>
      <c r="E4042" s="11"/>
      <c r="F4042" s="11"/>
      <c r="G4042" s="11"/>
      <c r="H4042" s="11"/>
      <c r="I4042" s="15"/>
    </row>
    <row r="4043" spans="1:9" ht="16.5">
      <c r="A4043" s="10" t="b">
        <v>0</v>
      </c>
      <c r="B4043" s="11" t="str">
        <f>IF(D4043&lt;&gt;"",IF(COUNTIF('USPTO TMs'!A:A,D4043)&gt;0,"Yes","No"),"")</f>
        <v/>
      </c>
      <c r="C4043" s="11"/>
      <c r="D4043" s="11"/>
      <c r="E4043" s="11"/>
      <c r="F4043" s="11"/>
      <c r="G4043" s="11"/>
      <c r="H4043" s="11"/>
      <c r="I4043" s="15"/>
    </row>
    <row r="4044" spans="1:9" ht="16.5">
      <c r="A4044" s="10" t="b">
        <v>0</v>
      </c>
      <c r="B4044" s="11" t="str">
        <f>IF(D4044&lt;&gt;"",IF(COUNTIF('USPTO TMs'!A:A,D4044)&gt;0,"Yes","No"),"")</f>
        <v/>
      </c>
      <c r="C4044" s="11"/>
      <c r="D4044" s="11"/>
      <c r="E4044" s="11"/>
      <c r="F4044" s="11"/>
      <c r="G4044" s="11"/>
      <c r="H4044" s="11"/>
      <c r="I4044" s="15"/>
    </row>
    <row r="4045" spans="1:9" ht="16.5">
      <c r="A4045" s="10" t="b">
        <v>0</v>
      </c>
      <c r="B4045" s="11" t="str">
        <f>IF(D4045&lt;&gt;"",IF(COUNTIF('USPTO TMs'!A:A,D4045)&gt;0,"Yes","No"),"")</f>
        <v/>
      </c>
      <c r="C4045" s="11"/>
      <c r="D4045" s="11"/>
      <c r="E4045" s="11"/>
      <c r="F4045" s="11"/>
      <c r="G4045" s="11"/>
      <c r="H4045" s="11"/>
      <c r="I4045" s="15"/>
    </row>
    <row r="4046" spans="1:9" ht="16.5">
      <c r="A4046" s="10" t="b">
        <v>0</v>
      </c>
      <c r="B4046" s="11" t="str">
        <f>IF(D4046&lt;&gt;"",IF(COUNTIF('USPTO TMs'!A:A,D4046)&gt;0,"Yes","No"),"")</f>
        <v/>
      </c>
      <c r="C4046" s="11"/>
      <c r="D4046" s="11"/>
      <c r="E4046" s="11"/>
      <c r="F4046" s="11"/>
      <c r="G4046" s="11"/>
      <c r="H4046" s="11"/>
      <c r="I4046" s="15"/>
    </row>
    <row r="4047" spans="1:9" ht="16.5">
      <c r="A4047" s="10" t="b">
        <v>0</v>
      </c>
      <c r="B4047" s="11" t="str">
        <f>IF(D4047&lt;&gt;"",IF(COUNTIF('USPTO TMs'!A:A,D4047)&gt;0,"Yes","No"),"")</f>
        <v/>
      </c>
      <c r="C4047" s="11"/>
      <c r="D4047" s="11"/>
      <c r="E4047" s="11"/>
      <c r="F4047" s="11"/>
      <c r="G4047" s="11"/>
      <c r="H4047" s="11"/>
      <c r="I4047" s="15"/>
    </row>
    <row r="4048" spans="1:9" ht="16.5">
      <c r="A4048" s="10" t="b">
        <v>0</v>
      </c>
      <c r="B4048" s="11" t="str">
        <f>IF(D4048&lt;&gt;"",IF(COUNTIF('USPTO TMs'!A:A,D4048)&gt;0,"Yes","No"),"")</f>
        <v/>
      </c>
      <c r="C4048" s="11"/>
      <c r="D4048" s="11"/>
      <c r="E4048" s="11"/>
      <c r="F4048" s="11"/>
      <c r="G4048" s="11"/>
      <c r="H4048" s="11"/>
      <c r="I4048" s="15"/>
    </row>
    <row r="4049" spans="1:9" ht="16.5">
      <c r="A4049" s="10" t="b">
        <v>0</v>
      </c>
      <c r="B4049" s="11" t="str">
        <f>IF(D4049&lt;&gt;"",IF(COUNTIF('USPTO TMs'!A:A,D4049)&gt;0,"Yes","No"),"")</f>
        <v/>
      </c>
      <c r="C4049" s="11"/>
      <c r="D4049" s="11"/>
      <c r="E4049" s="11"/>
      <c r="F4049" s="11"/>
      <c r="G4049" s="11"/>
      <c r="H4049" s="11"/>
      <c r="I4049" s="15"/>
    </row>
    <row r="4050" spans="1:9" ht="16.5">
      <c r="A4050" s="10" t="b">
        <v>0</v>
      </c>
      <c r="B4050" s="11" t="str">
        <f>IF(D4050&lt;&gt;"",IF(COUNTIF('USPTO TMs'!A:A,D4050)&gt;0,"Yes","No"),"")</f>
        <v/>
      </c>
      <c r="C4050" s="11"/>
      <c r="D4050" s="11"/>
      <c r="E4050" s="11"/>
      <c r="F4050" s="11"/>
      <c r="G4050" s="11"/>
      <c r="H4050" s="11"/>
      <c r="I4050" s="15"/>
    </row>
    <row r="4051" spans="1:9" ht="16.5">
      <c r="A4051" s="10" t="b">
        <v>0</v>
      </c>
      <c r="B4051" s="11" t="str">
        <f>IF(D4051&lt;&gt;"",IF(COUNTIF('USPTO TMs'!A:A,D4051)&gt;0,"Yes","No"),"")</f>
        <v/>
      </c>
      <c r="C4051" s="11"/>
      <c r="D4051" s="11"/>
      <c r="E4051" s="11"/>
      <c r="F4051" s="11"/>
      <c r="G4051" s="11"/>
      <c r="H4051" s="11"/>
      <c r="I4051" s="15"/>
    </row>
    <row r="4052" spans="1:9" ht="16.5">
      <c r="A4052" s="10" t="b">
        <v>0</v>
      </c>
      <c r="B4052" s="11" t="str">
        <f>IF(D4052&lt;&gt;"",IF(COUNTIF('USPTO TMs'!A:A,D4052)&gt;0,"Yes","No"),"")</f>
        <v/>
      </c>
      <c r="C4052" s="11"/>
      <c r="D4052" s="11"/>
      <c r="E4052" s="11"/>
      <c r="F4052" s="11"/>
      <c r="G4052" s="11"/>
      <c r="H4052" s="11"/>
      <c r="I4052" s="15"/>
    </row>
    <row r="4053" spans="1:9" ht="16.5">
      <c r="A4053" s="10" t="b">
        <v>0</v>
      </c>
      <c r="B4053" s="11" t="str">
        <f>IF(D4053&lt;&gt;"",IF(COUNTIF('USPTO TMs'!A:A,D4053)&gt;0,"Yes","No"),"")</f>
        <v/>
      </c>
      <c r="C4053" s="11"/>
      <c r="D4053" s="11"/>
      <c r="E4053" s="11"/>
      <c r="F4053" s="11"/>
      <c r="G4053" s="11"/>
      <c r="H4053" s="11"/>
      <c r="I4053" s="15"/>
    </row>
    <row r="4054" spans="1:9" ht="16.5">
      <c r="A4054" s="10" t="b">
        <v>0</v>
      </c>
      <c r="B4054" s="11" t="str">
        <f>IF(D4054&lt;&gt;"",IF(COUNTIF('USPTO TMs'!A:A,D4054)&gt;0,"Yes","No"),"")</f>
        <v/>
      </c>
      <c r="C4054" s="11"/>
      <c r="D4054" s="11"/>
      <c r="E4054" s="11"/>
      <c r="F4054" s="11"/>
      <c r="G4054" s="11"/>
      <c r="H4054" s="11"/>
      <c r="I4054" s="15"/>
    </row>
    <row r="4055" spans="1:9" ht="16.5">
      <c r="A4055" s="10" t="b">
        <v>0</v>
      </c>
      <c r="B4055" s="11" t="str">
        <f>IF(D4055&lt;&gt;"",IF(COUNTIF('USPTO TMs'!A:A,D4055)&gt;0,"Yes","No"),"")</f>
        <v/>
      </c>
      <c r="C4055" s="11"/>
      <c r="D4055" s="11"/>
      <c r="E4055" s="11"/>
      <c r="F4055" s="11"/>
      <c r="G4055" s="11"/>
      <c r="H4055" s="11"/>
      <c r="I4055" s="15"/>
    </row>
    <row r="4056" spans="1:9" ht="16.5">
      <c r="A4056" s="10" t="b">
        <v>0</v>
      </c>
      <c r="B4056" s="11" t="str">
        <f>IF(D4056&lt;&gt;"",IF(COUNTIF('USPTO TMs'!A:A,D4056)&gt;0,"Yes","No"),"")</f>
        <v/>
      </c>
      <c r="C4056" s="11"/>
      <c r="D4056" s="11"/>
      <c r="E4056" s="11"/>
      <c r="F4056" s="11"/>
      <c r="G4056" s="11"/>
      <c r="H4056" s="11"/>
      <c r="I4056" s="15"/>
    </row>
    <row r="4057" spans="1:9" ht="16.5">
      <c r="A4057" s="10" t="b">
        <v>0</v>
      </c>
      <c r="B4057" s="11" t="str">
        <f>IF(D4057&lt;&gt;"",IF(COUNTIF('USPTO TMs'!A:A,D4057)&gt;0,"Yes","No"),"")</f>
        <v/>
      </c>
      <c r="C4057" s="11"/>
      <c r="D4057" s="11"/>
      <c r="E4057" s="11"/>
      <c r="F4057" s="11"/>
      <c r="G4057" s="11"/>
      <c r="H4057" s="11"/>
      <c r="I4057" s="15"/>
    </row>
    <row r="4058" spans="1:9" ht="16.5">
      <c r="A4058" s="10" t="b">
        <v>0</v>
      </c>
      <c r="B4058" s="11" t="str">
        <f>IF(D4058&lt;&gt;"",IF(COUNTIF('USPTO TMs'!A:A,D4058)&gt;0,"Yes","No"),"")</f>
        <v/>
      </c>
      <c r="C4058" s="11"/>
      <c r="D4058" s="11"/>
      <c r="E4058" s="11"/>
      <c r="F4058" s="11"/>
      <c r="G4058" s="11"/>
      <c r="H4058" s="11"/>
      <c r="I4058" s="15"/>
    </row>
    <row r="4059" spans="1:9" ht="16.5">
      <c r="A4059" s="10" t="b">
        <v>0</v>
      </c>
      <c r="B4059" s="11" t="str">
        <f>IF(D4059&lt;&gt;"",IF(COUNTIF('USPTO TMs'!A:A,D4059)&gt;0,"Yes","No"),"")</f>
        <v/>
      </c>
      <c r="C4059" s="11"/>
      <c r="D4059" s="11"/>
      <c r="E4059" s="11"/>
      <c r="F4059" s="11"/>
      <c r="G4059" s="11"/>
      <c r="H4059" s="11"/>
      <c r="I4059" s="15"/>
    </row>
    <row r="4060" spans="1:9" ht="16.5">
      <c r="A4060" s="10" t="b">
        <v>0</v>
      </c>
      <c r="B4060" s="11" t="str">
        <f>IF(D4060&lt;&gt;"",IF(COUNTIF('USPTO TMs'!A:A,D4060)&gt;0,"Yes","No"),"")</f>
        <v/>
      </c>
      <c r="C4060" s="11"/>
      <c r="D4060" s="11"/>
      <c r="E4060" s="11"/>
      <c r="F4060" s="11"/>
      <c r="G4060" s="11"/>
      <c r="H4060" s="11"/>
      <c r="I4060" s="15"/>
    </row>
    <row r="4061" spans="1:9" ht="16.5">
      <c r="A4061" s="10" t="b">
        <v>0</v>
      </c>
      <c r="B4061" s="11" t="str">
        <f>IF(D4061&lt;&gt;"",IF(COUNTIF('USPTO TMs'!A:A,D4061)&gt;0,"Yes","No"),"")</f>
        <v/>
      </c>
      <c r="C4061" s="11"/>
      <c r="D4061" s="11"/>
      <c r="E4061" s="11"/>
      <c r="F4061" s="11"/>
      <c r="G4061" s="11"/>
      <c r="H4061" s="11"/>
      <c r="I4061" s="15"/>
    </row>
    <row r="4062" spans="1:9" ht="16.5">
      <c r="A4062" s="10" t="b">
        <v>0</v>
      </c>
      <c r="B4062" s="11" t="str">
        <f>IF(D4062&lt;&gt;"",IF(COUNTIF('USPTO TMs'!A:A,D4062)&gt;0,"Yes","No"),"")</f>
        <v/>
      </c>
      <c r="C4062" s="11"/>
      <c r="D4062" s="11"/>
      <c r="E4062" s="11"/>
      <c r="F4062" s="11"/>
      <c r="G4062" s="11"/>
      <c r="H4062" s="11"/>
      <c r="I4062" s="15"/>
    </row>
    <row r="4063" spans="1:9" ht="16.5">
      <c r="A4063" s="10" t="b">
        <v>0</v>
      </c>
      <c r="B4063" s="11" t="str">
        <f>IF(D4063&lt;&gt;"",IF(COUNTIF('USPTO TMs'!A:A,D4063)&gt;0,"Yes","No"),"")</f>
        <v/>
      </c>
      <c r="C4063" s="11"/>
      <c r="D4063" s="11"/>
      <c r="E4063" s="11"/>
      <c r="F4063" s="11"/>
      <c r="G4063" s="11"/>
      <c r="H4063" s="11"/>
      <c r="I4063" s="15"/>
    </row>
    <row r="4064" spans="1:9" ht="16.5">
      <c r="A4064" s="10" t="b">
        <v>0</v>
      </c>
      <c r="B4064" s="11" t="str">
        <f>IF(D4064&lt;&gt;"",IF(COUNTIF('USPTO TMs'!A:A,D4064)&gt;0,"Yes","No"),"")</f>
        <v/>
      </c>
      <c r="C4064" s="11"/>
      <c r="D4064" s="11"/>
      <c r="E4064" s="11"/>
      <c r="F4064" s="11"/>
      <c r="G4064" s="11"/>
      <c r="H4064" s="11"/>
      <c r="I4064" s="15"/>
    </row>
    <row r="4065" spans="1:9" ht="16.5">
      <c r="A4065" s="10" t="b">
        <v>0</v>
      </c>
      <c r="B4065" s="11" t="str">
        <f>IF(D4065&lt;&gt;"",IF(COUNTIF('USPTO TMs'!A:A,D4065)&gt;0,"Yes","No"),"")</f>
        <v/>
      </c>
      <c r="C4065" s="11"/>
      <c r="D4065" s="11"/>
      <c r="E4065" s="11"/>
      <c r="F4065" s="11"/>
      <c r="G4065" s="11"/>
      <c r="H4065" s="11"/>
      <c r="I4065" s="15"/>
    </row>
    <row r="4066" spans="1:9" ht="16.5">
      <c r="A4066" s="10" t="b">
        <v>0</v>
      </c>
      <c r="B4066" s="11" t="str">
        <f>IF(D4066&lt;&gt;"",IF(COUNTIF('USPTO TMs'!A:A,D4066)&gt;0,"Yes","No"),"")</f>
        <v/>
      </c>
      <c r="C4066" s="11"/>
      <c r="D4066" s="11"/>
      <c r="E4066" s="11"/>
      <c r="F4066" s="11"/>
      <c r="G4066" s="11"/>
      <c r="H4066" s="11"/>
      <c r="I4066" s="15"/>
    </row>
    <row r="4067" spans="1:9" ht="16.5">
      <c r="A4067" s="10" t="b">
        <v>0</v>
      </c>
      <c r="B4067" s="11" t="str">
        <f>IF(D4067&lt;&gt;"",IF(COUNTIF('USPTO TMs'!A:A,D4067)&gt;0,"Yes","No"),"")</f>
        <v/>
      </c>
      <c r="C4067" s="11"/>
      <c r="D4067" s="11"/>
      <c r="E4067" s="11"/>
      <c r="F4067" s="11"/>
      <c r="G4067" s="11"/>
      <c r="H4067" s="11"/>
      <c r="I4067" s="15"/>
    </row>
    <row r="4068" spans="1:9" ht="16.5">
      <c r="A4068" s="10" t="b">
        <v>0</v>
      </c>
      <c r="B4068" s="11" t="str">
        <f>IF(D4068&lt;&gt;"",IF(COUNTIF('USPTO TMs'!A:A,D4068)&gt;0,"Yes","No"),"")</f>
        <v/>
      </c>
      <c r="C4068" s="11"/>
      <c r="D4068" s="11"/>
      <c r="E4068" s="11"/>
      <c r="F4068" s="11"/>
      <c r="G4068" s="11"/>
      <c r="H4068" s="11"/>
      <c r="I4068" s="15"/>
    </row>
    <row r="4069" spans="1:9" ht="16.5">
      <c r="A4069" s="10" t="b">
        <v>0</v>
      </c>
      <c r="B4069" s="11" t="str">
        <f>IF(D4069&lt;&gt;"",IF(COUNTIF('USPTO TMs'!A:A,D4069)&gt;0,"Yes","No"),"")</f>
        <v/>
      </c>
      <c r="C4069" s="11"/>
      <c r="D4069" s="11"/>
      <c r="E4069" s="11"/>
      <c r="F4069" s="11"/>
      <c r="G4069" s="11"/>
      <c r="H4069" s="11"/>
      <c r="I4069" s="15"/>
    </row>
    <row r="4070" spans="1:9" ht="16.5">
      <c r="A4070" s="10" t="b">
        <v>0</v>
      </c>
      <c r="B4070" s="11" t="str">
        <f>IF(D4070&lt;&gt;"",IF(COUNTIF('USPTO TMs'!A:A,D4070)&gt;0,"Yes","No"),"")</f>
        <v/>
      </c>
      <c r="C4070" s="11"/>
      <c r="D4070" s="11"/>
      <c r="E4070" s="11"/>
      <c r="F4070" s="11"/>
      <c r="G4070" s="11"/>
      <c r="H4070" s="11"/>
      <c r="I4070" s="15"/>
    </row>
    <row r="4071" spans="1:9" ht="16.5">
      <c r="A4071" s="10" t="b">
        <v>0</v>
      </c>
      <c r="B4071" s="11" t="str">
        <f>IF(D4071&lt;&gt;"",IF(COUNTIF('USPTO TMs'!A:A,D4071)&gt;0,"Yes","No"),"")</f>
        <v/>
      </c>
      <c r="C4071" s="11"/>
      <c r="D4071" s="11"/>
      <c r="E4071" s="11"/>
      <c r="F4071" s="11"/>
      <c r="G4071" s="11"/>
      <c r="H4071" s="11"/>
      <c r="I4071" s="15"/>
    </row>
    <row r="4072" spans="1:9" ht="16.5">
      <c r="A4072" s="10" t="b">
        <v>0</v>
      </c>
      <c r="B4072" s="11" t="str">
        <f>IF(D4072&lt;&gt;"",IF(COUNTIF('USPTO TMs'!A:A,D4072)&gt;0,"Yes","No"),"")</f>
        <v/>
      </c>
      <c r="C4072" s="11"/>
      <c r="D4072" s="11"/>
      <c r="E4072" s="11"/>
      <c r="F4072" s="11"/>
      <c r="G4072" s="11"/>
      <c r="H4072" s="11"/>
      <c r="I4072" s="15"/>
    </row>
    <row r="4073" spans="1:9" ht="16.5">
      <c r="A4073" s="10" t="b">
        <v>0</v>
      </c>
      <c r="B4073" s="11" t="str">
        <f>IF(D4073&lt;&gt;"",IF(COUNTIF('USPTO TMs'!A:A,D4073)&gt;0,"Yes","No"),"")</f>
        <v/>
      </c>
      <c r="C4073" s="11"/>
      <c r="D4073" s="11"/>
      <c r="E4073" s="11"/>
      <c r="F4073" s="11"/>
      <c r="G4073" s="11"/>
      <c r="H4073" s="11"/>
      <c r="I4073" s="15"/>
    </row>
    <row r="4074" spans="1:9" ht="16.5">
      <c r="A4074" s="10" t="b">
        <v>0</v>
      </c>
      <c r="B4074" s="11" t="str">
        <f>IF(D4074&lt;&gt;"",IF(COUNTIF('USPTO TMs'!A:A,D4074)&gt;0,"Yes","No"),"")</f>
        <v/>
      </c>
      <c r="C4074" s="11"/>
      <c r="D4074" s="11"/>
      <c r="E4074" s="11"/>
      <c r="F4074" s="11"/>
      <c r="G4074" s="11"/>
      <c r="H4074" s="11"/>
      <c r="I4074" s="15"/>
    </row>
    <row r="4075" spans="1:9" ht="16.5">
      <c r="A4075" s="10" t="b">
        <v>0</v>
      </c>
      <c r="B4075" s="11" t="str">
        <f>IF(D4075&lt;&gt;"",IF(COUNTIF('USPTO TMs'!A:A,D4075)&gt;0,"Yes","No"),"")</f>
        <v/>
      </c>
      <c r="C4075" s="11"/>
      <c r="D4075" s="11"/>
      <c r="E4075" s="11"/>
      <c r="F4075" s="11"/>
      <c r="G4075" s="11"/>
      <c r="H4075" s="11"/>
      <c r="I4075" s="15"/>
    </row>
    <row r="4076" spans="1:9" ht="16.5">
      <c r="A4076" s="10" t="b">
        <v>0</v>
      </c>
      <c r="B4076" s="11" t="str">
        <f>IF(D4076&lt;&gt;"",IF(COUNTIF('USPTO TMs'!A:A,D4076)&gt;0,"Yes","No"),"")</f>
        <v/>
      </c>
      <c r="C4076" s="11"/>
      <c r="D4076" s="11"/>
      <c r="E4076" s="11"/>
      <c r="F4076" s="11"/>
      <c r="G4076" s="11"/>
      <c r="H4076" s="11"/>
      <c r="I4076" s="15"/>
    </row>
    <row r="4077" spans="1:9" ht="16.5">
      <c r="A4077" s="10" t="b">
        <v>0</v>
      </c>
      <c r="B4077" s="11" t="str">
        <f>IF(D4077&lt;&gt;"",IF(COUNTIF('USPTO TMs'!A:A,D4077)&gt;0,"Yes","No"),"")</f>
        <v/>
      </c>
      <c r="C4077" s="11"/>
      <c r="D4077" s="11"/>
      <c r="E4077" s="11"/>
      <c r="F4077" s="11"/>
      <c r="G4077" s="11"/>
      <c r="H4077" s="11"/>
      <c r="I4077" s="15"/>
    </row>
    <row r="4078" spans="1:9" ht="16.5">
      <c r="A4078" s="10" t="b">
        <v>0</v>
      </c>
      <c r="B4078" s="11" t="str">
        <f>IF(D4078&lt;&gt;"",IF(COUNTIF('USPTO TMs'!A:A,D4078)&gt;0,"Yes","No"),"")</f>
        <v/>
      </c>
      <c r="C4078" s="11"/>
      <c r="D4078" s="11"/>
      <c r="E4078" s="11"/>
      <c r="F4078" s="11"/>
      <c r="G4078" s="11"/>
      <c r="H4078" s="11"/>
      <c r="I4078" s="15"/>
    </row>
    <row r="4079" spans="1:9" ht="16.5">
      <c r="A4079" s="10" t="b">
        <v>0</v>
      </c>
      <c r="B4079" s="11" t="str">
        <f>IF(D4079&lt;&gt;"",IF(COUNTIF('USPTO TMs'!A:A,D4079)&gt;0,"Yes","No"),"")</f>
        <v/>
      </c>
      <c r="C4079" s="11"/>
      <c r="D4079" s="11"/>
      <c r="E4079" s="11"/>
      <c r="F4079" s="11"/>
      <c r="G4079" s="11"/>
      <c r="H4079" s="11"/>
      <c r="I4079" s="15"/>
    </row>
    <row r="4080" spans="1:9" ht="16.5">
      <c r="A4080" s="10" t="b">
        <v>0</v>
      </c>
      <c r="B4080" s="11" t="str">
        <f>IF(D4080&lt;&gt;"",IF(COUNTIF('USPTO TMs'!A:A,D4080)&gt;0,"Yes","No"),"")</f>
        <v/>
      </c>
      <c r="C4080" s="11"/>
      <c r="D4080" s="11"/>
      <c r="E4080" s="11"/>
      <c r="F4080" s="11"/>
      <c r="G4080" s="11"/>
      <c r="H4080" s="11"/>
      <c r="I4080" s="15"/>
    </row>
    <row r="4081" spans="1:9" ht="16.5">
      <c r="A4081" s="10" t="b">
        <v>0</v>
      </c>
      <c r="B4081" s="11" t="str">
        <f>IF(D4081&lt;&gt;"",IF(COUNTIF('USPTO TMs'!A:A,D4081)&gt;0,"Yes","No"),"")</f>
        <v/>
      </c>
      <c r="C4081" s="11"/>
      <c r="D4081" s="11"/>
      <c r="E4081" s="11"/>
      <c r="F4081" s="11"/>
      <c r="G4081" s="11"/>
      <c r="H4081" s="11"/>
      <c r="I4081" s="15"/>
    </row>
    <row r="4082" spans="1:9" ht="16.5">
      <c r="A4082" s="10" t="b">
        <v>0</v>
      </c>
      <c r="B4082" s="11" t="str">
        <f>IF(D4082&lt;&gt;"",IF(COUNTIF('USPTO TMs'!A:A,D4082)&gt;0,"Yes","No"),"")</f>
        <v/>
      </c>
      <c r="C4082" s="11"/>
      <c r="D4082" s="11"/>
      <c r="E4082" s="11"/>
      <c r="F4082" s="11"/>
      <c r="G4082" s="11"/>
      <c r="H4082" s="11"/>
      <c r="I4082" s="15"/>
    </row>
    <row r="4083" spans="1:9" ht="16.5">
      <c r="A4083" s="10" t="b">
        <v>0</v>
      </c>
      <c r="B4083" s="11" t="str">
        <f>IF(D4083&lt;&gt;"",IF(COUNTIF('USPTO TMs'!A:A,D4083)&gt;0,"Yes","No"),"")</f>
        <v/>
      </c>
      <c r="C4083" s="11"/>
      <c r="D4083" s="11"/>
      <c r="E4083" s="11"/>
      <c r="F4083" s="11"/>
      <c r="G4083" s="11"/>
      <c r="H4083" s="11"/>
      <c r="I4083" s="15"/>
    </row>
    <row r="4084" spans="1:9" ht="16.5">
      <c r="A4084" s="10" t="b">
        <v>0</v>
      </c>
      <c r="B4084" s="11" t="str">
        <f>IF(D4084&lt;&gt;"",IF(COUNTIF('USPTO TMs'!A:A,D4084)&gt;0,"Yes","No"),"")</f>
        <v/>
      </c>
      <c r="C4084" s="11"/>
      <c r="D4084" s="11"/>
      <c r="E4084" s="11"/>
      <c r="F4084" s="11"/>
      <c r="G4084" s="11"/>
      <c r="H4084" s="11"/>
      <c r="I4084" s="15"/>
    </row>
    <row r="4085" spans="1:9" ht="16.5">
      <c r="A4085" s="10" t="b">
        <v>0</v>
      </c>
      <c r="B4085" s="11" t="str">
        <f>IF(D4085&lt;&gt;"",IF(COUNTIF('USPTO TMs'!A:A,D4085)&gt;0,"Yes","No"),"")</f>
        <v/>
      </c>
      <c r="C4085" s="11"/>
      <c r="D4085" s="11"/>
      <c r="E4085" s="11"/>
      <c r="F4085" s="11"/>
      <c r="G4085" s="11"/>
      <c r="H4085" s="11"/>
      <c r="I4085" s="15"/>
    </row>
    <row r="4086" spans="1:9" ht="16.5">
      <c r="A4086" s="10" t="b">
        <v>0</v>
      </c>
      <c r="B4086" s="11" t="str">
        <f>IF(D4086&lt;&gt;"",IF(COUNTIF('USPTO TMs'!A:A,D4086)&gt;0,"Yes","No"),"")</f>
        <v/>
      </c>
      <c r="C4086" s="11"/>
      <c r="D4086" s="11"/>
      <c r="E4086" s="11"/>
      <c r="F4086" s="11"/>
      <c r="G4086" s="11"/>
      <c r="H4086" s="11"/>
      <c r="I4086" s="15"/>
    </row>
    <row r="4087" spans="1:9" ht="16.5">
      <c r="A4087" s="10" t="b">
        <v>0</v>
      </c>
      <c r="B4087" s="11" t="str">
        <f>IF(D4087&lt;&gt;"",IF(COUNTIF('USPTO TMs'!A:A,D4087)&gt;0,"Yes","No"),"")</f>
        <v/>
      </c>
      <c r="C4087" s="11"/>
      <c r="D4087" s="11"/>
      <c r="E4087" s="11"/>
      <c r="F4087" s="11"/>
      <c r="G4087" s="11"/>
      <c r="H4087" s="11"/>
      <c r="I4087" s="15"/>
    </row>
    <row r="4088" spans="1:9" ht="16.5">
      <c r="A4088" s="10" t="b">
        <v>0</v>
      </c>
      <c r="B4088" s="11" t="str">
        <f>IF(D4088&lt;&gt;"",IF(COUNTIF('USPTO TMs'!A:A,D4088)&gt;0,"Yes","No"),"")</f>
        <v/>
      </c>
      <c r="C4088" s="11"/>
      <c r="D4088" s="11"/>
      <c r="E4088" s="11"/>
      <c r="F4088" s="11"/>
      <c r="G4088" s="11"/>
      <c r="H4088" s="11"/>
      <c r="I4088" s="15"/>
    </row>
    <row r="4089" spans="1:9" ht="16.5">
      <c r="A4089" s="10" t="b">
        <v>0</v>
      </c>
      <c r="B4089" s="11" t="str">
        <f>IF(D4089&lt;&gt;"",IF(COUNTIF('USPTO TMs'!A:A,D4089)&gt;0,"Yes","No"),"")</f>
        <v/>
      </c>
      <c r="C4089" s="11"/>
      <c r="D4089" s="11"/>
      <c r="E4089" s="11"/>
      <c r="F4089" s="11"/>
      <c r="G4089" s="11"/>
      <c r="H4089" s="11"/>
      <c r="I4089" s="15"/>
    </row>
    <row r="4090" spans="1:9" ht="16.5">
      <c r="A4090" s="10" t="b">
        <v>0</v>
      </c>
      <c r="B4090" s="11" t="str">
        <f>IF(D4090&lt;&gt;"",IF(COUNTIF('USPTO TMs'!A:A,D4090)&gt;0,"Yes","No"),"")</f>
        <v/>
      </c>
      <c r="C4090" s="11"/>
      <c r="D4090" s="11"/>
      <c r="E4090" s="11"/>
      <c r="F4090" s="11"/>
      <c r="G4090" s="11"/>
      <c r="H4090" s="11"/>
      <c r="I4090" s="15"/>
    </row>
    <row r="4091" spans="1:9" ht="16.5">
      <c r="A4091" s="10" t="b">
        <v>0</v>
      </c>
      <c r="B4091" s="11" t="str">
        <f>IF(D4091&lt;&gt;"",IF(COUNTIF('USPTO TMs'!A:A,D4091)&gt;0,"Yes","No"),"")</f>
        <v/>
      </c>
      <c r="C4091" s="11"/>
      <c r="D4091" s="11"/>
      <c r="E4091" s="11"/>
      <c r="F4091" s="11"/>
      <c r="G4091" s="11"/>
      <c r="H4091" s="11"/>
      <c r="I4091" s="15"/>
    </row>
    <row r="4092" spans="1:9" ht="16.5">
      <c r="A4092" s="10" t="b">
        <v>0</v>
      </c>
      <c r="B4092" s="11" t="str">
        <f>IF(D4092&lt;&gt;"",IF(COUNTIF('USPTO TMs'!A:A,D4092)&gt;0,"Yes","No"),"")</f>
        <v/>
      </c>
      <c r="C4092" s="11"/>
      <c r="D4092" s="11"/>
      <c r="E4092" s="11"/>
      <c r="F4092" s="11"/>
      <c r="G4092" s="11"/>
      <c r="H4092" s="11"/>
      <c r="I4092" s="15"/>
    </row>
    <row r="4093" spans="1:9" ht="16.5">
      <c r="A4093" s="10" t="b">
        <v>0</v>
      </c>
      <c r="B4093" s="11" t="str">
        <f>IF(D4093&lt;&gt;"",IF(COUNTIF('USPTO TMs'!A:A,D4093)&gt;0,"Yes","No"),"")</f>
        <v/>
      </c>
      <c r="C4093" s="11"/>
      <c r="D4093" s="11"/>
      <c r="E4093" s="11"/>
      <c r="F4093" s="11"/>
      <c r="G4093" s="11"/>
      <c r="H4093" s="11"/>
      <c r="I4093" s="15"/>
    </row>
    <row r="4094" spans="1:9" ht="16.5">
      <c r="A4094" s="10" t="b">
        <v>0</v>
      </c>
      <c r="B4094" s="11" t="str">
        <f>IF(D4094&lt;&gt;"",IF(COUNTIF('USPTO TMs'!A:A,D4094)&gt;0,"Yes","No"),"")</f>
        <v/>
      </c>
      <c r="C4094" s="11"/>
      <c r="D4094" s="11"/>
      <c r="E4094" s="11"/>
      <c r="F4094" s="11"/>
      <c r="G4094" s="11"/>
      <c r="H4094" s="11"/>
      <c r="I4094" s="15"/>
    </row>
    <row r="4095" spans="1:9" ht="16.5">
      <c r="A4095" s="10" t="b">
        <v>0</v>
      </c>
      <c r="B4095" s="11" t="str">
        <f>IF(D4095&lt;&gt;"",IF(COUNTIF('USPTO TMs'!A:A,D4095)&gt;0,"Yes","No"),"")</f>
        <v/>
      </c>
      <c r="C4095" s="11"/>
      <c r="D4095" s="11"/>
      <c r="E4095" s="11"/>
      <c r="F4095" s="11"/>
      <c r="G4095" s="11"/>
      <c r="H4095" s="11"/>
      <c r="I4095" s="15"/>
    </row>
    <row r="4096" spans="1:9" ht="16.5">
      <c r="A4096" s="10" t="b">
        <v>0</v>
      </c>
      <c r="B4096" s="11" t="str">
        <f>IF(D4096&lt;&gt;"",IF(COUNTIF('USPTO TMs'!A:A,D4096)&gt;0,"Yes","No"),"")</f>
        <v/>
      </c>
      <c r="C4096" s="11"/>
      <c r="D4096" s="11"/>
      <c r="E4096" s="11"/>
      <c r="F4096" s="11"/>
      <c r="G4096" s="11"/>
      <c r="H4096" s="11"/>
      <c r="I4096" s="15"/>
    </row>
    <row r="4097" spans="1:9" ht="16.5">
      <c r="A4097" s="10" t="b">
        <v>0</v>
      </c>
      <c r="B4097" s="11" t="str">
        <f>IF(D4097&lt;&gt;"",IF(COUNTIF('USPTO TMs'!A:A,D4097)&gt;0,"Yes","No"),"")</f>
        <v/>
      </c>
      <c r="C4097" s="11"/>
      <c r="D4097" s="11"/>
      <c r="E4097" s="11"/>
      <c r="F4097" s="11"/>
      <c r="G4097" s="11"/>
      <c r="H4097" s="11"/>
      <c r="I4097" s="15"/>
    </row>
    <row r="4098" spans="1:9" ht="16.5">
      <c r="A4098" s="10" t="b">
        <v>0</v>
      </c>
      <c r="B4098" s="11" t="str">
        <f>IF(D4098&lt;&gt;"",IF(COUNTIF('USPTO TMs'!A:A,D4098)&gt;0,"Yes","No"),"")</f>
        <v/>
      </c>
      <c r="C4098" s="11"/>
      <c r="D4098" s="11"/>
      <c r="E4098" s="11"/>
      <c r="F4098" s="11"/>
      <c r="G4098" s="11"/>
      <c r="H4098" s="11"/>
      <c r="I4098" s="15"/>
    </row>
    <row r="4099" spans="1:9" ht="16.5">
      <c r="A4099" s="10" t="b">
        <v>0</v>
      </c>
      <c r="B4099" s="11" t="str">
        <f>IF(D4099&lt;&gt;"",IF(COUNTIF('USPTO TMs'!A:A,D4099)&gt;0,"Yes","No"),"")</f>
        <v/>
      </c>
      <c r="C4099" s="11"/>
      <c r="D4099" s="11"/>
      <c r="E4099" s="11"/>
      <c r="F4099" s="11"/>
      <c r="G4099" s="11"/>
      <c r="H4099" s="11"/>
      <c r="I4099" s="15"/>
    </row>
    <row r="4100" spans="1:9" ht="16.5">
      <c r="A4100" s="10" t="b">
        <v>0</v>
      </c>
      <c r="B4100" s="11" t="str">
        <f>IF(D4100&lt;&gt;"",IF(COUNTIF('USPTO TMs'!A:A,D4100)&gt;0,"Yes","No"),"")</f>
        <v/>
      </c>
      <c r="C4100" s="11"/>
      <c r="D4100" s="11"/>
      <c r="E4100" s="11"/>
      <c r="F4100" s="11"/>
      <c r="G4100" s="11"/>
      <c r="H4100" s="11"/>
      <c r="I4100" s="15"/>
    </row>
    <row r="4101" spans="1:9" ht="16.5">
      <c r="A4101" s="10" t="b">
        <v>0</v>
      </c>
      <c r="B4101" s="11" t="str">
        <f>IF(D4101&lt;&gt;"",IF(COUNTIF('USPTO TMs'!A:A,D4101)&gt;0,"Yes","No"),"")</f>
        <v/>
      </c>
      <c r="C4101" s="11"/>
      <c r="D4101" s="11"/>
      <c r="E4101" s="11"/>
      <c r="F4101" s="11"/>
      <c r="G4101" s="11"/>
      <c r="H4101" s="11"/>
      <c r="I4101" s="15"/>
    </row>
    <row r="4102" spans="1:9" ht="16.5">
      <c r="A4102" s="10" t="b">
        <v>0</v>
      </c>
      <c r="B4102" s="11" t="str">
        <f>IF(D4102&lt;&gt;"",IF(COUNTIF('USPTO TMs'!A:A,D4102)&gt;0,"Yes","No"),"")</f>
        <v/>
      </c>
      <c r="C4102" s="11"/>
      <c r="D4102" s="11"/>
      <c r="E4102" s="11"/>
      <c r="F4102" s="11"/>
      <c r="G4102" s="11"/>
      <c r="H4102" s="11"/>
      <c r="I4102" s="15"/>
    </row>
    <row r="4103" spans="1:9" ht="16.5">
      <c r="A4103" s="10" t="b">
        <v>0</v>
      </c>
      <c r="B4103" s="11" t="str">
        <f>IF(D4103&lt;&gt;"",IF(COUNTIF('USPTO TMs'!A:A,D4103)&gt;0,"Yes","No"),"")</f>
        <v/>
      </c>
      <c r="C4103" s="11"/>
      <c r="D4103" s="11"/>
      <c r="E4103" s="11"/>
      <c r="F4103" s="11"/>
      <c r="G4103" s="11"/>
      <c r="H4103" s="11"/>
      <c r="I4103" s="15"/>
    </row>
    <row r="4104" spans="1:9" ht="16.5">
      <c r="A4104" s="10" t="b">
        <v>0</v>
      </c>
      <c r="B4104" s="11" t="str">
        <f>IF(D4104&lt;&gt;"",IF(COUNTIF('USPTO TMs'!A:A,D4104)&gt;0,"Yes","No"),"")</f>
        <v/>
      </c>
      <c r="C4104" s="11"/>
      <c r="D4104" s="11"/>
      <c r="E4104" s="11"/>
      <c r="F4104" s="11"/>
      <c r="G4104" s="11"/>
      <c r="H4104" s="11"/>
      <c r="I4104" s="15"/>
    </row>
    <row r="4105" spans="1:9" ht="16.5">
      <c r="A4105" s="10" t="b">
        <v>0</v>
      </c>
      <c r="B4105" s="11" t="str">
        <f>IF(D4105&lt;&gt;"",IF(COUNTIF('USPTO TMs'!A:A,D4105)&gt;0,"Yes","No"),"")</f>
        <v/>
      </c>
      <c r="C4105" s="11"/>
      <c r="D4105" s="11"/>
      <c r="E4105" s="11"/>
      <c r="F4105" s="11"/>
      <c r="G4105" s="11"/>
      <c r="H4105" s="11"/>
      <c r="I4105" s="15"/>
    </row>
    <row r="4106" spans="1:9" ht="16.5">
      <c r="A4106" s="10" t="b">
        <v>0</v>
      </c>
      <c r="B4106" s="11" t="str">
        <f>IF(D4106&lt;&gt;"",IF(COUNTIF('USPTO TMs'!A:A,D4106)&gt;0,"Yes","No"),"")</f>
        <v/>
      </c>
      <c r="C4106" s="11"/>
      <c r="D4106" s="11"/>
      <c r="E4106" s="11"/>
      <c r="F4106" s="11"/>
      <c r="G4106" s="11"/>
      <c r="H4106" s="11"/>
      <c r="I4106" s="15"/>
    </row>
    <row r="4107" spans="1:9" ht="16.5">
      <c r="A4107" s="10" t="b">
        <v>0</v>
      </c>
      <c r="B4107" s="11" t="str">
        <f>IF(D4107&lt;&gt;"",IF(COUNTIF('USPTO TMs'!A:A,D4107)&gt;0,"Yes","No"),"")</f>
        <v/>
      </c>
      <c r="C4107" s="11"/>
      <c r="D4107" s="11"/>
      <c r="E4107" s="11"/>
      <c r="F4107" s="11"/>
      <c r="G4107" s="11"/>
      <c r="H4107" s="11"/>
      <c r="I4107" s="15"/>
    </row>
    <row r="4108" spans="1:9" ht="16.5">
      <c r="A4108" s="10" t="b">
        <v>0</v>
      </c>
      <c r="B4108" s="11" t="str">
        <f>IF(D4108&lt;&gt;"",IF(COUNTIF('USPTO TMs'!A:A,D4108)&gt;0,"Yes","No"),"")</f>
        <v/>
      </c>
      <c r="C4108" s="11"/>
      <c r="D4108" s="11"/>
      <c r="E4108" s="11"/>
      <c r="F4108" s="11"/>
      <c r="G4108" s="11"/>
      <c r="H4108" s="11"/>
      <c r="I4108" s="15"/>
    </row>
    <row r="4109" spans="1:9" ht="16.5">
      <c r="A4109" s="10" t="b">
        <v>0</v>
      </c>
      <c r="B4109" s="11" t="str">
        <f>IF(D4109&lt;&gt;"",IF(COUNTIF('USPTO TMs'!A:A,D4109)&gt;0,"Yes","No"),"")</f>
        <v/>
      </c>
      <c r="C4109" s="11"/>
      <c r="D4109" s="11"/>
      <c r="E4109" s="11"/>
      <c r="F4109" s="11"/>
      <c r="G4109" s="11"/>
      <c r="H4109" s="11"/>
      <c r="I4109" s="15"/>
    </row>
    <row r="4110" spans="1:9" ht="16.5">
      <c r="A4110" s="10" t="b">
        <v>0</v>
      </c>
      <c r="B4110" s="11" t="str">
        <f>IF(D4110&lt;&gt;"",IF(COUNTIF('USPTO TMs'!A:A,D4110)&gt;0,"Yes","No"),"")</f>
        <v/>
      </c>
      <c r="C4110" s="11"/>
      <c r="D4110" s="11"/>
      <c r="E4110" s="11"/>
      <c r="F4110" s="11"/>
      <c r="G4110" s="11"/>
      <c r="H4110" s="11"/>
      <c r="I4110" s="15"/>
    </row>
    <row r="4111" spans="1:9" ht="16.5">
      <c r="A4111" s="10" t="b">
        <v>0</v>
      </c>
      <c r="B4111" s="11" t="str">
        <f>IF(D4111&lt;&gt;"",IF(COUNTIF('USPTO TMs'!A:A,D4111)&gt;0,"Yes","No"),"")</f>
        <v/>
      </c>
      <c r="C4111" s="11"/>
      <c r="D4111" s="11"/>
      <c r="E4111" s="11"/>
      <c r="F4111" s="11"/>
      <c r="G4111" s="11"/>
      <c r="H4111" s="11"/>
      <c r="I4111" s="15"/>
    </row>
    <row r="4112" spans="1:9" ht="16.5">
      <c r="A4112" s="10" t="b">
        <v>0</v>
      </c>
      <c r="B4112" s="11" t="str">
        <f>IF(D4112&lt;&gt;"",IF(COUNTIF('USPTO TMs'!A:A,D4112)&gt;0,"Yes","No"),"")</f>
        <v/>
      </c>
      <c r="C4112" s="11"/>
      <c r="D4112" s="11"/>
      <c r="E4112" s="11"/>
      <c r="F4112" s="11"/>
      <c r="G4112" s="11"/>
      <c r="H4112" s="11"/>
      <c r="I4112" s="15"/>
    </row>
    <row r="4113" spans="1:9" ht="16.5">
      <c r="A4113" s="10" t="b">
        <v>0</v>
      </c>
      <c r="B4113" s="11" t="str">
        <f>IF(D4113&lt;&gt;"",IF(COUNTIF('USPTO TMs'!A:A,D4113)&gt;0,"Yes","No"),"")</f>
        <v/>
      </c>
      <c r="C4113" s="11"/>
      <c r="D4113" s="11"/>
      <c r="E4113" s="11"/>
      <c r="F4113" s="11"/>
      <c r="G4113" s="11"/>
      <c r="H4113" s="11"/>
      <c r="I4113" s="15"/>
    </row>
    <row r="4114" spans="1:9" ht="16.5">
      <c r="A4114" s="10" t="b">
        <v>0</v>
      </c>
      <c r="B4114" s="11" t="str">
        <f>IF(D4114&lt;&gt;"",IF(COUNTIF('USPTO TMs'!A:A,D4114)&gt;0,"Yes","No"),"")</f>
        <v/>
      </c>
      <c r="C4114" s="11"/>
      <c r="D4114" s="11"/>
      <c r="E4114" s="11"/>
      <c r="F4114" s="11"/>
      <c r="G4114" s="11"/>
      <c r="H4114" s="11"/>
      <c r="I4114" s="15"/>
    </row>
    <row r="4115" spans="1:9" ht="16.5">
      <c r="A4115" s="10" t="b">
        <v>0</v>
      </c>
      <c r="B4115" s="11" t="str">
        <f>IF(D4115&lt;&gt;"",IF(COUNTIF('USPTO TMs'!A:A,D4115)&gt;0,"Yes","No"),"")</f>
        <v/>
      </c>
      <c r="C4115" s="11"/>
      <c r="D4115" s="11"/>
      <c r="E4115" s="11"/>
      <c r="F4115" s="11"/>
      <c r="G4115" s="11"/>
      <c r="H4115" s="11"/>
      <c r="I4115" s="15"/>
    </row>
    <row r="4116" spans="1:9" ht="16.5">
      <c r="A4116" s="10" t="b">
        <v>0</v>
      </c>
      <c r="B4116" s="11" t="str">
        <f>IF(D4116&lt;&gt;"",IF(COUNTIF('USPTO TMs'!A:A,D4116)&gt;0,"Yes","No"),"")</f>
        <v/>
      </c>
      <c r="C4116" s="11"/>
      <c r="D4116" s="11"/>
      <c r="E4116" s="11"/>
      <c r="F4116" s="11"/>
      <c r="G4116" s="11"/>
      <c r="H4116" s="11"/>
      <c r="I4116" s="15"/>
    </row>
    <row r="4117" spans="1:9" ht="16.5">
      <c r="A4117" s="10" t="b">
        <v>0</v>
      </c>
      <c r="B4117" s="11" t="str">
        <f>IF(D4117&lt;&gt;"",IF(COUNTIF('USPTO TMs'!A:A,D4117)&gt;0,"Yes","No"),"")</f>
        <v/>
      </c>
      <c r="C4117" s="11"/>
      <c r="D4117" s="11"/>
      <c r="E4117" s="11"/>
      <c r="F4117" s="11"/>
      <c r="G4117" s="11"/>
      <c r="H4117" s="11"/>
      <c r="I4117" s="15"/>
    </row>
    <row r="4118" spans="1:9" ht="16.5">
      <c r="A4118" s="10" t="b">
        <v>0</v>
      </c>
      <c r="B4118" s="11" t="str">
        <f>IF(D4118&lt;&gt;"",IF(COUNTIF('USPTO TMs'!A:A,D4118)&gt;0,"Yes","No"),"")</f>
        <v/>
      </c>
      <c r="C4118" s="11"/>
      <c r="D4118" s="11"/>
      <c r="E4118" s="11"/>
      <c r="F4118" s="11"/>
      <c r="G4118" s="11"/>
      <c r="H4118" s="11"/>
      <c r="I4118" s="15"/>
    </row>
    <row r="4119" spans="1:9" ht="16.5">
      <c r="A4119" s="10" t="b">
        <v>0</v>
      </c>
      <c r="B4119" s="11" t="str">
        <f>IF(D4119&lt;&gt;"",IF(COUNTIF('USPTO TMs'!A:A,D4119)&gt;0,"Yes","No"),"")</f>
        <v/>
      </c>
      <c r="C4119" s="11"/>
      <c r="D4119" s="11"/>
      <c r="E4119" s="11"/>
      <c r="F4119" s="11"/>
      <c r="G4119" s="11"/>
      <c r="H4119" s="11"/>
      <c r="I4119" s="15"/>
    </row>
    <row r="4120" spans="1:9" ht="16.5">
      <c r="A4120" s="10" t="b">
        <v>0</v>
      </c>
      <c r="B4120" s="11" t="str">
        <f>IF(D4120&lt;&gt;"",IF(COUNTIF('USPTO TMs'!A:A,D4120)&gt;0,"Yes","No"),"")</f>
        <v/>
      </c>
      <c r="C4120" s="11"/>
      <c r="D4120" s="11"/>
      <c r="E4120" s="11"/>
      <c r="F4120" s="11"/>
      <c r="G4120" s="11"/>
      <c r="H4120" s="11"/>
      <c r="I4120" s="15"/>
    </row>
    <row r="4121" spans="1:9" ht="16.5">
      <c r="A4121" s="10" t="b">
        <v>0</v>
      </c>
      <c r="B4121" s="11" t="str">
        <f>IF(D4121&lt;&gt;"",IF(COUNTIF('USPTO TMs'!A:A,D4121)&gt;0,"Yes","No"),"")</f>
        <v/>
      </c>
      <c r="C4121" s="11"/>
      <c r="D4121" s="11"/>
      <c r="E4121" s="11"/>
      <c r="F4121" s="11"/>
      <c r="G4121" s="11"/>
      <c r="H4121" s="11"/>
      <c r="I4121" s="15"/>
    </row>
    <row r="4122" spans="1:9" ht="16.5">
      <c r="A4122" s="10" t="b">
        <v>0</v>
      </c>
      <c r="B4122" s="11" t="str">
        <f>IF(D4122&lt;&gt;"",IF(COUNTIF('USPTO TMs'!A:A,D4122)&gt;0,"Yes","No"),"")</f>
        <v/>
      </c>
      <c r="C4122" s="11"/>
      <c r="D4122" s="11"/>
      <c r="E4122" s="11"/>
      <c r="F4122" s="11"/>
      <c r="G4122" s="11"/>
      <c r="H4122" s="11"/>
      <c r="I4122" s="15"/>
    </row>
    <row r="4123" spans="1:9" ht="16.5">
      <c r="A4123" s="10" t="b">
        <v>0</v>
      </c>
      <c r="B4123" s="11" t="str">
        <f>IF(D4123&lt;&gt;"",IF(COUNTIF('USPTO TMs'!A:A,D4123)&gt;0,"Yes","No"),"")</f>
        <v/>
      </c>
      <c r="C4123" s="11"/>
      <c r="D4123" s="11"/>
      <c r="E4123" s="11"/>
      <c r="F4123" s="11"/>
      <c r="G4123" s="11"/>
      <c r="H4123" s="11"/>
      <c r="I4123" s="15"/>
    </row>
    <row r="4124" spans="1:9" ht="16.5">
      <c r="A4124" s="10" t="b">
        <v>0</v>
      </c>
      <c r="B4124" s="11" t="str">
        <f>IF(D4124&lt;&gt;"",IF(COUNTIF('USPTO TMs'!A:A,D4124)&gt;0,"Yes","No"),"")</f>
        <v/>
      </c>
      <c r="C4124" s="11"/>
      <c r="D4124" s="11"/>
      <c r="E4124" s="11"/>
      <c r="F4124" s="11"/>
      <c r="G4124" s="11"/>
      <c r="H4124" s="11"/>
      <c r="I4124" s="15"/>
    </row>
    <row r="4125" spans="1:9" ht="16.5">
      <c r="A4125" s="10" t="b">
        <v>0</v>
      </c>
      <c r="B4125" s="11" t="str">
        <f>IF(D4125&lt;&gt;"",IF(COUNTIF('USPTO TMs'!A:A,D4125)&gt;0,"Yes","No"),"")</f>
        <v/>
      </c>
      <c r="C4125" s="11"/>
      <c r="D4125" s="11"/>
      <c r="E4125" s="11"/>
      <c r="F4125" s="11"/>
      <c r="G4125" s="11"/>
      <c r="H4125" s="11"/>
      <c r="I4125" s="15"/>
    </row>
    <row r="4126" spans="1:9" ht="16.5">
      <c r="A4126" s="10" t="b">
        <v>0</v>
      </c>
      <c r="B4126" s="11" t="str">
        <f>IF(D4126&lt;&gt;"",IF(COUNTIF('USPTO TMs'!A:A,D4126)&gt;0,"Yes","No"),"")</f>
        <v/>
      </c>
      <c r="C4126" s="11"/>
      <c r="D4126" s="11"/>
      <c r="E4126" s="11"/>
      <c r="F4126" s="11"/>
      <c r="G4126" s="11"/>
      <c r="H4126" s="11"/>
      <c r="I4126" s="15"/>
    </row>
    <row r="4127" spans="1:9" ht="16.5">
      <c r="A4127" s="10" t="b">
        <v>0</v>
      </c>
      <c r="B4127" s="11" t="str">
        <f>IF(D4127&lt;&gt;"",IF(COUNTIF('USPTO TMs'!A:A,D4127)&gt;0,"Yes","No"),"")</f>
        <v/>
      </c>
      <c r="C4127" s="11"/>
      <c r="D4127" s="11"/>
      <c r="E4127" s="11"/>
      <c r="F4127" s="11"/>
      <c r="G4127" s="11"/>
      <c r="H4127" s="11"/>
      <c r="I4127" s="15"/>
    </row>
    <row r="4128" spans="1:9" ht="16.5">
      <c r="A4128" s="10" t="b">
        <v>0</v>
      </c>
      <c r="B4128" s="11" t="str">
        <f>IF(D4128&lt;&gt;"",IF(COUNTIF('USPTO TMs'!A:A,D4128)&gt;0,"Yes","No"),"")</f>
        <v/>
      </c>
      <c r="C4128" s="11"/>
      <c r="D4128" s="11"/>
      <c r="E4128" s="11"/>
      <c r="F4128" s="11"/>
      <c r="G4128" s="11"/>
      <c r="H4128" s="11"/>
      <c r="I4128" s="15"/>
    </row>
    <row r="4129" spans="1:9" ht="16.5">
      <c r="A4129" s="10" t="b">
        <v>0</v>
      </c>
      <c r="B4129" s="11" t="str">
        <f>IF(D4129&lt;&gt;"",IF(COUNTIF('USPTO TMs'!A:A,D4129)&gt;0,"Yes","No"),"")</f>
        <v/>
      </c>
      <c r="C4129" s="11"/>
      <c r="D4129" s="11"/>
      <c r="E4129" s="11"/>
      <c r="F4129" s="11"/>
      <c r="G4129" s="11"/>
      <c r="H4129" s="11"/>
      <c r="I4129" s="15"/>
    </row>
    <row r="4130" spans="1:9" ht="16.5">
      <c r="A4130" s="10" t="b">
        <v>0</v>
      </c>
      <c r="B4130" s="11" t="str">
        <f>IF(D4130&lt;&gt;"",IF(COUNTIF('USPTO TMs'!A:A,D4130)&gt;0,"Yes","No"),"")</f>
        <v/>
      </c>
      <c r="C4130" s="11"/>
      <c r="D4130" s="11"/>
      <c r="E4130" s="11"/>
      <c r="F4130" s="11"/>
      <c r="G4130" s="11"/>
      <c r="H4130" s="11"/>
      <c r="I4130" s="15"/>
    </row>
    <row r="4131" spans="1:9" ht="16.5">
      <c r="A4131" s="10" t="b">
        <v>0</v>
      </c>
      <c r="B4131" s="11" t="str">
        <f>IF(D4131&lt;&gt;"",IF(COUNTIF('USPTO TMs'!A:A,D4131)&gt;0,"Yes","No"),"")</f>
        <v/>
      </c>
      <c r="C4131" s="11"/>
      <c r="D4131" s="11"/>
      <c r="E4131" s="11"/>
      <c r="F4131" s="11"/>
      <c r="G4131" s="11"/>
      <c r="H4131" s="11"/>
      <c r="I4131" s="15"/>
    </row>
    <row r="4132" spans="1:9" ht="16.5">
      <c r="A4132" s="10" t="b">
        <v>0</v>
      </c>
      <c r="B4132" s="11" t="str">
        <f>IF(D4132&lt;&gt;"",IF(COUNTIF('USPTO TMs'!A:A,D4132)&gt;0,"Yes","No"),"")</f>
        <v/>
      </c>
      <c r="C4132" s="11"/>
      <c r="D4132" s="11"/>
      <c r="E4132" s="11"/>
      <c r="F4132" s="11"/>
      <c r="G4132" s="11"/>
      <c r="H4132" s="11"/>
      <c r="I4132" s="15"/>
    </row>
    <row r="4133" spans="1:9" ht="16.5">
      <c r="A4133" s="10" t="b">
        <v>0</v>
      </c>
      <c r="B4133" s="11" t="str">
        <f>IF(D4133&lt;&gt;"",IF(COUNTIF('USPTO TMs'!A:A,D4133)&gt;0,"Yes","No"),"")</f>
        <v/>
      </c>
      <c r="C4133" s="11"/>
      <c r="D4133" s="11"/>
      <c r="E4133" s="11"/>
      <c r="F4133" s="11"/>
      <c r="G4133" s="11"/>
      <c r="H4133" s="11"/>
      <c r="I4133" s="15"/>
    </row>
    <row r="4134" spans="1:9" ht="16.5">
      <c r="A4134" s="10" t="b">
        <v>0</v>
      </c>
      <c r="B4134" s="11" t="str">
        <f>IF(D4134&lt;&gt;"",IF(COUNTIF('USPTO TMs'!A:A,D4134)&gt;0,"Yes","No"),"")</f>
        <v/>
      </c>
      <c r="C4134" s="11"/>
      <c r="D4134" s="11"/>
      <c r="E4134" s="11"/>
      <c r="F4134" s="11"/>
      <c r="G4134" s="11"/>
      <c r="H4134" s="11"/>
      <c r="I4134" s="15"/>
    </row>
    <row r="4135" spans="1:9" ht="16.5">
      <c r="A4135" s="10" t="b">
        <v>0</v>
      </c>
      <c r="B4135" s="11" t="str">
        <f>IF(D4135&lt;&gt;"",IF(COUNTIF('USPTO TMs'!A:A,D4135)&gt;0,"Yes","No"),"")</f>
        <v/>
      </c>
      <c r="C4135" s="11"/>
      <c r="D4135" s="11"/>
      <c r="E4135" s="11"/>
      <c r="F4135" s="11"/>
      <c r="G4135" s="11"/>
      <c r="H4135" s="11"/>
      <c r="I4135" s="15"/>
    </row>
    <row r="4136" spans="1:9" ht="16.5">
      <c r="A4136" s="10" t="b">
        <v>0</v>
      </c>
      <c r="B4136" s="11" t="str">
        <f>IF(D4136&lt;&gt;"",IF(COUNTIF('USPTO TMs'!A:A,D4136)&gt;0,"Yes","No"),"")</f>
        <v/>
      </c>
      <c r="C4136" s="11"/>
      <c r="D4136" s="11"/>
      <c r="E4136" s="11"/>
      <c r="F4136" s="11"/>
      <c r="G4136" s="11"/>
      <c r="H4136" s="11"/>
      <c r="I4136" s="15"/>
    </row>
    <row r="4137" spans="1:9" ht="16.5">
      <c r="A4137" s="10" t="b">
        <v>0</v>
      </c>
      <c r="B4137" s="11" t="str">
        <f>IF(D4137&lt;&gt;"",IF(COUNTIF('USPTO TMs'!A:A,D4137)&gt;0,"Yes","No"),"")</f>
        <v/>
      </c>
      <c r="C4137" s="11"/>
      <c r="D4137" s="11"/>
      <c r="E4137" s="11"/>
      <c r="F4137" s="11"/>
      <c r="G4137" s="11"/>
      <c r="H4137" s="11"/>
      <c r="I4137" s="15"/>
    </row>
    <row r="4138" spans="1:9" ht="16.5">
      <c r="A4138" s="10" t="b">
        <v>0</v>
      </c>
      <c r="B4138" s="11" t="str">
        <f>IF(D4138&lt;&gt;"",IF(COUNTIF('USPTO TMs'!A:A,D4138)&gt;0,"Yes","No"),"")</f>
        <v/>
      </c>
      <c r="C4138" s="11"/>
      <c r="D4138" s="11"/>
      <c r="E4138" s="11"/>
      <c r="F4138" s="11"/>
      <c r="G4138" s="11"/>
      <c r="H4138" s="11"/>
      <c r="I4138" s="15"/>
    </row>
    <row r="4139" spans="1:9" ht="16.5">
      <c r="A4139" s="10" t="b">
        <v>0</v>
      </c>
      <c r="B4139" s="11" t="str">
        <f>IF(D4139&lt;&gt;"",IF(COUNTIF('USPTO TMs'!A:A,D4139)&gt;0,"Yes","No"),"")</f>
        <v/>
      </c>
      <c r="C4139" s="11"/>
      <c r="D4139" s="11"/>
      <c r="E4139" s="11"/>
      <c r="F4139" s="11"/>
      <c r="G4139" s="11"/>
      <c r="H4139" s="11"/>
      <c r="I4139" s="15"/>
    </row>
    <row r="4140" spans="1:9" ht="16.5">
      <c r="A4140" s="10" t="b">
        <v>0</v>
      </c>
      <c r="B4140" s="11" t="str">
        <f>IF(D4140&lt;&gt;"",IF(COUNTIF('USPTO TMs'!A:A,D4140)&gt;0,"Yes","No"),"")</f>
        <v/>
      </c>
      <c r="C4140" s="11"/>
      <c r="D4140" s="11"/>
      <c r="E4140" s="11"/>
      <c r="F4140" s="11"/>
      <c r="G4140" s="11"/>
      <c r="H4140" s="11"/>
      <c r="I4140" s="15"/>
    </row>
    <row r="4141" spans="1:9" ht="16.5">
      <c r="A4141" s="10" t="b">
        <v>0</v>
      </c>
      <c r="B4141" s="11" t="str">
        <f>IF(D4141&lt;&gt;"",IF(COUNTIF('USPTO TMs'!A:A,D4141)&gt;0,"Yes","No"),"")</f>
        <v/>
      </c>
      <c r="C4141" s="11"/>
      <c r="D4141" s="11"/>
      <c r="E4141" s="11"/>
      <c r="F4141" s="11"/>
      <c r="G4141" s="11"/>
      <c r="H4141" s="11"/>
      <c r="I4141" s="15"/>
    </row>
    <row r="4142" spans="1:9" ht="16.5">
      <c r="A4142" s="10" t="b">
        <v>0</v>
      </c>
      <c r="B4142" s="11" t="str">
        <f>IF(D4142&lt;&gt;"",IF(COUNTIF('USPTO TMs'!A:A,D4142)&gt;0,"Yes","No"),"")</f>
        <v/>
      </c>
      <c r="C4142" s="11"/>
      <c r="D4142" s="11"/>
      <c r="E4142" s="11"/>
      <c r="F4142" s="11"/>
      <c r="G4142" s="11"/>
      <c r="H4142" s="11"/>
      <c r="I4142" s="15"/>
    </row>
    <row r="4143" spans="1:9" ht="16.5">
      <c r="A4143" s="10" t="b">
        <v>0</v>
      </c>
      <c r="B4143" s="11" t="str">
        <f>IF(D4143&lt;&gt;"",IF(COUNTIF('USPTO TMs'!A:A,D4143)&gt;0,"Yes","No"),"")</f>
        <v/>
      </c>
      <c r="C4143" s="11"/>
      <c r="D4143" s="11"/>
      <c r="E4143" s="11"/>
      <c r="F4143" s="11"/>
      <c r="G4143" s="11"/>
      <c r="H4143" s="11"/>
      <c r="I4143" s="15"/>
    </row>
    <row r="4144" spans="1:9" ht="16.5">
      <c r="A4144" s="10" t="b">
        <v>0</v>
      </c>
      <c r="B4144" s="11" t="str">
        <f>IF(D4144&lt;&gt;"",IF(COUNTIF('USPTO TMs'!A:A,D4144)&gt;0,"Yes","No"),"")</f>
        <v/>
      </c>
      <c r="C4144" s="11"/>
      <c r="D4144" s="11"/>
      <c r="E4144" s="11"/>
      <c r="F4144" s="11"/>
      <c r="G4144" s="11"/>
      <c r="H4144" s="11"/>
      <c r="I4144" s="15"/>
    </row>
    <row r="4145" spans="1:9" ht="16.5">
      <c r="A4145" s="10" t="b">
        <v>0</v>
      </c>
      <c r="B4145" s="11" t="str">
        <f>IF(D4145&lt;&gt;"",IF(COUNTIF('USPTO TMs'!A:A,D4145)&gt;0,"Yes","No"),"")</f>
        <v/>
      </c>
      <c r="C4145" s="11"/>
      <c r="D4145" s="11"/>
      <c r="E4145" s="11"/>
      <c r="F4145" s="11"/>
      <c r="G4145" s="11"/>
      <c r="H4145" s="11"/>
      <c r="I4145" s="15"/>
    </row>
    <row r="4146" spans="1:9" ht="16.5">
      <c r="A4146" s="10" t="b">
        <v>0</v>
      </c>
      <c r="B4146" s="11" t="str">
        <f>IF(D4146&lt;&gt;"",IF(COUNTIF('USPTO TMs'!A:A,D4146)&gt;0,"Yes","No"),"")</f>
        <v/>
      </c>
      <c r="C4146" s="11"/>
      <c r="D4146" s="11"/>
      <c r="E4146" s="11"/>
      <c r="F4146" s="11"/>
      <c r="G4146" s="11"/>
      <c r="H4146" s="11"/>
      <c r="I4146" s="15"/>
    </row>
    <row r="4147" spans="1:9" ht="16.5">
      <c r="A4147" s="10" t="b">
        <v>0</v>
      </c>
      <c r="B4147" s="11" t="str">
        <f>IF(D4147&lt;&gt;"",IF(COUNTIF('USPTO TMs'!A:A,D4147)&gt;0,"Yes","No"),"")</f>
        <v/>
      </c>
      <c r="C4147" s="11"/>
      <c r="D4147" s="11"/>
      <c r="E4147" s="11"/>
      <c r="F4147" s="11"/>
      <c r="G4147" s="11"/>
      <c r="H4147" s="11"/>
      <c r="I4147" s="15"/>
    </row>
    <row r="4148" spans="1:9" ht="16.5">
      <c r="A4148" s="10" t="b">
        <v>0</v>
      </c>
      <c r="B4148" s="11" t="str">
        <f>IF(D4148&lt;&gt;"",IF(COUNTIF('USPTO TMs'!A:A,D4148)&gt;0,"Yes","No"),"")</f>
        <v/>
      </c>
      <c r="C4148" s="11"/>
      <c r="D4148" s="11"/>
      <c r="E4148" s="11"/>
      <c r="F4148" s="11"/>
      <c r="G4148" s="11"/>
      <c r="H4148" s="11"/>
      <c r="I4148" s="15"/>
    </row>
    <row r="4149" spans="1:9" ht="16.5">
      <c r="A4149" s="10" t="b">
        <v>0</v>
      </c>
      <c r="B4149" s="11" t="str">
        <f>IF(D4149&lt;&gt;"",IF(COUNTIF('USPTO TMs'!A:A,D4149)&gt;0,"Yes","No"),"")</f>
        <v/>
      </c>
      <c r="C4149" s="11"/>
      <c r="D4149" s="11"/>
      <c r="E4149" s="11"/>
      <c r="F4149" s="11"/>
      <c r="G4149" s="11"/>
      <c r="H4149" s="11"/>
      <c r="I4149" s="15"/>
    </row>
    <row r="4150" spans="1:9" ht="16.5">
      <c r="A4150" s="10" t="b">
        <v>0</v>
      </c>
      <c r="B4150" s="11" t="str">
        <f>IF(D4150&lt;&gt;"",IF(COUNTIF('USPTO TMs'!A:A,D4150)&gt;0,"Yes","No"),"")</f>
        <v/>
      </c>
      <c r="C4150" s="11"/>
      <c r="D4150" s="11"/>
      <c r="E4150" s="11"/>
      <c r="F4150" s="11"/>
      <c r="G4150" s="11"/>
      <c r="H4150" s="11"/>
      <c r="I4150" s="15"/>
    </row>
    <row r="4151" spans="1:9" ht="16.5">
      <c r="A4151" s="10" t="b">
        <v>0</v>
      </c>
      <c r="B4151" s="11" t="str">
        <f>IF(D4151&lt;&gt;"",IF(COUNTIF('USPTO TMs'!A:A,D4151)&gt;0,"Yes","No"),"")</f>
        <v/>
      </c>
      <c r="C4151" s="11"/>
      <c r="D4151" s="11"/>
      <c r="E4151" s="11"/>
      <c r="F4151" s="11"/>
      <c r="G4151" s="11"/>
      <c r="H4151" s="11"/>
      <c r="I4151" s="15"/>
    </row>
    <row r="4152" spans="1:9" ht="16.5">
      <c r="A4152" s="10" t="b">
        <v>0</v>
      </c>
      <c r="B4152" s="11" t="str">
        <f>IF(D4152&lt;&gt;"",IF(COUNTIF('USPTO TMs'!A:A,D4152)&gt;0,"Yes","No"),"")</f>
        <v/>
      </c>
      <c r="C4152" s="11"/>
      <c r="D4152" s="11"/>
      <c r="E4152" s="11"/>
      <c r="F4152" s="11"/>
      <c r="G4152" s="11"/>
      <c r="H4152" s="11"/>
      <c r="I4152" s="15"/>
    </row>
    <row r="4153" spans="1:9" ht="16.5">
      <c r="A4153" s="10" t="b">
        <v>0</v>
      </c>
      <c r="B4153" s="11" t="str">
        <f>IF(D4153&lt;&gt;"",IF(COUNTIF('USPTO TMs'!A:A,D4153)&gt;0,"Yes","No"),"")</f>
        <v/>
      </c>
      <c r="C4153" s="11"/>
      <c r="D4153" s="11"/>
      <c r="E4153" s="11"/>
      <c r="F4153" s="11"/>
      <c r="G4153" s="11"/>
      <c r="H4153" s="11"/>
      <c r="I4153" s="15"/>
    </row>
    <row r="4154" spans="1:9" ht="16.5">
      <c r="A4154" s="10" t="b">
        <v>0</v>
      </c>
      <c r="B4154" s="11" t="str">
        <f>IF(D4154&lt;&gt;"",IF(COUNTIF('USPTO TMs'!A:A,D4154)&gt;0,"Yes","No"),"")</f>
        <v/>
      </c>
      <c r="C4154" s="11"/>
      <c r="D4154" s="11"/>
      <c r="E4154" s="11"/>
      <c r="F4154" s="11"/>
      <c r="G4154" s="11"/>
      <c r="H4154" s="11"/>
      <c r="I4154" s="15"/>
    </row>
    <row r="4155" spans="1:9" ht="16.5">
      <c r="A4155" s="10" t="b">
        <v>0</v>
      </c>
      <c r="B4155" s="11" t="str">
        <f>IF(D4155&lt;&gt;"",IF(COUNTIF('USPTO TMs'!A:A,D4155)&gt;0,"Yes","No"),"")</f>
        <v/>
      </c>
      <c r="C4155" s="11"/>
      <c r="D4155" s="11"/>
      <c r="E4155" s="11"/>
      <c r="F4155" s="11"/>
      <c r="G4155" s="11"/>
      <c r="H4155" s="11"/>
      <c r="I4155" s="15"/>
    </row>
    <row r="4156" spans="1:9" ht="16.5">
      <c r="A4156" s="10" t="b">
        <v>0</v>
      </c>
      <c r="B4156" s="11" t="str">
        <f>IF(D4156&lt;&gt;"",IF(COUNTIF('USPTO TMs'!A:A,D4156)&gt;0,"Yes","No"),"")</f>
        <v/>
      </c>
      <c r="C4156" s="11"/>
      <c r="D4156" s="11"/>
      <c r="E4156" s="11"/>
      <c r="F4156" s="11"/>
      <c r="G4156" s="11"/>
      <c r="H4156" s="11"/>
      <c r="I4156" s="15"/>
    </row>
    <row r="4157" spans="1:9" ht="16.5">
      <c r="A4157" s="10" t="b">
        <v>0</v>
      </c>
      <c r="B4157" s="11" t="str">
        <f>IF(D4157&lt;&gt;"",IF(COUNTIF('USPTO TMs'!A:A,D4157)&gt;0,"Yes","No"),"")</f>
        <v/>
      </c>
      <c r="C4157" s="11"/>
      <c r="D4157" s="11"/>
      <c r="E4157" s="11"/>
      <c r="F4157" s="11"/>
      <c r="G4157" s="11"/>
      <c r="H4157" s="11"/>
      <c r="I4157" s="15"/>
    </row>
    <row r="4158" spans="1:9" ht="16.5">
      <c r="A4158" s="10" t="b">
        <v>0</v>
      </c>
      <c r="B4158" s="11" t="str">
        <f>IF(D4158&lt;&gt;"",IF(COUNTIF('USPTO TMs'!A:A,D4158)&gt;0,"Yes","No"),"")</f>
        <v/>
      </c>
      <c r="C4158" s="11"/>
      <c r="D4158" s="11"/>
      <c r="E4158" s="11"/>
      <c r="F4158" s="11"/>
      <c r="G4158" s="11"/>
      <c r="H4158" s="11"/>
      <c r="I4158" s="15"/>
    </row>
    <row r="4159" spans="1:9" ht="16.5">
      <c r="A4159" s="10" t="b">
        <v>0</v>
      </c>
      <c r="B4159" s="11" t="str">
        <f>IF(D4159&lt;&gt;"",IF(COUNTIF('USPTO TMs'!A:A,D4159)&gt;0,"Yes","No"),"")</f>
        <v/>
      </c>
      <c r="C4159" s="11"/>
      <c r="D4159" s="11"/>
      <c r="E4159" s="11"/>
      <c r="F4159" s="11"/>
      <c r="G4159" s="11"/>
      <c r="H4159" s="11"/>
      <c r="I4159" s="15"/>
    </row>
    <row r="4160" spans="1:9" ht="16.5">
      <c r="A4160" s="10" t="b">
        <v>0</v>
      </c>
      <c r="B4160" s="11" t="str">
        <f>IF(D4160&lt;&gt;"",IF(COUNTIF('USPTO TMs'!A:A,D4160)&gt;0,"Yes","No"),"")</f>
        <v/>
      </c>
      <c r="C4160" s="11"/>
      <c r="D4160" s="11"/>
      <c r="E4160" s="11"/>
      <c r="F4160" s="11"/>
      <c r="G4160" s="11"/>
      <c r="H4160" s="11"/>
      <c r="I4160" s="15"/>
    </row>
    <row r="4161" spans="1:9" ht="16.5">
      <c r="A4161" s="10" t="b">
        <v>0</v>
      </c>
      <c r="B4161" s="11" t="str">
        <f>IF(D4161&lt;&gt;"",IF(COUNTIF('USPTO TMs'!A:A,D4161)&gt;0,"Yes","No"),"")</f>
        <v/>
      </c>
      <c r="C4161" s="11"/>
      <c r="D4161" s="11"/>
      <c r="E4161" s="11"/>
      <c r="F4161" s="11"/>
      <c r="G4161" s="11"/>
      <c r="H4161" s="11"/>
      <c r="I4161" s="15"/>
    </row>
    <row r="4162" spans="1:9" ht="16.5">
      <c r="A4162" s="10" t="b">
        <v>0</v>
      </c>
      <c r="B4162" s="11" t="str">
        <f>IF(D4162&lt;&gt;"",IF(COUNTIF('USPTO TMs'!A:A,D4162)&gt;0,"Yes","No"),"")</f>
        <v/>
      </c>
      <c r="C4162" s="11"/>
      <c r="D4162" s="11"/>
      <c r="E4162" s="11"/>
      <c r="F4162" s="11"/>
      <c r="G4162" s="11"/>
      <c r="H4162" s="11"/>
      <c r="I4162" s="15"/>
    </row>
    <row r="4163" spans="1:9" ht="16.5">
      <c r="A4163" s="10" t="b">
        <v>0</v>
      </c>
      <c r="B4163" s="11" t="str">
        <f>IF(D4163&lt;&gt;"",IF(COUNTIF('USPTO TMs'!A:A,D4163)&gt;0,"Yes","No"),"")</f>
        <v/>
      </c>
      <c r="C4163" s="11"/>
      <c r="D4163" s="11"/>
      <c r="E4163" s="11"/>
      <c r="F4163" s="11"/>
      <c r="G4163" s="11"/>
      <c r="H4163" s="11"/>
      <c r="I4163" s="15"/>
    </row>
    <row r="4164" spans="1:9" ht="16.5">
      <c r="A4164" s="10" t="b">
        <v>0</v>
      </c>
      <c r="B4164" s="11" t="str">
        <f>IF(D4164&lt;&gt;"",IF(COUNTIF('USPTO TMs'!A:A,D4164)&gt;0,"Yes","No"),"")</f>
        <v/>
      </c>
      <c r="C4164" s="11"/>
      <c r="D4164" s="11"/>
      <c r="E4164" s="11"/>
      <c r="F4164" s="11"/>
      <c r="G4164" s="11"/>
      <c r="H4164" s="11"/>
      <c r="I4164" s="15"/>
    </row>
    <row r="4165" spans="1:9" ht="16.5">
      <c r="A4165" s="10" t="b">
        <v>0</v>
      </c>
      <c r="B4165" s="11" t="str">
        <f>IF(D4165&lt;&gt;"",IF(COUNTIF('USPTO TMs'!A:A,D4165)&gt;0,"Yes","No"),"")</f>
        <v/>
      </c>
      <c r="C4165" s="11"/>
      <c r="D4165" s="11"/>
      <c r="E4165" s="11"/>
      <c r="F4165" s="11"/>
      <c r="G4165" s="11"/>
      <c r="H4165" s="11"/>
      <c r="I4165" s="15"/>
    </row>
    <row r="4166" spans="1:9" ht="16.5">
      <c r="A4166" s="10" t="b">
        <v>0</v>
      </c>
      <c r="B4166" s="11" t="str">
        <f>IF(D4166&lt;&gt;"",IF(COUNTIF('USPTO TMs'!A:A,D4166)&gt;0,"Yes","No"),"")</f>
        <v/>
      </c>
      <c r="C4166" s="11"/>
      <c r="D4166" s="11"/>
      <c r="E4166" s="11"/>
      <c r="F4166" s="11"/>
      <c r="G4166" s="11"/>
      <c r="H4166" s="11"/>
      <c r="I4166" s="15"/>
    </row>
    <row r="4167" spans="1:9" ht="16.5">
      <c r="A4167" s="10" t="b">
        <v>0</v>
      </c>
      <c r="B4167" s="11" t="str">
        <f>IF(D4167&lt;&gt;"",IF(COUNTIF('USPTO TMs'!A:A,D4167)&gt;0,"Yes","No"),"")</f>
        <v/>
      </c>
      <c r="C4167" s="11"/>
      <c r="D4167" s="11"/>
      <c r="E4167" s="11"/>
      <c r="F4167" s="11"/>
      <c r="G4167" s="11"/>
      <c r="H4167" s="11"/>
      <c r="I4167" s="15"/>
    </row>
    <row r="4168" spans="1:9" ht="16.5">
      <c r="A4168" s="10" t="b">
        <v>0</v>
      </c>
      <c r="B4168" s="11" t="str">
        <f>IF(D4168&lt;&gt;"",IF(COUNTIF('USPTO TMs'!A:A,D4168)&gt;0,"Yes","No"),"")</f>
        <v/>
      </c>
      <c r="C4168" s="11"/>
      <c r="D4168" s="11"/>
      <c r="E4168" s="11"/>
      <c r="F4168" s="11"/>
      <c r="G4168" s="11"/>
      <c r="H4168" s="11"/>
      <c r="I4168" s="15"/>
    </row>
    <row r="4169" spans="1:9" ht="16.5">
      <c r="A4169" s="10" t="b">
        <v>0</v>
      </c>
      <c r="B4169" s="11" t="str">
        <f>IF(D4169&lt;&gt;"",IF(COUNTIF('USPTO TMs'!A:A,D4169)&gt;0,"Yes","No"),"")</f>
        <v/>
      </c>
      <c r="C4169" s="11"/>
      <c r="D4169" s="11"/>
      <c r="E4169" s="11"/>
      <c r="F4169" s="11"/>
      <c r="G4169" s="11"/>
      <c r="H4169" s="11"/>
      <c r="I4169" s="15"/>
    </row>
    <row r="4170" spans="1:9" ht="16.5">
      <c r="A4170" s="10" t="b">
        <v>0</v>
      </c>
      <c r="B4170" s="11" t="str">
        <f>IF(D4170&lt;&gt;"",IF(COUNTIF('USPTO TMs'!A:A,D4170)&gt;0,"Yes","No"),"")</f>
        <v/>
      </c>
      <c r="C4170" s="11"/>
      <c r="D4170" s="11"/>
      <c r="E4170" s="11"/>
      <c r="F4170" s="11"/>
      <c r="G4170" s="11"/>
      <c r="H4170" s="11"/>
      <c r="I4170" s="15"/>
    </row>
    <row r="4171" spans="1:9" ht="16.5">
      <c r="A4171" s="10" t="b">
        <v>0</v>
      </c>
      <c r="B4171" s="11" t="str">
        <f>IF(D4171&lt;&gt;"",IF(COUNTIF('USPTO TMs'!A:A,D4171)&gt;0,"Yes","No"),"")</f>
        <v/>
      </c>
      <c r="C4171" s="11"/>
      <c r="D4171" s="11"/>
      <c r="E4171" s="11"/>
      <c r="F4171" s="11"/>
      <c r="G4171" s="11"/>
      <c r="H4171" s="11"/>
      <c r="I4171" s="15"/>
    </row>
    <row r="4172" spans="1:9" ht="16.5">
      <c r="A4172" s="10" t="b">
        <v>0</v>
      </c>
      <c r="B4172" s="11" t="str">
        <f>IF(D4172&lt;&gt;"",IF(COUNTIF('USPTO TMs'!A:A,D4172)&gt;0,"Yes","No"),"")</f>
        <v/>
      </c>
      <c r="C4172" s="11"/>
      <c r="D4172" s="11"/>
      <c r="E4172" s="11"/>
      <c r="F4172" s="11"/>
      <c r="G4172" s="11"/>
      <c r="H4172" s="11"/>
      <c r="I4172" s="15"/>
    </row>
    <row r="4173" spans="1:9" ht="16.5">
      <c r="A4173" s="10" t="b">
        <v>0</v>
      </c>
      <c r="B4173" s="11" t="str">
        <f>IF(D4173&lt;&gt;"",IF(COUNTIF('USPTO TMs'!A:A,D4173)&gt;0,"Yes","No"),"")</f>
        <v/>
      </c>
      <c r="C4173" s="11"/>
      <c r="D4173" s="11"/>
      <c r="E4173" s="11"/>
      <c r="F4173" s="11"/>
      <c r="G4173" s="11"/>
      <c r="H4173" s="11"/>
      <c r="I4173" s="15"/>
    </row>
    <row r="4174" spans="1:9" ht="16.5">
      <c r="A4174" s="10" t="b">
        <v>0</v>
      </c>
      <c r="B4174" s="11" t="str">
        <f>IF(D4174&lt;&gt;"",IF(COUNTIF('USPTO TMs'!A:A,D4174)&gt;0,"Yes","No"),"")</f>
        <v/>
      </c>
      <c r="C4174" s="11"/>
      <c r="D4174" s="11"/>
      <c r="E4174" s="11"/>
      <c r="F4174" s="11"/>
      <c r="G4174" s="11"/>
      <c r="H4174" s="11"/>
      <c r="I4174" s="15"/>
    </row>
    <row r="4175" spans="1:9" ht="16.5">
      <c r="A4175" s="10" t="b">
        <v>0</v>
      </c>
      <c r="B4175" s="11" t="str">
        <f>IF(D4175&lt;&gt;"",IF(COUNTIF('USPTO TMs'!A:A,D4175)&gt;0,"Yes","No"),"")</f>
        <v/>
      </c>
      <c r="C4175" s="11"/>
      <c r="D4175" s="11"/>
      <c r="E4175" s="11"/>
      <c r="F4175" s="11"/>
      <c r="G4175" s="11"/>
      <c r="H4175" s="11"/>
      <c r="I4175" s="15"/>
    </row>
    <row r="4176" spans="1:9" ht="16.5">
      <c r="A4176" s="10" t="b">
        <v>0</v>
      </c>
      <c r="B4176" s="11" t="str">
        <f>IF(D4176&lt;&gt;"",IF(COUNTIF('USPTO TMs'!A:A,D4176)&gt;0,"Yes","No"),"")</f>
        <v/>
      </c>
      <c r="C4176" s="11"/>
      <c r="D4176" s="11"/>
      <c r="E4176" s="11"/>
      <c r="F4176" s="11"/>
      <c r="G4176" s="11"/>
      <c r="H4176" s="11"/>
      <c r="I4176" s="15"/>
    </row>
    <row r="4177" spans="1:9" ht="16.5">
      <c r="A4177" s="10" t="b">
        <v>0</v>
      </c>
      <c r="B4177" s="11" t="str">
        <f>IF(D4177&lt;&gt;"",IF(COUNTIF('USPTO TMs'!A:A,D4177)&gt;0,"Yes","No"),"")</f>
        <v/>
      </c>
      <c r="C4177" s="11"/>
      <c r="D4177" s="11"/>
      <c r="E4177" s="11"/>
      <c r="F4177" s="11"/>
      <c r="G4177" s="11"/>
      <c r="H4177" s="11"/>
      <c r="I4177" s="15"/>
    </row>
    <row r="4178" spans="1:9" ht="16.5">
      <c r="A4178" s="10" t="b">
        <v>0</v>
      </c>
      <c r="B4178" s="11" t="str">
        <f>IF(D4178&lt;&gt;"",IF(COUNTIF('USPTO TMs'!A:A,D4178)&gt;0,"Yes","No"),"")</f>
        <v/>
      </c>
      <c r="C4178" s="11"/>
      <c r="D4178" s="11"/>
      <c r="E4178" s="11"/>
      <c r="F4178" s="11"/>
      <c r="G4178" s="11"/>
      <c r="H4178" s="11"/>
      <c r="I4178" s="15"/>
    </row>
    <row r="4179" spans="1:9" ht="16.5">
      <c r="A4179" s="10" t="b">
        <v>0</v>
      </c>
      <c r="B4179" s="11" t="str">
        <f>IF(D4179&lt;&gt;"",IF(COUNTIF('USPTO TMs'!A:A,D4179)&gt;0,"Yes","No"),"")</f>
        <v/>
      </c>
      <c r="C4179" s="11"/>
      <c r="D4179" s="11"/>
      <c r="E4179" s="11"/>
      <c r="F4179" s="11"/>
      <c r="G4179" s="11"/>
      <c r="H4179" s="11"/>
      <c r="I4179" s="15"/>
    </row>
    <row r="4180" spans="1:9" ht="16.5">
      <c r="A4180" s="10" t="b">
        <v>0</v>
      </c>
      <c r="B4180" s="11" t="str">
        <f>IF(D4180&lt;&gt;"",IF(COUNTIF('USPTO TMs'!A:A,D4180)&gt;0,"Yes","No"),"")</f>
        <v/>
      </c>
      <c r="C4180" s="11"/>
      <c r="D4180" s="11"/>
      <c r="E4180" s="11"/>
      <c r="F4180" s="11"/>
      <c r="G4180" s="11"/>
      <c r="H4180" s="11"/>
      <c r="I4180" s="15"/>
    </row>
    <row r="4181" spans="1:9" ht="16.5">
      <c r="A4181" s="10" t="b">
        <v>0</v>
      </c>
      <c r="B4181" s="11" t="str">
        <f>IF(D4181&lt;&gt;"",IF(COUNTIF('USPTO TMs'!A:A,D4181)&gt;0,"Yes","No"),"")</f>
        <v/>
      </c>
      <c r="C4181" s="11"/>
      <c r="D4181" s="11"/>
      <c r="E4181" s="11"/>
      <c r="F4181" s="11"/>
      <c r="G4181" s="11"/>
      <c r="H4181" s="11"/>
      <c r="I4181" s="15"/>
    </row>
    <row r="4182" spans="1:9" ht="16.5">
      <c r="A4182" s="10" t="b">
        <v>0</v>
      </c>
      <c r="B4182" s="11" t="str">
        <f>IF(D4182&lt;&gt;"",IF(COUNTIF('USPTO TMs'!A:A,D4182)&gt;0,"Yes","No"),"")</f>
        <v/>
      </c>
      <c r="C4182" s="11"/>
      <c r="D4182" s="11"/>
      <c r="E4182" s="11"/>
      <c r="F4182" s="11"/>
      <c r="G4182" s="11"/>
      <c r="H4182" s="11"/>
      <c r="I4182" s="15"/>
    </row>
    <row r="4183" spans="1:9" ht="16.5">
      <c r="A4183" s="10" t="b">
        <v>0</v>
      </c>
      <c r="B4183" s="11" t="str">
        <f>IF(D4183&lt;&gt;"",IF(COUNTIF('USPTO TMs'!A:A,D4183)&gt;0,"Yes","No"),"")</f>
        <v/>
      </c>
      <c r="C4183" s="11"/>
      <c r="D4183" s="11"/>
      <c r="E4183" s="11"/>
      <c r="F4183" s="11"/>
      <c r="G4183" s="11"/>
      <c r="H4183" s="11"/>
      <c r="I4183" s="15"/>
    </row>
    <row r="4184" spans="1:9" ht="16.5">
      <c r="A4184" s="10" t="b">
        <v>0</v>
      </c>
      <c r="B4184" s="11" t="str">
        <f>IF(D4184&lt;&gt;"",IF(COUNTIF('USPTO TMs'!A:A,D4184)&gt;0,"Yes","No"),"")</f>
        <v/>
      </c>
      <c r="C4184" s="11"/>
      <c r="D4184" s="11"/>
      <c r="E4184" s="11"/>
      <c r="F4184" s="11"/>
      <c r="G4184" s="11"/>
      <c r="H4184" s="11"/>
      <c r="I4184" s="15"/>
    </row>
    <row r="4185" spans="1:9" ht="16.5">
      <c r="A4185" s="10" t="b">
        <v>0</v>
      </c>
      <c r="B4185" s="11" t="str">
        <f>IF(D4185&lt;&gt;"",IF(COUNTIF('USPTO TMs'!A:A,D4185)&gt;0,"Yes","No"),"")</f>
        <v/>
      </c>
      <c r="C4185" s="11"/>
      <c r="D4185" s="11"/>
      <c r="E4185" s="11"/>
      <c r="F4185" s="11"/>
      <c r="G4185" s="11"/>
      <c r="H4185" s="11"/>
      <c r="I4185" s="15"/>
    </row>
    <row r="4186" spans="1:9" ht="16.5">
      <c r="A4186" s="10" t="b">
        <v>0</v>
      </c>
      <c r="B4186" s="11" t="str">
        <f>IF(D4186&lt;&gt;"",IF(COUNTIF('USPTO TMs'!A:A,D4186)&gt;0,"Yes","No"),"")</f>
        <v/>
      </c>
      <c r="C4186" s="11"/>
      <c r="D4186" s="11"/>
      <c r="E4186" s="11"/>
      <c r="F4186" s="11"/>
      <c r="G4186" s="11"/>
      <c r="H4186" s="11"/>
      <c r="I4186" s="15"/>
    </row>
    <row r="4187" spans="1:9" ht="16.5">
      <c r="A4187" s="10" t="b">
        <v>0</v>
      </c>
      <c r="B4187" s="11" t="str">
        <f>IF(D4187&lt;&gt;"",IF(COUNTIF('USPTO TMs'!A:A,D4187)&gt;0,"Yes","No"),"")</f>
        <v/>
      </c>
      <c r="C4187" s="11"/>
      <c r="D4187" s="11"/>
      <c r="E4187" s="11"/>
      <c r="F4187" s="11"/>
      <c r="G4187" s="11"/>
      <c r="H4187" s="11"/>
      <c r="I4187" s="15"/>
    </row>
    <row r="4188" spans="1:9" ht="16.5">
      <c r="A4188" s="10" t="b">
        <v>0</v>
      </c>
      <c r="B4188" s="11" t="str">
        <f>IF(D4188&lt;&gt;"",IF(COUNTIF('USPTO TMs'!A:A,D4188)&gt;0,"Yes","No"),"")</f>
        <v/>
      </c>
      <c r="C4188" s="11"/>
      <c r="D4188" s="11"/>
      <c r="E4188" s="11"/>
      <c r="F4188" s="11"/>
      <c r="G4188" s="11"/>
      <c r="H4188" s="11"/>
      <c r="I4188" s="15"/>
    </row>
    <row r="4189" spans="1:9" ht="16.5">
      <c r="A4189" s="10" t="b">
        <v>0</v>
      </c>
      <c r="B4189" s="11" t="str">
        <f>IF(D4189&lt;&gt;"",IF(COUNTIF('USPTO TMs'!A:A,D4189)&gt;0,"Yes","No"),"")</f>
        <v/>
      </c>
      <c r="C4189" s="11"/>
      <c r="D4189" s="11"/>
      <c r="E4189" s="11"/>
      <c r="F4189" s="11"/>
      <c r="G4189" s="11"/>
      <c r="H4189" s="11"/>
      <c r="I4189" s="15"/>
    </row>
    <row r="4190" spans="1:9" ht="16.5">
      <c r="A4190" s="10" t="b">
        <v>0</v>
      </c>
      <c r="B4190" s="11" t="str">
        <f>IF(D4190&lt;&gt;"",IF(COUNTIF('USPTO TMs'!A:A,D4190)&gt;0,"Yes","No"),"")</f>
        <v/>
      </c>
      <c r="C4190" s="11"/>
      <c r="D4190" s="11"/>
      <c r="E4190" s="11"/>
      <c r="F4190" s="11"/>
      <c r="G4190" s="11"/>
      <c r="H4190" s="11"/>
      <c r="I4190" s="15"/>
    </row>
    <row r="4191" spans="1:9" ht="16.5">
      <c r="A4191" s="10" t="b">
        <v>0</v>
      </c>
      <c r="B4191" s="11" t="str">
        <f>IF(D4191&lt;&gt;"",IF(COUNTIF('USPTO TMs'!A:A,D4191)&gt;0,"Yes","No"),"")</f>
        <v/>
      </c>
      <c r="C4191" s="11"/>
      <c r="D4191" s="11"/>
      <c r="E4191" s="11"/>
      <c r="F4191" s="11"/>
      <c r="G4191" s="11"/>
      <c r="H4191" s="11"/>
      <c r="I4191" s="15"/>
    </row>
    <row r="4192" spans="1:9" ht="16.5">
      <c r="A4192" s="10" t="b">
        <v>0</v>
      </c>
      <c r="B4192" s="11" t="str">
        <f>IF(D4192&lt;&gt;"",IF(COUNTIF('USPTO TMs'!A:A,D4192)&gt;0,"Yes","No"),"")</f>
        <v/>
      </c>
      <c r="C4192" s="11"/>
      <c r="D4192" s="11"/>
      <c r="E4192" s="11"/>
      <c r="F4192" s="11"/>
      <c r="G4192" s="11"/>
      <c r="H4192" s="11"/>
      <c r="I4192" s="15"/>
    </row>
    <row r="4193" spans="1:9" ht="16.5">
      <c r="A4193" s="10" t="b">
        <v>0</v>
      </c>
      <c r="B4193" s="11" t="str">
        <f>IF(D4193&lt;&gt;"",IF(COUNTIF('USPTO TMs'!A:A,D4193)&gt;0,"Yes","No"),"")</f>
        <v/>
      </c>
      <c r="C4193" s="11"/>
      <c r="D4193" s="11"/>
      <c r="E4193" s="11"/>
      <c r="F4193" s="11"/>
      <c r="G4193" s="11"/>
      <c r="H4193" s="11"/>
      <c r="I4193" s="15"/>
    </row>
    <row r="4194" spans="1:9" ht="16.5">
      <c r="A4194" s="10" t="b">
        <v>0</v>
      </c>
      <c r="B4194" s="11" t="str">
        <f>IF(D4194&lt;&gt;"",IF(COUNTIF('USPTO TMs'!A:A,D4194)&gt;0,"Yes","No"),"")</f>
        <v/>
      </c>
      <c r="C4194" s="11"/>
      <c r="D4194" s="11"/>
      <c r="E4194" s="11"/>
      <c r="F4194" s="11"/>
      <c r="G4194" s="11"/>
      <c r="H4194" s="11"/>
      <c r="I4194" s="15"/>
    </row>
    <row r="4195" spans="1:9" ht="16.5">
      <c r="A4195" s="10" t="b">
        <v>0</v>
      </c>
      <c r="B4195" s="11" t="str">
        <f>IF(D4195&lt;&gt;"",IF(COUNTIF('USPTO TMs'!A:A,D4195)&gt;0,"Yes","No"),"")</f>
        <v/>
      </c>
      <c r="C4195" s="11"/>
      <c r="D4195" s="11"/>
      <c r="E4195" s="11"/>
      <c r="F4195" s="11"/>
      <c r="G4195" s="11"/>
      <c r="H4195" s="11"/>
      <c r="I4195" s="15"/>
    </row>
    <row r="4196" spans="1:9" ht="16.5">
      <c r="A4196" s="10" t="b">
        <v>0</v>
      </c>
      <c r="B4196" s="11" t="str">
        <f>IF(D4196&lt;&gt;"",IF(COUNTIF('USPTO TMs'!A:A,D4196)&gt;0,"Yes","No"),"")</f>
        <v/>
      </c>
      <c r="C4196" s="11"/>
      <c r="D4196" s="11"/>
      <c r="E4196" s="11"/>
      <c r="F4196" s="11"/>
      <c r="G4196" s="11"/>
      <c r="H4196" s="11"/>
      <c r="I4196" s="15"/>
    </row>
    <row r="4197" spans="1:9" ht="16.5">
      <c r="A4197" s="10" t="b">
        <v>0</v>
      </c>
      <c r="B4197" s="11" t="str">
        <f>IF(D4197&lt;&gt;"",IF(COUNTIF('USPTO TMs'!A:A,D4197)&gt;0,"Yes","No"),"")</f>
        <v/>
      </c>
      <c r="C4197" s="11"/>
      <c r="D4197" s="11"/>
      <c r="E4197" s="11"/>
      <c r="F4197" s="11"/>
      <c r="G4197" s="11"/>
      <c r="H4197" s="11"/>
      <c r="I4197" s="15"/>
    </row>
    <row r="4198" spans="1:9" ht="16.5">
      <c r="A4198" s="10" t="b">
        <v>0</v>
      </c>
      <c r="B4198" s="11" t="str">
        <f>IF(D4198&lt;&gt;"",IF(COUNTIF('USPTO TMs'!A:A,D4198)&gt;0,"Yes","No"),"")</f>
        <v/>
      </c>
      <c r="C4198" s="11"/>
      <c r="D4198" s="11"/>
      <c r="E4198" s="11"/>
      <c r="F4198" s="11"/>
      <c r="G4198" s="11"/>
      <c r="H4198" s="11"/>
      <c r="I4198" s="15"/>
    </row>
    <row r="4199" spans="1:9" ht="16.5">
      <c r="A4199" s="10" t="b">
        <v>0</v>
      </c>
      <c r="B4199" s="11" t="str">
        <f>IF(D4199&lt;&gt;"",IF(COUNTIF('USPTO TMs'!A:A,D4199)&gt;0,"Yes","No"),"")</f>
        <v/>
      </c>
      <c r="C4199" s="11"/>
      <c r="D4199" s="11"/>
      <c r="E4199" s="11"/>
      <c r="F4199" s="11"/>
      <c r="G4199" s="11"/>
      <c r="H4199" s="11"/>
      <c r="I4199" s="15"/>
    </row>
    <row r="4200" spans="1:9" ht="16.5">
      <c r="A4200" s="10" t="b">
        <v>0</v>
      </c>
      <c r="B4200" s="11" t="str">
        <f>IF(D4200&lt;&gt;"",IF(COUNTIF('USPTO TMs'!A:A,D4200)&gt;0,"Yes","No"),"")</f>
        <v/>
      </c>
      <c r="C4200" s="11"/>
      <c r="D4200" s="11"/>
      <c r="E4200" s="11"/>
      <c r="F4200" s="11"/>
      <c r="G4200" s="11"/>
      <c r="H4200" s="11"/>
      <c r="I4200" s="15"/>
    </row>
    <row r="4201" spans="1:9" ht="16.5">
      <c r="A4201" s="10" t="b">
        <v>0</v>
      </c>
      <c r="B4201" s="11" t="str">
        <f>IF(D4201&lt;&gt;"",IF(COUNTIF('USPTO TMs'!A:A,D4201)&gt;0,"Yes","No"),"")</f>
        <v/>
      </c>
      <c r="C4201" s="11"/>
      <c r="D4201" s="11"/>
      <c r="E4201" s="11"/>
      <c r="F4201" s="11"/>
      <c r="G4201" s="11"/>
      <c r="H4201" s="11"/>
      <c r="I4201" s="15"/>
    </row>
    <row r="4202" spans="1:9" ht="16.5">
      <c r="A4202" s="10" t="b">
        <v>0</v>
      </c>
      <c r="B4202" s="11" t="str">
        <f>IF(D4202&lt;&gt;"",IF(COUNTIF('USPTO TMs'!A:A,D4202)&gt;0,"Yes","No"),"")</f>
        <v/>
      </c>
      <c r="C4202" s="11"/>
      <c r="D4202" s="11"/>
      <c r="E4202" s="11"/>
      <c r="F4202" s="11"/>
      <c r="G4202" s="11"/>
      <c r="H4202" s="11"/>
      <c r="I4202" s="15"/>
    </row>
    <row r="4203" spans="1:9" ht="16.5">
      <c r="A4203" s="10" t="b">
        <v>0</v>
      </c>
      <c r="B4203" s="11" t="str">
        <f>IF(D4203&lt;&gt;"",IF(COUNTIF('USPTO TMs'!A:A,D4203)&gt;0,"Yes","No"),"")</f>
        <v/>
      </c>
      <c r="C4203" s="11"/>
      <c r="D4203" s="11"/>
      <c r="E4203" s="11"/>
      <c r="F4203" s="11"/>
      <c r="G4203" s="11"/>
      <c r="H4203" s="11"/>
      <c r="I4203" s="15"/>
    </row>
    <row r="4204" spans="1:9" ht="16.5">
      <c r="A4204" s="10" t="b">
        <v>0</v>
      </c>
      <c r="B4204" s="11" t="str">
        <f>IF(D4204&lt;&gt;"",IF(COUNTIF('USPTO TMs'!A:A,D4204)&gt;0,"Yes","No"),"")</f>
        <v/>
      </c>
      <c r="C4204" s="11"/>
      <c r="D4204" s="11"/>
      <c r="E4204" s="11"/>
      <c r="F4204" s="11"/>
      <c r="G4204" s="11"/>
      <c r="H4204" s="11"/>
      <c r="I4204" s="15"/>
    </row>
    <row r="4205" spans="1:9" ht="16.5">
      <c r="A4205" s="10" t="b">
        <v>0</v>
      </c>
      <c r="B4205" s="11" t="str">
        <f>IF(D4205&lt;&gt;"",IF(COUNTIF('USPTO TMs'!A:A,D4205)&gt;0,"Yes","No"),"")</f>
        <v/>
      </c>
      <c r="C4205" s="11"/>
      <c r="D4205" s="11"/>
      <c r="E4205" s="11"/>
      <c r="F4205" s="11"/>
      <c r="G4205" s="11"/>
      <c r="H4205" s="11"/>
      <c r="I4205" s="15"/>
    </row>
    <row r="4206" spans="1:9" ht="16.5">
      <c r="A4206" s="10" t="b">
        <v>0</v>
      </c>
      <c r="B4206" s="11" t="str">
        <f>IF(D4206&lt;&gt;"",IF(COUNTIF('USPTO TMs'!A:A,D4206)&gt;0,"Yes","No"),"")</f>
        <v/>
      </c>
      <c r="C4206" s="11"/>
      <c r="D4206" s="11"/>
      <c r="E4206" s="11"/>
      <c r="F4206" s="11"/>
      <c r="G4206" s="11"/>
      <c r="H4206" s="11"/>
      <c r="I4206" s="15"/>
    </row>
    <row r="4207" spans="1:9" ht="16.5">
      <c r="A4207" s="10" t="b">
        <v>0</v>
      </c>
      <c r="B4207" s="11" t="str">
        <f>IF(D4207&lt;&gt;"",IF(COUNTIF('USPTO TMs'!A:A,D4207)&gt;0,"Yes","No"),"")</f>
        <v/>
      </c>
      <c r="C4207" s="11"/>
      <c r="D4207" s="11"/>
      <c r="E4207" s="11"/>
      <c r="F4207" s="11"/>
      <c r="G4207" s="11"/>
      <c r="H4207" s="11"/>
      <c r="I4207" s="15"/>
    </row>
    <row r="4208" spans="1:9" ht="16.5">
      <c r="A4208" s="10" t="b">
        <v>0</v>
      </c>
      <c r="B4208" s="11" t="str">
        <f>IF(D4208&lt;&gt;"",IF(COUNTIF('USPTO TMs'!A:A,D4208)&gt;0,"Yes","No"),"")</f>
        <v/>
      </c>
      <c r="C4208" s="11"/>
      <c r="D4208" s="11"/>
      <c r="E4208" s="11"/>
      <c r="F4208" s="11"/>
      <c r="G4208" s="11"/>
      <c r="H4208" s="11"/>
      <c r="I4208" s="15"/>
    </row>
    <row r="4209" spans="1:9" ht="16.5">
      <c r="A4209" s="10" t="b">
        <v>0</v>
      </c>
      <c r="B4209" s="11" t="str">
        <f>IF(D4209&lt;&gt;"",IF(COUNTIF('USPTO TMs'!A:A,D4209)&gt;0,"Yes","No"),"")</f>
        <v/>
      </c>
      <c r="C4209" s="11"/>
      <c r="D4209" s="11"/>
      <c r="E4209" s="11"/>
      <c r="F4209" s="11"/>
      <c r="G4209" s="11"/>
      <c r="H4209" s="11"/>
      <c r="I4209" s="15"/>
    </row>
    <row r="4210" spans="1:9" ht="16.5">
      <c r="A4210" s="10" t="b">
        <v>0</v>
      </c>
      <c r="B4210" s="11" t="str">
        <f>IF(D4210&lt;&gt;"",IF(COUNTIF('USPTO TMs'!A:A,D4210)&gt;0,"Yes","No"),"")</f>
        <v/>
      </c>
      <c r="C4210" s="11"/>
      <c r="D4210" s="11"/>
      <c r="E4210" s="11"/>
      <c r="F4210" s="11"/>
      <c r="G4210" s="11"/>
      <c r="H4210" s="11"/>
      <c r="I4210" s="15"/>
    </row>
    <row r="4211" spans="1:9" ht="16.5">
      <c r="A4211" s="10" t="b">
        <v>0</v>
      </c>
      <c r="B4211" s="11" t="str">
        <f>IF(D4211&lt;&gt;"",IF(COUNTIF('USPTO TMs'!A:A,D4211)&gt;0,"Yes","No"),"")</f>
        <v/>
      </c>
      <c r="C4211" s="11"/>
      <c r="D4211" s="11"/>
      <c r="E4211" s="11"/>
      <c r="F4211" s="11"/>
      <c r="G4211" s="11"/>
      <c r="H4211" s="11"/>
      <c r="I4211" s="15"/>
    </row>
    <row r="4212" spans="1:9" ht="16.5">
      <c r="A4212" s="10" t="b">
        <v>0</v>
      </c>
      <c r="B4212" s="11" t="str">
        <f>IF(D4212&lt;&gt;"",IF(COUNTIF('USPTO TMs'!A:A,D4212)&gt;0,"Yes","No"),"")</f>
        <v/>
      </c>
      <c r="C4212" s="11"/>
      <c r="D4212" s="11"/>
      <c r="E4212" s="11"/>
      <c r="F4212" s="11"/>
      <c r="G4212" s="11"/>
      <c r="H4212" s="11"/>
      <c r="I4212" s="15"/>
    </row>
    <row r="4213" spans="1:9" ht="16.5">
      <c r="A4213" s="10" t="b">
        <v>0</v>
      </c>
      <c r="B4213" s="11" t="str">
        <f>IF(D4213&lt;&gt;"",IF(COUNTIF('USPTO TMs'!A:A,D4213)&gt;0,"Yes","No"),"")</f>
        <v/>
      </c>
      <c r="C4213" s="11"/>
      <c r="D4213" s="11"/>
      <c r="E4213" s="11"/>
      <c r="F4213" s="11"/>
      <c r="G4213" s="11"/>
      <c r="H4213" s="11"/>
      <c r="I4213" s="15"/>
    </row>
    <row r="4214" spans="1:9" ht="16.5">
      <c r="A4214" s="10" t="b">
        <v>0</v>
      </c>
      <c r="B4214" s="11" t="str">
        <f>IF(D4214&lt;&gt;"",IF(COUNTIF('USPTO TMs'!A:A,D4214)&gt;0,"Yes","No"),"")</f>
        <v/>
      </c>
      <c r="C4214" s="11"/>
      <c r="D4214" s="11"/>
      <c r="E4214" s="11"/>
      <c r="F4214" s="11"/>
      <c r="G4214" s="11"/>
      <c r="H4214" s="11"/>
      <c r="I4214" s="15"/>
    </row>
    <row r="4215" spans="1:9" ht="16.5">
      <c r="A4215" s="10" t="b">
        <v>0</v>
      </c>
      <c r="B4215" s="11" t="str">
        <f>IF(D4215&lt;&gt;"",IF(COUNTIF('USPTO TMs'!A:A,D4215)&gt;0,"Yes","No"),"")</f>
        <v/>
      </c>
      <c r="C4215" s="11"/>
      <c r="D4215" s="11"/>
      <c r="E4215" s="11"/>
      <c r="F4215" s="11"/>
      <c r="G4215" s="11"/>
      <c r="H4215" s="11"/>
      <c r="I4215" s="15"/>
    </row>
    <row r="4216" spans="1:9" ht="16.5">
      <c r="A4216" s="10" t="b">
        <v>0</v>
      </c>
      <c r="B4216" s="11" t="str">
        <f>IF(D4216&lt;&gt;"",IF(COUNTIF('USPTO TMs'!A:A,D4216)&gt;0,"Yes","No"),"")</f>
        <v/>
      </c>
      <c r="C4216" s="11"/>
      <c r="D4216" s="11"/>
      <c r="E4216" s="11"/>
      <c r="F4216" s="11"/>
      <c r="G4216" s="11"/>
      <c r="H4216" s="11"/>
      <c r="I4216" s="15"/>
    </row>
    <row r="4217" spans="1:9" ht="16.5">
      <c r="A4217" s="10" t="b">
        <v>0</v>
      </c>
      <c r="B4217" s="11" t="str">
        <f>IF(D4217&lt;&gt;"",IF(COUNTIF('USPTO TMs'!A:A,D4217)&gt;0,"Yes","No"),"")</f>
        <v/>
      </c>
      <c r="C4217" s="11"/>
      <c r="D4217" s="11"/>
      <c r="E4217" s="11"/>
      <c r="F4217" s="11"/>
      <c r="G4217" s="11"/>
      <c r="H4217" s="11"/>
      <c r="I4217" s="15"/>
    </row>
    <row r="4218" spans="1:9" ht="16.5">
      <c r="A4218" s="10" t="b">
        <v>0</v>
      </c>
      <c r="B4218" s="11" t="str">
        <f>IF(D4218&lt;&gt;"",IF(COUNTIF('USPTO TMs'!A:A,D4218)&gt;0,"Yes","No"),"")</f>
        <v/>
      </c>
      <c r="C4218" s="11"/>
      <c r="D4218" s="11"/>
      <c r="E4218" s="11"/>
      <c r="F4218" s="11"/>
      <c r="G4218" s="11"/>
      <c r="H4218" s="11"/>
      <c r="I4218" s="15"/>
    </row>
    <row r="4219" spans="1:9" ht="16.5">
      <c r="A4219" s="10" t="b">
        <v>0</v>
      </c>
      <c r="B4219" s="11" t="str">
        <f>IF(D4219&lt;&gt;"",IF(COUNTIF('USPTO TMs'!A:A,D4219)&gt;0,"Yes","No"),"")</f>
        <v/>
      </c>
      <c r="C4219" s="11"/>
      <c r="D4219" s="11"/>
      <c r="E4219" s="11"/>
      <c r="F4219" s="11"/>
      <c r="G4219" s="11"/>
      <c r="H4219" s="11"/>
      <c r="I4219" s="15"/>
    </row>
    <row r="4220" spans="1:9" ht="16.5">
      <c r="A4220" s="10" t="b">
        <v>0</v>
      </c>
      <c r="B4220" s="11" t="str">
        <f>IF(D4220&lt;&gt;"",IF(COUNTIF('USPTO TMs'!A:A,D4220)&gt;0,"Yes","No"),"")</f>
        <v/>
      </c>
      <c r="C4220" s="11"/>
      <c r="D4220" s="11"/>
      <c r="E4220" s="11"/>
      <c r="F4220" s="11"/>
      <c r="G4220" s="11"/>
      <c r="H4220" s="11"/>
      <c r="I4220" s="15"/>
    </row>
    <row r="4221" spans="1:9" ht="16.5">
      <c r="A4221" s="10" t="b">
        <v>0</v>
      </c>
      <c r="B4221" s="11" t="str">
        <f>IF(D4221&lt;&gt;"",IF(COUNTIF('USPTO TMs'!A:A,D4221)&gt;0,"Yes","No"),"")</f>
        <v/>
      </c>
      <c r="C4221" s="11"/>
      <c r="D4221" s="11"/>
      <c r="E4221" s="11"/>
      <c r="F4221" s="11"/>
      <c r="G4221" s="11"/>
      <c r="H4221" s="11"/>
      <c r="I4221" s="15"/>
    </row>
    <row r="4222" spans="1:9" ht="16.5">
      <c r="A4222" s="10" t="b">
        <v>0</v>
      </c>
      <c r="B4222" s="11" t="str">
        <f>IF(D4222&lt;&gt;"",IF(COUNTIF('USPTO TMs'!A:A,D4222)&gt;0,"Yes","No"),"")</f>
        <v/>
      </c>
      <c r="C4222" s="11"/>
      <c r="D4222" s="11"/>
      <c r="E4222" s="11"/>
      <c r="F4222" s="11"/>
      <c r="G4222" s="11"/>
      <c r="H4222" s="11"/>
      <c r="I4222" s="15"/>
    </row>
    <row r="4223" spans="1:9" ht="16.5">
      <c r="A4223" s="10" t="b">
        <v>0</v>
      </c>
      <c r="B4223" s="11" t="str">
        <f>IF(D4223&lt;&gt;"",IF(COUNTIF('USPTO TMs'!A:A,D4223)&gt;0,"Yes","No"),"")</f>
        <v/>
      </c>
      <c r="C4223" s="11"/>
      <c r="D4223" s="11"/>
      <c r="E4223" s="11"/>
      <c r="F4223" s="11"/>
      <c r="G4223" s="11"/>
      <c r="H4223" s="11"/>
      <c r="I4223" s="15"/>
    </row>
    <row r="4224" spans="1:9" ht="16.5">
      <c r="A4224" s="10" t="b">
        <v>0</v>
      </c>
      <c r="B4224" s="11" t="str">
        <f>IF(D4224&lt;&gt;"",IF(COUNTIF('USPTO TMs'!A:A,D4224)&gt;0,"Yes","No"),"")</f>
        <v/>
      </c>
      <c r="C4224" s="11"/>
      <c r="D4224" s="11"/>
      <c r="E4224" s="11"/>
      <c r="F4224" s="11"/>
      <c r="G4224" s="11"/>
      <c r="H4224" s="11"/>
      <c r="I4224" s="15"/>
    </row>
    <row r="4225" spans="1:9" ht="16.5">
      <c r="A4225" s="10" t="b">
        <v>0</v>
      </c>
      <c r="B4225" s="11" t="str">
        <f>IF(D4225&lt;&gt;"",IF(COUNTIF('USPTO TMs'!A:A,D4225)&gt;0,"Yes","No"),"")</f>
        <v/>
      </c>
      <c r="C4225" s="11"/>
      <c r="D4225" s="11"/>
      <c r="E4225" s="11"/>
      <c r="F4225" s="11"/>
      <c r="G4225" s="11"/>
      <c r="H4225" s="11"/>
      <c r="I4225" s="15"/>
    </row>
    <row r="4226" spans="1:9" ht="16.5">
      <c r="A4226" s="10" t="b">
        <v>0</v>
      </c>
      <c r="B4226" s="11" t="str">
        <f>IF(D4226&lt;&gt;"",IF(COUNTIF('USPTO TMs'!A:A,D4226)&gt;0,"Yes","No"),"")</f>
        <v/>
      </c>
      <c r="C4226" s="11"/>
      <c r="D4226" s="11"/>
      <c r="E4226" s="11"/>
      <c r="F4226" s="11"/>
      <c r="G4226" s="11"/>
      <c r="H4226" s="11"/>
      <c r="I4226" s="15"/>
    </row>
    <row r="4227" spans="1:9" ht="16.5">
      <c r="A4227" s="10" t="b">
        <v>0</v>
      </c>
      <c r="B4227" s="11" t="str">
        <f>IF(D4227&lt;&gt;"",IF(COUNTIF('USPTO TMs'!A:A,D4227)&gt;0,"Yes","No"),"")</f>
        <v/>
      </c>
      <c r="C4227" s="11"/>
      <c r="D4227" s="11"/>
      <c r="E4227" s="11"/>
      <c r="F4227" s="11"/>
      <c r="G4227" s="11"/>
      <c r="H4227" s="11"/>
      <c r="I4227" s="15"/>
    </row>
    <row r="4228" spans="1:9" ht="16.5">
      <c r="A4228" s="10" t="b">
        <v>0</v>
      </c>
      <c r="B4228" s="11" t="str">
        <f>IF(D4228&lt;&gt;"",IF(COUNTIF('USPTO TMs'!A:A,D4228)&gt;0,"Yes","No"),"")</f>
        <v/>
      </c>
      <c r="C4228" s="11"/>
      <c r="D4228" s="11"/>
      <c r="E4228" s="11"/>
      <c r="F4228" s="11"/>
      <c r="G4228" s="11"/>
      <c r="H4228" s="11"/>
      <c r="I4228" s="15"/>
    </row>
    <row r="4229" spans="1:9" ht="16.5">
      <c r="A4229" s="10" t="b">
        <v>0</v>
      </c>
      <c r="B4229" s="11" t="str">
        <f>IF(D4229&lt;&gt;"",IF(COUNTIF('USPTO TMs'!A:A,D4229)&gt;0,"Yes","No"),"")</f>
        <v/>
      </c>
      <c r="C4229" s="11"/>
      <c r="D4229" s="11"/>
      <c r="E4229" s="11"/>
      <c r="F4229" s="11"/>
      <c r="G4229" s="11"/>
      <c r="H4229" s="11"/>
      <c r="I4229" s="15"/>
    </row>
    <row r="4230" spans="1:9" ht="16.5">
      <c r="A4230" s="10" t="b">
        <v>0</v>
      </c>
      <c r="B4230" s="11" t="str">
        <f>IF(D4230&lt;&gt;"",IF(COUNTIF('USPTO TMs'!A:A,D4230)&gt;0,"Yes","No"),"")</f>
        <v/>
      </c>
      <c r="C4230" s="11"/>
      <c r="D4230" s="11"/>
      <c r="E4230" s="11"/>
      <c r="F4230" s="11"/>
      <c r="G4230" s="11"/>
      <c r="H4230" s="11"/>
      <c r="I4230" s="15"/>
    </row>
    <row r="4231" spans="1:9" ht="16.5">
      <c r="A4231" s="10" t="b">
        <v>0</v>
      </c>
      <c r="B4231" s="11" t="str">
        <f>IF(D4231&lt;&gt;"",IF(COUNTIF('USPTO TMs'!A:A,D4231)&gt;0,"Yes","No"),"")</f>
        <v/>
      </c>
      <c r="C4231" s="11"/>
      <c r="D4231" s="11"/>
      <c r="E4231" s="11"/>
      <c r="F4231" s="11"/>
      <c r="G4231" s="11"/>
      <c r="H4231" s="11"/>
      <c r="I4231" s="15"/>
    </row>
    <row r="4232" spans="1:9" ht="16.5">
      <c r="A4232" s="10" t="b">
        <v>0</v>
      </c>
      <c r="B4232" s="11" t="str">
        <f>IF(D4232&lt;&gt;"",IF(COUNTIF('USPTO TMs'!A:A,D4232)&gt;0,"Yes","No"),"")</f>
        <v/>
      </c>
      <c r="C4232" s="11"/>
      <c r="D4232" s="11"/>
      <c r="E4232" s="11"/>
      <c r="F4232" s="11"/>
      <c r="G4232" s="11"/>
      <c r="H4232" s="11"/>
      <c r="I4232" s="15"/>
    </row>
    <row r="4233" spans="1:9" ht="16.5">
      <c r="A4233" s="10" t="b">
        <v>0</v>
      </c>
      <c r="B4233" s="11" t="str">
        <f>IF(D4233&lt;&gt;"",IF(COUNTIF('USPTO TMs'!A:A,D4233)&gt;0,"Yes","No"),"")</f>
        <v/>
      </c>
      <c r="C4233" s="11"/>
      <c r="D4233" s="11"/>
      <c r="E4233" s="11"/>
      <c r="F4233" s="11"/>
      <c r="G4233" s="11"/>
      <c r="H4233" s="11"/>
      <c r="I4233" s="15"/>
    </row>
    <row r="4234" spans="1:9" ht="16.5">
      <c r="A4234" s="10" t="b">
        <v>0</v>
      </c>
      <c r="B4234" s="11" t="str">
        <f>IF(D4234&lt;&gt;"",IF(COUNTIF('USPTO TMs'!A:A,D4234)&gt;0,"Yes","No"),"")</f>
        <v/>
      </c>
      <c r="C4234" s="11"/>
      <c r="D4234" s="11"/>
      <c r="E4234" s="11"/>
      <c r="F4234" s="11"/>
      <c r="G4234" s="11"/>
      <c r="H4234" s="11"/>
      <c r="I4234" s="15"/>
    </row>
    <row r="4235" spans="1:9" ht="16.5">
      <c r="A4235" s="10" t="b">
        <v>0</v>
      </c>
      <c r="B4235" s="11" t="str">
        <f>IF(D4235&lt;&gt;"",IF(COUNTIF('USPTO TMs'!A:A,D4235)&gt;0,"Yes","No"),"")</f>
        <v/>
      </c>
      <c r="C4235" s="11"/>
      <c r="D4235" s="11"/>
      <c r="E4235" s="11"/>
      <c r="F4235" s="11"/>
      <c r="G4235" s="11"/>
      <c r="H4235" s="11"/>
      <c r="I4235" s="15"/>
    </row>
    <row r="4236" spans="1:9" ht="16.5">
      <c r="A4236" s="10" t="b">
        <v>0</v>
      </c>
      <c r="B4236" s="11" t="str">
        <f>IF(D4236&lt;&gt;"",IF(COUNTIF('USPTO TMs'!A:A,D4236)&gt;0,"Yes","No"),"")</f>
        <v/>
      </c>
      <c r="C4236" s="11"/>
      <c r="D4236" s="11"/>
      <c r="E4236" s="11"/>
      <c r="F4236" s="11"/>
      <c r="G4236" s="11"/>
      <c r="H4236" s="11"/>
      <c r="I4236" s="15"/>
    </row>
    <row r="4237" spans="1:9" ht="16.5">
      <c r="A4237" s="10" t="b">
        <v>0</v>
      </c>
      <c r="B4237" s="11" t="str">
        <f>IF(D4237&lt;&gt;"",IF(COUNTIF('USPTO TMs'!A:A,D4237)&gt;0,"Yes","No"),"")</f>
        <v/>
      </c>
      <c r="C4237" s="11"/>
      <c r="D4237" s="11"/>
      <c r="E4237" s="11"/>
      <c r="F4237" s="11"/>
      <c r="G4237" s="11"/>
      <c r="H4237" s="11"/>
      <c r="I4237" s="15"/>
    </row>
    <row r="4238" spans="1:9" ht="16.5">
      <c r="A4238" s="10" t="b">
        <v>0</v>
      </c>
      <c r="B4238" s="11" t="str">
        <f>IF(D4238&lt;&gt;"",IF(COUNTIF('USPTO TMs'!A:A,D4238)&gt;0,"Yes","No"),"")</f>
        <v/>
      </c>
      <c r="C4238" s="11"/>
      <c r="D4238" s="11"/>
      <c r="E4238" s="11"/>
      <c r="F4238" s="11"/>
      <c r="G4238" s="11"/>
      <c r="H4238" s="11"/>
      <c r="I4238" s="15"/>
    </row>
    <row r="4239" spans="1:9" ht="16.5">
      <c r="A4239" s="10" t="b">
        <v>0</v>
      </c>
      <c r="B4239" s="11" t="str">
        <f>IF(D4239&lt;&gt;"",IF(COUNTIF('USPTO TMs'!A:A,D4239)&gt;0,"Yes","No"),"")</f>
        <v/>
      </c>
      <c r="C4239" s="11"/>
      <c r="D4239" s="11"/>
      <c r="E4239" s="11"/>
      <c r="F4239" s="11"/>
      <c r="G4239" s="11"/>
      <c r="H4239" s="11"/>
      <c r="I4239" s="15"/>
    </row>
    <row r="4240" spans="1:9" ht="16.5">
      <c r="A4240" s="10" t="b">
        <v>0</v>
      </c>
      <c r="B4240" s="11" t="str">
        <f>IF(D4240&lt;&gt;"",IF(COUNTIF('USPTO TMs'!A:A,D4240)&gt;0,"Yes","No"),"")</f>
        <v/>
      </c>
      <c r="C4240" s="11"/>
      <c r="D4240" s="11"/>
      <c r="E4240" s="11"/>
      <c r="F4240" s="11"/>
      <c r="G4240" s="11"/>
      <c r="H4240" s="11"/>
      <c r="I4240" s="15"/>
    </row>
    <row r="4241" spans="1:9" ht="16.5">
      <c r="A4241" s="10" t="b">
        <v>0</v>
      </c>
      <c r="B4241" s="11" t="str">
        <f>IF(D4241&lt;&gt;"",IF(COUNTIF('USPTO TMs'!A:A,D4241)&gt;0,"Yes","No"),"")</f>
        <v/>
      </c>
      <c r="C4241" s="11"/>
      <c r="D4241" s="11"/>
      <c r="E4241" s="11"/>
      <c r="F4241" s="11"/>
      <c r="G4241" s="11"/>
      <c r="H4241" s="11"/>
      <c r="I4241" s="15"/>
    </row>
    <row r="4242" spans="1:9" ht="16.5">
      <c r="A4242" s="10" t="b">
        <v>0</v>
      </c>
      <c r="B4242" s="11" t="str">
        <f>IF(D4242&lt;&gt;"",IF(COUNTIF('USPTO TMs'!A:A,D4242)&gt;0,"Yes","No"),"")</f>
        <v/>
      </c>
      <c r="C4242" s="11"/>
      <c r="D4242" s="11"/>
      <c r="E4242" s="11"/>
      <c r="F4242" s="11"/>
      <c r="G4242" s="11"/>
      <c r="H4242" s="11"/>
      <c r="I4242" s="15"/>
    </row>
    <row r="4243" spans="1:9" ht="16.5">
      <c r="A4243" s="10" t="b">
        <v>0</v>
      </c>
      <c r="B4243" s="11" t="str">
        <f>IF(D4243&lt;&gt;"",IF(COUNTIF('USPTO TMs'!A:A,D4243)&gt;0,"Yes","No"),"")</f>
        <v/>
      </c>
      <c r="C4243" s="11"/>
      <c r="D4243" s="11"/>
      <c r="E4243" s="11"/>
      <c r="F4243" s="11"/>
      <c r="G4243" s="11"/>
      <c r="H4243" s="11"/>
      <c r="I4243" s="15"/>
    </row>
    <row r="4244" spans="1:9" ht="16.5">
      <c r="A4244" s="10" t="b">
        <v>0</v>
      </c>
      <c r="B4244" s="11" t="str">
        <f>IF(D4244&lt;&gt;"",IF(COUNTIF('USPTO TMs'!A:A,D4244)&gt;0,"Yes","No"),"")</f>
        <v/>
      </c>
      <c r="C4244" s="11"/>
      <c r="D4244" s="11"/>
      <c r="E4244" s="11"/>
      <c r="F4244" s="11"/>
      <c r="G4244" s="11"/>
      <c r="H4244" s="11"/>
      <c r="I4244" s="15"/>
    </row>
    <row r="4245" spans="1:9" ht="16.5">
      <c r="A4245" s="10" t="b">
        <v>0</v>
      </c>
      <c r="B4245" s="11" t="str">
        <f>IF(D4245&lt;&gt;"",IF(COUNTIF('USPTO TMs'!A:A,D4245)&gt;0,"Yes","No"),"")</f>
        <v/>
      </c>
      <c r="C4245" s="11"/>
      <c r="D4245" s="11"/>
      <c r="E4245" s="11"/>
      <c r="F4245" s="11"/>
      <c r="G4245" s="11"/>
      <c r="H4245" s="11"/>
      <c r="I4245" s="15"/>
    </row>
    <row r="4246" spans="1:9" ht="16.5">
      <c r="A4246" s="10" t="b">
        <v>0</v>
      </c>
      <c r="B4246" s="11" t="str">
        <f>IF(D4246&lt;&gt;"",IF(COUNTIF('USPTO TMs'!A:A,D4246)&gt;0,"Yes","No"),"")</f>
        <v/>
      </c>
      <c r="C4246" s="11"/>
      <c r="D4246" s="11"/>
      <c r="E4246" s="11"/>
      <c r="F4246" s="11"/>
      <c r="G4246" s="11"/>
      <c r="H4246" s="11"/>
      <c r="I4246" s="15"/>
    </row>
    <row r="4247" spans="1:9" ht="16.5">
      <c r="A4247" s="10" t="b">
        <v>0</v>
      </c>
      <c r="B4247" s="11" t="str">
        <f>IF(D4247&lt;&gt;"",IF(COUNTIF('USPTO TMs'!A:A,D4247)&gt;0,"Yes","No"),"")</f>
        <v/>
      </c>
      <c r="C4247" s="11"/>
      <c r="D4247" s="11"/>
      <c r="E4247" s="11"/>
      <c r="F4247" s="11"/>
      <c r="G4247" s="11"/>
      <c r="H4247" s="11"/>
      <c r="I4247" s="15"/>
    </row>
    <row r="4248" spans="1:9" ht="16.5">
      <c r="A4248" s="10" t="b">
        <v>0</v>
      </c>
      <c r="B4248" s="11" t="str">
        <f>IF(D4248&lt;&gt;"",IF(COUNTIF('USPTO TMs'!A:A,D4248)&gt;0,"Yes","No"),"")</f>
        <v/>
      </c>
      <c r="C4248" s="11"/>
      <c r="D4248" s="11"/>
      <c r="E4248" s="11"/>
      <c r="F4248" s="11"/>
      <c r="G4248" s="11"/>
      <c r="H4248" s="11"/>
      <c r="I4248" s="15"/>
    </row>
    <row r="4249" spans="1:9" ht="16.5">
      <c r="A4249" s="10" t="b">
        <v>0</v>
      </c>
      <c r="B4249" s="11" t="str">
        <f>IF(D4249&lt;&gt;"",IF(COUNTIF('USPTO TMs'!A:A,D4249)&gt;0,"Yes","No"),"")</f>
        <v/>
      </c>
      <c r="C4249" s="11"/>
      <c r="D4249" s="11"/>
      <c r="E4249" s="11"/>
      <c r="F4249" s="11"/>
      <c r="G4249" s="11"/>
      <c r="H4249" s="11"/>
      <c r="I4249" s="15"/>
    </row>
    <row r="4250" spans="1:9" ht="16.5">
      <c r="A4250" s="10" t="b">
        <v>0</v>
      </c>
      <c r="B4250" s="11" t="str">
        <f>IF(D4250&lt;&gt;"",IF(COUNTIF('USPTO TMs'!A:A,D4250)&gt;0,"Yes","No"),"")</f>
        <v/>
      </c>
      <c r="C4250" s="11"/>
      <c r="D4250" s="11"/>
      <c r="E4250" s="11"/>
      <c r="F4250" s="11"/>
      <c r="G4250" s="11"/>
      <c r="H4250" s="11"/>
      <c r="I4250" s="15"/>
    </row>
    <row r="4251" spans="1:9" ht="16.5">
      <c r="A4251" s="10" t="b">
        <v>0</v>
      </c>
      <c r="B4251" s="11" t="str">
        <f>IF(D4251&lt;&gt;"",IF(COUNTIF('USPTO TMs'!A:A,D4251)&gt;0,"Yes","No"),"")</f>
        <v/>
      </c>
      <c r="C4251" s="11"/>
      <c r="D4251" s="11"/>
      <c r="E4251" s="11"/>
      <c r="F4251" s="11"/>
      <c r="G4251" s="11"/>
      <c r="H4251" s="11"/>
      <c r="I4251" s="15"/>
    </row>
    <row r="4252" spans="1:9" ht="16.5">
      <c r="A4252" s="10" t="b">
        <v>0</v>
      </c>
      <c r="B4252" s="11" t="str">
        <f>IF(D4252&lt;&gt;"",IF(COUNTIF('USPTO TMs'!A:A,D4252)&gt;0,"Yes","No"),"")</f>
        <v/>
      </c>
      <c r="C4252" s="11"/>
      <c r="D4252" s="11"/>
      <c r="E4252" s="11"/>
      <c r="F4252" s="11"/>
      <c r="G4252" s="11"/>
      <c r="H4252" s="11"/>
      <c r="I4252" s="15"/>
    </row>
    <row r="4253" spans="1:9" ht="16.5">
      <c r="A4253" s="10" t="b">
        <v>0</v>
      </c>
      <c r="B4253" s="11" t="str">
        <f>IF(D4253&lt;&gt;"",IF(COUNTIF('USPTO TMs'!A:A,D4253)&gt;0,"Yes","No"),"")</f>
        <v/>
      </c>
      <c r="C4253" s="11"/>
      <c r="D4253" s="11"/>
      <c r="E4253" s="11"/>
      <c r="F4253" s="11"/>
      <c r="G4253" s="11"/>
      <c r="H4253" s="11"/>
      <c r="I4253" s="15"/>
    </row>
    <row r="4254" spans="1:9" ht="16.5">
      <c r="A4254" s="10" t="b">
        <v>0</v>
      </c>
      <c r="B4254" s="11" t="str">
        <f>IF(D4254&lt;&gt;"",IF(COUNTIF('USPTO TMs'!A:A,D4254)&gt;0,"Yes","No"),"")</f>
        <v/>
      </c>
      <c r="C4254" s="11"/>
      <c r="D4254" s="11"/>
      <c r="E4254" s="11"/>
      <c r="F4254" s="11"/>
      <c r="G4254" s="11"/>
      <c r="H4254" s="11"/>
      <c r="I4254" s="15"/>
    </row>
    <row r="4255" spans="1:9" ht="16.5">
      <c r="A4255" s="10" t="b">
        <v>0</v>
      </c>
      <c r="B4255" s="11" t="str">
        <f>IF(D4255&lt;&gt;"",IF(COUNTIF('USPTO TMs'!A:A,D4255)&gt;0,"Yes","No"),"")</f>
        <v/>
      </c>
      <c r="C4255" s="11"/>
      <c r="D4255" s="11"/>
      <c r="E4255" s="11"/>
      <c r="F4255" s="11"/>
      <c r="G4255" s="11"/>
      <c r="H4255" s="11"/>
      <c r="I4255" s="15"/>
    </row>
    <row r="4256" spans="1:9" ht="16.5">
      <c r="A4256" s="10" t="b">
        <v>0</v>
      </c>
      <c r="B4256" s="11" t="str">
        <f>IF(D4256&lt;&gt;"",IF(COUNTIF('USPTO TMs'!A:A,D4256)&gt;0,"Yes","No"),"")</f>
        <v/>
      </c>
      <c r="C4256" s="11"/>
      <c r="D4256" s="11"/>
      <c r="E4256" s="11"/>
      <c r="F4256" s="11"/>
      <c r="G4256" s="11"/>
      <c r="H4256" s="11"/>
      <c r="I4256" s="15"/>
    </row>
    <row r="4257" spans="1:9" ht="16.5">
      <c r="A4257" s="10" t="b">
        <v>0</v>
      </c>
      <c r="B4257" s="11" t="str">
        <f>IF(D4257&lt;&gt;"",IF(COUNTIF('USPTO TMs'!A:A,D4257)&gt;0,"Yes","No"),"")</f>
        <v/>
      </c>
      <c r="C4257" s="11"/>
      <c r="D4257" s="11"/>
      <c r="E4257" s="11"/>
      <c r="F4257" s="11"/>
      <c r="G4257" s="11"/>
      <c r="H4257" s="11"/>
      <c r="I4257" s="15"/>
    </row>
    <row r="4258" spans="1:9" ht="16.5">
      <c r="A4258" s="10" t="b">
        <v>0</v>
      </c>
      <c r="B4258" s="11" t="str">
        <f>IF(D4258&lt;&gt;"",IF(COUNTIF('USPTO TMs'!A:A,D4258)&gt;0,"Yes","No"),"")</f>
        <v/>
      </c>
      <c r="C4258" s="11"/>
      <c r="D4258" s="11"/>
      <c r="E4258" s="11"/>
      <c r="F4258" s="11"/>
      <c r="G4258" s="11"/>
      <c r="H4258" s="11"/>
      <c r="I4258" s="15"/>
    </row>
    <row r="4259" spans="1:9" ht="16.5">
      <c r="A4259" s="10" t="b">
        <v>0</v>
      </c>
      <c r="B4259" s="11" t="str">
        <f>IF(D4259&lt;&gt;"",IF(COUNTIF('USPTO TMs'!A:A,D4259)&gt;0,"Yes","No"),"")</f>
        <v/>
      </c>
      <c r="C4259" s="11"/>
      <c r="D4259" s="11"/>
      <c r="E4259" s="11"/>
      <c r="F4259" s="11"/>
      <c r="G4259" s="11"/>
      <c r="H4259" s="11"/>
      <c r="I4259" s="15"/>
    </row>
    <row r="4260" spans="1:9" ht="16.5">
      <c r="A4260" s="10" t="b">
        <v>0</v>
      </c>
      <c r="B4260" s="11" t="str">
        <f>IF(D4260&lt;&gt;"",IF(COUNTIF('USPTO TMs'!A:A,D4260)&gt;0,"Yes","No"),"")</f>
        <v/>
      </c>
      <c r="C4260" s="11"/>
      <c r="D4260" s="11"/>
      <c r="E4260" s="11"/>
      <c r="F4260" s="11"/>
      <c r="G4260" s="11"/>
      <c r="H4260" s="11"/>
      <c r="I4260" s="15"/>
    </row>
    <row r="4261" spans="1:9" ht="16.5">
      <c r="A4261" s="10" t="b">
        <v>0</v>
      </c>
      <c r="B4261" s="11" t="str">
        <f>IF(D4261&lt;&gt;"",IF(COUNTIF('USPTO TMs'!A:A,D4261)&gt;0,"Yes","No"),"")</f>
        <v/>
      </c>
      <c r="C4261" s="11"/>
      <c r="D4261" s="11"/>
      <c r="E4261" s="11"/>
      <c r="F4261" s="11"/>
      <c r="G4261" s="11"/>
      <c r="H4261" s="11"/>
      <c r="I4261" s="15"/>
    </row>
    <row r="4262" spans="1:9" ht="16.5">
      <c r="A4262" s="10" t="b">
        <v>0</v>
      </c>
      <c r="B4262" s="11" t="str">
        <f>IF(D4262&lt;&gt;"",IF(COUNTIF('USPTO TMs'!A:A,D4262)&gt;0,"Yes","No"),"")</f>
        <v/>
      </c>
      <c r="C4262" s="11"/>
      <c r="D4262" s="11"/>
      <c r="E4262" s="11"/>
      <c r="F4262" s="11"/>
      <c r="G4262" s="11"/>
      <c r="H4262" s="11"/>
      <c r="I4262" s="15"/>
    </row>
    <row r="4263" spans="1:9" ht="16.5">
      <c r="A4263" s="10" t="b">
        <v>0</v>
      </c>
      <c r="B4263" s="11" t="str">
        <f>IF(D4263&lt;&gt;"",IF(COUNTIF('USPTO TMs'!A:A,D4263)&gt;0,"Yes","No"),"")</f>
        <v/>
      </c>
      <c r="C4263" s="11"/>
      <c r="D4263" s="11"/>
      <c r="E4263" s="11"/>
      <c r="F4263" s="11"/>
      <c r="G4263" s="11"/>
      <c r="H4263" s="11"/>
      <c r="I4263" s="15"/>
    </row>
    <row r="4264" spans="1:9" ht="16.5">
      <c r="A4264" s="10" t="b">
        <v>0</v>
      </c>
      <c r="B4264" s="11" t="str">
        <f>IF(D4264&lt;&gt;"",IF(COUNTIF('USPTO TMs'!A:A,D4264)&gt;0,"Yes","No"),"")</f>
        <v/>
      </c>
      <c r="C4264" s="11"/>
      <c r="D4264" s="11"/>
      <c r="E4264" s="11"/>
      <c r="F4264" s="11"/>
      <c r="G4264" s="11"/>
      <c r="H4264" s="11"/>
      <c r="I4264" s="15"/>
    </row>
    <row r="4265" spans="1:9" ht="16.5">
      <c r="A4265" s="10" t="b">
        <v>0</v>
      </c>
      <c r="B4265" s="11" t="str">
        <f>IF(D4265&lt;&gt;"",IF(COUNTIF('USPTO TMs'!A:A,D4265)&gt;0,"Yes","No"),"")</f>
        <v/>
      </c>
      <c r="C4265" s="11"/>
      <c r="D4265" s="11"/>
      <c r="E4265" s="11"/>
      <c r="F4265" s="11"/>
      <c r="G4265" s="11"/>
      <c r="H4265" s="11"/>
      <c r="I4265" s="15"/>
    </row>
    <row r="4266" spans="1:9" ht="16.5">
      <c r="A4266" s="10" t="b">
        <v>0</v>
      </c>
      <c r="B4266" s="11" t="str">
        <f>IF(D4266&lt;&gt;"",IF(COUNTIF('USPTO TMs'!A:A,D4266)&gt;0,"Yes","No"),"")</f>
        <v/>
      </c>
      <c r="C4266" s="11"/>
      <c r="D4266" s="11"/>
      <c r="E4266" s="11"/>
      <c r="F4266" s="11"/>
      <c r="G4266" s="11"/>
      <c r="H4266" s="11"/>
      <c r="I4266" s="15"/>
    </row>
    <row r="4267" spans="1:9" ht="16.5">
      <c r="A4267" s="10" t="b">
        <v>0</v>
      </c>
      <c r="B4267" s="11" t="str">
        <f>IF(D4267&lt;&gt;"",IF(COUNTIF('USPTO TMs'!A:A,D4267)&gt;0,"Yes","No"),"")</f>
        <v/>
      </c>
      <c r="C4267" s="11"/>
      <c r="D4267" s="11"/>
      <c r="E4267" s="11"/>
      <c r="F4267" s="11"/>
      <c r="G4267" s="11"/>
      <c r="H4267" s="11"/>
      <c r="I4267" s="15"/>
    </row>
    <row r="4268" spans="1:9" ht="16.5">
      <c r="A4268" s="10" t="b">
        <v>0</v>
      </c>
      <c r="B4268" s="11" t="str">
        <f>IF(D4268&lt;&gt;"",IF(COUNTIF('USPTO TMs'!A:A,D4268)&gt;0,"Yes","No"),"")</f>
        <v/>
      </c>
      <c r="C4268" s="11"/>
      <c r="D4268" s="11"/>
      <c r="E4268" s="11"/>
      <c r="F4268" s="11"/>
      <c r="G4268" s="11"/>
      <c r="H4268" s="11"/>
      <c r="I4268" s="15"/>
    </row>
    <row r="4269" spans="1:9" ht="16.5">
      <c r="A4269" s="10" t="b">
        <v>0</v>
      </c>
      <c r="B4269" s="11" t="str">
        <f>IF(D4269&lt;&gt;"",IF(COUNTIF('USPTO TMs'!A:A,D4269)&gt;0,"Yes","No"),"")</f>
        <v/>
      </c>
      <c r="C4269" s="11"/>
      <c r="D4269" s="11"/>
      <c r="E4269" s="11"/>
      <c r="F4269" s="11"/>
      <c r="G4269" s="11"/>
      <c r="H4269" s="11"/>
      <c r="I4269" s="15"/>
    </row>
    <row r="4270" spans="1:9" ht="16.5">
      <c r="A4270" s="10" t="b">
        <v>0</v>
      </c>
      <c r="B4270" s="11" t="str">
        <f>IF(D4270&lt;&gt;"",IF(COUNTIF('USPTO TMs'!A:A,D4270)&gt;0,"Yes","No"),"")</f>
        <v/>
      </c>
      <c r="C4270" s="11"/>
      <c r="D4270" s="11"/>
      <c r="E4270" s="11"/>
      <c r="F4270" s="11"/>
      <c r="G4270" s="11"/>
      <c r="H4270" s="11"/>
      <c r="I4270" s="15"/>
    </row>
    <row r="4271" spans="1:9" ht="16.5">
      <c r="A4271" s="10" t="b">
        <v>0</v>
      </c>
      <c r="B4271" s="11" t="str">
        <f>IF(D4271&lt;&gt;"",IF(COUNTIF('USPTO TMs'!A:A,D4271)&gt;0,"Yes","No"),"")</f>
        <v/>
      </c>
      <c r="C4271" s="11"/>
      <c r="D4271" s="11"/>
      <c r="E4271" s="11"/>
      <c r="F4271" s="11"/>
      <c r="G4271" s="11"/>
      <c r="H4271" s="11"/>
      <c r="I4271" s="15"/>
    </row>
    <row r="4272" spans="1:9" ht="16.5">
      <c r="A4272" s="10" t="b">
        <v>0</v>
      </c>
      <c r="B4272" s="11" t="str">
        <f>IF(D4272&lt;&gt;"",IF(COUNTIF('USPTO TMs'!A:A,D4272)&gt;0,"Yes","No"),"")</f>
        <v/>
      </c>
      <c r="C4272" s="11"/>
      <c r="D4272" s="11"/>
      <c r="E4272" s="11"/>
      <c r="F4272" s="11"/>
      <c r="G4272" s="11"/>
      <c r="H4272" s="11"/>
      <c r="I4272" s="15"/>
    </row>
    <row r="4273" spans="1:9" ht="16.5">
      <c r="A4273" s="10" t="b">
        <v>0</v>
      </c>
      <c r="B4273" s="11" t="str">
        <f>IF(D4273&lt;&gt;"",IF(COUNTIF('USPTO TMs'!A:A,D4273)&gt;0,"Yes","No"),"")</f>
        <v/>
      </c>
      <c r="C4273" s="11"/>
      <c r="D4273" s="11"/>
      <c r="E4273" s="11"/>
      <c r="F4273" s="11"/>
      <c r="G4273" s="11"/>
      <c r="H4273" s="11"/>
      <c r="I4273" s="15"/>
    </row>
    <row r="4274" spans="1:9" ht="16.5">
      <c r="A4274" s="10" t="b">
        <v>0</v>
      </c>
      <c r="B4274" s="11" t="str">
        <f>IF(D4274&lt;&gt;"",IF(COUNTIF('USPTO TMs'!A:A,D4274)&gt;0,"Yes","No"),"")</f>
        <v/>
      </c>
      <c r="C4274" s="11"/>
      <c r="D4274" s="11"/>
      <c r="E4274" s="11"/>
      <c r="F4274" s="11"/>
      <c r="G4274" s="11"/>
      <c r="H4274" s="11"/>
      <c r="I4274" s="15"/>
    </row>
    <row r="4275" spans="1:9" ht="16.5">
      <c r="A4275" s="10" t="b">
        <v>0</v>
      </c>
      <c r="B4275" s="11" t="str">
        <f>IF(D4275&lt;&gt;"",IF(COUNTIF('USPTO TMs'!A:A,D4275)&gt;0,"Yes","No"),"")</f>
        <v/>
      </c>
      <c r="C4275" s="11"/>
      <c r="D4275" s="11"/>
      <c r="E4275" s="11"/>
      <c r="F4275" s="11"/>
      <c r="G4275" s="11"/>
      <c r="H4275" s="11"/>
      <c r="I4275" s="15"/>
    </row>
    <row r="4276" spans="1:9" ht="16.5">
      <c r="A4276" s="10" t="b">
        <v>0</v>
      </c>
      <c r="B4276" s="11" t="str">
        <f>IF(D4276&lt;&gt;"",IF(COUNTIF('USPTO TMs'!A:A,D4276)&gt;0,"Yes","No"),"")</f>
        <v/>
      </c>
      <c r="C4276" s="11"/>
      <c r="D4276" s="11"/>
      <c r="E4276" s="11"/>
      <c r="F4276" s="11"/>
      <c r="G4276" s="11"/>
      <c r="H4276" s="11"/>
      <c r="I4276" s="15"/>
    </row>
    <row r="4277" spans="1:9" ht="16.5">
      <c r="A4277" s="10" t="b">
        <v>0</v>
      </c>
      <c r="B4277" s="11" t="str">
        <f>IF(D4277&lt;&gt;"",IF(COUNTIF('USPTO TMs'!A:A,D4277)&gt;0,"Yes","No"),"")</f>
        <v/>
      </c>
      <c r="C4277" s="11"/>
      <c r="D4277" s="11"/>
      <c r="E4277" s="11"/>
      <c r="F4277" s="11"/>
      <c r="G4277" s="11"/>
      <c r="H4277" s="11"/>
      <c r="I4277" s="15"/>
    </row>
    <row r="4278" spans="1:9" ht="16.5">
      <c r="A4278" s="10" t="b">
        <v>0</v>
      </c>
      <c r="B4278" s="11" t="str">
        <f>IF(D4278&lt;&gt;"",IF(COUNTIF('USPTO TMs'!A:A,D4278)&gt;0,"Yes","No"),"")</f>
        <v/>
      </c>
      <c r="C4278" s="11"/>
      <c r="D4278" s="11"/>
      <c r="E4278" s="11"/>
      <c r="F4278" s="11"/>
      <c r="G4278" s="11"/>
      <c r="H4278" s="11"/>
      <c r="I4278" s="15"/>
    </row>
    <row r="4279" spans="1:9" ht="16.5">
      <c r="A4279" s="10" t="b">
        <v>0</v>
      </c>
      <c r="B4279" s="11" t="str">
        <f>IF(D4279&lt;&gt;"",IF(COUNTIF('USPTO TMs'!A:A,D4279)&gt;0,"Yes","No"),"")</f>
        <v/>
      </c>
      <c r="C4279" s="11"/>
      <c r="D4279" s="11"/>
      <c r="E4279" s="11"/>
      <c r="F4279" s="11"/>
      <c r="G4279" s="11"/>
      <c r="H4279" s="11"/>
      <c r="I4279" s="15"/>
    </row>
    <row r="4280" spans="1:9" ht="16.5">
      <c r="A4280" s="10" t="b">
        <v>0</v>
      </c>
      <c r="B4280" s="11" t="str">
        <f>IF(D4280&lt;&gt;"",IF(COUNTIF('USPTO TMs'!A:A,D4280)&gt;0,"Yes","No"),"")</f>
        <v/>
      </c>
      <c r="C4280" s="11"/>
      <c r="D4280" s="11"/>
      <c r="E4280" s="11"/>
      <c r="F4280" s="11"/>
      <c r="G4280" s="11"/>
      <c r="H4280" s="11"/>
      <c r="I4280" s="15"/>
    </row>
    <row r="4281" spans="1:9" ht="16.5">
      <c r="A4281" s="10" t="b">
        <v>0</v>
      </c>
      <c r="B4281" s="11" t="str">
        <f>IF(D4281&lt;&gt;"",IF(COUNTIF('USPTO TMs'!A:A,D4281)&gt;0,"Yes","No"),"")</f>
        <v/>
      </c>
      <c r="C4281" s="11"/>
      <c r="D4281" s="11"/>
      <c r="E4281" s="11"/>
      <c r="F4281" s="11"/>
      <c r="G4281" s="11"/>
      <c r="H4281" s="11"/>
      <c r="I4281" s="15"/>
    </row>
    <row r="4282" spans="1:9" ht="16.5">
      <c r="A4282" s="10" t="b">
        <v>0</v>
      </c>
      <c r="B4282" s="11" t="str">
        <f>IF(D4282&lt;&gt;"",IF(COUNTIF('USPTO TMs'!A:A,D4282)&gt;0,"Yes","No"),"")</f>
        <v/>
      </c>
      <c r="C4282" s="11"/>
      <c r="D4282" s="11"/>
      <c r="E4282" s="11"/>
      <c r="F4282" s="11"/>
      <c r="G4282" s="11"/>
      <c r="H4282" s="11"/>
      <c r="I4282" s="15"/>
    </row>
    <row r="4283" spans="1:9" ht="16.5">
      <c r="A4283" s="10" t="b">
        <v>0</v>
      </c>
      <c r="B4283" s="11" t="str">
        <f>IF(D4283&lt;&gt;"",IF(COUNTIF('USPTO TMs'!A:A,D4283)&gt;0,"Yes","No"),"")</f>
        <v/>
      </c>
      <c r="C4283" s="11"/>
      <c r="D4283" s="11"/>
      <c r="E4283" s="11"/>
      <c r="F4283" s="11"/>
      <c r="G4283" s="11"/>
      <c r="H4283" s="11"/>
      <c r="I4283" s="15"/>
    </row>
    <row r="4284" spans="1:9" ht="16.5">
      <c r="A4284" s="10" t="b">
        <v>0</v>
      </c>
      <c r="B4284" s="11" t="str">
        <f>IF(D4284&lt;&gt;"",IF(COUNTIF('USPTO TMs'!A:A,D4284)&gt;0,"Yes","No"),"")</f>
        <v/>
      </c>
      <c r="C4284" s="11"/>
      <c r="D4284" s="11"/>
      <c r="E4284" s="11"/>
      <c r="F4284" s="11"/>
      <c r="G4284" s="11"/>
      <c r="H4284" s="11"/>
      <c r="I4284" s="15"/>
    </row>
    <row r="4285" spans="1:9" ht="16.5">
      <c r="A4285" s="10" t="b">
        <v>0</v>
      </c>
      <c r="B4285" s="11" t="str">
        <f>IF(D4285&lt;&gt;"",IF(COUNTIF('USPTO TMs'!A:A,D4285)&gt;0,"Yes","No"),"")</f>
        <v/>
      </c>
      <c r="C4285" s="11"/>
      <c r="D4285" s="11"/>
      <c r="E4285" s="11"/>
      <c r="F4285" s="11"/>
      <c r="G4285" s="11"/>
      <c r="H4285" s="11"/>
      <c r="I4285" s="15"/>
    </row>
    <row r="4286" spans="1:9" ht="16.5">
      <c r="A4286" s="10" t="b">
        <v>0</v>
      </c>
      <c r="B4286" s="11" t="str">
        <f>IF(D4286&lt;&gt;"",IF(COUNTIF('USPTO TMs'!A:A,D4286)&gt;0,"Yes","No"),"")</f>
        <v/>
      </c>
      <c r="C4286" s="11"/>
      <c r="D4286" s="11"/>
      <c r="E4286" s="11"/>
      <c r="F4286" s="11"/>
      <c r="G4286" s="11"/>
      <c r="H4286" s="11"/>
      <c r="I4286" s="15"/>
    </row>
    <row r="4287" spans="1:9" ht="16.5">
      <c r="A4287" s="10" t="b">
        <v>0</v>
      </c>
      <c r="B4287" s="11" t="str">
        <f>IF(D4287&lt;&gt;"",IF(COUNTIF('USPTO TMs'!A:A,D4287)&gt;0,"Yes","No"),"")</f>
        <v/>
      </c>
      <c r="C4287" s="11"/>
      <c r="D4287" s="11"/>
      <c r="E4287" s="11"/>
      <c r="F4287" s="11"/>
      <c r="G4287" s="11"/>
      <c r="H4287" s="11"/>
      <c r="I4287" s="15"/>
    </row>
    <row r="4288" spans="1:9" ht="16.5">
      <c r="A4288" s="10" t="b">
        <v>0</v>
      </c>
      <c r="B4288" s="11" t="str">
        <f>IF(D4288&lt;&gt;"",IF(COUNTIF('USPTO TMs'!A:A,D4288)&gt;0,"Yes","No"),"")</f>
        <v/>
      </c>
      <c r="C4288" s="11"/>
      <c r="D4288" s="11"/>
      <c r="E4288" s="11"/>
      <c r="F4288" s="11"/>
      <c r="G4288" s="11"/>
      <c r="H4288" s="11"/>
      <c r="I4288" s="15"/>
    </row>
    <row r="4289" spans="1:9" ht="16.5">
      <c r="A4289" s="10" t="b">
        <v>0</v>
      </c>
      <c r="B4289" s="11" t="str">
        <f>IF(D4289&lt;&gt;"",IF(COUNTIF('USPTO TMs'!A:A,D4289)&gt;0,"Yes","No"),"")</f>
        <v/>
      </c>
      <c r="C4289" s="11"/>
      <c r="D4289" s="11"/>
      <c r="E4289" s="11"/>
      <c r="F4289" s="11"/>
      <c r="G4289" s="11"/>
      <c r="H4289" s="11"/>
      <c r="I4289" s="15"/>
    </row>
    <row r="4290" spans="1:9" ht="16.5">
      <c r="A4290" s="10" t="b">
        <v>0</v>
      </c>
      <c r="B4290" s="11" t="str">
        <f>IF(D4290&lt;&gt;"",IF(COUNTIF('USPTO TMs'!A:A,D4290)&gt;0,"Yes","No"),"")</f>
        <v/>
      </c>
      <c r="C4290" s="11"/>
      <c r="D4290" s="11"/>
      <c r="E4290" s="11"/>
      <c r="F4290" s="11"/>
      <c r="G4290" s="11"/>
      <c r="H4290" s="11"/>
      <c r="I4290" s="15"/>
    </row>
    <row r="4291" spans="1:9" ht="16.5">
      <c r="A4291" s="10" t="b">
        <v>0</v>
      </c>
      <c r="B4291" s="11" t="str">
        <f>IF(D4291&lt;&gt;"",IF(COUNTIF('USPTO TMs'!A:A,D4291)&gt;0,"Yes","No"),"")</f>
        <v/>
      </c>
      <c r="C4291" s="11"/>
      <c r="D4291" s="11"/>
      <c r="E4291" s="11"/>
      <c r="F4291" s="11"/>
      <c r="G4291" s="11"/>
      <c r="H4291" s="11"/>
      <c r="I4291" s="15"/>
    </row>
    <row r="4292" spans="1:9" ht="16.5">
      <c r="A4292" s="10" t="b">
        <v>0</v>
      </c>
      <c r="B4292" s="11" t="str">
        <f>IF(D4292&lt;&gt;"",IF(COUNTIF('USPTO TMs'!A:A,D4292)&gt;0,"Yes","No"),"")</f>
        <v/>
      </c>
      <c r="C4292" s="11"/>
      <c r="D4292" s="11"/>
      <c r="E4292" s="11"/>
      <c r="F4292" s="11"/>
      <c r="G4292" s="11"/>
      <c r="H4292" s="11"/>
      <c r="I4292" s="15"/>
    </row>
    <row r="4293" spans="1:9" ht="16.5">
      <c r="A4293" s="10" t="b">
        <v>0</v>
      </c>
      <c r="B4293" s="11" t="str">
        <f>IF(D4293&lt;&gt;"",IF(COUNTIF('USPTO TMs'!A:A,D4293)&gt;0,"Yes","No"),"")</f>
        <v/>
      </c>
      <c r="C4293" s="11"/>
      <c r="D4293" s="11"/>
      <c r="E4293" s="11"/>
      <c r="F4293" s="11"/>
      <c r="G4293" s="11"/>
      <c r="H4293" s="11"/>
      <c r="I4293" s="15"/>
    </row>
    <row r="4294" spans="1:9" ht="16.5">
      <c r="A4294" s="10" t="b">
        <v>0</v>
      </c>
      <c r="B4294" s="11" t="str">
        <f>IF(D4294&lt;&gt;"",IF(COUNTIF('USPTO TMs'!A:A,D4294)&gt;0,"Yes","No"),"")</f>
        <v/>
      </c>
      <c r="C4294" s="11"/>
      <c r="D4294" s="11"/>
      <c r="E4294" s="11"/>
      <c r="F4294" s="11"/>
      <c r="G4294" s="11"/>
      <c r="H4294" s="11"/>
      <c r="I4294" s="15"/>
    </row>
    <row r="4295" spans="1:9" ht="16.5">
      <c r="A4295" s="10" t="b">
        <v>0</v>
      </c>
      <c r="B4295" s="11" t="str">
        <f>IF(D4295&lt;&gt;"",IF(COUNTIF('USPTO TMs'!A:A,D4295)&gt;0,"Yes","No"),"")</f>
        <v/>
      </c>
      <c r="C4295" s="11"/>
      <c r="D4295" s="11"/>
      <c r="E4295" s="11"/>
      <c r="F4295" s="11"/>
      <c r="G4295" s="11"/>
      <c r="H4295" s="11"/>
      <c r="I4295" s="15"/>
    </row>
    <row r="4296" spans="1:9" ht="16.5">
      <c r="A4296" s="10" t="b">
        <v>0</v>
      </c>
      <c r="B4296" s="11" t="str">
        <f>IF(D4296&lt;&gt;"",IF(COUNTIF('USPTO TMs'!A:A,D4296)&gt;0,"Yes","No"),"")</f>
        <v/>
      </c>
      <c r="C4296" s="11"/>
      <c r="D4296" s="11"/>
      <c r="E4296" s="11"/>
      <c r="F4296" s="11"/>
      <c r="G4296" s="11"/>
      <c r="H4296" s="11"/>
      <c r="I4296" s="15"/>
    </row>
    <row r="4297" spans="1:9" ht="16.5">
      <c r="A4297" s="10" t="b">
        <v>0</v>
      </c>
      <c r="B4297" s="11" t="str">
        <f>IF(D4297&lt;&gt;"",IF(COUNTIF('USPTO TMs'!A:A,D4297)&gt;0,"Yes","No"),"")</f>
        <v/>
      </c>
      <c r="C4297" s="11"/>
      <c r="D4297" s="11"/>
      <c r="E4297" s="11"/>
      <c r="F4297" s="11"/>
      <c r="G4297" s="11"/>
      <c r="H4297" s="11"/>
      <c r="I4297" s="15"/>
    </row>
    <row r="4298" spans="1:9" ht="16.5">
      <c r="A4298" s="10" t="b">
        <v>0</v>
      </c>
      <c r="B4298" s="11" t="str">
        <f>IF(D4298&lt;&gt;"",IF(COUNTIF('USPTO TMs'!A:A,D4298)&gt;0,"Yes","No"),"")</f>
        <v/>
      </c>
      <c r="C4298" s="11"/>
      <c r="D4298" s="11"/>
      <c r="E4298" s="11"/>
      <c r="F4298" s="11"/>
      <c r="G4298" s="11"/>
      <c r="H4298" s="11"/>
      <c r="I4298" s="15"/>
    </row>
    <row r="4299" spans="1:9" ht="16.5">
      <c r="A4299" s="10" t="b">
        <v>0</v>
      </c>
      <c r="B4299" s="11" t="str">
        <f>IF(D4299&lt;&gt;"",IF(COUNTIF('USPTO TMs'!A:A,D4299)&gt;0,"Yes","No"),"")</f>
        <v/>
      </c>
      <c r="C4299" s="11"/>
      <c r="D4299" s="11"/>
      <c r="E4299" s="11"/>
      <c r="F4299" s="11"/>
      <c r="G4299" s="11"/>
      <c r="H4299" s="11"/>
      <c r="I4299" s="15"/>
    </row>
    <row r="4300" spans="1:9" ht="16.5">
      <c r="A4300" s="10" t="b">
        <v>0</v>
      </c>
      <c r="B4300" s="11" t="str">
        <f>IF(D4300&lt;&gt;"",IF(COUNTIF('USPTO TMs'!A:A,D4300)&gt;0,"Yes","No"),"")</f>
        <v/>
      </c>
      <c r="C4300" s="11"/>
      <c r="D4300" s="11"/>
      <c r="E4300" s="11"/>
      <c r="F4300" s="11"/>
      <c r="G4300" s="11"/>
      <c r="H4300" s="11"/>
      <c r="I4300" s="15"/>
    </row>
    <row r="4301" spans="1:9" ht="16.5">
      <c r="A4301" s="10" t="b">
        <v>0</v>
      </c>
      <c r="B4301" s="11" t="str">
        <f>IF(D4301&lt;&gt;"",IF(COUNTIF('USPTO TMs'!A:A,D4301)&gt;0,"Yes","No"),"")</f>
        <v/>
      </c>
      <c r="C4301" s="11"/>
      <c r="D4301" s="11"/>
      <c r="E4301" s="11"/>
      <c r="F4301" s="11"/>
      <c r="G4301" s="11"/>
      <c r="H4301" s="11"/>
      <c r="I4301" s="15"/>
    </row>
    <row r="4302" spans="1:9" ht="16.5">
      <c r="A4302" s="10" t="b">
        <v>0</v>
      </c>
      <c r="B4302" s="11" t="str">
        <f>IF(D4302&lt;&gt;"",IF(COUNTIF('USPTO TMs'!A:A,D4302)&gt;0,"Yes","No"),"")</f>
        <v/>
      </c>
      <c r="C4302" s="11"/>
      <c r="D4302" s="11"/>
      <c r="E4302" s="11"/>
      <c r="F4302" s="11"/>
      <c r="G4302" s="11"/>
      <c r="H4302" s="11"/>
      <c r="I4302" s="15"/>
    </row>
    <row r="4303" spans="1:9" ht="16.5">
      <c r="A4303" s="10" t="b">
        <v>0</v>
      </c>
      <c r="B4303" s="11" t="str">
        <f>IF(D4303&lt;&gt;"",IF(COUNTIF('USPTO TMs'!A:A,D4303)&gt;0,"Yes","No"),"")</f>
        <v/>
      </c>
      <c r="C4303" s="11"/>
      <c r="D4303" s="11"/>
      <c r="E4303" s="11"/>
      <c r="F4303" s="11"/>
      <c r="G4303" s="11"/>
      <c r="H4303" s="11"/>
      <c r="I4303" s="15"/>
    </row>
    <row r="4304" spans="1:9" ht="16.5">
      <c r="A4304" s="10" t="b">
        <v>0</v>
      </c>
      <c r="B4304" s="11" t="str">
        <f>IF(D4304&lt;&gt;"",IF(COUNTIF('USPTO TMs'!A:A,D4304)&gt;0,"Yes","No"),"")</f>
        <v/>
      </c>
      <c r="C4304" s="11"/>
      <c r="D4304" s="11"/>
      <c r="E4304" s="11"/>
      <c r="F4304" s="11"/>
      <c r="G4304" s="11"/>
      <c r="H4304" s="11"/>
      <c r="I4304" s="15"/>
    </row>
    <row r="4305" spans="1:9" ht="16.5">
      <c r="A4305" s="10" t="b">
        <v>0</v>
      </c>
      <c r="B4305" s="11" t="str">
        <f>IF(D4305&lt;&gt;"",IF(COUNTIF('USPTO TMs'!A:A,D4305)&gt;0,"Yes","No"),"")</f>
        <v/>
      </c>
      <c r="C4305" s="11"/>
      <c r="D4305" s="11"/>
      <c r="E4305" s="11"/>
      <c r="F4305" s="11"/>
      <c r="G4305" s="11"/>
      <c r="H4305" s="11"/>
      <c r="I4305" s="15"/>
    </row>
    <row r="4306" spans="1:9" ht="16.5">
      <c r="A4306" s="10" t="b">
        <v>0</v>
      </c>
      <c r="B4306" s="11" t="str">
        <f>IF(D4306&lt;&gt;"",IF(COUNTIF('USPTO TMs'!A:A,D4306)&gt;0,"Yes","No"),"")</f>
        <v/>
      </c>
      <c r="C4306" s="11"/>
      <c r="D4306" s="11"/>
      <c r="E4306" s="11"/>
      <c r="F4306" s="11"/>
      <c r="G4306" s="11"/>
      <c r="H4306" s="11"/>
      <c r="I4306" s="15"/>
    </row>
    <row r="4307" spans="1:9" ht="16.5">
      <c r="A4307" s="10" t="b">
        <v>0</v>
      </c>
      <c r="B4307" s="11" t="str">
        <f>IF(D4307&lt;&gt;"",IF(COUNTIF('USPTO TMs'!A:A,D4307)&gt;0,"Yes","No"),"")</f>
        <v/>
      </c>
      <c r="C4307" s="11"/>
      <c r="D4307" s="11"/>
      <c r="E4307" s="11"/>
      <c r="F4307" s="11"/>
      <c r="G4307" s="11"/>
      <c r="H4307" s="11"/>
      <c r="I4307" s="15"/>
    </row>
    <row r="4308" spans="1:9" ht="16.5">
      <c r="A4308" s="10" t="b">
        <v>0</v>
      </c>
      <c r="B4308" s="11" t="str">
        <f>IF(D4308&lt;&gt;"",IF(COUNTIF('USPTO TMs'!A:A,D4308)&gt;0,"Yes","No"),"")</f>
        <v/>
      </c>
      <c r="C4308" s="11"/>
      <c r="D4308" s="11"/>
      <c r="E4308" s="11"/>
      <c r="F4308" s="11"/>
      <c r="G4308" s="11"/>
      <c r="H4308" s="11"/>
      <c r="I4308" s="15"/>
    </row>
    <row r="4309" spans="1:9" ht="16.5">
      <c r="A4309" s="10" t="b">
        <v>0</v>
      </c>
      <c r="B4309" s="11" t="str">
        <f>IF(D4309&lt;&gt;"",IF(COUNTIF('USPTO TMs'!A:A,D4309)&gt;0,"Yes","No"),"")</f>
        <v/>
      </c>
      <c r="C4309" s="11"/>
      <c r="D4309" s="11"/>
      <c r="E4309" s="11"/>
      <c r="F4309" s="11"/>
      <c r="G4309" s="11"/>
      <c r="H4309" s="11"/>
      <c r="I4309" s="15"/>
    </row>
    <row r="4310" spans="1:9" ht="16.5">
      <c r="A4310" s="10" t="b">
        <v>0</v>
      </c>
      <c r="B4310" s="11" t="str">
        <f>IF(D4310&lt;&gt;"",IF(COUNTIF('USPTO TMs'!A:A,D4310)&gt;0,"Yes","No"),"")</f>
        <v/>
      </c>
      <c r="C4310" s="11"/>
      <c r="D4310" s="11"/>
      <c r="E4310" s="11"/>
      <c r="F4310" s="11"/>
      <c r="G4310" s="11"/>
      <c r="H4310" s="11"/>
      <c r="I4310" s="15"/>
    </row>
    <row r="4311" spans="1:9" ht="16.5">
      <c r="A4311" s="10" t="b">
        <v>0</v>
      </c>
      <c r="B4311" s="11" t="str">
        <f>IF(D4311&lt;&gt;"",IF(COUNTIF('USPTO TMs'!A:A,D4311)&gt;0,"Yes","No"),"")</f>
        <v/>
      </c>
      <c r="C4311" s="11"/>
      <c r="D4311" s="11"/>
      <c r="E4311" s="11"/>
      <c r="F4311" s="11"/>
      <c r="G4311" s="11"/>
      <c r="H4311" s="11"/>
      <c r="I4311" s="15"/>
    </row>
    <row r="4312" spans="1:9" ht="16.5">
      <c r="A4312" s="10" t="b">
        <v>0</v>
      </c>
      <c r="B4312" s="11" t="str">
        <f>IF(D4312&lt;&gt;"",IF(COUNTIF('USPTO TMs'!A:A,D4312)&gt;0,"Yes","No"),"")</f>
        <v/>
      </c>
      <c r="C4312" s="11"/>
      <c r="D4312" s="11"/>
      <c r="E4312" s="11"/>
      <c r="F4312" s="11"/>
      <c r="G4312" s="11"/>
      <c r="H4312" s="11"/>
      <c r="I4312" s="15"/>
    </row>
    <row r="4313" spans="1:9" ht="16.5">
      <c r="A4313" s="10" t="b">
        <v>0</v>
      </c>
      <c r="B4313" s="11" t="str">
        <f>IF(D4313&lt;&gt;"",IF(COUNTIF('USPTO TMs'!A:A,D4313)&gt;0,"Yes","No"),"")</f>
        <v/>
      </c>
      <c r="C4313" s="11"/>
      <c r="D4313" s="11"/>
      <c r="E4313" s="11"/>
      <c r="F4313" s="11"/>
      <c r="G4313" s="11"/>
      <c r="H4313" s="11"/>
      <c r="I4313" s="15"/>
    </row>
    <row r="4314" spans="1:9" ht="16.5">
      <c r="A4314" s="10" t="b">
        <v>0</v>
      </c>
      <c r="B4314" s="11" t="str">
        <f>IF(D4314&lt;&gt;"",IF(COUNTIF('USPTO TMs'!A:A,D4314)&gt;0,"Yes","No"),"")</f>
        <v/>
      </c>
      <c r="C4314" s="11"/>
      <c r="D4314" s="11"/>
      <c r="E4314" s="11"/>
      <c r="F4314" s="11"/>
      <c r="G4314" s="11"/>
      <c r="H4314" s="11"/>
      <c r="I4314" s="15"/>
    </row>
    <row r="4315" spans="1:9" ht="16.5">
      <c r="A4315" s="10" t="b">
        <v>0</v>
      </c>
      <c r="B4315" s="11" t="str">
        <f>IF(D4315&lt;&gt;"",IF(COUNTIF('USPTO TMs'!A:A,D4315)&gt;0,"Yes","No"),"")</f>
        <v/>
      </c>
      <c r="C4315" s="11"/>
      <c r="D4315" s="11"/>
      <c r="E4315" s="11"/>
      <c r="F4315" s="11"/>
      <c r="G4315" s="11"/>
      <c r="H4315" s="11"/>
      <c r="I4315" s="15"/>
    </row>
    <row r="4316" spans="1:9" ht="16.5">
      <c r="A4316" s="10" t="b">
        <v>0</v>
      </c>
      <c r="B4316" s="11" t="str">
        <f>IF(D4316&lt;&gt;"",IF(COUNTIF('USPTO TMs'!A:A,D4316)&gt;0,"Yes","No"),"")</f>
        <v/>
      </c>
      <c r="C4316" s="11"/>
      <c r="D4316" s="11"/>
      <c r="E4316" s="11"/>
      <c r="F4316" s="11"/>
      <c r="G4316" s="11"/>
      <c r="H4316" s="11"/>
      <c r="I4316" s="15"/>
    </row>
    <row r="4317" spans="1:9" ht="16.5">
      <c r="A4317" s="10" t="b">
        <v>0</v>
      </c>
      <c r="B4317" s="11" t="str">
        <f>IF(D4317&lt;&gt;"",IF(COUNTIF('USPTO TMs'!A:A,D4317)&gt;0,"Yes","No"),"")</f>
        <v/>
      </c>
      <c r="C4317" s="11"/>
      <c r="D4317" s="11"/>
      <c r="E4317" s="11"/>
      <c r="F4317" s="11"/>
      <c r="G4317" s="11"/>
      <c r="H4317" s="11"/>
      <c r="I4317" s="15"/>
    </row>
    <row r="4318" spans="1:9" ht="16.5">
      <c r="A4318" s="10" t="b">
        <v>0</v>
      </c>
      <c r="B4318" s="11" t="str">
        <f>IF(D4318&lt;&gt;"",IF(COUNTIF('USPTO TMs'!A:A,D4318)&gt;0,"Yes","No"),"")</f>
        <v/>
      </c>
      <c r="C4318" s="11"/>
      <c r="D4318" s="11"/>
      <c r="E4318" s="11"/>
      <c r="F4318" s="11"/>
      <c r="G4318" s="11"/>
      <c r="H4318" s="11"/>
      <c r="I4318" s="15"/>
    </row>
    <row r="4319" spans="1:9" ht="16.5">
      <c r="A4319" s="10" t="b">
        <v>0</v>
      </c>
      <c r="B4319" s="11" t="str">
        <f>IF(D4319&lt;&gt;"",IF(COUNTIF('USPTO TMs'!A:A,D4319)&gt;0,"Yes","No"),"")</f>
        <v/>
      </c>
      <c r="C4319" s="11"/>
      <c r="D4319" s="11"/>
      <c r="E4319" s="11"/>
      <c r="F4319" s="11"/>
      <c r="G4319" s="11"/>
      <c r="H4319" s="11"/>
      <c r="I4319" s="15"/>
    </row>
    <row r="4320" spans="1:9" ht="16.5">
      <c r="A4320" s="10" t="b">
        <v>0</v>
      </c>
      <c r="B4320" s="11" t="str">
        <f>IF(D4320&lt;&gt;"",IF(COUNTIF('USPTO TMs'!A:A,D4320)&gt;0,"Yes","No"),"")</f>
        <v/>
      </c>
      <c r="C4320" s="11"/>
      <c r="D4320" s="11"/>
      <c r="E4320" s="11"/>
      <c r="F4320" s="11"/>
      <c r="G4320" s="11"/>
      <c r="H4320" s="11"/>
      <c r="I4320" s="15"/>
    </row>
    <row r="4321" spans="1:9" ht="16.5">
      <c r="A4321" s="10" t="b">
        <v>0</v>
      </c>
      <c r="B4321" s="11" t="str">
        <f>IF(D4321&lt;&gt;"",IF(COUNTIF('USPTO TMs'!A:A,D4321)&gt;0,"Yes","No"),"")</f>
        <v/>
      </c>
      <c r="C4321" s="11"/>
      <c r="D4321" s="11"/>
      <c r="E4321" s="11"/>
      <c r="F4321" s="11"/>
      <c r="G4321" s="11"/>
      <c r="H4321" s="11"/>
      <c r="I4321" s="15"/>
    </row>
    <row r="4322" spans="1:9" ht="16.5">
      <c r="A4322" s="10" t="b">
        <v>0</v>
      </c>
      <c r="B4322" s="11" t="str">
        <f>IF(D4322&lt;&gt;"",IF(COUNTIF('USPTO TMs'!A:A,D4322)&gt;0,"Yes","No"),"")</f>
        <v/>
      </c>
      <c r="C4322" s="11"/>
      <c r="D4322" s="11"/>
      <c r="E4322" s="11"/>
      <c r="F4322" s="11"/>
      <c r="G4322" s="11"/>
      <c r="H4322" s="11"/>
      <c r="I4322" s="15"/>
    </row>
    <row r="4323" spans="1:9" ht="16.5">
      <c r="A4323" s="10" t="b">
        <v>0</v>
      </c>
      <c r="B4323" s="11" t="str">
        <f>IF(D4323&lt;&gt;"",IF(COUNTIF('USPTO TMs'!A:A,D4323)&gt;0,"Yes","No"),"")</f>
        <v/>
      </c>
      <c r="C4323" s="11"/>
      <c r="D4323" s="11"/>
      <c r="E4323" s="11"/>
      <c r="F4323" s="11"/>
      <c r="G4323" s="11"/>
      <c r="H4323" s="11"/>
      <c r="I4323" s="15"/>
    </row>
    <row r="4324" spans="1:9" ht="16.5">
      <c r="A4324" s="10" t="b">
        <v>0</v>
      </c>
      <c r="B4324" s="11" t="str">
        <f>IF(D4324&lt;&gt;"",IF(COUNTIF('USPTO TMs'!A:A,D4324)&gt;0,"Yes","No"),"")</f>
        <v/>
      </c>
      <c r="C4324" s="11"/>
      <c r="D4324" s="11"/>
      <c r="E4324" s="11"/>
      <c r="F4324" s="11"/>
      <c r="G4324" s="11"/>
      <c r="H4324" s="11"/>
      <c r="I4324" s="15"/>
    </row>
    <row r="4325" spans="1:9" ht="16.5">
      <c r="A4325" s="10" t="b">
        <v>0</v>
      </c>
      <c r="B4325" s="11" t="str">
        <f>IF(D4325&lt;&gt;"",IF(COUNTIF('USPTO TMs'!A:A,D4325)&gt;0,"Yes","No"),"")</f>
        <v/>
      </c>
      <c r="C4325" s="11"/>
      <c r="D4325" s="11"/>
      <c r="E4325" s="11"/>
      <c r="F4325" s="11"/>
      <c r="G4325" s="11"/>
      <c r="H4325" s="11"/>
      <c r="I4325" s="15"/>
    </row>
    <row r="4326" spans="1:9" ht="16.5">
      <c r="A4326" s="10" t="b">
        <v>0</v>
      </c>
      <c r="B4326" s="11" t="str">
        <f>IF(D4326&lt;&gt;"",IF(COUNTIF('USPTO TMs'!A:A,D4326)&gt;0,"Yes","No"),"")</f>
        <v/>
      </c>
      <c r="C4326" s="11"/>
      <c r="D4326" s="11"/>
      <c r="E4326" s="11"/>
      <c r="F4326" s="11"/>
      <c r="G4326" s="11"/>
      <c r="H4326" s="11"/>
      <c r="I4326" s="15"/>
    </row>
    <row r="4327" spans="1:9" ht="16.5">
      <c r="A4327" s="10" t="b">
        <v>0</v>
      </c>
      <c r="B4327" s="11" t="str">
        <f>IF(D4327&lt;&gt;"",IF(COUNTIF('USPTO TMs'!A:A,D4327)&gt;0,"Yes","No"),"")</f>
        <v/>
      </c>
      <c r="C4327" s="11"/>
      <c r="D4327" s="11"/>
      <c r="E4327" s="11"/>
      <c r="F4327" s="11"/>
      <c r="G4327" s="11"/>
      <c r="H4327" s="11"/>
      <c r="I4327" s="15"/>
    </row>
    <row r="4328" spans="1:9" ht="16.5">
      <c r="A4328" s="10" t="b">
        <v>0</v>
      </c>
      <c r="B4328" s="11" t="str">
        <f>IF(D4328&lt;&gt;"",IF(COUNTIF('USPTO TMs'!A:A,D4328)&gt;0,"Yes","No"),"")</f>
        <v/>
      </c>
      <c r="C4328" s="11"/>
      <c r="D4328" s="11"/>
      <c r="E4328" s="11"/>
      <c r="F4328" s="11"/>
      <c r="G4328" s="11"/>
      <c r="H4328" s="11"/>
      <c r="I4328" s="15"/>
    </row>
    <row r="4329" spans="1:9" ht="16.5">
      <c r="A4329" s="10" t="b">
        <v>0</v>
      </c>
      <c r="B4329" s="11" t="str">
        <f>IF(D4329&lt;&gt;"",IF(COUNTIF('USPTO TMs'!A:A,D4329)&gt;0,"Yes","No"),"")</f>
        <v/>
      </c>
      <c r="C4329" s="11"/>
      <c r="D4329" s="11"/>
      <c r="E4329" s="11"/>
      <c r="F4329" s="11"/>
      <c r="G4329" s="11"/>
      <c r="H4329" s="11"/>
      <c r="I4329" s="15"/>
    </row>
    <row r="4330" spans="1:9" ht="16.5">
      <c r="A4330" s="10" t="b">
        <v>0</v>
      </c>
      <c r="B4330" s="11" t="str">
        <f>IF(D4330&lt;&gt;"",IF(COUNTIF('USPTO TMs'!A:A,D4330)&gt;0,"Yes","No"),"")</f>
        <v/>
      </c>
      <c r="C4330" s="11"/>
      <c r="D4330" s="11"/>
      <c r="E4330" s="11"/>
      <c r="F4330" s="11"/>
      <c r="G4330" s="11"/>
      <c r="H4330" s="11"/>
      <c r="I4330" s="15"/>
    </row>
    <row r="4331" spans="1:9" ht="16.5">
      <c r="A4331" s="10" t="b">
        <v>0</v>
      </c>
      <c r="B4331" s="11" t="str">
        <f>IF(D4331&lt;&gt;"",IF(COUNTIF('USPTO TMs'!A:A,D4331)&gt;0,"Yes","No"),"")</f>
        <v/>
      </c>
      <c r="C4331" s="11"/>
      <c r="D4331" s="11"/>
      <c r="E4331" s="11"/>
      <c r="F4331" s="11"/>
      <c r="G4331" s="11"/>
      <c r="H4331" s="11"/>
      <c r="I4331" s="15"/>
    </row>
    <row r="4332" spans="1:9" ht="16.5">
      <c r="A4332" s="10" t="b">
        <v>0</v>
      </c>
      <c r="B4332" s="11" t="str">
        <f>IF(D4332&lt;&gt;"",IF(COUNTIF('USPTO TMs'!A:A,D4332)&gt;0,"Yes","No"),"")</f>
        <v/>
      </c>
      <c r="C4332" s="11"/>
      <c r="D4332" s="11"/>
      <c r="E4332" s="11"/>
      <c r="F4332" s="11"/>
      <c r="G4332" s="11"/>
      <c r="H4332" s="11"/>
      <c r="I4332" s="15"/>
    </row>
    <row r="4333" spans="1:9" ht="16.5">
      <c r="A4333" s="10" t="b">
        <v>0</v>
      </c>
      <c r="B4333" s="11" t="str">
        <f>IF(D4333&lt;&gt;"",IF(COUNTIF('USPTO TMs'!A:A,D4333)&gt;0,"Yes","No"),"")</f>
        <v/>
      </c>
      <c r="C4333" s="11"/>
      <c r="D4333" s="11"/>
      <c r="E4333" s="11"/>
      <c r="F4333" s="11"/>
      <c r="G4333" s="11"/>
      <c r="H4333" s="11"/>
      <c r="I4333" s="15"/>
    </row>
    <row r="4334" spans="1:9" ht="16.5">
      <c r="A4334" s="10" t="b">
        <v>0</v>
      </c>
      <c r="B4334" s="11" t="str">
        <f>IF(D4334&lt;&gt;"",IF(COUNTIF('USPTO TMs'!A:A,D4334)&gt;0,"Yes","No"),"")</f>
        <v/>
      </c>
      <c r="C4334" s="11"/>
      <c r="D4334" s="11"/>
      <c r="E4334" s="11"/>
      <c r="F4334" s="11"/>
      <c r="G4334" s="11"/>
      <c r="H4334" s="11"/>
      <c r="I4334" s="15"/>
    </row>
    <row r="4335" spans="1:9" ht="16.5">
      <c r="A4335" s="10" t="b">
        <v>0</v>
      </c>
      <c r="B4335" s="11" t="str">
        <f>IF(D4335&lt;&gt;"",IF(COUNTIF('USPTO TMs'!A:A,D4335)&gt;0,"Yes","No"),"")</f>
        <v/>
      </c>
      <c r="C4335" s="11"/>
      <c r="D4335" s="11"/>
      <c r="E4335" s="11"/>
      <c r="F4335" s="11"/>
      <c r="G4335" s="11"/>
      <c r="H4335" s="11"/>
      <c r="I4335" s="15"/>
    </row>
    <row r="4336" spans="1:9" ht="16.5">
      <c r="A4336" s="10" t="b">
        <v>0</v>
      </c>
      <c r="B4336" s="11" t="str">
        <f>IF(D4336&lt;&gt;"",IF(COUNTIF('USPTO TMs'!A:A,D4336)&gt;0,"Yes","No"),"")</f>
        <v/>
      </c>
      <c r="C4336" s="11"/>
      <c r="D4336" s="11"/>
      <c r="E4336" s="11"/>
      <c r="F4336" s="11"/>
      <c r="G4336" s="11"/>
      <c r="H4336" s="11"/>
      <c r="I4336" s="15"/>
    </row>
    <row r="4337" spans="1:9" ht="16.5">
      <c r="A4337" s="10" t="b">
        <v>0</v>
      </c>
      <c r="B4337" s="11" t="str">
        <f>IF(D4337&lt;&gt;"",IF(COUNTIF('USPTO TMs'!A:A,D4337)&gt;0,"Yes","No"),"")</f>
        <v/>
      </c>
      <c r="C4337" s="11"/>
      <c r="D4337" s="11"/>
      <c r="E4337" s="11"/>
      <c r="F4337" s="11"/>
      <c r="G4337" s="11"/>
      <c r="H4337" s="11"/>
      <c r="I4337" s="15"/>
    </row>
    <row r="4338" spans="1:9" ht="16.5">
      <c r="A4338" s="10" t="b">
        <v>0</v>
      </c>
      <c r="B4338" s="11" t="str">
        <f>IF(D4338&lt;&gt;"",IF(COUNTIF('USPTO TMs'!A:A,D4338)&gt;0,"Yes","No"),"")</f>
        <v/>
      </c>
      <c r="C4338" s="11"/>
      <c r="D4338" s="11"/>
      <c r="E4338" s="11"/>
      <c r="F4338" s="11"/>
      <c r="G4338" s="11"/>
      <c r="H4338" s="11"/>
      <c r="I4338" s="15"/>
    </row>
    <row r="4339" spans="1:9" ht="16.5">
      <c r="A4339" s="10" t="b">
        <v>0</v>
      </c>
      <c r="B4339" s="11" t="str">
        <f>IF(D4339&lt;&gt;"",IF(COUNTIF('USPTO TMs'!A:A,D4339)&gt;0,"Yes","No"),"")</f>
        <v/>
      </c>
      <c r="C4339" s="11"/>
      <c r="D4339" s="11"/>
      <c r="E4339" s="11"/>
      <c r="F4339" s="11"/>
      <c r="G4339" s="11"/>
      <c r="H4339" s="11"/>
      <c r="I4339" s="15"/>
    </row>
    <row r="4340" spans="1:9" ht="16.5">
      <c r="A4340" s="10" t="b">
        <v>0</v>
      </c>
      <c r="B4340" s="11" t="str">
        <f>IF(D4340&lt;&gt;"",IF(COUNTIF('USPTO TMs'!A:A,D4340)&gt;0,"Yes","No"),"")</f>
        <v/>
      </c>
      <c r="C4340" s="11"/>
      <c r="D4340" s="11"/>
      <c r="E4340" s="11"/>
      <c r="F4340" s="11"/>
      <c r="G4340" s="11"/>
      <c r="H4340" s="11"/>
      <c r="I4340" s="15"/>
    </row>
    <row r="4341" spans="1:9" ht="16.5">
      <c r="A4341" s="10" t="b">
        <v>0</v>
      </c>
      <c r="B4341" s="11" t="str">
        <f>IF(D4341&lt;&gt;"",IF(COUNTIF('USPTO TMs'!A:A,D4341)&gt;0,"Yes","No"),"")</f>
        <v/>
      </c>
      <c r="C4341" s="11"/>
      <c r="D4341" s="11"/>
      <c r="E4341" s="11"/>
      <c r="F4341" s="11"/>
      <c r="G4341" s="11"/>
      <c r="H4341" s="11"/>
      <c r="I4341" s="15"/>
    </row>
    <row r="4342" spans="1:9" ht="16.5">
      <c r="A4342" s="10" t="b">
        <v>0</v>
      </c>
      <c r="B4342" s="11" t="str">
        <f>IF(D4342&lt;&gt;"",IF(COUNTIF('USPTO TMs'!A:A,D4342)&gt;0,"Yes","No"),"")</f>
        <v/>
      </c>
      <c r="C4342" s="11"/>
      <c r="D4342" s="11"/>
      <c r="E4342" s="11"/>
      <c r="F4342" s="11"/>
      <c r="G4342" s="11"/>
      <c r="H4342" s="11"/>
      <c r="I4342" s="15"/>
    </row>
    <row r="4343" spans="1:9" ht="16.5">
      <c r="A4343" s="10" t="b">
        <v>0</v>
      </c>
      <c r="B4343" s="11" t="str">
        <f>IF(D4343&lt;&gt;"",IF(COUNTIF('USPTO TMs'!A:A,D4343)&gt;0,"Yes","No"),"")</f>
        <v/>
      </c>
      <c r="C4343" s="11"/>
      <c r="D4343" s="11"/>
      <c r="E4343" s="11"/>
      <c r="F4343" s="11"/>
      <c r="G4343" s="11"/>
      <c r="H4343" s="11"/>
      <c r="I4343" s="15"/>
    </row>
    <row r="4344" spans="1:9" ht="16.5">
      <c r="A4344" s="10" t="b">
        <v>0</v>
      </c>
      <c r="B4344" s="11" t="str">
        <f>IF(D4344&lt;&gt;"",IF(COUNTIF('USPTO TMs'!A:A,D4344)&gt;0,"Yes","No"),"")</f>
        <v/>
      </c>
      <c r="C4344" s="11"/>
      <c r="D4344" s="11"/>
      <c r="E4344" s="11"/>
      <c r="F4344" s="11"/>
      <c r="G4344" s="11"/>
      <c r="H4344" s="11"/>
      <c r="I4344" s="15"/>
    </row>
    <row r="4345" spans="1:9" ht="16.5">
      <c r="A4345" s="10" t="b">
        <v>0</v>
      </c>
      <c r="B4345" s="11" t="str">
        <f>IF(D4345&lt;&gt;"",IF(COUNTIF('USPTO TMs'!A:A,D4345)&gt;0,"Yes","No"),"")</f>
        <v/>
      </c>
      <c r="C4345" s="11"/>
      <c r="D4345" s="11"/>
      <c r="E4345" s="11"/>
      <c r="F4345" s="11"/>
      <c r="G4345" s="11"/>
      <c r="H4345" s="11"/>
      <c r="I4345" s="15"/>
    </row>
    <row r="4346" spans="1:9" ht="16.5">
      <c r="A4346" s="10" t="b">
        <v>0</v>
      </c>
      <c r="B4346" s="11" t="str">
        <f>IF(D4346&lt;&gt;"",IF(COUNTIF('USPTO TMs'!A:A,D4346)&gt;0,"Yes","No"),"")</f>
        <v/>
      </c>
      <c r="C4346" s="11"/>
      <c r="D4346" s="11"/>
      <c r="E4346" s="11"/>
      <c r="F4346" s="11"/>
      <c r="G4346" s="11"/>
      <c r="H4346" s="11"/>
      <c r="I4346" s="15"/>
    </row>
    <row r="4347" spans="1:9" ht="16.5">
      <c r="A4347" s="10" t="b">
        <v>0</v>
      </c>
      <c r="B4347" s="11" t="str">
        <f>IF(D4347&lt;&gt;"",IF(COUNTIF('USPTO TMs'!A:A,D4347)&gt;0,"Yes","No"),"")</f>
        <v/>
      </c>
      <c r="C4347" s="11"/>
      <c r="D4347" s="11"/>
      <c r="E4347" s="11"/>
      <c r="F4347" s="11"/>
      <c r="G4347" s="11"/>
      <c r="H4347" s="11"/>
      <c r="I4347" s="15"/>
    </row>
    <row r="4348" spans="1:9" ht="16.5">
      <c r="A4348" s="10" t="b">
        <v>0</v>
      </c>
      <c r="B4348" s="11" t="str">
        <f>IF(D4348&lt;&gt;"",IF(COUNTIF('USPTO TMs'!A:A,D4348)&gt;0,"Yes","No"),"")</f>
        <v/>
      </c>
      <c r="C4348" s="11"/>
      <c r="D4348" s="11"/>
      <c r="E4348" s="11"/>
      <c r="F4348" s="11"/>
      <c r="G4348" s="11"/>
      <c r="H4348" s="11"/>
      <c r="I4348" s="15"/>
    </row>
    <row r="4349" spans="1:9" ht="16.5">
      <c r="A4349" s="10" t="b">
        <v>0</v>
      </c>
      <c r="B4349" s="11" t="str">
        <f>IF(D4349&lt;&gt;"",IF(COUNTIF('USPTO TMs'!A:A,D4349)&gt;0,"Yes","No"),"")</f>
        <v/>
      </c>
      <c r="C4349" s="11"/>
      <c r="D4349" s="11"/>
      <c r="E4349" s="11"/>
      <c r="F4349" s="11"/>
      <c r="G4349" s="11"/>
      <c r="H4349" s="11"/>
      <c r="I4349" s="15"/>
    </row>
    <row r="4350" spans="1:9" ht="16.5">
      <c r="A4350" s="10" t="b">
        <v>0</v>
      </c>
      <c r="B4350" s="11" t="str">
        <f>IF(D4350&lt;&gt;"",IF(COUNTIF('USPTO TMs'!A:A,D4350)&gt;0,"Yes","No"),"")</f>
        <v/>
      </c>
      <c r="C4350" s="11"/>
      <c r="D4350" s="11"/>
      <c r="E4350" s="11"/>
      <c r="F4350" s="11"/>
      <c r="G4350" s="11"/>
      <c r="H4350" s="11"/>
      <c r="I4350" s="15"/>
    </row>
    <row r="4351" spans="1:9" ht="16.5">
      <c r="A4351" s="10" t="b">
        <v>0</v>
      </c>
      <c r="B4351" s="11" t="str">
        <f>IF(D4351&lt;&gt;"",IF(COUNTIF('USPTO TMs'!A:A,D4351)&gt;0,"Yes","No"),"")</f>
        <v/>
      </c>
      <c r="C4351" s="11"/>
      <c r="D4351" s="11"/>
      <c r="E4351" s="11"/>
      <c r="F4351" s="11"/>
      <c r="G4351" s="11"/>
      <c r="H4351" s="11"/>
      <c r="I4351" s="15"/>
    </row>
    <row r="4352" spans="1:9" ht="16.5">
      <c r="A4352" s="10" t="b">
        <v>0</v>
      </c>
      <c r="B4352" s="11" t="str">
        <f>IF(D4352&lt;&gt;"",IF(COUNTIF('USPTO TMs'!A:A,D4352)&gt;0,"Yes","No"),"")</f>
        <v/>
      </c>
      <c r="C4352" s="11"/>
      <c r="D4352" s="11"/>
      <c r="E4352" s="11"/>
      <c r="F4352" s="11"/>
      <c r="G4352" s="11"/>
      <c r="H4352" s="11"/>
      <c r="I4352" s="15"/>
    </row>
    <row r="4353" spans="1:9" ht="16.5">
      <c r="A4353" s="10" t="b">
        <v>0</v>
      </c>
      <c r="B4353" s="11" t="str">
        <f>IF(D4353&lt;&gt;"",IF(COUNTIF('USPTO TMs'!A:A,D4353)&gt;0,"Yes","No"),"")</f>
        <v/>
      </c>
      <c r="C4353" s="11"/>
      <c r="D4353" s="11"/>
      <c r="E4353" s="11"/>
      <c r="F4353" s="11"/>
      <c r="G4353" s="11"/>
      <c r="H4353" s="11"/>
      <c r="I4353" s="15"/>
    </row>
    <row r="4354" spans="1:9" ht="16.5">
      <c r="A4354" s="10" t="b">
        <v>0</v>
      </c>
      <c r="B4354" s="11" t="str">
        <f>IF(D4354&lt;&gt;"",IF(COUNTIF('USPTO TMs'!A:A,D4354)&gt;0,"Yes","No"),"")</f>
        <v/>
      </c>
      <c r="C4354" s="11"/>
      <c r="D4354" s="11"/>
      <c r="E4354" s="11"/>
      <c r="F4354" s="11"/>
      <c r="G4354" s="11"/>
      <c r="H4354" s="11"/>
      <c r="I4354" s="15"/>
    </row>
    <row r="4355" spans="1:9" ht="16.5">
      <c r="A4355" s="10" t="b">
        <v>0</v>
      </c>
      <c r="B4355" s="11" t="str">
        <f>IF(D4355&lt;&gt;"",IF(COUNTIF('USPTO TMs'!A:A,D4355)&gt;0,"Yes","No"),"")</f>
        <v/>
      </c>
      <c r="C4355" s="11"/>
      <c r="D4355" s="11"/>
      <c r="E4355" s="11"/>
      <c r="F4355" s="11"/>
      <c r="G4355" s="11"/>
      <c r="H4355" s="11"/>
      <c r="I4355" s="15"/>
    </row>
    <row r="4356" spans="1:9" ht="16.5">
      <c r="A4356" s="10" t="b">
        <v>0</v>
      </c>
      <c r="B4356" s="11" t="str">
        <f>IF(D4356&lt;&gt;"",IF(COUNTIF('USPTO TMs'!A:A,D4356)&gt;0,"Yes","No"),"")</f>
        <v/>
      </c>
      <c r="C4356" s="11"/>
      <c r="D4356" s="11"/>
      <c r="E4356" s="11"/>
      <c r="F4356" s="11"/>
      <c r="G4356" s="11"/>
      <c r="H4356" s="11"/>
      <c r="I4356" s="15"/>
    </row>
    <row r="4357" spans="1:9" ht="16.5">
      <c r="A4357" s="10" t="b">
        <v>0</v>
      </c>
      <c r="B4357" s="11" t="str">
        <f>IF(D4357&lt;&gt;"",IF(COUNTIF('USPTO TMs'!A:A,D4357)&gt;0,"Yes","No"),"")</f>
        <v/>
      </c>
      <c r="C4357" s="11"/>
      <c r="D4357" s="11"/>
      <c r="E4357" s="11"/>
      <c r="F4357" s="11"/>
      <c r="G4357" s="11"/>
      <c r="H4357" s="11"/>
      <c r="I4357" s="15"/>
    </row>
    <row r="4358" spans="1:9" ht="16.5">
      <c r="A4358" s="10" t="b">
        <v>0</v>
      </c>
      <c r="B4358" s="11" t="str">
        <f>IF(D4358&lt;&gt;"",IF(COUNTIF('USPTO TMs'!A:A,D4358)&gt;0,"Yes","No"),"")</f>
        <v/>
      </c>
      <c r="C4358" s="11"/>
      <c r="D4358" s="11"/>
      <c r="E4358" s="11"/>
      <c r="F4358" s="11"/>
      <c r="G4358" s="11"/>
      <c r="H4358" s="11"/>
      <c r="I4358" s="15"/>
    </row>
    <row r="4359" spans="1:9" ht="16.5">
      <c r="A4359" s="10" t="b">
        <v>0</v>
      </c>
      <c r="B4359" s="11" t="str">
        <f>IF(D4359&lt;&gt;"",IF(COUNTIF('USPTO TMs'!A:A,D4359)&gt;0,"Yes","No"),"")</f>
        <v/>
      </c>
      <c r="C4359" s="11"/>
      <c r="D4359" s="11"/>
      <c r="E4359" s="11"/>
      <c r="F4359" s="11"/>
      <c r="G4359" s="11"/>
      <c r="H4359" s="11"/>
      <c r="I4359" s="15"/>
    </row>
    <row r="4360" spans="1:9" ht="16.5">
      <c r="A4360" s="10" t="b">
        <v>0</v>
      </c>
      <c r="B4360" s="11" t="str">
        <f>IF(D4360&lt;&gt;"",IF(COUNTIF('USPTO TMs'!A:A,D4360)&gt;0,"Yes","No"),"")</f>
        <v/>
      </c>
      <c r="C4360" s="11"/>
      <c r="D4360" s="11"/>
      <c r="E4360" s="11"/>
      <c r="F4360" s="11"/>
      <c r="G4360" s="11"/>
      <c r="H4360" s="11"/>
      <c r="I4360" s="15"/>
    </row>
    <row r="4361" spans="1:9" ht="16.5">
      <c r="A4361" s="10" t="b">
        <v>0</v>
      </c>
      <c r="B4361" s="11" t="str">
        <f>IF(D4361&lt;&gt;"",IF(COUNTIF('USPTO TMs'!A:A,D4361)&gt;0,"Yes","No"),"")</f>
        <v/>
      </c>
      <c r="C4361" s="11"/>
      <c r="D4361" s="11"/>
      <c r="E4361" s="11"/>
      <c r="F4361" s="11"/>
      <c r="G4361" s="11"/>
      <c r="H4361" s="11"/>
      <c r="I4361" s="15"/>
    </row>
    <row r="4362" spans="1:9" ht="16.5">
      <c r="A4362" s="10" t="b">
        <v>0</v>
      </c>
      <c r="B4362" s="11" t="str">
        <f>IF(D4362&lt;&gt;"",IF(COUNTIF('USPTO TMs'!A:A,D4362)&gt;0,"Yes","No"),"")</f>
        <v/>
      </c>
      <c r="C4362" s="11"/>
      <c r="D4362" s="11"/>
      <c r="E4362" s="11"/>
      <c r="F4362" s="11"/>
      <c r="G4362" s="11"/>
      <c r="H4362" s="11"/>
      <c r="I4362" s="15"/>
    </row>
    <row r="4363" spans="1:9" ht="16.5">
      <c r="A4363" s="10" t="b">
        <v>0</v>
      </c>
      <c r="B4363" s="11" t="str">
        <f>IF(D4363&lt;&gt;"",IF(COUNTIF('USPTO TMs'!A:A,D4363)&gt;0,"Yes","No"),"")</f>
        <v/>
      </c>
      <c r="C4363" s="11"/>
      <c r="D4363" s="11"/>
      <c r="E4363" s="11"/>
      <c r="F4363" s="11"/>
      <c r="G4363" s="11"/>
      <c r="H4363" s="11"/>
      <c r="I4363" s="15"/>
    </row>
    <row r="4364" spans="1:9" ht="16.5">
      <c r="A4364" s="10" t="b">
        <v>0</v>
      </c>
      <c r="B4364" s="11" t="str">
        <f>IF(D4364&lt;&gt;"",IF(COUNTIF('USPTO TMs'!A:A,D4364)&gt;0,"Yes","No"),"")</f>
        <v/>
      </c>
      <c r="C4364" s="11"/>
      <c r="D4364" s="11"/>
      <c r="E4364" s="11"/>
      <c r="F4364" s="11"/>
      <c r="G4364" s="11"/>
      <c r="H4364" s="11"/>
      <c r="I4364" s="15"/>
    </row>
    <row r="4365" spans="1:9" ht="16.5">
      <c r="A4365" s="10" t="b">
        <v>0</v>
      </c>
      <c r="B4365" s="11" t="str">
        <f>IF(D4365&lt;&gt;"",IF(COUNTIF('USPTO TMs'!A:A,D4365)&gt;0,"Yes","No"),"")</f>
        <v/>
      </c>
      <c r="C4365" s="11"/>
      <c r="D4365" s="11"/>
      <c r="E4365" s="11"/>
      <c r="F4365" s="11"/>
      <c r="G4365" s="11"/>
      <c r="H4365" s="11"/>
      <c r="I4365" s="15"/>
    </row>
    <row r="4366" spans="1:9" ht="16.5">
      <c r="A4366" s="10" t="b">
        <v>0</v>
      </c>
      <c r="B4366" s="11" t="str">
        <f>IF(D4366&lt;&gt;"",IF(COUNTIF('USPTO TMs'!A:A,D4366)&gt;0,"Yes","No"),"")</f>
        <v/>
      </c>
      <c r="C4366" s="11"/>
      <c r="D4366" s="11"/>
      <c r="E4366" s="11"/>
      <c r="F4366" s="11"/>
      <c r="G4366" s="11"/>
      <c r="H4366" s="11"/>
      <c r="I4366" s="15"/>
    </row>
    <row r="4367" spans="1:9" ht="16.5">
      <c r="A4367" s="10" t="b">
        <v>0</v>
      </c>
      <c r="B4367" s="11" t="str">
        <f>IF(D4367&lt;&gt;"",IF(COUNTIF('USPTO TMs'!A:A,D4367)&gt;0,"Yes","No"),"")</f>
        <v/>
      </c>
      <c r="C4367" s="11"/>
      <c r="D4367" s="11"/>
      <c r="E4367" s="11"/>
      <c r="F4367" s="11"/>
      <c r="G4367" s="11"/>
      <c r="H4367" s="11"/>
      <c r="I4367" s="15"/>
    </row>
    <row r="4368" spans="1:9" ht="16.5">
      <c r="A4368" s="10" t="b">
        <v>0</v>
      </c>
      <c r="B4368" s="11" t="str">
        <f>IF(D4368&lt;&gt;"",IF(COUNTIF('USPTO TMs'!A:A,D4368)&gt;0,"Yes","No"),"")</f>
        <v/>
      </c>
      <c r="C4368" s="11"/>
      <c r="D4368" s="11"/>
      <c r="E4368" s="11"/>
      <c r="F4368" s="11"/>
      <c r="G4368" s="11"/>
      <c r="H4368" s="11"/>
      <c r="I4368" s="15"/>
    </row>
    <row r="4369" spans="1:9" ht="16.5">
      <c r="A4369" s="10" t="b">
        <v>0</v>
      </c>
      <c r="B4369" s="11" t="str">
        <f>IF(D4369&lt;&gt;"",IF(COUNTIF('USPTO TMs'!A:A,D4369)&gt;0,"Yes","No"),"")</f>
        <v/>
      </c>
      <c r="C4369" s="11"/>
      <c r="D4369" s="11"/>
      <c r="E4369" s="11"/>
      <c r="F4369" s="11"/>
      <c r="G4369" s="11"/>
      <c r="H4369" s="11"/>
      <c r="I4369" s="15"/>
    </row>
    <row r="4370" spans="1:9" ht="16.5">
      <c r="A4370" s="10" t="b">
        <v>0</v>
      </c>
      <c r="B4370" s="11" t="str">
        <f>IF(D4370&lt;&gt;"",IF(COUNTIF('USPTO TMs'!A:A,D4370)&gt;0,"Yes","No"),"")</f>
        <v/>
      </c>
      <c r="C4370" s="11"/>
      <c r="D4370" s="11"/>
      <c r="E4370" s="11"/>
      <c r="F4370" s="11"/>
      <c r="G4370" s="11"/>
      <c r="H4370" s="11"/>
      <c r="I4370" s="15"/>
    </row>
    <row r="4371" spans="1:9" ht="16.5">
      <c r="A4371" s="10" t="b">
        <v>0</v>
      </c>
      <c r="B4371" s="11" t="str">
        <f>IF(D4371&lt;&gt;"",IF(COUNTIF('USPTO TMs'!A:A,D4371)&gt;0,"Yes","No"),"")</f>
        <v/>
      </c>
      <c r="C4371" s="11"/>
      <c r="D4371" s="11"/>
      <c r="E4371" s="11"/>
      <c r="F4371" s="11"/>
      <c r="G4371" s="11"/>
      <c r="H4371" s="11"/>
      <c r="I4371" s="15"/>
    </row>
    <row r="4372" spans="1:9" ht="16.5">
      <c r="A4372" s="10" t="b">
        <v>0</v>
      </c>
      <c r="B4372" s="11" t="str">
        <f>IF(D4372&lt;&gt;"",IF(COUNTIF('USPTO TMs'!A:A,D4372)&gt;0,"Yes","No"),"")</f>
        <v/>
      </c>
      <c r="C4372" s="11"/>
      <c r="D4372" s="11"/>
      <c r="E4372" s="11"/>
      <c r="F4372" s="11"/>
      <c r="G4372" s="11"/>
      <c r="H4372" s="11"/>
      <c r="I4372" s="15"/>
    </row>
    <row r="4373" spans="1:9" ht="16.5">
      <c r="A4373" s="10" t="b">
        <v>0</v>
      </c>
      <c r="B4373" s="11" t="str">
        <f>IF(D4373&lt;&gt;"",IF(COUNTIF('USPTO TMs'!A:A,D4373)&gt;0,"Yes","No"),"")</f>
        <v/>
      </c>
      <c r="C4373" s="11"/>
      <c r="D4373" s="11"/>
      <c r="E4373" s="11"/>
      <c r="F4373" s="11"/>
      <c r="G4373" s="11"/>
      <c r="H4373" s="11"/>
      <c r="I4373" s="15"/>
    </row>
    <row r="4374" spans="1:9" ht="16.5">
      <c r="A4374" s="10" t="b">
        <v>0</v>
      </c>
      <c r="B4374" s="11" t="str">
        <f>IF(D4374&lt;&gt;"",IF(COUNTIF('USPTO TMs'!A:A,D4374)&gt;0,"Yes","No"),"")</f>
        <v/>
      </c>
      <c r="C4374" s="11"/>
      <c r="D4374" s="11"/>
      <c r="E4374" s="11"/>
      <c r="F4374" s="11"/>
      <c r="G4374" s="11"/>
      <c r="H4374" s="11"/>
      <c r="I4374" s="15"/>
    </row>
    <row r="4375" spans="1:9" ht="16.5">
      <c r="A4375" s="10" t="b">
        <v>0</v>
      </c>
      <c r="B4375" s="11" t="str">
        <f>IF(D4375&lt;&gt;"",IF(COUNTIF('USPTO TMs'!A:A,D4375)&gt;0,"Yes","No"),"")</f>
        <v/>
      </c>
      <c r="C4375" s="11"/>
      <c r="D4375" s="11"/>
      <c r="E4375" s="11"/>
      <c r="F4375" s="11"/>
      <c r="G4375" s="11"/>
      <c r="H4375" s="11"/>
      <c r="I4375" s="15"/>
    </row>
    <row r="4376" spans="1:9" ht="16.5">
      <c r="A4376" s="10" t="b">
        <v>0</v>
      </c>
      <c r="B4376" s="11" t="str">
        <f>IF(D4376&lt;&gt;"",IF(COUNTIF('USPTO TMs'!A:A,D4376)&gt;0,"Yes","No"),"")</f>
        <v/>
      </c>
      <c r="C4376" s="11"/>
      <c r="D4376" s="11"/>
      <c r="E4376" s="11"/>
      <c r="F4376" s="11"/>
      <c r="G4376" s="11"/>
      <c r="H4376" s="11"/>
      <c r="I4376" s="15"/>
    </row>
    <row r="4377" spans="1:9" ht="16.5">
      <c r="A4377" s="10" t="b">
        <v>0</v>
      </c>
      <c r="B4377" s="11" t="str">
        <f>IF(D4377&lt;&gt;"",IF(COUNTIF('USPTO TMs'!A:A,D4377)&gt;0,"Yes","No"),"")</f>
        <v/>
      </c>
      <c r="C4377" s="11"/>
      <c r="D4377" s="11"/>
      <c r="E4377" s="11"/>
      <c r="F4377" s="11"/>
      <c r="G4377" s="11"/>
      <c r="H4377" s="11"/>
      <c r="I4377" s="15"/>
    </row>
    <row r="4378" spans="1:9" ht="16.5">
      <c r="A4378" s="10" t="b">
        <v>0</v>
      </c>
      <c r="B4378" s="11" t="str">
        <f>IF(D4378&lt;&gt;"",IF(COUNTIF('USPTO TMs'!A:A,D4378)&gt;0,"Yes","No"),"")</f>
        <v/>
      </c>
      <c r="C4378" s="11"/>
      <c r="D4378" s="11"/>
      <c r="E4378" s="11"/>
      <c r="F4378" s="11"/>
      <c r="G4378" s="11"/>
      <c r="H4378" s="11"/>
      <c r="I4378" s="15"/>
    </row>
    <row r="4379" spans="1:9" ht="16.5">
      <c r="A4379" s="10" t="b">
        <v>0</v>
      </c>
      <c r="B4379" s="11" t="str">
        <f>IF(D4379&lt;&gt;"",IF(COUNTIF('USPTO TMs'!A:A,D4379)&gt;0,"Yes","No"),"")</f>
        <v/>
      </c>
      <c r="C4379" s="11"/>
      <c r="D4379" s="11"/>
      <c r="E4379" s="11"/>
      <c r="F4379" s="11"/>
      <c r="G4379" s="11"/>
      <c r="H4379" s="11"/>
      <c r="I4379" s="15"/>
    </row>
    <row r="4380" spans="1:9" ht="16.5">
      <c r="A4380" s="10" t="b">
        <v>0</v>
      </c>
      <c r="B4380" s="11" t="str">
        <f>IF(D4380&lt;&gt;"",IF(COUNTIF('USPTO TMs'!A:A,D4380)&gt;0,"Yes","No"),"")</f>
        <v/>
      </c>
      <c r="C4380" s="11"/>
      <c r="D4380" s="11"/>
      <c r="E4380" s="11"/>
      <c r="F4380" s="11"/>
      <c r="G4380" s="11"/>
      <c r="H4380" s="11"/>
      <c r="I4380" s="15"/>
    </row>
    <row r="4381" spans="1:9" ht="16.5">
      <c r="A4381" s="10" t="b">
        <v>0</v>
      </c>
      <c r="B4381" s="11" t="str">
        <f>IF(D4381&lt;&gt;"",IF(COUNTIF('USPTO TMs'!A:A,D4381)&gt;0,"Yes","No"),"")</f>
        <v/>
      </c>
      <c r="C4381" s="11"/>
      <c r="D4381" s="11"/>
      <c r="E4381" s="11"/>
      <c r="F4381" s="11"/>
      <c r="G4381" s="11"/>
      <c r="H4381" s="11"/>
      <c r="I4381" s="15"/>
    </row>
    <row r="4382" spans="1:9" ht="16.5">
      <c r="A4382" s="10" t="b">
        <v>0</v>
      </c>
      <c r="B4382" s="11" t="str">
        <f>IF(D4382&lt;&gt;"",IF(COUNTIF('USPTO TMs'!A:A,D4382)&gt;0,"Yes","No"),"")</f>
        <v/>
      </c>
      <c r="C4382" s="11"/>
      <c r="D4382" s="11"/>
      <c r="E4382" s="11"/>
      <c r="F4382" s="11"/>
      <c r="G4382" s="11"/>
      <c r="H4382" s="11"/>
      <c r="I4382" s="15"/>
    </row>
    <row r="4383" spans="1:9" ht="16.5">
      <c r="A4383" s="10" t="b">
        <v>0</v>
      </c>
      <c r="B4383" s="11" t="str">
        <f>IF(D4383&lt;&gt;"",IF(COUNTIF('USPTO TMs'!A:A,D4383)&gt;0,"Yes","No"),"")</f>
        <v/>
      </c>
      <c r="C4383" s="11"/>
      <c r="D4383" s="11"/>
      <c r="E4383" s="11"/>
      <c r="F4383" s="11"/>
      <c r="G4383" s="11"/>
      <c r="H4383" s="11"/>
      <c r="I4383" s="15"/>
    </row>
    <row r="4384" spans="1:9" ht="16.5">
      <c r="A4384" s="10" t="b">
        <v>0</v>
      </c>
      <c r="B4384" s="11" t="str">
        <f>IF(D4384&lt;&gt;"",IF(COUNTIF('USPTO TMs'!A:A,D4384)&gt;0,"Yes","No"),"")</f>
        <v/>
      </c>
      <c r="C4384" s="11"/>
      <c r="D4384" s="11"/>
      <c r="E4384" s="11"/>
      <c r="F4384" s="11"/>
      <c r="G4384" s="11"/>
      <c r="H4384" s="11"/>
      <c r="I4384" s="15"/>
    </row>
    <row r="4385" spans="1:9" ht="16.5">
      <c r="A4385" s="10" t="b">
        <v>0</v>
      </c>
      <c r="B4385" s="11" t="str">
        <f>IF(D4385&lt;&gt;"",IF(COUNTIF('USPTO TMs'!A:A,D4385)&gt;0,"Yes","No"),"")</f>
        <v/>
      </c>
      <c r="C4385" s="11"/>
      <c r="D4385" s="11"/>
      <c r="E4385" s="11"/>
      <c r="F4385" s="11"/>
      <c r="G4385" s="11"/>
      <c r="H4385" s="11"/>
      <c r="I4385" s="15"/>
    </row>
    <row r="4386" spans="1:9" ht="16.5">
      <c r="A4386" s="10" t="b">
        <v>0</v>
      </c>
      <c r="B4386" s="11" t="str">
        <f>IF(D4386&lt;&gt;"",IF(COUNTIF('USPTO TMs'!A:A,D4386)&gt;0,"Yes","No"),"")</f>
        <v/>
      </c>
      <c r="C4386" s="11"/>
      <c r="D4386" s="11"/>
      <c r="E4386" s="11"/>
      <c r="F4386" s="11"/>
      <c r="G4386" s="11"/>
      <c r="H4386" s="11"/>
      <c r="I4386" s="15"/>
    </row>
    <row r="4387" spans="1:9" ht="16.5">
      <c r="A4387" s="10" t="b">
        <v>0</v>
      </c>
      <c r="B4387" s="11" t="str">
        <f>IF(D4387&lt;&gt;"",IF(COUNTIF('USPTO TMs'!A:A,D4387)&gt;0,"Yes","No"),"")</f>
        <v/>
      </c>
      <c r="C4387" s="11"/>
      <c r="D4387" s="11"/>
      <c r="E4387" s="11"/>
      <c r="F4387" s="11"/>
      <c r="G4387" s="11"/>
      <c r="H4387" s="11"/>
      <c r="I4387" s="15"/>
    </row>
    <row r="4388" spans="1:9" ht="16.5">
      <c r="A4388" s="10" t="b">
        <v>0</v>
      </c>
      <c r="B4388" s="11" t="str">
        <f>IF(D4388&lt;&gt;"",IF(COUNTIF('USPTO TMs'!A:A,D4388)&gt;0,"Yes","No"),"")</f>
        <v/>
      </c>
      <c r="C4388" s="11"/>
      <c r="D4388" s="11"/>
      <c r="E4388" s="11"/>
      <c r="F4388" s="11"/>
      <c r="G4388" s="11"/>
      <c r="H4388" s="11"/>
      <c r="I4388" s="15"/>
    </row>
    <row r="4389" spans="1:9" ht="16.5">
      <c r="A4389" s="10" t="b">
        <v>0</v>
      </c>
      <c r="B4389" s="11" t="str">
        <f>IF(D4389&lt;&gt;"",IF(COUNTIF('USPTO TMs'!A:A,D4389)&gt;0,"Yes","No"),"")</f>
        <v/>
      </c>
      <c r="C4389" s="11"/>
      <c r="D4389" s="11"/>
      <c r="E4389" s="11"/>
      <c r="F4389" s="11"/>
      <c r="G4389" s="11"/>
      <c r="H4389" s="11"/>
      <c r="I4389" s="15"/>
    </row>
    <row r="4390" spans="1:9" ht="16.5">
      <c r="A4390" s="10" t="b">
        <v>0</v>
      </c>
      <c r="B4390" s="11" t="str">
        <f>IF(D4390&lt;&gt;"",IF(COUNTIF('USPTO TMs'!A:A,D4390)&gt;0,"Yes","No"),"")</f>
        <v/>
      </c>
      <c r="C4390" s="11"/>
      <c r="D4390" s="11"/>
      <c r="E4390" s="11"/>
      <c r="F4390" s="11"/>
      <c r="G4390" s="11"/>
      <c r="H4390" s="11"/>
      <c r="I4390" s="15"/>
    </row>
    <row r="4391" spans="1:9" ht="16.5">
      <c r="A4391" s="10" t="b">
        <v>0</v>
      </c>
      <c r="B4391" s="11" t="str">
        <f>IF(D4391&lt;&gt;"",IF(COUNTIF('USPTO TMs'!A:A,D4391)&gt;0,"Yes","No"),"")</f>
        <v/>
      </c>
      <c r="C4391" s="11"/>
      <c r="D4391" s="11"/>
      <c r="E4391" s="11"/>
      <c r="F4391" s="11"/>
      <c r="G4391" s="11"/>
      <c r="H4391" s="11"/>
      <c r="I4391" s="15"/>
    </row>
    <row r="4392" spans="1:9" ht="16.5">
      <c r="A4392" s="10" t="b">
        <v>0</v>
      </c>
      <c r="B4392" s="11" t="str">
        <f>IF(D4392&lt;&gt;"",IF(COUNTIF('USPTO TMs'!A:A,D4392)&gt;0,"Yes","No"),"")</f>
        <v/>
      </c>
      <c r="C4392" s="11"/>
      <c r="D4392" s="11"/>
      <c r="E4392" s="11"/>
      <c r="F4392" s="11"/>
      <c r="G4392" s="11"/>
      <c r="H4392" s="11"/>
      <c r="I4392" s="15"/>
    </row>
    <row r="4393" spans="1:9" ht="16.5">
      <c r="A4393" s="10" t="b">
        <v>0</v>
      </c>
      <c r="B4393" s="11" t="str">
        <f>IF(D4393&lt;&gt;"",IF(COUNTIF('USPTO TMs'!A:A,D4393)&gt;0,"Yes","No"),"")</f>
        <v/>
      </c>
      <c r="C4393" s="11"/>
      <c r="D4393" s="11"/>
      <c r="E4393" s="11"/>
      <c r="F4393" s="11"/>
      <c r="G4393" s="11"/>
      <c r="H4393" s="11"/>
      <c r="I4393" s="15"/>
    </row>
    <row r="4394" spans="1:9" ht="16.5">
      <c r="A4394" s="10" t="b">
        <v>0</v>
      </c>
      <c r="B4394" s="11" t="str">
        <f>IF(D4394&lt;&gt;"",IF(COUNTIF('USPTO TMs'!A:A,D4394)&gt;0,"Yes","No"),"")</f>
        <v/>
      </c>
      <c r="C4394" s="11"/>
      <c r="D4394" s="11"/>
      <c r="E4394" s="11"/>
      <c r="F4394" s="11"/>
      <c r="G4394" s="11"/>
      <c r="H4394" s="11"/>
      <c r="I4394" s="15"/>
    </row>
    <row r="4395" spans="1:9" ht="16.5">
      <c r="A4395" s="10" t="b">
        <v>0</v>
      </c>
      <c r="B4395" s="11" t="str">
        <f>IF(D4395&lt;&gt;"",IF(COUNTIF('USPTO TMs'!A:A,D4395)&gt;0,"Yes","No"),"")</f>
        <v/>
      </c>
      <c r="C4395" s="11"/>
      <c r="D4395" s="11"/>
      <c r="E4395" s="11"/>
      <c r="F4395" s="11"/>
      <c r="G4395" s="11"/>
      <c r="H4395" s="11"/>
      <c r="I4395" s="15"/>
    </row>
    <row r="4396" spans="1:9" ht="16.5">
      <c r="A4396" s="10" t="b">
        <v>0</v>
      </c>
      <c r="B4396" s="11" t="str">
        <f>IF(D4396&lt;&gt;"",IF(COUNTIF('USPTO TMs'!A:A,D4396)&gt;0,"Yes","No"),"")</f>
        <v/>
      </c>
      <c r="C4396" s="11"/>
      <c r="D4396" s="11"/>
      <c r="E4396" s="11"/>
      <c r="F4396" s="11"/>
      <c r="G4396" s="11"/>
      <c r="H4396" s="11"/>
      <c r="I4396" s="15"/>
    </row>
    <row r="4397" spans="1:9" ht="16.5">
      <c r="A4397" s="10" t="b">
        <v>0</v>
      </c>
      <c r="B4397" s="11" t="str">
        <f>IF(D4397&lt;&gt;"",IF(COUNTIF('USPTO TMs'!A:A,D4397)&gt;0,"Yes","No"),"")</f>
        <v/>
      </c>
      <c r="C4397" s="11"/>
      <c r="D4397" s="11"/>
      <c r="E4397" s="11"/>
      <c r="F4397" s="11"/>
      <c r="G4397" s="11"/>
      <c r="H4397" s="11"/>
      <c r="I4397" s="15"/>
    </row>
    <row r="4398" spans="1:9" ht="16.5">
      <c r="A4398" s="10" t="b">
        <v>0</v>
      </c>
      <c r="B4398" s="11" t="str">
        <f>IF(D4398&lt;&gt;"",IF(COUNTIF('USPTO TMs'!A:A,D4398)&gt;0,"Yes","No"),"")</f>
        <v/>
      </c>
      <c r="C4398" s="11"/>
      <c r="D4398" s="11"/>
      <c r="E4398" s="11"/>
      <c r="F4398" s="11"/>
      <c r="G4398" s="11"/>
      <c r="H4398" s="11"/>
      <c r="I4398" s="15"/>
    </row>
    <row r="4399" spans="1:9" ht="16.5">
      <c r="A4399" s="10" t="b">
        <v>0</v>
      </c>
      <c r="B4399" s="11" t="str">
        <f>IF(D4399&lt;&gt;"",IF(COUNTIF('USPTO TMs'!A:A,D4399)&gt;0,"Yes","No"),"")</f>
        <v/>
      </c>
      <c r="C4399" s="11"/>
      <c r="D4399" s="11"/>
      <c r="E4399" s="11"/>
      <c r="F4399" s="11"/>
      <c r="G4399" s="11"/>
      <c r="H4399" s="11"/>
      <c r="I4399" s="15"/>
    </row>
    <row r="4400" spans="1:9" ht="16.5">
      <c r="A4400" s="10" t="b">
        <v>0</v>
      </c>
      <c r="B4400" s="11" t="str">
        <f>IF(D4400&lt;&gt;"",IF(COUNTIF('USPTO TMs'!A:A,D4400)&gt;0,"Yes","No"),"")</f>
        <v/>
      </c>
      <c r="C4400" s="11"/>
      <c r="D4400" s="11"/>
      <c r="E4400" s="11"/>
      <c r="F4400" s="11"/>
      <c r="G4400" s="11"/>
      <c r="H4400" s="11"/>
      <c r="I4400" s="15"/>
    </row>
    <row r="4401" spans="1:9" ht="16.5">
      <c r="A4401" s="10" t="b">
        <v>0</v>
      </c>
      <c r="B4401" s="11" t="str">
        <f>IF(D4401&lt;&gt;"",IF(COUNTIF('USPTO TMs'!A:A,D4401)&gt;0,"Yes","No"),"")</f>
        <v/>
      </c>
      <c r="C4401" s="11"/>
      <c r="D4401" s="11"/>
      <c r="E4401" s="11"/>
      <c r="F4401" s="11"/>
      <c r="G4401" s="11"/>
      <c r="H4401" s="11"/>
      <c r="I4401" s="15"/>
    </row>
    <row r="4402" spans="1:9" ht="16.5">
      <c r="A4402" s="10" t="b">
        <v>0</v>
      </c>
      <c r="B4402" s="11" t="str">
        <f>IF(D4402&lt;&gt;"",IF(COUNTIF('USPTO TMs'!A:A,D4402)&gt;0,"Yes","No"),"")</f>
        <v/>
      </c>
      <c r="C4402" s="11"/>
      <c r="D4402" s="11"/>
      <c r="E4402" s="11"/>
      <c r="F4402" s="11"/>
      <c r="G4402" s="11"/>
      <c r="H4402" s="11"/>
      <c r="I4402" s="15"/>
    </row>
    <row r="4403" spans="1:9" ht="16.5">
      <c r="A4403" s="10" t="b">
        <v>0</v>
      </c>
      <c r="B4403" s="11" t="str">
        <f>IF(D4403&lt;&gt;"",IF(COUNTIF('USPTO TMs'!A:A,D4403)&gt;0,"Yes","No"),"")</f>
        <v/>
      </c>
      <c r="C4403" s="11"/>
      <c r="D4403" s="11"/>
      <c r="E4403" s="11"/>
      <c r="F4403" s="11"/>
      <c r="G4403" s="11"/>
      <c r="H4403" s="11"/>
      <c r="I4403" s="15"/>
    </row>
    <row r="4404" spans="1:9" ht="16.5">
      <c r="A4404" s="10" t="b">
        <v>0</v>
      </c>
      <c r="B4404" s="11" t="str">
        <f>IF(D4404&lt;&gt;"",IF(COUNTIF('USPTO TMs'!A:A,D4404)&gt;0,"Yes","No"),"")</f>
        <v/>
      </c>
      <c r="C4404" s="11"/>
      <c r="D4404" s="11"/>
      <c r="E4404" s="11"/>
      <c r="F4404" s="11"/>
      <c r="G4404" s="11"/>
      <c r="H4404" s="11"/>
      <c r="I4404" s="15"/>
    </row>
    <row r="4405" spans="1:9" ht="16.5">
      <c r="A4405" s="10" t="b">
        <v>0</v>
      </c>
      <c r="B4405" s="11" t="str">
        <f>IF(D4405&lt;&gt;"",IF(COUNTIF('USPTO TMs'!A:A,D4405)&gt;0,"Yes","No"),"")</f>
        <v/>
      </c>
      <c r="C4405" s="11"/>
      <c r="D4405" s="11"/>
      <c r="E4405" s="11"/>
      <c r="F4405" s="11"/>
      <c r="G4405" s="11"/>
      <c r="H4405" s="11"/>
      <c r="I4405" s="15"/>
    </row>
    <row r="4406" spans="1:9" ht="16.5">
      <c r="A4406" s="10" t="b">
        <v>0</v>
      </c>
      <c r="B4406" s="11" t="str">
        <f>IF(D4406&lt;&gt;"",IF(COUNTIF('USPTO TMs'!A:A,D4406)&gt;0,"Yes","No"),"")</f>
        <v/>
      </c>
      <c r="C4406" s="11"/>
      <c r="D4406" s="11"/>
      <c r="E4406" s="11"/>
      <c r="F4406" s="11"/>
      <c r="G4406" s="11"/>
      <c r="H4406" s="11"/>
      <c r="I4406" s="15"/>
    </row>
    <row r="4407" spans="1:9" ht="16.5">
      <c r="A4407" s="10" t="b">
        <v>0</v>
      </c>
      <c r="B4407" s="11" t="str">
        <f>IF(D4407&lt;&gt;"",IF(COUNTIF('USPTO TMs'!A:A,D4407)&gt;0,"Yes","No"),"")</f>
        <v/>
      </c>
      <c r="C4407" s="11"/>
      <c r="D4407" s="11"/>
      <c r="E4407" s="11"/>
      <c r="F4407" s="11"/>
      <c r="G4407" s="11"/>
      <c r="H4407" s="11"/>
      <c r="I4407" s="15"/>
    </row>
    <row r="4408" spans="1:9" ht="16.5">
      <c r="A4408" s="10" t="b">
        <v>0</v>
      </c>
      <c r="B4408" s="11" t="str">
        <f>IF(D4408&lt;&gt;"",IF(COUNTIF('USPTO TMs'!A:A,D4408)&gt;0,"Yes","No"),"")</f>
        <v/>
      </c>
      <c r="C4408" s="11"/>
      <c r="D4408" s="11"/>
      <c r="E4408" s="11"/>
      <c r="F4408" s="11"/>
      <c r="G4408" s="11"/>
      <c r="H4408" s="11"/>
      <c r="I4408" s="15"/>
    </row>
    <row r="4409" spans="1:9" ht="16.5">
      <c r="A4409" s="10" t="b">
        <v>0</v>
      </c>
      <c r="B4409" s="11" t="str">
        <f>IF(D4409&lt;&gt;"",IF(COUNTIF('USPTO TMs'!A:A,D4409)&gt;0,"Yes","No"),"")</f>
        <v/>
      </c>
      <c r="C4409" s="11"/>
      <c r="D4409" s="11"/>
      <c r="E4409" s="11"/>
      <c r="F4409" s="11"/>
      <c r="G4409" s="11"/>
      <c r="H4409" s="11"/>
      <c r="I4409" s="15"/>
    </row>
    <row r="4410" spans="1:9" ht="16.5">
      <c r="A4410" s="10" t="b">
        <v>0</v>
      </c>
      <c r="B4410" s="11" t="str">
        <f>IF(D4410&lt;&gt;"",IF(COUNTIF('USPTO TMs'!A:A,D4410)&gt;0,"Yes","No"),"")</f>
        <v/>
      </c>
      <c r="C4410" s="11"/>
      <c r="D4410" s="11"/>
      <c r="E4410" s="11"/>
      <c r="F4410" s="11"/>
      <c r="G4410" s="11"/>
      <c r="H4410" s="11"/>
      <c r="I4410" s="15"/>
    </row>
    <row r="4411" spans="1:9" ht="16.5">
      <c r="A4411" s="10" t="b">
        <v>0</v>
      </c>
      <c r="B4411" s="11" t="str">
        <f>IF(D4411&lt;&gt;"",IF(COUNTIF('USPTO TMs'!A:A,D4411)&gt;0,"Yes","No"),"")</f>
        <v/>
      </c>
      <c r="C4411" s="11"/>
      <c r="D4411" s="11"/>
      <c r="E4411" s="11"/>
      <c r="F4411" s="11"/>
      <c r="G4411" s="11"/>
      <c r="H4411" s="11"/>
      <c r="I4411" s="15"/>
    </row>
    <row r="4412" spans="1:9" ht="16.5">
      <c r="A4412" s="10" t="b">
        <v>0</v>
      </c>
      <c r="B4412" s="11" t="str">
        <f>IF(D4412&lt;&gt;"",IF(COUNTIF('USPTO TMs'!A:A,D4412)&gt;0,"Yes","No"),"")</f>
        <v/>
      </c>
      <c r="C4412" s="11"/>
      <c r="D4412" s="11"/>
      <c r="E4412" s="11"/>
      <c r="F4412" s="11"/>
      <c r="G4412" s="11"/>
      <c r="H4412" s="11"/>
      <c r="I4412" s="15"/>
    </row>
    <row r="4413" spans="1:9" ht="16.5">
      <c r="A4413" s="10" t="b">
        <v>0</v>
      </c>
      <c r="B4413" s="11" t="str">
        <f>IF(D4413&lt;&gt;"",IF(COUNTIF('USPTO TMs'!A:A,D4413)&gt;0,"Yes","No"),"")</f>
        <v/>
      </c>
      <c r="C4413" s="11"/>
      <c r="D4413" s="11"/>
      <c r="E4413" s="11"/>
      <c r="F4413" s="11"/>
      <c r="G4413" s="11"/>
      <c r="H4413" s="11"/>
      <c r="I4413" s="15"/>
    </row>
    <row r="4414" spans="1:9" ht="16.5">
      <c r="A4414" s="10" t="b">
        <v>0</v>
      </c>
      <c r="B4414" s="11" t="str">
        <f>IF(D4414&lt;&gt;"",IF(COUNTIF('USPTO TMs'!A:A,D4414)&gt;0,"Yes","No"),"")</f>
        <v/>
      </c>
      <c r="C4414" s="11"/>
      <c r="D4414" s="11"/>
      <c r="E4414" s="11"/>
      <c r="F4414" s="11"/>
      <c r="G4414" s="11"/>
      <c r="H4414" s="11"/>
      <c r="I4414" s="15"/>
    </row>
    <row r="4415" spans="1:9" ht="16.5">
      <c r="A4415" s="10" t="b">
        <v>0</v>
      </c>
      <c r="B4415" s="11" t="str">
        <f>IF(D4415&lt;&gt;"",IF(COUNTIF('USPTO TMs'!A:A,D4415)&gt;0,"Yes","No"),"")</f>
        <v/>
      </c>
      <c r="C4415" s="11"/>
      <c r="D4415" s="11"/>
      <c r="E4415" s="11"/>
      <c r="F4415" s="11"/>
      <c r="G4415" s="11"/>
      <c r="H4415" s="11"/>
      <c r="I4415" s="15"/>
    </row>
    <row r="4416" spans="1:9" ht="16.5">
      <c r="A4416" s="10" t="b">
        <v>0</v>
      </c>
      <c r="B4416" s="11" t="str">
        <f>IF(D4416&lt;&gt;"",IF(COUNTIF('USPTO TMs'!A:A,D4416)&gt;0,"Yes","No"),"")</f>
        <v/>
      </c>
      <c r="C4416" s="11"/>
      <c r="D4416" s="11"/>
      <c r="E4416" s="11"/>
      <c r="F4416" s="11"/>
      <c r="G4416" s="11"/>
      <c r="H4416" s="11"/>
      <c r="I4416" s="15"/>
    </row>
    <row r="4417" spans="1:9" ht="16.5">
      <c r="A4417" s="10" t="b">
        <v>0</v>
      </c>
      <c r="B4417" s="11" t="str">
        <f>IF(D4417&lt;&gt;"",IF(COUNTIF('USPTO TMs'!A:A,D4417)&gt;0,"Yes","No"),"")</f>
        <v/>
      </c>
      <c r="C4417" s="11"/>
      <c r="D4417" s="11"/>
      <c r="E4417" s="11"/>
      <c r="F4417" s="11"/>
      <c r="G4417" s="11"/>
      <c r="H4417" s="11"/>
      <c r="I4417" s="15"/>
    </row>
    <row r="4418" spans="1:9" ht="16.5">
      <c r="A4418" s="10" t="b">
        <v>0</v>
      </c>
      <c r="B4418" s="11" t="str">
        <f>IF(D4418&lt;&gt;"",IF(COUNTIF('USPTO TMs'!A:A,D4418)&gt;0,"Yes","No"),"")</f>
        <v/>
      </c>
      <c r="C4418" s="11"/>
      <c r="D4418" s="11"/>
      <c r="E4418" s="11"/>
      <c r="F4418" s="11"/>
      <c r="G4418" s="11"/>
      <c r="H4418" s="11"/>
      <c r="I4418" s="15"/>
    </row>
    <row r="4419" spans="1:9" ht="16.5">
      <c r="A4419" s="10" t="b">
        <v>0</v>
      </c>
      <c r="B4419" s="11" t="str">
        <f>IF(D4419&lt;&gt;"",IF(COUNTIF('USPTO TMs'!A:A,D4419)&gt;0,"Yes","No"),"")</f>
        <v/>
      </c>
      <c r="C4419" s="11"/>
      <c r="D4419" s="11"/>
      <c r="E4419" s="11"/>
      <c r="F4419" s="11"/>
      <c r="G4419" s="11"/>
      <c r="H4419" s="11"/>
      <c r="I4419" s="15"/>
    </row>
    <row r="4420" spans="1:9" ht="16.5">
      <c r="A4420" s="10" t="b">
        <v>0</v>
      </c>
      <c r="B4420" s="11" t="str">
        <f>IF(D4420&lt;&gt;"",IF(COUNTIF('USPTO TMs'!A:A,D4420)&gt;0,"Yes","No"),"")</f>
        <v/>
      </c>
      <c r="C4420" s="11"/>
      <c r="D4420" s="11"/>
      <c r="E4420" s="11"/>
      <c r="F4420" s="11"/>
      <c r="G4420" s="11"/>
      <c r="H4420" s="11"/>
      <c r="I4420" s="15"/>
    </row>
    <row r="4421" spans="1:9" ht="16.5">
      <c r="A4421" s="10" t="b">
        <v>0</v>
      </c>
      <c r="B4421" s="11" t="str">
        <f>IF(D4421&lt;&gt;"",IF(COUNTIF('USPTO TMs'!A:A,D4421)&gt;0,"Yes","No"),"")</f>
        <v/>
      </c>
      <c r="C4421" s="11"/>
      <c r="D4421" s="11"/>
      <c r="E4421" s="11"/>
      <c r="F4421" s="11"/>
      <c r="G4421" s="11"/>
      <c r="H4421" s="11"/>
      <c r="I4421" s="15"/>
    </row>
    <row r="4422" spans="1:9" ht="16.5">
      <c r="A4422" s="10" t="b">
        <v>0</v>
      </c>
      <c r="B4422" s="11" t="str">
        <f>IF(D4422&lt;&gt;"",IF(COUNTIF('USPTO TMs'!A:A,D4422)&gt;0,"Yes","No"),"")</f>
        <v/>
      </c>
      <c r="C4422" s="11"/>
      <c r="D4422" s="11"/>
      <c r="E4422" s="11"/>
      <c r="F4422" s="11"/>
      <c r="G4422" s="11"/>
      <c r="H4422" s="11"/>
      <c r="I4422" s="15"/>
    </row>
    <row r="4423" spans="1:9" ht="16.5">
      <c r="A4423" s="10" t="b">
        <v>0</v>
      </c>
      <c r="B4423" s="11" t="str">
        <f>IF(D4423&lt;&gt;"",IF(COUNTIF('USPTO TMs'!A:A,D4423)&gt;0,"Yes","No"),"")</f>
        <v/>
      </c>
      <c r="C4423" s="11"/>
      <c r="D4423" s="11"/>
      <c r="E4423" s="11"/>
      <c r="F4423" s="11"/>
      <c r="G4423" s="11"/>
      <c r="H4423" s="11"/>
      <c r="I4423" s="15"/>
    </row>
    <row r="4424" spans="1:9" ht="16.5">
      <c r="A4424" s="10" t="b">
        <v>0</v>
      </c>
      <c r="B4424" s="11" t="str">
        <f>IF(D4424&lt;&gt;"",IF(COUNTIF('USPTO TMs'!A:A,D4424)&gt;0,"Yes","No"),"")</f>
        <v/>
      </c>
      <c r="C4424" s="11"/>
      <c r="D4424" s="11"/>
      <c r="E4424" s="11"/>
      <c r="F4424" s="11"/>
      <c r="G4424" s="11"/>
      <c r="H4424" s="11"/>
      <c r="I4424" s="15"/>
    </row>
    <row r="4425" spans="1:9" ht="16.5">
      <c r="A4425" s="10" t="b">
        <v>0</v>
      </c>
      <c r="B4425" s="11" t="str">
        <f>IF(D4425&lt;&gt;"",IF(COUNTIF('USPTO TMs'!A:A,D4425)&gt;0,"Yes","No"),"")</f>
        <v/>
      </c>
      <c r="C4425" s="11"/>
      <c r="D4425" s="11"/>
      <c r="E4425" s="11"/>
      <c r="F4425" s="11"/>
      <c r="G4425" s="11"/>
      <c r="H4425" s="11"/>
      <c r="I4425" s="15"/>
    </row>
    <row r="4426" spans="1:9" ht="16.5">
      <c r="A4426" s="10" t="b">
        <v>0</v>
      </c>
      <c r="B4426" s="11" t="str">
        <f>IF(D4426&lt;&gt;"",IF(COUNTIF('USPTO TMs'!A:A,D4426)&gt;0,"Yes","No"),"")</f>
        <v/>
      </c>
      <c r="C4426" s="11"/>
      <c r="D4426" s="11"/>
      <c r="E4426" s="11"/>
      <c r="F4426" s="11"/>
      <c r="G4426" s="11"/>
      <c r="H4426" s="11"/>
      <c r="I4426" s="15"/>
    </row>
    <row r="4427" spans="1:9" ht="16.5">
      <c r="A4427" s="10" t="b">
        <v>0</v>
      </c>
      <c r="B4427" s="11" t="str">
        <f>IF(D4427&lt;&gt;"",IF(COUNTIF('USPTO TMs'!A:A,D4427)&gt;0,"Yes","No"),"")</f>
        <v/>
      </c>
      <c r="C4427" s="11"/>
      <c r="D4427" s="11"/>
      <c r="E4427" s="11"/>
      <c r="F4427" s="11"/>
      <c r="G4427" s="11"/>
      <c r="H4427" s="11"/>
      <c r="I4427" s="15"/>
    </row>
    <row r="4428" spans="1:9" ht="16.5">
      <c r="A4428" s="10" t="b">
        <v>0</v>
      </c>
      <c r="B4428" s="11" t="str">
        <f>IF(D4428&lt;&gt;"",IF(COUNTIF('USPTO TMs'!A:A,D4428)&gt;0,"Yes","No"),"")</f>
        <v/>
      </c>
      <c r="C4428" s="11"/>
      <c r="D4428" s="11"/>
      <c r="E4428" s="11"/>
      <c r="F4428" s="11"/>
      <c r="G4428" s="11"/>
      <c r="H4428" s="11"/>
      <c r="I4428" s="15"/>
    </row>
    <row r="4429" spans="1:9" ht="16.5">
      <c r="A4429" s="10" t="b">
        <v>0</v>
      </c>
      <c r="B4429" s="11" t="str">
        <f>IF(D4429&lt;&gt;"",IF(COUNTIF('USPTO TMs'!A:A,D4429)&gt;0,"Yes","No"),"")</f>
        <v/>
      </c>
      <c r="C4429" s="11"/>
      <c r="D4429" s="11"/>
      <c r="E4429" s="11"/>
      <c r="F4429" s="11"/>
      <c r="G4429" s="11"/>
      <c r="H4429" s="11"/>
      <c r="I4429" s="15"/>
    </row>
    <row r="4430" spans="1:9" ht="16.5">
      <c r="A4430" s="10" t="b">
        <v>0</v>
      </c>
      <c r="B4430" s="11" t="str">
        <f>IF(D4430&lt;&gt;"",IF(COUNTIF('USPTO TMs'!A:A,D4430)&gt;0,"Yes","No"),"")</f>
        <v/>
      </c>
      <c r="C4430" s="11"/>
      <c r="D4430" s="11"/>
      <c r="E4430" s="11"/>
      <c r="F4430" s="11"/>
      <c r="G4430" s="11"/>
      <c r="H4430" s="11"/>
      <c r="I4430" s="15"/>
    </row>
    <row r="4431" spans="1:9" ht="16.5">
      <c r="A4431" s="10" t="b">
        <v>0</v>
      </c>
      <c r="B4431" s="11" t="str">
        <f>IF(D4431&lt;&gt;"",IF(COUNTIF('USPTO TMs'!A:A,D4431)&gt;0,"Yes","No"),"")</f>
        <v/>
      </c>
      <c r="C4431" s="11"/>
      <c r="D4431" s="11"/>
      <c r="E4431" s="11"/>
      <c r="F4431" s="11"/>
      <c r="G4431" s="11"/>
      <c r="H4431" s="11"/>
      <c r="I4431" s="15"/>
    </row>
    <row r="4432" spans="1:9" ht="16.5">
      <c r="A4432" s="10" t="b">
        <v>0</v>
      </c>
      <c r="B4432" s="11" t="str">
        <f>IF(D4432&lt;&gt;"",IF(COUNTIF('USPTO TMs'!A:A,D4432)&gt;0,"Yes","No"),"")</f>
        <v/>
      </c>
      <c r="C4432" s="11"/>
      <c r="D4432" s="11"/>
      <c r="E4432" s="11"/>
      <c r="F4432" s="11"/>
      <c r="G4432" s="11"/>
      <c r="H4432" s="11"/>
      <c r="I4432" s="15"/>
    </row>
    <row r="4433" spans="1:9" ht="16.5">
      <c r="A4433" s="10" t="b">
        <v>0</v>
      </c>
      <c r="B4433" s="11" t="str">
        <f>IF(D4433&lt;&gt;"",IF(COUNTIF('USPTO TMs'!A:A,D4433)&gt;0,"Yes","No"),"")</f>
        <v/>
      </c>
      <c r="C4433" s="11"/>
      <c r="D4433" s="11"/>
      <c r="E4433" s="11"/>
      <c r="F4433" s="11"/>
      <c r="G4433" s="11"/>
      <c r="H4433" s="11"/>
      <c r="I4433" s="15"/>
    </row>
    <row r="4434" spans="1:9" ht="16.5">
      <c r="A4434" s="10" t="b">
        <v>0</v>
      </c>
      <c r="B4434" s="11" t="str">
        <f>IF(D4434&lt;&gt;"",IF(COUNTIF('USPTO TMs'!A:A,D4434)&gt;0,"Yes","No"),"")</f>
        <v/>
      </c>
      <c r="C4434" s="11"/>
      <c r="D4434" s="11"/>
      <c r="E4434" s="11"/>
      <c r="F4434" s="11"/>
      <c r="G4434" s="11"/>
      <c r="H4434" s="11"/>
      <c r="I4434" s="15"/>
    </row>
    <row r="4435" spans="1:9" ht="16.5">
      <c r="A4435" s="10" t="b">
        <v>0</v>
      </c>
      <c r="B4435" s="11" t="str">
        <f>IF(D4435&lt;&gt;"",IF(COUNTIF('USPTO TMs'!A:A,D4435)&gt;0,"Yes","No"),"")</f>
        <v/>
      </c>
      <c r="C4435" s="11"/>
      <c r="D4435" s="11"/>
      <c r="E4435" s="11"/>
      <c r="F4435" s="11"/>
      <c r="G4435" s="11"/>
      <c r="H4435" s="11"/>
      <c r="I4435" s="15"/>
    </row>
    <row r="4436" spans="1:9" ht="16.5">
      <c r="A4436" s="10" t="b">
        <v>0</v>
      </c>
      <c r="B4436" s="11" t="str">
        <f>IF(D4436&lt;&gt;"",IF(COUNTIF('USPTO TMs'!A:A,D4436)&gt;0,"Yes","No"),"")</f>
        <v/>
      </c>
      <c r="C4436" s="11"/>
      <c r="D4436" s="11"/>
      <c r="E4436" s="11"/>
      <c r="F4436" s="11"/>
      <c r="G4436" s="11"/>
      <c r="H4436" s="11"/>
      <c r="I4436" s="15"/>
    </row>
    <row r="4437" spans="1:9" ht="16.5">
      <c r="A4437" s="10" t="b">
        <v>0</v>
      </c>
      <c r="B4437" s="11" t="str">
        <f>IF(D4437&lt;&gt;"",IF(COUNTIF('USPTO TMs'!A:A,D4437)&gt;0,"Yes","No"),"")</f>
        <v/>
      </c>
      <c r="C4437" s="11"/>
      <c r="D4437" s="11"/>
      <c r="E4437" s="11"/>
      <c r="F4437" s="11"/>
      <c r="G4437" s="11"/>
      <c r="H4437" s="11"/>
      <c r="I4437" s="15"/>
    </row>
    <row r="4438" spans="1:9" ht="16.5">
      <c r="A4438" s="10" t="b">
        <v>0</v>
      </c>
      <c r="B4438" s="11" t="str">
        <f>IF(D4438&lt;&gt;"",IF(COUNTIF('USPTO TMs'!A:A,D4438)&gt;0,"Yes","No"),"")</f>
        <v/>
      </c>
      <c r="C4438" s="11"/>
      <c r="D4438" s="11"/>
      <c r="E4438" s="11"/>
      <c r="F4438" s="11"/>
      <c r="G4438" s="11"/>
      <c r="H4438" s="11"/>
      <c r="I4438" s="15"/>
    </row>
    <row r="4439" spans="1:9" ht="16.5">
      <c r="A4439" s="10" t="b">
        <v>0</v>
      </c>
      <c r="B4439" s="11" t="str">
        <f>IF(D4439&lt;&gt;"",IF(COUNTIF('USPTO TMs'!A:A,D4439)&gt;0,"Yes","No"),"")</f>
        <v/>
      </c>
      <c r="C4439" s="11"/>
      <c r="D4439" s="11"/>
      <c r="E4439" s="11"/>
      <c r="F4439" s="11"/>
      <c r="G4439" s="11"/>
      <c r="H4439" s="11"/>
      <c r="I4439" s="15"/>
    </row>
    <row r="4440" spans="1:9" ht="16.5">
      <c r="A4440" s="10" t="b">
        <v>0</v>
      </c>
      <c r="B4440" s="11" t="str">
        <f>IF(D4440&lt;&gt;"",IF(COUNTIF('USPTO TMs'!A:A,D4440)&gt;0,"Yes","No"),"")</f>
        <v/>
      </c>
      <c r="C4440" s="11"/>
      <c r="D4440" s="11"/>
      <c r="E4440" s="11"/>
      <c r="F4440" s="11"/>
      <c r="G4440" s="11"/>
      <c r="H4440" s="11"/>
      <c r="I4440" s="15"/>
    </row>
    <row r="4441" spans="1:9" ht="16.5">
      <c r="A4441" s="10" t="b">
        <v>0</v>
      </c>
      <c r="B4441" s="11" t="str">
        <f>IF(D4441&lt;&gt;"",IF(COUNTIF('USPTO TMs'!A:A,D4441)&gt;0,"Yes","No"),"")</f>
        <v/>
      </c>
      <c r="C4441" s="11"/>
      <c r="D4441" s="11"/>
      <c r="E4441" s="11"/>
      <c r="F4441" s="11"/>
      <c r="G4441" s="11"/>
      <c r="H4441" s="11"/>
      <c r="I4441" s="15"/>
    </row>
    <row r="4442" spans="1:9" ht="16.5">
      <c r="A4442" s="10" t="b">
        <v>0</v>
      </c>
      <c r="B4442" s="11" t="str">
        <f>IF(D4442&lt;&gt;"",IF(COUNTIF('USPTO TMs'!A:A,D4442)&gt;0,"Yes","No"),"")</f>
        <v/>
      </c>
      <c r="C4442" s="11"/>
      <c r="D4442" s="11"/>
      <c r="E4442" s="11"/>
      <c r="F4442" s="11"/>
      <c r="G4442" s="11"/>
      <c r="H4442" s="11"/>
      <c r="I4442" s="15"/>
    </row>
    <row r="4443" spans="1:9" ht="16.5">
      <c r="A4443" s="10" t="b">
        <v>0</v>
      </c>
      <c r="B4443" s="11" t="str">
        <f>IF(D4443&lt;&gt;"",IF(COUNTIF('USPTO TMs'!A:A,D4443)&gt;0,"Yes","No"),"")</f>
        <v/>
      </c>
      <c r="C4443" s="11"/>
      <c r="D4443" s="11"/>
      <c r="E4443" s="11"/>
      <c r="F4443" s="11"/>
      <c r="G4443" s="11"/>
      <c r="H4443" s="11"/>
      <c r="I4443" s="15"/>
    </row>
    <row r="4444" spans="1:9" ht="16.5">
      <c r="A4444" s="10" t="b">
        <v>0</v>
      </c>
      <c r="B4444" s="11" t="str">
        <f>IF(D4444&lt;&gt;"",IF(COUNTIF('USPTO TMs'!A:A,D4444)&gt;0,"Yes","No"),"")</f>
        <v/>
      </c>
      <c r="C4444" s="11"/>
      <c r="D4444" s="11"/>
      <c r="E4444" s="11"/>
      <c r="F4444" s="11"/>
      <c r="G4444" s="11"/>
      <c r="H4444" s="11"/>
      <c r="I4444" s="15"/>
    </row>
    <row r="4445" spans="1:9" ht="16.5">
      <c r="A4445" s="10" t="b">
        <v>0</v>
      </c>
      <c r="B4445" s="11" t="str">
        <f>IF(D4445&lt;&gt;"",IF(COUNTIF('USPTO TMs'!A:A,D4445)&gt;0,"Yes","No"),"")</f>
        <v/>
      </c>
      <c r="C4445" s="11"/>
      <c r="D4445" s="11"/>
      <c r="E4445" s="11"/>
      <c r="F4445" s="11"/>
      <c r="G4445" s="11"/>
      <c r="H4445" s="11"/>
      <c r="I4445" s="15"/>
    </row>
    <row r="4446" spans="1:9" ht="16.5">
      <c r="A4446" s="10" t="b">
        <v>0</v>
      </c>
      <c r="B4446" s="11" t="str">
        <f>IF(D4446&lt;&gt;"",IF(COUNTIF('USPTO TMs'!A:A,D4446)&gt;0,"Yes","No"),"")</f>
        <v/>
      </c>
      <c r="C4446" s="11"/>
      <c r="D4446" s="11"/>
      <c r="E4446" s="11"/>
      <c r="F4446" s="11"/>
      <c r="G4446" s="11"/>
      <c r="H4446" s="11"/>
      <c r="I4446" s="15"/>
    </row>
    <row r="4447" spans="1:9" ht="16.5">
      <c r="A4447" s="10" t="b">
        <v>0</v>
      </c>
      <c r="B4447" s="11" t="str">
        <f>IF(D4447&lt;&gt;"",IF(COUNTIF('USPTO TMs'!A:A,D4447)&gt;0,"Yes","No"),"")</f>
        <v/>
      </c>
      <c r="C4447" s="11"/>
      <c r="D4447" s="11"/>
      <c r="E4447" s="11"/>
      <c r="F4447" s="11"/>
      <c r="G4447" s="11"/>
      <c r="H4447" s="11"/>
      <c r="I4447" s="15"/>
    </row>
    <row r="4448" spans="1:9" ht="16.5">
      <c r="A4448" s="10" t="b">
        <v>0</v>
      </c>
      <c r="B4448" s="11" t="str">
        <f>IF(D4448&lt;&gt;"",IF(COUNTIF('USPTO TMs'!A:A,D4448)&gt;0,"Yes","No"),"")</f>
        <v/>
      </c>
      <c r="C4448" s="11"/>
      <c r="D4448" s="11"/>
      <c r="E4448" s="11"/>
      <c r="F4448" s="11"/>
      <c r="G4448" s="11"/>
      <c r="H4448" s="11"/>
      <c r="I4448" s="15"/>
    </row>
    <row r="4449" spans="1:9" ht="16.5">
      <c r="A4449" s="10" t="b">
        <v>0</v>
      </c>
      <c r="B4449" s="11" t="str">
        <f>IF(D4449&lt;&gt;"",IF(COUNTIF('USPTO TMs'!A:A,D4449)&gt;0,"Yes","No"),"")</f>
        <v/>
      </c>
      <c r="C4449" s="11"/>
      <c r="D4449" s="11"/>
      <c r="E4449" s="11"/>
      <c r="F4449" s="11"/>
      <c r="G4449" s="11"/>
      <c r="H4449" s="11"/>
      <c r="I4449" s="15"/>
    </row>
    <row r="4450" spans="1:9" ht="16.5">
      <c r="A4450" s="10" t="b">
        <v>0</v>
      </c>
      <c r="B4450" s="11" t="str">
        <f>IF(D4450&lt;&gt;"",IF(COUNTIF('USPTO TMs'!A:A,D4450)&gt;0,"Yes","No"),"")</f>
        <v/>
      </c>
      <c r="C4450" s="11"/>
      <c r="D4450" s="11"/>
      <c r="E4450" s="11"/>
      <c r="F4450" s="11"/>
      <c r="G4450" s="11"/>
      <c r="H4450" s="11"/>
      <c r="I4450" s="15"/>
    </row>
    <row r="4451" spans="1:9" ht="16.5">
      <c r="A4451" s="10" t="b">
        <v>0</v>
      </c>
      <c r="B4451" s="11" t="str">
        <f>IF(D4451&lt;&gt;"",IF(COUNTIF('USPTO TMs'!A:A,D4451)&gt;0,"Yes","No"),"")</f>
        <v/>
      </c>
      <c r="C4451" s="11"/>
      <c r="D4451" s="11"/>
      <c r="E4451" s="11"/>
      <c r="F4451" s="11"/>
      <c r="G4451" s="11"/>
      <c r="H4451" s="11"/>
      <c r="I4451" s="15"/>
    </row>
    <row r="4452" spans="1:9" ht="16.5">
      <c r="A4452" s="10" t="b">
        <v>0</v>
      </c>
      <c r="B4452" s="11" t="str">
        <f>IF(D4452&lt;&gt;"",IF(COUNTIF('USPTO TMs'!A:A,D4452)&gt;0,"Yes","No"),"")</f>
        <v/>
      </c>
      <c r="C4452" s="11"/>
      <c r="D4452" s="11"/>
      <c r="E4452" s="11"/>
      <c r="F4452" s="11"/>
      <c r="G4452" s="11"/>
      <c r="H4452" s="11"/>
      <c r="I4452" s="15"/>
    </row>
    <row r="4453" spans="1:9" ht="16.5">
      <c r="A4453" s="10" t="b">
        <v>0</v>
      </c>
      <c r="B4453" s="11" t="str">
        <f>IF(D4453&lt;&gt;"",IF(COUNTIF('USPTO TMs'!A:A,D4453)&gt;0,"Yes","No"),"")</f>
        <v/>
      </c>
      <c r="C4453" s="11"/>
      <c r="D4453" s="11"/>
      <c r="E4453" s="11"/>
      <c r="F4453" s="11"/>
      <c r="G4453" s="11"/>
      <c r="H4453" s="11"/>
      <c r="I4453" s="15"/>
    </row>
    <row r="4454" spans="1:9" ht="16.5">
      <c r="A4454" s="10" t="b">
        <v>0</v>
      </c>
      <c r="B4454" s="11" t="str">
        <f>IF(D4454&lt;&gt;"",IF(COUNTIF('USPTO TMs'!A:A,D4454)&gt;0,"Yes","No"),"")</f>
        <v/>
      </c>
      <c r="C4454" s="11"/>
      <c r="D4454" s="11"/>
      <c r="E4454" s="11"/>
      <c r="F4454" s="11"/>
      <c r="G4454" s="11"/>
      <c r="H4454" s="11"/>
      <c r="I4454" s="15"/>
    </row>
    <row r="4455" spans="1:9" ht="16.5">
      <c r="A4455" s="10" t="b">
        <v>0</v>
      </c>
      <c r="B4455" s="11" t="str">
        <f>IF(D4455&lt;&gt;"",IF(COUNTIF('USPTO TMs'!A:A,D4455)&gt;0,"Yes","No"),"")</f>
        <v/>
      </c>
      <c r="C4455" s="11"/>
      <c r="D4455" s="11"/>
      <c r="E4455" s="11"/>
      <c r="F4455" s="11"/>
      <c r="G4455" s="11"/>
      <c r="H4455" s="11"/>
      <c r="I4455" s="15"/>
    </row>
    <row r="4456" spans="1:9" ht="16.5">
      <c r="A4456" s="10" t="b">
        <v>0</v>
      </c>
      <c r="B4456" s="11" t="str">
        <f>IF(D4456&lt;&gt;"",IF(COUNTIF('USPTO TMs'!A:A,D4456)&gt;0,"Yes","No"),"")</f>
        <v/>
      </c>
      <c r="C4456" s="11"/>
      <c r="D4456" s="11"/>
      <c r="E4456" s="11"/>
      <c r="F4456" s="11"/>
      <c r="G4456" s="11"/>
      <c r="H4456" s="11"/>
      <c r="I4456" s="15"/>
    </row>
    <row r="4457" spans="1:9" ht="16.5">
      <c r="A4457" s="10" t="b">
        <v>0</v>
      </c>
      <c r="B4457" s="11" t="str">
        <f>IF(D4457&lt;&gt;"",IF(COUNTIF('USPTO TMs'!A:A,D4457)&gt;0,"Yes","No"),"")</f>
        <v/>
      </c>
      <c r="C4457" s="11"/>
      <c r="D4457" s="11"/>
      <c r="E4457" s="11"/>
      <c r="F4457" s="11"/>
      <c r="G4457" s="11"/>
      <c r="H4457" s="11"/>
      <c r="I4457" s="15"/>
    </row>
    <row r="4458" spans="1:9" ht="16.5">
      <c r="A4458" s="10" t="b">
        <v>0</v>
      </c>
      <c r="B4458" s="11" t="str">
        <f>IF(D4458&lt;&gt;"",IF(COUNTIF('USPTO TMs'!A:A,D4458)&gt;0,"Yes","No"),"")</f>
        <v/>
      </c>
      <c r="C4458" s="11"/>
      <c r="D4458" s="11"/>
      <c r="E4458" s="11"/>
      <c r="F4458" s="11"/>
      <c r="G4458" s="11"/>
      <c r="H4458" s="11"/>
      <c r="I4458" s="15"/>
    </row>
    <row r="4459" spans="1:9" ht="16.5">
      <c r="A4459" s="10" t="b">
        <v>0</v>
      </c>
      <c r="B4459" s="11" t="str">
        <f>IF(D4459&lt;&gt;"",IF(COUNTIF('USPTO TMs'!A:A,D4459)&gt;0,"Yes","No"),"")</f>
        <v/>
      </c>
      <c r="C4459" s="11"/>
      <c r="D4459" s="11"/>
      <c r="E4459" s="11"/>
      <c r="F4459" s="11"/>
      <c r="G4459" s="11"/>
      <c r="H4459" s="11"/>
      <c r="I4459" s="15"/>
    </row>
    <row r="4460" spans="1:9" ht="16.5">
      <c r="A4460" s="10" t="b">
        <v>0</v>
      </c>
      <c r="B4460" s="11" t="str">
        <f>IF(D4460&lt;&gt;"",IF(COUNTIF('USPTO TMs'!A:A,D4460)&gt;0,"Yes","No"),"")</f>
        <v/>
      </c>
      <c r="C4460" s="11"/>
      <c r="D4460" s="11"/>
      <c r="E4460" s="11"/>
      <c r="F4460" s="11"/>
      <c r="G4460" s="11"/>
      <c r="H4460" s="11"/>
      <c r="I4460" s="15"/>
    </row>
    <row r="4461" spans="1:9" ht="16.5">
      <c r="A4461" s="10" t="b">
        <v>0</v>
      </c>
      <c r="B4461" s="11" t="str">
        <f>IF(D4461&lt;&gt;"",IF(COUNTIF('USPTO TMs'!A:A,D4461)&gt;0,"Yes","No"),"")</f>
        <v/>
      </c>
      <c r="C4461" s="11"/>
      <c r="D4461" s="11"/>
      <c r="E4461" s="11"/>
      <c r="F4461" s="11"/>
      <c r="G4461" s="11"/>
      <c r="H4461" s="11"/>
      <c r="I4461" s="15"/>
    </row>
    <row r="4462" spans="1:9" ht="16.5">
      <c r="A4462" s="10" t="b">
        <v>0</v>
      </c>
      <c r="B4462" s="11" t="str">
        <f>IF(D4462&lt;&gt;"",IF(COUNTIF('USPTO TMs'!A:A,D4462)&gt;0,"Yes","No"),"")</f>
        <v/>
      </c>
      <c r="C4462" s="11"/>
      <c r="D4462" s="11"/>
      <c r="E4462" s="11"/>
      <c r="F4462" s="11"/>
      <c r="G4462" s="11"/>
      <c r="H4462" s="11"/>
      <c r="I4462" s="15"/>
    </row>
    <row r="4463" spans="1:9" ht="16.5">
      <c r="A4463" s="10" t="b">
        <v>0</v>
      </c>
      <c r="B4463" s="11" t="str">
        <f>IF(D4463&lt;&gt;"",IF(COUNTIF('USPTO TMs'!A:A,D4463)&gt;0,"Yes","No"),"")</f>
        <v/>
      </c>
      <c r="C4463" s="11"/>
      <c r="D4463" s="11"/>
      <c r="E4463" s="11"/>
      <c r="F4463" s="11"/>
      <c r="G4463" s="11"/>
      <c r="H4463" s="11"/>
      <c r="I4463" s="15"/>
    </row>
    <row r="4464" spans="1:9" ht="16.5">
      <c r="A4464" s="10" t="b">
        <v>0</v>
      </c>
      <c r="B4464" s="11" t="str">
        <f>IF(D4464&lt;&gt;"",IF(COUNTIF('USPTO TMs'!A:A,D4464)&gt;0,"Yes","No"),"")</f>
        <v/>
      </c>
      <c r="C4464" s="11"/>
      <c r="D4464" s="11"/>
      <c r="E4464" s="11"/>
      <c r="F4464" s="11"/>
      <c r="G4464" s="11"/>
      <c r="H4464" s="11"/>
      <c r="I4464" s="15"/>
    </row>
    <row r="4465" spans="1:9" ht="16.5">
      <c r="A4465" s="10" t="b">
        <v>0</v>
      </c>
      <c r="B4465" s="11" t="str">
        <f>IF(D4465&lt;&gt;"",IF(COUNTIF('USPTO TMs'!A:A,D4465)&gt;0,"Yes","No"),"")</f>
        <v/>
      </c>
      <c r="C4465" s="11"/>
      <c r="D4465" s="11"/>
      <c r="E4465" s="11"/>
      <c r="F4465" s="11"/>
      <c r="G4465" s="11"/>
      <c r="H4465" s="11"/>
      <c r="I4465" s="15"/>
    </row>
    <row r="4466" spans="1:9" ht="16.5">
      <c r="A4466" s="10" t="b">
        <v>0</v>
      </c>
      <c r="B4466" s="11" t="str">
        <f>IF(D4466&lt;&gt;"",IF(COUNTIF('USPTO TMs'!A:A,D4466)&gt;0,"Yes","No"),"")</f>
        <v/>
      </c>
      <c r="C4466" s="11"/>
      <c r="D4466" s="11"/>
      <c r="E4466" s="11"/>
      <c r="F4466" s="11"/>
      <c r="G4466" s="11"/>
      <c r="H4466" s="11"/>
      <c r="I4466" s="15"/>
    </row>
    <row r="4467" spans="1:9" ht="16.5">
      <c r="A4467" s="10" t="b">
        <v>0</v>
      </c>
      <c r="B4467" s="11" t="str">
        <f>IF(D4467&lt;&gt;"",IF(COUNTIF('USPTO TMs'!A:A,D4467)&gt;0,"Yes","No"),"")</f>
        <v/>
      </c>
      <c r="C4467" s="11"/>
      <c r="D4467" s="11"/>
      <c r="E4467" s="11"/>
      <c r="F4467" s="11"/>
      <c r="G4467" s="11"/>
      <c r="H4467" s="11"/>
      <c r="I4467" s="15"/>
    </row>
    <row r="4468" spans="1:9" ht="16.5">
      <c r="A4468" s="10" t="b">
        <v>0</v>
      </c>
      <c r="B4468" s="11" t="str">
        <f>IF(D4468&lt;&gt;"",IF(COUNTIF('USPTO TMs'!A:A,D4468)&gt;0,"Yes","No"),"")</f>
        <v/>
      </c>
      <c r="C4468" s="11"/>
      <c r="D4468" s="11"/>
      <c r="E4468" s="11"/>
      <c r="F4468" s="11"/>
      <c r="G4468" s="11"/>
      <c r="H4468" s="11"/>
      <c r="I4468" s="15"/>
    </row>
    <row r="4469" spans="1:9" ht="16.5">
      <c r="A4469" s="10" t="b">
        <v>0</v>
      </c>
      <c r="B4469" s="11" t="str">
        <f>IF(D4469&lt;&gt;"",IF(COUNTIF('USPTO TMs'!A:A,D4469)&gt;0,"Yes","No"),"")</f>
        <v/>
      </c>
      <c r="C4469" s="11"/>
      <c r="D4469" s="11"/>
      <c r="E4469" s="11"/>
      <c r="F4469" s="11"/>
      <c r="G4469" s="11"/>
      <c r="H4469" s="11"/>
      <c r="I4469" s="15"/>
    </row>
    <row r="4470" spans="1:9" ht="16.5">
      <c r="A4470" s="10" t="b">
        <v>0</v>
      </c>
      <c r="B4470" s="11" t="str">
        <f>IF(D4470&lt;&gt;"",IF(COUNTIF('USPTO TMs'!A:A,D4470)&gt;0,"Yes","No"),"")</f>
        <v/>
      </c>
      <c r="C4470" s="11"/>
      <c r="D4470" s="11"/>
      <c r="E4470" s="11"/>
      <c r="F4470" s="11"/>
      <c r="G4470" s="11"/>
      <c r="H4470" s="11"/>
      <c r="I4470" s="15"/>
    </row>
    <row r="4471" spans="1:9" ht="16.5">
      <c r="A4471" s="10" t="b">
        <v>0</v>
      </c>
      <c r="B4471" s="11" t="str">
        <f>IF(D4471&lt;&gt;"",IF(COUNTIF('USPTO TMs'!A:A,D4471)&gt;0,"Yes","No"),"")</f>
        <v/>
      </c>
      <c r="C4471" s="11"/>
      <c r="D4471" s="11"/>
      <c r="E4471" s="11"/>
      <c r="F4471" s="11"/>
      <c r="G4471" s="11"/>
      <c r="H4471" s="11"/>
      <c r="I4471" s="15"/>
    </row>
    <row r="4472" spans="1:9" ht="16.5">
      <c r="A4472" s="10" t="b">
        <v>0</v>
      </c>
      <c r="B4472" s="11" t="str">
        <f>IF(D4472&lt;&gt;"",IF(COUNTIF('USPTO TMs'!A:A,D4472)&gt;0,"Yes","No"),"")</f>
        <v/>
      </c>
      <c r="C4472" s="11"/>
      <c r="D4472" s="11"/>
      <c r="E4472" s="11"/>
      <c r="F4472" s="11"/>
      <c r="G4472" s="11"/>
      <c r="H4472" s="11"/>
      <c r="I4472" s="15"/>
    </row>
    <row r="4473" spans="1:9" ht="16.5">
      <c r="A4473" s="10" t="b">
        <v>0</v>
      </c>
      <c r="B4473" s="11" t="str">
        <f>IF(D4473&lt;&gt;"",IF(COUNTIF('USPTO TMs'!A:A,D4473)&gt;0,"Yes","No"),"")</f>
        <v/>
      </c>
      <c r="C4473" s="11"/>
      <c r="D4473" s="11"/>
      <c r="E4473" s="11"/>
      <c r="F4473" s="11"/>
      <c r="G4473" s="11"/>
      <c r="H4473" s="11"/>
      <c r="I4473" s="15"/>
    </row>
    <row r="4474" spans="1:9" ht="16.5">
      <c r="A4474" s="10" t="b">
        <v>0</v>
      </c>
      <c r="B4474" s="11" t="str">
        <f>IF(D4474&lt;&gt;"",IF(COUNTIF('USPTO TMs'!A:A,D4474)&gt;0,"Yes","No"),"")</f>
        <v/>
      </c>
      <c r="C4474" s="11"/>
      <c r="D4474" s="11"/>
      <c r="E4474" s="11"/>
      <c r="F4474" s="11"/>
      <c r="G4474" s="11"/>
      <c r="H4474" s="11"/>
      <c r="I4474" s="15"/>
    </row>
    <row r="4475" spans="1:9" ht="16.5">
      <c r="A4475" s="10" t="b">
        <v>0</v>
      </c>
      <c r="B4475" s="11" t="str">
        <f>IF(D4475&lt;&gt;"",IF(COUNTIF('USPTO TMs'!A:A,D4475)&gt;0,"Yes","No"),"")</f>
        <v/>
      </c>
      <c r="C4475" s="11"/>
      <c r="D4475" s="11"/>
      <c r="E4475" s="11"/>
      <c r="F4475" s="11"/>
      <c r="G4475" s="11"/>
      <c r="H4475" s="11"/>
      <c r="I4475" s="15"/>
    </row>
    <row r="4476" spans="1:9" ht="16.5">
      <c r="A4476" s="10" t="b">
        <v>0</v>
      </c>
      <c r="B4476" s="11" t="str">
        <f>IF(D4476&lt;&gt;"",IF(COUNTIF('USPTO TMs'!A:A,D4476)&gt;0,"Yes","No"),"")</f>
        <v/>
      </c>
      <c r="C4476" s="11"/>
      <c r="D4476" s="11"/>
      <c r="E4476" s="11"/>
      <c r="F4476" s="11"/>
      <c r="G4476" s="11"/>
      <c r="H4476" s="11"/>
      <c r="I4476" s="15"/>
    </row>
    <row r="4477" spans="1:9" ht="16.5">
      <c r="A4477" s="10" t="b">
        <v>0</v>
      </c>
      <c r="B4477" s="11" t="str">
        <f>IF(D4477&lt;&gt;"",IF(COUNTIF('USPTO TMs'!A:A,D4477)&gt;0,"Yes","No"),"")</f>
        <v/>
      </c>
      <c r="C4477" s="11"/>
      <c r="D4477" s="11"/>
      <c r="E4477" s="11"/>
      <c r="F4477" s="11"/>
      <c r="G4477" s="11"/>
      <c r="H4477" s="11"/>
      <c r="I4477" s="15"/>
    </row>
    <row r="4478" spans="1:9" ht="16.5">
      <c r="A4478" s="10" t="b">
        <v>0</v>
      </c>
      <c r="B4478" s="11" t="str">
        <f>IF(D4478&lt;&gt;"",IF(COUNTIF('USPTO TMs'!A:A,D4478)&gt;0,"Yes","No"),"")</f>
        <v/>
      </c>
      <c r="C4478" s="11"/>
      <c r="D4478" s="11"/>
      <c r="E4478" s="11"/>
      <c r="F4478" s="11"/>
      <c r="G4478" s="11"/>
      <c r="H4478" s="11"/>
      <c r="I4478" s="15"/>
    </row>
    <row r="4479" spans="1:9" ht="16.5">
      <c r="A4479" s="10" t="b">
        <v>0</v>
      </c>
      <c r="B4479" s="11" t="str">
        <f>IF(D4479&lt;&gt;"",IF(COUNTIF('USPTO TMs'!A:A,D4479)&gt;0,"Yes","No"),"")</f>
        <v/>
      </c>
      <c r="C4479" s="11"/>
      <c r="D4479" s="11"/>
      <c r="E4479" s="11"/>
      <c r="F4479" s="11"/>
      <c r="G4479" s="11"/>
      <c r="H4479" s="11"/>
      <c r="I4479" s="15"/>
    </row>
    <row r="4480" spans="1:9" ht="16.5">
      <c r="A4480" s="10" t="b">
        <v>0</v>
      </c>
      <c r="B4480" s="11" t="str">
        <f>IF(D4480&lt;&gt;"",IF(COUNTIF('USPTO TMs'!A:A,D4480)&gt;0,"Yes","No"),"")</f>
        <v/>
      </c>
      <c r="C4480" s="11"/>
      <c r="D4480" s="11"/>
      <c r="E4480" s="11"/>
      <c r="F4480" s="11"/>
      <c r="G4480" s="11"/>
      <c r="H4480" s="11"/>
      <c r="I4480" s="15"/>
    </row>
    <row r="4481" spans="1:9" ht="16.5">
      <c r="A4481" s="10" t="b">
        <v>0</v>
      </c>
      <c r="B4481" s="11" t="str">
        <f>IF(D4481&lt;&gt;"",IF(COUNTIF('USPTO TMs'!A:A,D4481)&gt;0,"Yes","No"),"")</f>
        <v/>
      </c>
      <c r="C4481" s="11"/>
      <c r="D4481" s="11"/>
      <c r="E4481" s="11"/>
      <c r="F4481" s="11"/>
      <c r="G4481" s="11"/>
      <c r="H4481" s="11"/>
      <c r="I4481" s="15"/>
    </row>
    <row r="4482" spans="1:9" ht="16.5">
      <c r="A4482" s="10" t="b">
        <v>0</v>
      </c>
      <c r="B4482" s="11" t="str">
        <f>IF(D4482&lt;&gt;"",IF(COUNTIF('USPTO TMs'!A:A,D4482)&gt;0,"Yes","No"),"")</f>
        <v/>
      </c>
      <c r="C4482" s="11"/>
      <c r="D4482" s="11"/>
      <c r="E4482" s="11"/>
      <c r="F4482" s="11"/>
      <c r="G4482" s="11"/>
      <c r="H4482" s="11"/>
      <c r="I4482" s="15"/>
    </row>
    <row r="4483" spans="1:9" ht="16.5">
      <c r="A4483" s="10" t="b">
        <v>0</v>
      </c>
      <c r="B4483" s="11" t="str">
        <f>IF(D4483&lt;&gt;"",IF(COUNTIF('USPTO TMs'!A:A,D4483)&gt;0,"Yes","No"),"")</f>
        <v/>
      </c>
      <c r="C4483" s="11"/>
      <c r="D4483" s="11"/>
      <c r="E4483" s="11"/>
      <c r="F4483" s="11"/>
      <c r="G4483" s="11"/>
      <c r="H4483" s="11"/>
      <c r="I4483" s="15"/>
    </row>
    <row r="4484" spans="1:9" ht="16.5">
      <c r="A4484" s="10" t="b">
        <v>0</v>
      </c>
      <c r="B4484" s="11" t="str">
        <f>IF(D4484&lt;&gt;"",IF(COUNTIF('USPTO TMs'!A:A,D4484)&gt;0,"Yes","No"),"")</f>
        <v/>
      </c>
      <c r="C4484" s="11"/>
      <c r="D4484" s="11"/>
      <c r="E4484" s="11"/>
      <c r="F4484" s="11"/>
      <c r="G4484" s="11"/>
      <c r="H4484" s="11"/>
      <c r="I4484" s="15"/>
    </row>
    <row r="4485" spans="1:9" ht="16.5">
      <c r="A4485" s="10" t="b">
        <v>0</v>
      </c>
      <c r="B4485" s="11" t="str">
        <f>IF(D4485&lt;&gt;"",IF(COUNTIF('USPTO TMs'!A:A,D4485)&gt;0,"Yes","No"),"")</f>
        <v/>
      </c>
      <c r="C4485" s="11"/>
      <c r="D4485" s="11"/>
      <c r="E4485" s="11"/>
      <c r="F4485" s="11"/>
      <c r="G4485" s="11"/>
      <c r="H4485" s="11"/>
      <c r="I4485" s="15"/>
    </row>
    <row r="4486" spans="1:9" ht="16.5">
      <c r="A4486" s="10" t="b">
        <v>0</v>
      </c>
      <c r="B4486" s="11" t="str">
        <f>IF(D4486&lt;&gt;"",IF(COUNTIF('USPTO TMs'!A:A,D4486)&gt;0,"Yes","No"),"")</f>
        <v/>
      </c>
      <c r="C4486" s="11"/>
      <c r="D4486" s="11"/>
      <c r="E4486" s="11"/>
      <c r="F4486" s="11"/>
      <c r="G4486" s="11"/>
      <c r="H4486" s="11"/>
      <c r="I4486" s="15"/>
    </row>
    <row r="4487" spans="1:9" ht="16.5">
      <c r="A4487" s="10" t="b">
        <v>0</v>
      </c>
      <c r="B4487" s="11" t="str">
        <f>IF(D4487&lt;&gt;"",IF(COUNTIF('USPTO TMs'!A:A,D4487)&gt;0,"Yes","No"),"")</f>
        <v/>
      </c>
      <c r="C4487" s="11"/>
      <c r="D4487" s="11"/>
      <c r="E4487" s="11"/>
      <c r="F4487" s="11"/>
      <c r="G4487" s="11"/>
      <c r="H4487" s="11"/>
      <c r="I4487" s="15"/>
    </row>
    <row r="4488" spans="1:9" ht="16.5">
      <c r="A4488" s="10" t="b">
        <v>0</v>
      </c>
      <c r="B4488" s="11" t="str">
        <f>IF(D4488&lt;&gt;"",IF(COUNTIF('USPTO TMs'!A:A,D4488)&gt;0,"Yes","No"),"")</f>
        <v/>
      </c>
      <c r="C4488" s="11"/>
      <c r="D4488" s="11"/>
      <c r="E4488" s="11"/>
      <c r="F4488" s="11"/>
      <c r="G4488" s="11"/>
      <c r="H4488" s="11"/>
      <c r="I4488" s="15"/>
    </row>
    <row r="4489" spans="1:9" ht="16.5">
      <c r="A4489" s="10" t="b">
        <v>0</v>
      </c>
      <c r="B4489" s="11" t="str">
        <f>IF(D4489&lt;&gt;"",IF(COUNTIF('USPTO TMs'!A:A,D4489)&gt;0,"Yes","No"),"")</f>
        <v/>
      </c>
      <c r="C4489" s="11"/>
      <c r="D4489" s="11"/>
      <c r="E4489" s="11"/>
      <c r="F4489" s="11"/>
      <c r="G4489" s="11"/>
      <c r="H4489" s="11"/>
      <c r="I4489" s="15"/>
    </row>
    <row r="4490" spans="1:9" ht="16.5">
      <c r="A4490" s="10" t="b">
        <v>0</v>
      </c>
      <c r="B4490" s="11" t="str">
        <f>IF(D4490&lt;&gt;"",IF(COUNTIF('USPTO TMs'!A:A,D4490)&gt;0,"Yes","No"),"")</f>
        <v/>
      </c>
      <c r="C4490" s="11"/>
      <c r="D4490" s="11"/>
      <c r="E4490" s="11"/>
      <c r="F4490" s="11"/>
      <c r="G4490" s="11"/>
      <c r="H4490" s="11"/>
      <c r="I4490" s="15"/>
    </row>
    <row r="4491" spans="1:9" ht="16.5">
      <c r="A4491" s="10" t="b">
        <v>0</v>
      </c>
      <c r="B4491" s="11" t="str">
        <f>IF(D4491&lt;&gt;"",IF(COUNTIF('USPTO TMs'!A:A,D4491)&gt;0,"Yes","No"),"")</f>
        <v/>
      </c>
      <c r="C4491" s="11"/>
      <c r="D4491" s="11"/>
      <c r="E4491" s="11"/>
      <c r="F4491" s="11"/>
      <c r="G4491" s="11"/>
      <c r="H4491" s="11"/>
      <c r="I4491" s="15"/>
    </row>
    <row r="4492" spans="1:9" ht="16.5">
      <c r="A4492" s="10" t="b">
        <v>0</v>
      </c>
      <c r="B4492" s="11" t="str">
        <f>IF(D4492&lt;&gt;"",IF(COUNTIF('USPTO TMs'!A:A,D4492)&gt;0,"Yes","No"),"")</f>
        <v/>
      </c>
      <c r="C4492" s="11"/>
      <c r="D4492" s="11"/>
      <c r="E4492" s="11"/>
      <c r="F4492" s="11"/>
      <c r="G4492" s="11"/>
      <c r="H4492" s="11"/>
      <c r="I4492" s="15"/>
    </row>
    <row r="4493" spans="1:9" ht="16.5">
      <c r="A4493" s="10" t="b">
        <v>0</v>
      </c>
      <c r="B4493" s="11" t="str">
        <f>IF(D4493&lt;&gt;"",IF(COUNTIF('USPTO TMs'!A:A,D4493)&gt;0,"Yes","No"),"")</f>
        <v/>
      </c>
      <c r="C4493" s="11"/>
      <c r="D4493" s="11"/>
      <c r="E4493" s="11"/>
      <c r="F4493" s="11"/>
      <c r="G4493" s="11"/>
      <c r="H4493" s="11"/>
      <c r="I4493" s="15"/>
    </row>
    <row r="4494" spans="1:9" ht="16.5">
      <c r="A4494" s="10" t="b">
        <v>0</v>
      </c>
      <c r="B4494" s="11" t="str">
        <f>IF(D4494&lt;&gt;"",IF(COUNTIF('USPTO TMs'!A:A,D4494)&gt;0,"Yes","No"),"")</f>
        <v/>
      </c>
      <c r="C4494" s="11"/>
      <c r="D4494" s="11"/>
      <c r="E4494" s="11"/>
      <c r="F4494" s="11"/>
      <c r="G4494" s="11"/>
      <c r="H4494" s="11"/>
      <c r="I4494" s="15"/>
    </row>
    <row r="4495" spans="1:9" ht="16.5">
      <c r="A4495" s="10" t="b">
        <v>0</v>
      </c>
      <c r="B4495" s="11" t="str">
        <f>IF(D4495&lt;&gt;"",IF(COUNTIF('USPTO TMs'!A:A,D4495)&gt;0,"Yes","No"),"")</f>
        <v/>
      </c>
      <c r="C4495" s="11"/>
      <c r="D4495" s="11"/>
      <c r="E4495" s="11"/>
      <c r="F4495" s="11"/>
      <c r="G4495" s="11"/>
      <c r="H4495" s="11"/>
      <c r="I4495" s="15"/>
    </row>
    <row r="4496" spans="1:9" ht="16.5">
      <c r="A4496" s="10" t="b">
        <v>0</v>
      </c>
      <c r="B4496" s="11" t="str">
        <f>IF(D4496&lt;&gt;"",IF(COUNTIF('USPTO TMs'!A:A,D4496)&gt;0,"Yes","No"),"")</f>
        <v/>
      </c>
      <c r="C4496" s="11"/>
      <c r="D4496" s="11"/>
      <c r="E4496" s="11"/>
      <c r="F4496" s="11"/>
      <c r="G4496" s="11"/>
      <c r="H4496" s="11"/>
      <c r="I4496" s="15"/>
    </row>
    <row r="4497" spans="1:9" ht="16.5">
      <c r="A4497" s="10" t="b">
        <v>0</v>
      </c>
      <c r="B4497" s="11" t="str">
        <f>IF(D4497&lt;&gt;"",IF(COUNTIF('USPTO TMs'!A:A,D4497)&gt;0,"Yes","No"),"")</f>
        <v/>
      </c>
      <c r="C4497" s="11"/>
      <c r="D4497" s="11"/>
      <c r="E4497" s="11"/>
      <c r="F4497" s="11"/>
      <c r="G4497" s="11"/>
      <c r="H4497" s="11"/>
      <c r="I4497" s="15"/>
    </row>
    <row r="4498" spans="1:9" ht="16.5">
      <c r="A4498" s="10" t="b">
        <v>0</v>
      </c>
      <c r="B4498" s="11" t="str">
        <f>IF(D4498&lt;&gt;"",IF(COUNTIF('USPTO TMs'!A:A,D4498)&gt;0,"Yes","No"),"")</f>
        <v/>
      </c>
      <c r="C4498" s="11"/>
      <c r="D4498" s="11"/>
      <c r="E4498" s="11"/>
      <c r="F4498" s="11"/>
      <c r="G4498" s="11"/>
      <c r="H4498" s="11"/>
      <c r="I4498" s="15"/>
    </row>
    <row r="4499" spans="1:9" ht="16.5">
      <c r="A4499" s="10" t="b">
        <v>0</v>
      </c>
      <c r="B4499" s="11" t="str">
        <f>IF(D4499&lt;&gt;"",IF(COUNTIF('USPTO TMs'!A:A,D4499)&gt;0,"Yes","No"),"")</f>
        <v/>
      </c>
      <c r="C4499" s="11"/>
      <c r="D4499" s="11"/>
      <c r="E4499" s="11"/>
      <c r="F4499" s="11"/>
      <c r="G4499" s="11"/>
      <c r="H4499" s="11"/>
      <c r="I4499" s="15"/>
    </row>
    <row r="4500" spans="1:9" ht="16.5">
      <c r="A4500" s="10" t="b">
        <v>0</v>
      </c>
      <c r="B4500" s="11" t="str">
        <f>IF(D4500&lt;&gt;"",IF(COUNTIF('USPTO TMs'!A:A,D4500)&gt;0,"Yes","No"),"")</f>
        <v/>
      </c>
      <c r="C4500" s="11"/>
      <c r="D4500" s="11"/>
      <c r="E4500" s="11"/>
      <c r="F4500" s="11"/>
      <c r="G4500" s="11"/>
      <c r="H4500" s="11"/>
      <c r="I4500" s="15"/>
    </row>
    <row r="4501" spans="1:9" ht="16.5">
      <c r="A4501" s="10" t="b">
        <v>0</v>
      </c>
      <c r="B4501" s="11" t="str">
        <f>IF(D4501&lt;&gt;"",IF(COUNTIF('USPTO TMs'!A:A,D4501)&gt;0,"Yes","No"),"")</f>
        <v/>
      </c>
      <c r="C4501" s="11"/>
      <c r="D4501" s="11"/>
      <c r="E4501" s="11"/>
      <c r="F4501" s="11"/>
      <c r="G4501" s="11"/>
      <c r="H4501" s="11"/>
      <c r="I4501" s="15"/>
    </row>
    <row r="4502" spans="1:9" ht="16.5">
      <c r="A4502" s="10" t="b">
        <v>0</v>
      </c>
      <c r="B4502" s="11" t="str">
        <f>IF(D4502&lt;&gt;"",IF(COUNTIF('USPTO TMs'!A:A,D4502)&gt;0,"Yes","No"),"")</f>
        <v/>
      </c>
      <c r="C4502" s="11"/>
      <c r="D4502" s="11"/>
      <c r="E4502" s="11"/>
      <c r="F4502" s="11"/>
      <c r="G4502" s="11"/>
      <c r="H4502" s="11"/>
      <c r="I4502" s="15"/>
    </row>
    <row r="4503" spans="1:9" ht="16.5">
      <c r="A4503" s="10" t="b">
        <v>0</v>
      </c>
      <c r="B4503" s="11" t="str">
        <f>IF(D4503&lt;&gt;"",IF(COUNTIF('USPTO TMs'!A:A,D4503)&gt;0,"Yes","No"),"")</f>
        <v/>
      </c>
      <c r="C4503" s="11"/>
      <c r="D4503" s="11"/>
      <c r="E4503" s="11"/>
      <c r="F4503" s="11"/>
      <c r="G4503" s="11"/>
      <c r="H4503" s="11"/>
      <c r="I4503" s="15"/>
    </row>
    <row r="4504" spans="1:9" ht="16.5">
      <c r="A4504" s="10" t="b">
        <v>0</v>
      </c>
      <c r="B4504" s="11" t="str">
        <f>IF(D4504&lt;&gt;"",IF(COUNTIF('USPTO TMs'!A:A,D4504)&gt;0,"Yes","No"),"")</f>
        <v/>
      </c>
      <c r="C4504" s="11"/>
      <c r="D4504" s="11"/>
      <c r="E4504" s="11"/>
      <c r="F4504" s="11"/>
      <c r="G4504" s="11"/>
      <c r="H4504" s="11"/>
      <c r="I4504" s="15"/>
    </row>
    <row r="4505" spans="1:9" ht="16.5">
      <c r="A4505" s="10" t="b">
        <v>0</v>
      </c>
      <c r="B4505" s="11" t="str">
        <f>IF(D4505&lt;&gt;"",IF(COUNTIF('USPTO TMs'!A:A,D4505)&gt;0,"Yes","No"),"")</f>
        <v/>
      </c>
      <c r="C4505" s="11"/>
      <c r="D4505" s="11"/>
      <c r="E4505" s="11"/>
      <c r="F4505" s="11"/>
      <c r="G4505" s="11"/>
      <c r="H4505" s="11"/>
      <c r="I4505" s="15"/>
    </row>
    <row r="4506" spans="1:9" ht="16.5">
      <c r="A4506" s="10" t="b">
        <v>0</v>
      </c>
      <c r="B4506" s="11" t="str">
        <f>IF(D4506&lt;&gt;"",IF(COUNTIF('USPTO TMs'!A:A,D4506)&gt;0,"Yes","No"),"")</f>
        <v/>
      </c>
      <c r="C4506" s="11"/>
      <c r="D4506" s="11"/>
      <c r="E4506" s="11"/>
      <c r="F4506" s="11"/>
      <c r="G4506" s="11"/>
      <c r="H4506" s="11"/>
      <c r="I4506" s="15"/>
    </row>
    <row r="4507" spans="1:9" ht="16.5">
      <c r="A4507" s="10" t="b">
        <v>0</v>
      </c>
      <c r="B4507" s="11" t="str">
        <f>IF(D4507&lt;&gt;"",IF(COUNTIF('USPTO TMs'!A:A,D4507)&gt;0,"Yes","No"),"")</f>
        <v/>
      </c>
      <c r="C4507" s="11"/>
      <c r="D4507" s="11"/>
      <c r="E4507" s="11"/>
      <c r="F4507" s="11"/>
      <c r="G4507" s="11"/>
      <c r="H4507" s="11"/>
      <c r="I4507" s="15"/>
    </row>
    <row r="4508" spans="1:9" ht="16.5">
      <c r="A4508" s="10" t="b">
        <v>0</v>
      </c>
      <c r="B4508" s="11" t="str">
        <f>IF(D4508&lt;&gt;"",IF(COUNTIF('USPTO TMs'!A:A,D4508)&gt;0,"Yes","No"),"")</f>
        <v/>
      </c>
      <c r="C4508" s="11"/>
      <c r="D4508" s="11"/>
      <c r="E4508" s="11"/>
      <c r="F4508" s="11"/>
      <c r="G4508" s="11"/>
      <c r="H4508" s="11"/>
      <c r="I4508" s="15"/>
    </row>
    <row r="4509" spans="1:9" ht="16.5">
      <c r="A4509" s="10" t="b">
        <v>0</v>
      </c>
      <c r="B4509" s="11" t="str">
        <f>IF(D4509&lt;&gt;"",IF(COUNTIF('USPTO TMs'!A:A,D4509)&gt;0,"Yes","No"),"")</f>
        <v/>
      </c>
      <c r="C4509" s="11"/>
      <c r="D4509" s="11"/>
      <c r="E4509" s="11"/>
      <c r="F4509" s="11"/>
      <c r="G4509" s="11"/>
      <c r="H4509" s="11"/>
      <c r="I4509" s="15"/>
    </row>
    <row r="4510" spans="1:9" ht="16.5">
      <c r="A4510" s="10" t="b">
        <v>0</v>
      </c>
      <c r="B4510" s="11" t="str">
        <f>IF(D4510&lt;&gt;"",IF(COUNTIF('USPTO TMs'!A:A,D4510)&gt;0,"Yes","No"),"")</f>
        <v/>
      </c>
      <c r="C4510" s="11"/>
      <c r="D4510" s="11"/>
      <c r="E4510" s="11"/>
      <c r="F4510" s="11"/>
      <c r="G4510" s="11"/>
      <c r="H4510" s="11"/>
      <c r="I4510" s="15"/>
    </row>
    <row r="4511" spans="1:9" ht="16.5">
      <c r="A4511" s="10" t="b">
        <v>0</v>
      </c>
      <c r="B4511" s="11" t="str">
        <f>IF(D4511&lt;&gt;"",IF(COUNTIF('USPTO TMs'!A:A,D4511)&gt;0,"Yes","No"),"")</f>
        <v/>
      </c>
      <c r="C4511" s="11"/>
      <c r="D4511" s="11"/>
      <c r="E4511" s="11"/>
      <c r="F4511" s="11"/>
      <c r="G4511" s="11"/>
      <c r="H4511" s="11"/>
      <c r="I4511" s="15"/>
    </row>
    <row r="4512" spans="1:9" ht="16.5">
      <c r="A4512" s="10" t="b">
        <v>0</v>
      </c>
      <c r="B4512" s="11" t="str">
        <f>IF(D4512&lt;&gt;"",IF(COUNTIF('USPTO TMs'!A:A,D4512)&gt;0,"Yes","No"),"")</f>
        <v/>
      </c>
      <c r="C4512" s="11"/>
      <c r="D4512" s="11"/>
      <c r="E4512" s="11"/>
      <c r="F4512" s="11"/>
      <c r="G4512" s="11"/>
      <c r="H4512" s="11"/>
      <c r="I4512" s="15"/>
    </row>
    <row r="4513" spans="1:9" ht="16.5">
      <c r="A4513" s="10" t="b">
        <v>0</v>
      </c>
      <c r="B4513" s="11" t="str">
        <f>IF(D4513&lt;&gt;"",IF(COUNTIF('USPTO TMs'!A:A,D4513)&gt;0,"Yes","No"),"")</f>
        <v/>
      </c>
      <c r="C4513" s="11"/>
      <c r="D4513" s="11"/>
      <c r="E4513" s="11"/>
      <c r="F4513" s="11"/>
      <c r="G4513" s="11"/>
      <c r="H4513" s="11"/>
      <c r="I4513" s="15"/>
    </row>
    <row r="4514" spans="1:9" ht="16.5">
      <c r="A4514" s="10" t="b">
        <v>0</v>
      </c>
      <c r="B4514" s="11" t="str">
        <f>IF(D4514&lt;&gt;"",IF(COUNTIF('USPTO TMs'!A:A,D4514)&gt;0,"Yes","No"),"")</f>
        <v/>
      </c>
      <c r="C4514" s="11"/>
      <c r="D4514" s="11"/>
      <c r="E4514" s="11"/>
      <c r="F4514" s="11"/>
      <c r="G4514" s="11"/>
      <c r="H4514" s="11"/>
      <c r="I4514" s="15"/>
    </row>
    <row r="4515" spans="1:9" ht="16.5">
      <c r="A4515" s="10" t="b">
        <v>0</v>
      </c>
      <c r="B4515" s="11" t="str">
        <f>IF(D4515&lt;&gt;"",IF(COUNTIF('USPTO TMs'!A:A,D4515)&gt;0,"Yes","No"),"")</f>
        <v/>
      </c>
      <c r="C4515" s="11"/>
      <c r="D4515" s="11"/>
      <c r="E4515" s="11"/>
      <c r="F4515" s="11"/>
      <c r="G4515" s="11"/>
      <c r="H4515" s="11"/>
      <c r="I4515" s="15"/>
    </row>
    <row r="4516" spans="1:9" ht="16.5">
      <c r="A4516" s="10" t="b">
        <v>0</v>
      </c>
      <c r="B4516" s="11" t="str">
        <f>IF(D4516&lt;&gt;"",IF(COUNTIF('USPTO TMs'!A:A,D4516)&gt;0,"Yes","No"),"")</f>
        <v/>
      </c>
      <c r="C4516" s="11"/>
      <c r="D4516" s="11"/>
      <c r="E4516" s="11"/>
      <c r="F4516" s="11"/>
      <c r="G4516" s="11"/>
      <c r="H4516" s="11"/>
      <c r="I4516" s="15"/>
    </row>
    <row r="4517" spans="1:9" ht="16.5">
      <c r="A4517" s="10" t="b">
        <v>0</v>
      </c>
      <c r="B4517" s="11" t="str">
        <f>IF(D4517&lt;&gt;"",IF(COUNTIF('USPTO TMs'!A:A,D4517)&gt;0,"Yes","No"),"")</f>
        <v/>
      </c>
      <c r="C4517" s="11"/>
      <c r="D4517" s="11"/>
      <c r="E4517" s="11"/>
      <c r="F4517" s="11"/>
      <c r="G4517" s="11"/>
      <c r="H4517" s="11"/>
      <c r="I4517" s="15"/>
    </row>
    <row r="4518" spans="1:9" ht="16.5">
      <c r="A4518" s="10" t="b">
        <v>0</v>
      </c>
      <c r="B4518" s="11" t="str">
        <f>IF(D4518&lt;&gt;"",IF(COUNTIF('USPTO TMs'!A:A,D4518)&gt;0,"Yes","No"),"")</f>
        <v/>
      </c>
      <c r="C4518" s="11"/>
      <c r="D4518" s="11"/>
      <c r="E4518" s="11"/>
      <c r="F4518" s="11"/>
      <c r="G4518" s="11"/>
      <c r="H4518" s="11"/>
      <c r="I4518" s="15"/>
    </row>
    <row r="4519" spans="1:9" ht="16.5">
      <c r="A4519" s="10" t="b">
        <v>0</v>
      </c>
      <c r="B4519" s="11" t="str">
        <f>IF(D4519&lt;&gt;"",IF(COUNTIF('USPTO TMs'!A:A,D4519)&gt;0,"Yes","No"),"")</f>
        <v/>
      </c>
      <c r="C4519" s="11"/>
      <c r="D4519" s="11"/>
      <c r="E4519" s="11"/>
      <c r="F4519" s="11"/>
      <c r="G4519" s="11"/>
      <c r="H4519" s="11"/>
      <c r="I4519" s="15"/>
    </row>
    <row r="4520" spans="1:9" ht="16.5">
      <c r="A4520" s="10" t="b">
        <v>0</v>
      </c>
      <c r="B4520" s="11" t="str">
        <f>IF(D4520&lt;&gt;"",IF(COUNTIF('USPTO TMs'!A:A,D4520)&gt;0,"Yes","No"),"")</f>
        <v/>
      </c>
      <c r="C4520" s="11"/>
      <c r="D4520" s="11"/>
      <c r="E4520" s="11"/>
      <c r="F4520" s="11"/>
      <c r="G4520" s="11"/>
      <c r="H4520" s="11"/>
      <c r="I4520" s="15"/>
    </row>
    <row r="4521" spans="1:9" ht="16.5">
      <c r="A4521" s="10" t="b">
        <v>0</v>
      </c>
      <c r="B4521" s="11" t="str">
        <f>IF(D4521&lt;&gt;"",IF(COUNTIF('USPTO TMs'!A:A,D4521)&gt;0,"Yes","No"),"")</f>
        <v/>
      </c>
      <c r="C4521" s="11"/>
      <c r="D4521" s="11"/>
      <c r="E4521" s="11"/>
      <c r="F4521" s="11"/>
      <c r="G4521" s="11"/>
      <c r="H4521" s="11"/>
      <c r="I4521" s="15"/>
    </row>
    <row r="4522" spans="1:9" ht="16.5">
      <c r="A4522" s="10" t="b">
        <v>0</v>
      </c>
      <c r="B4522" s="11" t="str">
        <f>IF(D4522&lt;&gt;"",IF(COUNTIF('USPTO TMs'!A:A,D4522)&gt;0,"Yes","No"),"")</f>
        <v/>
      </c>
      <c r="C4522" s="11"/>
      <c r="D4522" s="11"/>
      <c r="E4522" s="11"/>
      <c r="F4522" s="11"/>
      <c r="G4522" s="11"/>
      <c r="H4522" s="11"/>
      <c r="I4522" s="15"/>
    </row>
    <row r="4523" spans="1:9" ht="16.5">
      <c r="A4523" s="10" t="b">
        <v>0</v>
      </c>
      <c r="B4523" s="11" t="str">
        <f>IF(D4523&lt;&gt;"",IF(COUNTIF('USPTO TMs'!A:A,D4523)&gt;0,"Yes","No"),"")</f>
        <v/>
      </c>
      <c r="C4523" s="11"/>
      <c r="D4523" s="11"/>
      <c r="E4523" s="11"/>
      <c r="F4523" s="11"/>
      <c r="G4523" s="11"/>
      <c r="H4523" s="11"/>
      <c r="I4523" s="15"/>
    </row>
    <row r="4524" spans="1:9" ht="16.5">
      <c r="A4524" s="10" t="b">
        <v>0</v>
      </c>
      <c r="B4524" s="11" t="str">
        <f>IF(D4524&lt;&gt;"",IF(COUNTIF('USPTO TMs'!A:A,D4524)&gt;0,"Yes","No"),"")</f>
        <v/>
      </c>
      <c r="C4524" s="11"/>
      <c r="D4524" s="11"/>
      <c r="E4524" s="11"/>
      <c r="F4524" s="11"/>
      <c r="G4524" s="11"/>
      <c r="H4524" s="11"/>
      <c r="I4524" s="15"/>
    </row>
    <row r="4525" spans="1:9" ht="16.5">
      <c r="A4525" s="10" t="b">
        <v>0</v>
      </c>
      <c r="B4525" s="11" t="str">
        <f>IF(D4525&lt;&gt;"",IF(COUNTIF('USPTO TMs'!A:A,D4525)&gt;0,"Yes","No"),"")</f>
        <v/>
      </c>
      <c r="C4525" s="11"/>
      <c r="D4525" s="11"/>
      <c r="E4525" s="11"/>
      <c r="F4525" s="11"/>
      <c r="G4525" s="11"/>
      <c r="H4525" s="11"/>
      <c r="I4525" s="15"/>
    </row>
    <row r="4526" spans="1:9" ht="16.5">
      <c r="A4526" s="10" t="b">
        <v>0</v>
      </c>
      <c r="B4526" s="11" t="str">
        <f>IF(D4526&lt;&gt;"",IF(COUNTIF('USPTO TMs'!A:A,D4526)&gt;0,"Yes","No"),"")</f>
        <v/>
      </c>
      <c r="C4526" s="11"/>
      <c r="D4526" s="11"/>
      <c r="E4526" s="11"/>
      <c r="F4526" s="11"/>
      <c r="G4526" s="11"/>
      <c r="H4526" s="11"/>
      <c r="I4526" s="15"/>
    </row>
    <row r="4527" spans="1:9" ht="16.5">
      <c r="A4527" s="10" t="b">
        <v>0</v>
      </c>
      <c r="B4527" s="11" t="str">
        <f>IF(D4527&lt;&gt;"",IF(COUNTIF('USPTO TMs'!A:A,D4527)&gt;0,"Yes","No"),"")</f>
        <v/>
      </c>
      <c r="C4527" s="11"/>
      <c r="D4527" s="11"/>
      <c r="E4527" s="11"/>
      <c r="F4527" s="11"/>
      <c r="G4527" s="11"/>
      <c r="H4527" s="11"/>
      <c r="I4527" s="15"/>
    </row>
    <row r="4528" spans="1:9" ht="16.5">
      <c r="A4528" s="10" t="b">
        <v>0</v>
      </c>
      <c r="B4528" s="11" t="str">
        <f>IF(D4528&lt;&gt;"",IF(COUNTIF('USPTO TMs'!A:A,D4528)&gt;0,"Yes","No"),"")</f>
        <v/>
      </c>
      <c r="C4528" s="11"/>
      <c r="D4528" s="11"/>
      <c r="E4528" s="11"/>
      <c r="F4528" s="11"/>
      <c r="G4528" s="11"/>
      <c r="H4528" s="11"/>
      <c r="I4528" s="15"/>
    </row>
    <row r="4529" spans="1:9" ht="16.5">
      <c r="A4529" s="10" t="b">
        <v>0</v>
      </c>
      <c r="B4529" s="11" t="str">
        <f>IF(D4529&lt;&gt;"",IF(COUNTIF('USPTO TMs'!A:A,D4529)&gt;0,"Yes","No"),"")</f>
        <v/>
      </c>
      <c r="C4529" s="11"/>
      <c r="D4529" s="11"/>
      <c r="E4529" s="11"/>
      <c r="F4529" s="11"/>
      <c r="G4529" s="11"/>
      <c r="H4529" s="11"/>
      <c r="I4529" s="15"/>
    </row>
    <row r="4530" spans="1:9" ht="16.5">
      <c r="A4530" s="10" t="b">
        <v>0</v>
      </c>
      <c r="B4530" s="11" t="str">
        <f>IF(D4530&lt;&gt;"",IF(COUNTIF('USPTO TMs'!A:A,D4530)&gt;0,"Yes","No"),"")</f>
        <v/>
      </c>
      <c r="C4530" s="11"/>
      <c r="D4530" s="11"/>
      <c r="E4530" s="11"/>
      <c r="F4530" s="11"/>
      <c r="G4530" s="11"/>
      <c r="H4530" s="11"/>
      <c r="I4530" s="15"/>
    </row>
    <row r="4531" spans="1:9" ht="16.5">
      <c r="A4531" s="10" t="b">
        <v>0</v>
      </c>
      <c r="B4531" s="11" t="str">
        <f>IF(D4531&lt;&gt;"",IF(COUNTIF('USPTO TMs'!A:A,D4531)&gt;0,"Yes","No"),"")</f>
        <v/>
      </c>
      <c r="C4531" s="11"/>
      <c r="D4531" s="11"/>
      <c r="E4531" s="11"/>
      <c r="F4531" s="11"/>
      <c r="G4531" s="11"/>
      <c r="H4531" s="11"/>
      <c r="I4531" s="15"/>
    </row>
    <row r="4532" spans="1:9" ht="16.5">
      <c r="A4532" s="10" t="b">
        <v>0</v>
      </c>
      <c r="B4532" s="11" t="str">
        <f>IF(D4532&lt;&gt;"",IF(COUNTIF('USPTO TMs'!A:A,D4532)&gt;0,"Yes","No"),"")</f>
        <v/>
      </c>
      <c r="C4532" s="11"/>
      <c r="D4532" s="11"/>
      <c r="E4532" s="11"/>
      <c r="F4532" s="11"/>
      <c r="G4532" s="11"/>
      <c r="H4532" s="11"/>
      <c r="I4532" s="15"/>
    </row>
    <row r="4533" spans="1:9" ht="16.5">
      <c r="A4533" s="10" t="b">
        <v>0</v>
      </c>
      <c r="B4533" s="11" t="str">
        <f>IF(D4533&lt;&gt;"",IF(COUNTIF('USPTO TMs'!A:A,D4533)&gt;0,"Yes","No"),"")</f>
        <v/>
      </c>
      <c r="C4533" s="11"/>
      <c r="D4533" s="11"/>
      <c r="E4533" s="11"/>
      <c r="F4533" s="11"/>
      <c r="G4533" s="11"/>
      <c r="H4533" s="11"/>
      <c r="I4533" s="15"/>
    </row>
    <row r="4534" spans="1:9" ht="16.5">
      <c r="A4534" s="10" t="b">
        <v>0</v>
      </c>
      <c r="B4534" s="11" t="str">
        <f>IF(D4534&lt;&gt;"",IF(COUNTIF('USPTO TMs'!A:A,D4534)&gt;0,"Yes","No"),"")</f>
        <v/>
      </c>
      <c r="C4534" s="11"/>
      <c r="D4534" s="11"/>
      <c r="E4534" s="11"/>
      <c r="F4534" s="11"/>
      <c r="G4534" s="11"/>
      <c r="H4534" s="11"/>
      <c r="I4534" s="15"/>
    </row>
    <row r="4535" spans="1:9" ht="16.5">
      <c r="A4535" s="10" t="b">
        <v>0</v>
      </c>
      <c r="B4535" s="11" t="str">
        <f>IF(D4535&lt;&gt;"",IF(COUNTIF('USPTO TMs'!A:A,D4535)&gt;0,"Yes","No"),"")</f>
        <v/>
      </c>
      <c r="C4535" s="11"/>
      <c r="D4535" s="11"/>
      <c r="E4535" s="11"/>
      <c r="F4535" s="11"/>
      <c r="G4535" s="11"/>
      <c r="H4535" s="11"/>
      <c r="I4535" s="15"/>
    </row>
    <row r="4536" spans="1:9" ht="16.5">
      <c r="A4536" s="10" t="b">
        <v>0</v>
      </c>
      <c r="B4536" s="11" t="str">
        <f>IF(D4536&lt;&gt;"",IF(COUNTIF('USPTO TMs'!A:A,D4536)&gt;0,"Yes","No"),"")</f>
        <v/>
      </c>
      <c r="C4536" s="11"/>
      <c r="D4536" s="11"/>
      <c r="E4536" s="11"/>
      <c r="F4536" s="11"/>
      <c r="G4536" s="11"/>
      <c r="H4536" s="11"/>
      <c r="I4536" s="15"/>
    </row>
    <row r="4537" spans="1:9" ht="16.5">
      <c r="A4537" s="10" t="b">
        <v>0</v>
      </c>
      <c r="B4537" s="11" t="str">
        <f>IF(D4537&lt;&gt;"",IF(COUNTIF('USPTO TMs'!A:A,D4537)&gt;0,"Yes","No"),"")</f>
        <v/>
      </c>
      <c r="C4537" s="11"/>
      <c r="D4537" s="11"/>
      <c r="E4537" s="11"/>
      <c r="F4537" s="11"/>
      <c r="G4537" s="11"/>
      <c r="H4537" s="11"/>
      <c r="I4537" s="15"/>
    </row>
    <row r="4538" spans="1:9" ht="16.5">
      <c r="A4538" s="10" t="b">
        <v>0</v>
      </c>
      <c r="B4538" s="11" t="str">
        <f>IF(D4538&lt;&gt;"",IF(COUNTIF('USPTO TMs'!A:A,D4538)&gt;0,"Yes","No"),"")</f>
        <v/>
      </c>
      <c r="C4538" s="11"/>
      <c r="D4538" s="11"/>
      <c r="E4538" s="11"/>
      <c r="F4538" s="11"/>
      <c r="G4538" s="11"/>
      <c r="H4538" s="11"/>
      <c r="I4538" s="15"/>
    </row>
    <row r="4539" spans="1:9" ht="16.5">
      <c r="A4539" s="10" t="b">
        <v>0</v>
      </c>
      <c r="B4539" s="11" t="str">
        <f>IF(D4539&lt;&gt;"",IF(COUNTIF('USPTO TMs'!A:A,D4539)&gt;0,"Yes","No"),"")</f>
        <v/>
      </c>
      <c r="C4539" s="11"/>
      <c r="D4539" s="11"/>
      <c r="E4539" s="11"/>
      <c r="F4539" s="11"/>
      <c r="G4539" s="11"/>
      <c r="H4539" s="11"/>
      <c r="I4539" s="15"/>
    </row>
    <row r="4540" spans="1:9" ht="16.5">
      <c r="A4540" s="10" t="b">
        <v>0</v>
      </c>
      <c r="B4540" s="11" t="str">
        <f>IF(D4540&lt;&gt;"",IF(COUNTIF('USPTO TMs'!A:A,D4540)&gt;0,"Yes","No"),"")</f>
        <v/>
      </c>
      <c r="C4540" s="11"/>
      <c r="D4540" s="11"/>
      <c r="E4540" s="11"/>
      <c r="F4540" s="11"/>
      <c r="G4540" s="11"/>
      <c r="H4540" s="11"/>
      <c r="I4540" s="15"/>
    </row>
    <row r="4541" spans="1:9" ht="16.5">
      <c r="A4541" s="10" t="b">
        <v>0</v>
      </c>
      <c r="B4541" s="11" t="str">
        <f>IF(D4541&lt;&gt;"",IF(COUNTIF('USPTO TMs'!A:A,D4541)&gt;0,"Yes","No"),"")</f>
        <v/>
      </c>
      <c r="C4541" s="11"/>
      <c r="D4541" s="11"/>
      <c r="E4541" s="11"/>
      <c r="F4541" s="11"/>
      <c r="G4541" s="11"/>
      <c r="H4541" s="11"/>
      <c r="I4541" s="15"/>
    </row>
    <row r="4542" spans="1:9" ht="16.5">
      <c r="A4542" s="10" t="b">
        <v>0</v>
      </c>
      <c r="B4542" s="11" t="str">
        <f>IF(D4542&lt;&gt;"",IF(COUNTIF('USPTO TMs'!A:A,D4542)&gt;0,"Yes","No"),"")</f>
        <v/>
      </c>
      <c r="C4542" s="11"/>
      <c r="D4542" s="11"/>
      <c r="E4542" s="11"/>
      <c r="F4542" s="11"/>
      <c r="G4542" s="11"/>
      <c r="H4542" s="11"/>
      <c r="I4542" s="15"/>
    </row>
    <row r="4543" spans="1:9" ht="16.5">
      <c r="A4543" s="10" t="b">
        <v>0</v>
      </c>
      <c r="B4543" s="11" t="str">
        <f>IF(D4543&lt;&gt;"",IF(COUNTIF('USPTO TMs'!A:A,D4543)&gt;0,"Yes","No"),"")</f>
        <v/>
      </c>
      <c r="C4543" s="11"/>
      <c r="D4543" s="11"/>
      <c r="E4543" s="11"/>
      <c r="F4543" s="11"/>
      <c r="G4543" s="11"/>
      <c r="H4543" s="11"/>
      <c r="I4543" s="15"/>
    </row>
    <row r="4544" spans="1:9" ht="16.5">
      <c r="A4544" s="10" t="b">
        <v>0</v>
      </c>
      <c r="B4544" s="11" t="str">
        <f>IF(D4544&lt;&gt;"",IF(COUNTIF('USPTO TMs'!A:A,D4544)&gt;0,"Yes","No"),"")</f>
        <v/>
      </c>
      <c r="C4544" s="11"/>
      <c r="D4544" s="11"/>
      <c r="E4544" s="11"/>
      <c r="F4544" s="11"/>
      <c r="G4544" s="11"/>
      <c r="H4544" s="11"/>
      <c r="I4544" s="15"/>
    </row>
    <row r="4545" spans="1:9" ht="16.5">
      <c r="A4545" s="10" t="b">
        <v>0</v>
      </c>
      <c r="B4545" s="11" t="str">
        <f>IF(D4545&lt;&gt;"",IF(COUNTIF('USPTO TMs'!A:A,D4545)&gt;0,"Yes","No"),"")</f>
        <v/>
      </c>
      <c r="C4545" s="11"/>
      <c r="D4545" s="11"/>
      <c r="E4545" s="11"/>
      <c r="F4545" s="11"/>
      <c r="G4545" s="11"/>
      <c r="H4545" s="11"/>
      <c r="I4545" s="15"/>
    </row>
    <row r="4546" spans="1:9" ht="16.5">
      <c r="A4546" s="10" t="b">
        <v>0</v>
      </c>
      <c r="B4546" s="11" t="str">
        <f>IF(D4546&lt;&gt;"",IF(COUNTIF('USPTO TMs'!A:A,D4546)&gt;0,"Yes","No"),"")</f>
        <v/>
      </c>
      <c r="C4546" s="11"/>
      <c r="D4546" s="11"/>
      <c r="E4546" s="11"/>
      <c r="F4546" s="11"/>
      <c r="G4546" s="11"/>
      <c r="H4546" s="11"/>
      <c r="I4546" s="15"/>
    </row>
    <row r="4547" spans="1:9" ht="16.5">
      <c r="A4547" s="10" t="b">
        <v>0</v>
      </c>
      <c r="B4547" s="11" t="str">
        <f>IF(D4547&lt;&gt;"",IF(COUNTIF('USPTO TMs'!A:A,D4547)&gt;0,"Yes","No"),"")</f>
        <v/>
      </c>
      <c r="C4547" s="11"/>
      <c r="D4547" s="11"/>
      <c r="E4547" s="11"/>
      <c r="F4547" s="11"/>
      <c r="G4547" s="11"/>
      <c r="H4547" s="11"/>
      <c r="I4547" s="15"/>
    </row>
    <row r="4548" spans="1:9" ht="16.5">
      <c r="A4548" s="10" t="b">
        <v>0</v>
      </c>
      <c r="B4548" s="11" t="str">
        <f>IF(D4548&lt;&gt;"",IF(COUNTIF('USPTO TMs'!A:A,D4548)&gt;0,"Yes","No"),"")</f>
        <v/>
      </c>
      <c r="C4548" s="11"/>
      <c r="D4548" s="11"/>
      <c r="E4548" s="11"/>
      <c r="F4548" s="11"/>
      <c r="G4548" s="11"/>
      <c r="H4548" s="11"/>
      <c r="I4548" s="15"/>
    </row>
    <row r="4549" spans="1:9" ht="16.5">
      <c r="A4549" s="10" t="b">
        <v>0</v>
      </c>
      <c r="B4549" s="11" t="str">
        <f>IF(D4549&lt;&gt;"",IF(COUNTIF('USPTO TMs'!A:A,D4549)&gt;0,"Yes","No"),"")</f>
        <v/>
      </c>
      <c r="C4549" s="11"/>
      <c r="D4549" s="11"/>
      <c r="E4549" s="11"/>
      <c r="F4549" s="11"/>
      <c r="G4549" s="11"/>
      <c r="H4549" s="11"/>
      <c r="I4549" s="15"/>
    </row>
    <row r="4550" spans="1:9" ht="16.5">
      <c r="A4550" s="10" t="b">
        <v>0</v>
      </c>
      <c r="B4550" s="11" t="str">
        <f>IF(D4550&lt;&gt;"",IF(COUNTIF('USPTO TMs'!A:A,D4550)&gt;0,"Yes","No"),"")</f>
        <v/>
      </c>
      <c r="C4550" s="11"/>
      <c r="D4550" s="11"/>
      <c r="E4550" s="11"/>
      <c r="F4550" s="11"/>
      <c r="G4550" s="11"/>
      <c r="H4550" s="11"/>
      <c r="I4550" s="15"/>
    </row>
    <row r="4551" spans="1:9" ht="16.5">
      <c r="A4551" s="10" t="b">
        <v>0</v>
      </c>
      <c r="B4551" s="11" t="str">
        <f>IF(D4551&lt;&gt;"",IF(COUNTIF('USPTO TMs'!A:A,D4551)&gt;0,"Yes","No"),"")</f>
        <v/>
      </c>
      <c r="C4551" s="11"/>
      <c r="D4551" s="11"/>
      <c r="E4551" s="11"/>
      <c r="F4551" s="11"/>
      <c r="G4551" s="11"/>
      <c r="H4551" s="11"/>
      <c r="I4551" s="15"/>
    </row>
    <row r="4552" spans="1:9" ht="16.5">
      <c r="A4552" s="10" t="b">
        <v>0</v>
      </c>
      <c r="B4552" s="11" t="str">
        <f>IF(D4552&lt;&gt;"",IF(COUNTIF('USPTO TMs'!A:A,D4552)&gt;0,"Yes","No"),"")</f>
        <v/>
      </c>
      <c r="C4552" s="11"/>
      <c r="D4552" s="11"/>
      <c r="E4552" s="11"/>
      <c r="F4552" s="11"/>
      <c r="G4552" s="11"/>
      <c r="H4552" s="11"/>
      <c r="I4552" s="15"/>
    </row>
    <row r="4553" spans="1:9" ht="16.5">
      <c r="A4553" s="10" t="b">
        <v>0</v>
      </c>
      <c r="B4553" s="11" t="str">
        <f>IF(D4553&lt;&gt;"",IF(COUNTIF('USPTO TMs'!A:A,D4553)&gt;0,"Yes","No"),"")</f>
        <v/>
      </c>
      <c r="C4553" s="11"/>
      <c r="D4553" s="11"/>
      <c r="E4553" s="11"/>
      <c r="F4553" s="11"/>
      <c r="G4553" s="11"/>
      <c r="H4553" s="11"/>
      <c r="I4553" s="15"/>
    </row>
    <row r="4554" spans="1:9" ht="16.5">
      <c r="A4554" s="10" t="b">
        <v>0</v>
      </c>
      <c r="B4554" s="11" t="str">
        <f>IF(D4554&lt;&gt;"",IF(COUNTIF('USPTO TMs'!A:A,D4554)&gt;0,"Yes","No"),"")</f>
        <v/>
      </c>
      <c r="C4554" s="11"/>
      <c r="D4554" s="11"/>
      <c r="E4554" s="11"/>
      <c r="F4554" s="11"/>
      <c r="G4554" s="11"/>
      <c r="H4554" s="11"/>
      <c r="I4554" s="15"/>
    </row>
    <row r="4555" spans="1:9" ht="16.5">
      <c r="A4555" s="10" t="b">
        <v>0</v>
      </c>
      <c r="B4555" s="11" t="str">
        <f>IF(D4555&lt;&gt;"",IF(COUNTIF('USPTO TMs'!A:A,D4555)&gt;0,"Yes","No"),"")</f>
        <v/>
      </c>
      <c r="C4555" s="11"/>
      <c r="D4555" s="11"/>
      <c r="E4555" s="11"/>
      <c r="F4555" s="11"/>
      <c r="G4555" s="11"/>
      <c r="H4555" s="11"/>
      <c r="I4555" s="15"/>
    </row>
    <row r="4556" spans="1:9" ht="16.5">
      <c r="A4556" s="10" t="b">
        <v>0</v>
      </c>
      <c r="B4556" s="11" t="str">
        <f>IF(D4556&lt;&gt;"",IF(COUNTIF('USPTO TMs'!A:A,D4556)&gt;0,"Yes","No"),"")</f>
        <v/>
      </c>
      <c r="C4556" s="11"/>
      <c r="D4556" s="11"/>
      <c r="E4556" s="11"/>
      <c r="F4556" s="11"/>
      <c r="G4556" s="11"/>
      <c r="H4556" s="11"/>
      <c r="I4556" s="15"/>
    </row>
    <row r="4557" spans="1:9" ht="16.5">
      <c r="A4557" s="10" t="b">
        <v>0</v>
      </c>
      <c r="B4557" s="11" t="str">
        <f>IF(D4557&lt;&gt;"",IF(COUNTIF('USPTO TMs'!A:A,D4557)&gt;0,"Yes","No"),"")</f>
        <v/>
      </c>
      <c r="C4557" s="11"/>
      <c r="D4557" s="11"/>
      <c r="E4557" s="11"/>
      <c r="F4557" s="11"/>
      <c r="G4557" s="11"/>
      <c r="H4557" s="11"/>
      <c r="I4557" s="15"/>
    </row>
    <row r="4558" spans="1:9" ht="16.5">
      <c r="A4558" s="10" t="b">
        <v>0</v>
      </c>
      <c r="B4558" s="11" t="str">
        <f>IF(D4558&lt;&gt;"",IF(COUNTIF('USPTO TMs'!A:A,D4558)&gt;0,"Yes","No"),"")</f>
        <v/>
      </c>
      <c r="C4558" s="11"/>
      <c r="D4558" s="11"/>
      <c r="E4558" s="11"/>
      <c r="F4558" s="11"/>
      <c r="G4558" s="11"/>
      <c r="H4558" s="11"/>
      <c r="I4558" s="15"/>
    </row>
    <row r="4559" spans="1:9" ht="16.5">
      <c r="A4559" s="10" t="b">
        <v>0</v>
      </c>
      <c r="B4559" s="11" t="str">
        <f>IF(D4559&lt;&gt;"",IF(COUNTIF('USPTO TMs'!A:A,D4559)&gt;0,"Yes","No"),"")</f>
        <v/>
      </c>
      <c r="C4559" s="11"/>
      <c r="D4559" s="11"/>
      <c r="E4559" s="11"/>
      <c r="F4559" s="11"/>
      <c r="G4559" s="11"/>
      <c r="H4559" s="11"/>
      <c r="I4559" s="15"/>
    </row>
    <row r="4560" spans="1:9" ht="16.5">
      <c r="A4560" s="10" t="b">
        <v>0</v>
      </c>
      <c r="B4560" s="11" t="str">
        <f>IF(D4560&lt;&gt;"",IF(COUNTIF('USPTO TMs'!A:A,D4560)&gt;0,"Yes","No"),"")</f>
        <v/>
      </c>
      <c r="C4560" s="11"/>
      <c r="D4560" s="11"/>
      <c r="E4560" s="11"/>
      <c r="F4560" s="11"/>
      <c r="G4560" s="11"/>
      <c r="H4560" s="11"/>
      <c r="I4560" s="15"/>
    </row>
    <row r="4561" spans="1:9" ht="16.5">
      <c r="A4561" s="10" t="b">
        <v>0</v>
      </c>
      <c r="B4561" s="11" t="str">
        <f>IF(D4561&lt;&gt;"",IF(COUNTIF('USPTO TMs'!A:A,D4561)&gt;0,"Yes","No"),"")</f>
        <v/>
      </c>
      <c r="C4561" s="11"/>
      <c r="D4561" s="11"/>
      <c r="E4561" s="11"/>
      <c r="F4561" s="11"/>
      <c r="G4561" s="11"/>
      <c r="H4561" s="11"/>
      <c r="I4561" s="15"/>
    </row>
    <row r="4562" spans="1:9" ht="16.5">
      <c r="A4562" s="10" t="b">
        <v>0</v>
      </c>
      <c r="B4562" s="11" t="str">
        <f>IF(D4562&lt;&gt;"",IF(COUNTIF('USPTO TMs'!A:A,D4562)&gt;0,"Yes","No"),"")</f>
        <v/>
      </c>
      <c r="C4562" s="11"/>
      <c r="D4562" s="11"/>
      <c r="E4562" s="11"/>
      <c r="F4562" s="11"/>
      <c r="G4562" s="11"/>
      <c r="H4562" s="11"/>
      <c r="I4562" s="15"/>
    </row>
    <row r="4563" spans="1:9" ht="16.5">
      <c r="A4563" s="10" t="b">
        <v>0</v>
      </c>
      <c r="B4563" s="11" t="str">
        <f>IF(D4563&lt;&gt;"",IF(COUNTIF('USPTO TMs'!A:A,D4563)&gt;0,"Yes","No"),"")</f>
        <v/>
      </c>
      <c r="C4563" s="11"/>
      <c r="D4563" s="11"/>
      <c r="E4563" s="11"/>
      <c r="F4563" s="11"/>
      <c r="G4563" s="11"/>
      <c r="H4563" s="11"/>
      <c r="I4563" s="15"/>
    </row>
    <row r="4564" spans="1:9" ht="16.5">
      <c r="A4564" s="10" t="b">
        <v>0</v>
      </c>
      <c r="B4564" s="11" t="str">
        <f>IF(D4564&lt;&gt;"",IF(COUNTIF('USPTO TMs'!A:A,D4564)&gt;0,"Yes","No"),"")</f>
        <v/>
      </c>
      <c r="C4564" s="11"/>
      <c r="D4564" s="11"/>
      <c r="E4564" s="11"/>
      <c r="F4564" s="11"/>
      <c r="G4564" s="11"/>
      <c r="H4564" s="11"/>
      <c r="I4564" s="15"/>
    </row>
    <row r="4565" spans="1:9" ht="16.5">
      <c r="A4565" s="10" t="b">
        <v>0</v>
      </c>
      <c r="B4565" s="11" t="str">
        <f>IF(D4565&lt;&gt;"",IF(COUNTIF('USPTO TMs'!A:A,D4565)&gt;0,"Yes","No"),"")</f>
        <v/>
      </c>
      <c r="C4565" s="11"/>
      <c r="D4565" s="11"/>
      <c r="E4565" s="11"/>
      <c r="F4565" s="11"/>
      <c r="G4565" s="11"/>
      <c r="H4565" s="11"/>
      <c r="I4565" s="15"/>
    </row>
    <row r="4566" spans="1:9" ht="16.5">
      <c r="A4566" s="10" t="b">
        <v>0</v>
      </c>
      <c r="B4566" s="11" t="str">
        <f>IF(D4566&lt;&gt;"",IF(COUNTIF('USPTO TMs'!A:A,D4566)&gt;0,"Yes","No"),"")</f>
        <v/>
      </c>
      <c r="C4566" s="11"/>
      <c r="D4566" s="11"/>
      <c r="E4566" s="11"/>
      <c r="F4566" s="11"/>
      <c r="G4566" s="11"/>
      <c r="H4566" s="11"/>
      <c r="I4566" s="15"/>
    </row>
    <row r="4567" spans="1:9" ht="16.5">
      <c r="A4567" s="10" t="b">
        <v>0</v>
      </c>
      <c r="B4567" s="11" t="str">
        <f>IF(D4567&lt;&gt;"",IF(COUNTIF('USPTO TMs'!A:A,D4567)&gt;0,"Yes","No"),"")</f>
        <v/>
      </c>
      <c r="C4567" s="11"/>
      <c r="D4567" s="11"/>
      <c r="E4567" s="11"/>
      <c r="F4567" s="11"/>
      <c r="G4567" s="11"/>
      <c r="H4567" s="11"/>
      <c r="I4567" s="15"/>
    </row>
    <row r="4568" spans="1:9" ht="16.5">
      <c r="A4568" s="10" t="b">
        <v>0</v>
      </c>
      <c r="B4568" s="11" t="str">
        <f>IF(D4568&lt;&gt;"",IF(COUNTIF('USPTO TMs'!A:A,D4568)&gt;0,"Yes","No"),"")</f>
        <v/>
      </c>
      <c r="C4568" s="11"/>
      <c r="D4568" s="11"/>
      <c r="E4568" s="11"/>
      <c r="F4568" s="11"/>
      <c r="G4568" s="11"/>
      <c r="H4568" s="11"/>
      <c r="I4568" s="15"/>
    </row>
    <row r="4569" spans="1:9" ht="16.5">
      <c r="A4569" s="10" t="b">
        <v>0</v>
      </c>
      <c r="B4569" s="11" t="str">
        <f>IF(D4569&lt;&gt;"",IF(COUNTIF('USPTO TMs'!A:A,D4569)&gt;0,"Yes","No"),"")</f>
        <v/>
      </c>
      <c r="C4569" s="11"/>
      <c r="D4569" s="11"/>
      <c r="E4569" s="11"/>
      <c r="F4569" s="11"/>
      <c r="G4569" s="11"/>
      <c r="H4569" s="11"/>
      <c r="I4569" s="15"/>
    </row>
    <row r="4570" spans="1:9" ht="16.5">
      <c r="A4570" s="10" t="b">
        <v>0</v>
      </c>
      <c r="B4570" s="11" t="str">
        <f>IF(D4570&lt;&gt;"",IF(COUNTIF('USPTO TMs'!A:A,D4570)&gt;0,"Yes","No"),"")</f>
        <v/>
      </c>
      <c r="C4570" s="11"/>
      <c r="D4570" s="11"/>
      <c r="E4570" s="11"/>
      <c r="F4570" s="11"/>
      <c r="G4570" s="11"/>
      <c r="H4570" s="11"/>
      <c r="I4570" s="15"/>
    </row>
    <row r="4571" spans="1:9" ht="16.5">
      <c r="A4571" s="10" t="b">
        <v>0</v>
      </c>
      <c r="B4571" s="11" t="str">
        <f>IF(D4571&lt;&gt;"",IF(COUNTIF('USPTO TMs'!A:A,D4571)&gt;0,"Yes","No"),"")</f>
        <v/>
      </c>
      <c r="C4571" s="11"/>
      <c r="D4571" s="11"/>
      <c r="E4571" s="11"/>
      <c r="F4571" s="11"/>
      <c r="G4571" s="11"/>
      <c r="H4571" s="11"/>
      <c r="I4571" s="15"/>
    </row>
    <row r="4572" spans="1:9" ht="16.5">
      <c r="A4572" s="10" t="b">
        <v>0</v>
      </c>
      <c r="B4572" s="11" t="str">
        <f>IF(D4572&lt;&gt;"",IF(COUNTIF('USPTO TMs'!A:A,D4572)&gt;0,"Yes","No"),"")</f>
        <v/>
      </c>
      <c r="C4572" s="11"/>
      <c r="D4572" s="11"/>
      <c r="E4572" s="11"/>
      <c r="F4572" s="11"/>
      <c r="G4572" s="11"/>
      <c r="H4572" s="11"/>
      <c r="I4572" s="15"/>
    </row>
    <row r="4573" spans="1:9" ht="16.5">
      <c r="A4573" s="10" t="b">
        <v>0</v>
      </c>
      <c r="B4573" s="11" t="str">
        <f>IF(D4573&lt;&gt;"",IF(COUNTIF('USPTO TMs'!A:A,D4573)&gt;0,"Yes","No"),"")</f>
        <v/>
      </c>
      <c r="C4573" s="11"/>
      <c r="D4573" s="11"/>
      <c r="E4573" s="11"/>
      <c r="F4573" s="11"/>
      <c r="G4573" s="11"/>
      <c r="H4573" s="11"/>
      <c r="I4573" s="15"/>
    </row>
    <row r="4574" spans="1:9" ht="16.5">
      <c r="A4574" s="10" t="b">
        <v>0</v>
      </c>
      <c r="B4574" s="11" t="str">
        <f>IF(D4574&lt;&gt;"",IF(COUNTIF('USPTO TMs'!A:A,D4574)&gt;0,"Yes","No"),"")</f>
        <v/>
      </c>
      <c r="C4574" s="11"/>
      <c r="D4574" s="11"/>
      <c r="E4574" s="11"/>
      <c r="F4574" s="11"/>
      <c r="G4574" s="11"/>
      <c r="H4574" s="11"/>
      <c r="I4574" s="15"/>
    </row>
    <row r="4575" spans="1:9" ht="16.5">
      <c r="A4575" s="10" t="b">
        <v>0</v>
      </c>
      <c r="B4575" s="11" t="str">
        <f>IF(D4575&lt;&gt;"",IF(COUNTIF('USPTO TMs'!A:A,D4575)&gt;0,"Yes","No"),"")</f>
        <v/>
      </c>
      <c r="C4575" s="11"/>
      <c r="D4575" s="11"/>
      <c r="E4575" s="11"/>
      <c r="F4575" s="11"/>
      <c r="G4575" s="11"/>
      <c r="H4575" s="11"/>
      <c r="I4575" s="15"/>
    </row>
    <row r="4576" spans="1:9" ht="16.5">
      <c r="A4576" s="10" t="b">
        <v>0</v>
      </c>
      <c r="B4576" s="11" t="str">
        <f>IF(D4576&lt;&gt;"",IF(COUNTIF('USPTO TMs'!A:A,D4576)&gt;0,"Yes","No"),"")</f>
        <v/>
      </c>
      <c r="C4576" s="11"/>
      <c r="D4576" s="11"/>
      <c r="E4576" s="11"/>
      <c r="F4576" s="11"/>
      <c r="G4576" s="11"/>
      <c r="H4576" s="11"/>
      <c r="I4576" s="15"/>
    </row>
    <row r="4577" spans="1:9" ht="16.5">
      <c r="A4577" s="10" t="b">
        <v>0</v>
      </c>
      <c r="B4577" s="11" t="str">
        <f>IF(D4577&lt;&gt;"",IF(COUNTIF('USPTO TMs'!A:A,D4577)&gt;0,"Yes","No"),"")</f>
        <v/>
      </c>
      <c r="C4577" s="11"/>
      <c r="D4577" s="11"/>
      <c r="E4577" s="11"/>
      <c r="F4577" s="11"/>
      <c r="G4577" s="11"/>
      <c r="H4577" s="11"/>
      <c r="I4577" s="15"/>
    </row>
    <row r="4578" spans="1:9" ht="16.5">
      <c r="A4578" s="10" t="b">
        <v>0</v>
      </c>
      <c r="B4578" s="11" t="str">
        <f>IF(D4578&lt;&gt;"",IF(COUNTIF('USPTO TMs'!A:A,D4578)&gt;0,"Yes","No"),"")</f>
        <v/>
      </c>
      <c r="C4578" s="11"/>
      <c r="D4578" s="11"/>
      <c r="E4578" s="11"/>
      <c r="F4578" s="11"/>
      <c r="G4578" s="11"/>
      <c r="H4578" s="11"/>
      <c r="I4578" s="15"/>
    </row>
    <row r="4579" spans="1:9" ht="16.5">
      <c r="A4579" s="10" t="b">
        <v>0</v>
      </c>
      <c r="B4579" s="11" t="str">
        <f>IF(D4579&lt;&gt;"",IF(COUNTIF('USPTO TMs'!A:A,D4579)&gt;0,"Yes","No"),"")</f>
        <v/>
      </c>
      <c r="C4579" s="11"/>
      <c r="D4579" s="11"/>
      <c r="E4579" s="11"/>
      <c r="F4579" s="11"/>
      <c r="G4579" s="11"/>
      <c r="H4579" s="11"/>
      <c r="I4579" s="15"/>
    </row>
    <row r="4580" spans="1:9" ht="16.5">
      <c r="A4580" s="10" t="b">
        <v>0</v>
      </c>
      <c r="B4580" s="11" t="str">
        <f>IF(D4580&lt;&gt;"",IF(COUNTIF('USPTO TMs'!A:A,D4580)&gt;0,"Yes","No"),"")</f>
        <v/>
      </c>
      <c r="C4580" s="11"/>
      <c r="D4580" s="11"/>
      <c r="E4580" s="11"/>
      <c r="F4580" s="11"/>
      <c r="G4580" s="11"/>
      <c r="H4580" s="11"/>
      <c r="I4580" s="15"/>
    </row>
    <row r="4581" spans="1:9" ht="16.5">
      <c r="A4581" s="10" t="b">
        <v>0</v>
      </c>
      <c r="B4581" s="11" t="str">
        <f>IF(D4581&lt;&gt;"",IF(COUNTIF('USPTO TMs'!A:A,D4581)&gt;0,"Yes","No"),"")</f>
        <v/>
      </c>
      <c r="C4581" s="11"/>
      <c r="D4581" s="11"/>
      <c r="E4581" s="11"/>
      <c r="F4581" s="11"/>
      <c r="G4581" s="11"/>
      <c r="H4581" s="11"/>
      <c r="I4581" s="15"/>
    </row>
    <row r="4582" spans="1:9" ht="16.5">
      <c r="A4582" s="10" t="b">
        <v>0</v>
      </c>
      <c r="B4582" s="11" t="str">
        <f>IF(D4582&lt;&gt;"",IF(COUNTIF('USPTO TMs'!A:A,D4582)&gt;0,"Yes","No"),"")</f>
        <v/>
      </c>
      <c r="C4582" s="11"/>
      <c r="D4582" s="11"/>
      <c r="E4582" s="11"/>
      <c r="F4582" s="11"/>
      <c r="G4582" s="11"/>
      <c r="H4582" s="11"/>
      <c r="I4582" s="15"/>
    </row>
    <row r="4583" spans="1:9" ht="16.5">
      <c r="A4583" s="10" t="b">
        <v>0</v>
      </c>
      <c r="B4583" s="11" t="str">
        <f>IF(D4583&lt;&gt;"",IF(COUNTIF('USPTO TMs'!A:A,D4583)&gt;0,"Yes","No"),"")</f>
        <v/>
      </c>
      <c r="C4583" s="11"/>
      <c r="D4583" s="11"/>
      <c r="E4583" s="11"/>
      <c r="F4583" s="11"/>
      <c r="G4583" s="11"/>
      <c r="H4583" s="11"/>
      <c r="I4583" s="15"/>
    </row>
    <row r="4584" spans="1:9" ht="16.5">
      <c r="A4584" s="10" t="b">
        <v>0</v>
      </c>
      <c r="B4584" s="11" t="str">
        <f>IF(D4584&lt;&gt;"",IF(COUNTIF('USPTO TMs'!A:A,D4584)&gt;0,"Yes","No"),"")</f>
        <v/>
      </c>
      <c r="C4584" s="11"/>
      <c r="D4584" s="11"/>
      <c r="E4584" s="11"/>
      <c r="F4584" s="11"/>
      <c r="G4584" s="11"/>
      <c r="H4584" s="11"/>
      <c r="I4584" s="15"/>
    </row>
    <row r="4585" spans="1:9" ht="16.5">
      <c r="A4585" s="10" t="b">
        <v>0</v>
      </c>
      <c r="B4585" s="11" t="str">
        <f>IF(D4585&lt;&gt;"",IF(COUNTIF('USPTO TMs'!A:A,D4585)&gt;0,"Yes","No"),"")</f>
        <v/>
      </c>
      <c r="C4585" s="11"/>
      <c r="D4585" s="11"/>
      <c r="E4585" s="11"/>
      <c r="F4585" s="11"/>
      <c r="G4585" s="11"/>
      <c r="H4585" s="11"/>
      <c r="I4585" s="15"/>
    </row>
    <row r="4586" spans="1:9" ht="16.5">
      <c r="A4586" s="10" t="b">
        <v>0</v>
      </c>
      <c r="B4586" s="11" t="str">
        <f>IF(D4586&lt;&gt;"",IF(COUNTIF('USPTO TMs'!A:A,D4586)&gt;0,"Yes","No"),"")</f>
        <v/>
      </c>
      <c r="C4586" s="11"/>
      <c r="D4586" s="11"/>
      <c r="E4586" s="11"/>
      <c r="F4586" s="11"/>
      <c r="G4586" s="11"/>
      <c r="H4586" s="11"/>
      <c r="I4586" s="15"/>
    </row>
    <row r="4587" spans="1:9" ht="16.5">
      <c r="A4587" s="10" t="b">
        <v>0</v>
      </c>
      <c r="B4587" s="11" t="str">
        <f>IF(D4587&lt;&gt;"",IF(COUNTIF('USPTO TMs'!A:A,D4587)&gt;0,"Yes","No"),"")</f>
        <v/>
      </c>
      <c r="C4587" s="11"/>
      <c r="D4587" s="11"/>
      <c r="E4587" s="11"/>
      <c r="F4587" s="11"/>
      <c r="G4587" s="11"/>
      <c r="H4587" s="11"/>
      <c r="I4587" s="15"/>
    </row>
    <row r="4588" spans="1:9" ht="16.5">
      <c r="A4588" s="10" t="b">
        <v>0</v>
      </c>
      <c r="B4588" s="11" t="str">
        <f>IF(D4588&lt;&gt;"",IF(COUNTIF('USPTO TMs'!A:A,D4588)&gt;0,"Yes","No"),"")</f>
        <v/>
      </c>
      <c r="C4588" s="11"/>
      <c r="D4588" s="11"/>
      <c r="E4588" s="11"/>
      <c r="F4588" s="11"/>
      <c r="G4588" s="11"/>
      <c r="H4588" s="11"/>
      <c r="I4588" s="15"/>
    </row>
    <row r="4589" spans="1:9" ht="16.5">
      <c r="A4589" s="10" t="b">
        <v>0</v>
      </c>
      <c r="B4589" s="11" t="str">
        <f>IF(D4589&lt;&gt;"",IF(COUNTIF('USPTO TMs'!A:A,D4589)&gt;0,"Yes","No"),"")</f>
        <v/>
      </c>
      <c r="C4589" s="11"/>
      <c r="D4589" s="11"/>
      <c r="E4589" s="11"/>
      <c r="F4589" s="11"/>
      <c r="G4589" s="11"/>
      <c r="H4589" s="11"/>
      <c r="I4589" s="15"/>
    </row>
    <row r="4590" spans="1:9" ht="16.5">
      <c r="A4590" s="10" t="b">
        <v>0</v>
      </c>
      <c r="B4590" s="11" t="str">
        <f>IF(D4590&lt;&gt;"",IF(COUNTIF('USPTO TMs'!A:A,D4590)&gt;0,"Yes","No"),"")</f>
        <v/>
      </c>
      <c r="C4590" s="11"/>
      <c r="D4590" s="11"/>
      <c r="E4590" s="11"/>
      <c r="F4590" s="11"/>
      <c r="G4590" s="11"/>
      <c r="H4590" s="11"/>
      <c r="I4590" s="15"/>
    </row>
    <row r="4591" spans="1:9" ht="16.5">
      <c r="A4591" s="10" t="b">
        <v>0</v>
      </c>
      <c r="B4591" s="11" t="str">
        <f>IF(D4591&lt;&gt;"",IF(COUNTIF('USPTO TMs'!A:A,D4591)&gt;0,"Yes","No"),"")</f>
        <v/>
      </c>
      <c r="C4591" s="11"/>
      <c r="D4591" s="11"/>
      <c r="E4591" s="11"/>
      <c r="F4591" s="11"/>
      <c r="G4591" s="11"/>
      <c r="H4591" s="11"/>
      <c r="I4591" s="15"/>
    </row>
    <row r="4592" spans="1:9" ht="16.5">
      <c r="A4592" s="10" t="b">
        <v>0</v>
      </c>
      <c r="B4592" s="11" t="str">
        <f>IF(D4592&lt;&gt;"",IF(COUNTIF('USPTO TMs'!A:A,D4592)&gt;0,"Yes","No"),"")</f>
        <v/>
      </c>
      <c r="C4592" s="11"/>
      <c r="D4592" s="11"/>
      <c r="E4592" s="11"/>
      <c r="F4592" s="11"/>
      <c r="G4592" s="11"/>
      <c r="H4592" s="11"/>
      <c r="I4592" s="15"/>
    </row>
    <row r="4593" spans="1:9" ht="16.5">
      <c r="A4593" s="10" t="b">
        <v>0</v>
      </c>
      <c r="B4593" s="11" t="str">
        <f>IF(D4593&lt;&gt;"",IF(COUNTIF('USPTO TMs'!A:A,D4593)&gt;0,"Yes","No"),"")</f>
        <v/>
      </c>
      <c r="C4593" s="11"/>
      <c r="D4593" s="11"/>
      <c r="E4593" s="11"/>
      <c r="F4593" s="11"/>
      <c r="G4593" s="11"/>
      <c r="H4593" s="11"/>
      <c r="I4593" s="15"/>
    </row>
    <row r="4594" spans="1:9" ht="16.5">
      <c r="A4594" s="10" t="b">
        <v>0</v>
      </c>
      <c r="B4594" s="11" t="str">
        <f>IF(D4594&lt;&gt;"",IF(COUNTIF('USPTO TMs'!A:A,D4594)&gt;0,"Yes","No"),"")</f>
        <v/>
      </c>
      <c r="C4594" s="11"/>
      <c r="D4594" s="11"/>
      <c r="E4594" s="11"/>
      <c r="F4594" s="11"/>
      <c r="G4594" s="11"/>
      <c r="H4594" s="11"/>
      <c r="I4594" s="15"/>
    </row>
    <row r="4595" spans="1:9" ht="16.5">
      <c r="A4595" s="10" t="b">
        <v>0</v>
      </c>
      <c r="B4595" s="11" t="str">
        <f>IF(D4595&lt;&gt;"",IF(COUNTIF('USPTO TMs'!A:A,D4595)&gt;0,"Yes","No"),"")</f>
        <v/>
      </c>
      <c r="C4595" s="11"/>
      <c r="D4595" s="11"/>
      <c r="E4595" s="11"/>
      <c r="F4595" s="11"/>
      <c r="G4595" s="11"/>
      <c r="H4595" s="11"/>
      <c r="I4595" s="15"/>
    </row>
    <row r="4596" spans="1:9" ht="16.5">
      <c r="A4596" s="10" t="b">
        <v>0</v>
      </c>
      <c r="B4596" s="11" t="str">
        <f>IF(D4596&lt;&gt;"",IF(COUNTIF('USPTO TMs'!A:A,D4596)&gt;0,"Yes","No"),"")</f>
        <v/>
      </c>
      <c r="C4596" s="11"/>
      <c r="D4596" s="11"/>
      <c r="E4596" s="11"/>
      <c r="F4596" s="11"/>
      <c r="G4596" s="11"/>
      <c r="H4596" s="11"/>
      <c r="I4596" s="15"/>
    </row>
    <row r="4597" spans="1:9" ht="16.5">
      <c r="A4597" s="10" t="b">
        <v>0</v>
      </c>
      <c r="B4597" s="11" t="str">
        <f>IF(D4597&lt;&gt;"",IF(COUNTIF('USPTO TMs'!A:A,D4597)&gt;0,"Yes","No"),"")</f>
        <v/>
      </c>
      <c r="C4597" s="11"/>
      <c r="D4597" s="11"/>
      <c r="E4597" s="11"/>
      <c r="F4597" s="11"/>
      <c r="G4597" s="11"/>
      <c r="H4597" s="11"/>
      <c r="I4597" s="15"/>
    </row>
    <row r="4598" spans="1:9" ht="16.5">
      <c r="A4598" s="10" t="b">
        <v>0</v>
      </c>
      <c r="B4598" s="11" t="str">
        <f>IF(D4598&lt;&gt;"",IF(COUNTIF('USPTO TMs'!A:A,D4598)&gt;0,"Yes","No"),"")</f>
        <v/>
      </c>
      <c r="C4598" s="11"/>
      <c r="D4598" s="11"/>
      <c r="E4598" s="11"/>
      <c r="F4598" s="11"/>
      <c r="G4598" s="11"/>
      <c r="H4598" s="11"/>
      <c r="I4598" s="15"/>
    </row>
    <row r="4599" spans="1:9" ht="16.5">
      <c r="A4599" s="10" t="b">
        <v>0</v>
      </c>
      <c r="B4599" s="11" t="str">
        <f>IF(D4599&lt;&gt;"",IF(COUNTIF('USPTO TMs'!A:A,D4599)&gt;0,"Yes","No"),"")</f>
        <v/>
      </c>
      <c r="C4599" s="11"/>
      <c r="D4599" s="11"/>
      <c r="E4599" s="11"/>
      <c r="F4599" s="11"/>
      <c r="G4599" s="11"/>
      <c r="H4599" s="11"/>
      <c r="I4599" s="15"/>
    </row>
    <row r="4600" spans="1:9" ht="16.5">
      <c r="A4600" s="10" t="b">
        <v>0</v>
      </c>
      <c r="B4600" s="11" t="str">
        <f>IF(D4600&lt;&gt;"",IF(COUNTIF('USPTO TMs'!A:A,D4600)&gt;0,"Yes","No"),"")</f>
        <v/>
      </c>
      <c r="C4600" s="11"/>
      <c r="D4600" s="11"/>
      <c r="E4600" s="11"/>
      <c r="F4600" s="11"/>
      <c r="G4600" s="11"/>
      <c r="H4600" s="11"/>
      <c r="I4600" s="15"/>
    </row>
    <row r="4601" spans="1:9" ht="16.5">
      <c r="A4601" s="10" t="b">
        <v>0</v>
      </c>
      <c r="B4601" s="11" t="str">
        <f>IF(D4601&lt;&gt;"",IF(COUNTIF('USPTO TMs'!A:A,D4601)&gt;0,"Yes","No"),"")</f>
        <v/>
      </c>
      <c r="C4601" s="11"/>
      <c r="D4601" s="11"/>
      <c r="E4601" s="11"/>
      <c r="F4601" s="11"/>
      <c r="G4601" s="11"/>
      <c r="H4601" s="11"/>
      <c r="I4601" s="15"/>
    </row>
    <row r="4602" spans="1:9" ht="16.5">
      <c r="A4602" s="10" t="b">
        <v>0</v>
      </c>
      <c r="B4602" s="11" t="str">
        <f>IF(D4602&lt;&gt;"",IF(COUNTIF('USPTO TMs'!A:A,D4602)&gt;0,"Yes","No"),"")</f>
        <v/>
      </c>
      <c r="C4602" s="11"/>
      <c r="D4602" s="11"/>
      <c r="E4602" s="11"/>
      <c r="F4602" s="11"/>
      <c r="G4602" s="11"/>
      <c r="H4602" s="11"/>
      <c r="I4602" s="15"/>
    </row>
    <row r="4603" spans="1:9" ht="16.5">
      <c r="A4603" s="10" t="b">
        <v>0</v>
      </c>
      <c r="B4603" s="11" t="str">
        <f>IF(D4603&lt;&gt;"",IF(COUNTIF('USPTO TMs'!A:A,D4603)&gt;0,"Yes","No"),"")</f>
        <v/>
      </c>
      <c r="C4603" s="11"/>
      <c r="D4603" s="11"/>
      <c r="E4603" s="11"/>
      <c r="F4603" s="11"/>
      <c r="G4603" s="11"/>
      <c r="H4603" s="11"/>
      <c r="I4603" s="15"/>
    </row>
    <row r="4604" spans="1:9" ht="16.5">
      <c r="A4604" s="10" t="b">
        <v>0</v>
      </c>
      <c r="B4604" s="11" t="str">
        <f>IF(D4604&lt;&gt;"",IF(COUNTIF('USPTO TMs'!A:A,D4604)&gt;0,"Yes","No"),"")</f>
        <v/>
      </c>
      <c r="C4604" s="11"/>
      <c r="D4604" s="11"/>
      <c r="E4604" s="11"/>
      <c r="F4604" s="11"/>
      <c r="G4604" s="11"/>
      <c r="H4604" s="11"/>
      <c r="I4604" s="15"/>
    </row>
    <row r="4605" spans="1:9" ht="16.5">
      <c r="A4605" s="10" t="b">
        <v>0</v>
      </c>
      <c r="B4605" s="11" t="str">
        <f>IF(D4605&lt;&gt;"",IF(COUNTIF('USPTO TMs'!A:A,D4605)&gt;0,"Yes","No"),"")</f>
        <v/>
      </c>
      <c r="C4605" s="11"/>
      <c r="D4605" s="11"/>
      <c r="E4605" s="11"/>
      <c r="F4605" s="11"/>
      <c r="G4605" s="11"/>
      <c r="H4605" s="11"/>
      <c r="I4605" s="15"/>
    </row>
    <row r="4606" spans="1:9" ht="16.5">
      <c r="A4606" s="10" t="b">
        <v>0</v>
      </c>
      <c r="B4606" s="11" t="str">
        <f>IF(D4606&lt;&gt;"",IF(COUNTIF('USPTO TMs'!A:A,D4606)&gt;0,"Yes","No"),"")</f>
        <v/>
      </c>
      <c r="C4606" s="11"/>
      <c r="D4606" s="11"/>
      <c r="E4606" s="11"/>
      <c r="F4606" s="11"/>
      <c r="G4606" s="11"/>
      <c r="H4606" s="11"/>
      <c r="I4606" s="15"/>
    </row>
    <row r="4607" spans="1:9" ht="16.5">
      <c r="A4607" s="10" t="b">
        <v>0</v>
      </c>
      <c r="B4607" s="11" t="str">
        <f>IF(D4607&lt;&gt;"",IF(COUNTIF('USPTO TMs'!A:A,D4607)&gt;0,"Yes","No"),"")</f>
        <v/>
      </c>
      <c r="C4607" s="11"/>
      <c r="D4607" s="11"/>
      <c r="E4607" s="11"/>
      <c r="F4607" s="11"/>
      <c r="G4607" s="11"/>
      <c r="H4607" s="11"/>
      <c r="I4607" s="15"/>
    </row>
    <row r="4608" spans="1:9" ht="16.5">
      <c r="A4608" s="10" t="b">
        <v>0</v>
      </c>
      <c r="B4608" s="11" t="str">
        <f>IF(D4608&lt;&gt;"",IF(COUNTIF('USPTO TMs'!A:A,D4608)&gt;0,"Yes","No"),"")</f>
        <v/>
      </c>
      <c r="C4608" s="11"/>
      <c r="D4608" s="11"/>
      <c r="E4608" s="11"/>
      <c r="F4608" s="11"/>
      <c r="G4608" s="11"/>
      <c r="H4608" s="11"/>
      <c r="I4608" s="15"/>
    </row>
    <row r="4609" spans="1:9" ht="16.5">
      <c r="A4609" s="10" t="b">
        <v>0</v>
      </c>
      <c r="B4609" s="11" t="str">
        <f>IF(D4609&lt;&gt;"",IF(COUNTIF('USPTO TMs'!A:A,D4609)&gt;0,"Yes","No"),"")</f>
        <v/>
      </c>
      <c r="C4609" s="11"/>
      <c r="D4609" s="11"/>
      <c r="E4609" s="11"/>
      <c r="F4609" s="11"/>
      <c r="G4609" s="11"/>
      <c r="H4609" s="11"/>
      <c r="I4609" s="15"/>
    </row>
    <row r="4610" spans="1:9" ht="16.5">
      <c r="A4610" s="10" t="b">
        <v>0</v>
      </c>
      <c r="B4610" s="11" t="str">
        <f>IF(D4610&lt;&gt;"",IF(COUNTIF('USPTO TMs'!A:A,D4610)&gt;0,"Yes","No"),"")</f>
        <v/>
      </c>
      <c r="C4610" s="11"/>
      <c r="D4610" s="11"/>
      <c r="E4610" s="11"/>
      <c r="F4610" s="11"/>
      <c r="G4610" s="11"/>
      <c r="H4610" s="11"/>
      <c r="I4610" s="15"/>
    </row>
    <row r="4611" spans="1:9" ht="16.5">
      <c r="A4611" s="10" t="b">
        <v>0</v>
      </c>
      <c r="B4611" s="11" t="str">
        <f>IF(D4611&lt;&gt;"",IF(COUNTIF('USPTO TMs'!A:A,D4611)&gt;0,"Yes","No"),"")</f>
        <v/>
      </c>
      <c r="C4611" s="11"/>
      <c r="D4611" s="11"/>
      <c r="E4611" s="11"/>
      <c r="F4611" s="11"/>
      <c r="G4611" s="11"/>
      <c r="H4611" s="11"/>
      <c r="I4611" s="15"/>
    </row>
    <row r="4612" spans="1:9" ht="16.5">
      <c r="A4612" s="10" t="b">
        <v>0</v>
      </c>
      <c r="B4612" s="11" t="str">
        <f>IF(D4612&lt;&gt;"",IF(COUNTIF('USPTO TMs'!A:A,D4612)&gt;0,"Yes","No"),"")</f>
        <v/>
      </c>
      <c r="C4612" s="11"/>
      <c r="D4612" s="11"/>
      <c r="E4612" s="11"/>
      <c r="F4612" s="11"/>
      <c r="G4612" s="11"/>
      <c r="H4612" s="11"/>
      <c r="I4612" s="15"/>
    </row>
    <row r="4613" spans="1:9" ht="16.5">
      <c r="A4613" s="10" t="b">
        <v>0</v>
      </c>
      <c r="B4613" s="11" t="str">
        <f>IF(D4613&lt;&gt;"",IF(COUNTIF('USPTO TMs'!A:A,D4613)&gt;0,"Yes","No"),"")</f>
        <v/>
      </c>
      <c r="C4613" s="11"/>
      <c r="D4613" s="11"/>
      <c r="E4613" s="11"/>
      <c r="F4613" s="11"/>
      <c r="G4613" s="11"/>
      <c r="H4613" s="11"/>
      <c r="I4613" s="15"/>
    </row>
    <row r="4614" spans="1:9" ht="16.5">
      <c r="A4614" s="10" t="b">
        <v>0</v>
      </c>
      <c r="B4614" s="11" t="str">
        <f>IF(D4614&lt;&gt;"",IF(COUNTIF('USPTO TMs'!A:A,D4614)&gt;0,"Yes","No"),"")</f>
        <v/>
      </c>
      <c r="C4614" s="11"/>
      <c r="D4614" s="11"/>
      <c r="E4614" s="11"/>
      <c r="F4614" s="11"/>
      <c r="G4614" s="11"/>
      <c r="H4614" s="11"/>
      <c r="I4614" s="15"/>
    </row>
    <row r="4615" spans="1:9" ht="16.5">
      <c r="A4615" s="10" t="b">
        <v>0</v>
      </c>
      <c r="B4615" s="11" t="str">
        <f>IF(D4615&lt;&gt;"",IF(COUNTIF('USPTO TMs'!A:A,D4615)&gt;0,"Yes","No"),"")</f>
        <v/>
      </c>
      <c r="C4615" s="11"/>
      <c r="D4615" s="11"/>
      <c r="E4615" s="11"/>
      <c r="F4615" s="11"/>
      <c r="G4615" s="11"/>
      <c r="H4615" s="11"/>
      <c r="I4615" s="15"/>
    </row>
    <row r="4616" spans="1:9" ht="16.5">
      <c r="A4616" s="10" t="b">
        <v>0</v>
      </c>
      <c r="B4616" s="11" t="str">
        <f>IF(D4616&lt;&gt;"",IF(COUNTIF('USPTO TMs'!A:A,D4616)&gt;0,"Yes","No"),"")</f>
        <v/>
      </c>
      <c r="C4616" s="11"/>
      <c r="D4616" s="11"/>
      <c r="E4616" s="11"/>
      <c r="F4616" s="11"/>
      <c r="G4616" s="11"/>
      <c r="H4616" s="11"/>
      <c r="I4616" s="15"/>
    </row>
    <row r="4617" spans="1:9" ht="16.5">
      <c r="A4617" s="10" t="b">
        <v>0</v>
      </c>
      <c r="B4617" s="11" t="str">
        <f>IF(D4617&lt;&gt;"",IF(COUNTIF('USPTO TMs'!A:A,D4617)&gt;0,"Yes","No"),"")</f>
        <v/>
      </c>
      <c r="C4617" s="11"/>
      <c r="D4617" s="11"/>
      <c r="E4617" s="11"/>
      <c r="F4617" s="11"/>
      <c r="G4617" s="11"/>
      <c r="H4617" s="11"/>
      <c r="I4617" s="15"/>
    </row>
    <row r="4618" spans="1:9" ht="16.5">
      <c r="A4618" s="10" t="b">
        <v>0</v>
      </c>
      <c r="B4618" s="11" t="str">
        <f>IF(D4618&lt;&gt;"",IF(COUNTIF('USPTO TMs'!A:A,D4618)&gt;0,"Yes","No"),"")</f>
        <v/>
      </c>
      <c r="C4618" s="11"/>
      <c r="D4618" s="11"/>
      <c r="E4618" s="11"/>
      <c r="F4618" s="11"/>
      <c r="G4618" s="11"/>
      <c r="H4618" s="11"/>
      <c r="I4618" s="15"/>
    </row>
    <row r="4619" spans="1:9" ht="16.5">
      <c r="A4619" s="10" t="b">
        <v>0</v>
      </c>
      <c r="B4619" s="11" t="str">
        <f>IF(D4619&lt;&gt;"",IF(COUNTIF('USPTO TMs'!A:A,D4619)&gt;0,"Yes","No"),"")</f>
        <v/>
      </c>
      <c r="C4619" s="11"/>
      <c r="D4619" s="11"/>
      <c r="E4619" s="11"/>
      <c r="F4619" s="11"/>
      <c r="G4619" s="11"/>
      <c r="H4619" s="11"/>
      <c r="I4619" s="15"/>
    </row>
    <row r="4620" spans="1:9" ht="16.5">
      <c r="A4620" s="10" t="b">
        <v>0</v>
      </c>
      <c r="B4620" s="11" t="str">
        <f>IF(D4620&lt;&gt;"",IF(COUNTIF('USPTO TMs'!A:A,D4620)&gt;0,"Yes","No"),"")</f>
        <v/>
      </c>
      <c r="C4620" s="11"/>
      <c r="D4620" s="11"/>
      <c r="E4620" s="11"/>
      <c r="F4620" s="11"/>
      <c r="G4620" s="11"/>
      <c r="H4620" s="11"/>
      <c r="I4620" s="15"/>
    </row>
    <row r="4621" spans="1:9" ht="16.5">
      <c r="A4621" s="10" t="b">
        <v>0</v>
      </c>
      <c r="B4621" s="11" t="str">
        <f>IF(D4621&lt;&gt;"",IF(COUNTIF('USPTO TMs'!A:A,D4621)&gt;0,"Yes","No"),"")</f>
        <v/>
      </c>
      <c r="C4621" s="11"/>
      <c r="D4621" s="11"/>
      <c r="E4621" s="11"/>
      <c r="F4621" s="11"/>
      <c r="G4621" s="11"/>
      <c r="H4621" s="11"/>
      <c r="I4621" s="15"/>
    </row>
    <row r="4622" spans="1:9" ht="16.5">
      <c r="A4622" s="10" t="b">
        <v>0</v>
      </c>
      <c r="B4622" s="11" t="str">
        <f>IF(D4622&lt;&gt;"",IF(COUNTIF('USPTO TMs'!A:A,D4622)&gt;0,"Yes","No"),"")</f>
        <v/>
      </c>
      <c r="C4622" s="11"/>
      <c r="D4622" s="11"/>
      <c r="E4622" s="11"/>
      <c r="F4622" s="11"/>
      <c r="G4622" s="11"/>
      <c r="H4622" s="11"/>
      <c r="I4622" s="15"/>
    </row>
    <row r="4623" spans="1:9" ht="16.5">
      <c r="A4623" s="10" t="b">
        <v>0</v>
      </c>
      <c r="B4623" s="11" t="str">
        <f>IF(D4623&lt;&gt;"",IF(COUNTIF('USPTO TMs'!A:A,D4623)&gt;0,"Yes","No"),"")</f>
        <v/>
      </c>
      <c r="C4623" s="11"/>
      <c r="D4623" s="11"/>
      <c r="E4623" s="11"/>
      <c r="F4623" s="11"/>
      <c r="G4623" s="11"/>
      <c r="H4623" s="11"/>
      <c r="I4623" s="15"/>
    </row>
    <row r="4624" spans="1:9" ht="16.5">
      <c r="A4624" s="10" t="b">
        <v>0</v>
      </c>
      <c r="B4624" s="11" t="str">
        <f>IF(D4624&lt;&gt;"",IF(COUNTIF('USPTO TMs'!A:A,D4624)&gt;0,"Yes","No"),"")</f>
        <v/>
      </c>
      <c r="C4624" s="11"/>
      <c r="D4624" s="11"/>
      <c r="E4624" s="11"/>
      <c r="F4624" s="11"/>
      <c r="G4624" s="11"/>
      <c r="H4624" s="11"/>
      <c r="I4624" s="15"/>
    </row>
    <row r="4625" spans="1:9" ht="16.5">
      <c r="A4625" s="10" t="b">
        <v>0</v>
      </c>
      <c r="B4625" s="11" t="str">
        <f>IF(D4625&lt;&gt;"",IF(COUNTIF('USPTO TMs'!A:A,D4625)&gt;0,"Yes","No"),"")</f>
        <v/>
      </c>
      <c r="C4625" s="11"/>
      <c r="D4625" s="11"/>
      <c r="E4625" s="11"/>
      <c r="F4625" s="11"/>
      <c r="G4625" s="11"/>
      <c r="H4625" s="11"/>
      <c r="I4625" s="15"/>
    </row>
    <row r="4626" spans="1:9" ht="16.5">
      <c r="A4626" s="10" t="b">
        <v>0</v>
      </c>
      <c r="B4626" s="11" t="str">
        <f>IF(D4626&lt;&gt;"",IF(COUNTIF('USPTO TMs'!A:A,D4626)&gt;0,"Yes","No"),"")</f>
        <v/>
      </c>
      <c r="C4626" s="11"/>
      <c r="D4626" s="11"/>
      <c r="E4626" s="11"/>
      <c r="F4626" s="11"/>
      <c r="G4626" s="11"/>
      <c r="H4626" s="11"/>
      <c r="I4626" s="15"/>
    </row>
    <row r="4627" spans="1:9" ht="16.5">
      <c r="A4627" s="10" t="b">
        <v>0</v>
      </c>
      <c r="B4627" s="11" t="str">
        <f>IF(D4627&lt;&gt;"",IF(COUNTIF('USPTO TMs'!A:A,D4627)&gt;0,"Yes","No"),"")</f>
        <v/>
      </c>
      <c r="C4627" s="11"/>
      <c r="D4627" s="11"/>
      <c r="E4627" s="11"/>
      <c r="F4627" s="11"/>
      <c r="G4627" s="11"/>
      <c r="H4627" s="11"/>
      <c r="I4627" s="15"/>
    </row>
    <row r="4628" spans="1:9" ht="16.5">
      <c r="A4628" s="10" t="b">
        <v>0</v>
      </c>
      <c r="B4628" s="11" t="str">
        <f>IF(D4628&lt;&gt;"",IF(COUNTIF('USPTO TMs'!A:A,D4628)&gt;0,"Yes","No"),"")</f>
        <v/>
      </c>
      <c r="C4628" s="11"/>
      <c r="D4628" s="11"/>
      <c r="E4628" s="11"/>
      <c r="F4628" s="11"/>
      <c r="G4628" s="11"/>
      <c r="H4628" s="11"/>
      <c r="I4628" s="15"/>
    </row>
    <row r="4629" spans="1:9" ht="16.5">
      <c r="A4629" s="10" t="b">
        <v>0</v>
      </c>
      <c r="B4629" s="11" t="str">
        <f>IF(D4629&lt;&gt;"",IF(COUNTIF('USPTO TMs'!A:A,D4629)&gt;0,"Yes","No"),"")</f>
        <v/>
      </c>
      <c r="C4629" s="11"/>
      <c r="D4629" s="11"/>
      <c r="E4629" s="11"/>
      <c r="F4629" s="11"/>
      <c r="G4629" s="11"/>
      <c r="H4629" s="11"/>
      <c r="I4629" s="15"/>
    </row>
    <row r="4630" spans="1:9" ht="16.5">
      <c r="A4630" s="10" t="b">
        <v>0</v>
      </c>
      <c r="B4630" s="11" t="str">
        <f>IF(D4630&lt;&gt;"",IF(COUNTIF('USPTO TMs'!A:A,D4630)&gt;0,"Yes","No"),"")</f>
        <v/>
      </c>
      <c r="C4630" s="11"/>
      <c r="D4630" s="11"/>
      <c r="E4630" s="11"/>
      <c r="F4630" s="11"/>
      <c r="G4630" s="11"/>
      <c r="H4630" s="11"/>
      <c r="I4630" s="15"/>
    </row>
    <row r="4631" spans="1:9" ht="16.5">
      <c r="A4631" s="10" t="b">
        <v>0</v>
      </c>
      <c r="B4631" s="11" t="str">
        <f>IF(D4631&lt;&gt;"",IF(COUNTIF('USPTO TMs'!A:A,D4631)&gt;0,"Yes","No"),"")</f>
        <v/>
      </c>
      <c r="C4631" s="11"/>
      <c r="D4631" s="11"/>
      <c r="E4631" s="11"/>
      <c r="F4631" s="11"/>
      <c r="G4631" s="11"/>
      <c r="H4631" s="11"/>
      <c r="I4631" s="15"/>
    </row>
    <row r="4632" spans="1:9" ht="16.5">
      <c r="A4632" s="10" t="b">
        <v>0</v>
      </c>
      <c r="B4632" s="11" t="str">
        <f>IF(D4632&lt;&gt;"",IF(COUNTIF('USPTO TMs'!A:A,D4632)&gt;0,"Yes","No"),"")</f>
        <v/>
      </c>
      <c r="C4632" s="11"/>
      <c r="D4632" s="11"/>
      <c r="E4632" s="11"/>
      <c r="F4632" s="11"/>
      <c r="G4632" s="11"/>
      <c r="H4632" s="11"/>
      <c r="I4632" s="15"/>
    </row>
    <row r="4633" spans="1:9" ht="16.5">
      <c r="A4633" s="10" t="b">
        <v>0</v>
      </c>
      <c r="B4633" s="11" t="str">
        <f>IF(D4633&lt;&gt;"",IF(COUNTIF('USPTO TMs'!A:A,D4633)&gt;0,"Yes","No"),"")</f>
        <v/>
      </c>
      <c r="C4633" s="11"/>
      <c r="D4633" s="11"/>
      <c r="E4633" s="11"/>
      <c r="F4633" s="11"/>
      <c r="G4633" s="11"/>
      <c r="H4633" s="11"/>
      <c r="I4633" s="15"/>
    </row>
    <row r="4634" spans="1:9" ht="16.5">
      <c r="A4634" s="10" t="b">
        <v>0</v>
      </c>
      <c r="B4634" s="11" t="str">
        <f>IF(D4634&lt;&gt;"",IF(COUNTIF('USPTO TMs'!A:A,D4634)&gt;0,"Yes","No"),"")</f>
        <v/>
      </c>
      <c r="C4634" s="11"/>
      <c r="D4634" s="11"/>
      <c r="E4634" s="11"/>
      <c r="F4634" s="11"/>
      <c r="G4634" s="11"/>
      <c r="H4634" s="11"/>
      <c r="I4634" s="15"/>
    </row>
    <row r="4635" spans="1:9" ht="16.5">
      <c r="A4635" s="10" t="b">
        <v>0</v>
      </c>
      <c r="B4635" s="11" t="str">
        <f>IF(D4635&lt;&gt;"",IF(COUNTIF('USPTO TMs'!A:A,D4635)&gt;0,"Yes","No"),"")</f>
        <v/>
      </c>
      <c r="C4635" s="11"/>
      <c r="D4635" s="11"/>
      <c r="E4635" s="11"/>
      <c r="F4635" s="11"/>
      <c r="G4635" s="11"/>
      <c r="H4635" s="11"/>
      <c r="I4635" s="15"/>
    </row>
    <row r="4636" spans="1:9" ht="16.5">
      <c r="A4636" s="10" t="b">
        <v>0</v>
      </c>
      <c r="B4636" s="11" t="str">
        <f>IF(D4636&lt;&gt;"",IF(COUNTIF('USPTO TMs'!A:A,D4636)&gt;0,"Yes","No"),"")</f>
        <v/>
      </c>
      <c r="C4636" s="11"/>
      <c r="D4636" s="11"/>
      <c r="E4636" s="11"/>
      <c r="F4636" s="11"/>
      <c r="G4636" s="11"/>
      <c r="H4636" s="11"/>
      <c r="I4636" s="15"/>
    </row>
    <row r="4637" spans="1:9" ht="16.5">
      <c r="A4637" s="10" t="b">
        <v>0</v>
      </c>
      <c r="B4637" s="11" t="str">
        <f>IF(D4637&lt;&gt;"",IF(COUNTIF('USPTO TMs'!A:A,D4637)&gt;0,"Yes","No"),"")</f>
        <v/>
      </c>
      <c r="C4637" s="11"/>
      <c r="D4637" s="11"/>
      <c r="E4637" s="11"/>
      <c r="F4637" s="11"/>
      <c r="G4637" s="11"/>
      <c r="H4637" s="11"/>
      <c r="I4637" s="15"/>
    </row>
    <row r="4638" spans="1:9" ht="16.5">
      <c r="A4638" s="10" t="b">
        <v>0</v>
      </c>
      <c r="B4638" s="11" t="str">
        <f>IF(D4638&lt;&gt;"",IF(COUNTIF('USPTO TMs'!A:A,D4638)&gt;0,"Yes","No"),"")</f>
        <v/>
      </c>
      <c r="C4638" s="11"/>
      <c r="D4638" s="11"/>
      <c r="E4638" s="11"/>
      <c r="F4638" s="11"/>
      <c r="G4638" s="11"/>
      <c r="H4638" s="11"/>
      <c r="I4638" s="15"/>
    </row>
    <row r="4639" spans="1:9" ht="16.5">
      <c r="A4639" s="10" t="b">
        <v>0</v>
      </c>
      <c r="B4639" s="11" t="str">
        <f>IF(D4639&lt;&gt;"",IF(COUNTIF('USPTO TMs'!A:A,D4639)&gt;0,"Yes","No"),"")</f>
        <v/>
      </c>
      <c r="C4639" s="11"/>
      <c r="D4639" s="11"/>
      <c r="E4639" s="11"/>
      <c r="F4639" s="11"/>
      <c r="G4639" s="11"/>
      <c r="H4639" s="11"/>
      <c r="I4639" s="15"/>
    </row>
    <row r="4640" spans="1:9" ht="16.5">
      <c r="A4640" s="10" t="b">
        <v>0</v>
      </c>
      <c r="B4640" s="11" t="str">
        <f>IF(D4640&lt;&gt;"",IF(COUNTIF('USPTO TMs'!A:A,D4640)&gt;0,"Yes","No"),"")</f>
        <v/>
      </c>
      <c r="C4640" s="11"/>
      <c r="D4640" s="11"/>
      <c r="E4640" s="11"/>
      <c r="F4640" s="11"/>
      <c r="G4640" s="11"/>
      <c r="H4640" s="11"/>
      <c r="I4640" s="15"/>
    </row>
    <row r="4641" spans="1:9" ht="16.5">
      <c r="A4641" s="10" t="b">
        <v>0</v>
      </c>
      <c r="B4641" s="11" t="str">
        <f>IF(D4641&lt;&gt;"",IF(COUNTIF('USPTO TMs'!A:A,D4641)&gt;0,"Yes","No"),"")</f>
        <v/>
      </c>
      <c r="C4641" s="11"/>
      <c r="D4641" s="11"/>
      <c r="E4641" s="11"/>
      <c r="F4641" s="11"/>
      <c r="G4641" s="11"/>
      <c r="H4641" s="11"/>
      <c r="I4641" s="15"/>
    </row>
    <row r="4642" spans="1:9" ht="16.5">
      <c r="A4642" s="10" t="b">
        <v>0</v>
      </c>
      <c r="B4642" s="11" t="str">
        <f>IF(D4642&lt;&gt;"",IF(COUNTIF('USPTO TMs'!A:A,D4642)&gt;0,"Yes","No"),"")</f>
        <v/>
      </c>
      <c r="C4642" s="11"/>
      <c r="D4642" s="11"/>
      <c r="E4642" s="11"/>
      <c r="F4642" s="11"/>
      <c r="G4642" s="11"/>
      <c r="H4642" s="11"/>
      <c r="I4642" s="15"/>
    </row>
    <row r="4643" spans="1:9" ht="16.5">
      <c r="A4643" s="10" t="b">
        <v>0</v>
      </c>
      <c r="B4643" s="11" t="str">
        <f>IF(D4643&lt;&gt;"",IF(COUNTIF('USPTO TMs'!A:A,D4643)&gt;0,"Yes","No"),"")</f>
        <v/>
      </c>
      <c r="C4643" s="11"/>
      <c r="D4643" s="11"/>
      <c r="E4643" s="11"/>
      <c r="F4643" s="11"/>
      <c r="G4643" s="11"/>
      <c r="H4643" s="11"/>
      <c r="I4643" s="15"/>
    </row>
    <row r="4644" spans="1:9" ht="16.5">
      <c r="A4644" s="10" t="b">
        <v>0</v>
      </c>
      <c r="B4644" s="11" t="str">
        <f>IF(D4644&lt;&gt;"",IF(COUNTIF('USPTO TMs'!A:A,D4644)&gt;0,"Yes","No"),"")</f>
        <v/>
      </c>
      <c r="C4644" s="11"/>
      <c r="D4644" s="11"/>
      <c r="E4644" s="11"/>
      <c r="F4644" s="11"/>
      <c r="G4644" s="11"/>
      <c r="H4644" s="11"/>
      <c r="I4644" s="15"/>
    </row>
    <row r="4645" spans="1:9" ht="16.5">
      <c r="A4645" s="10" t="b">
        <v>0</v>
      </c>
      <c r="B4645" s="11" t="str">
        <f>IF(D4645&lt;&gt;"",IF(COUNTIF('USPTO TMs'!A:A,D4645)&gt;0,"Yes","No"),"")</f>
        <v/>
      </c>
      <c r="C4645" s="11"/>
      <c r="D4645" s="11"/>
      <c r="E4645" s="11"/>
      <c r="F4645" s="11"/>
      <c r="G4645" s="11"/>
      <c r="H4645" s="11"/>
      <c r="I4645" s="15"/>
    </row>
    <row r="4646" spans="1:9" ht="16.5">
      <c r="A4646" s="10" t="b">
        <v>0</v>
      </c>
      <c r="B4646" s="11" t="str">
        <f>IF(D4646&lt;&gt;"",IF(COUNTIF('USPTO TMs'!A:A,D4646)&gt;0,"Yes","No"),"")</f>
        <v/>
      </c>
      <c r="C4646" s="11"/>
      <c r="D4646" s="11"/>
      <c r="E4646" s="11"/>
      <c r="F4646" s="11"/>
      <c r="G4646" s="11"/>
      <c r="H4646" s="11"/>
      <c r="I4646" s="15"/>
    </row>
    <row r="4647" spans="1:9" ht="16.5">
      <c r="A4647" s="10" t="b">
        <v>0</v>
      </c>
      <c r="B4647" s="11" t="str">
        <f>IF(D4647&lt;&gt;"",IF(COUNTIF('USPTO TMs'!A:A,D4647)&gt;0,"Yes","No"),"")</f>
        <v/>
      </c>
      <c r="C4647" s="11"/>
      <c r="D4647" s="11"/>
      <c r="E4647" s="11"/>
      <c r="F4647" s="11"/>
      <c r="G4647" s="11"/>
      <c r="H4647" s="11"/>
      <c r="I4647" s="15"/>
    </row>
    <row r="4648" spans="1:9" ht="16.5">
      <c r="A4648" s="10" t="b">
        <v>0</v>
      </c>
      <c r="B4648" s="11" t="str">
        <f>IF(D4648&lt;&gt;"",IF(COUNTIF('USPTO TMs'!A:A,D4648)&gt;0,"Yes","No"),"")</f>
        <v/>
      </c>
      <c r="C4648" s="11"/>
      <c r="D4648" s="11"/>
      <c r="E4648" s="11"/>
      <c r="F4648" s="11"/>
      <c r="G4648" s="11"/>
      <c r="H4648" s="11"/>
      <c r="I4648" s="15"/>
    </row>
    <row r="4649" spans="1:9" ht="16.5">
      <c r="A4649" s="10" t="b">
        <v>0</v>
      </c>
      <c r="B4649" s="11" t="str">
        <f>IF(D4649&lt;&gt;"",IF(COUNTIF('USPTO TMs'!A:A,D4649)&gt;0,"Yes","No"),"")</f>
        <v/>
      </c>
      <c r="C4649" s="11"/>
      <c r="D4649" s="11"/>
      <c r="E4649" s="11"/>
      <c r="F4649" s="11"/>
      <c r="G4649" s="11"/>
      <c r="H4649" s="11"/>
      <c r="I4649" s="15"/>
    </row>
    <row r="4650" spans="1:9" ht="16.5">
      <c r="A4650" s="10" t="b">
        <v>0</v>
      </c>
      <c r="B4650" s="11" t="str">
        <f>IF(D4650&lt;&gt;"",IF(COUNTIF('USPTO TMs'!A:A,D4650)&gt;0,"Yes","No"),"")</f>
        <v/>
      </c>
      <c r="C4650" s="11"/>
      <c r="D4650" s="11"/>
      <c r="E4650" s="11"/>
      <c r="F4650" s="11"/>
      <c r="G4650" s="11"/>
      <c r="H4650" s="11"/>
      <c r="I4650" s="15"/>
    </row>
    <row r="4651" spans="1:9" ht="16.5">
      <c r="A4651" s="10" t="b">
        <v>0</v>
      </c>
      <c r="B4651" s="11" t="str">
        <f>IF(D4651&lt;&gt;"",IF(COUNTIF('USPTO TMs'!A:A,D4651)&gt;0,"Yes","No"),"")</f>
        <v/>
      </c>
      <c r="C4651" s="11"/>
      <c r="D4651" s="11"/>
      <c r="E4651" s="11"/>
      <c r="F4651" s="11"/>
      <c r="G4651" s="11"/>
      <c r="H4651" s="11"/>
      <c r="I4651" s="15"/>
    </row>
    <row r="4652" spans="1:9" ht="16.5">
      <c r="A4652" s="10" t="b">
        <v>0</v>
      </c>
      <c r="B4652" s="11" t="str">
        <f>IF(D4652&lt;&gt;"",IF(COUNTIF('USPTO TMs'!A:A,D4652)&gt;0,"Yes","No"),"")</f>
        <v/>
      </c>
      <c r="C4652" s="11"/>
      <c r="D4652" s="11"/>
      <c r="E4652" s="11"/>
      <c r="F4652" s="11"/>
      <c r="G4652" s="11"/>
      <c r="H4652" s="11"/>
      <c r="I4652" s="15"/>
    </row>
    <row r="4653" spans="1:9" ht="16.5">
      <c r="A4653" s="10" t="b">
        <v>0</v>
      </c>
      <c r="B4653" s="11" t="str">
        <f>IF(D4653&lt;&gt;"",IF(COUNTIF('USPTO TMs'!A:A,D4653)&gt;0,"Yes","No"),"")</f>
        <v/>
      </c>
      <c r="C4653" s="11"/>
      <c r="D4653" s="11"/>
      <c r="E4653" s="11"/>
      <c r="F4653" s="11"/>
      <c r="G4653" s="11"/>
      <c r="H4653" s="11"/>
      <c r="I4653" s="15"/>
    </row>
    <row r="4654" spans="1:9" ht="16.5">
      <c r="A4654" s="10" t="b">
        <v>0</v>
      </c>
      <c r="B4654" s="11" t="str">
        <f>IF(D4654&lt;&gt;"",IF(COUNTIF('USPTO TMs'!A:A,D4654)&gt;0,"Yes","No"),"")</f>
        <v/>
      </c>
      <c r="C4654" s="11"/>
      <c r="D4654" s="11"/>
      <c r="E4654" s="11"/>
      <c r="F4654" s="11"/>
      <c r="G4654" s="11"/>
      <c r="H4654" s="11"/>
      <c r="I4654" s="15"/>
    </row>
    <row r="4655" spans="1:9" ht="16.5">
      <c r="A4655" s="10" t="b">
        <v>0</v>
      </c>
      <c r="B4655" s="11" t="str">
        <f>IF(D4655&lt;&gt;"",IF(COUNTIF('USPTO TMs'!A:A,D4655)&gt;0,"Yes","No"),"")</f>
        <v/>
      </c>
      <c r="C4655" s="11"/>
      <c r="D4655" s="11"/>
      <c r="E4655" s="11"/>
      <c r="F4655" s="11"/>
      <c r="G4655" s="11"/>
      <c r="H4655" s="11"/>
      <c r="I4655" s="15"/>
    </row>
    <row r="4656" spans="1:9" ht="16.5">
      <c r="A4656" s="10" t="b">
        <v>0</v>
      </c>
      <c r="B4656" s="11" t="str">
        <f>IF(D4656&lt;&gt;"",IF(COUNTIF('USPTO TMs'!A:A,D4656)&gt;0,"Yes","No"),"")</f>
        <v/>
      </c>
      <c r="C4656" s="11"/>
      <c r="D4656" s="11"/>
      <c r="E4656" s="11"/>
      <c r="F4656" s="11"/>
      <c r="G4656" s="11"/>
      <c r="H4656" s="11"/>
      <c r="I4656" s="15"/>
    </row>
    <row r="4657" spans="1:9" ht="16.5">
      <c r="A4657" s="10" t="b">
        <v>0</v>
      </c>
      <c r="B4657" s="11" t="str">
        <f>IF(D4657&lt;&gt;"",IF(COUNTIF('USPTO TMs'!A:A,D4657)&gt;0,"Yes","No"),"")</f>
        <v/>
      </c>
      <c r="C4657" s="11"/>
      <c r="D4657" s="11"/>
      <c r="E4657" s="11"/>
      <c r="F4657" s="11"/>
      <c r="G4657" s="11"/>
      <c r="H4657" s="11"/>
      <c r="I4657" s="15"/>
    </row>
    <row r="4658" spans="1:9" ht="16.5">
      <c r="A4658" s="10" t="b">
        <v>0</v>
      </c>
      <c r="B4658" s="11" t="str">
        <f>IF(D4658&lt;&gt;"",IF(COUNTIF('USPTO TMs'!A:A,D4658)&gt;0,"Yes","No"),"")</f>
        <v/>
      </c>
      <c r="C4658" s="11"/>
      <c r="D4658" s="11"/>
      <c r="E4658" s="11"/>
      <c r="F4658" s="11"/>
      <c r="G4658" s="11"/>
      <c r="H4658" s="11"/>
      <c r="I4658" s="15"/>
    </row>
    <row r="4659" spans="1:9" ht="16.5">
      <c r="A4659" s="10" t="b">
        <v>0</v>
      </c>
      <c r="B4659" s="11" t="str">
        <f>IF(D4659&lt;&gt;"",IF(COUNTIF('USPTO TMs'!A:A,D4659)&gt;0,"Yes","No"),"")</f>
        <v/>
      </c>
      <c r="C4659" s="11"/>
      <c r="D4659" s="11"/>
      <c r="E4659" s="11"/>
      <c r="F4659" s="11"/>
      <c r="G4659" s="11"/>
      <c r="H4659" s="11"/>
      <c r="I4659" s="15"/>
    </row>
    <row r="4660" spans="1:9" ht="16.5">
      <c r="A4660" s="10" t="b">
        <v>0</v>
      </c>
      <c r="B4660" s="11" t="str">
        <f>IF(D4660&lt;&gt;"",IF(COUNTIF('USPTO TMs'!A:A,D4660)&gt;0,"Yes","No"),"")</f>
        <v/>
      </c>
      <c r="C4660" s="11"/>
      <c r="D4660" s="11"/>
      <c r="E4660" s="11"/>
      <c r="F4660" s="11"/>
      <c r="G4660" s="11"/>
      <c r="H4660" s="11"/>
      <c r="I4660" s="15"/>
    </row>
    <row r="4661" spans="1:9" ht="16.5">
      <c r="A4661" s="10" t="b">
        <v>0</v>
      </c>
      <c r="B4661" s="11" t="str">
        <f>IF(D4661&lt;&gt;"",IF(COUNTIF('USPTO TMs'!A:A,D4661)&gt;0,"Yes","No"),"")</f>
        <v/>
      </c>
      <c r="C4661" s="11"/>
      <c r="D4661" s="11"/>
      <c r="E4661" s="11"/>
      <c r="F4661" s="11"/>
      <c r="G4661" s="11"/>
      <c r="H4661" s="11"/>
      <c r="I4661" s="15"/>
    </row>
    <row r="4662" spans="1:9" ht="16.5">
      <c r="A4662" s="10" t="b">
        <v>0</v>
      </c>
      <c r="B4662" s="11" t="str">
        <f>IF(D4662&lt;&gt;"",IF(COUNTIF('USPTO TMs'!A:A,D4662)&gt;0,"Yes","No"),"")</f>
        <v/>
      </c>
      <c r="C4662" s="11"/>
      <c r="D4662" s="11"/>
      <c r="E4662" s="11"/>
      <c r="F4662" s="11"/>
      <c r="G4662" s="11"/>
      <c r="H4662" s="11"/>
      <c r="I4662" s="15"/>
    </row>
    <row r="4663" spans="1:9" ht="16.5">
      <c r="A4663" s="10" t="b">
        <v>0</v>
      </c>
      <c r="B4663" s="11" t="str">
        <f>IF(D4663&lt;&gt;"",IF(COUNTIF('USPTO TMs'!A:A,D4663)&gt;0,"Yes","No"),"")</f>
        <v/>
      </c>
      <c r="C4663" s="11"/>
      <c r="D4663" s="11"/>
      <c r="E4663" s="11"/>
      <c r="F4663" s="11"/>
      <c r="G4663" s="11"/>
      <c r="H4663" s="11"/>
      <c r="I4663" s="15"/>
    </row>
    <row r="4664" spans="1:9" ht="16.5">
      <c r="A4664" s="10" t="b">
        <v>0</v>
      </c>
      <c r="B4664" s="11" t="str">
        <f>IF(D4664&lt;&gt;"",IF(COUNTIF('USPTO TMs'!A:A,D4664)&gt;0,"Yes","No"),"")</f>
        <v/>
      </c>
      <c r="C4664" s="11"/>
      <c r="D4664" s="11"/>
      <c r="E4664" s="11"/>
      <c r="F4664" s="11"/>
      <c r="G4664" s="11"/>
      <c r="H4664" s="11"/>
      <c r="I4664" s="15"/>
    </row>
    <row r="4665" spans="1:9" ht="16.5">
      <c r="A4665" s="10" t="b">
        <v>0</v>
      </c>
      <c r="B4665" s="11" t="str">
        <f>IF(D4665&lt;&gt;"",IF(COUNTIF('USPTO TMs'!A:A,D4665)&gt;0,"Yes","No"),"")</f>
        <v/>
      </c>
      <c r="C4665" s="11"/>
      <c r="D4665" s="11"/>
      <c r="E4665" s="11"/>
      <c r="F4665" s="11"/>
      <c r="G4665" s="11"/>
      <c r="H4665" s="11"/>
      <c r="I4665" s="15"/>
    </row>
    <row r="4666" spans="1:9" ht="16.5">
      <c r="A4666" s="10" t="b">
        <v>0</v>
      </c>
      <c r="B4666" s="11" t="str">
        <f>IF(D4666&lt;&gt;"",IF(COUNTIF('USPTO TMs'!A:A,D4666)&gt;0,"Yes","No"),"")</f>
        <v/>
      </c>
      <c r="C4666" s="11"/>
      <c r="D4666" s="11"/>
      <c r="E4666" s="11"/>
      <c r="F4666" s="11"/>
      <c r="G4666" s="11"/>
      <c r="H4666" s="11"/>
      <c r="I4666" s="15"/>
    </row>
    <row r="4667" spans="1:9" ht="16.5">
      <c r="A4667" s="10" t="b">
        <v>0</v>
      </c>
      <c r="B4667" s="11" t="str">
        <f>IF(D4667&lt;&gt;"",IF(COUNTIF('USPTO TMs'!A:A,D4667)&gt;0,"Yes","No"),"")</f>
        <v/>
      </c>
      <c r="C4667" s="11"/>
      <c r="D4667" s="11"/>
      <c r="E4667" s="11"/>
      <c r="F4667" s="11"/>
      <c r="G4667" s="11"/>
      <c r="H4667" s="11"/>
      <c r="I4667" s="15"/>
    </row>
    <row r="4668" spans="1:9" ht="16.5">
      <c r="A4668" s="10" t="b">
        <v>0</v>
      </c>
      <c r="B4668" s="11" t="str">
        <f>IF(D4668&lt;&gt;"",IF(COUNTIF('USPTO TMs'!A:A,D4668)&gt;0,"Yes","No"),"")</f>
        <v/>
      </c>
      <c r="C4668" s="11"/>
      <c r="D4668" s="11"/>
      <c r="E4668" s="11"/>
      <c r="F4668" s="11"/>
      <c r="G4668" s="11"/>
      <c r="H4668" s="11"/>
      <c r="I4668" s="15"/>
    </row>
    <row r="4669" spans="1:9" ht="16.5">
      <c r="A4669" s="10" t="b">
        <v>0</v>
      </c>
      <c r="B4669" s="11" t="str">
        <f>IF(D4669&lt;&gt;"",IF(COUNTIF('USPTO TMs'!A:A,D4669)&gt;0,"Yes","No"),"")</f>
        <v/>
      </c>
      <c r="C4669" s="11"/>
      <c r="D4669" s="11"/>
      <c r="E4669" s="11"/>
      <c r="F4669" s="11"/>
      <c r="G4669" s="11"/>
      <c r="H4669" s="11"/>
      <c r="I4669" s="15"/>
    </row>
    <row r="4670" spans="1:9" ht="16.5">
      <c r="A4670" s="10" t="b">
        <v>0</v>
      </c>
      <c r="B4670" s="11" t="str">
        <f>IF(D4670&lt;&gt;"",IF(COUNTIF('USPTO TMs'!A:A,D4670)&gt;0,"Yes","No"),"")</f>
        <v/>
      </c>
      <c r="C4670" s="11"/>
      <c r="D4670" s="11"/>
      <c r="E4670" s="11"/>
      <c r="F4670" s="11"/>
      <c r="G4670" s="11"/>
      <c r="H4670" s="11"/>
      <c r="I4670" s="15"/>
    </row>
    <row r="4671" spans="1:9" ht="16.5">
      <c r="A4671" s="10" t="b">
        <v>0</v>
      </c>
      <c r="B4671" s="11" t="str">
        <f>IF(D4671&lt;&gt;"",IF(COUNTIF('USPTO TMs'!A:A,D4671)&gt;0,"Yes","No"),"")</f>
        <v/>
      </c>
      <c r="C4671" s="11"/>
      <c r="D4671" s="11"/>
      <c r="E4671" s="11"/>
      <c r="F4671" s="11"/>
      <c r="G4671" s="11"/>
      <c r="H4671" s="11"/>
      <c r="I4671" s="15"/>
    </row>
    <row r="4672" spans="1:9" ht="16.5">
      <c r="A4672" s="10" t="b">
        <v>0</v>
      </c>
      <c r="B4672" s="11" t="str">
        <f>IF(D4672&lt;&gt;"",IF(COUNTIF('USPTO TMs'!A:A,D4672)&gt;0,"Yes","No"),"")</f>
        <v/>
      </c>
      <c r="C4672" s="11"/>
      <c r="D4672" s="11"/>
      <c r="E4672" s="11"/>
      <c r="F4672" s="11"/>
      <c r="G4672" s="11"/>
      <c r="H4672" s="11"/>
      <c r="I4672" s="15"/>
    </row>
    <row r="4673" spans="1:9" ht="16.5">
      <c r="A4673" s="10" t="b">
        <v>0</v>
      </c>
      <c r="B4673" s="11" t="str">
        <f>IF(D4673&lt;&gt;"",IF(COUNTIF('USPTO TMs'!A:A,D4673)&gt;0,"Yes","No"),"")</f>
        <v/>
      </c>
      <c r="C4673" s="11"/>
      <c r="D4673" s="11"/>
      <c r="E4673" s="11"/>
      <c r="F4673" s="11"/>
      <c r="G4673" s="11"/>
      <c r="H4673" s="11"/>
      <c r="I4673" s="15"/>
    </row>
    <row r="4674" spans="1:9" ht="16.5">
      <c r="A4674" s="10" t="b">
        <v>0</v>
      </c>
      <c r="B4674" s="11" t="str">
        <f>IF(D4674&lt;&gt;"",IF(COUNTIF('USPTO TMs'!A:A,D4674)&gt;0,"Yes","No"),"")</f>
        <v/>
      </c>
      <c r="C4674" s="11"/>
      <c r="D4674" s="11"/>
      <c r="E4674" s="11"/>
      <c r="F4674" s="11"/>
      <c r="G4674" s="11"/>
      <c r="H4674" s="11"/>
      <c r="I4674" s="15"/>
    </row>
    <row r="4675" spans="1:9" ht="16.5">
      <c r="A4675" s="10" t="b">
        <v>0</v>
      </c>
      <c r="B4675" s="11" t="str">
        <f>IF(D4675&lt;&gt;"",IF(COUNTIF('USPTO TMs'!A:A,D4675)&gt;0,"Yes","No"),"")</f>
        <v/>
      </c>
      <c r="C4675" s="11"/>
      <c r="D4675" s="11"/>
      <c r="E4675" s="11"/>
      <c r="F4675" s="11"/>
      <c r="G4675" s="11"/>
      <c r="H4675" s="11"/>
      <c r="I4675" s="15"/>
    </row>
    <row r="4676" spans="1:9" ht="16.5">
      <c r="A4676" s="10" t="b">
        <v>0</v>
      </c>
      <c r="B4676" s="11" t="str">
        <f>IF(D4676&lt;&gt;"",IF(COUNTIF('USPTO TMs'!A:A,D4676)&gt;0,"Yes","No"),"")</f>
        <v/>
      </c>
      <c r="C4676" s="11"/>
      <c r="D4676" s="11"/>
      <c r="E4676" s="11"/>
      <c r="F4676" s="11"/>
      <c r="G4676" s="11"/>
      <c r="H4676" s="11"/>
      <c r="I4676" s="15"/>
    </row>
    <row r="4677" spans="1:9" ht="16.5">
      <c r="A4677" s="10" t="b">
        <v>0</v>
      </c>
      <c r="B4677" s="11" t="str">
        <f>IF(D4677&lt;&gt;"",IF(COUNTIF('USPTO TMs'!A:A,D4677)&gt;0,"Yes","No"),"")</f>
        <v/>
      </c>
      <c r="C4677" s="11"/>
      <c r="D4677" s="11"/>
      <c r="E4677" s="11"/>
      <c r="F4677" s="11"/>
      <c r="G4677" s="11"/>
      <c r="H4677" s="11"/>
      <c r="I4677" s="15"/>
    </row>
    <row r="4678" spans="1:9" ht="16.5">
      <c r="A4678" s="10" t="b">
        <v>0</v>
      </c>
      <c r="B4678" s="11" t="str">
        <f>IF(D4678&lt;&gt;"",IF(COUNTIF('USPTO TMs'!A:A,D4678)&gt;0,"Yes","No"),"")</f>
        <v/>
      </c>
      <c r="C4678" s="11"/>
      <c r="D4678" s="11"/>
      <c r="E4678" s="11"/>
      <c r="F4678" s="11"/>
      <c r="G4678" s="11"/>
      <c r="H4678" s="11"/>
      <c r="I4678" s="15"/>
    </row>
    <row r="4679" spans="1:9" ht="16.5">
      <c r="A4679" s="10" t="b">
        <v>0</v>
      </c>
      <c r="B4679" s="11" t="str">
        <f>IF(D4679&lt;&gt;"",IF(COUNTIF('USPTO TMs'!A:A,D4679)&gt;0,"Yes","No"),"")</f>
        <v/>
      </c>
      <c r="C4679" s="11"/>
      <c r="D4679" s="11"/>
      <c r="E4679" s="11"/>
      <c r="F4679" s="11"/>
      <c r="G4679" s="11"/>
      <c r="H4679" s="11"/>
      <c r="I4679" s="15"/>
    </row>
    <row r="4680" spans="1:9" ht="16.5">
      <c r="A4680" s="10" t="b">
        <v>0</v>
      </c>
      <c r="B4680" s="11" t="str">
        <f>IF(D4680&lt;&gt;"",IF(COUNTIF('USPTO TMs'!A:A,D4680)&gt;0,"Yes","No"),"")</f>
        <v/>
      </c>
      <c r="C4680" s="11"/>
      <c r="D4680" s="11"/>
      <c r="E4680" s="11"/>
      <c r="F4680" s="11"/>
      <c r="G4680" s="11"/>
      <c r="H4680" s="11"/>
      <c r="I4680" s="15"/>
    </row>
    <row r="4681" spans="1:9" ht="16.5">
      <c r="A4681" s="10" t="b">
        <v>0</v>
      </c>
      <c r="B4681" s="11" t="str">
        <f>IF(D4681&lt;&gt;"",IF(COUNTIF('USPTO TMs'!A:A,D4681)&gt;0,"Yes","No"),"")</f>
        <v/>
      </c>
      <c r="C4681" s="11"/>
      <c r="D4681" s="11"/>
      <c r="E4681" s="11"/>
      <c r="F4681" s="11"/>
      <c r="G4681" s="11"/>
      <c r="H4681" s="11"/>
      <c r="I4681" s="15"/>
    </row>
    <row r="4682" spans="1:9" ht="16.5">
      <c r="A4682" s="10" t="b">
        <v>0</v>
      </c>
      <c r="B4682" s="11" t="str">
        <f>IF(D4682&lt;&gt;"",IF(COUNTIF('USPTO TMs'!A:A,D4682)&gt;0,"Yes","No"),"")</f>
        <v/>
      </c>
      <c r="C4682" s="11"/>
      <c r="D4682" s="11"/>
      <c r="E4682" s="11"/>
      <c r="F4682" s="11"/>
      <c r="G4682" s="11"/>
      <c r="H4682" s="11"/>
      <c r="I4682" s="15"/>
    </row>
    <row r="4683" spans="1:9" ht="16.5">
      <c r="A4683" s="10" t="b">
        <v>0</v>
      </c>
      <c r="B4683" s="11" t="str">
        <f>IF(D4683&lt;&gt;"",IF(COUNTIF('USPTO TMs'!A:A,D4683)&gt;0,"Yes","No"),"")</f>
        <v/>
      </c>
      <c r="C4683" s="11"/>
      <c r="D4683" s="11"/>
      <c r="E4683" s="11"/>
      <c r="F4683" s="11"/>
      <c r="G4683" s="11"/>
      <c r="H4683" s="11"/>
      <c r="I4683" s="15"/>
    </row>
    <row r="4684" spans="1:9" ht="16.5">
      <c r="A4684" s="10" t="b">
        <v>0</v>
      </c>
      <c r="B4684" s="11" t="str">
        <f>IF(D4684&lt;&gt;"",IF(COUNTIF('USPTO TMs'!A:A,D4684)&gt;0,"Yes","No"),"")</f>
        <v/>
      </c>
      <c r="C4684" s="11"/>
      <c r="D4684" s="11"/>
      <c r="E4684" s="11"/>
      <c r="F4684" s="11"/>
      <c r="G4684" s="11"/>
      <c r="H4684" s="11"/>
      <c r="I4684" s="15"/>
    </row>
    <row r="4685" spans="1:9" ht="16.5">
      <c r="A4685" s="10" t="b">
        <v>0</v>
      </c>
      <c r="B4685" s="11" t="str">
        <f>IF(D4685&lt;&gt;"",IF(COUNTIF('USPTO TMs'!A:A,D4685)&gt;0,"Yes","No"),"")</f>
        <v/>
      </c>
      <c r="C4685" s="11"/>
      <c r="D4685" s="11"/>
      <c r="E4685" s="11"/>
      <c r="F4685" s="11"/>
      <c r="G4685" s="11"/>
      <c r="H4685" s="11"/>
      <c r="I4685" s="15"/>
    </row>
    <row r="4686" spans="1:9" ht="16.5">
      <c r="A4686" s="10" t="b">
        <v>0</v>
      </c>
      <c r="B4686" s="11" t="str">
        <f>IF(D4686&lt;&gt;"",IF(COUNTIF('USPTO TMs'!A:A,D4686)&gt;0,"Yes","No"),"")</f>
        <v/>
      </c>
      <c r="C4686" s="11"/>
      <c r="D4686" s="11"/>
      <c r="E4686" s="11"/>
      <c r="F4686" s="11"/>
      <c r="G4686" s="11"/>
      <c r="H4686" s="11"/>
      <c r="I4686" s="15"/>
    </row>
    <row r="4687" spans="1:9" ht="16.5">
      <c r="A4687" s="10" t="b">
        <v>0</v>
      </c>
      <c r="B4687" s="11" t="str">
        <f>IF(D4687&lt;&gt;"",IF(COUNTIF('USPTO TMs'!A:A,D4687)&gt;0,"Yes","No"),"")</f>
        <v/>
      </c>
      <c r="C4687" s="11"/>
      <c r="D4687" s="11"/>
      <c r="E4687" s="11"/>
      <c r="F4687" s="11"/>
      <c r="G4687" s="11"/>
      <c r="H4687" s="11"/>
      <c r="I4687" s="15"/>
    </row>
    <row r="4688" spans="1:9" ht="16.5">
      <c r="A4688" s="10" t="b">
        <v>0</v>
      </c>
      <c r="B4688" s="11" t="str">
        <f>IF(D4688&lt;&gt;"",IF(COUNTIF('USPTO TMs'!A:A,D4688)&gt;0,"Yes","No"),"")</f>
        <v/>
      </c>
      <c r="C4688" s="11"/>
      <c r="D4688" s="11"/>
      <c r="E4688" s="11"/>
      <c r="F4688" s="11"/>
      <c r="G4688" s="11"/>
      <c r="H4688" s="11"/>
      <c r="I4688" s="15"/>
    </row>
    <row r="4689" spans="1:9" ht="16.5">
      <c r="A4689" s="10" t="b">
        <v>0</v>
      </c>
      <c r="B4689" s="11" t="str">
        <f>IF(D4689&lt;&gt;"",IF(COUNTIF('USPTO TMs'!A:A,D4689)&gt;0,"Yes","No"),"")</f>
        <v/>
      </c>
      <c r="C4689" s="11"/>
      <c r="D4689" s="11"/>
      <c r="E4689" s="11"/>
      <c r="F4689" s="11"/>
      <c r="G4689" s="11"/>
      <c r="H4689" s="11"/>
      <c r="I4689" s="15"/>
    </row>
    <row r="4690" spans="1:9" ht="16.5">
      <c r="A4690" s="10" t="b">
        <v>0</v>
      </c>
      <c r="B4690" s="11" t="str">
        <f>IF(D4690&lt;&gt;"",IF(COUNTIF('USPTO TMs'!A:A,D4690)&gt;0,"Yes","No"),"")</f>
        <v/>
      </c>
      <c r="C4690" s="11"/>
      <c r="D4690" s="11"/>
      <c r="E4690" s="11"/>
      <c r="F4690" s="11"/>
      <c r="G4690" s="11"/>
      <c r="H4690" s="11"/>
      <c r="I4690" s="15"/>
    </row>
    <row r="4691" spans="1:9" ht="16.5">
      <c r="A4691" s="10" t="b">
        <v>0</v>
      </c>
      <c r="B4691" s="11" t="str">
        <f>IF(D4691&lt;&gt;"",IF(COUNTIF('USPTO TMs'!A:A,D4691)&gt;0,"Yes","No"),"")</f>
        <v/>
      </c>
      <c r="C4691" s="11"/>
      <c r="D4691" s="11"/>
      <c r="E4691" s="11"/>
      <c r="F4691" s="11"/>
      <c r="G4691" s="11"/>
      <c r="H4691" s="11"/>
      <c r="I4691" s="15"/>
    </row>
    <row r="4692" spans="1:9" ht="16.5">
      <c r="A4692" s="10" t="b">
        <v>0</v>
      </c>
      <c r="B4692" s="11" t="str">
        <f>IF(D4692&lt;&gt;"",IF(COUNTIF('USPTO TMs'!A:A,D4692)&gt;0,"Yes","No"),"")</f>
        <v/>
      </c>
      <c r="C4692" s="11"/>
      <c r="D4692" s="11"/>
      <c r="E4692" s="11"/>
      <c r="F4692" s="11"/>
      <c r="G4692" s="11"/>
      <c r="H4692" s="11"/>
      <c r="I4692" s="15"/>
    </row>
    <row r="4693" spans="1:9" ht="16.5">
      <c r="A4693" s="10" t="b">
        <v>0</v>
      </c>
      <c r="B4693" s="11" t="str">
        <f>IF(D4693&lt;&gt;"",IF(COUNTIF('USPTO TMs'!A:A,D4693)&gt;0,"Yes","No"),"")</f>
        <v/>
      </c>
      <c r="C4693" s="11"/>
      <c r="D4693" s="11"/>
      <c r="E4693" s="11"/>
      <c r="F4693" s="11"/>
      <c r="G4693" s="11"/>
      <c r="H4693" s="11"/>
      <c r="I4693" s="15"/>
    </row>
    <row r="4694" spans="1:9" ht="16.5">
      <c r="A4694" s="10" t="b">
        <v>0</v>
      </c>
      <c r="B4694" s="11" t="str">
        <f>IF(D4694&lt;&gt;"",IF(COUNTIF('USPTO TMs'!A:A,D4694)&gt;0,"Yes","No"),"")</f>
        <v/>
      </c>
      <c r="C4694" s="11"/>
      <c r="D4694" s="11"/>
      <c r="E4694" s="11"/>
      <c r="F4694" s="11"/>
      <c r="G4694" s="11"/>
      <c r="H4694" s="11"/>
      <c r="I4694" s="15"/>
    </row>
    <row r="4695" spans="1:9" ht="16.5">
      <c r="A4695" s="10" t="b">
        <v>0</v>
      </c>
      <c r="B4695" s="11" t="str">
        <f>IF(D4695&lt;&gt;"",IF(COUNTIF('USPTO TMs'!A:A,D4695)&gt;0,"Yes","No"),"")</f>
        <v/>
      </c>
      <c r="C4695" s="11"/>
      <c r="D4695" s="11"/>
      <c r="E4695" s="11"/>
      <c r="F4695" s="11"/>
      <c r="G4695" s="11"/>
      <c r="H4695" s="11"/>
      <c r="I4695" s="15"/>
    </row>
    <row r="4696" spans="1:9" ht="16.5">
      <c r="A4696" s="10" t="b">
        <v>0</v>
      </c>
      <c r="B4696" s="11" t="str">
        <f>IF(D4696&lt;&gt;"",IF(COUNTIF('USPTO TMs'!A:A,D4696)&gt;0,"Yes","No"),"")</f>
        <v/>
      </c>
      <c r="C4696" s="11"/>
      <c r="D4696" s="11"/>
      <c r="E4696" s="11"/>
      <c r="F4696" s="11"/>
      <c r="G4696" s="11"/>
      <c r="H4696" s="11"/>
      <c r="I4696" s="15"/>
    </row>
    <row r="4697" spans="1:9" ht="16.5">
      <c r="A4697" s="10" t="b">
        <v>0</v>
      </c>
      <c r="B4697" s="11" t="str">
        <f>IF(D4697&lt;&gt;"",IF(COUNTIF('USPTO TMs'!A:A,D4697)&gt;0,"Yes","No"),"")</f>
        <v/>
      </c>
      <c r="C4697" s="11"/>
      <c r="D4697" s="11"/>
      <c r="E4697" s="11"/>
      <c r="F4697" s="11"/>
      <c r="G4697" s="11"/>
      <c r="H4697" s="11"/>
      <c r="I4697" s="15"/>
    </row>
    <row r="4698" spans="1:9" ht="16.5">
      <c r="A4698" s="10" t="b">
        <v>0</v>
      </c>
      <c r="B4698" s="11" t="str">
        <f>IF(D4698&lt;&gt;"",IF(COUNTIF('USPTO TMs'!A:A,D4698)&gt;0,"Yes","No"),"")</f>
        <v/>
      </c>
      <c r="C4698" s="11"/>
      <c r="D4698" s="11"/>
      <c r="E4698" s="11"/>
      <c r="F4698" s="11"/>
      <c r="G4698" s="11"/>
      <c r="H4698" s="11"/>
      <c r="I4698" s="15"/>
    </row>
    <row r="4699" spans="1:9" ht="16.5">
      <c r="A4699" s="10" t="b">
        <v>0</v>
      </c>
      <c r="B4699" s="11" t="str">
        <f>IF(D4699&lt;&gt;"",IF(COUNTIF('USPTO TMs'!A:A,D4699)&gt;0,"Yes","No"),"")</f>
        <v/>
      </c>
      <c r="C4699" s="11"/>
      <c r="D4699" s="11"/>
      <c r="E4699" s="11"/>
      <c r="F4699" s="11"/>
      <c r="G4699" s="11"/>
      <c r="H4699" s="11"/>
      <c r="I4699" s="15"/>
    </row>
    <row r="4700" spans="1:9" ht="16.5">
      <c r="A4700" s="10" t="b">
        <v>0</v>
      </c>
      <c r="B4700" s="11" t="str">
        <f>IF(D4700&lt;&gt;"",IF(COUNTIF('USPTO TMs'!A:A,D4700)&gt;0,"Yes","No"),"")</f>
        <v/>
      </c>
      <c r="C4700" s="11"/>
      <c r="D4700" s="11"/>
      <c r="E4700" s="11"/>
      <c r="F4700" s="11"/>
      <c r="G4700" s="11"/>
      <c r="H4700" s="11"/>
      <c r="I4700" s="15"/>
    </row>
    <row r="4701" spans="1:9" ht="16.5">
      <c r="A4701" s="10" t="b">
        <v>0</v>
      </c>
      <c r="B4701" s="11" t="str">
        <f>IF(D4701&lt;&gt;"",IF(COUNTIF('USPTO TMs'!A:A,D4701)&gt;0,"Yes","No"),"")</f>
        <v/>
      </c>
      <c r="C4701" s="11"/>
      <c r="D4701" s="11"/>
      <c r="E4701" s="11"/>
      <c r="F4701" s="11"/>
      <c r="G4701" s="11"/>
      <c r="H4701" s="11"/>
      <c r="I4701" s="15"/>
    </row>
    <row r="4702" spans="1:9" ht="16.5">
      <c r="A4702" s="10" t="b">
        <v>0</v>
      </c>
      <c r="B4702" s="11" t="str">
        <f>IF(D4702&lt;&gt;"",IF(COUNTIF('USPTO TMs'!A:A,D4702)&gt;0,"Yes","No"),"")</f>
        <v/>
      </c>
      <c r="C4702" s="11"/>
      <c r="D4702" s="11"/>
      <c r="E4702" s="11"/>
      <c r="F4702" s="11"/>
      <c r="G4702" s="11"/>
      <c r="H4702" s="11"/>
      <c r="I4702" s="15"/>
    </row>
    <row r="4703" spans="1:9" ht="16.5">
      <c r="A4703" s="10" t="b">
        <v>0</v>
      </c>
      <c r="B4703" s="11" t="str">
        <f>IF(D4703&lt;&gt;"",IF(COUNTIF('USPTO TMs'!A:A,D4703)&gt;0,"Yes","No"),"")</f>
        <v/>
      </c>
      <c r="C4703" s="11"/>
      <c r="D4703" s="11"/>
      <c r="E4703" s="11"/>
      <c r="F4703" s="11"/>
      <c r="G4703" s="11"/>
      <c r="H4703" s="11"/>
      <c r="I4703" s="15"/>
    </row>
    <row r="4704" spans="1:9" ht="16.5">
      <c r="A4704" s="10" t="b">
        <v>0</v>
      </c>
      <c r="B4704" s="11" t="str">
        <f>IF(D4704&lt;&gt;"",IF(COUNTIF('USPTO TMs'!A:A,D4704)&gt;0,"Yes","No"),"")</f>
        <v/>
      </c>
      <c r="C4704" s="11"/>
      <c r="D4704" s="11"/>
      <c r="E4704" s="11"/>
      <c r="F4704" s="11"/>
      <c r="G4704" s="11"/>
      <c r="H4704" s="11"/>
      <c r="I4704" s="15"/>
    </row>
    <row r="4705" spans="1:9" ht="16.5">
      <c r="A4705" s="10" t="b">
        <v>0</v>
      </c>
      <c r="B4705" s="11" t="str">
        <f>IF(D4705&lt;&gt;"",IF(COUNTIF('USPTO TMs'!A:A,D4705)&gt;0,"Yes","No"),"")</f>
        <v/>
      </c>
      <c r="C4705" s="11"/>
      <c r="D4705" s="11"/>
      <c r="E4705" s="11"/>
      <c r="F4705" s="11"/>
      <c r="G4705" s="11"/>
      <c r="H4705" s="11"/>
      <c r="I4705" s="15"/>
    </row>
    <row r="4706" spans="1:9" ht="16.5">
      <c r="A4706" s="10" t="b">
        <v>0</v>
      </c>
      <c r="B4706" s="11" t="str">
        <f>IF(D4706&lt;&gt;"",IF(COUNTIF('USPTO TMs'!A:A,D4706)&gt;0,"Yes","No"),"")</f>
        <v/>
      </c>
      <c r="C4706" s="11"/>
      <c r="D4706" s="11"/>
      <c r="E4706" s="11"/>
      <c r="F4706" s="11"/>
      <c r="G4706" s="11"/>
      <c r="H4706" s="11"/>
      <c r="I4706" s="15"/>
    </row>
    <row r="4707" spans="1:9" ht="16.5">
      <c r="A4707" s="10" t="b">
        <v>0</v>
      </c>
      <c r="B4707" s="11" t="str">
        <f>IF(D4707&lt;&gt;"",IF(COUNTIF('USPTO TMs'!A:A,D4707)&gt;0,"Yes","No"),"")</f>
        <v/>
      </c>
      <c r="C4707" s="11"/>
      <c r="D4707" s="11"/>
      <c r="E4707" s="11"/>
      <c r="F4707" s="11"/>
      <c r="G4707" s="11"/>
      <c r="H4707" s="11"/>
      <c r="I4707" s="15"/>
    </row>
    <row r="4708" spans="1:9" ht="16.5">
      <c r="A4708" s="10" t="b">
        <v>0</v>
      </c>
      <c r="B4708" s="11" t="str">
        <f>IF(D4708&lt;&gt;"",IF(COUNTIF('USPTO TMs'!A:A,D4708)&gt;0,"Yes","No"),"")</f>
        <v/>
      </c>
      <c r="C4708" s="11"/>
      <c r="D4708" s="11"/>
      <c r="E4708" s="11"/>
      <c r="F4708" s="11"/>
      <c r="G4708" s="11"/>
      <c r="H4708" s="11"/>
      <c r="I4708" s="15"/>
    </row>
    <row r="4709" spans="1:9" ht="16.5">
      <c r="A4709" s="10" t="b">
        <v>0</v>
      </c>
      <c r="B4709" s="11" t="str">
        <f>IF(D4709&lt;&gt;"",IF(COUNTIF('USPTO TMs'!A:A,D4709)&gt;0,"Yes","No"),"")</f>
        <v/>
      </c>
      <c r="C4709" s="11"/>
      <c r="D4709" s="11"/>
      <c r="E4709" s="11"/>
      <c r="F4709" s="11"/>
      <c r="G4709" s="11"/>
      <c r="H4709" s="11"/>
      <c r="I4709" s="15"/>
    </row>
    <row r="4710" spans="1:9" ht="16.5">
      <c r="A4710" s="10" t="b">
        <v>0</v>
      </c>
      <c r="B4710" s="11" t="str">
        <f>IF(D4710&lt;&gt;"",IF(COUNTIF('USPTO TMs'!A:A,D4710)&gt;0,"Yes","No"),"")</f>
        <v/>
      </c>
      <c r="C4710" s="11"/>
      <c r="D4710" s="11"/>
      <c r="E4710" s="11"/>
      <c r="F4710" s="11"/>
      <c r="G4710" s="11"/>
      <c r="H4710" s="11"/>
      <c r="I4710" s="15"/>
    </row>
    <row r="4711" spans="1:9" ht="16.5">
      <c r="A4711" s="10" t="b">
        <v>0</v>
      </c>
      <c r="B4711" s="11" t="str">
        <f>IF(D4711&lt;&gt;"",IF(COUNTIF('USPTO TMs'!A:A,D4711)&gt;0,"Yes","No"),"")</f>
        <v/>
      </c>
      <c r="C4711" s="11"/>
      <c r="D4711" s="11"/>
      <c r="E4711" s="11"/>
      <c r="F4711" s="11"/>
      <c r="G4711" s="11"/>
      <c r="H4711" s="11"/>
      <c r="I4711" s="15"/>
    </row>
    <row r="4712" spans="1:9" ht="16.5">
      <c r="A4712" s="10" t="b">
        <v>0</v>
      </c>
      <c r="B4712" s="11" t="str">
        <f>IF(D4712&lt;&gt;"",IF(COUNTIF('USPTO TMs'!A:A,D4712)&gt;0,"Yes","No"),"")</f>
        <v/>
      </c>
      <c r="C4712" s="11"/>
      <c r="D4712" s="11"/>
      <c r="E4712" s="11"/>
      <c r="F4712" s="11"/>
      <c r="G4712" s="11"/>
      <c r="H4712" s="11"/>
      <c r="I4712" s="15"/>
    </row>
    <row r="4713" spans="1:9" ht="16.5">
      <c r="A4713" s="10" t="b">
        <v>0</v>
      </c>
      <c r="B4713" s="11" t="str">
        <f>IF(D4713&lt;&gt;"",IF(COUNTIF('USPTO TMs'!A:A,D4713)&gt;0,"Yes","No"),"")</f>
        <v/>
      </c>
      <c r="C4713" s="11"/>
      <c r="D4713" s="11"/>
      <c r="E4713" s="11"/>
      <c r="F4713" s="11"/>
      <c r="G4713" s="11"/>
      <c r="H4713" s="11"/>
      <c r="I4713" s="15"/>
    </row>
    <row r="4714" spans="1:9" ht="16.5">
      <c r="A4714" s="10" t="b">
        <v>0</v>
      </c>
      <c r="B4714" s="11" t="str">
        <f>IF(D4714&lt;&gt;"",IF(COUNTIF('USPTO TMs'!A:A,D4714)&gt;0,"Yes","No"),"")</f>
        <v/>
      </c>
      <c r="C4714" s="11"/>
      <c r="D4714" s="11"/>
      <c r="E4714" s="11"/>
      <c r="F4714" s="11"/>
      <c r="G4714" s="11"/>
      <c r="H4714" s="11"/>
      <c r="I4714" s="15"/>
    </row>
    <row r="4715" spans="1:9" ht="16.5">
      <c r="A4715" s="10" t="b">
        <v>0</v>
      </c>
      <c r="B4715" s="11" t="str">
        <f>IF(D4715&lt;&gt;"",IF(COUNTIF('USPTO TMs'!A:A,D4715)&gt;0,"Yes","No"),"")</f>
        <v/>
      </c>
      <c r="C4715" s="11"/>
      <c r="D4715" s="11"/>
      <c r="E4715" s="11"/>
      <c r="F4715" s="11"/>
      <c r="G4715" s="11"/>
      <c r="H4715" s="11"/>
      <c r="I4715" s="15"/>
    </row>
    <row r="4716" spans="1:9" ht="16.5">
      <c r="A4716" s="10" t="b">
        <v>0</v>
      </c>
      <c r="B4716" s="11" t="str">
        <f>IF(D4716&lt;&gt;"",IF(COUNTIF('USPTO TMs'!A:A,D4716)&gt;0,"Yes","No"),"")</f>
        <v/>
      </c>
      <c r="C4716" s="11"/>
      <c r="D4716" s="11"/>
      <c r="E4716" s="11"/>
      <c r="F4716" s="11"/>
      <c r="G4716" s="11"/>
      <c r="H4716" s="11"/>
      <c r="I4716" s="15"/>
    </row>
    <row r="4717" spans="1:9" ht="16.5">
      <c r="A4717" s="10" t="b">
        <v>0</v>
      </c>
      <c r="B4717" s="11" t="str">
        <f>IF(D4717&lt;&gt;"",IF(COUNTIF('USPTO TMs'!A:A,D4717)&gt;0,"Yes","No"),"")</f>
        <v/>
      </c>
      <c r="C4717" s="11"/>
      <c r="D4717" s="11"/>
      <c r="E4717" s="11"/>
      <c r="F4717" s="11"/>
      <c r="G4717" s="11"/>
      <c r="H4717" s="11"/>
      <c r="I4717" s="15"/>
    </row>
    <row r="4718" spans="1:9" ht="16.5">
      <c r="A4718" s="10" t="b">
        <v>0</v>
      </c>
      <c r="B4718" s="11" t="str">
        <f>IF(D4718&lt;&gt;"",IF(COUNTIF('USPTO TMs'!A:A,D4718)&gt;0,"Yes","No"),"")</f>
        <v/>
      </c>
      <c r="C4718" s="11"/>
      <c r="D4718" s="11"/>
      <c r="E4718" s="11"/>
      <c r="F4718" s="11"/>
      <c r="G4718" s="11"/>
      <c r="H4718" s="11"/>
      <c r="I4718" s="15"/>
    </row>
    <row r="4719" spans="1:9" ht="16.5">
      <c r="A4719" s="10" t="b">
        <v>0</v>
      </c>
      <c r="B4719" s="11" t="str">
        <f>IF(D4719&lt;&gt;"",IF(COUNTIF('USPTO TMs'!A:A,D4719)&gt;0,"Yes","No"),"")</f>
        <v/>
      </c>
      <c r="C4719" s="11"/>
      <c r="D4719" s="11"/>
      <c r="E4719" s="11"/>
      <c r="F4719" s="11"/>
      <c r="G4719" s="11"/>
      <c r="H4719" s="11"/>
      <c r="I4719" s="15"/>
    </row>
    <row r="4720" spans="1:9" ht="16.5">
      <c r="A4720" s="10" t="b">
        <v>0</v>
      </c>
      <c r="B4720" s="11" t="str">
        <f>IF(D4720&lt;&gt;"",IF(COUNTIF('USPTO TMs'!A:A,D4720)&gt;0,"Yes","No"),"")</f>
        <v/>
      </c>
      <c r="C4720" s="11"/>
      <c r="D4720" s="11"/>
      <c r="E4720" s="11"/>
      <c r="F4720" s="11"/>
      <c r="G4720" s="11"/>
      <c r="H4720" s="11"/>
      <c r="I4720" s="15"/>
    </row>
    <row r="4721" spans="1:9" ht="16.5">
      <c r="A4721" s="10" t="b">
        <v>0</v>
      </c>
      <c r="B4721" s="11" t="str">
        <f>IF(D4721&lt;&gt;"",IF(COUNTIF('USPTO TMs'!A:A,D4721)&gt;0,"Yes","No"),"")</f>
        <v/>
      </c>
      <c r="C4721" s="11"/>
      <c r="D4721" s="11"/>
      <c r="E4721" s="11"/>
      <c r="F4721" s="11"/>
      <c r="G4721" s="11"/>
      <c r="H4721" s="11"/>
      <c r="I4721" s="15"/>
    </row>
    <row r="4722" spans="1:9" ht="16.5">
      <c r="A4722" s="10" t="b">
        <v>0</v>
      </c>
      <c r="B4722" s="11" t="str">
        <f>IF(D4722&lt;&gt;"",IF(COUNTIF('USPTO TMs'!A:A,D4722)&gt;0,"Yes","No"),"")</f>
        <v/>
      </c>
      <c r="C4722" s="11"/>
      <c r="D4722" s="11"/>
      <c r="E4722" s="11"/>
      <c r="F4722" s="11"/>
      <c r="G4722" s="11"/>
      <c r="H4722" s="11"/>
      <c r="I4722" s="15"/>
    </row>
    <row r="4723" spans="1:9" ht="16.5">
      <c r="A4723" s="10" t="b">
        <v>0</v>
      </c>
      <c r="B4723" s="11" t="str">
        <f>IF(D4723&lt;&gt;"",IF(COUNTIF('USPTO TMs'!A:A,D4723)&gt;0,"Yes","No"),"")</f>
        <v/>
      </c>
      <c r="C4723" s="11"/>
      <c r="D4723" s="11"/>
      <c r="E4723" s="11"/>
      <c r="F4723" s="11"/>
      <c r="G4723" s="11"/>
      <c r="H4723" s="11"/>
      <c r="I4723" s="15"/>
    </row>
    <row r="4724" spans="1:9" ht="16.5">
      <c r="A4724" s="10" t="b">
        <v>0</v>
      </c>
      <c r="B4724" s="11" t="str">
        <f>IF(D4724&lt;&gt;"",IF(COUNTIF('USPTO TMs'!A:A,D4724)&gt;0,"Yes","No"),"")</f>
        <v/>
      </c>
      <c r="C4724" s="11"/>
      <c r="D4724" s="11"/>
      <c r="E4724" s="11"/>
      <c r="F4724" s="11"/>
      <c r="G4724" s="11"/>
      <c r="H4724" s="11"/>
      <c r="I4724" s="15"/>
    </row>
    <row r="4725" spans="1:9" ht="16.5">
      <c r="A4725" s="10" t="b">
        <v>0</v>
      </c>
      <c r="B4725" s="11" t="str">
        <f>IF(D4725&lt;&gt;"",IF(COUNTIF('USPTO TMs'!A:A,D4725)&gt;0,"Yes","No"),"")</f>
        <v/>
      </c>
      <c r="C4725" s="11"/>
      <c r="D4725" s="11"/>
      <c r="E4725" s="11"/>
      <c r="F4725" s="11"/>
      <c r="G4725" s="11"/>
      <c r="H4725" s="11"/>
      <c r="I4725" s="15"/>
    </row>
    <row r="4726" spans="1:9" ht="16.5">
      <c r="A4726" s="10" t="b">
        <v>0</v>
      </c>
      <c r="B4726" s="11" t="str">
        <f>IF(D4726&lt;&gt;"",IF(COUNTIF('USPTO TMs'!A:A,D4726)&gt;0,"Yes","No"),"")</f>
        <v/>
      </c>
      <c r="C4726" s="11"/>
      <c r="D4726" s="11"/>
      <c r="E4726" s="11"/>
      <c r="F4726" s="11"/>
      <c r="G4726" s="11"/>
      <c r="H4726" s="11"/>
      <c r="I4726" s="15"/>
    </row>
    <row r="4727" spans="1:9" ht="16.5">
      <c r="A4727" s="10" t="b">
        <v>0</v>
      </c>
      <c r="B4727" s="11" t="str">
        <f>IF(D4727&lt;&gt;"",IF(COUNTIF('USPTO TMs'!A:A,D4727)&gt;0,"Yes","No"),"")</f>
        <v/>
      </c>
      <c r="C4727" s="11"/>
      <c r="D4727" s="11"/>
      <c r="E4727" s="11"/>
      <c r="F4727" s="11"/>
      <c r="G4727" s="11"/>
      <c r="H4727" s="11"/>
      <c r="I4727" s="15"/>
    </row>
    <row r="4728" spans="1:9" ht="16.5">
      <c r="A4728" s="10" t="b">
        <v>0</v>
      </c>
      <c r="B4728" s="11" t="str">
        <f>IF(D4728&lt;&gt;"",IF(COUNTIF('USPTO TMs'!A:A,D4728)&gt;0,"Yes","No"),"")</f>
        <v/>
      </c>
      <c r="C4728" s="11"/>
      <c r="D4728" s="11"/>
      <c r="E4728" s="11"/>
      <c r="F4728" s="11"/>
      <c r="G4728" s="11"/>
      <c r="H4728" s="11"/>
      <c r="I4728" s="15"/>
    </row>
    <row r="4729" spans="1:9" ht="16.5">
      <c r="A4729" s="10" t="b">
        <v>0</v>
      </c>
      <c r="B4729" s="11" t="str">
        <f>IF(D4729&lt;&gt;"",IF(COUNTIF('USPTO TMs'!A:A,D4729)&gt;0,"Yes","No"),"")</f>
        <v/>
      </c>
      <c r="C4729" s="11"/>
      <c r="D4729" s="11"/>
      <c r="E4729" s="11"/>
      <c r="F4729" s="11"/>
      <c r="G4729" s="11"/>
      <c r="H4729" s="11"/>
      <c r="I4729" s="15"/>
    </row>
    <row r="4730" spans="1:9" ht="16.5">
      <c r="A4730" s="10" t="b">
        <v>0</v>
      </c>
      <c r="B4730" s="11" t="str">
        <f>IF(D4730&lt;&gt;"",IF(COUNTIF('USPTO TMs'!A:A,D4730)&gt;0,"Yes","No"),"")</f>
        <v/>
      </c>
      <c r="C4730" s="11"/>
      <c r="D4730" s="11"/>
      <c r="E4730" s="11"/>
      <c r="F4730" s="11"/>
      <c r="G4730" s="11"/>
      <c r="H4730" s="11"/>
      <c r="I4730" s="15"/>
    </row>
    <row r="4731" spans="1:9" ht="16.5">
      <c r="A4731" s="10" t="b">
        <v>0</v>
      </c>
      <c r="B4731" s="11" t="str">
        <f>IF(D4731&lt;&gt;"",IF(COUNTIF('USPTO TMs'!A:A,D4731)&gt;0,"Yes","No"),"")</f>
        <v/>
      </c>
      <c r="C4731" s="11"/>
      <c r="D4731" s="11"/>
      <c r="E4731" s="11"/>
      <c r="F4731" s="11"/>
      <c r="G4731" s="11"/>
      <c r="H4731" s="11"/>
      <c r="I4731" s="15"/>
    </row>
    <row r="4732" spans="1:9" ht="16.5">
      <c r="A4732" s="10" t="b">
        <v>0</v>
      </c>
      <c r="B4732" s="11" t="str">
        <f>IF(D4732&lt;&gt;"",IF(COUNTIF('USPTO TMs'!A:A,D4732)&gt;0,"Yes","No"),"")</f>
        <v/>
      </c>
      <c r="C4732" s="11"/>
      <c r="D4732" s="11"/>
      <c r="E4732" s="11"/>
      <c r="F4732" s="11"/>
      <c r="G4732" s="11"/>
      <c r="H4732" s="11"/>
      <c r="I4732" s="15"/>
    </row>
    <row r="4733" spans="1:9" ht="16.5">
      <c r="A4733" s="10" t="b">
        <v>0</v>
      </c>
      <c r="B4733" s="11" t="str">
        <f>IF(D4733&lt;&gt;"",IF(COUNTIF('USPTO TMs'!A:A,D4733)&gt;0,"Yes","No"),"")</f>
        <v/>
      </c>
      <c r="C4733" s="11"/>
      <c r="D4733" s="11"/>
      <c r="E4733" s="11"/>
      <c r="F4733" s="11"/>
      <c r="G4733" s="11"/>
      <c r="H4733" s="11"/>
      <c r="I4733" s="15"/>
    </row>
    <row r="4734" spans="1:9" ht="16.5">
      <c r="A4734" s="10" t="b">
        <v>0</v>
      </c>
      <c r="B4734" s="11" t="str">
        <f>IF(D4734&lt;&gt;"",IF(COUNTIF('USPTO TMs'!A:A,D4734)&gt;0,"Yes","No"),"")</f>
        <v/>
      </c>
      <c r="C4734" s="11"/>
      <c r="D4734" s="11"/>
      <c r="E4734" s="11"/>
      <c r="F4734" s="11"/>
      <c r="G4734" s="11"/>
      <c r="H4734" s="11"/>
      <c r="I4734" s="15"/>
    </row>
    <row r="4735" spans="1:9" ht="16.5">
      <c r="A4735" s="10" t="b">
        <v>0</v>
      </c>
      <c r="B4735" s="11" t="str">
        <f>IF(D4735&lt;&gt;"",IF(COUNTIF('USPTO TMs'!A:A,D4735)&gt;0,"Yes","No"),"")</f>
        <v/>
      </c>
      <c r="C4735" s="11"/>
      <c r="D4735" s="11"/>
      <c r="E4735" s="11"/>
      <c r="F4735" s="11"/>
      <c r="G4735" s="11"/>
      <c r="H4735" s="11"/>
      <c r="I4735" s="15"/>
    </row>
    <row r="4736" spans="1:9" ht="16.5">
      <c r="A4736" s="10" t="b">
        <v>0</v>
      </c>
      <c r="B4736" s="11" t="str">
        <f>IF(D4736&lt;&gt;"",IF(COUNTIF('USPTO TMs'!A:A,D4736)&gt;0,"Yes","No"),"")</f>
        <v/>
      </c>
      <c r="C4736" s="11"/>
      <c r="D4736" s="11"/>
      <c r="E4736" s="11"/>
      <c r="F4736" s="11"/>
      <c r="G4736" s="11"/>
      <c r="H4736" s="11"/>
      <c r="I4736" s="15"/>
    </row>
    <row r="4737" spans="1:9" ht="16.5">
      <c r="A4737" s="10" t="b">
        <v>0</v>
      </c>
      <c r="B4737" s="11" t="str">
        <f>IF(D4737&lt;&gt;"",IF(COUNTIF('USPTO TMs'!A:A,D4737)&gt;0,"Yes","No"),"")</f>
        <v/>
      </c>
      <c r="C4737" s="11"/>
      <c r="D4737" s="11"/>
      <c r="E4737" s="11"/>
      <c r="F4737" s="11"/>
      <c r="G4737" s="11"/>
      <c r="H4737" s="11"/>
      <c r="I4737" s="15"/>
    </row>
    <row r="4738" spans="1:9" ht="16.5">
      <c r="A4738" s="10" t="b">
        <v>0</v>
      </c>
      <c r="B4738" s="11" t="str">
        <f>IF(D4738&lt;&gt;"",IF(COUNTIF('USPTO TMs'!A:A,D4738)&gt;0,"Yes","No"),"")</f>
        <v/>
      </c>
      <c r="C4738" s="11"/>
      <c r="D4738" s="11"/>
      <c r="E4738" s="11"/>
      <c r="F4738" s="11"/>
      <c r="G4738" s="11"/>
      <c r="H4738" s="11"/>
      <c r="I4738" s="15"/>
    </row>
    <row r="4739" spans="1:9" ht="16.5">
      <c r="A4739" s="10" t="b">
        <v>0</v>
      </c>
      <c r="B4739" s="11" t="str">
        <f>IF(D4739&lt;&gt;"",IF(COUNTIF('USPTO TMs'!A:A,D4739)&gt;0,"Yes","No"),"")</f>
        <v/>
      </c>
      <c r="C4739" s="11"/>
      <c r="D4739" s="11"/>
      <c r="E4739" s="11"/>
      <c r="F4739" s="11"/>
      <c r="G4739" s="11"/>
      <c r="H4739" s="11"/>
      <c r="I4739" s="15"/>
    </row>
    <row r="4740" spans="1:9" ht="16.5">
      <c r="A4740" s="10" t="b">
        <v>0</v>
      </c>
      <c r="B4740" s="11" t="str">
        <f>IF(D4740&lt;&gt;"",IF(COUNTIF('USPTO TMs'!A:A,D4740)&gt;0,"Yes","No"),"")</f>
        <v/>
      </c>
      <c r="C4740" s="11"/>
      <c r="D4740" s="11"/>
      <c r="E4740" s="11"/>
      <c r="F4740" s="11"/>
      <c r="G4740" s="11"/>
      <c r="H4740" s="11"/>
      <c r="I4740" s="15"/>
    </row>
    <row r="4741" spans="1:9" ht="16.5">
      <c r="A4741" s="10" t="b">
        <v>0</v>
      </c>
      <c r="B4741" s="11" t="str">
        <f>IF(D4741&lt;&gt;"",IF(COUNTIF('USPTO TMs'!A:A,D4741)&gt;0,"Yes","No"),"")</f>
        <v/>
      </c>
      <c r="C4741" s="11"/>
      <c r="D4741" s="11"/>
      <c r="E4741" s="11"/>
      <c r="F4741" s="11"/>
      <c r="G4741" s="11"/>
      <c r="H4741" s="11"/>
      <c r="I4741" s="15"/>
    </row>
    <row r="4742" spans="1:9" ht="16.5">
      <c r="A4742" s="10" t="b">
        <v>0</v>
      </c>
      <c r="B4742" s="11" t="str">
        <f>IF(D4742&lt;&gt;"",IF(COUNTIF('USPTO TMs'!A:A,D4742)&gt;0,"Yes","No"),"")</f>
        <v/>
      </c>
      <c r="C4742" s="11"/>
      <c r="D4742" s="11"/>
      <c r="E4742" s="11"/>
      <c r="F4742" s="11"/>
      <c r="G4742" s="11"/>
      <c r="H4742" s="11"/>
      <c r="I4742" s="15"/>
    </row>
    <row r="4743" spans="1:9" ht="16.5">
      <c r="A4743" s="10" t="b">
        <v>0</v>
      </c>
      <c r="B4743" s="11" t="str">
        <f>IF(D4743&lt;&gt;"",IF(COUNTIF('USPTO TMs'!A:A,D4743)&gt;0,"Yes","No"),"")</f>
        <v/>
      </c>
      <c r="C4743" s="11"/>
      <c r="D4743" s="11"/>
      <c r="E4743" s="11"/>
      <c r="F4743" s="11"/>
      <c r="G4743" s="11"/>
      <c r="H4743" s="11"/>
      <c r="I4743" s="15"/>
    </row>
    <row r="4744" spans="1:9" ht="16.5">
      <c r="A4744" s="10" t="b">
        <v>0</v>
      </c>
      <c r="B4744" s="11" t="str">
        <f>IF(D4744&lt;&gt;"",IF(COUNTIF('USPTO TMs'!A:A,D4744)&gt;0,"Yes","No"),"")</f>
        <v/>
      </c>
      <c r="C4744" s="11"/>
      <c r="D4744" s="11"/>
      <c r="E4744" s="11"/>
      <c r="F4744" s="11"/>
      <c r="G4744" s="11"/>
      <c r="H4744" s="11"/>
      <c r="I4744" s="15"/>
    </row>
    <row r="4745" spans="1:9" ht="16.5">
      <c r="A4745" s="10" t="b">
        <v>0</v>
      </c>
      <c r="B4745" s="11" t="str">
        <f>IF(D4745&lt;&gt;"",IF(COUNTIF('USPTO TMs'!A:A,D4745)&gt;0,"Yes","No"),"")</f>
        <v/>
      </c>
      <c r="C4745" s="11"/>
      <c r="D4745" s="11"/>
      <c r="E4745" s="11"/>
      <c r="F4745" s="11"/>
      <c r="G4745" s="11"/>
      <c r="H4745" s="11"/>
      <c r="I4745" s="15"/>
    </row>
    <row r="4746" spans="1:9" ht="16.5">
      <c r="A4746" s="10" t="b">
        <v>0</v>
      </c>
      <c r="B4746" s="11" t="str">
        <f>IF(D4746&lt;&gt;"",IF(COUNTIF('USPTO TMs'!A:A,D4746)&gt;0,"Yes","No"),"")</f>
        <v/>
      </c>
      <c r="C4746" s="11"/>
      <c r="D4746" s="11"/>
      <c r="E4746" s="11"/>
      <c r="F4746" s="11"/>
      <c r="G4746" s="11"/>
      <c r="H4746" s="11"/>
      <c r="I4746" s="15"/>
    </row>
    <row r="4747" spans="1:9" ht="16.5">
      <c r="A4747" s="10" t="b">
        <v>0</v>
      </c>
      <c r="B4747" s="11" t="str">
        <f>IF(D4747&lt;&gt;"",IF(COUNTIF('USPTO TMs'!A:A,D4747)&gt;0,"Yes","No"),"")</f>
        <v/>
      </c>
      <c r="C4747" s="11"/>
      <c r="D4747" s="11"/>
      <c r="E4747" s="11"/>
      <c r="F4747" s="11"/>
      <c r="G4747" s="11"/>
      <c r="H4747" s="11"/>
      <c r="I4747" s="15"/>
    </row>
    <row r="4748" spans="1:9" ht="16.5">
      <c r="A4748" s="10" t="b">
        <v>0</v>
      </c>
      <c r="B4748" s="11" t="str">
        <f>IF(D4748&lt;&gt;"",IF(COUNTIF('USPTO TMs'!A:A,D4748)&gt;0,"Yes","No"),"")</f>
        <v/>
      </c>
      <c r="C4748" s="11"/>
      <c r="D4748" s="11"/>
      <c r="E4748" s="11"/>
      <c r="F4748" s="11"/>
      <c r="G4748" s="11"/>
      <c r="H4748" s="11"/>
      <c r="I4748" s="15"/>
    </row>
    <row r="4749" spans="1:9" ht="16.5">
      <c r="A4749" s="10" t="b">
        <v>0</v>
      </c>
      <c r="B4749" s="11" t="str">
        <f>IF(D4749&lt;&gt;"",IF(COUNTIF('USPTO TMs'!A:A,D4749)&gt;0,"Yes","No"),"")</f>
        <v/>
      </c>
      <c r="C4749" s="11"/>
      <c r="D4749" s="11"/>
      <c r="E4749" s="11"/>
      <c r="F4749" s="11"/>
      <c r="G4749" s="11"/>
      <c r="H4749" s="11"/>
      <c r="I4749" s="15"/>
    </row>
    <row r="4750" spans="1:9" ht="16.5">
      <c r="A4750" s="10" t="b">
        <v>0</v>
      </c>
      <c r="B4750" s="11" t="str">
        <f>IF(D4750&lt;&gt;"",IF(COUNTIF('USPTO TMs'!A:A,D4750)&gt;0,"Yes","No"),"")</f>
        <v/>
      </c>
      <c r="C4750" s="11"/>
      <c r="D4750" s="11"/>
      <c r="E4750" s="11"/>
      <c r="F4750" s="11"/>
      <c r="G4750" s="11"/>
      <c r="H4750" s="11"/>
      <c r="I4750" s="15"/>
    </row>
    <row r="4751" spans="1:9" ht="16.5">
      <c r="A4751" s="10" t="b">
        <v>0</v>
      </c>
      <c r="B4751" s="11" t="str">
        <f>IF(D4751&lt;&gt;"",IF(COUNTIF('USPTO TMs'!A:A,D4751)&gt;0,"Yes","No"),"")</f>
        <v/>
      </c>
      <c r="C4751" s="11"/>
      <c r="D4751" s="11"/>
      <c r="E4751" s="11"/>
      <c r="F4751" s="11"/>
      <c r="G4751" s="11"/>
      <c r="H4751" s="11"/>
      <c r="I4751" s="15"/>
    </row>
    <row r="4752" spans="1:9" ht="16.5">
      <c r="A4752" s="10" t="b">
        <v>0</v>
      </c>
      <c r="B4752" s="11" t="str">
        <f>IF(D4752&lt;&gt;"",IF(COUNTIF('USPTO TMs'!A:A,D4752)&gt;0,"Yes","No"),"")</f>
        <v/>
      </c>
      <c r="C4752" s="11"/>
      <c r="D4752" s="11"/>
      <c r="E4752" s="11"/>
      <c r="F4752" s="11"/>
      <c r="G4752" s="11"/>
      <c r="H4752" s="11"/>
      <c r="I4752" s="15"/>
    </row>
    <row r="4753" spans="1:9" ht="16.5">
      <c r="A4753" s="10" t="b">
        <v>0</v>
      </c>
      <c r="B4753" s="11" t="str">
        <f>IF(D4753&lt;&gt;"",IF(COUNTIF('USPTO TMs'!A:A,D4753)&gt;0,"Yes","No"),"")</f>
        <v/>
      </c>
      <c r="C4753" s="11"/>
      <c r="D4753" s="11"/>
      <c r="E4753" s="11"/>
      <c r="F4753" s="11"/>
      <c r="G4753" s="11"/>
      <c r="H4753" s="11"/>
      <c r="I4753" s="15"/>
    </row>
    <row r="4754" spans="1:9" ht="16.5">
      <c r="A4754" s="10" t="b">
        <v>0</v>
      </c>
      <c r="B4754" s="11" t="str">
        <f>IF(D4754&lt;&gt;"",IF(COUNTIF('USPTO TMs'!A:A,D4754)&gt;0,"Yes","No"),"")</f>
        <v/>
      </c>
      <c r="C4754" s="11"/>
      <c r="D4754" s="11"/>
      <c r="E4754" s="11"/>
      <c r="F4754" s="11"/>
      <c r="G4754" s="11"/>
      <c r="H4754" s="11"/>
      <c r="I4754" s="15"/>
    </row>
    <row r="4755" spans="1:9" ht="16.5">
      <c r="A4755" s="10" t="b">
        <v>0</v>
      </c>
      <c r="B4755" s="11" t="str">
        <f>IF(D4755&lt;&gt;"",IF(COUNTIF('USPTO TMs'!A:A,D4755)&gt;0,"Yes","No"),"")</f>
        <v/>
      </c>
      <c r="C4755" s="11"/>
      <c r="D4755" s="11"/>
      <c r="E4755" s="11"/>
      <c r="F4755" s="11"/>
      <c r="G4755" s="11"/>
      <c r="H4755" s="11"/>
      <c r="I4755" s="15"/>
    </row>
    <row r="4756" spans="1:9" ht="16.5">
      <c r="A4756" s="10" t="b">
        <v>0</v>
      </c>
      <c r="B4756" s="11" t="str">
        <f>IF(D4756&lt;&gt;"",IF(COUNTIF('USPTO TMs'!A:A,D4756)&gt;0,"Yes","No"),"")</f>
        <v/>
      </c>
      <c r="C4756" s="11"/>
      <c r="D4756" s="11"/>
      <c r="E4756" s="11"/>
      <c r="F4756" s="11"/>
      <c r="G4756" s="11"/>
      <c r="H4756" s="11"/>
      <c r="I4756" s="15"/>
    </row>
    <row r="4757" spans="1:9" ht="16.5">
      <c r="A4757" s="10" t="b">
        <v>0</v>
      </c>
      <c r="B4757" s="11" t="str">
        <f>IF(D4757&lt;&gt;"",IF(COUNTIF('USPTO TMs'!A:A,D4757)&gt;0,"Yes","No"),"")</f>
        <v/>
      </c>
      <c r="C4757" s="11"/>
      <c r="D4757" s="11"/>
      <c r="E4757" s="11"/>
      <c r="F4757" s="11"/>
      <c r="G4757" s="11"/>
      <c r="H4757" s="11"/>
      <c r="I4757" s="15"/>
    </row>
    <row r="4758" spans="1:9" ht="16.5">
      <c r="A4758" s="10" t="b">
        <v>0</v>
      </c>
      <c r="B4758" s="11" t="str">
        <f>IF(D4758&lt;&gt;"",IF(COUNTIF('USPTO TMs'!A:A,D4758)&gt;0,"Yes","No"),"")</f>
        <v/>
      </c>
      <c r="C4758" s="11"/>
      <c r="D4758" s="11"/>
      <c r="E4758" s="11"/>
      <c r="F4758" s="11"/>
      <c r="G4758" s="11"/>
      <c r="H4758" s="11"/>
      <c r="I4758" s="15"/>
    </row>
    <row r="4759" spans="1:9" ht="16.5">
      <c r="A4759" s="10" t="b">
        <v>0</v>
      </c>
      <c r="B4759" s="11" t="str">
        <f>IF(D4759&lt;&gt;"",IF(COUNTIF('USPTO TMs'!A:A,D4759)&gt;0,"Yes","No"),"")</f>
        <v/>
      </c>
      <c r="C4759" s="11"/>
      <c r="D4759" s="11"/>
      <c r="E4759" s="11"/>
      <c r="F4759" s="11"/>
      <c r="G4759" s="11"/>
      <c r="H4759" s="11"/>
      <c r="I4759" s="15"/>
    </row>
    <row r="4760" spans="1:9" ht="16.5">
      <c r="A4760" s="10" t="b">
        <v>0</v>
      </c>
      <c r="B4760" s="11" t="str">
        <f>IF(D4760&lt;&gt;"",IF(COUNTIF('USPTO TMs'!A:A,D4760)&gt;0,"Yes","No"),"")</f>
        <v/>
      </c>
      <c r="C4760" s="11"/>
      <c r="D4760" s="11"/>
      <c r="E4760" s="11"/>
      <c r="F4760" s="11"/>
      <c r="G4760" s="11"/>
      <c r="H4760" s="11"/>
      <c r="I4760" s="15"/>
    </row>
    <row r="4761" spans="1:9" ht="16.5">
      <c r="A4761" s="10" t="b">
        <v>0</v>
      </c>
      <c r="B4761" s="11" t="str">
        <f>IF(D4761&lt;&gt;"",IF(COUNTIF('USPTO TMs'!A:A,D4761)&gt;0,"Yes","No"),"")</f>
        <v/>
      </c>
      <c r="C4761" s="11"/>
      <c r="D4761" s="11"/>
      <c r="E4761" s="11"/>
      <c r="F4761" s="11"/>
      <c r="G4761" s="11"/>
      <c r="H4761" s="11"/>
      <c r="I4761" s="15"/>
    </row>
    <row r="4762" spans="1:9" ht="16.5">
      <c r="A4762" s="10" t="b">
        <v>0</v>
      </c>
      <c r="B4762" s="11" t="str">
        <f>IF(D4762&lt;&gt;"",IF(COUNTIF('USPTO TMs'!A:A,D4762)&gt;0,"Yes","No"),"")</f>
        <v/>
      </c>
      <c r="C4762" s="11"/>
      <c r="D4762" s="11"/>
      <c r="E4762" s="11"/>
      <c r="F4762" s="11"/>
      <c r="G4762" s="11"/>
      <c r="H4762" s="11"/>
      <c r="I4762" s="15"/>
    </row>
    <row r="4763" spans="1:9" ht="16.5">
      <c r="A4763" s="10" t="b">
        <v>0</v>
      </c>
      <c r="B4763" s="11" t="str">
        <f>IF(D4763&lt;&gt;"",IF(COUNTIF('USPTO TMs'!A:A,D4763)&gt;0,"Yes","No"),"")</f>
        <v/>
      </c>
      <c r="C4763" s="11"/>
      <c r="D4763" s="11"/>
      <c r="E4763" s="11"/>
      <c r="F4763" s="11"/>
      <c r="G4763" s="11"/>
      <c r="H4763" s="11"/>
      <c r="I4763" s="15"/>
    </row>
    <row r="4764" spans="1:9" ht="16.5">
      <c r="A4764" s="10" t="b">
        <v>0</v>
      </c>
      <c r="B4764" s="11" t="str">
        <f>IF(D4764&lt;&gt;"",IF(COUNTIF('USPTO TMs'!A:A,D4764)&gt;0,"Yes","No"),"")</f>
        <v/>
      </c>
      <c r="C4764" s="11"/>
      <c r="D4764" s="11"/>
      <c r="E4764" s="11"/>
      <c r="F4764" s="11"/>
      <c r="G4764" s="11"/>
      <c r="H4764" s="11"/>
      <c r="I4764" s="15"/>
    </row>
    <row r="4765" spans="1:9" ht="16.5">
      <c r="A4765" s="10" t="b">
        <v>0</v>
      </c>
      <c r="B4765" s="11" t="str">
        <f>IF(D4765&lt;&gt;"",IF(COUNTIF('USPTO TMs'!A:A,D4765)&gt;0,"Yes","No"),"")</f>
        <v/>
      </c>
      <c r="C4765" s="11"/>
      <c r="D4765" s="11"/>
      <c r="E4765" s="11"/>
      <c r="F4765" s="11"/>
      <c r="G4765" s="11"/>
      <c r="H4765" s="11"/>
      <c r="I4765" s="15"/>
    </row>
    <row r="4766" spans="1:9" ht="16.5">
      <c r="A4766" s="10" t="b">
        <v>0</v>
      </c>
      <c r="B4766" s="11" t="str">
        <f>IF(D4766&lt;&gt;"",IF(COUNTIF('USPTO TMs'!A:A,D4766)&gt;0,"Yes","No"),"")</f>
        <v/>
      </c>
      <c r="C4766" s="11"/>
      <c r="D4766" s="11"/>
      <c r="E4766" s="11"/>
      <c r="F4766" s="11"/>
      <c r="G4766" s="11"/>
      <c r="H4766" s="11"/>
      <c r="I4766" s="15"/>
    </row>
    <row r="4767" spans="1:9" ht="16.5">
      <c r="A4767" s="10" t="b">
        <v>0</v>
      </c>
      <c r="B4767" s="11" t="str">
        <f>IF(D4767&lt;&gt;"",IF(COUNTIF('USPTO TMs'!A:A,D4767)&gt;0,"Yes","No"),"")</f>
        <v/>
      </c>
      <c r="C4767" s="11"/>
      <c r="D4767" s="11"/>
      <c r="E4767" s="11"/>
      <c r="F4767" s="11"/>
      <c r="G4767" s="11"/>
      <c r="H4767" s="11"/>
      <c r="I4767" s="15"/>
    </row>
    <row r="4768" spans="1:9" ht="16.5">
      <c r="A4768" s="10" t="b">
        <v>0</v>
      </c>
      <c r="B4768" s="11" t="str">
        <f>IF(D4768&lt;&gt;"",IF(COUNTIF('USPTO TMs'!A:A,D4768)&gt;0,"Yes","No"),"")</f>
        <v/>
      </c>
      <c r="C4768" s="11"/>
      <c r="D4768" s="11"/>
      <c r="E4768" s="11"/>
      <c r="F4768" s="11"/>
      <c r="G4768" s="11"/>
      <c r="H4768" s="11"/>
      <c r="I4768" s="15"/>
    </row>
    <row r="4769" spans="1:9" ht="16.5">
      <c r="A4769" s="10" t="b">
        <v>0</v>
      </c>
      <c r="B4769" s="11" t="str">
        <f>IF(D4769&lt;&gt;"",IF(COUNTIF('USPTO TMs'!A:A,D4769)&gt;0,"Yes","No"),"")</f>
        <v/>
      </c>
      <c r="C4769" s="11"/>
      <c r="D4769" s="11"/>
      <c r="E4769" s="11"/>
      <c r="F4769" s="11"/>
      <c r="G4769" s="11"/>
      <c r="H4769" s="11"/>
      <c r="I4769" s="15"/>
    </row>
    <row r="4770" spans="1:9" ht="16.5">
      <c r="A4770" s="10" t="b">
        <v>0</v>
      </c>
      <c r="B4770" s="11" t="str">
        <f>IF(D4770&lt;&gt;"",IF(COUNTIF('USPTO TMs'!A:A,D4770)&gt;0,"Yes","No"),"")</f>
        <v/>
      </c>
      <c r="C4770" s="11"/>
      <c r="D4770" s="11"/>
      <c r="E4770" s="11"/>
      <c r="F4770" s="11"/>
      <c r="G4770" s="11"/>
      <c r="H4770" s="11"/>
      <c r="I4770" s="15"/>
    </row>
    <row r="4771" spans="1:9" ht="16.5">
      <c r="A4771" s="10" t="b">
        <v>0</v>
      </c>
      <c r="B4771" s="11" t="str">
        <f>IF(D4771&lt;&gt;"",IF(COUNTIF('USPTO TMs'!A:A,D4771)&gt;0,"Yes","No"),"")</f>
        <v/>
      </c>
      <c r="C4771" s="11"/>
      <c r="D4771" s="11"/>
      <c r="E4771" s="11"/>
      <c r="F4771" s="11"/>
      <c r="G4771" s="11"/>
      <c r="H4771" s="11"/>
      <c r="I4771" s="15"/>
    </row>
    <row r="4772" spans="1:9" ht="16.5">
      <c r="A4772" s="10" t="b">
        <v>0</v>
      </c>
      <c r="B4772" s="11" t="str">
        <f>IF(D4772&lt;&gt;"",IF(COUNTIF('USPTO TMs'!A:A,D4772)&gt;0,"Yes","No"),"")</f>
        <v/>
      </c>
      <c r="C4772" s="11"/>
      <c r="D4772" s="11"/>
      <c r="E4772" s="11"/>
      <c r="F4772" s="11"/>
      <c r="G4772" s="11"/>
      <c r="H4772" s="11"/>
      <c r="I4772" s="15"/>
    </row>
    <row r="4773" spans="1:9" ht="16.5">
      <c r="A4773" s="10" t="b">
        <v>0</v>
      </c>
      <c r="B4773" s="11" t="str">
        <f>IF(D4773&lt;&gt;"",IF(COUNTIF('USPTO TMs'!A:A,D4773)&gt;0,"Yes","No"),"")</f>
        <v/>
      </c>
      <c r="C4773" s="11"/>
      <c r="D4773" s="11"/>
      <c r="E4773" s="11"/>
      <c r="F4773" s="11"/>
      <c r="G4773" s="11"/>
      <c r="H4773" s="11"/>
      <c r="I4773" s="15"/>
    </row>
    <row r="4774" spans="1:9" ht="16.5">
      <c r="A4774" s="10" t="b">
        <v>0</v>
      </c>
      <c r="B4774" s="11" t="str">
        <f>IF(D4774&lt;&gt;"",IF(COUNTIF('USPTO TMs'!A:A,D4774)&gt;0,"Yes","No"),"")</f>
        <v/>
      </c>
      <c r="C4774" s="11"/>
      <c r="D4774" s="11"/>
      <c r="E4774" s="11"/>
      <c r="F4774" s="11"/>
      <c r="G4774" s="11"/>
      <c r="H4774" s="11"/>
      <c r="I4774" s="15"/>
    </row>
    <row r="4775" spans="1:9" ht="16.5">
      <c r="A4775" s="10" t="b">
        <v>0</v>
      </c>
      <c r="B4775" s="11" t="str">
        <f>IF(D4775&lt;&gt;"",IF(COUNTIF('USPTO TMs'!A:A,D4775)&gt;0,"Yes","No"),"")</f>
        <v/>
      </c>
      <c r="C4775" s="11"/>
      <c r="D4775" s="11"/>
      <c r="E4775" s="11"/>
      <c r="F4775" s="11"/>
      <c r="G4775" s="11"/>
      <c r="H4775" s="11"/>
      <c r="I4775" s="15"/>
    </row>
    <row r="4776" spans="1:9" ht="16.5">
      <c r="A4776" s="10" t="b">
        <v>0</v>
      </c>
      <c r="B4776" s="11" t="str">
        <f>IF(D4776&lt;&gt;"",IF(COUNTIF('USPTO TMs'!A:A,D4776)&gt;0,"Yes","No"),"")</f>
        <v/>
      </c>
      <c r="C4776" s="11"/>
      <c r="D4776" s="11"/>
      <c r="E4776" s="11"/>
      <c r="F4776" s="11"/>
      <c r="G4776" s="11"/>
      <c r="H4776" s="11"/>
      <c r="I4776" s="15"/>
    </row>
    <row r="4777" spans="1:9" ht="16.5">
      <c r="A4777" s="10" t="b">
        <v>0</v>
      </c>
      <c r="B4777" s="11" t="str">
        <f>IF(D4777&lt;&gt;"",IF(COUNTIF('USPTO TMs'!A:A,D4777)&gt;0,"Yes","No"),"")</f>
        <v/>
      </c>
      <c r="C4777" s="11"/>
      <c r="D4777" s="11"/>
      <c r="E4777" s="11"/>
      <c r="F4777" s="11"/>
      <c r="G4777" s="11"/>
      <c r="H4777" s="11"/>
      <c r="I4777" s="15"/>
    </row>
    <row r="4778" spans="1:9" ht="16.5">
      <c r="A4778" s="10" t="b">
        <v>0</v>
      </c>
      <c r="B4778" s="11" t="str">
        <f>IF(D4778&lt;&gt;"",IF(COUNTIF('USPTO TMs'!A:A,D4778)&gt;0,"Yes","No"),"")</f>
        <v/>
      </c>
      <c r="C4778" s="11"/>
      <c r="D4778" s="11"/>
      <c r="E4778" s="11"/>
      <c r="F4778" s="11"/>
      <c r="G4778" s="11"/>
      <c r="H4778" s="11"/>
      <c r="I4778" s="15"/>
    </row>
    <row r="4779" spans="1:9" ht="16.5">
      <c r="A4779" s="10" t="b">
        <v>0</v>
      </c>
      <c r="B4779" s="11" t="str">
        <f>IF(D4779&lt;&gt;"",IF(COUNTIF('USPTO TMs'!A:A,D4779)&gt;0,"Yes","No"),"")</f>
        <v/>
      </c>
      <c r="C4779" s="11"/>
      <c r="D4779" s="11"/>
      <c r="E4779" s="11"/>
      <c r="F4779" s="11"/>
      <c r="G4779" s="11"/>
      <c r="H4779" s="11"/>
      <c r="I4779" s="15"/>
    </row>
    <row r="4780" spans="1:9" ht="16.5">
      <c r="A4780" s="10" t="b">
        <v>0</v>
      </c>
      <c r="B4780" s="11" t="str">
        <f>IF(D4780&lt;&gt;"",IF(COUNTIF('USPTO TMs'!A:A,D4780)&gt;0,"Yes","No"),"")</f>
        <v/>
      </c>
      <c r="C4780" s="11"/>
      <c r="D4780" s="11"/>
      <c r="E4780" s="11"/>
      <c r="F4780" s="11"/>
      <c r="G4780" s="11"/>
      <c r="H4780" s="11"/>
      <c r="I4780" s="15"/>
    </row>
    <row r="4781" spans="1:9" ht="16.5">
      <c r="A4781" s="10" t="b">
        <v>0</v>
      </c>
      <c r="B4781" s="11" t="str">
        <f>IF(D4781&lt;&gt;"",IF(COUNTIF('USPTO TMs'!A:A,D4781)&gt;0,"Yes","No"),"")</f>
        <v/>
      </c>
      <c r="C4781" s="11"/>
      <c r="D4781" s="11"/>
      <c r="E4781" s="11"/>
      <c r="F4781" s="11"/>
      <c r="G4781" s="11"/>
      <c r="H4781" s="11"/>
      <c r="I4781" s="15"/>
    </row>
    <row r="4782" spans="1:9" ht="16.5">
      <c r="A4782" s="10" t="b">
        <v>0</v>
      </c>
      <c r="B4782" s="11" t="str">
        <f>IF(D4782&lt;&gt;"",IF(COUNTIF('USPTO TMs'!A:A,D4782)&gt;0,"Yes","No"),"")</f>
        <v/>
      </c>
      <c r="C4782" s="11"/>
      <c r="D4782" s="11"/>
      <c r="E4782" s="11"/>
      <c r="F4782" s="11"/>
      <c r="G4782" s="11"/>
      <c r="H4782" s="11"/>
      <c r="I4782" s="15"/>
    </row>
    <row r="4783" spans="1:9" ht="16.5">
      <c r="A4783" s="10" t="b">
        <v>0</v>
      </c>
      <c r="B4783" s="11" t="str">
        <f>IF(D4783&lt;&gt;"",IF(COUNTIF('USPTO TMs'!A:A,D4783)&gt;0,"Yes","No"),"")</f>
        <v/>
      </c>
      <c r="C4783" s="11"/>
      <c r="D4783" s="11"/>
      <c r="E4783" s="11"/>
      <c r="F4783" s="11"/>
      <c r="G4783" s="11"/>
      <c r="H4783" s="11"/>
      <c r="I4783" s="15"/>
    </row>
    <row r="4784" spans="1:9" ht="16.5">
      <c r="A4784" s="10" t="b">
        <v>0</v>
      </c>
      <c r="B4784" s="11" t="str">
        <f>IF(D4784&lt;&gt;"",IF(COUNTIF('USPTO TMs'!A:A,D4784)&gt;0,"Yes","No"),"")</f>
        <v/>
      </c>
      <c r="C4784" s="11"/>
      <c r="D4784" s="11"/>
      <c r="E4784" s="11"/>
      <c r="F4784" s="11"/>
      <c r="G4784" s="11"/>
      <c r="H4784" s="11"/>
      <c r="I4784" s="15"/>
    </row>
    <row r="4785" spans="1:9" ht="16.5">
      <c r="A4785" s="10" t="b">
        <v>0</v>
      </c>
      <c r="B4785" s="11" t="str">
        <f>IF(D4785&lt;&gt;"",IF(COUNTIF('USPTO TMs'!A:A,D4785)&gt;0,"Yes","No"),"")</f>
        <v/>
      </c>
      <c r="C4785" s="11"/>
      <c r="D4785" s="11"/>
      <c r="E4785" s="11"/>
      <c r="F4785" s="11"/>
      <c r="G4785" s="11"/>
      <c r="H4785" s="11"/>
      <c r="I4785" s="15"/>
    </row>
    <row r="4786" spans="1:9" ht="16.5">
      <c r="A4786" s="10" t="b">
        <v>0</v>
      </c>
      <c r="B4786" s="11" t="str">
        <f>IF(D4786&lt;&gt;"",IF(COUNTIF('USPTO TMs'!A:A,D4786)&gt;0,"Yes","No"),"")</f>
        <v/>
      </c>
      <c r="C4786" s="11"/>
      <c r="D4786" s="11"/>
      <c r="E4786" s="11"/>
      <c r="F4786" s="11"/>
      <c r="G4786" s="11"/>
      <c r="H4786" s="11"/>
      <c r="I4786" s="15"/>
    </row>
    <row r="4787" spans="1:9" ht="16.5">
      <c r="A4787" s="10" t="b">
        <v>0</v>
      </c>
      <c r="B4787" s="11" t="str">
        <f>IF(D4787&lt;&gt;"",IF(COUNTIF('USPTO TMs'!A:A,D4787)&gt;0,"Yes","No"),"")</f>
        <v/>
      </c>
      <c r="C4787" s="11"/>
      <c r="D4787" s="11"/>
      <c r="E4787" s="11"/>
      <c r="F4787" s="11"/>
      <c r="G4787" s="11"/>
      <c r="H4787" s="11"/>
      <c r="I4787" s="15"/>
    </row>
    <row r="4788" spans="1:9" ht="16.5">
      <c r="A4788" s="10" t="b">
        <v>0</v>
      </c>
      <c r="B4788" s="11" t="str">
        <f>IF(D4788&lt;&gt;"",IF(COUNTIF('USPTO TMs'!A:A,D4788)&gt;0,"Yes","No"),"")</f>
        <v/>
      </c>
      <c r="C4788" s="11"/>
      <c r="D4788" s="11"/>
      <c r="E4788" s="11"/>
      <c r="F4788" s="11"/>
      <c r="G4788" s="11"/>
      <c r="H4788" s="11"/>
      <c r="I4788" s="15"/>
    </row>
    <row r="4789" spans="1:9" ht="16.5">
      <c r="A4789" s="10" t="b">
        <v>0</v>
      </c>
      <c r="B4789" s="11" t="str">
        <f>IF(D4789&lt;&gt;"",IF(COUNTIF('USPTO TMs'!A:A,D4789)&gt;0,"Yes","No"),"")</f>
        <v/>
      </c>
      <c r="C4789" s="11"/>
      <c r="D4789" s="11"/>
      <c r="E4789" s="11"/>
      <c r="F4789" s="11"/>
      <c r="G4789" s="11"/>
      <c r="H4789" s="11"/>
      <c r="I4789" s="15"/>
    </row>
    <row r="4790" spans="1:9" ht="16.5">
      <c r="A4790" s="10" t="b">
        <v>0</v>
      </c>
      <c r="B4790" s="11" t="str">
        <f>IF(D4790&lt;&gt;"",IF(COUNTIF('USPTO TMs'!A:A,D4790)&gt;0,"Yes","No"),"")</f>
        <v/>
      </c>
      <c r="C4790" s="11"/>
      <c r="D4790" s="11"/>
      <c r="E4790" s="11"/>
      <c r="F4790" s="11"/>
      <c r="G4790" s="11"/>
      <c r="H4790" s="11"/>
      <c r="I4790" s="15"/>
    </row>
    <row r="4791" spans="1:9" ht="16.5">
      <c r="A4791" s="10" t="b">
        <v>0</v>
      </c>
      <c r="B4791" s="11" t="str">
        <f>IF(D4791&lt;&gt;"",IF(COUNTIF('USPTO TMs'!A:A,D4791)&gt;0,"Yes","No"),"")</f>
        <v/>
      </c>
      <c r="C4791" s="11"/>
      <c r="D4791" s="11"/>
      <c r="E4791" s="11"/>
      <c r="F4791" s="11"/>
      <c r="G4791" s="11"/>
      <c r="H4791" s="11"/>
      <c r="I4791" s="15"/>
    </row>
    <row r="4792" spans="1:9" ht="16.5">
      <c r="A4792" s="10" t="b">
        <v>0</v>
      </c>
      <c r="B4792" s="11" t="str">
        <f>IF(D4792&lt;&gt;"",IF(COUNTIF('USPTO TMs'!A:A,D4792)&gt;0,"Yes","No"),"")</f>
        <v/>
      </c>
      <c r="C4792" s="11"/>
      <c r="D4792" s="11"/>
      <c r="E4792" s="11"/>
      <c r="F4792" s="11"/>
      <c r="G4792" s="11"/>
      <c r="H4792" s="11"/>
      <c r="I4792" s="15"/>
    </row>
    <row r="4793" spans="1:9" ht="16.5">
      <c r="A4793" s="10" t="b">
        <v>0</v>
      </c>
      <c r="B4793" s="11" t="str">
        <f>IF(D4793&lt;&gt;"",IF(COUNTIF('USPTO TMs'!A:A,D4793)&gt;0,"Yes","No"),"")</f>
        <v/>
      </c>
      <c r="C4793" s="11"/>
      <c r="D4793" s="11"/>
      <c r="E4793" s="11"/>
      <c r="F4793" s="11"/>
      <c r="G4793" s="11"/>
      <c r="H4793" s="11"/>
      <c r="I4793" s="15"/>
    </row>
    <row r="4794" spans="1:9" ht="16.5">
      <c r="A4794" s="10" t="b">
        <v>0</v>
      </c>
      <c r="B4794" s="11" t="str">
        <f>IF(D4794&lt;&gt;"",IF(COUNTIF('USPTO TMs'!A:A,D4794)&gt;0,"Yes","No"),"")</f>
        <v/>
      </c>
      <c r="C4794" s="11"/>
      <c r="D4794" s="11"/>
      <c r="E4794" s="11"/>
      <c r="F4794" s="11"/>
      <c r="G4794" s="11"/>
      <c r="H4794" s="11"/>
      <c r="I4794" s="15"/>
    </row>
    <row r="4795" spans="1:9" ht="16.5">
      <c r="A4795" s="10" t="b">
        <v>0</v>
      </c>
      <c r="B4795" s="11" t="str">
        <f>IF(D4795&lt;&gt;"",IF(COUNTIF('USPTO TMs'!A:A,D4795)&gt;0,"Yes","No"),"")</f>
        <v/>
      </c>
      <c r="C4795" s="11"/>
      <c r="D4795" s="11"/>
      <c r="E4795" s="11"/>
      <c r="F4795" s="11"/>
      <c r="G4795" s="11"/>
      <c r="H4795" s="11"/>
      <c r="I4795" s="15"/>
    </row>
    <row r="4796" spans="1:9" ht="16.5">
      <c r="A4796" s="10" t="b">
        <v>0</v>
      </c>
      <c r="B4796" s="11" t="str">
        <f>IF(D4796&lt;&gt;"",IF(COUNTIF('USPTO TMs'!A:A,D4796)&gt;0,"Yes","No"),"")</f>
        <v/>
      </c>
      <c r="C4796" s="11"/>
      <c r="D4796" s="11"/>
      <c r="E4796" s="11"/>
      <c r="F4796" s="11"/>
      <c r="G4796" s="11"/>
      <c r="H4796" s="11"/>
      <c r="I4796" s="15"/>
    </row>
    <row r="4797" spans="1:9" ht="16.5">
      <c r="A4797" s="10" t="b">
        <v>0</v>
      </c>
      <c r="B4797" s="11" t="str">
        <f>IF(D4797&lt;&gt;"",IF(COUNTIF('USPTO TMs'!A:A,D4797)&gt;0,"Yes","No"),"")</f>
        <v/>
      </c>
      <c r="C4797" s="11"/>
      <c r="D4797" s="11"/>
      <c r="E4797" s="11"/>
      <c r="F4797" s="11"/>
      <c r="G4797" s="11"/>
      <c r="H4797" s="11"/>
      <c r="I4797" s="15"/>
    </row>
    <row r="4798" spans="1:9" ht="16.5">
      <c r="A4798" s="10" t="b">
        <v>0</v>
      </c>
      <c r="B4798" s="11" t="str">
        <f>IF(D4798&lt;&gt;"",IF(COUNTIF('USPTO TMs'!A:A,D4798)&gt;0,"Yes","No"),"")</f>
        <v/>
      </c>
      <c r="C4798" s="11"/>
      <c r="D4798" s="11"/>
      <c r="E4798" s="11"/>
      <c r="F4798" s="11"/>
      <c r="G4798" s="11"/>
      <c r="H4798" s="11"/>
      <c r="I4798" s="15"/>
    </row>
    <row r="4799" spans="1:9" ht="16.5">
      <c r="A4799" s="10" t="b">
        <v>0</v>
      </c>
      <c r="B4799" s="11" t="str">
        <f>IF(D4799&lt;&gt;"",IF(COUNTIF('USPTO TMs'!A:A,D4799)&gt;0,"Yes","No"),"")</f>
        <v/>
      </c>
      <c r="C4799" s="11"/>
      <c r="D4799" s="11"/>
      <c r="E4799" s="11"/>
      <c r="F4799" s="11"/>
      <c r="G4799" s="11"/>
      <c r="H4799" s="11"/>
      <c r="I4799" s="15"/>
    </row>
    <row r="4800" spans="1:9" ht="16.5">
      <c r="A4800" s="10" t="b">
        <v>0</v>
      </c>
      <c r="B4800" s="11" t="str">
        <f>IF(D4800&lt;&gt;"",IF(COUNTIF('USPTO TMs'!A:A,D4800)&gt;0,"Yes","No"),"")</f>
        <v/>
      </c>
      <c r="C4800" s="11"/>
      <c r="D4800" s="11"/>
      <c r="E4800" s="11"/>
      <c r="F4800" s="11"/>
      <c r="G4800" s="11"/>
      <c r="H4800" s="11"/>
      <c r="I4800" s="15"/>
    </row>
    <row r="4801" spans="1:9" ht="16.5">
      <c r="A4801" s="10" t="b">
        <v>0</v>
      </c>
      <c r="B4801" s="11" t="str">
        <f>IF(D4801&lt;&gt;"",IF(COUNTIF('USPTO TMs'!A:A,D4801)&gt;0,"Yes","No"),"")</f>
        <v/>
      </c>
      <c r="C4801" s="11"/>
      <c r="D4801" s="11"/>
      <c r="E4801" s="11"/>
      <c r="F4801" s="11"/>
      <c r="G4801" s="11"/>
      <c r="H4801" s="11"/>
      <c r="I4801" s="15"/>
    </row>
    <row r="4802" spans="1:9" ht="16.5">
      <c r="A4802" s="10" t="b">
        <v>0</v>
      </c>
      <c r="B4802" s="11" t="str">
        <f>IF(D4802&lt;&gt;"",IF(COUNTIF('USPTO TMs'!A:A,D4802)&gt;0,"Yes","No"),"")</f>
        <v/>
      </c>
      <c r="C4802" s="11"/>
      <c r="D4802" s="11"/>
      <c r="E4802" s="11"/>
      <c r="F4802" s="11"/>
      <c r="G4802" s="11"/>
      <c r="H4802" s="11"/>
      <c r="I4802" s="15"/>
    </row>
    <row r="4803" spans="1:9" ht="16.5">
      <c r="A4803" s="10" t="b">
        <v>0</v>
      </c>
      <c r="B4803" s="11" t="str">
        <f>IF(D4803&lt;&gt;"",IF(COUNTIF('USPTO TMs'!A:A,D4803)&gt;0,"Yes","No"),"")</f>
        <v/>
      </c>
      <c r="C4803" s="11"/>
      <c r="D4803" s="11"/>
      <c r="E4803" s="11"/>
      <c r="F4803" s="11"/>
      <c r="G4803" s="11"/>
      <c r="H4803" s="11"/>
      <c r="I4803" s="15"/>
    </row>
    <row r="4804" spans="1:9" ht="16.5">
      <c r="A4804" s="10" t="b">
        <v>0</v>
      </c>
      <c r="B4804" s="11" t="str">
        <f>IF(D4804&lt;&gt;"",IF(COUNTIF('USPTO TMs'!A:A,D4804)&gt;0,"Yes","No"),"")</f>
        <v/>
      </c>
      <c r="C4804" s="11"/>
      <c r="D4804" s="11"/>
      <c r="E4804" s="11"/>
      <c r="F4804" s="11"/>
      <c r="G4804" s="11"/>
      <c r="H4804" s="11"/>
      <c r="I4804" s="15"/>
    </row>
    <row r="4805" spans="1:9" ht="16.5">
      <c r="A4805" s="10" t="b">
        <v>0</v>
      </c>
      <c r="B4805" s="11" t="str">
        <f>IF(D4805&lt;&gt;"",IF(COUNTIF('USPTO TMs'!A:A,D4805)&gt;0,"Yes","No"),"")</f>
        <v/>
      </c>
      <c r="C4805" s="11"/>
      <c r="D4805" s="11"/>
      <c r="E4805" s="11"/>
      <c r="F4805" s="11"/>
      <c r="G4805" s="11"/>
      <c r="H4805" s="11"/>
      <c r="I4805" s="15"/>
    </row>
    <row r="4806" spans="1:9" ht="16.5">
      <c r="A4806" s="10" t="b">
        <v>0</v>
      </c>
      <c r="B4806" s="11" t="str">
        <f>IF(D4806&lt;&gt;"",IF(COUNTIF('USPTO TMs'!A:A,D4806)&gt;0,"Yes","No"),"")</f>
        <v/>
      </c>
      <c r="C4806" s="11"/>
      <c r="D4806" s="11"/>
      <c r="E4806" s="11"/>
      <c r="F4806" s="11"/>
      <c r="G4806" s="11"/>
      <c r="H4806" s="11"/>
      <c r="I4806" s="15"/>
    </row>
    <row r="4807" spans="1:9" ht="16.5">
      <c r="A4807" s="10" t="b">
        <v>0</v>
      </c>
      <c r="B4807" s="11" t="str">
        <f>IF(D4807&lt;&gt;"",IF(COUNTIF('USPTO TMs'!A:A,D4807)&gt;0,"Yes","No"),"")</f>
        <v/>
      </c>
      <c r="C4807" s="11"/>
      <c r="D4807" s="11"/>
      <c r="E4807" s="11"/>
      <c r="F4807" s="11"/>
      <c r="G4807" s="11"/>
      <c r="H4807" s="11"/>
      <c r="I4807" s="15"/>
    </row>
    <row r="4808" spans="1:9" ht="16.5">
      <c r="A4808" s="10" t="b">
        <v>0</v>
      </c>
      <c r="B4808" s="11" t="str">
        <f>IF(D4808&lt;&gt;"",IF(COUNTIF('USPTO TMs'!A:A,D4808)&gt;0,"Yes","No"),"")</f>
        <v/>
      </c>
      <c r="C4808" s="11"/>
      <c r="D4808" s="11"/>
      <c r="E4808" s="11"/>
      <c r="F4808" s="11"/>
      <c r="G4808" s="11"/>
      <c r="H4808" s="11"/>
      <c r="I4808" s="15"/>
    </row>
    <row r="4809" spans="1:9" ht="16.5">
      <c r="A4809" s="10" t="b">
        <v>0</v>
      </c>
      <c r="B4809" s="11" t="str">
        <f>IF(D4809&lt;&gt;"",IF(COUNTIF('USPTO TMs'!A:A,D4809)&gt;0,"Yes","No"),"")</f>
        <v/>
      </c>
      <c r="C4809" s="11"/>
      <c r="D4809" s="11"/>
      <c r="E4809" s="11"/>
      <c r="F4809" s="11"/>
      <c r="G4809" s="11"/>
      <c r="H4809" s="11"/>
      <c r="I4809" s="15"/>
    </row>
    <row r="4810" spans="1:9" ht="16.5">
      <c r="A4810" s="10" t="b">
        <v>0</v>
      </c>
      <c r="B4810" s="11" t="str">
        <f>IF(D4810&lt;&gt;"",IF(COUNTIF('USPTO TMs'!A:A,D4810)&gt;0,"Yes","No"),"")</f>
        <v/>
      </c>
      <c r="C4810" s="11"/>
      <c r="D4810" s="11"/>
      <c r="E4810" s="11"/>
      <c r="F4810" s="11"/>
      <c r="G4810" s="11"/>
      <c r="H4810" s="11"/>
      <c r="I4810" s="15"/>
    </row>
    <row r="4811" spans="1:9" ht="16.5">
      <c r="A4811" s="10" t="b">
        <v>0</v>
      </c>
      <c r="B4811" s="11" t="str">
        <f>IF(D4811&lt;&gt;"",IF(COUNTIF('USPTO TMs'!A:A,D4811)&gt;0,"Yes","No"),"")</f>
        <v/>
      </c>
      <c r="C4811" s="11"/>
      <c r="D4811" s="11"/>
      <c r="E4811" s="11"/>
      <c r="F4811" s="11"/>
      <c r="G4811" s="11"/>
      <c r="H4811" s="11"/>
      <c r="I4811" s="15"/>
    </row>
    <row r="4812" spans="1:9" ht="16.5">
      <c r="A4812" s="10" t="b">
        <v>0</v>
      </c>
      <c r="B4812" s="11" t="str">
        <f>IF(D4812&lt;&gt;"",IF(COUNTIF('USPTO TMs'!A:A,D4812)&gt;0,"Yes","No"),"")</f>
        <v/>
      </c>
      <c r="C4812" s="11"/>
      <c r="D4812" s="11"/>
      <c r="E4812" s="11"/>
      <c r="F4812" s="11"/>
      <c r="G4812" s="11"/>
      <c r="H4812" s="11"/>
      <c r="I4812" s="15"/>
    </row>
    <row r="4813" spans="1:9" ht="16.5">
      <c r="A4813" s="10" t="b">
        <v>0</v>
      </c>
      <c r="B4813" s="11" t="str">
        <f>IF(D4813&lt;&gt;"",IF(COUNTIF('USPTO TMs'!A:A,D4813)&gt;0,"Yes","No"),"")</f>
        <v/>
      </c>
      <c r="C4813" s="11"/>
      <c r="D4813" s="11"/>
      <c r="E4813" s="11"/>
      <c r="F4813" s="11"/>
      <c r="G4813" s="11"/>
      <c r="H4813" s="11"/>
      <c r="I4813" s="15"/>
    </row>
    <row r="4814" spans="1:9" ht="16.5">
      <c r="A4814" s="10" t="b">
        <v>0</v>
      </c>
      <c r="B4814" s="11" t="str">
        <f>IF(D4814&lt;&gt;"",IF(COUNTIF('USPTO TMs'!A:A,D4814)&gt;0,"Yes","No"),"")</f>
        <v/>
      </c>
      <c r="C4814" s="11"/>
      <c r="D4814" s="11"/>
      <c r="E4814" s="11"/>
      <c r="F4814" s="11"/>
      <c r="G4814" s="11"/>
      <c r="H4814" s="11"/>
      <c r="I4814" s="15"/>
    </row>
    <row r="4815" spans="1:9" ht="16.5">
      <c r="A4815" s="10" t="b">
        <v>0</v>
      </c>
      <c r="B4815" s="11" t="str">
        <f>IF(D4815&lt;&gt;"",IF(COUNTIF('USPTO TMs'!A:A,D4815)&gt;0,"Yes","No"),"")</f>
        <v/>
      </c>
      <c r="C4815" s="11"/>
      <c r="D4815" s="11"/>
      <c r="E4815" s="11"/>
      <c r="F4815" s="11"/>
      <c r="G4815" s="11"/>
      <c r="H4815" s="11"/>
      <c r="I4815" s="15"/>
    </row>
    <row r="4816" spans="1:9" ht="16.5">
      <c r="A4816" s="10" t="b">
        <v>0</v>
      </c>
      <c r="B4816" s="11" t="str">
        <f>IF(D4816&lt;&gt;"",IF(COUNTIF('USPTO TMs'!A:A,D4816)&gt;0,"Yes","No"),"")</f>
        <v/>
      </c>
      <c r="C4816" s="11"/>
      <c r="D4816" s="11"/>
      <c r="E4816" s="11"/>
      <c r="F4816" s="11"/>
      <c r="G4816" s="11"/>
      <c r="H4816" s="11"/>
      <c r="I4816" s="15"/>
    </row>
    <row r="4817" spans="1:9" ht="16.5">
      <c r="A4817" s="10" t="b">
        <v>0</v>
      </c>
      <c r="B4817" s="11" t="str">
        <f>IF(D4817&lt;&gt;"",IF(COUNTIF('USPTO TMs'!A:A,D4817)&gt;0,"Yes","No"),"")</f>
        <v/>
      </c>
      <c r="C4817" s="11"/>
      <c r="D4817" s="11"/>
      <c r="E4817" s="11"/>
      <c r="F4817" s="11"/>
      <c r="G4817" s="11"/>
      <c r="H4817" s="11"/>
      <c r="I4817" s="15"/>
    </row>
    <row r="4818" spans="1:9" ht="16.5">
      <c r="A4818" s="10" t="b">
        <v>0</v>
      </c>
      <c r="B4818" s="11" t="str">
        <f>IF(D4818&lt;&gt;"",IF(COUNTIF('USPTO TMs'!A:A,D4818)&gt;0,"Yes","No"),"")</f>
        <v/>
      </c>
      <c r="C4818" s="11"/>
      <c r="D4818" s="11"/>
      <c r="E4818" s="11"/>
      <c r="F4818" s="11"/>
      <c r="G4818" s="11"/>
      <c r="H4818" s="11"/>
      <c r="I4818" s="15"/>
    </row>
    <row r="4819" spans="1:9" ht="16.5">
      <c r="A4819" s="10" t="b">
        <v>0</v>
      </c>
      <c r="B4819" s="11" t="str">
        <f>IF(D4819&lt;&gt;"",IF(COUNTIF('USPTO TMs'!A:A,D4819)&gt;0,"Yes","No"),"")</f>
        <v/>
      </c>
      <c r="C4819" s="11"/>
      <c r="D4819" s="11"/>
      <c r="E4819" s="11"/>
      <c r="F4819" s="11"/>
      <c r="G4819" s="11"/>
      <c r="H4819" s="11"/>
      <c r="I4819" s="15"/>
    </row>
    <row r="4820" spans="1:9" ht="16.5">
      <c r="A4820" s="10" t="b">
        <v>0</v>
      </c>
      <c r="B4820" s="11" t="str">
        <f>IF(D4820&lt;&gt;"",IF(COUNTIF('USPTO TMs'!A:A,D4820)&gt;0,"Yes","No"),"")</f>
        <v/>
      </c>
      <c r="C4820" s="11"/>
      <c r="D4820" s="11"/>
      <c r="E4820" s="11"/>
      <c r="F4820" s="11"/>
      <c r="G4820" s="11"/>
      <c r="H4820" s="11"/>
      <c r="I4820" s="15"/>
    </row>
    <row r="4821" spans="1:9" ht="16.5">
      <c r="A4821" s="10" t="b">
        <v>0</v>
      </c>
      <c r="B4821" s="11" t="str">
        <f>IF(D4821&lt;&gt;"",IF(COUNTIF('USPTO TMs'!A:A,D4821)&gt;0,"Yes","No"),"")</f>
        <v/>
      </c>
      <c r="C4821" s="11"/>
      <c r="D4821" s="11"/>
      <c r="E4821" s="11"/>
      <c r="F4821" s="11"/>
      <c r="G4821" s="11"/>
      <c r="H4821" s="11"/>
      <c r="I4821" s="15"/>
    </row>
    <row r="4822" spans="1:9" ht="16.5">
      <c r="A4822" s="10" t="b">
        <v>0</v>
      </c>
      <c r="B4822" s="11" t="str">
        <f>IF(D4822&lt;&gt;"",IF(COUNTIF('USPTO TMs'!A:A,D4822)&gt;0,"Yes","No"),"")</f>
        <v/>
      </c>
      <c r="C4822" s="11"/>
      <c r="D4822" s="11"/>
      <c r="E4822" s="11"/>
      <c r="F4822" s="11"/>
      <c r="G4822" s="11"/>
      <c r="H4822" s="11"/>
      <c r="I4822" s="15"/>
    </row>
    <row r="4823" spans="1:9" ht="16.5">
      <c r="A4823" s="10" t="b">
        <v>0</v>
      </c>
      <c r="B4823" s="11" t="str">
        <f>IF(D4823&lt;&gt;"",IF(COUNTIF('USPTO TMs'!A:A,D4823)&gt;0,"Yes","No"),"")</f>
        <v/>
      </c>
      <c r="C4823" s="11"/>
      <c r="D4823" s="11"/>
      <c r="E4823" s="11"/>
      <c r="F4823" s="11"/>
      <c r="G4823" s="11"/>
      <c r="H4823" s="11"/>
      <c r="I4823" s="15"/>
    </row>
    <row r="4824" spans="1:9" ht="16.5">
      <c r="A4824" s="10" t="b">
        <v>0</v>
      </c>
      <c r="B4824" s="11" t="str">
        <f>IF(D4824&lt;&gt;"",IF(COUNTIF('USPTO TMs'!A:A,D4824)&gt;0,"Yes","No"),"")</f>
        <v/>
      </c>
      <c r="C4824" s="11"/>
      <c r="D4824" s="11"/>
      <c r="E4824" s="11"/>
      <c r="F4824" s="11"/>
      <c r="G4824" s="11"/>
      <c r="H4824" s="11"/>
      <c r="I4824" s="15"/>
    </row>
    <row r="4825" spans="1:9" ht="16.5">
      <c r="A4825" s="10" t="b">
        <v>0</v>
      </c>
      <c r="B4825" s="11" t="str">
        <f>IF(D4825&lt;&gt;"",IF(COUNTIF('USPTO TMs'!A:A,D4825)&gt;0,"Yes","No"),"")</f>
        <v/>
      </c>
      <c r="C4825" s="11"/>
      <c r="D4825" s="11"/>
      <c r="E4825" s="11"/>
      <c r="F4825" s="11"/>
      <c r="G4825" s="11"/>
      <c r="H4825" s="11"/>
      <c r="I4825" s="15"/>
    </row>
    <row r="4826" spans="1:9" ht="16.5">
      <c r="A4826" s="10" t="b">
        <v>0</v>
      </c>
      <c r="B4826" s="11" t="str">
        <f>IF(D4826&lt;&gt;"",IF(COUNTIF('USPTO TMs'!A:A,D4826)&gt;0,"Yes","No"),"")</f>
        <v/>
      </c>
      <c r="C4826" s="11"/>
      <c r="D4826" s="11"/>
      <c r="E4826" s="11"/>
      <c r="F4826" s="11"/>
      <c r="G4826" s="11"/>
      <c r="H4826" s="11"/>
      <c r="I4826" s="15"/>
    </row>
    <row r="4827" spans="1:9" ht="16.5">
      <c r="A4827" s="10" t="b">
        <v>0</v>
      </c>
      <c r="B4827" s="11" t="str">
        <f>IF(D4827&lt;&gt;"",IF(COUNTIF('USPTO TMs'!A:A,D4827)&gt;0,"Yes","No"),"")</f>
        <v/>
      </c>
      <c r="C4827" s="11"/>
      <c r="D4827" s="11"/>
      <c r="E4827" s="11"/>
      <c r="F4827" s="11"/>
      <c r="G4827" s="11"/>
      <c r="H4827" s="11"/>
      <c r="I4827" s="15"/>
    </row>
    <row r="4828" spans="1:9" ht="16.5">
      <c r="A4828" s="10" t="b">
        <v>0</v>
      </c>
      <c r="B4828" s="11" t="str">
        <f>IF(D4828&lt;&gt;"",IF(COUNTIF('USPTO TMs'!A:A,D4828)&gt;0,"Yes","No"),"")</f>
        <v/>
      </c>
      <c r="C4828" s="11"/>
      <c r="D4828" s="11"/>
      <c r="E4828" s="11"/>
      <c r="F4828" s="11"/>
      <c r="G4828" s="11"/>
      <c r="H4828" s="11"/>
      <c r="I4828" s="15"/>
    </row>
    <row r="4829" spans="1:9" ht="16.5">
      <c r="A4829" s="10" t="b">
        <v>0</v>
      </c>
      <c r="B4829" s="11" t="str">
        <f>IF(D4829&lt;&gt;"",IF(COUNTIF('USPTO TMs'!A:A,D4829)&gt;0,"Yes","No"),"")</f>
        <v/>
      </c>
      <c r="C4829" s="11"/>
      <c r="D4829" s="11"/>
      <c r="E4829" s="11"/>
      <c r="F4829" s="11"/>
      <c r="G4829" s="11"/>
      <c r="H4829" s="11"/>
      <c r="I4829" s="15"/>
    </row>
    <row r="4830" spans="1:9" ht="16.5">
      <c r="A4830" s="10" t="b">
        <v>0</v>
      </c>
      <c r="B4830" s="11" t="str">
        <f>IF(D4830&lt;&gt;"",IF(COUNTIF('USPTO TMs'!A:A,D4830)&gt;0,"Yes","No"),"")</f>
        <v/>
      </c>
      <c r="C4830" s="11"/>
      <c r="D4830" s="11"/>
      <c r="E4830" s="11"/>
      <c r="F4830" s="11"/>
      <c r="G4830" s="11"/>
      <c r="H4830" s="11"/>
      <c r="I4830" s="15"/>
    </row>
    <row r="4831" spans="1:9" ht="16.5">
      <c r="A4831" s="10" t="b">
        <v>0</v>
      </c>
      <c r="B4831" s="11" t="str">
        <f>IF(D4831&lt;&gt;"",IF(COUNTIF('USPTO TMs'!A:A,D4831)&gt;0,"Yes","No"),"")</f>
        <v/>
      </c>
      <c r="C4831" s="11"/>
      <c r="D4831" s="11"/>
      <c r="E4831" s="11"/>
      <c r="F4831" s="11"/>
      <c r="G4831" s="11"/>
      <c r="H4831" s="11"/>
      <c r="I4831" s="15"/>
    </row>
    <row r="4832" spans="1:9" ht="16.5">
      <c r="A4832" s="10" t="b">
        <v>0</v>
      </c>
      <c r="B4832" s="11" t="str">
        <f>IF(D4832&lt;&gt;"",IF(COUNTIF('USPTO TMs'!A:A,D4832)&gt;0,"Yes","No"),"")</f>
        <v/>
      </c>
      <c r="C4832" s="11"/>
      <c r="D4832" s="11"/>
      <c r="E4832" s="11"/>
      <c r="F4832" s="11"/>
      <c r="G4832" s="11"/>
      <c r="H4832" s="11"/>
      <c r="I4832" s="15"/>
    </row>
    <row r="4833" spans="1:9" ht="16.5">
      <c r="A4833" s="10" t="b">
        <v>0</v>
      </c>
      <c r="B4833" s="11" t="str">
        <f>IF(D4833&lt;&gt;"",IF(COUNTIF('USPTO TMs'!A:A,D4833)&gt;0,"Yes","No"),"")</f>
        <v/>
      </c>
      <c r="C4833" s="11"/>
      <c r="D4833" s="11"/>
      <c r="E4833" s="11"/>
      <c r="F4833" s="11"/>
      <c r="G4833" s="11"/>
      <c r="H4833" s="11"/>
      <c r="I4833" s="15"/>
    </row>
    <row r="4834" spans="1:9" ht="16.5">
      <c r="A4834" s="10" t="b">
        <v>0</v>
      </c>
      <c r="B4834" s="11" t="str">
        <f>IF(D4834&lt;&gt;"",IF(COUNTIF('USPTO TMs'!A:A,D4834)&gt;0,"Yes","No"),"")</f>
        <v/>
      </c>
      <c r="C4834" s="11"/>
      <c r="D4834" s="11"/>
      <c r="E4834" s="11"/>
      <c r="F4834" s="11"/>
      <c r="G4834" s="11"/>
      <c r="H4834" s="11"/>
      <c r="I4834" s="15"/>
    </row>
    <row r="4835" spans="1:9" ht="16.5">
      <c r="A4835" s="10" t="b">
        <v>0</v>
      </c>
      <c r="B4835" s="11" t="str">
        <f>IF(D4835&lt;&gt;"",IF(COUNTIF('USPTO TMs'!A:A,D4835)&gt;0,"Yes","No"),"")</f>
        <v/>
      </c>
      <c r="C4835" s="11"/>
      <c r="D4835" s="11"/>
      <c r="E4835" s="11"/>
      <c r="F4835" s="11"/>
      <c r="G4835" s="11"/>
      <c r="H4835" s="11"/>
      <c r="I4835" s="15"/>
    </row>
    <row r="4836" spans="1:9" ht="16.5">
      <c r="A4836" s="10" t="b">
        <v>0</v>
      </c>
      <c r="B4836" s="11" t="str">
        <f>IF(D4836&lt;&gt;"",IF(COUNTIF('USPTO TMs'!A:A,D4836)&gt;0,"Yes","No"),"")</f>
        <v/>
      </c>
      <c r="C4836" s="11"/>
      <c r="D4836" s="11"/>
      <c r="E4836" s="11"/>
      <c r="F4836" s="11"/>
      <c r="G4836" s="11"/>
      <c r="H4836" s="11"/>
      <c r="I4836" s="15"/>
    </row>
    <row r="4837" spans="1:9" ht="16.5">
      <c r="A4837" s="10" t="b">
        <v>0</v>
      </c>
      <c r="B4837" s="11" t="str">
        <f>IF(D4837&lt;&gt;"",IF(COUNTIF('USPTO TMs'!A:A,D4837)&gt;0,"Yes","No"),"")</f>
        <v/>
      </c>
      <c r="C4837" s="11"/>
      <c r="D4837" s="11"/>
      <c r="E4837" s="11"/>
      <c r="F4837" s="11"/>
      <c r="G4837" s="11"/>
      <c r="H4837" s="11"/>
      <c r="I4837" s="15"/>
    </row>
    <row r="4838" spans="1:9" ht="16.5">
      <c r="A4838" s="10" t="b">
        <v>0</v>
      </c>
      <c r="B4838" s="11" t="str">
        <f>IF(D4838&lt;&gt;"",IF(COUNTIF('USPTO TMs'!A:A,D4838)&gt;0,"Yes","No"),"")</f>
        <v/>
      </c>
      <c r="C4838" s="11"/>
      <c r="D4838" s="11"/>
      <c r="E4838" s="11"/>
      <c r="F4838" s="11"/>
      <c r="G4838" s="11"/>
      <c r="H4838" s="11"/>
      <c r="I4838" s="15"/>
    </row>
    <row r="4839" spans="1:9" ht="16.5">
      <c r="A4839" s="10" t="b">
        <v>0</v>
      </c>
      <c r="B4839" s="11" t="str">
        <f>IF(D4839&lt;&gt;"",IF(COUNTIF('USPTO TMs'!A:A,D4839)&gt;0,"Yes","No"),"")</f>
        <v/>
      </c>
      <c r="C4839" s="11"/>
      <c r="D4839" s="11"/>
      <c r="E4839" s="11"/>
      <c r="F4839" s="11"/>
      <c r="G4839" s="11"/>
      <c r="H4839" s="11"/>
      <c r="I4839" s="15"/>
    </row>
    <row r="4840" spans="1:9" ht="16.5">
      <c r="A4840" s="10" t="b">
        <v>0</v>
      </c>
      <c r="B4840" s="11" t="str">
        <f>IF(D4840&lt;&gt;"",IF(COUNTIF('USPTO TMs'!A:A,D4840)&gt;0,"Yes","No"),"")</f>
        <v/>
      </c>
      <c r="C4840" s="11"/>
      <c r="D4840" s="11"/>
      <c r="E4840" s="11"/>
      <c r="F4840" s="11"/>
      <c r="G4840" s="11"/>
      <c r="H4840" s="11"/>
      <c r="I4840" s="15"/>
    </row>
    <row r="4841" spans="1:9" ht="16.5">
      <c r="A4841" s="10" t="b">
        <v>0</v>
      </c>
      <c r="B4841" s="11" t="str">
        <f>IF(D4841&lt;&gt;"",IF(COUNTIF('USPTO TMs'!A:A,D4841)&gt;0,"Yes","No"),"")</f>
        <v/>
      </c>
      <c r="C4841" s="11"/>
      <c r="D4841" s="11"/>
      <c r="E4841" s="11"/>
      <c r="F4841" s="11"/>
      <c r="G4841" s="11"/>
      <c r="H4841" s="11"/>
      <c r="I4841" s="15"/>
    </row>
    <row r="4842" spans="1:9" ht="16.5">
      <c r="A4842" s="10" t="b">
        <v>0</v>
      </c>
      <c r="B4842" s="11" t="str">
        <f>IF(D4842&lt;&gt;"",IF(COUNTIF('USPTO TMs'!A:A,D4842)&gt;0,"Yes","No"),"")</f>
        <v/>
      </c>
      <c r="C4842" s="11"/>
      <c r="D4842" s="11"/>
      <c r="E4842" s="11"/>
      <c r="F4842" s="11"/>
      <c r="G4842" s="11"/>
      <c r="H4842" s="11"/>
      <c r="I4842" s="15"/>
    </row>
    <row r="4843" spans="1:9" ht="16.5">
      <c r="A4843" s="10" t="b">
        <v>0</v>
      </c>
      <c r="B4843" s="11" t="str">
        <f>IF(D4843&lt;&gt;"",IF(COUNTIF('USPTO TMs'!A:A,D4843)&gt;0,"Yes","No"),"")</f>
        <v/>
      </c>
      <c r="C4843" s="11"/>
      <c r="D4843" s="11"/>
      <c r="E4843" s="11"/>
      <c r="F4843" s="11"/>
      <c r="G4843" s="11"/>
      <c r="H4843" s="11"/>
      <c r="I4843" s="15"/>
    </row>
    <row r="4844" spans="1:9" ht="16.5">
      <c r="A4844" s="10" t="b">
        <v>0</v>
      </c>
      <c r="B4844" s="11" t="str">
        <f>IF(D4844&lt;&gt;"",IF(COUNTIF('USPTO TMs'!A:A,D4844)&gt;0,"Yes","No"),"")</f>
        <v/>
      </c>
      <c r="C4844" s="11"/>
      <c r="D4844" s="11"/>
      <c r="E4844" s="11"/>
      <c r="F4844" s="11"/>
      <c r="G4844" s="11"/>
      <c r="H4844" s="11"/>
      <c r="I4844" s="15"/>
    </row>
    <row r="4845" spans="1:9" ht="16.5">
      <c r="A4845" s="10" t="b">
        <v>0</v>
      </c>
      <c r="B4845" s="11" t="str">
        <f>IF(D4845&lt;&gt;"",IF(COUNTIF('USPTO TMs'!A:A,D4845)&gt;0,"Yes","No"),"")</f>
        <v/>
      </c>
      <c r="C4845" s="11"/>
      <c r="D4845" s="11"/>
      <c r="E4845" s="11"/>
      <c r="F4845" s="11"/>
      <c r="G4845" s="11"/>
      <c r="H4845" s="11"/>
      <c r="I4845" s="15"/>
    </row>
    <row r="4846" spans="1:9" ht="16.5">
      <c r="A4846" s="10" t="b">
        <v>0</v>
      </c>
      <c r="B4846" s="11" t="str">
        <f>IF(D4846&lt;&gt;"",IF(COUNTIF('USPTO TMs'!A:A,D4846)&gt;0,"Yes","No"),"")</f>
        <v/>
      </c>
      <c r="C4846" s="11"/>
      <c r="D4846" s="11"/>
      <c r="E4846" s="11"/>
      <c r="F4846" s="11"/>
      <c r="G4846" s="11"/>
      <c r="H4846" s="11"/>
      <c r="I4846" s="15"/>
    </row>
    <row r="4847" spans="1:9" ht="16.5">
      <c r="A4847" s="10" t="b">
        <v>0</v>
      </c>
      <c r="B4847" s="11" t="str">
        <f>IF(D4847&lt;&gt;"",IF(COUNTIF('USPTO TMs'!A:A,D4847)&gt;0,"Yes","No"),"")</f>
        <v/>
      </c>
      <c r="C4847" s="11"/>
      <c r="D4847" s="11"/>
      <c r="E4847" s="11"/>
      <c r="F4847" s="11"/>
      <c r="G4847" s="11"/>
      <c r="H4847" s="11"/>
      <c r="I4847" s="15"/>
    </row>
    <row r="4848" spans="1:9" ht="16.5">
      <c r="A4848" s="10" t="b">
        <v>0</v>
      </c>
      <c r="B4848" s="11" t="str">
        <f>IF(D4848&lt;&gt;"",IF(COUNTIF('USPTO TMs'!A:A,D4848)&gt;0,"Yes","No"),"")</f>
        <v/>
      </c>
      <c r="C4848" s="11"/>
      <c r="D4848" s="11"/>
      <c r="E4848" s="11"/>
      <c r="F4848" s="11"/>
      <c r="G4848" s="11"/>
      <c r="H4848" s="11"/>
      <c r="I4848" s="15"/>
    </row>
    <row r="4849" spans="1:9" ht="16.5">
      <c r="A4849" s="10" t="b">
        <v>0</v>
      </c>
      <c r="B4849" s="11" t="str">
        <f>IF(D4849&lt;&gt;"",IF(COUNTIF('USPTO TMs'!A:A,D4849)&gt;0,"Yes","No"),"")</f>
        <v/>
      </c>
      <c r="C4849" s="11"/>
      <c r="D4849" s="11"/>
      <c r="E4849" s="11"/>
      <c r="F4849" s="11"/>
      <c r="G4849" s="11"/>
      <c r="H4849" s="11"/>
      <c r="I4849" s="15"/>
    </row>
    <row r="4850" spans="1:9" ht="16.5">
      <c r="A4850" s="10" t="b">
        <v>0</v>
      </c>
      <c r="B4850" s="11" t="str">
        <f>IF(D4850&lt;&gt;"",IF(COUNTIF('USPTO TMs'!A:A,D4850)&gt;0,"Yes","No"),"")</f>
        <v/>
      </c>
      <c r="C4850" s="11"/>
      <c r="D4850" s="11"/>
      <c r="E4850" s="11"/>
      <c r="F4850" s="11"/>
      <c r="G4850" s="11"/>
      <c r="H4850" s="11"/>
      <c r="I4850" s="15"/>
    </row>
    <row r="4851" spans="1:9" ht="16.5">
      <c r="A4851" s="10" t="b">
        <v>0</v>
      </c>
      <c r="B4851" s="11" t="str">
        <f>IF(D4851&lt;&gt;"",IF(COUNTIF('USPTO TMs'!A:A,D4851)&gt;0,"Yes","No"),"")</f>
        <v/>
      </c>
      <c r="C4851" s="11"/>
      <c r="D4851" s="11"/>
      <c r="E4851" s="11"/>
      <c r="F4851" s="11"/>
      <c r="G4851" s="11"/>
      <c r="H4851" s="11"/>
      <c r="I4851" s="15"/>
    </row>
    <row r="4852" spans="1:9" ht="16.5">
      <c r="A4852" s="10" t="b">
        <v>0</v>
      </c>
      <c r="B4852" s="11" t="str">
        <f>IF(D4852&lt;&gt;"",IF(COUNTIF('USPTO TMs'!A:A,D4852)&gt;0,"Yes","No"),"")</f>
        <v/>
      </c>
      <c r="C4852" s="11"/>
      <c r="D4852" s="11"/>
      <c r="E4852" s="11"/>
      <c r="F4852" s="11"/>
      <c r="G4852" s="11"/>
      <c r="H4852" s="11"/>
      <c r="I4852" s="15"/>
    </row>
    <row r="4853" spans="1:9" ht="16.5">
      <c r="A4853" s="10" t="b">
        <v>0</v>
      </c>
      <c r="B4853" s="11" t="str">
        <f>IF(D4853&lt;&gt;"",IF(COUNTIF('USPTO TMs'!A:A,D4853)&gt;0,"Yes","No"),"")</f>
        <v/>
      </c>
      <c r="C4853" s="11"/>
      <c r="D4853" s="11"/>
      <c r="E4853" s="11"/>
      <c r="F4853" s="11"/>
      <c r="G4853" s="11"/>
      <c r="H4853" s="11"/>
      <c r="I4853" s="15"/>
    </row>
    <row r="4854" spans="1:9" ht="16.5">
      <c r="A4854" s="10" t="b">
        <v>0</v>
      </c>
      <c r="B4854" s="11" t="str">
        <f>IF(D4854&lt;&gt;"",IF(COUNTIF('USPTO TMs'!A:A,D4854)&gt;0,"Yes","No"),"")</f>
        <v/>
      </c>
      <c r="C4854" s="11"/>
      <c r="D4854" s="11"/>
      <c r="E4854" s="11"/>
      <c r="F4854" s="11"/>
      <c r="G4854" s="11"/>
      <c r="H4854" s="11"/>
      <c r="I4854" s="15"/>
    </row>
    <row r="4855" spans="1:9" ht="16.5">
      <c r="A4855" s="10" t="b">
        <v>0</v>
      </c>
      <c r="B4855" s="11" t="str">
        <f>IF(D4855&lt;&gt;"",IF(COUNTIF('USPTO TMs'!A:A,D4855)&gt;0,"Yes","No"),"")</f>
        <v/>
      </c>
      <c r="C4855" s="11"/>
      <c r="D4855" s="11"/>
      <c r="E4855" s="11"/>
      <c r="F4855" s="11"/>
      <c r="G4855" s="11"/>
      <c r="H4855" s="11"/>
      <c r="I4855" s="15"/>
    </row>
    <row r="4856" spans="1:9" ht="16.5">
      <c r="A4856" s="10" t="b">
        <v>0</v>
      </c>
      <c r="B4856" s="11" t="str">
        <f>IF(D4856&lt;&gt;"",IF(COUNTIF('USPTO TMs'!A:A,D4856)&gt;0,"Yes","No"),"")</f>
        <v/>
      </c>
      <c r="C4856" s="11"/>
      <c r="D4856" s="11"/>
      <c r="E4856" s="11"/>
      <c r="F4856" s="11"/>
      <c r="G4856" s="11"/>
      <c r="H4856" s="11"/>
      <c r="I4856" s="15"/>
    </row>
    <row r="4857" spans="1:9" ht="16.5">
      <c r="A4857" s="10" t="b">
        <v>0</v>
      </c>
      <c r="B4857" s="11" t="str">
        <f>IF(D4857&lt;&gt;"",IF(COUNTIF('USPTO TMs'!A:A,D4857)&gt;0,"Yes","No"),"")</f>
        <v/>
      </c>
      <c r="C4857" s="11"/>
      <c r="D4857" s="11"/>
      <c r="E4857" s="11"/>
      <c r="F4857" s="11"/>
      <c r="G4857" s="11"/>
      <c r="H4857" s="11"/>
      <c r="I4857" s="15"/>
    </row>
    <row r="4858" spans="1:9" ht="16.5">
      <c r="A4858" s="10" t="b">
        <v>0</v>
      </c>
      <c r="B4858" s="11" t="str">
        <f>IF(D4858&lt;&gt;"",IF(COUNTIF('USPTO TMs'!A:A,D4858)&gt;0,"Yes","No"),"")</f>
        <v/>
      </c>
      <c r="C4858" s="11"/>
      <c r="D4858" s="11"/>
      <c r="E4858" s="11"/>
      <c r="F4858" s="11"/>
      <c r="G4858" s="11"/>
      <c r="H4858" s="11"/>
      <c r="I4858" s="15"/>
    </row>
    <row r="4859" spans="1:9" ht="16.5">
      <c r="A4859" s="10" t="b">
        <v>0</v>
      </c>
      <c r="B4859" s="11" t="str">
        <f>IF(D4859&lt;&gt;"",IF(COUNTIF('USPTO TMs'!A:A,D4859)&gt;0,"Yes","No"),"")</f>
        <v/>
      </c>
      <c r="C4859" s="11"/>
      <c r="D4859" s="11"/>
      <c r="E4859" s="11"/>
      <c r="F4859" s="11"/>
      <c r="G4859" s="11"/>
      <c r="H4859" s="11"/>
      <c r="I4859" s="15"/>
    </row>
    <row r="4860" spans="1:9" ht="16.5">
      <c r="A4860" s="10" t="b">
        <v>0</v>
      </c>
      <c r="B4860" s="11" t="str">
        <f>IF(D4860&lt;&gt;"",IF(COUNTIF('USPTO TMs'!A:A,D4860)&gt;0,"Yes","No"),"")</f>
        <v/>
      </c>
      <c r="C4860" s="11"/>
      <c r="D4860" s="11"/>
      <c r="E4860" s="11"/>
      <c r="F4860" s="11"/>
      <c r="G4860" s="11"/>
      <c r="H4860" s="11"/>
      <c r="I4860" s="15"/>
    </row>
    <row r="4861" spans="1:9" ht="16.5">
      <c r="A4861" s="10" t="b">
        <v>0</v>
      </c>
      <c r="B4861" s="11" t="str">
        <f>IF(D4861&lt;&gt;"",IF(COUNTIF('USPTO TMs'!A:A,D4861)&gt;0,"Yes","No"),"")</f>
        <v/>
      </c>
      <c r="C4861" s="11"/>
      <c r="D4861" s="11"/>
      <c r="E4861" s="11"/>
      <c r="F4861" s="11"/>
      <c r="G4861" s="11"/>
      <c r="H4861" s="11"/>
      <c r="I4861" s="15"/>
    </row>
    <row r="4862" spans="1:9" ht="16.5">
      <c r="A4862" s="10" t="b">
        <v>0</v>
      </c>
      <c r="B4862" s="11" t="str">
        <f>IF(D4862&lt;&gt;"",IF(COUNTIF('USPTO TMs'!A:A,D4862)&gt;0,"Yes","No"),"")</f>
        <v/>
      </c>
      <c r="C4862" s="11"/>
      <c r="D4862" s="11"/>
      <c r="E4862" s="11"/>
      <c r="F4862" s="11"/>
      <c r="G4862" s="11"/>
      <c r="H4862" s="11"/>
      <c r="I4862" s="15"/>
    </row>
    <row r="4863" spans="1:9" ht="16.5">
      <c r="A4863" s="10" t="b">
        <v>0</v>
      </c>
      <c r="B4863" s="11" t="str">
        <f>IF(D4863&lt;&gt;"",IF(COUNTIF('USPTO TMs'!A:A,D4863)&gt;0,"Yes","No"),"")</f>
        <v/>
      </c>
      <c r="C4863" s="11"/>
      <c r="D4863" s="11"/>
      <c r="E4863" s="11"/>
      <c r="F4863" s="11"/>
      <c r="G4863" s="11"/>
      <c r="H4863" s="11"/>
      <c r="I4863" s="15"/>
    </row>
    <row r="4864" spans="1:9" ht="16.5">
      <c r="A4864" s="10" t="b">
        <v>0</v>
      </c>
      <c r="B4864" s="11" t="str">
        <f>IF(D4864&lt;&gt;"",IF(COUNTIF('USPTO TMs'!A:A,D4864)&gt;0,"Yes","No"),"")</f>
        <v/>
      </c>
      <c r="C4864" s="11"/>
      <c r="D4864" s="11"/>
      <c r="E4864" s="11"/>
      <c r="F4864" s="11"/>
      <c r="G4864" s="11"/>
      <c r="H4864" s="11"/>
      <c r="I4864" s="15"/>
    </row>
    <row r="4865" spans="1:9" ht="16.5">
      <c r="A4865" s="10" t="b">
        <v>0</v>
      </c>
      <c r="B4865" s="11" t="str">
        <f>IF(D4865&lt;&gt;"",IF(COUNTIF('USPTO TMs'!A:A,D4865)&gt;0,"Yes","No"),"")</f>
        <v/>
      </c>
      <c r="C4865" s="11"/>
      <c r="D4865" s="11"/>
      <c r="E4865" s="11"/>
      <c r="F4865" s="11"/>
      <c r="G4865" s="11"/>
      <c r="H4865" s="11"/>
      <c r="I4865" s="15"/>
    </row>
    <row r="4866" spans="1:9" ht="16.5">
      <c r="A4866" s="10" t="b">
        <v>0</v>
      </c>
      <c r="B4866" s="11" t="str">
        <f>IF(D4866&lt;&gt;"",IF(COUNTIF('USPTO TMs'!A:A,D4866)&gt;0,"Yes","No"),"")</f>
        <v/>
      </c>
      <c r="C4866" s="11"/>
      <c r="D4866" s="11"/>
      <c r="E4866" s="11"/>
      <c r="F4866" s="11"/>
      <c r="G4866" s="11"/>
      <c r="H4866" s="11"/>
      <c r="I4866" s="15"/>
    </row>
    <row r="4867" spans="1:9" ht="16.5">
      <c r="A4867" s="10" t="b">
        <v>0</v>
      </c>
      <c r="B4867" s="11" t="str">
        <f>IF(D4867&lt;&gt;"",IF(COUNTIF('USPTO TMs'!A:A,D4867)&gt;0,"Yes","No"),"")</f>
        <v/>
      </c>
      <c r="C4867" s="11"/>
      <c r="D4867" s="11"/>
      <c r="E4867" s="11"/>
      <c r="F4867" s="11"/>
      <c r="G4867" s="11"/>
      <c r="H4867" s="11"/>
      <c r="I4867" s="15"/>
    </row>
    <row r="4868" spans="1:9" ht="16.5">
      <c r="A4868" s="10" t="b">
        <v>0</v>
      </c>
      <c r="B4868" s="11" t="str">
        <f>IF(D4868&lt;&gt;"",IF(COUNTIF('USPTO TMs'!A:A,D4868)&gt;0,"Yes","No"),"")</f>
        <v/>
      </c>
      <c r="C4868" s="11"/>
      <c r="D4868" s="11"/>
      <c r="E4868" s="11"/>
      <c r="F4868" s="11"/>
      <c r="G4868" s="11"/>
      <c r="H4868" s="11"/>
      <c r="I4868" s="15"/>
    </row>
    <row r="4869" spans="1:9" ht="16.5">
      <c r="A4869" s="10" t="b">
        <v>0</v>
      </c>
      <c r="B4869" s="11" t="str">
        <f>IF(D4869&lt;&gt;"",IF(COUNTIF('USPTO TMs'!A:A,D4869)&gt;0,"Yes","No"),"")</f>
        <v/>
      </c>
      <c r="C4869" s="11"/>
      <c r="D4869" s="11"/>
      <c r="E4869" s="11"/>
      <c r="F4869" s="11"/>
      <c r="G4869" s="11"/>
      <c r="H4869" s="11"/>
      <c r="I4869" s="15"/>
    </row>
    <row r="4870" spans="1:9" ht="16.5">
      <c r="A4870" s="10" t="b">
        <v>0</v>
      </c>
      <c r="B4870" s="11" t="str">
        <f>IF(D4870&lt;&gt;"",IF(COUNTIF('USPTO TMs'!A:A,D4870)&gt;0,"Yes","No"),"")</f>
        <v/>
      </c>
      <c r="C4870" s="11"/>
      <c r="D4870" s="11"/>
      <c r="E4870" s="11"/>
      <c r="F4870" s="11"/>
      <c r="G4870" s="11"/>
      <c r="H4870" s="11"/>
      <c r="I4870" s="15"/>
    </row>
    <row r="4871" spans="1:9" ht="16.5">
      <c r="A4871" s="10" t="b">
        <v>0</v>
      </c>
      <c r="B4871" s="11" t="str">
        <f>IF(D4871&lt;&gt;"",IF(COUNTIF('USPTO TMs'!A:A,D4871)&gt;0,"Yes","No"),"")</f>
        <v/>
      </c>
      <c r="C4871" s="11"/>
      <c r="D4871" s="11"/>
      <c r="E4871" s="11"/>
      <c r="F4871" s="11"/>
      <c r="G4871" s="11"/>
      <c r="H4871" s="11"/>
      <c r="I4871" s="15"/>
    </row>
    <row r="4872" spans="1:9" ht="16.5">
      <c r="A4872" s="10" t="b">
        <v>0</v>
      </c>
      <c r="B4872" s="11" t="str">
        <f>IF(D4872&lt;&gt;"",IF(COUNTIF('USPTO TMs'!A:A,D4872)&gt;0,"Yes","No"),"")</f>
        <v/>
      </c>
      <c r="C4872" s="11"/>
      <c r="D4872" s="11"/>
      <c r="E4872" s="11"/>
      <c r="F4872" s="11"/>
      <c r="G4872" s="11"/>
      <c r="H4872" s="11"/>
      <c r="I4872" s="15"/>
    </row>
    <row r="4873" spans="1:9" ht="16.5">
      <c r="A4873" s="10" t="b">
        <v>0</v>
      </c>
      <c r="B4873" s="11" t="str">
        <f>IF(D4873&lt;&gt;"",IF(COUNTIF('USPTO TMs'!A:A,D4873)&gt;0,"Yes","No"),"")</f>
        <v/>
      </c>
      <c r="C4873" s="11"/>
      <c r="D4873" s="11"/>
      <c r="E4873" s="11"/>
      <c r="F4873" s="11"/>
      <c r="G4873" s="11"/>
      <c r="H4873" s="11"/>
      <c r="I4873" s="15"/>
    </row>
    <row r="4874" spans="1:9" ht="16.5">
      <c r="A4874" s="10" t="b">
        <v>0</v>
      </c>
      <c r="B4874" s="11" t="str">
        <f>IF(D4874&lt;&gt;"",IF(COUNTIF('USPTO TMs'!A:A,D4874)&gt;0,"Yes","No"),"")</f>
        <v/>
      </c>
      <c r="C4874" s="11"/>
      <c r="D4874" s="11"/>
      <c r="E4874" s="11"/>
      <c r="F4874" s="11"/>
      <c r="G4874" s="11"/>
      <c r="H4874" s="11"/>
      <c r="I4874" s="15"/>
    </row>
    <row r="4875" spans="1:9" ht="16.5">
      <c r="A4875" s="10" t="b">
        <v>0</v>
      </c>
      <c r="B4875" s="11" t="str">
        <f>IF(D4875&lt;&gt;"",IF(COUNTIF('USPTO TMs'!A:A,D4875)&gt;0,"Yes","No"),"")</f>
        <v/>
      </c>
      <c r="C4875" s="11"/>
      <c r="D4875" s="11"/>
      <c r="E4875" s="11"/>
      <c r="F4875" s="11"/>
      <c r="G4875" s="11"/>
      <c r="H4875" s="11"/>
      <c r="I4875" s="15"/>
    </row>
    <row r="4876" spans="1:9" ht="16.5">
      <c r="A4876" s="10" t="b">
        <v>0</v>
      </c>
      <c r="B4876" s="11" t="str">
        <f>IF(D4876&lt;&gt;"",IF(COUNTIF('USPTO TMs'!A:A,D4876)&gt;0,"Yes","No"),"")</f>
        <v/>
      </c>
      <c r="C4876" s="11"/>
      <c r="D4876" s="11"/>
      <c r="E4876" s="11"/>
      <c r="F4876" s="11"/>
      <c r="G4876" s="11"/>
      <c r="H4876" s="11"/>
      <c r="I4876" s="15"/>
    </row>
    <row r="4877" spans="1:9" ht="16.5">
      <c r="A4877" s="10" t="b">
        <v>0</v>
      </c>
      <c r="B4877" s="11" t="str">
        <f>IF(D4877&lt;&gt;"",IF(COUNTIF('USPTO TMs'!A:A,D4877)&gt;0,"Yes","No"),"")</f>
        <v/>
      </c>
      <c r="C4877" s="11"/>
      <c r="D4877" s="11"/>
      <c r="E4877" s="11"/>
      <c r="F4877" s="11"/>
      <c r="G4877" s="11"/>
      <c r="H4877" s="11"/>
      <c r="I4877" s="15"/>
    </row>
    <row r="4878" spans="1:9" ht="16.5">
      <c r="A4878" s="10" t="b">
        <v>0</v>
      </c>
      <c r="B4878" s="11" t="str">
        <f>IF(D4878&lt;&gt;"",IF(COUNTIF('USPTO TMs'!A:A,D4878)&gt;0,"Yes","No"),"")</f>
        <v/>
      </c>
      <c r="C4878" s="11"/>
      <c r="D4878" s="11"/>
      <c r="E4878" s="11"/>
      <c r="F4878" s="11"/>
      <c r="G4878" s="11"/>
      <c r="H4878" s="11"/>
      <c r="I4878" s="15"/>
    </row>
    <row r="4879" spans="1:9" ht="16.5">
      <c r="A4879" s="10" t="b">
        <v>0</v>
      </c>
      <c r="B4879" s="11" t="str">
        <f>IF(D4879&lt;&gt;"",IF(COUNTIF('USPTO TMs'!A:A,D4879)&gt;0,"Yes","No"),"")</f>
        <v/>
      </c>
      <c r="C4879" s="11"/>
      <c r="D4879" s="11"/>
      <c r="E4879" s="11"/>
      <c r="F4879" s="11"/>
      <c r="G4879" s="11"/>
      <c r="H4879" s="11"/>
      <c r="I4879" s="15"/>
    </row>
    <row r="4880" spans="1:9" ht="16.5">
      <c r="A4880" s="10" t="b">
        <v>0</v>
      </c>
      <c r="B4880" s="11" t="str">
        <f>IF(D4880&lt;&gt;"",IF(COUNTIF('USPTO TMs'!A:A,D4880)&gt;0,"Yes","No"),"")</f>
        <v/>
      </c>
      <c r="C4880" s="11"/>
      <c r="D4880" s="11"/>
      <c r="E4880" s="11"/>
      <c r="F4880" s="11"/>
      <c r="G4880" s="11"/>
      <c r="H4880" s="11"/>
      <c r="I4880" s="15"/>
    </row>
    <row r="4881" spans="1:9" ht="16.5">
      <c r="A4881" s="10" t="b">
        <v>0</v>
      </c>
      <c r="B4881" s="11" t="str">
        <f>IF(D4881&lt;&gt;"",IF(COUNTIF('USPTO TMs'!A:A,D4881)&gt;0,"Yes","No"),"")</f>
        <v/>
      </c>
      <c r="C4881" s="11"/>
      <c r="D4881" s="11"/>
      <c r="E4881" s="11"/>
      <c r="F4881" s="11"/>
      <c r="G4881" s="11"/>
      <c r="H4881" s="11"/>
      <c r="I4881" s="15"/>
    </row>
    <row r="4882" spans="1:9" ht="16.5">
      <c r="A4882" s="10" t="b">
        <v>0</v>
      </c>
      <c r="B4882" s="11" t="str">
        <f>IF(D4882&lt;&gt;"",IF(COUNTIF('USPTO TMs'!A:A,D4882)&gt;0,"Yes","No"),"")</f>
        <v/>
      </c>
      <c r="C4882" s="11"/>
      <c r="D4882" s="11"/>
      <c r="E4882" s="11"/>
      <c r="F4882" s="11"/>
      <c r="G4882" s="11"/>
      <c r="H4882" s="11"/>
      <c r="I4882" s="15"/>
    </row>
    <row r="4883" spans="1:9" ht="16.5">
      <c r="A4883" s="10" t="b">
        <v>0</v>
      </c>
      <c r="B4883" s="11" t="str">
        <f>IF(D4883&lt;&gt;"",IF(COUNTIF('USPTO TMs'!A:A,D4883)&gt;0,"Yes","No"),"")</f>
        <v/>
      </c>
      <c r="C4883" s="11"/>
      <c r="D4883" s="11"/>
      <c r="E4883" s="11"/>
      <c r="F4883" s="11"/>
      <c r="G4883" s="11"/>
      <c r="H4883" s="11"/>
      <c r="I4883" s="15"/>
    </row>
    <row r="4884" spans="1:9" ht="16.5">
      <c r="A4884" s="10" t="b">
        <v>0</v>
      </c>
      <c r="B4884" s="11" t="str">
        <f>IF(D4884&lt;&gt;"",IF(COUNTIF('USPTO TMs'!A:A,D4884)&gt;0,"Yes","No"),"")</f>
        <v/>
      </c>
      <c r="C4884" s="11"/>
      <c r="D4884" s="11"/>
      <c r="E4884" s="11"/>
      <c r="F4884" s="11"/>
      <c r="G4884" s="11"/>
      <c r="H4884" s="11"/>
      <c r="I4884" s="15"/>
    </row>
    <row r="4885" spans="1:9" ht="16.5">
      <c r="A4885" s="10" t="b">
        <v>0</v>
      </c>
      <c r="B4885" s="11" t="str">
        <f>IF(D4885&lt;&gt;"",IF(COUNTIF('USPTO TMs'!A:A,D4885)&gt;0,"Yes","No"),"")</f>
        <v/>
      </c>
      <c r="C4885" s="11"/>
      <c r="D4885" s="11"/>
      <c r="E4885" s="11"/>
      <c r="F4885" s="11"/>
      <c r="G4885" s="11"/>
      <c r="H4885" s="11"/>
      <c r="I4885" s="15"/>
    </row>
    <row r="4886" spans="1:9" ht="16.5">
      <c r="A4886" s="10" t="b">
        <v>0</v>
      </c>
      <c r="B4886" s="11" t="str">
        <f>IF(D4886&lt;&gt;"",IF(COUNTIF('USPTO TMs'!A:A,D4886)&gt;0,"Yes","No"),"")</f>
        <v/>
      </c>
      <c r="C4886" s="11"/>
      <c r="D4886" s="11"/>
      <c r="E4886" s="11"/>
      <c r="F4886" s="11"/>
      <c r="G4886" s="11"/>
      <c r="H4886" s="11"/>
      <c r="I4886" s="15"/>
    </row>
    <row r="4887" spans="1:9" ht="16.5">
      <c r="A4887" s="10" t="b">
        <v>0</v>
      </c>
      <c r="B4887" s="11" t="str">
        <f>IF(D4887&lt;&gt;"",IF(COUNTIF('USPTO TMs'!A:A,D4887)&gt;0,"Yes","No"),"")</f>
        <v/>
      </c>
      <c r="C4887" s="11"/>
      <c r="D4887" s="11"/>
      <c r="E4887" s="11"/>
      <c r="F4887" s="11"/>
      <c r="G4887" s="11"/>
      <c r="H4887" s="11"/>
      <c r="I4887" s="15"/>
    </row>
    <row r="4888" spans="1:9" ht="16.5">
      <c r="A4888" s="10" t="b">
        <v>0</v>
      </c>
      <c r="B4888" s="11" t="str">
        <f>IF(D4888&lt;&gt;"",IF(COUNTIF('USPTO TMs'!A:A,D4888)&gt;0,"Yes","No"),"")</f>
        <v/>
      </c>
      <c r="C4888" s="11"/>
      <c r="D4888" s="11"/>
      <c r="E4888" s="11"/>
      <c r="F4888" s="11"/>
      <c r="G4888" s="11"/>
      <c r="H4888" s="11"/>
      <c r="I4888" s="15"/>
    </row>
    <row r="4889" spans="1:9" ht="16.5">
      <c r="A4889" s="10" t="b">
        <v>0</v>
      </c>
      <c r="B4889" s="11" t="str">
        <f>IF(D4889&lt;&gt;"",IF(COUNTIF('USPTO TMs'!A:A,D4889)&gt;0,"Yes","No"),"")</f>
        <v/>
      </c>
      <c r="C4889" s="11"/>
      <c r="D4889" s="11"/>
      <c r="E4889" s="11"/>
      <c r="F4889" s="11"/>
      <c r="G4889" s="11"/>
      <c r="H4889" s="11"/>
      <c r="I4889" s="15"/>
    </row>
    <row r="4890" spans="1:9" ht="16.5">
      <c r="A4890" s="10" t="b">
        <v>0</v>
      </c>
      <c r="B4890" s="11" t="str">
        <f>IF(D4890&lt;&gt;"",IF(COUNTIF('USPTO TMs'!A:A,D4890)&gt;0,"Yes","No"),"")</f>
        <v/>
      </c>
      <c r="C4890" s="11"/>
      <c r="D4890" s="11"/>
      <c r="E4890" s="11"/>
      <c r="F4890" s="11"/>
      <c r="G4890" s="11"/>
      <c r="H4890" s="11"/>
      <c r="I4890" s="15"/>
    </row>
    <row r="4891" spans="1:9" ht="16.5">
      <c r="A4891" s="10" t="b">
        <v>0</v>
      </c>
      <c r="B4891" s="11" t="str">
        <f>IF(D4891&lt;&gt;"",IF(COUNTIF('USPTO TMs'!A:A,D4891)&gt;0,"Yes","No"),"")</f>
        <v/>
      </c>
      <c r="C4891" s="11"/>
      <c r="D4891" s="11"/>
      <c r="E4891" s="11"/>
      <c r="F4891" s="11"/>
      <c r="G4891" s="11"/>
      <c r="H4891" s="11"/>
      <c r="I4891" s="15"/>
    </row>
    <row r="4892" spans="1:9" ht="16.5">
      <c r="A4892" s="10" t="b">
        <v>0</v>
      </c>
      <c r="B4892" s="11" t="str">
        <f>IF(D4892&lt;&gt;"",IF(COUNTIF('USPTO TMs'!A:A,D4892)&gt;0,"Yes","No"),"")</f>
        <v/>
      </c>
      <c r="C4892" s="11"/>
      <c r="D4892" s="11"/>
      <c r="E4892" s="11"/>
      <c r="F4892" s="11"/>
      <c r="G4892" s="11"/>
      <c r="H4892" s="11"/>
      <c r="I4892" s="15"/>
    </row>
    <row r="4893" spans="1:9" ht="16.5">
      <c r="A4893" s="10" t="b">
        <v>0</v>
      </c>
      <c r="B4893" s="11" t="str">
        <f>IF(D4893&lt;&gt;"",IF(COUNTIF('USPTO TMs'!A:A,D4893)&gt;0,"Yes","No"),"")</f>
        <v/>
      </c>
      <c r="C4893" s="11"/>
      <c r="D4893" s="11"/>
      <c r="E4893" s="11"/>
      <c r="F4893" s="11"/>
      <c r="G4893" s="11"/>
      <c r="H4893" s="11"/>
      <c r="I4893" s="15"/>
    </row>
    <row r="4894" spans="1:9" ht="16.5">
      <c r="A4894" s="10" t="b">
        <v>0</v>
      </c>
      <c r="B4894" s="11" t="str">
        <f>IF(D4894&lt;&gt;"",IF(COUNTIF('USPTO TMs'!A:A,D4894)&gt;0,"Yes","No"),"")</f>
        <v/>
      </c>
      <c r="C4894" s="11"/>
      <c r="D4894" s="11"/>
      <c r="E4894" s="11"/>
      <c r="F4894" s="11"/>
      <c r="G4894" s="11"/>
      <c r="H4894" s="11"/>
      <c r="I4894" s="15"/>
    </row>
    <row r="4895" spans="1:9" ht="16.5">
      <c r="A4895" s="10" t="b">
        <v>0</v>
      </c>
      <c r="B4895" s="11" t="str">
        <f>IF(D4895&lt;&gt;"",IF(COUNTIF('USPTO TMs'!A:A,D4895)&gt;0,"Yes","No"),"")</f>
        <v/>
      </c>
      <c r="C4895" s="11"/>
      <c r="D4895" s="11"/>
      <c r="E4895" s="11"/>
      <c r="F4895" s="11"/>
      <c r="G4895" s="11"/>
      <c r="H4895" s="11"/>
      <c r="I4895" s="15"/>
    </row>
    <row r="4896" spans="1:9" ht="16.5">
      <c r="A4896" s="10" t="b">
        <v>0</v>
      </c>
      <c r="B4896" s="11" t="str">
        <f>IF(D4896&lt;&gt;"",IF(COUNTIF('USPTO TMs'!A:A,D4896)&gt;0,"Yes","No"),"")</f>
        <v/>
      </c>
      <c r="C4896" s="11"/>
      <c r="D4896" s="11"/>
      <c r="E4896" s="11"/>
      <c r="F4896" s="11"/>
      <c r="G4896" s="11"/>
      <c r="H4896" s="11"/>
      <c r="I4896" s="15"/>
    </row>
    <row r="4897" spans="1:9" ht="16.5">
      <c r="A4897" s="10" t="b">
        <v>0</v>
      </c>
      <c r="B4897" s="11" t="str">
        <f>IF(D4897&lt;&gt;"",IF(COUNTIF('USPTO TMs'!A:A,D4897)&gt;0,"Yes","No"),"")</f>
        <v/>
      </c>
      <c r="C4897" s="11"/>
      <c r="D4897" s="11"/>
      <c r="E4897" s="11"/>
      <c r="F4897" s="11"/>
      <c r="G4897" s="11"/>
      <c r="H4897" s="11"/>
      <c r="I4897" s="15"/>
    </row>
    <row r="4898" spans="1:9" ht="16.5">
      <c r="A4898" s="10" t="b">
        <v>0</v>
      </c>
      <c r="B4898" s="11" t="str">
        <f>IF(D4898&lt;&gt;"",IF(COUNTIF('USPTO TMs'!A:A,D4898)&gt;0,"Yes","No"),"")</f>
        <v/>
      </c>
      <c r="C4898" s="11"/>
      <c r="D4898" s="11"/>
      <c r="E4898" s="11"/>
      <c r="F4898" s="11"/>
      <c r="G4898" s="11"/>
      <c r="H4898" s="11"/>
      <c r="I4898" s="15"/>
    </row>
    <row r="4899" spans="1:9" ht="16.5">
      <c r="A4899" s="10" t="b">
        <v>0</v>
      </c>
      <c r="B4899" s="11" t="str">
        <f>IF(D4899&lt;&gt;"",IF(COUNTIF('USPTO TMs'!A:A,D4899)&gt;0,"Yes","No"),"")</f>
        <v/>
      </c>
      <c r="C4899" s="11"/>
      <c r="D4899" s="11"/>
      <c r="E4899" s="11"/>
      <c r="F4899" s="11"/>
      <c r="G4899" s="11"/>
      <c r="H4899" s="11"/>
      <c r="I4899" s="15"/>
    </row>
    <row r="4900" spans="1:9" ht="16.5">
      <c r="A4900" s="10" t="b">
        <v>0</v>
      </c>
      <c r="B4900" s="11" t="str">
        <f>IF(D4900&lt;&gt;"",IF(COUNTIF('USPTO TMs'!A:A,D4900)&gt;0,"Yes","No"),"")</f>
        <v/>
      </c>
      <c r="C4900" s="11"/>
      <c r="D4900" s="11"/>
      <c r="E4900" s="11"/>
      <c r="F4900" s="11"/>
      <c r="G4900" s="11"/>
      <c r="H4900" s="11"/>
      <c r="I4900" s="15"/>
    </row>
    <row r="4901" spans="1:9" ht="16.5">
      <c r="A4901" s="10" t="b">
        <v>0</v>
      </c>
      <c r="B4901" s="11" t="str">
        <f>IF(D4901&lt;&gt;"",IF(COUNTIF('USPTO TMs'!A:A,D4901)&gt;0,"Yes","No"),"")</f>
        <v/>
      </c>
      <c r="C4901" s="11"/>
      <c r="D4901" s="11"/>
      <c r="E4901" s="11"/>
      <c r="F4901" s="11"/>
      <c r="G4901" s="11"/>
      <c r="H4901" s="11"/>
      <c r="I4901" s="15"/>
    </row>
    <row r="4902" spans="1:9" ht="16.5">
      <c r="A4902" s="10" t="b">
        <v>0</v>
      </c>
      <c r="B4902" s="11" t="str">
        <f>IF(D4902&lt;&gt;"",IF(COUNTIF('USPTO TMs'!A:A,D4902)&gt;0,"Yes","No"),"")</f>
        <v/>
      </c>
      <c r="C4902" s="11"/>
      <c r="D4902" s="11"/>
      <c r="E4902" s="11"/>
      <c r="F4902" s="11"/>
      <c r="G4902" s="11"/>
      <c r="H4902" s="11"/>
      <c r="I4902" s="15"/>
    </row>
    <row r="4903" spans="1:9" ht="16.5">
      <c r="A4903" s="10" t="b">
        <v>0</v>
      </c>
      <c r="B4903" s="11" t="str">
        <f>IF(D4903&lt;&gt;"",IF(COUNTIF('USPTO TMs'!A:A,D4903)&gt;0,"Yes","No"),"")</f>
        <v/>
      </c>
      <c r="C4903" s="11"/>
      <c r="D4903" s="11"/>
      <c r="E4903" s="11"/>
      <c r="F4903" s="11"/>
      <c r="G4903" s="11"/>
      <c r="H4903" s="11"/>
      <c r="I4903" s="15"/>
    </row>
    <row r="4904" spans="1:9" ht="16.5">
      <c r="A4904" s="10" t="b">
        <v>0</v>
      </c>
      <c r="B4904" s="11" t="str">
        <f>IF(D4904&lt;&gt;"",IF(COUNTIF('USPTO TMs'!A:A,D4904)&gt;0,"Yes","No"),"")</f>
        <v/>
      </c>
      <c r="C4904" s="11"/>
      <c r="D4904" s="11"/>
      <c r="E4904" s="11"/>
      <c r="F4904" s="11"/>
      <c r="G4904" s="11"/>
      <c r="H4904" s="11"/>
      <c r="I4904" s="15"/>
    </row>
    <row r="4905" spans="1:9" ht="16.5">
      <c r="A4905" s="10" t="b">
        <v>0</v>
      </c>
      <c r="B4905" s="11" t="str">
        <f>IF(D4905&lt;&gt;"",IF(COUNTIF('USPTO TMs'!A:A,D4905)&gt;0,"Yes","No"),"")</f>
        <v/>
      </c>
      <c r="C4905" s="11"/>
      <c r="D4905" s="11"/>
      <c r="E4905" s="11"/>
      <c r="F4905" s="11"/>
      <c r="G4905" s="11"/>
      <c r="H4905" s="11"/>
      <c r="I4905" s="15"/>
    </row>
    <row r="4906" spans="1:9" ht="16.5">
      <c r="A4906" s="10" t="b">
        <v>0</v>
      </c>
      <c r="B4906" s="11" t="str">
        <f>IF(D4906&lt;&gt;"",IF(COUNTIF('USPTO TMs'!A:A,D4906)&gt;0,"Yes","No"),"")</f>
        <v/>
      </c>
      <c r="C4906" s="11"/>
      <c r="D4906" s="11"/>
      <c r="E4906" s="11"/>
      <c r="F4906" s="11"/>
      <c r="G4906" s="11"/>
      <c r="H4906" s="11"/>
      <c r="I4906" s="15"/>
    </row>
    <row r="4907" spans="1:9" ht="16.5">
      <c r="A4907" s="10" t="b">
        <v>0</v>
      </c>
      <c r="B4907" s="11" t="str">
        <f>IF(D4907&lt;&gt;"",IF(COUNTIF('USPTO TMs'!A:A,D4907)&gt;0,"Yes","No"),"")</f>
        <v/>
      </c>
      <c r="C4907" s="11"/>
      <c r="D4907" s="11"/>
      <c r="E4907" s="11"/>
      <c r="F4907" s="11"/>
      <c r="G4907" s="11"/>
      <c r="H4907" s="11"/>
      <c r="I4907" s="15"/>
    </row>
    <row r="4908" spans="1:9" ht="16.5">
      <c r="A4908" s="10" t="b">
        <v>0</v>
      </c>
      <c r="B4908" s="11" t="str">
        <f>IF(D4908&lt;&gt;"",IF(COUNTIF('USPTO TMs'!A:A,D4908)&gt;0,"Yes","No"),"")</f>
        <v/>
      </c>
      <c r="C4908" s="11"/>
      <c r="D4908" s="11"/>
      <c r="E4908" s="11"/>
      <c r="F4908" s="11"/>
      <c r="G4908" s="11"/>
      <c r="H4908" s="11"/>
      <c r="I4908" s="15"/>
    </row>
    <row r="4909" spans="1:9" ht="16.5">
      <c r="A4909" s="10" t="b">
        <v>0</v>
      </c>
      <c r="B4909" s="11" t="str">
        <f>IF(D4909&lt;&gt;"",IF(COUNTIF('USPTO TMs'!A:A,D4909)&gt;0,"Yes","No"),"")</f>
        <v/>
      </c>
      <c r="C4909" s="11"/>
      <c r="D4909" s="11"/>
      <c r="E4909" s="11"/>
      <c r="F4909" s="11"/>
      <c r="G4909" s="11"/>
      <c r="H4909" s="11"/>
      <c r="I4909" s="15"/>
    </row>
    <row r="4910" spans="1:9" ht="16.5">
      <c r="A4910" s="10" t="b">
        <v>0</v>
      </c>
      <c r="B4910" s="11" t="str">
        <f>IF(D4910&lt;&gt;"",IF(COUNTIF('USPTO TMs'!A:A,D4910)&gt;0,"Yes","No"),"")</f>
        <v/>
      </c>
      <c r="C4910" s="11"/>
      <c r="D4910" s="11"/>
      <c r="E4910" s="11"/>
      <c r="F4910" s="11"/>
      <c r="G4910" s="11"/>
      <c r="H4910" s="11"/>
      <c r="I4910" s="15"/>
    </row>
    <row r="4911" spans="1:9" ht="16.5">
      <c r="A4911" s="10" t="b">
        <v>0</v>
      </c>
      <c r="B4911" s="11" t="str">
        <f>IF(D4911&lt;&gt;"",IF(COUNTIF('USPTO TMs'!A:A,D4911)&gt;0,"Yes","No"),"")</f>
        <v/>
      </c>
      <c r="C4911" s="11"/>
      <c r="D4911" s="11"/>
      <c r="E4911" s="11"/>
      <c r="F4911" s="11"/>
      <c r="G4911" s="11"/>
      <c r="H4911" s="11"/>
      <c r="I4911" s="15"/>
    </row>
    <row r="4912" spans="1:9" ht="16.5">
      <c r="A4912" s="10" t="b">
        <v>0</v>
      </c>
      <c r="B4912" s="11" t="str">
        <f>IF(D4912&lt;&gt;"",IF(COUNTIF('USPTO TMs'!A:A,D4912)&gt;0,"Yes","No"),"")</f>
        <v/>
      </c>
      <c r="C4912" s="11"/>
      <c r="D4912" s="11"/>
      <c r="E4912" s="11"/>
      <c r="F4912" s="11"/>
      <c r="G4912" s="11"/>
      <c r="H4912" s="11"/>
      <c r="I4912" s="15"/>
    </row>
    <row r="4913" spans="1:9" ht="16.5">
      <c r="A4913" s="10" t="b">
        <v>0</v>
      </c>
      <c r="B4913" s="11" t="str">
        <f>IF(D4913&lt;&gt;"",IF(COUNTIF('USPTO TMs'!A:A,D4913)&gt;0,"Yes","No"),"")</f>
        <v/>
      </c>
      <c r="C4913" s="11"/>
      <c r="D4913" s="11"/>
      <c r="E4913" s="11"/>
      <c r="F4913" s="11"/>
      <c r="G4913" s="11"/>
      <c r="H4913" s="11"/>
      <c r="I4913" s="15"/>
    </row>
    <row r="4914" spans="1:9" ht="16.5">
      <c r="A4914" s="10" t="b">
        <v>0</v>
      </c>
      <c r="B4914" s="11" t="str">
        <f>IF(D4914&lt;&gt;"",IF(COUNTIF('USPTO TMs'!A:A,D4914)&gt;0,"Yes","No"),"")</f>
        <v/>
      </c>
      <c r="C4914" s="11"/>
      <c r="D4914" s="11"/>
      <c r="E4914" s="11"/>
      <c r="F4914" s="11"/>
      <c r="G4914" s="11"/>
      <c r="H4914" s="11"/>
      <c r="I4914" s="15"/>
    </row>
    <row r="4915" spans="1:9" ht="16.5">
      <c r="A4915" s="10" t="b">
        <v>0</v>
      </c>
      <c r="B4915" s="11" t="str">
        <f>IF(D4915&lt;&gt;"",IF(COUNTIF('USPTO TMs'!A:A,D4915)&gt;0,"Yes","No"),"")</f>
        <v/>
      </c>
      <c r="C4915" s="11"/>
      <c r="D4915" s="11"/>
      <c r="E4915" s="11"/>
      <c r="F4915" s="11"/>
      <c r="G4915" s="11"/>
      <c r="H4915" s="11"/>
      <c r="I4915" s="15"/>
    </row>
    <row r="4916" spans="1:9" ht="16.5">
      <c r="A4916" s="10" t="b">
        <v>0</v>
      </c>
      <c r="B4916" s="11" t="str">
        <f>IF(D4916&lt;&gt;"",IF(COUNTIF('USPTO TMs'!A:A,D4916)&gt;0,"Yes","No"),"")</f>
        <v/>
      </c>
      <c r="C4916" s="11"/>
      <c r="D4916" s="11"/>
      <c r="E4916" s="11"/>
      <c r="F4916" s="11"/>
      <c r="G4916" s="11"/>
      <c r="H4916" s="11"/>
      <c r="I4916" s="15"/>
    </row>
    <row r="4917" spans="1:9" ht="16.5">
      <c r="A4917" s="10" t="b">
        <v>0</v>
      </c>
      <c r="B4917" s="11" t="str">
        <f>IF(D4917&lt;&gt;"",IF(COUNTIF('USPTO TMs'!A:A,D4917)&gt;0,"Yes","No"),"")</f>
        <v/>
      </c>
      <c r="C4917" s="11"/>
      <c r="D4917" s="11"/>
      <c r="E4917" s="11"/>
      <c r="F4917" s="11"/>
      <c r="G4917" s="11"/>
      <c r="H4917" s="11"/>
      <c r="I4917" s="15"/>
    </row>
    <row r="4918" spans="1:9" ht="16.5">
      <c r="A4918" s="10" t="b">
        <v>0</v>
      </c>
      <c r="B4918" s="11" t="str">
        <f>IF(D4918&lt;&gt;"",IF(COUNTIF('USPTO TMs'!A:A,D4918)&gt;0,"Yes","No"),"")</f>
        <v/>
      </c>
      <c r="C4918" s="11"/>
      <c r="D4918" s="11"/>
      <c r="E4918" s="11"/>
      <c r="F4918" s="11"/>
      <c r="G4918" s="11"/>
      <c r="H4918" s="11"/>
      <c r="I4918" s="15"/>
    </row>
    <row r="4919" spans="1:9" ht="16.5">
      <c r="A4919" s="10" t="b">
        <v>0</v>
      </c>
      <c r="B4919" s="11" t="str">
        <f>IF(D4919&lt;&gt;"",IF(COUNTIF('USPTO TMs'!A:A,D4919)&gt;0,"Yes","No"),"")</f>
        <v/>
      </c>
      <c r="C4919" s="11"/>
      <c r="D4919" s="11"/>
      <c r="E4919" s="11"/>
      <c r="F4919" s="11"/>
      <c r="G4919" s="11"/>
      <c r="H4919" s="11"/>
      <c r="I4919" s="15"/>
    </row>
    <row r="4920" spans="1:9" ht="16.5">
      <c r="A4920" s="10" t="b">
        <v>0</v>
      </c>
      <c r="B4920" s="11" t="str">
        <f>IF(D4920&lt;&gt;"",IF(COUNTIF('USPTO TMs'!A:A,D4920)&gt;0,"Yes","No"),"")</f>
        <v/>
      </c>
      <c r="C4920" s="11"/>
      <c r="D4920" s="11"/>
      <c r="E4920" s="11"/>
      <c r="F4920" s="11"/>
      <c r="G4920" s="11"/>
      <c r="H4920" s="11"/>
      <c r="I4920" s="15"/>
    </row>
    <row r="4921" spans="1:9" ht="16.5">
      <c r="A4921" s="10" t="b">
        <v>0</v>
      </c>
      <c r="B4921" s="11" t="str">
        <f>IF(D4921&lt;&gt;"",IF(COUNTIF('USPTO TMs'!A:A,D4921)&gt;0,"Yes","No"),"")</f>
        <v/>
      </c>
      <c r="C4921" s="11"/>
      <c r="D4921" s="11"/>
      <c r="E4921" s="11"/>
      <c r="F4921" s="11"/>
      <c r="G4921" s="11"/>
      <c r="H4921" s="11"/>
      <c r="I4921" s="15"/>
    </row>
    <row r="4922" spans="1:9" ht="16.5">
      <c r="A4922" s="10" t="b">
        <v>0</v>
      </c>
      <c r="B4922" s="11" t="str">
        <f>IF(D4922&lt;&gt;"",IF(COUNTIF('USPTO TMs'!A:A,D4922)&gt;0,"Yes","No"),"")</f>
        <v/>
      </c>
      <c r="C4922" s="11"/>
      <c r="D4922" s="11"/>
      <c r="E4922" s="11"/>
      <c r="F4922" s="11"/>
      <c r="G4922" s="11"/>
      <c r="H4922" s="11"/>
      <c r="I4922" s="15"/>
    </row>
    <row r="4923" spans="1:9" ht="16.5">
      <c r="A4923" s="10" t="b">
        <v>0</v>
      </c>
      <c r="B4923" s="11" t="str">
        <f>IF(D4923&lt;&gt;"",IF(COUNTIF('USPTO TMs'!A:A,D4923)&gt;0,"Yes","No"),"")</f>
        <v/>
      </c>
      <c r="C4923" s="11"/>
      <c r="D4923" s="11"/>
      <c r="E4923" s="11"/>
      <c r="F4923" s="11"/>
      <c r="G4923" s="11"/>
      <c r="H4923" s="11"/>
      <c r="I4923" s="15"/>
    </row>
    <row r="4924" spans="1:9" ht="16.5">
      <c r="A4924" s="10" t="b">
        <v>0</v>
      </c>
      <c r="B4924" s="11" t="str">
        <f>IF(D4924&lt;&gt;"",IF(COUNTIF('USPTO TMs'!A:A,D4924)&gt;0,"Yes","No"),"")</f>
        <v/>
      </c>
      <c r="C4924" s="11"/>
      <c r="D4924" s="11"/>
      <c r="E4924" s="11"/>
      <c r="F4924" s="11"/>
      <c r="G4924" s="11"/>
      <c r="H4924" s="11"/>
      <c r="I4924" s="15"/>
    </row>
    <row r="4925" spans="1:9" ht="16.5">
      <c r="A4925" s="10" t="b">
        <v>0</v>
      </c>
      <c r="B4925" s="11" t="str">
        <f>IF(D4925&lt;&gt;"",IF(COUNTIF('USPTO TMs'!A:A,D4925)&gt;0,"Yes","No"),"")</f>
        <v/>
      </c>
      <c r="C4925" s="11"/>
      <c r="D4925" s="11"/>
      <c r="E4925" s="11"/>
      <c r="F4925" s="11"/>
      <c r="G4925" s="11"/>
      <c r="H4925" s="11"/>
      <c r="I4925" s="15"/>
    </row>
    <row r="4926" spans="1:9" ht="16.5">
      <c r="A4926" s="10" t="b">
        <v>0</v>
      </c>
      <c r="B4926" s="11" t="str">
        <f>IF(D4926&lt;&gt;"",IF(COUNTIF('USPTO TMs'!A:A,D4926)&gt;0,"Yes","No"),"")</f>
        <v/>
      </c>
      <c r="C4926" s="11"/>
      <c r="D4926" s="11"/>
      <c r="E4926" s="11"/>
      <c r="F4926" s="11"/>
      <c r="G4926" s="11"/>
      <c r="H4926" s="11"/>
      <c r="I4926" s="15"/>
    </row>
    <row r="4927" spans="1:9" ht="16.5">
      <c r="A4927" s="10" t="b">
        <v>0</v>
      </c>
      <c r="B4927" s="11" t="str">
        <f>IF(D4927&lt;&gt;"",IF(COUNTIF('USPTO TMs'!A:A,D4927)&gt;0,"Yes","No"),"")</f>
        <v/>
      </c>
      <c r="C4927" s="11"/>
      <c r="D4927" s="11"/>
      <c r="E4927" s="11"/>
      <c r="F4927" s="11"/>
      <c r="G4927" s="11"/>
      <c r="H4927" s="11"/>
      <c r="I4927" s="15"/>
    </row>
    <row r="4928" spans="1:9" ht="16.5">
      <c r="A4928" s="10" t="b">
        <v>0</v>
      </c>
      <c r="B4928" s="11" t="str">
        <f>IF(D4928&lt;&gt;"",IF(COUNTIF('USPTO TMs'!A:A,D4928)&gt;0,"Yes","No"),"")</f>
        <v/>
      </c>
      <c r="C4928" s="11"/>
      <c r="D4928" s="11"/>
      <c r="E4928" s="11"/>
      <c r="F4928" s="11"/>
      <c r="G4928" s="11"/>
      <c r="H4928" s="11"/>
      <c r="I4928" s="15"/>
    </row>
    <row r="4929" spans="1:9" ht="16.5">
      <c r="A4929" s="10" t="b">
        <v>0</v>
      </c>
      <c r="B4929" s="11" t="str">
        <f>IF(D4929&lt;&gt;"",IF(COUNTIF('USPTO TMs'!A:A,D4929)&gt;0,"Yes","No"),"")</f>
        <v/>
      </c>
      <c r="C4929" s="11"/>
      <c r="D4929" s="11"/>
      <c r="E4929" s="11"/>
      <c r="F4929" s="11"/>
      <c r="G4929" s="11"/>
      <c r="H4929" s="11"/>
      <c r="I4929" s="15"/>
    </row>
    <row r="4930" spans="1:9" ht="16.5">
      <c r="A4930" s="10" t="b">
        <v>0</v>
      </c>
      <c r="B4930" s="11" t="str">
        <f>IF(D4930&lt;&gt;"",IF(COUNTIF('USPTO TMs'!A:A,D4930)&gt;0,"Yes","No"),"")</f>
        <v/>
      </c>
      <c r="C4930" s="11"/>
      <c r="D4930" s="11"/>
      <c r="E4930" s="11"/>
      <c r="F4930" s="11"/>
      <c r="G4930" s="11"/>
      <c r="H4930" s="11"/>
      <c r="I4930" s="15"/>
    </row>
    <row r="4931" spans="1:9" ht="16.5">
      <c r="A4931" s="10" t="b">
        <v>0</v>
      </c>
      <c r="B4931" s="11" t="str">
        <f>IF(D4931&lt;&gt;"",IF(COUNTIF('USPTO TMs'!A:A,D4931)&gt;0,"Yes","No"),"")</f>
        <v/>
      </c>
      <c r="C4931" s="11"/>
      <c r="D4931" s="11"/>
      <c r="E4931" s="11"/>
      <c r="F4931" s="11"/>
      <c r="G4931" s="11"/>
      <c r="H4931" s="11"/>
      <c r="I4931" s="15"/>
    </row>
    <row r="4932" spans="1:9" ht="16.5">
      <c r="A4932" s="10" t="b">
        <v>0</v>
      </c>
      <c r="B4932" s="11" t="str">
        <f>IF(D4932&lt;&gt;"",IF(COUNTIF('USPTO TMs'!A:A,D4932)&gt;0,"Yes","No"),"")</f>
        <v/>
      </c>
      <c r="C4932" s="11"/>
      <c r="D4932" s="11"/>
      <c r="E4932" s="11"/>
      <c r="F4932" s="11"/>
      <c r="G4932" s="11"/>
      <c r="H4932" s="11"/>
      <c r="I4932" s="15"/>
    </row>
    <row r="4933" spans="1:9" ht="16.5">
      <c r="A4933" s="10" t="b">
        <v>0</v>
      </c>
      <c r="B4933" s="11" t="str">
        <f>IF(D4933&lt;&gt;"",IF(COUNTIF('USPTO TMs'!A:A,D4933)&gt;0,"Yes","No"),"")</f>
        <v/>
      </c>
      <c r="C4933" s="11"/>
      <c r="D4933" s="11"/>
      <c r="E4933" s="11"/>
      <c r="F4933" s="11"/>
      <c r="G4933" s="11"/>
      <c r="H4933" s="11"/>
      <c r="I4933" s="15"/>
    </row>
    <row r="4934" spans="1:9" ht="16.5">
      <c r="A4934" s="10" t="b">
        <v>0</v>
      </c>
      <c r="B4934" s="11" t="str">
        <f>IF(D4934&lt;&gt;"",IF(COUNTIF('USPTO TMs'!A:A,D4934)&gt;0,"Yes","No"),"")</f>
        <v/>
      </c>
      <c r="C4934" s="11"/>
      <c r="D4934" s="11"/>
      <c r="E4934" s="11"/>
      <c r="F4934" s="11"/>
      <c r="G4934" s="11"/>
      <c r="H4934" s="11"/>
      <c r="I4934" s="15"/>
    </row>
    <row r="4935" spans="1:9" ht="16.5">
      <c r="A4935" s="10" t="b">
        <v>0</v>
      </c>
      <c r="B4935" s="11" t="str">
        <f>IF(D4935&lt;&gt;"",IF(COUNTIF('USPTO TMs'!A:A,D4935)&gt;0,"Yes","No"),"")</f>
        <v/>
      </c>
      <c r="C4935" s="11"/>
      <c r="D4935" s="11"/>
      <c r="E4935" s="11"/>
      <c r="F4935" s="11"/>
      <c r="G4935" s="11"/>
      <c r="H4935" s="11"/>
      <c r="I4935" s="15"/>
    </row>
    <row r="4936" spans="1:9" ht="16.5">
      <c r="A4936" s="10" t="b">
        <v>0</v>
      </c>
      <c r="B4936" s="11" t="str">
        <f>IF(D4936&lt;&gt;"",IF(COUNTIF('USPTO TMs'!A:A,D4936)&gt;0,"Yes","No"),"")</f>
        <v/>
      </c>
      <c r="C4936" s="11"/>
      <c r="D4936" s="11"/>
      <c r="E4936" s="11"/>
      <c r="F4936" s="11"/>
      <c r="G4936" s="11"/>
      <c r="H4936" s="11"/>
      <c r="I4936" s="15"/>
    </row>
    <row r="4937" spans="1:9" ht="16.5">
      <c r="A4937" s="10" t="b">
        <v>0</v>
      </c>
      <c r="B4937" s="11" t="str">
        <f>IF(D4937&lt;&gt;"",IF(COUNTIF('USPTO TMs'!A:A,D4937)&gt;0,"Yes","No"),"")</f>
        <v/>
      </c>
      <c r="C4937" s="11"/>
      <c r="D4937" s="11"/>
      <c r="E4937" s="11"/>
      <c r="F4937" s="11"/>
      <c r="G4937" s="11"/>
      <c r="H4937" s="11"/>
      <c r="I4937" s="15"/>
    </row>
    <row r="4938" spans="1:9" ht="16.5">
      <c r="A4938" s="10" t="b">
        <v>0</v>
      </c>
      <c r="B4938" s="11" t="str">
        <f>IF(D4938&lt;&gt;"",IF(COUNTIF('USPTO TMs'!A:A,D4938)&gt;0,"Yes","No"),"")</f>
        <v/>
      </c>
      <c r="C4938" s="11"/>
      <c r="D4938" s="11"/>
      <c r="E4938" s="11"/>
      <c r="F4938" s="11"/>
      <c r="G4938" s="11"/>
      <c r="H4938" s="11"/>
      <c r="I4938" s="15"/>
    </row>
    <row r="4939" spans="1:9" ht="16.5">
      <c r="A4939" s="10" t="b">
        <v>0</v>
      </c>
      <c r="B4939" s="11" t="str">
        <f>IF(D4939&lt;&gt;"",IF(COUNTIF('USPTO TMs'!A:A,D4939)&gt;0,"Yes","No"),"")</f>
        <v/>
      </c>
      <c r="C4939" s="11"/>
      <c r="D4939" s="11"/>
      <c r="E4939" s="11"/>
      <c r="F4939" s="11"/>
      <c r="G4939" s="11"/>
      <c r="H4939" s="11"/>
      <c r="I4939" s="15"/>
    </row>
    <row r="4940" spans="1:9" ht="16.5">
      <c r="A4940" s="10" t="b">
        <v>0</v>
      </c>
      <c r="B4940" s="11" t="str">
        <f>IF(D4940&lt;&gt;"",IF(COUNTIF('USPTO TMs'!A:A,D4940)&gt;0,"Yes","No"),"")</f>
        <v/>
      </c>
      <c r="C4940" s="11"/>
      <c r="D4940" s="11"/>
      <c r="E4940" s="11"/>
      <c r="F4940" s="11"/>
      <c r="G4940" s="11"/>
      <c r="H4940" s="11"/>
      <c r="I4940" s="15"/>
    </row>
    <row r="4941" spans="1:9" ht="16.5">
      <c r="A4941" s="10" t="b">
        <v>0</v>
      </c>
      <c r="B4941" s="11" t="str">
        <f>IF(D4941&lt;&gt;"",IF(COUNTIF('USPTO TMs'!A:A,D4941)&gt;0,"Yes","No"),"")</f>
        <v/>
      </c>
      <c r="C4941" s="11"/>
      <c r="D4941" s="11"/>
      <c r="E4941" s="11"/>
      <c r="F4941" s="11"/>
      <c r="G4941" s="11"/>
      <c r="H4941" s="11"/>
      <c r="I4941" s="15"/>
    </row>
    <row r="4942" spans="1:9" ht="16.5">
      <c r="A4942" s="10" t="b">
        <v>0</v>
      </c>
      <c r="B4942" s="11" t="str">
        <f>IF(D4942&lt;&gt;"",IF(COUNTIF('USPTO TMs'!A:A,D4942)&gt;0,"Yes","No"),"")</f>
        <v/>
      </c>
      <c r="C4942" s="11"/>
      <c r="D4942" s="11"/>
      <c r="E4942" s="11"/>
      <c r="F4942" s="11"/>
      <c r="G4942" s="11"/>
      <c r="H4942" s="11"/>
      <c r="I4942" s="15"/>
    </row>
    <row r="4943" spans="1:9" ht="16.5">
      <c r="A4943" s="10" t="b">
        <v>0</v>
      </c>
      <c r="B4943" s="11" t="str">
        <f>IF(D4943&lt;&gt;"",IF(COUNTIF('USPTO TMs'!A:A,D4943)&gt;0,"Yes","No"),"")</f>
        <v/>
      </c>
      <c r="C4943" s="11"/>
      <c r="D4943" s="11"/>
      <c r="E4943" s="11"/>
      <c r="F4943" s="11"/>
      <c r="G4943" s="11"/>
      <c r="H4943" s="11"/>
      <c r="I4943" s="15"/>
    </row>
    <row r="4944" spans="1:9" ht="16.5">
      <c r="A4944" s="10" t="b">
        <v>0</v>
      </c>
      <c r="B4944" s="11" t="str">
        <f>IF(D4944&lt;&gt;"",IF(COUNTIF('USPTO TMs'!A:A,D4944)&gt;0,"Yes","No"),"")</f>
        <v/>
      </c>
      <c r="C4944" s="11"/>
      <c r="D4944" s="11"/>
      <c r="E4944" s="11"/>
      <c r="F4944" s="11"/>
      <c r="G4944" s="11"/>
      <c r="H4944" s="11"/>
      <c r="I4944" s="15"/>
    </row>
    <row r="4945" spans="1:9" ht="16.5">
      <c r="A4945" s="10" t="b">
        <v>0</v>
      </c>
      <c r="B4945" s="11" t="str">
        <f>IF(D4945&lt;&gt;"",IF(COUNTIF('USPTO TMs'!A:A,D4945)&gt;0,"Yes","No"),"")</f>
        <v/>
      </c>
      <c r="C4945" s="11"/>
      <c r="D4945" s="11"/>
      <c r="E4945" s="11"/>
      <c r="F4945" s="11"/>
      <c r="G4945" s="11"/>
      <c r="H4945" s="11"/>
      <c r="I4945" s="15"/>
    </row>
    <row r="4946" spans="1:9" ht="16.5">
      <c r="A4946" s="10" t="b">
        <v>0</v>
      </c>
      <c r="B4946" s="11" t="str">
        <f>IF(D4946&lt;&gt;"",IF(COUNTIF('USPTO TMs'!A:A,D4946)&gt;0,"Yes","No"),"")</f>
        <v/>
      </c>
      <c r="C4946" s="11"/>
      <c r="D4946" s="11"/>
      <c r="E4946" s="11"/>
      <c r="F4946" s="11"/>
      <c r="G4946" s="11"/>
      <c r="H4946" s="11"/>
      <c r="I4946" s="15"/>
    </row>
    <row r="4947" spans="1:9" ht="16.5">
      <c r="A4947" s="10" t="b">
        <v>0</v>
      </c>
      <c r="B4947" s="11" t="str">
        <f>IF(D4947&lt;&gt;"",IF(COUNTIF('USPTO TMs'!A:A,D4947)&gt;0,"Yes","No"),"")</f>
        <v/>
      </c>
      <c r="C4947" s="11"/>
      <c r="D4947" s="11"/>
      <c r="E4947" s="11"/>
      <c r="F4947" s="11"/>
      <c r="G4947" s="11"/>
      <c r="H4947" s="11"/>
      <c r="I4947" s="15"/>
    </row>
    <row r="4948" spans="1:9" ht="16.5">
      <c r="A4948" s="10" t="b">
        <v>0</v>
      </c>
      <c r="B4948" s="11" t="str">
        <f>IF(D4948&lt;&gt;"",IF(COUNTIF('USPTO TMs'!A:A,D4948)&gt;0,"Yes","No"),"")</f>
        <v/>
      </c>
      <c r="C4948" s="11"/>
      <c r="D4948" s="11"/>
      <c r="E4948" s="11"/>
      <c r="F4948" s="11"/>
      <c r="G4948" s="11"/>
      <c r="H4948" s="11"/>
      <c r="I4948" s="15"/>
    </row>
    <row r="4949" spans="1:9" ht="16.5">
      <c r="A4949" s="10" t="b">
        <v>0</v>
      </c>
      <c r="B4949" s="11" t="str">
        <f>IF(D4949&lt;&gt;"",IF(COUNTIF('USPTO TMs'!A:A,D4949)&gt;0,"Yes","No"),"")</f>
        <v/>
      </c>
      <c r="C4949" s="11"/>
      <c r="D4949" s="11"/>
      <c r="E4949" s="11"/>
      <c r="F4949" s="11"/>
      <c r="G4949" s="11"/>
      <c r="H4949" s="11"/>
      <c r="I4949" s="15"/>
    </row>
    <row r="4950" spans="1:9" ht="16.5">
      <c r="A4950" s="10" t="b">
        <v>0</v>
      </c>
      <c r="B4950" s="11" t="str">
        <f>IF(D4950&lt;&gt;"",IF(COUNTIF('USPTO TMs'!A:A,D4950)&gt;0,"Yes","No"),"")</f>
        <v/>
      </c>
      <c r="C4950" s="11"/>
      <c r="D4950" s="11"/>
      <c r="E4950" s="11"/>
      <c r="F4950" s="11"/>
      <c r="G4950" s="11"/>
      <c r="H4950" s="11"/>
      <c r="I4950" s="15"/>
    </row>
    <row r="4951" spans="1:9" ht="16.5">
      <c r="A4951" s="10" t="b">
        <v>0</v>
      </c>
      <c r="B4951" s="11" t="str">
        <f>IF(D4951&lt;&gt;"",IF(COUNTIF('USPTO TMs'!A:A,D4951)&gt;0,"Yes","No"),"")</f>
        <v/>
      </c>
      <c r="C4951" s="11"/>
      <c r="D4951" s="11"/>
      <c r="E4951" s="11"/>
      <c r="F4951" s="11"/>
      <c r="G4951" s="11"/>
      <c r="H4951" s="11"/>
      <c r="I4951" s="15"/>
    </row>
    <row r="4952" spans="1:9" ht="16.5">
      <c r="A4952" s="10" t="b">
        <v>0</v>
      </c>
      <c r="B4952" s="11" t="str">
        <f>IF(D4952&lt;&gt;"",IF(COUNTIF('USPTO TMs'!A:A,D4952)&gt;0,"Yes","No"),"")</f>
        <v/>
      </c>
      <c r="C4952" s="11"/>
      <c r="D4952" s="11"/>
      <c r="E4952" s="11"/>
      <c r="F4952" s="11"/>
      <c r="G4952" s="11"/>
      <c r="H4952" s="11"/>
      <c r="I4952" s="15"/>
    </row>
    <row r="4953" spans="1:9" ht="16.5">
      <c r="A4953" s="10" t="b">
        <v>0</v>
      </c>
      <c r="B4953" s="11" t="str">
        <f>IF(D4953&lt;&gt;"",IF(COUNTIF('USPTO TMs'!A:A,D4953)&gt;0,"Yes","No"),"")</f>
        <v/>
      </c>
      <c r="C4953" s="11"/>
      <c r="D4953" s="11"/>
      <c r="E4953" s="11"/>
      <c r="F4953" s="11"/>
      <c r="G4953" s="11"/>
      <c r="H4953" s="11"/>
      <c r="I4953" s="15"/>
    </row>
    <row r="4954" spans="1:9" ht="16.5">
      <c r="A4954" s="10" t="b">
        <v>0</v>
      </c>
      <c r="B4954" s="11" t="str">
        <f>IF(D4954&lt;&gt;"",IF(COUNTIF('USPTO TMs'!A:A,D4954)&gt;0,"Yes","No"),"")</f>
        <v/>
      </c>
      <c r="C4954" s="11"/>
      <c r="D4954" s="11"/>
      <c r="E4954" s="11"/>
      <c r="F4954" s="11"/>
      <c r="G4954" s="11"/>
      <c r="H4954" s="11"/>
      <c r="I4954" s="15"/>
    </row>
    <row r="4955" spans="1:9" ht="16.5">
      <c r="A4955" s="10" t="b">
        <v>0</v>
      </c>
      <c r="B4955" s="11" t="str">
        <f>IF(D4955&lt;&gt;"",IF(COUNTIF('USPTO TMs'!A:A,D4955)&gt;0,"Yes","No"),"")</f>
        <v/>
      </c>
      <c r="C4955" s="11"/>
      <c r="D4955" s="11"/>
      <c r="E4955" s="11"/>
      <c r="F4955" s="11"/>
      <c r="G4955" s="11"/>
      <c r="H4955" s="11"/>
      <c r="I4955" s="15"/>
    </row>
    <row r="4956" spans="1:9" ht="16.5">
      <c r="A4956" s="10" t="b">
        <v>0</v>
      </c>
      <c r="B4956" s="11" t="str">
        <f>IF(D4956&lt;&gt;"",IF(COUNTIF('USPTO TMs'!A:A,D4956)&gt;0,"Yes","No"),"")</f>
        <v/>
      </c>
      <c r="C4956" s="11"/>
      <c r="D4956" s="11"/>
      <c r="E4956" s="11"/>
      <c r="F4956" s="11"/>
      <c r="G4956" s="11"/>
      <c r="H4956" s="11"/>
      <c r="I4956" s="15"/>
    </row>
    <row r="4957" spans="1:9" ht="16.5">
      <c r="A4957" s="10" t="b">
        <v>0</v>
      </c>
      <c r="B4957" s="11" t="str">
        <f>IF(D4957&lt;&gt;"",IF(COUNTIF('USPTO TMs'!A:A,D4957)&gt;0,"Yes","No"),"")</f>
        <v/>
      </c>
      <c r="C4957" s="11"/>
      <c r="D4957" s="11"/>
      <c r="E4957" s="11"/>
      <c r="F4957" s="11"/>
      <c r="G4957" s="11"/>
      <c r="H4957" s="11"/>
      <c r="I4957" s="15"/>
    </row>
    <row r="4958" spans="1:9" ht="16.5">
      <c r="A4958" s="10" t="b">
        <v>0</v>
      </c>
      <c r="B4958" s="11" t="str">
        <f>IF(D4958&lt;&gt;"",IF(COUNTIF('USPTO TMs'!A:A,D4958)&gt;0,"Yes","No"),"")</f>
        <v/>
      </c>
      <c r="C4958" s="11"/>
      <c r="D4958" s="11"/>
      <c r="E4958" s="11"/>
      <c r="F4958" s="11"/>
      <c r="G4958" s="11"/>
      <c r="H4958" s="11"/>
      <c r="I4958" s="15"/>
    </row>
    <row r="4959" spans="1:9" ht="16.5">
      <c r="A4959" s="10" t="b">
        <v>0</v>
      </c>
      <c r="B4959" s="11" t="str">
        <f>IF(D4959&lt;&gt;"",IF(COUNTIF('USPTO TMs'!A:A,D4959)&gt;0,"Yes","No"),"")</f>
        <v/>
      </c>
      <c r="C4959" s="11"/>
      <c r="D4959" s="11"/>
      <c r="E4959" s="11"/>
      <c r="F4959" s="11"/>
      <c r="G4959" s="11"/>
      <c r="H4959" s="11"/>
      <c r="I4959" s="15"/>
    </row>
    <row r="4960" spans="1:9" ht="16.5">
      <c r="A4960" s="10" t="b">
        <v>0</v>
      </c>
      <c r="B4960" s="11" t="str">
        <f>IF(D4960&lt;&gt;"",IF(COUNTIF('USPTO TMs'!A:A,D4960)&gt;0,"Yes","No"),"")</f>
        <v/>
      </c>
      <c r="C4960" s="11"/>
      <c r="D4960" s="11"/>
      <c r="E4960" s="11"/>
      <c r="F4960" s="11"/>
      <c r="G4960" s="11"/>
      <c r="H4960" s="11"/>
      <c r="I4960" s="15"/>
    </row>
    <row r="4961" spans="1:9" ht="16.5">
      <c r="A4961" s="10" t="b">
        <v>0</v>
      </c>
      <c r="B4961" s="11" t="str">
        <f>IF(D4961&lt;&gt;"",IF(COUNTIF('USPTO TMs'!A:A,D4961)&gt;0,"Yes","No"),"")</f>
        <v/>
      </c>
      <c r="C4961" s="11"/>
      <c r="D4961" s="11"/>
      <c r="E4961" s="11"/>
      <c r="F4961" s="11"/>
      <c r="G4961" s="11"/>
      <c r="H4961" s="11"/>
      <c r="I4961" s="15"/>
    </row>
    <row r="4962" spans="1:9" ht="16.5">
      <c r="A4962" s="10" t="b">
        <v>0</v>
      </c>
      <c r="B4962" s="11" t="str">
        <f>IF(D4962&lt;&gt;"",IF(COUNTIF('USPTO TMs'!A:A,D4962)&gt;0,"Yes","No"),"")</f>
        <v/>
      </c>
      <c r="C4962" s="11"/>
      <c r="D4962" s="11"/>
      <c r="E4962" s="11"/>
      <c r="F4962" s="11"/>
      <c r="G4962" s="11"/>
      <c r="H4962" s="11"/>
      <c r="I4962" s="15"/>
    </row>
    <row r="4963" spans="1:9" ht="16.5">
      <c r="A4963" s="10" t="b">
        <v>0</v>
      </c>
      <c r="B4963" s="11" t="str">
        <f>IF(D4963&lt;&gt;"",IF(COUNTIF('USPTO TMs'!A:A,D4963)&gt;0,"Yes","No"),"")</f>
        <v/>
      </c>
      <c r="C4963" s="11"/>
      <c r="D4963" s="11"/>
      <c r="E4963" s="11"/>
      <c r="F4963" s="11"/>
      <c r="G4963" s="11"/>
      <c r="H4963" s="11"/>
      <c r="I4963" s="15"/>
    </row>
    <row r="4964" spans="1:9" ht="16.5">
      <c r="A4964" s="10" t="b">
        <v>0</v>
      </c>
      <c r="B4964" s="11" t="str">
        <f>IF(D4964&lt;&gt;"",IF(COUNTIF('USPTO TMs'!A:A,D4964)&gt;0,"Yes","No"),"")</f>
        <v/>
      </c>
      <c r="C4964" s="11"/>
      <c r="D4964" s="11"/>
      <c r="E4964" s="11"/>
      <c r="F4964" s="11"/>
      <c r="G4964" s="11"/>
      <c r="H4964" s="11"/>
      <c r="I4964" s="15"/>
    </row>
    <row r="4965" spans="1:9" ht="16.5">
      <c r="A4965" s="10" t="b">
        <v>0</v>
      </c>
      <c r="B4965" s="11" t="str">
        <f>IF(D4965&lt;&gt;"",IF(COUNTIF('USPTO TMs'!A:A,D4965)&gt;0,"Yes","No"),"")</f>
        <v/>
      </c>
      <c r="C4965" s="11"/>
      <c r="D4965" s="11"/>
      <c r="E4965" s="11"/>
      <c r="F4965" s="11"/>
      <c r="G4965" s="11"/>
      <c r="H4965" s="11"/>
      <c r="I4965" s="15"/>
    </row>
    <row r="4966" spans="1:9" ht="16.5">
      <c r="A4966" s="10" t="b">
        <v>0</v>
      </c>
      <c r="B4966" s="11" t="str">
        <f>IF(D4966&lt;&gt;"",IF(COUNTIF('USPTO TMs'!A:A,D4966)&gt;0,"Yes","No"),"")</f>
        <v/>
      </c>
      <c r="C4966" s="11"/>
      <c r="D4966" s="11"/>
      <c r="E4966" s="11"/>
      <c r="F4966" s="11"/>
      <c r="G4966" s="11"/>
      <c r="H4966" s="11"/>
      <c r="I4966" s="15"/>
    </row>
    <row r="4967" spans="1:9" ht="16.5">
      <c r="A4967" s="10" t="b">
        <v>0</v>
      </c>
      <c r="B4967" s="11" t="str">
        <f>IF(D4967&lt;&gt;"",IF(COUNTIF('USPTO TMs'!A:A,D4967)&gt;0,"Yes","No"),"")</f>
        <v/>
      </c>
      <c r="C4967" s="11"/>
      <c r="D4967" s="11"/>
      <c r="E4967" s="11"/>
      <c r="F4967" s="11"/>
      <c r="G4967" s="11"/>
      <c r="H4967" s="11"/>
      <c r="I4967" s="15"/>
    </row>
    <row r="4968" spans="1:9" ht="16.5">
      <c r="A4968" s="10" t="b">
        <v>0</v>
      </c>
      <c r="B4968" s="11" t="str">
        <f>IF(D4968&lt;&gt;"",IF(COUNTIF('USPTO TMs'!A:A,D4968)&gt;0,"Yes","No"),"")</f>
        <v/>
      </c>
      <c r="C4968" s="11"/>
      <c r="D4968" s="11"/>
      <c r="E4968" s="11"/>
      <c r="F4968" s="11"/>
      <c r="G4968" s="11"/>
      <c r="H4968" s="11"/>
      <c r="I4968" s="15"/>
    </row>
    <row r="4969" spans="1:9" ht="16.5">
      <c r="A4969" s="10" t="b">
        <v>0</v>
      </c>
      <c r="B4969" s="11" t="str">
        <f>IF(D4969&lt;&gt;"",IF(COUNTIF('USPTO TMs'!A:A,D4969)&gt;0,"Yes","No"),"")</f>
        <v/>
      </c>
      <c r="C4969" s="11"/>
      <c r="D4969" s="11"/>
      <c r="E4969" s="11"/>
      <c r="F4969" s="11"/>
      <c r="G4969" s="11"/>
      <c r="H4969" s="11"/>
      <c r="I4969" s="15"/>
    </row>
    <row r="4970" spans="1:9" ht="16.5">
      <c r="A4970" s="10" t="b">
        <v>0</v>
      </c>
      <c r="B4970" s="11" t="str">
        <f>IF(D4970&lt;&gt;"",IF(COUNTIF('USPTO TMs'!A:A,D4970)&gt;0,"Yes","No"),"")</f>
        <v/>
      </c>
      <c r="C4970" s="11"/>
      <c r="D4970" s="11"/>
      <c r="E4970" s="11"/>
      <c r="F4970" s="11"/>
      <c r="G4970" s="11"/>
      <c r="H4970" s="11"/>
      <c r="I4970" s="15"/>
    </row>
    <row r="4971" spans="1:9" ht="16.5">
      <c r="A4971" s="10" t="b">
        <v>0</v>
      </c>
      <c r="B4971" s="11" t="str">
        <f>IF(D4971&lt;&gt;"",IF(COUNTIF('USPTO TMs'!A:A,D4971)&gt;0,"Yes","No"),"")</f>
        <v/>
      </c>
      <c r="C4971" s="11"/>
      <c r="D4971" s="11"/>
      <c r="E4971" s="11"/>
      <c r="F4971" s="11"/>
      <c r="G4971" s="11"/>
      <c r="H4971" s="11"/>
      <c r="I4971" s="15"/>
    </row>
    <row r="4972" spans="1:9" ht="16.5">
      <c r="A4972" s="10" t="b">
        <v>0</v>
      </c>
      <c r="B4972" s="11" t="str">
        <f>IF(D4972&lt;&gt;"",IF(COUNTIF('USPTO TMs'!A:A,D4972)&gt;0,"Yes","No"),"")</f>
        <v/>
      </c>
      <c r="C4972" s="11"/>
      <c r="D4972" s="11"/>
      <c r="E4972" s="11"/>
      <c r="F4972" s="11"/>
      <c r="G4972" s="11"/>
      <c r="H4972" s="11"/>
      <c r="I4972" s="15"/>
    </row>
    <row r="4973" spans="1:9" ht="16.5">
      <c r="A4973" s="10" t="b">
        <v>0</v>
      </c>
      <c r="B4973" s="11" t="str">
        <f>IF(D4973&lt;&gt;"",IF(COUNTIF('USPTO TMs'!A:A,D4973)&gt;0,"Yes","No"),"")</f>
        <v/>
      </c>
      <c r="C4973" s="11"/>
      <c r="D4973" s="11"/>
      <c r="E4973" s="11"/>
      <c r="F4973" s="11"/>
      <c r="G4973" s="11"/>
      <c r="H4973" s="11"/>
      <c r="I4973" s="15"/>
    </row>
    <row r="4974" spans="1:9" ht="16.5">
      <c r="A4974" s="10" t="b">
        <v>0</v>
      </c>
      <c r="B4974" s="11" t="str">
        <f>IF(D4974&lt;&gt;"",IF(COUNTIF('USPTO TMs'!A:A,D4974)&gt;0,"Yes","No"),"")</f>
        <v/>
      </c>
      <c r="C4974" s="11"/>
      <c r="D4974" s="11"/>
      <c r="E4974" s="11"/>
      <c r="F4974" s="11"/>
      <c r="G4974" s="11"/>
      <c r="H4974" s="11"/>
      <c r="I4974" s="15"/>
    </row>
    <row r="4975" spans="1:9" ht="16.5">
      <c r="A4975" s="10" t="b">
        <v>0</v>
      </c>
      <c r="B4975" s="11" t="str">
        <f>IF(D4975&lt;&gt;"",IF(COUNTIF('USPTO TMs'!A:A,D4975)&gt;0,"Yes","No"),"")</f>
        <v/>
      </c>
      <c r="C4975" s="11"/>
      <c r="D4975" s="11"/>
      <c r="E4975" s="11"/>
      <c r="F4975" s="11"/>
      <c r="G4975" s="11"/>
      <c r="H4975" s="11"/>
      <c r="I4975" s="15"/>
    </row>
    <row r="4976" spans="1:9" ht="16.5">
      <c r="A4976" s="10" t="b">
        <v>0</v>
      </c>
      <c r="B4976" s="11" t="str">
        <f>IF(D4976&lt;&gt;"",IF(COUNTIF('USPTO TMs'!A:A,D4976)&gt;0,"Yes","No"),"")</f>
        <v/>
      </c>
      <c r="C4976" s="11"/>
      <c r="D4976" s="11"/>
      <c r="E4976" s="11"/>
      <c r="F4976" s="11"/>
      <c r="G4976" s="11"/>
      <c r="H4976" s="11"/>
      <c r="I4976" s="15"/>
    </row>
    <row r="4977" spans="1:9" ht="16.5">
      <c r="A4977" s="10" t="b">
        <v>0</v>
      </c>
      <c r="B4977" s="11" t="str">
        <f>IF(D4977&lt;&gt;"",IF(COUNTIF('USPTO TMs'!A:A,D4977)&gt;0,"Yes","No"),"")</f>
        <v/>
      </c>
      <c r="C4977" s="11"/>
      <c r="D4977" s="11"/>
      <c r="E4977" s="11"/>
      <c r="F4977" s="11"/>
      <c r="G4977" s="11"/>
      <c r="H4977" s="11"/>
      <c r="I4977" s="15"/>
    </row>
    <row r="4978" spans="1:9" ht="16.5">
      <c r="A4978" s="10" t="b">
        <v>0</v>
      </c>
      <c r="B4978" s="11" t="str">
        <f>IF(D4978&lt;&gt;"",IF(COUNTIF('USPTO TMs'!A:A,D4978)&gt;0,"Yes","No"),"")</f>
        <v/>
      </c>
      <c r="C4978" s="11"/>
      <c r="D4978" s="11"/>
      <c r="E4978" s="11"/>
      <c r="F4978" s="11"/>
      <c r="G4978" s="11"/>
      <c r="H4978" s="11"/>
      <c r="I4978" s="15"/>
    </row>
    <row r="4979" spans="1:9" ht="16.5">
      <c r="A4979" s="10" t="b">
        <v>0</v>
      </c>
      <c r="B4979" s="11" t="str">
        <f>IF(D4979&lt;&gt;"",IF(COUNTIF('USPTO TMs'!A:A,D4979)&gt;0,"Yes","No"),"")</f>
        <v/>
      </c>
      <c r="C4979" s="11"/>
      <c r="D4979" s="11"/>
      <c r="E4979" s="11"/>
      <c r="F4979" s="11"/>
      <c r="G4979" s="11"/>
      <c r="H4979" s="11"/>
      <c r="I4979" s="15"/>
    </row>
    <row r="4980" spans="1:9" ht="16.5">
      <c r="A4980" s="10" t="b">
        <v>0</v>
      </c>
      <c r="B4980" s="11" t="str">
        <f>IF(D4980&lt;&gt;"",IF(COUNTIF('USPTO TMs'!A:A,D4980)&gt;0,"Yes","No"),"")</f>
        <v/>
      </c>
      <c r="C4980" s="11"/>
      <c r="D4980" s="11"/>
      <c r="E4980" s="11"/>
      <c r="F4980" s="11"/>
      <c r="G4980" s="11"/>
      <c r="H4980" s="11"/>
      <c r="I4980" s="15"/>
    </row>
    <row r="4981" spans="1:9" ht="16.5">
      <c r="A4981" s="10" t="b">
        <v>0</v>
      </c>
      <c r="B4981" s="11" t="str">
        <f>IF(D4981&lt;&gt;"",IF(COUNTIF('USPTO TMs'!A:A,D4981)&gt;0,"Yes","No"),"")</f>
        <v/>
      </c>
      <c r="C4981" s="11"/>
      <c r="D4981" s="11"/>
      <c r="E4981" s="11"/>
      <c r="F4981" s="11"/>
      <c r="G4981" s="11"/>
      <c r="H4981" s="11"/>
      <c r="I4981" s="15"/>
    </row>
    <row r="4982" spans="1:9" ht="16.5">
      <c r="A4982" s="10" t="b">
        <v>0</v>
      </c>
      <c r="B4982" s="11" t="str">
        <f>IF(D4982&lt;&gt;"",IF(COUNTIF('USPTO TMs'!A:A,D4982)&gt;0,"Yes","No"),"")</f>
        <v/>
      </c>
      <c r="C4982" s="11"/>
      <c r="D4982" s="11"/>
      <c r="E4982" s="11"/>
      <c r="F4982" s="11"/>
      <c r="G4982" s="11"/>
      <c r="H4982" s="11"/>
      <c r="I4982" s="15"/>
    </row>
    <row r="4983" spans="1:9" ht="16.5">
      <c r="A4983" s="10" t="b">
        <v>0</v>
      </c>
      <c r="B4983" s="11" t="str">
        <f>IF(D4983&lt;&gt;"",IF(COUNTIF('USPTO TMs'!A:A,D4983)&gt;0,"Yes","No"),"")</f>
        <v/>
      </c>
      <c r="C4983" s="11"/>
      <c r="D4983" s="11"/>
      <c r="E4983" s="11"/>
      <c r="F4983" s="11"/>
      <c r="G4983" s="11"/>
      <c r="H4983" s="11"/>
      <c r="I4983" s="15"/>
    </row>
    <row r="4984" spans="1:9" ht="16.5">
      <c r="A4984" s="10" t="b">
        <v>0</v>
      </c>
      <c r="B4984" s="11" t="str">
        <f>IF(D4984&lt;&gt;"",IF(COUNTIF('USPTO TMs'!A:A,D4984)&gt;0,"Yes","No"),"")</f>
        <v/>
      </c>
      <c r="C4984" s="11"/>
      <c r="D4984" s="11"/>
      <c r="E4984" s="11"/>
      <c r="F4984" s="11"/>
      <c r="G4984" s="11"/>
      <c r="H4984" s="11"/>
      <c r="I4984" s="15"/>
    </row>
    <row r="4985" spans="1:9" ht="16.5">
      <c r="A4985" s="10" t="b">
        <v>0</v>
      </c>
      <c r="B4985" s="11" t="str">
        <f>IF(D4985&lt;&gt;"",IF(COUNTIF('USPTO TMs'!A:A,D4985)&gt;0,"Yes","No"),"")</f>
        <v/>
      </c>
      <c r="C4985" s="11"/>
      <c r="D4985" s="11"/>
      <c r="E4985" s="11"/>
      <c r="F4985" s="11"/>
      <c r="G4985" s="11"/>
      <c r="H4985" s="11"/>
      <c r="I4985" s="15"/>
    </row>
    <row r="4986" spans="1:9" ht="16.5">
      <c r="A4986" s="10" t="b">
        <v>0</v>
      </c>
      <c r="B4986" s="11" t="str">
        <f>IF(D4986&lt;&gt;"",IF(COUNTIF('USPTO TMs'!A:A,D4986)&gt;0,"Yes","No"),"")</f>
        <v/>
      </c>
      <c r="C4986" s="11"/>
      <c r="D4986" s="11"/>
      <c r="E4986" s="11"/>
      <c r="F4986" s="11"/>
      <c r="G4986" s="11"/>
      <c r="H4986" s="11"/>
      <c r="I4986" s="15"/>
    </row>
    <row r="4987" spans="1:9" ht="16.5">
      <c r="A4987" s="10" t="b">
        <v>0</v>
      </c>
      <c r="B4987" s="11" t="str">
        <f>IF(D4987&lt;&gt;"",IF(COUNTIF('USPTO TMs'!A:A,D4987)&gt;0,"Yes","No"),"")</f>
        <v/>
      </c>
      <c r="C4987" s="11"/>
      <c r="D4987" s="11"/>
      <c r="E4987" s="11"/>
      <c r="F4987" s="11"/>
      <c r="G4987" s="11"/>
      <c r="H4987" s="11"/>
      <c r="I4987" s="15"/>
    </row>
    <row r="4988" spans="1:9" ht="16.5">
      <c r="A4988" s="10" t="b">
        <v>0</v>
      </c>
      <c r="B4988" s="11" t="str">
        <f>IF(D4988&lt;&gt;"",IF(COUNTIF('USPTO TMs'!A:A,D4988)&gt;0,"Yes","No"),"")</f>
        <v/>
      </c>
      <c r="C4988" s="11"/>
      <c r="D4988" s="11"/>
      <c r="E4988" s="11"/>
      <c r="F4988" s="11"/>
      <c r="G4988" s="11"/>
      <c r="H4988" s="11"/>
      <c r="I4988" s="15"/>
    </row>
    <row r="4989" spans="1:9" ht="16.5">
      <c r="A4989" s="10" t="b">
        <v>0</v>
      </c>
      <c r="B4989" s="11" t="str">
        <f>IF(D4989&lt;&gt;"",IF(COUNTIF('USPTO TMs'!A:A,D4989)&gt;0,"Yes","No"),"")</f>
        <v/>
      </c>
      <c r="C4989" s="11"/>
      <c r="D4989" s="11"/>
      <c r="E4989" s="11"/>
      <c r="F4989" s="11"/>
      <c r="G4989" s="11"/>
      <c r="H4989" s="11"/>
      <c r="I4989" s="15"/>
    </row>
    <row r="4990" spans="1:9" ht="16.5">
      <c r="A4990" s="10" t="b">
        <v>0</v>
      </c>
      <c r="B4990" s="11" t="str">
        <f>IF(D4990&lt;&gt;"",IF(COUNTIF('USPTO TMs'!A:A,D4990)&gt;0,"Yes","No"),"")</f>
        <v/>
      </c>
      <c r="C4990" s="11"/>
      <c r="D4990" s="11"/>
      <c r="E4990" s="11"/>
      <c r="F4990" s="11"/>
      <c r="G4990" s="11"/>
      <c r="H4990" s="11"/>
      <c r="I4990" s="15"/>
    </row>
    <row r="4991" spans="1:9" ht="16.5">
      <c r="A4991" s="10" t="b">
        <v>0</v>
      </c>
      <c r="B4991" s="11" t="str">
        <f>IF(D4991&lt;&gt;"",IF(COUNTIF('USPTO TMs'!A:A,D4991)&gt;0,"Yes","No"),"")</f>
        <v/>
      </c>
      <c r="C4991" s="11"/>
      <c r="D4991" s="11"/>
      <c r="E4991" s="11"/>
      <c r="F4991" s="11"/>
      <c r="G4991" s="11"/>
      <c r="H4991" s="11"/>
      <c r="I4991" s="15"/>
    </row>
    <row r="4992" spans="1:9" ht="16.5">
      <c r="A4992" s="10" t="b">
        <v>0</v>
      </c>
      <c r="B4992" s="11" t="str">
        <f>IF(D4992&lt;&gt;"",IF(COUNTIF('USPTO TMs'!A:A,D4992)&gt;0,"Yes","No"),"")</f>
        <v/>
      </c>
      <c r="C4992" s="11"/>
      <c r="D4992" s="11"/>
      <c r="E4992" s="11"/>
      <c r="F4992" s="11"/>
      <c r="G4992" s="11"/>
      <c r="H4992" s="11"/>
      <c r="I4992" s="15"/>
    </row>
    <row r="4993" spans="1:9" ht="16.5">
      <c r="A4993" s="10" t="b">
        <v>0</v>
      </c>
      <c r="B4993" s="11" t="str">
        <f>IF(D4993&lt;&gt;"",IF(COUNTIF('USPTO TMs'!A:A,D4993)&gt;0,"Yes","No"),"")</f>
        <v/>
      </c>
      <c r="C4993" s="11"/>
      <c r="D4993" s="11"/>
      <c r="E4993" s="11"/>
      <c r="F4993" s="11"/>
      <c r="G4993" s="11"/>
      <c r="H4993" s="11"/>
      <c r="I4993" s="15"/>
    </row>
    <row r="4994" spans="1:9" ht="16.5">
      <c r="A4994" s="10" t="b">
        <v>0</v>
      </c>
      <c r="B4994" s="11" t="str">
        <f>IF(D4994&lt;&gt;"",IF(COUNTIF('USPTO TMs'!A:A,D4994)&gt;0,"Yes","No"),"")</f>
        <v/>
      </c>
      <c r="C4994" s="11"/>
      <c r="D4994" s="11"/>
      <c r="E4994" s="11"/>
      <c r="F4994" s="11"/>
      <c r="G4994" s="11"/>
      <c r="H4994" s="11"/>
      <c r="I4994" s="15"/>
    </row>
    <row r="4995" spans="1:9" ht="16.5">
      <c r="A4995" s="10" t="b">
        <v>0</v>
      </c>
      <c r="B4995" s="11" t="str">
        <f>IF(D4995&lt;&gt;"",IF(COUNTIF('USPTO TMs'!A:A,D4995)&gt;0,"Yes","No"),"")</f>
        <v/>
      </c>
      <c r="C4995" s="11"/>
      <c r="D4995" s="11"/>
      <c r="E4995" s="11"/>
      <c r="F4995" s="11"/>
      <c r="G4995" s="11"/>
      <c r="H4995" s="11"/>
      <c r="I4995" s="15"/>
    </row>
    <row r="4996" spans="1:9" ht="16.5">
      <c r="A4996" s="10" t="b">
        <v>0</v>
      </c>
      <c r="B4996" s="11" t="str">
        <f>IF(D4996&lt;&gt;"",IF(COUNTIF('USPTO TMs'!A:A,D4996)&gt;0,"Yes","No"),"")</f>
        <v/>
      </c>
      <c r="C4996" s="11"/>
      <c r="D4996" s="11"/>
      <c r="E4996" s="11"/>
      <c r="F4996" s="11"/>
      <c r="G4996" s="11"/>
      <c r="H4996" s="11"/>
      <c r="I4996" s="15"/>
    </row>
    <row r="4997" spans="1:9" ht="16.5">
      <c r="A4997" s="10" t="b">
        <v>0</v>
      </c>
      <c r="B4997" s="11" t="str">
        <f>IF(D4997&lt;&gt;"",IF(COUNTIF('USPTO TMs'!A:A,D4997)&gt;0,"Yes","No"),"")</f>
        <v/>
      </c>
      <c r="C4997" s="11"/>
      <c r="D4997" s="11"/>
      <c r="E4997" s="11"/>
      <c r="F4997" s="11"/>
      <c r="G4997" s="11"/>
      <c r="H4997" s="11"/>
      <c r="I4997" s="15"/>
    </row>
    <row r="4998" spans="1:9" ht="16.5">
      <c r="A4998" s="10" t="b">
        <v>0</v>
      </c>
      <c r="B4998" s="11" t="str">
        <f>IF(D4998&lt;&gt;"",IF(COUNTIF('USPTO TMs'!A:A,D4998)&gt;0,"Yes","No"),"")</f>
        <v/>
      </c>
      <c r="C4998" s="11"/>
      <c r="D4998" s="11"/>
      <c r="E4998" s="11"/>
      <c r="F4998" s="11"/>
      <c r="G4998" s="11"/>
      <c r="H4998" s="11"/>
      <c r="I4998" s="15"/>
    </row>
    <row r="4999" spans="1:9" ht="16.5">
      <c r="A4999" s="10" t="b">
        <v>0</v>
      </c>
      <c r="B4999" s="11" t="str">
        <f>IF(D4999&lt;&gt;"",IF(COUNTIF('USPTO TMs'!A:A,D4999)&gt;0,"Yes","No"),"")</f>
        <v/>
      </c>
      <c r="C4999" s="11"/>
      <c r="D4999" s="11"/>
      <c r="E4999" s="11"/>
      <c r="F4999" s="11"/>
      <c r="G4999" s="11"/>
      <c r="H4999" s="11"/>
      <c r="I4999" s="15"/>
    </row>
    <row r="5000" spans="1:9" ht="16.5">
      <c r="A5000" s="10" t="b">
        <v>0</v>
      </c>
      <c r="B5000" s="11" t="str">
        <f>IF(D5000&lt;&gt;"",IF(COUNTIF('USPTO TMs'!A:A,D5000)&gt;0,"Yes","No"),"")</f>
        <v/>
      </c>
      <c r="C5000" s="11"/>
      <c r="D5000" s="11"/>
      <c r="E5000" s="11"/>
      <c r="F5000" s="11"/>
      <c r="G5000" s="11"/>
      <c r="H5000" s="11"/>
      <c r="I5000" s="15"/>
    </row>
    <row r="5001" spans="1:9" ht="16.5">
      <c r="A5001" s="10" t="b">
        <v>0</v>
      </c>
      <c r="B5001" s="11" t="str">
        <f>IF(D5001&lt;&gt;"",IF(COUNTIF('USPTO TMs'!A:A,D5001)&gt;0,"Yes","No"),"")</f>
        <v/>
      </c>
      <c r="C5001" s="11"/>
      <c r="D5001" s="11"/>
      <c r="E5001" s="11"/>
      <c r="F5001" s="11"/>
      <c r="G5001" s="11"/>
      <c r="H5001" s="11"/>
      <c r="I5001" s="15"/>
    </row>
    <row r="5002" spans="1:9" ht="16.5">
      <c r="A5002" s="10" t="b">
        <v>0</v>
      </c>
      <c r="B5002" s="11" t="str">
        <f>IF(D5002&lt;&gt;"",IF(COUNTIF('USPTO TMs'!A:A,D5002)&gt;0,"Yes","No"),"")</f>
        <v/>
      </c>
      <c r="C5002" s="11"/>
      <c r="D5002" s="11"/>
      <c r="E5002" s="11"/>
      <c r="F5002" s="11"/>
      <c r="G5002" s="11"/>
      <c r="H5002" s="11"/>
      <c r="I5002" s="15"/>
    </row>
    <row r="5003" spans="1:9" ht="16.5">
      <c r="A5003" s="10" t="b">
        <v>0</v>
      </c>
      <c r="B5003" s="11" t="str">
        <f>IF(D5003&lt;&gt;"",IF(COUNTIF('USPTO TMs'!A:A,D5003)&gt;0,"Yes","No"),"")</f>
        <v/>
      </c>
      <c r="C5003" s="11"/>
      <c r="D5003" s="11"/>
      <c r="E5003" s="11"/>
      <c r="F5003" s="11"/>
      <c r="G5003" s="11"/>
      <c r="H5003" s="11"/>
      <c r="I5003" s="15"/>
    </row>
    <row r="5004" spans="1:9" ht="16.5">
      <c r="A5004" s="10" t="b">
        <v>0</v>
      </c>
      <c r="B5004" s="11" t="str">
        <f>IF(D5004&lt;&gt;"",IF(COUNTIF('USPTO TMs'!A:A,D5004)&gt;0,"Yes","No"),"")</f>
        <v/>
      </c>
      <c r="C5004" s="11"/>
      <c r="D5004" s="11"/>
      <c r="E5004" s="11"/>
      <c r="F5004" s="11"/>
      <c r="G5004" s="11"/>
      <c r="H5004" s="11"/>
      <c r="I5004" s="15"/>
    </row>
    <row r="5005" spans="1:9" ht="16.5">
      <c r="A5005" s="10" t="b">
        <v>0</v>
      </c>
      <c r="B5005" s="11" t="str">
        <f>IF(D5005&lt;&gt;"",IF(COUNTIF('USPTO TMs'!A:A,D5005)&gt;0,"Yes","No"),"")</f>
        <v/>
      </c>
      <c r="C5005" s="11"/>
      <c r="D5005" s="11"/>
      <c r="E5005" s="11"/>
      <c r="F5005" s="11"/>
      <c r="G5005" s="11"/>
      <c r="H5005" s="11"/>
      <c r="I5005" s="15"/>
    </row>
    <row r="5006" spans="1:9" ht="16.5">
      <c r="A5006" s="10" t="b">
        <v>0</v>
      </c>
      <c r="B5006" s="11" t="str">
        <f>IF(D5006&lt;&gt;"",IF(COUNTIF('USPTO TMs'!A:A,D5006)&gt;0,"Yes","No"),"")</f>
        <v/>
      </c>
      <c r="C5006" s="11"/>
      <c r="D5006" s="11"/>
      <c r="E5006" s="11"/>
      <c r="F5006" s="11"/>
      <c r="G5006" s="11"/>
      <c r="H5006" s="11"/>
      <c r="I5006" s="15"/>
    </row>
    <row r="5007" spans="1:9" ht="16.5">
      <c r="A5007" s="10" t="b">
        <v>0</v>
      </c>
      <c r="B5007" s="11" t="str">
        <f>IF(D5007&lt;&gt;"",IF(COUNTIF('USPTO TMs'!A:A,D5007)&gt;0,"Yes","No"),"")</f>
        <v/>
      </c>
      <c r="C5007" s="11"/>
      <c r="D5007" s="11"/>
      <c r="E5007" s="11"/>
      <c r="F5007" s="11"/>
      <c r="G5007" s="11"/>
      <c r="H5007" s="11"/>
      <c r="I5007" s="15"/>
    </row>
    <row r="5008" spans="1:9" ht="16.5">
      <c r="A5008" s="10" t="b">
        <v>0</v>
      </c>
      <c r="B5008" s="11" t="str">
        <f>IF(D5008&lt;&gt;"",IF(COUNTIF('USPTO TMs'!A:A,D5008)&gt;0,"Yes","No"),"")</f>
        <v/>
      </c>
      <c r="C5008" s="11"/>
      <c r="D5008" s="11"/>
      <c r="E5008" s="11"/>
      <c r="F5008" s="11"/>
      <c r="G5008" s="11"/>
      <c r="H5008" s="11"/>
      <c r="I5008" s="15"/>
    </row>
    <row r="5009" spans="1:9" ht="16.5">
      <c r="A5009" s="10" t="b">
        <v>0</v>
      </c>
      <c r="B5009" s="11" t="str">
        <f>IF(D5009&lt;&gt;"",IF(COUNTIF('USPTO TMs'!A:A,D5009)&gt;0,"Yes","No"),"")</f>
        <v/>
      </c>
      <c r="C5009" s="11"/>
      <c r="D5009" s="11"/>
      <c r="E5009" s="11"/>
      <c r="F5009" s="11"/>
      <c r="G5009" s="11"/>
      <c r="H5009" s="11"/>
      <c r="I5009" s="15"/>
    </row>
    <row r="5010" spans="1:9" ht="16.5">
      <c r="A5010" s="10" t="b">
        <v>0</v>
      </c>
      <c r="B5010" s="11" t="str">
        <f>IF(D5010&lt;&gt;"",IF(COUNTIF('USPTO TMs'!A:A,D5010)&gt;0,"Yes","No"),"")</f>
        <v/>
      </c>
      <c r="C5010" s="11"/>
      <c r="D5010" s="11"/>
      <c r="E5010" s="11"/>
      <c r="F5010" s="11"/>
      <c r="G5010" s="11"/>
      <c r="H5010" s="11"/>
      <c r="I5010" s="15"/>
    </row>
    <row r="5011" spans="1:9" ht="16.5">
      <c r="A5011" s="10" t="b">
        <v>0</v>
      </c>
      <c r="B5011" s="11" t="str">
        <f>IF(D5011&lt;&gt;"",IF(COUNTIF('USPTO TMs'!A:A,D5011)&gt;0,"Yes","No"),"")</f>
        <v/>
      </c>
      <c r="C5011" s="11"/>
      <c r="D5011" s="11"/>
      <c r="E5011" s="11"/>
      <c r="F5011" s="11"/>
      <c r="G5011" s="11"/>
      <c r="H5011" s="11"/>
      <c r="I5011" s="15"/>
    </row>
    <row r="5012" spans="1:9" ht="16.5">
      <c r="A5012" s="10" t="b">
        <v>0</v>
      </c>
      <c r="B5012" s="11" t="str">
        <f>IF(D5012&lt;&gt;"",IF(COUNTIF('USPTO TMs'!A:A,D5012)&gt;0,"Yes","No"),"")</f>
        <v/>
      </c>
      <c r="C5012" s="11"/>
      <c r="D5012" s="11"/>
      <c r="E5012" s="11"/>
      <c r="F5012" s="11"/>
      <c r="G5012" s="11"/>
      <c r="H5012" s="11"/>
      <c r="I5012" s="15"/>
    </row>
    <row r="5013" spans="1:9" ht="16.5">
      <c r="A5013" s="10" t="b">
        <v>0</v>
      </c>
      <c r="B5013" s="11" t="str">
        <f>IF(D5013&lt;&gt;"",IF(COUNTIF('USPTO TMs'!A:A,D5013)&gt;0,"Yes","No"),"")</f>
        <v/>
      </c>
      <c r="C5013" s="11"/>
      <c r="D5013" s="11"/>
      <c r="E5013" s="11"/>
      <c r="F5013" s="11"/>
      <c r="G5013" s="11"/>
      <c r="H5013" s="11"/>
      <c r="I5013" s="15"/>
    </row>
    <row r="5014" spans="1:9" ht="16.5">
      <c r="A5014" s="10" t="b">
        <v>0</v>
      </c>
      <c r="B5014" s="11" t="str">
        <f>IF(D5014&lt;&gt;"",IF(COUNTIF('USPTO TMs'!A:A,D5014)&gt;0,"Yes","No"),"")</f>
        <v/>
      </c>
      <c r="C5014" s="11"/>
      <c r="D5014" s="11"/>
      <c r="E5014" s="11"/>
      <c r="F5014" s="11"/>
      <c r="G5014" s="11"/>
      <c r="H5014" s="11"/>
      <c r="I5014" s="15"/>
    </row>
    <row r="5015" spans="1:9" ht="16.5">
      <c r="A5015" s="10" t="b">
        <v>0</v>
      </c>
      <c r="B5015" s="11" t="str">
        <f>IF(D5015&lt;&gt;"",IF(COUNTIF('USPTO TMs'!A:A,D5015)&gt;0,"Yes","No"),"")</f>
        <v/>
      </c>
      <c r="C5015" s="11"/>
      <c r="D5015" s="11"/>
      <c r="E5015" s="11"/>
      <c r="F5015" s="11"/>
      <c r="G5015" s="11"/>
      <c r="H5015" s="11"/>
      <c r="I5015" s="15"/>
    </row>
    <row r="5016" spans="1:9" ht="16.5">
      <c r="A5016" s="10" t="b">
        <v>0</v>
      </c>
      <c r="B5016" s="11" t="str">
        <f>IF(D5016&lt;&gt;"",IF(COUNTIF('USPTO TMs'!A:A,D5016)&gt;0,"Yes","No"),"")</f>
        <v/>
      </c>
      <c r="C5016" s="11"/>
      <c r="D5016" s="11"/>
      <c r="E5016" s="11"/>
      <c r="F5016" s="11"/>
      <c r="G5016" s="11"/>
      <c r="H5016" s="11"/>
      <c r="I5016" s="15"/>
    </row>
    <row r="5017" spans="1:9" ht="16.5">
      <c r="A5017" s="10" t="b">
        <v>0</v>
      </c>
      <c r="B5017" s="11" t="str">
        <f>IF(D5017&lt;&gt;"",IF(COUNTIF('USPTO TMs'!A:A,D5017)&gt;0,"Yes","No"),"")</f>
        <v/>
      </c>
      <c r="C5017" s="11"/>
      <c r="D5017" s="11"/>
      <c r="E5017" s="11"/>
      <c r="F5017" s="11"/>
      <c r="G5017" s="11"/>
      <c r="H5017" s="11"/>
      <c r="I5017" s="15"/>
    </row>
    <row r="5018" spans="1:9" ht="16.5">
      <c r="A5018" s="10" t="b">
        <v>0</v>
      </c>
      <c r="B5018" s="11" t="str">
        <f>IF(D5018&lt;&gt;"",IF(COUNTIF('USPTO TMs'!A:A,D5018)&gt;0,"Yes","No"),"")</f>
        <v/>
      </c>
      <c r="C5018" s="11"/>
      <c r="D5018" s="11"/>
      <c r="E5018" s="11"/>
      <c r="F5018" s="11"/>
      <c r="G5018" s="11"/>
      <c r="H5018" s="11"/>
      <c r="I5018" s="15"/>
    </row>
    <row r="5019" spans="1:9" ht="16.5">
      <c r="A5019" s="10" t="b">
        <v>0</v>
      </c>
      <c r="B5019" s="11" t="str">
        <f>IF(D5019&lt;&gt;"",IF(COUNTIF('USPTO TMs'!A:A,D5019)&gt;0,"Yes","No"),"")</f>
        <v/>
      </c>
      <c r="C5019" s="11"/>
      <c r="D5019" s="11"/>
      <c r="E5019" s="11"/>
      <c r="F5019" s="11"/>
      <c r="G5019" s="11"/>
      <c r="H5019" s="11"/>
      <c r="I5019" s="15"/>
    </row>
    <row r="5020" spans="1:9" ht="16.5">
      <c r="A5020" s="10" t="b">
        <v>0</v>
      </c>
      <c r="B5020" s="11" t="str">
        <f>IF(D5020&lt;&gt;"",IF(COUNTIF('USPTO TMs'!A:A,D5020)&gt;0,"Yes","No"),"")</f>
        <v/>
      </c>
      <c r="C5020" s="11"/>
      <c r="D5020" s="11"/>
      <c r="E5020" s="11"/>
      <c r="F5020" s="11"/>
      <c r="G5020" s="11"/>
      <c r="H5020" s="11"/>
      <c r="I5020" s="15"/>
    </row>
    <row r="5021" spans="1:9" ht="16.5">
      <c r="A5021" s="10" t="b">
        <v>0</v>
      </c>
      <c r="B5021" s="11" t="str">
        <f>IF(D5021&lt;&gt;"",IF(COUNTIF('USPTO TMs'!A:A,D5021)&gt;0,"Yes","No"),"")</f>
        <v/>
      </c>
      <c r="C5021" s="11"/>
      <c r="D5021" s="11"/>
      <c r="E5021" s="11"/>
      <c r="F5021" s="11"/>
      <c r="G5021" s="11"/>
      <c r="H5021" s="11"/>
      <c r="I5021" s="15"/>
    </row>
    <row r="5022" spans="1:9" ht="16.5">
      <c r="A5022" s="10" t="b">
        <v>0</v>
      </c>
      <c r="B5022" s="11" t="str">
        <f>IF(D5022&lt;&gt;"",IF(COUNTIF('USPTO TMs'!A:A,D5022)&gt;0,"Yes","No"),"")</f>
        <v/>
      </c>
      <c r="C5022" s="11"/>
      <c r="D5022" s="11"/>
      <c r="E5022" s="11"/>
      <c r="F5022" s="11"/>
      <c r="G5022" s="11"/>
      <c r="H5022" s="11"/>
      <c r="I5022" s="15"/>
    </row>
    <row r="5023" spans="1:9" ht="16.5">
      <c r="A5023" s="10" t="b">
        <v>0</v>
      </c>
      <c r="B5023" s="11" t="str">
        <f>IF(D5023&lt;&gt;"",IF(COUNTIF('USPTO TMs'!A:A,D5023)&gt;0,"Yes","No"),"")</f>
        <v/>
      </c>
      <c r="C5023" s="11"/>
      <c r="D5023" s="11"/>
      <c r="E5023" s="11"/>
      <c r="F5023" s="11"/>
      <c r="G5023" s="11"/>
      <c r="H5023" s="11"/>
      <c r="I5023" s="15"/>
    </row>
    <row r="5024" spans="1:9" ht="16.5">
      <c r="A5024" s="10" t="b">
        <v>0</v>
      </c>
      <c r="B5024" s="11" t="str">
        <f>IF(D5024&lt;&gt;"",IF(COUNTIF('USPTO TMs'!A:A,D5024)&gt;0,"Yes","No"),"")</f>
        <v/>
      </c>
      <c r="C5024" s="11"/>
      <c r="D5024" s="11"/>
      <c r="E5024" s="11"/>
      <c r="F5024" s="11"/>
      <c r="G5024" s="11"/>
      <c r="H5024" s="11"/>
      <c r="I5024" s="15"/>
    </row>
    <row r="5025" spans="1:9" ht="16.5">
      <c r="A5025" s="10" t="b">
        <v>0</v>
      </c>
      <c r="B5025" s="11" t="str">
        <f>IF(D5025&lt;&gt;"",IF(COUNTIF('USPTO TMs'!A:A,D5025)&gt;0,"Yes","No"),"")</f>
        <v/>
      </c>
      <c r="C5025" s="11"/>
      <c r="D5025" s="11"/>
      <c r="E5025" s="11"/>
      <c r="F5025" s="11"/>
      <c r="G5025" s="11"/>
      <c r="H5025" s="11"/>
      <c r="I5025" s="15"/>
    </row>
    <row r="5026" spans="1:9" ht="16.5">
      <c r="A5026" s="10" t="b">
        <v>0</v>
      </c>
      <c r="B5026" s="11" t="str">
        <f>IF(D5026&lt;&gt;"",IF(COUNTIF('USPTO TMs'!A:A,D5026)&gt;0,"Yes","No"),"")</f>
        <v/>
      </c>
      <c r="C5026" s="11"/>
      <c r="D5026" s="11"/>
      <c r="E5026" s="11"/>
      <c r="F5026" s="11"/>
      <c r="G5026" s="11"/>
      <c r="H5026" s="11"/>
      <c r="I5026" s="15"/>
    </row>
    <row r="5027" spans="1:9" ht="16.5">
      <c r="A5027" s="10" t="b">
        <v>0</v>
      </c>
      <c r="B5027" s="11" t="str">
        <f>IF(D5027&lt;&gt;"",IF(COUNTIF('USPTO TMs'!A:A,D5027)&gt;0,"Yes","No"),"")</f>
        <v/>
      </c>
      <c r="C5027" s="11"/>
      <c r="D5027" s="11"/>
      <c r="E5027" s="11"/>
      <c r="F5027" s="11"/>
      <c r="G5027" s="11"/>
      <c r="H5027" s="11"/>
      <c r="I5027" s="15"/>
    </row>
    <row r="5028" spans="1:9" ht="16.5">
      <c r="A5028" s="10" t="b">
        <v>0</v>
      </c>
      <c r="B5028" s="11" t="str">
        <f>IF(D5028&lt;&gt;"",IF(COUNTIF('USPTO TMs'!A:A,D5028)&gt;0,"Yes","No"),"")</f>
        <v/>
      </c>
      <c r="C5028" s="11"/>
      <c r="D5028" s="11"/>
      <c r="E5028" s="11"/>
      <c r="F5028" s="11"/>
      <c r="G5028" s="11"/>
      <c r="H5028" s="11"/>
      <c r="I5028" s="15"/>
    </row>
    <row r="5029" spans="1:9" ht="16.5">
      <c r="A5029" s="10" t="b">
        <v>0</v>
      </c>
      <c r="B5029" s="11" t="str">
        <f>IF(D5029&lt;&gt;"",IF(COUNTIF('USPTO TMs'!A:A,D5029)&gt;0,"Yes","No"),"")</f>
        <v/>
      </c>
      <c r="C5029" s="11"/>
      <c r="D5029" s="11"/>
      <c r="E5029" s="11"/>
      <c r="F5029" s="11"/>
      <c r="G5029" s="11"/>
      <c r="H5029" s="11"/>
      <c r="I5029" s="15"/>
    </row>
    <row r="5030" spans="1:9" ht="16.5">
      <c r="A5030" s="10" t="b">
        <v>0</v>
      </c>
      <c r="B5030" s="11" t="str">
        <f>IF(D5030&lt;&gt;"",IF(COUNTIF('USPTO TMs'!A:A,D5030)&gt;0,"Yes","No"),"")</f>
        <v/>
      </c>
      <c r="C5030" s="11"/>
      <c r="D5030" s="11"/>
      <c r="E5030" s="11"/>
      <c r="F5030" s="11"/>
      <c r="G5030" s="11"/>
      <c r="H5030" s="11"/>
      <c r="I5030" s="15"/>
    </row>
    <row r="5031" spans="1:9" ht="16.5">
      <c r="A5031" s="10" t="b">
        <v>0</v>
      </c>
      <c r="B5031" s="11" t="str">
        <f>IF(D5031&lt;&gt;"",IF(COUNTIF('USPTO TMs'!A:A,D5031)&gt;0,"Yes","No"),"")</f>
        <v/>
      </c>
      <c r="C5031" s="11"/>
      <c r="D5031" s="11"/>
      <c r="E5031" s="11"/>
      <c r="F5031" s="11"/>
      <c r="G5031" s="11"/>
      <c r="H5031" s="11"/>
      <c r="I5031" s="15"/>
    </row>
    <row r="5032" spans="1:9" ht="16.5">
      <c r="A5032" s="10" t="b">
        <v>0</v>
      </c>
      <c r="B5032" s="11" t="str">
        <f>IF(D5032&lt;&gt;"",IF(COUNTIF('USPTO TMs'!A:A,D5032)&gt;0,"Yes","No"),"")</f>
        <v/>
      </c>
      <c r="C5032" s="11"/>
      <c r="D5032" s="11"/>
      <c r="E5032" s="11"/>
      <c r="F5032" s="11"/>
      <c r="G5032" s="11"/>
      <c r="H5032" s="11"/>
      <c r="I5032" s="15"/>
    </row>
    <row r="5033" spans="1:9" ht="16.5">
      <c r="A5033" s="10" t="b">
        <v>0</v>
      </c>
      <c r="B5033" s="11" t="str">
        <f>IF(D5033&lt;&gt;"",IF(COUNTIF('USPTO TMs'!A:A,D5033)&gt;0,"Yes","No"),"")</f>
        <v/>
      </c>
      <c r="C5033" s="11"/>
      <c r="D5033" s="11"/>
      <c r="E5033" s="11"/>
      <c r="F5033" s="11"/>
      <c r="G5033" s="11"/>
      <c r="H5033" s="11"/>
      <c r="I5033" s="15"/>
    </row>
    <row r="5034" spans="1:9" ht="16.5">
      <c r="A5034" s="10" t="b">
        <v>0</v>
      </c>
      <c r="B5034" s="11" t="str">
        <f>IF(D5034&lt;&gt;"",IF(COUNTIF('USPTO TMs'!A:A,D5034)&gt;0,"Yes","No"),"")</f>
        <v/>
      </c>
      <c r="C5034" s="11"/>
      <c r="D5034" s="11"/>
      <c r="E5034" s="11"/>
      <c r="F5034" s="11"/>
      <c r="G5034" s="11"/>
      <c r="H5034" s="11"/>
      <c r="I5034" s="15"/>
    </row>
    <row r="5035" spans="1:9" ht="16.5">
      <c r="A5035" s="10" t="b">
        <v>0</v>
      </c>
      <c r="B5035" s="11" t="str">
        <f>IF(D5035&lt;&gt;"",IF(COUNTIF('USPTO TMs'!A:A,D5035)&gt;0,"Yes","No"),"")</f>
        <v/>
      </c>
      <c r="C5035" s="11"/>
      <c r="D5035" s="11"/>
      <c r="E5035" s="11"/>
      <c r="F5035" s="11"/>
      <c r="G5035" s="11"/>
      <c r="H5035" s="11"/>
      <c r="I5035" s="15"/>
    </row>
    <row r="5036" spans="1:9" ht="16.5">
      <c r="A5036" s="10" t="b">
        <v>0</v>
      </c>
      <c r="B5036" s="11" t="str">
        <f>IF(D5036&lt;&gt;"",IF(COUNTIF('USPTO TMs'!A:A,D5036)&gt;0,"Yes","No"),"")</f>
        <v/>
      </c>
      <c r="C5036" s="11"/>
      <c r="D5036" s="11"/>
      <c r="E5036" s="11"/>
      <c r="F5036" s="11"/>
      <c r="G5036" s="11"/>
      <c r="H5036" s="11"/>
      <c r="I5036" s="15"/>
    </row>
    <row r="5037" spans="1:9" ht="16.5">
      <c r="A5037" s="10" t="b">
        <v>0</v>
      </c>
      <c r="B5037" s="11" t="str">
        <f>IF(D5037&lt;&gt;"",IF(COUNTIF('USPTO TMs'!A:A,D5037)&gt;0,"Yes","No"),"")</f>
        <v/>
      </c>
      <c r="C5037" s="11"/>
      <c r="D5037" s="11"/>
      <c r="E5037" s="11"/>
      <c r="F5037" s="11"/>
      <c r="G5037" s="11"/>
      <c r="H5037" s="11"/>
      <c r="I5037" s="15"/>
    </row>
    <row r="5038" spans="1:9" ht="16.5">
      <c r="A5038" s="10" t="b">
        <v>0</v>
      </c>
      <c r="B5038" s="11" t="str">
        <f>IF(D5038&lt;&gt;"",IF(COUNTIF('USPTO TMs'!A:A,D5038)&gt;0,"Yes","No"),"")</f>
        <v/>
      </c>
      <c r="C5038" s="11"/>
      <c r="D5038" s="11"/>
      <c r="E5038" s="11"/>
      <c r="F5038" s="11"/>
      <c r="G5038" s="11"/>
      <c r="H5038" s="11"/>
      <c r="I5038" s="15"/>
    </row>
    <row r="5039" spans="1:9" ht="16.5">
      <c r="A5039" s="10" t="b">
        <v>0</v>
      </c>
      <c r="B5039" s="11" t="str">
        <f>IF(D5039&lt;&gt;"",IF(COUNTIF('USPTO TMs'!A:A,D5039)&gt;0,"Yes","No"),"")</f>
        <v/>
      </c>
      <c r="C5039" s="11"/>
      <c r="D5039" s="11"/>
      <c r="E5039" s="11"/>
      <c r="F5039" s="11"/>
      <c r="G5039" s="11"/>
      <c r="H5039" s="11"/>
      <c r="I5039" s="15"/>
    </row>
    <row r="5040" spans="1:9" ht="16.5">
      <c r="A5040" s="10" t="b">
        <v>0</v>
      </c>
      <c r="B5040" s="11" t="str">
        <f>IF(D5040&lt;&gt;"",IF(COUNTIF('USPTO TMs'!A:A,D5040)&gt;0,"Yes","No"),"")</f>
        <v/>
      </c>
      <c r="C5040" s="11"/>
      <c r="D5040" s="11"/>
      <c r="E5040" s="11"/>
      <c r="F5040" s="11"/>
      <c r="G5040" s="11"/>
      <c r="H5040" s="11"/>
      <c r="I5040" s="15"/>
    </row>
    <row r="5041" spans="1:9" ht="16.5">
      <c r="A5041" s="10" t="b">
        <v>0</v>
      </c>
      <c r="B5041" s="11" t="str">
        <f>IF(D5041&lt;&gt;"",IF(COUNTIF('USPTO TMs'!A:A,D5041)&gt;0,"Yes","No"),"")</f>
        <v/>
      </c>
      <c r="C5041" s="11"/>
      <c r="D5041" s="11"/>
      <c r="E5041" s="11"/>
      <c r="F5041" s="11"/>
      <c r="G5041" s="11"/>
      <c r="H5041" s="11"/>
      <c r="I5041" s="15"/>
    </row>
    <row r="5042" spans="1:9" ht="16.5">
      <c r="A5042" s="10" t="b">
        <v>0</v>
      </c>
      <c r="B5042" s="11" t="str">
        <f>IF(D5042&lt;&gt;"",IF(COUNTIF('USPTO TMs'!A:A,D5042)&gt;0,"Yes","No"),"")</f>
        <v/>
      </c>
      <c r="C5042" s="11"/>
      <c r="D5042" s="11"/>
      <c r="E5042" s="11"/>
      <c r="F5042" s="11"/>
      <c r="G5042" s="11"/>
      <c r="H5042" s="11"/>
      <c r="I5042" s="15"/>
    </row>
    <row r="5043" spans="1:9" ht="16.5">
      <c r="A5043" s="10" t="b">
        <v>0</v>
      </c>
      <c r="B5043" s="11" t="str">
        <f>IF(D5043&lt;&gt;"",IF(COUNTIF('USPTO TMs'!A:A,D5043)&gt;0,"Yes","No"),"")</f>
        <v/>
      </c>
      <c r="C5043" s="11"/>
      <c r="D5043" s="11"/>
      <c r="E5043" s="11"/>
      <c r="F5043" s="11"/>
      <c r="G5043" s="11"/>
      <c r="H5043" s="11"/>
      <c r="I5043" s="15"/>
    </row>
    <row r="5044" spans="1:9" ht="16.5">
      <c r="A5044" s="10" t="b">
        <v>0</v>
      </c>
      <c r="B5044" s="11" t="str">
        <f>IF(D5044&lt;&gt;"",IF(COUNTIF('USPTO TMs'!A:A,D5044)&gt;0,"Yes","No"),"")</f>
        <v/>
      </c>
      <c r="C5044" s="11"/>
      <c r="D5044" s="11"/>
      <c r="E5044" s="11"/>
      <c r="F5044" s="11"/>
      <c r="G5044" s="11"/>
      <c r="H5044" s="11"/>
      <c r="I5044" s="15"/>
    </row>
    <row r="5045" spans="1:9" ht="16.5">
      <c r="A5045" s="10" t="b">
        <v>0</v>
      </c>
      <c r="B5045" s="11" t="str">
        <f>IF(D5045&lt;&gt;"",IF(COUNTIF('USPTO TMs'!A:A,D5045)&gt;0,"Yes","No"),"")</f>
        <v/>
      </c>
      <c r="C5045" s="11"/>
      <c r="D5045" s="11"/>
      <c r="E5045" s="11"/>
      <c r="F5045" s="11"/>
      <c r="G5045" s="11"/>
      <c r="H5045" s="11"/>
      <c r="I5045" s="15"/>
    </row>
    <row r="5046" spans="1:9" ht="16.5">
      <c r="A5046" s="10" t="b">
        <v>0</v>
      </c>
      <c r="B5046" s="11" t="str">
        <f>IF(D5046&lt;&gt;"",IF(COUNTIF('USPTO TMs'!A:A,D5046)&gt;0,"Yes","No"),"")</f>
        <v/>
      </c>
      <c r="C5046" s="11"/>
      <c r="D5046" s="11"/>
      <c r="E5046" s="11"/>
      <c r="F5046" s="11"/>
      <c r="G5046" s="11"/>
      <c r="H5046" s="11"/>
      <c r="I5046" s="15"/>
    </row>
    <row r="5047" spans="1:9" ht="16.5">
      <c r="A5047" s="10" t="b">
        <v>0</v>
      </c>
      <c r="B5047" s="11" t="str">
        <f>IF(D5047&lt;&gt;"",IF(COUNTIF('USPTO TMs'!A:A,D5047)&gt;0,"Yes","No"),"")</f>
        <v/>
      </c>
      <c r="C5047" s="11"/>
      <c r="D5047" s="11"/>
      <c r="E5047" s="11"/>
      <c r="F5047" s="11"/>
      <c r="G5047" s="11"/>
      <c r="H5047" s="11"/>
      <c r="I5047" s="15"/>
    </row>
    <row r="5048" spans="1:9" ht="16.5">
      <c r="A5048" s="10" t="b">
        <v>0</v>
      </c>
      <c r="B5048" s="11" t="str">
        <f>IF(D5048&lt;&gt;"",IF(COUNTIF('USPTO TMs'!A:A,D5048)&gt;0,"Yes","No"),"")</f>
        <v/>
      </c>
      <c r="C5048" s="11"/>
      <c r="D5048" s="11"/>
      <c r="E5048" s="11"/>
      <c r="F5048" s="11"/>
      <c r="G5048" s="11"/>
      <c r="H5048" s="11"/>
      <c r="I5048" s="15"/>
    </row>
    <row r="5049" spans="1:9" ht="16.5">
      <c r="A5049" s="10" t="b">
        <v>0</v>
      </c>
      <c r="B5049" s="11" t="str">
        <f>IF(D5049&lt;&gt;"",IF(COUNTIF('USPTO TMs'!A:A,D5049)&gt;0,"Yes","No"),"")</f>
        <v/>
      </c>
      <c r="C5049" s="11"/>
      <c r="D5049" s="11"/>
      <c r="E5049" s="11"/>
      <c r="F5049" s="11"/>
      <c r="G5049" s="11"/>
      <c r="H5049" s="11"/>
      <c r="I5049" s="15"/>
    </row>
    <row r="5050" spans="1:9" ht="16.5">
      <c r="A5050" s="10" t="b">
        <v>0</v>
      </c>
      <c r="B5050" s="11" t="str">
        <f>IF(D5050&lt;&gt;"",IF(COUNTIF('USPTO TMs'!A:A,D5050)&gt;0,"Yes","No"),"")</f>
        <v/>
      </c>
      <c r="C5050" s="11"/>
      <c r="D5050" s="11"/>
      <c r="E5050" s="11"/>
      <c r="F5050" s="11"/>
      <c r="G5050" s="11"/>
      <c r="H5050" s="11"/>
      <c r="I5050" s="15"/>
    </row>
    <row r="5051" spans="1:9" ht="16.5">
      <c r="A5051" s="10" t="b">
        <v>0</v>
      </c>
      <c r="B5051" s="11" t="str">
        <f>IF(D5051&lt;&gt;"",IF(COUNTIF('USPTO TMs'!A:A,D5051)&gt;0,"Yes","No"),"")</f>
        <v/>
      </c>
      <c r="C5051" s="11"/>
      <c r="D5051" s="11"/>
      <c r="E5051" s="11"/>
      <c r="F5051" s="11"/>
      <c r="G5051" s="11"/>
      <c r="H5051" s="11"/>
      <c r="I5051" s="15"/>
    </row>
    <row r="5052" spans="1:9" ht="16.5">
      <c r="A5052" s="10" t="b">
        <v>0</v>
      </c>
      <c r="B5052" s="11" t="str">
        <f>IF(D5052&lt;&gt;"",IF(COUNTIF('USPTO TMs'!A:A,D5052)&gt;0,"Yes","No"),"")</f>
        <v/>
      </c>
      <c r="C5052" s="11"/>
      <c r="D5052" s="11"/>
      <c r="E5052" s="11"/>
      <c r="F5052" s="11"/>
      <c r="G5052" s="11"/>
      <c r="H5052" s="11"/>
      <c r="I5052" s="15"/>
    </row>
    <row r="5053" spans="1:9" ht="16.5">
      <c r="A5053" s="10" t="b">
        <v>0</v>
      </c>
      <c r="B5053" s="11" t="str">
        <f>IF(D5053&lt;&gt;"",IF(COUNTIF('USPTO TMs'!A:A,D5053)&gt;0,"Yes","No"),"")</f>
        <v/>
      </c>
      <c r="C5053" s="11"/>
      <c r="D5053" s="11"/>
      <c r="E5053" s="11"/>
      <c r="F5053" s="11"/>
      <c r="G5053" s="11"/>
      <c r="H5053" s="11"/>
      <c r="I5053" s="15"/>
    </row>
    <row r="5054" spans="1:9" ht="16.5">
      <c r="A5054" s="10" t="b">
        <v>0</v>
      </c>
      <c r="B5054" s="11" t="str">
        <f>IF(D5054&lt;&gt;"",IF(COUNTIF('USPTO TMs'!A:A,D5054)&gt;0,"Yes","No"),"")</f>
        <v/>
      </c>
      <c r="C5054" s="11"/>
      <c r="D5054" s="11"/>
      <c r="E5054" s="11"/>
      <c r="F5054" s="11"/>
      <c r="G5054" s="11"/>
      <c r="H5054" s="11"/>
      <c r="I5054" s="15"/>
    </row>
    <row r="5055" spans="1:9" ht="16.5">
      <c r="A5055" s="10" t="b">
        <v>0</v>
      </c>
      <c r="B5055" s="11" t="str">
        <f>IF(D5055&lt;&gt;"",IF(COUNTIF('USPTO TMs'!A:A,D5055)&gt;0,"Yes","No"),"")</f>
        <v/>
      </c>
      <c r="C5055" s="11"/>
      <c r="D5055" s="11"/>
      <c r="E5055" s="11"/>
      <c r="F5055" s="11"/>
      <c r="G5055" s="11"/>
      <c r="H5055" s="11"/>
      <c r="I5055" s="15"/>
    </row>
    <row r="5056" spans="1:9" ht="16.5">
      <c r="A5056" s="10" t="b">
        <v>0</v>
      </c>
      <c r="B5056" s="11" t="str">
        <f>IF(D5056&lt;&gt;"",IF(COUNTIF('USPTO TMs'!A:A,D5056)&gt;0,"Yes","No"),"")</f>
        <v/>
      </c>
      <c r="C5056" s="11"/>
      <c r="D5056" s="11"/>
      <c r="E5056" s="11"/>
      <c r="F5056" s="11"/>
      <c r="G5056" s="11"/>
      <c r="H5056" s="11"/>
      <c r="I5056" s="15"/>
    </row>
    <row r="5057" spans="1:9" ht="16.5">
      <c r="A5057" s="10" t="b">
        <v>0</v>
      </c>
      <c r="B5057" s="11" t="str">
        <f>IF(D5057&lt;&gt;"",IF(COUNTIF('USPTO TMs'!A:A,D5057)&gt;0,"Yes","No"),"")</f>
        <v/>
      </c>
      <c r="C5057" s="11"/>
      <c r="D5057" s="11"/>
      <c r="E5057" s="11"/>
      <c r="F5057" s="11"/>
      <c r="G5057" s="11"/>
      <c r="H5057" s="11"/>
      <c r="I5057" s="15"/>
    </row>
    <row r="5058" spans="1:9" ht="16.5">
      <c r="A5058" s="10" t="b">
        <v>0</v>
      </c>
      <c r="B5058" s="11" t="str">
        <f>IF(D5058&lt;&gt;"",IF(COUNTIF('USPTO TMs'!A:A,D5058)&gt;0,"Yes","No"),"")</f>
        <v/>
      </c>
      <c r="C5058" s="11"/>
      <c r="D5058" s="11"/>
      <c r="E5058" s="11"/>
      <c r="F5058" s="11"/>
      <c r="G5058" s="11"/>
      <c r="H5058" s="11"/>
      <c r="I5058" s="15"/>
    </row>
    <row r="5059" spans="1:9" ht="16.5">
      <c r="A5059" s="10" t="b">
        <v>0</v>
      </c>
      <c r="B5059" s="11" t="str">
        <f>IF(D5059&lt;&gt;"",IF(COUNTIF('USPTO TMs'!A:A,D5059)&gt;0,"Yes","No"),"")</f>
        <v/>
      </c>
      <c r="C5059" s="11"/>
      <c r="D5059" s="11"/>
      <c r="E5059" s="11"/>
      <c r="F5059" s="11"/>
      <c r="G5059" s="11"/>
      <c r="H5059" s="11"/>
      <c r="I5059" s="15"/>
    </row>
    <row r="5060" spans="1:9" ht="16.5">
      <c r="A5060" s="10" t="b">
        <v>0</v>
      </c>
      <c r="B5060" s="11" t="str">
        <f>IF(D5060&lt;&gt;"",IF(COUNTIF('USPTO TMs'!A:A,D5060)&gt;0,"Yes","No"),"")</f>
        <v/>
      </c>
      <c r="C5060" s="11"/>
      <c r="D5060" s="11"/>
      <c r="E5060" s="11"/>
      <c r="F5060" s="11"/>
      <c r="G5060" s="11"/>
      <c r="H5060" s="11"/>
      <c r="I5060" s="15"/>
    </row>
    <row r="5061" spans="1:9" ht="16.5">
      <c r="A5061" s="10" t="b">
        <v>0</v>
      </c>
      <c r="B5061" s="11" t="str">
        <f>IF(D5061&lt;&gt;"",IF(COUNTIF('USPTO TMs'!A:A,D5061)&gt;0,"Yes","No"),"")</f>
        <v/>
      </c>
      <c r="C5061" s="11"/>
      <c r="D5061" s="11"/>
      <c r="E5061" s="11"/>
      <c r="F5061" s="11"/>
      <c r="G5061" s="11"/>
      <c r="H5061" s="11"/>
      <c r="I5061" s="15"/>
    </row>
    <row r="5062" spans="1:9" ht="16.5">
      <c r="A5062" s="10" t="b">
        <v>0</v>
      </c>
      <c r="B5062" s="11" t="str">
        <f>IF(D5062&lt;&gt;"",IF(COUNTIF('USPTO TMs'!A:A,D5062)&gt;0,"Yes","No"),"")</f>
        <v/>
      </c>
      <c r="C5062" s="11"/>
      <c r="D5062" s="11"/>
      <c r="E5062" s="11"/>
      <c r="F5062" s="11"/>
      <c r="G5062" s="11"/>
      <c r="H5062" s="11"/>
      <c r="I5062" s="15"/>
    </row>
    <row r="5063" spans="1:9" ht="16.5">
      <c r="A5063" s="10" t="b">
        <v>0</v>
      </c>
      <c r="B5063" s="11" t="str">
        <f>IF(D5063&lt;&gt;"",IF(COUNTIF('USPTO TMs'!A:A,D5063)&gt;0,"Yes","No"),"")</f>
        <v/>
      </c>
      <c r="C5063" s="11"/>
      <c r="D5063" s="11"/>
      <c r="E5063" s="11"/>
      <c r="F5063" s="11"/>
      <c r="G5063" s="11"/>
      <c r="H5063" s="11"/>
      <c r="I5063" s="15"/>
    </row>
    <row r="5064" spans="1:9" ht="16.5">
      <c r="A5064" s="10" t="b">
        <v>0</v>
      </c>
      <c r="B5064" s="11" t="str">
        <f>IF(D5064&lt;&gt;"",IF(COUNTIF('USPTO TMs'!A:A,D5064)&gt;0,"Yes","No"),"")</f>
        <v/>
      </c>
      <c r="C5064" s="11"/>
      <c r="D5064" s="11"/>
      <c r="E5064" s="11"/>
      <c r="F5064" s="11"/>
      <c r="G5064" s="11"/>
      <c r="H5064" s="11"/>
      <c r="I5064" s="15"/>
    </row>
    <row r="5065" spans="1:9" ht="16.5">
      <c r="A5065" s="10" t="b">
        <v>0</v>
      </c>
      <c r="B5065" s="11" t="str">
        <f>IF(D5065&lt;&gt;"",IF(COUNTIF('USPTO TMs'!A:A,D5065)&gt;0,"Yes","No"),"")</f>
        <v/>
      </c>
      <c r="C5065" s="11"/>
      <c r="D5065" s="11"/>
      <c r="E5065" s="11"/>
      <c r="F5065" s="11"/>
      <c r="G5065" s="11"/>
      <c r="H5065" s="11"/>
      <c r="I5065" s="15"/>
    </row>
    <row r="5066" spans="1:9" ht="16.5">
      <c r="A5066" s="10" t="b">
        <v>0</v>
      </c>
      <c r="B5066" s="11" t="str">
        <f>IF(D5066&lt;&gt;"",IF(COUNTIF('USPTO TMs'!A:A,D5066)&gt;0,"Yes","No"),"")</f>
        <v/>
      </c>
      <c r="C5066" s="11"/>
      <c r="D5066" s="11"/>
      <c r="E5066" s="11"/>
      <c r="F5066" s="11"/>
      <c r="G5066" s="11"/>
      <c r="H5066" s="11"/>
      <c r="I5066" s="15"/>
    </row>
    <row r="5067" spans="1:9" ht="16.5">
      <c r="A5067" s="10" t="b">
        <v>0</v>
      </c>
      <c r="B5067" s="11" t="str">
        <f>IF(D5067&lt;&gt;"",IF(COUNTIF('USPTO TMs'!A:A,D5067)&gt;0,"Yes","No"),"")</f>
        <v/>
      </c>
      <c r="C5067" s="11"/>
      <c r="D5067" s="11"/>
      <c r="E5067" s="11"/>
      <c r="F5067" s="11"/>
      <c r="G5067" s="11"/>
      <c r="H5067" s="11"/>
      <c r="I5067" s="15"/>
    </row>
    <row r="5068" spans="1:9" ht="16.5">
      <c r="A5068" s="10" t="b">
        <v>0</v>
      </c>
      <c r="B5068" s="11" t="str">
        <f>IF(D5068&lt;&gt;"",IF(COUNTIF('USPTO TMs'!A:A,D5068)&gt;0,"Yes","No"),"")</f>
        <v/>
      </c>
      <c r="C5068" s="11"/>
      <c r="D5068" s="11"/>
      <c r="E5068" s="11"/>
      <c r="F5068" s="11"/>
      <c r="G5068" s="11"/>
      <c r="H5068" s="11"/>
      <c r="I5068" s="15"/>
    </row>
    <row r="5069" spans="1:9" ht="16.5">
      <c r="A5069" s="10" t="b">
        <v>0</v>
      </c>
      <c r="B5069" s="11" t="str">
        <f>IF(D5069&lt;&gt;"",IF(COUNTIF('USPTO TMs'!A:A,D5069)&gt;0,"Yes","No"),"")</f>
        <v/>
      </c>
      <c r="C5069" s="11"/>
      <c r="D5069" s="11"/>
      <c r="E5069" s="11"/>
      <c r="F5069" s="11"/>
      <c r="G5069" s="11"/>
      <c r="H5069" s="11"/>
      <c r="I5069" s="15"/>
    </row>
    <row r="5070" spans="1:9" ht="16.5">
      <c r="A5070" s="10" t="b">
        <v>0</v>
      </c>
      <c r="B5070" s="11" t="str">
        <f>IF(D5070&lt;&gt;"",IF(COUNTIF('USPTO TMs'!A:A,D5070)&gt;0,"Yes","No"),"")</f>
        <v/>
      </c>
      <c r="C5070" s="11"/>
      <c r="D5070" s="11"/>
      <c r="E5070" s="11"/>
      <c r="F5070" s="11"/>
      <c r="G5070" s="11"/>
      <c r="H5070" s="11"/>
      <c r="I5070" s="15"/>
    </row>
    <row r="5071" spans="1:9" ht="16.5">
      <c r="A5071" s="10" t="b">
        <v>0</v>
      </c>
      <c r="B5071" s="11" t="str">
        <f>IF(D5071&lt;&gt;"",IF(COUNTIF('USPTO TMs'!A:A,D5071)&gt;0,"Yes","No"),"")</f>
        <v/>
      </c>
      <c r="C5071" s="11"/>
      <c r="D5071" s="11"/>
      <c r="E5071" s="11"/>
      <c r="F5071" s="11"/>
      <c r="G5071" s="11"/>
      <c r="H5071" s="11"/>
      <c r="I5071" s="15"/>
    </row>
    <row r="5072" spans="1:9" ht="16.5">
      <c r="A5072" s="10" t="b">
        <v>0</v>
      </c>
      <c r="B5072" s="11" t="str">
        <f>IF(D5072&lt;&gt;"",IF(COUNTIF('USPTO TMs'!A:A,D5072)&gt;0,"Yes","No"),"")</f>
        <v/>
      </c>
      <c r="C5072" s="11"/>
      <c r="D5072" s="11"/>
      <c r="E5072" s="11"/>
      <c r="F5072" s="11"/>
      <c r="G5072" s="11"/>
      <c r="H5072" s="11"/>
      <c r="I5072" s="15"/>
    </row>
    <row r="5073" spans="1:9" ht="16.5">
      <c r="A5073" s="10" t="b">
        <v>0</v>
      </c>
      <c r="B5073" s="11" t="str">
        <f>IF(D5073&lt;&gt;"",IF(COUNTIF('USPTO TMs'!A:A,D5073)&gt;0,"Yes","No"),"")</f>
        <v/>
      </c>
      <c r="C5073" s="11"/>
      <c r="D5073" s="11"/>
      <c r="E5073" s="11"/>
      <c r="F5073" s="11"/>
      <c r="G5073" s="11"/>
      <c r="H5073" s="11"/>
      <c r="I5073" s="15"/>
    </row>
    <row r="5074" spans="1:9" ht="16.5">
      <c r="A5074" s="10" t="b">
        <v>0</v>
      </c>
      <c r="B5074" s="11" t="str">
        <f>IF(D5074&lt;&gt;"",IF(COUNTIF('USPTO TMs'!A:A,D5074)&gt;0,"Yes","No"),"")</f>
        <v/>
      </c>
      <c r="C5074" s="11"/>
      <c r="D5074" s="11"/>
      <c r="E5074" s="11"/>
      <c r="F5074" s="11"/>
      <c r="G5074" s="11"/>
      <c r="H5074" s="11"/>
      <c r="I5074" s="15"/>
    </row>
    <row r="5075" spans="1:9" ht="16.5">
      <c r="A5075" s="10" t="b">
        <v>0</v>
      </c>
      <c r="B5075" s="11" t="str">
        <f>IF(D5075&lt;&gt;"",IF(COUNTIF('USPTO TMs'!A:A,D5075)&gt;0,"Yes","No"),"")</f>
        <v/>
      </c>
      <c r="C5075" s="11"/>
      <c r="D5075" s="11"/>
      <c r="E5075" s="11"/>
      <c r="F5075" s="11"/>
      <c r="G5075" s="11"/>
      <c r="H5075" s="11"/>
      <c r="I5075" s="15"/>
    </row>
    <row r="5076" spans="1:9" ht="16.5">
      <c r="A5076" s="10" t="b">
        <v>0</v>
      </c>
      <c r="B5076" s="11" t="str">
        <f>IF(D5076&lt;&gt;"",IF(COUNTIF('USPTO TMs'!A:A,D5076)&gt;0,"Yes","No"),"")</f>
        <v/>
      </c>
      <c r="C5076" s="11"/>
      <c r="D5076" s="11"/>
      <c r="E5076" s="11"/>
      <c r="F5076" s="11"/>
      <c r="G5076" s="11"/>
      <c r="H5076" s="11"/>
      <c r="I5076" s="15"/>
    </row>
    <row r="5077" spans="1:9" ht="16.5">
      <c r="A5077" s="10" t="b">
        <v>0</v>
      </c>
      <c r="B5077" s="11" t="str">
        <f>IF(D5077&lt;&gt;"",IF(COUNTIF('USPTO TMs'!A:A,D5077)&gt;0,"Yes","No"),"")</f>
        <v/>
      </c>
      <c r="C5077" s="11"/>
      <c r="D5077" s="11"/>
      <c r="E5077" s="11"/>
      <c r="F5077" s="11"/>
      <c r="G5077" s="11"/>
      <c r="H5077" s="11"/>
      <c r="I5077" s="15"/>
    </row>
    <row r="5078" spans="1:9" ht="16.5">
      <c r="A5078" s="10" t="b">
        <v>0</v>
      </c>
      <c r="B5078" s="11" t="str">
        <f>IF(D5078&lt;&gt;"",IF(COUNTIF('USPTO TMs'!A:A,D5078)&gt;0,"Yes","No"),"")</f>
        <v/>
      </c>
      <c r="C5078" s="11"/>
      <c r="D5078" s="11"/>
      <c r="E5078" s="11"/>
      <c r="F5078" s="11"/>
      <c r="G5078" s="11"/>
      <c r="H5078" s="11"/>
      <c r="I5078" s="15"/>
    </row>
    <row r="5079" spans="1:9" ht="16.5">
      <c r="A5079" s="10" t="b">
        <v>0</v>
      </c>
      <c r="B5079" s="11" t="str">
        <f>IF(D5079&lt;&gt;"",IF(COUNTIF('USPTO TMs'!A:A,D5079)&gt;0,"Yes","No"),"")</f>
        <v/>
      </c>
      <c r="C5079" s="11"/>
      <c r="D5079" s="11"/>
      <c r="E5079" s="11"/>
      <c r="F5079" s="11"/>
      <c r="G5079" s="11"/>
      <c r="H5079" s="11"/>
      <c r="I5079" s="15"/>
    </row>
    <row r="5080" spans="1:9" ht="16.5">
      <c r="A5080" s="10" t="b">
        <v>0</v>
      </c>
      <c r="B5080" s="11" t="str">
        <f>IF(D5080&lt;&gt;"",IF(COUNTIF('USPTO TMs'!A:A,D5080)&gt;0,"Yes","No"),"")</f>
        <v/>
      </c>
      <c r="C5080" s="11"/>
      <c r="D5080" s="11"/>
      <c r="E5080" s="11"/>
      <c r="F5080" s="11"/>
      <c r="G5080" s="11"/>
      <c r="H5080" s="11"/>
      <c r="I5080" s="15"/>
    </row>
    <row r="5081" spans="1:9" ht="16.5">
      <c r="A5081" s="10" t="b">
        <v>0</v>
      </c>
      <c r="B5081" s="11" t="str">
        <f>IF(D5081&lt;&gt;"",IF(COUNTIF('USPTO TMs'!A:A,D5081)&gt;0,"Yes","No"),"")</f>
        <v/>
      </c>
      <c r="C5081" s="11"/>
      <c r="D5081" s="11"/>
      <c r="E5081" s="11"/>
      <c r="F5081" s="11"/>
      <c r="G5081" s="11"/>
      <c r="H5081" s="11"/>
      <c r="I5081" s="15"/>
    </row>
    <row r="5082" spans="1:9" ht="16.5">
      <c r="A5082" s="10" t="b">
        <v>0</v>
      </c>
      <c r="B5082" s="11" t="str">
        <f>IF(D5082&lt;&gt;"",IF(COUNTIF('USPTO TMs'!A:A,D5082)&gt;0,"Yes","No"),"")</f>
        <v/>
      </c>
      <c r="C5082" s="11"/>
      <c r="D5082" s="11"/>
      <c r="E5082" s="11"/>
      <c r="F5082" s="11"/>
      <c r="G5082" s="11"/>
      <c r="H5082" s="11"/>
      <c r="I5082" s="15"/>
    </row>
    <row r="5083" spans="1:9" ht="16.5">
      <c r="A5083" s="10" t="b">
        <v>0</v>
      </c>
      <c r="B5083" s="11" t="str">
        <f>IF(D5083&lt;&gt;"",IF(COUNTIF('USPTO TMs'!A:A,D5083)&gt;0,"Yes","No"),"")</f>
        <v/>
      </c>
      <c r="C5083" s="11"/>
      <c r="D5083" s="11"/>
      <c r="E5083" s="11"/>
      <c r="F5083" s="11"/>
      <c r="G5083" s="11"/>
      <c r="H5083" s="11"/>
      <c r="I5083" s="15"/>
    </row>
    <row r="5084" spans="1:9" ht="16.5">
      <c r="A5084" s="10" t="b">
        <v>0</v>
      </c>
      <c r="B5084" s="11" t="str">
        <f>IF(D5084&lt;&gt;"",IF(COUNTIF('USPTO TMs'!A:A,D5084)&gt;0,"Yes","No"),"")</f>
        <v/>
      </c>
      <c r="C5084" s="11"/>
      <c r="D5084" s="11"/>
      <c r="E5084" s="11"/>
      <c r="F5084" s="11"/>
      <c r="G5084" s="11"/>
      <c r="H5084" s="11"/>
      <c r="I5084" s="15"/>
    </row>
    <row r="5085" spans="1:9" ht="16.5">
      <c r="A5085" s="10" t="b">
        <v>0</v>
      </c>
      <c r="B5085" s="11" t="str">
        <f>IF(D5085&lt;&gt;"",IF(COUNTIF('USPTO TMs'!A:A,D5085)&gt;0,"Yes","No"),"")</f>
        <v/>
      </c>
      <c r="C5085" s="11"/>
      <c r="D5085" s="11"/>
      <c r="E5085" s="11"/>
      <c r="F5085" s="11"/>
      <c r="G5085" s="11"/>
      <c r="H5085" s="11"/>
      <c r="I5085" s="15"/>
    </row>
    <row r="5086" spans="1:9" ht="16.5">
      <c r="A5086" s="10" t="b">
        <v>0</v>
      </c>
      <c r="B5086" s="11" t="str">
        <f>IF(D5086&lt;&gt;"",IF(COUNTIF('USPTO TMs'!A:A,D5086)&gt;0,"Yes","No"),"")</f>
        <v/>
      </c>
      <c r="C5086" s="11"/>
      <c r="D5086" s="11"/>
      <c r="E5086" s="11"/>
      <c r="F5086" s="11"/>
      <c r="G5086" s="11"/>
      <c r="H5086" s="11"/>
      <c r="I5086" s="15"/>
    </row>
    <row r="5087" spans="1:9" ht="16.5">
      <c r="A5087" s="10" t="b">
        <v>0</v>
      </c>
      <c r="B5087" s="11" t="str">
        <f>IF(D5087&lt;&gt;"",IF(COUNTIF('USPTO TMs'!A:A,D5087)&gt;0,"Yes","No"),"")</f>
        <v/>
      </c>
      <c r="C5087" s="11"/>
      <c r="D5087" s="11"/>
      <c r="E5087" s="11"/>
      <c r="F5087" s="11"/>
      <c r="G5087" s="11"/>
      <c r="H5087" s="11"/>
      <c r="I5087" s="15"/>
    </row>
    <row r="5088" spans="1:9" ht="16.5">
      <c r="A5088" s="10" t="b">
        <v>0</v>
      </c>
      <c r="B5088" s="11" t="str">
        <f>IF(D5088&lt;&gt;"",IF(COUNTIF('USPTO TMs'!A:A,D5088)&gt;0,"Yes","No"),"")</f>
        <v/>
      </c>
      <c r="C5088" s="11"/>
      <c r="D5088" s="11"/>
      <c r="E5088" s="11"/>
      <c r="F5088" s="11"/>
      <c r="G5088" s="11"/>
      <c r="H5088" s="11"/>
      <c r="I5088" s="15"/>
    </row>
    <row r="5089" spans="1:9" ht="16.5">
      <c r="A5089" s="10" t="b">
        <v>0</v>
      </c>
      <c r="B5089" s="11" t="str">
        <f>IF(D5089&lt;&gt;"",IF(COUNTIF('USPTO TMs'!A:A,D5089)&gt;0,"Yes","No"),"")</f>
        <v/>
      </c>
      <c r="C5089" s="11"/>
      <c r="D5089" s="11"/>
      <c r="E5089" s="11"/>
      <c r="F5089" s="11"/>
      <c r="G5089" s="11"/>
      <c r="H5089" s="11"/>
      <c r="I5089" s="15"/>
    </row>
    <row r="5090" spans="1:9" ht="16.5">
      <c r="A5090" s="10" t="b">
        <v>0</v>
      </c>
      <c r="B5090" s="11" t="str">
        <f>IF(D5090&lt;&gt;"",IF(COUNTIF('USPTO TMs'!A:A,D5090)&gt;0,"Yes","No"),"")</f>
        <v/>
      </c>
      <c r="C5090" s="11"/>
      <c r="D5090" s="11"/>
      <c r="E5090" s="11"/>
      <c r="F5090" s="11"/>
      <c r="G5090" s="11"/>
      <c r="H5090" s="11"/>
      <c r="I5090" s="15"/>
    </row>
    <row r="5091" spans="1:9" ht="16.5">
      <c r="A5091" s="10" t="b">
        <v>0</v>
      </c>
      <c r="B5091" s="11" t="str">
        <f>IF(D5091&lt;&gt;"",IF(COUNTIF('USPTO TMs'!A:A,D5091)&gt;0,"Yes","No"),"")</f>
        <v/>
      </c>
      <c r="C5091" s="11"/>
      <c r="D5091" s="11"/>
      <c r="E5091" s="11"/>
      <c r="F5091" s="11"/>
      <c r="G5091" s="11"/>
      <c r="H5091" s="11"/>
      <c r="I5091" s="15"/>
    </row>
    <row r="5092" spans="1:9" ht="16.5">
      <c r="A5092" s="10" t="b">
        <v>0</v>
      </c>
      <c r="B5092" s="11" t="str">
        <f>IF(D5092&lt;&gt;"",IF(COUNTIF('USPTO TMs'!A:A,D5092)&gt;0,"Yes","No"),"")</f>
        <v/>
      </c>
      <c r="C5092" s="11"/>
      <c r="D5092" s="11"/>
      <c r="E5092" s="11"/>
      <c r="F5092" s="11"/>
      <c r="G5092" s="11"/>
      <c r="H5092" s="11"/>
      <c r="I5092" s="15"/>
    </row>
    <row r="5093" spans="1:9" ht="16.5">
      <c r="A5093" s="10" t="b">
        <v>0</v>
      </c>
      <c r="B5093" s="11" t="str">
        <f>IF(D5093&lt;&gt;"",IF(COUNTIF('USPTO TMs'!A:A,D5093)&gt;0,"Yes","No"),"")</f>
        <v/>
      </c>
      <c r="C5093" s="11"/>
      <c r="D5093" s="11"/>
      <c r="E5093" s="11"/>
      <c r="F5093" s="11"/>
      <c r="G5093" s="11"/>
      <c r="H5093" s="11"/>
      <c r="I5093" s="15"/>
    </row>
    <row r="5094" spans="1:9" ht="16.5">
      <c r="A5094" s="10" t="b">
        <v>0</v>
      </c>
      <c r="B5094" s="11" t="str">
        <f>IF(D5094&lt;&gt;"",IF(COUNTIF('USPTO TMs'!A:A,D5094)&gt;0,"Yes","No"),"")</f>
        <v/>
      </c>
      <c r="C5094" s="11"/>
      <c r="D5094" s="11"/>
      <c r="E5094" s="11"/>
      <c r="F5094" s="11"/>
      <c r="G5094" s="11"/>
      <c r="H5094" s="11"/>
      <c r="I5094" s="15"/>
    </row>
    <row r="5095" spans="1:9" ht="16.5">
      <c r="A5095" s="10" t="b">
        <v>0</v>
      </c>
      <c r="B5095" s="11" t="str">
        <f>IF(D5095&lt;&gt;"",IF(COUNTIF('USPTO TMs'!A:A,D5095)&gt;0,"Yes","No"),"")</f>
        <v/>
      </c>
      <c r="C5095" s="11"/>
      <c r="D5095" s="11"/>
      <c r="E5095" s="11"/>
      <c r="F5095" s="11"/>
      <c r="G5095" s="11"/>
      <c r="H5095" s="11"/>
      <c r="I5095" s="15"/>
    </row>
    <row r="5096" spans="1:9" ht="16.5">
      <c r="A5096" s="10" t="b">
        <v>0</v>
      </c>
      <c r="B5096" s="11" t="str">
        <f>IF(D5096&lt;&gt;"",IF(COUNTIF('USPTO TMs'!A:A,D5096)&gt;0,"Yes","No"),"")</f>
        <v/>
      </c>
      <c r="C5096" s="11"/>
      <c r="D5096" s="11"/>
      <c r="E5096" s="11"/>
      <c r="F5096" s="11"/>
      <c r="G5096" s="11"/>
      <c r="H5096" s="11"/>
      <c r="I5096" s="15"/>
    </row>
    <row r="5097" spans="1:9" ht="16.5">
      <c r="A5097" s="10" t="b">
        <v>0</v>
      </c>
      <c r="B5097" s="11" t="str">
        <f>IF(D5097&lt;&gt;"",IF(COUNTIF('USPTO TMs'!A:A,D5097)&gt;0,"Yes","No"),"")</f>
        <v/>
      </c>
      <c r="C5097" s="11"/>
      <c r="D5097" s="11"/>
      <c r="E5097" s="11"/>
      <c r="F5097" s="11"/>
      <c r="G5097" s="11"/>
      <c r="H5097" s="11"/>
      <c r="I5097" s="15"/>
    </row>
    <row r="5098" spans="1:9" ht="16.5">
      <c r="A5098" s="10" t="b">
        <v>0</v>
      </c>
      <c r="B5098" s="11" t="str">
        <f>IF(D5098&lt;&gt;"",IF(COUNTIF('USPTO TMs'!A:A,D5098)&gt;0,"Yes","No"),"")</f>
        <v/>
      </c>
      <c r="C5098" s="11"/>
      <c r="D5098" s="11"/>
      <c r="E5098" s="11"/>
      <c r="F5098" s="11"/>
      <c r="G5098" s="11"/>
      <c r="H5098" s="11"/>
      <c r="I5098" s="15"/>
    </row>
    <row r="5099" spans="1:9" ht="16.5">
      <c r="A5099" s="10" t="b">
        <v>0</v>
      </c>
      <c r="B5099" s="11" t="str">
        <f>IF(D5099&lt;&gt;"",IF(COUNTIF('USPTO TMs'!A:A,D5099)&gt;0,"Yes","No"),"")</f>
        <v/>
      </c>
      <c r="C5099" s="11"/>
      <c r="D5099" s="11"/>
      <c r="E5099" s="11"/>
      <c r="F5099" s="11"/>
      <c r="G5099" s="11"/>
      <c r="H5099" s="11"/>
      <c r="I5099" s="15"/>
    </row>
    <row r="5100" spans="1:9" ht="16.5">
      <c r="A5100" s="10" t="b">
        <v>0</v>
      </c>
      <c r="B5100" s="11" t="str">
        <f>IF(D5100&lt;&gt;"",IF(COUNTIF('USPTO TMs'!A:A,D5100)&gt;0,"Yes","No"),"")</f>
        <v/>
      </c>
      <c r="C5100" s="11"/>
      <c r="D5100" s="11"/>
      <c r="E5100" s="11"/>
      <c r="F5100" s="11"/>
      <c r="G5100" s="11"/>
      <c r="H5100" s="11"/>
      <c r="I5100" s="15"/>
    </row>
    <row r="5101" spans="1:9" ht="16.5">
      <c r="A5101" s="10" t="b">
        <v>0</v>
      </c>
      <c r="B5101" s="11" t="str">
        <f>IF(D5101&lt;&gt;"",IF(COUNTIF('USPTO TMs'!A:A,D5101)&gt;0,"Yes","No"),"")</f>
        <v/>
      </c>
      <c r="C5101" s="11"/>
      <c r="D5101" s="11"/>
      <c r="E5101" s="11"/>
      <c r="F5101" s="11"/>
      <c r="G5101" s="11"/>
      <c r="H5101" s="11"/>
      <c r="I5101" s="15"/>
    </row>
    <row r="5102" spans="1:9" ht="16.5">
      <c r="A5102" s="10" t="b">
        <v>0</v>
      </c>
      <c r="B5102" s="11" t="str">
        <f>IF(D5102&lt;&gt;"",IF(COUNTIF('USPTO TMs'!A:A,D5102)&gt;0,"Yes","No"),"")</f>
        <v/>
      </c>
      <c r="C5102" s="11"/>
      <c r="D5102" s="11"/>
      <c r="E5102" s="11"/>
      <c r="F5102" s="11"/>
      <c r="G5102" s="11"/>
      <c r="H5102" s="11"/>
      <c r="I5102" s="15"/>
    </row>
    <row r="5103" spans="1:9" ht="16.5">
      <c r="A5103" s="10" t="b">
        <v>0</v>
      </c>
      <c r="B5103" s="11" t="str">
        <f>IF(D5103&lt;&gt;"",IF(COUNTIF('USPTO TMs'!A:A,D5103)&gt;0,"Yes","No"),"")</f>
        <v/>
      </c>
      <c r="C5103" s="11"/>
      <c r="D5103" s="11"/>
      <c r="E5103" s="11"/>
      <c r="F5103" s="11"/>
      <c r="G5103" s="11"/>
      <c r="H5103" s="11"/>
      <c r="I5103" s="15"/>
    </row>
    <row r="5104" spans="1:9" ht="16.5">
      <c r="A5104" s="10" t="b">
        <v>0</v>
      </c>
      <c r="B5104" s="11" t="str">
        <f>IF(D5104&lt;&gt;"",IF(COUNTIF('USPTO TMs'!A:A,D5104)&gt;0,"Yes","No"),"")</f>
        <v/>
      </c>
      <c r="C5104" s="11"/>
      <c r="D5104" s="11"/>
      <c r="E5104" s="11"/>
      <c r="F5104" s="11"/>
      <c r="G5104" s="11"/>
      <c r="H5104" s="11"/>
      <c r="I5104" s="15"/>
    </row>
    <row r="5105" spans="1:9" ht="16.5">
      <c r="A5105" s="10" t="b">
        <v>0</v>
      </c>
      <c r="B5105" s="11" t="str">
        <f>IF(D5105&lt;&gt;"",IF(COUNTIF('USPTO TMs'!A:A,D5105)&gt;0,"Yes","No"),"")</f>
        <v/>
      </c>
      <c r="C5105" s="11"/>
      <c r="D5105" s="11"/>
      <c r="E5105" s="11"/>
      <c r="F5105" s="11"/>
      <c r="G5105" s="11"/>
      <c r="H5105" s="11"/>
      <c r="I5105" s="15"/>
    </row>
    <row r="5106" spans="1:9" ht="16.5">
      <c r="A5106" s="10" t="b">
        <v>0</v>
      </c>
      <c r="B5106" s="11" t="str">
        <f>IF(D5106&lt;&gt;"",IF(COUNTIF('USPTO TMs'!A:A,D5106)&gt;0,"Yes","No"),"")</f>
        <v/>
      </c>
      <c r="C5106" s="11"/>
      <c r="D5106" s="11"/>
      <c r="E5106" s="11"/>
      <c r="F5106" s="11"/>
      <c r="G5106" s="11"/>
      <c r="H5106" s="11"/>
      <c r="I5106" s="15"/>
    </row>
    <row r="5107" spans="1:9" ht="16.5">
      <c r="A5107" s="10" t="b">
        <v>0</v>
      </c>
      <c r="B5107" s="11" t="str">
        <f>IF(D5107&lt;&gt;"",IF(COUNTIF('USPTO TMs'!A:A,D5107)&gt;0,"Yes","No"),"")</f>
        <v/>
      </c>
      <c r="C5107" s="11"/>
      <c r="D5107" s="11"/>
      <c r="E5107" s="11"/>
      <c r="F5107" s="11"/>
      <c r="G5107" s="11"/>
      <c r="H5107" s="11"/>
      <c r="I5107" s="15"/>
    </row>
    <row r="5108" spans="1:9" ht="16.5">
      <c r="A5108" s="10" t="b">
        <v>0</v>
      </c>
      <c r="B5108" s="11" t="str">
        <f>IF(D5108&lt;&gt;"",IF(COUNTIF('USPTO TMs'!A:A,D5108)&gt;0,"Yes","No"),"")</f>
        <v/>
      </c>
      <c r="C5108" s="11"/>
      <c r="D5108" s="11"/>
      <c r="E5108" s="11"/>
      <c r="F5108" s="11"/>
      <c r="G5108" s="11"/>
      <c r="H5108" s="11"/>
      <c r="I5108" s="15"/>
    </row>
    <row r="5109" spans="1:9" ht="16.5">
      <c r="A5109" s="10" t="b">
        <v>0</v>
      </c>
      <c r="B5109" s="11" t="str">
        <f>IF(D5109&lt;&gt;"",IF(COUNTIF('USPTO TMs'!A:A,D5109)&gt;0,"Yes","No"),"")</f>
        <v/>
      </c>
      <c r="C5109" s="11"/>
      <c r="D5109" s="11"/>
      <c r="E5109" s="11"/>
      <c r="F5109" s="11"/>
      <c r="G5109" s="11"/>
      <c r="H5109" s="11"/>
      <c r="I5109" s="15"/>
    </row>
    <row r="5110" spans="1:9" ht="16.5">
      <c r="A5110" s="10" t="b">
        <v>0</v>
      </c>
      <c r="B5110" s="11" t="str">
        <f>IF(D5110&lt;&gt;"",IF(COUNTIF('USPTO TMs'!A:A,D5110)&gt;0,"Yes","No"),"")</f>
        <v/>
      </c>
      <c r="C5110" s="11"/>
      <c r="D5110" s="11"/>
      <c r="E5110" s="11"/>
      <c r="F5110" s="11"/>
      <c r="G5110" s="11"/>
      <c r="H5110" s="11"/>
      <c r="I5110" s="15"/>
    </row>
    <row r="5111" spans="1:9" ht="16.5">
      <c r="A5111" s="10" t="b">
        <v>0</v>
      </c>
      <c r="B5111" s="11" t="str">
        <f>IF(D5111&lt;&gt;"",IF(COUNTIF('USPTO TMs'!A:A,D5111)&gt;0,"Yes","No"),"")</f>
        <v/>
      </c>
      <c r="C5111" s="11"/>
      <c r="D5111" s="11"/>
      <c r="E5111" s="11"/>
      <c r="F5111" s="11"/>
      <c r="G5111" s="11"/>
      <c r="H5111" s="11"/>
      <c r="I5111" s="15"/>
    </row>
    <row r="5112" spans="1:9" ht="16.5">
      <c r="A5112" s="10" t="b">
        <v>0</v>
      </c>
      <c r="B5112" s="11" t="str">
        <f>IF(D5112&lt;&gt;"",IF(COUNTIF('USPTO TMs'!A:A,D5112)&gt;0,"Yes","No"),"")</f>
        <v/>
      </c>
      <c r="C5112" s="11"/>
      <c r="D5112" s="11"/>
      <c r="E5112" s="11"/>
      <c r="F5112" s="11"/>
      <c r="G5112" s="11"/>
      <c r="H5112" s="11"/>
      <c r="I5112" s="15"/>
    </row>
    <row r="5113" spans="1:9" ht="16.5">
      <c r="A5113" s="10" t="b">
        <v>0</v>
      </c>
      <c r="B5113" s="11" t="str">
        <f>IF(D5113&lt;&gt;"",IF(COUNTIF('USPTO TMs'!A:A,D5113)&gt;0,"Yes","No"),"")</f>
        <v/>
      </c>
      <c r="C5113" s="11"/>
      <c r="D5113" s="11"/>
      <c r="E5113" s="11"/>
      <c r="F5113" s="11"/>
      <c r="G5113" s="11"/>
      <c r="H5113" s="11"/>
      <c r="I5113" s="15"/>
    </row>
    <row r="5114" spans="1:9" ht="16.5">
      <c r="A5114" s="10" t="b">
        <v>0</v>
      </c>
      <c r="B5114" s="11" t="str">
        <f>IF(D5114&lt;&gt;"",IF(COUNTIF('USPTO TMs'!A:A,D5114)&gt;0,"Yes","No"),"")</f>
        <v/>
      </c>
      <c r="C5114" s="11"/>
      <c r="D5114" s="11"/>
      <c r="E5114" s="11"/>
      <c r="F5114" s="11"/>
      <c r="G5114" s="11"/>
      <c r="H5114" s="11"/>
      <c r="I5114" s="15"/>
    </row>
    <row r="5115" spans="1:9" ht="16.5">
      <c r="A5115" s="10" t="b">
        <v>0</v>
      </c>
      <c r="B5115" s="11" t="str">
        <f>IF(D5115&lt;&gt;"",IF(COUNTIF('USPTO TMs'!A:A,D5115)&gt;0,"Yes","No"),"")</f>
        <v/>
      </c>
      <c r="C5115" s="11"/>
      <c r="D5115" s="11"/>
      <c r="E5115" s="11"/>
      <c r="F5115" s="11"/>
      <c r="G5115" s="11"/>
      <c r="H5115" s="11"/>
      <c r="I5115" s="15"/>
    </row>
    <row r="5116" spans="1:9" ht="16.5">
      <c r="A5116" s="10" t="b">
        <v>0</v>
      </c>
      <c r="B5116" s="11" t="str">
        <f>IF(D5116&lt;&gt;"",IF(COUNTIF('USPTO TMs'!A:A,D5116)&gt;0,"Yes","No"),"")</f>
        <v/>
      </c>
      <c r="C5116" s="11"/>
      <c r="D5116" s="11"/>
      <c r="E5116" s="11"/>
      <c r="F5116" s="11"/>
      <c r="G5116" s="11"/>
      <c r="H5116" s="11"/>
      <c r="I5116" s="15"/>
    </row>
    <row r="5117" spans="1:9" ht="16.5">
      <c r="A5117" s="10" t="b">
        <v>0</v>
      </c>
      <c r="B5117" s="11" t="str">
        <f>IF(D5117&lt;&gt;"",IF(COUNTIF('USPTO TMs'!A:A,D5117)&gt;0,"Yes","No"),"")</f>
        <v/>
      </c>
      <c r="C5117" s="11"/>
      <c r="D5117" s="11"/>
      <c r="E5117" s="11"/>
      <c r="F5117" s="11"/>
      <c r="G5117" s="11"/>
      <c r="H5117" s="11"/>
      <c r="I5117" s="15"/>
    </row>
    <row r="5118" spans="1:9" ht="16.5">
      <c r="A5118" s="10" t="b">
        <v>0</v>
      </c>
      <c r="B5118" s="11" t="str">
        <f>IF(D5118&lt;&gt;"",IF(COUNTIF('USPTO TMs'!A:A,D5118)&gt;0,"Yes","No"),"")</f>
        <v/>
      </c>
      <c r="C5118" s="11"/>
      <c r="D5118" s="11"/>
      <c r="E5118" s="11"/>
      <c r="F5118" s="11"/>
      <c r="G5118" s="11"/>
      <c r="H5118" s="11"/>
      <c r="I5118" s="15"/>
    </row>
    <row r="5119" spans="1:9" ht="16.5">
      <c r="A5119" s="10" t="b">
        <v>0</v>
      </c>
      <c r="B5119" s="11" t="str">
        <f>IF(D5119&lt;&gt;"",IF(COUNTIF('USPTO TMs'!A:A,D5119)&gt;0,"Yes","No"),"")</f>
        <v/>
      </c>
      <c r="C5119" s="11"/>
      <c r="D5119" s="11"/>
      <c r="E5119" s="11"/>
      <c r="F5119" s="11"/>
      <c r="G5119" s="11"/>
      <c r="H5119" s="11"/>
      <c r="I5119" s="15"/>
    </row>
    <row r="5120" spans="1:9" ht="16.5">
      <c r="A5120" s="10" t="b">
        <v>0</v>
      </c>
      <c r="B5120" s="11" t="str">
        <f>IF(D5120&lt;&gt;"",IF(COUNTIF('USPTO TMs'!A:A,D5120)&gt;0,"Yes","No"),"")</f>
        <v/>
      </c>
      <c r="C5120" s="11"/>
      <c r="D5120" s="11"/>
      <c r="E5120" s="11"/>
      <c r="F5120" s="11"/>
      <c r="G5120" s="11"/>
      <c r="H5120" s="11"/>
      <c r="I5120" s="15"/>
    </row>
    <row r="5121" spans="1:9" ht="16.5">
      <c r="A5121" s="10" t="b">
        <v>0</v>
      </c>
      <c r="B5121" s="11" t="str">
        <f>IF(D5121&lt;&gt;"",IF(COUNTIF('USPTO TMs'!A:A,D5121)&gt;0,"Yes","No"),"")</f>
        <v/>
      </c>
      <c r="C5121" s="11"/>
      <c r="D5121" s="11"/>
      <c r="E5121" s="11"/>
      <c r="F5121" s="11"/>
      <c r="G5121" s="11"/>
      <c r="H5121" s="11"/>
      <c r="I5121" s="15"/>
    </row>
    <row r="5122" spans="1:9" ht="16.5">
      <c r="A5122" s="10" t="b">
        <v>0</v>
      </c>
      <c r="B5122" s="11" t="str">
        <f>IF(D5122&lt;&gt;"",IF(COUNTIF('USPTO TMs'!A:A,D5122)&gt;0,"Yes","No"),"")</f>
        <v/>
      </c>
      <c r="C5122" s="11"/>
      <c r="D5122" s="11"/>
      <c r="E5122" s="11"/>
      <c r="F5122" s="11"/>
      <c r="G5122" s="11"/>
      <c r="H5122" s="11"/>
      <c r="I5122" s="15"/>
    </row>
    <row r="5123" spans="1:9" ht="16.5">
      <c r="A5123" s="10" t="b">
        <v>0</v>
      </c>
      <c r="B5123" s="11" t="str">
        <f>IF(D5123&lt;&gt;"",IF(COUNTIF('USPTO TMs'!A:A,D5123)&gt;0,"Yes","No"),"")</f>
        <v/>
      </c>
      <c r="C5123" s="11"/>
      <c r="D5123" s="11"/>
      <c r="E5123" s="11"/>
      <c r="F5123" s="11"/>
      <c r="G5123" s="11"/>
      <c r="H5123" s="11"/>
      <c r="I5123" s="15"/>
    </row>
    <row r="5124" spans="1:9" ht="16.5">
      <c r="A5124" s="10" t="b">
        <v>0</v>
      </c>
      <c r="B5124" s="11" t="str">
        <f>IF(D5124&lt;&gt;"",IF(COUNTIF('USPTO TMs'!A:A,D5124)&gt;0,"Yes","No"),"")</f>
        <v/>
      </c>
      <c r="C5124" s="11"/>
      <c r="D5124" s="11"/>
      <c r="E5124" s="11"/>
      <c r="F5124" s="11"/>
      <c r="G5124" s="11"/>
      <c r="H5124" s="11"/>
      <c r="I5124" s="15"/>
    </row>
    <row r="5125" spans="1:9" ht="16.5">
      <c r="A5125" s="10" t="b">
        <v>0</v>
      </c>
      <c r="B5125" s="11" t="str">
        <f>IF(D5125&lt;&gt;"",IF(COUNTIF('USPTO TMs'!A:A,D5125)&gt;0,"Yes","No"),"")</f>
        <v/>
      </c>
      <c r="C5125" s="11"/>
      <c r="D5125" s="11"/>
      <c r="E5125" s="11"/>
      <c r="F5125" s="11"/>
      <c r="G5125" s="11"/>
      <c r="H5125" s="11"/>
      <c r="I5125" s="15"/>
    </row>
    <row r="5126" spans="1:9" ht="16.5">
      <c r="A5126" s="10" t="b">
        <v>0</v>
      </c>
      <c r="B5126" s="11" t="str">
        <f>IF(D5126&lt;&gt;"",IF(COUNTIF('USPTO TMs'!A:A,D5126)&gt;0,"Yes","No"),"")</f>
        <v/>
      </c>
      <c r="C5126" s="11"/>
      <c r="D5126" s="11"/>
      <c r="E5126" s="11"/>
      <c r="F5126" s="11"/>
      <c r="G5126" s="11"/>
      <c r="H5126" s="11"/>
      <c r="I5126" s="15"/>
    </row>
    <row r="5127" spans="1:9" ht="16.5">
      <c r="A5127" s="10" t="b">
        <v>0</v>
      </c>
      <c r="B5127" s="11" t="str">
        <f>IF(D5127&lt;&gt;"",IF(COUNTIF('USPTO TMs'!A:A,D5127)&gt;0,"Yes","No"),"")</f>
        <v/>
      </c>
      <c r="C5127" s="11"/>
      <c r="D5127" s="11"/>
      <c r="E5127" s="11"/>
      <c r="F5127" s="11"/>
      <c r="G5127" s="11"/>
      <c r="H5127" s="11"/>
      <c r="I5127" s="15"/>
    </row>
    <row r="5128" spans="1:9" ht="16.5">
      <c r="A5128" s="10" t="b">
        <v>0</v>
      </c>
      <c r="B5128" s="11" t="str">
        <f>IF(D5128&lt;&gt;"",IF(COUNTIF('USPTO TMs'!A:A,D5128)&gt;0,"Yes","No"),"")</f>
        <v/>
      </c>
      <c r="C5128" s="11"/>
      <c r="D5128" s="11"/>
      <c r="E5128" s="11"/>
      <c r="F5128" s="11"/>
      <c r="G5128" s="11"/>
      <c r="H5128" s="11"/>
      <c r="I5128" s="15"/>
    </row>
    <row r="5129" spans="1:9" ht="16.5">
      <c r="A5129" s="10" t="b">
        <v>0</v>
      </c>
      <c r="B5129" s="11" t="str">
        <f>IF(D5129&lt;&gt;"",IF(COUNTIF('USPTO TMs'!A:A,D5129)&gt;0,"Yes","No"),"")</f>
        <v/>
      </c>
      <c r="C5129" s="11"/>
      <c r="D5129" s="11"/>
      <c r="E5129" s="11"/>
      <c r="F5129" s="11"/>
      <c r="G5129" s="11"/>
      <c r="H5129" s="11"/>
      <c r="I5129" s="15"/>
    </row>
    <row r="5130" spans="1:9" ht="16.5">
      <c r="A5130" s="10" t="b">
        <v>0</v>
      </c>
      <c r="B5130" s="11" t="str">
        <f>IF(D5130&lt;&gt;"",IF(COUNTIF('USPTO TMs'!A:A,D5130)&gt;0,"Yes","No"),"")</f>
        <v/>
      </c>
      <c r="C5130" s="11"/>
      <c r="D5130" s="11"/>
      <c r="E5130" s="11"/>
      <c r="F5130" s="11"/>
      <c r="G5130" s="11"/>
      <c r="H5130" s="11"/>
      <c r="I5130" s="15"/>
    </row>
    <row r="5131" spans="1:9" ht="16.5">
      <c r="A5131" s="10" t="b">
        <v>0</v>
      </c>
      <c r="B5131" s="11" t="str">
        <f>IF(D5131&lt;&gt;"",IF(COUNTIF('USPTO TMs'!A:A,D5131)&gt;0,"Yes","No"),"")</f>
        <v/>
      </c>
      <c r="C5131" s="11"/>
      <c r="D5131" s="11"/>
      <c r="E5131" s="11"/>
      <c r="F5131" s="11"/>
      <c r="G5131" s="11"/>
      <c r="H5131" s="11"/>
      <c r="I5131" s="15"/>
    </row>
    <row r="5132" spans="1:9" ht="16.5">
      <c r="A5132" s="10" t="b">
        <v>0</v>
      </c>
      <c r="B5132" s="11" t="str">
        <f>IF(D5132&lt;&gt;"",IF(COUNTIF('USPTO TMs'!A:A,D5132)&gt;0,"Yes","No"),"")</f>
        <v/>
      </c>
      <c r="C5132" s="11"/>
      <c r="D5132" s="11"/>
      <c r="E5132" s="11"/>
      <c r="F5132" s="11"/>
      <c r="G5132" s="11"/>
      <c r="H5132" s="11"/>
      <c r="I5132" s="15"/>
    </row>
    <row r="5133" spans="1:9" ht="16.5">
      <c r="A5133" s="10" t="b">
        <v>0</v>
      </c>
      <c r="B5133" s="11" t="str">
        <f>IF(D5133&lt;&gt;"",IF(COUNTIF('USPTO TMs'!A:A,D5133)&gt;0,"Yes","No"),"")</f>
        <v/>
      </c>
      <c r="C5133" s="11"/>
      <c r="D5133" s="11"/>
      <c r="E5133" s="11"/>
      <c r="F5133" s="11"/>
      <c r="G5133" s="11"/>
      <c r="H5133" s="11"/>
      <c r="I5133" s="15"/>
    </row>
    <row r="5134" spans="1:9" ht="16.5">
      <c r="A5134" s="10" t="b">
        <v>0</v>
      </c>
      <c r="B5134" s="11" t="str">
        <f>IF(D5134&lt;&gt;"",IF(COUNTIF('USPTO TMs'!A:A,D5134)&gt;0,"Yes","No"),"")</f>
        <v/>
      </c>
      <c r="C5134" s="11"/>
      <c r="D5134" s="11"/>
      <c r="E5134" s="11"/>
      <c r="F5134" s="11"/>
      <c r="G5134" s="11"/>
      <c r="H5134" s="11"/>
      <c r="I5134" s="15"/>
    </row>
    <row r="5135" spans="1:9" ht="16.5">
      <c r="A5135" s="10" t="b">
        <v>0</v>
      </c>
      <c r="B5135" s="11" t="str">
        <f>IF(D5135&lt;&gt;"",IF(COUNTIF('USPTO TMs'!A:A,D5135)&gt;0,"Yes","No"),"")</f>
        <v/>
      </c>
      <c r="C5135" s="11"/>
      <c r="D5135" s="11"/>
      <c r="E5135" s="11"/>
      <c r="F5135" s="11"/>
      <c r="G5135" s="11"/>
      <c r="H5135" s="11"/>
      <c r="I5135" s="15"/>
    </row>
    <row r="5136" spans="1:9" ht="16.5">
      <c r="A5136" s="10" t="b">
        <v>0</v>
      </c>
      <c r="B5136" s="11" t="str">
        <f>IF(D5136&lt;&gt;"",IF(COUNTIF('USPTO TMs'!A:A,D5136)&gt;0,"Yes","No"),"")</f>
        <v/>
      </c>
      <c r="C5136" s="11"/>
      <c r="D5136" s="11"/>
      <c r="E5136" s="11"/>
      <c r="F5136" s="11"/>
      <c r="G5136" s="11"/>
      <c r="H5136" s="11"/>
      <c r="I5136" s="15"/>
    </row>
    <row r="5137" spans="1:9" ht="16.5">
      <c r="A5137" s="10" t="b">
        <v>0</v>
      </c>
      <c r="B5137" s="11" t="str">
        <f>IF(D5137&lt;&gt;"",IF(COUNTIF('USPTO TMs'!A:A,D5137)&gt;0,"Yes","No"),"")</f>
        <v/>
      </c>
      <c r="C5137" s="11"/>
      <c r="D5137" s="11"/>
      <c r="E5137" s="11"/>
      <c r="F5137" s="11"/>
      <c r="G5137" s="11"/>
      <c r="H5137" s="11"/>
      <c r="I5137" s="15"/>
    </row>
    <row r="5138" spans="1:9" ht="16.5">
      <c r="A5138" s="10" t="b">
        <v>0</v>
      </c>
      <c r="B5138" s="11" t="str">
        <f>IF(D5138&lt;&gt;"",IF(COUNTIF('USPTO TMs'!A:A,D5138)&gt;0,"Yes","No"),"")</f>
        <v/>
      </c>
      <c r="C5138" s="11"/>
      <c r="D5138" s="11"/>
      <c r="E5138" s="11"/>
      <c r="F5138" s="11"/>
      <c r="G5138" s="11"/>
      <c r="H5138" s="11"/>
      <c r="I5138" s="15"/>
    </row>
    <row r="5139" spans="1:9" ht="16.5">
      <c r="A5139" s="10" t="b">
        <v>0</v>
      </c>
      <c r="B5139" s="11" t="str">
        <f>IF(D5139&lt;&gt;"",IF(COUNTIF('USPTO TMs'!A:A,D5139)&gt;0,"Yes","No"),"")</f>
        <v/>
      </c>
      <c r="C5139" s="11"/>
      <c r="D5139" s="11"/>
      <c r="E5139" s="11"/>
      <c r="F5139" s="11"/>
      <c r="G5139" s="11"/>
      <c r="H5139" s="11"/>
      <c r="I5139" s="15"/>
    </row>
    <row r="5140" spans="1:9" ht="16.5">
      <c r="A5140" s="10" t="b">
        <v>0</v>
      </c>
      <c r="B5140" s="11" t="str">
        <f>IF(D5140&lt;&gt;"",IF(COUNTIF('USPTO TMs'!A:A,D5140)&gt;0,"Yes","No"),"")</f>
        <v/>
      </c>
      <c r="C5140" s="11"/>
      <c r="D5140" s="11"/>
      <c r="E5140" s="11"/>
      <c r="F5140" s="11"/>
      <c r="G5140" s="11"/>
      <c r="H5140" s="11"/>
      <c r="I5140" s="15"/>
    </row>
    <row r="5141" spans="1:9" ht="16.5">
      <c r="A5141" s="10" t="b">
        <v>0</v>
      </c>
      <c r="B5141" s="11" t="str">
        <f>IF(D5141&lt;&gt;"",IF(COUNTIF('USPTO TMs'!A:A,D5141)&gt;0,"Yes","No"),"")</f>
        <v/>
      </c>
      <c r="C5141" s="11"/>
      <c r="D5141" s="11"/>
      <c r="E5141" s="11"/>
      <c r="F5141" s="11"/>
      <c r="G5141" s="11"/>
      <c r="H5141" s="11"/>
      <c r="I5141" s="15"/>
    </row>
    <row r="5142" spans="1:9" ht="16.5">
      <c r="A5142" s="10" t="b">
        <v>0</v>
      </c>
      <c r="B5142" s="11" t="str">
        <f>IF(D5142&lt;&gt;"",IF(COUNTIF('USPTO TMs'!A:A,D5142)&gt;0,"Yes","No"),"")</f>
        <v/>
      </c>
      <c r="C5142" s="11"/>
      <c r="D5142" s="11"/>
      <c r="E5142" s="11"/>
      <c r="F5142" s="11"/>
      <c r="G5142" s="11"/>
      <c r="H5142" s="11"/>
      <c r="I5142" s="15"/>
    </row>
    <row r="5143" spans="1:9" ht="16.5">
      <c r="A5143" s="10" t="b">
        <v>0</v>
      </c>
      <c r="B5143" s="11" t="str">
        <f>IF(D5143&lt;&gt;"",IF(COUNTIF('USPTO TMs'!A:A,D5143)&gt;0,"Yes","No"),"")</f>
        <v/>
      </c>
      <c r="C5143" s="11"/>
      <c r="D5143" s="11"/>
      <c r="E5143" s="11"/>
      <c r="F5143" s="11"/>
      <c r="G5143" s="11"/>
      <c r="H5143" s="11"/>
      <c r="I5143" s="15"/>
    </row>
    <row r="5144" spans="1:9" ht="16.5">
      <c r="A5144" s="10" t="b">
        <v>0</v>
      </c>
      <c r="B5144" s="11" t="str">
        <f>IF(D5144&lt;&gt;"",IF(COUNTIF('USPTO TMs'!A:A,D5144)&gt;0,"Yes","No"),"")</f>
        <v/>
      </c>
      <c r="C5144" s="11"/>
      <c r="D5144" s="11"/>
      <c r="E5144" s="11"/>
      <c r="F5144" s="11"/>
      <c r="G5144" s="11"/>
      <c r="H5144" s="11"/>
      <c r="I5144" s="15"/>
    </row>
    <row r="5145" spans="1:9" ht="16.5">
      <c r="A5145" s="10" t="b">
        <v>0</v>
      </c>
      <c r="B5145" s="11" t="str">
        <f>IF(D5145&lt;&gt;"",IF(COUNTIF('USPTO TMs'!A:A,D5145)&gt;0,"Yes","No"),"")</f>
        <v/>
      </c>
      <c r="C5145" s="11"/>
      <c r="D5145" s="11"/>
      <c r="E5145" s="11"/>
      <c r="F5145" s="11"/>
      <c r="G5145" s="11"/>
      <c r="H5145" s="11"/>
      <c r="I5145" s="15"/>
    </row>
    <row r="5146" spans="1:9" ht="16.5">
      <c r="A5146" s="10" t="b">
        <v>0</v>
      </c>
      <c r="B5146" s="11" t="str">
        <f>IF(D5146&lt;&gt;"",IF(COUNTIF('USPTO TMs'!A:A,D5146)&gt;0,"Yes","No"),"")</f>
        <v/>
      </c>
      <c r="C5146" s="11"/>
      <c r="D5146" s="11"/>
      <c r="E5146" s="11"/>
      <c r="F5146" s="11"/>
      <c r="G5146" s="11"/>
      <c r="H5146" s="11"/>
      <c r="I5146" s="15"/>
    </row>
    <row r="5147" spans="1:9" ht="16.5">
      <c r="A5147" s="10" t="b">
        <v>0</v>
      </c>
      <c r="B5147" s="11" t="str">
        <f>IF(D5147&lt;&gt;"",IF(COUNTIF('USPTO TMs'!A:A,D5147)&gt;0,"Yes","No"),"")</f>
        <v/>
      </c>
      <c r="C5147" s="11"/>
      <c r="D5147" s="11"/>
      <c r="E5147" s="11"/>
      <c r="F5147" s="11"/>
      <c r="G5147" s="11"/>
      <c r="H5147" s="11"/>
      <c r="I5147" s="15"/>
    </row>
    <row r="5148" spans="1:9" ht="16.5">
      <c r="A5148" s="10" t="b">
        <v>0</v>
      </c>
      <c r="B5148" s="11" t="str">
        <f>IF(D5148&lt;&gt;"",IF(COUNTIF('USPTO TMs'!A:A,D5148)&gt;0,"Yes","No"),"")</f>
        <v/>
      </c>
      <c r="C5148" s="11"/>
      <c r="D5148" s="11"/>
      <c r="E5148" s="11"/>
      <c r="F5148" s="11"/>
      <c r="G5148" s="11"/>
      <c r="H5148" s="11"/>
      <c r="I5148" s="15"/>
    </row>
    <row r="5149" spans="1:9" ht="16.5">
      <c r="A5149" s="10" t="b">
        <v>0</v>
      </c>
      <c r="B5149" s="11" t="str">
        <f>IF(D5149&lt;&gt;"",IF(COUNTIF('USPTO TMs'!A:A,D5149)&gt;0,"Yes","No"),"")</f>
        <v/>
      </c>
      <c r="C5149" s="11"/>
      <c r="D5149" s="11"/>
      <c r="E5149" s="11"/>
      <c r="F5149" s="11"/>
      <c r="G5149" s="11"/>
      <c r="H5149" s="11"/>
      <c r="I5149" s="15"/>
    </row>
    <row r="5150" spans="1:9" ht="16.5">
      <c r="A5150" s="10" t="b">
        <v>0</v>
      </c>
      <c r="B5150" s="11" t="str">
        <f>IF(D5150&lt;&gt;"",IF(COUNTIF('USPTO TMs'!A:A,D5150)&gt;0,"Yes","No"),"")</f>
        <v/>
      </c>
      <c r="C5150" s="11"/>
      <c r="D5150" s="11"/>
      <c r="E5150" s="11"/>
      <c r="F5150" s="11"/>
      <c r="G5150" s="11"/>
      <c r="H5150" s="11"/>
      <c r="I5150" s="15"/>
    </row>
    <row r="5151" spans="1:9" ht="16.5">
      <c r="A5151" s="10" t="b">
        <v>0</v>
      </c>
      <c r="B5151" s="11" t="str">
        <f>IF(D5151&lt;&gt;"",IF(COUNTIF('USPTO TMs'!A:A,D5151)&gt;0,"Yes","No"),"")</f>
        <v/>
      </c>
      <c r="C5151" s="11"/>
      <c r="D5151" s="11"/>
      <c r="E5151" s="11"/>
      <c r="F5151" s="11"/>
      <c r="G5151" s="11"/>
      <c r="H5151" s="11"/>
      <c r="I5151" s="15"/>
    </row>
    <row r="5152" spans="1:9" ht="16.5">
      <c r="A5152" s="10" t="b">
        <v>0</v>
      </c>
      <c r="B5152" s="11" t="str">
        <f>IF(D5152&lt;&gt;"",IF(COUNTIF('USPTO TMs'!A:A,D5152)&gt;0,"Yes","No"),"")</f>
        <v/>
      </c>
      <c r="C5152" s="11"/>
      <c r="D5152" s="11"/>
      <c r="E5152" s="11"/>
      <c r="F5152" s="11"/>
      <c r="G5152" s="11"/>
      <c r="H5152" s="11"/>
      <c r="I5152" s="15"/>
    </row>
    <row r="5153" spans="1:9" ht="16.5">
      <c r="A5153" s="10" t="b">
        <v>0</v>
      </c>
      <c r="B5153" s="11" t="str">
        <f>IF(D5153&lt;&gt;"",IF(COUNTIF('USPTO TMs'!A:A,D5153)&gt;0,"Yes","No"),"")</f>
        <v/>
      </c>
      <c r="C5153" s="11"/>
      <c r="D5153" s="11"/>
      <c r="E5153" s="11"/>
      <c r="F5153" s="11"/>
      <c r="G5153" s="11"/>
      <c r="H5153" s="11"/>
      <c r="I5153" s="15"/>
    </row>
    <row r="5154" spans="1:9" ht="16.5">
      <c r="A5154" s="10" t="b">
        <v>0</v>
      </c>
      <c r="B5154" s="11" t="str">
        <f>IF(D5154&lt;&gt;"",IF(COUNTIF('USPTO TMs'!A:A,D5154)&gt;0,"Yes","No"),"")</f>
        <v/>
      </c>
      <c r="C5154" s="11"/>
      <c r="D5154" s="11"/>
      <c r="E5154" s="11"/>
      <c r="F5154" s="11"/>
      <c r="G5154" s="11"/>
      <c r="H5154" s="11"/>
      <c r="I5154" s="15"/>
    </row>
    <row r="5155" spans="1:9" ht="16.5">
      <c r="A5155" s="10" t="b">
        <v>0</v>
      </c>
      <c r="B5155" s="11" t="str">
        <f>IF(D5155&lt;&gt;"",IF(COUNTIF('USPTO TMs'!A:A,D5155)&gt;0,"Yes","No"),"")</f>
        <v/>
      </c>
      <c r="C5155" s="11"/>
      <c r="D5155" s="11"/>
      <c r="E5155" s="11"/>
      <c r="F5155" s="11"/>
      <c r="G5155" s="11"/>
      <c r="H5155" s="11"/>
      <c r="I5155" s="15"/>
    </row>
    <row r="5156" spans="1:9" ht="16.5">
      <c r="A5156" s="10" t="b">
        <v>0</v>
      </c>
      <c r="B5156" s="11" t="str">
        <f>IF(D5156&lt;&gt;"",IF(COUNTIF('USPTO TMs'!A:A,D5156)&gt;0,"Yes","No"),"")</f>
        <v/>
      </c>
      <c r="C5156" s="11"/>
      <c r="D5156" s="11"/>
      <c r="E5156" s="11"/>
      <c r="F5156" s="11"/>
      <c r="G5156" s="11"/>
      <c r="H5156" s="11"/>
      <c r="I5156" s="15"/>
    </row>
    <row r="5157" spans="1:9" ht="16.5">
      <c r="A5157" s="10" t="b">
        <v>0</v>
      </c>
      <c r="B5157" s="11" t="str">
        <f>IF(D5157&lt;&gt;"",IF(COUNTIF('USPTO TMs'!A:A,D5157)&gt;0,"Yes","No"),"")</f>
        <v/>
      </c>
      <c r="C5157" s="11"/>
      <c r="D5157" s="11"/>
      <c r="E5157" s="11"/>
      <c r="F5157" s="11"/>
      <c r="G5157" s="11"/>
      <c r="H5157" s="11"/>
      <c r="I5157" s="15"/>
    </row>
    <row r="5158" spans="1:9" ht="16.5">
      <c r="A5158" s="10" t="b">
        <v>0</v>
      </c>
      <c r="B5158" s="11" t="str">
        <f>IF(D5158&lt;&gt;"",IF(COUNTIF('USPTO TMs'!A:A,D5158)&gt;0,"Yes","No"),"")</f>
        <v/>
      </c>
      <c r="C5158" s="11"/>
      <c r="D5158" s="11"/>
      <c r="E5158" s="11"/>
      <c r="F5158" s="11"/>
      <c r="G5158" s="11"/>
      <c r="H5158" s="11"/>
      <c r="I5158" s="15"/>
    </row>
    <row r="5159" spans="1:9" ht="16.5">
      <c r="A5159" s="10" t="b">
        <v>0</v>
      </c>
      <c r="B5159" s="11" t="str">
        <f>IF(D5159&lt;&gt;"",IF(COUNTIF('USPTO TMs'!A:A,D5159)&gt;0,"Yes","No"),"")</f>
        <v/>
      </c>
      <c r="C5159" s="11"/>
      <c r="D5159" s="11"/>
      <c r="E5159" s="11"/>
      <c r="F5159" s="11"/>
      <c r="G5159" s="11"/>
      <c r="H5159" s="11"/>
      <c r="I5159" s="15"/>
    </row>
    <row r="5160" spans="1:9" ht="16.5">
      <c r="A5160" s="10" t="b">
        <v>0</v>
      </c>
      <c r="B5160" s="11" t="str">
        <f>IF(D5160&lt;&gt;"",IF(COUNTIF('USPTO TMs'!A:A,D5160)&gt;0,"Yes","No"),"")</f>
        <v/>
      </c>
      <c r="C5160" s="11"/>
      <c r="D5160" s="11"/>
      <c r="E5160" s="11"/>
      <c r="F5160" s="11"/>
      <c r="G5160" s="11"/>
      <c r="H5160" s="11"/>
      <c r="I5160" s="15"/>
    </row>
    <row r="5161" spans="1:9" ht="16.5">
      <c r="A5161" s="10" t="b">
        <v>0</v>
      </c>
      <c r="B5161" s="11" t="str">
        <f>IF(D5161&lt;&gt;"",IF(COUNTIF('USPTO TMs'!A:A,D5161)&gt;0,"Yes","No"),"")</f>
        <v/>
      </c>
      <c r="C5161" s="11"/>
      <c r="D5161" s="11"/>
      <c r="E5161" s="11"/>
      <c r="F5161" s="11"/>
      <c r="G5161" s="11"/>
      <c r="H5161" s="11"/>
      <c r="I5161" s="15"/>
    </row>
    <row r="5162" spans="1:9" ht="16.5">
      <c r="A5162" s="10" t="b">
        <v>0</v>
      </c>
      <c r="B5162" s="11" t="str">
        <f>IF(D5162&lt;&gt;"",IF(COUNTIF('USPTO TMs'!A:A,D5162)&gt;0,"Yes","No"),"")</f>
        <v/>
      </c>
      <c r="C5162" s="11"/>
      <c r="D5162" s="11"/>
      <c r="E5162" s="11"/>
      <c r="F5162" s="11"/>
      <c r="G5162" s="11"/>
      <c r="H5162" s="11"/>
      <c r="I5162" s="15"/>
    </row>
    <row r="5163" spans="1:9" ht="16.5">
      <c r="A5163" s="10" t="b">
        <v>0</v>
      </c>
      <c r="B5163" s="11" t="str">
        <f>IF(D5163&lt;&gt;"",IF(COUNTIF('USPTO TMs'!A:A,D5163)&gt;0,"Yes","No"),"")</f>
        <v/>
      </c>
      <c r="C5163" s="11"/>
      <c r="D5163" s="11"/>
      <c r="E5163" s="11"/>
      <c r="F5163" s="11"/>
      <c r="G5163" s="11"/>
      <c r="H5163" s="11"/>
      <c r="I5163" s="15"/>
    </row>
    <row r="5164" spans="1:9" ht="16.5">
      <c r="A5164" s="10" t="b">
        <v>0</v>
      </c>
      <c r="B5164" s="11" t="str">
        <f>IF(D5164&lt;&gt;"",IF(COUNTIF('USPTO TMs'!A:A,D5164)&gt;0,"Yes","No"),"")</f>
        <v/>
      </c>
      <c r="C5164" s="11"/>
      <c r="D5164" s="11"/>
      <c r="E5164" s="11"/>
      <c r="F5164" s="11"/>
      <c r="G5164" s="11"/>
      <c r="H5164" s="11"/>
      <c r="I5164" s="15"/>
    </row>
    <row r="5165" spans="1:9" ht="16.5">
      <c r="A5165" s="10" t="b">
        <v>0</v>
      </c>
      <c r="B5165" s="11" t="str">
        <f>IF(D5165&lt;&gt;"",IF(COUNTIF('USPTO TMs'!A:A,D5165)&gt;0,"Yes","No"),"")</f>
        <v/>
      </c>
      <c r="C5165" s="11"/>
      <c r="D5165" s="11"/>
      <c r="E5165" s="11"/>
      <c r="F5165" s="11"/>
      <c r="G5165" s="11"/>
      <c r="H5165" s="11"/>
      <c r="I5165" s="15"/>
    </row>
    <row r="5166" spans="1:9" ht="16.5">
      <c r="A5166" s="10" t="b">
        <v>0</v>
      </c>
      <c r="B5166" s="11" t="str">
        <f>IF(D5166&lt;&gt;"",IF(COUNTIF('USPTO TMs'!A:A,D5166)&gt;0,"Yes","No"),"")</f>
        <v/>
      </c>
      <c r="C5166" s="11"/>
      <c r="D5166" s="11"/>
      <c r="E5166" s="11"/>
      <c r="F5166" s="11"/>
      <c r="G5166" s="11"/>
      <c r="H5166" s="11"/>
      <c r="I5166" s="15"/>
    </row>
    <row r="5167" spans="1:9" ht="16.5">
      <c r="A5167" s="10" t="b">
        <v>0</v>
      </c>
      <c r="B5167" s="11" t="str">
        <f>IF(D5167&lt;&gt;"",IF(COUNTIF('USPTO TMs'!A:A,D5167)&gt;0,"Yes","No"),"")</f>
        <v/>
      </c>
      <c r="C5167" s="11"/>
      <c r="D5167" s="11"/>
      <c r="E5167" s="11"/>
      <c r="F5167" s="11"/>
      <c r="G5167" s="11"/>
      <c r="H5167" s="11"/>
      <c r="I5167" s="15"/>
    </row>
    <row r="5168" spans="1:9" ht="16.5">
      <c r="A5168" s="10" t="b">
        <v>0</v>
      </c>
      <c r="B5168" s="11" t="str">
        <f>IF(D5168&lt;&gt;"",IF(COUNTIF('USPTO TMs'!A:A,D5168)&gt;0,"Yes","No"),"")</f>
        <v/>
      </c>
      <c r="C5168" s="11"/>
      <c r="D5168" s="11"/>
      <c r="E5168" s="11"/>
      <c r="F5168" s="11"/>
      <c r="G5168" s="11"/>
      <c r="H5168" s="11"/>
      <c r="I5168" s="15"/>
    </row>
    <row r="5169" spans="1:9" ht="16.5">
      <c r="A5169" s="10" t="b">
        <v>0</v>
      </c>
      <c r="B5169" s="11" t="str">
        <f>IF(D5169&lt;&gt;"",IF(COUNTIF('USPTO TMs'!A:A,D5169)&gt;0,"Yes","No"),"")</f>
        <v/>
      </c>
      <c r="C5169" s="11"/>
      <c r="D5169" s="11"/>
      <c r="E5169" s="11"/>
      <c r="F5169" s="11"/>
      <c r="G5169" s="11"/>
      <c r="H5169" s="11"/>
      <c r="I5169" s="15"/>
    </row>
    <row r="5170" spans="1:9" ht="16.5">
      <c r="A5170" s="10" t="b">
        <v>0</v>
      </c>
      <c r="B5170" s="11" t="str">
        <f>IF(D5170&lt;&gt;"",IF(COUNTIF('USPTO TMs'!A:A,D5170)&gt;0,"Yes","No"),"")</f>
        <v/>
      </c>
      <c r="C5170" s="11"/>
      <c r="D5170" s="11"/>
      <c r="E5170" s="11"/>
      <c r="F5170" s="11"/>
      <c r="G5170" s="11"/>
      <c r="H5170" s="11"/>
      <c r="I5170" s="15"/>
    </row>
    <row r="5171" spans="1:9" ht="16.5">
      <c r="A5171" s="10" t="b">
        <v>0</v>
      </c>
      <c r="B5171" s="11" t="str">
        <f>IF(D5171&lt;&gt;"",IF(COUNTIF('USPTO TMs'!A:A,D5171)&gt;0,"Yes","No"),"")</f>
        <v/>
      </c>
      <c r="C5171" s="11"/>
      <c r="D5171" s="11"/>
      <c r="E5171" s="11"/>
      <c r="F5171" s="11"/>
      <c r="G5171" s="11"/>
      <c r="H5171" s="11"/>
      <c r="I5171" s="15"/>
    </row>
    <row r="5172" spans="1:9" ht="16.5">
      <c r="A5172" s="10" t="b">
        <v>0</v>
      </c>
      <c r="B5172" s="11" t="str">
        <f>IF(D5172&lt;&gt;"",IF(COUNTIF('USPTO TMs'!A:A,D5172)&gt;0,"Yes","No"),"")</f>
        <v/>
      </c>
      <c r="C5172" s="11"/>
      <c r="D5172" s="11"/>
      <c r="E5172" s="11"/>
      <c r="F5172" s="11"/>
      <c r="G5172" s="11"/>
      <c r="H5172" s="11"/>
      <c r="I5172" s="15"/>
    </row>
    <row r="5173" spans="1:9" ht="16.5">
      <c r="A5173" s="10" t="b">
        <v>0</v>
      </c>
      <c r="B5173" s="11" t="str">
        <f>IF(D5173&lt;&gt;"",IF(COUNTIF('USPTO TMs'!A:A,D5173)&gt;0,"Yes","No"),"")</f>
        <v/>
      </c>
      <c r="C5173" s="11"/>
      <c r="D5173" s="11"/>
      <c r="E5173" s="11"/>
      <c r="F5173" s="11"/>
      <c r="G5173" s="11"/>
      <c r="H5173" s="11"/>
      <c r="I5173" s="15"/>
    </row>
    <row r="5174" spans="1:9" ht="16.5">
      <c r="A5174" s="10" t="b">
        <v>0</v>
      </c>
      <c r="B5174" s="11" t="str">
        <f>IF(D5174&lt;&gt;"",IF(COUNTIF('USPTO TMs'!A:A,D5174)&gt;0,"Yes","No"),"")</f>
        <v/>
      </c>
      <c r="C5174" s="11"/>
      <c r="D5174" s="11"/>
      <c r="E5174" s="11"/>
      <c r="F5174" s="11"/>
      <c r="G5174" s="11"/>
      <c r="H5174" s="11"/>
      <c r="I5174" s="15"/>
    </row>
    <row r="5175" spans="1:9" ht="16.5">
      <c r="A5175" s="10" t="b">
        <v>0</v>
      </c>
      <c r="B5175" s="11" t="str">
        <f>IF(D5175&lt;&gt;"",IF(COUNTIF('USPTO TMs'!A:A,D5175)&gt;0,"Yes","No"),"")</f>
        <v/>
      </c>
      <c r="C5175" s="11"/>
      <c r="D5175" s="11"/>
      <c r="E5175" s="11"/>
      <c r="F5175" s="11"/>
      <c r="G5175" s="11"/>
      <c r="H5175" s="11"/>
      <c r="I5175" s="15"/>
    </row>
    <row r="5176" spans="1:9" ht="16.5">
      <c r="A5176" s="10" t="b">
        <v>0</v>
      </c>
      <c r="B5176" s="11" t="str">
        <f>IF(D5176&lt;&gt;"",IF(COUNTIF('USPTO TMs'!A:A,D5176)&gt;0,"Yes","No"),"")</f>
        <v/>
      </c>
      <c r="C5176" s="11"/>
      <c r="D5176" s="11"/>
      <c r="E5176" s="11"/>
      <c r="F5176" s="11"/>
      <c r="G5176" s="11"/>
      <c r="H5176" s="11"/>
      <c r="I5176" s="15"/>
    </row>
    <row r="5177" spans="1:9" ht="16.5">
      <c r="A5177" s="10" t="b">
        <v>0</v>
      </c>
      <c r="B5177" s="11" t="str">
        <f>IF(D5177&lt;&gt;"",IF(COUNTIF('USPTO TMs'!A:A,D5177)&gt;0,"Yes","No"),"")</f>
        <v/>
      </c>
      <c r="C5177" s="11"/>
      <c r="D5177" s="11"/>
      <c r="E5177" s="11"/>
      <c r="F5177" s="11"/>
      <c r="G5177" s="11"/>
      <c r="H5177" s="11"/>
      <c r="I5177" s="15"/>
    </row>
    <row r="5178" spans="1:9" ht="16.5">
      <c r="A5178" s="10" t="b">
        <v>0</v>
      </c>
      <c r="B5178" s="11" t="str">
        <f>IF(D5178&lt;&gt;"",IF(COUNTIF('USPTO TMs'!A:A,D5178)&gt;0,"Yes","No"),"")</f>
        <v/>
      </c>
      <c r="C5178" s="11"/>
      <c r="D5178" s="11"/>
      <c r="E5178" s="11"/>
      <c r="F5178" s="11"/>
      <c r="G5178" s="11"/>
      <c r="H5178" s="11"/>
      <c r="I5178" s="15"/>
    </row>
    <row r="5179" spans="1:9" ht="16.5">
      <c r="A5179" s="10" t="b">
        <v>0</v>
      </c>
      <c r="B5179" s="11" t="str">
        <f>IF(D5179&lt;&gt;"",IF(COUNTIF('USPTO TMs'!A:A,D5179)&gt;0,"Yes","No"),"")</f>
        <v/>
      </c>
      <c r="C5179" s="11"/>
      <c r="D5179" s="11"/>
      <c r="E5179" s="11"/>
      <c r="F5179" s="11"/>
      <c r="G5179" s="11"/>
      <c r="H5179" s="11"/>
      <c r="I5179" s="15"/>
    </row>
    <row r="5180" spans="1:9" ht="16.5">
      <c r="A5180" s="10" t="b">
        <v>0</v>
      </c>
      <c r="B5180" s="11" t="str">
        <f>IF(D5180&lt;&gt;"",IF(COUNTIF('USPTO TMs'!A:A,D5180)&gt;0,"Yes","No"),"")</f>
        <v/>
      </c>
      <c r="C5180" s="11"/>
      <c r="D5180" s="11"/>
      <c r="E5180" s="11"/>
      <c r="F5180" s="11"/>
      <c r="G5180" s="11"/>
      <c r="H5180" s="11"/>
      <c r="I5180" s="15"/>
    </row>
    <row r="5181" spans="1:9" ht="16.5">
      <c r="A5181" s="10" t="b">
        <v>0</v>
      </c>
      <c r="B5181" s="11" t="str">
        <f>IF(D5181&lt;&gt;"",IF(COUNTIF('USPTO TMs'!A:A,D5181)&gt;0,"Yes","No"),"")</f>
        <v/>
      </c>
      <c r="C5181" s="11"/>
      <c r="D5181" s="11"/>
      <c r="E5181" s="11"/>
      <c r="F5181" s="11"/>
      <c r="G5181" s="11"/>
      <c r="H5181" s="11"/>
      <c r="I5181" s="15"/>
    </row>
    <row r="5182" spans="1:9" ht="16.5">
      <c r="A5182" s="10" t="b">
        <v>0</v>
      </c>
      <c r="B5182" s="11" t="str">
        <f>IF(D5182&lt;&gt;"",IF(COUNTIF('USPTO TMs'!A:A,D5182)&gt;0,"Yes","No"),"")</f>
        <v/>
      </c>
      <c r="C5182" s="11"/>
      <c r="D5182" s="11"/>
      <c r="E5182" s="11"/>
      <c r="F5182" s="11"/>
      <c r="G5182" s="11"/>
      <c r="H5182" s="11"/>
      <c r="I5182" s="15"/>
    </row>
    <row r="5183" spans="1:9" ht="16.5">
      <c r="A5183" s="10" t="b">
        <v>0</v>
      </c>
      <c r="B5183" s="11" t="str">
        <f>IF(D5183&lt;&gt;"",IF(COUNTIF('USPTO TMs'!A:A,D5183)&gt;0,"Yes","No"),"")</f>
        <v/>
      </c>
      <c r="C5183" s="11"/>
      <c r="D5183" s="11"/>
      <c r="E5183" s="11"/>
      <c r="F5183" s="11"/>
      <c r="G5183" s="11"/>
      <c r="H5183" s="11"/>
      <c r="I5183" s="15"/>
    </row>
    <row r="5184" spans="1:9" ht="16.5">
      <c r="A5184" s="10" t="b">
        <v>0</v>
      </c>
      <c r="B5184" s="11" t="str">
        <f>IF(D5184&lt;&gt;"",IF(COUNTIF('USPTO TMs'!A:A,D5184)&gt;0,"Yes","No"),"")</f>
        <v/>
      </c>
      <c r="C5184" s="11"/>
      <c r="D5184" s="11"/>
      <c r="E5184" s="11"/>
      <c r="F5184" s="11"/>
      <c r="G5184" s="11"/>
      <c r="H5184" s="11"/>
      <c r="I5184" s="15"/>
    </row>
    <row r="5185" spans="1:9" ht="16.5">
      <c r="A5185" s="10" t="b">
        <v>0</v>
      </c>
      <c r="B5185" s="11" t="str">
        <f>IF(D5185&lt;&gt;"",IF(COUNTIF('USPTO TMs'!A:A,D5185)&gt;0,"Yes","No"),"")</f>
        <v/>
      </c>
      <c r="C5185" s="11"/>
      <c r="D5185" s="11"/>
      <c r="E5185" s="11"/>
      <c r="F5185" s="11"/>
      <c r="G5185" s="11"/>
      <c r="H5185" s="11"/>
      <c r="I5185" s="15"/>
    </row>
    <row r="5186" spans="1:9" ht="16.5">
      <c r="A5186" s="10" t="b">
        <v>0</v>
      </c>
      <c r="B5186" s="11" t="str">
        <f>IF(D5186&lt;&gt;"",IF(COUNTIF('USPTO TMs'!A:A,D5186)&gt;0,"Yes","No"),"")</f>
        <v/>
      </c>
      <c r="C5186" s="11"/>
      <c r="D5186" s="11"/>
      <c r="E5186" s="11"/>
      <c r="F5186" s="11"/>
      <c r="G5186" s="11"/>
      <c r="H5186" s="11"/>
      <c r="I5186" s="15"/>
    </row>
    <row r="5187" spans="1:9" ht="16.5">
      <c r="A5187" s="10" t="b">
        <v>0</v>
      </c>
      <c r="B5187" s="11" t="str">
        <f>IF(D5187&lt;&gt;"",IF(COUNTIF('USPTO TMs'!A:A,D5187)&gt;0,"Yes","No"),"")</f>
        <v/>
      </c>
      <c r="C5187" s="11"/>
      <c r="D5187" s="11"/>
      <c r="E5187" s="11"/>
      <c r="F5187" s="11"/>
      <c r="G5187" s="11"/>
      <c r="H5187" s="11"/>
      <c r="I5187" s="15"/>
    </row>
    <row r="5188" spans="1:9" ht="16.5">
      <c r="A5188" s="10" t="b">
        <v>0</v>
      </c>
      <c r="B5188" s="11" t="str">
        <f>IF(D5188&lt;&gt;"",IF(COUNTIF('USPTO TMs'!A:A,D5188)&gt;0,"Yes","No"),"")</f>
        <v/>
      </c>
      <c r="C5188" s="11"/>
      <c r="D5188" s="11"/>
      <c r="E5188" s="11"/>
      <c r="F5188" s="11"/>
      <c r="G5188" s="11"/>
      <c r="H5188" s="11"/>
      <c r="I5188" s="15"/>
    </row>
    <row r="5189" spans="1:9" ht="16.5">
      <c r="A5189" s="10" t="b">
        <v>0</v>
      </c>
      <c r="B5189" s="11" t="str">
        <f>IF(D5189&lt;&gt;"",IF(COUNTIF('USPTO TMs'!A:A,D5189)&gt;0,"Yes","No"),"")</f>
        <v/>
      </c>
      <c r="C5189" s="11"/>
      <c r="D5189" s="11"/>
      <c r="E5189" s="11"/>
      <c r="F5189" s="11"/>
      <c r="G5189" s="11"/>
      <c r="H5189" s="11"/>
      <c r="I5189" s="15"/>
    </row>
    <row r="5190" spans="1:9" ht="16.5">
      <c r="A5190" s="10" t="b">
        <v>0</v>
      </c>
      <c r="B5190" s="11" t="str">
        <f>IF(D5190&lt;&gt;"",IF(COUNTIF('USPTO TMs'!A:A,D5190)&gt;0,"Yes","No"),"")</f>
        <v/>
      </c>
      <c r="C5190" s="11"/>
      <c r="D5190" s="11"/>
      <c r="E5190" s="11"/>
      <c r="F5190" s="11"/>
      <c r="G5190" s="11"/>
      <c r="H5190" s="11"/>
      <c r="I5190" s="15"/>
    </row>
    <row r="5191" spans="1:9" ht="16.5">
      <c r="A5191" s="10" t="b">
        <v>0</v>
      </c>
      <c r="B5191" s="11" t="str">
        <f>IF(D5191&lt;&gt;"",IF(COUNTIF('USPTO TMs'!A:A,D5191)&gt;0,"Yes","No"),"")</f>
        <v/>
      </c>
      <c r="C5191" s="11"/>
      <c r="D5191" s="11"/>
      <c r="E5191" s="11"/>
      <c r="F5191" s="11"/>
      <c r="G5191" s="11"/>
      <c r="H5191" s="11"/>
      <c r="I5191" s="15"/>
    </row>
    <row r="5192" spans="1:9" ht="16.5">
      <c r="A5192" s="10" t="b">
        <v>0</v>
      </c>
      <c r="B5192" s="11" t="str">
        <f>IF(D5192&lt;&gt;"",IF(COUNTIF('USPTO TMs'!A:A,D5192)&gt;0,"Yes","No"),"")</f>
        <v/>
      </c>
      <c r="C5192" s="11"/>
      <c r="D5192" s="11"/>
      <c r="E5192" s="11"/>
      <c r="F5192" s="11"/>
      <c r="G5192" s="11"/>
      <c r="H5192" s="11"/>
      <c r="I5192" s="15"/>
    </row>
    <row r="5193" spans="1:9" ht="16.5">
      <c r="A5193" s="10" t="b">
        <v>0</v>
      </c>
      <c r="B5193" s="11" t="str">
        <f>IF(D5193&lt;&gt;"",IF(COUNTIF('USPTO TMs'!A:A,D5193)&gt;0,"Yes","No"),"")</f>
        <v/>
      </c>
      <c r="C5193" s="11"/>
      <c r="D5193" s="11"/>
      <c r="E5193" s="11"/>
      <c r="F5193" s="11"/>
      <c r="G5193" s="11"/>
      <c r="H5193" s="11"/>
      <c r="I5193" s="15"/>
    </row>
    <row r="5194" spans="1:9" ht="16.5">
      <c r="A5194" s="10" t="b">
        <v>0</v>
      </c>
      <c r="B5194" s="11" t="str">
        <f>IF(D5194&lt;&gt;"",IF(COUNTIF('USPTO TMs'!A:A,D5194)&gt;0,"Yes","No"),"")</f>
        <v/>
      </c>
      <c r="C5194" s="11"/>
      <c r="D5194" s="11"/>
      <c r="E5194" s="11"/>
      <c r="F5194" s="11"/>
      <c r="G5194" s="11"/>
      <c r="H5194" s="11"/>
      <c r="I5194" s="15"/>
    </row>
    <row r="5195" spans="1:9" ht="16.5">
      <c r="A5195" s="10" t="b">
        <v>0</v>
      </c>
      <c r="B5195" s="11" t="str">
        <f>IF(D5195&lt;&gt;"",IF(COUNTIF('USPTO TMs'!A:A,D5195)&gt;0,"Yes","No"),"")</f>
        <v/>
      </c>
      <c r="C5195" s="11"/>
      <c r="D5195" s="11"/>
      <c r="E5195" s="11"/>
      <c r="F5195" s="11"/>
      <c r="G5195" s="11"/>
      <c r="H5195" s="11"/>
      <c r="I5195" s="15"/>
    </row>
    <row r="5196" spans="1:9" ht="16.5">
      <c r="A5196" s="10" t="b">
        <v>0</v>
      </c>
      <c r="B5196" s="11" t="str">
        <f>IF(D5196&lt;&gt;"",IF(COUNTIF('USPTO TMs'!A:A,D5196)&gt;0,"Yes","No"),"")</f>
        <v/>
      </c>
      <c r="C5196" s="11"/>
      <c r="D5196" s="11"/>
      <c r="E5196" s="11"/>
      <c r="F5196" s="11"/>
      <c r="G5196" s="11"/>
      <c r="H5196" s="11"/>
      <c r="I5196" s="15"/>
    </row>
    <row r="5197" spans="1:9" ht="16.5">
      <c r="A5197" s="10" t="b">
        <v>0</v>
      </c>
      <c r="B5197" s="11" t="str">
        <f>IF(D5197&lt;&gt;"",IF(COUNTIF('USPTO TMs'!A:A,D5197)&gt;0,"Yes","No"),"")</f>
        <v/>
      </c>
      <c r="C5197" s="11"/>
      <c r="D5197" s="11"/>
      <c r="E5197" s="11"/>
      <c r="F5197" s="11"/>
      <c r="G5197" s="11"/>
      <c r="H5197" s="11"/>
      <c r="I5197" s="15"/>
    </row>
    <row r="5198" spans="1:9" ht="16.5">
      <c r="A5198" s="10" t="b">
        <v>0</v>
      </c>
      <c r="B5198" s="11" t="str">
        <f>IF(D5198&lt;&gt;"",IF(COUNTIF('USPTO TMs'!A:A,D5198)&gt;0,"Yes","No"),"")</f>
        <v/>
      </c>
      <c r="C5198" s="11"/>
      <c r="D5198" s="11"/>
      <c r="E5198" s="11"/>
      <c r="F5198" s="11"/>
      <c r="G5198" s="11"/>
      <c r="H5198" s="11"/>
      <c r="I5198" s="15"/>
    </row>
    <row r="5199" spans="1:9" ht="16.5">
      <c r="A5199" s="10" t="b">
        <v>0</v>
      </c>
      <c r="B5199" s="11" t="str">
        <f>IF(D5199&lt;&gt;"",IF(COUNTIF('USPTO TMs'!A:A,D5199)&gt;0,"Yes","No"),"")</f>
        <v/>
      </c>
      <c r="C5199" s="11"/>
      <c r="D5199" s="11"/>
      <c r="E5199" s="11"/>
      <c r="F5199" s="11"/>
      <c r="G5199" s="11"/>
      <c r="H5199" s="11"/>
      <c r="I5199" s="15"/>
    </row>
    <row r="5200" spans="1:9" ht="16.5">
      <c r="A5200" s="10" t="b">
        <v>0</v>
      </c>
      <c r="B5200" s="11" t="str">
        <f>IF(D5200&lt;&gt;"",IF(COUNTIF('USPTO TMs'!A:A,D5200)&gt;0,"Yes","No"),"")</f>
        <v/>
      </c>
      <c r="C5200" s="11"/>
      <c r="D5200" s="11"/>
      <c r="E5200" s="11"/>
      <c r="F5200" s="11"/>
      <c r="G5200" s="11"/>
      <c r="H5200" s="11"/>
      <c r="I5200" s="15"/>
    </row>
    <row r="5201" spans="1:9" ht="16.5">
      <c r="A5201" s="10" t="b">
        <v>0</v>
      </c>
      <c r="B5201" s="11" t="str">
        <f>IF(D5201&lt;&gt;"",IF(COUNTIF('USPTO TMs'!A:A,D5201)&gt;0,"Yes","No"),"")</f>
        <v/>
      </c>
      <c r="C5201" s="11"/>
      <c r="D5201" s="11"/>
      <c r="E5201" s="11"/>
      <c r="F5201" s="11"/>
      <c r="G5201" s="11"/>
      <c r="H5201" s="11"/>
      <c r="I5201" s="15"/>
    </row>
    <row r="5202" spans="1:9" ht="16.5">
      <c r="A5202" s="10" t="b">
        <v>0</v>
      </c>
      <c r="B5202" s="11" t="str">
        <f>IF(D5202&lt;&gt;"",IF(COUNTIF('USPTO TMs'!A:A,D5202)&gt;0,"Yes","No"),"")</f>
        <v/>
      </c>
      <c r="C5202" s="11"/>
      <c r="D5202" s="11"/>
      <c r="E5202" s="11"/>
      <c r="F5202" s="11"/>
      <c r="G5202" s="11"/>
      <c r="H5202" s="11"/>
      <c r="I5202" s="15"/>
    </row>
    <row r="5203" spans="1:9" ht="16.5">
      <c r="A5203" s="10" t="b">
        <v>0</v>
      </c>
      <c r="B5203" s="11" t="str">
        <f>IF(D5203&lt;&gt;"",IF(COUNTIF('USPTO TMs'!A:A,D5203)&gt;0,"Yes","No"),"")</f>
        <v/>
      </c>
      <c r="C5203" s="11"/>
      <c r="D5203" s="11"/>
      <c r="E5203" s="11"/>
      <c r="F5203" s="11"/>
      <c r="G5203" s="11"/>
      <c r="H5203" s="11"/>
      <c r="I5203" s="15"/>
    </row>
    <row r="5204" spans="1:9" ht="16.5">
      <c r="A5204" s="10" t="b">
        <v>0</v>
      </c>
      <c r="B5204" s="11" t="str">
        <f>IF(D5204&lt;&gt;"",IF(COUNTIF('USPTO TMs'!A:A,D5204)&gt;0,"Yes","No"),"")</f>
        <v/>
      </c>
      <c r="C5204" s="11"/>
      <c r="D5204" s="11"/>
      <c r="E5204" s="11"/>
      <c r="F5204" s="11"/>
      <c r="G5204" s="11"/>
      <c r="H5204" s="11"/>
      <c r="I5204" s="15"/>
    </row>
    <row r="5205" spans="1:9" ht="16.5">
      <c r="A5205" s="10" t="b">
        <v>0</v>
      </c>
      <c r="B5205" s="11" t="str">
        <f>IF(D5205&lt;&gt;"",IF(COUNTIF('USPTO TMs'!A:A,D5205)&gt;0,"Yes","No"),"")</f>
        <v/>
      </c>
      <c r="C5205" s="11"/>
      <c r="D5205" s="11"/>
      <c r="E5205" s="11"/>
      <c r="F5205" s="11"/>
      <c r="G5205" s="11"/>
      <c r="H5205" s="11"/>
      <c r="I5205" s="15"/>
    </row>
    <row r="5206" spans="1:9" ht="16.5">
      <c r="A5206" s="10" t="b">
        <v>0</v>
      </c>
      <c r="B5206" s="11" t="str">
        <f>IF(D5206&lt;&gt;"",IF(COUNTIF('USPTO TMs'!A:A,D5206)&gt;0,"Yes","No"),"")</f>
        <v/>
      </c>
      <c r="C5206" s="11"/>
      <c r="D5206" s="11"/>
      <c r="E5206" s="11"/>
      <c r="F5206" s="11"/>
      <c r="G5206" s="11"/>
      <c r="H5206" s="11"/>
      <c r="I5206" s="15"/>
    </row>
    <row r="5207" spans="1:9" ht="16.5">
      <c r="A5207" s="10" t="b">
        <v>0</v>
      </c>
      <c r="B5207" s="11" t="str">
        <f>IF(D5207&lt;&gt;"",IF(COUNTIF('USPTO TMs'!A:A,D5207)&gt;0,"Yes","No"),"")</f>
        <v/>
      </c>
      <c r="C5207" s="11"/>
      <c r="D5207" s="11"/>
      <c r="E5207" s="11"/>
      <c r="F5207" s="11"/>
      <c r="G5207" s="11"/>
      <c r="H5207" s="11"/>
      <c r="I5207" s="15"/>
    </row>
    <row r="5208" spans="1:9" ht="16.5">
      <c r="A5208" s="10" t="b">
        <v>0</v>
      </c>
      <c r="B5208" s="11" t="str">
        <f>IF(D5208&lt;&gt;"",IF(COUNTIF('USPTO TMs'!A:A,D5208)&gt;0,"Yes","No"),"")</f>
        <v/>
      </c>
      <c r="C5208" s="11"/>
      <c r="D5208" s="11"/>
      <c r="E5208" s="11"/>
      <c r="F5208" s="11"/>
      <c r="G5208" s="11"/>
      <c r="H5208" s="11"/>
      <c r="I5208" s="15"/>
    </row>
    <row r="5209" spans="1:9" ht="16.5">
      <c r="A5209" s="10" t="b">
        <v>0</v>
      </c>
      <c r="B5209" s="11" t="str">
        <f>IF(D5209&lt;&gt;"",IF(COUNTIF('USPTO TMs'!A:A,D5209)&gt;0,"Yes","No"),"")</f>
        <v/>
      </c>
      <c r="C5209" s="11"/>
      <c r="D5209" s="11"/>
      <c r="E5209" s="11"/>
      <c r="F5209" s="11"/>
      <c r="G5209" s="11"/>
      <c r="H5209" s="11"/>
      <c r="I5209" s="15"/>
    </row>
    <row r="5210" spans="1:9" ht="16.5">
      <c r="A5210" s="10" t="b">
        <v>0</v>
      </c>
      <c r="B5210" s="11" t="str">
        <f>IF(D5210&lt;&gt;"",IF(COUNTIF('USPTO TMs'!A:A,D5210)&gt;0,"Yes","No"),"")</f>
        <v/>
      </c>
      <c r="C5210" s="11"/>
      <c r="D5210" s="11"/>
      <c r="E5210" s="11"/>
      <c r="F5210" s="11"/>
      <c r="G5210" s="11"/>
      <c r="H5210" s="11"/>
      <c r="I5210" s="15"/>
    </row>
    <row r="5211" spans="1:9" ht="16.5">
      <c r="A5211" s="10" t="b">
        <v>0</v>
      </c>
      <c r="B5211" s="11" t="str">
        <f>IF(D5211&lt;&gt;"",IF(COUNTIF('USPTO TMs'!A:A,D5211)&gt;0,"Yes","No"),"")</f>
        <v/>
      </c>
      <c r="C5211" s="11"/>
      <c r="D5211" s="11"/>
      <c r="E5211" s="11"/>
      <c r="F5211" s="11"/>
      <c r="G5211" s="11"/>
      <c r="H5211" s="11"/>
      <c r="I5211" s="15"/>
    </row>
    <row r="5212" spans="1:9" ht="16.5">
      <c r="A5212" s="10" t="b">
        <v>0</v>
      </c>
      <c r="B5212" s="11" t="str">
        <f>IF(D5212&lt;&gt;"",IF(COUNTIF('USPTO TMs'!A:A,D5212)&gt;0,"Yes","No"),"")</f>
        <v/>
      </c>
      <c r="C5212" s="11"/>
      <c r="D5212" s="11"/>
      <c r="E5212" s="11"/>
      <c r="F5212" s="11"/>
      <c r="G5212" s="11"/>
      <c r="H5212" s="11"/>
      <c r="I5212" s="15"/>
    </row>
    <row r="5213" spans="1:9" ht="16.5">
      <c r="A5213" s="10" t="b">
        <v>0</v>
      </c>
      <c r="B5213" s="11" t="str">
        <f>IF(D5213&lt;&gt;"",IF(COUNTIF('USPTO TMs'!A:A,D5213)&gt;0,"Yes","No"),"")</f>
        <v/>
      </c>
      <c r="C5213" s="11"/>
      <c r="D5213" s="11"/>
      <c r="E5213" s="11"/>
      <c r="F5213" s="11"/>
      <c r="G5213" s="11"/>
      <c r="H5213" s="11"/>
      <c r="I5213" s="15"/>
    </row>
    <row r="5214" spans="1:9" ht="16.5">
      <c r="A5214" s="10" t="b">
        <v>0</v>
      </c>
      <c r="B5214" s="11" t="str">
        <f>IF(D5214&lt;&gt;"",IF(COUNTIF('USPTO TMs'!A:A,D5214)&gt;0,"Yes","No"),"")</f>
        <v/>
      </c>
      <c r="C5214" s="11"/>
      <c r="D5214" s="11"/>
      <c r="E5214" s="11"/>
      <c r="F5214" s="11"/>
      <c r="G5214" s="11"/>
      <c r="H5214" s="11"/>
      <c r="I5214" s="15"/>
    </row>
    <row r="5215" spans="1:9" ht="16.5">
      <c r="A5215" s="10" t="b">
        <v>0</v>
      </c>
      <c r="B5215" s="11" t="str">
        <f>IF(D5215&lt;&gt;"",IF(COUNTIF('USPTO TMs'!A:A,D5215)&gt;0,"Yes","No"),"")</f>
        <v/>
      </c>
      <c r="C5215" s="11"/>
      <c r="D5215" s="11"/>
      <c r="E5215" s="11"/>
      <c r="F5215" s="11"/>
      <c r="G5215" s="11"/>
      <c r="H5215" s="11"/>
      <c r="I5215" s="15"/>
    </row>
    <row r="5216" spans="1:9" ht="16.5">
      <c r="A5216" s="10" t="b">
        <v>0</v>
      </c>
      <c r="B5216" s="11" t="str">
        <f>IF(D5216&lt;&gt;"",IF(COUNTIF('USPTO TMs'!A:A,D5216)&gt;0,"Yes","No"),"")</f>
        <v/>
      </c>
      <c r="C5216" s="11"/>
      <c r="D5216" s="11"/>
      <c r="E5216" s="11"/>
      <c r="F5216" s="11"/>
      <c r="G5216" s="11"/>
      <c r="H5216" s="11"/>
      <c r="I5216" s="15"/>
    </row>
    <row r="5217" spans="1:9" ht="16.5">
      <c r="A5217" s="10" t="b">
        <v>0</v>
      </c>
      <c r="B5217" s="11" t="str">
        <f>IF(D5217&lt;&gt;"",IF(COUNTIF('USPTO TMs'!A:A,D5217)&gt;0,"Yes","No"),"")</f>
        <v/>
      </c>
      <c r="C5217" s="11"/>
      <c r="D5217" s="11"/>
      <c r="E5217" s="11"/>
      <c r="F5217" s="11"/>
      <c r="G5217" s="11"/>
      <c r="H5217" s="11"/>
      <c r="I5217" s="15"/>
    </row>
    <row r="5218" spans="1:9" ht="16.5">
      <c r="A5218" s="10" t="b">
        <v>0</v>
      </c>
      <c r="B5218" s="11" t="str">
        <f>IF(D5218&lt;&gt;"",IF(COUNTIF('USPTO TMs'!A:A,D5218)&gt;0,"Yes","No"),"")</f>
        <v/>
      </c>
      <c r="C5218" s="11"/>
      <c r="D5218" s="11"/>
      <c r="E5218" s="11"/>
      <c r="F5218" s="11"/>
      <c r="G5218" s="11"/>
      <c r="H5218" s="11"/>
      <c r="I5218" s="15"/>
    </row>
    <row r="5219" spans="1:9" ht="16.5">
      <c r="A5219" s="10" t="b">
        <v>0</v>
      </c>
      <c r="B5219" s="11" t="str">
        <f>IF(D5219&lt;&gt;"",IF(COUNTIF('USPTO TMs'!A:A,D5219)&gt;0,"Yes","No"),"")</f>
        <v/>
      </c>
      <c r="C5219" s="11"/>
      <c r="D5219" s="11"/>
      <c r="E5219" s="11"/>
      <c r="F5219" s="11"/>
      <c r="G5219" s="11"/>
      <c r="H5219" s="11"/>
      <c r="I5219" s="15"/>
    </row>
    <row r="5220" spans="1:9" ht="16.5">
      <c r="A5220" s="10" t="b">
        <v>0</v>
      </c>
      <c r="B5220" s="11" t="str">
        <f>IF(D5220&lt;&gt;"",IF(COUNTIF('USPTO TMs'!A:A,D5220)&gt;0,"Yes","No"),"")</f>
        <v/>
      </c>
      <c r="C5220" s="11"/>
      <c r="D5220" s="11"/>
      <c r="E5220" s="11"/>
      <c r="F5220" s="11"/>
      <c r="G5220" s="11"/>
      <c r="H5220" s="11"/>
      <c r="I5220" s="15"/>
    </row>
    <row r="5221" spans="1:9" ht="16.5">
      <c r="A5221" s="10" t="b">
        <v>0</v>
      </c>
      <c r="B5221" s="11" t="str">
        <f>IF(D5221&lt;&gt;"",IF(COUNTIF('USPTO TMs'!A:A,D5221)&gt;0,"Yes","No"),"")</f>
        <v/>
      </c>
      <c r="C5221" s="11"/>
      <c r="D5221" s="11"/>
      <c r="E5221" s="11"/>
      <c r="F5221" s="11"/>
      <c r="G5221" s="11"/>
      <c r="H5221" s="11"/>
      <c r="I5221" s="15"/>
    </row>
    <row r="5222" spans="1:9" ht="16.5">
      <c r="A5222" s="10" t="b">
        <v>0</v>
      </c>
      <c r="B5222" s="11" t="str">
        <f>IF(D5222&lt;&gt;"",IF(COUNTIF('USPTO TMs'!A:A,D5222)&gt;0,"Yes","No"),"")</f>
        <v/>
      </c>
      <c r="C5222" s="11"/>
      <c r="D5222" s="11"/>
      <c r="E5222" s="11"/>
      <c r="F5222" s="11"/>
      <c r="G5222" s="11"/>
      <c r="H5222" s="11"/>
      <c r="I5222" s="15"/>
    </row>
    <row r="5223" spans="1:9" ht="16.5">
      <c r="A5223" s="10" t="b">
        <v>0</v>
      </c>
      <c r="B5223" s="11" t="str">
        <f>IF(D5223&lt;&gt;"",IF(COUNTIF('USPTO TMs'!A:A,D5223)&gt;0,"Yes","No"),"")</f>
        <v/>
      </c>
      <c r="C5223" s="11"/>
      <c r="D5223" s="11"/>
      <c r="E5223" s="11"/>
      <c r="F5223" s="11"/>
      <c r="G5223" s="11"/>
      <c r="H5223" s="11"/>
      <c r="I5223" s="15"/>
    </row>
    <row r="5224" spans="1:9" ht="16.5">
      <c r="A5224" s="10" t="b">
        <v>0</v>
      </c>
      <c r="B5224" s="11" t="str">
        <f>IF(D5224&lt;&gt;"",IF(COUNTIF('USPTO TMs'!A:A,D5224)&gt;0,"Yes","No"),"")</f>
        <v/>
      </c>
      <c r="C5224" s="11"/>
      <c r="D5224" s="11"/>
      <c r="E5224" s="11"/>
      <c r="F5224" s="11"/>
      <c r="G5224" s="11"/>
      <c r="H5224" s="11"/>
      <c r="I5224" s="15"/>
    </row>
    <row r="5225" spans="1:9" ht="16.5">
      <c r="A5225" s="10" t="b">
        <v>0</v>
      </c>
      <c r="B5225" s="11" t="str">
        <f>IF(D5225&lt;&gt;"",IF(COUNTIF('USPTO TMs'!A:A,D5225)&gt;0,"Yes","No"),"")</f>
        <v/>
      </c>
      <c r="C5225" s="11"/>
      <c r="D5225" s="11"/>
      <c r="E5225" s="11"/>
      <c r="F5225" s="11"/>
      <c r="G5225" s="11"/>
      <c r="H5225" s="11"/>
      <c r="I5225" s="15"/>
    </row>
    <row r="5226" spans="1:9" ht="16.5">
      <c r="A5226" s="10" t="b">
        <v>0</v>
      </c>
      <c r="B5226" s="11" t="str">
        <f>IF(D5226&lt;&gt;"",IF(COUNTIF('USPTO TMs'!A:A,D5226)&gt;0,"Yes","No"),"")</f>
        <v/>
      </c>
      <c r="C5226" s="11"/>
      <c r="D5226" s="11"/>
      <c r="E5226" s="11"/>
      <c r="F5226" s="11"/>
      <c r="G5226" s="11"/>
      <c r="H5226" s="11"/>
      <c r="I5226" s="15"/>
    </row>
    <row r="5227" spans="1:9" ht="16.5">
      <c r="A5227" s="10" t="b">
        <v>0</v>
      </c>
      <c r="B5227" s="11" t="str">
        <f>IF(D5227&lt;&gt;"",IF(COUNTIF('USPTO TMs'!A:A,D5227)&gt;0,"Yes","No"),"")</f>
        <v/>
      </c>
      <c r="C5227" s="11"/>
      <c r="D5227" s="11"/>
      <c r="E5227" s="11"/>
      <c r="F5227" s="11"/>
      <c r="G5227" s="11"/>
      <c r="H5227" s="11"/>
      <c r="I5227" s="15"/>
    </row>
    <row r="5228" spans="1:9" ht="16.5">
      <c r="A5228" s="10" t="b">
        <v>0</v>
      </c>
      <c r="B5228" s="11" t="str">
        <f>IF(D5228&lt;&gt;"",IF(COUNTIF('USPTO TMs'!A:A,D5228)&gt;0,"Yes","No"),"")</f>
        <v/>
      </c>
      <c r="C5228" s="11"/>
      <c r="D5228" s="11"/>
      <c r="E5228" s="11"/>
      <c r="F5228" s="11"/>
      <c r="G5228" s="11"/>
      <c r="H5228" s="11"/>
      <c r="I5228" s="15"/>
    </row>
    <row r="5229" spans="1:9" ht="16.5">
      <c r="A5229" s="10" t="b">
        <v>0</v>
      </c>
      <c r="B5229" s="11" t="str">
        <f>IF(D5229&lt;&gt;"",IF(COUNTIF('USPTO TMs'!A:A,D5229)&gt;0,"Yes","No"),"")</f>
        <v/>
      </c>
      <c r="C5229" s="11"/>
      <c r="D5229" s="11"/>
      <c r="E5229" s="11"/>
      <c r="F5229" s="11"/>
      <c r="G5229" s="11"/>
      <c r="H5229" s="11"/>
      <c r="I5229" s="15"/>
    </row>
    <row r="5230" spans="1:9" ht="16.5">
      <c r="A5230" s="10" t="b">
        <v>0</v>
      </c>
      <c r="B5230" s="11" t="str">
        <f>IF(D5230&lt;&gt;"",IF(COUNTIF('USPTO TMs'!A:A,D5230)&gt;0,"Yes","No"),"")</f>
        <v/>
      </c>
      <c r="C5230" s="11"/>
      <c r="D5230" s="11"/>
      <c r="E5230" s="11"/>
      <c r="F5230" s="11"/>
      <c r="G5230" s="11"/>
      <c r="H5230" s="11"/>
      <c r="I5230" s="15"/>
    </row>
    <row r="5231" spans="1:9" ht="16.5">
      <c r="A5231" s="10" t="b">
        <v>0</v>
      </c>
      <c r="B5231" s="11" t="str">
        <f>IF(D5231&lt;&gt;"",IF(COUNTIF('USPTO TMs'!A:A,D5231)&gt;0,"Yes","No"),"")</f>
        <v/>
      </c>
      <c r="C5231" s="11"/>
      <c r="D5231" s="11"/>
      <c r="E5231" s="11"/>
      <c r="F5231" s="11"/>
      <c r="G5231" s="11"/>
      <c r="H5231" s="11"/>
      <c r="I5231" s="15"/>
    </row>
    <row r="5232" spans="1:9" ht="16.5">
      <c r="A5232" s="10" t="b">
        <v>0</v>
      </c>
      <c r="B5232" s="11" t="str">
        <f>IF(D5232&lt;&gt;"",IF(COUNTIF('USPTO TMs'!A:A,D5232)&gt;0,"Yes","No"),"")</f>
        <v/>
      </c>
      <c r="C5232" s="11"/>
      <c r="D5232" s="11"/>
      <c r="E5232" s="11"/>
      <c r="F5232" s="11"/>
      <c r="G5232" s="11"/>
      <c r="H5232" s="11"/>
      <c r="I5232" s="15"/>
    </row>
    <row r="5233" spans="1:9" ht="16.5">
      <c r="A5233" s="10" t="b">
        <v>0</v>
      </c>
      <c r="B5233" s="11" t="str">
        <f>IF(D5233&lt;&gt;"",IF(COUNTIF('USPTO TMs'!A:A,D5233)&gt;0,"Yes","No"),"")</f>
        <v/>
      </c>
      <c r="C5233" s="11"/>
      <c r="D5233" s="11"/>
      <c r="E5233" s="11"/>
      <c r="F5233" s="11"/>
      <c r="G5233" s="11"/>
      <c r="H5233" s="11"/>
      <c r="I5233" s="15"/>
    </row>
    <row r="5234" spans="1:9" ht="16.5">
      <c r="A5234" s="10" t="b">
        <v>0</v>
      </c>
      <c r="B5234" s="11" t="str">
        <f>IF(D5234&lt;&gt;"",IF(COUNTIF('USPTO TMs'!A:A,D5234)&gt;0,"Yes","No"),"")</f>
        <v/>
      </c>
      <c r="C5234" s="11"/>
      <c r="D5234" s="11"/>
      <c r="E5234" s="11"/>
      <c r="F5234" s="11"/>
      <c r="G5234" s="11"/>
      <c r="H5234" s="11"/>
      <c r="I5234" s="15"/>
    </row>
    <row r="5235" spans="1:9" ht="16.5">
      <c r="A5235" s="10" t="b">
        <v>0</v>
      </c>
      <c r="B5235" s="11" t="str">
        <f>IF(D5235&lt;&gt;"",IF(COUNTIF('USPTO TMs'!A:A,D5235)&gt;0,"Yes","No"),"")</f>
        <v/>
      </c>
      <c r="C5235" s="11"/>
      <c r="D5235" s="11"/>
      <c r="E5235" s="11"/>
      <c r="F5235" s="11"/>
      <c r="G5235" s="11"/>
      <c r="H5235" s="11"/>
      <c r="I5235" s="15"/>
    </row>
    <row r="5236" spans="1:9" ht="16.5">
      <c r="A5236" s="10" t="b">
        <v>0</v>
      </c>
      <c r="B5236" s="11" t="str">
        <f>IF(D5236&lt;&gt;"",IF(COUNTIF('USPTO TMs'!A:A,D5236)&gt;0,"Yes","No"),"")</f>
        <v/>
      </c>
      <c r="C5236" s="11"/>
      <c r="D5236" s="11"/>
      <c r="E5236" s="11"/>
      <c r="F5236" s="11"/>
      <c r="G5236" s="11"/>
      <c r="H5236" s="11"/>
      <c r="I5236" s="15"/>
    </row>
    <row r="5237" spans="1:9" ht="16.5">
      <c r="A5237" s="10" t="b">
        <v>0</v>
      </c>
      <c r="B5237" s="11" t="str">
        <f>IF(D5237&lt;&gt;"",IF(COUNTIF('USPTO TMs'!A:A,D5237)&gt;0,"Yes","No"),"")</f>
        <v/>
      </c>
      <c r="C5237" s="11"/>
      <c r="D5237" s="11"/>
      <c r="E5237" s="11"/>
      <c r="F5237" s="11"/>
      <c r="G5237" s="11"/>
      <c r="H5237" s="11"/>
      <c r="I5237" s="15"/>
    </row>
    <row r="5238" spans="1:9" ht="16.5">
      <c r="A5238" s="10" t="b">
        <v>0</v>
      </c>
      <c r="B5238" s="11" t="str">
        <f>IF(D5238&lt;&gt;"",IF(COUNTIF('USPTO TMs'!A:A,D5238)&gt;0,"Yes","No"),"")</f>
        <v/>
      </c>
      <c r="C5238" s="11"/>
      <c r="D5238" s="11"/>
      <c r="E5238" s="11"/>
      <c r="F5238" s="11"/>
      <c r="G5238" s="11"/>
      <c r="H5238" s="11"/>
      <c r="I5238" s="15"/>
    </row>
    <row r="5239" spans="1:9" ht="16.5">
      <c r="A5239" s="10" t="b">
        <v>0</v>
      </c>
      <c r="B5239" s="11" t="str">
        <f>IF(D5239&lt;&gt;"",IF(COUNTIF('USPTO TMs'!A:A,D5239)&gt;0,"Yes","No"),"")</f>
        <v/>
      </c>
      <c r="C5239" s="11"/>
      <c r="D5239" s="11"/>
      <c r="E5239" s="11"/>
      <c r="F5239" s="11"/>
      <c r="G5239" s="11"/>
      <c r="H5239" s="11"/>
      <c r="I5239" s="15"/>
    </row>
    <row r="5240" spans="1:9" ht="16.5">
      <c r="A5240" s="10" t="b">
        <v>0</v>
      </c>
      <c r="B5240" s="11" t="str">
        <f>IF(D5240&lt;&gt;"",IF(COUNTIF('USPTO TMs'!A:A,D5240)&gt;0,"Yes","No"),"")</f>
        <v/>
      </c>
      <c r="C5240" s="11"/>
      <c r="D5240" s="11"/>
      <c r="E5240" s="11"/>
      <c r="F5240" s="11"/>
      <c r="G5240" s="11"/>
      <c r="H5240" s="11"/>
      <c r="I5240" s="15"/>
    </row>
    <row r="5241" spans="1:9" ht="16.5">
      <c r="A5241" s="10" t="b">
        <v>0</v>
      </c>
      <c r="B5241" s="11" t="str">
        <f>IF(D5241&lt;&gt;"",IF(COUNTIF('USPTO TMs'!A:A,D5241)&gt;0,"Yes","No"),"")</f>
        <v/>
      </c>
      <c r="C5241" s="11"/>
      <c r="D5241" s="11"/>
      <c r="E5241" s="11"/>
      <c r="F5241" s="11"/>
      <c r="G5241" s="11"/>
      <c r="H5241" s="11"/>
      <c r="I5241" s="15"/>
    </row>
    <row r="5242" spans="1:9" ht="16.5">
      <c r="A5242" s="10" t="b">
        <v>0</v>
      </c>
      <c r="B5242" s="11" t="str">
        <f>IF(D5242&lt;&gt;"",IF(COUNTIF('USPTO TMs'!A:A,D5242)&gt;0,"Yes","No"),"")</f>
        <v/>
      </c>
      <c r="C5242" s="11"/>
      <c r="D5242" s="11"/>
      <c r="E5242" s="11"/>
      <c r="F5242" s="11"/>
      <c r="G5242" s="11"/>
      <c r="H5242" s="11"/>
      <c r="I5242" s="15"/>
    </row>
    <row r="5243" spans="1:9" ht="16.5">
      <c r="A5243" s="10" t="b">
        <v>0</v>
      </c>
      <c r="B5243" s="11" t="str">
        <f>IF(D5243&lt;&gt;"",IF(COUNTIF('USPTO TMs'!A:A,D5243)&gt;0,"Yes","No"),"")</f>
        <v/>
      </c>
      <c r="C5243" s="11"/>
      <c r="D5243" s="11"/>
      <c r="E5243" s="11"/>
      <c r="F5243" s="11"/>
      <c r="G5243" s="11"/>
      <c r="H5243" s="11"/>
      <c r="I5243" s="15"/>
    </row>
    <row r="5244" spans="1:9" ht="16.5">
      <c r="A5244" s="10" t="b">
        <v>0</v>
      </c>
      <c r="B5244" s="11" t="str">
        <f>IF(D5244&lt;&gt;"",IF(COUNTIF('USPTO TMs'!A:A,D5244)&gt;0,"Yes","No"),"")</f>
        <v/>
      </c>
      <c r="C5244" s="11"/>
      <c r="D5244" s="11"/>
      <c r="E5244" s="11"/>
      <c r="F5244" s="11"/>
      <c r="G5244" s="11"/>
      <c r="H5244" s="11"/>
      <c r="I5244" s="15"/>
    </row>
    <row r="5245" spans="1:9" ht="16.5">
      <c r="A5245" s="10" t="b">
        <v>0</v>
      </c>
      <c r="B5245" s="11" t="str">
        <f>IF(D5245&lt;&gt;"",IF(COUNTIF('USPTO TMs'!A:A,D5245)&gt;0,"Yes","No"),"")</f>
        <v/>
      </c>
      <c r="C5245" s="11"/>
      <c r="D5245" s="11"/>
      <c r="E5245" s="11"/>
      <c r="F5245" s="11"/>
      <c r="G5245" s="11"/>
      <c r="H5245" s="11"/>
      <c r="I5245" s="15"/>
    </row>
    <row r="5246" spans="1:9" ht="16.5">
      <c r="A5246" s="10" t="b">
        <v>0</v>
      </c>
      <c r="B5246" s="11" t="str">
        <f>IF(D5246&lt;&gt;"",IF(COUNTIF('USPTO TMs'!A:A,D5246)&gt;0,"Yes","No"),"")</f>
        <v/>
      </c>
      <c r="C5246" s="11"/>
      <c r="D5246" s="11"/>
      <c r="E5246" s="11"/>
      <c r="F5246" s="11"/>
      <c r="G5246" s="11"/>
      <c r="H5246" s="11"/>
      <c r="I5246" s="15"/>
    </row>
    <row r="5247" spans="1:9" ht="16.5">
      <c r="A5247" s="10" t="b">
        <v>0</v>
      </c>
      <c r="B5247" s="11" t="str">
        <f>IF(D5247&lt;&gt;"",IF(COUNTIF('USPTO TMs'!A:A,D5247)&gt;0,"Yes","No"),"")</f>
        <v/>
      </c>
      <c r="C5247" s="11"/>
      <c r="D5247" s="11"/>
      <c r="E5247" s="11"/>
      <c r="F5247" s="11"/>
      <c r="G5247" s="11"/>
      <c r="H5247" s="11"/>
      <c r="I5247" s="15"/>
    </row>
    <row r="5248" spans="1:9" ht="16.5">
      <c r="A5248" s="10" t="b">
        <v>0</v>
      </c>
      <c r="B5248" s="11" t="str">
        <f>IF(D5248&lt;&gt;"",IF(COUNTIF('USPTO TMs'!A:A,D5248)&gt;0,"Yes","No"),"")</f>
        <v/>
      </c>
      <c r="C5248" s="11"/>
      <c r="D5248" s="11"/>
      <c r="E5248" s="11"/>
      <c r="F5248" s="11"/>
      <c r="G5248" s="11"/>
      <c r="H5248" s="11"/>
      <c r="I5248" s="15"/>
    </row>
    <row r="5249" spans="1:9" ht="16.5">
      <c r="A5249" s="10" t="b">
        <v>0</v>
      </c>
      <c r="B5249" s="11" t="str">
        <f>IF(D5249&lt;&gt;"",IF(COUNTIF('USPTO TMs'!A:A,D5249)&gt;0,"Yes","No"),"")</f>
        <v/>
      </c>
      <c r="C5249" s="11"/>
      <c r="D5249" s="11"/>
      <c r="E5249" s="11"/>
      <c r="F5249" s="11"/>
      <c r="G5249" s="11"/>
      <c r="H5249" s="11"/>
      <c r="I5249" s="15"/>
    </row>
    <row r="5250" spans="1:9" ht="16.5">
      <c r="A5250" s="10" t="b">
        <v>0</v>
      </c>
      <c r="B5250" s="11" t="str">
        <f>IF(D5250&lt;&gt;"",IF(COUNTIF('USPTO TMs'!A:A,D5250)&gt;0,"Yes","No"),"")</f>
        <v/>
      </c>
      <c r="C5250" s="11"/>
      <c r="D5250" s="11"/>
      <c r="E5250" s="11"/>
      <c r="F5250" s="11"/>
      <c r="G5250" s="11"/>
      <c r="H5250" s="11"/>
      <c r="I5250" s="15"/>
    </row>
    <row r="5251" spans="1:9" ht="16.5">
      <c r="A5251" s="10" t="b">
        <v>0</v>
      </c>
      <c r="B5251" s="11" t="str">
        <f>IF(D5251&lt;&gt;"",IF(COUNTIF('USPTO TMs'!A:A,D5251)&gt;0,"Yes","No"),"")</f>
        <v/>
      </c>
      <c r="C5251" s="11"/>
      <c r="D5251" s="11"/>
      <c r="E5251" s="11"/>
      <c r="F5251" s="11"/>
      <c r="G5251" s="11"/>
      <c r="H5251" s="11"/>
      <c r="I5251" s="15"/>
    </row>
    <row r="5252" spans="1:9" ht="16.5">
      <c r="A5252" s="10" t="b">
        <v>0</v>
      </c>
      <c r="B5252" s="11" t="str">
        <f>IF(D5252&lt;&gt;"",IF(COUNTIF('USPTO TMs'!A:A,D5252)&gt;0,"Yes","No"),"")</f>
        <v/>
      </c>
      <c r="C5252" s="11"/>
      <c r="D5252" s="11"/>
      <c r="E5252" s="11"/>
      <c r="F5252" s="11"/>
      <c r="G5252" s="11"/>
      <c r="H5252" s="11"/>
      <c r="I5252" s="15"/>
    </row>
    <row r="5253" spans="1:9" ht="16.5">
      <c r="A5253" s="10" t="b">
        <v>0</v>
      </c>
      <c r="B5253" s="11" t="str">
        <f>IF(D5253&lt;&gt;"",IF(COUNTIF('USPTO TMs'!A:A,D5253)&gt;0,"Yes","No"),"")</f>
        <v/>
      </c>
      <c r="C5253" s="11"/>
      <c r="D5253" s="11"/>
      <c r="E5253" s="11"/>
      <c r="F5253" s="11"/>
      <c r="G5253" s="11"/>
      <c r="H5253" s="11"/>
      <c r="I5253" s="15"/>
    </row>
    <row r="5254" spans="1:9" ht="16.5">
      <c r="A5254" s="10" t="b">
        <v>0</v>
      </c>
      <c r="B5254" s="11" t="str">
        <f>IF(D5254&lt;&gt;"",IF(COUNTIF('USPTO TMs'!A:A,D5254)&gt;0,"Yes","No"),"")</f>
        <v/>
      </c>
      <c r="C5254" s="11"/>
      <c r="D5254" s="11"/>
      <c r="E5254" s="11"/>
      <c r="F5254" s="11"/>
      <c r="G5254" s="11"/>
      <c r="H5254" s="11"/>
      <c r="I5254" s="15"/>
    </row>
    <row r="5255" spans="1:9" ht="16.5">
      <c r="A5255" s="10" t="b">
        <v>0</v>
      </c>
      <c r="B5255" s="11" t="str">
        <f>IF(D5255&lt;&gt;"",IF(COUNTIF('USPTO TMs'!A:A,D5255)&gt;0,"Yes","No"),"")</f>
        <v/>
      </c>
      <c r="C5255" s="11"/>
      <c r="D5255" s="11"/>
      <c r="E5255" s="11"/>
      <c r="F5255" s="11"/>
      <c r="G5255" s="11"/>
      <c r="H5255" s="11"/>
      <c r="I5255" s="15"/>
    </row>
    <row r="5256" spans="1:9" ht="16.5">
      <c r="A5256" s="10" t="b">
        <v>0</v>
      </c>
      <c r="B5256" s="11" t="str">
        <f>IF(D5256&lt;&gt;"",IF(COUNTIF('USPTO TMs'!A:A,D5256)&gt;0,"Yes","No"),"")</f>
        <v/>
      </c>
      <c r="C5256" s="11"/>
      <c r="D5256" s="11"/>
      <c r="E5256" s="11"/>
      <c r="F5256" s="11"/>
      <c r="G5256" s="11"/>
      <c r="H5256" s="11"/>
      <c r="I5256" s="15"/>
    </row>
    <row r="5257" spans="1:9" ht="16.5">
      <c r="A5257" s="10" t="b">
        <v>0</v>
      </c>
      <c r="B5257" s="11" t="str">
        <f>IF(D5257&lt;&gt;"",IF(COUNTIF('USPTO TMs'!A:A,D5257)&gt;0,"Yes","No"),"")</f>
        <v/>
      </c>
      <c r="C5257" s="11"/>
      <c r="D5257" s="11"/>
      <c r="E5257" s="11"/>
      <c r="F5257" s="11"/>
      <c r="G5257" s="11"/>
      <c r="H5257" s="11"/>
      <c r="I5257" s="15"/>
    </row>
    <row r="5258" spans="1:9" ht="16.5">
      <c r="A5258" s="10" t="b">
        <v>0</v>
      </c>
      <c r="B5258" s="11" t="str">
        <f>IF(D5258&lt;&gt;"",IF(COUNTIF('USPTO TMs'!A:A,D5258)&gt;0,"Yes","No"),"")</f>
        <v/>
      </c>
      <c r="C5258" s="11"/>
      <c r="D5258" s="11"/>
      <c r="E5258" s="11"/>
      <c r="F5258" s="11"/>
      <c r="G5258" s="11"/>
      <c r="H5258" s="11"/>
      <c r="I5258" s="15"/>
    </row>
    <row r="5259" spans="1:9" ht="16.5">
      <c r="A5259" s="10" t="b">
        <v>0</v>
      </c>
      <c r="B5259" s="11" t="str">
        <f>IF(D5259&lt;&gt;"",IF(COUNTIF('USPTO TMs'!A:A,D5259)&gt;0,"Yes","No"),"")</f>
        <v/>
      </c>
      <c r="C5259" s="11"/>
      <c r="D5259" s="11"/>
      <c r="E5259" s="11"/>
      <c r="F5259" s="11"/>
      <c r="G5259" s="11"/>
      <c r="H5259" s="11"/>
      <c r="I5259" s="15"/>
    </row>
    <row r="5260" spans="1:9" ht="16.5">
      <c r="A5260" s="10" t="b">
        <v>0</v>
      </c>
      <c r="B5260" s="11" t="str">
        <f>IF(D5260&lt;&gt;"",IF(COUNTIF('USPTO TMs'!A:A,D5260)&gt;0,"Yes","No"),"")</f>
        <v/>
      </c>
      <c r="C5260" s="11"/>
      <c r="D5260" s="11"/>
      <c r="E5260" s="11"/>
      <c r="F5260" s="11"/>
      <c r="G5260" s="11"/>
      <c r="H5260" s="11"/>
      <c r="I5260" s="15"/>
    </row>
    <row r="5261" spans="1:9" ht="16.5">
      <c r="A5261" s="10" t="b">
        <v>0</v>
      </c>
      <c r="B5261" s="11" t="str">
        <f>IF(D5261&lt;&gt;"",IF(COUNTIF('USPTO TMs'!A:A,D5261)&gt;0,"Yes","No"),"")</f>
        <v/>
      </c>
      <c r="C5261" s="11"/>
      <c r="D5261" s="11"/>
      <c r="E5261" s="11"/>
      <c r="F5261" s="11"/>
      <c r="G5261" s="11"/>
      <c r="H5261" s="11"/>
      <c r="I5261" s="15"/>
    </row>
    <row r="5262" spans="1:9" ht="16.5">
      <c r="A5262" s="10" t="b">
        <v>0</v>
      </c>
      <c r="B5262" s="11" t="str">
        <f>IF(D5262&lt;&gt;"",IF(COUNTIF('USPTO TMs'!A:A,D5262)&gt;0,"Yes","No"),"")</f>
        <v/>
      </c>
      <c r="C5262" s="11"/>
      <c r="D5262" s="11"/>
      <c r="E5262" s="11"/>
      <c r="F5262" s="11"/>
      <c r="G5262" s="11"/>
      <c r="H5262" s="11"/>
      <c r="I5262" s="15"/>
    </row>
    <row r="5263" spans="1:9" ht="16.5">
      <c r="A5263" s="10" t="b">
        <v>0</v>
      </c>
      <c r="B5263" s="11" t="str">
        <f>IF(D5263&lt;&gt;"",IF(COUNTIF('USPTO TMs'!A:A,D5263)&gt;0,"Yes","No"),"")</f>
        <v/>
      </c>
      <c r="C5263" s="11"/>
      <c r="D5263" s="11"/>
      <c r="E5263" s="11"/>
      <c r="F5263" s="11"/>
      <c r="G5263" s="11"/>
      <c r="H5263" s="11"/>
      <c r="I5263" s="15"/>
    </row>
    <row r="5264" spans="1:9" ht="16.5">
      <c r="A5264" s="10" t="b">
        <v>0</v>
      </c>
      <c r="B5264" s="11" t="str">
        <f>IF(D5264&lt;&gt;"",IF(COUNTIF('USPTO TMs'!A:A,D5264)&gt;0,"Yes","No"),"")</f>
        <v/>
      </c>
      <c r="C5264" s="11"/>
      <c r="D5264" s="11"/>
      <c r="E5264" s="11"/>
      <c r="F5264" s="11"/>
      <c r="G5264" s="11"/>
      <c r="H5264" s="11"/>
      <c r="I5264" s="15"/>
    </row>
    <row r="5265" spans="1:9" ht="16.5">
      <c r="A5265" s="10" t="b">
        <v>0</v>
      </c>
      <c r="B5265" s="11" t="str">
        <f>IF(D5265&lt;&gt;"",IF(COUNTIF('USPTO TMs'!A:A,D5265)&gt;0,"Yes","No"),"")</f>
        <v/>
      </c>
      <c r="C5265" s="11"/>
      <c r="D5265" s="11"/>
      <c r="E5265" s="11"/>
      <c r="F5265" s="11"/>
      <c r="G5265" s="11"/>
      <c r="H5265" s="11"/>
      <c r="I5265" s="15"/>
    </row>
    <row r="5266" spans="1:9" ht="16.5">
      <c r="A5266" s="10" t="b">
        <v>0</v>
      </c>
      <c r="B5266" s="11" t="str">
        <f>IF(D5266&lt;&gt;"",IF(COUNTIF('USPTO TMs'!A:A,D5266)&gt;0,"Yes","No"),"")</f>
        <v/>
      </c>
      <c r="C5266" s="11"/>
      <c r="D5266" s="11"/>
      <c r="E5266" s="11"/>
      <c r="F5266" s="11"/>
      <c r="G5266" s="11"/>
      <c r="H5266" s="11"/>
      <c r="I5266" s="15"/>
    </row>
    <row r="5267" spans="1:9" ht="16.5">
      <c r="A5267" s="10" t="b">
        <v>0</v>
      </c>
      <c r="B5267" s="11" t="str">
        <f>IF(D5267&lt;&gt;"",IF(COUNTIF('USPTO TMs'!A:A,D5267)&gt;0,"Yes","No"),"")</f>
        <v/>
      </c>
      <c r="C5267" s="11"/>
      <c r="D5267" s="11"/>
      <c r="E5267" s="11"/>
      <c r="F5267" s="11"/>
      <c r="G5267" s="11"/>
      <c r="H5267" s="11"/>
      <c r="I5267" s="15"/>
    </row>
    <row r="5268" spans="1:9" ht="16.5">
      <c r="A5268" s="10" t="b">
        <v>0</v>
      </c>
      <c r="B5268" s="11" t="str">
        <f>IF(D5268&lt;&gt;"",IF(COUNTIF('USPTO TMs'!A:A,D5268)&gt;0,"Yes","No"),"")</f>
        <v/>
      </c>
      <c r="C5268" s="11"/>
      <c r="D5268" s="11"/>
      <c r="E5268" s="11"/>
      <c r="F5268" s="11"/>
      <c r="G5268" s="11"/>
      <c r="H5268" s="11"/>
      <c r="I5268" s="15"/>
    </row>
    <row r="5269" spans="1:9" ht="16.5">
      <c r="A5269" s="10" t="b">
        <v>0</v>
      </c>
      <c r="B5269" s="11" t="str">
        <f>IF(D5269&lt;&gt;"",IF(COUNTIF('USPTO TMs'!A:A,D5269)&gt;0,"Yes","No"),"")</f>
        <v/>
      </c>
      <c r="C5269" s="11"/>
      <c r="D5269" s="11"/>
      <c r="E5269" s="11"/>
      <c r="F5269" s="11"/>
      <c r="G5269" s="11"/>
      <c r="H5269" s="11"/>
      <c r="I5269" s="15"/>
    </row>
    <row r="5270" spans="1:9" ht="16.5">
      <c r="A5270" s="10" t="b">
        <v>0</v>
      </c>
      <c r="B5270" s="11" t="str">
        <f>IF(D5270&lt;&gt;"",IF(COUNTIF('USPTO TMs'!A:A,D5270)&gt;0,"Yes","No"),"")</f>
        <v/>
      </c>
      <c r="C5270" s="11"/>
      <c r="D5270" s="11"/>
      <c r="E5270" s="11"/>
      <c r="F5270" s="11"/>
      <c r="G5270" s="11"/>
      <c r="H5270" s="11"/>
      <c r="I5270" s="15"/>
    </row>
    <row r="5271" spans="1:9" ht="16.5">
      <c r="A5271" s="10" t="b">
        <v>0</v>
      </c>
      <c r="B5271" s="11" t="str">
        <f>IF(D5271&lt;&gt;"",IF(COUNTIF('USPTO TMs'!A:A,D5271)&gt;0,"Yes","No"),"")</f>
        <v/>
      </c>
      <c r="C5271" s="11"/>
      <c r="D5271" s="11"/>
      <c r="E5271" s="11"/>
      <c r="F5271" s="11"/>
      <c r="G5271" s="11"/>
      <c r="H5271" s="11"/>
      <c r="I5271" s="15"/>
    </row>
    <row r="5272" spans="1:9" ht="16.5">
      <c r="A5272" s="10" t="b">
        <v>0</v>
      </c>
      <c r="B5272" s="11" t="str">
        <f>IF(D5272&lt;&gt;"",IF(COUNTIF('USPTO TMs'!A:A,D5272)&gt;0,"Yes","No"),"")</f>
        <v/>
      </c>
      <c r="C5272" s="11"/>
      <c r="D5272" s="11"/>
      <c r="E5272" s="11"/>
      <c r="F5272" s="11"/>
      <c r="G5272" s="11"/>
      <c r="H5272" s="11"/>
      <c r="I5272" s="15"/>
    </row>
    <row r="5273" spans="1:9" ht="16.5">
      <c r="A5273" s="10" t="b">
        <v>0</v>
      </c>
      <c r="B5273" s="11" t="str">
        <f>IF(D5273&lt;&gt;"",IF(COUNTIF('USPTO TMs'!A:A,D5273)&gt;0,"Yes","No"),"")</f>
        <v/>
      </c>
      <c r="C5273" s="11"/>
      <c r="D5273" s="11"/>
      <c r="E5273" s="11"/>
      <c r="F5273" s="11"/>
      <c r="G5273" s="11"/>
      <c r="H5273" s="11"/>
      <c r="I5273" s="15"/>
    </row>
    <row r="5274" spans="1:9" ht="16.5">
      <c r="A5274" s="10" t="b">
        <v>0</v>
      </c>
      <c r="B5274" s="11" t="str">
        <f>IF(D5274&lt;&gt;"",IF(COUNTIF('USPTO TMs'!A:A,D5274)&gt;0,"Yes","No"),"")</f>
        <v/>
      </c>
      <c r="C5274" s="11"/>
      <c r="D5274" s="11"/>
      <c r="E5274" s="11"/>
      <c r="F5274" s="11"/>
      <c r="G5274" s="11"/>
      <c r="H5274" s="11"/>
      <c r="I5274" s="15"/>
    </row>
    <row r="5275" spans="1:9" ht="16.5">
      <c r="A5275" s="10" t="b">
        <v>0</v>
      </c>
      <c r="B5275" s="11" t="str">
        <f>IF(D5275&lt;&gt;"",IF(COUNTIF('USPTO TMs'!A:A,D5275)&gt;0,"Yes","No"),"")</f>
        <v/>
      </c>
      <c r="C5275" s="11"/>
      <c r="D5275" s="11"/>
      <c r="E5275" s="11"/>
      <c r="F5275" s="11"/>
      <c r="G5275" s="11"/>
      <c r="H5275" s="11"/>
      <c r="I5275" s="15"/>
    </row>
    <row r="5276" spans="1:9" ht="16.5">
      <c r="A5276" s="10" t="b">
        <v>0</v>
      </c>
      <c r="B5276" s="11" t="str">
        <f>IF(D5276&lt;&gt;"",IF(COUNTIF('USPTO TMs'!A:A,D5276)&gt;0,"Yes","No"),"")</f>
        <v/>
      </c>
      <c r="C5276" s="11"/>
      <c r="D5276" s="11"/>
      <c r="E5276" s="11"/>
      <c r="F5276" s="11"/>
      <c r="G5276" s="11"/>
      <c r="H5276" s="11"/>
      <c r="I5276" s="15"/>
    </row>
    <row r="5277" spans="1:9" ht="16.5">
      <c r="A5277" s="10" t="b">
        <v>0</v>
      </c>
      <c r="B5277" s="11" t="str">
        <f>IF(D5277&lt;&gt;"",IF(COUNTIF('USPTO TMs'!A:A,D5277)&gt;0,"Yes","No"),"")</f>
        <v/>
      </c>
      <c r="C5277" s="11"/>
      <c r="D5277" s="11"/>
      <c r="E5277" s="11"/>
      <c r="F5277" s="11"/>
      <c r="G5277" s="11"/>
      <c r="H5277" s="11"/>
      <c r="I5277" s="15"/>
    </row>
    <row r="5278" spans="1:9" ht="16.5">
      <c r="A5278" s="10" t="b">
        <v>0</v>
      </c>
      <c r="B5278" s="11" t="str">
        <f>IF(D5278&lt;&gt;"",IF(COUNTIF('USPTO TMs'!A:A,D5278)&gt;0,"Yes","No"),"")</f>
        <v/>
      </c>
      <c r="C5278" s="11"/>
      <c r="D5278" s="11"/>
      <c r="E5278" s="11"/>
      <c r="F5278" s="11"/>
      <c r="G5278" s="11"/>
      <c r="H5278" s="11"/>
      <c r="I5278" s="15"/>
    </row>
    <row r="5279" spans="1:9" ht="16.5">
      <c r="A5279" s="10" t="b">
        <v>0</v>
      </c>
      <c r="B5279" s="11" t="str">
        <f>IF(D5279&lt;&gt;"",IF(COUNTIF('USPTO TMs'!A:A,D5279)&gt;0,"Yes","No"),"")</f>
        <v/>
      </c>
      <c r="C5279" s="11"/>
      <c r="D5279" s="11"/>
      <c r="E5279" s="11"/>
      <c r="F5279" s="11"/>
      <c r="G5279" s="11"/>
      <c r="H5279" s="11"/>
      <c r="I5279" s="15"/>
    </row>
    <row r="5280" spans="1:9" ht="16.5">
      <c r="A5280" s="10" t="b">
        <v>0</v>
      </c>
      <c r="B5280" s="11" t="str">
        <f>IF(D5280&lt;&gt;"",IF(COUNTIF('USPTO TMs'!A:A,D5280)&gt;0,"Yes","No"),"")</f>
        <v/>
      </c>
      <c r="C5280" s="11"/>
      <c r="D5280" s="11"/>
      <c r="E5280" s="11"/>
      <c r="F5280" s="11"/>
      <c r="G5280" s="11"/>
      <c r="H5280" s="11"/>
      <c r="I5280" s="15"/>
    </row>
    <row r="5281" spans="1:9" ht="16.5">
      <c r="A5281" s="10" t="b">
        <v>0</v>
      </c>
      <c r="B5281" s="11" t="str">
        <f>IF(D5281&lt;&gt;"",IF(COUNTIF('USPTO TMs'!A:A,D5281)&gt;0,"Yes","No"),"")</f>
        <v/>
      </c>
      <c r="C5281" s="11"/>
      <c r="D5281" s="11"/>
      <c r="E5281" s="11"/>
      <c r="F5281" s="11"/>
      <c r="G5281" s="11"/>
      <c r="H5281" s="11"/>
      <c r="I5281" s="15"/>
    </row>
    <row r="5282" spans="1:9" ht="16.5">
      <c r="A5282" s="10" t="b">
        <v>0</v>
      </c>
      <c r="B5282" s="11" t="str">
        <f>IF(D5282&lt;&gt;"",IF(COUNTIF('USPTO TMs'!A:A,D5282)&gt;0,"Yes","No"),"")</f>
        <v/>
      </c>
      <c r="C5282" s="11"/>
      <c r="D5282" s="11"/>
      <c r="E5282" s="11"/>
      <c r="F5282" s="11"/>
      <c r="G5282" s="11"/>
      <c r="H5282" s="11"/>
      <c r="I5282" s="15"/>
    </row>
    <row r="5283" spans="1:9" ht="16.5">
      <c r="A5283" s="10" t="b">
        <v>0</v>
      </c>
      <c r="B5283" s="11" t="str">
        <f>IF(D5283&lt;&gt;"",IF(COUNTIF('USPTO TMs'!A:A,D5283)&gt;0,"Yes","No"),"")</f>
        <v/>
      </c>
      <c r="C5283" s="11"/>
      <c r="D5283" s="11"/>
      <c r="E5283" s="11"/>
      <c r="F5283" s="11"/>
      <c r="G5283" s="11"/>
      <c r="H5283" s="11"/>
      <c r="I5283" s="15"/>
    </row>
    <row r="5284" spans="1:9" ht="16.5">
      <c r="A5284" s="10" t="b">
        <v>0</v>
      </c>
      <c r="B5284" s="11" t="str">
        <f>IF(D5284&lt;&gt;"",IF(COUNTIF('USPTO TMs'!A:A,D5284)&gt;0,"Yes","No"),"")</f>
        <v/>
      </c>
      <c r="C5284" s="11"/>
      <c r="D5284" s="11"/>
      <c r="E5284" s="11"/>
      <c r="F5284" s="11"/>
      <c r="G5284" s="11"/>
      <c r="H5284" s="11"/>
      <c r="I5284" s="15"/>
    </row>
    <row r="5285" spans="1:9" ht="16.5">
      <c r="A5285" s="10" t="b">
        <v>0</v>
      </c>
      <c r="B5285" s="11" t="str">
        <f>IF(D5285&lt;&gt;"",IF(COUNTIF('USPTO TMs'!A:A,D5285)&gt;0,"Yes","No"),"")</f>
        <v/>
      </c>
      <c r="C5285" s="11"/>
      <c r="D5285" s="11"/>
      <c r="E5285" s="11"/>
      <c r="F5285" s="11"/>
      <c r="G5285" s="11"/>
      <c r="H5285" s="11"/>
      <c r="I5285" s="15"/>
    </row>
    <row r="5286" spans="1:9" ht="16.5">
      <c r="A5286" s="10" t="b">
        <v>0</v>
      </c>
      <c r="B5286" s="11" t="str">
        <f>IF(D5286&lt;&gt;"",IF(COUNTIF('USPTO TMs'!A:A,D5286)&gt;0,"Yes","No"),"")</f>
        <v/>
      </c>
      <c r="C5286" s="11"/>
      <c r="D5286" s="11"/>
      <c r="E5286" s="11"/>
      <c r="F5286" s="11"/>
      <c r="G5286" s="11"/>
      <c r="H5286" s="11"/>
      <c r="I5286" s="15"/>
    </row>
    <row r="5287" spans="1:9" ht="16.5">
      <c r="A5287" s="10" t="b">
        <v>0</v>
      </c>
      <c r="B5287" s="11" t="str">
        <f>IF(D5287&lt;&gt;"",IF(COUNTIF('USPTO TMs'!A:A,D5287)&gt;0,"Yes","No"),"")</f>
        <v/>
      </c>
      <c r="C5287" s="11"/>
      <c r="D5287" s="11"/>
      <c r="E5287" s="11"/>
      <c r="F5287" s="11"/>
      <c r="G5287" s="11"/>
      <c r="H5287" s="11"/>
      <c r="I5287" s="15"/>
    </row>
    <row r="5288" spans="1:9" ht="16.5">
      <c r="A5288" s="10" t="b">
        <v>0</v>
      </c>
      <c r="B5288" s="11" t="str">
        <f>IF(D5288&lt;&gt;"",IF(COUNTIF('USPTO TMs'!A:A,D5288)&gt;0,"Yes","No"),"")</f>
        <v/>
      </c>
      <c r="C5288" s="11"/>
      <c r="D5288" s="11"/>
      <c r="E5288" s="11"/>
      <c r="F5288" s="11"/>
      <c r="G5288" s="11"/>
      <c r="H5288" s="11"/>
      <c r="I5288" s="15"/>
    </row>
    <row r="5289" spans="1:9" ht="16.5">
      <c r="A5289" s="10" t="b">
        <v>0</v>
      </c>
      <c r="B5289" s="11" t="str">
        <f>IF(D5289&lt;&gt;"",IF(COUNTIF('USPTO TMs'!A:A,D5289)&gt;0,"Yes","No"),"")</f>
        <v/>
      </c>
      <c r="C5289" s="11"/>
      <c r="D5289" s="11"/>
      <c r="E5289" s="11"/>
      <c r="F5289" s="11"/>
      <c r="G5289" s="11"/>
      <c r="H5289" s="11"/>
      <c r="I5289" s="15"/>
    </row>
    <row r="5290" spans="1:9" ht="16.5">
      <c r="A5290" s="10" t="b">
        <v>0</v>
      </c>
      <c r="B5290" s="11" t="str">
        <f>IF(D5290&lt;&gt;"",IF(COUNTIF('USPTO TMs'!A:A,D5290)&gt;0,"Yes","No"),"")</f>
        <v/>
      </c>
      <c r="C5290" s="11"/>
      <c r="D5290" s="11"/>
      <c r="E5290" s="11"/>
      <c r="F5290" s="11"/>
      <c r="G5290" s="11"/>
      <c r="H5290" s="11"/>
      <c r="I5290" s="15"/>
    </row>
    <row r="5291" spans="1:9" ht="16.5">
      <c r="A5291" s="10" t="b">
        <v>0</v>
      </c>
      <c r="B5291" s="11" t="str">
        <f>IF(D5291&lt;&gt;"",IF(COUNTIF('USPTO TMs'!A:A,D5291)&gt;0,"Yes","No"),"")</f>
        <v/>
      </c>
      <c r="C5291" s="11"/>
      <c r="D5291" s="11"/>
      <c r="E5291" s="11"/>
      <c r="F5291" s="11"/>
      <c r="G5291" s="11"/>
      <c r="H5291" s="11"/>
      <c r="I5291" s="15"/>
    </row>
    <row r="5292" spans="1:9" ht="16.5">
      <c r="A5292" s="10" t="b">
        <v>0</v>
      </c>
      <c r="B5292" s="11" t="str">
        <f>IF(D5292&lt;&gt;"",IF(COUNTIF('USPTO TMs'!A:A,D5292)&gt;0,"Yes","No"),"")</f>
        <v/>
      </c>
      <c r="C5292" s="11"/>
      <c r="D5292" s="11"/>
      <c r="E5292" s="11"/>
      <c r="F5292" s="11"/>
      <c r="G5292" s="11"/>
      <c r="H5292" s="11"/>
      <c r="I5292" s="15"/>
    </row>
    <row r="5293" spans="1:9" ht="16.5">
      <c r="A5293" s="10" t="b">
        <v>0</v>
      </c>
      <c r="B5293" s="11" t="str">
        <f>IF(D5293&lt;&gt;"",IF(COUNTIF('USPTO TMs'!A:A,D5293)&gt;0,"Yes","No"),"")</f>
        <v/>
      </c>
      <c r="C5293" s="11"/>
      <c r="D5293" s="11"/>
      <c r="E5293" s="11"/>
      <c r="F5293" s="11"/>
      <c r="G5293" s="11"/>
      <c r="H5293" s="11"/>
      <c r="I5293" s="15"/>
    </row>
    <row r="5294" spans="1:9" ht="16.5">
      <c r="A5294" s="10" t="b">
        <v>0</v>
      </c>
      <c r="B5294" s="11" t="str">
        <f>IF(D5294&lt;&gt;"",IF(COUNTIF('USPTO TMs'!A:A,D5294)&gt;0,"Yes","No"),"")</f>
        <v/>
      </c>
      <c r="C5294" s="11"/>
      <c r="D5294" s="11"/>
      <c r="E5294" s="11"/>
      <c r="F5294" s="11"/>
      <c r="G5294" s="11"/>
      <c r="H5294" s="11"/>
      <c r="I5294" s="15"/>
    </row>
    <row r="5295" spans="1:9" ht="16.5">
      <c r="A5295" s="10" t="b">
        <v>0</v>
      </c>
      <c r="B5295" s="11" t="str">
        <f>IF(D5295&lt;&gt;"",IF(COUNTIF('USPTO TMs'!A:A,D5295)&gt;0,"Yes","No"),"")</f>
        <v/>
      </c>
      <c r="C5295" s="11"/>
      <c r="D5295" s="11"/>
      <c r="E5295" s="11"/>
      <c r="F5295" s="11"/>
      <c r="G5295" s="11"/>
      <c r="H5295" s="11"/>
      <c r="I5295" s="15"/>
    </row>
    <row r="5296" spans="1:9" ht="16.5">
      <c r="A5296" s="10" t="b">
        <v>0</v>
      </c>
      <c r="B5296" s="11" t="str">
        <f>IF(D5296&lt;&gt;"",IF(COUNTIF('USPTO TMs'!A:A,D5296)&gt;0,"Yes","No"),"")</f>
        <v/>
      </c>
      <c r="C5296" s="11"/>
      <c r="D5296" s="11"/>
      <c r="E5296" s="11"/>
      <c r="F5296" s="11"/>
      <c r="G5296" s="11"/>
      <c r="H5296" s="11"/>
      <c r="I5296" s="15"/>
    </row>
    <row r="5297" spans="1:9" ht="16.5">
      <c r="A5297" s="10" t="b">
        <v>0</v>
      </c>
      <c r="B5297" s="11" t="str">
        <f>IF(D5297&lt;&gt;"",IF(COUNTIF('USPTO TMs'!A:A,D5297)&gt;0,"Yes","No"),"")</f>
        <v/>
      </c>
      <c r="C5297" s="11"/>
      <c r="D5297" s="11"/>
      <c r="E5297" s="11"/>
      <c r="F5297" s="11"/>
      <c r="G5297" s="11"/>
      <c r="H5297" s="11"/>
      <c r="I5297" s="15"/>
    </row>
    <row r="5298" spans="1:9" ht="16.5">
      <c r="A5298" s="10" t="b">
        <v>0</v>
      </c>
      <c r="B5298" s="11" t="str">
        <f>IF(D5298&lt;&gt;"",IF(COUNTIF('USPTO TMs'!A:A,D5298)&gt;0,"Yes","No"),"")</f>
        <v/>
      </c>
      <c r="C5298" s="11"/>
      <c r="D5298" s="11"/>
      <c r="E5298" s="11"/>
      <c r="F5298" s="11"/>
      <c r="G5298" s="11"/>
      <c r="H5298" s="11"/>
      <c r="I5298" s="15"/>
    </row>
    <row r="5299" spans="1:9" ht="16.5">
      <c r="A5299" s="10" t="b">
        <v>0</v>
      </c>
      <c r="B5299" s="11" t="str">
        <f>IF(D5299&lt;&gt;"",IF(COUNTIF('USPTO TMs'!A:A,D5299)&gt;0,"Yes","No"),"")</f>
        <v/>
      </c>
      <c r="C5299" s="11"/>
      <c r="D5299" s="11"/>
      <c r="E5299" s="11"/>
      <c r="F5299" s="11"/>
      <c r="G5299" s="11"/>
      <c r="H5299" s="11"/>
      <c r="I5299" s="15"/>
    </row>
    <row r="5300" spans="1:9" ht="16.5">
      <c r="A5300" s="10" t="b">
        <v>0</v>
      </c>
      <c r="B5300" s="11" t="str">
        <f>IF(D5300&lt;&gt;"",IF(COUNTIF('USPTO TMs'!A:A,D5300)&gt;0,"Yes","No"),"")</f>
        <v/>
      </c>
      <c r="C5300" s="11"/>
      <c r="D5300" s="11"/>
      <c r="E5300" s="11"/>
      <c r="F5300" s="11"/>
      <c r="G5300" s="11"/>
      <c r="H5300" s="11"/>
      <c r="I5300" s="15"/>
    </row>
    <row r="5301" spans="1:9" ht="16.5">
      <c r="A5301" s="10" t="b">
        <v>0</v>
      </c>
      <c r="B5301" s="11" t="str">
        <f>IF(D5301&lt;&gt;"",IF(COUNTIF('USPTO TMs'!A:A,D5301)&gt;0,"Yes","No"),"")</f>
        <v/>
      </c>
      <c r="C5301" s="11"/>
      <c r="D5301" s="11"/>
      <c r="E5301" s="11"/>
      <c r="F5301" s="11"/>
      <c r="G5301" s="11"/>
      <c r="H5301" s="11"/>
      <c r="I5301" s="15"/>
    </row>
    <row r="5302" spans="1:9" ht="16.5">
      <c r="A5302" s="10" t="b">
        <v>0</v>
      </c>
      <c r="B5302" s="11" t="str">
        <f>IF(D5302&lt;&gt;"",IF(COUNTIF('USPTO TMs'!A:A,D5302)&gt;0,"Yes","No"),"")</f>
        <v/>
      </c>
      <c r="C5302" s="11"/>
      <c r="D5302" s="11"/>
      <c r="E5302" s="11"/>
      <c r="F5302" s="11"/>
      <c r="G5302" s="11"/>
      <c r="H5302" s="11"/>
      <c r="I5302" s="15"/>
    </row>
    <row r="5303" spans="1:9" ht="16.5">
      <c r="A5303" s="10" t="b">
        <v>0</v>
      </c>
      <c r="B5303" s="11" t="str">
        <f>IF(D5303&lt;&gt;"",IF(COUNTIF('USPTO TMs'!A:A,D5303)&gt;0,"Yes","No"),"")</f>
        <v/>
      </c>
      <c r="C5303" s="11"/>
      <c r="D5303" s="11"/>
      <c r="E5303" s="11"/>
      <c r="F5303" s="11"/>
      <c r="G5303" s="11"/>
      <c r="H5303" s="11"/>
      <c r="I5303" s="15"/>
    </row>
    <row r="5304" spans="1:9" ht="16.5">
      <c r="A5304" s="10" t="b">
        <v>0</v>
      </c>
      <c r="B5304" s="11" t="str">
        <f>IF(D5304&lt;&gt;"",IF(COUNTIF('USPTO TMs'!A:A,D5304)&gt;0,"Yes","No"),"")</f>
        <v/>
      </c>
      <c r="C5304" s="11"/>
      <c r="D5304" s="11"/>
      <c r="E5304" s="11"/>
      <c r="F5304" s="11"/>
      <c r="G5304" s="11"/>
      <c r="H5304" s="11"/>
      <c r="I5304" s="15"/>
    </row>
    <row r="5305" spans="1:9" ht="16.5">
      <c r="A5305" s="10" t="b">
        <v>0</v>
      </c>
      <c r="B5305" s="11" t="str">
        <f>IF(D5305&lt;&gt;"",IF(COUNTIF('USPTO TMs'!A:A,D5305)&gt;0,"Yes","No"),"")</f>
        <v/>
      </c>
      <c r="C5305" s="11"/>
      <c r="D5305" s="11"/>
      <c r="E5305" s="11"/>
      <c r="F5305" s="11"/>
      <c r="G5305" s="11"/>
      <c r="H5305" s="11"/>
      <c r="I5305" s="15"/>
    </row>
    <row r="5306" spans="1:9" ht="16.5">
      <c r="A5306" s="10" t="b">
        <v>0</v>
      </c>
      <c r="B5306" s="11" t="str">
        <f>IF(D5306&lt;&gt;"",IF(COUNTIF('USPTO TMs'!A:A,D5306)&gt;0,"Yes","No"),"")</f>
        <v/>
      </c>
      <c r="C5306" s="11"/>
      <c r="D5306" s="11"/>
      <c r="E5306" s="11"/>
      <c r="F5306" s="11"/>
      <c r="G5306" s="11"/>
      <c r="H5306" s="11"/>
      <c r="I5306" s="15"/>
    </row>
    <row r="5307" spans="1:9" ht="16.5">
      <c r="A5307" s="10" t="b">
        <v>0</v>
      </c>
      <c r="B5307" s="11" t="str">
        <f>IF(D5307&lt;&gt;"",IF(COUNTIF('USPTO TMs'!A:A,D5307)&gt;0,"Yes","No"),"")</f>
        <v/>
      </c>
      <c r="C5307" s="11"/>
      <c r="D5307" s="11"/>
      <c r="E5307" s="11"/>
      <c r="F5307" s="11"/>
      <c r="G5307" s="11"/>
      <c r="H5307" s="11"/>
      <c r="I5307" s="15"/>
    </row>
    <row r="5308" spans="1:9" ht="16.5">
      <c r="A5308" s="10" t="b">
        <v>0</v>
      </c>
      <c r="B5308" s="11" t="str">
        <f>IF(D5308&lt;&gt;"",IF(COUNTIF('USPTO TMs'!A:A,D5308)&gt;0,"Yes","No"),"")</f>
        <v/>
      </c>
      <c r="C5308" s="11"/>
      <c r="D5308" s="11"/>
      <c r="E5308" s="11"/>
      <c r="F5308" s="11"/>
      <c r="G5308" s="11"/>
      <c r="H5308" s="11"/>
      <c r="I5308" s="15"/>
    </row>
    <row r="5309" spans="1:9" ht="16.5">
      <c r="A5309" s="10" t="b">
        <v>0</v>
      </c>
      <c r="B5309" s="11" t="str">
        <f>IF(D5309&lt;&gt;"",IF(COUNTIF('USPTO TMs'!A:A,D5309)&gt;0,"Yes","No"),"")</f>
        <v/>
      </c>
      <c r="C5309" s="11"/>
      <c r="D5309" s="11"/>
      <c r="E5309" s="11"/>
      <c r="F5309" s="11"/>
      <c r="G5309" s="11"/>
      <c r="H5309" s="11"/>
      <c r="I5309" s="15"/>
    </row>
    <row r="5310" spans="1:9" ht="16.5">
      <c r="A5310" s="10" t="b">
        <v>0</v>
      </c>
      <c r="B5310" s="11" t="str">
        <f>IF(D5310&lt;&gt;"",IF(COUNTIF('USPTO TMs'!A:A,D5310)&gt;0,"Yes","No"),"")</f>
        <v/>
      </c>
      <c r="C5310" s="11"/>
      <c r="D5310" s="11"/>
      <c r="E5310" s="11"/>
      <c r="F5310" s="11"/>
      <c r="G5310" s="11"/>
      <c r="H5310" s="11"/>
      <c r="I5310" s="15"/>
    </row>
    <row r="5311" spans="1:9" ht="16.5">
      <c r="A5311" s="10" t="b">
        <v>0</v>
      </c>
      <c r="B5311" s="11" t="str">
        <f>IF(D5311&lt;&gt;"",IF(COUNTIF('USPTO TMs'!A:A,D5311)&gt;0,"Yes","No"),"")</f>
        <v/>
      </c>
      <c r="C5311" s="11"/>
      <c r="D5311" s="11"/>
      <c r="E5311" s="11"/>
      <c r="F5311" s="11"/>
      <c r="G5311" s="11"/>
      <c r="H5311" s="11"/>
      <c r="I5311" s="15"/>
    </row>
    <row r="5312" spans="1:9" ht="16.5">
      <c r="A5312" s="10" t="b">
        <v>0</v>
      </c>
      <c r="B5312" s="11" t="str">
        <f>IF(D5312&lt;&gt;"",IF(COUNTIF('USPTO TMs'!A:A,D5312)&gt;0,"Yes","No"),"")</f>
        <v/>
      </c>
      <c r="C5312" s="11"/>
      <c r="D5312" s="11"/>
      <c r="E5312" s="11"/>
      <c r="F5312" s="11"/>
      <c r="G5312" s="11"/>
      <c r="H5312" s="11"/>
      <c r="I5312" s="15"/>
    </row>
    <row r="5313" spans="1:9" ht="16.5">
      <c r="A5313" s="10" t="b">
        <v>0</v>
      </c>
      <c r="B5313" s="11" t="str">
        <f>IF(D5313&lt;&gt;"",IF(COUNTIF('USPTO TMs'!A:A,D5313)&gt;0,"Yes","No"),"")</f>
        <v/>
      </c>
      <c r="C5313" s="11"/>
      <c r="D5313" s="11"/>
      <c r="E5313" s="11"/>
      <c r="F5313" s="11"/>
      <c r="G5313" s="11"/>
      <c r="H5313" s="11"/>
      <c r="I5313" s="15"/>
    </row>
    <row r="5314" spans="1:9" ht="16.5">
      <c r="A5314" s="10" t="b">
        <v>0</v>
      </c>
      <c r="B5314" s="11" t="str">
        <f>IF(D5314&lt;&gt;"",IF(COUNTIF('USPTO TMs'!A:A,D5314)&gt;0,"Yes","No"),"")</f>
        <v/>
      </c>
      <c r="C5314" s="11"/>
      <c r="D5314" s="11"/>
      <c r="E5314" s="11"/>
      <c r="F5314" s="11"/>
      <c r="G5314" s="11"/>
      <c r="H5314" s="11"/>
      <c r="I5314" s="15"/>
    </row>
    <row r="5315" spans="1:9" ht="16.5">
      <c r="A5315" s="10" t="b">
        <v>0</v>
      </c>
      <c r="B5315" s="11" t="str">
        <f>IF(D5315&lt;&gt;"",IF(COUNTIF('USPTO TMs'!A:A,D5315)&gt;0,"Yes","No"),"")</f>
        <v/>
      </c>
      <c r="C5315" s="11"/>
      <c r="D5315" s="11"/>
      <c r="E5315" s="11"/>
      <c r="F5315" s="11"/>
      <c r="G5315" s="11"/>
      <c r="H5315" s="11"/>
      <c r="I5315" s="15"/>
    </row>
    <row r="5316" spans="1:9" ht="16.5">
      <c r="A5316" s="10" t="b">
        <v>0</v>
      </c>
      <c r="B5316" s="11" t="str">
        <f>IF(D5316&lt;&gt;"",IF(COUNTIF('USPTO TMs'!A:A,D5316)&gt;0,"Yes","No"),"")</f>
        <v/>
      </c>
      <c r="C5316" s="11"/>
      <c r="D5316" s="11"/>
      <c r="E5316" s="11"/>
      <c r="F5316" s="11"/>
      <c r="G5316" s="11"/>
      <c r="H5316" s="11"/>
      <c r="I5316" s="15"/>
    </row>
    <row r="5317" spans="1:9" ht="16.5">
      <c r="A5317" s="10" t="b">
        <v>0</v>
      </c>
      <c r="B5317" s="11" t="str">
        <f>IF(D5317&lt;&gt;"",IF(COUNTIF('USPTO TMs'!A:A,D5317)&gt;0,"Yes","No"),"")</f>
        <v/>
      </c>
      <c r="C5317" s="11"/>
      <c r="D5317" s="11"/>
      <c r="E5317" s="11"/>
      <c r="F5317" s="11"/>
      <c r="G5317" s="11"/>
      <c r="H5317" s="11"/>
      <c r="I5317" s="15"/>
    </row>
    <row r="5318" spans="1:9" ht="16.5">
      <c r="A5318" s="10" t="b">
        <v>0</v>
      </c>
      <c r="B5318" s="11" t="str">
        <f>IF(D5318&lt;&gt;"",IF(COUNTIF('USPTO TMs'!A:A,D5318)&gt;0,"Yes","No"),"")</f>
        <v/>
      </c>
      <c r="C5318" s="11"/>
      <c r="D5318" s="11"/>
      <c r="E5318" s="11"/>
      <c r="F5318" s="11"/>
      <c r="G5318" s="11"/>
      <c r="H5318" s="11"/>
      <c r="I5318" s="15"/>
    </row>
    <row r="5319" spans="1:9" ht="16.5">
      <c r="A5319" s="10" t="b">
        <v>0</v>
      </c>
      <c r="B5319" s="11" t="str">
        <f>IF(D5319&lt;&gt;"",IF(COUNTIF('USPTO TMs'!A:A,D5319)&gt;0,"Yes","No"),"")</f>
        <v/>
      </c>
      <c r="C5319" s="11"/>
      <c r="D5319" s="11"/>
      <c r="E5319" s="11"/>
      <c r="F5319" s="11"/>
      <c r="G5319" s="11"/>
      <c r="H5319" s="11"/>
      <c r="I5319" s="15"/>
    </row>
    <row r="5320" spans="1:9" ht="16.5">
      <c r="A5320" s="10" t="b">
        <v>0</v>
      </c>
      <c r="B5320" s="11" t="str">
        <f>IF(D5320&lt;&gt;"",IF(COUNTIF('USPTO TMs'!A:A,D5320)&gt;0,"Yes","No"),"")</f>
        <v/>
      </c>
      <c r="C5320" s="11"/>
      <c r="D5320" s="11"/>
      <c r="E5320" s="11"/>
      <c r="F5320" s="11"/>
      <c r="G5320" s="11"/>
      <c r="H5320" s="11"/>
      <c r="I5320" s="15"/>
    </row>
    <row r="5321" spans="1:9" ht="16.5">
      <c r="A5321" s="10" t="b">
        <v>0</v>
      </c>
      <c r="B5321" s="11" t="str">
        <f>IF(D5321&lt;&gt;"",IF(COUNTIF('USPTO TMs'!A:A,D5321)&gt;0,"Yes","No"),"")</f>
        <v/>
      </c>
      <c r="C5321" s="11"/>
      <c r="D5321" s="11"/>
      <c r="E5321" s="11"/>
      <c r="F5321" s="11"/>
      <c r="G5321" s="11"/>
      <c r="H5321" s="11"/>
      <c r="I5321" s="15"/>
    </row>
    <row r="5322" spans="1:9" ht="16.5">
      <c r="A5322" s="10" t="b">
        <v>0</v>
      </c>
      <c r="B5322" s="11" t="str">
        <f>IF(D5322&lt;&gt;"",IF(COUNTIF('USPTO TMs'!A:A,D5322)&gt;0,"Yes","No"),"")</f>
        <v/>
      </c>
      <c r="C5322" s="11"/>
      <c r="D5322" s="11"/>
      <c r="E5322" s="11"/>
      <c r="F5322" s="11"/>
      <c r="G5322" s="11"/>
      <c r="H5322" s="11"/>
      <c r="I5322" s="15"/>
    </row>
    <row r="5323" spans="1:9" ht="16.5">
      <c r="A5323" s="10" t="b">
        <v>0</v>
      </c>
      <c r="B5323" s="11" t="str">
        <f>IF(D5323&lt;&gt;"",IF(COUNTIF('USPTO TMs'!A:A,D5323)&gt;0,"Yes","No"),"")</f>
        <v/>
      </c>
      <c r="C5323" s="11"/>
      <c r="D5323" s="11"/>
      <c r="E5323" s="11"/>
      <c r="F5323" s="11"/>
      <c r="G5323" s="11"/>
      <c r="H5323" s="11"/>
      <c r="I5323" s="15"/>
    </row>
    <row r="5324" spans="1:9" ht="16.5">
      <c r="A5324" s="10" t="b">
        <v>0</v>
      </c>
      <c r="B5324" s="11" t="str">
        <f>IF(D5324&lt;&gt;"",IF(COUNTIF('USPTO TMs'!A:A,D5324)&gt;0,"Yes","No"),"")</f>
        <v/>
      </c>
      <c r="C5324" s="11"/>
      <c r="D5324" s="11"/>
      <c r="E5324" s="11"/>
      <c r="F5324" s="11"/>
      <c r="G5324" s="11"/>
      <c r="H5324" s="11"/>
      <c r="I5324" s="15"/>
    </row>
    <row r="5325" spans="1:9" ht="16.5">
      <c r="A5325" s="10" t="b">
        <v>0</v>
      </c>
      <c r="B5325" s="11" t="str">
        <f>IF(D5325&lt;&gt;"",IF(COUNTIF('USPTO TMs'!A:A,D5325)&gt;0,"Yes","No"),"")</f>
        <v/>
      </c>
      <c r="C5325" s="11"/>
      <c r="D5325" s="11"/>
      <c r="E5325" s="11"/>
      <c r="F5325" s="11"/>
      <c r="G5325" s="11"/>
      <c r="H5325" s="11"/>
      <c r="I5325" s="15"/>
    </row>
    <row r="5326" spans="1:9" ht="16.5">
      <c r="A5326" s="10" t="b">
        <v>0</v>
      </c>
      <c r="B5326" s="11" t="str">
        <f>IF(D5326&lt;&gt;"",IF(COUNTIF('USPTO TMs'!A:A,D5326)&gt;0,"Yes","No"),"")</f>
        <v/>
      </c>
      <c r="C5326" s="11"/>
      <c r="D5326" s="11"/>
      <c r="E5326" s="11"/>
      <c r="F5326" s="11"/>
      <c r="G5326" s="11"/>
      <c r="H5326" s="11"/>
      <c r="I5326" s="15"/>
    </row>
    <row r="5327" spans="1:9" ht="16.5">
      <c r="A5327" s="10" t="b">
        <v>0</v>
      </c>
      <c r="B5327" s="11" t="str">
        <f>IF(D5327&lt;&gt;"",IF(COUNTIF('USPTO TMs'!A:A,D5327)&gt;0,"Yes","No"),"")</f>
        <v/>
      </c>
      <c r="C5327" s="11"/>
      <c r="D5327" s="11"/>
      <c r="E5327" s="11"/>
      <c r="F5327" s="11"/>
      <c r="G5327" s="11"/>
      <c r="H5327" s="11"/>
      <c r="I5327" s="15"/>
    </row>
    <row r="5328" spans="1:9" ht="16.5">
      <c r="A5328" s="10" t="b">
        <v>0</v>
      </c>
      <c r="B5328" s="11" t="str">
        <f>IF(D5328&lt;&gt;"",IF(COUNTIF('USPTO TMs'!A:A,D5328)&gt;0,"Yes","No"),"")</f>
        <v/>
      </c>
      <c r="C5328" s="11"/>
      <c r="D5328" s="11"/>
      <c r="E5328" s="11"/>
      <c r="F5328" s="11"/>
      <c r="G5328" s="11"/>
      <c r="H5328" s="11"/>
      <c r="I5328" s="15"/>
    </row>
    <row r="5329" spans="1:9" ht="16.5">
      <c r="A5329" s="10" t="b">
        <v>0</v>
      </c>
      <c r="B5329" s="11" t="str">
        <f>IF(D5329&lt;&gt;"",IF(COUNTIF('USPTO TMs'!A:A,D5329)&gt;0,"Yes","No"),"")</f>
        <v/>
      </c>
      <c r="C5329" s="11"/>
      <c r="D5329" s="11"/>
      <c r="E5329" s="11"/>
      <c r="F5329" s="11"/>
      <c r="G5329" s="11"/>
      <c r="H5329" s="11"/>
      <c r="I5329" s="15"/>
    </row>
    <row r="5330" spans="1:9" ht="16.5">
      <c r="A5330" s="10" t="b">
        <v>0</v>
      </c>
      <c r="B5330" s="11" t="str">
        <f>IF(D5330&lt;&gt;"",IF(COUNTIF('USPTO TMs'!A:A,D5330)&gt;0,"Yes","No"),"")</f>
        <v/>
      </c>
      <c r="C5330" s="11"/>
      <c r="D5330" s="11"/>
      <c r="E5330" s="11"/>
      <c r="F5330" s="11"/>
      <c r="G5330" s="11"/>
      <c r="H5330" s="11"/>
      <c r="I5330" s="15"/>
    </row>
    <row r="5331" spans="1:9" ht="16.5">
      <c r="A5331" s="10" t="b">
        <v>0</v>
      </c>
      <c r="B5331" s="11" t="str">
        <f>IF(D5331&lt;&gt;"",IF(COUNTIF('USPTO TMs'!A:A,D5331)&gt;0,"Yes","No"),"")</f>
        <v/>
      </c>
      <c r="C5331" s="11"/>
      <c r="D5331" s="11"/>
      <c r="E5331" s="11"/>
      <c r="F5331" s="11"/>
      <c r="G5331" s="11"/>
      <c r="H5331" s="11"/>
      <c r="I5331" s="15"/>
    </row>
    <row r="5332" spans="1:9" ht="16.5">
      <c r="A5332" s="10" t="b">
        <v>0</v>
      </c>
      <c r="B5332" s="11" t="str">
        <f>IF(D5332&lt;&gt;"",IF(COUNTIF('USPTO TMs'!A:A,D5332)&gt;0,"Yes","No"),"")</f>
        <v/>
      </c>
      <c r="C5332" s="11"/>
      <c r="D5332" s="11"/>
      <c r="E5332" s="11"/>
      <c r="F5332" s="11"/>
      <c r="G5332" s="11"/>
      <c r="H5332" s="11"/>
      <c r="I5332" s="15"/>
    </row>
    <row r="5333" spans="1:9" ht="16.5">
      <c r="A5333" s="10" t="b">
        <v>0</v>
      </c>
      <c r="B5333" s="11" t="str">
        <f>IF(D5333&lt;&gt;"",IF(COUNTIF('USPTO TMs'!A:A,D5333)&gt;0,"Yes","No"),"")</f>
        <v/>
      </c>
      <c r="C5333" s="11"/>
      <c r="D5333" s="11"/>
      <c r="E5333" s="11"/>
      <c r="F5333" s="11"/>
      <c r="G5333" s="11"/>
      <c r="H5333" s="11"/>
      <c r="I5333" s="15"/>
    </row>
    <row r="5334" spans="1:9" ht="16.5">
      <c r="A5334" s="10" t="b">
        <v>0</v>
      </c>
      <c r="B5334" s="11" t="str">
        <f>IF(D5334&lt;&gt;"",IF(COUNTIF('USPTO TMs'!A:A,D5334)&gt;0,"Yes","No"),"")</f>
        <v/>
      </c>
      <c r="C5334" s="11"/>
      <c r="D5334" s="11"/>
      <c r="E5334" s="11"/>
      <c r="F5334" s="11"/>
      <c r="G5334" s="11"/>
      <c r="H5334" s="11"/>
      <c r="I5334" s="15"/>
    </row>
    <row r="5335" spans="1:9" ht="16.5">
      <c r="A5335" s="10" t="b">
        <v>0</v>
      </c>
      <c r="B5335" s="11" t="str">
        <f>IF(D5335&lt;&gt;"",IF(COUNTIF('USPTO TMs'!A:A,D5335)&gt;0,"Yes","No"),"")</f>
        <v/>
      </c>
      <c r="C5335" s="11"/>
      <c r="D5335" s="11"/>
      <c r="E5335" s="11"/>
      <c r="F5335" s="11"/>
      <c r="G5335" s="11"/>
      <c r="H5335" s="11"/>
      <c r="I5335" s="15"/>
    </row>
    <row r="5336" spans="1:9" ht="16.5">
      <c r="A5336" s="10" t="b">
        <v>0</v>
      </c>
      <c r="B5336" s="11" t="str">
        <f>IF(D5336&lt;&gt;"",IF(COUNTIF('USPTO TMs'!A:A,D5336)&gt;0,"Yes","No"),"")</f>
        <v/>
      </c>
      <c r="C5336" s="11"/>
      <c r="D5336" s="11"/>
      <c r="E5336" s="11"/>
      <c r="F5336" s="11"/>
      <c r="G5336" s="11"/>
      <c r="H5336" s="11"/>
      <c r="I5336" s="15"/>
    </row>
    <row r="5337" spans="1:9" ht="16.5">
      <c r="A5337" s="10" t="b">
        <v>0</v>
      </c>
      <c r="B5337" s="11" t="str">
        <f>IF(D5337&lt;&gt;"",IF(COUNTIF('USPTO TMs'!A:A,D5337)&gt;0,"Yes","No"),"")</f>
        <v/>
      </c>
      <c r="C5337" s="11"/>
      <c r="D5337" s="11"/>
      <c r="E5337" s="11"/>
      <c r="F5337" s="11"/>
      <c r="G5337" s="11"/>
      <c r="H5337" s="11"/>
      <c r="I5337" s="15"/>
    </row>
    <row r="5338" spans="1:9" ht="16.5">
      <c r="A5338" s="10" t="b">
        <v>0</v>
      </c>
      <c r="B5338" s="11" t="str">
        <f>IF(D5338&lt;&gt;"",IF(COUNTIF('USPTO TMs'!A:A,D5338)&gt;0,"Yes","No"),"")</f>
        <v/>
      </c>
      <c r="C5338" s="11"/>
      <c r="D5338" s="11"/>
      <c r="E5338" s="11"/>
      <c r="F5338" s="11"/>
      <c r="G5338" s="11"/>
      <c r="H5338" s="11"/>
      <c r="I5338" s="15"/>
    </row>
    <row r="5339" spans="1:9" ht="16.5">
      <c r="A5339" s="10" t="b">
        <v>0</v>
      </c>
      <c r="B5339" s="11" t="str">
        <f>IF(D5339&lt;&gt;"",IF(COUNTIF('USPTO TMs'!A:A,D5339)&gt;0,"Yes","No"),"")</f>
        <v/>
      </c>
      <c r="C5339" s="11"/>
      <c r="D5339" s="11"/>
      <c r="E5339" s="11"/>
      <c r="F5339" s="11"/>
      <c r="G5339" s="11"/>
      <c r="H5339" s="11"/>
      <c r="I5339" s="15"/>
    </row>
    <row r="5340" spans="1:9" ht="16.5">
      <c r="A5340" s="10" t="b">
        <v>0</v>
      </c>
      <c r="B5340" s="11" t="str">
        <f>IF(D5340&lt;&gt;"",IF(COUNTIF('USPTO TMs'!A:A,D5340)&gt;0,"Yes","No"),"")</f>
        <v/>
      </c>
      <c r="C5340" s="11"/>
      <c r="D5340" s="11"/>
      <c r="E5340" s="11"/>
      <c r="F5340" s="11"/>
      <c r="G5340" s="11"/>
      <c r="H5340" s="11"/>
      <c r="I5340" s="15"/>
    </row>
    <row r="5341" spans="1:9" ht="16.5">
      <c r="A5341" s="10" t="b">
        <v>0</v>
      </c>
      <c r="B5341" s="11" t="str">
        <f>IF(D5341&lt;&gt;"",IF(COUNTIF('USPTO TMs'!A:A,D5341)&gt;0,"Yes","No"),"")</f>
        <v/>
      </c>
      <c r="C5341" s="11"/>
      <c r="D5341" s="11"/>
      <c r="E5341" s="11"/>
      <c r="F5341" s="11"/>
      <c r="G5341" s="11"/>
      <c r="H5341" s="11"/>
      <c r="I5341" s="15"/>
    </row>
    <row r="5342" spans="1:9" ht="16.5">
      <c r="A5342" s="10" t="b">
        <v>0</v>
      </c>
      <c r="B5342" s="11" t="str">
        <f>IF(D5342&lt;&gt;"",IF(COUNTIF('USPTO TMs'!A:A,D5342)&gt;0,"Yes","No"),"")</f>
        <v/>
      </c>
      <c r="C5342" s="11"/>
      <c r="D5342" s="11"/>
      <c r="E5342" s="11"/>
      <c r="F5342" s="11"/>
      <c r="G5342" s="11"/>
      <c r="H5342" s="11"/>
      <c r="I5342" s="15"/>
    </row>
    <row r="5343" spans="1:9" ht="16.5">
      <c r="A5343" s="10" t="b">
        <v>0</v>
      </c>
      <c r="B5343" s="11" t="str">
        <f>IF(D5343&lt;&gt;"",IF(COUNTIF('USPTO TMs'!A:A,D5343)&gt;0,"Yes","No"),"")</f>
        <v/>
      </c>
      <c r="C5343" s="11"/>
      <c r="D5343" s="11"/>
      <c r="E5343" s="11"/>
      <c r="F5343" s="11"/>
      <c r="G5343" s="11"/>
      <c r="H5343" s="11"/>
      <c r="I5343" s="15"/>
    </row>
    <row r="5344" spans="1:9" ht="16.5">
      <c r="A5344" s="10" t="b">
        <v>0</v>
      </c>
      <c r="B5344" s="11" t="str">
        <f>IF(D5344&lt;&gt;"",IF(COUNTIF('USPTO TMs'!A:A,D5344)&gt;0,"Yes","No"),"")</f>
        <v/>
      </c>
      <c r="C5344" s="11"/>
      <c r="D5344" s="11"/>
      <c r="E5344" s="11"/>
      <c r="F5344" s="11"/>
      <c r="G5344" s="11"/>
      <c r="H5344" s="11"/>
      <c r="I5344" s="15"/>
    </row>
    <row r="5345" spans="1:9" ht="16.5">
      <c r="A5345" s="10" t="b">
        <v>0</v>
      </c>
      <c r="B5345" s="11" t="str">
        <f>IF(D5345&lt;&gt;"",IF(COUNTIF('USPTO TMs'!A:A,D5345)&gt;0,"Yes","No"),"")</f>
        <v/>
      </c>
      <c r="C5345" s="11"/>
      <c r="D5345" s="11"/>
      <c r="E5345" s="11"/>
      <c r="F5345" s="11"/>
      <c r="G5345" s="11"/>
      <c r="H5345" s="11"/>
      <c r="I5345" s="15"/>
    </row>
    <row r="5346" spans="1:9" ht="16.5">
      <c r="A5346" s="10" t="b">
        <v>0</v>
      </c>
      <c r="B5346" s="11" t="str">
        <f>IF(D5346&lt;&gt;"",IF(COUNTIF('USPTO TMs'!A:A,D5346)&gt;0,"Yes","No"),"")</f>
        <v/>
      </c>
      <c r="C5346" s="11"/>
      <c r="D5346" s="11"/>
      <c r="E5346" s="11"/>
      <c r="F5346" s="11"/>
      <c r="G5346" s="11"/>
      <c r="H5346" s="11"/>
      <c r="I5346" s="15"/>
    </row>
    <row r="5347" spans="1:9" ht="16.5">
      <c r="A5347" s="10" t="b">
        <v>0</v>
      </c>
      <c r="B5347" s="11" t="str">
        <f>IF(D5347&lt;&gt;"",IF(COUNTIF('USPTO TMs'!A:A,D5347)&gt;0,"Yes","No"),"")</f>
        <v/>
      </c>
      <c r="C5347" s="11"/>
      <c r="D5347" s="11"/>
      <c r="E5347" s="11"/>
      <c r="F5347" s="11"/>
      <c r="G5347" s="11"/>
      <c r="H5347" s="11"/>
      <c r="I5347" s="15"/>
    </row>
    <row r="5348" spans="1:9" ht="16.5">
      <c r="A5348" s="10" t="b">
        <v>0</v>
      </c>
      <c r="B5348" s="11" t="str">
        <f>IF(D5348&lt;&gt;"",IF(COUNTIF('USPTO TMs'!A:A,D5348)&gt;0,"Yes","No"),"")</f>
        <v/>
      </c>
      <c r="C5348" s="11"/>
      <c r="D5348" s="11"/>
      <c r="E5348" s="11"/>
      <c r="F5348" s="11"/>
      <c r="G5348" s="11"/>
      <c r="H5348" s="11"/>
      <c r="I5348" s="15"/>
    </row>
    <row r="5349" spans="1:9" ht="16.5">
      <c r="A5349" s="10" t="b">
        <v>0</v>
      </c>
      <c r="B5349" s="11" t="str">
        <f>IF(D5349&lt;&gt;"",IF(COUNTIF('USPTO TMs'!A:A,D5349)&gt;0,"Yes","No"),"")</f>
        <v/>
      </c>
      <c r="C5349" s="11"/>
      <c r="D5349" s="11"/>
      <c r="E5349" s="11"/>
      <c r="F5349" s="11"/>
      <c r="G5349" s="11"/>
      <c r="H5349" s="11"/>
      <c r="I5349" s="15"/>
    </row>
    <row r="5350" spans="1:9" ht="16.5">
      <c r="A5350" s="10" t="b">
        <v>0</v>
      </c>
      <c r="B5350" s="11" t="str">
        <f>IF(D5350&lt;&gt;"",IF(COUNTIF('USPTO TMs'!A:A,D5350)&gt;0,"Yes","No"),"")</f>
        <v/>
      </c>
      <c r="C5350" s="11"/>
      <c r="D5350" s="11"/>
      <c r="E5350" s="11"/>
      <c r="F5350" s="11"/>
      <c r="G5350" s="11"/>
      <c r="H5350" s="11"/>
      <c r="I5350" s="15"/>
    </row>
    <row r="5351" spans="1:9" ht="16.5">
      <c r="A5351" s="10" t="b">
        <v>0</v>
      </c>
      <c r="B5351" s="11" t="str">
        <f>IF(D5351&lt;&gt;"",IF(COUNTIF('USPTO TMs'!A:A,D5351)&gt;0,"Yes","No"),"")</f>
        <v/>
      </c>
      <c r="C5351" s="11"/>
      <c r="D5351" s="11"/>
      <c r="E5351" s="11"/>
      <c r="F5351" s="11"/>
      <c r="G5351" s="11"/>
      <c r="H5351" s="11"/>
      <c r="I5351" s="15"/>
    </row>
    <row r="5352" spans="1:9" ht="16.5">
      <c r="A5352" s="10" t="b">
        <v>0</v>
      </c>
      <c r="B5352" s="11" t="str">
        <f>IF(D5352&lt;&gt;"",IF(COUNTIF('USPTO TMs'!A:A,D5352)&gt;0,"Yes","No"),"")</f>
        <v/>
      </c>
      <c r="C5352" s="11"/>
      <c r="D5352" s="11"/>
      <c r="E5352" s="11"/>
      <c r="F5352" s="11"/>
      <c r="G5352" s="11"/>
      <c r="H5352" s="11"/>
      <c r="I5352" s="15"/>
    </row>
    <row r="5353" spans="1:9" ht="16.5">
      <c r="A5353" s="10" t="b">
        <v>0</v>
      </c>
      <c r="B5353" s="11" t="str">
        <f>IF(D5353&lt;&gt;"",IF(COUNTIF('USPTO TMs'!A:A,D5353)&gt;0,"Yes","No"),"")</f>
        <v/>
      </c>
      <c r="C5353" s="11"/>
      <c r="D5353" s="11"/>
      <c r="E5353" s="11"/>
      <c r="F5353" s="11"/>
      <c r="G5353" s="11"/>
      <c r="H5353" s="11"/>
      <c r="I5353" s="15"/>
    </row>
    <row r="5354" spans="1:9" ht="16.5">
      <c r="A5354" s="10" t="b">
        <v>0</v>
      </c>
      <c r="B5354" s="11" t="str">
        <f>IF(D5354&lt;&gt;"",IF(COUNTIF('USPTO TMs'!A:A,D5354)&gt;0,"Yes","No"),"")</f>
        <v/>
      </c>
      <c r="C5354" s="11"/>
      <c r="D5354" s="11"/>
      <c r="E5354" s="11"/>
      <c r="F5354" s="11"/>
      <c r="G5354" s="11"/>
      <c r="H5354" s="11"/>
      <c r="I5354" s="15"/>
    </row>
    <row r="5355" spans="1:9" ht="16.5">
      <c r="A5355" s="10" t="b">
        <v>0</v>
      </c>
      <c r="B5355" s="11" t="str">
        <f>IF(D5355&lt;&gt;"",IF(COUNTIF('USPTO TMs'!A:A,D5355)&gt;0,"Yes","No"),"")</f>
        <v/>
      </c>
      <c r="C5355" s="11"/>
      <c r="D5355" s="11"/>
      <c r="E5355" s="11"/>
      <c r="F5355" s="11"/>
      <c r="G5355" s="11"/>
      <c r="H5355" s="11"/>
      <c r="I5355" s="15"/>
    </row>
    <row r="5356" spans="1:9" ht="16.5">
      <c r="A5356" s="10" t="b">
        <v>0</v>
      </c>
      <c r="B5356" s="11" t="str">
        <f>IF(D5356&lt;&gt;"",IF(COUNTIF('USPTO TMs'!A:A,D5356)&gt;0,"Yes","No"),"")</f>
        <v/>
      </c>
      <c r="C5356" s="11"/>
      <c r="D5356" s="11"/>
      <c r="E5356" s="11"/>
      <c r="F5356" s="11"/>
      <c r="G5356" s="11"/>
      <c r="H5356" s="11"/>
      <c r="I5356" s="15"/>
    </row>
    <row r="5357" spans="1:9" ht="16.5">
      <c r="A5357" s="10" t="b">
        <v>0</v>
      </c>
      <c r="B5357" s="11" t="str">
        <f>IF(D5357&lt;&gt;"",IF(COUNTIF('USPTO TMs'!A:A,D5357)&gt;0,"Yes","No"),"")</f>
        <v/>
      </c>
      <c r="C5357" s="11"/>
      <c r="D5357" s="11"/>
      <c r="E5357" s="11"/>
      <c r="F5357" s="11"/>
      <c r="G5357" s="11"/>
      <c r="H5357" s="11"/>
      <c r="I5357" s="15"/>
    </row>
    <row r="5358" spans="1:9" ht="16.5">
      <c r="A5358" s="10" t="b">
        <v>0</v>
      </c>
      <c r="B5358" s="11" t="str">
        <f>IF(D5358&lt;&gt;"",IF(COUNTIF('USPTO TMs'!A:A,D5358)&gt;0,"Yes","No"),"")</f>
        <v/>
      </c>
      <c r="C5358" s="11"/>
      <c r="D5358" s="11"/>
      <c r="E5358" s="11"/>
      <c r="F5358" s="11"/>
      <c r="G5358" s="11"/>
      <c r="H5358" s="11"/>
      <c r="I5358" s="15"/>
    </row>
    <row r="5359" spans="1:9" ht="16.5">
      <c r="A5359" s="10" t="b">
        <v>0</v>
      </c>
      <c r="B5359" s="11" t="str">
        <f>IF(D5359&lt;&gt;"",IF(COUNTIF('USPTO TMs'!A:A,D5359)&gt;0,"Yes","No"),"")</f>
        <v/>
      </c>
      <c r="C5359" s="11"/>
      <c r="D5359" s="11"/>
      <c r="E5359" s="11"/>
      <c r="F5359" s="11"/>
      <c r="G5359" s="11"/>
      <c r="H5359" s="11"/>
      <c r="I5359" s="15"/>
    </row>
    <row r="5360" spans="1:9" ht="16.5">
      <c r="A5360" s="10" t="b">
        <v>0</v>
      </c>
      <c r="B5360" s="11" t="str">
        <f>IF(D5360&lt;&gt;"",IF(COUNTIF('USPTO TMs'!A:A,D5360)&gt;0,"Yes","No"),"")</f>
        <v/>
      </c>
      <c r="C5360" s="11"/>
      <c r="D5360" s="11"/>
      <c r="E5360" s="11"/>
      <c r="F5360" s="11"/>
      <c r="G5360" s="11"/>
      <c r="H5360" s="11"/>
      <c r="I5360" s="15"/>
    </row>
    <row r="5361" spans="1:9" ht="16.5">
      <c r="A5361" s="10" t="b">
        <v>0</v>
      </c>
      <c r="B5361" s="11" t="str">
        <f>IF(D5361&lt;&gt;"",IF(COUNTIF('USPTO TMs'!A:A,D5361)&gt;0,"Yes","No"),"")</f>
        <v/>
      </c>
      <c r="C5361" s="11"/>
      <c r="D5361" s="11"/>
      <c r="E5361" s="11"/>
      <c r="F5361" s="11"/>
      <c r="G5361" s="11"/>
      <c r="H5361" s="11"/>
      <c r="I5361" s="15"/>
    </row>
    <row r="5362" spans="1:9" ht="16.5">
      <c r="A5362" s="10" t="b">
        <v>0</v>
      </c>
      <c r="B5362" s="11" t="str">
        <f>IF(D5362&lt;&gt;"",IF(COUNTIF('USPTO TMs'!A:A,D5362)&gt;0,"Yes","No"),"")</f>
        <v/>
      </c>
      <c r="C5362" s="11"/>
      <c r="D5362" s="11"/>
      <c r="E5362" s="11"/>
      <c r="F5362" s="11"/>
      <c r="G5362" s="11"/>
      <c r="H5362" s="11"/>
      <c r="I5362" s="15"/>
    </row>
    <row r="5363" spans="1:9" ht="16.5">
      <c r="A5363" s="10" t="b">
        <v>0</v>
      </c>
      <c r="B5363" s="11" t="str">
        <f>IF(D5363&lt;&gt;"",IF(COUNTIF('USPTO TMs'!A:A,D5363)&gt;0,"Yes","No"),"")</f>
        <v/>
      </c>
      <c r="C5363" s="11"/>
      <c r="D5363" s="11"/>
      <c r="E5363" s="11"/>
      <c r="F5363" s="11"/>
      <c r="G5363" s="11"/>
      <c r="H5363" s="11"/>
      <c r="I5363" s="15"/>
    </row>
    <row r="5364" spans="1:9" ht="16.5">
      <c r="A5364" s="10" t="b">
        <v>0</v>
      </c>
      <c r="B5364" s="11" t="str">
        <f>IF(D5364&lt;&gt;"",IF(COUNTIF('USPTO TMs'!A:A,D5364)&gt;0,"Yes","No"),"")</f>
        <v/>
      </c>
      <c r="C5364" s="11"/>
      <c r="D5364" s="11"/>
      <c r="E5364" s="11"/>
      <c r="F5364" s="11"/>
      <c r="G5364" s="11"/>
      <c r="H5364" s="11"/>
      <c r="I5364" s="15"/>
    </row>
    <row r="5365" spans="1:9" ht="16.5">
      <c r="A5365" s="10" t="b">
        <v>0</v>
      </c>
      <c r="B5365" s="11" t="str">
        <f>IF(D5365&lt;&gt;"",IF(COUNTIF('USPTO TMs'!A:A,D5365)&gt;0,"Yes","No"),"")</f>
        <v/>
      </c>
      <c r="C5365" s="11"/>
      <c r="D5365" s="11"/>
      <c r="E5365" s="11"/>
      <c r="F5365" s="11"/>
      <c r="G5365" s="11"/>
      <c r="H5365" s="11"/>
      <c r="I5365" s="15"/>
    </row>
    <row r="5366" spans="1:9" ht="16.5">
      <c r="A5366" s="10" t="b">
        <v>0</v>
      </c>
      <c r="B5366" s="11" t="str">
        <f>IF(D5366&lt;&gt;"",IF(COUNTIF('USPTO TMs'!A:A,D5366)&gt;0,"Yes","No"),"")</f>
        <v/>
      </c>
      <c r="C5366" s="11"/>
      <c r="D5366" s="11"/>
      <c r="E5366" s="11"/>
      <c r="F5366" s="11"/>
      <c r="G5366" s="11"/>
      <c r="H5366" s="11"/>
      <c r="I5366" s="15"/>
    </row>
    <row r="5367" spans="1:9" ht="16.5">
      <c r="A5367" s="10" t="b">
        <v>0</v>
      </c>
      <c r="B5367" s="11" t="str">
        <f>IF(D5367&lt;&gt;"",IF(COUNTIF('USPTO TMs'!A:A,D5367)&gt;0,"Yes","No"),"")</f>
        <v/>
      </c>
      <c r="C5367" s="11"/>
      <c r="D5367" s="11"/>
      <c r="E5367" s="11"/>
      <c r="F5367" s="11"/>
      <c r="G5367" s="11"/>
      <c r="H5367" s="11"/>
      <c r="I5367" s="15"/>
    </row>
    <row r="5368" spans="1:9" ht="16.5">
      <c r="A5368" s="10" t="b">
        <v>0</v>
      </c>
      <c r="B5368" s="11" t="str">
        <f>IF(D5368&lt;&gt;"",IF(COUNTIF('USPTO TMs'!A:A,D5368)&gt;0,"Yes","No"),"")</f>
        <v/>
      </c>
      <c r="C5368" s="11"/>
      <c r="D5368" s="11"/>
      <c r="E5368" s="11"/>
      <c r="F5368" s="11"/>
      <c r="G5368" s="11"/>
      <c r="H5368" s="11"/>
      <c r="I5368" s="15"/>
    </row>
    <row r="5369" spans="1:9" ht="16.5">
      <c r="A5369" s="10" t="b">
        <v>0</v>
      </c>
      <c r="B5369" s="11" t="str">
        <f>IF(D5369&lt;&gt;"",IF(COUNTIF('USPTO TMs'!A:A,D5369)&gt;0,"Yes","No"),"")</f>
        <v/>
      </c>
      <c r="C5369" s="11"/>
      <c r="D5369" s="11"/>
      <c r="E5369" s="11"/>
      <c r="F5369" s="11"/>
      <c r="G5369" s="11"/>
      <c r="H5369" s="11"/>
      <c r="I5369" s="15"/>
    </row>
    <row r="5370" spans="1:9" ht="16.5">
      <c r="A5370" s="10" t="b">
        <v>0</v>
      </c>
      <c r="B5370" s="11" t="str">
        <f>IF(D5370&lt;&gt;"",IF(COUNTIF('USPTO TMs'!A:A,D5370)&gt;0,"Yes","No"),"")</f>
        <v/>
      </c>
      <c r="C5370" s="11"/>
      <c r="D5370" s="11"/>
      <c r="E5370" s="11"/>
      <c r="F5370" s="11"/>
      <c r="G5370" s="11"/>
      <c r="H5370" s="11"/>
      <c r="I5370" s="15"/>
    </row>
    <row r="5371" spans="1:9" ht="16.5">
      <c r="A5371" s="10" t="b">
        <v>0</v>
      </c>
      <c r="B5371" s="11" t="str">
        <f>IF(D5371&lt;&gt;"",IF(COUNTIF('USPTO TMs'!A:A,D5371)&gt;0,"Yes","No"),"")</f>
        <v/>
      </c>
      <c r="C5371" s="11"/>
      <c r="D5371" s="11"/>
      <c r="E5371" s="11"/>
      <c r="F5371" s="11"/>
      <c r="G5371" s="11"/>
      <c r="H5371" s="11"/>
      <c r="I5371" s="15"/>
    </row>
    <row r="5372" spans="1:9" ht="16.5">
      <c r="A5372" s="10" t="b">
        <v>0</v>
      </c>
      <c r="B5372" s="11" t="str">
        <f>IF(D5372&lt;&gt;"",IF(COUNTIF('USPTO TMs'!A:A,D5372)&gt;0,"Yes","No"),"")</f>
        <v/>
      </c>
      <c r="C5372" s="11"/>
      <c r="D5372" s="11"/>
      <c r="E5372" s="11"/>
      <c r="F5372" s="11"/>
      <c r="G5372" s="11"/>
      <c r="H5372" s="11"/>
      <c r="I5372" s="15"/>
    </row>
    <row r="5373" spans="1:9" ht="16.5">
      <c r="A5373" s="10" t="b">
        <v>0</v>
      </c>
      <c r="B5373" s="11" t="str">
        <f>IF(D5373&lt;&gt;"",IF(COUNTIF('USPTO TMs'!A:A,D5373)&gt;0,"Yes","No"),"")</f>
        <v/>
      </c>
      <c r="C5373" s="11"/>
      <c r="D5373" s="11"/>
      <c r="E5373" s="11"/>
      <c r="F5373" s="11"/>
      <c r="G5373" s="11"/>
      <c r="H5373" s="11"/>
      <c r="I5373" s="15"/>
    </row>
    <row r="5374" spans="1:9" ht="16.5">
      <c r="A5374" s="10" t="b">
        <v>0</v>
      </c>
      <c r="B5374" s="11" t="str">
        <f>IF(D5374&lt;&gt;"",IF(COUNTIF('USPTO TMs'!A:A,D5374)&gt;0,"Yes","No"),"")</f>
        <v/>
      </c>
      <c r="C5374" s="11"/>
      <c r="D5374" s="11"/>
      <c r="E5374" s="11"/>
      <c r="F5374" s="11"/>
      <c r="G5374" s="11"/>
      <c r="H5374" s="11"/>
      <c r="I5374" s="15"/>
    </row>
    <row r="5375" spans="1:9" ht="16.5">
      <c r="A5375" s="10" t="b">
        <v>0</v>
      </c>
      <c r="B5375" s="11" t="str">
        <f>IF(D5375&lt;&gt;"",IF(COUNTIF('USPTO TMs'!A:A,D5375)&gt;0,"Yes","No"),"")</f>
        <v/>
      </c>
      <c r="C5375" s="11"/>
      <c r="D5375" s="11"/>
      <c r="E5375" s="11"/>
      <c r="F5375" s="11"/>
      <c r="G5375" s="11"/>
      <c r="H5375" s="11"/>
      <c r="I5375" s="15"/>
    </row>
    <row r="5376" spans="1:9" ht="16.5">
      <c r="A5376" s="10" t="b">
        <v>0</v>
      </c>
      <c r="B5376" s="11" t="str">
        <f>IF(D5376&lt;&gt;"",IF(COUNTIF('USPTO TMs'!A:A,D5376)&gt;0,"Yes","No"),"")</f>
        <v/>
      </c>
      <c r="C5376" s="11"/>
      <c r="D5376" s="11"/>
      <c r="E5376" s="11"/>
      <c r="F5376" s="11"/>
      <c r="G5376" s="11"/>
      <c r="H5376" s="11"/>
      <c r="I5376" s="15"/>
    </row>
    <row r="5377" spans="1:9" ht="16.5">
      <c r="A5377" s="10" t="b">
        <v>0</v>
      </c>
      <c r="B5377" s="11" t="str">
        <f>IF(D5377&lt;&gt;"",IF(COUNTIF('USPTO TMs'!A:A,D5377)&gt;0,"Yes","No"),"")</f>
        <v/>
      </c>
      <c r="C5377" s="11"/>
      <c r="D5377" s="11"/>
      <c r="E5377" s="11"/>
      <c r="F5377" s="11"/>
      <c r="G5377" s="11"/>
      <c r="H5377" s="11"/>
      <c r="I5377" s="15"/>
    </row>
    <row r="5378" spans="1:9" ht="16.5">
      <c r="A5378" s="10" t="b">
        <v>0</v>
      </c>
      <c r="B5378" s="11" t="str">
        <f>IF(D5378&lt;&gt;"",IF(COUNTIF('USPTO TMs'!A:A,D5378)&gt;0,"Yes","No"),"")</f>
        <v/>
      </c>
      <c r="C5378" s="11"/>
      <c r="D5378" s="11"/>
      <c r="E5378" s="11"/>
      <c r="F5378" s="11"/>
      <c r="G5378" s="11"/>
      <c r="H5378" s="11"/>
      <c r="I5378" s="15"/>
    </row>
    <row r="5379" spans="1:9" ht="16.5">
      <c r="A5379" s="10" t="b">
        <v>0</v>
      </c>
      <c r="B5379" s="11" t="str">
        <f>IF(D5379&lt;&gt;"",IF(COUNTIF('USPTO TMs'!A:A,D5379)&gt;0,"Yes","No"),"")</f>
        <v/>
      </c>
      <c r="C5379" s="11"/>
      <c r="D5379" s="11"/>
      <c r="E5379" s="11"/>
      <c r="F5379" s="11"/>
      <c r="G5379" s="11"/>
      <c r="H5379" s="11"/>
      <c r="I5379" s="15"/>
    </row>
    <row r="5380" spans="1:9" ht="16.5">
      <c r="A5380" s="10" t="b">
        <v>0</v>
      </c>
      <c r="B5380" s="11" t="str">
        <f>IF(D5380&lt;&gt;"",IF(COUNTIF('USPTO TMs'!A:A,D5380)&gt;0,"Yes","No"),"")</f>
        <v/>
      </c>
      <c r="C5380" s="11"/>
      <c r="D5380" s="11"/>
      <c r="E5380" s="11"/>
      <c r="F5380" s="11"/>
      <c r="G5380" s="11"/>
      <c r="H5380" s="11"/>
      <c r="I5380" s="15"/>
    </row>
    <row r="5381" spans="1:9" ht="16.5">
      <c r="A5381" s="10" t="b">
        <v>0</v>
      </c>
      <c r="B5381" s="11" t="str">
        <f>IF(D5381&lt;&gt;"",IF(COUNTIF('USPTO TMs'!A:A,D5381)&gt;0,"Yes","No"),"")</f>
        <v/>
      </c>
      <c r="C5381" s="11"/>
      <c r="D5381" s="11"/>
      <c r="E5381" s="11"/>
      <c r="F5381" s="11"/>
      <c r="G5381" s="11"/>
      <c r="H5381" s="11"/>
      <c r="I5381" s="15"/>
    </row>
    <row r="5382" spans="1:9" ht="16.5">
      <c r="A5382" s="10" t="b">
        <v>0</v>
      </c>
      <c r="B5382" s="11" t="str">
        <f>IF(D5382&lt;&gt;"",IF(COUNTIF('USPTO TMs'!A:A,D5382)&gt;0,"Yes","No"),"")</f>
        <v/>
      </c>
      <c r="C5382" s="11"/>
      <c r="D5382" s="11"/>
      <c r="E5382" s="11"/>
      <c r="F5382" s="11"/>
      <c r="G5382" s="11"/>
      <c r="H5382" s="11"/>
      <c r="I5382" s="15"/>
    </row>
    <row r="5383" spans="1:9" ht="16.5">
      <c r="A5383" s="10" t="b">
        <v>0</v>
      </c>
      <c r="B5383" s="11" t="str">
        <f>IF(D5383&lt;&gt;"",IF(COUNTIF('USPTO TMs'!A:A,D5383)&gt;0,"Yes","No"),"")</f>
        <v/>
      </c>
      <c r="C5383" s="11"/>
      <c r="D5383" s="11"/>
      <c r="E5383" s="11"/>
      <c r="F5383" s="11"/>
      <c r="G5383" s="11"/>
      <c r="H5383" s="11"/>
      <c r="I5383" s="15"/>
    </row>
    <row r="5384" spans="1:9" ht="16.5">
      <c r="A5384" s="10" t="b">
        <v>0</v>
      </c>
      <c r="B5384" s="11" t="str">
        <f>IF(D5384&lt;&gt;"",IF(COUNTIF('USPTO TMs'!A:A,D5384)&gt;0,"Yes","No"),"")</f>
        <v/>
      </c>
      <c r="C5384" s="11"/>
      <c r="D5384" s="11"/>
      <c r="E5384" s="11"/>
      <c r="F5384" s="11"/>
      <c r="G5384" s="11"/>
      <c r="H5384" s="11"/>
      <c r="I5384" s="15"/>
    </row>
    <row r="5385" spans="1:9" ht="16.5">
      <c r="A5385" s="10" t="b">
        <v>0</v>
      </c>
      <c r="B5385" s="11" t="str">
        <f>IF(D5385&lt;&gt;"",IF(COUNTIF('USPTO TMs'!A:A,D5385)&gt;0,"Yes","No"),"")</f>
        <v/>
      </c>
      <c r="C5385" s="11"/>
      <c r="D5385" s="11"/>
      <c r="E5385" s="11"/>
      <c r="F5385" s="11"/>
      <c r="G5385" s="11"/>
      <c r="H5385" s="11"/>
      <c r="I5385" s="15"/>
    </row>
    <row r="5386" spans="1:9" ht="16.5">
      <c r="A5386" s="10" t="b">
        <v>0</v>
      </c>
      <c r="B5386" s="11" t="str">
        <f>IF(D5386&lt;&gt;"",IF(COUNTIF('USPTO TMs'!A:A,D5386)&gt;0,"Yes","No"),"")</f>
        <v/>
      </c>
      <c r="C5386" s="11"/>
      <c r="D5386" s="11"/>
      <c r="E5386" s="11"/>
      <c r="F5386" s="11"/>
      <c r="G5386" s="11"/>
      <c r="H5386" s="11"/>
      <c r="I5386" s="15"/>
    </row>
    <row r="5387" spans="1:9" ht="16.5">
      <c r="A5387" s="10" t="b">
        <v>0</v>
      </c>
      <c r="B5387" s="11" t="str">
        <f>IF(D5387&lt;&gt;"",IF(COUNTIF('USPTO TMs'!A:A,D5387)&gt;0,"Yes","No"),"")</f>
        <v/>
      </c>
      <c r="C5387" s="11"/>
      <c r="D5387" s="11"/>
      <c r="E5387" s="11"/>
      <c r="F5387" s="11"/>
      <c r="G5387" s="11"/>
      <c r="H5387" s="11"/>
      <c r="I5387" s="15"/>
    </row>
    <row r="5388" spans="1:9" ht="16.5">
      <c r="A5388" s="10" t="b">
        <v>0</v>
      </c>
      <c r="B5388" s="11" t="str">
        <f>IF(D5388&lt;&gt;"",IF(COUNTIF('USPTO TMs'!A:A,D5388)&gt;0,"Yes","No"),"")</f>
        <v/>
      </c>
      <c r="C5388" s="11"/>
      <c r="D5388" s="11"/>
      <c r="E5388" s="11"/>
      <c r="F5388" s="11"/>
      <c r="G5388" s="11"/>
      <c r="H5388" s="11"/>
      <c r="I5388" s="15"/>
    </row>
    <row r="5389" spans="1:9" ht="16.5">
      <c r="A5389" s="10" t="b">
        <v>0</v>
      </c>
      <c r="B5389" s="11" t="str">
        <f>IF(D5389&lt;&gt;"",IF(COUNTIF('USPTO TMs'!A:A,D5389)&gt;0,"Yes","No"),"")</f>
        <v/>
      </c>
      <c r="C5389" s="11"/>
      <c r="D5389" s="11"/>
      <c r="E5389" s="11"/>
      <c r="F5389" s="11"/>
      <c r="G5389" s="11"/>
      <c r="H5389" s="11"/>
      <c r="I5389" s="15"/>
    </row>
    <row r="5390" spans="1:9" ht="16.5">
      <c r="A5390" s="10" t="b">
        <v>0</v>
      </c>
      <c r="B5390" s="11" t="str">
        <f>IF(D5390&lt;&gt;"",IF(COUNTIF('USPTO TMs'!A:A,D5390)&gt;0,"Yes","No"),"")</f>
        <v/>
      </c>
      <c r="C5390" s="11"/>
      <c r="D5390" s="11"/>
      <c r="E5390" s="11"/>
      <c r="F5390" s="11"/>
      <c r="G5390" s="11"/>
      <c r="H5390" s="11"/>
      <c r="I5390" s="15"/>
    </row>
    <row r="5391" spans="1:9" ht="16.5">
      <c r="A5391" s="10" t="b">
        <v>0</v>
      </c>
      <c r="B5391" s="11" t="str">
        <f>IF(D5391&lt;&gt;"",IF(COUNTIF('USPTO TMs'!A:A,D5391)&gt;0,"Yes","No"),"")</f>
        <v/>
      </c>
      <c r="C5391" s="11"/>
      <c r="D5391" s="11"/>
      <c r="E5391" s="11"/>
      <c r="F5391" s="11"/>
      <c r="G5391" s="11"/>
      <c r="H5391" s="11"/>
      <c r="I5391" s="15"/>
    </row>
    <row r="5392" spans="1:9" ht="16.5">
      <c r="A5392" s="10" t="b">
        <v>0</v>
      </c>
      <c r="B5392" s="11" t="str">
        <f>IF(D5392&lt;&gt;"",IF(COUNTIF('USPTO TMs'!A:A,D5392)&gt;0,"Yes","No"),"")</f>
        <v/>
      </c>
      <c r="C5392" s="11"/>
      <c r="D5392" s="11"/>
      <c r="E5392" s="11"/>
      <c r="F5392" s="11"/>
      <c r="G5392" s="11"/>
      <c r="H5392" s="11"/>
      <c r="I5392" s="15"/>
    </row>
    <row r="5393" spans="1:9" ht="16.5">
      <c r="A5393" s="10" t="b">
        <v>0</v>
      </c>
      <c r="B5393" s="11" t="str">
        <f>IF(D5393&lt;&gt;"",IF(COUNTIF('USPTO TMs'!A:A,D5393)&gt;0,"Yes","No"),"")</f>
        <v/>
      </c>
      <c r="C5393" s="11"/>
      <c r="D5393" s="11"/>
      <c r="E5393" s="11"/>
      <c r="F5393" s="11"/>
      <c r="G5393" s="11"/>
      <c r="H5393" s="11"/>
      <c r="I5393" s="15"/>
    </row>
    <row r="5394" spans="1:9" ht="16.5">
      <c r="A5394" s="10" t="b">
        <v>0</v>
      </c>
      <c r="B5394" s="11" t="str">
        <f>IF(D5394&lt;&gt;"",IF(COUNTIF('USPTO TMs'!A:A,D5394)&gt;0,"Yes","No"),"")</f>
        <v/>
      </c>
      <c r="C5394" s="11"/>
      <c r="D5394" s="11"/>
      <c r="E5394" s="11"/>
      <c r="F5394" s="11"/>
      <c r="G5394" s="11"/>
      <c r="H5394" s="11"/>
      <c r="I5394" s="15"/>
    </row>
    <row r="5395" spans="1:9" ht="16.5">
      <c r="A5395" s="10" t="b">
        <v>0</v>
      </c>
      <c r="B5395" s="11" t="str">
        <f>IF(D5395&lt;&gt;"",IF(COUNTIF('USPTO TMs'!A:A,D5395)&gt;0,"Yes","No"),"")</f>
        <v/>
      </c>
      <c r="C5395" s="11"/>
      <c r="D5395" s="11"/>
      <c r="E5395" s="11"/>
      <c r="F5395" s="11"/>
      <c r="G5395" s="11"/>
      <c r="H5395" s="11"/>
      <c r="I5395" s="15"/>
    </row>
    <row r="5396" spans="1:9" ht="16.5">
      <c r="A5396" s="10" t="b">
        <v>0</v>
      </c>
      <c r="B5396" s="11" t="str">
        <f>IF(D5396&lt;&gt;"",IF(COUNTIF('USPTO TMs'!A:A,D5396)&gt;0,"Yes","No"),"")</f>
        <v/>
      </c>
      <c r="C5396" s="11"/>
      <c r="D5396" s="11"/>
      <c r="E5396" s="11"/>
      <c r="F5396" s="11"/>
      <c r="G5396" s="11"/>
      <c r="H5396" s="11"/>
      <c r="I5396" s="15"/>
    </row>
    <row r="5397" spans="1:9" ht="16.5">
      <c r="A5397" s="10" t="b">
        <v>0</v>
      </c>
      <c r="B5397" s="11" t="str">
        <f>IF(D5397&lt;&gt;"",IF(COUNTIF('USPTO TMs'!A:A,D5397)&gt;0,"Yes","No"),"")</f>
        <v/>
      </c>
      <c r="C5397" s="11"/>
      <c r="D5397" s="11"/>
      <c r="E5397" s="11"/>
      <c r="F5397" s="11"/>
      <c r="G5397" s="11"/>
      <c r="H5397" s="11"/>
      <c r="I5397" s="15"/>
    </row>
    <row r="5398" spans="1:9" ht="16.5">
      <c r="A5398" s="10" t="b">
        <v>0</v>
      </c>
      <c r="B5398" s="11" t="str">
        <f>IF(D5398&lt;&gt;"",IF(COUNTIF('USPTO TMs'!A:A,D5398)&gt;0,"Yes","No"),"")</f>
        <v/>
      </c>
      <c r="C5398" s="11"/>
      <c r="D5398" s="11"/>
      <c r="E5398" s="11"/>
      <c r="F5398" s="11"/>
      <c r="G5398" s="11"/>
      <c r="H5398" s="11"/>
      <c r="I5398" s="15"/>
    </row>
    <row r="5399" spans="1:9" ht="16.5">
      <c r="A5399" s="10" t="b">
        <v>0</v>
      </c>
      <c r="B5399" s="11" t="str">
        <f>IF(D5399&lt;&gt;"",IF(COUNTIF('USPTO TMs'!A:A,D5399)&gt;0,"Yes","No"),"")</f>
        <v/>
      </c>
      <c r="C5399" s="11"/>
      <c r="D5399" s="11"/>
      <c r="E5399" s="11"/>
      <c r="F5399" s="11"/>
      <c r="G5399" s="11"/>
      <c r="H5399" s="11"/>
      <c r="I5399" s="15"/>
    </row>
    <row r="5400" spans="1:9" ht="16.5">
      <c r="A5400" s="10" t="b">
        <v>0</v>
      </c>
      <c r="B5400" s="11" t="str">
        <f>IF(D5400&lt;&gt;"",IF(COUNTIF('USPTO TMs'!A:A,D5400)&gt;0,"Yes","No"),"")</f>
        <v/>
      </c>
      <c r="C5400" s="11"/>
      <c r="D5400" s="11"/>
      <c r="E5400" s="11"/>
      <c r="F5400" s="11"/>
      <c r="G5400" s="11"/>
      <c r="H5400" s="11"/>
      <c r="I5400" s="15"/>
    </row>
    <row r="5401" spans="1:9" ht="16.5">
      <c r="A5401" s="10" t="b">
        <v>0</v>
      </c>
      <c r="B5401" s="11" t="str">
        <f>IF(D5401&lt;&gt;"",IF(COUNTIF('USPTO TMs'!A:A,D5401)&gt;0,"Yes","No"),"")</f>
        <v/>
      </c>
      <c r="C5401" s="11"/>
      <c r="D5401" s="11"/>
      <c r="E5401" s="11"/>
      <c r="F5401" s="11"/>
      <c r="G5401" s="11"/>
      <c r="H5401" s="11"/>
      <c r="I5401" s="15"/>
    </row>
    <row r="5402" spans="1:9" ht="16.5">
      <c r="A5402" s="10" t="b">
        <v>0</v>
      </c>
      <c r="B5402" s="11" t="str">
        <f>IF(D5402&lt;&gt;"",IF(COUNTIF('USPTO TMs'!A:A,D5402)&gt;0,"Yes","No"),"")</f>
        <v/>
      </c>
      <c r="C5402" s="11"/>
      <c r="D5402" s="11"/>
      <c r="E5402" s="11"/>
      <c r="F5402" s="11"/>
      <c r="G5402" s="11"/>
      <c r="H5402" s="11"/>
      <c r="I5402" s="15"/>
    </row>
    <row r="5403" spans="1:9" ht="16.5">
      <c r="A5403" s="10" t="b">
        <v>0</v>
      </c>
      <c r="B5403" s="11" t="str">
        <f>IF(D5403&lt;&gt;"",IF(COUNTIF('USPTO TMs'!A:A,D5403)&gt;0,"Yes","No"),"")</f>
        <v/>
      </c>
      <c r="C5403" s="11"/>
      <c r="D5403" s="11"/>
      <c r="E5403" s="11"/>
      <c r="F5403" s="11"/>
      <c r="G5403" s="11"/>
      <c r="H5403" s="11"/>
      <c r="I5403" s="15"/>
    </row>
    <row r="5404" spans="1:9" ht="16.5">
      <c r="A5404" s="10" t="b">
        <v>0</v>
      </c>
      <c r="B5404" s="11" t="str">
        <f>IF(D5404&lt;&gt;"",IF(COUNTIF('USPTO TMs'!A:A,D5404)&gt;0,"Yes","No"),"")</f>
        <v/>
      </c>
      <c r="C5404" s="11"/>
      <c r="D5404" s="11"/>
      <c r="E5404" s="11"/>
      <c r="F5404" s="11"/>
      <c r="G5404" s="11"/>
      <c r="H5404" s="11"/>
      <c r="I5404" s="15"/>
    </row>
    <row r="5405" spans="1:9" ht="16.5">
      <c r="A5405" s="10" t="b">
        <v>0</v>
      </c>
      <c r="B5405" s="11" t="str">
        <f>IF(D5405&lt;&gt;"",IF(COUNTIF('USPTO TMs'!A:A,D5405)&gt;0,"Yes","No"),"")</f>
        <v/>
      </c>
      <c r="C5405" s="11"/>
      <c r="D5405" s="11"/>
      <c r="E5405" s="11"/>
      <c r="F5405" s="11"/>
      <c r="G5405" s="11"/>
      <c r="H5405" s="11"/>
      <c r="I5405" s="15"/>
    </row>
    <row r="5406" spans="1:9" ht="16.5">
      <c r="A5406" s="10" t="b">
        <v>0</v>
      </c>
      <c r="B5406" s="11" t="str">
        <f>IF(D5406&lt;&gt;"",IF(COUNTIF('USPTO TMs'!A:A,D5406)&gt;0,"Yes","No"),"")</f>
        <v/>
      </c>
      <c r="C5406" s="11"/>
      <c r="D5406" s="11"/>
      <c r="E5406" s="11"/>
      <c r="F5406" s="11"/>
      <c r="G5406" s="11"/>
      <c r="H5406" s="11"/>
      <c r="I5406" s="15"/>
    </row>
    <row r="5407" spans="1:9" ht="16.5">
      <c r="A5407" s="10" t="b">
        <v>0</v>
      </c>
      <c r="B5407" s="11" t="str">
        <f>IF(D5407&lt;&gt;"",IF(COUNTIF('USPTO TMs'!A:A,D5407)&gt;0,"Yes","No"),"")</f>
        <v/>
      </c>
      <c r="C5407" s="11"/>
      <c r="D5407" s="11"/>
      <c r="E5407" s="11"/>
      <c r="F5407" s="11"/>
      <c r="G5407" s="11"/>
      <c r="H5407" s="11"/>
      <c r="I5407" s="15"/>
    </row>
    <row r="5408" spans="1:9" ht="16.5">
      <c r="A5408" s="10" t="b">
        <v>0</v>
      </c>
      <c r="B5408" s="11" t="str">
        <f>IF(D5408&lt;&gt;"",IF(COUNTIF('USPTO TMs'!A:A,D5408)&gt;0,"Yes","No"),"")</f>
        <v/>
      </c>
      <c r="C5408" s="11"/>
      <c r="D5408" s="11"/>
      <c r="E5408" s="11"/>
      <c r="F5408" s="11"/>
      <c r="G5408" s="11"/>
      <c r="H5408" s="11"/>
      <c r="I5408" s="15"/>
    </row>
    <row r="5409" spans="1:9" ht="16.5">
      <c r="A5409" s="10" t="b">
        <v>0</v>
      </c>
      <c r="B5409" s="11" t="str">
        <f>IF(D5409&lt;&gt;"",IF(COUNTIF('USPTO TMs'!A:A,D5409)&gt;0,"Yes","No"),"")</f>
        <v/>
      </c>
      <c r="C5409" s="11"/>
      <c r="D5409" s="11"/>
      <c r="E5409" s="11"/>
      <c r="F5409" s="11"/>
      <c r="G5409" s="11"/>
      <c r="H5409" s="11"/>
      <c r="I5409" s="15"/>
    </row>
    <row r="5410" spans="1:9" ht="16.5">
      <c r="A5410" s="10" t="b">
        <v>0</v>
      </c>
      <c r="B5410" s="11" t="str">
        <f>IF(D5410&lt;&gt;"",IF(COUNTIF('USPTO TMs'!A:A,D5410)&gt;0,"Yes","No"),"")</f>
        <v/>
      </c>
      <c r="C5410" s="11"/>
      <c r="D5410" s="11"/>
      <c r="E5410" s="11"/>
      <c r="F5410" s="11"/>
      <c r="G5410" s="11"/>
      <c r="H5410" s="11"/>
      <c r="I5410" s="15"/>
    </row>
    <row r="5411" spans="1:9" ht="16.5">
      <c r="A5411" s="10" t="b">
        <v>0</v>
      </c>
      <c r="B5411" s="11" t="str">
        <f>IF(D5411&lt;&gt;"",IF(COUNTIF('USPTO TMs'!A:A,D5411)&gt;0,"Yes","No"),"")</f>
        <v/>
      </c>
      <c r="C5411" s="11"/>
      <c r="D5411" s="11"/>
      <c r="E5411" s="11"/>
      <c r="F5411" s="11"/>
      <c r="G5411" s="11"/>
      <c r="H5411" s="11"/>
      <c r="I5411" s="15"/>
    </row>
    <row r="5412" spans="1:9" ht="16.5">
      <c r="A5412" s="10" t="b">
        <v>0</v>
      </c>
      <c r="B5412" s="11" t="str">
        <f>IF(D5412&lt;&gt;"",IF(COUNTIF('USPTO TMs'!A:A,D5412)&gt;0,"Yes","No"),"")</f>
        <v/>
      </c>
      <c r="C5412" s="11"/>
      <c r="D5412" s="11"/>
      <c r="E5412" s="11"/>
      <c r="F5412" s="11"/>
      <c r="G5412" s="11"/>
      <c r="H5412" s="11"/>
      <c r="I5412" s="15"/>
    </row>
    <row r="5413" spans="1:9" ht="16.5">
      <c r="A5413" s="10" t="b">
        <v>0</v>
      </c>
      <c r="B5413" s="11" t="str">
        <f>IF(D5413&lt;&gt;"",IF(COUNTIF('USPTO TMs'!A:A,D5413)&gt;0,"Yes","No"),"")</f>
        <v/>
      </c>
      <c r="C5413" s="11"/>
      <c r="D5413" s="11"/>
      <c r="E5413" s="11"/>
      <c r="F5413" s="11"/>
      <c r="G5413" s="11"/>
      <c r="H5413" s="11"/>
      <c r="I5413" s="15"/>
    </row>
    <row r="5414" spans="1:9" ht="16.5">
      <c r="A5414" s="10" t="b">
        <v>0</v>
      </c>
      <c r="B5414" s="11" t="str">
        <f>IF(D5414&lt;&gt;"",IF(COUNTIF('USPTO TMs'!A:A,D5414)&gt;0,"Yes","No"),"")</f>
        <v/>
      </c>
      <c r="C5414" s="11"/>
      <c r="D5414" s="11"/>
      <c r="E5414" s="11"/>
      <c r="F5414" s="11"/>
      <c r="G5414" s="11"/>
      <c r="H5414" s="11"/>
      <c r="I5414" s="15"/>
    </row>
    <row r="5415" spans="1:9" ht="16.5">
      <c r="A5415" s="10" t="b">
        <v>0</v>
      </c>
      <c r="B5415" s="11" t="str">
        <f>IF(D5415&lt;&gt;"",IF(COUNTIF('USPTO TMs'!A:A,D5415)&gt;0,"Yes","No"),"")</f>
        <v/>
      </c>
      <c r="C5415" s="11"/>
      <c r="D5415" s="11"/>
      <c r="E5415" s="11"/>
      <c r="F5415" s="11"/>
      <c r="G5415" s="11"/>
      <c r="H5415" s="11"/>
      <c r="I5415" s="15"/>
    </row>
    <row r="5416" spans="1:9" ht="16.5">
      <c r="A5416" s="10" t="b">
        <v>0</v>
      </c>
      <c r="B5416" s="11" t="str">
        <f>IF(D5416&lt;&gt;"",IF(COUNTIF('USPTO TMs'!A:A,D5416)&gt;0,"Yes","No"),"")</f>
        <v/>
      </c>
      <c r="C5416" s="11"/>
      <c r="D5416" s="11"/>
      <c r="E5416" s="11"/>
      <c r="F5416" s="11"/>
      <c r="G5416" s="11"/>
      <c r="H5416" s="11"/>
      <c r="I5416" s="15"/>
    </row>
    <row r="5417" spans="1:9" ht="16.5">
      <c r="A5417" s="10" t="b">
        <v>0</v>
      </c>
      <c r="B5417" s="11" t="str">
        <f>IF(D5417&lt;&gt;"",IF(COUNTIF('USPTO TMs'!A:A,D5417)&gt;0,"Yes","No"),"")</f>
        <v/>
      </c>
      <c r="C5417" s="11"/>
      <c r="D5417" s="11"/>
      <c r="E5417" s="11"/>
      <c r="F5417" s="11"/>
      <c r="G5417" s="11"/>
      <c r="H5417" s="11"/>
      <c r="I5417" s="15"/>
    </row>
    <row r="5418" spans="1:9" ht="16.5">
      <c r="A5418" s="10" t="b">
        <v>0</v>
      </c>
      <c r="B5418" s="11" t="str">
        <f>IF(D5418&lt;&gt;"",IF(COUNTIF('USPTO TMs'!A:A,D5418)&gt;0,"Yes","No"),"")</f>
        <v/>
      </c>
      <c r="C5418" s="11"/>
      <c r="D5418" s="11"/>
      <c r="E5418" s="11"/>
      <c r="F5418" s="11"/>
      <c r="G5418" s="11"/>
      <c r="H5418" s="11"/>
      <c r="I5418" s="15"/>
    </row>
    <row r="5419" spans="1:9" ht="16.5">
      <c r="A5419" s="10" t="b">
        <v>0</v>
      </c>
      <c r="B5419" s="11" t="str">
        <f>IF(D5419&lt;&gt;"",IF(COUNTIF('USPTO TMs'!A:A,D5419)&gt;0,"Yes","No"),"")</f>
        <v/>
      </c>
      <c r="C5419" s="11"/>
      <c r="D5419" s="11"/>
      <c r="E5419" s="11"/>
      <c r="F5419" s="11"/>
      <c r="G5419" s="11"/>
      <c r="H5419" s="11"/>
      <c r="I5419" s="15"/>
    </row>
    <row r="5420" spans="1:9" ht="16.5">
      <c r="A5420" s="10" t="b">
        <v>0</v>
      </c>
      <c r="B5420" s="11" t="str">
        <f>IF(D5420&lt;&gt;"",IF(COUNTIF('USPTO TMs'!A:A,D5420)&gt;0,"Yes","No"),"")</f>
        <v/>
      </c>
      <c r="C5420" s="11"/>
      <c r="D5420" s="11"/>
      <c r="E5420" s="11"/>
      <c r="F5420" s="11"/>
      <c r="G5420" s="11"/>
      <c r="H5420" s="11"/>
      <c r="I5420" s="15"/>
    </row>
    <row r="5421" spans="1:9" ht="16.5">
      <c r="A5421" s="10" t="b">
        <v>0</v>
      </c>
      <c r="B5421" s="11" t="str">
        <f>IF(D5421&lt;&gt;"",IF(COUNTIF('USPTO TMs'!A:A,D5421)&gt;0,"Yes","No"),"")</f>
        <v/>
      </c>
      <c r="C5421" s="11"/>
      <c r="D5421" s="11"/>
      <c r="E5421" s="11"/>
      <c r="F5421" s="11"/>
      <c r="G5421" s="11"/>
      <c r="H5421" s="11"/>
      <c r="I5421" s="15"/>
    </row>
    <row r="5422" spans="1:9" ht="16.5">
      <c r="A5422" s="10" t="b">
        <v>0</v>
      </c>
      <c r="B5422" s="11" t="str">
        <f>IF(D5422&lt;&gt;"",IF(COUNTIF('USPTO TMs'!A:A,D5422)&gt;0,"Yes","No"),"")</f>
        <v/>
      </c>
      <c r="C5422" s="11"/>
      <c r="D5422" s="11"/>
      <c r="E5422" s="11"/>
      <c r="F5422" s="11"/>
      <c r="G5422" s="11"/>
      <c r="H5422" s="11"/>
      <c r="I5422" s="15"/>
    </row>
    <row r="5423" spans="1:9" ht="16.5">
      <c r="A5423" s="10" t="b">
        <v>0</v>
      </c>
      <c r="B5423" s="11" t="str">
        <f>IF(D5423&lt;&gt;"",IF(COUNTIF('USPTO TMs'!A:A,D5423)&gt;0,"Yes","No"),"")</f>
        <v/>
      </c>
      <c r="C5423" s="11"/>
      <c r="D5423" s="11"/>
      <c r="E5423" s="11"/>
      <c r="F5423" s="11"/>
      <c r="G5423" s="11"/>
      <c r="H5423" s="11"/>
      <c r="I5423" s="15"/>
    </row>
    <row r="5424" spans="1:9" ht="16.5">
      <c r="A5424" s="10" t="b">
        <v>0</v>
      </c>
      <c r="B5424" s="11" t="str">
        <f>IF(D5424&lt;&gt;"",IF(COUNTIF('USPTO TMs'!A:A,D5424)&gt;0,"Yes","No"),"")</f>
        <v/>
      </c>
      <c r="C5424" s="11"/>
      <c r="D5424" s="11"/>
      <c r="E5424" s="11"/>
      <c r="F5424" s="11"/>
      <c r="G5424" s="11"/>
      <c r="H5424" s="11"/>
      <c r="I5424" s="15"/>
    </row>
    <row r="5425" spans="1:9" ht="16.5">
      <c r="A5425" s="10" t="b">
        <v>0</v>
      </c>
      <c r="B5425" s="11" t="str">
        <f>IF(D5425&lt;&gt;"",IF(COUNTIF('USPTO TMs'!A:A,D5425)&gt;0,"Yes","No"),"")</f>
        <v/>
      </c>
      <c r="C5425" s="11"/>
      <c r="D5425" s="11"/>
      <c r="E5425" s="11"/>
      <c r="F5425" s="11"/>
      <c r="G5425" s="11"/>
      <c r="H5425" s="11"/>
      <c r="I5425" s="15"/>
    </row>
    <row r="5426" spans="1:9" ht="16.5">
      <c r="A5426" s="10" t="b">
        <v>0</v>
      </c>
      <c r="B5426" s="11" t="str">
        <f>IF(D5426&lt;&gt;"",IF(COUNTIF('USPTO TMs'!A:A,D5426)&gt;0,"Yes","No"),"")</f>
        <v/>
      </c>
      <c r="C5426" s="11"/>
      <c r="D5426" s="11"/>
      <c r="E5426" s="11"/>
      <c r="F5426" s="11"/>
      <c r="G5426" s="11"/>
      <c r="H5426" s="11"/>
      <c r="I5426" s="15"/>
    </row>
    <row r="5427" spans="1:9" ht="16.5">
      <c r="A5427" s="10" t="b">
        <v>0</v>
      </c>
      <c r="B5427" s="11" t="str">
        <f>IF(D5427&lt;&gt;"",IF(COUNTIF('USPTO TMs'!A:A,D5427)&gt;0,"Yes","No"),"")</f>
        <v/>
      </c>
      <c r="C5427" s="11"/>
      <c r="D5427" s="11"/>
      <c r="E5427" s="11"/>
      <c r="F5427" s="11"/>
      <c r="G5427" s="11"/>
      <c r="H5427" s="11"/>
      <c r="I5427" s="15"/>
    </row>
    <row r="5428" spans="1:9" ht="16.5">
      <c r="A5428" s="10" t="b">
        <v>0</v>
      </c>
      <c r="B5428" s="11" t="str">
        <f>IF(D5428&lt;&gt;"",IF(COUNTIF('USPTO TMs'!A:A,D5428)&gt;0,"Yes","No"),"")</f>
        <v/>
      </c>
      <c r="C5428" s="11"/>
      <c r="D5428" s="11"/>
      <c r="E5428" s="11"/>
      <c r="F5428" s="11"/>
      <c r="G5428" s="11"/>
      <c r="H5428" s="11"/>
      <c r="I5428" s="15"/>
    </row>
    <row r="5429" spans="1:9" ht="16.5">
      <c r="A5429" s="10" t="b">
        <v>0</v>
      </c>
      <c r="B5429" s="11" t="str">
        <f>IF(D5429&lt;&gt;"",IF(COUNTIF('USPTO TMs'!A:A,D5429)&gt;0,"Yes","No"),"")</f>
        <v/>
      </c>
      <c r="C5429" s="11"/>
      <c r="D5429" s="11"/>
      <c r="E5429" s="11"/>
      <c r="F5429" s="11"/>
      <c r="G5429" s="11"/>
      <c r="H5429" s="11"/>
      <c r="I5429" s="15"/>
    </row>
    <row r="5430" spans="1:9" ht="16.5">
      <c r="A5430" s="10" t="b">
        <v>0</v>
      </c>
      <c r="B5430" s="11" t="str">
        <f>IF(D5430&lt;&gt;"",IF(COUNTIF('USPTO TMs'!A:A,D5430)&gt;0,"Yes","No"),"")</f>
        <v/>
      </c>
      <c r="C5430" s="11"/>
      <c r="D5430" s="11"/>
      <c r="E5430" s="11"/>
      <c r="F5430" s="11"/>
      <c r="G5430" s="11"/>
      <c r="H5430" s="11"/>
      <c r="I5430" s="15"/>
    </row>
    <row r="5431" spans="1:9" ht="16.5">
      <c r="A5431" s="10" t="b">
        <v>0</v>
      </c>
      <c r="B5431" s="11" t="str">
        <f>IF(D5431&lt;&gt;"",IF(COUNTIF('USPTO TMs'!A:A,D5431)&gt;0,"Yes","No"),"")</f>
        <v/>
      </c>
      <c r="C5431" s="11"/>
      <c r="D5431" s="11"/>
      <c r="E5431" s="11"/>
      <c r="F5431" s="11"/>
      <c r="G5431" s="11"/>
      <c r="H5431" s="11"/>
      <c r="I5431" s="15"/>
    </row>
    <row r="5432" spans="1:9" ht="16.5">
      <c r="A5432" s="10" t="b">
        <v>0</v>
      </c>
      <c r="B5432" s="11" t="str">
        <f>IF(D5432&lt;&gt;"",IF(COUNTIF('USPTO TMs'!A:A,D5432)&gt;0,"Yes","No"),"")</f>
        <v/>
      </c>
      <c r="C5432" s="11"/>
      <c r="D5432" s="11"/>
      <c r="E5432" s="11"/>
      <c r="F5432" s="11"/>
      <c r="G5432" s="11"/>
      <c r="H5432" s="11"/>
      <c r="I5432" s="15"/>
    </row>
    <row r="5433" spans="1:9" ht="16.5">
      <c r="A5433" s="10" t="b">
        <v>0</v>
      </c>
      <c r="B5433" s="11" t="str">
        <f>IF(D5433&lt;&gt;"",IF(COUNTIF('USPTO TMs'!A:A,D5433)&gt;0,"Yes","No"),"")</f>
        <v/>
      </c>
      <c r="C5433" s="11"/>
      <c r="D5433" s="11"/>
      <c r="E5433" s="11"/>
      <c r="F5433" s="11"/>
      <c r="G5433" s="11"/>
      <c r="H5433" s="11"/>
      <c r="I5433" s="15"/>
    </row>
    <row r="5434" spans="1:9" ht="16.5">
      <c r="A5434" s="10" t="b">
        <v>0</v>
      </c>
      <c r="B5434" s="11" t="str">
        <f>IF(D5434&lt;&gt;"",IF(COUNTIF('USPTO TMs'!A:A,D5434)&gt;0,"Yes","No"),"")</f>
        <v/>
      </c>
      <c r="C5434" s="11"/>
      <c r="D5434" s="11"/>
      <c r="E5434" s="11"/>
      <c r="F5434" s="11"/>
      <c r="G5434" s="11"/>
      <c r="H5434" s="11"/>
      <c r="I5434" s="15"/>
    </row>
    <row r="5435" spans="1:9" ht="16.5">
      <c r="A5435" s="10" t="b">
        <v>0</v>
      </c>
      <c r="B5435" s="11" t="str">
        <f>IF(D5435&lt;&gt;"",IF(COUNTIF('USPTO TMs'!A:A,D5435)&gt;0,"Yes","No"),"")</f>
        <v/>
      </c>
      <c r="C5435" s="11"/>
      <c r="D5435" s="11"/>
      <c r="E5435" s="11"/>
      <c r="F5435" s="11"/>
      <c r="G5435" s="11"/>
      <c r="H5435" s="11"/>
      <c r="I5435" s="15"/>
    </row>
    <row r="5436" spans="1:9" ht="16.5">
      <c r="A5436" s="10" t="b">
        <v>0</v>
      </c>
      <c r="B5436" s="11" t="str">
        <f>IF(D5436&lt;&gt;"",IF(COUNTIF('USPTO TMs'!A:A,D5436)&gt;0,"Yes","No"),"")</f>
        <v/>
      </c>
      <c r="C5436" s="11"/>
      <c r="D5436" s="11"/>
      <c r="E5436" s="11"/>
      <c r="F5436" s="11"/>
      <c r="G5436" s="11"/>
      <c r="H5436" s="11"/>
      <c r="I5436" s="15"/>
    </row>
    <row r="5437" spans="1:9" ht="16.5">
      <c r="A5437" s="10" t="b">
        <v>0</v>
      </c>
      <c r="B5437" s="11" t="str">
        <f>IF(D5437&lt;&gt;"",IF(COUNTIF('USPTO TMs'!A:A,D5437)&gt;0,"Yes","No"),"")</f>
        <v/>
      </c>
      <c r="C5437" s="11"/>
      <c r="D5437" s="11"/>
      <c r="E5437" s="11"/>
      <c r="F5437" s="11"/>
      <c r="G5437" s="11"/>
      <c r="H5437" s="11"/>
      <c r="I5437" s="15"/>
    </row>
    <row r="5438" spans="1:9" ht="16.5">
      <c r="A5438" s="10" t="b">
        <v>0</v>
      </c>
      <c r="B5438" s="11" t="str">
        <f>IF(D5438&lt;&gt;"",IF(COUNTIF('USPTO TMs'!A:A,D5438)&gt;0,"Yes","No"),"")</f>
        <v/>
      </c>
      <c r="C5438" s="11"/>
      <c r="D5438" s="11"/>
      <c r="E5438" s="11"/>
      <c r="F5438" s="11"/>
      <c r="G5438" s="11"/>
      <c r="H5438" s="11"/>
      <c r="I5438" s="15"/>
    </row>
    <row r="5439" spans="1:9" ht="16.5">
      <c r="A5439" s="10" t="b">
        <v>0</v>
      </c>
      <c r="B5439" s="11" t="str">
        <f>IF(D5439&lt;&gt;"",IF(COUNTIF('USPTO TMs'!A:A,D5439)&gt;0,"Yes","No"),"")</f>
        <v/>
      </c>
      <c r="C5439" s="11"/>
      <c r="D5439" s="11"/>
      <c r="E5439" s="11"/>
      <c r="F5439" s="11"/>
      <c r="G5439" s="11"/>
      <c r="H5439" s="11"/>
      <c r="I5439" s="15"/>
    </row>
    <row r="5440" spans="1:9" ht="16.5">
      <c r="A5440" s="10" t="b">
        <v>0</v>
      </c>
      <c r="B5440" s="11" t="str">
        <f>IF(D5440&lt;&gt;"",IF(COUNTIF('USPTO TMs'!A:A,D5440)&gt;0,"Yes","No"),"")</f>
        <v/>
      </c>
      <c r="C5440" s="11"/>
      <c r="D5440" s="11"/>
      <c r="E5440" s="11"/>
      <c r="F5440" s="11"/>
      <c r="G5440" s="11"/>
      <c r="H5440" s="11"/>
      <c r="I5440" s="15"/>
    </row>
    <row r="5441" spans="1:9" ht="16.5">
      <c r="A5441" s="10" t="b">
        <v>0</v>
      </c>
      <c r="B5441" s="11" t="str">
        <f>IF(D5441&lt;&gt;"",IF(COUNTIF('USPTO TMs'!A:A,D5441)&gt;0,"Yes","No"),"")</f>
        <v/>
      </c>
      <c r="C5441" s="11"/>
      <c r="D5441" s="11"/>
      <c r="E5441" s="11"/>
      <c r="F5441" s="11"/>
      <c r="G5441" s="11"/>
      <c r="H5441" s="11"/>
      <c r="I5441" s="15"/>
    </row>
    <row r="5442" spans="1:9" ht="16.5">
      <c r="A5442" s="10" t="b">
        <v>0</v>
      </c>
      <c r="B5442" s="11" t="str">
        <f>IF(D5442&lt;&gt;"",IF(COUNTIF('USPTO TMs'!A:A,D5442)&gt;0,"Yes","No"),"")</f>
        <v/>
      </c>
      <c r="C5442" s="11"/>
      <c r="D5442" s="11"/>
      <c r="E5442" s="11"/>
      <c r="F5442" s="11"/>
      <c r="G5442" s="11"/>
      <c r="H5442" s="11"/>
      <c r="I5442" s="15"/>
    </row>
    <row r="5443" spans="1:9" ht="16.5">
      <c r="A5443" s="10" t="b">
        <v>0</v>
      </c>
      <c r="B5443" s="11" t="str">
        <f>IF(D5443&lt;&gt;"",IF(COUNTIF('USPTO TMs'!A:A,D5443)&gt;0,"Yes","No"),"")</f>
        <v/>
      </c>
      <c r="C5443" s="11"/>
      <c r="D5443" s="11"/>
      <c r="E5443" s="11"/>
      <c r="F5443" s="11"/>
      <c r="G5443" s="11"/>
      <c r="H5443" s="11"/>
      <c r="I5443" s="15"/>
    </row>
    <row r="5444" spans="1:9" ht="16.5">
      <c r="A5444" s="10" t="b">
        <v>0</v>
      </c>
      <c r="B5444" s="11" t="str">
        <f>IF(D5444&lt;&gt;"",IF(COUNTIF('USPTO TMs'!A:A,D5444)&gt;0,"Yes","No"),"")</f>
        <v/>
      </c>
      <c r="C5444" s="11"/>
      <c r="D5444" s="11"/>
      <c r="E5444" s="11"/>
      <c r="F5444" s="11"/>
      <c r="G5444" s="11"/>
      <c r="H5444" s="11"/>
      <c r="I5444" s="15"/>
    </row>
    <row r="5445" spans="1:9" ht="16.5">
      <c r="A5445" s="10" t="b">
        <v>0</v>
      </c>
      <c r="B5445" s="11" t="str">
        <f>IF(D5445&lt;&gt;"",IF(COUNTIF('USPTO TMs'!A:A,D5445)&gt;0,"Yes","No"),"")</f>
        <v/>
      </c>
      <c r="C5445" s="11"/>
      <c r="D5445" s="11"/>
      <c r="E5445" s="11"/>
      <c r="F5445" s="11"/>
      <c r="G5445" s="11"/>
      <c r="H5445" s="11"/>
      <c r="I5445" s="15"/>
    </row>
    <row r="5446" spans="1:9" ht="16.5">
      <c r="A5446" s="10" t="b">
        <v>0</v>
      </c>
      <c r="B5446" s="11" t="str">
        <f>IF(D5446&lt;&gt;"",IF(COUNTIF('USPTO TMs'!A:A,D5446)&gt;0,"Yes","No"),"")</f>
        <v/>
      </c>
      <c r="C5446" s="11"/>
      <c r="D5446" s="11"/>
      <c r="E5446" s="11"/>
      <c r="F5446" s="11"/>
      <c r="G5446" s="11"/>
      <c r="H5446" s="11"/>
      <c r="I5446" s="15"/>
    </row>
    <row r="5447" spans="1:9" ht="16.5">
      <c r="A5447" s="10" t="b">
        <v>0</v>
      </c>
      <c r="B5447" s="11" t="str">
        <f>IF(D5447&lt;&gt;"",IF(COUNTIF('USPTO TMs'!A:A,D5447)&gt;0,"Yes","No"),"")</f>
        <v/>
      </c>
      <c r="C5447" s="11"/>
      <c r="D5447" s="11"/>
      <c r="E5447" s="11"/>
      <c r="F5447" s="11"/>
      <c r="G5447" s="11"/>
      <c r="H5447" s="11"/>
      <c r="I5447" s="15"/>
    </row>
    <row r="5448" spans="1:9" ht="16.5">
      <c r="A5448" s="10" t="b">
        <v>0</v>
      </c>
      <c r="B5448" s="11" t="str">
        <f>IF(D5448&lt;&gt;"",IF(COUNTIF('USPTO TMs'!A:A,D5448)&gt;0,"Yes","No"),"")</f>
        <v/>
      </c>
      <c r="C5448" s="11"/>
      <c r="D5448" s="11"/>
      <c r="E5448" s="11"/>
      <c r="F5448" s="11"/>
      <c r="G5448" s="11"/>
      <c r="H5448" s="11"/>
      <c r="I5448" s="15"/>
    </row>
    <row r="5449" spans="1:9" ht="16.5">
      <c r="A5449" s="10" t="b">
        <v>0</v>
      </c>
      <c r="B5449" s="11" t="str">
        <f>IF(D5449&lt;&gt;"",IF(COUNTIF('USPTO TMs'!A:A,D5449)&gt;0,"Yes","No"),"")</f>
        <v/>
      </c>
      <c r="C5449" s="11"/>
      <c r="D5449" s="11"/>
      <c r="E5449" s="11"/>
      <c r="F5449" s="11"/>
      <c r="G5449" s="11"/>
      <c r="H5449" s="11"/>
      <c r="I5449" s="15"/>
    </row>
    <row r="5450" spans="1:9" ht="16.5">
      <c r="A5450" s="10" t="b">
        <v>0</v>
      </c>
      <c r="B5450" s="11" t="str">
        <f>IF(D5450&lt;&gt;"",IF(COUNTIF('USPTO TMs'!A:A,D5450)&gt;0,"Yes","No"),"")</f>
        <v/>
      </c>
      <c r="C5450" s="11"/>
      <c r="D5450" s="11"/>
      <c r="E5450" s="11"/>
      <c r="F5450" s="11"/>
      <c r="G5450" s="11"/>
      <c r="H5450" s="11"/>
      <c r="I5450" s="15"/>
    </row>
    <row r="5451" spans="1:9" ht="16.5">
      <c r="A5451" s="10" t="b">
        <v>0</v>
      </c>
      <c r="B5451" s="11" t="str">
        <f>IF(D5451&lt;&gt;"",IF(COUNTIF('USPTO TMs'!A:A,D5451)&gt;0,"Yes","No"),"")</f>
        <v/>
      </c>
      <c r="C5451" s="11"/>
      <c r="D5451" s="11"/>
      <c r="E5451" s="11"/>
      <c r="F5451" s="11"/>
      <c r="G5451" s="11"/>
      <c r="H5451" s="11"/>
      <c r="I5451" s="15"/>
    </row>
    <row r="5452" spans="1:9" ht="16.5">
      <c r="A5452" s="10" t="b">
        <v>0</v>
      </c>
      <c r="B5452" s="11" t="str">
        <f>IF(D5452&lt;&gt;"",IF(COUNTIF('USPTO TMs'!A:A,D5452)&gt;0,"Yes","No"),"")</f>
        <v/>
      </c>
      <c r="C5452" s="11"/>
      <c r="D5452" s="11"/>
      <c r="E5452" s="11"/>
      <c r="F5452" s="11"/>
      <c r="G5452" s="11"/>
      <c r="H5452" s="11"/>
      <c r="I5452" s="15"/>
    </row>
    <row r="5453" spans="1:9" ht="16.5">
      <c r="A5453" s="10" t="b">
        <v>0</v>
      </c>
      <c r="B5453" s="11" t="str">
        <f>IF(D5453&lt;&gt;"",IF(COUNTIF('USPTO TMs'!A:A,D5453)&gt;0,"Yes","No"),"")</f>
        <v/>
      </c>
      <c r="C5453" s="11"/>
      <c r="D5453" s="11"/>
      <c r="E5453" s="11"/>
      <c r="F5453" s="11"/>
      <c r="G5453" s="11"/>
      <c r="H5453" s="11"/>
      <c r="I5453" s="15"/>
    </row>
    <row r="5454" spans="1:9" ht="16.5">
      <c r="A5454" s="10" t="b">
        <v>0</v>
      </c>
      <c r="B5454" s="11" t="str">
        <f>IF(D5454&lt;&gt;"",IF(COUNTIF('USPTO TMs'!A:A,D5454)&gt;0,"Yes","No"),"")</f>
        <v/>
      </c>
      <c r="C5454" s="11"/>
      <c r="D5454" s="11"/>
      <c r="E5454" s="11"/>
      <c r="F5454" s="11"/>
      <c r="G5454" s="11"/>
      <c r="H5454" s="11"/>
      <c r="I5454" s="15"/>
    </row>
    <row r="5455" spans="1:9" ht="16.5">
      <c r="A5455" s="10" t="b">
        <v>0</v>
      </c>
      <c r="B5455" s="11" t="str">
        <f>IF(D5455&lt;&gt;"",IF(COUNTIF('USPTO TMs'!A:A,D5455)&gt;0,"Yes","No"),"")</f>
        <v/>
      </c>
      <c r="C5455" s="11"/>
      <c r="D5455" s="11"/>
      <c r="E5455" s="11"/>
      <c r="F5455" s="11"/>
      <c r="G5455" s="11"/>
      <c r="H5455" s="11"/>
      <c r="I5455" s="15"/>
    </row>
    <row r="5456" spans="1:9" ht="16.5">
      <c r="A5456" s="10" t="b">
        <v>0</v>
      </c>
      <c r="B5456" s="11" t="str">
        <f>IF(D5456&lt;&gt;"",IF(COUNTIF('USPTO TMs'!A:A,D5456)&gt;0,"Yes","No"),"")</f>
        <v/>
      </c>
      <c r="C5456" s="11"/>
      <c r="D5456" s="11"/>
      <c r="E5456" s="11"/>
      <c r="F5456" s="11"/>
      <c r="G5456" s="11"/>
      <c r="H5456" s="11"/>
      <c r="I5456" s="15"/>
    </row>
    <row r="5457" spans="1:9" ht="16.5">
      <c r="A5457" s="10" t="b">
        <v>0</v>
      </c>
      <c r="B5457" s="11" t="str">
        <f>IF(D5457&lt;&gt;"",IF(COUNTIF('USPTO TMs'!A:A,D5457)&gt;0,"Yes","No"),"")</f>
        <v/>
      </c>
      <c r="C5457" s="11"/>
      <c r="D5457" s="11"/>
      <c r="E5457" s="11"/>
      <c r="F5457" s="11"/>
      <c r="G5457" s="11"/>
      <c r="H5457" s="11"/>
      <c r="I5457" s="15"/>
    </row>
    <row r="5458" spans="1:9" ht="16.5">
      <c r="A5458" s="10" t="b">
        <v>0</v>
      </c>
      <c r="B5458" s="11" t="str">
        <f>IF(D5458&lt;&gt;"",IF(COUNTIF('USPTO TMs'!A:A,D5458)&gt;0,"Yes","No"),"")</f>
        <v/>
      </c>
      <c r="C5458" s="11"/>
      <c r="D5458" s="11"/>
      <c r="E5458" s="11"/>
      <c r="F5458" s="11"/>
      <c r="G5458" s="11"/>
      <c r="H5458" s="11"/>
      <c r="I5458" s="15"/>
    </row>
    <row r="5459" spans="1:9" ht="16.5">
      <c r="A5459" s="10" t="b">
        <v>0</v>
      </c>
      <c r="B5459" s="11" t="str">
        <f>IF(D5459&lt;&gt;"",IF(COUNTIF('USPTO TMs'!A:A,D5459)&gt;0,"Yes","No"),"")</f>
        <v/>
      </c>
      <c r="C5459" s="11"/>
      <c r="D5459" s="11"/>
      <c r="E5459" s="11"/>
      <c r="F5459" s="11"/>
      <c r="G5459" s="11"/>
      <c r="H5459" s="11"/>
      <c r="I5459" s="15"/>
    </row>
    <row r="5460" spans="1:9" ht="16.5">
      <c r="A5460" s="10" t="b">
        <v>0</v>
      </c>
      <c r="B5460" s="11" t="str">
        <f>IF(D5460&lt;&gt;"",IF(COUNTIF('USPTO TMs'!A:A,D5460)&gt;0,"Yes","No"),"")</f>
        <v/>
      </c>
      <c r="C5460" s="11"/>
      <c r="D5460" s="11"/>
      <c r="E5460" s="11"/>
      <c r="F5460" s="11"/>
      <c r="G5460" s="11"/>
      <c r="H5460" s="11"/>
      <c r="I5460" s="15"/>
    </row>
    <row r="5461" spans="1:9" ht="16.5">
      <c r="A5461" s="10" t="b">
        <v>0</v>
      </c>
      <c r="B5461" s="11" t="str">
        <f>IF(D5461&lt;&gt;"",IF(COUNTIF('USPTO TMs'!A:A,D5461)&gt;0,"Yes","No"),"")</f>
        <v/>
      </c>
      <c r="C5461" s="11"/>
      <c r="D5461" s="11"/>
      <c r="E5461" s="11"/>
      <c r="F5461" s="11"/>
      <c r="G5461" s="11"/>
      <c r="H5461" s="11"/>
      <c r="I5461" s="15"/>
    </row>
    <row r="5462" spans="1:9" ht="16.5">
      <c r="A5462" s="10" t="b">
        <v>0</v>
      </c>
      <c r="B5462" s="11" t="str">
        <f>IF(D5462&lt;&gt;"",IF(COUNTIF('USPTO TMs'!A:A,D5462)&gt;0,"Yes","No"),"")</f>
        <v/>
      </c>
      <c r="C5462" s="11"/>
      <c r="D5462" s="11"/>
      <c r="E5462" s="11"/>
      <c r="F5462" s="11"/>
      <c r="G5462" s="11"/>
      <c r="H5462" s="11"/>
      <c r="I5462" s="15"/>
    </row>
    <row r="5463" spans="1:9" ht="16.5">
      <c r="A5463" s="10" t="b">
        <v>0</v>
      </c>
      <c r="B5463" s="11" t="str">
        <f>IF(D5463&lt;&gt;"",IF(COUNTIF('USPTO TMs'!A:A,D5463)&gt;0,"Yes","No"),"")</f>
        <v/>
      </c>
      <c r="C5463" s="11"/>
      <c r="D5463" s="11"/>
      <c r="E5463" s="11"/>
      <c r="F5463" s="11"/>
      <c r="G5463" s="11"/>
      <c r="H5463" s="11"/>
      <c r="I5463" s="15"/>
    </row>
    <row r="5464" spans="1:9" ht="16.5">
      <c r="A5464" s="10" t="b">
        <v>0</v>
      </c>
      <c r="B5464" s="11" t="str">
        <f>IF(D5464&lt;&gt;"",IF(COUNTIF('USPTO TMs'!A:A,D5464)&gt;0,"Yes","No"),"")</f>
        <v/>
      </c>
      <c r="C5464" s="11"/>
      <c r="D5464" s="11"/>
      <c r="E5464" s="11"/>
      <c r="F5464" s="11"/>
      <c r="G5464" s="11"/>
      <c r="H5464" s="11"/>
      <c r="I5464" s="15"/>
    </row>
    <row r="5465" spans="1:9" ht="16.5">
      <c r="A5465" s="10" t="b">
        <v>0</v>
      </c>
      <c r="B5465" s="11" t="str">
        <f>IF(D5465&lt;&gt;"",IF(COUNTIF('USPTO TMs'!A:A,D5465)&gt;0,"Yes","No"),"")</f>
        <v/>
      </c>
      <c r="C5465" s="11"/>
      <c r="D5465" s="11"/>
      <c r="E5465" s="11"/>
      <c r="F5465" s="11"/>
      <c r="G5465" s="11"/>
      <c r="H5465" s="11"/>
      <c r="I5465" s="15"/>
    </row>
    <row r="5466" spans="1:9" ht="16.5">
      <c r="A5466" s="10" t="b">
        <v>0</v>
      </c>
      <c r="B5466" s="11" t="str">
        <f>IF(D5466&lt;&gt;"",IF(COUNTIF('USPTO TMs'!A:A,D5466)&gt;0,"Yes","No"),"")</f>
        <v/>
      </c>
      <c r="C5466" s="11"/>
      <c r="D5466" s="11"/>
      <c r="E5466" s="11"/>
      <c r="F5466" s="11"/>
      <c r="G5466" s="11"/>
      <c r="H5466" s="11"/>
      <c r="I5466" s="15"/>
    </row>
    <row r="5467" spans="1:9" ht="16.5">
      <c r="A5467" s="10" t="b">
        <v>0</v>
      </c>
      <c r="B5467" s="11" t="str">
        <f>IF(D5467&lt;&gt;"",IF(COUNTIF('USPTO TMs'!A:A,D5467)&gt;0,"Yes","No"),"")</f>
        <v/>
      </c>
      <c r="C5467" s="11"/>
      <c r="D5467" s="11"/>
      <c r="E5467" s="11"/>
      <c r="F5467" s="11"/>
      <c r="G5467" s="11"/>
      <c r="H5467" s="11"/>
      <c r="I5467" s="15"/>
    </row>
    <row r="5468" spans="1:9" ht="16.5">
      <c r="A5468" s="10" t="b">
        <v>0</v>
      </c>
      <c r="B5468" s="11" t="str">
        <f>IF(D5468&lt;&gt;"",IF(COUNTIF('USPTO TMs'!A:A,D5468)&gt;0,"Yes","No"),"")</f>
        <v/>
      </c>
      <c r="C5468" s="11"/>
      <c r="D5468" s="11"/>
      <c r="E5468" s="11"/>
      <c r="F5468" s="11"/>
      <c r="G5468" s="11"/>
      <c r="H5468" s="11"/>
      <c r="I5468" s="15"/>
    </row>
    <row r="5469" spans="1:9" ht="16.5">
      <c r="A5469" s="10" t="b">
        <v>0</v>
      </c>
      <c r="B5469" s="11" t="str">
        <f>IF(D5469&lt;&gt;"",IF(COUNTIF('USPTO TMs'!A:A,D5469)&gt;0,"Yes","No"),"")</f>
        <v/>
      </c>
      <c r="C5469" s="11"/>
      <c r="D5469" s="11"/>
      <c r="E5469" s="11"/>
      <c r="F5469" s="11"/>
      <c r="G5469" s="11"/>
      <c r="H5469" s="11"/>
      <c r="I5469" s="15"/>
    </row>
    <row r="5470" spans="1:9" ht="16.5">
      <c r="A5470" s="10" t="b">
        <v>0</v>
      </c>
      <c r="B5470" s="11" t="str">
        <f>IF(D5470&lt;&gt;"",IF(COUNTIF('USPTO TMs'!A:A,D5470)&gt;0,"Yes","No"),"")</f>
        <v/>
      </c>
      <c r="C5470" s="11"/>
      <c r="D5470" s="11"/>
      <c r="E5470" s="11"/>
      <c r="F5470" s="11"/>
      <c r="G5470" s="11"/>
      <c r="H5470" s="11"/>
      <c r="I5470" s="15"/>
    </row>
    <row r="5471" spans="1:9" ht="16.5">
      <c r="A5471" s="10" t="b">
        <v>0</v>
      </c>
      <c r="B5471" s="11" t="str">
        <f>IF(D5471&lt;&gt;"",IF(COUNTIF('USPTO TMs'!A:A,D5471)&gt;0,"Yes","No"),"")</f>
        <v/>
      </c>
      <c r="C5471" s="11"/>
      <c r="D5471" s="11"/>
      <c r="E5471" s="11"/>
      <c r="F5471" s="11"/>
      <c r="G5471" s="11"/>
      <c r="H5471" s="11"/>
      <c r="I5471" s="15"/>
    </row>
    <row r="5472" spans="1:9" ht="16.5">
      <c r="A5472" s="10" t="b">
        <v>0</v>
      </c>
      <c r="B5472" s="11" t="str">
        <f>IF(D5472&lt;&gt;"",IF(COUNTIF('USPTO TMs'!A:A,D5472)&gt;0,"Yes","No"),"")</f>
        <v/>
      </c>
      <c r="C5472" s="11"/>
      <c r="D5472" s="11"/>
      <c r="E5472" s="11"/>
      <c r="F5472" s="11"/>
      <c r="G5472" s="11"/>
      <c r="H5472" s="11"/>
      <c r="I5472" s="15"/>
    </row>
    <row r="5473" spans="1:9" ht="16.5">
      <c r="A5473" s="10" t="b">
        <v>0</v>
      </c>
      <c r="B5473" s="11" t="str">
        <f>IF(D5473&lt;&gt;"",IF(COUNTIF('USPTO TMs'!A:A,D5473)&gt;0,"Yes","No"),"")</f>
        <v/>
      </c>
      <c r="C5473" s="11"/>
      <c r="D5473" s="11"/>
      <c r="E5473" s="11"/>
      <c r="F5473" s="11"/>
      <c r="G5473" s="11"/>
      <c r="H5473" s="11"/>
      <c r="I5473" s="15"/>
    </row>
    <row r="5474" spans="1:9" ht="16.5">
      <c r="A5474" s="10" t="b">
        <v>0</v>
      </c>
      <c r="B5474" s="11" t="str">
        <f>IF(D5474&lt;&gt;"",IF(COUNTIF('USPTO TMs'!A:A,D5474)&gt;0,"Yes","No"),"")</f>
        <v/>
      </c>
      <c r="C5474" s="11"/>
      <c r="D5474" s="11"/>
      <c r="E5474" s="11"/>
      <c r="F5474" s="11"/>
      <c r="G5474" s="11"/>
      <c r="H5474" s="11"/>
      <c r="I5474" s="15"/>
    </row>
    <row r="5475" spans="1:9" ht="16.5">
      <c r="A5475" s="10" t="b">
        <v>0</v>
      </c>
      <c r="B5475" s="11" t="str">
        <f>IF(D5475&lt;&gt;"",IF(COUNTIF('USPTO TMs'!A:A,D5475)&gt;0,"Yes","No"),"")</f>
        <v/>
      </c>
      <c r="C5475" s="11"/>
      <c r="D5475" s="11"/>
      <c r="E5475" s="11"/>
      <c r="F5475" s="11"/>
      <c r="G5475" s="11"/>
      <c r="H5475" s="11"/>
      <c r="I5475" s="15"/>
    </row>
    <row r="5476" spans="1:9" ht="16.5">
      <c r="A5476" s="10" t="b">
        <v>0</v>
      </c>
      <c r="B5476" s="11" t="str">
        <f>IF(D5476&lt;&gt;"",IF(COUNTIF('USPTO TMs'!A:A,D5476)&gt;0,"Yes","No"),"")</f>
        <v/>
      </c>
      <c r="C5476" s="11"/>
      <c r="D5476" s="11"/>
      <c r="E5476" s="11"/>
      <c r="F5476" s="11"/>
      <c r="G5476" s="11"/>
      <c r="H5476" s="11"/>
      <c r="I5476" s="15"/>
    </row>
    <row r="5477" spans="1:9" ht="16.5">
      <c r="A5477" s="10" t="b">
        <v>0</v>
      </c>
      <c r="B5477" s="11" t="str">
        <f>IF(D5477&lt;&gt;"",IF(COUNTIF('USPTO TMs'!A:A,D5477)&gt;0,"Yes","No"),"")</f>
        <v/>
      </c>
      <c r="C5477" s="11"/>
      <c r="D5477" s="11"/>
      <c r="E5477" s="11"/>
      <c r="F5477" s="11"/>
      <c r="G5477" s="11"/>
      <c r="H5477" s="11"/>
      <c r="I5477" s="15"/>
    </row>
    <row r="5478" spans="1:9" ht="16.5">
      <c r="A5478" s="10" t="b">
        <v>0</v>
      </c>
      <c r="B5478" s="11" t="str">
        <f>IF(D5478&lt;&gt;"",IF(COUNTIF('USPTO TMs'!A:A,D5478)&gt;0,"Yes","No"),"")</f>
        <v/>
      </c>
      <c r="C5478" s="11"/>
      <c r="D5478" s="11"/>
      <c r="E5478" s="11"/>
      <c r="F5478" s="11"/>
      <c r="G5478" s="11"/>
      <c r="H5478" s="11"/>
      <c r="I5478" s="15"/>
    </row>
    <row r="5479" spans="1:9" ht="16.5">
      <c r="A5479" s="10" t="b">
        <v>0</v>
      </c>
      <c r="B5479" s="11" t="str">
        <f>IF(D5479&lt;&gt;"",IF(COUNTIF('USPTO TMs'!A:A,D5479)&gt;0,"Yes","No"),"")</f>
        <v/>
      </c>
      <c r="C5479" s="11"/>
      <c r="D5479" s="11"/>
      <c r="E5479" s="11"/>
      <c r="F5479" s="11"/>
      <c r="G5479" s="11"/>
      <c r="H5479" s="11"/>
      <c r="I5479" s="15"/>
    </row>
    <row r="5480" spans="1:9" ht="16.5">
      <c r="A5480" s="10" t="b">
        <v>0</v>
      </c>
      <c r="B5480" s="11" t="str">
        <f>IF(D5480&lt;&gt;"",IF(COUNTIF('USPTO TMs'!A:A,D5480)&gt;0,"Yes","No"),"")</f>
        <v/>
      </c>
      <c r="C5480" s="11"/>
      <c r="D5480" s="11"/>
      <c r="E5480" s="11"/>
      <c r="F5480" s="11"/>
      <c r="G5480" s="11"/>
      <c r="H5480" s="11"/>
      <c r="I5480" s="15"/>
    </row>
    <row r="5481" spans="1:9" ht="16.5">
      <c r="A5481" s="10" t="b">
        <v>0</v>
      </c>
      <c r="B5481" s="11" t="str">
        <f>IF(D5481&lt;&gt;"",IF(COUNTIF('USPTO TMs'!A:A,D5481)&gt;0,"Yes","No"),"")</f>
        <v/>
      </c>
      <c r="C5481" s="11"/>
      <c r="D5481" s="11"/>
      <c r="E5481" s="11"/>
      <c r="F5481" s="11"/>
      <c r="G5481" s="11"/>
      <c r="H5481" s="11"/>
      <c r="I5481" s="15"/>
    </row>
    <row r="5482" spans="1:9" ht="16.5">
      <c r="A5482" s="10" t="b">
        <v>0</v>
      </c>
      <c r="B5482" s="11" t="str">
        <f>IF(D5482&lt;&gt;"",IF(COUNTIF('USPTO TMs'!A:A,D5482)&gt;0,"Yes","No"),"")</f>
        <v/>
      </c>
      <c r="C5482" s="11"/>
      <c r="D5482" s="11"/>
      <c r="E5482" s="11"/>
      <c r="F5482" s="11"/>
      <c r="G5482" s="11"/>
      <c r="H5482" s="11"/>
      <c r="I5482" s="15"/>
    </row>
    <row r="5483" spans="1:9" ht="16.5">
      <c r="A5483" s="10" t="b">
        <v>0</v>
      </c>
      <c r="B5483" s="11" t="str">
        <f>IF(D5483&lt;&gt;"",IF(COUNTIF('USPTO TMs'!A:A,D5483)&gt;0,"Yes","No"),"")</f>
        <v/>
      </c>
      <c r="C5483" s="11"/>
      <c r="D5483" s="11"/>
      <c r="E5483" s="11"/>
      <c r="F5483" s="11"/>
      <c r="G5483" s="11"/>
      <c r="H5483" s="11"/>
      <c r="I5483" s="15"/>
    </row>
    <row r="5484" spans="1:9" ht="16.5">
      <c r="A5484" s="10" t="b">
        <v>0</v>
      </c>
      <c r="B5484" s="11" t="str">
        <f>IF(D5484&lt;&gt;"",IF(COUNTIF('USPTO TMs'!A:A,D5484)&gt;0,"Yes","No"),"")</f>
        <v/>
      </c>
      <c r="C5484" s="11"/>
      <c r="D5484" s="11"/>
      <c r="E5484" s="11"/>
      <c r="F5484" s="11"/>
      <c r="G5484" s="11"/>
      <c r="H5484" s="11"/>
      <c r="I5484" s="15"/>
    </row>
    <row r="5485" spans="1:9" ht="16.5">
      <c r="A5485" s="10" t="b">
        <v>0</v>
      </c>
      <c r="B5485" s="11" t="str">
        <f>IF(D5485&lt;&gt;"",IF(COUNTIF('USPTO TMs'!A:A,D5485)&gt;0,"Yes","No"),"")</f>
        <v/>
      </c>
      <c r="C5485" s="11"/>
      <c r="D5485" s="11"/>
      <c r="E5485" s="11"/>
      <c r="F5485" s="11"/>
      <c r="G5485" s="11"/>
      <c r="H5485" s="11"/>
      <c r="I5485" s="15"/>
    </row>
    <row r="5486" spans="1:9" ht="16.5">
      <c r="A5486" s="10" t="b">
        <v>0</v>
      </c>
      <c r="B5486" s="11" t="str">
        <f>IF(D5486&lt;&gt;"",IF(COUNTIF('USPTO TMs'!A:A,D5486)&gt;0,"Yes","No"),"")</f>
        <v/>
      </c>
      <c r="C5486" s="11"/>
      <c r="D5486" s="11"/>
      <c r="E5486" s="11"/>
      <c r="F5486" s="11"/>
      <c r="G5486" s="11"/>
      <c r="H5486" s="11"/>
      <c r="I5486" s="15"/>
    </row>
    <row r="5487" spans="1:9" ht="16.5">
      <c r="A5487" s="10" t="b">
        <v>0</v>
      </c>
      <c r="B5487" s="11" t="str">
        <f>IF(D5487&lt;&gt;"",IF(COUNTIF('USPTO TMs'!A:A,D5487)&gt;0,"Yes","No"),"")</f>
        <v/>
      </c>
      <c r="C5487" s="11"/>
      <c r="D5487" s="11"/>
      <c r="E5487" s="11"/>
      <c r="F5487" s="11"/>
      <c r="G5487" s="11"/>
      <c r="H5487" s="11"/>
      <c r="I5487" s="15"/>
    </row>
    <row r="5488" spans="1:9" ht="16.5">
      <c r="A5488" s="10" t="b">
        <v>0</v>
      </c>
      <c r="B5488" s="11" t="str">
        <f>IF(D5488&lt;&gt;"",IF(COUNTIF('USPTO TMs'!A:A,D5488)&gt;0,"Yes","No"),"")</f>
        <v/>
      </c>
      <c r="C5488" s="11"/>
      <c r="D5488" s="11"/>
      <c r="E5488" s="11"/>
      <c r="F5488" s="11"/>
      <c r="G5488" s="11"/>
      <c r="H5488" s="11"/>
      <c r="I5488" s="15"/>
    </row>
    <row r="5489" spans="1:9" ht="16.5">
      <c r="A5489" s="10" t="b">
        <v>0</v>
      </c>
      <c r="B5489" s="11" t="str">
        <f>IF(D5489&lt;&gt;"",IF(COUNTIF('USPTO TMs'!A:A,D5489)&gt;0,"Yes","No"),"")</f>
        <v/>
      </c>
      <c r="C5489" s="11"/>
      <c r="D5489" s="11"/>
      <c r="E5489" s="11"/>
      <c r="F5489" s="11"/>
      <c r="G5489" s="11"/>
      <c r="H5489" s="11"/>
      <c r="I5489" s="15"/>
    </row>
    <row r="5490" spans="1:9" ht="16.5">
      <c r="A5490" s="10" t="b">
        <v>0</v>
      </c>
      <c r="B5490" s="11" t="str">
        <f>IF(D5490&lt;&gt;"",IF(COUNTIF('USPTO TMs'!A:A,D5490)&gt;0,"Yes","No"),"")</f>
        <v/>
      </c>
      <c r="C5490" s="11"/>
      <c r="D5490" s="11"/>
      <c r="E5490" s="11"/>
      <c r="F5490" s="11"/>
      <c r="G5490" s="11"/>
      <c r="H5490" s="11"/>
      <c r="I5490" s="15"/>
    </row>
    <row r="5491" spans="1:9" ht="16.5">
      <c r="A5491" s="10" t="b">
        <v>0</v>
      </c>
      <c r="B5491" s="11" t="str">
        <f>IF(D5491&lt;&gt;"",IF(COUNTIF('USPTO TMs'!A:A,D5491)&gt;0,"Yes","No"),"")</f>
        <v/>
      </c>
      <c r="C5491" s="11"/>
      <c r="D5491" s="11"/>
      <c r="E5491" s="11"/>
      <c r="F5491" s="11"/>
      <c r="G5491" s="11"/>
      <c r="H5491" s="11"/>
      <c r="I5491" s="15"/>
    </row>
    <row r="5492" spans="1:9" ht="16.5">
      <c r="A5492" s="10" t="b">
        <v>0</v>
      </c>
      <c r="B5492" s="11" t="str">
        <f>IF(D5492&lt;&gt;"",IF(COUNTIF('USPTO TMs'!A:A,D5492)&gt;0,"Yes","No"),"")</f>
        <v/>
      </c>
      <c r="C5492" s="11"/>
      <c r="D5492" s="11"/>
      <c r="E5492" s="11"/>
      <c r="F5492" s="11"/>
      <c r="G5492" s="11"/>
      <c r="H5492" s="11"/>
      <c r="I5492" s="15"/>
    </row>
    <row r="5493" spans="1:9" ht="16.5">
      <c r="A5493" s="10" t="b">
        <v>0</v>
      </c>
      <c r="B5493" s="11" t="str">
        <f>IF(D5493&lt;&gt;"",IF(COUNTIF('USPTO TMs'!A:A,D5493)&gt;0,"Yes","No"),"")</f>
        <v/>
      </c>
      <c r="C5493" s="11"/>
      <c r="D5493" s="11"/>
      <c r="E5493" s="11"/>
      <c r="F5493" s="11"/>
      <c r="G5493" s="11"/>
      <c r="H5493" s="11"/>
      <c r="I5493" s="15"/>
    </row>
    <row r="5494" spans="1:9" ht="16.5">
      <c r="A5494" s="10" t="b">
        <v>0</v>
      </c>
      <c r="B5494" s="11" t="str">
        <f>IF(D5494&lt;&gt;"",IF(COUNTIF('USPTO TMs'!A:A,D5494)&gt;0,"Yes","No"),"")</f>
        <v/>
      </c>
      <c r="C5494" s="11"/>
      <c r="D5494" s="11"/>
      <c r="E5494" s="11"/>
      <c r="F5494" s="11"/>
      <c r="G5494" s="11"/>
      <c r="H5494" s="11"/>
      <c r="I5494" s="15"/>
    </row>
    <row r="5495" spans="1:9" ht="16.5">
      <c r="A5495" s="10" t="b">
        <v>0</v>
      </c>
      <c r="B5495" s="11" t="str">
        <f>IF(D5495&lt;&gt;"",IF(COUNTIF('USPTO TMs'!A:A,D5495)&gt;0,"Yes","No"),"")</f>
        <v/>
      </c>
      <c r="C5495" s="11"/>
      <c r="D5495" s="11"/>
      <c r="E5495" s="11"/>
      <c r="F5495" s="11"/>
      <c r="G5495" s="11"/>
      <c r="H5495" s="11"/>
      <c r="I5495" s="15"/>
    </row>
    <row r="5496" spans="1:9" ht="16.5">
      <c r="A5496" s="10" t="b">
        <v>0</v>
      </c>
      <c r="B5496" s="11" t="str">
        <f>IF(D5496&lt;&gt;"",IF(COUNTIF('USPTO TMs'!A:A,D5496)&gt;0,"Yes","No"),"")</f>
        <v/>
      </c>
      <c r="C5496" s="11"/>
      <c r="D5496" s="11"/>
      <c r="E5496" s="11"/>
      <c r="F5496" s="11"/>
      <c r="G5496" s="11"/>
      <c r="H5496" s="11"/>
      <c r="I5496" s="15"/>
    </row>
    <row r="5497" spans="1:9" ht="16.5">
      <c r="A5497" s="10" t="b">
        <v>0</v>
      </c>
      <c r="B5497" s="11" t="str">
        <f>IF(D5497&lt;&gt;"",IF(COUNTIF('USPTO TMs'!A:A,D5497)&gt;0,"Yes","No"),"")</f>
        <v/>
      </c>
      <c r="C5497" s="11"/>
      <c r="D5497" s="11"/>
      <c r="E5497" s="11"/>
      <c r="F5497" s="11"/>
      <c r="G5497" s="11"/>
      <c r="H5497" s="11"/>
      <c r="I5497" s="15"/>
    </row>
    <row r="5498" spans="1:9" ht="16.5">
      <c r="A5498" s="10" t="b">
        <v>0</v>
      </c>
      <c r="B5498" s="11" t="str">
        <f>IF(D5498&lt;&gt;"",IF(COUNTIF('USPTO TMs'!A:A,D5498)&gt;0,"Yes","No"),"")</f>
        <v/>
      </c>
      <c r="C5498" s="11"/>
      <c r="D5498" s="11"/>
      <c r="E5498" s="11"/>
      <c r="F5498" s="11"/>
      <c r="G5498" s="11"/>
      <c r="H5498" s="11"/>
      <c r="I5498" s="15"/>
    </row>
    <row r="5499" spans="1:9" ht="16.5">
      <c r="A5499" s="10" t="b">
        <v>0</v>
      </c>
      <c r="B5499" s="11" t="str">
        <f>IF(D5499&lt;&gt;"",IF(COUNTIF('USPTO TMs'!A:A,D5499)&gt;0,"Yes","No"),"")</f>
        <v/>
      </c>
      <c r="C5499" s="11"/>
      <c r="D5499" s="11"/>
      <c r="E5499" s="11"/>
      <c r="F5499" s="11"/>
      <c r="G5499" s="11"/>
      <c r="H5499" s="11"/>
      <c r="I5499" s="15"/>
    </row>
    <row r="5500" spans="1:9" ht="16.5">
      <c r="A5500" s="10" t="b">
        <v>0</v>
      </c>
      <c r="B5500" s="11" t="str">
        <f>IF(D5500&lt;&gt;"",IF(COUNTIF('USPTO TMs'!A:A,D5500)&gt;0,"Yes","No"),"")</f>
        <v/>
      </c>
      <c r="C5500" s="11"/>
      <c r="D5500" s="11"/>
      <c r="E5500" s="11"/>
      <c r="F5500" s="11"/>
      <c r="G5500" s="11"/>
      <c r="H5500" s="11"/>
      <c r="I5500" s="15"/>
    </row>
    <row r="5501" spans="1:9" ht="16.5">
      <c r="A5501" s="10" t="b">
        <v>0</v>
      </c>
      <c r="B5501" s="11" t="str">
        <f>IF(D5501&lt;&gt;"",IF(COUNTIF('USPTO TMs'!A:A,D5501)&gt;0,"Yes","No"),"")</f>
        <v/>
      </c>
      <c r="C5501" s="11"/>
      <c r="D5501" s="11"/>
      <c r="E5501" s="11"/>
      <c r="F5501" s="11"/>
      <c r="G5501" s="11"/>
      <c r="H5501" s="11"/>
      <c r="I5501" s="15"/>
    </row>
    <row r="5502" spans="1:9" ht="16.5">
      <c r="A5502" s="10" t="b">
        <v>0</v>
      </c>
      <c r="B5502" s="11" t="str">
        <f>IF(D5502&lt;&gt;"",IF(COUNTIF('USPTO TMs'!A:A,D5502)&gt;0,"Yes","No"),"")</f>
        <v/>
      </c>
      <c r="C5502" s="11"/>
      <c r="D5502" s="11"/>
      <c r="E5502" s="11"/>
      <c r="F5502" s="11"/>
      <c r="G5502" s="11"/>
      <c r="H5502" s="11"/>
      <c r="I5502" s="15"/>
    </row>
    <row r="5503" spans="1:9" ht="16.5">
      <c r="A5503" s="10" t="b">
        <v>0</v>
      </c>
      <c r="B5503" s="11" t="str">
        <f>IF(D5503&lt;&gt;"",IF(COUNTIF('USPTO TMs'!A:A,D5503)&gt;0,"Yes","No"),"")</f>
        <v/>
      </c>
      <c r="C5503" s="11"/>
      <c r="D5503" s="11"/>
      <c r="E5503" s="11"/>
      <c r="F5503" s="11"/>
      <c r="G5503" s="11"/>
      <c r="H5503" s="11"/>
      <c r="I5503" s="15"/>
    </row>
    <row r="5504" spans="1:9" ht="16.5">
      <c r="A5504" s="10" t="b">
        <v>0</v>
      </c>
      <c r="B5504" s="11" t="str">
        <f>IF(D5504&lt;&gt;"",IF(COUNTIF('USPTO TMs'!A:A,D5504)&gt;0,"Yes","No"),"")</f>
        <v/>
      </c>
      <c r="C5504" s="11"/>
      <c r="D5504" s="11"/>
      <c r="E5504" s="11"/>
      <c r="F5504" s="11"/>
      <c r="G5504" s="11"/>
      <c r="H5504" s="11"/>
      <c r="I5504" s="15"/>
    </row>
    <row r="5505" spans="1:9" ht="16.5">
      <c r="A5505" s="10" t="b">
        <v>0</v>
      </c>
      <c r="B5505" s="11" t="str">
        <f>IF(D5505&lt;&gt;"",IF(COUNTIF('USPTO TMs'!A:A,D5505)&gt;0,"Yes","No"),"")</f>
        <v/>
      </c>
      <c r="C5505" s="11"/>
      <c r="D5505" s="11"/>
      <c r="E5505" s="11"/>
      <c r="F5505" s="11"/>
      <c r="G5505" s="11"/>
      <c r="H5505" s="11"/>
      <c r="I5505" s="15"/>
    </row>
    <row r="5506" spans="1:9" ht="16.5">
      <c r="A5506" s="10" t="b">
        <v>0</v>
      </c>
      <c r="B5506" s="11" t="str">
        <f>IF(D5506&lt;&gt;"",IF(COUNTIF('USPTO TMs'!A:A,D5506)&gt;0,"Yes","No"),"")</f>
        <v/>
      </c>
      <c r="C5506" s="11"/>
      <c r="D5506" s="11"/>
      <c r="E5506" s="11"/>
      <c r="F5506" s="11"/>
      <c r="G5506" s="11"/>
      <c r="H5506" s="11"/>
      <c r="I5506" s="15"/>
    </row>
    <row r="5507" spans="1:9" ht="16.5">
      <c r="A5507" s="10" t="b">
        <v>0</v>
      </c>
      <c r="B5507" s="11" t="str">
        <f>IF(D5507&lt;&gt;"",IF(COUNTIF('USPTO TMs'!A:A,D5507)&gt;0,"Yes","No"),"")</f>
        <v/>
      </c>
      <c r="C5507" s="11"/>
      <c r="D5507" s="11"/>
      <c r="E5507" s="11"/>
      <c r="F5507" s="11"/>
      <c r="G5507" s="11"/>
      <c r="H5507" s="11"/>
      <c r="I5507" s="15"/>
    </row>
    <row r="5508" spans="1:9" ht="16.5">
      <c r="A5508" s="10" t="b">
        <v>0</v>
      </c>
      <c r="B5508" s="11" t="str">
        <f>IF(D5508&lt;&gt;"",IF(COUNTIF('USPTO TMs'!A:A,D5508)&gt;0,"Yes","No"),"")</f>
        <v/>
      </c>
      <c r="C5508" s="11"/>
      <c r="D5508" s="11"/>
      <c r="E5508" s="11"/>
      <c r="F5508" s="11"/>
      <c r="G5508" s="11"/>
      <c r="H5508" s="11"/>
      <c r="I5508" s="15"/>
    </row>
    <row r="5509" spans="1:9" ht="16.5">
      <c r="A5509" s="10" t="b">
        <v>0</v>
      </c>
      <c r="B5509" s="11" t="str">
        <f>IF(D5509&lt;&gt;"",IF(COUNTIF('USPTO TMs'!A:A,D5509)&gt;0,"Yes","No"),"")</f>
        <v/>
      </c>
      <c r="C5509" s="11"/>
      <c r="D5509" s="11"/>
      <c r="E5509" s="11"/>
      <c r="F5509" s="11"/>
      <c r="G5509" s="11"/>
      <c r="H5509" s="11"/>
      <c r="I5509" s="15"/>
    </row>
    <row r="5510" spans="1:9" ht="16.5">
      <c r="A5510" s="10" t="b">
        <v>0</v>
      </c>
      <c r="B5510" s="11" t="str">
        <f>IF(D5510&lt;&gt;"",IF(COUNTIF('USPTO TMs'!A:A,D5510)&gt;0,"Yes","No"),"")</f>
        <v/>
      </c>
      <c r="C5510" s="11"/>
      <c r="D5510" s="11"/>
      <c r="E5510" s="11"/>
      <c r="F5510" s="11"/>
      <c r="G5510" s="11"/>
      <c r="H5510" s="11"/>
      <c r="I5510" s="15"/>
    </row>
    <row r="5511" spans="1:9" ht="16.5">
      <c r="A5511" s="10" t="b">
        <v>0</v>
      </c>
      <c r="B5511" s="11" t="str">
        <f>IF(D5511&lt;&gt;"",IF(COUNTIF('USPTO TMs'!A:A,D5511)&gt;0,"Yes","No"),"")</f>
        <v/>
      </c>
      <c r="C5511" s="11"/>
      <c r="D5511" s="11"/>
      <c r="E5511" s="11"/>
      <c r="F5511" s="11"/>
      <c r="G5511" s="11"/>
      <c r="H5511" s="11"/>
      <c r="I5511" s="15"/>
    </row>
    <row r="5512" spans="1:9" ht="16.5">
      <c r="A5512" s="10" t="b">
        <v>0</v>
      </c>
      <c r="B5512" s="11" t="str">
        <f>IF(D5512&lt;&gt;"",IF(COUNTIF('USPTO TMs'!A:A,D5512)&gt;0,"Yes","No"),"")</f>
        <v/>
      </c>
      <c r="C5512" s="11"/>
      <c r="D5512" s="11"/>
      <c r="E5512" s="11"/>
      <c r="F5512" s="11"/>
      <c r="G5512" s="11"/>
      <c r="H5512" s="11"/>
      <c r="I5512" s="15"/>
    </row>
    <row r="5513" spans="1:9" ht="16.5">
      <c r="A5513" s="10" t="b">
        <v>0</v>
      </c>
      <c r="B5513" s="11" t="str">
        <f>IF(D5513&lt;&gt;"",IF(COUNTIF('USPTO TMs'!A:A,D5513)&gt;0,"Yes","No"),"")</f>
        <v/>
      </c>
      <c r="C5513" s="11"/>
      <c r="D5513" s="11"/>
      <c r="E5513" s="11"/>
      <c r="F5513" s="11"/>
      <c r="G5513" s="11"/>
      <c r="H5513" s="11"/>
      <c r="I5513" s="15"/>
    </row>
    <row r="5514" spans="1:9" ht="16.5">
      <c r="A5514" s="10" t="b">
        <v>0</v>
      </c>
      <c r="B5514" s="11" t="str">
        <f>IF(D5514&lt;&gt;"",IF(COUNTIF('USPTO TMs'!A:A,D5514)&gt;0,"Yes","No"),"")</f>
        <v/>
      </c>
      <c r="C5514" s="11"/>
      <c r="D5514" s="11"/>
      <c r="E5514" s="11"/>
      <c r="F5514" s="11"/>
      <c r="G5514" s="11"/>
      <c r="H5514" s="11"/>
      <c r="I5514" s="15"/>
    </row>
    <row r="5515" spans="1:9" ht="16.5">
      <c r="A5515" s="10" t="b">
        <v>0</v>
      </c>
      <c r="B5515" s="11" t="str">
        <f>IF(D5515&lt;&gt;"",IF(COUNTIF('USPTO TMs'!A:A,D5515)&gt;0,"Yes","No"),"")</f>
        <v/>
      </c>
      <c r="C5515" s="11"/>
      <c r="D5515" s="11"/>
      <c r="E5515" s="11"/>
      <c r="F5515" s="11"/>
      <c r="G5515" s="11"/>
      <c r="H5515" s="11"/>
      <c r="I5515" s="15"/>
    </row>
    <row r="5516" spans="1:9" ht="16.5">
      <c r="A5516" s="10" t="b">
        <v>0</v>
      </c>
      <c r="B5516" s="11" t="str">
        <f>IF(D5516&lt;&gt;"",IF(COUNTIF('USPTO TMs'!A:A,D5516)&gt;0,"Yes","No"),"")</f>
        <v/>
      </c>
      <c r="C5516" s="11"/>
      <c r="D5516" s="11"/>
      <c r="E5516" s="11"/>
      <c r="F5516" s="11"/>
      <c r="G5516" s="11"/>
      <c r="H5516" s="11"/>
      <c r="I5516" s="15"/>
    </row>
    <row r="5517" spans="1:9" ht="16.5">
      <c r="A5517" s="10" t="b">
        <v>0</v>
      </c>
      <c r="B5517" s="11" t="str">
        <f>IF(D5517&lt;&gt;"",IF(COUNTIF('USPTO TMs'!A:A,D5517)&gt;0,"Yes","No"),"")</f>
        <v/>
      </c>
      <c r="C5517" s="11"/>
      <c r="D5517" s="11"/>
      <c r="E5517" s="11"/>
      <c r="F5517" s="11"/>
      <c r="G5517" s="11"/>
      <c r="H5517" s="11"/>
      <c r="I5517" s="15"/>
    </row>
    <row r="5518" spans="1:9" ht="16.5">
      <c r="A5518" s="10" t="b">
        <v>0</v>
      </c>
      <c r="B5518" s="11" t="str">
        <f>IF(D5518&lt;&gt;"",IF(COUNTIF('USPTO TMs'!A:A,D5518)&gt;0,"Yes","No"),"")</f>
        <v/>
      </c>
      <c r="C5518" s="11"/>
      <c r="D5518" s="11"/>
      <c r="E5518" s="11"/>
      <c r="F5518" s="11"/>
      <c r="G5518" s="11"/>
      <c r="H5518" s="11"/>
      <c r="I5518" s="15"/>
    </row>
    <row r="5519" spans="1:9" ht="16.5">
      <c r="A5519" s="10" t="b">
        <v>0</v>
      </c>
      <c r="B5519" s="11" t="str">
        <f>IF(D5519&lt;&gt;"",IF(COUNTIF('USPTO TMs'!A:A,D5519)&gt;0,"Yes","No"),"")</f>
        <v/>
      </c>
      <c r="C5519" s="11"/>
      <c r="D5519" s="11"/>
      <c r="E5519" s="11"/>
      <c r="F5519" s="11"/>
      <c r="G5519" s="11"/>
      <c r="H5519" s="11"/>
      <c r="I5519" s="15"/>
    </row>
    <row r="5520" spans="1:9" ht="16.5">
      <c r="A5520" s="10" t="b">
        <v>0</v>
      </c>
      <c r="B5520" s="11" t="str">
        <f>IF(D5520&lt;&gt;"",IF(COUNTIF('USPTO TMs'!A:A,D5520)&gt;0,"Yes","No"),"")</f>
        <v/>
      </c>
      <c r="C5520" s="11"/>
      <c r="D5520" s="11"/>
      <c r="E5520" s="11"/>
      <c r="F5520" s="11"/>
      <c r="G5520" s="11"/>
      <c r="H5520" s="11"/>
      <c r="I5520" s="15"/>
    </row>
    <row r="5521" spans="1:9" ht="16.5">
      <c r="A5521" s="10" t="b">
        <v>0</v>
      </c>
      <c r="B5521" s="11" t="str">
        <f>IF(D5521&lt;&gt;"",IF(COUNTIF('USPTO TMs'!A:A,D5521)&gt;0,"Yes","No"),"")</f>
        <v/>
      </c>
      <c r="C5521" s="11"/>
      <c r="D5521" s="11"/>
      <c r="E5521" s="11"/>
      <c r="F5521" s="11"/>
      <c r="G5521" s="11"/>
      <c r="H5521" s="11"/>
      <c r="I5521" s="15"/>
    </row>
    <row r="5522" spans="1:9" ht="16.5">
      <c r="A5522" s="10" t="b">
        <v>0</v>
      </c>
      <c r="B5522" s="11" t="str">
        <f>IF(D5522&lt;&gt;"",IF(COUNTIF('USPTO TMs'!A:A,D5522)&gt;0,"Yes","No"),"")</f>
        <v/>
      </c>
      <c r="C5522" s="11"/>
      <c r="D5522" s="11"/>
      <c r="E5522" s="11"/>
      <c r="F5522" s="11"/>
      <c r="G5522" s="11"/>
      <c r="H5522" s="11"/>
      <c r="I5522" s="15"/>
    </row>
    <row r="5523" spans="1:9" ht="16.5">
      <c r="A5523" s="10" t="b">
        <v>0</v>
      </c>
      <c r="B5523" s="11" t="str">
        <f>IF(D5523&lt;&gt;"",IF(COUNTIF('USPTO TMs'!A:A,D5523)&gt;0,"Yes","No"),"")</f>
        <v/>
      </c>
      <c r="C5523" s="11"/>
      <c r="D5523" s="11"/>
      <c r="E5523" s="11"/>
      <c r="F5523" s="11"/>
      <c r="G5523" s="11"/>
      <c r="H5523" s="11"/>
      <c r="I5523" s="15"/>
    </row>
    <row r="5524" spans="1:9" ht="16.5">
      <c r="A5524" s="10" t="b">
        <v>0</v>
      </c>
      <c r="B5524" s="11" t="str">
        <f>IF(D5524&lt;&gt;"",IF(COUNTIF('USPTO TMs'!A:A,D5524)&gt;0,"Yes","No"),"")</f>
        <v/>
      </c>
      <c r="C5524" s="11"/>
      <c r="D5524" s="11"/>
      <c r="E5524" s="11"/>
      <c r="F5524" s="11"/>
      <c r="G5524" s="11"/>
      <c r="H5524" s="11"/>
      <c r="I5524" s="15"/>
    </row>
    <row r="5525" spans="1:9" ht="16.5">
      <c r="A5525" s="10" t="b">
        <v>0</v>
      </c>
      <c r="B5525" s="11" t="str">
        <f>IF(D5525&lt;&gt;"",IF(COUNTIF('USPTO TMs'!A:A,D5525)&gt;0,"Yes","No"),"")</f>
        <v/>
      </c>
      <c r="C5525" s="11"/>
      <c r="D5525" s="11"/>
      <c r="E5525" s="11"/>
      <c r="F5525" s="11"/>
      <c r="G5525" s="11"/>
      <c r="H5525" s="11"/>
      <c r="I5525" s="15"/>
    </row>
    <row r="5526" spans="1:9" ht="16.5">
      <c r="A5526" s="10" t="b">
        <v>0</v>
      </c>
      <c r="B5526" s="11" t="str">
        <f>IF(D5526&lt;&gt;"",IF(COUNTIF('USPTO TMs'!A:A,D5526)&gt;0,"Yes","No"),"")</f>
        <v/>
      </c>
      <c r="C5526" s="11"/>
      <c r="D5526" s="11"/>
      <c r="E5526" s="11"/>
      <c r="F5526" s="11"/>
      <c r="G5526" s="11"/>
      <c r="H5526" s="11"/>
      <c r="I5526" s="15"/>
    </row>
    <row r="5527" spans="1:9" ht="16.5">
      <c r="A5527" s="10" t="b">
        <v>0</v>
      </c>
      <c r="B5527" s="11" t="str">
        <f>IF(D5527&lt;&gt;"",IF(COUNTIF('USPTO TMs'!A:A,D5527)&gt;0,"Yes","No"),"")</f>
        <v/>
      </c>
      <c r="C5527" s="11"/>
      <c r="D5527" s="11"/>
      <c r="E5527" s="11"/>
      <c r="F5527" s="11"/>
      <c r="G5527" s="11"/>
      <c r="H5527" s="11"/>
      <c r="I5527" s="15"/>
    </row>
    <row r="5528" spans="1:9" ht="16.5">
      <c r="A5528" s="10" t="b">
        <v>0</v>
      </c>
      <c r="B5528" s="11" t="str">
        <f>IF(D5528&lt;&gt;"",IF(COUNTIF('USPTO TMs'!A:A,D5528)&gt;0,"Yes","No"),"")</f>
        <v/>
      </c>
      <c r="C5528" s="11"/>
      <c r="D5528" s="11"/>
      <c r="E5528" s="11"/>
      <c r="F5528" s="11"/>
      <c r="G5528" s="11"/>
      <c r="H5528" s="11"/>
      <c r="I5528" s="15"/>
    </row>
    <row r="5529" spans="1:9" ht="16.5">
      <c r="A5529" s="10" t="b">
        <v>0</v>
      </c>
      <c r="B5529" s="11" t="str">
        <f>IF(D5529&lt;&gt;"",IF(COUNTIF('USPTO TMs'!A:A,D5529)&gt;0,"Yes","No"),"")</f>
        <v/>
      </c>
      <c r="C5529" s="11"/>
      <c r="D5529" s="11"/>
      <c r="E5529" s="11"/>
      <c r="F5529" s="11"/>
      <c r="G5529" s="11"/>
      <c r="H5529" s="11"/>
      <c r="I5529" s="15"/>
    </row>
    <row r="5530" spans="1:9" ht="16.5">
      <c r="A5530" s="10" t="b">
        <v>0</v>
      </c>
      <c r="B5530" s="11" t="str">
        <f>IF(D5530&lt;&gt;"",IF(COUNTIF('USPTO TMs'!A:A,D5530)&gt;0,"Yes","No"),"")</f>
        <v/>
      </c>
      <c r="C5530" s="11"/>
      <c r="D5530" s="11"/>
      <c r="E5530" s="11"/>
      <c r="F5530" s="11"/>
      <c r="G5530" s="11"/>
      <c r="H5530" s="11"/>
      <c r="I5530" s="15"/>
    </row>
    <row r="5531" spans="1:9" ht="16.5">
      <c r="A5531" s="10" t="b">
        <v>0</v>
      </c>
      <c r="B5531" s="11" t="str">
        <f>IF(D5531&lt;&gt;"",IF(COUNTIF('USPTO TMs'!A:A,D5531)&gt;0,"Yes","No"),"")</f>
        <v/>
      </c>
      <c r="C5531" s="11"/>
      <c r="D5531" s="11"/>
      <c r="E5531" s="11"/>
      <c r="F5531" s="11"/>
      <c r="G5531" s="11"/>
      <c r="H5531" s="11"/>
      <c r="I5531" s="15"/>
    </row>
    <row r="5532" spans="1:9" ht="16.5">
      <c r="A5532" s="10" t="b">
        <v>0</v>
      </c>
      <c r="B5532" s="11" t="str">
        <f>IF(D5532&lt;&gt;"",IF(COUNTIF('USPTO TMs'!A:A,D5532)&gt;0,"Yes","No"),"")</f>
        <v/>
      </c>
      <c r="C5532" s="11"/>
      <c r="D5532" s="11"/>
      <c r="E5532" s="11"/>
      <c r="F5532" s="11"/>
      <c r="G5532" s="11"/>
      <c r="H5532" s="11"/>
      <c r="I5532" s="15"/>
    </row>
    <row r="5533" spans="1:9" ht="16.5">
      <c r="A5533" s="10" t="b">
        <v>0</v>
      </c>
      <c r="B5533" s="11" t="str">
        <f>IF(D5533&lt;&gt;"",IF(COUNTIF('USPTO TMs'!A:A,D5533)&gt;0,"Yes","No"),"")</f>
        <v/>
      </c>
      <c r="C5533" s="11"/>
      <c r="D5533" s="11"/>
      <c r="E5533" s="11"/>
      <c r="F5533" s="11"/>
      <c r="G5533" s="11"/>
      <c r="H5533" s="11"/>
      <c r="I5533" s="15"/>
    </row>
    <row r="5534" spans="1:9" ht="16.5">
      <c r="A5534" s="10" t="b">
        <v>0</v>
      </c>
      <c r="B5534" s="11" t="str">
        <f>IF(D5534&lt;&gt;"",IF(COUNTIF('USPTO TMs'!A:A,D5534)&gt;0,"Yes","No"),"")</f>
        <v/>
      </c>
      <c r="C5534" s="11"/>
      <c r="D5534" s="11"/>
      <c r="E5534" s="11"/>
      <c r="F5534" s="11"/>
      <c r="G5534" s="11"/>
      <c r="H5534" s="11"/>
      <c r="I5534" s="15"/>
    </row>
    <row r="5535" spans="1:9" ht="16.5">
      <c r="A5535" s="10" t="b">
        <v>0</v>
      </c>
      <c r="B5535" s="11" t="str">
        <f>IF(D5535&lt;&gt;"",IF(COUNTIF('USPTO TMs'!A:A,D5535)&gt;0,"Yes","No"),"")</f>
        <v/>
      </c>
      <c r="C5535" s="11"/>
      <c r="D5535" s="11"/>
      <c r="E5535" s="11"/>
      <c r="F5535" s="11"/>
      <c r="G5535" s="11"/>
      <c r="H5535" s="11"/>
      <c r="I5535" s="15"/>
    </row>
    <row r="5536" spans="1:9" ht="16.5">
      <c r="A5536" s="10" t="b">
        <v>0</v>
      </c>
      <c r="B5536" s="11" t="str">
        <f>IF(D5536&lt;&gt;"",IF(COUNTIF('USPTO TMs'!A:A,D5536)&gt;0,"Yes","No"),"")</f>
        <v/>
      </c>
      <c r="C5536" s="11"/>
      <c r="D5536" s="11"/>
      <c r="E5536" s="11"/>
      <c r="F5536" s="11"/>
      <c r="G5536" s="11"/>
      <c r="H5536" s="11"/>
      <c r="I5536" s="15"/>
    </row>
    <row r="5537" spans="1:9" ht="16.5">
      <c r="A5537" s="10" t="b">
        <v>0</v>
      </c>
      <c r="B5537" s="11" t="str">
        <f>IF(D5537&lt;&gt;"",IF(COUNTIF('USPTO TMs'!A:A,D5537)&gt;0,"Yes","No"),"")</f>
        <v/>
      </c>
      <c r="C5537" s="11"/>
      <c r="D5537" s="11"/>
      <c r="E5537" s="11"/>
      <c r="F5537" s="11"/>
      <c r="G5537" s="11"/>
      <c r="H5537" s="11"/>
      <c r="I5537" s="15"/>
    </row>
    <row r="5538" spans="1:9" ht="16.5">
      <c r="A5538" s="10" t="b">
        <v>0</v>
      </c>
      <c r="B5538" s="11" t="str">
        <f>IF(D5538&lt;&gt;"",IF(COUNTIF('USPTO TMs'!A:A,D5538)&gt;0,"Yes","No"),"")</f>
        <v/>
      </c>
      <c r="C5538" s="11"/>
      <c r="D5538" s="11"/>
      <c r="E5538" s="11"/>
      <c r="F5538" s="11"/>
      <c r="G5538" s="11"/>
      <c r="H5538" s="11"/>
      <c r="I5538" s="15"/>
    </row>
    <row r="5539" spans="1:9" ht="16.5">
      <c r="A5539" s="10" t="b">
        <v>0</v>
      </c>
      <c r="B5539" s="11" t="str">
        <f>IF(D5539&lt;&gt;"",IF(COUNTIF('USPTO TMs'!A:A,D5539)&gt;0,"Yes","No"),"")</f>
        <v/>
      </c>
      <c r="C5539" s="11"/>
      <c r="D5539" s="11"/>
      <c r="E5539" s="11"/>
      <c r="F5539" s="11"/>
      <c r="G5539" s="11"/>
      <c r="H5539" s="11"/>
      <c r="I5539" s="15"/>
    </row>
    <row r="5540" spans="1:9" ht="16.5">
      <c r="A5540" s="10" t="b">
        <v>0</v>
      </c>
      <c r="B5540" s="11" t="str">
        <f>IF(D5540&lt;&gt;"",IF(COUNTIF('USPTO TMs'!A:A,D5540)&gt;0,"Yes","No"),"")</f>
        <v/>
      </c>
      <c r="C5540" s="11"/>
      <c r="D5540" s="11"/>
      <c r="E5540" s="11"/>
      <c r="F5540" s="11"/>
      <c r="G5540" s="11"/>
      <c r="H5540" s="11"/>
      <c r="I5540" s="15"/>
    </row>
    <row r="5541" spans="1:9" ht="16.5">
      <c r="A5541" s="10" t="b">
        <v>0</v>
      </c>
      <c r="B5541" s="11" t="str">
        <f>IF(D5541&lt;&gt;"",IF(COUNTIF('USPTO TMs'!A:A,D5541)&gt;0,"Yes","No"),"")</f>
        <v/>
      </c>
      <c r="C5541" s="11"/>
      <c r="D5541" s="11"/>
      <c r="E5541" s="11"/>
      <c r="F5541" s="11"/>
      <c r="G5541" s="11"/>
      <c r="H5541" s="11"/>
      <c r="I5541" s="15"/>
    </row>
    <row r="5542" spans="1:9" ht="16.5">
      <c r="A5542" s="10" t="b">
        <v>0</v>
      </c>
      <c r="B5542" s="11" t="str">
        <f>IF(D5542&lt;&gt;"",IF(COUNTIF('USPTO TMs'!A:A,D5542)&gt;0,"Yes","No"),"")</f>
        <v/>
      </c>
      <c r="C5542" s="11"/>
      <c r="D5542" s="11"/>
      <c r="E5542" s="11"/>
      <c r="F5542" s="11"/>
      <c r="G5542" s="11"/>
      <c r="H5542" s="11"/>
      <c r="I5542" s="15"/>
    </row>
    <row r="5543" spans="1:9" ht="16.5">
      <c r="A5543" s="10" t="b">
        <v>0</v>
      </c>
      <c r="B5543" s="11" t="str">
        <f>IF(D5543&lt;&gt;"",IF(COUNTIF('USPTO TMs'!A:A,D5543)&gt;0,"Yes","No"),"")</f>
        <v/>
      </c>
      <c r="C5543" s="11"/>
      <c r="D5543" s="11"/>
      <c r="E5543" s="11"/>
      <c r="F5543" s="11"/>
      <c r="G5543" s="11"/>
      <c r="H5543" s="11"/>
      <c r="I5543" s="15"/>
    </row>
    <row r="5544" spans="1:9" ht="16.5">
      <c r="A5544" s="10" t="b">
        <v>0</v>
      </c>
      <c r="B5544" s="11" t="str">
        <f>IF(D5544&lt;&gt;"",IF(COUNTIF('USPTO TMs'!A:A,D5544)&gt;0,"Yes","No"),"")</f>
        <v/>
      </c>
      <c r="C5544" s="11"/>
      <c r="D5544" s="11"/>
      <c r="E5544" s="11"/>
      <c r="F5544" s="11"/>
      <c r="G5544" s="11"/>
      <c r="H5544" s="11"/>
      <c r="I5544" s="15"/>
    </row>
    <row r="5545" spans="1:9" ht="16.5">
      <c r="A5545" s="10" t="b">
        <v>0</v>
      </c>
      <c r="B5545" s="11" t="str">
        <f>IF(D5545&lt;&gt;"",IF(COUNTIF('USPTO TMs'!A:A,D5545)&gt;0,"Yes","No"),"")</f>
        <v/>
      </c>
      <c r="C5545" s="11"/>
      <c r="D5545" s="11"/>
      <c r="E5545" s="11"/>
      <c r="F5545" s="11"/>
      <c r="G5545" s="11"/>
      <c r="H5545" s="11"/>
      <c r="I5545" s="15"/>
    </row>
    <row r="5546" spans="1:9" ht="16.5">
      <c r="A5546" s="10" t="b">
        <v>0</v>
      </c>
      <c r="B5546" s="11" t="str">
        <f>IF(D5546&lt;&gt;"",IF(COUNTIF('USPTO TMs'!A:A,D5546)&gt;0,"Yes","No"),"")</f>
        <v/>
      </c>
      <c r="C5546" s="11"/>
      <c r="D5546" s="11"/>
      <c r="E5546" s="11"/>
      <c r="F5546" s="11"/>
      <c r="G5546" s="11"/>
      <c r="H5546" s="11"/>
      <c r="I5546" s="15"/>
    </row>
    <row r="5547" spans="1:9" ht="16.5">
      <c r="A5547" s="10" t="b">
        <v>0</v>
      </c>
      <c r="B5547" s="11" t="str">
        <f>IF(D5547&lt;&gt;"",IF(COUNTIF('USPTO TMs'!A:A,D5547)&gt;0,"Yes","No"),"")</f>
        <v/>
      </c>
      <c r="C5547" s="11"/>
      <c r="D5547" s="11"/>
      <c r="E5547" s="11"/>
      <c r="F5547" s="11"/>
      <c r="G5547" s="11"/>
      <c r="H5547" s="11"/>
      <c r="I5547" s="15"/>
    </row>
    <row r="5548" spans="1:9" ht="16.5">
      <c r="A5548" s="10" t="b">
        <v>0</v>
      </c>
      <c r="B5548" s="11" t="str">
        <f>IF(D5548&lt;&gt;"",IF(COUNTIF('USPTO TMs'!A:A,D5548)&gt;0,"Yes","No"),"")</f>
        <v/>
      </c>
      <c r="C5548" s="11"/>
      <c r="D5548" s="11"/>
      <c r="E5548" s="11"/>
      <c r="F5548" s="11"/>
      <c r="G5548" s="11"/>
      <c r="H5548" s="11"/>
      <c r="I5548" s="15"/>
    </row>
    <row r="5549" spans="1:9" ht="16.5">
      <c r="A5549" s="10" t="b">
        <v>0</v>
      </c>
      <c r="B5549" s="11" t="str">
        <f>IF(D5549&lt;&gt;"",IF(COUNTIF('USPTO TMs'!A:A,D5549)&gt;0,"Yes","No"),"")</f>
        <v/>
      </c>
      <c r="C5549" s="11"/>
      <c r="D5549" s="11"/>
      <c r="E5549" s="11"/>
      <c r="F5549" s="11"/>
      <c r="G5549" s="11"/>
      <c r="H5549" s="11"/>
      <c r="I5549" s="15"/>
    </row>
    <row r="5550" spans="1:9" ht="16.5">
      <c r="A5550" s="10" t="b">
        <v>0</v>
      </c>
      <c r="B5550" s="11" t="str">
        <f>IF(D5550&lt;&gt;"",IF(COUNTIF('USPTO TMs'!A:A,D5550)&gt;0,"Yes","No"),"")</f>
        <v/>
      </c>
      <c r="C5550" s="11"/>
      <c r="D5550" s="11"/>
      <c r="E5550" s="11"/>
      <c r="F5550" s="11"/>
      <c r="G5550" s="11"/>
      <c r="H5550" s="11"/>
      <c r="I5550" s="15"/>
    </row>
    <row r="5551" spans="1:9" ht="16.5">
      <c r="A5551" s="10" t="b">
        <v>0</v>
      </c>
      <c r="B5551" s="11" t="str">
        <f>IF(D5551&lt;&gt;"",IF(COUNTIF('USPTO TMs'!A:A,D5551)&gt;0,"Yes","No"),"")</f>
        <v/>
      </c>
      <c r="C5551" s="11"/>
      <c r="D5551" s="11"/>
      <c r="E5551" s="11"/>
      <c r="F5551" s="11"/>
      <c r="G5551" s="11"/>
      <c r="H5551" s="11"/>
      <c r="I5551" s="15"/>
    </row>
    <row r="5552" spans="1:9" ht="16.5">
      <c r="A5552" s="10" t="b">
        <v>0</v>
      </c>
      <c r="B5552" s="11" t="str">
        <f>IF(D5552&lt;&gt;"",IF(COUNTIF('USPTO TMs'!A:A,D5552)&gt;0,"Yes","No"),"")</f>
        <v/>
      </c>
      <c r="C5552" s="11"/>
      <c r="D5552" s="11"/>
      <c r="E5552" s="11"/>
      <c r="F5552" s="11"/>
      <c r="G5552" s="11"/>
      <c r="H5552" s="11"/>
      <c r="I5552" s="15"/>
    </row>
    <row r="5553" spans="1:9" ht="16.5">
      <c r="A5553" s="10" t="b">
        <v>0</v>
      </c>
      <c r="B5553" s="11" t="str">
        <f>IF(D5553&lt;&gt;"",IF(COUNTIF('USPTO TMs'!A:A,D5553)&gt;0,"Yes","No"),"")</f>
        <v/>
      </c>
      <c r="C5553" s="11"/>
      <c r="D5553" s="11"/>
      <c r="E5553" s="11"/>
      <c r="F5553" s="11"/>
      <c r="G5553" s="11"/>
      <c r="H5553" s="11"/>
      <c r="I5553" s="15"/>
    </row>
    <row r="5554" spans="1:9" ht="16.5">
      <c r="A5554" s="10" t="b">
        <v>0</v>
      </c>
      <c r="B5554" s="11" t="str">
        <f>IF(D5554&lt;&gt;"",IF(COUNTIF('USPTO TMs'!A:A,D5554)&gt;0,"Yes","No"),"")</f>
        <v/>
      </c>
      <c r="C5554" s="11"/>
      <c r="D5554" s="11"/>
      <c r="E5554" s="11"/>
      <c r="F5554" s="11"/>
      <c r="G5554" s="11"/>
      <c r="H5554" s="11"/>
      <c r="I5554" s="15"/>
    </row>
    <row r="5555" spans="1:9" ht="16.5">
      <c r="A5555" s="10" t="b">
        <v>0</v>
      </c>
      <c r="B5555" s="11" t="str">
        <f>IF(D5555&lt;&gt;"",IF(COUNTIF('USPTO TMs'!A:A,D5555)&gt;0,"Yes","No"),"")</f>
        <v/>
      </c>
      <c r="C5555" s="11"/>
      <c r="D5555" s="11"/>
      <c r="E5555" s="11"/>
      <c r="F5555" s="11"/>
      <c r="G5555" s="11"/>
      <c r="H5555" s="11"/>
      <c r="I5555" s="15"/>
    </row>
    <row r="5556" spans="1:9" ht="16.5">
      <c r="A5556" s="10" t="b">
        <v>0</v>
      </c>
      <c r="B5556" s="11" t="str">
        <f>IF(D5556&lt;&gt;"",IF(COUNTIF('USPTO TMs'!A:A,D5556)&gt;0,"Yes","No"),"")</f>
        <v/>
      </c>
      <c r="C5556" s="11"/>
      <c r="D5556" s="11"/>
      <c r="E5556" s="11"/>
      <c r="F5556" s="11"/>
      <c r="G5556" s="11"/>
      <c r="H5556" s="11"/>
      <c r="I5556" s="15"/>
    </row>
    <row r="5557" spans="1:9" ht="16.5">
      <c r="A5557" s="10" t="b">
        <v>0</v>
      </c>
      <c r="B5557" s="11" t="str">
        <f>IF(D5557&lt;&gt;"",IF(COUNTIF('USPTO TMs'!A:A,D5557)&gt;0,"Yes","No"),"")</f>
        <v/>
      </c>
      <c r="C5557" s="11"/>
      <c r="D5557" s="11"/>
      <c r="E5557" s="11"/>
      <c r="F5557" s="11"/>
      <c r="G5557" s="11"/>
      <c r="H5557" s="11"/>
      <c r="I5557" s="15"/>
    </row>
    <row r="5558" spans="1:9" ht="16.5">
      <c r="A5558" s="10" t="b">
        <v>0</v>
      </c>
      <c r="B5558" s="11" t="str">
        <f>IF(D5558&lt;&gt;"",IF(COUNTIF('USPTO TMs'!A:A,D5558)&gt;0,"Yes","No"),"")</f>
        <v/>
      </c>
      <c r="C5558" s="11"/>
      <c r="D5558" s="11"/>
      <c r="E5558" s="11"/>
      <c r="F5558" s="11"/>
      <c r="G5558" s="11"/>
      <c r="H5558" s="11"/>
      <c r="I5558" s="15"/>
    </row>
    <row r="5559" spans="1:9" ht="16.5">
      <c r="A5559" s="10" t="b">
        <v>0</v>
      </c>
      <c r="B5559" s="11" t="str">
        <f>IF(D5559&lt;&gt;"",IF(COUNTIF('USPTO TMs'!A:A,D5559)&gt;0,"Yes","No"),"")</f>
        <v/>
      </c>
      <c r="C5559" s="11"/>
      <c r="D5559" s="11"/>
      <c r="E5559" s="11"/>
      <c r="F5559" s="11"/>
      <c r="G5559" s="11"/>
      <c r="H5559" s="11"/>
      <c r="I5559" s="15"/>
    </row>
    <row r="5560" spans="1:9" ht="16.5">
      <c r="A5560" s="10" t="b">
        <v>0</v>
      </c>
      <c r="B5560" s="11" t="str">
        <f>IF(D5560&lt;&gt;"",IF(COUNTIF('USPTO TMs'!A:A,D5560)&gt;0,"Yes","No"),"")</f>
        <v/>
      </c>
      <c r="C5560" s="11"/>
      <c r="D5560" s="11"/>
      <c r="E5560" s="11"/>
      <c r="F5560" s="11"/>
      <c r="G5560" s="11"/>
      <c r="H5560" s="11"/>
      <c r="I5560" s="15"/>
    </row>
    <row r="5561" spans="1:9" ht="16.5">
      <c r="A5561" s="10" t="b">
        <v>0</v>
      </c>
      <c r="B5561" s="11" t="str">
        <f>IF(D5561&lt;&gt;"",IF(COUNTIF('USPTO TMs'!A:A,D5561)&gt;0,"Yes","No"),"")</f>
        <v/>
      </c>
      <c r="C5561" s="11"/>
      <c r="D5561" s="11"/>
      <c r="E5561" s="11"/>
      <c r="F5561" s="11"/>
      <c r="G5561" s="11"/>
      <c r="H5561" s="11"/>
      <c r="I5561" s="15"/>
    </row>
    <row r="5562" spans="1:9" ht="16.5">
      <c r="A5562" s="10" t="b">
        <v>0</v>
      </c>
      <c r="B5562" s="11" t="str">
        <f>IF(D5562&lt;&gt;"",IF(COUNTIF('USPTO TMs'!A:A,D5562)&gt;0,"Yes","No"),"")</f>
        <v/>
      </c>
      <c r="C5562" s="11"/>
      <c r="D5562" s="11"/>
      <c r="E5562" s="11"/>
      <c r="F5562" s="11"/>
      <c r="G5562" s="11"/>
      <c r="H5562" s="11"/>
      <c r="I5562" s="15"/>
    </row>
    <row r="5563" spans="1:9" ht="16.5">
      <c r="A5563" s="10" t="b">
        <v>0</v>
      </c>
      <c r="B5563" s="11" t="str">
        <f>IF(D5563&lt;&gt;"",IF(COUNTIF('USPTO TMs'!A:A,D5563)&gt;0,"Yes","No"),"")</f>
        <v/>
      </c>
      <c r="C5563" s="11"/>
      <c r="D5563" s="11"/>
      <c r="E5563" s="11"/>
      <c r="F5563" s="11"/>
      <c r="G5563" s="11"/>
      <c r="H5563" s="11"/>
      <c r="I5563" s="15"/>
    </row>
    <row r="5564" spans="1:9" ht="16.5">
      <c r="A5564" s="10" t="b">
        <v>0</v>
      </c>
      <c r="B5564" s="11" t="str">
        <f>IF(D5564&lt;&gt;"",IF(COUNTIF('USPTO TMs'!A:A,D5564)&gt;0,"Yes","No"),"")</f>
        <v/>
      </c>
      <c r="C5564" s="11"/>
      <c r="D5564" s="11"/>
      <c r="E5564" s="11"/>
      <c r="F5564" s="11"/>
      <c r="G5564" s="11"/>
      <c r="H5564" s="11"/>
      <c r="I5564" s="15"/>
    </row>
    <row r="5565" spans="1:9" ht="16.5">
      <c r="A5565" s="10" t="b">
        <v>0</v>
      </c>
      <c r="B5565" s="11" t="str">
        <f>IF(D5565&lt;&gt;"",IF(COUNTIF('USPTO TMs'!A:A,D5565)&gt;0,"Yes","No"),"")</f>
        <v/>
      </c>
      <c r="C5565" s="11"/>
      <c r="D5565" s="11"/>
      <c r="E5565" s="11"/>
      <c r="F5565" s="11"/>
      <c r="G5565" s="11"/>
      <c r="H5565" s="11"/>
      <c r="I5565" s="15"/>
    </row>
    <row r="5566" spans="1:9" ht="16.5">
      <c r="A5566" s="10" t="b">
        <v>0</v>
      </c>
      <c r="B5566" s="11" t="str">
        <f>IF(D5566&lt;&gt;"",IF(COUNTIF('USPTO TMs'!A:A,D5566)&gt;0,"Yes","No"),"")</f>
        <v/>
      </c>
      <c r="C5566" s="11"/>
      <c r="D5566" s="11"/>
      <c r="E5566" s="11"/>
      <c r="F5566" s="11"/>
      <c r="G5566" s="11"/>
      <c r="H5566" s="11"/>
      <c r="I5566" s="15"/>
    </row>
    <row r="5567" spans="1:9" ht="16.5">
      <c r="A5567" s="10" t="b">
        <v>0</v>
      </c>
      <c r="B5567" s="11" t="str">
        <f>IF(D5567&lt;&gt;"",IF(COUNTIF('USPTO TMs'!A:A,D5567)&gt;0,"Yes","No"),"")</f>
        <v/>
      </c>
      <c r="C5567" s="11"/>
      <c r="D5567" s="11"/>
      <c r="E5567" s="11"/>
      <c r="F5567" s="11"/>
      <c r="G5567" s="11"/>
      <c r="H5567" s="11"/>
      <c r="I5567" s="15"/>
    </row>
    <row r="5568" spans="1:9" ht="16.5">
      <c r="A5568" s="10" t="b">
        <v>0</v>
      </c>
      <c r="B5568" s="11" t="str">
        <f>IF(D5568&lt;&gt;"",IF(COUNTIF('USPTO TMs'!A:A,D5568)&gt;0,"Yes","No"),"")</f>
        <v/>
      </c>
      <c r="C5568" s="11"/>
      <c r="D5568" s="11"/>
      <c r="E5568" s="11"/>
      <c r="F5568" s="11"/>
      <c r="G5568" s="11"/>
      <c r="H5568" s="11"/>
      <c r="I5568" s="15"/>
    </row>
    <row r="5569" spans="1:9" ht="16.5">
      <c r="A5569" s="10" t="b">
        <v>0</v>
      </c>
      <c r="B5569" s="11" t="str">
        <f>IF(D5569&lt;&gt;"",IF(COUNTIF('USPTO TMs'!A:A,D5569)&gt;0,"Yes","No"),"")</f>
        <v/>
      </c>
      <c r="C5569" s="11"/>
      <c r="D5569" s="11"/>
      <c r="E5569" s="11"/>
      <c r="F5569" s="11"/>
      <c r="G5569" s="11"/>
      <c r="H5569" s="11"/>
      <c r="I5569" s="15"/>
    </row>
    <row r="5570" spans="1:9" ht="16.5">
      <c r="A5570" s="10" t="b">
        <v>0</v>
      </c>
      <c r="B5570" s="11" t="str">
        <f>IF(D5570&lt;&gt;"",IF(COUNTIF('USPTO TMs'!A:A,D5570)&gt;0,"Yes","No"),"")</f>
        <v/>
      </c>
      <c r="C5570" s="11"/>
      <c r="D5570" s="11"/>
      <c r="E5570" s="11"/>
      <c r="F5570" s="11"/>
      <c r="G5570" s="11"/>
      <c r="H5570" s="11"/>
      <c r="I5570" s="15"/>
    </row>
    <row r="5571" spans="1:9" ht="16.5">
      <c r="A5571" s="10" t="b">
        <v>0</v>
      </c>
      <c r="B5571" s="11" t="str">
        <f>IF(D5571&lt;&gt;"",IF(COUNTIF('USPTO TMs'!A:A,D5571)&gt;0,"Yes","No"),"")</f>
        <v/>
      </c>
      <c r="C5571" s="11"/>
      <c r="D5571" s="11"/>
      <c r="E5571" s="11"/>
      <c r="F5571" s="11"/>
      <c r="G5571" s="11"/>
      <c r="H5571" s="11"/>
      <c r="I5571" s="15"/>
    </row>
    <row r="5572" spans="1:9" ht="16.5">
      <c r="A5572" s="10" t="b">
        <v>0</v>
      </c>
      <c r="B5572" s="11" t="str">
        <f>IF(D5572&lt;&gt;"",IF(COUNTIF('USPTO TMs'!A:A,D5572)&gt;0,"Yes","No"),"")</f>
        <v/>
      </c>
      <c r="C5572" s="11"/>
      <c r="D5572" s="11"/>
      <c r="E5572" s="11"/>
      <c r="F5572" s="11"/>
      <c r="G5572" s="11"/>
      <c r="H5572" s="11"/>
      <c r="I5572" s="15"/>
    </row>
    <row r="5573" spans="1:9" ht="16.5">
      <c r="A5573" s="10" t="b">
        <v>0</v>
      </c>
      <c r="B5573" s="11" t="str">
        <f>IF(D5573&lt;&gt;"",IF(COUNTIF('USPTO TMs'!A:A,D5573)&gt;0,"Yes","No"),"")</f>
        <v/>
      </c>
      <c r="C5573" s="11"/>
      <c r="D5573" s="11"/>
      <c r="E5573" s="11"/>
      <c r="F5573" s="11"/>
      <c r="G5573" s="11"/>
      <c r="H5573" s="11"/>
      <c r="I5573" s="15"/>
    </row>
    <row r="5574" spans="1:9" ht="16.5">
      <c r="A5574" s="10" t="b">
        <v>0</v>
      </c>
      <c r="B5574" s="11" t="str">
        <f>IF(D5574&lt;&gt;"",IF(COUNTIF('USPTO TMs'!A:A,D5574)&gt;0,"Yes","No"),"")</f>
        <v/>
      </c>
      <c r="C5574" s="11"/>
      <c r="D5574" s="11"/>
      <c r="E5574" s="11"/>
      <c r="F5574" s="11"/>
      <c r="G5574" s="11"/>
      <c r="H5574" s="11"/>
      <c r="I5574" s="15"/>
    </row>
    <row r="5575" spans="1:9" ht="16.5">
      <c r="A5575" s="10" t="b">
        <v>0</v>
      </c>
      <c r="B5575" s="11" t="str">
        <f>IF(D5575&lt;&gt;"",IF(COUNTIF('USPTO TMs'!A:A,D5575)&gt;0,"Yes","No"),"")</f>
        <v/>
      </c>
      <c r="C5575" s="11"/>
      <c r="D5575" s="11"/>
      <c r="E5575" s="11"/>
      <c r="F5575" s="11"/>
      <c r="G5575" s="11"/>
      <c r="H5575" s="11"/>
      <c r="I5575" s="15"/>
    </row>
    <row r="5576" spans="1:9" ht="16.5">
      <c r="A5576" s="10" t="b">
        <v>0</v>
      </c>
      <c r="B5576" s="11" t="str">
        <f>IF(D5576&lt;&gt;"",IF(COUNTIF('USPTO TMs'!A:A,D5576)&gt;0,"Yes","No"),"")</f>
        <v/>
      </c>
      <c r="C5576" s="11"/>
      <c r="D5576" s="11"/>
      <c r="E5576" s="11"/>
      <c r="F5576" s="11"/>
      <c r="G5576" s="11"/>
      <c r="H5576" s="11"/>
      <c r="I5576" s="15"/>
    </row>
    <row r="5577" spans="1:9" ht="16.5">
      <c r="A5577" s="10" t="b">
        <v>0</v>
      </c>
      <c r="B5577" s="11" t="str">
        <f>IF(D5577&lt;&gt;"",IF(COUNTIF('USPTO TMs'!A:A,D5577)&gt;0,"Yes","No"),"")</f>
        <v/>
      </c>
      <c r="C5577" s="11"/>
      <c r="D5577" s="11"/>
      <c r="E5577" s="11"/>
      <c r="F5577" s="11"/>
      <c r="G5577" s="11"/>
      <c r="H5577" s="11"/>
      <c r="I5577" s="15"/>
    </row>
    <row r="5578" spans="1:9" ht="16.5">
      <c r="A5578" s="10" t="b">
        <v>0</v>
      </c>
      <c r="B5578" s="11" t="str">
        <f>IF(D5578&lt;&gt;"",IF(COUNTIF('USPTO TMs'!A:A,D5578)&gt;0,"Yes","No"),"")</f>
        <v/>
      </c>
      <c r="C5578" s="11"/>
      <c r="D5578" s="11"/>
      <c r="E5578" s="11"/>
      <c r="F5578" s="11"/>
      <c r="G5578" s="11"/>
      <c r="H5578" s="11"/>
      <c r="I5578" s="15"/>
    </row>
    <row r="5579" spans="1:9" ht="16.5">
      <c r="A5579" s="10" t="b">
        <v>0</v>
      </c>
      <c r="B5579" s="11" t="str">
        <f>IF(D5579&lt;&gt;"",IF(COUNTIF('USPTO TMs'!A:A,D5579)&gt;0,"Yes","No"),"")</f>
        <v/>
      </c>
      <c r="C5579" s="11"/>
      <c r="D5579" s="11"/>
      <c r="E5579" s="11"/>
      <c r="F5579" s="11"/>
      <c r="G5579" s="11"/>
      <c r="H5579" s="11"/>
      <c r="I5579" s="15"/>
    </row>
    <row r="5580" spans="1:9" ht="16.5">
      <c r="A5580" s="10" t="b">
        <v>0</v>
      </c>
      <c r="B5580" s="11" t="str">
        <f>IF(D5580&lt;&gt;"",IF(COUNTIF('USPTO TMs'!A:A,D5580)&gt;0,"Yes","No"),"")</f>
        <v/>
      </c>
      <c r="C5580" s="11"/>
      <c r="D5580" s="11"/>
      <c r="E5580" s="11"/>
      <c r="F5580" s="11"/>
      <c r="G5580" s="11"/>
      <c r="H5580" s="11"/>
      <c r="I5580" s="15"/>
    </row>
    <row r="5581" spans="1:9" ht="16.5">
      <c r="A5581" s="10" t="b">
        <v>0</v>
      </c>
      <c r="B5581" s="11" t="str">
        <f>IF(D5581&lt;&gt;"",IF(COUNTIF('USPTO TMs'!A:A,D5581)&gt;0,"Yes","No"),"")</f>
        <v/>
      </c>
      <c r="C5581" s="11"/>
      <c r="D5581" s="11"/>
      <c r="E5581" s="11"/>
      <c r="F5581" s="11"/>
      <c r="G5581" s="11"/>
      <c r="H5581" s="11"/>
      <c r="I5581" s="15"/>
    </row>
    <row r="5582" spans="1:9" ht="16.5">
      <c r="A5582" s="10" t="b">
        <v>0</v>
      </c>
      <c r="B5582" s="11" t="str">
        <f>IF(D5582&lt;&gt;"",IF(COUNTIF('USPTO TMs'!A:A,D5582)&gt;0,"Yes","No"),"")</f>
        <v/>
      </c>
      <c r="C5582" s="11"/>
      <c r="D5582" s="11"/>
      <c r="E5582" s="11"/>
      <c r="F5582" s="11"/>
      <c r="G5582" s="11"/>
      <c r="H5582" s="11"/>
      <c r="I5582" s="15"/>
    </row>
    <row r="5583" spans="1:9" ht="16.5">
      <c r="A5583" s="10" t="b">
        <v>0</v>
      </c>
      <c r="B5583" s="11" t="str">
        <f>IF(D5583&lt;&gt;"",IF(COUNTIF('USPTO TMs'!A:A,D5583)&gt;0,"Yes","No"),"")</f>
        <v/>
      </c>
      <c r="C5583" s="11"/>
      <c r="D5583" s="11"/>
      <c r="E5583" s="11"/>
      <c r="F5583" s="11"/>
      <c r="G5583" s="11"/>
      <c r="H5583" s="11"/>
      <c r="I5583" s="15"/>
    </row>
    <row r="5584" spans="1:9" ht="16.5">
      <c r="A5584" s="10" t="b">
        <v>0</v>
      </c>
      <c r="B5584" s="11" t="str">
        <f>IF(D5584&lt;&gt;"",IF(COUNTIF('USPTO TMs'!A:A,D5584)&gt;0,"Yes","No"),"")</f>
        <v/>
      </c>
      <c r="C5584" s="11"/>
      <c r="D5584" s="11"/>
      <c r="E5584" s="11"/>
      <c r="F5584" s="11"/>
      <c r="G5584" s="11"/>
      <c r="H5584" s="11"/>
      <c r="I5584" s="15"/>
    </row>
    <row r="5585" spans="1:9" ht="16.5">
      <c r="A5585" s="10" t="b">
        <v>0</v>
      </c>
      <c r="B5585" s="11" t="str">
        <f>IF(D5585&lt;&gt;"",IF(COUNTIF('USPTO TMs'!A:A,D5585)&gt;0,"Yes","No"),"")</f>
        <v/>
      </c>
      <c r="C5585" s="11"/>
      <c r="D5585" s="11"/>
      <c r="E5585" s="11"/>
      <c r="F5585" s="11"/>
      <c r="G5585" s="11"/>
      <c r="H5585" s="11"/>
      <c r="I5585" s="15"/>
    </row>
    <row r="5586" spans="1:9" ht="16.5">
      <c r="A5586" s="10" t="b">
        <v>0</v>
      </c>
      <c r="B5586" s="11" t="str">
        <f>IF(D5586&lt;&gt;"",IF(COUNTIF('USPTO TMs'!A:A,D5586)&gt;0,"Yes","No"),"")</f>
        <v/>
      </c>
      <c r="C5586" s="11"/>
      <c r="D5586" s="11"/>
      <c r="E5586" s="11"/>
      <c r="F5586" s="11"/>
      <c r="G5586" s="11"/>
      <c r="H5586" s="11"/>
      <c r="I5586" s="15"/>
    </row>
    <row r="5587" spans="1:9" ht="16.5">
      <c r="A5587" s="10" t="b">
        <v>0</v>
      </c>
      <c r="B5587" s="11" t="str">
        <f>IF(D5587&lt;&gt;"",IF(COUNTIF('USPTO TMs'!A:A,D5587)&gt;0,"Yes","No"),"")</f>
        <v/>
      </c>
      <c r="C5587" s="11"/>
      <c r="D5587" s="11"/>
      <c r="E5587" s="11"/>
      <c r="F5587" s="11"/>
      <c r="G5587" s="11"/>
      <c r="H5587" s="11"/>
      <c r="I5587" s="15"/>
    </row>
    <row r="5588" spans="1:9" ht="16.5">
      <c r="A5588" s="10" t="b">
        <v>0</v>
      </c>
      <c r="B5588" s="11" t="str">
        <f>IF(D5588&lt;&gt;"",IF(COUNTIF('USPTO TMs'!A:A,D5588)&gt;0,"Yes","No"),"")</f>
        <v/>
      </c>
      <c r="C5588" s="11"/>
      <c r="D5588" s="11"/>
      <c r="E5588" s="11"/>
      <c r="F5588" s="11"/>
      <c r="G5588" s="11"/>
      <c r="H5588" s="11"/>
      <c r="I5588" s="15"/>
    </row>
    <row r="5589" spans="1:9" ht="16.5">
      <c r="A5589" s="10" t="b">
        <v>0</v>
      </c>
      <c r="B5589" s="11" t="str">
        <f>IF(D5589&lt;&gt;"",IF(COUNTIF('USPTO TMs'!A:A,D5589)&gt;0,"Yes","No"),"")</f>
        <v/>
      </c>
      <c r="C5589" s="11"/>
      <c r="D5589" s="11"/>
      <c r="E5589" s="11"/>
      <c r="F5589" s="11"/>
      <c r="G5589" s="11"/>
      <c r="H5589" s="11"/>
      <c r="I5589" s="15"/>
    </row>
    <row r="5590" spans="1:9" ht="16.5">
      <c r="A5590" s="10" t="b">
        <v>0</v>
      </c>
      <c r="B5590" s="11" t="str">
        <f>IF(D5590&lt;&gt;"",IF(COUNTIF('USPTO TMs'!A:A,D5590)&gt;0,"Yes","No"),"")</f>
        <v/>
      </c>
      <c r="C5590" s="11"/>
      <c r="D5590" s="11"/>
      <c r="E5590" s="11"/>
      <c r="F5590" s="11"/>
      <c r="G5590" s="11"/>
      <c r="H5590" s="11"/>
      <c r="I5590" s="15"/>
    </row>
    <row r="5591" spans="1:9" ht="16.5">
      <c r="A5591" s="10" t="b">
        <v>0</v>
      </c>
      <c r="B5591" s="11" t="str">
        <f>IF(D5591&lt;&gt;"",IF(COUNTIF('USPTO TMs'!A:A,D5591)&gt;0,"Yes","No"),"")</f>
        <v/>
      </c>
      <c r="C5591" s="11"/>
      <c r="D5591" s="11"/>
      <c r="E5591" s="11"/>
      <c r="F5591" s="11"/>
      <c r="G5591" s="11"/>
      <c r="H5591" s="11"/>
      <c r="I5591" s="15"/>
    </row>
    <row r="5592" spans="1:9" ht="16.5">
      <c r="A5592" s="10" t="b">
        <v>0</v>
      </c>
      <c r="B5592" s="11" t="str">
        <f>IF(D5592&lt;&gt;"",IF(COUNTIF('USPTO TMs'!A:A,D5592)&gt;0,"Yes","No"),"")</f>
        <v/>
      </c>
      <c r="C5592" s="11"/>
      <c r="D5592" s="11"/>
      <c r="E5592" s="11"/>
      <c r="F5592" s="11"/>
      <c r="G5592" s="11"/>
      <c r="H5592" s="11"/>
      <c r="I5592" s="15"/>
    </row>
    <row r="5593" spans="1:9" ht="16.5">
      <c r="A5593" s="10" t="b">
        <v>0</v>
      </c>
      <c r="B5593" s="11" t="str">
        <f>IF(D5593&lt;&gt;"",IF(COUNTIF('USPTO TMs'!A:A,D5593)&gt;0,"Yes","No"),"")</f>
        <v/>
      </c>
      <c r="C5593" s="11"/>
      <c r="D5593" s="11"/>
      <c r="E5593" s="11"/>
      <c r="F5593" s="11"/>
      <c r="G5593" s="11"/>
      <c r="H5593" s="11"/>
      <c r="I5593" s="15"/>
    </row>
    <row r="5594" spans="1:9" ht="16.5">
      <c r="A5594" s="10" t="b">
        <v>0</v>
      </c>
      <c r="B5594" s="11" t="str">
        <f>IF(D5594&lt;&gt;"",IF(COUNTIF('USPTO TMs'!A:A,D5594)&gt;0,"Yes","No"),"")</f>
        <v/>
      </c>
      <c r="C5594" s="11"/>
      <c r="D5594" s="11"/>
      <c r="E5594" s="11"/>
      <c r="F5594" s="11"/>
      <c r="G5594" s="11"/>
      <c r="H5594" s="11"/>
      <c r="I5594" s="15"/>
    </row>
    <row r="5595" spans="1:9" ht="16.5">
      <c r="A5595" s="10" t="b">
        <v>0</v>
      </c>
      <c r="B5595" s="11" t="str">
        <f>IF(D5595&lt;&gt;"",IF(COUNTIF('USPTO TMs'!A:A,D5595)&gt;0,"Yes","No"),"")</f>
        <v/>
      </c>
      <c r="C5595" s="11"/>
      <c r="D5595" s="11"/>
      <c r="E5595" s="11"/>
      <c r="F5595" s="11"/>
      <c r="G5595" s="11"/>
      <c r="H5595" s="11"/>
      <c r="I5595" s="15"/>
    </row>
    <row r="5596" spans="1:9" ht="16.5">
      <c r="A5596" s="10" t="b">
        <v>0</v>
      </c>
      <c r="B5596" s="11" t="str">
        <f>IF(D5596&lt;&gt;"",IF(COUNTIF('USPTO TMs'!A:A,D5596)&gt;0,"Yes","No"),"")</f>
        <v/>
      </c>
      <c r="C5596" s="11"/>
      <c r="D5596" s="11"/>
      <c r="E5596" s="11"/>
      <c r="F5596" s="11"/>
      <c r="G5596" s="11"/>
      <c r="H5596" s="11"/>
      <c r="I5596" s="15"/>
    </row>
    <row r="5597" spans="1:9" ht="16.5">
      <c r="A5597" s="10" t="b">
        <v>0</v>
      </c>
      <c r="B5597" s="11" t="str">
        <f>IF(D5597&lt;&gt;"",IF(COUNTIF('USPTO TMs'!A:A,D5597)&gt;0,"Yes","No"),"")</f>
        <v/>
      </c>
      <c r="C5597" s="11"/>
      <c r="D5597" s="11"/>
      <c r="E5597" s="11"/>
      <c r="F5597" s="11"/>
      <c r="G5597" s="11"/>
      <c r="H5597" s="11"/>
      <c r="I5597" s="15"/>
    </row>
    <row r="5598" spans="1:9" ht="16.5">
      <c r="A5598" s="10" t="b">
        <v>0</v>
      </c>
      <c r="B5598" s="11" t="str">
        <f>IF(D5598&lt;&gt;"",IF(COUNTIF('USPTO TMs'!A:A,D5598)&gt;0,"Yes","No"),"")</f>
        <v/>
      </c>
      <c r="C5598" s="11"/>
      <c r="D5598" s="11"/>
      <c r="E5598" s="11"/>
      <c r="F5598" s="11"/>
      <c r="G5598" s="11"/>
      <c r="H5598" s="11"/>
      <c r="I5598" s="15"/>
    </row>
    <row r="5599" spans="1:9" ht="16.5">
      <c r="A5599" s="10" t="b">
        <v>0</v>
      </c>
      <c r="B5599" s="11" t="str">
        <f>IF(D5599&lt;&gt;"",IF(COUNTIF('USPTO TMs'!A:A,D5599)&gt;0,"Yes","No"),"")</f>
        <v/>
      </c>
      <c r="C5599" s="11"/>
      <c r="D5599" s="11"/>
      <c r="E5599" s="11"/>
      <c r="F5599" s="11"/>
      <c r="G5599" s="11"/>
      <c r="H5599" s="11"/>
      <c r="I5599" s="15"/>
    </row>
    <row r="5600" spans="1:9" ht="16.5">
      <c r="A5600" s="10" t="b">
        <v>0</v>
      </c>
      <c r="B5600" s="11" t="str">
        <f>IF(D5600&lt;&gt;"",IF(COUNTIF('USPTO TMs'!A:A,D5600)&gt;0,"Yes","No"),"")</f>
        <v/>
      </c>
      <c r="C5600" s="11"/>
      <c r="D5600" s="11"/>
      <c r="E5600" s="11"/>
      <c r="F5600" s="11"/>
      <c r="G5600" s="11"/>
      <c r="H5600" s="11"/>
      <c r="I5600" s="15"/>
    </row>
    <row r="5601" spans="1:9" ht="16.5">
      <c r="A5601" s="10" t="b">
        <v>0</v>
      </c>
      <c r="B5601" s="11" t="str">
        <f>IF(D5601&lt;&gt;"",IF(COUNTIF('USPTO TMs'!A:A,D5601)&gt;0,"Yes","No"),"")</f>
        <v/>
      </c>
      <c r="C5601" s="11"/>
      <c r="D5601" s="11"/>
      <c r="E5601" s="11"/>
      <c r="F5601" s="11"/>
      <c r="G5601" s="11"/>
      <c r="H5601" s="11"/>
      <c r="I5601" s="15"/>
    </row>
    <row r="5602" spans="1:9" ht="16.5">
      <c r="A5602" s="10" t="b">
        <v>0</v>
      </c>
      <c r="B5602" s="11" t="str">
        <f>IF(D5602&lt;&gt;"",IF(COUNTIF('USPTO TMs'!A:A,D5602)&gt;0,"Yes","No"),"")</f>
        <v/>
      </c>
      <c r="C5602" s="11"/>
      <c r="D5602" s="11"/>
      <c r="E5602" s="11"/>
      <c r="F5602" s="11"/>
      <c r="G5602" s="11"/>
      <c r="H5602" s="11"/>
      <c r="I5602" s="15"/>
    </row>
    <row r="5603" spans="1:9" ht="16.5">
      <c r="A5603" s="10" t="b">
        <v>0</v>
      </c>
      <c r="B5603" s="11" t="str">
        <f>IF(D5603&lt;&gt;"",IF(COUNTIF('USPTO TMs'!A:A,D5603)&gt;0,"Yes","No"),"")</f>
        <v/>
      </c>
      <c r="C5603" s="11"/>
      <c r="D5603" s="11"/>
      <c r="E5603" s="11"/>
      <c r="F5603" s="11"/>
      <c r="G5603" s="11"/>
      <c r="H5603" s="11"/>
      <c r="I5603" s="15"/>
    </row>
    <row r="5604" spans="1:9" ht="16.5">
      <c r="A5604" s="10" t="b">
        <v>0</v>
      </c>
      <c r="B5604" s="11" t="str">
        <f>IF(D5604&lt;&gt;"",IF(COUNTIF('USPTO TMs'!A:A,D5604)&gt;0,"Yes","No"),"")</f>
        <v/>
      </c>
      <c r="C5604" s="11"/>
      <c r="D5604" s="11"/>
      <c r="E5604" s="11"/>
      <c r="F5604" s="11"/>
      <c r="G5604" s="11"/>
      <c r="H5604" s="11"/>
      <c r="I5604" s="15"/>
    </row>
    <row r="5605" spans="1:9" ht="16.5">
      <c r="A5605" s="10" t="b">
        <v>0</v>
      </c>
      <c r="B5605" s="11" t="str">
        <f>IF(D5605&lt;&gt;"",IF(COUNTIF('USPTO TMs'!A:A,D5605)&gt;0,"Yes","No"),"")</f>
        <v/>
      </c>
      <c r="C5605" s="11"/>
      <c r="D5605" s="11"/>
      <c r="E5605" s="11"/>
      <c r="F5605" s="11"/>
      <c r="G5605" s="11"/>
      <c r="H5605" s="11"/>
      <c r="I5605" s="15"/>
    </row>
    <row r="5606" spans="1:9" ht="16.5">
      <c r="A5606" s="10" t="b">
        <v>0</v>
      </c>
      <c r="B5606" s="11" t="str">
        <f>IF(D5606&lt;&gt;"",IF(COUNTIF('USPTO TMs'!A:A,D5606)&gt;0,"Yes","No"),"")</f>
        <v/>
      </c>
      <c r="C5606" s="11"/>
      <c r="D5606" s="11"/>
      <c r="E5606" s="11"/>
      <c r="F5606" s="11"/>
      <c r="G5606" s="11"/>
      <c r="H5606" s="11"/>
      <c r="I5606" s="15"/>
    </row>
    <row r="5607" spans="1:9" ht="16.5">
      <c r="A5607" s="10" t="b">
        <v>0</v>
      </c>
      <c r="B5607" s="11" t="str">
        <f>IF(D5607&lt;&gt;"",IF(COUNTIF('USPTO TMs'!A:A,D5607)&gt;0,"Yes","No"),"")</f>
        <v/>
      </c>
      <c r="C5607" s="11"/>
      <c r="D5607" s="11"/>
      <c r="E5607" s="11"/>
      <c r="F5607" s="11"/>
      <c r="G5607" s="11"/>
      <c r="H5607" s="11"/>
      <c r="I5607" s="15"/>
    </row>
    <row r="5608" spans="1:9" ht="16.5">
      <c r="A5608" s="10" t="b">
        <v>0</v>
      </c>
      <c r="B5608" s="11" t="str">
        <f>IF(D5608&lt;&gt;"",IF(COUNTIF('USPTO TMs'!A:A,D5608)&gt;0,"Yes","No"),"")</f>
        <v/>
      </c>
      <c r="C5608" s="11"/>
      <c r="D5608" s="11"/>
      <c r="E5608" s="11"/>
      <c r="F5608" s="11"/>
      <c r="G5608" s="11"/>
      <c r="H5608" s="11"/>
      <c r="I5608" s="15"/>
    </row>
    <row r="5609" spans="1:9" ht="16.5">
      <c r="A5609" s="10" t="b">
        <v>0</v>
      </c>
      <c r="B5609" s="11" t="str">
        <f>IF(D5609&lt;&gt;"",IF(COUNTIF('USPTO TMs'!A:A,D5609)&gt;0,"Yes","No"),"")</f>
        <v/>
      </c>
      <c r="C5609" s="11"/>
      <c r="D5609" s="11"/>
      <c r="E5609" s="11"/>
      <c r="F5609" s="11"/>
      <c r="G5609" s="11"/>
      <c r="H5609" s="11"/>
      <c r="I5609" s="15"/>
    </row>
    <row r="5610" spans="1:9" ht="16.5">
      <c r="A5610" s="10" t="b">
        <v>0</v>
      </c>
      <c r="B5610" s="11" t="str">
        <f>IF(D5610&lt;&gt;"",IF(COUNTIF('USPTO TMs'!A:A,D5610)&gt;0,"Yes","No"),"")</f>
        <v/>
      </c>
      <c r="C5610" s="11"/>
      <c r="D5610" s="11"/>
      <c r="E5610" s="11"/>
      <c r="F5610" s="11"/>
      <c r="G5610" s="11"/>
      <c r="H5610" s="11"/>
      <c r="I5610" s="15"/>
    </row>
    <row r="5611" spans="1:9" ht="16.5">
      <c r="A5611" s="10" t="b">
        <v>0</v>
      </c>
      <c r="B5611" s="11" t="str">
        <f>IF(D5611&lt;&gt;"",IF(COUNTIF('USPTO TMs'!A:A,D5611)&gt;0,"Yes","No"),"")</f>
        <v/>
      </c>
      <c r="C5611" s="11"/>
      <c r="D5611" s="11"/>
      <c r="E5611" s="11"/>
      <c r="F5611" s="11"/>
      <c r="G5611" s="11"/>
      <c r="H5611" s="11"/>
      <c r="I5611" s="15"/>
    </row>
    <row r="5612" spans="1:9" ht="16.5">
      <c r="A5612" s="10" t="b">
        <v>0</v>
      </c>
      <c r="B5612" s="11" t="str">
        <f>IF(D5612&lt;&gt;"",IF(COUNTIF('USPTO TMs'!A:A,D5612)&gt;0,"Yes","No"),"")</f>
        <v/>
      </c>
      <c r="C5612" s="11"/>
      <c r="D5612" s="11"/>
      <c r="E5612" s="11"/>
      <c r="F5612" s="11"/>
      <c r="G5612" s="11"/>
      <c r="H5612" s="11"/>
      <c r="I5612" s="15"/>
    </row>
    <row r="5613" spans="1:9" ht="16.5">
      <c r="A5613" s="10" t="b">
        <v>0</v>
      </c>
      <c r="B5613" s="11" t="str">
        <f>IF(D5613&lt;&gt;"",IF(COUNTIF('USPTO TMs'!A:A,D5613)&gt;0,"Yes","No"),"")</f>
        <v/>
      </c>
      <c r="C5613" s="11"/>
      <c r="D5613" s="11"/>
      <c r="E5613" s="11"/>
      <c r="F5613" s="11"/>
      <c r="G5613" s="11"/>
      <c r="H5613" s="11"/>
      <c r="I5613" s="15"/>
    </row>
    <row r="5614" spans="1:9" ht="16.5">
      <c r="A5614" s="10" t="b">
        <v>0</v>
      </c>
      <c r="B5614" s="11" t="str">
        <f>IF(D5614&lt;&gt;"",IF(COUNTIF('USPTO TMs'!A:A,D5614)&gt;0,"Yes","No"),"")</f>
        <v/>
      </c>
      <c r="C5614" s="11"/>
      <c r="D5614" s="11"/>
      <c r="E5614" s="11"/>
      <c r="F5614" s="11"/>
      <c r="G5614" s="11"/>
      <c r="H5614" s="11"/>
      <c r="I5614" s="15"/>
    </row>
    <row r="5615" spans="1:9" ht="16.5">
      <c r="A5615" s="10" t="b">
        <v>0</v>
      </c>
      <c r="B5615" s="11" t="str">
        <f>IF(D5615&lt;&gt;"",IF(COUNTIF('USPTO TMs'!A:A,D5615)&gt;0,"Yes","No"),"")</f>
        <v/>
      </c>
      <c r="C5615" s="11"/>
      <c r="D5615" s="11"/>
      <c r="E5615" s="11"/>
      <c r="F5615" s="11"/>
      <c r="G5615" s="11"/>
      <c r="H5615" s="11"/>
      <c r="I5615" s="15"/>
    </row>
    <row r="5616" spans="1:9" ht="16.5">
      <c r="A5616" s="10" t="b">
        <v>0</v>
      </c>
      <c r="B5616" s="11" t="str">
        <f>IF(D5616&lt;&gt;"",IF(COUNTIF('USPTO TMs'!A:A,D5616)&gt;0,"Yes","No"),"")</f>
        <v/>
      </c>
      <c r="C5616" s="11"/>
      <c r="D5616" s="11"/>
      <c r="E5616" s="11"/>
      <c r="F5616" s="11"/>
      <c r="G5616" s="11"/>
      <c r="H5616" s="11"/>
      <c r="I5616" s="15"/>
    </row>
    <row r="5617" spans="1:9" ht="16.5">
      <c r="A5617" s="10" t="b">
        <v>0</v>
      </c>
      <c r="B5617" s="11" t="str">
        <f>IF(D5617&lt;&gt;"",IF(COUNTIF('USPTO TMs'!A:A,D5617)&gt;0,"Yes","No"),"")</f>
        <v/>
      </c>
      <c r="C5617" s="11"/>
      <c r="D5617" s="11"/>
      <c r="E5617" s="11"/>
      <c r="F5617" s="11"/>
      <c r="G5617" s="11"/>
      <c r="H5617" s="11"/>
      <c r="I5617" s="15"/>
    </row>
    <row r="5618" spans="1:9" ht="16.5">
      <c r="A5618" s="10" t="b">
        <v>0</v>
      </c>
      <c r="B5618" s="11" t="str">
        <f>IF(D5618&lt;&gt;"",IF(COUNTIF('USPTO TMs'!A:A,D5618)&gt;0,"Yes","No"),"")</f>
        <v/>
      </c>
      <c r="C5618" s="11"/>
      <c r="D5618" s="11"/>
      <c r="E5618" s="11"/>
      <c r="F5618" s="11"/>
      <c r="G5618" s="11"/>
      <c r="H5618" s="11"/>
      <c r="I5618" s="15"/>
    </row>
    <row r="5619" spans="1:9" ht="16.5">
      <c r="A5619" s="10" t="b">
        <v>0</v>
      </c>
      <c r="B5619" s="11" t="str">
        <f>IF(D5619&lt;&gt;"",IF(COUNTIF('USPTO TMs'!A:A,D5619)&gt;0,"Yes","No"),"")</f>
        <v/>
      </c>
      <c r="C5619" s="11"/>
      <c r="D5619" s="11"/>
      <c r="E5619" s="11"/>
      <c r="F5619" s="11"/>
      <c r="G5619" s="11"/>
      <c r="H5619" s="11"/>
      <c r="I5619" s="15"/>
    </row>
    <row r="5620" spans="1:9" ht="16.5">
      <c r="A5620" s="10" t="b">
        <v>0</v>
      </c>
      <c r="B5620" s="11" t="str">
        <f>IF(D5620&lt;&gt;"",IF(COUNTIF('USPTO TMs'!A:A,D5620)&gt;0,"Yes","No"),"")</f>
        <v/>
      </c>
      <c r="C5620" s="11"/>
      <c r="D5620" s="11"/>
      <c r="E5620" s="11"/>
      <c r="F5620" s="11"/>
      <c r="G5620" s="11"/>
      <c r="H5620" s="11"/>
      <c r="I5620" s="15"/>
    </row>
    <row r="5621" spans="1:9" ht="16.5">
      <c r="A5621" s="10" t="b">
        <v>0</v>
      </c>
      <c r="B5621" s="11" t="str">
        <f>IF(D5621&lt;&gt;"",IF(COUNTIF('USPTO TMs'!A:A,D5621)&gt;0,"Yes","No"),"")</f>
        <v/>
      </c>
      <c r="C5621" s="11"/>
      <c r="D5621" s="11"/>
      <c r="E5621" s="11"/>
      <c r="F5621" s="11"/>
      <c r="G5621" s="11"/>
      <c r="H5621" s="11"/>
      <c r="I5621" s="15"/>
    </row>
    <row r="5622" spans="1:9" ht="16.5">
      <c r="A5622" s="10" t="b">
        <v>0</v>
      </c>
      <c r="B5622" s="11" t="str">
        <f>IF(D5622&lt;&gt;"",IF(COUNTIF('USPTO TMs'!A:A,D5622)&gt;0,"Yes","No"),"")</f>
        <v/>
      </c>
      <c r="C5622" s="11"/>
      <c r="D5622" s="11"/>
      <c r="E5622" s="11"/>
      <c r="F5622" s="11"/>
      <c r="G5622" s="11"/>
      <c r="H5622" s="11"/>
      <c r="I5622" s="15"/>
    </row>
    <row r="5623" spans="1:9" ht="16.5">
      <c r="A5623" s="10" t="b">
        <v>0</v>
      </c>
      <c r="B5623" s="11" t="str">
        <f>IF(D5623&lt;&gt;"",IF(COUNTIF('USPTO TMs'!A:A,D5623)&gt;0,"Yes","No"),"")</f>
        <v/>
      </c>
      <c r="C5623" s="11"/>
      <c r="D5623" s="11"/>
      <c r="E5623" s="11"/>
      <c r="F5623" s="11"/>
      <c r="G5623" s="11"/>
      <c r="H5623" s="11"/>
      <c r="I5623" s="15"/>
    </row>
    <row r="5624" spans="1:9" ht="16.5">
      <c r="A5624" s="10" t="b">
        <v>0</v>
      </c>
      <c r="B5624" s="11" t="str">
        <f>IF(D5624&lt;&gt;"",IF(COUNTIF('USPTO TMs'!A:A,D5624)&gt;0,"Yes","No"),"")</f>
        <v/>
      </c>
      <c r="C5624" s="11"/>
      <c r="D5624" s="11"/>
      <c r="E5624" s="11"/>
      <c r="F5624" s="11"/>
      <c r="G5624" s="11"/>
      <c r="H5624" s="11"/>
      <c r="I5624" s="15"/>
    </row>
    <row r="5625" spans="1:9" ht="16.5">
      <c r="A5625" s="10" t="b">
        <v>0</v>
      </c>
      <c r="B5625" s="11" t="str">
        <f>IF(D5625&lt;&gt;"",IF(COUNTIF('USPTO TMs'!A:A,D5625)&gt;0,"Yes","No"),"")</f>
        <v/>
      </c>
      <c r="C5625" s="11"/>
      <c r="D5625" s="11"/>
      <c r="E5625" s="11"/>
      <c r="F5625" s="11"/>
      <c r="G5625" s="11"/>
      <c r="H5625" s="11"/>
      <c r="I5625" s="15"/>
    </row>
    <row r="5626" spans="1:9" ht="16.5">
      <c r="A5626" s="10" t="b">
        <v>0</v>
      </c>
      <c r="B5626" s="11" t="str">
        <f>IF(D5626&lt;&gt;"",IF(COUNTIF('USPTO TMs'!A:A,D5626)&gt;0,"Yes","No"),"")</f>
        <v/>
      </c>
      <c r="C5626" s="11"/>
      <c r="D5626" s="11"/>
      <c r="E5626" s="11"/>
      <c r="F5626" s="11"/>
      <c r="G5626" s="11"/>
      <c r="H5626" s="11"/>
      <c r="I5626" s="15"/>
    </row>
    <row r="5627" spans="1:9" ht="16.5">
      <c r="A5627" s="10" t="b">
        <v>0</v>
      </c>
      <c r="B5627" s="11" t="str">
        <f>IF(D5627&lt;&gt;"",IF(COUNTIF('USPTO TMs'!A:A,D5627)&gt;0,"Yes","No"),"")</f>
        <v/>
      </c>
      <c r="C5627" s="11"/>
      <c r="D5627" s="11"/>
      <c r="E5627" s="11"/>
      <c r="F5627" s="11"/>
      <c r="G5627" s="11"/>
      <c r="H5627" s="11"/>
      <c r="I5627" s="15"/>
    </row>
    <row r="5628" spans="1:9" ht="16.5">
      <c r="A5628" s="10" t="b">
        <v>0</v>
      </c>
      <c r="B5628" s="11" t="str">
        <f>IF(D5628&lt;&gt;"",IF(COUNTIF('USPTO TMs'!A:A,D5628)&gt;0,"Yes","No"),"")</f>
        <v/>
      </c>
      <c r="C5628" s="11"/>
      <c r="D5628" s="11"/>
      <c r="E5628" s="11"/>
      <c r="F5628" s="11"/>
      <c r="G5628" s="11"/>
      <c r="H5628" s="11"/>
      <c r="I5628" s="15"/>
    </row>
    <row r="5629" spans="1:9" ht="16.5">
      <c r="A5629" s="10" t="b">
        <v>0</v>
      </c>
      <c r="B5629" s="11" t="str">
        <f>IF(D5629&lt;&gt;"",IF(COUNTIF('USPTO TMs'!A:A,D5629)&gt;0,"Yes","No"),"")</f>
        <v/>
      </c>
      <c r="C5629" s="11"/>
      <c r="D5629" s="11"/>
      <c r="E5629" s="11"/>
      <c r="F5629" s="11"/>
      <c r="G5629" s="11"/>
      <c r="H5629" s="11"/>
      <c r="I5629" s="15"/>
    </row>
    <row r="5630" spans="1:9" ht="16.5">
      <c r="A5630" s="10" t="b">
        <v>0</v>
      </c>
      <c r="B5630" s="11" t="str">
        <f>IF(D5630&lt;&gt;"",IF(COUNTIF('USPTO TMs'!A:A,D5630)&gt;0,"Yes","No"),"")</f>
        <v/>
      </c>
      <c r="C5630" s="11"/>
      <c r="D5630" s="11"/>
      <c r="E5630" s="11"/>
      <c r="F5630" s="11"/>
      <c r="G5630" s="11"/>
      <c r="H5630" s="11"/>
      <c r="I5630" s="15"/>
    </row>
    <row r="5631" spans="1:9" ht="16.5">
      <c r="A5631" s="10" t="b">
        <v>0</v>
      </c>
      <c r="B5631" s="11" t="str">
        <f>IF(D5631&lt;&gt;"",IF(COUNTIF('USPTO TMs'!A:A,D5631)&gt;0,"Yes","No"),"")</f>
        <v/>
      </c>
      <c r="C5631" s="11"/>
      <c r="D5631" s="11"/>
      <c r="E5631" s="11"/>
      <c r="F5631" s="11"/>
      <c r="G5631" s="11"/>
      <c r="H5631" s="11"/>
      <c r="I5631" s="15"/>
    </row>
    <row r="5632" spans="1:9" ht="16.5">
      <c r="A5632" s="10" t="b">
        <v>0</v>
      </c>
      <c r="B5632" s="11" t="str">
        <f>IF(D5632&lt;&gt;"",IF(COUNTIF('USPTO TMs'!A:A,D5632)&gt;0,"Yes","No"),"")</f>
        <v/>
      </c>
      <c r="C5632" s="11"/>
      <c r="D5632" s="11"/>
      <c r="E5632" s="11"/>
      <c r="F5632" s="11"/>
      <c r="G5632" s="11"/>
      <c r="H5632" s="11"/>
      <c r="I5632" s="15"/>
    </row>
    <row r="5633" spans="1:9" ht="16.5">
      <c r="A5633" s="10" t="b">
        <v>0</v>
      </c>
      <c r="B5633" s="11" t="str">
        <f>IF(D5633&lt;&gt;"",IF(COUNTIF('USPTO TMs'!A:A,D5633)&gt;0,"Yes","No"),"")</f>
        <v/>
      </c>
      <c r="C5633" s="11"/>
      <c r="D5633" s="11"/>
      <c r="E5633" s="11"/>
      <c r="F5633" s="11"/>
      <c r="G5633" s="11"/>
      <c r="H5633" s="11"/>
      <c r="I5633" s="15"/>
    </row>
    <row r="5634" spans="1:9" ht="16.5">
      <c r="A5634" s="10" t="b">
        <v>0</v>
      </c>
      <c r="B5634" s="11" t="str">
        <f>IF(D5634&lt;&gt;"",IF(COUNTIF('USPTO TMs'!A:A,D5634)&gt;0,"Yes","No"),"")</f>
        <v/>
      </c>
      <c r="C5634" s="11"/>
      <c r="D5634" s="11"/>
      <c r="E5634" s="11"/>
      <c r="F5634" s="11"/>
      <c r="G5634" s="11"/>
      <c r="H5634" s="11"/>
      <c r="I5634" s="15"/>
    </row>
    <row r="5635" spans="1:9" ht="16.5">
      <c r="A5635" s="10" t="b">
        <v>0</v>
      </c>
      <c r="B5635" s="11" t="str">
        <f>IF(D5635&lt;&gt;"",IF(COUNTIF('USPTO TMs'!A:A,D5635)&gt;0,"Yes","No"),"")</f>
        <v/>
      </c>
      <c r="C5635" s="11"/>
      <c r="D5635" s="11"/>
      <c r="E5635" s="11"/>
      <c r="F5635" s="11"/>
      <c r="G5635" s="11"/>
      <c r="H5635" s="11"/>
      <c r="I5635" s="15"/>
    </row>
    <row r="5636" spans="1:9" ht="16.5">
      <c r="A5636" s="10" t="b">
        <v>0</v>
      </c>
      <c r="B5636" s="11" t="str">
        <f>IF(D5636&lt;&gt;"",IF(COUNTIF('USPTO TMs'!A:A,D5636)&gt;0,"Yes","No"),"")</f>
        <v/>
      </c>
      <c r="C5636" s="11"/>
      <c r="D5636" s="11"/>
      <c r="E5636" s="11"/>
      <c r="F5636" s="11"/>
      <c r="G5636" s="11"/>
      <c r="H5636" s="11"/>
      <c r="I5636" s="15"/>
    </row>
    <row r="5637" spans="1:9" ht="16.5">
      <c r="A5637" s="10" t="b">
        <v>0</v>
      </c>
      <c r="B5637" s="11" t="str">
        <f>IF(D5637&lt;&gt;"",IF(COUNTIF('USPTO TMs'!A:A,D5637)&gt;0,"Yes","No"),"")</f>
        <v/>
      </c>
      <c r="C5637" s="11"/>
      <c r="D5637" s="11"/>
      <c r="E5637" s="11"/>
      <c r="F5637" s="11"/>
      <c r="G5637" s="11"/>
      <c r="H5637" s="11"/>
      <c r="I5637" s="15"/>
    </row>
    <row r="5638" spans="1:9" ht="16.5">
      <c r="A5638" s="10" t="b">
        <v>0</v>
      </c>
      <c r="B5638" s="11" t="str">
        <f>IF(D5638&lt;&gt;"",IF(COUNTIF('USPTO TMs'!A:A,D5638)&gt;0,"Yes","No"),"")</f>
        <v/>
      </c>
      <c r="C5638" s="11"/>
      <c r="D5638" s="11"/>
      <c r="E5638" s="11"/>
      <c r="F5638" s="11"/>
      <c r="G5638" s="11"/>
      <c r="H5638" s="11"/>
      <c r="I5638" s="15"/>
    </row>
    <row r="5639" spans="1:9" ht="16.5">
      <c r="A5639" s="10" t="b">
        <v>0</v>
      </c>
      <c r="B5639" s="11" t="str">
        <f>IF(D5639&lt;&gt;"",IF(COUNTIF('USPTO TMs'!A:A,D5639)&gt;0,"Yes","No"),"")</f>
        <v/>
      </c>
      <c r="C5639" s="11"/>
      <c r="D5639" s="11"/>
      <c r="E5639" s="11"/>
      <c r="F5639" s="11"/>
      <c r="G5639" s="11"/>
      <c r="H5639" s="11"/>
      <c r="I5639" s="15"/>
    </row>
    <row r="5640" spans="1:9" ht="16.5">
      <c r="A5640" s="10" t="b">
        <v>0</v>
      </c>
      <c r="B5640" s="11" t="str">
        <f>IF(D5640&lt;&gt;"",IF(COUNTIF('USPTO TMs'!A:A,D5640)&gt;0,"Yes","No"),"")</f>
        <v/>
      </c>
      <c r="C5640" s="11"/>
      <c r="D5640" s="11"/>
      <c r="E5640" s="11"/>
      <c r="F5640" s="11"/>
      <c r="G5640" s="11"/>
      <c r="H5640" s="11"/>
      <c r="I5640" s="15"/>
    </row>
    <row r="5641" spans="1:9" ht="16.5">
      <c r="A5641" s="10" t="b">
        <v>0</v>
      </c>
      <c r="B5641" s="11" t="str">
        <f>IF(D5641&lt;&gt;"",IF(COUNTIF('USPTO TMs'!A:A,D5641)&gt;0,"Yes","No"),"")</f>
        <v/>
      </c>
      <c r="C5641" s="11"/>
      <c r="D5641" s="11"/>
      <c r="E5641" s="11"/>
      <c r="F5641" s="11"/>
      <c r="G5641" s="11"/>
      <c r="H5641" s="11"/>
      <c r="I5641" s="15"/>
    </row>
    <row r="5642" spans="1:9" ht="16.5">
      <c r="A5642" s="10" t="b">
        <v>0</v>
      </c>
      <c r="B5642" s="11" t="str">
        <f>IF(D5642&lt;&gt;"",IF(COUNTIF('USPTO TMs'!A:A,D5642)&gt;0,"Yes","No"),"")</f>
        <v/>
      </c>
      <c r="C5642" s="11"/>
      <c r="D5642" s="11"/>
      <c r="E5642" s="11"/>
      <c r="F5642" s="11"/>
      <c r="G5642" s="11"/>
      <c r="H5642" s="11"/>
      <c r="I5642" s="15"/>
    </row>
    <row r="5643" spans="1:9" ht="16.5">
      <c r="A5643" s="10" t="b">
        <v>0</v>
      </c>
      <c r="B5643" s="11" t="str">
        <f>IF(D5643&lt;&gt;"",IF(COUNTIF('USPTO TMs'!A:A,D5643)&gt;0,"Yes","No"),"")</f>
        <v/>
      </c>
      <c r="C5643" s="11"/>
      <c r="D5643" s="11"/>
      <c r="E5643" s="11"/>
      <c r="F5643" s="11"/>
      <c r="G5643" s="11"/>
      <c r="H5643" s="11"/>
      <c r="I5643" s="15"/>
    </row>
    <row r="5644" spans="1:9" ht="16.5">
      <c r="A5644" s="10" t="b">
        <v>0</v>
      </c>
      <c r="B5644" s="11" t="str">
        <f>IF(D5644&lt;&gt;"",IF(COUNTIF('USPTO TMs'!A:A,D5644)&gt;0,"Yes","No"),"")</f>
        <v/>
      </c>
      <c r="C5644" s="11"/>
      <c r="D5644" s="11"/>
      <c r="E5644" s="11"/>
      <c r="F5644" s="11"/>
      <c r="G5644" s="11"/>
      <c r="H5644" s="11"/>
      <c r="I5644" s="15"/>
    </row>
    <row r="5645" spans="1:9" ht="16.5">
      <c r="A5645" s="10" t="b">
        <v>0</v>
      </c>
      <c r="B5645" s="11" t="str">
        <f>IF(D5645&lt;&gt;"",IF(COUNTIF('USPTO TMs'!A:A,D5645)&gt;0,"Yes","No"),"")</f>
        <v/>
      </c>
      <c r="C5645" s="11"/>
      <c r="D5645" s="11"/>
      <c r="E5645" s="11"/>
      <c r="F5645" s="11"/>
      <c r="G5645" s="11"/>
      <c r="H5645" s="11"/>
      <c r="I5645" s="15"/>
    </row>
    <row r="5646" spans="1:9" ht="16.5">
      <c r="A5646" s="10" t="b">
        <v>0</v>
      </c>
      <c r="B5646" s="11" t="str">
        <f>IF(D5646&lt;&gt;"",IF(COUNTIF('USPTO TMs'!A:A,D5646)&gt;0,"Yes","No"),"")</f>
        <v/>
      </c>
      <c r="C5646" s="11"/>
      <c r="D5646" s="11"/>
      <c r="E5646" s="11"/>
      <c r="F5646" s="11"/>
      <c r="G5646" s="11"/>
      <c r="H5646" s="11"/>
      <c r="I5646" s="15"/>
    </row>
    <row r="5647" spans="1:9" ht="16.5">
      <c r="A5647" s="10" t="b">
        <v>0</v>
      </c>
      <c r="B5647" s="11" t="str">
        <f>IF(D5647&lt;&gt;"",IF(COUNTIF('USPTO TMs'!A:A,D5647)&gt;0,"Yes","No"),"")</f>
        <v/>
      </c>
      <c r="C5647" s="11"/>
      <c r="D5647" s="11"/>
      <c r="E5647" s="11"/>
      <c r="F5647" s="11"/>
      <c r="G5647" s="11"/>
      <c r="H5647" s="11"/>
      <c r="I5647" s="15"/>
    </row>
    <row r="5648" spans="1:9" ht="16.5">
      <c r="A5648" s="10" t="b">
        <v>0</v>
      </c>
      <c r="B5648" s="11" t="str">
        <f>IF(D5648&lt;&gt;"",IF(COUNTIF('USPTO TMs'!A:A,D5648)&gt;0,"Yes","No"),"")</f>
        <v/>
      </c>
      <c r="C5648" s="11"/>
      <c r="D5648" s="11"/>
      <c r="E5648" s="11"/>
      <c r="F5648" s="11"/>
      <c r="G5648" s="11"/>
      <c r="H5648" s="11"/>
      <c r="I5648" s="15"/>
    </row>
    <row r="5649" spans="1:9" ht="16.5">
      <c r="A5649" s="10" t="b">
        <v>0</v>
      </c>
      <c r="B5649" s="11" t="str">
        <f>IF(D5649&lt;&gt;"",IF(COUNTIF('USPTO TMs'!A:A,D5649)&gt;0,"Yes","No"),"")</f>
        <v/>
      </c>
      <c r="C5649" s="11"/>
      <c r="D5649" s="11"/>
      <c r="E5649" s="11"/>
      <c r="F5649" s="11"/>
      <c r="G5649" s="11"/>
      <c r="H5649" s="11"/>
      <c r="I5649" s="15"/>
    </row>
    <row r="5650" spans="1:9" ht="16.5">
      <c r="A5650" s="10" t="b">
        <v>0</v>
      </c>
      <c r="B5650" s="11" t="str">
        <f>IF(D5650&lt;&gt;"",IF(COUNTIF('USPTO TMs'!A:A,D5650)&gt;0,"Yes","No"),"")</f>
        <v/>
      </c>
      <c r="C5650" s="11"/>
      <c r="D5650" s="11"/>
      <c r="E5650" s="11"/>
      <c r="F5650" s="11"/>
      <c r="G5650" s="11"/>
      <c r="H5650" s="11"/>
      <c r="I5650" s="15"/>
    </row>
    <row r="5651" spans="1:9" ht="16.5">
      <c r="A5651" s="10" t="b">
        <v>0</v>
      </c>
      <c r="B5651" s="11" t="str">
        <f>IF(D5651&lt;&gt;"",IF(COUNTIF('USPTO TMs'!A:A,D5651)&gt;0,"Yes","No"),"")</f>
        <v/>
      </c>
      <c r="C5651" s="11"/>
      <c r="D5651" s="11"/>
      <c r="E5651" s="11"/>
      <c r="F5651" s="11"/>
      <c r="G5651" s="11"/>
      <c r="H5651" s="11"/>
      <c r="I5651" s="15"/>
    </row>
    <row r="5652" spans="1:9" ht="16.5">
      <c r="A5652" s="10" t="b">
        <v>0</v>
      </c>
      <c r="B5652" s="11" t="str">
        <f>IF(D5652&lt;&gt;"",IF(COUNTIF('USPTO TMs'!A:A,D5652)&gt;0,"Yes","No"),"")</f>
        <v/>
      </c>
      <c r="C5652" s="11"/>
      <c r="D5652" s="11"/>
      <c r="E5652" s="11"/>
      <c r="F5652" s="11"/>
      <c r="G5652" s="11"/>
      <c r="H5652" s="11"/>
      <c r="I5652" s="15"/>
    </row>
    <row r="5653" spans="1:9" ht="16.5">
      <c r="A5653" s="10" t="b">
        <v>0</v>
      </c>
      <c r="B5653" s="11" t="str">
        <f>IF(D5653&lt;&gt;"",IF(COUNTIF('USPTO TMs'!A:A,D5653)&gt;0,"Yes","No"),"")</f>
        <v/>
      </c>
      <c r="C5653" s="11"/>
      <c r="D5653" s="11"/>
      <c r="E5653" s="11"/>
      <c r="F5653" s="11"/>
      <c r="G5653" s="11"/>
      <c r="H5653" s="11"/>
      <c r="I5653" s="15"/>
    </row>
    <row r="5654" spans="1:9" ht="16.5">
      <c r="A5654" s="10" t="b">
        <v>0</v>
      </c>
      <c r="B5654" s="11" t="str">
        <f>IF(D5654&lt;&gt;"",IF(COUNTIF('USPTO TMs'!A:A,D5654)&gt;0,"Yes","No"),"")</f>
        <v/>
      </c>
      <c r="C5654" s="11"/>
      <c r="D5654" s="11"/>
      <c r="E5654" s="11"/>
      <c r="F5654" s="11"/>
      <c r="G5654" s="11"/>
      <c r="H5654" s="11"/>
      <c r="I5654" s="15"/>
    </row>
    <row r="5655" spans="1:9" ht="16.5">
      <c r="A5655" s="10" t="b">
        <v>0</v>
      </c>
      <c r="B5655" s="11" t="str">
        <f>IF(D5655&lt;&gt;"",IF(COUNTIF('USPTO TMs'!A:A,D5655)&gt;0,"Yes","No"),"")</f>
        <v/>
      </c>
      <c r="C5655" s="11"/>
      <c r="D5655" s="11"/>
      <c r="E5655" s="11"/>
      <c r="F5655" s="11"/>
      <c r="G5655" s="11"/>
      <c r="H5655" s="11"/>
      <c r="I5655" s="15"/>
    </row>
    <row r="5656" spans="1:9" ht="16.5">
      <c r="A5656" s="10" t="b">
        <v>0</v>
      </c>
      <c r="B5656" s="11" t="str">
        <f>IF(D5656&lt;&gt;"",IF(COUNTIF('USPTO TMs'!A:A,D5656)&gt;0,"Yes","No"),"")</f>
        <v/>
      </c>
      <c r="C5656" s="11"/>
      <c r="D5656" s="11"/>
      <c r="E5656" s="11"/>
      <c r="F5656" s="11"/>
      <c r="G5656" s="11"/>
      <c r="H5656" s="11"/>
      <c r="I5656" s="15"/>
    </row>
    <row r="5657" spans="1:9" ht="16.5">
      <c r="A5657" s="10" t="b">
        <v>0</v>
      </c>
      <c r="B5657" s="11" t="str">
        <f>IF(D5657&lt;&gt;"",IF(COUNTIF('USPTO TMs'!A:A,D5657)&gt;0,"Yes","No"),"")</f>
        <v/>
      </c>
      <c r="C5657" s="11"/>
      <c r="D5657" s="11"/>
      <c r="E5657" s="11"/>
      <c r="F5657" s="11"/>
      <c r="G5657" s="11"/>
      <c r="H5657" s="11"/>
      <c r="I5657" s="15"/>
    </row>
    <row r="5658" spans="1:9" ht="16.5">
      <c r="A5658" s="10" t="b">
        <v>0</v>
      </c>
      <c r="B5658" s="11" t="str">
        <f>IF(D5658&lt;&gt;"",IF(COUNTIF('USPTO TMs'!A:A,D5658)&gt;0,"Yes","No"),"")</f>
        <v/>
      </c>
      <c r="C5658" s="11"/>
      <c r="D5658" s="11"/>
      <c r="E5658" s="11"/>
      <c r="F5658" s="11"/>
      <c r="G5658" s="11"/>
      <c r="H5658" s="11"/>
      <c r="I5658" s="15"/>
    </row>
    <row r="5659" spans="1:9" ht="16.5">
      <c r="A5659" s="10" t="b">
        <v>0</v>
      </c>
      <c r="B5659" s="11" t="str">
        <f>IF(D5659&lt;&gt;"",IF(COUNTIF('USPTO TMs'!A:A,D5659)&gt;0,"Yes","No"),"")</f>
        <v/>
      </c>
      <c r="C5659" s="11"/>
      <c r="D5659" s="11"/>
      <c r="E5659" s="11"/>
      <c r="F5659" s="11"/>
      <c r="G5659" s="11"/>
      <c r="H5659" s="11"/>
      <c r="I5659" s="15"/>
    </row>
    <row r="5660" spans="1:9" ht="16.5">
      <c r="A5660" s="10" t="b">
        <v>0</v>
      </c>
      <c r="B5660" s="11" t="str">
        <f>IF(D5660&lt;&gt;"",IF(COUNTIF('USPTO TMs'!A:A,D5660)&gt;0,"Yes","No"),"")</f>
        <v/>
      </c>
      <c r="C5660" s="11"/>
      <c r="D5660" s="11"/>
      <c r="E5660" s="11"/>
      <c r="F5660" s="11"/>
      <c r="G5660" s="11"/>
      <c r="H5660" s="11"/>
      <c r="I5660" s="15"/>
    </row>
    <row r="5661" spans="1:9" ht="16.5">
      <c r="A5661" s="10" t="b">
        <v>0</v>
      </c>
      <c r="B5661" s="11" t="str">
        <f>IF(D5661&lt;&gt;"",IF(COUNTIF('USPTO TMs'!A:A,D5661)&gt;0,"Yes","No"),"")</f>
        <v/>
      </c>
      <c r="C5661" s="11"/>
      <c r="D5661" s="11"/>
      <c r="E5661" s="11"/>
      <c r="F5661" s="11"/>
      <c r="G5661" s="11"/>
      <c r="H5661" s="11"/>
      <c r="I5661" s="15"/>
    </row>
    <row r="5662" spans="1:9" ht="16.5">
      <c r="A5662" s="10" t="b">
        <v>0</v>
      </c>
      <c r="B5662" s="11" t="str">
        <f>IF(D5662&lt;&gt;"",IF(COUNTIF('USPTO TMs'!A:A,D5662)&gt;0,"Yes","No"),"")</f>
        <v/>
      </c>
      <c r="C5662" s="11"/>
      <c r="D5662" s="11"/>
      <c r="E5662" s="11"/>
      <c r="F5662" s="11"/>
      <c r="G5662" s="11"/>
      <c r="H5662" s="11"/>
      <c r="I5662" s="15"/>
    </row>
    <row r="5663" spans="1:9" ht="16.5">
      <c r="A5663" s="10" t="b">
        <v>0</v>
      </c>
      <c r="B5663" s="11" t="str">
        <f>IF(D5663&lt;&gt;"",IF(COUNTIF('USPTO TMs'!A:A,D5663)&gt;0,"Yes","No"),"")</f>
        <v/>
      </c>
      <c r="C5663" s="11"/>
      <c r="D5663" s="11"/>
      <c r="E5663" s="11"/>
      <c r="F5663" s="11"/>
      <c r="G5663" s="11"/>
      <c r="H5663" s="11"/>
      <c r="I5663" s="15"/>
    </row>
    <row r="5664" spans="1:9" ht="16.5">
      <c r="A5664" s="10" t="b">
        <v>0</v>
      </c>
      <c r="B5664" s="11" t="str">
        <f>IF(D5664&lt;&gt;"",IF(COUNTIF('USPTO TMs'!A:A,D5664)&gt;0,"Yes","No"),"")</f>
        <v/>
      </c>
      <c r="C5664" s="11"/>
      <c r="D5664" s="11"/>
      <c r="E5664" s="11"/>
      <c r="F5664" s="11"/>
      <c r="G5664" s="11"/>
      <c r="H5664" s="11"/>
      <c r="I5664" s="15"/>
    </row>
    <row r="5665" spans="1:9" ht="16.5">
      <c r="A5665" s="10" t="b">
        <v>0</v>
      </c>
      <c r="B5665" s="11" t="str">
        <f>IF(D5665&lt;&gt;"",IF(COUNTIF('USPTO TMs'!A:A,D5665)&gt;0,"Yes","No"),"")</f>
        <v/>
      </c>
      <c r="C5665" s="11"/>
      <c r="D5665" s="11"/>
      <c r="E5665" s="11"/>
      <c r="F5665" s="11"/>
      <c r="G5665" s="11"/>
      <c r="H5665" s="11"/>
      <c r="I5665" s="15"/>
    </row>
    <row r="5666" spans="1:9" ht="16.5">
      <c r="A5666" s="10" t="b">
        <v>0</v>
      </c>
      <c r="B5666" s="11" t="str">
        <f>IF(D5666&lt;&gt;"",IF(COUNTIF('USPTO TMs'!A:A,D5666)&gt;0,"Yes","No"),"")</f>
        <v/>
      </c>
      <c r="C5666" s="11"/>
      <c r="D5666" s="11"/>
      <c r="E5666" s="11"/>
      <c r="F5666" s="11"/>
      <c r="G5666" s="11"/>
      <c r="H5666" s="11"/>
      <c r="I5666" s="15"/>
    </row>
    <row r="5667" spans="1:9" ht="16.5">
      <c r="A5667" s="10" t="b">
        <v>0</v>
      </c>
      <c r="B5667" s="11" t="str">
        <f>IF(D5667&lt;&gt;"",IF(COUNTIF('USPTO TMs'!A:A,D5667)&gt;0,"Yes","No"),"")</f>
        <v/>
      </c>
      <c r="C5667" s="11"/>
      <c r="D5667" s="11"/>
      <c r="E5667" s="11"/>
      <c r="F5667" s="11"/>
      <c r="G5667" s="11"/>
      <c r="H5667" s="11"/>
      <c r="I5667" s="15"/>
    </row>
    <row r="5668" spans="1:9" ht="16.5">
      <c r="A5668" s="10" t="b">
        <v>0</v>
      </c>
      <c r="B5668" s="11" t="str">
        <f>IF(D5668&lt;&gt;"",IF(COUNTIF('USPTO TMs'!A:A,D5668)&gt;0,"Yes","No"),"")</f>
        <v/>
      </c>
      <c r="C5668" s="11"/>
      <c r="D5668" s="11"/>
      <c r="E5668" s="11"/>
      <c r="F5668" s="11"/>
      <c r="G5668" s="11"/>
      <c r="H5668" s="11"/>
      <c r="I5668" s="15"/>
    </row>
    <row r="5669" spans="1:9" ht="16.5">
      <c r="A5669" s="10" t="b">
        <v>0</v>
      </c>
      <c r="B5669" s="11" t="str">
        <f>IF(D5669&lt;&gt;"",IF(COUNTIF('USPTO TMs'!A:A,D5669)&gt;0,"Yes","No"),"")</f>
        <v/>
      </c>
      <c r="C5669" s="11"/>
      <c r="D5669" s="11"/>
      <c r="E5669" s="11"/>
      <c r="F5669" s="11"/>
      <c r="G5669" s="11"/>
      <c r="H5669" s="11"/>
      <c r="I5669" s="15"/>
    </row>
    <row r="5670" spans="1:9" ht="16.5">
      <c r="A5670" s="10" t="b">
        <v>0</v>
      </c>
      <c r="B5670" s="11" t="str">
        <f>IF(D5670&lt;&gt;"",IF(COUNTIF('USPTO TMs'!A:A,D5670)&gt;0,"Yes","No"),"")</f>
        <v/>
      </c>
      <c r="C5670" s="11"/>
      <c r="D5670" s="11"/>
      <c r="E5670" s="11"/>
      <c r="F5670" s="11"/>
      <c r="G5670" s="11"/>
      <c r="H5670" s="11"/>
      <c r="I5670" s="15"/>
    </row>
    <row r="5671" spans="1:9" ht="16.5">
      <c r="A5671" s="10" t="b">
        <v>0</v>
      </c>
      <c r="B5671" s="11" t="str">
        <f>IF(D5671&lt;&gt;"",IF(COUNTIF('USPTO TMs'!A:A,D5671)&gt;0,"Yes","No"),"")</f>
        <v/>
      </c>
      <c r="C5671" s="11"/>
      <c r="D5671" s="11"/>
      <c r="E5671" s="11"/>
      <c r="F5671" s="11"/>
      <c r="G5671" s="11"/>
      <c r="H5671" s="11"/>
      <c r="I5671" s="15"/>
    </row>
    <row r="5672" spans="1:9" ht="16.5">
      <c r="A5672" s="10" t="b">
        <v>0</v>
      </c>
      <c r="B5672" s="11" t="str">
        <f>IF(D5672&lt;&gt;"",IF(COUNTIF('USPTO TMs'!A:A,D5672)&gt;0,"Yes","No"),"")</f>
        <v/>
      </c>
      <c r="C5672" s="11"/>
      <c r="D5672" s="11"/>
      <c r="E5672" s="11"/>
      <c r="F5672" s="11"/>
      <c r="G5672" s="11"/>
      <c r="H5672" s="11"/>
      <c r="I5672" s="15"/>
    </row>
    <row r="5673" spans="1:9" ht="16.5">
      <c r="A5673" s="10" t="b">
        <v>0</v>
      </c>
      <c r="B5673" s="11" t="str">
        <f>IF(D5673&lt;&gt;"",IF(COUNTIF('USPTO TMs'!A:A,D5673)&gt;0,"Yes","No"),"")</f>
        <v/>
      </c>
      <c r="C5673" s="11"/>
      <c r="D5673" s="11"/>
      <c r="E5673" s="11"/>
      <c r="F5673" s="11"/>
      <c r="G5673" s="11"/>
      <c r="H5673" s="11"/>
      <c r="I5673" s="15"/>
    </row>
    <row r="5674" spans="1:9" ht="16.5">
      <c r="A5674" s="10" t="b">
        <v>0</v>
      </c>
      <c r="B5674" s="11" t="str">
        <f>IF(D5674&lt;&gt;"",IF(COUNTIF('USPTO TMs'!A:A,D5674)&gt;0,"Yes","No"),"")</f>
        <v/>
      </c>
      <c r="C5674" s="11"/>
      <c r="D5674" s="11"/>
      <c r="E5674" s="11"/>
      <c r="F5674" s="11"/>
      <c r="G5674" s="11"/>
      <c r="H5674" s="11"/>
      <c r="I5674" s="15"/>
    </row>
    <row r="5675" spans="1:9" ht="16.5">
      <c r="A5675" s="10" t="b">
        <v>0</v>
      </c>
      <c r="B5675" s="11" t="str">
        <f>IF(D5675&lt;&gt;"",IF(COUNTIF('USPTO TMs'!A:A,D5675)&gt;0,"Yes","No"),"")</f>
        <v/>
      </c>
      <c r="C5675" s="11"/>
      <c r="D5675" s="11"/>
      <c r="E5675" s="11"/>
      <c r="F5675" s="11"/>
      <c r="G5675" s="11"/>
      <c r="H5675" s="11"/>
      <c r="I5675" s="15"/>
    </row>
    <row r="5676" spans="1:9" ht="16.5">
      <c r="A5676" s="10" t="b">
        <v>0</v>
      </c>
      <c r="B5676" s="11" t="str">
        <f>IF(D5676&lt;&gt;"",IF(COUNTIF('USPTO TMs'!A:A,D5676)&gt;0,"Yes","No"),"")</f>
        <v/>
      </c>
      <c r="C5676" s="11"/>
      <c r="D5676" s="11"/>
      <c r="E5676" s="11"/>
      <c r="F5676" s="11"/>
      <c r="G5676" s="11"/>
      <c r="H5676" s="11"/>
      <c r="I5676" s="15"/>
    </row>
    <row r="5677" spans="1:9" ht="16.5">
      <c r="A5677" s="10" t="b">
        <v>0</v>
      </c>
      <c r="B5677" s="11" t="str">
        <f>IF(D5677&lt;&gt;"",IF(COUNTIF('USPTO TMs'!A:A,D5677)&gt;0,"Yes","No"),"")</f>
        <v/>
      </c>
      <c r="C5677" s="11"/>
      <c r="D5677" s="11"/>
      <c r="E5677" s="11"/>
      <c r="F5677" s="11"/>
      <c r="G5677" s="11"/>
      <c r="H5677" s="11"/>
      <c r="I5677" s="15"/>
    </row>
    <row r="5678" spans="1:9" ht="16.5">
      <c r="A5678" s="10" t="b">
        <v>0</v>
      </c>
      <c r="B5678" s="11" t="str">
        <f>IF(D5678&lt;&gt;"",IF(COUNTIF('USPTO TMs'!A:A,D5678)&gt;0,"Yes","No"),"")</f>
        <v/>
      </c>
      <c r="C5678" s="11"/>
      <c r="D5678" s="11"/>
      <c r="E5678" s="11"/>
      <c r="F5678" s="11"/>
      <c r="G5678" s="11"/>
      <c r="H5678" s="11"/>
      <c r="I5678" s="15"/>
    </row>
    <row r="5679" spans="1:9" ht="16.5">
      <c r="A5679" s="10" t="b">
        <v>0</v>
      </c>
      <c r="B5679" s="11" t="str">
        <f>IF(D5679&lt;&gt;"",IF(COUNTIF('USPTO TMs'!A:A,D5679)&gt;0,"Yes","No"),"")</f>
        <v/>
      </c>
      <c r="C5679" s="11"/>
      <c r="D5679" s="11"/>
      <c r="E5679" s="11"/>
      <c r="F5679" s="11"/>
      <c r="G5679" s="11"/>
      <c r="H5679" s="11"/>
      <c r="I5679" s="15"/>
    </row>
    <row r="5680" spans="1:9" ht="16.5">
      <c r="A5680" s="10" t="b">
        <v>0</v>
      </c>
      <c r="B5680" s="11" t="str">
        <f>IF(D5680&lt;&gt;"",IF(COUNTIF('USPTO TMs'!A:A,D5680)&gt;0,"Yes","No"),"")</f>
        <v/>
      </c>
      <c r="C5680" s="11"/>
      <c r="D5680" s="11"/>
      <c r="E5680" s="11"/>
      <c r="F5680" s="11"/>
      <c r="G5680" s="11"/>
      <c r="H5680" s="11"/>
      <c r="I5680" s="15"/>
    </row>
    <row r="5681" spans="1:9" ht="16.5">
      <c r="A5681" s="10" t="b">
        <v>0</v>
      </c>
      <c r="B5681" s="11" t="str">
        <f>IF(D5681&lt;&gt;"",IF(COUNTIF('USPTO TMs'!A:A,D5681)&gt;0,"Yes","No"),"")</f>
        <v/>
      </c>
      <c r="C5681" s="11"/>
      <c r="D5681" s="11"/>
      <c r="E5681" s="11"/>
      <c r="F5681" s="11"/>
      <c r="G5681" s="11"/>
      <c r="H5681" s="11"/>
      <c r="I5681" s="15"/>
    </row>
    <row r="5682" spans="1:9" ht="16.5">
      <c r="A5682" s="10" t="b">
        <v>0</v>
      </c>
      <c r="B5682" s="11" t="str">
        <f>IF(D5682&lt;&gt;"",IF(COUNTIF('USPTO TMs'!A:A,D5682)&gt;0,"Yes","No"),"")</f>
        <v/>
      </c>
      <c r="C5682" s="11"/>
      <c r="D5682" s="11"/>
      <c r="E5682" s="11"/>
      <c r="F5682" s="11"/>
      <c r="G5682" s="11"/>
      <c r="H5682" s="11"/>
      <c r="I5682" s="15"/>
    </row>
    <row r="5683" spans="1:9" ht="16.5">
      <c r="A5683" s="10" t="b">
        <v>0</v>
      </c>
      <c r="B5683" s="11" t="str">
        <f>IF(D5683&lt;&gt;"",IF(COUNTIF('USPTO TMs'!A:A,D5683)&gt;0,"Yes","No"),"")</f>
        <v/>
      </c>
      <c r="C5683" s="11"/>
      <c r="D5683" s="11"/>
      <c r="E5683" s="11"/>
      <c r="F5683" s="11"/>
      <c r="G5683" s="11"/>
      <c r="H5683" s="11"/>
      <c r="I5683" s="15"/>
    </row>
    <row r="5684" spans="1:9" ht="16.5">
      <c r="A5684" s="10" t="b">
        <v>0</v>
      </c>
      <c r="B5684" s="11" t="str">
        <f>IF(D5684&lt;&gt;"",IF(COUNTIF('USPTO TMs'!A:A,D5684)&gt;0,"Yes","No"),"")</f>
        <v/>
      </c>
      <c r="C5684" s="11"/>
      <c r="D5684" s="11"/>
      <c r="E5684" s="11"/>
      <c r="F5684" s="11"/>
      <c r="G5684" s="11"/>
      <c r="H5684" s="11"/>
      <c r="I5684" s="15"/>
    </row>
    <row r="5685" spans="1:9" ht="16.5">
      <c r="A5685" s="10" t="b">
        <v>0</v>
      </c>
      <c r="B5685" s="11" t="str">
        <f>IF(D5685&lt;&gt;"",IF(COUNTIF('USPTO TMs'!A:A,D5685)&gt;0,"Yes","No"),"")</f>
        <v/>
      </c>
      <c r="C5685" s="11"/>
      <c r="D5685" s="11"/>
      <c r="E5685" s="11"/>
      <c r="F5685" s="11"/>
      <c r="G5685" s="11"/>
      <c r="H5685" s="11"/>
      <c r="I5685" s="15"/>
    </row>
    <row r="5686" spans="1:9" ht="16.5">
      <c r="A5686" s="10" t="b">
        <v>0</v>
      </c>
      <c r="B5686" s="11" t="str">
        <f>IF(D5686&lt;&gt;"",IF(COUNTIF('USPTO TMs'!A:A,D5686)&gt;0,"Yes","No"),"")</f>
        <v/>
      </c>
      <c r="C5686" s="11"/>
      <c r="D5686" s="11"/>
      <c r="E5686" s="11"/>
      <c r="F5686" s="11"/>
      <c r="G5686" s="11"/>
      <c r="H5686" s="11"/>
      <c r="I5686" s="15"/>
    </row>
    <row r="5687" spans="1:9" ht="16.5">
      <c r="A5687" s="10" t="b">
        <v>0</v>
      </c>
      <c r="B5687" s="11" t="str">
        <f>IF(D5687&lt;&gt;"",IF(COUNTIF('USPTO TMs'!A:A,D5687)&gt;0,"Yes","No"),"")</f>
        <v/>
      </c>
      <c r="C5687" s="11"/>
      <c r="D5687" s="11"/>
      <c r="E5687" s="11"/>
      <c r="F5687" s="11"/>
      <c r="G5687" s="11"/>
      <c r="H5687" s="11"/>
      <c r="I5687" s="15"/>
    </row>
    <row r="5688" spans="1:9" ht="16.5">
      <c r="A5688" s="10" t="b">
        <v>0</v>
      </c>
      <c r="B5688" s="11" t="str">
        <f>IF(D5688&lt;&gt;"",IF(COUNTIF('USPTO TMs'!A:A,D5688)&gt;0,"Yes","No"),"")</f>
        <v/>
      </c>
      <c r="C5688" s="11"/>
      <c r="D5688" s="11"/>
      <c r="E5688" s="11"/>
      <c r="F5688" s="11"/>
      <c r="G5688" s="11"/>
      <c r="H5688" s="11"/>
      <c r="I5688" s="15"/>
    </row>
    <row r="5689" spans="1:9" ht="16.5">
      <c r="A5689" s="10" t="b">
        <v>0</v>
      </c>
      <c r="B5689" s="11" t="str">
        <f>IF(D5689&lt;&gt;"",IF(COUNTIF('USPTO TMs'!A:A,D5689)&gt;0,"Yes","No"),"")</f>
        <v/>
      </c>
      <c r="C5689" s="11"/>
      <c r="D5689" s="11"/>
      <c r="E5689" s="11"/>
      <c r="F5689" s="11"/>
      <c r="G5689" s="11"/>
      <c r="H5689" s="11"/>
      <c r="I5689" s="15"/>
    </row>
    <row r="5690" spans="1:9" ht="16.5">
      <c r="A5690" s="10" t="b">
        <v>0</v>
      </c>
      <c r="B5690" s="11" t="str">
        <f>IF(D5690&lt;&gt;"",IF(COUNTIF('USPTO TMs'!A:A,D5690)&gt;0,"Yes","No"),"")</f>
        <v/>
      </c>
      <c r="C5690" s="11"/>
      <c r="D5690" s="11"/>
      <c r="E5690" s="11"/>
      <c r="F5690" s="11"/>
      <c r="G5690" s="11"/>
      <c r="H5690" s="11"/>
      <c r="I5690" s="15"/>
    </row>
    <row r="5691" spans="1:9" ht="16.5">
      <c r="A5691" s="10" t="b">
        <v>0</v>
      </c>
      <c r="B5691" s="11" t="str">
        <f>IF(D5691&lt;&gt;"",IF(COUNTIF('USPTO TMs'!A:A,D5691)&gt;0,"Yes","No"),"")</f>
        <v/>
      </c>
      <c r="C5691" s="11"/>
      <c r="D5691" s="11"/>
      <c r="E5691" s="11"/>
      <c r="F5691" s="11"/>
      <c r="G5691" s="11"/>
      <c r="H5691" s="11"/>
      <c r="I5691" s="15"/>
    </row>
    <row r="5692" spans="1:9" ht="16.5">
      <c r="A5692" s="10" t="b">
        <v>0</v>
      </c>
      <c r="B5692" s="11" t="str">
        <f>IF(D5692&lt;&gt;"",IF(COUNTIF('USPTO TMs'!A:A,D5692)&gt;0,"Yes","No"),"")</f>
        <v/>
      </c>
      <c r="C5692" s="11"/>
      <c r="D5692" s="11"/>
      <c r="E5692" s="11"/>
      <c r="F5692" s="11"/>
      <c r="G5692" s="11"/>
      <c r="H5692" s="11"/>
      <c r="I5692" s="15"/>
    </row>
    <row r="5693" spans="1:9" ht="16.5">
      <c r="A5693" s="10" t="b">
        <v>0</v>
      </c>
      <c r="B5693" s="11" t="str">
        <f>IF(D5693&lt;&gt;"",IF(COUNTIF('USPTO TMs'!A:A,D5693)&gt;0,"Yes","No"),"")</f>
        <v/>
      </c>
      <c r="C5693" s="11"/>
      <c r="D5693" s="11"/>
      <c r="E5693" s="11"/>
      <c r="F5693" s="11"/>
      <c r="G5693" s="11"/>
      <c r="H5693" s="11"/>
      <c r="I5693" s="15"/>
    </row>
    <row r="5694" spans="1:9" ht="16.5">
      <c r="A5694" s="10" t="b">
        <v>0</v>
      </c>
      <c r="B5694" s="11" t="str">
        <f>IF(D5694&lt;&gt;"",IF(COUNTIF('USPTO TMs'!A:A,D5694)&gt;0,"Yes","No"),"")</f>
        <v/>
      </c>
      <c r="C5694" s="11"/>
      <c r="D5694" s="11"/>
      <c r="E5694" s="11"/>
      <c r="F5694" s="11"/>
      <c r="G5694" s="11"/>
      <c r="H5694" s="11"/>
      <c r="I5694" s="15"/>
    </row>
    <row r="5695" spans="1:9" ht="16.5">
      <c r="A5695" s="10" t="b">
        <v>0</v>
      </c>
      <c r="B5695" s="11" t="str">
        <f>IF(D5695&lt;&gt;"",IF(COUNTIF('USPTO TMs'!A:A,D5695)&gt;0,"Yes","No"),"")</f>
        <v/>
      </c>
      <c r="C5695" s="11"/>
      <c r="D5695" s="11"/>
      <c r="E5695" s="11"/>
      <c r="F5695" s="11"/>
      <c r="G5695" s="11"/>
      <c r="H5695" s="11"/>
      <c r="I5695" s="15"/>
    </row>
    <row r="5696" spans="1:9" ht="16.5">
      <c r="A5696" s="10" t="b">
        <v>0</v>
      </c>
      <c r="B5696" s="11" t="str">
        <f>IF(D5696&lt;&gt;"",IF(COUNTIF('USPTO TMs'!A:A,D5696)&gt;0,"Yes","No"),"")</f>
        <v/>
      </c>
      <c r="C5696" s="11"/>
      <c r="D5696" s="11"/>
      <c r="E5696" s="11"/>
      <c r="F5696" s="11"/>
      <c r="G5696" s="11"/>
      <c r="H5696" s="11"/>
      <c r="I5696" s="15"/>
    </row>
    <row r="5697" spans="1:9" ht="16.5">
      <c r="A5697" s="10" t="b">
        <v>0</v>
      </c>
      <c r="B5697" s="11" t="str">
        <f>IF(D5697&lt;&gt;"",IF(COUNTIF('USPTO TMs'!A:A,D5697)&gt;0,"Yes","No"),"")</f>
        <v/>
      </c>
      <c r="C5697" s="11"/>
      <c r="D5697" s="11"/>
      <c r="E5697" s="11"/>
      <c r="F5697" s="11"/>
      <c r="G5697" s="11"/>
      <c r="H5697" s="11"/>
      <c r="I5697" s="15"/>
    </row>
    <row r="5698" spans="1:9" ht="16.5">
      <c r="A5698" s="10" t="b">
        <v>0</v>
      </c>
      <c r="B5698" s="11" t="str">
        <f>IF(D5698&lt;&gt;"",IF(COUNTIF('USPTO TMs'!A:A,D5698)&gt;0,"Yes","No"),"")</f>
        <v/>
      </c>
      <c r="C5698" s="11"/>
      <c r="D5698" s="11"/>
      <c r="E5698" s="11"/>
      <c r="F5698" s="11"/>
      <c r="G5698" s="11"/>
      <c r="H5698" s="11"/>
      <c r="I5698" s="15"/>
    </row>
    <row r="5699" spans="1:9" ht="16.5">
      <c r="A5699" s="10" t="b">
        <v>0</v>
      </c>
      <c r="B5699" s="11" t="str">
        <f>IF(D5699&lt;&gt;"",IF(COUNTIF('USPTO TMs'!A:A,D5699)&gt;0,"Yes","No"),"")</f>
        <v/>
      </c>
      <c r="C5699" s="11"/>
      <c r="D5699" s="11"/>
      <c r="E5699" s="11"/>
      <c r="F5699" s="11"/>
      <c r="G5699" s="11"/>
      <c r="H5699" s="11"/>
      <c r="I5699" s="15"/>
    </row>
    <row r="5700" spans="1:9" ht="16.5">
      <c r="A5700" s="10" t="b">
        <v>0</v>
      </c>
      <c r="B5700" s="11" t="str">
        <f>IF(D5700&lt;&gt;"",IF(COUNTIF('USPTO TMs'!A:A,D5700)&gt;0,"Yes","No"),"")</f>
        <v/>
      </c>
      <c r="C5700" s="11"/>
      <c r="D5700" s="11"/>
      <c r="E5700" s="11"/>
      <c r="F5700" s="11"/>
      <c r="G5700" s="11"/>
      <c r="H5700" s="11"/>
      <c r="I5700" s="15"/>
    </row>
    <row r="5701" spans="1:9" ht="16.5">
      <c r="A5701" s="10" t="b">
        <v>0</v>
      </c>
      <c r="B5701" s="11" t="str">
        <f>IF(D5701&lt;&gt;"",IF(COUNTIF('USPTO TMs'!A:A,D5701)&gt;0,"Yes","No"),"")</f>
        <v/>
      </c>
      <c r="C5701" s="11"/>
      <c r="D5701" s="11"/>
      <c r="E5701" s="11"/>
      <c r="F5701" s="11"/>
      <c r="G5701" s="11"/>
      <c r="H5701" s="11"/>
      <c r="I5701" s="15"/>
    </row>
    <row r="5702" spans="1:9" ht="16.5">
      <c r="A5702" s="10" t="b">
        <v>0</v>
      </c>
      <c r="B5702" s="11" t="str">
        <f>IF(D5702&lt;&gt;"",IF(COUNTIF('USPTO TMs'!A:A,D5702)&gt;0,"Yes","No"),"")</f>
        <v/>
      </c>
      <c r="C5702" s="11"/>
      <c r="D5702" s="11"/>
      <c r="E5702" s="11"/>
      <c r="F5702" s="11"/>
      <c r="G5702" s="11"/>
      <c r="H5702" s="11"/>
      <c r="I5702" s="15"/>
    </row>
    <row r="5703" spans="1:9" ht="16.5">
      <c r="A5703" s="10" t="b">
        <v>0</v>
      </c>
      <c r="B5703" s="11" t="str">
        <f>IF(D5703&lt;&gt;"",IF(COUNTIF('USPTO TMs'!A:A,D5703)&gt;0,"Yes","No"),"")</f>
        <v/>
      </c>
      <c r="C5703" s="11"/>
      <c r="D5703" s="11"/>
      <c r="E5703" s="11"/>
      <c r="F5703" s="11"/>
      <c r="G5703" s="11"/>
      <c r="H5703" s="11"/>
      <c r="I5703" s="15"/>
    </row>
    <row r="5704" spans="1:9" ht="16.5">
      <c r="A5704" s="10" t="b">
        <v>0</v>
      </c>
      <c r="B5704" s="11" t="str">
        <f>IF(D5704&lt;&gt;"",IF(COUNTIF('USPTO TMs'!A:A,D5704)&gt;0,"Yes","No"),"")</f>
        <v/>
      </c>
      <c r="C5704" s="11"/>
      <c r="D5704" s="11"/>
      <c r="E5704" s="11"/>
      <c r="F5704" s="11"/>
      <c r="G5704" s="11"/>
      <c r="H5704" s="11"/>
      <c r="I5704" s="15"/>
    </row>
    <row r="5705" spans="1:9" ht="16.5">
      <c r="A5705" s="10" t="b">
        <v>0</v>
      </c>
      <c r="B5705" s="11" t="str">
        <f>IF(D5705&lt;&gt;"",IF(COUNTIF('USPTO TMs'!A:A,D5705)&gt;0,"Yes","No"),"")</f>
        <v/>
      </c>
      <c r="C5705" s="11"/>
      <c r="D5705" s="11"/>
      <c r="E5705" s="11"/>
      <c r="F5705" s="11"/>
      <c r="G5705" s="11"/>
      <c r="H5705" s="11"/>
      <c r="I5705" s="15"/>
    </row>
    <row r="5706" spans="1:9" ht="16.5">
      <c r="A5706" s="10" t="b">
        <v>0</v>
      </c>
      <c r="B5706" s="11" t="str">
        <f>IF(D5706&lt;&gt;"",IF(COUNTIF('USPTO TMs'!A:A,D5706)&gt;0,"Yes","No"),"")</f>
        <v/>
      </c>
      <c r="C5706" s="11"/>
      <c r="D5706" s="11"/>
      <c r="E5706" s="11"/>
      <c r="F5706" s="11"/>
      <c r="G5706" s="11"/>
      <c r="H5706" s="11"/>
      <c r="I5706" s="15"/>
    </row>
    <row r="5707" spans="1:9" ht="16.5">
      <c r="A5707" s="10" t="b">
        <v>0</v>
      </c>
      <c r="B5707" s="11" t="str">
        <f>IF(D5707&lt;&gt;"",IF(COUNTIF('USPTO TMs'!A:A,D5707)&gt;0,"Yes","No"),"")</f>
        <v/>
      </c>
      <c r="C5707" s="11"/>
      <c r="D5707" s="11"/>
      <c r="E5707" s="11"/>
      <c r="F5707" s="11"/>
      <c r="G5707" s="11"/>
      <c r="H5707" s="11"/>
      <c r="I5707" s="15"/>
    </row>
    <row r="5708" spans="1:9" ht="16.5">
      <c r="A5708" s="10" t="b">
        <v>0</v>
      </c>
      <c r="B5708" s="11" t="str">
        <f>IF(D5708&lt;&gt;"",IF(COUNTIF('USPTO TMs'!A:A,D5708)&gt;0,"Yes","No"),"")</f>
        <v/>
      </c>
      <c r="C5708" s="11"/>
      <c r="D5708" s="11"/>
      <c r="E5708" s="11"/>
      <c r="F5708" s="11"/>
      <c r="G5708" s="11"/>
      <c r="H5708" s="11"/>
      <c r="I5708" s="15"/>
    </row>
    <row r="5709" spans="1:9" ht="16.5">
      <c r="A5709" s="10" t="b">
        <v>0</v>
      </c>
      <c r="B5709" s="11" t="str">
        <f>IF(D5709&lt;&gt;"",IF(COUNTIF('USPTO TMs'!A:A,D5709)&gt;0,"Yes","No"),"")</f>
        <v/>
      </c>
      <c r="C5709" s="11"/>
      <c r="D5709" s="11"/>
      <c r="E5709" s="11"/>
      <c r="F5709" s="11"/>
      <c r="G5709" s="11"/>
      <c r="H5709" s="11"/>
      <c r="I5709" s="15"/>
    </row>
    <row r="5710" spans="1:9" ht="16.5">
      <c r="A5710" s="10" t="b">
        <v>0</v>
      </c>
      <c r="B5710" s="11" t="str">
        <f>IF(D5710&lt;&gt;"",IF(COUNTIF('USPTO TMs'!A:A,D5710)&gt;0,"Yes","No"),"")</f>
        <v/>
      </c>
      <c r="C5710" s="11"/>
      <c r="D5710" s="11"/>
      <c r="E5710" s="11"/>
      <c r="F5710" s="11"/>
      <c r="G5710" s="11"/>
      <c r="H5710" s="11"/>
      <c r="I5710" s="15"/>
    </row>
    <row r="5711" spans="1:9" ht="16.5">
      <c r="A5711" s="10" t="b">
        <v>0</v>
      </c>
      <c r="B5711" s="11" t="str">
        <f>IF(D5711&lt;&gt;"",IF(COUNTIF('USPTO TMs'!A:A,D5711)&gt;0,"Yes","No"),"")</f>
        <v/>
      </c>
      <c r="C5711" s="11"/>
      <c r="D5711" s="11"/>
      <c r="E5711" s="11"/>
      <c r="F5711" s="11"/>
      <c r="G5711" s="11"/>
      <c r="H5711" s="11"/>
      <c r="I5711" s="15"/>
    </row>
    <row r="5712" spans="1:9" ht="16.5">
      <c r="A5712" s="10" t="b">
        <v>0</v>
      </c>
      <c r="B5712" s="11" t="str">
        <f>IF(D5712&lt;&gt;"",IF(COUNTIF('USPTO TMs'!A:A,D5712)&gt;0,"Yes","No"),"")</f>
        <v/>
      </c>
      <c r="C5712" s="11"/>
      <c r="D5712" s="11"/>
      <c r="E5712" s="11"/>
      <c r="F5712" s="11"/>
      <c r="G5712" s="11"/>
      <c r="H5712" s="11"/>
      <c r="I5712" s="15"/>
    </row>
    <row r="5713" spans="1:9" ht="16.5">
      <c r="A5713" s="10" t="b">
        <v>0</v>
      </c>
      <c r="B5713" s="11" t="str">
        <f>IF(D5713&lt;&gt;"",IF(COUNTIF('USPTO TMs'!A:A,D5713)&gt;0,"Yes","No"),"")</f>
        <v/>
      </c>
      <c r="C5713" s="11"/>
      <c r="D5713" s="11"/>
      <c r="E5713" s="11"/>
      <c r="F5713" s="11"/>
      <c r="G5713" s="11"/>
      <c r="H5713" s="11"/>
      <c r="I5713" s="15"/>
    </row>
    <row r="5714" spans="1:9" ht="16.5">
      <c r="A5714" s="10" t="b">
        <v>0</v>
      </c>
      <c r="B5714" s="11" t="str">
        <f>IF(D5714&lt;&gt;"",IF(COUNTIF('USPTO TMs'!A:A,D5714)&gt;0,"Yes","No"),"")</f>
        <v/>
      </c>
      <c r="C5714" s="11"/>
      <c r="D5714" s="11"/>
      <c r="E5714" s="11"/>
      <c r="F5714" s="11"/>
      <c r="G5714" s="11"/>
      <c r="H5714" s="11"/>
      <c r="I5714" s="15"/>
    </row>
    <row r="5715" spans="1:9" ht="16.5">
      <c r="A5715" s="10" t="b">
        <v>0</v>
      </c>
      <c r="B5715" s="11" t="str">
        <f>IF(D5715&lt;&gt;"",IF(COUNTIF('USPTO TMs'!A:A,D5715)&gt;0,"Yes","No"),"")</f>
        <v/>
      </c>
      <c r="C5715" s="11"/>
      <c r="D5715" s="11"/>
      <c r="E5715" s="11"/>
      <c r="F5715" s="11"/>
      <c r="G5715" s="11"/>
      <c r="H5715" s="11"/>
      <c r="I5715" s="15"/>
    </row>
    <row r="5716" spans="1:9" ht="16.5">
      <c r="A5716" s="10" t="b">
        <v>0</v>
      </c>
      <c r="B5716" s="11" t="str">
        <f>IF(D5716&lt;&gt;"",IF(COUNTIF('USPTO TMs'!A:A,D5716)&gt;0,"Yes","No"),"")</f>
        <v/>
      </c>
      <c r="C5716" s="11"/>
      <c r="D5716" s="11"/>
      <c r="E5716" s="11"/>
      <c r="F5716" s="11"/>
      <c r="G5716" s="11"/>
      <c r="H5716" s="11"/>
      <c r="I5716" s="15"/>
    </row>
    <row r="5717" spans="1:9" ht="16.5">
      <c r="A5717" s="10" t="b">
        <v>0</v>
      </c>
      <c r="B5717" s="11" t="str">
        <f>IF(D5717&lt;&gt;"",IF(COUNTIF('USPTO TMs'!A:A,D5717)&gt;0,"Yes","No"),"")</f>
        <v/>
      </c>
      <c r="C5717" s="11"/>
      <c r="D5717" s="11"/>
      <c r="E5717" s="11"/>
      <c r="F5717" s="11"/>
      <c r="G5717" s="11"/>
      <c r="H5717" s="11"/>
      <c r="I5717" s="15"/>
    </row>
    <row r="5718" spans="1:9" ht="16.5">
      <c r="A5718" s="10" t="b">
        <v>0</v>
      </c>
      <c r="B5718" s="11" t="str">
        <f>IF(D5718&lt;&gt;"",IF(COUNTIF('USPTO TMs'!A:A,D5718)&gt;0,"Yes","No"),"")</f>
        <v/>
      </c>
      <c r="C5718" s="11"/>
      <c r="D5718" s="11"/>
      <c r="E5718" s="11"/>
      <c r="F5718" s="11"/>
      <c r="G5718" s="11"/>
      <c r="H5718" s="11"/>
      <c r="I5718" s="15"/>
    </row>
    <row r="5719" spans="1:9" ht="16.5">
      <c r="A5719" s="10" t="b">
        <v>0</v>
      </c>
      <c r="B5719" s="11" t="str">
        <f>IF(D5719&lt;&gt;"",IF(COUNTIF('USPTO TMs'!A:A,D5719)&gt;0,"Yes","No"),"")</f>
        <v/>
      </c>
      <c r="C5719" s="11"/>
      <c r="D5719" s="11"/>
      <c r="E5719" s="11"/>
      <c r="F5719" s="11"/>
      <c r="G5719" s="11"/>
      <c r="H5719" s="11"/>
      <c r="I5719" s="15"/>
    </row>
    <row r="5720" spans="1:9" ht="16.5">
      <c r="A5720" s="10" t="b">
        <v>0</v>
      </c>
      <c r="B5720" s="11" t="str">
        <f>IF(D5720&lt;&gt;"",IF(COUNTIF('USPTO TMs'!A:A,D5720)&gt;0,"Yes","No"),"")</f>
        <v/>
      </c>
      <c r="C5720" s="11"/>
      <c r="D5720" s="11"/>
      <c r="E5720" s="11"/>
      <c r="F5720" s="11"/>
      <c r="G5720" s="11"/>
      <c r="H5720" s="11"/>
      <c r="I5720" s="15"/>
    </row>
    <row r="5721" spans="1:9" ht="16.5">
      <c r="A5721" s="10" t="b">
        <v>0</v>
      </c>
      <c r="B5721" s="11" t="str">
        <f>IF(D5721&lt;&gt;"",IF(COUNTIF('USPTO TMs'!A:A,D5721)&gt;0,"Yes","No"),"")</f>
        <v/>
      </c>
      <c r="C5721" s="11"/>
      <c r="D5721" s="11"/>
      <c r="E5721" s="11"/>
      <c r="F5721" s="11"/>
      <c r="G5721" s="11"/>
      <c r="H5721" s="11"/>
      <c r="I5721" s="15"/>
    </row>
    <row r="5722" spans="1:9" ht="16.5">
      <c r="A5722" s="10" t="b">
        <v>0</v>
      </c>
      <c r="B5722" s="11" t="str">
        <f>IF(D5722&lt;&gt;"",IF(COUNTIF('USPTO TMs'!A:A,D5722)&gt;0,"Yes","No"),"")</f>
        <v/>
      </c>
      <c r="C5722" s="11"/>
      <c r="D5722" s="11"/>
      <c r="E5722" s="11"/>
      <c r="F5722" s="11"/>
      <c r="G5722" s="11"/>
      <c r="H5722" s="11"/>
      <c r="I5722" s="15"/>
    </row>
    <row r="5723" spans="1:9" ht="16.5">
      <c r="A5723" s="10" t="b">
        <v>0</v>
      </c>
      <c r="B5723" s="11" t="str">
        <f>IF(D5723&lt;&gt;"",IF(COUNTIF('USPTO TMs'!A:A,D5723)&gt;0,"Yes","No"),"")</f>
        <v/>
      </c>
      <c r="C5723" s="11"/>
      <c r="D5723" s="11"/>
      <c r="E5723" s="11"/>
      <c r="F5723" s="11"/>
      <c r="G5723" s="11"/>
      <c r="H5723" s="11"/>
      <c r="I5723" s="15"/>
    </row>
    <row r="5724" spans="1:9" ht="16.5">
      <c r="A5724" s="10" t="b">
        <v>0</v>
      </c>
      <c r="B5724" s="11" t="str">
        <f>IF(D5724&lt;&gt;"",IF(COUNTIF('USPTO TMs'!A:A,D5724)&gt;0,"Yes","No"),"")</f>
        <v/>
      </c>
      <c r="C5724" s="11"/>
      <c r="D5724" s="11"/>
      <c r="E5724" s="11"/>
      <c r="F5724" s="11"/>
      <c r="G5724" s="11"/>
      <c r="H5724" s="11"/>
      <c r="I5724" s="15"/>
    </row>
    <row r="5725" spans="1:9" ht="16.5">
      <c r="A5725" s="10" t="b">
        <v>0</v>
      </c>
      <c r="B5725" s="11" t="str">
        <f>IF(D5725&lt;&gt;"",IF(COUNTIF('USPTO TMs'!A:A,D5725)&gt;0,"Yes","No"),"")</f>
        <v/>
      </c>
      <c r="C5725" s="11"/>
      <c r="D5725" s="11"/>
      <c r="E5725" s="11"/>
      <c r="F5725" s="11"/>
      <c r="G5725" s="11"/>
      <c r="H5725" s="11"/>
      <c r="I5725" s="15"/>
    </row>
    <row r="5726" spans="1:9" ht="16.5">
      <c r="A5726" s="10" t="b">
        <v>0</v>
      </c>
      <c r="B5726" s="11" t="str">
        <f>IF(D5726&lt;&gt;"",IF(COUNTIF('USPTO TMs'!A:A,D5726)&gt;0,"Yes","No"),"")</f>
        <v/>
      </c>
      <c r="C5726" s="11"/>
      <c r="D5726" s="11"/>
      <c r="E5726" s="11"/>
      <c r="F5726" s="11"/>
      <c r="G5726" s="11"/>
      <c r="H5726" s="11"/>
      <c r="I5726" s="15"/>
    </row>
    <row r="5727" spans="1:9" ht="16.5">
      <c r="A5727" s="10" t="b">
        <v>0</v>
      </c>
      <c r="B5727" s="11" t="str">
        <f>IF(D5727&lt;&gt;"",IF(COUNTIF('USPTO TMs'!A:A,D5727)&gt;0,"Yes","No"),"")</f>
        <v/>
      </c>
      <c r="C5727" s="11"/>
      <c r="D5727" s="11"/>
      <c r="E5727" s="11"/>
      <c r="F5727" s="11"/>
      <c r="G5727" s="11"/>
      <c r="H5727" s="11"/>
      <c r="I5727" s="15"/>
    </row>
    <row r="5728" spans="1:9" ht="16.5">
      <c r="A5728" s="10" t="b">
        <v>0</v>
      </c>
      <c r="B5728" s="11" t="str">
        <f>IF(D5728&lt;&gt;"",IF(COUNTIF('USPTO TMs'!A:A,D5728)&gt;0,"Yes","No"),"")</f>
        <v/>
      </c>
      <c r="C5728" s="11"/>
      <c r="D5728" s="11"/>
      <c r="E5728" s="11"/>
      <c r="F5728" s="11"/>
      <c r="G5728" s="11"/>
      <c r="H5728" s="11"/>
      <c r="I5728" s="15"/>
    </row>
    <row r="5729" spans="1:9" ht="16.5">
      <c r="A5729" s="10" t="b">
        <v>0</v>
      </c>
      <c r="B5729" s="11" t="str">
        <f>IF(D5729&lt;&gt;"",IF(COUNTIF('USPTO TMs'!A:A,D5729)&gt;0,"Yes","No"),"")</f>
        <v/>
      </c>
      <c r="C5729" s="11"/>
      <c r="D5729" s="11"/>
      <c r="E5729" s="11"/>
      <c r="F5729" s="11"/>
      <c r="G5729" s="11"/>
      <c r="H5729" s="11"/>
      <c r="I5729" s="15"/>
    </row>
    <row r="5730" spans="1:9" ht="16.5">
      <c r="A5730" s="10" t="b">
        <v>0</v>
      </c>
      <c r="B5730" s="11" t="str">
        <f>IF(D5730&lt;&gt;"",IF(COUNTIF('USPTO TMs'!A:A,D5730)&gt;0,"Yes","No"),"")</f>
        <v/>
      </c>
      <c r="C5730" s="11"/>
      <c r="D5730" s="11"/>
      <c r="E5730" s="11"/>
      <c r="F5730" s="11"/>
      <c r="G5730" s="11"/>
      <c r="H5730" s="11"/>
      <c r="I5730" s="15"/>
    </row>
    <row r="5731" spans="1:9" ht="16.5">
      <c r="A5731" s="10" t="b">
        <v>0</v>
      </c>
      <c r="B5731" s="11" t="str">
        <f>IF(D5731&lt;&gt;"",IF(COUNTIF('USPTO TMs'!A:A,D5731)&gt;0,"Yes","No"),"")</f>
        <v/>
      </c>
      <c r="C5731" s="11"/>
      <c r="D5731" s="11"/>
      <c r="E5731" s="11"/>
      <c r="F5731" s="11"/>
      <c r="G5731" s="11"/>
      <c r="H5731" s="11"/>
      <c r="I5731" s="15"/>
    </row>
    <row r="5732" spans="1:9" ht="16.5">
      <c r="A5732" s="10" t="b">
        <v>0</v>
      </c>
      <c r="B5732" s="11" t="str">
        <f>IF(D5732&lt;&gt;"",IF(COUNTIF('USPTO TMs'!A:A,D5732)&gt;0,"Yes","No"),"")</f>
        <v/>
      </c>
      <c r="C5732" s="11"/>
      <c r="D5732" s="11"/>
      <c r="E5732" s="11"/>
      <c r="F5732" s="11"/>
      <c r="G5732" s="11"/>
      <c r="H5732" s="11"/>
      <c r="I5732" s="15"/>
    </row>
    <row r="5733" spans="1:9" ht="16.5">
      <c r="A5733" s="10" t="b">
        <v>0</v>
      </c>
      <c r="B5733" s="11" t="str">
        <f>IF(D5733&lt;&gt;"",IF(COUNTIF('USPTO TMs'!A:A,D5733)&gt;0,"Yes","No"),"")</f>
        <v/>
      </c>
      <c r="C5733" s="11"/>
      <c r="D5733" s="11"/>
      <c r="E5733" s="11"/>
      <c r="F5733" s="11"/>
      <c r="G5733" s="11"/>
      <c r="H5733" s="11"/>
      <c r="I5733" s="15"/>
    </row>
    <row r="5734" spans="1:9" ht="16.5">
      <c r="A5734" s="10" t="b">
        <v>0</v>
      </c>
      <c r="B5734" s="11" t="str">
        <f>IF(D5734&lt;&gt;"",IF(COUNTIF('USPTO TMs'!A:A,D5734)&gt;0,"Yes","No"),"")</f>
        <v/>
      </c>
      <c r="C5734" s="11"/>
      <c r="D5734" s="11"/>
      <c r="E5734" s="11"/>
      <c r="F5734" s="11"/>
      <c r="G5734" s="11"/>
      <c r="H5734" s="11"/>
      <c r="I5734" s="15"/>
    </row>
    <row r="5735" spans="1:9" ht="16.5">
      <c r="A5735" s="10" t="b">
        <v>0</v>
      </c>
      <c r="B5735" s="11" t="str">
        <f>IF(D5735&lt;&gt;"",IF(COUNTIF('USPTO TMs'!A:A,D5735)&gt;0,"Yes","No"),"")</f>
        <v/>
      </c>
      <c r="C5735" s="11"/>
      <c r="D5735" s="11"/>
      <c r="E5735" s="11"/>
      <c r="F5735" s="11"/>
      <c r="G5735" s="11"/>
      <c r="H5735" s="11"/>
      <c r="I5735" s="15"/>
    </row>
    <row r="5736" spans="1:9" ht="16.5">
      <c r="A5736" s="10" t="b">
        <v>0</v>
      </c>
      <c r="B5736" s="11" t="str">
        <f>IF(D5736&lt;&gt;"",IF(COUNTIF('USPTO TMs'!A:A,D5736)&gt;0,"Yes","No"),"")</f>
        <v/>
      </c>
      <c r="C5736" s="11"/>
      <c r="D5736" s="11"/>
      <c r="E5736" s="11"/>
      <c r="F5736" s="11"/>
      <c r="G5736" s="11"/>
      <c r="H5736" s="11"/>
      <c r="I5736" s="15"/>
    </row>
    <row r="5737" spans="1:9" ht="16.5">
      <c r="A5737" s="10" t="b">
        <v>0</v>
      </c>
      <c r="B5737" s="11" t="str">
        <f>IF(D5737&lt;&gt;"",IF(COUNTIF('USPTO TMs'!A:A,D5737)&gt;0,"Yes","No"),"")</f>
        <v/>
      </c>
      <c r="C5737" s="11"/>
      <c r="D5737" s="11"/>
      <c r="E5737" s="11"/>
      <c r="F5737" s="11"/>
      <c r="G5737" s="11"/>
      <c r="H5737" s="11"/>
      <c r="I5737" s="15"/>
    </row>
    <row r="5738" spans="1:9" ht="16.5">
      <c r="A5738" s="10" t="b">
        <v>0</v>
      </c>
      <c r="B5738" s="11" t="str">
        <f>IF(D5738&lt;&gt;"",IF(COUNTIF('USPTO TMs'!A:A,D5738)&gt;0,"Yes","No"),"")</f>
        <v/>
      </c>
      <c r="C5738" s="11"/>
      <c r="D5738" s="11"/>
      <c r="E5738" s="11"/>
      <c r="F5738" s="11"/>
      <c r="G5738" s="11"/>
      <c r="H5738" s="11"/>
      <c r="I5738" s="15"/>
    </row>
    <row r="5739" spans="1:9" ht="16.5">
      <c r="A5739" s="10" t="b">
        <v>0</v>
      </c>
      <c r="B5739" s="11" t="str">
        <f>IF(D5739&lt;&gt;"",IF(COUNTIF('USPTO TMs'!A:A,D5739)&gt;0,"Yes","No"),"")</f>
        <v/>
      </c>
      <c r="C5739" s="11"/>
      <c r="D5739" s="11"/>
      <c r="E5739" s="11"/>
      <c r="F5739" s="11"/>
      <c r="G5739" s="11"/>
      <c r="H5739" s="11"/>
      <c r="I5739" s="15"/>
    </row>
    <row r="5740" spans="1:9" ht="16.5">
      <c r="A5740" s="10" t="b">
        <v>0</v>
      </c>
      <c r="B5740" s="11" t="str">
        <f>IF(D5740&lt;&gt;"",IF(COUNTIF('USPTO TMs'!A:A,D5740)&gt;0,"Yes","No"),"")</f>
        <v/>
      </c>
      <c r="C5740" s="11"/>
      <c r="D5740" s="11"/>
      <c r="E5740" s="11"/>
      <c r="F5740" s="11"/>
      <c r="G5740" s="11"/>
      <c r="H5740" s="11"/>
      <c r="I5740" s="15"/>
    </row>
    <row r="5741" spans="1:9" ht="16.5">
      <c r="A5741" s="10" t="b">
        <v>0</v>
      </c>
      <c r="B5741" s="11" t="str">
        <f>IF(D5741&lt;&gt;"",IF(COUNTIF('USPTO TMs'!A:A,D5741)&gt;0,"Yes","No"),"")</f>
        <v/>
      </c>
      <c r="C5741" s="11"/>
      <c r="D5741" s="11"/>
      <c r="E5741" s="11"/>
      <c r="F5741" s="11"/>
      <c r="G5741" s="11"/>
      <c r="H5741" s="11"/>
      <c r="I5741" s="15"/>
    </row>
    <row r="5742" spans="1:9" ht="16.5">
      <c r="A5742" s="10" t="b">
        <v>0</v>
      </c>
      <c r="B5742" s="11" t="str">
        <f>IF(D5742&lt;&gt;"",IF(COUNTIF('USPTO TMs'!A:A,D5742)&gt;0,"Yes","No"),"")</f>
        <v/>
      </c>
      <c r="C5742" s="11"/>
      <c r="D5742" s="11"/>
      <c r="E5742" s="11"/>
      <c r="F5742" s="11"/>
      <c r="G5742" s="11"/>
      <c r="H5742" s="11"/>
      <c r="I5742" s="15"/>
    </row>
    <row r="5743" spans="1:9" ht="16.5">
      <c r="A5743" s="10" t="b">
        <v>0</v>
      </c>
      <c r="B5743" s="11" t="str">
        <f>IF(D5743&lt;&gt;"",IF(COUNTIF('USPTO TMs'!A:A,D5743)&gt;0,"Yes","No"),"")</f>
        <v/>
      </c>
      <c r="C5743" s="11"/>
      <c r="D5743" s="11"/>
      <c r="E5743" s="11"/>
      <c r="F5743" s="11"/>
      <c r="G5743" s="11"/>
      <c r="H5743" s="11"/>
      <c r="I5743" s="15"/>
    </row>
    <row r="5744" spans="1:9" ht="16.5">
      <c r="A5744" s="10" t="b">
        <v>0</v>
      </c>
      <c r="B5744" s="11" t="str">
        <f>IF(D5744&lt;&gt;"",IF(COUNTIF('USPTO TMs'!A:A,D5744)&gt;0,"Yes","No"),"")</f>
        <v/>
      </c>
      <c r="C5744" s="11"/>
      <c r="D5744" s="11"/>
      <c r="E5744" s="11"/>
      <c r="F5744" s="11"/>
      <c r="G5744" s="11"/>
      <c r="H5744" s="11"/>
      <c r="I5744" s="15"/>
    </row>
    <row r="5745" spans="1:9" ht="16.5">
      <c r="A5745" s="10" t="b">
        <v>0</v>
      </c>
      <c r="B5745" s="11" t="str">
        <f>IF(D5745&lt;&gt;"",IF(COUNTIF('USPTO TMs'!A:A,D5745)&gt;0,"Yes","No"),"")</f>
        <v/>
      </c>
      <c r="C5745" s="11"/>
      <c r="D5745" s="11"/>
      <c r="E5745" s="11"/>
      <c r="F5745" s="11"/>
      <c r="G5745" s="11"/>
      <c r="H5745" s="11"/>
      <c r="I5745" s="15"/>
    </row>
    <row r="5746" spans="1:9" ht="16.5">
      <c r="A5746" s="10" t="b">
        <v>0</v>
      </c>
      <c r="B5746" s="11" t="str">
        <f>IF(D5746&lt;&gt;"",IF(COUNTIF('USPTO TMs'!A:A,D5746)&gt;0,"Yes","No"),"")</f>
        <v/>
      </c>
      <c r="C5746" s="11"/>
      <c r="D5746" s="11"/>
      <c r="E5746" s="11"/>
      <c r="F5746" s="11"/>
      <c r="G5746" s="11"/>
      <c r="H5746" s="11"/>
      <c r="I5746" s="15"/>
    </row>
    <row r="5747" spans="1:9" ht="16.5">
      <c r="A5747" s="10" t="b">
        <v>0</v>
      </c>
      <c r="B5747" s="11" t="str">
        <f>IF(D5747&lt;&gt;"",IF(COUNTIF('USPTO TMs'!A:A,D5747)&gt;0,"Yes","No"),"")</f>
        <v/>
      </c>
      <c r="C5747" s="11"/>
      <c r="D5747" s="11"/>
      <c r="E5747" s="11"/>
      <c r="F5747" s="11"/>
      <c r="G5747" s="11"/>
      <c r="H5747" s="11"/>
      <c r="I5747" s="15"/>
    </row>
    <row r="5748" spans="1:9" ht="16.5">
      <c r="A5748" s="10" t="b">
        <v>0</v>
      </c>
      <c r="B5748" s="11" t="str">
        <f>IF(D5748&lt;&gt;"",IF(COUNTIF('USPTO TMs'!A:A,D5748)&gt;0,"Yes","No"),"")</f>
        <v/>
      </c>
      <c r="C5748" s="11"/>
      <c r="D5748" s="11"/>
      <c r="E5748" s="11"/>
      <c r="F5748" s="11"/>
      <c r="G5748" s="11"/>
      <c r="H5748" s="11"/>
      <c r="I5748" s="15"/>
    </row>
    <row r="5749" spans="1:9" ht="16.5">
      <c r="A5749" s="10" t="b">
        <v>0</v>
      </c>
      <c r="B5749" s="11" t="str">
        <f>IF(D5749&lt;&gt;"",IF(COUNTIF('USPTO TMs'!A:A,D5749)&gt;0,"Yes","No"),"")</f>
        <v/>
      </c>
      <c r="C5749" s="11"/>
      <c r="D5749" s="11"/>
      <c r="E5749" s="11"/>
      <c r="F5749" s="11"/>
      <c r="G5749" s="11"/>
      <c r="H5749" s="11"/>
      <c r="I5749" s="15"/>
    </row>
    <row r="5750" spans="1:9" ht="16.5">
      <c r="A5750" s="10" t="b">
        <v>0</v>
      </c>
      <c r="B5750" s="11" t="str">
        <f>IF(D5750&lt;&gt;"",IF(COUNTIF('USPTO TMs'!A:A,D5750)&gt;0,"Yes","No"),"")</f>
        <v/>
      </c>
      <c r="C5750" s="11"/>
      <c r="D5750" s="11"/>
      <c r="E5750" s="11"/>
      <c r="F5750" s="11"/>
      <c r="G5750" s="11"/>
      <c r="H5750" s="11"/>
      <c r="I5750" s="15"/>
    </row>
    <row r="5751" spans="1:9" ht="16.5">
      <c r="A5751" s="10" t="b">
        <v>0</v>
      </c>
      <c r="B5751" s="11" t="str">
        <f>IF(D5751&lt;&gt;"",IF(COUNTIF('USPTO TMs'!A:A,D5751)&gt;0,"Yes","No"),"")</f>
        <v/>
      </c>
      <c r="C5751" s="11"/>
      <c r="D5751" s="11"/>
      <c r="E5751" s="11"/>
      <c r="F5751" s="11"/>
      <c r="G5751" s="11"/>
      <c r="H5751" s="11"/>
      <c r="I5751" s="15"/>
    </row>
    <row r="5752" spans="1:9" ht="16.5">
      <c r="A5752" s="10" t="b">
        <v>0</v>
      </c>
      <c r="B5752" s="11" t="str">
        <f>IF(D5752&lt;&gt;"",IF(COUNTIF('USPTO TMs'!A:A,D5752)&gt;0,"Yes","No"),"")</f>
        <v/>
      </c>
      <c r="C5752" s="11"/>
      <c r="D5752" s="11"/>
      <c r="E5752" s="11"/>
      <c r="F5752" s="11"/>
      <c r="G5752" s="11"/>
      <c r="H5752" s="11"/>
      <c r="I5752" s="15"/>
    </row>
    <row r="5753" spans="1:9" ht="16.5">
      <c r="A5753" s="10" t="b">
        <v>0</v>
      </c>
      <c r="B5753" s="11" t="str">
        <f>IF(D5753&lt;&gt;"",IF(COUNTIF('USPTO TMs'!A:A,D5753)&gt;0,"Yes","No"),"")</f>
        <v/>
      </c>
      <c r="C5753" s="11"/>
      <c r="D5753" s="11"/>
      <c r="E5753" s="11"/>
      <c r="F5753" s="11"/>
      <c r="G5753" s="11"/>
      <c r="H5753" s="11"/>
      <c r="I5753" s="15"/>
    </row>
    <row r="5754" spans="1:9" ht="16.5">
      <c r="A5754" s="10" t="b">
        <v>0</v>
      </c>
      <c r="B5754" s="11" t="str">
        <f>IF(D5754&lt;&gt;"",IF(COUNTIF('USPTO TMs'!A:A,D5754)&gt;0,"Yes","No"),"")</f>
        <v/>
      </c>
      <c r="C5754" s="11"/>
      <c r="D5754" s="11"/>
      <c r="E5754" s="11"/>
      <c r="F5754" s="11"/>
      <c r="G5754" s="11"/>
      <c r="H5754" s="11"/>
      <c r="I5754" s="15"/>
    </row>
    <row r="5755" spans="1:9" ht="16.5">
      <c r="A5755" s="10" t="b">
        <v>0</v>
      </c>
      <c r="B5755" s="11" t="str">
        <f>IF(D5755&lt;&gt;"",IF(COUNTIF('USPTO TMs'!A:A,D5755)&gt;0,"Yes","No"),"")</f>
        <v/>
      </c>
      <c r="C5755" s="11"/>
      <c r="D5755" s="11"/>
      <c r="E5755" s="11"/>
      <c r="F5755" s="11"/>
      <c r="G5755" s="11"/>
      <c r="H5755" s="11"/>
      <c r="I5755" s="15"/>
    </row>
    <row r="5756" spans="1:9" ht="16.5">
      <c r="A5756" s="10" t="b">
        <v>0</v>
      </c>
      <c r="B5756" s="11" t="str">
        <f>IF(D5756&lt;&gt;"",IF(COUNTIF('USPTO TMs'!A:A,D5756)&gt;0,"Yes","No"),"")</f>
        <v/>
      </c>
      <c r="C5756" s="11"/>
      <c r="D5756" s="11"/>
      <c r="E5756" s="11"/>
      <c r="F5756" s="11"/>
      <c r="G5756" s="11"/>
      <c r="H5756" s="11"/>
      <c r="I5756" s="15"/>
    </row>
    <row r="5757" spans="1:9" ht="16.5">
      <c r="A5757" s="10" t="b">
        <v>0</v>
      </c>
      <c r="B5757" s="11" t="str">
        <f>IF(D5757&lt;&gt;"",IF(COUNTIF('USPTO TMs'!A:A,D5757)&gt;0,"Yes","No"),"")</f>
        <v/>
      </c>
      <c r="C5757" s="11"/>
      <c r="D5757" s="11"/>
      <c r="E5757" s="11"/>
      <c r="F5757" s="11"/>
      <c r="G5757" s="11"/>
      <c r="H5757" s="11"/>
      <c r="I5757" s="15"/>
    </row>
    <row r="5758" spans="1:9" ht="16.5">
      <c r="A5758" s="10" t="b">
        <v>0</v>
      </c>
      <c r="B5758" s="11" t="str">
        <f>IF(D5758&lt;&gt;"",IF(COUNTIF('USPTO TMs'!A:A,D5758)&gt;0,"Yes","No"),"")</f>
        <v/>
      </c>
      <c r="C5758" s="11"/>
      <c r="D5758" s="11"/>
      <c r="E5758" s="11"/>
      <c r="F5758" s="11"/>
      <c r="G5758" s="11"/>
      <c r="H5758" s="11"/>
      <c r="I5758" s="15"/>
    </row>
    <row r="5759" spans="1:9" ht="16.5">
      <c r="A5759" s="10" t="b">
        <v>0</v>
      </c>
      <c r="B5759" s="11" t="str">
        <f>IF(D5759&lt;&gt;"",IF(COUNTIF('USPTO TMs'!A:A,D5759)&gt;0,"Yes","No"),"")</f>
        <v/>
      </c>
      <c r="C5759" s="11"/>
      <c r="D5759" s="11"/>
      <c r="E5759" s="11"/>
      <c r="F5759" s="11"/>
      <c r="G5759" s="11"/>
      <c r="H5759" s="11"/>
      <c r="I5759" s="15"/>
    </row>
    <row r="5760" spans="1:9" ht="16.5">
      <c r="A5760" s="10" t="b">
        <v>0</v>
      </c>
      <c r="B5760" s="11" t="str">
        <f>IF(D5760&lt;&gt;"",IF(COUNTIF('USPTO TMs'!A:A,D5760)&gt;0,"Yes","No"),"")</f>
        <v/>
      </c>
      <c r="C5760" s="11"/>
      <c r="D5760" s="11"/>
      <c r="E5760" s="11"/>
      <c r="F5760" s="11"/>
      <c r="G5760" s="11"/>
      <c r="H5760" s="11"/>
      <c r="I5760" s="15"/>
    </row>
    <row r="5761" spans="1:9" ht="16.5">
      <c r="A5761" s="10" t="b">
        <v>0</v>
      </c>
      <c r="B5761" s="11" t="str">
        <f>IF(D5761&lt;&gt;"",IF(COUNTIF('USPTO TMs'!A:A,D5761)&gt;0,"Yes","No"),"")</f>
        <v/>
      </c>
      <c r="C5761" s="11"/>
      <c r="D5761" s="11"/>
      <c r="E5761" s="11"/>
      <c r="F5761" s="11"/>
      <c r="G5761" s="11"/>
      <c r="H5761" s="11"/>
      <c r="I5761" s="15"/>
    </row>
    <row r="5762" spans="1:9" ht="16.5">
      <c r="A5762" s="10" t="b">
        <v>0</v>
      </c>
      <c r="B5762" s="11" t="str">
        <f>IF(D5762&lt;&gt;"",IF(COUNTIF('USPTO TMs'!A:A,D5762)&gt;0,"Yes","No"),"")</f>
        <v/>
      </c>
      <c r="C5762" s="11"/>
      <c r="D5762" s="11"/>
      <c r="E5762" s="11"/>
      <c r="F5762" s="11"/>
      <c r="G5762" s="11"/>
      <c r="H5762" s="11"/>
      <c r="I5762" s="15"/>
    </row>
    <row r="5763" spans="1:9" ht="16.5">
      <c r="A5763" s="10" t="b">
        <v>0</v>
      </c>
      <c r="B5763" s="11" t="str">
        <f>IF(D5763&lt;&gt;"",IF(COUNTIF('USPTO TMs'!A:A,D5763)&gt;0,"Yes","No"),"")</f>
        <v/>
      </c>
      <c r="C5763" s="11"/>
      <c r="D5763" s="11"/>
      <c r="E5763" s="11"/>
      <c r="F5763" s="11"/>
      <c r="G5763" s="11"/>
      <c r="H5763" s="11"/>
      <c r="I5763" s="15"/>
    </row>
    <row r="5764" spans="1:9" ht="16.5">
      <c r="A5764" s="10" t="b">
        <v>0</v>
      </c>
      <c r="B5764" s="11" t="str">
        <f>IF(D5764&lt;&gt;"",IF(COUNTIF('USPTO TMs'!A:A,D5764)&gt;0,"Yes","No"),"")</f>
        <v/>
      </c>
      <c r="C5764" s="11"/>
      <c r="D5764" s="11"/>
      <c r="E5764" s="11"/>
      <c r="F5764" s="11"/>
      <c r="G5764" s="11"/>
      <c r="H5764" s="11"/>
      <c r="I5764" s="15"/>
    </row>
    <row r="5765" spans="1:9" ht="16.5">
      <c r="A5765" s="10" t="b">
        <v>0</v>
      </c>
      <c r="B5765" s="11" t="str">
        <f>IF(D5765&lt;&gt;"",IF(COUNTIF('USPTO TMs'!A:A,D5765)&gt;0,"Yes","No"),"")</f>
        <v/>
      </c>
      <c r="C5765" s="11"/>
      <c r="D5765" s="11"/>
      <c r="E5765" s="11"/>
      <c r="F5765" s="11"/>
      <c r="G5765" s="11"/>
      <c r="H5765" s="11"/>
      <c r="I5765" s="15"/>
    </row>
    <row r="5766" spans="1:9" ht="16.5">
      <c r="A5766" s="10" t="b">
        <v>0</v>
      </c>
      <c r="B5766" s="11" t="str">
        <f>IF(D5766&lt;&gt;"",IF(COUNTIF('USPTO TMs'!A:A,D5766)&gt;0,"Yes","No"),"")</f>
        <v/>
      </c>
      <c r="C5766" s="11"/>
      <c r="D5766" s="11"/>
      <c r="E5766" s="11"/>
      <c r="F5766" s="11"/>
      <c r="G5766" s="11"/>
      <c r="H5766" s="11"/>
      <c r="I5766" s="15"/>
    </row>
    <row r="5767" spans="1:9" ht="16.5">
      <c r="A5767" s="10" t="b">
        <v>0</v>
      </c>
      <c r="B5767" s="11" t="str">
        <f>IF(D5767&lt;&gt;"",IF(COUNTIF('USPTO TMs'!A:A,D5767)&gt;0,"Yes","No"),"")</f>
        <v/>
      </c>
      <c r="C5767" s="11"/>
      <c r="D5767" s="11"/>
      <c r="E5767" s="11"/>
      <c r="F5767" s="11"/>
      <c r="G5767" s="11"/>
      <c r="H5767" s="11"/>
      <c r="I5767" s="15"/>
    </row>
    <row r="5768" spans="1:9" ht="16.5">
      <c r="A5768" s="10" t="b">
        <v>0</v>
      </c>
      <c r="B5768" s="11" t="str">
        <f>IF(D5768&lt;&gt;"",IF(COUNTIF('USPTO TMs'!A:A,D5768)&gt;0,"Yes","No"),"")</f>
        <v/>
      </c>
      <c r="C5768" s="11"/>
      <c r="D5768" s="11"/>
      <c r="E5768" s="11"/>
      <c r="F5768" s="11"/>
      <c r="G5768" s="11"/>
      <c r="H5768" s="11"/>
      <c r="I5768" s="15"/>
    </row>
    <row r="5769" spans="1:9" ht="16.5">
      <c r="A5769" s="10" t="b">
        <v>0</v>
      </c>
      <c r="B5769" s="11" t="str">
        <f>IF(D5769&lt;&gt;"",IF(COUNTIF('USPTO TMs'!A:A,D5769)&gt;0,"Yes","No"),"")</f>
        <v/>
      </c>
      <c r="C5769" s="11"/>
      <c r="D5769" s="11"/>
      <c r="E5769" s="11"/>
      <c r="F5769" s="11"/>
      <c r="G5769" s="11"/>
      <c r="H5769" s="11"/>
      <c r="I5769" s="15"/>
    </row>
    <row r="5770" spans="1:9" ht="16.5">
      <c r="A5770" s="10" t="b">
        <v>0</v>
      </c>
      <c r="B5770" s="11" t="str">
        <f>IF(D5770&lt;&gt;"",IF(COUNTIF('USPTO TMs'!A:A,D5770)&gt;0,"Yes","No"),"")</f>
        <v/>
      </c>
      <c r="C5770" s="11"/>
      <c r="D5770" s="11"/>
      <c r="E5770" s="11"/>
      <c r="F5770" s="11"/>
      <c r="G5770" s="11"/>
      <c r="H5770" s="11"/>
      <c r="I5770" s="15"/>
    </row>
    <row r="5771" spans="1:9" ht="16.5">
      <c r="A5771" s="10" t="b">
        <v>0</v>
      </c>
      <c r="B5771" s="11" t="str">
        <f>IF(D5771&lt;&gt;"",IF(COUNTIF('USPTO TMs'!A:A,D5771)&gt;0,"Yes","No"),"")</f>
        <v/>
      </c>
      <c r="C5771" s="11"/>
      <c r="D5771" s="11"/>
      <c r="E5771" s="11"/>
      <c r="F5771" s="11"/>
      <c r="G5771" s="11"/>
      <c r="H5771" s="11"/>
      <c r="I5771" s="15"/>
    </row>
    <row r="5772" spans="1:9" ht="16.5">
      <c r="A5772" s="10" t="b">
        <v>0</v>
      </c>
      <c r="B5772" s="11" t="str">
        <f>IF(D5772&lt;&gt;"",IF(COUNTIF('USPTO TMs'!A:A,D5772)&gt;0,"Yes","No"),"")</f>
        <v/>
      </c>
      <c r="C5772" s="11"/>
      <c r="D5772" s="11"/>
      <c r="E5772" s="11"/>
      <c r="F5772" s="11"/>
      <c r="G5772" s="11"/>
      <c r="H5772" s="11"/>
      <c r="I5772" s="15"/>
    </row>
    <row r="5773" spans="1:9" ht="16.5">
      <c r="A5773" s="10" t="b">
        <v>0</v>
      </c>
      <c r="B5773" s="11" t="str">
        <f>IF(D5773&lt;&gt;"",IF(COUNTIF('USPTO TMs'!A:A,D5773)&gt;0,"Yes","No"),"")</f>
        <v/>
      </c>
      <c r="C5773" s="11"/>
      <c r="D5773" s="11"/>
      <c r="E5773" s="11"/>
      <c r="F5773" s="11"/>
      <c r="G5773" s="11"/>
      <c r="H5773" s="11"/>
      <c r="I5773" s="15"/>
    </row>
    <row r="5774" spans="1:9" ht="16.5">
      <c r="A5774" s="10" t="b">
        <v>0</v>
      </c>
      <c r="B5774" s="11" t="str">
        <f>IF(D5774&lt;&gt;"",IF(COUNTIF('USPTO TMs'!A:A,D5774)&gt;0,"Yes","No"),"")</f>
        <v/>
      </c>
      <c r="C5774" s="11"/>
      <c r="D5774" s="11"/>
      <c r="E5774" s="11"/>
      <c r="F5774" s="11"/>
      <c r="G5774" s="11"/>
      <c r="H5774" s="11"/>
      <c r="I5774" s="15"/>
    </row>
    <row r="5775" spans="1:9" ht="16.5">
      <c r="A5775" s="10" t="b">
        <v>0</v>
      </c>
      <c r="B5775" s="11" t="str">
        <f>IF(D5775&lt;&gt;"",IF(COUNTIF('USPTO TMs'!A:A,D5775)&gt;0,"Yes","No"),"")</f>
        <v/>
      </c>
      <c r="C5775" s="11"/>
      <c r="D5775" s="11"/>
      <c r="E5775" s="11"/>
      <c r="F5775" s="11"/>
      <c r="G5775" s="11"/>
      <c r="H5775" s="11"/>
      <c r="I5775" s="15"/>
    </row>
    <row r="5776" spans="1:9" ht="16.5">
      <c r="A5776" s="10" t="b">
        <v>0</v>
      </c>
      <c r="B5776" s="11" t="str">
        <f>IF(D5776&lt;&gt;"",IF(COUNTIF('USPTO TMs'!A:A,D5776)&gt;0,"Yes","No"),"")</f>
        <v/>
      </c>
      <c r="C5776" s="11"/>
      <c r="D5776" s="11"/>
      <c r="E5776" s="11"/>
      <c r="F5776" s="11"/>
      <c r="G5776" s="11"/>
      <c r="H5776" s="11"/>
      <c r="I5776" s="15"/>
    </row>
    <row r="5777" spans="1:9" ht="16.5">
      <c r="A5777" s="10" t="b">
        <v>0</v>
      </c>
      <c r="B5777" s="11" t="str">
        <f>IF(D5777&lt;&gt;"",IF(COUNTIF('USPTO TMs'!A:A,D5777)&gt;0,"Yes","No"),"")</f>
        <v/>
      </c>
      <c r="C5777" s="11"/>
      <c r="D5777" s="11"/>
      <c r="E5777" s="11"/>
      <c r="F5777" s="11"/>
      <c r="G5777" s="11"/>
      <c r="H5777" s="11"/>
      <c r="I5777" s="15"/>
    </row>
    <row r="5778" spans="1:9" ht="16.5">
      <c r="A5778" s="10" t="b">
        <v>0</v>
      </c>
      <c r="B5778" s="11" t="str">
        <f>IF(D5778&lt;&gt;"",IF(COUNTIF('USPTO TMs'!A:A,D5778)&gt;0,"Yes","No"),"")</f>
        <v/>
      </c>
      <c r="C5778" s="11"/>
      <c r="D5778" s="11"/>
      <c r="E5778" s="11"/>
      <c r="F5778" s="11"/>
      <c r="G5778" s="11"/>
      <c r="H5778" s="11"/>
      <c r="I5778" s="15"/>
    </row>
    <row r="5779" spans="1:9" ht="16.5">
      <c r="A5779" s="10" t="b">
        <v>0</v>
      </c>
      <c r="B5779" s="11" t="str">
        <f>IF(D5779&lt;&gt;"",IF(COUNTIF('USPTO TMs'!A:A,D5779)&gt;0,"Yes","No"),"")</f>
        <v/>
      </c>
      <c r="C5779" s="11"/>
      <c r="D5779" s="11"/>
      <c r="E5779" s="11"/>
      <c r="F5779" s="11"/>
      <c r="G5779" s="11"/>
      <c r="H5779" s="11"/>
      <c r="I5779" s="15"/>
    </row>
    <row r="5780" spans="1:9" ht="16.5">
      <c r="A5780" s="10" t="b">
        <v>0</v>
      </c>
      <c r="B5780" s="11" t="str">
        <f>IF(D5780&lt;&gt;"",IF(COUNTIF('USPTO TMs'!A:A,D5780)&gt;0,"Yes","No"),"")</f>
        <v/>
      </c>
      <c r="C5780" s="11"/>
      <c r="D5780" s="11"/>
      <c r="E5780" s="11"/>
      <c r="F5780" s="11"/>
      <c r="G5780" s="11"/>
      <c r="H5780" s="11"/>
      <c r="I5780" s="15"/>
    </row>
    <row r="5781" spans="1:9" ht="16.5">
      <c r="A5781" s="10" t="b">
        <v>0</v>
      </c>
      <c r="B5781" s="11" t="str">
        <f>IF(D5781&lt;&gt;"",IF(COUNTIF('USPTO TMs'!A:A,D5781)&gt;0,"Yes","No"),"")</f>
        <v/>
      </c>
      <c r="C5781" s="11"/>
      <c r="D5781" s="11"/>
      <c r="E5781" s="11"/>
      <c r="F5781" s="11"/>
      <c r="G5781" s="11"/>
      <c r="H5781" s="11"/>
      <c r="I5781" s="15"/>
    </row>
    <row r="5782" spans="1:9" ht="16.5">
      <c r="A5782" s="10" t="b">
        <v>0</v>
      </c>
      <c r="B5782" s="11" t="str">
        <f>IF(D5782&lt;&gt;"",IF(COUNTIF('USPTO TMs'!A:A,D5782)&gt;0,"Yes","No"),"")</f>
        <v/>
      </c>
      <c r="C5782" s="11"/>
      <c r="D5782" s="11"/>
      <c r="E5782" s="11"/>
      <c r="F5782" s="11"/>
      <c r="G5782" s="11"/>
      <c r="H5782" s="11"/>
      <c r="I5782" s="15"/>
    </row>
    <row r="5783" spans="1:9" ht="16.5">
      <c r="A5783" s="10" t="b">
        <v>0</v>
      </c>
      <c r="B5783" s="11" t="str">
        <f>IF(D5783&lt;&gt;"",IF(COUNTIF('USPTO TMs'!A:A,D5783)&gt;0,"Yes","No"),"")</f>
        <v/>
      </c>
      <c r="C5783" s="11"/>
      <c r="D5783" s="11"/>
      <c r="E5783" s="11"/>
      <c r="F5783" s="11"/>
      <c r="G5783" s="11"/>
      <c r="H5783" s="11"/>
      <c r="I5783" s="15"/>
    </row>
    <row r="5784" spans="1:9" ht="16.5">
      <c r="A5784" s="10" t="b">
        <v>0</v>
      </c>
      <c r="B5784" s="11" t="str">
        <f>IF(D5784&lt;&gt;"",IF(COUNTIF('USPTO TMs'!A:A,D5784)&gt;0,"Yes","No"),"")</f>
        <v/>
      </c>
      <c r="C5784" s="11"/>
      <c r="D5784" s="11"/>
      <c r="E5784" s="11"/>
      <c r="F5784" s="11"/>
      <c r="G5784" s="11"/>
      <c r="H5784" s="11"/>
      <c r="I5784" s="15"/>
    </row>
    <row r="5785" spans="1:9" ht="16.5">
      <c r="A5785" s="10" t="b">
        <v>0</v>
      </c>
      <c r="B5785" s="11" t="str">
        <f>IF(D5785&lt;&gt;"",IF(COUNTIF('USPTO TMs'!A:A,D5785)&gt;0,"Yes","No"),"")</f>
        <v/>
      </c>
      <c r="C5785" s="11"/>
      <c r="D5785" s="11"/>
      <c r="E5785" s="11"/>
      <c r="F5785" s="11"/>
      <c r="G5785" s="11"/>
      <c r="H5785" s="11"/>
      <c r="I5785" s="15"/>
    </row>
    <row r="5786" spans="1:9" ht="16.5">
      <c r="A5786" s="10" t="b">
        <v>0</v>
      </c>
      <c r="B5786" s="11" t="str">
        <f>IF(D5786&lt;&gt;"",IF(COUNTIF('USPTO TMs'!A:A,D5786)&gt;0,"Yes","No"),"")</f>
        <v/>
      </c>
      <c r="C5786" s="11"/>
      <c r="D5786" s="11"/>
      <c r="E5786" s="11"/>
      <c r="F5786" s="11"/>
      <c r="G5786" s="11"/>
      <c r="H5786" s="11"/>
      <c r="I5786" s="15"/>
    </row>
    <row r="5787" spans="1:9" ht="16.5">
      <c r="A5787" s="10" t="b">
        <v>0</v>
      </c>
      <c r="B5787" s="11" t="str">
        <f>IF(D5787&lt;&gt;"",IF(COUNTIF('USPTO TMs'!A:A,D5787)&gt;0,"Yes","No"),"")</f>
        <v/>
      </c>
      <c r="C5787" s="11"/>
      <c r="D5787" s="11"/>
      <c r="E5787" s="11"/>
      <c r="F5787" s="11"/>
      <c r="G5787" s="11"/>
      <c r="H5787" s="11"/>
      <c r="I5787" s="15"/>
    </row>
    <row r="5788" spans="1:9" ht="16.5">
      <c r="A5788" s="10" t="b">
        <v>0</v>
      </c>
      <c r="B5788" s="11" t="str">
        <f>IF(D5788&lt;&gt;"",IF(COUNTIF('USPTO TMs'!A:A,D5788)&gt;0,"Yes","No"),"")</f>
        <v/>
      </c>
      <c r="C5788" s="11"/>
      <c r="D5788" s="11"/>
      <c r="E5788" s="11"/>
      <c r="F5788" s="11"/>
      <c r="G5788" s="11"/>
      <c r="H5788" s="11"/>
      <c r="I5788" s="15"/>
    </row>
    <row r="5789" spans="1:9" ht="16.5">
      <c r="A5789" s="10" t="b">
        <v>0</v>
      </c>
      <c r="B5789" s="11" t="str">
        <f>IF(D5789&lt;&gt;"",IF(COUNTIF('USPTO TMs'!A:A,D5789)&gt;0,"Yes","No"),"")</f>
        <v/>
      </c>
      <c r="C5789" s="11"/>
      <c r="D5789" s="11"/>
      <c r="E5789" s="11"/>
      <c r="F5789" s="11"/>
      <c r="G5789" s="11"/>
      <c r="H5789" s="11"/>
      <c r="I5789" s="15"/>
    </row>
    <row r="5790" spans="1:9" ht="16.5">
      <c r="A5790" s="10" t="b">
        <v>0</v>
      </c>
      <c r="B5790" s="11" t="str">
        <f>IF(D5790&lt;&gt;"",IF(COUNTIF('USPTO TMs'!A:A,D5790)&gt;0,"Yes","No"),"")</f>
        <v/>
      </c>
      <c r="C5790" s="11"/>
      <c r="D5790" s="11"/>
      <c r="E5790" s="11"/>
      <c r="F5790" s="11"/>
      <c r="G5790" s="11"/>
      <c r="H5790" s="11"/>
      <c r="I5790" s="15"/>
    </row>
    <row r="5791" spans="1:9" ht="16.5">
      <c r="A5791" s="10" t="b">
        <v>0</v>
      </c>
      <c r="B5791" s="11" t="str">
        <f>IF(D5791&lt;&gt;"",IF(COUNTIF('USPTO TMs'!A:A,D5791)&gt;0,"Yes","No"),"")</f>
        <v/>
      </c>
      <c r="C5791" s="11"/>
      <c r="D5791" s="11"/>
      <c r="E5791" s="11"/>
      <c r="F5791" s="11"/>
      <c r="G5791" s="11"/>
      <c r="H5791" s="11"/>
      <c r="I5791" s="15"/>
    </row>
    <row r="5792" spans="1:9" ht="16.5">
      <c r="A5792" s="10" t="b">
        <v>0</v>
      </c>
      <c r="B5792" s="11" t="str">
        <f>IF(D5792&lt;&gt;"",IF(COUNTIF('USPTO TMs'!A:A,D5792)&gt;0,"Yes","No"),"")</f>
        <v/>
      </c>
      <c r="C5792" s="11"/>
      <c r="D5792" s="11"/>
      <c r="E5792" s="11"/>
      <c r="F5792" s="11"/>
      <c r="G5792" s="11"/>
      <c r="H5792" s="11"/>
      <c r="I5792" s="15"/>
    </row>
    <row r="5793" spans="1:9" ht="16.5">
      <c r="A5793" s="10" t="b">
        <v>0</v>
      </c>
      <c r="B5793" s="11" t="str">
        <f>IF(D5793&lt;&gt;"",IF(COUNTIF('USPTO TMs'!A:A,D5793)&gt;0,"Yes","No"),"")</f>
        <v/>
      </c>
      <c r="C5793" s="11"/>
      <c r="D5793" s="11"/>
      <c r="E5793" s="11"/>
      <c r="F5793" s="11"/>
      <c r="G5793" s="11"/>
      <c r="H5793" s="11"/>
      <c r="I5793" s="15"/>
    </row>
    <row r="5794" spans="1:9" ht="16.5">
      <c r="A5794" s="10" t="b">
        <v>0</v>
      </c>
      <c r="B5794" s="11" t="str">
        <f>IF(D5794&lt;&gt;"",IF(COUNTIF('USPTO TMs'!A:A,D5794)&gt;0,"Yes","No"),"")</f>
        <v/>
      </c>
      <c r="C5794" s="11"/>
      <c r="D5794" s="11"/>
      <c r="E5794" s="11"/>
      <c r="F5794" s="11"/>
      <c r="G5794" s="11"/>
      <c r="H5794" s="11"/>
      <c r="I5794" s="15"/>
    </row>
    <row r="5795" spans="1:9" ht="16.5">
      <c r="A5795" s="10" t="b">
        <v>0</v>
      </c>
      <c r="B5795" s="11" t="str">
        <f>IF(D5795&lt;&gt;"",IF(COUNTIF('USPTO TMs'!A:A,D5795)&gt;0,"Yes","No"),"")</f>
        <v/>
      </c>
      <c r="C5795" s="11"/>
      <c r="D5795" s="11"/>
      <c r="E5795" s="11"/>
      <c r="F5795" s="11"/>
      <c r="G5795" s="11"/>
      <c r="H5795" s="11"/>
      <c r="I5795" s="15"/>
    </row>
    <row r="5796" spans="1:9" ht="16.5">
      <c r="A5796" s="10" t="b">
        <v>0</v>
      </c>
      <c r="B5796" s="11" t="str">
        <f>IF(D5796&lt;&gt;"",IF(COUNTIF('USPTO TMs'!A:A,D5796)&gt;0,"Yes","No"),"")</f>
        <v/>
      </c>
      <c r="C5796" s="11"/>
      <c r="D5796" s="11"/>
      <c r="E5796" s="11"/>
      <c r="F5796" s="11"/>
      <c r="G5796" s="11"/>
      <c r="H5796" s="11"/>
      <c r="I5796" s="15"/>
    </row>
    <row r="5797" spans="1:9" ht="16.5">
      <c r="A5797" s="10" t="b">
        <v>0</v>
      </c>
      <c r="B5797" s="11" t="str">
        <f>IF(D5797&lt;&gt;"",IF(COUNTIF('USPTO TMs'!A:A,D5797)&gt;0,"Yes","No"),"")</f>
        <v/>
      </c>
      <c r="C5797" s="11"/>
      <c r="D5797" s="11"/>
      <c r="E5797" s="11"/>
      <c r="F5797" s="11"/>
      <c r="G5797" s="11"/>
      <c r="H5797" s="11"/>
      <c r="I5797" s="15"/>
    </row>
    <row r="5798" spans="1:9" ht="16.5">
      <c r="A5798" s="10" t="b">
        <v>0</v>
      </c>
      <c r="B5798" s="11" t="str">
        <f>IF(D5798&lt;&gt;"",IF(COUNTIF('USPTO TMs'!A:A,D5798)&gt;0,"Yes","No"),"")</f>
        <v/>
      </c>
      <c r="C5798" s="11"/>
      <c r="D5798" s="11"/>
      <c r="E5798" s="11"/>
      <c r="F5798" s="11"/>
      <c r="G5798" s="11"/>
      <c r="H5798" s="11"/>
      <c r="I5798" s="15"/>
    </row>
    <row r="5799" spans="1:9" ht="16.5">
      <c r="A5799" s="10" t="b">
        <v>0</v>
      </c>
      <c r="B5799" s="11" t="str">
        <f>IF(D5799&lt;&gt;"",IF(COUNTIF('USPTO TMs'!A:A,D5799)&gt;0,"Yes","No"),"")</f>
        <v/>
      </c>
      <c r="C5799" s="11"/>
      <c r="D5799" s="11"/>
      <c r="E5799" s="11"/>
      <c r="F5799" s="11"/>
      <c r="G5799" s="11"/>
      <c r="H5799" s="11"/>
      <c r="I5799" s="15"/>
    </row>
    <row r="5800" spans="1:9" ht="16.5">
      <c r="A5800" s="10" t="b">
        <v>0</v>
      </c>
      <c r="B5800" s="11" t="str">
        <f>IF(D5800&lt;&gt;"",IF(COUNTIF('USPTO TMs'!A:A,D5800)&gt;0,"Yes","No"),"")</f>
        <v/>
      </c>
      <c r="C5800" s="11"/>
      <c r="D5800" s="11"/>
      <c r="E5800" s="11"/>
      <c r="F5800" s="11"/>
      <c r="G5800" s="11"/>
      <c r="H5800" s="11"/>
      <c r="I5800" s="15"/>
    </row>
    <row r="5801" spans="1:9" ht="16.5">
      <c r="A5801" s="10" t="b">
        <v>0</v>
      </c>
      <c r="B5801" s="11" t="str">
        <f>IF(D5801&lt;&gt;"",IF(COUNTIF('USPTO TMs'!A:A,D5801)&gt;0,"Yes","No"),"")</f>
        <v/>
      </c>
      <c r="C5801" s="11"/>
      <c r="D5801" s="11"/>
      <c r="E5801" s="11"/>
      <c r="F5801" s="11"/>
      <c r="G5801" s="11"/>
      <c r="H5801" s="11"/>
      <c r="I5801" s="15"/>
    </row>
    <row r="5802" spans="1:9" ht="16.5">
      <c r="A5802" s="10" t="b">
        <v>0</v>
      </c>
      <c r="B5802" s="11" t="str">
        <f>IF(D5802&lt;&gt;"",IF(COUNTIF('USPTO TMs'!A:A,D5802)&gt;0,"Yes","No"),"")</f>
        <v/>
      </c>
      <c r="C5802" s="11"/>
      <c r="D5802" s="11"/>
      <c r="E5802" s="11"/>
      <c r="F5802" s="11"/>
      <c r="G5802" s="11"/>
      <c r="H5802" s="11"/>
      <c r="I5802" s="15"/>
    </row>
    <row r="5803" spans="1:9" ht="16.5">
      <c r="A5803" s="10" t="b">
        <v>0</v>
      </c>
      <c r="B5803" s="11" t="str">
        <f>IF(D5803&lt;&gt;"",IF(COUNTIF('USPTO TMs'!A:A,D5803)&gt;0,"Yes","No"),"")</f>
        <v/>
      </c>
      <c r="C5803" s="11"/>
      <c r="D5803" s="11"/>
      <c r="E5803" s="11"/>
      <c r="F5803" s="11"/>
      <c r="G5803" s="11"/>
      <c r="H5803" s="11"/>
      <c r="I5803" s="15"/>
    </row>
    <row r="5804" spans="1:9" ht="16.5">
      <c r="A5804" s="10" t="b">
        <v>0</v>
      </c>
      <c r="B5804" s="11" t="str">
        <f>IF(D5804&lt;&gt;"",IF(COUNTIF('USPTO TMs'!A:A,D5804)&gt;0,"Yes","No"),"")</f>
        <v/>
      </c>
      <c r="C5804" s="11"/>
      <c r="D5804" s="11"/>
      <c r="E5804" s="11"/>
      <c r="F5804" s="11"/>
      <c r="G5804" s="11"/>
      <c r="H5804" s="11"/>
      <c r="I5804" s="15"/>
    </row>
    <row r="5805" spans="1:9" ht="16.5">
      <c r="A5805" s="10" t="b">
        <v>0</v>
      </c>
      <c r="B5805" s="11" t="str">
        <f>IF(D5805&lt;&gt;"",IF(COUNTIF('USPTO TMs'!A:A,D5805)&gt;0,"Yes","No"),"")</f>
        <v/>
      </c>
      <c r="C5805" s="11"/>
      <c r="D5805" s="11"/>
      <c r="E5805" s="11"/>
      <c r="F5805" s="11"/>
      <c r="G5805" s="11"/>
      <c r="H5805" s="11"/>
      <c r="I5805" s="15"/>
    </row>
    <row r="5806" spans="1:9" ht="16.5">
      <c r="A5806" s="10" t="b">
        <v>0</v>
      </c>
      <c r="B5806" s="11" t="str">
        <f>IF(D5806&lt;&gt;"",IF(COUNTIF('USPTO TMs'!A:A,D5806)&gt;0,"Yes","No"),"")</f>
        <v/>
      </c>
      <c r="C5806" s="11"/>
      <c r="D5806" s="11"/>
      <c r="E5806" s="11"/>
      <c r="F5806" s="11"/>
      <c r="G5806" s="11"/>
      <c r="H5806" s="11"/>
      <c r="I5806" s="15"/>
    </row>
    <row r="5807" spans="1:9" ht="16.5">
      <c r="A5807" s="10" t="b">
        <v>0</v>
      </c>
      <c r="B5807" s="11" t="str">
        <f>IF(D5807&lt;&gt;"",IF(COUNTIF('USPTO TMs'!A:A,D5807)&gt;0,"Yes","No"),"")</f>
        <v/>
      </c>
      <c r="C5807" s="11"/>
      <c r="D5807" s="11"/>
      <c r="E5807" s="11"/>
      <c r="F5807" s="11"/>
      <c r="G5807" s="11"/>
      <c r="H5807" s="11"/>
      <c r="I5807" s="15"/>
    </row>
    <row r="5808" spans="1:9" ht="16.5">
      <c r="A5808" s="10" t="b">
        <v>0</v>
      </c>
      <c r="B5808" s="11" t="str">
        <f>IF(D5808&lt;&gt;"",IF(COUNTIF('USPTO TMs'!A:A,D5808)&gt;0,"Yes","No"),"")</f>
        <v/>
      </c>
      <c r="C5808" s="11"/>
      <c r="D5808" s="11"/>
      <c r="E5808" s="11"/>
      <c r="F5808" s="11"/>
      <c r="G5808" s="11"/>
      <c r="H5808" s="11"/>
      <c r="I5808" s="15"/>
    </row>
    <row r="5809" spans="1:9" ht="16.5">
      <c r="A5809" s="10" t="b">
        <v>0</v>
      </c>
      <c r="B5809" s="11" t="str">
        <f>IF(D5809&lt;&gt;"",IF(COUNTIF('USPTO TMs'!A:A,D5809)&gt;0,"Yes","No"),"")</f>
        <v/>
      </c>
      <c r="C5809" s="11"/>
      <c r="D5809" s="11"/>
      <c r="E5809" s="11"/>
      <c r="F5809" s="11"/>
      <c r="G5809" s="11"/>
      <c r="H5809" s="11"/>
      <c r="I5809" s="15"/>
    </row>
    <row r="5810" spans="1:9" ht="16.5">
      <c r="A5810" s="10" t="b">
        <v>0</v>
      </c>
      <c r="B5810" s="11" t="str">
        <f>IF(D5810&lt;&gt;"",IF(COUNTIF('USPTO TMs'!A:A,D5810)&gt;0,"Yes","No"),"")</f>
        <v/>
      </c>
      <c r="C5810" s="11"/>
      <c r="D5810" s="11"/>
      <c r="E5810" s="11"/>
      <c r="F5810" s="11"/>
      <c r="G5810" s="11"/>
      <c r="H5810" s="11"/>
      <c r="I5810" s="15"/>
    </row>
    <row r="5811" spans="1:9" ht="16.5">
      <c r="A5811" s="10" t="b">
        <v>0</v>
      </c>
      <c r="B5811" s="11" t="str">
        <f>IF(D5811&lt;&gt;"",IF(COUNTIF('USPTO TMs'!A:A,D5811)&gt;0,"Yes","No"),"")</f>
        <v/>
      </c>
      <c r="C5811" s="11"/>
      <c r="D5811" s="11"/>
      <c r="E5811" s="11"/>
      <c r="F5811" s="11"/>
      <c r="G5811" s="11"/>
      <c r="H5811" s="11"/>
      <c r="I5811" s="15"/>
    </row>
    <row r="5812" spans="1:9" ht="16.5">
      <c r="A5812" s="10" t="b">
        <v>0</v>
      </c>
      <c r="B5812" s="11" t="str">
        <f>IF(D5812&lt;&gt;"",IF(COUNTIF('USPTO TMs'!A:A,D5812)&gt;0,"Yes","No"),"")</f>
        <v/>
      </c>
      <c r="C5812" s="11"/>
      <c r="D5812" s="11"/>
      <c r="E5812" s="11"/>
      <c r="F5812" s="11"/>
      <c r="G5812" s="11"/>
      <c r="H5812" s="11"/>
      <c r="I5812" s="15"/>
    </row>
    <row r="5813" spans="1:9" ht="16.5">
      <c r="A5813" s="10" t="b">
        <v>0</v>
      </c>
      <c r="B5813" s="11" t="str">
        <f>IF(D5813&lt;&gt;"",IF(COUNTIF('USPTO TMs'!A:A,D5813)&gt;0,"Yes","No"),"")</f>
        <v/>
      </c>
      <c r="C5813" s="11"/>
      <c r="D5813" s="11"/>
      <c r="E5813" s="11"/>
      <c r="F5813" s="11"/>
      <c r="G5813" s="11"/>
      <c r="H5813" s="11"/>
      <c r="I5813" s="15"/>
    </row>
    <row r="5814" spans="1:9" ht="16.5">
      <c r="A5814" s="10" t="b">
        <v>0</v>
      </c>
      <c r="B5814" s="11" t="str">
        <f>IF(D5814&lt;&gt;"",IF(COUNTIF('USPTO TMs'!A:A,D5814)&gt;0,"Yes","No"),"")</f>
        <v/>
      </c>
      <c r="C5814" s="11"/>
      <c r="D5814" s="11"/>
      <c r="E5814" s="11"/>
      <c r="F5814" s="11"/>
      <c r="G5814" s="11"/>
      <c r="H5814" s="11"/>
      <c r="I5814" s="15"/>
    </row>
    <row r="5815" spans="1:9" ht="16.5">
      <c r="A5815" s="10" t="b">
        <v>0</v>
      </c>
      <c r="B5815" s="11" t="str">
        <f>IF(D5815&lt;&gt;"",IF(COUNTIF('USPTO TMs'!A:A,D5815)&gt;0,"Yes","No"),"")</f>
        <v/>
      </c>
      <c r="C5815" s="11"/>
      <c r="D5815" s="11"/>
      <c r="E5815" s="11"/>
      <c r="F5815" s="11"/>
      <c r="G5815" s="11"/>
      <c r="H5815" s="11"/>
      <c r="I5815" s="15"/>
    </row>
    <row r="5816" spans="1:9" ht="16.5">
      <c r="A5816" s="10" t="b">
        <v>0</v>
      </c>
      <c r="B5816" s="11" t="str">
        <f>IF(D5816&lt;&gt;"",IF(COUNTIF('USPTO TMs'!A:A,D5816)&gt;0,"Yes","No"),"")</f>
        <v/>
      </c>
      <c r="C5816" s="11"/>
      <c r="D5816" s="11"/>
      <c r="E5816" s="11"/>
      <c r="F5816" s="11"/>
      <c r="G5816" s="11"/>
      <c r="H5816" s="11"/>
      <c r="I5816" s="15"/>
    </row>
    <row r="5817" spans="1:9" ht="16.5">
      <c r="A5817" s="10" t="b">
        <v>0</v>
      </c>
      <c r="B5817" s="11" t="str">
        <f>IF(D5817&lt;&gt;"",IF(COUNTIF('USPTO TMs'!A:A,D5817)&gt;0,"Yes","No"),"")</f>
        <v/>
      </c>
      <c r="C5817" s="11"/>
      <c r="D5817" s="11"/>
      <c r="E5817" s="11"/>
      <c r="F5817" s="11"/>
      <c r="G5817" s="11"/>
      <c r="H5817" s="11"/>
      <c r="I5817" s="15"/>
    </row>
    <row r="5818" spans="1:9" ht="16.5">
      <c r="A5818" s="10" t="b">
        <v>0</v>
      </c>
      <c r="B5818" s="11" t="str">
        <f>IF(D5818&lt;&gt;"",IF(COUNTIF('USPTO TMs'!A:A,D5818)&gt;0,"Yes","No"),"")</f>
        <v/>
      </c>
      <c r="C5818" s="11"/>
      <c r="D5818" s="11"/>
      <c r="E5818" s="11"/>
      <c r="F5818" s="11"/>
      <c r="G5818" s="11"/>
      <c r="H5818" s="11"/>
      <c r="I5818" s="15"/>
    </row>
    <row r="5819" spans="1:9" ht="16.5">
      <c r="A5819" s="10" t="b">
        <v>0</v>
      </c>
      <c r="B5819" s="11" t="str">
        <f>IF(D5819&lt;&gt;"",IF(COUNTIF('USPTO TMs'!A:A,D5819)&gt;0,"Yes","No"),"")</f>
        <v/>
      </c>
      <c r="C5819" s="11"/>
      <c r="D5819" s="11"/>
      <c r="E5819" s="11"/>
      <c r="F5819" s="11"/>
      <c r="G5819" s="11"/>
      <c r="H5819" s="11"/>
      <c r="I5819" s="15"/>
    </row>
    <row r="5820" spans="1:9" ht="16.5">
      <c r="A5820" s="10" t="b">
        <v>0</v>
      </c>
      <c r="B5820" s="11" t="str">
        <f>IF(D5820&lt;&gt;"",IF(COUNTIF('USPTO TMs'!A:A,D5820)&gt;0,"Yes","No"),"")</f>
        <v/>
      </c>
      <c r="C5820" s="11"/>
      <c r="D5820" s="11"/>
      <c r="E5820" s="11"/>
      <c r="F5820" s="11"/>
      <c r="G5820" s="11"/>
      <c r="H5820" s="11"/>
      <c r="I5820" s="15"/>
    </row>
    <row r="5821" spans="1:9" ht="16.5">
      <c r="A5821" s="10" t="b">
        <v>0</v>
      </c>
      <c r="B5821" s="11" t="str">
        <f>IF(D5821&lt;&gt;"",IF(COUNTIF('USPTO TMs'!A:A,D5821)&gt;0,"Yes","No"),"")</f>
        <v/>
      </c>
      <c r="C5821" s="11"/>
      <c r="D5821" s="11"/>
      <c r="E5821" s="11"/>
      <c r="F5821" s="11"/>
      <c r="G5821" s="11"/>
      <c r="H5821" s="11"/>
      <c r="I5821" s="15"/>
    </row>
    <row r="5822" spans="1:9" ht="16.5">
      <c r="A5822" s="10" t="b">
        <v>0</v>
      </c>
      <c r="B5822" s="11" t="str">
        <f>IF(D5822&lt;&gt;"",IF(COUNTIF('USPTO TMs'!A:A,D5822)&gt;0,"Yes","No"),"")</f>
        <v/>
      </c>
      <c r="C5822" s="11"/>
      <c r="D5822" s="11"/>
      <c r="E5822" s="11"/>
      <c r="F5822" s="11"/>
      <c r="G5822" s="11"/>
      <c r="H5822" s="11"/>
      <c r="I5822" s="15"/>
    </row>
    <row r="5823" spans="1:9" ht="16.5">
      <c r="A5823" s="10" t="b">
        <v>0</v>
      </c>
      <c r="B5823" s="11" t="str">
        <f>IF(D5823&lt;&gt;"",IF(COUNTIF('USPTO TMs'!A:A,D5823)&gt;0,"Yes","No"),"")</f>
        <v/>
      </c>
      <c r="C5823" s="11"/>
      <c r="D5823" s="11"/>
      <c r="E5823" s="11"/>
      <c r="F5823" s="11"/>
      <c r="G5823" s="11"/>
      <c r="H5823" s="11"/>
      <c r="I5823" s="15"/>
    </row>
    <row r="5824" spans="1:9" ht="16.5">
      <c r="A5824" s="10" t="b">
        <v>0</v>
      </c>
      <c r="B5824" s="11" t="str">
        <f>IF(D5824&lt;&gt;"",IF(COUNTIF('USPTO TMs'!A:A,D5824)&gt;0,"Yes","No"),"")</f>
        <v/>
      </c>
      <c r="C5824" s="11"/>
      <c r="D5824" s="11"/>
      <c r="E5824" s="11"/>
      <c r="F5824" s="11"/>
      <c r="G5824" s="11"/>
      <c r="H5824" s="11"/>
      <c r="I5824" s="15"/>
    </row>
    <row r="5825" spans="1:9" ht="16.5">
      <c r="A5825" s="10" t="b">
        <v>0</v>
      </c>
      <c r="B5825" s="11" t="str">
        <f>IF(D5825&lt;&gt;"",IF(COUNTIF('USPTO TMs'!A:A,D5825)&gt;0,"Yes","No"),"")</f>
        <v/>
      </c>
      <c r="C5825" s="11"/>
      <c r="D5825" s="11"/>
      <c r="E5825" s="11"/>
      <c r="F5825" s="11"/>
      <c r="G5825" s="11"/>
      <c r="H5825" s="11"/>
      <c r="I5825" s="15"/>
    </row>
    <row r="5826" spans="1:9" ht="16.5">
      <c r="A5826" s="10" t="b">
        <v>0</v>
      </c>
      <c r="B5826" s="11" t="str">
        <f>IF(D5826&lt;&gt;"",IF(COUNTIF('USPTO TMs'!A:A,D5826)&gt;0,"Yes","No"),"")</f>
        <v/>
      </c>
      <c r="C5826" s="11"/>
      <c r="D5826" s="11"/>
      <c r="E5826" s="11"/>
      <c r="F5826" s="11"/>
      <c r="G5826" s="11"/>
      <c r="H5826" s="11"/>
      <c r="I5826" s="15"/>
    </row>
    <row r="5827" spans="1:9" ht="16.5">
      <c r="A5827" s="10" t="b">
        <v>0</v>
      </c>
      <c r="B5827" s="11" t="str">
        <f>IF(D5827&lt;&gt;"",IF(COUNTIF('USPTO TMs'!A:A,D5827)&gt;0,"Yes","No"),"")</f>
        <v/>
      </c>
      <c r="C5827" s="11"/>
      <c r="D5827" s="11"/>
      <c r="E5827" s="11"/>
      <c r="F5827" s="11"/>
      <c r="G5827" s="11"/>
      <c r="H5827" s="11"/>
      <c r="I5827" s="15"/>
    </row>
    <row r="5828" spans="1:9" ht="16.5">
      <c r="A5828" s="10" t="b">
        <v>0</v>
      </c>
      <c r="B5828" s="11" t="str">
        <f>IF(D5828&lt;&gt;"",IF(COUNTIF('USPTO TMs'!A:A,D5828)&gt;0,"Yes","No"),"")</f>
        <v/>
      </c>
      <c r="C5828" s="11"/>
      <c r="D5828" s="11"/>
      <c r="E5828" s="11"/>
      <c r="F5828" s="11"/>
      <c r="G5828" s="11"/>
      <c r="H5828" s="11"/>
      <c r="I5828" s="15"/>
    </row>
    <row r="5829" spans="1:9" ht="16.5">
      <c r="A5829" s="10" t="b">
        <v>0</v>
      </c>
      <c r="B5829" s="11" t="str">
        <f>IF(D5829&lt;&gt;"",IF(COUNTIF('USPTO TMs'!A:A,D5829)&gt;0,"Yes","No"),"")</f>
        <v/>
      </c>
      <c r="C5829" s="11"/>
      <c r="D5829" s="11"/>
      <c r="E5829" s="11"/>
      <c r="F5829" s="11"/>
      <c r="G5829" s="11"/>
      <c r="H5829" s="11"/>
      <c r="I5829" s="15"/>
    </row>
    <row r="5830" spans="1:9" ht="16.5">
      <c r="A5830" s="10" t="b">
        <v>0</v>
      </c>
      <c r="B5830" s="11" t="str">
        <f>IF(D5830&lt;&gt;"",IF(COUNTIF('USPTO TMs'!A:A,D5830)&gt;0,"Yes","No"),"")</f>
        <v/>
      </c>
      <c r="C5830" s="11"/>
      <c r="D5830" s="11"/>
      <c r="E5830" s="11"/>
      <c r="F5830" s="11"/>
      <c r="G5830" s="11"/>
      <c r="H5830" s="11"/>
      <c r="I5830" s="15"/>
    </row>
    <row r="5831" spans="1:9" ht="16.5">
      <c r="A5831" s="10" t="b">
        <v>0</v>
      </c>
      <c r="B5831" s="11" t="str">
        <f>IF(D5831&lt;&gt;"",IF(COUNTIF('USPTO TMs'!A:A,D5831)&gt;0,"Yes","No"),"")</f>
        <v/>
      </c>
      <c r="C5831" s="11"/>
      <c r="D5831" s="11"/>
      <c r="E5831" s="11"/>
      <c r="F5831" s="11"/>
      <c r="G5831" s="11"/>
      <c r="H5831" s="11"/>
      <c r="I5831" s="15"/>
    </row>
    <row r="5832" spans="1:9" ht="16.5">
      <c r="A5832" s="10" t="b">
        <v>0</v>
      </c>
      <c r="B5832" s="11" t="str">
        <f>IF(D5832&lt;&gt;"",IF(COUNTIF('USPTO TMs'!A:A,D5832)&gt;0,"Yes","No"),"")</f>
        <v/>
      </c>
      <c r="C5832" s="11"/>
      <c r="D5832" s="11"/>
      <c r="E5832" s="11"/>
      <c r="F5832" s="11"/>
      <c r="G5832" s="11"/>
      <c r="H5832" s="11"/>
      <c r="I5832" s="15"/>
    </row>
    <row r="5833" spans="1:9" ht="16.5">
      <c r="A5833" s="10" t="b">
        <v>0</v>
      </c>
      <c r="B5833" s="11" t="str">
        <f>IF(D5833&lt;&gt;"",IF(COUNTIF('USPTO TMs'!A:A,D5833)&gt;0,"Yes","No"),"")</f>
        <v/>
      </c>
      <c r="C5833" s="11"/>
      <c r="D5833" s="11"/>
      <c r="E5833" s="11"/>
      <c r="F5833" s="11"/>
      <c r="G5833" s="11"/>
      <c r="H5833" s="11"/>
      <c r="I5833" s="15"/>
    </row>
    <row r="5834" spans="1:9" ht="16.5">
      <c r="A5834" s="10" t="b">
        <v>0</v>
      </c>
      <c r="B5834" s="11" t="str">
        <f>IF(D5834&lt;&gt;"",IF(COUNTIF('USPTO TMs'!A:A,D5834)&gt;0,"Yes","No"),"")</f>
        <v/>
      </c>
      <c r="C5834" s="11"/>
      <c r="D5834" s="11"/>
      <c r="E5834" s="11"/>
      <c r="F5834" s="11"/>
      <c r="G5834" s="11"/>
      <c r="H5834" s="11"/>
      <c r="I5834" s="15"/>
    </row>
    <row r="5835" spans="1:9" ht="16.5">
      <c r="A5835" s="10" t="b">
        <v>0</v>
      </c>
      <c r="B5835" s="11" t="str">
        <f>IF(D5835&lt;&gt;"",IF(COUNTIF('USPTO TMs'!A:A,D5835)&gt;0,"Yes","No"),"")</f>
        <v/>
      </c>
      <c r="C5835" s="11"/>
      <c r="D5835" s="11"/>
      <c r="E5835" s="11"/>
      <c r="F5835" s="11"/>
      <c r="G5835" s="11"/>
      <c r="H5835" s="11"/>
      <c r="I5835" s="15"/>
    </row>
    <row r="5836" spans="1:9" ht="16.5">
      <c r="A5836" s="10" t="b">
        <v>0</v>
      </c>
      <c r="B5836" s="11" t="str">
        <f>IF(D5836&lt;&gt;"",IF(COUNTIF('USPTO TMs'!A:A,D5836)&gt;0,"Yes","No"),"")</f>
        <v/>
      </c>
      <c r="C5836" s="11"/>
      <c r="D5836" s="11"/>
      <c r="E5836" s="11"/>
      <c r="F5836" s="11"/>
      <c r="G5836" s="11"/>
      <c r="H5836" s="11"/>
      <c r="I5836" s="15"/>
    </row>
    <row r="5837" spans="1:9" ht="16.5">
      <c r="A5837" s="10" t="b">
        <v>0</v>
      </c>
      <c r="B5837" s="11" t="str">
        <f>IF(D5837&lt;&gt;"",IF(COUNTIF('USPTO TMs'!A:A,D5837)&gt;0,"Yes","No"),"")</f>
        <v/>
      </c>
      <c r="C5837" s="11"/>
      <c r="D5837" s="11"/>
      <c r="E5837" s="11"/>
      <c r="F5837" s="11"/>
      <c r="G5837" s="11"/>
      <c r="H5837" s="11"/>
      <c r="I5837" s="15"/>
    </row>
    <row r="5838" spans="1:9" ht="16.5">
      <c r="A5838" s="10" t="b">
        <v>0</v>
      </c>
      <c r="B5838" s="11" t="str">
        <f>IF(D5838&lt;&gt;"",IF(COUNTIF('USPTO TMs'!A:A,D5838)&gt;0,"Yes","No"),"")</f>
        <v/>
      </c>
      <c r="C5838" s="11"/>
      <c r="D5838" s="11"/>
      <c r="E5838" s="11"/>
      <c r="F5838" s="11"/>
      <c r="G5838" s="11"/>
      <c r="H5838" s="11"/>
      <c r="I5838" s="15"/>
    </row>
    <row r="5839" spans="1:9" ht="16.5">
      <c r="A5839" s="10" t="b">
        <v>0</v>
      </c>
      <c r="B5839" s="11" t="str">
        <f>IF(D5839&lt;&gt;"",IF(COUNTIF('USPTO TMs'!A:A,D5839)&gt;0,"Yes","No"),"")</f>
        <v/>
      </c>
      <c r="C5839" s="11"/>
      <c r="D5839" s="11"/>
      <c r="E5839" s="11"/>
      <c r="F5839" s="11"/>
      <c r="G5839" s="11"/>
      <c r="H5839" s="11"/>
      <c r="I5839" s="15"/>
    </row>
    <row r="5840" spans="1:9" ht="16.5">
      <c r="A5840" s="10" t="b">
        <v>0</v>
      </c>
      <c r="B5840" s="11" t="str">
        <f>IF(D5840&lt;&gt;"",IF(COUNTIF('USPTO TMs'!A:A,D5840)&gt;0,"Yes","No"),"")</f>
        <v/>
      </c>
      <c r="C5840" s="11"/>
      <c r="D5840" s="11"/>
      <c r="E5840" s="11"/>
      <c r="F5840" s="11"/>
      <c r="G5840" s="11"/>
      <c r="H5840" s="11"/>
      <c r="I5840" s="15"/>
    </row>
    <row r="5841" spans="1:9" ht="16.5">
      <c r="A5841" s="10" t="b">
        <v>0</v>
      </c>
      <c r="B5841" s="11" t="str">
        <f>IF(D5841&lt;&gt;"",IF(COUNTIF('USPTO TMs'!A:A,D5841)&gt;0,"Yes","No"),"")</f>
        <v/>
      </c>
      <c r="C5841" s="11"/>
      <c r="D5841" s="11"/>
      <c r="E5841" s="11"/>
      <c r="F5841" s="11"/>
      <c r="G5841" s="11"/>
      <c r="H5841" s="11"/>
      <c r="I5841" s="15"/>
    </row>
    <row r="5842" spans="1:9" ht="16.5">
      <c r="A5842" s="10" t="b">
        <v>0</v>
      </c>
      <c r="B5842" s="11" t="str">
        <f>IF(D5842&lt;&gt;"",IF(COUNTIF('USPTO TMs'!A:A,D5842)&gt;0,"Yes","No"),"")</f>
        <v/>
      </c>
      <c r="C5842" s="11"/>
      <c r="D5842" s="11"/>
      <c r="E5842" s="11"/>
      <c r="F5842" s="11"/>
      <c r="G5842" s="11"/>
      <c r="H5842" s="11"/>
      <c r="I5842" s="15"/>
    </row>
    <row r="5843" spans="1:9" ht="16.5">
      <c r="A5843" s="10" t="b">
        <v>0</v>
      </c>
      <c r="B5843" s="11" t="str">
        <f>IF(D5843&lt;&gt;"",IF(COUNTIF('USPTO TMs'!A:A,D5843)&gt;0,"Yes","No"),"")</f>
        <v/>
      </c>
      <c r="C5843" s="11"/>
      <c r="D5843" s="11"/>
      <c r="E5843" s="11"/>
      <c r="F5843" s="11"/>
      <c r="G5843" s="11"/>
      <c r="H5843" s="11"/>
      <c r="I5843" s="15"/>
    </row>
    <row r="5844" spans="1:9" ht="16.5">
      <c r="A5844" s="10" t="b">
        <v>0</v>
      </c>
      <c r="B5844" s="11" t="str">
        <f>IF(D5844&lt;&gt;"",IF(COUNTIF('USPTO TMs'!A:A,D5844)&gt;0,"Yes","No"),"")</f>
        <v/>
      </c>
      <c r="C5844" s="11"/>
      <c r="D5844" s="11"/>
      <c r="E5844" s="11"/>
      <c r="F5844" s="11"/>
      <c r="G5844" s="11"/>
      <c r="H5844" s="11"/>
      <c r="I5844" s="15"/>
    </row>
    <row r="5845" spans="1:9" ht="16.5">
      <c r="A5845" s="10" t="b">
        <v>0</v>
      </c>
      <c r="B5845" s="11" t="str">
        <f>IF(D5845&lt;&gt;"",IF(COUNTIF('USPTO TMs'!A:A,D5845)&gt;0,"Yes","No"),"")</f>
        <v/>
      </c>
      <c r="C5845" s="11"/>
      <c r="D5845" s="11"/>
      <c r="E5845" s="11"/>
      <c r="F5845" s="11"/>
      <c r="G5845" s="11"/>
      <c r="H5845" s="11"/>
      <c r="I5845" s="15"/>
    </row>
    <row r="5846" spans="1:9" ht="16.5">
      <c r="A5846" s="10" t="b">
        <v>0</v>
      </c>
      <c r="B5846" s="11" t="str">
        <f>IF(D5846&lt;&gt;"",IF(COUNTIF('USPTO TMs'!A:A,D5846)&gt;0,"Yes","No"),"")</f>
        <v/>
      </c>
      <c r="C5846" s="11"/>
      <c r="D5846" s="11"/>
      <c r="E5846" s="11"/>
      <c r="F5846" s="11"/>
      <c r="G5846" s="11"/>
      <c r="H5846" s="11"/>
      <c r="I5846" s="15"/>
    </row>
    <row r="5847" spans="1:9" ht="16.5">
      <c r="A5847" s="10" t="b">
        <v>0</v>
      </c>
      <c r="B5847" s="11" t="str">
        <f>IF(D5847&lt;&gt;"",IF(COUNTIF('USPTO TMs'!A:A,D5847)&gt;0,"Yes","No"),"")</f>
        <v/>
      </c>
      <c r="C5847" s="11"/>
      <c r="D5847" s="11"/>
      <c r="E5847" s="11"/>
      <c r="F5847" s="11"/>
      <c r="G5847" s="11"/>
      <c r="H5847" s="11"/>
      <c r="I5847" s="15"/>
    </row>
    <row r="5848" spans="1:9" ht="16.5">
      <c r="A5848" s="10" t="b">
        <v>0</v>
      </c>
      <c r="B5848" s="11" t="str">
        <f>IF(D5848&lt;&gt;"",IF(COUNTIF('USPTO TMs'!A:A,D5848)&gt;0,"Yes","No"),"")</f>
        <v/>
      </c>
      <c r="C5848" s="11"/>
      <c r="D5848" s="11"/>
      <c r="E5848" s="11"/>
      <c r="F5848" s="11"/>
      <c r="G5848" s="11"/>
      <c r="H5848" s="11"/>
      <c r="I5848" s="15"/>
    </row>
    <row r="5849" spans="1:9" ht="16.5">
      <c r="A5849" s="10" t="b">
        <v>0</v>
      </c>
      <c r="B5849" s="11" t="str">
        <f>IF(D5849&lt;&gt;"",IF(COUNTIF('USPTO TMs'!A:A,D5849)&gt;0,"Yes","No"),"")</f>
        <v/>
      </c>
      <c r="C5849" s="11"/>
      <c r="D5849" s="11"/>
      <c r="E5849" s="11"/>
      <c r="F5849" s="11"/>
      <c r="G5849" s="11"/>
      <c r="H5849" s="11"/>
      <c r="I5849" s="15"/>
    </row>
    <row r="5850" spans="1:9" ht="16.5">
      <c r="A5850" s="10" t="b">
        <v>0</v>
      </c>
      <c r="B5850" s="11" t="str">
        <f>IF(D5850&lt;&gt;"",IF(COUNTIF('USPTO TMs'!A:A,D5850)&gt;0,"Yes","No"),"")</f>
        <v/>
      </c>
      <c r="C5850" s="11"/>
      <c r="D5850" s="11"/>
      <c r="E5850" s="11"/>
      <c r="F5850" s="11"/>
      <c r="G5850" s="11"/>
      <c r="H5850" s="11"/>
      <c r="I5850" s="15"/>
    </row>
    <row r="5851" spans="1:9" ht="16.5">
      <c r="A5851" s="10" t="b">
        <v>0</v>
      </c>
      <c r="B5851" s="11" t="str">
        <f>IF(D5851&lt;&gt;"",IF(COUNTIF('USPTO TMs'!A:A,D5851)&gt;0,"Yes","No"),"")</f>
        <v/>
      </c>
      <c r="C5851" s="11"/>
      <c r="D5851" s="11"/>
      <c r="E5851" s="11"/>
      <c r="F5851" s="11"/>
      <c r="G5851" s="11"/>
      <c r="H5851" s="11"/>
      <c r="I5851" s="15"/>
    </row>
    <row r="5852" spans="1:9" ht="16.5">
      <c r="A5852" s="10" t="b">
        <v>0</v>
      </c>
      <c r="B5852" s="11" t="str">
        <f>IF(D5852&lt;&gt;"",IF(COUNTIF('USPTO TMs'!A:A,D5852)&gt;0,"Yes","No"),"")</f>
        <v/>
      </c>
      <c r="C5852" s="11"/>
      <c r="D5852" s="11"/>
      <c r="E5852" s="11"/>
      <c r="F5852" s="11"/>
      <c r="G5852" s="11"/>
      <c r="H5852" s="11"/>
      <c r="I5852" s="15"/>
    </row>
    <row r="5853" spans="1:9" ht="16.5">
      <c r="A5853" s="10" t="b">
        <v>0</v>
      </c>
      <c r="B5853" s="11" t="str">
        <f>IF(D5853&lt;&gt;"",IF(COUNTIF('USPTO TMs'!A:A,D5853)&gt;0,"Yes","No"),"")</f>
        <v/>
      </c>
      <c r="C5853" s="11"/>
      <c r="D5853" s="11"/>
      <c r="E5853" s="11"/>
      <c r="F5853" s="11"/>
      <c r="G5853" s="11"/>
      <c r="H5853" s="11"/>
      <c r="I5853" s="15"/>
    </row>
    <row r="5854" spans="1:9" ht="16.5">
      <c r="A5854" s="10" t="b">
        <v>0</v>
      </c>
      <c r="B5854" s="11" t="str">
        <f>IF(D5854&lt;&gt;"",IF(COUNTIF('USPTO TMs'!A:A,D5854)&gt;0,"Yes","No"),"")</f>
        <v/>
      </c>
      <c r="C5854" s="11"/>
      <c r="D5854" s="11"/>
      <c r="E5854" s="11"/>
      <c r="F5854" s="11"/>
      <c r="G5854" s="11"/>
      <c r="H5854" s="11"/>
      <c r="I5854" s="15"/>
    </row>
    <row r="5855" spans="1:9" ht="16.5">
      <c r="A5855" s="10" t="b">
        <v>0</v>
      </c>
      <c r="B5855" s="11" t="str">
        <f>IF(D5855&lt;&gt;"",IF(COUNTIF('USPTO TMs'!A:A,D5855)&gt;0,"Yes","No"),"")</f>
        <v/>
      </c>
      <c r="C5855" s="11"/>
      <c r="D5855" s="11"/>
      <c r="E5855" s="11"/>
      <c r="F5855" s="11"/>
      <c r="G5855" s="11"/>
      <c r="H5855" s="11"/>
      <c r="I5855" s="15"/>
    </row>
    <row r="5856" spans="1:9" ht="16.5">
      <c r="A5856" s="10" t="b">
        <v>0</v>
      </c>
      <c r="B5856" s="11" t="str">
        <f>IF(D5856&lt;&gt;"",IF(COUNTIF('USPTO TMs'!A:A,D5856)&gt;0,"Yes","No"),"")</f>
        <v/>
      </c>
      <c r="C5856" s="11"/>
      <c r="D5856" s="11"/>
      <c r="E5856" s="11"/>
      <c r="F5856" s="11"/>
      <c r="G5856" s="11"/>
      <c r="H5856" s="11"/>
      <c r="I5856" s="15"/>
    </row>
    <row r="5857" spans="1:9" ht="16.5">
      <c r="A5857" s="10" t="b">
        <v>0</v>
      </c>
      <c r="B5857" s="11" t="str">
        <f>IF(D5857&lt;&gt;"",IF(COUNTIF('USPTO TMs'!A:A,D5857)&gt;0,"Yes","No"),"")</f>
        <v/>
      </c>
      <c r="C5857" s="11"/>
      <c r="D5857" s="11"/>
      <c r="E5857" s="11"/>
      <c r="F5857" s="11"/>
      <c r="G5857" s="11"/>
      <c r="H5857" s="11"/>
      <c r="I5857" s="15"/>
    </row>
    <row r="5858" spans="1:9" ht="16.5">
      <c r="A5858" s="10" t="b">
        <v>0</v>
      </c>
      <c r="B5858" s="11" t="str">
        <f>IF(D5858&lt;&gt;"",IF(COUNTIF('USPTO TMs'!A:A,D5858)&gt;0,"Yes","No"),"")</f>
        <v/>
      </c>
      <c r="C5858" s="11"/>
      <c r="D5858" s="11"/>
      <c r="E5858" s="11"/>
      <c r="F5858" s="11"/>
      <c r="G5858" s="11"/>
      <c r="H5858" s="11"/>
      <c r="I5858" s="15"/>
    </row>
    <row r="5859" spans="1:9" ht="16.5">
      <c r="A5859" s="10" t="b">
        <v>0</v>
      </c>
      <c r="B5859" s="11" t="str">
        <f>IF(D5859&lt;&gt;"",IF(COUNTIF('USPTO TMs'!A:A,D5859)&gt;0,"Yes","No"),"")</f>
        <v/>
      </c>
      <c r="C5859" s="11"/>
      <c r="D5859" s="11"/>
      <c r="E5859" s="11"/>
      <c r="F5859" s="11"/>
      <c r="G5859" s="11"/>
      <c r="H5859" s="11"/>
      <c r="I5859" s="15"/>
    </row>
    <row r="5860" spans="1:9" ht="16.5">
      <c r="A5860" s="10" t="b">
        <v>0</v>
      </c>
      <c r="B5860" s="11" t="str">
        <f>IF(D5860&lt;&gt;"",IF(COUNTIF('USPTO TMs'!A:A,D5860)&gt;0,"Yes","No"),"")</f>
        <v/>
      </c>
      <c r="C5860" s="11"/>
      <c r="D5860" s="11"/>
      <c r="E5860" s="11"/>
      <c r="F5860" s="11"/>
      <c r="G5860" s="11"/>
      <c r="H5860" s="11"/>
      <c r="I5860" s="15"/>
    </row>
    <row r="5861" spans="1:9" ht="16.5">
      <c r="A5861" s="10" t="b">
        <v>0</v>
      </c>
      <c r="B5861" s="11" t="str">
        <f>IF(D5861&lt;&gt;"",IF(COUNTIF('USPTO TMs'!A:A,D5861)&gt;0,"Yes","No"),"")</f>
        <v/>
      </c>
      <c r="C5861" s="11"/>
      <c r="D5861" s="11"/>
      <c r="E5861" s="11"/>
      <c r="F5861" s="11"/>
      <c r="G5861" s="11"/>
      <c r="H5861" s="11"/>
      <c r="I5861" s="15"/>
    </row>
    <row r="5862" spans="1:9" ht="16.5">
      <c r="A5862" s="10" t="b">
        <v>0</v>
      </c>
      <c r="B5862" s="11" t="str">
        <f>IF(D5862&lt;&gt;"",IF(COUNTIF('USPTO TMs'!A:A,D5862)&gt;0,"Yes","No"),"")</f>
        <v/>
      </c>
      <c r="C5862" s="11"/>
      <c r="D5862" s="11"/>
      <c r="E5862" s="11"/>
      <c r="F5862" s="11"/>
      <c r="G5862" s="11"/>
      <c r="H5862" s="11"/>
      <c r="I5862" s="15"/>
    </row>
    <row r="5863" spans="1:9" ht="16.5">
      <c r="A5863" s="10" t="b">
        <v>0</v>
      </c>
      <c r="B5863" s="11" t="str">
        <f>IF(D5863&lt;&gt;"",IF(COUNTIF('USPTO TMs'!A:A,D5863)&gt;0,"Yes","No"),"")</f>
        <v/>
      </c>
      <c r="C5863" s="11"/>
      <c r="D5863" s="11"/>
      <c r="E5863" s="11"/>
      <c r="F5863" s="11"/>
      <c r="G5863" s="11"/>
      <c r="H5863" s="11"/>
      <c r="I5863" s="15"/>
    </row>
    <row r="5864" spans="1:9" ht="16.5">
      <c r="A5864" s="10" t="b">
        <v>0</v>
      </c>
      <c r="B5864" s="11" t="str">
        <f>IF(D5864&lt;&gt;"",IF(COUNTIF('USPTO TMs'!A:A,D5864)&gt;0,"Yes","No"),"")</f>
        <v/>
      </c>
      <c r="C5864" s="11"/>
      <c r="D5864" s="11"/>
      <c r="E5864" s="11"/>
      <c r="F5864" s="11"/>
      <c r="G5864" s="11"/>
      <c r="H5864" s="11"/>
      <c r="I5864" s="15"/>
    </row>
    <row r="5865" spans="1:9" ht="16.5">
      <c r="A5865" s="10" t="b">
        <v>0</v>
      </c>
      <c r="B5865" s="11" t="str">
        <f>IF(D5865&lt;&gt;"",IF(COUNTIF('USPTO TMs'!A:A,D5865)&gt;0,"Yes","No"),"")</f>
        <v/>
      </c>
      <c r="C5865" s="11"/>
      <c r="D5865" s="11"/>
      <c r="E5865" s="11"/>
      <c r="F5865" s="11"/>
      <c r="G5865" s="11"/>
      <c r="H5865" s="11"/>
      <c r="I5865" s="15"/>
    </row>
    <row r="5866" spans="1:9" ht="16.5">
      <c r="A5866" s="10" t="b">
        <v>0</v>
      </c>
      <c r="B5866" s="11" t="str">
        <f>IF(D5866&lt;&gt;"",IF(COUNTIF('USPTO TMs'!A:A,D5866)&gt;0,"Yes","No"),"")</f>
        <v/>
      </c>
      <c r="C5866" s="11"/>
      <c r="D5866" s="11"/>
      <c r="E5866" s="11"/>
      <c r="F5866" s="11"/>
      <c r="G5866" s="11"/>
      <c r="H5866" s="11"/>
      <c r="I5866" s="15"/>
    </row>
    <row r="5867" spans="1:9" ht="16.5">
      <c r="A5867" s="10" t="b">
        <v>0</v>
      </c>
      <c r="B5867" s="11" t="str">
        <f>IF(D5867&lt;&gt;"",IF(COUNTIF('USPTO TMs'!A:A,D5867)&gt;0,"Yes","No"),"")</f>
        <v/>
      </c>
      <c r="C5867" s="11"/>
      <c r="D5867" s="11"/>
      <c r="E5867" s="11"/>
      <c r="F5867" s="11"/>
      <c r="G5867" s="11"/>
      <c r="H5867" s="11"/>
      <c r="I5867" s="15"/>
    </row>
    <row r="5868" spans="1:9" ht="16.5">
      <c r="A5868" s="10" t="b">
        <v>0</v>
      </c>
      <c r="B5868" s="11" t="str">
        <f>IF(D5868&lt;&gt;"",IF(COUNTIF('USPTO TMs'!A:A,D5868)&gt;0,"Yes","No"),"")</f>
        <v/>
      </c>
      <c r="C5868" s="11"/>
      <c r="D5868" s="11"/>
      <c r="E5868" s="11"/>
      <c r="F5868" s="11"/>
      <c r="G5868" s="11"/>
      <c r="H5868" s="11"/>
      <c r="I5868" s="15"/>
    </row>
    <row r="5869" spans="1:9" ht="16.5">
      <c r="A5869" s="10" t="b">
        <v>0</v>
      </c>
      <c r="B5869" s="11" t="str">
        <f>IF(D5869&lt;&gt;"",IF(COUNTIF('USPTO TMs'!A:A,D5869)&gt;0,"Yes","No"),"")</f>
        <v/>
      </c>
      <c r="C5869" s="11"/>
      <c r="D5869" s="11"/>
      <c r="E5869" s="11"/>
      <c r="F5869" s="11"/>
      <c r="G5869" s="11"/>
      <c r="H5869" s="11"/>
      <c r="I5869" s="15"/>
    </row>
    <row r="5870" spans="1:9" ht="16.5">
      <c r="A5870" s="10" t="b">
        <v>0</v>
      </c>
      <c r="B5870" s="11" t="str">
        <f>IF(D5870&lt;&gt;"",IF(COUNTIF('USPTO TMs'!A:A,D5870)&gt;0,"Yes","No"),"")</f>
        <v/>
      </c>
      <c r="C5870" s="11"/>
      <c r="D5870" s="11"/>
      <c r="E5870" s="11"/>
      <c r="F5870" s="11"/>
      <c r="G5870" s="11"/>
      <c r="H5870" s="11"/>
      <c r="I5870" s="15"/>
    </row>
    <row r="5871" spans="1:9" ht="16.5">
      <c r="A5871" s="10" t="b">
        <v>0</v>
      </c>
      <c r="B5871" s="11" t="str">
        <f>IF(D5871&lt;&gt;"",IF(COUNTIF('USPTO TMs'!A:A,D5871)&gt;0,"Yes","No"),"")</f>
        <v/>
      </c>
      <c r="C5871" s="11"/>
      <c r="D5871" s="11"/>
      <c r="E5871" s="11"/>
      <c r="F5871" s="11"/>
      <c r="G5871" s="11"/>
      <c r="H5871" s="11"/>
      <c r="I5871" s="15"/>
    </row>
    <row r="5872" spans="1:9" ht="16.5">
      <c r="A5872" s="10" t="b">
        <v>0</v>
      </c>
      <c r="B5872" s="11" t="str">
        <f>IF(D5872&lt;&gt;"",IF(COUNTIF('USPTO TMs'!A:A,D5872)&gt;0,"Yes","No"),"")</f>
        <v/>
      </c>
      <c r="C5872" s="11"/>
      <c r="D5872" s="11"/>
      <c r="E5872" s="11"/>
      <c r="F5872" s="11"/>
      <c r="G5872" s="11"/>
      <c r="H5872" s="11"/>
      <c r="I5872" s="15"/>
    </row>
    <row r="5873" spans="1:9" ht="16.5">
      <c r="A5873" s="10" t="b">
        <v>0</v>
      </c>
      <c r="B5873" s="11" t="str">
        <f>IF(D5873&lt;&gt;"",IF(COUNTIF('USPTO TMs'!A:A,D5873)&gt;0,"Yes","No"),"")</f>
        <v/>
      </c>
      <c r="C5873" s="11"/>
      <c r="D5873" s="11"/>
      <c r="E5873" s="11"/>
      <c r="F5873" s="11"/>
      <c r="G5873" s="11"/>
      <c r="H5873" s="11"/>
      <c r="I5873" s="15"/>
    </row>
    <row r="5874" spans="1:9" ht="16.5">
      <c r="A5874" s="10" t="b">
        <v>0</v>
      </c>
      <c r="B5874" s="11" t="str">
        <f>IF(D5874&lt;&gt;"",IF(COUNTIF('USPTO TMs'!A:A,D5874)&gt;0,"Yes","No"),"")</f>
        <v/>
      </c>
      <c r="C5874" s="11"/>
      <c r="D5874" s="11"/>
      <c r="E5874" s="11"/>
      <c r="F5874" s="11"/>
      <c r="G5874" s="11"/>
      <c r="H5874" s="11"/>
      <c r="I5874" s="15"/>
    </row>
    <row r="5875" spans="1:9" ht="16.5">
      <c r="A5875" s="10" t="b">
        <v>0</v>
      </c>
      <c r="B5875" s="11" t="str">
        <f>IF(D5875&lt;&gt;"",IF(COUNTIF('USPTO TMs'!A:A,D5875)&gt;0,"Yes","No"),"")</f>
        <v/>
      </c>
      <c r="C5875" s="11"/>
      <c r="D5875" s="11"/>
      <c r="E5875" s="11"/>
      <c r="F5875" s="11"/>
      <c r="G5875" s="11"/>
      <c r="H5875" s="11"/>
      <c r="I5875" s="15"/>
    </row>
    <row r="5876" spans="1:9" ht="16.5">
      <c r="A5876" s="10" t="b">
        <v>0</v>
      </c>
      <c r="B5876" s="11" t="str">
        <f>IF(D5876&lt;&gt;"",IF(COUNTIF('USPTO TMs'!A:A,D5876)&gt;0,"Yes","No"),"")</f>
        <v/>
      </c>
      <c r="C5876" s="11"/>
      <c r="D5876" s="11"/>
      <c r="E5876" s="11"/>
      <c r="F5876" s="11"/>
      <c r="G5876" s="11"/>
      <c r="H5876" s="11"/>
      <c r="I5876" s="15"/>
    </row>
    <row r="5877" spans="1:9" ht="16.5">
      <c r="A5877" s="10" t="b">
        <v>0</v>
      </c>
      <c r="B5877" s="11" t="str">
        <f>IF(D5877&lt;&gt;"",IF(COUNTIF('USPTO TMs'!A:A,D5877)&gt;0,"Yes","No"),"")</f>
        <v/>
      </c>
      <c r="C5877" s="11"/>
      <c r="D5877" s="11"/>
      <c r="E5877" s="11"/>
      <c r="F5877" s="11"/>
      <c r="G5877" s="11"/>
      <c r="H5877" s="11"/>
      <c r="I5877" s="15"/>
    </row>
    <row r="5878" spans="1:9" ht="16.5">
      <c r="A5878" s="10" t="b">
        <v>0</v>
      </c>
      <c r="B5878" s="11" t="str">
        <f>IF(D5878&lt;&gt;"",IF(COUNTIF('USPTO TMs'!A:A,D5878)&gt;0,"Yes","No"),"")</f>
        <v/>
      </c>
      <c r="C5878" s="11"/>
      <c r="D5878" s="11"/>
      <c r="E5878" s="11"/>
      <c r="F5878" s="11"/>
      <c r="G5878" s="11"/>
      <c r="H5878" s="11"/>
      <c r="I5878" s="15"/>
    </row>
    <row r="5879" spans="1:9" ht="16.5">
      <c r="A5879" s="10" t="b">
        <v>0</v>
      </c>
      <c r="B5879" s="11" t="str">
        <f>IF(D5879&lt;&gt;"",IF(COUNTIF('USPTO TMs'!A:A,D5879)&gt;0,"Yes","No"),"")</f>
        <v/>
      </c>
      <c r="C5879" s="11"/>
      <c r="D5879" s="11"/>
      <c r="E5879" s="11"/>
      <c r="F5879" s="11"/>
      <c r="G5879" s="11"/>
      <c r="H5879" s="11"/>
      <c r="I5879" s="15"/>
    </row>
    <row r="5880" spans="1:9" ht="16.5">
      <c r="A5880" s="10" t="b">
        <v>0</v>
      </c>
      <c r="B5880" s="11" t="str">
        <f>IF(D5880&lt;&gt;"",IF(COUNTIF('USPTO TMs'!A:A,D5880)&gt;0,"Yes","No"),"")</f>
        <v/>
      </c>
      <c r="C5880" s="11"/>
      <c r="D5880" s="11"/>
      <c r="E5880" s="11"/>
      <c r="F5880" s="11"/>
      <c r="G5880" s="11"/>
      <c r="H5880" s="11"/>
      <c r="I5880" s="15"/>
    </row>
    <row r="5881" spans="1:9" ht="16.5">
      <c r="A5881" s="10" t="b">
        <v>0</v>
      </c>
      <c r="B5881" s="11" t="str">
        <f>IF(D5881&lt;&gt;"",IF(COUNTIF('USPTO TMs'!A:A,D5881)&gt;0,"Yes","No"),"")</f>
        <v/>
      </c>
      <c r="C5881" s="11"/>
      <c r="D5881" s="11"/>
      <c r="E5881" s="11"/>
      <c r="F5881" s="11"/>
      <c r="G5881" s="11"/>
      <c r="H5881" s="11"/>
      <c r="I5881" s="15"/>
    </row>
    <row r="5882" spans="1:9" ht="16.5">
      <c r="A5882" s="10" t="b">
        <v>0</v>
      </c>
      <c r="B5882" s="11" t="str">
        <f>IF(D5882&lt;&gt;"",IF(COUNTIF('USPTO TMs'!A:A,D5882)&gt;0,"Yes","No"),"")</f>
        <v/>
      </c>
      <c r="C5882" s="11"/>
      <c r="D5882" s="11"/>
      <c r="E5882" s="11"/>
      <c r="F5882" s="11"/>
      <c r="G5882" s="11"/>
      <c r="H5882" s="11"/>
      <c r="I5882" s="15"/>
    </row>
    <row r="5883" spans="1:9" ht="16.5">
      <c r="A5883" s="10" t="b">
        <v>0</v>
      </c>
      <c r="B5883" s="11" t="str">
        <f>IF(D5883&lt;&gt;"",IF(COUNTIF('USPTO TMs'!A:A,D5883)&gt;0,"Yes","No"),"")</f>
        <v/>
      </c>
      <c r="C5883" s="11"/>
      <c r="D5883" s="11"/>
      <c r="E5883" s="11"/>
      <c r="F5883" s="11"/>
      <c r="G5883" s="11"/>
      <c r="H5883" s="11"/>
      <c r="I5883" s="15"/>
    </row>
    <row r="5884" spans="1:9" ht="16.5">
      <c r="A5884" s="10" t="b">
        <v>0</v>
      </c>
      <c r="B5884" s="11" t="str">
        <f>IF(D5884&lt;&gt;"",IF(COUNTIF('USPTO TMs'!A:A,D5884)&gt;0,"Yes","No"),"")</f>
        <v/>
      </c>
      <c r="C5884" s="11"/>
      <c r="D5884" s="11"/>
      <c r="E5884" s="11"/>
      <c r="F5884" s="11"/>
      <c r="G5884" s="11"/>
      <c r="H5884" s="11"/>
      <c r="I5884" s="15"/>
    </row>
    <row r="5885" spans="1:9" ht="16.5">
      <c r="A5885" s="10" t="b">
        <v>0</v>
      </c>
      <c r="B5885" s="11" t="str">
        <f>IF(D5885&lt;&gt;"",IF(COUNTIF('USPTO TMs'!A:A,D5885)&gt;0,"Yes","No"),"")</f>
        <v/>
      </c>
      <c r="C5885" s="11"/>
      <c r="D5885" s="11"/>
      <c r="E5885" s="11"/>
      <c r="F5885" s="11"/>
      <c r="G5885" s="11"/>
      <c r="H5885" s="11"/>
      <c r="I5885" s="15"/>
    </row>
    <row r="5886" spans="1:9" ht="16.5">
      <c r="A5886" s="10" t="b">
        <v>0</v>
      </c>
      <c r="B5886" s="11" t="str">
        <f>IF(D5886&lt;&gt;"",IF(COUNTIF('USPTO TMs'!A:A,D5886)&gt;0,"Yes","No"),"")</f>
        <v/>
      </c>
      <c r="C5886" s="11"/>
      <c r="D5886" s="11"/>
      <c r="E5886" s="11"/>
      <c r="F5886" s="11"/>
      <c r="G5886" s="11"/>
      <c r="H5886" s="11"/>
      <c r="I5886" s="15"/>
    </row>
    <row r="5887" spans="1:9" ht="16.5">
      <c r="A5887" s="10" t="b">
        <v>0</v>
      </c>
      <c r="B5887" s="11" t="str">
        <f>IF(D5887&lt;&gt;"",IF(COUNTIF('USPTO TMs'!A:A,D5887)&gt;0,"Yes","No"),"")</f>
        <v/>
      </c>
      <c r="C5887" s="11"/>
      <c r="D5887" s="11"/>
      <c r="E5887" s="11"/>
      <c r="F5887" s="11"/>
      <c r="G5887" s="11"/>
      <c r="H5887" s="11"/>
      <c r="I5887" s="15"/>
    </row>
    <row r="5888" spans="1:9" ht="16.5">
      <c r="A5888" s="10" t="b">
        <v>0</v>
      </c>
      <c r="B5888" s="11" t="str">
        <f>IF(D5888&lt;&gt;"",IF(COUNTIF('USPTO TMs'!A:A,D5888)&gt;0,"Yes","No"),"")</f>
        <v/>
      </c>
      <c r="C5888" s="11"/>
      <c r="D5888" s="11"/>
      <c r="E5888" s="11"/>
      <c r="F5888" s="11"/>
      <c r="G5888" s="11"/>
      <c r="H5888" s="11"/>
      <c r="I5888" s="15"/>
    </row>
    <row r="5889" spans="1:9" ht="16.5">
      <c r="A5889" s="10" t="b">
        <v>0</v>
      </c>
      <c r="B5889" s="11" t="str">
        <f>IF(D5889&lt;&gt;"",IF(COUNTIF('USPTO TMs'!A:A,D5889)&gt;0,"Yes","No"),"")</f>
        <v/>
      </c>
      <c r="C5889" s="11"/>
      <c r="D5889" s="11"/>
      <c r="E5889" s="11"/>
      <c r="F5889" s="11"/>
      <c r="G5889" s="11"/>
      <c r="H5889" s="11"/>
      <c r="I5889" s="15"/>
    </row>
    <row r="5890" spans="1:9" ht="16.5">
      <c r="A5890" s="10" t="b">
        <v>0</v>
      </c>
      <c r="B5890" s="11" t="str">
        <f>IF(D5890&lt;&gt;"",IF(COUNTIF('USPTO TMs'!A:A,D5890)&gt;0,"Yes","No"),"")</f>
        <v/>
      </c>
      <c r="C5890" s="11"/>
      <c r="D5890" s="11"/>
      <c r="E5890" s="11"/>
      <c r="F5890" s="11"/>
      <c r="G5890" s="11"/>
      <c r="H5890" s="11"/>
      <c r="I5890" s="15"/>
    </row>
    <row r="5891" spans="1:9" ht="16.5">
      <c r="A5891" s="10" t="b">
        <v>0</v>
      </c>
      <c r="B5891" s="11" t="str">
        <f>IF(D5891&lt;&gt;"",IF(COUNTIF('USPTO TMs'!A:A,D5891)&gt;0,"Yes","No"),"")</f>
        <v/>
      </c>
      <c r="C5891" s="11"/>
      <c r="D5891" s="11"/>
      <c r="E5891" s="11"/>
      <c r="F5891" s="11"/>
      <c r="G5891" s="11"/>
      <c r="H5891" s="11"/>
      <c r="I5891" s="15"/>
    </row>
    <row r="5892" spans="1:9" ht="16.5">
      <c r="A5892" s="10" t="b">
        <v>0</v>
      </c>
      <c r="B5892" s="11" t="str">
        <f>IF(D5892&lt;&gt;"",IF(COUNTIF('USPTO TMs'!A:A,D5892)&gt;0,"Yes","No"),"")</f>
        <v/>
      </c>
      <c r="C5892" s="11"/>
      <c r="D5892" s="11"/>
      <c r="E5892" s="11"/>
      <c r="F5892" s="11"/>
      <c r="G5892" s="11"/>
      <c r="H5892" s="11"/>
      <c r="I5892" s="15"/>
    </row>
    <row r="5893" spans="1:9" ht="16.5">
      <c r="A5893" s="10" t="b">
        <v>0</v>
      </c>
      <c r="B5893" s="11" t="str">
        <f>IF(D5893&lt;&gt;"",IF(COUNTIF('USPTO TMs'!A:A,D5893)&gt;0,"Yes","No"),"")</f>
        <v/>
      </c>
      <c r="C5893" s="11"/>
      <c r="D5893" s="11"/>
      <c r="E5893" s="11"/>
      <c r="F5893" s="11"/>
      <c r="G5893" s="11"/>
      <c r="H5893" s="11"/>
      <c r="I5893" s="15"/>
    </row>
    <row r="5894" spans="1:9" ht="16.5">
      <c r="A5894" s="10" t="b">
        <v>0</v>
      </c>
      <c r="B5894" s="11" t="str">
        <f>IF(D5894&lt;&gt;"",IF(COUNTIF('USPTO TMs'!A:A,D5894)&gt;0,"Yes","No"),"")</f>
        <v/>
      </c>
      <c r="C5894" s="11"/>
      <c r="D5894" s="11"/>
      <c r="E5894" s="11"/>
      <c r="F5894" s="11"/>
      <c r="G5894" s="11"/>
      <c r="H5894" s="11"/>
      <c r="I5894" s="15"/>
    </row>
    <row r="5895" spans="1:9" ht="16.5">
      <c r="A5895" s="10" t="b">
        <v>0</v>
      </c>
      <c r="B5895" s="11" t="str">
        <f>IF(D5895&lt;&gt;"",IF(COUNTIF('USPTO TMs'!A:A,D5895)&gt;0,"Yes","No"),"")</f>
        <v/>
      </c>
      <c r="C5895" s="11"/>
      <c r="D5895" s="11"/>
      <c r="E5895" s="11"/>
      <c r="F5895" s="11"/>
      <c r="G5895" s="11"/>
      <c r="H5895" s="11"/>
      <c r="I5895" s="15"/>
    </row>
    <row r="5896" spans="1:9" ht="16.5">
      <c r="A5896" s="10" t="b">
        <v>0</v>
      </c>
      <c r="B5896" s="11" t="str">
        <f>IF(D5896&lt;&gt;"",IF(COUNTIF('USPTO TMs'!A:A,D5896)&gt;0,"Yes","No"),"")</f>
        <v/>
      </c>
      <c r="C5896" s="11"/>
      <c r="D5896" s="11"/>
      <c r="E5896" s="11"/>
      <c r="F5896" s="11"/>
      <c r="G5896" s="11"/>
      <c r="H5896" s="11"/>
      <c r="I5896" s="15"/>
    </row>
    <row r="5897" spans="1:9" ht="16.5">
      <c r="A5897" s="10" t="b">
        <v>0</v>
      </c>
      <c r="B5897" s="11" t="str">
        <f>IF(D5897&lt;&gt;"",IF(COUNTIF('USPTO TMs'!A:A,D5897)&gt;0,"Yes","No"),"")</f>
        <v/>
      </c>
      <c r="C5897" s="11"/>
      <c r="D5897" s="11"/>
      <c r="E5897" s="11"/>
      <c r="F5897" s="11"/>
      <c r="G5897" s="11"/>
      <c r="H5897" s="11"/>
      <c r="I5897" s="15"/>
    </row>
    <row r="5898" spans="1:9" ht="16.5">
      <c r="A5898" s="10" t="b">
        <v>0</v>
      </c>
      <c r="B5898" s="11" t="str">
        <f>IF(D5898&lt;&gt;"",IF(COUNTIF('USPTO TMs'!A:A,D5898)&gt;0,"Yes","No"),"")</f>
        <v/>
      </c>
      <c r="C5898" s="11"/>
      <c r="D5898" s="11"/>
      <c r="E5898" s="11"/>
      <c r="F5898" s="11"/>
      <c r="G5898" s="11"/>
      <c r="H5898" s="11"/>
      <c r="I5898" s="15"/>
    </row>
    <row r="5899" spans="1:9" ht="16.5">
      <c r="A5899" s="10" t="b">
        <v>0</v>
      </c>
      <c r="B5899" s="11" t="str">
        <f>IF(D5899&lt;&gt;"",IF(COUNTIF('USPTO TMs'!A:A,D5899)&gt;0,"Yes","No"),"")</f>
        <v/>
      </c>
      <c r="C5899" s="11"/>
      <c r="D5899" s="11"/>
      <c r="E5899" s="11"/>
      <c r="F5899" s="11"/>
      <c r="G5899" s="11"/>
      <c r="H5899" s="11"/>
      <c r="I5899" s="15"/>
    </row>
    <row r="5900" spans="1:9" ht="16.5">
      <c r="A5900" s="10" t="b">
        <v>0</v>
      </c>
      <c r="B5900" s="11" t="str">
        <f>IF(D5900&lt;&gt;"",IF(COUNTIF('USPTO TMs'!A:A,D5900)&gt;0,"Yes","No"),"")</f>
        <v/>
      </c>
      <c r="C5900" s="11"/>
      <c r="D5900" s="11"/>
      <c r="E5900" s="11"/>
      <c r="F5900" s="11"/>
      <c r="G5900" s="11"/>
      <c r="H5900" s="11"/>
      <c r="I5900" s="15"/>
    </row>
    <row r="5901" spans="1:9" ht="16.5">
      <c r="A5901" s="10" t="b">
        <v>0</v>
      </c>
      <c r="B5901" s="11" t="str">
        <f>IF(D5901&lt;&gt;"",IF(COUNTIF('USPTO TMs'!A:A,D5901)&gt;0,"Yes","No"),"")</f>
        <v/>
      </c>
      <c r="C5901" s="11"/>
      <c r="D5901" s="11"/>
      <c r="E5901" s="11"/>
      <c r="F5901" s="11"/>
      <c r="G5901" s="11"/>
      <c r="H5901" s="11"/>
      <c r="I5901" s="15"/>
    </row>
    <row r="5902" spans="1:9" ht="16.5">
      <c r="A5902" s="10" t="b">
        <v>0</v>
      </c>
      <c r="B5902" s="11" t="str">
        <f>IF(D5902&lt;&gt;"",IF(COUNTIF('USPTO TMs'!A:A,D5902)&gt;0,"Yes","No"),"")</f>
        <v/>
      </c>
      <c r="C5902" s="11"/>
      <c r="D5902" s="11"/>
      <c r="E5902" s="11"/>
      <c r="F5902" s="11"/>
      <c r="G5902" s="11"/>
      <c r="H5902" s="11"/>
      <c r="I5902" s="15"/>
    </row>
    <row r="5903" spans="1:9" ht="16.5">
      <c r="A5903" s="10" t="b">
        <v>0</v>
      </c>
      <c r="B5903" s="11" t="str">
        <f>IF(D5903&lt;&gt;"",IF(COUNTIF('USPTO TMs'!A:A,D5903)&gt;0,"Yes","No"),"")</f>
        <v/>
      </c>
      <c r="C5903" s="11"/>
      <c r="D5903" s="11"/>
      <c r="E5903" s="11"/>
      <c r="F5903" s="11"/>
      <c r="G5903" s="11"/>
      <c r="H5903" s="11"/>
      <c r="I5903" s="15"/>
    </row>
    <row r="5904" spans="1:9" ht="16.5">
      <c r="A5904" s="10" t="b">
        <v>0</v>
      </c>
      <c r="B5904" s="11" t="str">
        <f>IF(D5904&lt;&gt;"",IF(COUNTIF('USPTO TMs'!A:A,D5904)&gt;0,"Yes","No"),"")</f>
        <v/>
      </c>
      <c r="C5904" s="11"/>
      <c r="D5904" s="11"/>
      <c r="E5904" s="11"/>
      <c r="F5904" s="11"/>
      <c r="G5904" s="11"/>
      <c r="H5904" s="11"/>
      <c r="I5904" s="15"/>
    </row>
    <row r="5905" spans="1:9" ht="16.5">
      <c r="A5905" s="10" t="b">
        <v>0</v>
      </c>
      <c r="B5905" s="11" t="str">
        <f>IF(D5905&lt;&gt;"",IF(COUNTIF('USPTO TMs'!A:A,D5905)&gt;0,"Yes","No"),"")</f>
        <v/>
      </c>
      <c r="C5905" s="11"/>
      <c r="D5905" s="11"/>
      <c r="E5905" s="11"/>
      <c r="F5905" s="11"/>
      <c r="G5905" s="11"/>
      <c r="H5905" s="11"/>
      <c r="I5905" s="15"/>
    </row>
    <row r="5906" spans="1:9" ht="16.5">
      <c r="A5906" s="10" t="b">
        <v>0</v>
      </c>
      <c r="B5906" s="11" t="str">
        <f>IF(D5906&lt;&gt;"",IF(COUNTIF('USPTO TMs'!A:A,D5906)&gt;0,"Yes","No"),"")</f>
        <v/>
      </c>
      <c r="C5906" s="11"/>
      <c r="D5906" s="11"/>
      <c r="E5906" s="11"/>
      <c r="F5906" s="11"/>
      <c r="G5906" s="11"/>
      <c r="H5906" s="11"/>
      <c r="I5906" s="15"/>
    </row>
    <row r="5907" spans="1:9" ht="16.5">
      <c r="A5907" s="10" t="b">
        <v>0</v>
      </c>
      <c r="B5907" s="11" t="str">
        <f>IF(D5907&lt;&gt;"",IF(COUNTIF('USPTO TMs'!A:A,D5907)&gt;0,"Yes","No"),"")</f>
        <v/>
      </c>
      <c r="C5907" s="11"/>
      <c r="D5907" s="11"/>
      <c r="E5907" s="11"/>
      <c r="F5907" s="11"/>
      <c r="G5907" s="11"/>
      <c r="H5907" s="11"/>
      <c r="I5907" s="15"/>
    </row>
    <row r="5908" spans="1:9" ht="16.5">
      <c r="A5908" s="10" t="b">
        <v>0</v>
      </c>
      <c r="B5908" s="11" t="str">
        <f>IF(D5908&lt;&gt;"",IF(COUNTIF('USPTO TMs'!A:A,D5908)&gt;0,"Yes","No"),"")</f>
        <v/>
      </c>
      <c r="C5908" s="11"/>
      <c r="D5908" s="11"/>
      <c r="E5908" s="11"/>
      <c r="F5908" s="11"/>
      <c r="G5908" s="11"/>
      <c r="H5908" s="11"/>
      <c r="I5908" s="15"/>
    </row>
    <row r="5909" spans="1:9" ht="16.5">
      <c r="A5909" s="10" t="b">
        <v>0</v>
      </c>
      <c r="B5909" s="11" t="str">
        <f>IF(D5909&lt;&gt;"",IF(COUNTIF('USPTO TMs'!A:A,D5909)&gt;0,"Yes","No"),"")</f>
        <v/>
      </c>
      <c r="C5909" s="11"/>
      <c r="D5909" s="11"/>
      <c r="E5909" s="11"/>
      <c r="F5909" s="11"/>
      <c r="G5909" s="11"/>
      <c r="H5909" s="11"/>
      <c r="I5909" s="15"/>
    </row>
    <row r="5910" spans="1:9" ht="16.5">
      <c r="A5910" s="10" t="b">
        <v>0</v>
      </c>
      <c r="B5910" s="11" t="str">
        <f>IF(D5910&lt;&gt;"",IF(COUNTIF('USPTO TMs'!A:A,D5910)&gt;0,"Yes","No"),"")</f>
        <v/>
      </c>
      <c r="C5910" s="11"/>
      <c r="D5910" s="11"/>
      <c r="E5910" s="11"/>
      <c r="F5910" s="11"/>
      <c r="G5910" s="11"/>
      <c r="H5910" s="11"/>
      <c r="I5910" s="15"/>
    </row>
    <row r="5911" spans="1:9" ht="16.5">
      <c r="A5911" s="10" t="b">
        <v>0</v>
      </c>
      <c r="B5911" s="11" t="str">
        <f>IF(D5911&lt;&gt;"",IF(COUNTIF('USPTO TMs'!A:A,D5911)&gt;0,"Yes","No"),"")</f>
        <v/>
      </c>
      <c r="C5911" s="11"/>
      <c r="D5911" s="11"/>
      <c r="E5911" s="11"/>
      <c r="F5911" s="11"/>
      <c r="G5911" s="11"/>
      <c r="H5911" s="11"/>
      <c r="I5911" s="15"/>
    </row>
    <row r="5912" spans="1:9" ht="16.5">
      <c r="A5912" s="10" t="b">
        <v>0</v>
      </c>
      <c r="B5912" s="11" t="str">
        <f>IF(D5912&lt;&gt;"",IF(COUNTIF('USPTO TMs'!A:A,D5912)&gt;0,"Yes","No"),"")</f>
        <v/>
      </c>
      <c r="C5912" s="11"/>
      <c r="D5912" s="11"/>
      <c r="E5912" s="11"/>
      <c r="F5912" s="11"/>
      <c r="G5912" s="11"/>
      <c r="H5912" s="11"/>
      <c r="I5912" s="15"/>
    </row>
    <row r="5913" spans="1:9" ht="16.5">
      <c r="A5913" s="10" t="b">
        <v>0</v>
      </c>
      <c r="B5913" s="11" t="str">
        <f>IF(D5913&lt;&gt;"",IF(COUNTIF('USPTO TMs'!A:A,D5913)&gt;0,"Yes","No"),"")</f>
        <v/>
      </c>
      <c r="C5913" s="11"/>
      <c r="D5913" s="11"/>
      <c r="E5913" s="11"/>
      <c r="F5913" s="11"/>
      <c r="G5913" s="11"/>
      <c r="H5913" s="11"/>
      <c r="I5913" s="15"/>
    </row>
    <row r="5914" spans="1:9" ht="16.5">
      <c r="A5914" s="10" t="b">
        <v>0</v>
      </c>
      <c r="B5914" s="11" t="str">
        <f>IF(D5914&lt;&gt;"",IF(COUNTIF('USPTO TMs'!A:A,D5914)&gt;0,"Yes","No"),"")</f>
        <v/>
      </c>
      <c r="C5914" s="11"/>
      <c r="D5914" s="11"/>
      <c r="E5914" s="11"/>
      <c r="F5914" s="11"/>
      <c r="G5914" s="11"/>
      <c r="H5914" s="11"/>
      <c r="I5914" s="15"/>
    </row>
    <row r="5915" spans="1:9" ht="16.5">
      <c r="A5915" s="10" t="b">
        <v>0</v>
      </c>
      <c r="B5915" s="11" t="str">
        <f>IF(D5915&lt;&gt;"",IF(COUNTIF('USPTO TMs'!A:A,D5915)&gt;0,"Yes","No"),"")</f>
        <v/>
      </c>
      <c r="C5915" s="11"/>
      <c r="D5915" s="11"/>
      <c r="E5915" s="11"/>
      <c r="F5915" s="11"/>
      <c r="G5915" s="11"/>
      <c r="H5915" s="11"/>
      <c r="I5915" s="15"/>
    </row>
    <row r="5916" spans="1:9" ht="16.5">
      <c r="A5916" s="10" t="b">
        <v>0</v>
      </c>
      <c r="B5916" s="11" t="str">
        <f>IF(D5916&lt;&gt;"",IF(COUNTIF('USPTO TMs'!A:A,D5916)&gt;0,"Yes","No"),"")</f>
        <v/>
      </c>
      <c r="C5916" s="11"/>
      <c r="D5916" s="11"/>
      <c r="E5916" s="11"/>
      <c r="F5916" s="11"/>
      <c r="G5916" s="11"/>
      <c r="H5916" s="11"/>
      <c r="I5916" s="15"/>
    </row>
    <row r="5917" spans="1:9" ht="16.5">
      <c r="A5917" s="10" t="b">
        <v>0</v>
      </c>
      <c r="B5917" s="11" t="str">
        <f>IF(D5917&lt;&gt;"",IF(COUNTIF('USPTO TMs'!A:A,D5917)&gt;0,"Yes","No"),"")</f>
        <v/>
      </c>
      <c r="C5917" s="11"/>
      <c r="D5917" s="11"/>
      <c r="E5917" s="11"/>
      <c r="F5917" s="11"/>
      <c r="G5917" s="11"/>
      <c r="H5917" s="11"/>
      <c r="I5917" s="15"/>
    </row>
    <row r="5918" spans="1:9" ht="16.5">
      <c r="A5918" s="10" t="b">
        <v>0</v>
      </c>
      <c r="B5918" s="11" t="str">
        <f>IF(D5918&lt;&gt;"",IF(COUNTIF('USPTO TMs'!A:A,D5918)&gt;0,"Yes","No"),"")</f>
        <v/>
      </c>
      <c r="C5918" s="11"/>
      <c r="D5918" s="11"/>
      <c r="E5918" s="11"/>
      <c r="F5918" s="11"/>
      <c r="G5918" s="11"/>
      <c r="H5918" s="11"/>
      <c r="I5918" s="15"/>
    </row>
    <row r="5919" spans="1:9" ht="16.5">
      <c r="A5919" s="10" t="b">
        <v>0</v>
      </c>
      <c r="B5919" s="11" t="str">
        <f>IF(D5919&lt;&gt;"",IF(COUNTIF('USPTO TMs'!A:A,D5919)&gt;0,"Yes","No"),"")</f>
        <v/>
      </c>
      <c r="C5919" s="11"/>
      <c r="D5919" s="11"/>
      <c r="E5919" s="11"/>
      <c r="F5919" s="11"/>
      <c r="G5919" s="11"/>
      <c r="H5919" s="11"/>
      <c r="I5919" s="15"/>
    </row>
    <row r="5920" spans="1:9" ht="16.5">
      <c r="A5920" s="10" t="b">
        <v>0</v>
      </c>
      <c r="B5920" s="11" t="str">
        <f>IF(D5920&lt;&gt;"",IF(COUNTIF('USPTO TMs'!A:A,D5920)&gt;0,"Yes","No"),"")</f>
        <v/>
      </c>
      <c r="C5920" s="11"/>
      <c r="D5920" s="11"/>
      <c r="E5920" s="11"/>
      <c r="F5920" s="11"/>
      <c r="G5920" s="11"/>
      <c r="H5920" s="11"/>
      <c r="I5920" s="15"/>
    </row>
    <row r="5921" spans="1:9" ht="16.5">
      <c r="A5921" s="10" t="b">
        <v>0</v>
      </c>
      <c r="B5921" s="11" t="str">
        <f>IF(D5921&lt;&gt;"",IF(COUNTIF('USPTO TMs'!A:A,D5921)&gt;0,"Yes","No"),"")</f>
        <v/>
      </c>
      <c r="C5921" s="11"/>
      <c r="D5921" s="11"/>
      <c r="E5921" s="11"/>
      <c r="F5921" s="11"/>
      <c r="G5921" s="11"/>
      <c r="H5921" s="11"/>
      <c r="I5921" s="15"/>
    </row>
    <row r="5922" spans="1:9" ht="16.5">
      <c r="A5922" s="10" t="b">
        <v>0</v>
      </c>
      <c r="B5922" s="11" t="str">
        <f>IF(D5922&lt;&gt;"",IF(COUNTIF('USPTO TMs'!A:A,D5922)&gt;0,"Yes","No"),"")</f>
        <v/>
      </c>
      <c r="C5922" s="11"/>
      <c r="D5922" s="11"/>
      <c r="E5922" s="11"/>
      <c r="F5922" s="11"/>
      <c r="G5922" s="11"/>
      <c r="H5922" s="11"/>
      <c r="I5922" s="15"/>
    </row>
    <row r="5923" spans="1:9" ht="16.5">
      <c r="A5923" s="10" t="b">
        <v>0</v>
      </c>
      <c r="B5923" s="11" t="str">
        <f>IF(D5923&lt;&gt;"",IF(COUNTIF('USPTO TMs'!A:A,D5923)&gt;0,"Yes","No"),"")</f>
        <v/>
      </c>
      <c r="C5923" s="11"/>
      <c r="D5923" s="11"/>
      <c r="E5923" s="11"/>
      <c r="F5923" s="11"/>
      <c r="G5923" s="11"/>
      <c r="H5923" s="11"/>
      <c r="I5923" s="15"/>
    </row>
    <row r="5924" spans="1:9" ht="16.5">
      <c r="A5924" s="10" t="b">
        <v>0</v>
      </c>
      <c r="B5924" s="11" t="str">
        <f>IF(D5924&lt;&gt;"",IF(COUNTIF('USPTO TMs'!A:A,D5924)&gt;0,"Yes","No"),"")</f>
        <v/>
      </c>
      <c r="C5924" s="11"/>
      <c r="D5924" s="11"/>
      <c r="E5924" s="11"/>
      <c r="F5924" s="11"/>
      <c r="G5924" s="11"/>
      <c r="H5924" s="11"/>
      <c r="I5924" s="15"/>
    </row>
    <row r="5925" spans="1:9" ht="16.5">
      <c r="A5925" s="10" t="b">
        <v>0</v>
      </c>
      <c r="B5925" s="11" t="str">
        <f>IF(D5925&lt;&gt;"",IF(COUNTIF('USPTO TMs'!A:A,D5925)&gt;0,"Yes","No"),"")</f>
        <v/>
      </c>
      <c r="C5925" s="11"/>
      <c r="D5925" s="11"/>
      <c r="E5925" s="11"/>
      <c r="F5925" s="11"/>
      <c r="G5925" s="11"/>
      <c r="H5925" s="11"/>
      <c r="I5925" s="15"/>
    </row>
    <row r="5926" spans="1:9" ht="16.5">
      <c r="A5926" s="10" t="b">
        <v>0</v>
      </c>
      <c r="B5926" s="11" t="str">
        <f>IF(D5926&lt;&gt;"",IF(COUNTIF('USPTO TMs'!A:A,D5926)&gt;0,"Yes","No"),"")</f>
        <v/>
      </c>
      <c r="C5926" s="11"/>
      <c r="D5926" s="11"/>
      <c r="E5926" s="11"/>
      <c r="F5926" s="11"/>
      <c r="G5926" s="11"/>
      <c r="H5926" s="11"/>
      <c r="I5926" s="15"/>
    </row>
    <row r="5927" spans="1:9" ht="16.5">
      <c r="A5927" s="10" t="b">
        <v>0</v>
      </c>
      <c r="B5927" s="11" t="str">
        <f>IF(D5927&lt;&gt;"",IF(COUNTIF('USPTO TMs'!A:A,D5927)&gt;0,"Yes","No"),"")</f>
        <v/>
      </c>
      <c r="C5927" s="11"/>
      <c r="D5927" s="11"/>
      <c r="E5927" s="11"/>
      <c r="F5927" s="11"/>
      <c r="G5927" s="11"/>
      <c r="H5927" s="11"/>
      <c r="I5927" s="15"/>
    </row>
    <row r="5928" spans="1:9" ht="16.5">
      <c r="A5928" s="10" t="b">
        <v>0</v>
      </c>
      <c r="B5928" s="11" t="str">
        <f>IF(D5928&lt;&gt;"",IF(COUNTIF('USPTO TMs'!A:A,D5928)&gt;0,"Yes","No"),"")</f>
        <v/>
      </c>
      <c r="C5928" s="11"/>
      <c r="D5928" s="11"/>
      <c r="E5928" s="11"/>
      <c r="F5928" s="11"/>
      <c r="G5928" s="11"/>
      <c r="H5928" s="11"/>
      <c r="I5928" s="15"/>
    </row>
    <row r="5929" spans="1:9" ht="16.5">
      <c r="A5929" s="10" t="b">
        <v>0</v>
      </c>
      <c r="B5929" s="11" t="str">
        <f>IF(D5929&lt;&gt;"",IF(COUNTIF('USPTO TMs'!A:A,D5929)&gt;0,"Yes","No"),"")</f>
        <v/>
      </c>
      <c r="C5929" s="11"/>
      <c r="D5929" s="11"/>
      <c r="E5929" s="11"/>
      <c r="F5929" s="11"/>
      <c r="G5929" s="11"/>
      <c r="H5929" s="11"/>
      <c r="I5929" s="15"/>
    </row>
    <row r="5930" spans="1:9" ht="16.5">
      <c r="A5930" s="10" t="b">
        <v>0</v>
      </c>
      <c r="B5930" s="11" t="str">
        <f>IF(D5930&lt;&gt;"",IF(COUNTIF('USPTO TMs'!A:A,D5930)&gt;0,"Yes","No"),"")</f>
        <v/>
      </c>
      <c r="C5930" s="11"/>
      <c r="D5930" s="11"/>
      <c r="E5930" s="11"/>
      <c r="F5930" s="11"/>
      <c r="G5930" s="11"/>
      <c r="H5930" s="11"/>
      <c r="I5930" s="15"/>
    </row>
    <row r="5931" spans="1:9" ht="16.5">
      <c r="A5931" s="10" t="b">
        <v>0</v>
      </c>
      <c r="B5931" s="11" t="str">
        <f>IF(D5931&lt;&gt;"",IF(COUNTIF('USPTO TMs'!A:A,D5931)&gt;0,"Yes","No"),"")</f>
        <v/>
      </c>
      <c r="C5931" s="11"/>
      <c r="D5931" s="11"/>
      <c r="E5931" s="11"/>
      <c r="F5931" s="11"/>
      <c r="G5931" s="11"/>
      <c r="H5931" s="11"/>
      <c r="I5931" s="15"/>
    </row>
    <row r="5932" spans="1:9" ht="16.5">
      <c r="A5932" s="10" t="b">
        <v>0</v>
      </c>
      <c r="B5932" s="11" t="str">
        <f>IF(D5932&lt;&gt;"",IF(COUNTIF('USPTO TMs'!A:A,D5932)&gt;0,"Yes","No"),"")</f>
        <v/>
      </c>
      <c r="C5932" s="11"/>
      <c r="D5932" s="11"/>
      <c r="E5932" s="11"/>
      <c r="F5932" s="11"/>
      <c r="G5932" s="11"/>
      <c r="H5932" s="11"/>
      <c r="I5932" s="15"/>
    </row>
    <row r="5933" spans="1:9" ht="16.5">
      <c r="A5933" s="10" t="b">
        <v>0</v>
      </c>
      <c r="B5933" s="11" t="str">
        <f>IF(D5933&lt;&gt;"",IF(COUNTIF('USPTO TMs'!A:A,D5933)&gt;0,"Yes","No"),"")</f>
        <v/>
      </c>
      <c r="C5933" s="11"/>
      <c r="D5933" s="11"/>
      <c r="E5933" s="11"/>
      <c r="F5933" s="11"/>
      <c r="G5933" s="11"/>
      <c r="H5933" s="11"/>
      <c r="I5933" s="15"/>
    </row>
    <row r="5934" spans="1:9" ht="16.5">
      <c r="A5934" s="10" t="b">
        <v>0</v>
      </c>
      <c r="B5934" s="11" t="str">
        <f>IF(D5934&lt;&gt;"",IF(COUNTIF('USPTO TMs'!A:A,D5934)&gt;0,"Yes","No"),"")</f>
        <v/>
      </c>
      <c r="C5934" s="11"/>
      <c r="D5934" s="11"/>
      <c r="E5934" s="11"/>
      <c r="F5934" s="11"/>
      <c r="G5934" s="11"/>
      <c r="H5934" s="11"/>
      <c r="I5934" s="15"/>
    </row>
    <row r="5935" spans="1:9" ht="16.5">
      <c r="A5935" s="10" t="b">
        <v>0</v>
      </c>
      <c r="B5935" s="11" t="str">
        <f>IF(D5935&lt;&gt;"",IF(COUNTIF('USPTO TMs'!A:A,D5935)&gt;0,"Yes","No"),"")</f>
        <v/>
      </c>
      <c r="C5935" s="11"/>
      <c r="D5935" s="11"/>
      <c r="E5935" s="11"/>
      <c r="F5935" s="11"/>
      <c r="G5935" s="11"/>
      <c r="H5935" s="11"/>
      <c r="I5935" s="15"/>
    </row>
    <row r="5936" spans="1:9" ht="16.5">
      <c r="A5936" s="10" t="b">
        <v>0</v>
      </c>
      <c r="B5936" s="11" t="str">
        <f>IF(D5936&lt;&gt;"",IF(COUNTIF('USPTO TMs'!A:A,D5936)&gt;0,"Yes","No"),"")</f>
        <v/>
      </c>
      <c r="C5936" s="11"/>
      <c r="D5936" s="11"/>
      <c r="E5936" s="11"/>
      <c r="F5936" s="11"/>
      <c r="G5936" s="11"/>
      <c r="H5936" s="11"/>
      <c r="I5936" s="15"/>
    </row>
    <row r="5937" spans="1:9" ht="16.5">
      <c r="A5937" s="10" t="b">
        <v>0</v>
      </c>
      <c r="B5937" s="11" t="str">
        <f>IF(D5937&lt;&gt;"",IF(COUNTIF('USPTO TMs'!A:A,D5937)&gt;0,"Yes","No"),"")</f>
        <v/>
      </c>
      <c r="C5937" s="11"/>
      <c r="D5937" s="11"/>
      <c r="E5937" s="11"/>
      <c r="F5937" s="11"/>
      <c r="G5937" s="11"/>
      <c r="H5937" s="11"/>
      <c r="I5937" s="15"/>
    </row>
    <row r="5938" spans="1:9" ht="16.5">
      <c r="A5938" s="10" t="b">
        <v>0</v>
      </c>
      <c r="B5938" s="11" t="str">
        <f>IF(D5938&lt;&gt;"",IF(COUNTIF('USPTO TMs'!A:A,D5938)&gt;0,"Yes","No"),"")</f>
        <v/>
      </c>
      <c r="C5938" s="11"/>
      <c r="D5938" s="11"/>
      <c r="E5938" s="11"/>
      <c r="F5938" s="11"/>
      <c r="G5938" s="11"/>
      <c r="H5938" s="11"/>
      <c r="I5938" s="15"/>
    </row>
    <row r="5939" spans="1:9" ht="16.5">
      <c r="A5939" s="10" t="b">
        <v>0</v>
      </c>
      <c r="B5939" s="11" t="str">
        <f>IF(D5939&lt;&gt;"",IF(COUNTIF('USPTO TMs'!A:A,D5939)&gt;0,"Yes","No"),"")</f>
        <v/>
      </c>
      <c r="C5939" s="11"/>
      <c r="D5939" s="11"/>
      <c r="E5939" s="11"/>
      <c r="F5939" s="11"/>
      <c r="G5939" s="11"/>
      <c r="H5939" s="11"/>
      <c r="I5939" s="15"/>
    </row>
    <row r="5940" spans="1:9" ht="16.5">
      <c r="A5940" s="10" t="b">
        <v>0</v>
      </c>
      <c r="B5940" s="11" t="str">
        <f>IF(D5940&lt;&gt;"",IF(COUNTIF('USPTO TMs'!A:A,D5940)&gt;0,"Yes","No"),"")</f>
        <v/>
      </c>
      <c r="C5940" s="11"/>
      <c r="D5940" s="11"/>
      <c r="E5940" s="11"/>
      <c r="F5940" s="11"/>
      <c r="G5940" s="11"/>
      <c r="H5940" s="11"/>
      <c r="I5940" s="15"/>
    </row>
    <row r="5941" spans="1:9" ht="16.5">
      <c r="A5941" s="10" t="b">
        <v>0</v>
      </c>
      <c r="B5941" s="11" t="str">
        <f>IF(D5941&lt;&gt;"",IF(COUNTIF('USPTO TMs'!A:A,D5941)&gt;0,"Yes","No"),"")</f>
        <v/>
      </c>
      <c r="C5941" s="11"/>
      <c r="D5941" s="11"/>
      <c r="E5941" s="11"/>
      <c r="F5941" s="11"/>
      <c r="G5941" s="11"/>
      <c r="H5941" s="11"/>
      <c r="I5941" s="15"/>
    </row>
    <row r="5942" spans="1:9" ht="16.5">
      <c r="A5942" s="10" t="b">
        <v>0</v>
      </c>
      <c r="B5942" s="11" t="str">
        <f>IF(D5942&lt;&gt;"",IF(COUNTIF('USPTO TMs'!A:A,D5942)&gt;0,"Yes","No"),"")</f>
        <v/>
      </c>
      <c r="C5942" s="11"/>
      <c r="D5942" s="11"/>
      <c r="E5942" s="11"/>
      <c r="F5942" s="11"/>
      <c r="G5942" s="11"/>
      <c r="H5942" s="11"/>
      <c r="I5942" s="15"/>
    </row>
    <row r="5943" spans="1:9" ht="16.5">
      <c r="A5943" s="10" t="b">
        <v>0</v>
      </c>
      <c r="B5943" s="11" t="str">
        <f>IF(D5943&lt;&gt;"",IF(COUNTIF('USPTO TMs'!A:A,D5943)&gt;0,"Yes","No"),"")</f>
        <v/>
      </c>
      <c r="C5943" s="11"/>
      <c r="D5943" s="11"/>
      <c r="E5943" s="11"/>
      <c r="F5943" s="11"/>
      <c r="G5943" s="11"/>
      <c r="H5943" s="11"/>
      <c r="I5943" s="15"/>
    </row>
    <row r="5944" spans="1:9" ht="16.5">
      <c r="A5944" s="10" t="b">
        <v>0</v>
      </c>
      <c r="B5944" s="11" t="str">
        <f>IF(D5944&lt;&gt;"",IF(COUNTIF('USPTO TMs'!A:A,D5944)&gt;0,"Yes","No"),"")</f>
        <v/>
      </c>
      <c r="C5944" s="11"/>
      <c r="D5944" s="11"/>
      <c r="E5944" s="11"/>
      <c r="F5944" s="11"/>
      <c r="G5944" s="11"/>
      <c r="H5944" s="11"/>
      <c r="I5944" s="15"/>
    </row>
    <row r="5945" spans="1:9" ht="16.5">
      <c r="A5945" s="10" t="b">
        <v>0</v>
      </c>
      <c r="B5945" s="11" t="str">
        <f>IF(D5945&lt;&gt;"",IF(COUNTIF('USPTO TMs'!A:A,D5945)&gt;0,"Yes","No"),"")</f>
        <v/>
      </c>
      <c r="C5945" s="11"/>
      <c r="D5945" s="11"/>
      <c r="E5945" s="11"/>
      <c r="F5945" s="11"/>
      <c r="G5945" s="11"/>
      <c r="H5945" s="11"/>
      <c r="I5945" s="15"/>
    </row>
    <row r="5946" spans="1:9" ht="16.5">
      <c r="A5946" s="10" t="b">
        <v>0</v>
      </c>
      <c r="B5946" s="11" t="str">
        <f>IF(D5946&lt;&gt;"",IF(COUNTIF('USPTO TMs'!A:A,D5946)&gt;0,"Yes","No"),"")</f>
        <v/>
      </c>
      <c r="C5946" s="11"/>
      <c r="D5946" s="11"/>
      <c r="E5946" s="11"/>
      <c r="F5946" s="11"/>
      <c r="G5946" s="11"/>
      <c r="H5946" s="11"/>
      <c r="I5946" s="15"/>
    </row>
    <row r="5947" spans="1:9" ht="16.5">
      <c r="A5947" s="10" t="b">
        <v>0</v>
      </c>
      <c r="B5947" s="11" t="str">
        <f>IF(D5947&lt;&gt;"",IF(COUNTIF('USPTO TMs'!A:A,D5947)&gt;0,"Yes","No"),"")</f>
        <v/>
      </c>
      <c r="C5947" s="11"/>
      <c r="D5947" s="11"/>
      <c r="E5947" s="11"/>
      <c r="F5947" s="11"/>
      <c r="G5947" s="11"/>
      <c r="H5947" s="11"/>
      <c r="I5947" s="15"/>
    </row>
    <row r="5948" spans="1:9" ht="16.5">
      <c r="A5948" s="10" t="b">
        <v>0</v>
      </c>
      <c r="B5948" s="11" t="str">
        <f>IF(D5948&lt;&gt;"",IF(COUNTIF('USPTO TMs'!A:A,D5948)&gt;0,"Yes","No"),"")</f>
        <v/>
      </c>
      <c r="C5948" s="11"/>
      <c r="D5948" s="11"/>
      <c r="E5948" s="11"/>
      <c r="F5948" s="11"/>
      <c r="G5948" s="11"/>
      <c r="H5948" s="11"/>
      <c r="I5948" s="15"/>
    </row>
    <row r="5949" spans="1:9" ht="16.5">
      <c r="A5949" s="10" t="b">
        <v>0</v>
      </c>
      <c r="B5949" s="11" t="str">
        <f>IF(D5949&lt;&gt;"",IF(COUNTIF('USPTO TMs'!A:A,D5949)&gt;0,"Yes","No"),"")</f>
        <v/>
      </c>
      <c r="C5949" s="11"/>
      <c r="D5949" s="11"/>
      <c r="E5949" s="11"/>
      <c r="F5949" s="11"/>
      <c r="G5949" s="11"/>
      <c r="H5949" s="11"/>
      <c r="I5949" s="15"/>
    </row>
    <row r="5950" spans="1:9" ht="16.5">
      <c r="A5950" s="10" t="b">
        <v>0</v>
      </c>
      <c r="B5950" s="11" t="str">
        <f>IF(D5950&lt;&gt;"",IF(COUNTIF('USPTO TMs'!A:A,D5950)&gt;0,"Yes","No"),"")</f>
        <v/>
      </c>
      <c r="C5950" s="11"/>
      <c r="D5950" s="11"/>
      <c r="E5950" s="11"/>
      <c r="F5950" s="11"/>
      <c r="G5950" s="11"/>
      <c r="H5950" s="11"/>
      <c r="I5950" s="15"/>
    </row>
    <row r="5951" spans="1:9" ht="16.5">
      <c r="A5951" s="10" t="b">
        <v>0</v>
      </c>
      <c r="B5951" s="11" t="str">
        <f>IF(D5951&lt;&gt;"",IF(COUNTIF('USPTO TMs'!A:A,D5951)&gt;0,"Yes","No"),"")</f>
        <v/>
      </c>
      <c r="C5951" s="11"/>
      <c r="D5951" s="11"/>
      <c r="E5951" s="11"/>
      <c r="F5951" s="11"/>
      <c r="G5951" s="11"/>
      <c r="H5951" s="11"/>
      <c r="I5951" s="15"/>
    </row>
    <row r="5952" spans="1:9" ht="16.5">
      <c r="A5952" s="10" t="b">
        <v>0</v>
      </c>
      <c r="B5952" s="11" t="str">
        <f>IF(D5952&lt;&gt;"",IF(COUNTIF('USPTO TMs'!A:A,D5952)&gt;0,"Yes","No"),"")</f>
        <v/>
      </c>
      <c r="C5952" s="11"/>
      <c r="D5952" s="11"/>
      <c r="E5952" s="11"/>
      <c r="F5952" s="11"/>
      <c r="G5952" s="11"/>
      <c r="H5952" s="11"/>
      <c r="I5952" s="15"/>
    </row>
    <row r="5953" spans="1:9" ht="16.5">
      <c r="A5953" s="10" t="b">
        <v>0</v>
      </c>
      <c r="B5953" s="11" t="str">
        <f>IF(D5953&lt;&gt;"",IF(COUNTIF('USPTO TMs'!A:A,D5953)&gt;0,"Yes","No"),"")</f>
        <v/>
      </c>
      <c r="C5953" s="11"/>
      <c r="D5953" s="11"/>
      <c r="E5953" s="11"/>
      <c r="F5953" s="11"/>
      <c r="G5953" s="11"/>
      <c r="H5953" s="11"/>
      <c r="I5953" s="15"/>
    </row>
    <row r="5954" spans="1:9" ht="16.5">
      <c r="A5954" s="10" t="b">
        <v>0</v>
      </c>
      <c r="B5954" s="11" t="str">
        <f>IF(D5954&lt;&gt;"",IF(COUNTIF('USPTO TMs'!A:A,D5954)&gt;0,"Yes","No"),"")</f>
        <v/>
      </c>
      <c r="C5954" s="11"/>
      <c r="D5954" s="11"/>
      <c r="E5954" s="11"/>
      <c r="F5954" s="11"/>
      <c r="G5954" s="11"/>
      <c r="H5954" s="11"/>
      <c r="I5954" s="15"/>
    </row>
    <row r="5955" spans="1:9" ht="16.5">
      <c r="A5955" s="10" t="b">
        <v>0</v>
      </c>
      <c r="B5955" s="11" t="str">
        <f>IF(D5955&lt;&gt;"",IF(COUNTIF('USPTO TMs'!A:A,D5955)&gt;0,"Yes","No"),"")</f>
        <v/>
      </c>
      <c r="C5955" s="11"/>
      <c r="D5955" s="11"/>
      <c r="E5955" s="11"/>
      <c r="F5955" s="11"/>
      <c r="G5955" s="11"/>
      <c r="H5955" s="11"/>
      <c r="I5955" s="15"/>
    </row>
    <row r="5956" spans="1:9" ht="16.5">
      <c r="A5956" s="10" t="b">
        <v>0</v>
      </c>
      <c r="B5956" s="11" t="str">
        <f>IF(D5956&lt;&gt;"",IF(COUNTIF('USPTO TMs'!A:A,D5956)&gt;0,"Yes","No"),"")</f>
        <v/>
      </c>
      <c r="C5956" s="11"/>
      <c r="D5956" s="11"/>
      <c r="E5956" s="11"/>
      <c r="F5956" s="11"/>
      <c r="G5956" s="11"/>
      <c r="H5956" s="11"/>
      <c r="I5956" s="15"/>
    </row>
    <row r="5957" spans="1:9" ht="16.5">
      <c r="A5957" s="10" t="b">
        <v>0</v>
      </c>
      <c r="B5957" s="11" t="str">
        <f>IF(D5957&lt;&gt;"",IF(COUNTIF('USPTO TMs'!A:A,D5957)&gt;0,"Yes","No"),"")</f>
        <v/>
      </c>
      <c r="C5957" s="11"/>
      <c r="D5957" s="11"/>
      <c r="E5957" s="11"/>
      <c r="F5957" s="11"/>
      <c r="G5957" s="11"/>
      <c r="H5957" s="11"/>
      <c r="I5957" s="15"/>
    </row>
    <row r="5958" spans="1:9" ht="16.5">
      <c r="A5958" s="10" t="b">
        <v>0</v>
      </c>
      <c r="B5958" s="11" t="str">
        <f>IF(D5958&lt;&gt;"",IF(COUNTIF('USPTO TMs'!A:A,D5958)&gt;0,"Yes","No"),"")</f>
        <v/>
      </c>
      <c r="C5958" s="11"/>
      <c r="D5958" s="11"/>
      <c r="E5958" s="11"/>
      <c r="F5958" s="11"/>
      <c r="G5958" s="11"/>
      <c r="H5958" s="11"/>
      <c r="I5958" s="15"/>
    </row>
    <row r="5959" spans="1:9" ht="16.5">
      <c r="A5959" s="10" t="b">
        <v>0</v>
      </c>
      <c r="B5959" s="11" t="str">
        <f>IF(D5959&lt;&gt;"",IF(COUNTIF('USPTO TMs'!A:A,D5959)&gt;0,"Yes","No"),"")</f>
        <v/>
      </c>
      <c r="C5959" s="11"/>
      <c r="D5959" s="11"/>
      <c r="E5959" s="11"/>
      <c r="F5959" s="11"/>
      <c r="G5959" s="11"/>
      <c r="H5959" s="11"/>
      <c r="I5959" s="15"/>
    </row>
    <row r="5960" spans="1:9" ht="16.5">
      <c r="A5960" s="10" t="b">
        <v>0</v>
      </c>
      <c r="B5960" s="11" t="str">
        <f>IF(D5960&lt;&gt;"",IF(COUNTIF('USPTO TMs'!A:A,D5960)&gt;0,"Yes","No"),"")</f>
        <v/>
      </c>
      <c r="C5960" s="11"/>
      <c r="D5960" s="11"/>
      <c r="E5960" s="11"/>
      <c r="F5960" s="11"/>
      <c r="G5960" s="11"/>
      <c r="H5960" s="11"/>
      <c r="I5960" s="15"/>
    </row>
    <row r="5961" spans="1:9" ht="16.5">
      <c r="A5961" s="10" t="b">
        <v>0</v>
      </c>
      <c r="B5961" s="11" t="str">
        <f>IF(D5961&lt;&gt;"",IF(COUNTIF('USPTO TMs'!A:A,D5961)&gt;0,"Yes","No"),"")</f>
        <v/>
      </c>
      <c r="C5961" s="11"/>
      <c r="D5961" s="11"/>
      <c r="E5961" s="11"/>
      <c r="F5961" s="11"/>
      <c r="G5961" s="11"/>
      <c r="H5961" s="11"/>
      <c r="I5961" s="15"/>
    </row>
    <row r="5962" spans="1:9" ht="16.5">
      <c r="A5962" s="10" t="b">
        <v>0</v>
      </c>
      <c r="B5962" s="11" t="str">
        <f>IF(D5962&lt;&gt;"",IF(COUNTIF('USPTO TMs'!A:A,D5962)&gt;0,"Yes","No"),"")</f>
        <v/>
      </c>
      <c r="C5962" s="11"/>
      <c r="D5962" s="11"/>
      <c r="E5962" s="11"/>
      <c r="F5962" s="11"/>
      <c r="G5962" s="11"/>
      <c r="H5962" s="11"/>
      <c r="I5962" s="15"/>
    </row>
    <row r="5963" spans="1:9" ht="16.5">
      <c r="A5963" s="10" t="b">
        <v>0</v>
      </c>
      <c r="B5963" s="11" t="str">
        <f>IF(D5963&lt;&gt;"",IF(COUNTIF('USPTO TMs'!A:A,D5963)&gt;0,"Yes","No"),"")</f>
        <v/>
      </c>
      <c r="C5963" s="11"/>
      <c r="D5963" s="11"/>
      <c r="E5963" s="11"/>
      <c r="F5963" s="11"/>
      <c r="G5963" s="11"/>
      <c r="H5963" s="11"/>
      <c r="I5963" s="15"/>
    </row>
    <row r="5964" spans="1:9" ht="16.5">
      <c r="A5964" s="10" t="b">
        <v>0</v>
      </c>
      <c r="B5964" s="11" t="str">
        <f>IF(D5964&lt;&gt;"",IF(COUNTIF('USPTO TMs'!A:A,D5964)&gt;0,"Yes","No"),"")</f>
        <v/>
      </c>
      <c r="C5964" s="11"/>
      <c r="D5964" s="11"/>
      <c r="E5964" s="11"/>
      <c r="F5964" s="11"/>
      <c r="G5964" s="11"/>
      <c r="H5964" s="11"/>
      <c r="I5964" s="15"/>
    </row>
    <row r="5965" spans="1:9" ht="16.5">
      <c r="A5965" s="10" t="b">
        <v>0</v>
      </c>
      <c r="B5965" s="11" t="str">
        <f>IF(D5965&lt;&gt;"",IF(COUNTIF('USPTO TMs'!A:A,D5965)&gt;0,"Yes","No"),"")</f>
        <v/>
      </c>
      <c r="C5965" s="11"/>
      <c r="D5965" s="11"/>
      <c r="E5965" s="11"/>
      <c r="F5965" s="11"/>
      <c r="G5965" s="11"/>
      <c r="H5965" s="11"/>
      <c r="I5965" s="15"/>
    </row>
    <row r="5966" spans="1:9" ht="16.5">
      <c r="A5966" s="10" t="b">
        <v>0</v>
      </c>
      <c r="B5966" s="11" t="str">
        <f>IF(D5966&lt;&gt;"",IF(COUNTIF('USPTO TMs'!A:A,D5966)&gt;0,"Yes","No"),"")</f>
        <v/>
      </c>
      <c r="C5966" s="11"/>
      <c r="D5966" s="11"/>
      <c r="E5966" s="11"/>
      <c r="F5966" s="11"/>
      <c r="G5966" s="11"/>
      <c r="H5966" s="11"/>
      <c r="I5966" s="15"/>
    </row>
    <row r="5967" spans="1:9" ht="16.5">
      <c r="A5967" s="10" t="b">
        <v>0</v>
      </c>
      <c r="B5967" s="11" t="str">
        <f>IF(D5967&lt;&gt;"",IF(COUNTIF('USPTO TMs'!A:A,D5967)&gt;0,"Yes","No"),"")</f>
        <v/>
      </c>
      <c r="C5967" s="11"/>
      <c r="D5967" s="11"/>
      <c r="E5967" s="11"/>
      <c r="F5967" s="11"/>
      <c r="G5967" s="11"/>
      <c r="H5967" s="11"/>
      <c r="I5967" s="15"/>
    </row>
    <row r="5968" spans="1:9" ht="16.5">
      <c r="A5968" s="10" t="b">
        <v>0</v>
      </c>
      <c r="B5968" s="11" t="str">
        <f>IF(D5968&lt;&gt;"",IF(COUNTIF('USPTO TMs'!A:A,D5968)&gt;0,"Yes","No"),"")</f>
        <v/>
      </c>
      <c r="C5968" s="11"/>
      <c r="D5968" s="11"/>
      <c r="E5968" s="11"/>
      <c r="F5968" s="11"/>
      <c r="G5968" s="11"/>
      <c r="H5968" s="11"/>
      <c r="I5968" s="15"/>
    </row>
    <row r="5969" spans="1:9" ht="16.5">
      <c r="A5969" s="10" t="b">
        <v>0</v>
      </c>
      <c r="B5969" s="11" t="str">
        <f>IF(D5969&lt;&gt;"",IF(COUNTIF('USPTO TMs'!A:A,D5969)&gt;0,"Yes","No"),"")</f>
        <v/>
      </c>
      <c r="C5969" s="11"/>
      <c r="D5969" s="11"/>
      <c r="E5969" s="11"/>
      <c r="F5969" s="11"/>
      <c r="G5969" s="11"/>
      <c r="H5969" s="11"/>
      <c r="I5969" s="15"/>
    </row>
    <row r="5970" spans="1:9" ht="16.5">
      <c r="A5970" s="10" t="b">
        <v>0</v>
      </c>
      <c r="B5970" s="11" t="str">
        <f>IF(D5970&lt;&gt;"",IF(COUNTIF('USPTO TMs'!A:A,D5970)&gt;0,"Yes","No"),"")</f>
        <v/>
      </c>
      <c r="C5970" s="11"/>
      <c r="D5970" s="11"/>
      <c r="E5970" s="11"/>
      <c r="F5970" s="11"/>
      <c r="G5970" s="11"/>
      <c r="H5970" s="11"/>
      <c r="I5970" s="15"/>
    </row>
    <row r="5971" spans="1:9" ht="16.5">
      <c r="A5971" s="10" t="b">
        <v>0</v>
      </c>
      <c r="B5971" s="11" t="str">
        <f>IF(D5971&lt;&gt;"",IF(COUNTIF('USPTO TMs'!A:A,D5971)&gt;0,"Yes","No"),"")</f>
        <v/>
      </c>
      <c r="C5971" s="11"/>
      <c r="D5971" s="11"/>
      <c r="E5971" s="11"/>
      <c r="F5971" s="11"/>
      <c r="G5971" s="11"/>
      <c r="H5971" s="11"/>
      <c r="I5971" s="15"/>
    </row>
    <row r="5972" spans="1:9" ht="16.5">
      <c r="A5972" s="10" t="b">
        <v>0</v>
      </c>
      <c r="B5972" s="11" t="str">
        <f>IF(D5972&lt;&gt;"",IF(COUNTIF('USPTO TMs'!A:A,D5972)&gt;0,"Yes","No"),"")</f>
        <v/>
      </c>
      <c r="C5972" s="11"/>
      <c r="D5972" s="11"/>
      <c r="E5972" s="11"/>
      <c r="F5972" s="11"/>
      <c r="G5972" s="11"/>
      <c r="H5972" s="11"/>
      <c r="I5972" s="15"/>
    </row>
    <row r="5973" spans="1:9" ht="16.5">
      <c r="A5973" s="10" t="b">
        <v>0</v>
      </c>
      <c r="B5973" s="11" t="str">
        <f>IF(D5973&lt;&gt;"",IF(COUNTIF('USPTO TMs'!A:A,D5973)&gt;0,"Yes","No"),"")</f>
        <v/>
      </c>
      <c r="C5973" s="11"/>
      <c r="D5973" s="11"/>
      <c r="E5973" s="11"/>
      <c r="F5973" s="11"/>
      <c r="G5973" s="11"/>
      <c r="H5973" s="11"/>
      <c r="I5973" s="15"/>
    </row>
    <row r="5974" spans="1:9" ht="16.5">
      <c r="A5974" s="10" t="b">
        <v>0</v>
      </c>
      <c r="B5974" s="11" t="str">
        <f>IF(D5974&lt;&gt;"",IF(COUNTIF('USPTO TMs'!A:A,D5974)&gt;0,"Yes","No"),"")</f>
        <v/>
      </c>
      <c r="C5974" s="11"/>
      <c r="D5974" s="11"/>
      <c r="E5974" s="11"/>
      <c r="F5974" s="11"/>
      <c r="G5974" s="11"/>
      <c r="H5974" s="11"/>
      <c r="I5974" s="15"/>
    </row>
    <row r="5975" spans="1:9" ht="16.5">
      <c r="A5975" s="10" t="b">
        <v>0</v>
      </c>
      <c r="B5975" s="11" t="str">
        <f>IF(D5975&lt;&gt;"",IF(COUNTIF('USPTO TMs'!A:A,D5975)&gt;0,"Yes","No"),"")</f>
        <v/>
      </c>
      <c r="C5975" s="11"/>
      <c r="D5975" s="11"/>
      <c r="E5975" s="11"/>
      <c r="F5975" s="11"/>
      <c r="G5975" s="11"/>
      <c r="H5975" s="11"/>
      <c r="I5975" s="15"/>
    </row>
    <row r="5976" spans="1:9" ht="16.5">
      <c r="A5976" s="10" t="b">
        <v>0</v>
      </c>
      <c r="B5976" s="11" t="str">
        <f>IF(D5976&lt;&gt;"",IF(COUNTIF('USPTO TMs'!A:A,D5976)&gt;0,"Yes","No"),"")</f>
        <v/>
      </c>
      <c r="C5976" s="11"/>
      <c r="D5976" s="11"/>
      <c r="E5976" s="11"/>
      <c r="F5976" s="11"/>
      <c r="G5976" s="11"/>
      <c r="H5976" s="11"/>
      <c r="I5976" s="15"/>
    </row>
    <row r="5977" spans="1:9" ht="16.5">
      <c r="A5977" s="10" t="b">
        <v>0</v>
      </c>
      <c r="B5977" s="11" t="str">
        <f>IF(D5977&lt;&gt;"",IF(COUNTIF('USPTO TMs'!A:A,D5977)&gt;0,"Yes","No"),"")</f>
        <v/>
      </c>
      <c r="C5977" s="11"/>
      <c r="D5977" s="11"/>
      <c r="E5977" s="11"/>
      <c r="F5977" s="11"/>
      <c r="G5977" s="11"/>
      <c r="H5977" s="11"/>
      <c r="I5977" s="15"/>
    </row>
    <row r="5978" spans="1:9" ht="16.5">
      <c r="A5978" s="10" t="b">
        <v>0</v>
      </c>
      <c r="B5978" s="11" t="str">
        <f>IF(D5978&lt;&gt;"",IF(COUNTIF('USPTO TMs'!A:A,D5978)&gt;0,"Yes","No"),"")</f>
        <v/>
      </c>
      <c r="C5978" s="11"/>
      <c r="D5978" s="11"/>
      <c r="E5978" s="11"/>
      <c r="F5978" s="11"/>
      <c r="G5978" s="11"/>
      <c r="H5978" s="11"/>
      <c r="I5978" s="15"/>
    </row>
    <row r="5979" spans="1:9" ht="16.5">
      <c r="A5979" s="10" t="b">
        <v>0</v>
      </c>
      <c r="B5979" s="11" t="str">
        <f>IF(D5979&lt;&gt;"",IF(COUNTIF('USPTO TMs'!A:A,D5979)&gt;0,"Yes","No"),"")</f>
        <v/>
      </c>
      <c r="C5979" s="11"/>
      <c r="D5979" s="11"/>
      <c r="E5979" s="11"/>
      <c r="F5979" s="11"/>
      <c r="G5979" s="11"/>
      <c r="H5979" s="11"/>
      <c r="I5979" s="15"/>
    </row>
    <row r="5980" spans="1:9" ht="16.5">
      <c r="A5980" s="10" t="b">
        <v>0</v>
      </c>
      <c r="B5980" s="11" t="str">
        <f>IF(D5980&lt;&gt;"",IF(COUNTIF('USPTO TMs'!A:A,D5980)&gt;0,"Yes","No"),"")</f>
        <v/>
      </c>
      <c r="C5980" s="11"/>
      <c r="D5980" s="11"/>
      <c r="E5980" s="11"/>
      <c r="F5980" s="11"/>
      <c r="G5980" s="11"/>
      <c r="H5980" s="11"/>
      <c r="I5980" s="15"/>
    </row>
    <row r="5981" spans="1:9" ht="16.5">
      <c r="A5981" s="10" t="b">
        <v>0</v>
      </c>
      <c r="B5981" s="11" t="str">
        <f>IF(D5981&lt;&gt;"",IF(COUNTIF('USPTO TMs'!A:A,D5981)&gt;0,"Yes","No"),"")</f>
        <v/>
      </c>
      <c r="C5981" s="11"/>
      <c r="D5981" s="11"/>
      <c r="E5981" s="11"/>
      <c r="F5981" s="11"/>
      <c r="G5981" s="11"/>
      <c r="H5981" s="11"/>
      <c r="I5981" s="15"/>
    </row>
    <row r="5982" spans="1:9" ht="16.5">
      <c r="A5982" s="10" t="b">
        <v>0</v>
      </c>
      <c r="B5982" s="11" t="str">
        <f>IF(D5982&lt;&gt;"",IF(COUNTIF('USPTO TMs'!A:A,D5982)&gt;0,"Yes","No"),"")</f>
        <v/>
      </c>
      <c r="C5982" s="11"/>
      <c r="D5982" s="11"/>
      <c r="E5982" s="11"/>
      <c r="F5982" s="11"/>
      <c r="G5982" s="11"/>
      <c r="H5982" s="11"/>
      <c r="I5982" s="15"/>
    </row>
    <row r="5983" spans="1:9" ht="16.5">
      <c r="A5983" s="10" t="b">
        <v>0</v>
      </c>
      <c r="B5983" s="11" t="str">
        <f>IF(D5983&lt;&gt;"",IF(COUNTIF('USPTO TMs'!A:A,D5983)&gt;0,"Yes","No"),"")</f>
        <v/>
      </c>
      <c r="C5983" s="11"/>
      <c r="D5983" s="11"/>
      <c r="E5983" s="11"/>
      <c r="F5983" s="11"/>
      <c r="G5983" s="11"/>
      <c r="H5983" s="11"/>
      <c r="I5983" s="15"/>
    </row>
    <row r="5984" spans="1:9" ht="16.5">
      <c r="A5984" s="10" t="b">
        <v>0</v>
      </c>
      <c r="B5984" s="11" t="str">
        <f>IF(D5984&lt;&gt;"",IF(COUNTIF('USPTO TMs'!A:A,D5984)&gt;0,"Yes","No"),"")</f>
        <v/>
      </c>
      <c r="C5984" s="11"/>
      <c r="D5984" s="11"/>
      <c r="E5984" s="11"/>
      <c r="F5984" s="11"/>
      <c r="G5984" s="11"/>
      <c r="H5984" s="11"/>
      <c r="I5984" s="15"/>
    </row>
    <row r="5985" spans="1:9" ht="16.5">
      <c r="A5985" s="10" t="b">
        <v>0</v>
      </c>
      <c r="B5985" s="11" t="str">
        <f>IF(D5985&lt;&gt;"",IF(COUNTIF('USPTO TMs'!A:A,D5985)&gt;0,"Yes","No"),"")</f>
        <v/>
      </c>
      <c r="C5985" s="11"/>
      <c r="D5985" s="11"/>
      <c r="E5985" s="11"/>
      <c r="F5985" s="11"/>
      <c r="G5985" s="11"/>
      <c r="H5985" s="11"/>
      <c r="I5985" s="15"/>
    </row>
    <row r="5986" spans="1:9" ht="16.5">
      <c r="A5986" s="10" t="b">
        <v>0</v>
      </c>
      <c r="B5986" s="11" t="str">
        <f>IF(D5986&lt;&gt;"",IF(COUNTIF('USPTO TMs'!A:A,D5986)&gt;0,"Yes","No"),"")</f>
        <v/>
      </c>
      <c r="C5986" s="11"/>
      <c r="D5986" s="11"/>
      <c r="E5986" s="11"/>
      <c r="F5986" s="11"/>
      <c r="G5986" s="11"/>
      <c r="H5986" s="11"/>
      <c r="I5986" s="15"/>
    </row>
    <row r="5987" spans="1:9" ht="16.5">
      <c r="A5987" s="10" t="b">
        <v>0</v>
      </c>
      <c r="B5987" s="11" t="str">
        <f>IF(D5987&lt;&gt;"",IF(COUNTIF('USPTO TMs'!A:A,D5987)&gt;0,"Yes","No"),"")</f>
        <v/>
      </c>
      <c r="C5987" s="11"/>
      <c r="D5987" s="11"/>
      <c r="E5987" s="11"/>
      <c r="F5987" s="11"/>
      <c r="G5987" s="11"/>
      <c r="H5987" s="11"/>
      <c r="I5987" s="15"/>
    </row>
    <row r="5988" spans="1:9" ht="16.5">
      <c r="A5988" s="10" t="b">
        <v>0</v>
      </c>
      <c r="B5988" s="11" t="str">
        <f>IF(D5988&lt;&gt;"",IF(COUNTIF('USPTO TMs'!A:A,D5988)&gt;0,"Yes","No"),"")</f>
        <v/>
      </c>
      <c r="C5988" s="11"/>
      <c r="D5988" s="11"/>
      <c r="E5988" s="11"/>
      <c r="F5988" s="11"/>
      <c r="G5988" s="11"/>
      <c r="H5988" s="11"/>
      <c r="I5988" s="15"/>
    </row>
    <row r="5989" spans="1:9" ht="16.5">
      <c r="A5989" s="10" t="b">
        <v>0</v>
      </c>
      <c r="B5989" s="11" t="str">
        <f>IF(D5989&lt;&gt;"",IF(COUNTIF('USPTO TMs'!A:A,D5989)&gt;0,"Yes","No"),"")</f>
        <v/>
      </c>
      <c r="C5989" s="11"/>
      <c r="D5989" s="11"/>
      <c r="E5989" s="11"/>
      <c r="F5989" s="11"/>
      <c r="G5989" s="11"/>
      <c r="H5989" s="11"/>
      <c r="I5989" s="15"/>
    </row>
    <row r="5990" spans="1:9" ht="16.5">
      <c r="A5990" s="10" t="b">
        <v>0</v>
      </c>
      <c r="B5990" s="11" t="str">
        <f>IF(D5990&lt;&gt;"",IF(COUNTIF('USPTO TMs'!A:A,D5990)&gt;0,"Yes","No"),"")</f>
        <v/>
      </c>
      <c r="C5990" s="11"/>
      <c r="D5990" s="11"/>
      <c r="E5990" s="11"/>
      <c r="F5990" s="11"/>
      <c r="G5990" s="11"/>
      <c r="H5990" s="11"/>
      <c r="I5990" s="15"/>
    </row>
    <row r="5991" spans="1:9" ht="16.5">
      <c r="A5991" s="10" t="b">
        <v>0</v>
      </c>
      <c r="B5991" s="11" t="str">
        <f>IF(D5991&lt;&gt;"",IF(COUNTIF('USPTO TMs'!A:A,D5991)&gt;0,"Yes","No"),"")</f>
        <v/>
      </c>
      <c r="C5991" s="11"/>
      <c r="D5991" s="11"/>
      <c r="E5991" s="11"/>
      <c r="F5991" s="11"/>
      <c r="G5991" s="11"/>
      <c r="H5991" s="11"/>
      <c r="I5991" s="15"/>
    </row>
    <row r="5992" spans="1:9" ht="16.5">
      <c r="A5992" s="10" t="b">
        <v>0</v>
      </c>
      <c r="B5992" s="11" t="str">
        <f>IF(D5992&lt;&gt;"",IF(COUNTIF('USPTO TMs'!A:A,D5992)&gt;0,"Yes","No"),"")</f>
        <v/>
      </c>
      <c r="C5992" s="11"/>
      <c r="D5992" s="11"/>
      <c r="E5992" s="11"/>
      <c r="F5992" s="11"/>
      <c r="G5992" s="11"/>
      <c r="H5992" s="11"/>
      <c r="I5992" s="15"/>
    </row>
    <row r="5993" spans="1:9" ht="16.5">
      <c r="A5993" s="10" t="b">
        <v>0</v>
      </c>
      <c r="B5993" s="11" t="str">
        <f>IF(D5993&lt;&gt;"",IF(COUNTIF('USPTO TMs'!A:A,D5993)&gt;0,"Yes","No"),"")</f>
        <v/>
      </c>
      <c r="C5993" s="11"/>
      <c r="D5993" s="11"/>
      <c r="E5993" s="11"/>
      <c r="F5993" s="11"/>
      <c r="G5993" s="11"/>
      <c r="H5993" s="11"/>
      <c r="I5993" s="15"/>
    </row>
    <row r="5994" spans="1:9" ht="16.5">
      <c r="A5994" s="10" t="b">
        <v>0</v>
      </c>
      <c r="B5994" s="11" t="str">
        <f>IF(D5994&lt;&gt;"",IF(COUNTIF('USPTO TMs'!A:A,D5994)&gt;0,"Yes","No"),"")</f>
        <v/>
      </c>
      <c r="C5994" s="11"/>
      <c r="D5994" s="11"/>
      <c r="E5994" s="11"/>
      <c r="F5994" s="11"/>
      <c r="G5994" s="11"/>
      <c r="H5994" s="11"/>
      <c r="I5994" s="15"/>
    </row>
    <row r="5995" spans="1:9" ht="16.5">
      <c r="A5995" s="10" t="b">
        <v>0</v>
      </c>
      <c r="B5995" s="11" t="str">
        <f>IF(D5995&lt;&gt;"",IF(COUNTIF('USPTO TMs'!A:A,D5995)&gt;0,"Yes","No"),"")</f>
        <v/>
      </c>
      <c r="C5995" s="11"/>
      <c r="D5995" s="11"/>
      <c r="E5995" s="11"/>
      <c r="F5995" s="11"/>
      <c r="G5995" s="11"/>
      <c r="H5995" s="11"/>
      <c r="I5995" s="15"/>
    </row>
    <row r="5996" spans="1:9" ht="16.5">
      <c r="A5996" s="10" t="b">
        <v>0</v>
      </c>
      <c r="B5996" s="11" t="str">
        <f>IF(D5996&lt;&gt;"",IF(COUNTIF('USPTO TMs'!A:A,D5996)&gt;0,"Yes","No"),"")</f>
        <v/>
      </c>
      <c r="C5996" s="11"/>
      <c r="D5996" s="11"/>
      <c r="E5996" s="11"/>
      <c r="F5996" s="11"/>
      <c r="G5996" s="11"/>
      <c r="H5996" s="11"/>
      <c r="I5996" s="15"/>
    </row>
    <row r="5997" spans="1:9" ht="16.5">
      <c r="A5997" s="10" t="b">
        <v>0</v>
      </c>
      <c r="B5997" s="11" t="str">
        <f>IF(D5997&lt;&gt;"",IF(COUNTIF('USPTO TMs'!A:A,D5997)&gt;0,"Yes","No"),"")</f>
        <v/>
      </c>
      <c r="C5997" s="11"/>
      <c r="D5997" s="11"/>
      <c r="E5997" s="11"/>
      <c r="F5997" s="11"/>
      <c r="G5997" s="11"/>
      <c r="H5997" s="11"/>
      <c r="I5997" s="15"/>
    </row>
    <row r="5998" spans="1:9" ht="16.5">
      <c r="A5998" s="10" t="b">
        <v>0</v>
      </c>
      <c r="B5998" s="11" t="str">
        <f>IF(D5998&lt;&gt;"",IF(COUNTIF('USPTO TMs'!A:A,D5998)&gt;0,"Yes","No"),"")</f>
        <v/>
      </c>
      <c r="C5998" s="11"/>
      <c r="D5998" s="11"/>
      <c r="E5998" s="11"/>
      <c r="F5998" s="11"/>
      <c r="G5998" s="11"/>
      <c r="H5998" s="11"/>
      <c r="I5998" s="15"/>
    </row>
    <row r="5999" spans="1:9" ht="16.5">
      <c r="A5999" s="10" t="b">
        <v>0</v>
      </c>
      <c r="B5999" s="11" t="str">
        <f>IF(D5999&lt;&gt;"",IF(COUNTIF('USPTO TMs'!A:A,D5999)&gt;0,"Yes","No"),"")</f>
        <v/>
      </c>
      <c r="C5999" s="11"/>
      <c r="D5999" s="11"/>
      <c r="E5999" s="11"/>
      <c r="F5999" s="11"/>
      <c r="G5999" s="11"/>
      <c r="H5999" s="11"/>
      <c r="I5999" s="15"/>
    </row>
    <row r="6000" spans="1:9" ht="16.5">
      <c r="A6000" s="10" t="b">
        <v>0</v>
      </c>
      <c r="B6000" s="11" t="str">
        <f>IF(D6000&lt;&gt;"",IF(COUNTIF('USPTO TMs'!A:A,D6000)&gt;0,"Yes","No"),"")</f>
        <v/>
      </c>
      <c r="C6000" s="11"/>
      <c r="D6000" s="11"/>
      <c r="E6000" s="11"/>
      <c r="F6000" s="11"/>
      <c r="G6000" s="11"/>
      <c r="H6000" s="11"/>
      <c r="I6000" s="15"/>
    </row>
    <row r="6001" spans="1:9" ht="16.5">
      <c r="A6001" s="10" t="b">
        <v>0</v>
      </c>
      <c r="B6001" s="11" t="str">
        <f>IF(D6001&lt;&gt;"",IF(COUNTIF('USPTO TMs'!A:A,D6001)&gt;0,"Yes","No"),"")</f>
        <v/>
      </c>
      <c r="C6001" s="11"/>
      <c r="D6001" s="11"/>
      <c r="E6001" s="11"/>
      <c r="F6001" s="11"/>
      <c r="G6001" s="11"/>
      <c r="H6001" s="11"/>
      <c r="I6001" s="15"/>
    </row>
    <row r="6002" spans="1:9" ht="16.5">
      <c r="A6002" s="10" t="b">
        <v>0</v>
      </c>
      <c r="B6002" s="11" t="str">
        <f>IF(D6002&lt;&gt;"",IF(COUNTIF('USPTO TMs'!A:A,D6002)&gt;0,"Yes","No"),"")</f>
        <v/>
      </c>
      <c r="C6002" s="11"/>
      <c r="D6002" s="11"/>
      <c r="E6002" s="11"/>
      <c r="F6002" s="11"/>
      <c r="G6002" s="11"/>
      <c r="H6002" s="11"/>
      <c r="I6002" s="15"/>
    </row>
    <row r="6003" spans="1:9" ht="16.5">
      <c r="A6003" s="10" t="b">
        <v>0</v>
      </c>
      <c r="B6003" s="11" t="str">
        <f>IF(D6003&lt;&gt;"",IF(COUNTIF('USPTO TMs'!A:A,D6003)&gt;0,"Yes","No"),"")</f>
        <v/>
      </c>
      <c r="C6003" s="11"/>
      <c r="D6003" s="11"/>
      <c r="E6003" s="11"/>
      <c r="F6003" s="11"/>
      <c r="G6003" s="11"/>
      <c r="H6003" s="11"/>
      <c r="I6003" s="15"/>
    </row>
    <row r="6004" spans="1:9" ht="16.5">
      <c r="A6004" s="10" t="b">
        <v>0</v>
      </c>
      <c r="B6004" s="11" t="str">
        <f>IF(D6004&lt;&gt;"",IF(COUNTIF('USPTO TMs'!A:A,D6004)&gt;0,"Yes","No"),"")</f>
        <v/>
      </c>
      <c r="C6004" s="11"/>
      <c r="D6004" s="11"/>
      <c r="E6004" s="11"/>
      <c r="F6004" s="11"/>
      <c r="G6004" s="11"/>
      <c r="H6004" s="11"/>
      <c r="I6004" s="15"/>
    </row>
    <row r="6005" spans="1:9" ht="16.5">
      <c r="A6005" s="10" t="b">
        <v>0</v>
      </c>
      <c r="B6005" s="11" t="str">
        <f>IF(D6005&lt;&gt;"",IF(COUNTIF('USPTO TMs'!A:A,D6005)&gt;0,"Yes","No"),"")</f>
        <v/>
      </c>
      <c r="C6005" s="11"/>
      <c r="D6005" s="11"/>
      <c r="E6005" s="11"/>
      <c r="F6005" s="11"/>
      <c r="G6005" s="11"/>
      <c r="H6005" s="11"/>
      <c r="I6005" s="15"/>
    </row>
    <row r="6006" spans="1:9" ht="16.5">
      <c r="A6006" s="10" t="b">
        <v>0</v>
      </c>
      <c r="B6006" s="11" t="str">
        <f>IF(D6006&lt;&gt;"",IF(COUNTIF('USPTO TMs'!A:A,D6006)&gt;0,"Yes","No"),"")</f>
        <v/>
      </c>
      <c r="C6006" s="11"/>
      <c r="D6006" s="11"/>
      <c r="E6006" s="11"/>
      <c r="F6006" s="11"/>
      <c r="G6006" s="11"/>
      <c r="H6006" s="11"/>
      <c r="I6006" s="15"/>
    </row>
    <row r="6007" spans="1:9" ht="16.5">
      <c r="A6007" s="10" t="b">
        <v>0</v>
      </c>
      <c r="B6007" s="11" t="str">
        <f>IF(D6007&lt;&gt;"",IF(COUNTIF('USPTO TMs'!A:A,D6007)&gt;0,"Yes","No"),"")</f>
        <v/>
      </c>
      <c r="C6007" s="11"/>
      <c r="D6007" s="11"/>
      <c r="E6007" s="11"/>
      <c r="F6007" s="11"/>
      <c r="G6007" s="11"/>
      <c r="H6007" s="11"/>
      <c r="I6007" s="15"/>
    </row>
    <row r="6008" spans="1:9" ht="16.5">
      <c r="A6008" s="10" t="b">
        <v>0</v>
      </c>
      <c r="B6008" s="11" t="str">
        <f>IF(D6008&lt;&gt;"",IF(COUNTIF('USPTO TMs'!A:A,D6008)&gt;0,"Yes","No"),"")</f>
        <v/>
      </c>
      <c r="C6008" s="11"/>
      <c r="D6008" s="11"/>
      <c r="E6008" s="11"/>
      <c r="F6008" s="11"/>
      <c r="G6008" s="11"/>
      <c r="H6008" s="11"/>
      <c r="I6008" s="15"/>
    </row>
    <row r="6009" spans="1:9" ht="16.5">
      <c r="A6009" s="10" t="b">
        <v>0</v>
      </c>
      <c r="B6009" s="11" t="str">
        <f>IF(D6009&lt;&gt;"",IF(COUNTIF('USPTO TMs'!A:A,D6009)&gt;0,"Yes","No"),"")</f>
        <v/>
      </c>
      <c r="C6009" s="11"/>
      <c r="D6009" s="11"/>
      <c r="E6009" s="11"/>
      <c r="F6009" s="11"/>
      <c r="G6009" s="11"/>
      <c r="H6009" s="11"/>
      <c r="I6009" s="15"/>
    </row>
    <row r="6010" spans="1:9" ht="16.5">
      <c r="A6010" s="10" t="b">
        <v>0</v>
      </c>
      <c r="B6010" s="11" t="str">
        <f>IF(D6010&lt;&gt;"",IF(COUNTIF('USPTO TMs'!A:A,D6010)&gt;0,"Yes","No"),"")</f>
        <v/>
      </c>
      <c r="C6010" s="11"/>
      <c r="D6010" s="11"/>
      <c r="E6010" s="11"/>
      <c r="F6010" s="11"/>
      <c r="G6010" s="11"/>
      <c r="H6010" s="11"/>
      <c r="I6010" s="15"/>
    </row>
    <row r="6011" spans="1:9" ht="16.5">
      <c r="A6011" s="10" t="b">
        <v>0</v>
      </c>
      <c r="B6011" s="11" t="str">
        <f>IF(D6011&lt;&gt;"",IF(COUNTIF('USPTO TMs'!A:A,D6011)&gt;0,"Yes","No"),"")</f>
        <v/>
      </c>
      <c r="C6011" s="11"/>
      <c r="D6011" s="11"/>
      <c r="E6011" s="11"/>
      <c r="F6011" s="11"/>
      <c r="G6011" s="11"/>
      <c r="H6011" s="11"/>
      <c r="I6011" s="15"/>
    </row>
    <row r="6012" spans="1:9" ht="16.5">
      <c r="A6012" s="10" t="b">
        <v>0</v>
      </c>
      <c r="B6012" s="11" t="str">
        <f>IF(D6012&lt;&gt;"",IF(COUNTIF('USPTO TMs'!A:A,D6012)&gt;0,"Yes","No"),"")</f>
        <v/>
      </c>
      <c r="C6012" s="11"/>
      <c r="D6012" s="11"/>
      <c r="E6012" s="11"/>
      <c r="F6012" s="11"/>
      <c r="G6012" s="11"/>
      <c r="H6012" s="11"/>
      <c r="I6012" s="15"/>
    </row>
    <row r="6013" spans="1:9" ht="16.5">
      <c r="A6013" s="10" t="b">
        <v>0</v>
      </c>
      <c r="B6013" s="11" t="str">
        <f>IF(D6013&lt;&gt;"",IF(COUNTIF('USPTO TMs'!A:A,D6013)&gt;0,"Yes","No"),"")</f>
        <v/>
      </c>
      <c r="C6013" s="11"/>
      <c r="D6013" s="11"/>
      <c r="E6013" s="11"/>
      <c r="F6013" s="11"/>
      <c r="G6013" s="11"/>
      <c r="H6013" s="11"/>
      <c r="I6013" s="15"/>
    </row>
    <row r="6014" spans="1:9" ht="16.5">
      <c r="A6014" s="10" t="b">
        <v>0</v>
      </c>
      <c r="B6014" s="11" t="str">
        <f>IF(D6014&lt;&gt;"",IF(COUNTIF('USPTO TMs'!A:A,D6014)&gt;0,"Yes","No"),"")</f>
        <v/>
      </c>
      <c r="C6014" s="11"/>
      <c r="D6014" s="11"/>
      <c r="E6014" s="11"/>
      <c r="F6014" s="11"/>
      <c r="G6014" s="11"/>
      <c r="H6014" s="11"/>
      <c r="I6014" s="15"/>
    </row>
    <row r="6015" spans="1:9" ht="16.5">
      <c r="A6015" s="10" t="b">
        <v>0</v>
      </c>
      <c r="B6015" s="11" t="str">
        <f>IF(D6015&lt;&gt;"",IF(COUNTIF('USPTO TMs'!A:A,D6015)&gt;0,"Yes","No"),"")</f>
        <v/>
      </c>
      <c r="C6015" s="11"/>
      <c r="D6015" s="11"/>
      <c r="E6015" s="11"/>
      <c r="F6015" s="11"/>
      <c r="G6015" s="11"/>
      <c r="H6015" s="11"/>
      <c r="I6015" s="15"/>
    </row>
    <row r="6016" spans="1:9" ht="16.5">
      <c r="A6016" s="10" t="b">
        <v>0</v>
      </c>
      <c r="B6016" s="11" t="str">
        <f>IF(D6016&lt;&gt;"",IF(COUNTIF('USPTO TMs'!A:A,D6016)&gt;0,"Yes","No"),"")</f>
        <v/>
      </c>
      <c r="C6016" s="11"/>
      <c r="D6016" s="11"/>
      <c r="E6016" s="11"/>
      <c r="F6016" s="11"/>
      <c r="G6016" s="11"/>
      <c r="H6016" s="11"/>
      <c r="I6016" s="15"/>
    </row>
    <row r="6017" spans="1:9" ht="16.5">
      <c r="A6017" s="10" t="b">
        <v>0</v>
      </c>
      <c r="B6017" s="11" t="str">
        <f>IF(D6017&lt;&gt;"",IF(COUNTIF('USPTO TMs'!A:A,D6017)&gt;0,"Yes","No"),"")</f>
        <v/>
      </c>
      <c r="C6017" s="11"/>
      <c r="D6017" s="11"/>
      <c r="E6017" s="11"/>
      <c r="F6017" s="11"/>
      <c r="G6017" s="11"/>
      <c r="H6017" s="11"/>
      <c r="I6017" s="15"/>
    </row>
    <row r="6018" spans="1:9" ht="16.5">
      <c r="A6018" s="10" t="b">
        <v>0</v>
      </c>
      <c r="B6018" s="11" t="str">
        <f>IF(D6018&lt;&gt;"",IF(COUNTIF('USPTO TMs'!A:A,D6018)&gt;0,"Yes","No"),"")</f>
        <v/>
      </c>
      <c r="C6018" s="11"/>
      <c r="D6018" s="11"/>
      <c r="E6018" s="11"/>
      <c r="F6018" s="11"/>
      <c r="G6018" s="11"/>
      <c r="H6018" s="11"/>
      <c r="I6018" s="15"/>
    </row>
    <row r="6019" spans="1:9" ht="16.5">
      <c r="A6019" s="10" t="b">
        <v>0</v>
      </c>
      <c r="B6019" s="11" t="str">
        <f>IF(D6019&lt;&gt;"",IF(COUNTIF('USPTO TMs'!A:A,D6019)&gt;0,"Yes","No"),"")</f>
        <v/>
      </c>
      <c r="C6019" s="11"/>
      <c r="D6019" s="11"/>
      <c r="E6019" s="11"/>
      <c r="F6019" s="11"/>
      <c r="G6019" s="11"/>
      <c r="H6019" s="11"/>
      <c r="I6019" s="15"/>
    </row>
    <row r="6020" spans="1:9" ht="16.5">
      <c r="A6020" s="10" t="b">
        <v>0</v>
      </c>
      <c r="B6020" s="11" t="str">
        <f>IF(D6020&lt;&gt;"",IF(COUNTIF('USPTO TMs'!A:A,D6020)&gt;0,"Yes","No"),"")</f>
        <v/>
      </c>
      <c r="C6020" s="11"/>
      <c r="D6020" s="11"/>
      <c r="E6020" s="11"/>
      <c r="F6020" s="11"/>
      <c r="G6020" s="11"/>
      <c r="H6020" s="11"/>
      <c r="I6020" s="15"/>
    </row>
    <row r="6021" spans="1:9" ht="16.5">
      <c r="A6021" s="10" t="b">
        <v>0</v>
      </c>
      <c r="B6021" s="11" t="str">
        <f>IF(D6021&lt;&gt;"",IF(COUNTIF('USPTO TMs'!A:A,D6021)&gt;0,"Yes","No"),"")</f>
        <v/>
      </c>
      <c r="C6021" s="11"/>
      <c r="D6021" s="11"/>
      <c r="E6021" s="11"/>
      <c r="F6021" s="11"/>
      <c r="G6021" s="11"/>
      <c r="H6021" s="11"/>
      <c r="I6021" s="15"/>
    </row>
    <row r="6022" spans="1:9" ht="16.5">
      <c r="A6022" s="10" t="b">
        <v>0</v>
      </c>
      <c r="B6022" s="11" t="str">
        <f>IF(D6022&lt;&gt;"",IF(COUNTIF('USPTO TMs'!A:A,D6022)&gt;0,"Yes","No"),"")</f>
        <v/>
      </c>
      <c r="C6022" s="11"/>
      <c r="D6022" s="11"/>
      <c r="E6022" s="11"/>
      <c r="F6022" s="11"/>
      <c r="G6022" s="11"/>
      <c r="H6022" s="11"/>
      <c r="I6022" s="15"/>
    </row>
    <row r="6023" spans="1:9" ht="16.5">
      <c r="A6023" s="10" t="b">
        <v>0</v>
      </c>
      <c r="B6023" s="11" t="str">
        <f>IF(D6023&lt;&gt;"",IF(COUNTIF('USPTO TMs'!A:A,D6023)&gt;0,"Yes","No"),"")</f>
        <v/>
      </c>
      <c r="C6023" s="11"/>
      <c r="D6023" s="11"/>
      <c r="E6023" s="11"/>
      <c r="F6023" s="11"/>
      <c r="G6023" s="11"/>
      <c r="H6023" s="11"/>
      <c r="I6023" s="15"/>
    </row>
    <row r="6024" spans="1:9" ht="16.5">
      <c r="A6024" s="10" t="b">
        <v>0</v>
      </c>
      <c r="B6024" s="11" t="str">
        <f>IF(D6024&lt;&gt;"",IF(COUNTIF('USPTO TMs'!A:A,D6024)&gt;0,"Yes","No"),"")</f>
        <v/>
      </c>
      <c r="C6024" s="11"/>
      <c r="D6024" s="11"/>
      <c r="E6024" s="11"/>
      <c r="F6024" s="11"/>
      <c r="G6024" s="11"/>
      <c r="H6024" s="11"/>
      <c r="I6024" s="15"/>
    </row>
    <row r="6025" spans="1:9" ht="16.5">
      <c r="A6025" s="10" t="b">
        <v>0</v>
      </c>
      <c r="B6025" s="11" t="str">
        <f>IF(D6025&lt;&gt;"",IF(COUNTIF('USPTO TMs'!A:A,D6025)&gt;0,"Yes","No"),"")</f>
        <v/>
      </c>
      <c r="C6025" s="11"/>
      <c r="D6025" s="11"/>
      <c r="E6025" s="11"/>
      <c r="F6025" s="11"/>
      <c r="G6025" s="11"/>
      <c r="H6025" s="11"/>
      <c r="I6025" s="15"/>
    </row>
    <row r="6026" spans="1:9" ht="16.5">
      <c r="A6026" s="10" t="b">
        <v>0</v>
      </c>
      <c r="B6026" s="11" t="str">
        <f>IF(D6026&lt;&gt;"",IF(COUNTIF('USPTO TMs'!A:A,D6026)&gt;0,"Yes","No"),"")</f>
        <v/>
      </c>
      <c r="C6026" s="11"/>
      <c r="D6026" s="11"/>
      <c r="E6026" s="11"/>
      <c r="F6026" s="11"/>
      <c r="G6026" s="11"/>
      <c r="H6026" s="11"/>
      <c r="I6026" s="15"/>
    </row>
    <row r="6027" spans="1:9" ht="16.5">
      <c r="A6027" s="10" t="b">
        <v>0</v>
      </c>
      <c r="B6027" s="11" t="str">
        <f>IF(D6027&lt;&gt;"",IF(COUNTIF('USPTO TMs'!A:A,D6027)&gt;0,"Yes","No"),"")</f>
        <v/>
      </c>
      <c r="C6027" s="11"/>
      <c r="D6027" s="11"/>
      <c r="E6027" s="11"/>
      <c r="F6027" s="11"/>
      <c r="G6027" s="11"/>
      <c r="H6027" s="11"/>
      <c r="I6027" s="15"/>
    </row>
    <row r="6028" spans="1:9" ht="16.5">
      <c r="A6028" s="10" t="b">
        <v>0</v>
      </c>
      <c r="B6028" s="11" t="str">
        <f>IF(D6028&lt;&gt;"",IF(COUNTIF('USPTO TMs'!A:A,D6028)&gt;0,"Yes","No"),"")</f>
        <v/>
      </c>
      <c r="C6028" s="11"/>
      <c r="D6028" s="11"/>
      <c r="E6028" s="11"/>
      <c r="F6028" s="11"/>
      <c r="G6028" s="11"/>
      <c r="H6028" s="11"/>
      <c r="I6028" s="15"/>
    </row>
    <row r="6029" spans="1:9" ht="16.5">
      <c r="A6029" s="10" t="b">
        <v>0</v>
      </c>
      <c r="B6029" s="11" t="str">
        <f>IF(D6029&lt;&gt;"",IF(COUNTIF('USPTO TMs'!A:A,D6029)&gt;0,"Yes","No"),"")</f>
        <v/>
      </c>
      <c r="C6029" s="11"/>
      <c r="D6029" s="11"/>
      <c r="E6029" s="11"/>
      <c r="F6029" s="11"/>
      <c r="G6029" s="11"/>
      <c r="H6029" s="11"/>
      <c r="I6029" s="15"/>
    </row>
    <row r="6030" spans="1:9" ht="16.5">
      <c r="A6030" s="10" t="b">
        <v>0</v>
      </c>
      <c r="B6030" s="11" t="str">
        <f>IF(D6030&lt;&gt;"",IF(COUNTIF('USPTO TMs'!A:A,D6030)&gt;0,"Yes","No"),"")</f>
        <v/>
      </c>
      <c r="C6030" s="11"/>
      <c r="D6030" s="11"/>
      <c r="E6030" s="11"/>
      <c r="F6030" s="11"/>
      <c r="G6030" s="11"/>
      <c r="H6030" s="11"/>
      <c r="I6030" s="15"/>
    </row>
    <row r="6031" spans="1:9" ht="16.5">
      <c r="A6031" s="10" t="b">
        <v>0</v>
      </c>
      <c r="B6031" s="11" t="str">
        <f>IF(D6031&lt;&gt;"",IF(COUNTIF('USPTO TMs'!A:A,D6031)&gt;0,"Yes","No"),"")</f>
        <v/>
      </c>
      <c r="C6031" s="11"/>
      <c r="D6031" s="11"/>
      <c r="E6031" s="11"/>
      <c r="F6031" s="11"/>
      <c r="G6031" s="11"/>
      <c r="H6031" s="11"/>
      <c r="I6031" s="15"/>
    </row>
    <row r="6032" spans="1:9" ht="16.5">
      <c r="A6032" s="10" t="b">
        <v>0</v>
      </c>
      <c r="B6032" s="11" t="str">
        <f>IF(D6032&lt;&gt;"",IF(COUNTIF('USPTO TMs'!A:A,D6032)&gt;0,"Yes","No"),"")</f>
        <v/>
      </c>
      <c r="C6032" s="11"/>
      <c r="D6032" s="11"/>
      <c r="E6032" s="11"/>
      <c r="F6032" s="11"/>
      <c r="G6032" s="11"/>
      <c r="H6032" s="11"/>
      <c r="I6032" s="15"/>
    </row>
    <row r="6033" spans="1:9" ht="16.5">
      <c r="A6033" s="10" t="b">
        <v>0</v>
      </c>
      <c r="B6033" s="11" t="str">
        <f>IF(D6033&lt;&gt;"",IF(COUNTIF('USPTO TMs'!A:A,D6033)&gt;0,"Yes","No"),"")</f>
        <v/>
      </c>
      <c r="C6033" s="11"/>
      <c r="D6033" s="11"/>
      <c r="E6033" s="11"/>
      <c r="F6033" s="11"/>
      <c r="G6033" s="11"/>
      <c r="H6033" s="11"/>
      <c r="I6033" s="15"/>
    </row>
    <row r="6034" spans="1:9" ht="16.5">
      <c r="A6034" s="10" t="b">
        <v>0</v>
      </c>
      <c r="B6034" s="11" t="str">
        <f>IF(D6034&lt;&gt;"",IF(COUNTIF('USPTO TMs'!A:A,D6034)&gt;0,"Yes","No"),"")</f>
        <v/>
      </c>
      <c r="C6034" s="11"/>
      <c r="D6034" s="11"/>
      <c r="E6034" s="11"/>
      <c r="F6034" s="11"/>
      <c r="G6034" s="11"/>
      <c r="H6034" s="11"/>
      <c r="I6034" s="15"/>
    </row>
    <row r="6035" spans="1:9" ht="16.5">
      <c r="A6035" s="10" t="b">
        <v>0</v>
      </c>
      <c r="B6035" s="11" t="str">
        <f>IF(D6035&lt;&gt;"",IF(COUNTIF('USPTO TMs'!A:A,D6035)&gt;0,"Yes","No"),"")</f>
        <v/>
      </c>
      <c r="C6035" s="11"/>
      <c r="D6035" s="11"/>
      <c r="E6035" s="11"/>
      <c r="F6035" s="11"/>
      <c r="G6035" s="11"/>
      <c r="H6035" s="11"/>
      <c r="I6035" s="15"/>
    </row>
    <row r="6036" spans="1:9" ht="16.5">
      <c r="A6036" s="10" t="b">
        <v>0</v>
      </c>
      <c r="B6036" s="11" t="str">
        <f>IF(D6036&lt;&gt;"",IF(COUNTIF('USPTO TMs'!A:A,D6036)&gt;0,"Yes","No"),"")</f>
        <v/>
      </c>
      <c r="C6036" s="11"/>
      <c r="D6036" s="11"/>
      <c r="E6036" s="11"/>
      <c r="F6036" s="11"/>
      <c r="G6036" s="11"/>
      <c r="H6036" s="11"/>
      <c r="I6036" s="15"/>
    </row>
    <row r="6037" spans="1:9" ht="16.5">
      <c r="A6037" s="10" t="b">
        <v>0</v>
      </c>
      <c r="B6037" s="11" t="str">
        <f>IF(D6037&lt;&gt;"",IF(COUNTIF('USPTO TMs'!A:A,D6037)&gt;0,"Yes","No"),"")</f>
        <v/>
      </c>
      <c r="C6037" s="11"/>
      <c r="D6037" s="11"/>
      <c r="E6037" s="11"/>
      <c r="F6037" s="11"/>
      <c r="G6037" s="11"/>
      <c r="H6037" s="11"/>
      <c r="I6037" s="15"/>
    </row>
    <row r="6038" spans="1:9" ht="16.5">
      <c r="A6038" s="10" t="b">
        <v>0</v>
      </c>
      <c r="B6038" s="11" t="str">
        <f>IF(D6038&lt;&gt;"",IF(COUNTIF('USPTO TMs'!A:A,D6038)&gt;0,"Yes","No"),"")</f>
        <v/>
      </c>
      <c r="C6038" s="11"/>
      <c r="D6038" s="11"/>
      <c r="E6038" s="11"/>
      <c r="F6038" s="11"/>
      <c r="G6038" s="11"/>
      <c r="H6038" s="11"/>
      <c r="I6038" s="15"/>
    </row>
    <row r="6039" spans="1:9" ht="16.5">
      <c r="A6039" s="10" t="b">
        <v>0</v>
      </c>
      <c r="B6039" s="11" t="str">
        <f>IF(D6039&lt;&gt;"",IF(COUNTIF('USPTO TMs'!A:A,D6039)&gt;0,"Yes","No"),"")</f>
        <v/>
      </c>
      <c r="C6039" s="11"/>
      <c r="D6039" s="11"/>
      <c r="E6039" s="11"/>
      <c r="F6039" s="11"/>
      <c r="G6039" s="11"/>
      <c r="H6039" s="11"/>
      <c r="I6039" s="15"/>
    </row>
    <row r="6040" spans="1:9" ht="16.5">
      <c r="A6040" s="10" t="b">
        <v>0</v>
      </c>
      <c r="B6040" s="11" t="str">
        <f>IF(D6040&lt;&gt;"",IF(COUNTIF('USPTO TMs'!A:A,D6040)&gt;0,"Yes","No"),"")</f>
        <v/>
      </c>
      <c r="C6040" s="11"/>
      <c r="D6040" s="11"/>
      <c r="E6040" s="11"/>
      <c r="F6040" s="11"/>
      <c r="G6040" s="11"/>
      <c r="H6040" s="11"/>
      <c r="I6040" s="15"/>
    </row>
    <row r="6041" spans="1:9" ht="16.5">
      <c r="A6041" s="10" t="b">
        <v>0</v>
      </c>
      <c r="B6041" s="11" t="str">
        <f>IF(D6041&lt;&gt;"",IF(COUNTIF('USPTO TMs'!A:A,D6041)&gt;0,"Yes","No"),"")</f>
        <v/>
      </c>
      <c r="C6041" s="11"/>
      <c r="D6041" s="11"/>
      <c r="E6041" s="11"/>
      <c r="F6041" s="11"/>
      <c r="G6041" s="11"/>
      <c r="H6041" s="11"/>
      <c r="I6041" s="15"/>
    </row>
    <row r="6042" spans="1:9" ht="16.5">
      <c r="A6042" s="10" t="b">
        <v>0</v>
      </c>
      <c r="B6042" s="11" t="str">
        <f>IF(D6042&lt;&gt;"",IF(COUNTIF('USPTO TMs'!A:A,D6042)&gt;0,"Yes","No"),"")</f>
        <v/>
      </c>
      <c r="C6042" s="11"/>
      <c r="D6042" s="11"/>
      <c r="E6042" s="11"/>
      <c r="F6042" s="11"/>
      <c r="G6042" s="11"/>
      <c r="H6042" s="11"/>
      <c r="I6042" s="15"/>
    </row>
    <row r="6043" spans="1:9" ht="16.5">
      <c r="A6043" s="10" t="b">
        <v>0</v>
      </c>
      <c r="B6043" s="11" t="str">
        <f>IF(D6043&lt;&gt;"",IF(COUNTIF('USPTO TMs'!A:A,D6043)&gt;0,"Yes","No"),"")</f>
        <v/>
      </c>
      <c r="C6043" s="11"/>
      <c r="D6043" s="11"/>
      <c r="E6043" s="11"/>
      <c r="F6043" s="11"/>
      <c r="G6043" s="11"/>
      <c r="H6043" s="11"/>
      <c r="I6043" s="15"/>
    </row>
    <row r="6044" spans="1:9" ht="16.5">
      <c r="A6044" s="10" t="b">
        <v>0</v>
      </c>
      <c r="B6044" s="11" t="str">
        <f>IF(D6044&lt;&gt;"",IF(COUNTIF('USPTO TMs'!A:A,D6044)&gt;0,"Yes","No"),"")</f>
        <v/>
      </c>
      <c r="C6044" s="11"/>
      <c r="D6044" s="11"/>
      <c r="E6044" s="11"/>
      <c r="F6044" s="11"/>
      <c r="G6044" s="11"/>
      <c r="H6044" s="11"/>
      <c r="I6044" s="15"/>
    </row>
    <row r="6045" spans="1:9" ht="16.5">
      <c r="A6045" s="10" t="b">
        <v>0</v>
      </c>
      <c r="B6045" s="11" t="str">
        <f>IF(D6045&lt;&gt;"",IF(COUNTIF('USPTO TMs'!A:A,D6045)&gt;0,"Yes","No"),"")</f>
        <v/>
      </c>
      <c r="C6045" s="11"/>
      <c r="D6045" s="11"/>
      <c r="E6045" s="11"/>
      <c r="F6045" s="11"/>
      <c r="G6045" s="11"/>
      <c r="H6045" s="11"/>
      <c r="I6045" s="15"/>
    </row>
    <row r="6046" spans="1:9" ht="16.5">
      <c r="A6046" s="10" t="b">
        <v>0</v>
      </c>
      <c r="B6046" s="11" t="str">
        <f>IF(D6046&lt;&gt;"",IF(COUNTIF('USPTO TMs'!A:A,D6046)&gt;0,"Yes","No"),"")</f>
        <v/>
      </c>
      <c r="C6046" s="11"/>
      <c r="D6046" s="11"/>
      <c r="E6046" s="11"/>
      <c r="F6046" s="11"/>
      <c r="G6046" s="11"/>
      <c r="H6046" s="11"/>
      <c r="I6046" s="15"/>
    </row>
    <row r="6047" spans="1:9" ht="16.5">
      <c r="A6047" s="10" t="b">
        <v>0</v>
      </c>
      <c r="B6047" s="11" t="str">
        <f>IF(D6047&lt;&gt;"",IF(COUNTIF('USPTO TMs'!A:A,D6047)&gt;0,"Yes","No"),"")</f>
        <v/>
      </c>
      <c r="C6047" s="11"/>
      <c r="D6047" s="11"/>
      <c r="E6047" s="11"/>
      <c r="F6047" s="11"/>
      <c r="G6047" s="11"/>
      <c r="H6047" s="11"/>
      <c r="I6047" s="15"/>
    </row>
    <row r="6048" spans="1:9" ht="16.5">
      <c r="A6048" s="10" t="b">
        <v>0</v>
      </c>
      <c r="B6048" s="11" t="str">
        <f>IF(D6048&lt;&gt;"",IF(COUNTIF('USPTO TMs'!A:A,D6048)&gt;0,"Yes","No"),"")</f>
        <v/>
      </c>
      <c r="C6048" s="11"/>
      <c r="D6048" s="11"/>
      <c r="E6048" s="11"/>
      <c r="F6048" s="11"/>
      <c r="G6048" s="11"/>
      <c r="H6048" s="11"/>
      <c r="I6048" s="15"/>
    </row>
    <row r="6049" spans="1:9" ht="16.5">
      <c r="A6049" s="10" t="b">
        <v>0</v>
      </c>
      <c r="B6049" s="11" t="str">
        <f>IF(D6049&lt;&gt;"",IF(COUNTIF('USPTO TMs'!A:A,D6049)&gt;0,"Yes","No"),"")</f>
        <v/>
      </c>
      <c r="C6049" s="11"/>
      <c r="D6049" s="11"/>
      <c r="E6049" s="11"/>
      <c r="F6049" s="11"/>
      <c r="G6049" s="11"/>
      <c r="H6049" s="11"/>
      <c r="I6049" s="15"/>
    </row>
    <row r="6050" spans="1:9" ht="16.5">
      <c r="A6050" s="10" t="b">
        <v>0</v>
      </c>
      <c r="B6050" s="11" t="str">
        <f>IF(D6050&lt;&gt;"",IF(COUNTIF('USPTO TMs'!A:A,D6050)&gt;0,"Yes","No"),"")</f>
        <v/>
      </c>
      <c r="C6050" s="11"/>
      <c r="D6050" s="11"/>
      <c r="E6050" s="11"/>
      <c r="F6050" s="11"/>
      <c r="G6050" s="11"/>
      <c r="H6050" s="11"/>
      <c r="I6050" s="15"/>
    </row>
    <row r="6051" spans="1:9" ht="16.5">
      <c r="A6051" s="10" t="b">
        <v>0</v>
      </c>
      <c r="B6051" s="11" t="str">
        <f>IF(D6051&lt;&gt;"",IF(COUNTIF('USPTO TMs'!A:A,D6051)&gt;0,"Yes","No"),"")</f>
        <v/>
      </c>
      <c r="C6051" s="11"/>
      <c r="D6051" s="11"/>
      <c r="E6051" s="11"/>
      <c r="F6051" s="11"/>
      <c r="G6051" s="11"/>
      <c r="H6051" s="11"/>
      <c r="I6051" s="15"/>
    </row>
    <row r="6052" spans="1:9" ht="16.5">
      <c r="A6052" s="10" t="b">
        <v>0</v>
      </c>
      <c r="B6052" s="11" t="str">
        <f>IF(D6052&lt;&gt;"",IF(COUNTIF('USPTO TMs'!A:A,D6052)&gt;0,"Yes","No"),"")</f>
        <v/>
      </c>
      <c r="C6052" s="11"/>
      <c r="D6052" s="11"/>
      <c r="E6052" s="11"/>
      <c r="F6052" s="11"/>
      <c r="G6052" s="11"/>
      <c r="H6052" s="11"/>
      <c r="I6052" s="15"/>
    </row>
    <row r="6053" spans="1:9" ht="16.5">
      <c r="A6053" s="10" t="b">
        <v>0</v>
      </c>
      <c r="B6053" s="11" t="str">
        <f>IF(D6053&lt;&gt;"",IF(COUNTIF('USPTO TMs'!A:A,D6053)&gt;0,"Yes","No"),"")</f>
        <v/>
      </c>
      <c r="C6053" s="11"/>
      <c r="D6053" s="11"/>
      <c r="E6053" s="11"/>
      <c r="F6053" s="11"/>
      <c r="G6053" s="11"/>
      <c r="H6053" s="11"/>
      <c r="I6053" s="15"/>
    </row>
    <row r="6054" spans="1:9" ht="16.5">
      <c r="A6054" s="10" t="b">
        <v>0</v>
      </c>
      <c r="B6054" s="11" t="str">
        <f>IF(D6054&lt;&gt;"",IF(COUNTIF('USPTO TMs'!A:A,D6054)&gt;0,"Yes","No"),"")</f>
        <v/>
      </c>
      <c r="C6054" s="11"/>
      <c r="D6054" s="11"/>
      <c r="E6054" s="11"/>
      <c r="F6054" s="11"/>
      <c r="G6054" s="11"/>
      <c r="H6054" s="11"/>
      <c r="I6054" s="15"/>
    </row>
    <row r="6055" spans="1:9" ht="16.5">
      <c r="A6055" s="10" t="b">
        <v>0</v>
      </c>
      <c r="B6055" s="11" t="str">
        <f>IF(D6055&lt;&gt;"",IF(COUNTIF('USPTO TMs'!A:A,D6055)&gt;0,"Yes","No"),"")</f>
        <v/>
      </c>
      <c r="C6055" s="11"/>
      <c r="D6055" s="11"/>
      <c r="E6055" s="11"/>
      <c r="F6055" s="11"/>
      <c r="G6055" s="11"/>
      <c r="H6055" s="11"/>
      <c r="I6055" s="15"/>
    </row>
    <row r="6056" spans="1:9" ht="16.5">
      <c r="A6056" s="10" t="b">
        <v>0</v>
      </c>
      <c r="B6056" s="11" t="str">
        <f>IF(D6056&lt;&gt;"",IF(COUNTIF('USPTO TMs'!A:A,D6056)&gt;0,"Yes","No"),"")</f>
        <v/>
      </c>
      <c r="C6056" s="11"/>
      <c r="D6056" s="11"/>
      <c r="E6056" s="11"/>
      <c r="F6056" s="11"/>
      <c r="G6056" s="11"/>
      <c r="H6056" s="11"/>
      <c r="I6056" s="15"/>
    </row>
    <row r="6057" spans="1:9" ht="16.5">
      <c r="A6057" s="10" t="b">
        <v>0</v>
      </c>
      <c r="B6057" s="11" t="str">
        <f>IF(D6057&lt;&gt;"",IF(COUNTIF('USPTO TMs'!A:A,D6057)&gt;0,"Yes","No"),"")</f>
        <v/>
      </c>
      <c r="C6057" s="11"/>
      <c r="D6057" s="11"/>
      <c r="E6057" s="11"/>
      <c r="F6057" s="11"/>
      <c r="G6057" s="11"/>
      <c r="H6057" s="11"/>
      <c r="I6057" s="15"/>
    </row>
    <row r="6058" spans="1:9" ht="16.5">
      <c r="A6058" s="10" t="b">
        <v>0</v>
      </c>
      <c r="B6058" s="11" t="str">
        <f>IF(D6058&lt;&gt;"",IF(COUNTIF('USPTO TMs'!A:A,D6058)&gt;0,"Yes","No"),"")</f>
        <v/>
      </c>
      <c r="C6058" s="11"/>
      <c r="D6058" s="11"/>
      <c r="E6058" s="11"/>
      <c r="F6058" s="11"/>
      <c r="G6058" s="11"/>
      <c r="H6058" s="11"/>
      <c r="I6058" s="15"/>
    </row>
    <row r="6059" spans="1:9" ht="16.5">
      <c r="A6059" s="10" t="b">
        <v>0</v>
      </c>
      <c r="B6059" s="11" t="str">
        <f>IF(D6059&lt;&gt;"",IF(COUNTIF('USPTO TMs'!A:A,D6059)&gt;0,"Yes","No"),"")</f>
        <v/>
      </c>
      <c r="C6059" s="11"/>
      <c r="D6059" s="11"/>
      <c r="E6059" s="11"/>
      <c r="F6059" s="11"/>
      <c r="G6059" s="11"/>
      <c r="H6059" s="11"/>
      <c r="I6059" s="15"/>
    </row>
    <row r="6060" spans="1:9" ht="16.5">
      <c r="A6060" s="10" t="b">
        <v>0</v>
      </c>
      <c r="B6060" s="11" t="str">
        <f>IF(D6060&lt;&gt;"",IF(COUNTIF('USPTO TMs'!A:A,D6060)&gt;0,"Yes","No"),"")</f>
        <v/>
      </c>
      <c r="C6060" s="11"/>
      <c r="D6060" s="11"/>
      <c r="E6060" s="11"/>
      <c r="F6060" s="11"/>
      <c r="G6060" s="11"/>
      <c r="H6060" s="11"/>
      <c r="I6060" s="15"/>
    </row>
    <row r="6061" spans="1:9" ht="16.5">
      <c r="A6061" s="10" t="b">
        <v>0</v>
      </c>
      <c r="B6061" s="11" t="str">
        <f>IF(D6061&lt;&gt;"",IF(COUNTIF('USPTO TMs'!A:A,D6061)&gt;0,"Yes","No"),"")</f>
        <v/>
      </c>
      <c r="C6061" s="11"/>
      <c r="D6061" s="11"/>
      <c r="E6061" s="11"/>
      <c r="F6061" s="11"/>
      <c r="G6061" s="11"/>
      <c r="H6061" s="11"/>
      <c r="I6061" s="15"/>
    </row>
    <row r="6062" spans="1:9" ht="16.5">
      <c r="A6062" s="10" t="b">
        <v>0</v>
      </c>
      <c r="B6062" s="11" t="str">
        <f>IF(D6062&lt;&gt;"",IF(COUNTIF('USPTO TMs'!A:A,D6062)&gt;0,"Yes","No"),"")</f>
        <v/>
      </c>
      <c r="C6062" s="11"/>
      <c r="D6062" s="11"/>
      <c r="E6062" s="11"/>
      <c r="F6062" s="11"/>
      <c r="G6062" s="11"/>
      <c r="H6062" s="11"/>
      <c r="I6062" s="15"/>
    </row>
    <row r="6063" spans="1:9" ht="16.5">
      <c r="A6063" s="10" t="b">
        <v>0</v>
      </c>
      <c r="B6063" s="11" t="str">
        <f>IF(D6063&lt;&gt;"",IF(COUNTIF('USPTO TMs'!A:A,D6063)&gt;0,"Yes","No"),"")</f>
        <v/>
      </c>
      <c r="C6063" s="11"/>
      <c r="D6063" s="11"/>
      <c r="E6063" s="11"/>
      <c r="F6063" s="11"/>
      <c r="G6063" s="11"/>
      <c r="H6063" s="11"/>
      <c r="I6063" s="15"/>
    </row>
    <row r="6064" spans="1:9" ht="16.5">
      <c r="A6064" s="10" t="b">
        <v>0</v>
      </c>
      <c r="B6064" s="11" t="str">
        <f>IF(D6064&lt;&gt;"",IF(COUNTIF('USPTO TMs'!A:A,D6064)&gt;0,"Yes","No"),"")</f>
        <v/>
      </c>
      <c r="C6064" s="11"/>
      <c r="D6064" s="11"/>
      <c r="E6064" s="11"/>
      <c r="F6064" s="11"/>
      <c r="G6064" s="11"/>
      <c r="H6064" s="11"/>
      <c r="I6064" s="15"/>
    </row>
    <row r="6065" spans="1:9" ht="16.5">
      <c r="A6065" s="10" t="b">
        <v>0</v>
      </c>
      <c r="B6065" s="11" t="str">
        <f>IF(D6065&lt;&gt;"",IF(COUNTIF('USPTO TMs'!A:A,D6065)&gt;0,"Yes","No"),"")</f>
        <v/>
      </c>
      <c r="C6065" s="11"/>
      <c r="D6065" s="11"/>
      <c r="E6065" s="11"/>
      <c r="F6065" s="11"/>
      <c r="G6065" s="11"/>
      <c r="H6065" s="11"/>
      <c r="I6065" s="15"/>
    </row>
    <row r="6066" spans="1:9" ht="16.5">
      <c r="A6066" s="10" t="b">
        <v>0</v>
      </c>
      <c r="B6066" s="11" t="str">
        <f>IF(D6066&lt;&gt;"",IF(COUNTIF('USPTO TMs'!A:A,D6066)&gt;0,"Yes","No"),"")</f>
        <v/>
      </c>
      <c r="C6066" s="11"/>
      <c r="D6066" s="11"/>
      <c r="E6066" s="11"/>
      <c r="F6066" s="11"/>
      <c r="G6066" s="11"/>
      <c r="H6066" s="11"/>
      <c r="I6066" s="15"/>
    </row>
    <row r="6067" spans="1:9" ht="16.5">
      <c r="A6067" s="10" t="b">
        <v>0</v>
      </c>
      <c r="B6067" s="11" t="str">
        <f>IF(D6067&lt;&gt;"",IF(COUNTIF('USPTO TMs'!A:A,D6067)&gt;0,"Yes","No"),"")</f>
        <v/>
      </c>
      <c r="C6067" s="11"/>
      <c r="D6067" s="11"/>
      <c r="E6067" s="11"/>
      <c r="F6067" s="11"/>
      <c r="G6067" s="11"/>
      <c r="H6067" s="11"/>
      <c r="I6067" s="15"/>
    </row>
    <row r="6068" spans="1:9" ht="16.5">
      <c r="A6068" s="10" t="b">
        <v>0</v>
      </c>
      <c r="B6068" s="11" t="str">
        <f>IF(D6068&lt;&gt;"",IF(COUNTIF('USPTO TMs'!A:A,D6068)&gt;0,"Yes","No"),"")</f>
        <v/>
      </c>
      <c r="C6068" s="11"/>
      <c r="D6068" s="11"/>
      <c r="E6068" s="11"/>
      <c r="F6068" s="11"/>
      <c r="G6068" s="11"/>
      <c r="H6068" s="11"/>
      <c r="I6068" s="15"/>
    </row>
    <row r="6069" spans="1:9" ht="16.5">
      <c r="A6069" s="10" t="b">
        <v>0</v>
      </c>
      <c r="B6069" s="11" t="str">
        <f>IF(D6069&lt;&gt;"",IF(COUNTIF('USPTO TMs'!A:A,D6069)&gt;0,"Yes","No"),"")</f>
        <v/>
      </c>
      <c r="C6069" s="11"/>
      <c r="D6069" s="11"/>
      <c r="E6069" s="11"/>
      <c r="F6069" s="11"/>
      <c r="G6069" s="11"/>
      <c r="H6069" s="11"/>
      <c r="I6069" s="15"/>
    </row>
    <row r="6070" spans="1:9" ht="16.5">
      <c r="A6070" s="10" t="b">
        <v>0</v>
      </c>
      <c r="B6070" s="11" t="str">
        <f>IF(D6070&lt;&gt;"",IF(COUNTIF('USPTO TMs'!A:A,D6070)&gt;0,"Yes","No"),"")</f>
        <v/>
      </c>
      <c r="C6070" s="11"/>
      <c r="D6070" s="11"/>
      <c r="E6070" s="11"/>
      <c r="F6070" s="11"/>
      <c r="G6070" s="11"/>
      <c r="H6070" s="11"/>
      <c r="I6070" s="15"/>
    </row>
    <row r="6071" spans="1:9" ht="16.5">
      <c r="A6071" s="10" t="b">
        <v>0</v>
      </c>
      <c r="B6071" s="11" t="str">
        <f>IF(D6071&lt;&gt;"",IF(COUNTIF('USPTO TMs'!A:A,D6071)&gt;0,"Yes","No"),"")</f>
        <v/>
      </c>
      <c r="C6071" s="11"/>
      <c r="D6071" s="11"/>
      <c r="E6071" s="11"/>
      <c r="F6071" s="11"/>
      <c r="G6071" s="11"/>
      <c r="H6071" s="11"/>
      <c r="I6071" s="15"/>
    </row>
    <row r="6072" spans="1:9" ht="16.5">
      <c r="A6072" s="10" t="b">
        <v>0</v>
      </c>
      <c r="B6072" s="11" t="str">
        <f>IF(D6072&lt;&gt;"",IF(COUNTIF('USPTO TMs'!A:A,D6072)&gt;0,"Yes","No"),"")</f>
        <v/>
      </c>
      <c r="C6072" s="11"/>
      <c r="D6072" s="11"/>
      <c r="E6072" s="11"/>
      <c r="F6072" s="11"/>
      <c r="G6072" s="11"/>
      <c r="H6072" s="11"/>
      <c r="I6072" s="15"/>
    </row>
    <row r="6073" spans="1:9" ht="16.5">
      <c r="A6073" s="10" t="b">
        <v>0</v>
      </c>
      <c r="B6073" s="11" t="str">
        <f>IF(D6073&lt;&gt;"",IF(COUNTIF('USPTO TMs'!A:A,D6073)&gt;0,"Yes","No"),"")</f>
        <v/>
      </c>
      <c r="C6073" s="11"/>
      <c r="D6073" s="11"/>
      <c r="E6073" s="11"/>
      <c r="F6073" s="11"/>
      <c r="G6073" s="11"/>
      <c r="H6073" s="11"/>
      <c r="I6073" s="15"/>
    </row>
    <row r="6074" spans="1:9" ht="16.5">
      <c r="A6074" s="10" t="b">
        <v>0</v>
      </c>
      <c r="B6074" s="11" t="str">
        <f>IF(D6074&lt;&gt;"",IF(COUNTIF('USPTO TMs'!A:A,D6074)&gt;0,"Yes","No"),"")</f>
        <v/>
      </c>
      <c r="C6074" s="11"/>
      <c r="D6074" s="11"/>
      <c r="E6074" s="11"/>
      <c r="F6074" s="11"/>
      <c r="G6074" s="11"/>
      <c r="H6074" s="11"/>
      <c r="I6074" s="15"/>
    </row>
    <row r="6075" spans="1:9" ht="16.5">
      <c r="A6075" s="10" t="b">
        <v>0</v>
      </c>
      <c r="B6075" s="11" t="str">
        <f>IF(D6075&lt;&gt;"",IF(COUNTIF('USPTO TMs'!A:A,D6075)&gt;0,"Yes","No"),"")</f>
        <v/>
      </c>
      <c r="C6075" s="11"/>
      <c r="D6075" s="11"/>
      <c r="E6075" s="11"/>
      <c r="F6075" s="11"/>
      <c r="G6075" s="11"/>
      <c r="H6075" s="11"/>
      <c r="I6075" s="15"/>
    </row>
    <row r="6076" spans="1:9" ht="16.5">
      <c r="A6076" s="10" t="b">
        <v>0</v>
      </c>
      <c r="B6076" s="11" t="str">
        <f>IF(D6076&lt;&gt;"",IF(COUNTIF('USPTO TMs'!A:A,D6076)&gt;0,"Yes","No"),"")</f>
        <v/>
      </c>
      <c r="C6076" s="11"/>
      <c r="D6076" s="11"/>
      <c r="E6076" s="11"/>
      <c r="F6076" s="11"/>
      <c r="G6076" s="11"/>
      <c r="H6076" s="11"/>
      <c r="I6076" s="15"/>
    </row>
    <row r="6077" spans="1:9" ht="16.5">
      <c r="A6077" s="10" t="b">
        <v>0</v>
      </c>
      <c r="B6077" s="11" t="str">
        <f>IF(D6077&lt;&gt;"",IF(COUNTIF('USPTO TMs'!A:A,D6077)&gt;0,"Yes","No"),"")</f>
        <v/>
      </c>
      <c r="C6077" s="11"/>
      <c r="D6077" s="11"/>
      <c r="E6077" s="11"/>
      <c r="F6077" s="11"/>
      <c r="G6077" s="11"/>
      <c r="H6077" s="11"/>
      <c r="I6077" s="15"/>
    </row>
    <row r="6078" spans="1:9" ht="16.5">
      <c r="A6078" s="10" t="b">
        <v>0</v>
      </c>
      <c r="B6078" s="11" t="str">
        <f>IF(D6078&lt;&gt;"",IF(COUNTIF('USPTO TMs'!A:A,D6078)&gt;0,"Yes","No"),"")</f>
        <v/>
      </c>
      <c r="C6078" s="11"/>
      <c r="D6078" s="11"/>
      <c r="E6078" s="11"/>
      <c r="F6078" s="11"/>
      <c r="G6078" s="11"/>
      <c r="H6078" s="11"/>
      <c r="I6078" s="15"/>
    </row>
    <row r="6079" spans="1:9" ht="16.5">
      <c r="A6079" s="10" t="b">
        <v>0</v>
      </c>
      <c r="B6079" s="11" t="str">
        <f>IF(D6079&lt;&gt;"",IF(COUNTIF('USPTO TMs'!A:A,D6079)&gt;0,"Yes","No"),"")</f>
        <v/>
      </c>
      <c r="C6079" s="11"/>
      <c r="D6079" s="11"/>
      <c r="E6079" s="11"/>
      <c r="F6079" s="11"/>
      <c r="G6079" s="11"/>
      <c r="H6079" s="11"/>
      <c r="I6079" s="15"/>
    </row>
    <row r="6080" spans="1:9" ht="16.5">
      <c r="A6080" s="10" t="b">
        <v>0</v>
      </c>
      <c r="B6080" s="11" t="str">
        <f>IF(D6080&lt;&gt;"",IF(COUNTIF('USPTO TMs'!A:A,D6080)&gt;0,"Yes","No"),"")</f>
        <v/>
      </c>
      <c r="C6080" s="11"/>
      <c r="D6080" s="11"/>
      <c r="E6080" s="11"/>
      <c r="F6080" s="11"/>
      <c r="G6080" s="11"/>
      <c r="H6080" s="11"/>
      <c r="I6080" s="15"/>
    </row>
    <row r="6081" spans="1:9" ht="16.5">
      <c r="A6081" s="10" t="b">
        <v>0</v>
      </c>
      <c r="B6081" s="11" t="str">
        <f>IF(D6081&lt;&gt;"",IF(COUNTIF('USPTO TMs'!A:A,D6081)&gt;0,"Yes","No"),"")</f>
        <v/>
      </c>
      <c r="C6081" s="11"/>
      <c r="D6081" s="11"/>
      <c r="E6081" s="11"/>
      <c r="F6081" s="11"/>
      <c r="G6081" s="11"/>
      <c r="H6081" s="11"/>
      <c r="I6081" s="15"/>
    </row>
    <row r="6082" spans="1:9" ht="16.5">
      <c r="A6082" s="10" t="b">
        <v>0</v>
      </c>
      <c r="B6082" s="11" t="str">
        <f>IF(D6082&lt;&gt;"",IF(COUNTIF('USPTO TMs'!A:A,D6082)&gt;0,"Yes","No"),"")</f>
        <v/>
      </c>
      <c r="C6082" s="11"/>
      <c r="D6082" s="11"/>
      <c r="E6082" s="11"/>
      <c r="F6082" s="11"/>
      <c r="G6082" s="11"/>
      <c r="H6082" s="11"/>
      <c r="I6082" s="15"/>
    </row>
    <row r="6083" spans="1:9" ht="16.5">
      <c r="A6083" s="10" t="b">
        <v>0</v>
      </c>
      <c r="B6083" s="11" t="str">
        <f>IF(D6083&lt;&gt;"",IF(COUNTIF('USPTO TMs'!A:A,D6083)&gt;0,"Yes","No"),"")</f>
        <v/>
      </c>
      <c r="C6083" s="11"/>
      <c r="D6083" s="11"/>
      <c r="E6083" s="11"/>
      <c r="F6083" s="11"/>
      <c r="G6083" s="11"/>
      <c r="H6083" s="11"/>
      <c r="I6083" s="15"/>
    </row>
    <row r="6084" spans="1:9" ht="16.5">
      <c r="A6084" s="10" t="b">
        <v>0</v>
      </c>
      <c r="B6084" s="11" t="str">
        <f>IF(D6084&lt;&gt;"",IF(COUNTIF('USPTO TMs'!A:A,D6084)&gt;0,"Yes","No"),"")</f>
        <v/>
      </c>
      <c r="C6084" s="11"/>
      <c r="D6084" s="11"/>
      <c r="E6084" s="11"/>
      <c r="F6084" s="11"/>
      <c r="G6084" s="11"/>
      <c r="H6084" s="11"/>
      <c r="I6084" s="15"/>
    </row>
    <row r="6085" spans="1:9" ht="16.5">
      <c r="A6085" s="10" t="b">
        <v>0</v>
      </c>
      <c r="B6085" s="11" t="str">
        <f>IF(D6085&lt;&gt;"",IF(COUNTIF('USPTO TMs'!A:A,D6085)&gt;0,"Yes","No"),"")</f>
        <v/>
      </c>
      <c r="C6085" s="11"/>
      <c r="D6085" s="11"/>
      <c r="E6085" s="11"/>
      <c r="F6085" s="11"/>
      <c r="G6085" s="11"/>
      <c r="H6085" s="11"/>
      <c r="I6085" s="15"/>
    </row>
    <row r="6086" spans="1:9" ht="16.5">
      <c r="A6086" s="10" t="b">
        <v>0</v>
      </c>
      <c r="B6086" s="11" t="str">
        <f>IF(D6086&lt;&gt;"",IF(COUNTIF('USPTO TMs'!A:A,D6086)&gt;0,"Yes","No"),"")</f>
        <v/>
      </c>
      <c r="C6086" s="11"/>
      <c r="D6086" s="11"/>
      <c r="E6086" s="11"/>
      <c r="F6086" s="11"/>
      <c r="G6086" s="11"/>
      <c r="H6086" s="11"/>
      <c r="I6086" s="15"/>
    </row>
    <row r="6087" spans="1:9" ht="16.5">
      <c r="A6087" s="10" t="b">
        <v>0</v>
      </c>
      <c r="B6087" s="11" t="str">
        <f>IF(D6087&lt;&gt;"",IF(COUNTIF('USPTO TMs'!A:A,D6087)&gt;0,"Yes","No"),"")</f>
        <v/>
      </c>
      <c r="C6087" s="11"/>
      <c r="D6087" s="11"/>
      <c r="E6087" s="11"/>
      <c r="F6087" s="11"/>
      <c r="G6087" s="11"/>
      <c r="H6087" s="11"/>
      <c r="I6087" s="15"/>
    </row>
    <row r="6088" spans="1:9" ht="16.5">
      <c r="A6088" s="10" t="b">
        <v>0</v>
      </c>
      <c r="B6088" s="11" t="str">
        <f>IF(D6088&lt;&gt;"",IF(COUNTIF('USPTO TMs'!A:A,D6088)&gt;0,"Yes","No"),"")</f>
        <v/>
      </c>
      <c r="C6088" s="11"/>
      <c r="D6088" s="11"/>
      <c r="E6088" s="11"/>
      <c r="F6088" s="11"/>
      <c r="G6088" s="11"/>
      <c r="H6088" s="11"/>
      <c r="I6088" s="15"/>
    </row>
    <row r="6089" spans="1:9" ht="16.5">
      <c r="A6089" s="10" t="b">
        <v>0</v>
      </c>
      <c r="B6089" s="11" t="str">
        <f>IF(D6089&lt;&gt;"",IF(COUNTIF('USPTO TMs'!A:A,D6089)&gt;0,"Yes","No"),"")</f>
        <v/>
      </c>
      <c r="C6089" s="11"/>
      <c r="D6089" s="11"/>
      <c r="E6089" s="11"/>
      <c r="F6089" s="11"/>
      <c r="G6089" s="11"/>
      <c r="H6089" s="11"/>
      <c r="I6089" s="15"/>
    </row>
    <row r="6090" spans="1:9" ht="16.5">
      <c r="A6090" s="10" t="b">
        <v>0</v>
      </c>
      <c r="B6090" s="11" t="str">
        <f>IF(D6090&lt;&gt;"",IF(COUNTIF('USPTO TMs'!A:A,D6090)&gt;0,"Yes","No"),"")</f>
        <v/>
      </c>
      <c r="C6090" s="11"/>
      <c r="D6090" s="11"/>
      <c r="E6090" s="11"/>
      <c r="F6090" s="11"/>
      <c r="G6090" s="11"/>
      <c r="H6090" s="11"/>
      <c r="I6090" s="15"/>
    </row>
    <row r="6091" spans="1:9" ht="16.5">
      <c r="A6091" s="10" t="b">
        <v>0</v>
      </c>
      <c r="B6091" s="11" t="str">
        <f>IF(D6091&lt;&gt;"",IF(COUNTIF('USPTO TMs'!A:A,D6091)&gt;0,"Yes","No"),"")</f>
        <v/>
      </c>
      <c r="C6091" s="11"/>
      <c r="D6091" s="11"/>
      <c r="E6091" s="11"/>
      <c r="F6091" s="11"/>
      <c r="G6091" s="11"/>
      <c r="H6091" s="11"/>
      <c r="I6091" s="15"/>
    </row>
    <row r="6092" spans="1:9" ht="16.5">
      <c r="A6092" s="10" t="b">
        <v>0</v>
      </c>
      <c r="B6092" s="11" t="str">
        <f>IF(D6092&lt;&gt;"",IF(COUNTIF('USPTO TMs'!A:A,D6092)&gt;0,"Yes","No"),"")</f>
        <v/>
      </c>
      <c r="C6092" s="11"/>
      <c r="D6092" s="11"/>
      <c r="E6092" s="11"/>
      <c r="F6092" s="11"/>
      <c r="G6092" s="11"/>
      <c r="H6092" s="11"/>
      <c r="I6092" s="15"/>
    </row>
    <row r="6093" spans="1:9" ht="16.5">
      <c r="A6093" s="10" t="b">
        <v>0</v>
      </c>
      <c r="B6093" s="11" t="str">
        <f>IF(D6093&lt;&gt;"",IF(COUNTIF('USPTO TMs'!A:A,D6093)&gt;0,"Yes","No"),"")</f>
        <v/>
      </c>
      <c r="C6093" s="11"/>
      <c r="D6093" s="11"/>
      <c r="E6093" s="11"/>
      <c r="F6093" s="11"/>
      <c r="G6093" s="11"/>
      <c r="H6093" s="11"/>
      <c r="I6093" s="15"/>
    </row>
    <row r="6094" spans="1:9" ht="16.5">
      <c r="A6094" s="10" t="b">
        <v>0</v>
      </c>
      <c r="B6094" s="11" t="str">
        <f>IF(D6094&lt;&gt;"",IF(COUNTIF('USPTO TMs'!A:A,D6094)&gt;0,"Yes","No"),"")</f>
        <v/>
      </c>
      <c r="C6094" s="11"/>
      <c r="D6094" s="11"/>
      <c r="E6094" s="11"/>
      <c r="F6094" s="11"/>
      <c r="G6094" s="11"/>
      <c r="H6094" s="11"/>
      <c r="I6094" s="15"/>
    </row>
    <row r="6095" spans="1:9" ht="16.5">
      <c r="A6095" s="10" t="b">
        <v>0</v>
      </c>
      <c r="B6095" s="11" t="str">
        <f>IF(D6095&lt;&gt;"",IF(COUNTIF('USPTO TMs'!A:A,D6095)&gt;0,"Yes","No"),"")</f>
        <v/>
      </c>
      <c r="C6095" s="11"/>
      <c r="D6095" s="11"/>
      <c r="E6095" s="11"/>
      <c r="F6095" s="11"/>
      <c r="G6095" s="11"/>
      <c r="H6095" s="11"/>
      <c r="I6095" s="15"/>
    </row>
    <row r="6096" spans="1:9" ht="16.5">
      <c r="A6096" s="10" t="b">
        <v>0</v>
      </c>
      <c r="B6096" s="11" t="str">
        <f>IF(D6096&lt;&gt;"",IF(COUNTIF('USPTO TMs'!A:A,D6096)&gt;0,"Yes","No"),"")</f>
        <v/>
      </c>
      <c r="C6096" s="11"/>
      <c r="D6096" s="11"/>
      <c r="E6096" s="11"/>
      <c r="F6096" s="11"/>
      <c r="G6096" s="11"/>
      <c r="H6096" s="11"/>
      <c r="I6096" s="15"/>
    </row>
    <row r="6097" spans="1:9" ht="16.5">
      <c r="A6097" s="10" t="b">
        <v>0</v>
      </c>
      <c r="B6097" s="11" t="str">
        <f>IF(D6097&lt;&gt;"",IF(COUNTIF('USPTO TMs'!A:A,D6097)&gt;0,"Yes","No"),"")</f>
        <v/>
      </c>
      <c r="C6097" s="11"/>
      <c r="D6097" s="11"/>
      <c r="E6097" s="11"/>
      <c r="F6097" s="11"/>
      <c r="G6097" s="11"/>
      <c r="H6097" s="11"/>
      <c r="I6097" s="15"/>
    </row>
    <row r="6098" spans="1:9" ht="16.5">
      <c r="A6098" s="10" t="b">
        <v>0</v>
      </c>
      <c r="B6098" s="11" t="str">
        <f>IF(D6098&lt;&gt;"",IF(COUNTIF('USPTO TMs'!A:A,D6098)&gt;0,"Yes","No"),"")</f>
        <v/>
      </c>
      <c r="C6098" s="11"/>
      <c r="D6098" s="11"/>
      <c r="E6098" s="11"/>
      <c r="F6098" s="11"/>
      <c r="G6098" s="11"/>
      <c r="H6098" s="11"/>
      <c r="I6098" s="15"/>
    </row>
    <row r="6099" spans="1:9" ht="16.5">
      <c r="A6099" s="10" t="b">
        <v>0</v>
      </c>
      <c r="B6099" s="11" t="str">
        <f>IF(D6099&lt;&gt;"",IF(COUNTIF('USPTO TMs'!A:A,D6099)&gt;0,"Yes","No"),"")</f>
        <v/>
      </c>
      <c r="C6099" s="11"/>
      <c r="D6099" s="11"/>
      <c r="E6099" s="11"/>
      <c r="F6099" s="11"/>
      <c r="G6099" s="11"/>
      <c r="H6099" s="11"/>
      <c r="I6099" s="15"/>
    </row>
    <row r="6100" spans="1:9" ht="16.5">
      <c r="A6100" s="10" t="b">
        <v>0</v>
      </c>
      <c r="B6100" s="11" t="str">
        <f>IF(D6100&lt;&gt;"",IF(COUNTIF('USPTO TMs'!A:A,D6100)&gt;0,"Yes","No"),"")</f>
        <v/>
      </c>
      <c r="C6100" s="11"/>
      <c r="D6100" s="11"/>
      <c r="E6100" s="11"/>
      <c r="F6100" s="11"/>
      <c r="G6100" s="11"/>
      <c r="H6100" s="11"/>
      <c r="I6100" s="15"/>
    </row>
    <row r="6101" spans="1:9" ht="16.5">
      <c r="A6101" s="10" t="b">
        <v>0</v>
      </c>
      <c r="B6101" s="11" t="str">
        <f>IF(D6101&lt;&gt;"",IF(COUNTIF('USPTO TMs'!A:A,D6101)&gt;0,"Yes","No"),"")</f>
        <v/>
      </c>
      <c r="C6101" s="11"/>
      <c r="D6101" s="11"/>
      <c r="E6101" s="11"/>
      <c r="F6101" s="11"/>
      <c r="G6101" s="11"/>
      <c r="H6101" s="11"/>
      <c r="I6101" s="15"/>
    </row>
    <row r="6102" spans="1:9" ht="16.5">
      <c r="A6102" s="10" t="b">
        <v>0</v>
      </c>
      <c r="B6102" s="11" t="str">
        <f>IF(D6102&lt;&gt;"",IF(COUNTIF('USPTO TMs'!A:A,D6102)&gt;0,"Yes","No"),"")</f>
        <v/>
      </c>
      <c r="C6102" s="11"/>
      <c r="D6102" s="11"/>
      <c r="E6102" s="11"/>
      <c r="F6102" s="11"/>
      <c r="G6102" s="11"/>
      <c r="H6102" s="11"/>
      <c r="I6102" s="15"/>
    </row>
    <row r="6103" spans="1:9" ht="16.5">
      <c r="A6103" s="10" t="b">
        <v>0</v>
      </c>
      <c r="B6103" s="11" t="str">
        <f>IF(D6103&lt;&gt;"",IF(COUNTIF('USPTO TMs'!A:A,D6103)&gt;0,"Yes","No"),"")</f>
        <v/>
      </c>
      <c r="C6103" s="11"/>
      <c r="D6103" s="11"/>
      <c r="E6103" s="11"/>
      <c r="F6103" s="11"/>
      <c r="G6103" s="11"/>
      <c r="H6103" s="11"/>
      <c r="I6103" s="15"/>
    </row>
    <row r="6104" spans="1:9" ht="16.5">
      <c r="A6104" s="10" t="b">
        <v>0</v>
      </c>
      <c r="B6104" s="11" t="str">
        <f>IF(D6104&lt;&gt;"",IF(COUNTIF('USPTO TMs'!A:A,D6104)&gt;0,"Yes","No"),"")</f>
        <v/>
      </c>
      <c r="C6104" s="11"/>
      <c r="D6104" s="11"/>
      <c r="E6104" s="11"/>
      <c r="F6104" s="11"/>
      <c r="G6104" s="11"/>
      <c r="H6104" s="11"/>
      <c r="I6104" s="15"/>
    </row>
    <row r="6105" spans="1:9" ht="16.5">
      <c r="A6105" s="10" t="b">
        <v>0</v>
      </c>
      <c r="B6105" s="11" t="str">
        <f>IF(D6105&lt;&gt;"",IF(COUNTIF('USPTO TMs'!A:A,D6105)&gt;0,"Yes","No"),"")</f>
        <v/>
      </c>
      <c r="C6105" s="11"/>
      <c r="D6105" s="11"/>
      <c r="E6105" s="11"/>
      <c r="F6105" s="11"/>
      <c r="G6105" s="11"/>
      <c r="H6105" s="11"/>
      <c r="I6105" s="15"/>
    </row>
    <row r="6106" spans="1:9" ht="16.5">
      <c r="A6106" s="10" t="b">
        <v>0</v>
      </c>
      <c r="B6106" s="11" t="str">
        <f>IF(D6106&lt;&gt;"",IF(COUNTIF('USPTO TMs'!A:A,D6106)&gt;0,"Yes","No"),"")</f>
        <v/>
      </c>
      <c r="C6106" s="11"/>
      <c r="D6106" s="11"/>
      <c r="E6106" s="11"/>
      <c r="F6106" s="11"/>
      <c r="G6106" s="11"/>
      <c r="H6106" s="11"/>
      <c r="I6106" s="15"/>
    </row>
    <row r="6107" spans="1:9" ht="16.5">
      <c r="A6107" s="10" t="b">
        <v>0</v>
      </c>
      <c r="B6107" s="11" t="str">
        <f>IF(D6107&lt;&gt;"",IF(COUNTIF('USPTO TMs'!A:A,D6107)&gt;0,"Yes","No"),"")</f>
        <v/>
      </c>
      <c r="C6107" s="11"/>
      <c r="D6107" s="11"/>
      <c r="E6107" s="11"/>
      <c r="F6107" s="11"/>
      <c r="G6107" s="11"/>
      <c r="H6107" s="11"/>
      <c r="I6107" s="15"/>
    </row>
    <row r="6108" spans="1:9" ht="16.5">
      <c r="A6108" s="10" t="b">
        <v>0</v>
      </c>
      <c r="B6108" s="11" t="str">
        <f>IF(D6108&lt;&gt;"",IF(COUNTIF('USPTO TMs'!A:A,D6108)&gt;0,"Yes","No"),"")</f>
        <v/>
      </c>
      <c r="C6108" s="11"/>
      <c r="D6108" s="11"/>
      <c r="E6108" s="11"/>
      <c r="F6108" s="11"/>
      <c r="G6108" s="11"/>
      <c r="H6108" s="11"/>
      <c r="I6108" s="15"/>
    </row>
    <row r="6109" spans="1:9" ht="16.5">
      <c r="A6109" s="10" t="b">
        <v>0</v>
      </c>
      <c r="B6109" s="11" t="str">
        <f>IF(D6109&lt;&gt;"",IF(COUNTIF('USPTO TMs'!A:A,D6109)&gt;0,"Yes","No"),"")</f>
        <v/>
      </c>
      <c r="C6109" s="11"/>
      <c r="D6109" s="11"/>
      <c r="E6109" s="11"/>
      <c r="F6109" s="11"/>
      <c r="G6109" s="11"/>
      <c r="H6109" s="11"/>
      <c r="I6109" s="15"/>
    </row>
    <row r="6110" spans="1:9" ht="16.5">
      <c r="A6110" s="10" t="b">
        <v>0</v>
      </c>
      <c r="B6110" s="11" t="str">
        <f>IF(D6110&lt;&gt;"",IF(COUNTIF('USPTO TMs'!A:A,D6110)&gt;0,"Yes","No"),"")</f>
        <v/>
      </c>
      <c r="C6110" s="11"/>
      <c r="D6110" s="11"/>
      <c r="E6110" s="11"/>
      <c r="F6110" s="11"/>
      <c r="G6110" s="11"/>
      <c r="H6110" s="11"/>
      <c r="I6110" s="15"/>
    </row>
    <row r="6111" spans="1:9" ht="16.5">
      <c r="A6111" s="10" t="b">
        <v>0</v>
      </c>
      <c r="B6111" s="11" t="str">
        <f>IF(D6111&lt;&gt;"",IF(COUNTIF('USPTO TMs'!A:A,D6111)&gt;0,"Yes","No"),"")</f>
        <v/>
      </c>
      <c r="C6111" s="11"/>
      <c r="D6111" s="11"/>
      <c r="E6111" s="11"/>
      <c r="F6111" s="11"/>
      <c r="G6111" s="11"/>
      <c r="H6111" s="11"/>
      <c r="I6111" s="15"/>
    </row>
    <row r="6112" spans="1:9" ht="16.5">
      <c r="A6112" s="10" t="b">
        <v>0</v>
      </c>
      <c r="B6112" s="11" t="str">
        <f>IF(D6112&lt;&gt;"",IF(COUNTIF('USPTO TMs'!A:A,D6112)&gt;0,"Yes","No"),"")</f>
        <v/>
      </c>
      <c r="C6112" s="11"/>
      <c r="D6112" s="11"/>
      <c r="E6112" s="11"/>
      <c r="F6112" s="11"/>
      <c r="G6112" s="11"/>
      <c r="H6112" s="11"/>
      <c r="I6112" s="15"/>
    </row>
    <row r="6113" spans="1:9" ht="16.5">
      <c r="A6113" s="10" t="b">
        <v>0</v>
      </c>
      <c r="B6113" s="11" t="str">
        <f>IF(D6113&lt;&gt;"",IF(COUNTIF('USPTO TMs'!A:A,D6113)&gt;0,"Yes","No"),"")</f>
        <v/>
      </c>
      <c r="C6113" s="11"/>
      <c r="D6113" s="11"/>
      <c r="E6113" s="11"/>
      <c r="F6113" s="11"/>
      <c r="G6113" s="11"/>
      <c r="H6113" s="11"/>
      <c r="I6113" s="15"/>
    </row>
    <row r="6114" spans="1:9" ht="16.5">
      <c r="A6114" s="10" t="b">
        <v>0</v>
      </c>
      <c r="B6114" s="11" t="str">
        <f>IF(D6114&lt;&gt;"",IF(COUNTIF('USPTO TMs'!A:A,D6114)&gt;0,"Yes","No"),"")</f>
        <v/>
      </c>
      <c r="C6114" s="11"/>
      <c r="D6114" s="11"/>
      <c r="E6114" s="11"/>
      <c r="F6114" s="11"/>
      <c r="G6114" s="11"/>
      <c r="H6114" s="11"/>
      <c r="I6114" s="15"/>
    </row>
    <row r="6115" spans="1:9" ht="16.5">
      <c r="A6115" s="10" t="b">
        <v>0</v>
      </c>
      <c r="B6115" s="11" t="str">
        <f>IF(D6115&lt;&gt;"",IF(COUNTIF('USPTO TMs'!A:A,D6115)&gt;0,"Yes","No"),"")</f>
        <v/>
      </c>
      <c r="C6115" s="11"/>
      <c r="D6115" s="11"/>
      <c r="E6115" s="11"/>
      <c r="F6115" s="11"/>
      <c r="G6115" s="11"/>
      <c r="H6115" s="11"/>
      <c r="I6115" s="15"/>
    </row>
    <row r="6116" spans="1:9" ht="16.5">
      <c r="A6116" s="10" t="b">
        <v>0</v>
      </c>
      <c r="B6116" s="11" t="str">
        <f>IF(D6116&lt;&gt;"",IF(COUNTIF('USPTO TMs'!A:A,D6116)&gt;0,"Yes","No"),"")</f>
        <v/>
      </c>
      <c r="C6116" s="11"/>
      <c r="D6116" s="11"/>
      <c r="E6116" s="11"/>
      <c r="F6116" s="11"/>
      <c r="G6116" s="11"/>
      <c r="H6116" s="11"/>
      <c r="I6116" s="15"/>
    </row>
    <row r="6117" spans="1:9" ht="16.5">
      <c r="A6117" s="10" t="b">
        <v>0</v>
      </c>
      <c r="B6117" s="11" t="str">
        <f>IF(D6117&lt;&gt;"",IF(COUNTIF('USPTO TMs'!A:A,D6117)&gt;0,"Yes","No"),"")</f>
        <v/>
      </c>
      <c r="C6117" s="11"/>
      <c r="D6117" s="11"/>
      <c r="E6117" s="11"/>
      <c r="F6117" s="11"/>
      <c r="G6117" s="11"/>
      <c r="H6117" s="11"/>
      <c r="I6117" s="15"/>
    </row>
    <row r="6118" spans="1:9" ht="16.5">
      <c r="A6118" s="10" t="b">
        <v>0</v>
      </c>
      <c r="B6118" s="11" t="str">
        <f>IF(D6118&lt;&gt;"",IF(COUNTIF('USPTO TMs'!A:A,D6118)&gt;0,"Yes","No"),"")</f>
        <v/>
      </c>
      <c r="C6118" s="11"/>
      <c r="D6118" s="11"/>
      <c r="E6118" s="11"/>
      <c r="F6118" s="11"/>
      <c r="G6118" s="11"/>
      <c r="H6118" s="11"/>
      <c r="I6118" s="15"/>
    </row>
    <row r="6119" spans="1:9" ht="16.5">
      <c r="A6119" s="10" t="b">
        <v>0</v>
      </c>
      <c r="B6119" s="11" t="str">
        <f>IF(D6119&lt;&gt;"",IF(COUNTIF('USPTO TMs'!A:A,D6119)&gt;0,"Yes","No"),"")</f>
        <v/>
      </c>
      <c r="C6119" s="11"/>
      <c r="D6119" s="11"/>
      <c r="E6119" s="11"/>
      <c r="F6119" s="11"/>
      <c r="G6119" s="11"/>
      <c r="H6119" s="11"/>
      <c r="I6119" s="15"/>
    </row>
    <row r="6120" spans="1:9" ht="16.5">
      <c r="A6120" s="10" t="b">
        <v>0</v>
      </c>
      <c r="B6120" s="11" t="str">
        <f>IF(D6120&lt;&gt;"",IF(COUNTIF('USPTO TMs'!A:A,D6120)&gt;0,"Yes","No"),"")</f>
        <v/>
      </c>
      <c r="C6120" s="11"/>
      <c r="D6120" s="11"/>
      <c r="E6120" s="11"/>
      <c r="F6120" s="11"/>
      <c r="G6120" s="11"/>
      <c r="H6120" s="11"/>
      <c r="I6120" s="15"/>
    </row>
    <row r="6121" spans="1:9" ht="16.5">
      <c r="A6121" s="10" t="b">
        <v>0</v>
      </c>
      <c r="B6121" s="11" t="str">
        <f>IF(D6121&lt;&gt;"",IF(COUNTIF('USPTO TMs'!A:A,D6121)&gt;0,"Yes","No"),"")</f>
        <v/>
      </c>
      <c r="C6121" s="11"/>
      <c r="D6121" s="11"/>
      <c r="E6121" s="11"/>
      <c r="F6121" s="11"/>
      <c r="G6121" s="11"/>
      <c r="H6121" s="11"/>
      <c r="I6121" s="15"/>
    </row>
    <row r="6122" spans="1:9" ht="16.5">
      <c r="A6122" s="10" t="b">
        <v>0</v>
      </c>
      <c r="B6122" s="11" t="str">
        <f>IF(D6122&lt;&gt;"",IF(COUNTIF('USPTO TMs'!A:A,D6122)&gt;0,"Yes","No"),"")</f>
        <v/>
      </c>
      <c r="C6122" s="11"/>
      <c r="D6122" s="11"/>
      <c r="E6122" s="11"/>
      <c r="F6122" s="11"/>
      <c r="G6122" s="11"/>
      <c r="H6122" s="11"/>
      <c r="I6122" s="15"/>
    </row>
    <row r="6123" spans="1:9" ht="16.5">
      <c r="A6123" s="10" t="b">
        <v>0</v>
      </c>
      <c r="B6123" s="11" t="str">
        <f>IF(D6123&lt;&gt;"",IF(COUNTIF('USPTO TMs'!A:A,D6123)&gt;0,"Yes","No"),"")</f>
        <v/>
      </c>
      <c r="C6123" s="11"/>
      <c r="D6123" s="11"/>
      <c r="E6123" s="11"/>
      <c r="F6123" s="11"/>
      <c r="G6123" s="11"/>
      <c r="H6123" s="11"/>
      <c r="I6123" s="15"/>
    </row>
    <row r="6124" spans="1:9" ht="16.5">
      <c r="A6124" s="10" t="b">
        <v>0</v>
      </c>
      <c r="B6124" s="11" t="str">
        <f>IF(D6124&lt;&gt;"",IF(COUNTIF('USPTO TMs'!A:A,D6124)&gt;0,"Yes","No"),"")</f>
        <v/>
      </c>
      <c r="C6124" s="11"/>
      <c r="D6124" s="11"/>
      <c r="E6124" s="11"/>
      <c r="F6124" s="11"/>
      <c r="G6124" s="11"/>
      <c r="H6124" s="11"/>
      <c r="I6124" s="15"/>
    </row>
    <row r="6125" spans="1:9" ht="16.5">
      <c r="A6125" s="10" t="b">
        <v>0</v>
      </c>
      <c r="B6125" s="11" t="str">
        <f>IF(D6125&lt;&gt;"",IF(COUNTIF('USPTO TMs'!A:A,D6125)&gt;0,"Yes","No"),"")</f>
        <v/>
      </c>
      <c r="C6125" s="11"/>
      <c r="D6125" s="11"/>
      <c r="E6125" s="11"/>
      <c r="F6125" s="11"/>
      <c r="G6125" s="11"/>
      <c r="H6125" s="11"/>
      <c r="I6125" s="15"/>
    </row>
    <row r="6126" spans="1:9" ht="16.5">
      <c r="A6126" s="10" t="b">
        <v>0</v>
      </c>
      <c r="B6126" s="11" t="str">
        <f>IF(D6126&lt;&gt;"",IF(COUNTIF('USPTO TMs'!A:A,D6126)&gt;0,"Yes","No"),"")</f>
        <v/>
      </c>
      <c r="C6126" s="11"/>
      <c r="D6126" s="11"/>
      <c r="E6126" s="11"/>
      <c r="F6126" s="11"/>
      <c r="G6126" s="11"/>
      <c r="H6126" s="11"/>
      <c r="I6126" s="15"/>
    </row>
    <row r="6127" spans="1:9" ht="16.5">
      <c r="A6127" s="10" t="b">
        <v>0</v>
      </c>
      <c r="B6127" s="11" t="str">
        <f>IF(D6127&lt;&gt;"",IF(COUNTIF('USPTO TMs'!A:A,D6127)&gt;0,"Yes","No"),"")</f>
        <v/>
      </c>
      <c r="C6127" s="11"/>
      <c r="D6127" s="11"/>
      <c r="E6127" s="11"/>
      <c r="F6127" s="11"/>
      <c r="G6127" s="11"/>
      <c r="H6127" s="11"/>
      <c r="I6127" s="15"/>
    </row>
    <row r="6128" spans="1:9" ht="16.5">
      <c r="A6128" s="10" t="b">
        <v>0</v>
      </c>
      <c r="B6128" s="11" t="str">
        <f>IF(D6128&lt;&gt;"",IF(COUNTIF('USPTO TMs'!A:A,D6128)&gt;0,"Yes","No"),"")</f>
        <v/>
      </c>
      <c r="C6128" s="11"/>
      <c r="D6128" s="11"/>
      <c r="E6128" s="11"/>
      <c r="F6128" s="11"/>
      <c r="G6128" s="11"/>
      <c r="H6128" s="11"/>
      <c r="I6128" s="15"/>
    </row>
    <row r="6129" spans="1:9" ht="16.5">
      <c r="A6129" s="10" t="b">
        <v>0</v>
      </c>
      <c r="B6129" s="11" t="str">
        <f>IF(D6129&lt;&gt;"",IF(COUNTIF('USPTO TMs'!A:A,D6129)&gt;0,"Yes","No"),"")</f>
        <v/>
      </c>
      <c r="C6129" s="11"/>
      <c r="D6129" s="11"/>
      <c r="E6129" s="11"/>
      <c r="F6129" s="11"/>
      <c r="G6129" s="11"/>
      <c r="H6129" s="11"/>
      <c r="I6129" s="15"/>
    </row>
    <row r="6130" spans="1:9" ht="16.5">
      <c r="A6130" s="10" t="b">
        <v>0</v>
      </c>
      <c r="B6130" s="11" t="str">
        <f>IF(D6130&lt;&gt;"",IF(COUNTIF('USPTO TMs'!A:A,D6130)&gt;0,"Yes","No"),"")</f>
        <v/>
      </c>
      <c r="C6130" s="11"/>
      <c r="D6130" s="11"/>
      <c r="E6130" s="11"/>
      <c r="F6130" s="11"/>
      <c r="G6130" s="11"/>
      <c r="H6130" s="11"/>
      <c r="I6130" s="15"/>
    </row>
    <row r="6131" spans="1:9" ht="16.5">
      <c r="A6131" s="10" t="b">
        <v>0</v>
      </c>
      <c r="B6131" s="11" t="str">
        <f>IF(D6131&lt;&gt;"",IF(COUNTIF('USPTO TMs'!A:A,D6131)&gt;0,"Yes","No"),"")</f>
        <v/>
      </c>
      <c r="C6131" s="11"/>
      <c r="D6131" s="11"/>
      <c r="E6131" s="11"/>
      <c r="F6131" s="11"/>
      <c r="G6131" s="11"/>
      <c r="H6131" s="11"/>
      <c r="I6131" s="15"/>
    </row>
    <row r="6132" spans="1:9" ht="16.5">
      <c r="A6132" s="10" t="b">
        <v>0</v>
      </c>
      <c r="B6132" s="11" t="str">
        <f>IF(D6132&lt;&gt;"",IF(COUNTIF('USPTO TMs'!A:A,D6132)&gt;0,"Yes","No"),"")</f>
        <v/>
      </c>
      <c r="C6132" s="11"/>
      <c r="D6132" s="11"/>
      <c r="E6132" s="11"/>
      <c r="F6132" s="11"/>
      <c r="G6132" s="11"/>
      <c r="H6132" s="11"/>
      <c r="I6132" s="15"/>
    </row>
    <row r="6133" spans="1:9" ht="16.5">
      <c r="A6133" s="10" t="b">
        <v>0</v>
      </c>
      <c r="B6133" s="11" t="str">
        <f>IF(D6133&lt;&gt;"",IF(COUNTIF('USPTO TMs'!A:A,D6133)&gt;0,"Yes","No"),"")</f>
        <v/>
      </c>
      <c r="C6133" s="11"/>
      <c r="D6133" s="11"/>
      <c r="E6133" s="11"/>
      <c r="F6133" s="11"/>
      <c r="G6133" s="11"/>
      <c r="H6133" s="11"/>
      <c r="I6133" s="15"/>
    </row>
    <row r="6134" spans="1:9" ht="16.5">
      <c r="A6134" s="10" t="b">
        <v>0</v>
      </c>
      <c r="B6134" s="11" t="str">
        <f>IF(D6134&lt;&gt;"",IF(COUNTIF('USPTO TMs'!A:A,D6134)&gt;0,"Yes","No"),"")</f>
        <v/>
      </c>
      <c r="C6134" s="11"/>
      <c r="D6134" s="11"/>
      <c r="E6134" s="11"/>
      <c r="F6134" s="11"/>
      <c r="G6134" s="11"/>
      <c r="H6134" s="11"/>
      <c r="I6134" s="15"/>
    </row>
    <row r="6135" spans="1:9" ht="16.5">
      <c r="A6135" s="10" t="b">
        <v>0</v>
      </c>
      <c r="B6135" s="11" t="str">
        <f>IF(D6135&lt;&gt;"",IF(COUNTIF('USPTO TMs'!A:A,D6135)&gt;0,"Yes","No"),"")</f>
        <v/>
      </c>
      <c r="C6135" s="11"/>
      <c r="D6135" s="11"/>
      <c r="E6135" s="11"/>
      <c r="F6135" s="11"/>
      <c r="G6135" s="11"/>
      <c r="H6135" s="11"/>
      <c r="I6135" s="15"/>
    </row>
    <row r="6136" spans="1:9" ht="16.5">
      <c r="A6136" s="10" t="b">
        <v>0</v>
      </c>
      <c r="B6136" s="11" t="str">
        <f>IF(D6136&lt;&gt;"",IF(COUNTIF('USPTO TMs'!A:A,D6136)&gt;0,"Yes","No"),"")</f>
        <v/>
      </c>
      <c r="C6136" s="11"/>
      <c r="D6136" s="11"/>
      <c r="E6136" s="11"/>
      <c r="F6136" s="11"/>
      <c r="G6136" s="11"/>
      <c r="H6136" s="11"/>
      <c r="I6136" s="15"/>
    </row>
    <row r="6137" spans="1:9" ht="16.5">
      <c r="A6137" s="10" t="b">
        <v>0</v>
      </c>
      <c r="B6137" s="11" t="str">
        <f>IF(D6137&lt;&gt;"",IF(COUNTIF('USPTO TMs'!A:A,D6137)&gt;0,"Yes","No"),"")</f>
        <v/>
      </c>
      <c r="C6137" s="11"/>
      <c r="D6137" s="11"/>
      <c r="E6137" s="11"/>
      <c r="F6137" s="11"/>
      <c r="G6137" s="11"/>
      <c r="H6137" s="11"/>
      <c r="I6137" s="15"/>
    </row>
    <row r="6138" spans="1:9" ht="16.5">
      <c r="A6138" s="10" t="b">
        <v>0</v>
      </c>
      <c r="B6138" s="11" t="str">
        <f>IF(D6138&lt;&gt;"",IF(COUNTIF('USPTO TMs'!A:A,D6138)&gt;0,"Yes","No"),"")</f>
        <v/>
      </c>
      <c r="C6138" s="11"/>
      <c r="D6138" s="11"/>
      <c r="E6138" s="11"/>
      <c r="F6138" s="11"/>
      <c r="G6138" s="11"/>
      <c r="H6138" s="11"/>
      <c r="I6138" s="15"/>
    </row>
    <row r="6139" spans="1:9" ht="16.5">
      <c r="A6139" s="10" t="b">
        <v>0</v>
      </c>
      <c r="B6139" s="11" t="str">
        <f>IF(D6139&lt;&gt;"",IF(COUNTIF('USPTO TMs'!A:A,D6139)&gt;0,"Yes","No"),"")</f>
        <v/>
      </c>
      <c r="C6139" s="11"/>
      <c r="D6139" s="11"/>
      <c r="E6139" s="11"/>
      <c r="F6139" s="11"/>
      <c r="G6139" s="11"/>
      <c r="H6139" s="11"/>
      <c r="I6139" s="15"/>
    </row>
    <row r="6140" spans="1:9" ht="16.5">
      <c r="A6140" s="10" t="b">
        <v>0</v>
      </c>
      <c r="B6140" s="11" t="str">
        <f>IF(D6140&lt;&gt;"",IF(COUNTIF('USPTO TMs'!A:A,D6140)&gt;0,"Yes","No"),"")</f>
        <v/>
      </c>
      <c r="C6140" s="11"/>
      <c r="D6140" s="11"/>
      <c r="E6140" s="11"/>
      <c r="F6140" s="11"/>
      <c r="G6140" s="11"/>
      <c r="H6140" s="11"/>
      <c r="I6140" s="15"/>
    </row>
    <row r="6141" spans="1:9" ht="16.5">
      <c r="A6141" s="10" t="b">
        <v>0</v>
      </c>
      <c r="B6141" s="11" t="str">
        <f>IF(D6141&lt;&gt;"",IF(COUNTIF('USPTO TMs'!A:A,D6141)&gt;0,"Yes","No"),"")</f>
        <v/>
      </c>
      <c r="C6141" s="11"/>
      <c r="D6141" s="11"/>
      <c r="E6141" s="11"/>
      <c r="F6141" s="11"/>
      <c r="G6141" s="11"/>
      <c r="H6141" s="11"/>
      <c r="I6141" s="15"/>
    </row>
    <row r="6142" spans="1:9" ht="16.5">
      <c r="A6142" s="10" t="b">
        <v>0</v>
      </c>
      <c r="B6142" s="11" t="str">
        <f>IF(D6142&lt;&gt;"",IF(COUNTIF('USPTO TMs'!A:A,D6142)&gt;0,"Yes","No"),"")</f>
        <v/>
      </c>
      <c r="C6142" s="11"/>
      <c r="D6142" s="11"/>
      <c r="E6142" s="11"/>
      <c r="F6142" s="11"/>
      <c r="G6142" s="11"/>
      <c r="H6142" s="11"/>
      <c r="I6142" s="15"/>
    </row>
    <row r="6143" spans="1:9" ht="16.5">
      <c r="A6143" s="10" t="b">
        <v>0</v>
      </c>
      <c r="B6143" s="11" t="str">
        <f>IF(D6143&lt;&gt;"",IF(COUNTIF('USPTO TMs'!A:A,D6143)&gt;0,"Yes","No"),"")</f>
        <v/>
      </c>
      <c r="C6143" s="11"/>
      <c r="D6143" s="11"/>
      <c r="E6143" s="11"/>
      <c r="F6143" s="11"/>
      <c r="G6143" s="11"/>
      <c r="H6143" s="11"/>
      <c r="I6143" s="15"/>
    </row>
    <row r="6144" spans="1:9" ht="16.5">
      <c r="A6144" s="10" t="b">
        <v>0</v>
      </c>
      <c r="B6144" s="11" t="str">
        <f>IF(D6144&lt;&gt;"",IF(COUNTIF('USPTO TMs'!A:A,D6144)&gt;0,"Yes","No"),"")</f>
        <v/>
      </c>
      <c r="C6144" s="11"/>
      <c r="D6144" s="11"/>
      <c r="E6144" s="11"/>
      <c r="F6144" s="11"/>
      <c r="G6144" s="11"/>
      <c r="H6144" s="11"/>
      <c r="I6144" s="15"/>
    </row>
    <row r="6145" spans="1:9" ht="16.5">
      <c r="A6145" s="10" t="b">
        <v>0</v>
      </c>
      <c r="B6145" s="11" t="str">
        <f>IF(D6145&lt;&gt;"",IF(COUNTIF('USPTO TMs'!A:A,D6145)&gt;0,"Yes","No"),"")</f>
        <v/>
      </c>
      <c r="C6145" s="11"/>
      <c r="D6145" s="11"/>
      <c r="E6145" s="11"/>
      <c r="F6145" s="11"/>
      <c r="G6145" s="11"/>
      <c r="H6145" s="11"/>
      <c r="I6145" s="15"/>
    </row>
    <row r="6146" spans="1:9" ht="16.5">
      <c r="A6146" s="10" t="b">
        <v>0</v>
      </c>
      <c r="B6146" s="11" t="str">
        <f>IF(D6146&lt;&gt;"",IF(COUNTIF('USPTO TMs'!A:A,D6146)&gt;0,"Yes","No"),"")</f>
        <v/>
      </c>
      <c r="C6146" s="11"/>
      <c r="D6146" s="11"/>
      <c r="E6146" s="11"/>
      <c r="F6146" s="11"/>
      <c r="G6146" s="11"/>
      <c r="H6146" s="11"/>
      <c r="I6146" s="15"/>
    </row>
    <row r="6147" spans="1:9" ht="16.5">
      <c r="A6147" s="10" t="b">
        <v>0</v>
      </c>
      <c r="B6147" s="11" t="str">
        <f>IF(D6147&lt;&gt;"",IF(COUNTIF('USPTO TMs'!A:A,D6147)&gt;0,"Yes","No"),"")</f>
        <v/>
      </c>
      <c r="C6147" s="11"/>
      <c r="D6147" s="11"/>
      <c r="E6147" s="11"/>
      <c r="F6147" s="11"/>
      <c r="G6147" s="11"/>
      <c r="H6147" s="11"/>
      <c r="I6147" s="15"/>
    </row>
    <row r="6148" spans="1:9" ht="16.5">
      <c r="A6148" s="10" t="b">
        <v>0</v>
      </c>
      <c r="B6148" s="11" t="str">
        <f>IF(D6148&lt;&gt;"",IF(COUNTIF('USPTO TMs'!A:A,D6148)&gt;0,"Yes","No"),"")</f>
        <v/>
      </c>
      <c r="C6148" s="11"/>
      <c r="D6148" s="11"/>
      <c r="E6148" s="11"/>
      <c r="F6148" s="11"/>
      <c r="G6148" s="11"/>
      <c r="H6148" s="11"/>
      <c r="I6148" s="15"/>
    </row>
    <row r="6149" spans="1:9" ht="16.5">
      <c r="A6149" s="10" t="b">
        <v>0</v>
      </c>
      <c r="B6149" s="11" t="str">
        <f>IF(D6149&lt;&gt;"",IF(COUNTIF('USPTO TMs'!A:A,D6149)&gt;0,"Yes","No"),"")</f>
        <v/>
      </c>
      <c r="C6149" s="11"/>
      <c r="D6149" s="11"/>
      <c r="E6149" s="11"/>
      <c r="F6149" s="11"/>
      <c r="G6149" s="11"/>
      <c r="H6149" s="11"/>
      <c r="I6149" s="15"/>
    </row>
    <row r="6150" spans="1:9" ht="16.5">
      <c r="A6150" s="10" t="b">
        <v>0</v>
      </c>
      <c r="B6150" s="11" t="str">
        <f>IF(D6150&lt;&gt;"",IF(COUNTIF('USPTO TMs'!A:A,D6150)&gt;0,"Yes","No"),"")</f>
        <v/>
      </c>
      <c r="C6150" s="11"/>
      <c r="D6150" s="11"/>
      <c r="E6150" s="11"/>
      <c r="F6150" s="11"/>
      <c r="G6150" s="11"/>
      <c r="H6150" s="11"/>
      <c r="I6150" s="15"/>
    </row>
    <row r="6151" spans="1:9" ht="16.5">
      <c r="A6151" s="10" t="b">
        <v>0</v>
      </c>
      <c r="B6151" s="11" t="str">
        <f>IF(D6151&lt;&gt;"",IF(COUNTIF('USPTO TMs'!A:A,D6151)&gt;0,"Yes","No"),"")</f>
        <v/>
      </c>
      <c r="C6151" s="11"/>
      <c r="D6151" s="11"/>
      <c r="E6151" s="11"/>
      <c r="F6151" s="11"/>
      <c r="G6151" s="11"/>
      <c r="H6151" s="11"/>
      <c r="I6151" s="15"/>
    </row>
    <row r="6152" spans="1:9" ht="16.5">
      <c r="A6152" s="10" t="b">
        <v>0</v>
      </c>
      <c r="B6152" s="11" t="str">
        <f>IF(D6152&lt;&gt;"",IF(COUNTIF('USPTO TMs'!A:A,D6152)&gt;0,"Yes","No"),"")</f>
        <v/>
      </c>
      <c r="C6152" s="11"/>
      <c r="D6152" s="11"/>
      <c r="E6152" s="11"/>
      <c r="F6152" s="11"/>
      <c r="G6152" s="11"/>
      <c r="H6152" s="11"/>
      <c r="I6152" s="15"/>
    </row>
    <row r="6153" spans="1:9" ht="16.5">
      <c r="A6153" s="10" t="b">
        <v>0</v>
      </c>
      <c r="B6153" s="11" t="str">
        <f>IF(D6153&lt;&gt;"",IF(COUNTIF('USPTO TMs'!A:A,D6153)&gt;0,"Yes","No"),"")</f>
        <v/>
      </c>
      <c r="C6153" s="11"/>
      <c r="D6153" s="11"/>
      <c r="E6153" s="11"/>
      <c r="F6153" s="11"/>
      <c r="G6153" s="11"/>
      <c r="H6153" s="11"/>
      <c r="I6153" s="15"/>
    </row>
    <row r="6154" spans="1:9" ht="16.5">
      <c r="A6154" s="10" t="b">
        <v>0</v>
      </c>
      <c r="B6154" s="11" t="str">
        <f>IF(D6154&lt;&gt;"",IF(COUNTIF('USPTO TMs'!A:A,D6154)&gt;0,"Yes","No"),"")</f>
        <v/>
      </c>
      <c r="C6154" s="11"/>
      <c r="D6154" s="11"/>
      <c r="E6154" s="11"/>
      <c r="F6154" s="11"/>
      <c r="G6154" s="11"/>
      <c r="H6154" s="11"/>
      <c r="I6154" s="15"/>
    </row>
    <row r="6155" spans="1:9" ht="16.5">
      <c r="A6155" s="10" t="b">
        <v>0</v>
      </c>
      <c r="B6155" s="11" t="str">
        <f>IF(D6155&lt;&gt;"",IF(COUNTIF('USPTO TMs'!A:A,D6155)&gt;0,"Yes","No"),"")</f>
        <v/>
      </c>
      <c r="C6155" s="11"/>
      <c r="D6155" s="11"/>
      <c r="E6155" s="11"/>
      <c r="F6155" s="11"/>
      <c r="G6155" s="11"/>
      <c r="H6155" s="11"/>
      <c r="I6155" s="15"/>
    </row>
    <row r="6156" spans="1:9" ht="16.5">
      <c r="A6156" s="10" t="b">
        <v>0</v>
      </c>
      <c r="B6156" s="11" t="str">
        <f>IF(D6156&lt;&gt;"",IF(COUNTIF('USPTO TMs'!A:A,D6156)&gt;0,"Yes","No"),"")</f>
        <v/>
      </c>
      <c r="C6156" s="11"/>
      <c r="D6156" s="11"/>
      <c r="E6156" s="11"/>
      <c r="F6156" s="11"/>
      <c r="G6156" s="11"/>
      <c r="H6156" s="11"/>
      <c r="I6156" s="15"/>
    </row>
    <row r="6157" spans="1:9" ht="16.5">
      <c r="A6157" s="10" t="b">
        <v>0</v>
      </c>
      <c r="B6157" s="11" t="str">
        <f>IF(D6157&lt;&gt;"",IF(COUNTIF('USPTO TMs'!A:A,D6157)&gt;0,"Yes","No"),"")</f>
        <v/>
      </c>
      <c r="C6157" s="11"/>
      <c r="D6157" s="11"/>
      <c r="E6157" s="11"/>
      <c r="F6157" s="11"/>
      <c r="G6157" s="11"/>
      <c r="H6157" s="11"/>
      <c r="I6157" s="15"/>
    </row>
    <row r="6158" spans="1:9" ht="16.5">
      <c r="A6158" s="10" t="b">
        <v>0</v>
      </c>
      <c r="B6158" s="11" t="str">
        <f>IF(D6158&lt;&gt;"",IF(COUNTIF('USPTO TMs'!A:A,D6158)&gt;0,"Yes","No"),"")</f>
        <v/>
      </c>
      <c r="C6158" s="11"/>
      <c r="D6158" s="11"/>
      <c r="E6158" s="11"/>
      <c r="F6158" s="11"/>
      <c r="G6158" s="11"/>
      <c r="H6158" s="11"/>
      <c r="I6158" s="15"/>
    </row>
    <row r="6159" spans="1:9" ht="16.5">
      <c r="A6159" s="10" t="b">
        <v>0</v>
      </c>
      <c r="B6159" s="11" t="str">
        <f>IF(D6159&lt;&gt;"",IF(COUNTIF('USPTO TMs'!A:A,D6159)&gt;0,"Yes","No"),"")</f>
        <v/>
      </c>
      <c r="C6159" s="11"/>
      <c r="D6159" s="11"/>
      <c r="E6159" s="11"/>
      <c r="F6159" s="11"/>
      <c r="G6159" s="11"/>
      <c r="H6159" s="11"/>
      <c r="I6159" s="15"/>
    </row>
    <row r="6160" spans="1:9" ht="16.5">
      <c r="A6160" s="10" t="b">
        <v>0</v>
      </c>
      <c r="B6160" s="11" t="str">
        <f>IF(D6160&lt;&gt;"",IF(COUNTIF('USPTO TMs'!A:A,D6160)&gt;0,"Yes","No"),"")</f>
        <v/>
      </c>
      <c r="C6160" s="11"/>
      <c r="D6160" s="11"/>
      <c r="E6160" s="11"/>
      <c r="F6160" s="11"/>
      <c r="G6160" s="11"/>
      <c r="H6160" s="11"/>
      <c r="I6160" s="15"/>
    </row>
    <row r="6161" spans="1:9" ht="16.5">
      <c r="A6161" s="10" t="b">
        <v>0</v>
      </c>
      <c r="B6161" s="11" t="str">
        <f>IF(D6161&lt;&gt;"",IF(COUNTIF('USPTO TMs'!A:A,D6161)&gt;0,"Yes","No"),"")</f>
        <v/>
      </c>
      <c r="C6161" s="11"/>
      <c r="D6161" s="11"/>
      <c r="E6161" s="11"/>
      <c r="F6161" s="11"/>
      <c r="G6161" s="11"/>
      <c r="H6161" s="11"/>
      <c r="I6161" s="15"/>
    </row>
    <row r="6162" spans="1:9" ht="16.5">
      <c r="A6162" s="10" t="b">
        <v>0</v>
      </c>
      <c r="B6162" s="11" t="str">
        <f>IF(D6162&lt;&gt;"",IF(COUNTIF('USPTO TMs'!A:A,D6162)&gt;0,"Yes","No"),"")</f>
        <v/>
      </c>
      <c r="C6162" s="11"/>
      <c r="D6162" s="11"/>
      <c r="E6162" s="11"/>
      <c r="F6162" s="11"/>
      <c r="G6162" s="11"/>
      <c r="H6162" s="11"/>
      <c r="I6162" s="15"/>
    </row>
    <row r="6163" spans="1:9" ht="16.5">
      <c r="A6163" s="10" t="b">
        <v>0</v>
      </c>
      <c r="B6163" s="11" t="str">
        <f>IF(D6163&lt;&gt;"",IF(COUNTIF('USPTO TMs'!A:A,D6163)&gt;0,"Yes","No"),"")</f>
        <v/>
      </c>
      <c r="C6163" s="11"/>
      <c r="D6163" s="11"/>
      <c r="E6163" s="11"/>
      <c r="F6163" s="11"/>
      <c r="G6163" s="11"/>
      <c r="H6163" s="11"/>
      <c r="I6163" s="15"/>
    </row>
    <row r="6164" spans="1:9" ht="16.5">
      <c r="A6164" s="10" t="b">
        <v>0</v>
      </c>
      <c r="B6164" s="11" t="str">
        <f>IF(D6164&lt;&gt;"",IF(COUNTIF('USPTO TMs'!A:A,D6164)&gt;0,"Yes","No"),"")</f>
        <v/>
      </c>
      <c r="C6164" s="11"/>
      <c r="D6164" s="11"/>
      <c r="E6164" s="11"/>
      <c r="F6164" s="11"/>
      <c r="G6164" s="11"/>
      <c r="H6164" s="11"/>
      <c r="I6164" s="15"/>
    </row>
    <row r="6165" spans="1:9" ht="16.5">
      <c r="A6165" s="10" t="b">
        <v>0</v>
      </c>
      <c r="B6165" s="11" t="str">
        <f>IF(D6165&lt;&gt;"",IF(COUNTIF('USPTO TMs'!A:A,D6165)&gt;0,"Yes","No"),"")</f>
        <v/>
      </c>
      <c r="C6165" s="11"/>
      <c r="D6165" s="11"/>
      <c r="E6165" s="11"/>
      <c r="F6165" s="11"/>
      <c r="G6165" s="11"/>
      <c r="H6165" s="11"/>
      <c r="I6165" s="15"/>
    </row>
    <row r="6166" spans="1:9" ht="16.5">
      <c r="A6166" s="10" t="b">
        <v>0</v>
      </c>
      <c r="B6166" s="11" t="str">
        <f>IF(D6166&lt;&gt;"",IF(COUNTIF('USPTO TMs'!A:A,D6166)&gt;0,"Yes","No"),"")</f>
        <v/>
      </c>
      <c r="C6166" s="11"/>
      <c r="D6166" s="11"/>
      <c r="E6166" s="11"/>
      <c r="F6166" s="11"/>
      <c r="G6166" s="11"/>
      <c r="H6166" s="11"/>
      <c r="I6166" s="15"/>
    </row>
    <row r="6167" spans="1:9" ht="16.5">
      <c r="A6167" s="10" t="b">
        <v>0</v>
      </c>
      <c r="B6167" s="11" t="str">
        <f>IF(D6167&lt;&gt;"",IF(COUNTIF('USPTO TMs'!A:A,D6167)&gt;0,"Yes","No"),"")</f>
        <v/>
      </c>
      <c r="C6167" s="11"/>
      <c r="D6167" s="11"/>
      <c r="E6167" s="11"/>
      <c r="F6167" s="11"/>
      <c r="G6167" s="11"/>
      <c r="H6167" s="11"/>
      <c r="I6167" s="15"/>
    </row>
    <row r="6168" spans="1:9" ht="16.5">
      <c r="A6168" s="10" t="b">
        <v>0</v>
      </c>
      <c r="B6168" s="11" t="str">
        <f>IF(D6168&lt;&gt;"",IF(COUNTIF('USPTO TMs'!A:A,D6168)&gt;0,"Yes","No"),"")</f>
        <v/>
      </c>
      <c r="C6168" s="11"/>
      <c r="D6168" s="11"/>
      <c r="E6168" s="11"/>
      <c r="F6168" s="11"/>
      <c r="G6168" s="11"/>
      <c r="H6168" s="11"/>
      <c r="I6168" s="15"/>
    </row>
    <row r="6169" spans="1:9" ht="16.5">
      <c r="A6169" s="10" t="b">
        <v>0</v>
      </c>
      <c r="B6169" s="11" t="str">
        <f>IF(D6169&lt;&gt;"",IF(COUNTIF('USPTO TMs'!A:A,D6169)&gt;0,"Yes","No"),"")</f>
        <v/>
      </c>
      <c r="C6169" s="11"/>
      <c r="D6169" s="11"/>
      <c r="E6169" s="11"/>
      <c r="F6169" s="11"/>
      <c r="G6169" s="11"/>
      <c r="H6169" s="11"/>
      <c r="I6169" s="15"/>
    </row>
    <row r="6170" spans="1:9" ht="16.5">
      <c r="A6170" s="10" t="b">
        <v>0</v>
      </c>
      <c r="B6170" s="11" t="str">
        <f>IF(D6170&lt;&gt;"",IF(COUNTIF('USPTO TMs'!A:A,D6170)&gt;0,"Yes","No"),"")</f>
        <v/>
      </c>
      <c r="C6170" s="11"/>
      <c r="D6170" s="11"/>
      <c r="E6170" s="11"/>
      <c r="F6170" s="11"/>
      <c r="G6170" s="11"/>
      <c r="H6170" s="11"/>
      <c r="I6170" s="15"/>
    </row>
    <row r="6171" spans="1:9" ht="16.5">
      <c r="A6171" s="10" t="b">
        <v>0</v>
      </c>
      <c r="B6171" s="11" t="str">
        <f>IF(D6171&lt;&gt;"",IF(COUNTIF('USPTO TMs'!A:A,D6171)&gt;0,"Yes","No"),"")</f>
        <v/>
      </c>
      <c r="C6171" s="11"/>
      <c r="D6171" s="11"/>
      <c r="E6171" s="11"/>
      <c r="F6171" s="11"/>
      <c r="G6171" s="11"/>
      <c r="H6171" s="11"/>
      <c r="I6171" s="15"/>
    </row>
    <row r="6172" spans="1:9" ht="16.5">
      <c r="A6172" s="10" t="b">
        <v>0</v>
      </c>
      <c r="B6172" s="11" t="str">
        <f>IF(D6172&lt;&gt;"",IF(COUNTIF('USPTO TMs'!A:A,D6172)&gt;0,"Yes","No"),"")</f>
        <v/>
      </c>
      <c r="C6172" s="11"/>
      <c r="D6172" s="11"/>
      <c r="E6172" s="11"/>
      <c r="F6172" s="11"/>
      <c r="G6172" s="11"/>
      <c r="H6172" s="11"/>
      <c r="I6172" s="15"/>
    </row>
    <row r="6173" spans="1:9" ht="16.5">
      <c r="A6173" s="10" t="b">
        <v>0</v>
      </c>
      <c r="B6173" s="11" t="str">
        <f>IF(D6173&lt;&gt;"",IF(COUNTIF('USPTO TMs'!A:A,D6173)&gt;0,"Yes","No"),"")</f>
        <v/>
      </c>
      <c r="C6173" s="11"/>
      <c r="D6173" s="11"/>
      <c r="E6173" s="11"/>
      <c r="F6173" s="11"/>
      <c r="G6173" s="11"/>
      <c r="H6173" s="11"/>
      <c r="I6173" s="15"/>
    </row>
    <row r="6174" spans="1:9" ht="16.5">
      <c r="A6174" s="10" t="b">
        <v>0</v>
      </c>
      <c r="B6174" s="11" t="str">
        <f>IF(D6174&lt;&gt;"",IF(COUNTIF('USPTO TMs'!A:A,D6174)&gt;0,"Yes","No"),"")</f>
        <v/>
      </c>
      <c r="C6174" s="11"/>
      <c r="D6174" s="11"/>
      <c r="E6174" s="11"/>
      <c r="F6174" s="11"/>
      <c r="G6174" s="11"/>
      <c r="H6174" s="11"/>
      <c r="I6174" s="15"/>
    </row>
    <row r="6175" spans="1:9" ht="16.5">
      <c r="A6175" s="10" t="b">
        <v>0</v>
      </c>
      <c r="B6175" s="11" t="str">
        <f>IF(D6175&lt;&gt;"",IF(COUNTIF('USPTO TMs'!A:A,D6175)&gt;0,"Yes","No"),"")</f>
        <v/>
      </c>
      <c r="C6175" s="11"/>
      <c r="D6175" s="11"/>
      <c r="E6175" s="11"/>
      <c r="F6175" s="11"/>
      <c r="G6175" s="11"/>
      <c r="H6175" s="11"/>
      <c r="I6175" s="15"/>
    </row>
    <row r="6176" spans="1:9" ht="16.5">
      <c r="A6176" s="10" t="b">
        <v>0</v>
      </c>
      <c r="B6176" s="11" t="str">
        <f>IF(D6176&lt;&gt;"",IF(COUNTIF('USPTO TMs'!A:A,D6176)&gt;0,"Yes","No"),"")</f>
        <v/>
      </c>
      <c r="C6176" s="11"/>
      <c r="D6176" s="11"/>
      <c r="E6176" s="11"/>
      <c r="F6176" s="11"/>
      <c r="G6176" s="11"/>
      <c r="H6176" s="11"/>
      <c r="I6176" s="15"/>
    </row>
    <row r="6177" spans="1:9" ht="16.5">
      <c r="A6177" s="10" t="b">
        <v>0</v>
      </c>
      <c r="B6177" s="11" t="str">
        <f>IF(D6177&lt;&gt;"",IF(COUNTIF('USPTO TMs'!A:A,D6177)&gt;0,"Yes","No"),"")</f>
        <v/>
      </c>
      <c r="C6177" s="11"/>
      <c r="D6177" s="11"/>
      <c r="E6177" s="11"/>
      <c r="F6177" s="11"/>
      <c r="G6177" s="11"/>
      <c r="H6177" s="11"/>
      <c r="I6177" s="15"/>
    </row>
    <row r="6178" spans="1:9" ht="16.5">
      <c r="A6178" s="10" t="b">
        <v>0</v>
      </c>
      <c r="B6178" s="11" t="str">
        <f>IF(D6178&lt;&gt;"",IF(COUNTIF('USPTO TMs'!A:A,D6178)&gt;0,"Yes","No"),"")</f>
        <v/>
      </c>
      <c r="C6178" s="11"/>
      <c r="D6178" s="11"/>
      <c r="E6178" s="11"/>
      <c r="F6178" s="11"/>
      <c r="G6178" s="11"/>
      <c r="H6178" s="11"/>
      <c r="I6178" s="15"/>
    </row>
    <row r="6179" spans="1:9" ht="16.5">
      <c r="A6179" s="10" t="b">
        <v>0</v>
      </c>
      <c r="B6179" s="11" t="str">
        <f>IF(D6179&lt;&gt;"",IF(COUNTIF('USPTO TMs'!A:A,D6179)&gt;0,"Yes","No"),"")</f>
        <v/>
      </c>
      <c r="C6179" s="11"/>
      <c r="D6179" s="11"/>
      <c r="E6179" s="11"/>
      <c r="F6179" s="11"/>
      <c r="G6179" s="11"/>
      <c r="H6179" s="11"/>
      <c r="I6179" s="15"/>
    </row>
    <row r="6180" spans="1:9" ht="16.5">
      <c r="A6180" s="10" t="b">
        <v>0</v>
      </c>
      <c r="B6180" s="11" t="str">
        <f>IF(D6180&lt;&gt;"",IF(COUNTIF('USPTO TMs'!A:A,D6180)&gt;0,"Yes","No"),"")</f>
        <v/>
      </c>
      <c r="C6180" s="11"/>
      <c r="D6180" s="11"/>
      <c r="E6180" s="11"/>
      <c r="F6180" s="11"/>
      <c r="G6180" s="11"/>
      <c r="H6180" s="11"/>
      <c r="I6180" s="15"/>
    </row>
    <row r="6181" spans="1:9" ht="16.5">
      <c r="A6181" s="10" t="b">
        <v>0</v>
      </c>
      <c r="B6181" s="11" t="str">
        <f>IF(D6181&lt;&gt;"",IF(COUNTIF('USPTO TMs'!A:A,D6181)&gt;0,"Yes","No"),"")</f>
        <v/>
      </c>
      <c r="C6181" s="11"/>
      <c r="D6181" s="11"/>
      <c r="E6181" s="11"/>
      <c r="F6181" s="11"/>
      <c r="G6181" s="11"/>
      <c r="H6181" s="11"/>
      <c r="I6181" s="15"/>
    </row>
    <row r="6182" spans="1:9" ht="16.5">
      <c r="A6182" s="10" t="b">
        <v>0</v>
      </c>
      <c r="B6182" s="11" t="str">
        <f>IF(D6182&lt;&gt;"",IF(COUNTIF('USPTO TMs'!A:A,D6182)&gt;0,"Yes","No"),"")</f>
        <v/>
      </c>
      <c r="C6182" s="11"/>
      <c r="D6182" s="11"/>
      <c r="E6182" s="11"/>
      <c r="F6182" s="11"/>
      <c r="G6182" s="11"/>
      <c r="H6182" s="11"/>
      <c r="I6182" s="15"/>
    </row>
    <row r="6183" spans="1:9" ht="16.5">
      <c r="A6183" s="10" t="b">
        <v>0</v>
      </c>
      <c r="B6183" s="11" t="str">
        <f>IF(D6183&lt;&gt;"",IF(COUNTIF('USPTO TMs'!A:A,D6183)&gt;0,"Yes","No"),"")</f>
        <v/>
      </c>
      <c r="C6183" s="11"/>
      <c r="D6183" s="11"/>
      <c r="E6183" s="11"/>
      <c r="F6183" s="11"/>
      <c r="G6183" s="11"/>
      <c r="H6183" s="11"/>
      <c r="I6183" s="15"/>
    </row>
    <row r="6184" spans="1:9" ht="16.5">
      <c r="A6184" s="10" t="b">
        <v>0</v>
      </c>
      <c r="B6184" s="11" t="str">
        <f>IF(D6184&lt;&gt;"",IF(COUNTIF('USPTO TMs'!A:A,D6184)&gt;0,"Yes","No"),"")</f>
        <v/>
      </c>
      <c r="C6184" s="11"/>
      <c r="D6184" s="11"/>
      <c r="E6184" s="11"/>
      <c r="F6184" s="11"/>
      <c r="G6184" s="11"/>
      <c r="H6184" s="11"/>
      <c r="I6184" s="15"/>
    </row>
    <row r="6185" spans="1:9" ht="16.5">
      <c r="A6185" s="10" t="b">
        <v>0</v>
      </c>
      <c r="B6185" s="11" t="str">
        <f>IF(D6185&lt;&gt;"",IF(COUNTIF('USPTO TMs'!A:A,D6185)&gt;0,"Yes","No"),"")</f>
        <v/>
      </c>
      <c r="C6185" s="11"/>
      <c r="D6185" s="11"/>
      <c r="E6185" s="11"/>
      <c r="F6185" s="11"/>
      <c r="G6185" s="11"/>
      <c r="H6185" s="11"/>
      <c r="I6185" s="15"/>
    </row>
    <row r="6186" spans="1:9" ht="16.5">
      <c r="A6186" s="10" t="b">
        <v>0</v>
      </c>
      <c r="B6186" s="11" t="str">
        <f>IF(D6186&lt;&gt;"",IF(COUNTIF('USPTO TMs'!A:A,D6186)&gt;0,"Yes","No"),"")</f>
        <v/>
      </c>
      <c r="C6186" s="11"/>
      <c r="D6186" s="11"/>
      <c r="E6186" s="11"/>
      <c r="F6186" s="11"/>
      <c r="G6186" s="11"/>
      <c r="H6186" s="11"/>
      <c r="I6186" s="15"/>
    </row>
    <row r="6187" spans="1:9" ht="16.5">
      <c r="A6187" s="10" t="b">
        <v>0</v>
      </c>
      <c r="B6187" s="11" t="str">
        <f>IF(D6187&lt;&gt;"",IF(COUNTIF('USPTO TMs'!A:A,D6187)&gt;0,"Yes","No"),"")</f>
        <v/>
      </c>
      <c r="C6187" s="11"/>
      <c r="D6187" s="11"/>
      <c r="E6187" s="11"/>
      <c r="F6187" s="11"/>
      <c r="G6187" s="11"/>
      <c r="H6187" s="11"/>
      <c r="I6187" s="15"/>
    </row>
    <row r="6188" spans="1:9" ht="16.5">
      <c r="A6188" s="10" t="b">
        <v>0</v>
      </c>
      <c r="B6188" s="11" t="str">
        <f>IF(D6188&lt;&gt;"",IF(COUNTIF('USPTO TMs'!A:A,D6188)&gt;0,"Yes","No"),"")</f>
        <v/>
      </c>
      <c r="C6188" s="11"/>
      <c r="D6188" s="11"/>
      <c r="E6188" s="11"/>
      <c r="F6188" s="11"/>
      <c r="G6188" s="11"/>
      <c r="H6188" s="11"/>
      <c r="I6188" s="15"/>
    </row>
    <row r="6189" spans="1:9" ht="16.5">
      <c r="A6189" s="10" t="b">
        <v>0</v>
      </c>
      <c r="B6189" s="11" t="str">
        <f>IF(D6189&lt;&gt;"",IF(COUNTIF('USPTO TMs'!A:A,D6189)&gt;0,"Yes","No"),"")</f>
        <v/>
      </c>
      <c r="C6189" s="11"/>
      <c r="D6189" s="11"/>
      <c r="E6189" s="11"/>
      <c r="F6189" s="11"/>
      <c r="G6189" s="11"/>
      <c r="H6189" s="11"/>
      <c r="I6189" s="15"/>
    </row>
    <row r="6190" spans="1:9" ht="16.5">
      <c r="A6190" s="10" t="b">
        <v>0</v>
      </c>
      <c r="B6190" s="11" t="str">
        <f>IF(D6190&lt;&gt;"",IF(COUNTIF('USPTO TMs'!A:A,D6190)&gt;0,"Yes","No"),"")</f>
        <v/>
      </c>
      <c r="C6190" s="11"/>
      <c r="D6190" s="11"/>
      <c r="E6190" s="11"/>
      <c r="F6190" s="11"/>
      <c r="G6190" s="11"/>
      <c r="H6190" s="11"/>
      <c r="I6190" s="15"/>
    </row>
    <row r="6191" spans="1:9" ht="16.5">
      <c r="A6191" s="10" t="b">
        <v>0</v>
      </c>
      <c r="B6191" s="11" t="str">
        <f>IF(D6191&lt;&gt;"",IF(COUNTIF('USPTO TMs'!A:A,D6191)&gt;0,"Yes","No"),"")</f>
        <v/>
      </c>
      <c r="C6191" s="11"/>
      <c r="D6191" s="11"/>
      <c r="E6191" s="11"/>
      <c r="F6191" s="11"/>
      <c r="G6191" s="11"/>
      <c r="H6191" s="11"/>
      <c r="I6191" s="15"/>
    </row>
    <row r="6192" spans="1:9" ht="16.5">
      <c r="A6192" s="10" t="b">
        <v>0</v>
      </c>
      <c r="B6192" s="11" t="str">
        <f>IF(D6192&lt;&gt;"",IF(COUNTIF('USPTO TMs'!A:A,D6192)&gt;0,"Yes","No"),"")</f>
        <v/>
      </c>
      <c r="C6192" s="11"/>
      <c r="D6192" s="11"/>
      <c r="E6192" s="11"/>
      <c r="F6192" s="11"/>
      <c r="G6192" s="11"/>
      <c r="H6192" s="11"/>
      <c r="I6192" s="15"/>
    </row>
    <row r="6193" spans="1:9" ht="16.5">
      <c r="A6193" s="10" t="b">
        <v>0</v>
      </c>
      <c r="B6193" s="11" t="str">
        <f>IF(D6193&lt;&gt;"",IF(COUNTIF('USPTO TMs'!A:A,D6193)&gt;0,"Yes","No"),"")</f>
        <v/>
      </c>
      <c r="C6193" s="11"/>
      <c r="D6193" s="11"/>
      <c r="E6193" s="11"/>
      <c r="F6193" s="11"/>
      <c r="G6193" s="11"/>
      <c r="H6193" s="11"/>
      <c r="I6193" s="15"/>
    </row>
    <row r="6194" spans="1:9" ht="16.5">
      <c r="A6194" s="10" t="b">
        <v>0</v>
      </c>
      <c r="B6194" s="11" t="str">
        <f>IF(D6194&lt;&gt;"",IF(COUNTIF('USPTO TMs'!A:A,D6194)&gt;0,"Yes","No"),"")</f>
        <v/>
      </c>
      <c r="C6194" s="11"/>
      <c r="D6194" s="11"/>
      <c r="E6194" s="11"/>
      <c r="F6194" s="11"/>
      <c r="G6194" s="11"/>
      <c r="H6194" s="11"/>
      <c r="I6194" s="15"/>
    </row>
    <row r="6195" spans="1:9" ht="16.5">
      <c r="A6195" s="10" t="b">
        <v>0</v>
      </c>
      <c r="B6195" s="11" t="str">
        <f>IF(D6195&lt;&gt;"",IF(COUNTIF('USPTO TMs'!A:A,D6195)&gt;0,"Yes","No"),"")</f>
        <v/>
      </c>
      <c r="C6195" s="11"/>
      <c r="D6195" s="11"/>
      <c r="E6195" s="11"/>
      <c r="F6195" s="11"/>
      <c r="G6195" s="11"/>
      <c r="H6195" s="11"/>
      <c r="I6195" s="15"/>
    </row>
    <row r="6196" spans="1:9" ht="16.5">
      <c r="A6196" s="10" t="b">
        <v>0</v>
      </c>
      <c r="B6196" s="11" t="str">
        <f>IF(D6196&lt;&gt;"",IF(COUNTIF('USPTO TMs'!A:A,D6196)&gt;0,"Yes","No"),"")</f>
        <v/>
      </c>
      <c r="C6196" s="11"/>
      <c r="D6196" s="11"/>
      <c r="E6196" s="11"/>
      <c r="F6196" s="11"/>
      <c r="G6196" s="11"/>
      <c r="H6196" s="11"/>
      <c r="I6196" s="15"/>
    </row>
    <row r="6197" spans="1:9" ht="16.5">
      <c r="A6197" s="10" t="b">
        <v>0</v>
      </c>
      <c r="B6197" s="11" t="str">
        <f>IF(D6197&lt;&gt;"",IF(COUNTIF('USPTO TMs'!A:A,D6197)&gt;0,"Yes","No"),"")</f>
        <v/>
      </c>
      <c r="C6197" s="11"/>
      <c r="D6197" s="11"/>
      <c r="E6197" s="11"/>
      <c r="F6197" s="11"/>
      <c r="G6197" s="11"/>
      <c r="H6197" s="11"/>
      <c r="I6197" s="15"/>
    </row>
    <row r="6198" spans="1:9" ht="16.5">
      <c r="A6198" s="10" t="b">
        <v>0</v>
      </c>
      <c r="B6198" s="11" t="str">
        <f>IF(D6198&lt;&gt;"",IF(COUNTIF('USPTO TMs'!A:A,D6198)&gt;0,"Yes","No"),"")</f>
        <v/>
      </c>
      <c r="C6198" s="11"/>
      <c r="D6198" s="11"/>
      <c r="E6198" s="11"/>
      <c r="F6198" s="11"/>
      <c r="G6198" s="11"/>
      <c r="H6198" s="11"/>
      <c r="I6198" s="15"/>
    </row>
    <row r="6199" spans="1:9" ht="16.5">
      <c r="A6199" s="10" t="b">
        <v>0</v>
      </c>
      <c r="B6199" s="11" t="str">
        <f>IF(D6199&lt;&gt;"",IF(COUNTIF('USPTO TMs'!A:A,D6199)&gt;0,"Yes","No"),"")</f>
        <v/>
      </c>
      <c r="C6199" s="11"/>
      <c r="D6199" s="11"/>
      <c r="E6199" s="11"/>
      <c r="F6199" s="11"/>
      <c r="G6199" s="11"/>
      <c r="H6199" s="11"/>
      <c r="I6199" s="15"/>
    </row>
    <row r="6200" spans="1:9" ht="16.5">
      <c r="A6200" s="10" t="b">
        <v>0</v>
      </c>
      <c r="B6200" s="11" t="str">
        <f>IF(D6200&lt;&gt;"",IF(COUNTIF('USPTO TMs'!A:A,D6200)&gt;0,"Yes","No"),"")</f>
        <v/>
      </c>
      <c r="C6200" s="11"/>
      <c r="D6200" s="11"/>
      <c r="E6200" s="11"/>
      <c r="F6200" s="11"/>
      <c r="G6200" s="11"/>
      <c r="H6200" s="11"/>
      <c r="I6200" s="15"/>
    </row>
    <row r="6201" spans="1:9" ht="16.5">
      <c r="A6201" s="10" t="b">
        <v>0</v>
      </c>
      <c r="B6201" s="11" t="str">
        <f>IF(D6201&lt;&gt;"",IF(COUNTIF('USPTO TMs'!A:A,D6201)&gt;0,"Yes","No"),"")</f>
        <v/>
      </c>
      <c r="C6201" s="11"/>
      <c r="D6201" s="11"/>
      <c r="E6201" s="11"/>
      <c r="F6201" s="11"/>
      <c r="G6201" s="11"/>
      <c r="H6201" s="11"/>
      <c r="I6201" s="15"/>
    </row>
    <row r="6202" spans="1:9" ht="16.5">
      <c r="A6202" s="10" t="b">
        <v>0</v>
      </c>
      <c r="B6202" s="11" t="str">
        <f>IF(D6202&lt;&gt;"",IF(COUNTIF('USPTO TMs'!A:A,D6202)&gt;0,"Yes","No"),"")</f>
        <v/>
      </c>
      <c r="C6202" s="11"/>
      <c r="D6202" s="11"/>
      <c r="E6202" s="11"/>
      <c r="F6202" s="11"/>
      <c r="G6202" s="11"/>
      <c r="H6202" s="11"/>
      <c r="I6202" s="15"/>
    </row>
    <row r="6203" spans="1:9" ht="16.5">
      <c r="A6203" s="10" t="b">
        <v>0</v>
      </c>
      <c r="B6203" s="11" t="str">
        <f>IF(D6203&lt;&gt;"",IF(COUNTIF('USPTO TMs'!A:A,D6203)&gt;0,"Yes","No"),"")</f>
        <v/>
      </c>
      <c r="C6203" s="11"/>
      <c r="D6203" s="11"/>
      <c r="E6203" s="11"/>
      <c r="F6203" s="11"/>
      <c r="G6203" s="11"/>
      <c r="H6203" s="11"/>
      <c r="I6203" s="15"/>
    </row>
    <row r="6204" spans="1:9" ht="16.5">
      <c r="A6204" s="10" t="b">
        <v>0</v>
      </c>
      <c r="B6204" s="11" t="str">
        <f>IF(D6204&lt;&gt;"",IF(COUNTIF('USPTO TMs'!A:A,D6204)&gt;0,"Yes","No"),"")</f>
        <v/>
      </c>
      <c r="C6204" s="11"/>
      <c r="D6204" s="11"/>
      <c r="E6204" s="11"/>
      <c r="F6204" s="11"/>
      <c r="G6204" s="11"/>
      <c r="H6204" s="11"/>
      <c r="I6204" s="15"/>
    </row>
    <row r="6205" spans="1:9" ht="16.5">
      <c r="A6205" s="10" t="b">
        <v>0</v>
      </c>
      <c r="B6205" s="11" t="str">
        <f>IF(D6205&lt;&gt;"",IF(COUNTIF('USPTO TMs'!A:A,D6205)&gt;0,"Yes","No"),"")</f>
        <v/>
      </c>
      <c r="C6205" s="11"/>
      <c r="D6205" s="11"/>
      <c r="E6205" s="11"/>
      <c r="F6205" s="11"/>
      <c r="G6205" s="11"/>
      <c r="H6205" s="11"/>
      <c r="I6205" s="15"/>
    </row>
    <row r="6206" spans="1:9" ht="16.5">
      <c r="A6206" s="10" t="b">
        <v>0</v>
      </c>
      <c r="B6206" s="11" t="str">
        <f>IF(D6206&lt;&gt;"",IF(COUNTIF('USPTO TMs'!A:A,D6206)&gt;0,"Yes","No"),"")</f>
        <v/>
      </c>
      <c r="C6206" s="11"/>
      <c r="D6206" s="11"/>
      <c r="E6206" s="11"/>
      <c r="F6206" s="11"/>
      <c r="G6206" s="11"/>
      <c r="H6206" s="11"/>
      <c r="I6206" s="15"/>
    </row>
    <row r="6207" spans="1:9" ht="16.5">
      <c r="A6207" s="10" t="b">
        <v>0</v>
      </c>
      <c r="B6207" s="11" t="str">
        <f>IF(D6207&lt;&gt;"",IF(COUNTIF('USPTO TMs'!A:A,D6207)&gt;0,"Yes","No"),"")</f>
        <v/>
      </c>
      <c r="C6207" s="11"/>
      <c r="D6207" s="11"/>
      <c r="E6207" s="11"/>
      <c r="F6207" s="11"/>
      <c r="G6207" s="11"/>
      <c r="H6207" s="11"/>
      <c r="I6207" s="15"/>
    </row>
    <row r="6208" spans="1:9" ht="16.5">
      <c r="A6208" s="10" t="b">
        <v>0</v>
      </c>
      <c r="B6208" s="11" t="str">
        <f>IF(D6208&lt;&gt;"",IF(COUNTIF('USPTO TMs'!A:A,D6208)&gt;0,"Yes","No"),"")</f>
        <v/>
      </c>
      <c r="C6208" s="11"/>
      <c r="D6208" s="11"/>
      <c r="E6208" s="11"/>
      <c r="F6208" s="11"/>
      <c r="G6208" s="11"/>
      <c r="H6208" s="11"/>
      <c r="I6208" s="15"/>
    </row>
    <row r="6209" spans="1:9" ht="16.5">
      <c r="A6209" s="10" t="b">
        <v>0</v>
      </c>
      <c r="B6209" s="11" t="str">
        <f>IF(D6209&lt;&gt;"",IF(COUNTIF('USPTO TMs'!A:A,D6209)&gt;0,"Yes","No"),"")</f>
        <v/>
      </c>
      <c r="C6209" s="11"/>
      <c r="D6209" s="11"/>
      <c r="E6209" s="11"/>
      <c r="F6209" s="11"/>
      <c r="G6209" s="11"/>
      <c r="H6209" s="11"/>
      <c r="I6209" s="15"/>
    </row>
    <row r="6210" spans="1:9" ht="16.5">
      <c r="A6210" s="10" t="b">
        <v>0</v>
      </c>
      <c r="B6210" s="11" t="str">
        <f>IF(D6210&lt;&gt;"",IF(COUNTIF('USPTO TMs'!A:A,D6210)&gt;0,"Yes","No"),"")</f>
        <v/>
      </c>
      <c r="C6210" s="11"/>
      <c r="D6210" s="11"/>
      <c r="E6210" s="11"/>
      <c r="F6210" s="11"/>
      <c r="G6210" s="11"/>
      <c r="H6210" s="11"/>
      <c r="I6210" s="15"/>
    </row>
    <row r="6211" spans="1:9" ht="16.5">
      <c r="A6211" s="10" t="b">
        <v>0</v>
      </c>
      <c r="B6211" s="11" t="str">
        <f>IF(D6211&lt;&gt;"",IF(COUNTIF('USPTO TMs'!A:A,D6211)&gt;0,"Yes","No"),"")</f>
        <v/>
      </c>
      <c r="C6211" s="11"/>
      <c r="D6211" s="11"/>
      <c r="E6211" s="11"/>
      <c r="F6211" s="11"/>
      <c r="G6211" s="11"/>
      <c r="H6211" s="11"/>
      <c r="I6211" s="15"/>
    </row>
    <row r="6212" spans="1:9" ht="16.5">
      <c r="A6212" s="10" t="b">
        <v>0</v>
      </c>
      <c r="B6212" s="11" t="str">
        <f>IF(D6212&lt;&gt;"",IF(COUNTIF('USPTO TMs'!A:A,D6212)&gt;0,"Yes","No"),"")</f>
        <v/>
      </c>
      <c r="C6212" s="11"/>
      <c r="D6212" s="11"/>
      <c r="E6212" s="11"/>
      <c r="F6212" s="11"/>
      <c r="G6212" s="11"/>
      <c r="H6212" s="11"/>
      <c r="I6212" s="15"/>
    </row>
    <row r="6213" spans="1:9" ht="16.5">
      <c r="A6213" s="10" t="b">
        <v>0</v>
      </c>
      <c r="B6213" s="11" t="str">
        <f>IF(D6213&lt;&gt;"",IF(COUNTIF('USPTO TMs'!A:A,D6213)&gt;0,"Yes","No"),"")</f>
        <v/>
      </c>
      <c r="C6213" s="11"/>
      <c r="D6213" s="11"/>
      <c r="E6213" s="11"/>
      <c r="F6213" s="11"/>
      <c r="G6213" s="11"/>
      <c r="H6213" s="11"/>
      <c r="I6213" s="15"/>
    </row>
    <row r="6214" spans="1:9" ht="16.5">
      <c r="A6214" s="10" t="b">
        <v>0</v>
      </c>
      <c r="B6214" s="11" t="str">
        <f>IF(D6214&lt;&gt;"",IF(COUNTIF('USPTO TMs'!A:A,D6214)&gt;0,"Yes","No"),"")</f>
        <v/>
      </c>
      <c r="C6214" s="11"/>
      <c r="D6214" s="11"/>
      <c r="E6214" s="11"/>
      <c r="F6214" s="11"/>
      <c r="G6214" s="11"/>
      <c r="H6214" s="11"/>
      <c r="I6214" s="15"/>
    </row>
    <row r="6215" spans="1:9" ht="16.5">
      <c r="A6215" s="10" t="b">
        <v>0</v>
      </c>
      <c r="B6215" s="11" t="str">
        <f>IF(D6215&lt;&gt;"",IF(COUNTIF('USPTO TMs'!A:A,D6215)&gt;0,"Yes","No"),"")</f>
        <v/>
      </c>
      <c r="C6215" s="11"/>
      <c r="D6215" s="11"/>
      <c r="E6215" s="11"/>
      <c r="F6215" s="11"/>
      <c r="G6215" s="11"/>
      <c r="H6215" s="11"/>
      <c r="I6215" s="15"/>
    </row>
    <row r="6216" spans="1:9" ht="16.5">
      <c r="A6216" s="10" t="b">
        <v>0</v>
      </c>
      <c r="B6216" s="11" t="str">
        <f>IF(D6216&lt;&gt;"",IF(COUNTIF('USPTO TMs'!A:A,D6216)&gt;0,"Yes","No"),"")</f>
        <v/>
      </c>
      <c r="C6216" s="11"/>
      <c r="D6216" s="11"/>
      <c r="E6216" s="11"/>
      <c r="F6216" s="11"/>
      <c r="G6216" s="11"/>
      <c r="H6216" s="11"/>
      <c r="I6216" s="15"/>
    </row>
    <row r="6217" spans="1:9" ht="16.5">
      <c r="A6217" s="10" t="b">
        <v>0</v>
      </c>
      <c r="B6217" s="11" t="str">
        <f>IF(D6217&lt;&gt;"",IF(COUNTIF('USPTO TMs'!A:A,D6217)&gt;0,"Yes","No"),"")</f>
        <v/>
      </c>
      <c r="C6217" s="11"/>
      <c r="D6217" s="11"/>
      <c r="E6217" s="11"/>
      <c r="F6217" s="11"/>
      <c r="G6217" s="11"/>
      <c r="H6217" s="11"/>
      <c r="I6217" s="15"/>
    </row>
    <row r="6218" spans="1:9" ht="16.5">
      <c r="A6218" s="10" t="b">
        <v>0</v>
      </c>
      <c r="B6218" s="11" t="str">
        <f>IF(D6218&lt;&gt;"",IF(COUNTIF('USPTO TMs'!A:A,D6218)&gt;0,"Yes","No"),"")</f>
        <v/>
      </c>
      <c r="C6218" s="11"/>
      <c r="D6218" s="11"/>
      <c r="E6218" s="11"/>
      <c r="F6218" s="11"/>
      <c r="G6218" s="11"/>
      <c r="H6218" s="11"/>
      <c r="I6218" s="15"/>
    </row>
    <row r="6219" spans="1:9" ht="16.5">
      <c r="A6219" s="10" t="b">
        <v>0</v>
      </c>
      <c r="B6219" s="11" t="str">
        <f>IF(D6219&lt;&gt;"",IF(COUNTIF('USPTO TMs'!A:A,D6219)&gt;0,"Yes","No"),"")</f>
        <v/>
      </c>
      <c r="C6219" s="11"/>
      <c r="D6219" s="11"/>
      <c r="E6219" s="11"/>
      <c r="F6219" s="11"/>
      <c r="G6219" s="11"/>
      <c r="H6219" s="11"/>
      <c r="I6219" s="15"/>
    </row>
    <row r="6220" spans="1:9" ht="16.5">
      <c r="A6220" s="10" t="b">
        <v>0</v>
      </c>
      <c r="B6220" s="11" t="str">
        <f>IF(D6220&lt;&gt;"",IF(COUNTIF('USPTO TMs'!A:A,D6220)&gt;0,"Yes","No"),"")</f>
        <v/>
      </c>
      <c r="C6220" s="11"/>
      <c r="D6220" s="11"/>
      <c r="E6220" s="11"/>
      <c r="F6220" s="11"/>
      <c r="G6220" s="11"/>
      <c r="H6220" s="11"/>
      <c r="I6220" s="15"/>
    </row>
    <row r="6221" spans="1:9" ht="16.5">
      <c r="A6221" s="10" t="b">
        <v>0</v>
      </c>
      <c r="B6221" s="11" t="str">
        <f>IF(D6221&lt;&gt;"",IF(COUNTIF('USPTO TMs'!A:A,D6221)&gt;0,"Yes","No"),"")</f>
        <v/>
      </c>
      <c r="C6221" s="11"/>
      <c r="D6221" s="11"/>
      <c r="E6221" s="11"/>
      <c r="F6221" s="11"/>
      <c r="G6221" s="11"/>
      <c r="H6221" s="11"/>
      <c r="I6221" s="15"/>
    </row>
    <row r="6222" spans="1:9" ht="16.5">
      <c r="A6222" s="10" t="b">
        <v>0</v>
      </c>
      <c r="B6222" s="11" t="str">
        <f>IF(D6222&lt;&gt;"",IF(COUNTIF('USPTO TMs'!A:A,D6222)&gt;0,"Yes","No"),"")</f>
        <v/>
      </c>
      <c r="C6222" s="11"/>
      <c r="D6222" s="11"/>
      <c r="E6222" s="11"/>
      <c r="F6222" s="11"/>
      <c r="G6222" s="11"/>
      <c r="H6222" s="11"/>
      <c r="I6222" s="15"/>
    </row>
    <row r="6223" spans="1:9" ht="16.5">
      <c r="A6223" s="10" t="b">
        <v>0</v>
      </c>
      <c r="B6223" s="11" t="str">
        <f>IF(D6223&lt;&gt;"",IF(COUNTIF('USPTO TMs'!A:A,D6223)&gt;0,"Yes","No"),"")</f>
        <v/>
      </c>
      <c r="C6223" s="11"/>
      <c r="D6223" s="11"/>
      <c r="E6223" s="11"/>
      <c r="F6223" s="11"/>
      <c r="G6223" s="11"/>
      <c r="H6223" s="11"/>
      <c r="I6223" s="15"/>
    </row>
    <row r="6224" spans="1:9" ht="16.5">
      <c r="A6224" s="10" t="b">
        <v>0</v>
      </c>
      <c r="B6224" s="11" t="str">
        <f>IF(D6224&lt;&gt;"",IF(COUNTIF('USPTO TMs'!A:A,D6224)&gt;0,"Yes","No"),"")</f>
        <v/>
      </c>
      <c r="C6224" s="11"/>
      <c r="D6224" s="11"/>
      <c r="E6224" s="11"/>
      <c r="F6224" s="11"/>
      <c r="G6224" s="11"/>
      <c r="H6224" s="11"/>
      <c r="I6224" s="15"/>
    </row>
    <row r="6225" spans="1:9" ht="16.5">
      <c r="A6225" s="10" t="b">
        <v>0</v>
      </c>
      <c r="B6225" s="11" t="str">
        <f>IF(D6225&lt;&gt;"",IF(COUNTIF('USPTO TMs'!A:A,D6225)&gt;0,"Yes","No"),"")</f>
        <v/>
      </c>
      <c r="C6225" s="11"/>
      <c r="D6225" s="11"/>
      <c r="E6225" s="11"/>
      <c r="F6225" s="11"/>
      <c r="G6225" s="11"/>
      <c r="H6225" s="11"/>
      <c r="I6225" s="15"/>
    </row>
    <row r="6226" spans="1:9" ht="16.5">
      <c r="A6226" s="10" t="b">
        <v>0</v>
      </c>
      <c r="B6226" s="11" t="str">
        <f>IF(D6226&lt;&gt;"",IF(COUNTIF('USPTO TMs'!A:A,D6226)&gt;0,"Yes","No"),"")</f>
        <v/>
      </c>
      <c r="C6226" s="11"/>
      <c r="D6226" s="11"/>
      <c r="E6226" s="11"/>
      <c r="F6226" s="11"/>
      <c r="G6226" s="11"/>
      <c r="H6226" s="11"/>
      <c r="I6226" s="15"/>
    </row>
    <row r="6227" spans="1:9" ht="16.5">
      <c r="A6227" s="10" t="b">
        <v>0</v>
      </c>
      <c r="B6227" s="11" t="str">
        <f>IF(D6227&lt;&gt;"",IF(COUNTIF('USPTO TMs'!A:A,D6227)&gt;0,"Yes","No"),"")</f>
        <v/>
      </c>
      <c r="C6227" s="11"/>
      <c r="D6227" s="11"/>
      <c r="E6227" s="11"/>
      <c r="F6227" s="11"/>
      <c r="G6227" s="11"/>
      <c r="H6227" s="11"/>
      <c r="I6227" s="15"/>
    </row>
    <row r="6228" spans="1:9" ht="16.5">
      <c r="A6228" s="10" t="b">
        <v>0</v>
      </c>
      <c r="B6228" s="11" t="str">
        <f>IF(D6228&lt;&gt;"",IF(COUNTIF('USPTO TMs'!A:A,D6228)&gt;0,"Yes","No"),"")</f>
        <v/>
      </c>
      <c r="C6228" s="11"/>
      <c r="D6228" s="11"/>
      <c r="E6228" s="11"/>
      <c r="F6228" s="11"/>
      <c r="G6228" s="11"/>
      <c r="H6228" s="11"/>
      <c r="I6228" s="15"/>
    </row>
    <row r="6229" spans="1:9" ht="16.5">
      <c r="A6229" s="10" t="b">
        <v>0</v>
      </c>
      <c r="B6229" s="11" t="str">
        <f>IF(D6229&lt;&gt;"",IF(COUNTIF('USPTO TMs'!A:A,D6229)&gt;0,"Yes","No"),"")</f>
        <v/>
      </c>
      <c r="C6229" s="11"/>
      <c r="D6229" s="11"/>
      <c r="E6229" s="11"/>
      <c r="F6229" s="11"/>
      <c r="G6229" s="11"/>
      <c r="H6229" s="11"/>
      <c r="I6229" s="15"/>
    </row>
    <row r="6230" spans="1:9" ht="16.5">
      <c r="A6230" s="10" t="b">
        <v>0</v>
      </c>
      <c r="B6230" s="11" t="str">
        <f>IF(D6230&lt;&gt;"",IF(COUNTIF('USPTO TMs'!A:A,D6230)&gt;0,"Yes","No"),"")</f>
        <v/>
      </c>
      <c r="C6230" s="11"/>
      <c r="D6230" s="11"/>
      <c r="E6230" s="11"/>
      <c r="F6230" s="11"/>
      <c r="G6230" s="11"/>
      <c r="H6230" s="11"/>
      <c r="I6230" s="15"/>
    </row>
    <row r="6231" spans="1:9" ht="16.5">
      <c r="A6231" s="10" t="b">
        <v>0</v>
      </c>
      <c r="B6231" s="11" t="str">
        <f>IF(D6231&lt;&gt;"",IF(COUNTIF('USPTO TMs'!A:A,D6231)&gt;0,"Yes","No"),"")</f>
        <v/>
      </c>
      <c r="C6231" s="11"/>
      <c r="D6231" s="11"/>
      <c r="E6231" s="11"/>
      <c r="F6231" s="11"/>
      <c r="G6231" s="11"/>
      <c r="H6231" s="11"/>
      <c r="I6231" s="15"/>
    </row>
    <row r="6232" spans="1:9" ht="16.5">
      <c r="A6232" s="10" t="b">
        <v>0</v>
      </c>
      <c r="B6232" s="11" t="str">
        <f>IF(D6232&lt;&gt;"",IF(COUNTIF('USPTO TMs'!A:A,D6232)&gt;0,"Yes","No"),"")</f>
        <v/>
      </c>
      <c r="C6232" s="11"/>
      <c r="D6232" s="11"/>
      <c r="E6232" s="11"/>
      <c r="F6232" s="11"/>
      <c r="G6232" s="11"/>
      <c r="H6232" s="11"/>
      <c r="I6232" s="15"/>
    </row>
    <row r="6233" spans="1:9" ht="16.5">
      <c r="A6233" s="10" t="b">
        <v>0</v>
      </c>
      <c r="B6233" s="11" t="str">
        <f>IF(D6233&lt;&gt;"",IF(COUNTIF('USPTO TMs'!A:A,D6233)&gt;0,"Yes","No"),"")</f>
        <v/>
      </c>
      <c r="C6233" s="11"/>
      <c r="D6233" s="11"/>
      <c r="E6233" s="11"/>
      <c r="F6233" s="11"/>
      <c r="G6233" s="11"/>
      <c r="H6233" s="11"/>
      <c r="I6233" s="15"/>
    </row>
    <row r="6234" spans="1:9" ht="16.5">
      <c r="A6234" s="10" t="b">
        <v>0</v>
      </c>
      <c r="B6234" s="11" t="str">
        <f>IF(D6234&lt;&gt;"",IF(COUNTIF('USPTO TMs'!A:A,D6234)&gt;0,"Yes","No"),"")</f>
        <v/>
      </c>
      <c r="C6234" s="11"/>
      <c r="D6234" s="11"/>
      <c r="E6234" s="11"/>
      <c r="F6234" s="11"/>
      <c r="G6234" s="11"/>
      <c r="H6234" s="11"/>
      <c r="I6234" s="15"/>
    </row>
    <row r="6235" spans="1:9" ht="16.5">
      <c r="A6235" s="10" t="b">
        <v>0</v>
      </c>
      <c r="B6235" s="11" t="str">
        <f>IF(D6235&lt;&gt;"",IF(COUNTIF('USPTO TMs'!A:A,D6235)&gt;0,"Yes","No"),"")</f>
        <v/>
      </c>
      <c r="C6235" s="11"/>
      <c r="D6235" s="11"/>
      <c r="E6235" s="11"/>
      <c r="F6235" s="11"/>
      <c r="G6235" s="11"/>
      <c r="H6235" s="11"/>
      <c r="I6235" s="15"/>
    </row>
    <row r="6236" spans="1:9" ht="16.5">
      <c r="A6236" s="10" t="b">
        <v>0</v>
      </c>
      <c r="B6236" s="11" t="str">
        <f>IF(D6236&lt;&gt;"",IF(COUNTIF('USPTO TMs'!A:A,D6236)&gt;0,"Yes","No"),"")</f>
        <v/>
      </c>
      <c r="C6236" s="11"/>
      <c r="D6236" s="11"/>
      <c r="E6236" s="11"/>
      <c r="F6236" s="11"/>
      <c r="G6236" s="11"/>
      <c r="H6236" s="11"/>
      <c r="I6236" s="15"/>
    </row>
    <row r="6237" spans="1:9" ht="16.5">
      <c r="A6237" s="10" t="b">
        <v>0</v>
      </c>
      <c r="B6237" s="11" t="str">
        <f>IF(D6237&lt;&gt;"",IF(COUNTIF('USPTO TMs'!A:A,D6237)&gt;0,"Yes","No"),"")</f>
        <v/>
      </c>
      <c r="C6237" s="11"/>
      <c r="D6237" s="11"/>
      <c r="E6237" s="11"/>
      <c r="F6237" s="11"/>
      <c r="G6237" s="11"/>
      <c r="H6237" s="11"/>
      <c r="I6237" s="15"/>
    </row>
    <row r="6238" spans="1:9" ht="16.5">
      <c r="A6238" s="10" t="b">
        <v>0</v>
      </c>
      <c r="B6238" s="11" t="str">
        <f>IF(D6238&lt;&gt;"",IF(COUNTIF('USPTO TMs'!A:A,D6238)&gt;0,"Yes","No"),"")</f>
        <v/>
      </c>
      <c r="C6238" s="11"/>
      <c r="D6238" s="11"/>
      <c r="E6238" s="11"/>
      <c r="F6238" s="11"/>
      <c r="G6238" s="11"/>
      <c r="H6238" s="11"/>
      <c r="I6238" s="15"/>
    </row>
    <row r="6239" spans="1:9" ht="16.5">
      <c r="A6239" s="10" t="b">
        <v>0</v>
      </c>
      <c r="B6239" s="11" t="str">
        <f>IF(D6239&lt;&gt;"",IF(COUNTIF('USPTO TMs'!A:A,D6239)&gt;0,"Yes","No"),"")</f>
        <v/>
      </c>
      <c r="C6239" s="11"/>
      <c r="D6239" s="11"/>
      <c r="E6239" s="11"/>
      <c r="F6239" s="11"/>
      <c r="G6239" s="11"/>
      <c r="H6239" s="11"/>
      <c r="I6239" s="15"/>
    </row>
    <row r="6240" spans="1:9" ht="16.5">
      <c r="A6240" s="10" t="b">
        <v>0</v>
      </c>
      <c r="B6240" s="11" t="str">
        <f>IF(D6240&lt;&gt;"",IF(COUNTIF('USPTO TMs'!A:A,D6240)&gt;0,"Yes","No"),"")</f>
        <v/>
      </c>
      <c r="C6240" s="11"/>
      <c r="D6240" s="11"/>
      <c r="E6240" s="11"/>
      <c r="F6240" s="11"/>
      <c r="G6240" s="11"/>
      <c r="H6240" s="11"/>
      <c r="I6240" s="15"/>
    </row>
    <row r="6241" spans="1:9" ht="16.5">
      <c r="A6241" s="10" t="b">
        <v>0</v>
      </c>
      <c r="B6241" s="11" t="str">
        <f>IF(D6241&lt;&gt;"",IF(COUNTIF('USPTO TMs'!A:A,D6241)&gt;0,"Yes","No"),"")</f>
        <v/>
      </c>
      <c r="C6241" s="11"/>
      <c r="D6241" s="11"/>
      <c r="E6241" s="11"/>
      <c r="F6241" s="11"/>
      <c r="G6241" s="11"/>
      <c r="H6241" s="11"/>
      <c r="I6241" s="15"/>
    </row>
    <row r="6242" spans="1:9" ht="16.5">
      <c r="A6242" s="10" t="b">
        <v>0</v>
      </c>
      <c r="B6242" s="11" t="str">
        <f>IF(D6242&lt;&gt;"",IF(COUNTIF('USPTO TMs'!A:A,D6242)&gt;0,"Yes","No"),"")</f>
        <v/>
      </c>
      <c r="C6242" s="11"/>
      <c r="D6242" s="11"/>
      <c r="E6242" s="11"/>
      <c r="F6242" s="11"/>
      <c r="G6242" s="11"/>
      <c r="H6242" s="11"/>
      <c r="I6242" s="15"/>
    </row>
    <row r="6243" spans="1:9" ht="16.5">
      <c r="A6243" s="10" t="b">
        <v>0</v>
      </c>
      <c r="B6243" s="11" t="str">
        <f>IF(D6243&lt;&gt;"",IF(COUNTIF('USPTO TMs'!A:A,D6243)&gt;0,"Yes","No"),"")</f>
        <v/>
      </c>
      <c r="C6243" s="11"/>
      <c r="D6243" s="11"/>
      <c r="E6243" s="11"/>
      <c r="F6243" s="11"/>
      <c r="G6243" s="11"/>
      <c r="H6243" s="11"/>
      <c r="I6243" s="15"/>
    </row>
    <row r="6244" spans="1:9" ht="16.5">
      <c r="A6244" s="10" t="b">
        <v>0</v>
      </c>
      <c r="B6244" s="11" t="str">
        <f>IF(D6244&lt;&gt;"",IF(COUNTIF('USPTO TMs'!A:A,D6244)&gt;0,"Yes","No"),"")</f>
        <v/>
      </c>
      <c r="C6244" s="11"/>
      <c r="D6244" s="11"/>
      <c r="E6244" s="11"/>
      <c r="F6244" s="11"/>
      <c r="G6244" s="11"/>
      <c r="H6244" s="11"/>
      <c r="I6244" s="15"/>
    </row>
    <row r="6245" spans="1:9" ht="16.5">
      <c r="A6245" s="10" t="b">
        <v>0</v>
      </c>
      <c r="B6245" s="11" t="str">
        <f>IF(D6245&lt;&gt;"",IF(COUNTIF('USPTO TMs'!A:A,D6245)&gt;0,"Yes","No"),"")</f>
        <v/>
      </c>
      <c r="C6245" s="11"/>
      <c r="D6245" s="11"/>
      <c r="E6245" s="11"/>
      <c r="F6245" s="11"/>
      <c r="G6245" s="11"/>
      <c r="H6245" s="11"/>
      <c r="I6245" s="15"/>
    </row>
    <row r="6246" spans="1:9" ht="16.5">
      <c r="A6246" s="10" t="b">
        <v>0</v>
      </c>
      <c r="B6246" s="11" t="str">
        <f>IF(D6246&lt;&gt;"",IF(COUNTIF('USPTO TMs'!A:A,D6246)&gt;0,"Yes","No"),"")</f>
        <v/>
      </c>
      <c r="C6246" s="11"/>
      <c r="D6246" s="11"/>
      <c r="E6246" s="11"/>
      <c r="F6246" s="11"/>
      <c r="G6246" s="11"/>
      <c r="H6246" s="11"/>
      <c r="I6246" s="15"/>
    </row>
    <row r="6247" spans="1:9" ht="16.5">
      <c r="A6247" s="10" t="b">
        <v>0</v>
      </c>
      <c r="B6247" s="11" t="str">
        <f>IF(D6247&lt;&gt;"",IF(COUNTIF('USPTO TMs'!A:A,D6247)&gt;0,"Yes","No"),"")</f>
        <v/>
      </c>
      <c r="C6247" s="11"/>
      <c r="D6247" s="11"/>
      <c r="E6247" s="11"/>
      <c r="F6247" s="11"/>
      <c r="G6247" s="11"/>
      <c r="H6247" s="11"/>
      <c r="I6247" s="15"/>
    </row>
    <row r="6248" spans="1:9" ht="16.5">
      <c r="A6248" s="10" t="b">
        <v>0</v>
      </c>
      <c r="B6248" s="11" t="str">
        <f>IF(D6248&lt;&gt;"",IF(COUNTIF('USPTO TMs'!A:A,D6248)&gt;0,"Yes","No"),"")</f>
        <v/>
      </c>
      <c r="C6248" s="11"/>
      <c r="D6248" s="11"/>
      <c r="E6248" s="11"/>
      <c r="F6248" s="11"/>
      <c r="G6248" s="11"/>
      <c r="H6248" s="11"/>
      <c r="I6248" s="15"/>
    </row>
    <row r="6249" spans="1:9" ht="16.5">
      <c r="A6249" s="10" t="b">
        <v>0</v>
      </c>
      <c r="B6249" s="11" t="str">
        <f>IF(D6249&lt;&gt;"",IF(COUNTIF('USPTO TMs'!A:A,D6249)&gt;0,"Yes","No"),"")</f>
        <v/>
      </c>
      <c r="C6249" s="11"/>
      <c r="D6249" s="11"/>
      <c r="E6249" s="11"/>
      <c r="F6249" s="11"/>
      <c r="G6249" s="11"/>
      <c r="H6249" s="11"/>
      <c r="I6249" s="15"/>
    </row>
    <row r="6250" spans="1:9" ht="16.5">
      <c r="A6250" s="10" t="b">
        <v>0</v>
      </c>
      <c r="B6250" s="11" t="str">
        <f>IF(D6250&lt;&gt;"",IF(COUNTIF('USPTO TMs'!A:A,D6250)&gt;0,"Yes","No"),"")</f>
        <v/>
      </c>
      <c r="C6250" s="11"/>
      <c r="D6250" s="11"/>
      <c r="E6250" s="11"/>
      <c r="F6250" s="11"/>
      <c r="G6250" s="11"/>
      <c r="H6250" s="11"/>
      <c r="I6250" s="15"/>
    </row>
    <row r="6251" spans="1:9" ht="16.5">
      <c r="A6251" s="10" t="b">
        <v>0</v>
      </c>
      <c r="B6251" s="11" t="str">
        <f>IF(D6251&lt;&gt;"",IF(COUNTIF('USPTO TMs'!A:A,D6251)&gt;0,"Yes","No"),"")</f>
        <v/>
      </c>
      <c r="C6251" s="11"/>
      <c r="D6251" s="11"/>
      <c r="E6251" s="11"/>
      <c r="F6251" s="11"/>
      <c r="G6251" s="11"/>
      <c r="H6251" s="11"/>
      <c r="I6251" s="15"/>
    </row>
    <row r="6252" spans="1:9" ht="16.5">
      <c r="A6252" s="10" t="b">
        <v>0</v>
      </c>
      <c r="B6252" s="11" t="str">
        <f>IF(D6252&lt;&gt;"",IF(COUNTIF('USPTO TMs'!A:A,D6252)&gt;0,"Yes","No"),"")</f>
        <v/>
      </c>
      <c r="C6252" s="11"/>
      <c r="D6252" s="11"/>
      <c r="E6252" s="11"/>
      <c r="F6252" s="11"/>
      <c r="G6252" s="11"/>
      <c r="H6252" s="11"/>
      <c r="I6252" s="15"/>
    </row>
    <row r="6253" spans="1:9" ht="16.5">
      <c r="A6253" s="10" t="b">
        <v>0</v>
      </c>
      <c r="B6253" s="11" t="str">
        <f>IF(D6253&lt;&gt;"",IF(COUNTIF('USPTO TMs'!A:A,D6253)&gt;0,"Yes","No"),"")</f>
        <v/>
      </c>
      <c r="C6253" s="11"/>
      <c r="D6253" s="11"/>
      <c r="E6253" s="11"/>
      <c r="F6253" s="11"/>
      <c r="G6253" s="11"/>
      <c r="H6253" s="11"/>
      <c r="I6253" s="15"/>
    </row>
    <row r="6254" spans="1:9" ht="16.5">
      <c r="A6254" s="10" t="b">
        <v>0</v>
      </c>
      <c r="B6254" s="11" t="str">
        <f>IF(D6254&lt;&gt;"",IF(COUNTIF('USPTO TMs'!A:A,D6254)&gt;0,"Yes","No"),"")</f>
        <v/>
      </c>
      <c r="C6254" s="11"/>
      <c r="D6254" s="11"/>
      <c r="E6254" s="11"/>
      <c r="F6254" s="11"/>
      <c r="G6254" s="11"/>
      <c r="H6254" s="11"/>
      <c r="I6254" s="15"/>
    </row>
    <row r="6255" spans="1:9" ht="16.5">
      <c r="A6255" s="10" t="b">
        <v>0</v>
      </c>
      <c r="B6255" s="11" t="str">
        <f>IF(D6255&lt;&gt;"",IF(COUNTIF('USPTO TMs'!A:A,D6255)&gt;0,"Yes","No"),"")</f>
        <v/>
      </c>
      <c r="C6255" s="11"/>
      <c r="D6255" s="11"/>
      <c r="E6255" s="11"/>
      <c r="F6255" s="11"/>
      <c r="G6255" s="11"/>
      <c r="H6255" s="11"/>
      <c r="I6255" s="15"/>
    </row>
    <row r="6256" spans="1:9" ht="16.5">
      <c r="A6256" s="10" t="b">
        <v>0</v>
      </c>
      <c r="B6256" s="11" t="str">
        <f>IF(D6256&lt;&gt;"",IF(COUNTIF('USPTO TMs'!A:A,D6256)&gt;0,"Yes","No"),"")</f>
        <v/>
      </c>
      <c r="C6256" s="11"/>
      <c r="D6256" s="11"/>
      <c r="E6256" s="11"/>
      <c r="F6256" s="11"/>
      <c r="G6256" s="11"/>
      <c r="H6256" s="11"/>
      <c r="I6256" s="15"/>
    </row>
    <row r="6257" spans="1:9" ht="16.5">
      <c r="A6257" s="10" t="b">
        <v>0</v>
      </c>
      <c r="B6257" s="11" t="str">
        <f>IF(D6257&lt;&gt;"",IF(COUNTIF('USPTO TMs'!A:A,D6257)&gt;0,"Yes","No"),"")</f>
        <v/>
      </c>
      <c r="C6257" s="11"/>
      <c r="D6257" s="11"/>
      <c r="E6257" s="11"/>
      <c r="F6257" s="11"/>
      <c r="G6257" s="11"/>
      <c r="H6257" s="11"/>
      <c r="I6257" s="15"/>
    </row>
    <row r="6258" spans="1:9" ht="16.5">
      <c r="A6258" s="10" t="b">
        <v>0</v>
      </c>
      <c r="B6258" s="11" t="str">
        <f>IF(D6258&lt;&gt;"",IF(COUNTIF('USPTO TMs'!A:A,D6258)&gt;0,"Yes","No"),"")</f>
        <v/>
      </c>
      <c r="C6258" s="11"/>
      <c r="D6258" s="11"/>
      <c r="E6258" s="11"/>
      <c r="F6258" s="11"/>
      <c r="G6258" s="11"/>
      <c r="H6258" s="11"/>
      <c r="I6258" s="15"/>
    </row>
    <row r="6259" spans="1:9" ht="16.5">
      <c r="A6259" s="10" t="b">
        <v>0</v>
      </c>
      <c r="B6259" s="11" t="str">
        <f>IF(D6259&lt;&gt;"",IF(COUNTIF('USPTO TMs'!A:A,D6259)&gt;0,"Yes","No"),"")</f>
        <v/>
      </c>
      <c r="C6259" s="11"/>
      <c r="D6259" s="11"/>
      <c r="E6259" s="11"/>
      <c r="F6259" s="11"/>
      <c r="G6259" s="11"/>
      <c r="H6259" s="11"/>
      <c r="I6259" s="15"/>
    </row>
    <row r="6260" spans="1:9" ht="16.5">
      <c r="A6260" s="10" t="b">
        <v>0</v>
      </c>
      <c r="B6260" s="11" t="str">
        <f>IF(D6260&lt;&gt;"",IF(COUNTIF('USPTO TMs'!A:A,D6260)&gt;0,"Yes","No"),"")</f>
        <v/>
      </c>
      <c r="C6260" s="11"/>
      <c r="D6260" s="11"/>
      <c r="E6260" s="11"/>
      <c r="F6260" s="11"/>
      <c r="G6260" s="11"/>
      <c r="H6260" s="11"/>
      <c r="I6260" s="15"/>
    </row>
    <row r="6261" spans="1:9" ht="16.5">
      <c r="A6261" s="10" t="b">
        <v>0</v>
      </c>
      <c r="B6261" s="11" t="str">
        <f>IF(D6261&lt;&gt;"",IF(COUNTIF('USPTO TMs'!A:A,D6261)&gt;0,"Yes","No"),"")</f>
        <v/>
      </c>
      <c r="C6261" s="11"/>
      <c r="D6261" s="11"/>
      <c r="E6261" s="11"/>
      <c r="F6261" s="11"/>
      <c r="G6261" s="11"/>
      <c r="H6261" s="11"/>
      <c r="I6261" s="15"/>
    </row>
    <row r="6262" spans="1:9" ht="16.5">
      <c r="A6262" s="10" t="b">
        <v>0</v>
      </c>
      <c r="B6262" s="11" t="str">
        <f>IF(D6262&lt;&gt;"",IF(COUNTIF('USPTO TMs'!A:A,D6262)&gt;0,"Yes","No"),"")</f>
        <v/>
      </c>
      <c r="C6262" s="11"/>
      <c r="D6262" s="11"/>
      <c r="E6262" s="11"/>
      <c r="F6262" s="11"/>
      <c r="G6262" s="11"/>
      <c r="H6262" s="11"/>
      <c r="I6262" s="15"/>
    </row>
    <row r="6263" spans="1:9" ht="16.5">
      <c r="A6263" s="10" t="b">
        <v>0</v>
      </c>
      <c r="B6263" s="11" t="str">
        <f>IF(D6263&lt;&gt;"",IF(COUNTIF('USPTO TMs'!A:A,D6263)&gt;0,"Yes","No"),"")</f>
        <v/>
      </c>
      <c r="C6263" s="11"/>
      <c r="D6263" s="11"/>
      <c r="E6263" s="11"/>
      <c r="F6263" s="11"/>
      <c r="G6263" s="11"/>
      <c r="H6263" s="11"/>
      <c r="I6263" s="15"/>
    </row>
    <row r="6264" spans="1:9" ht="16.5">
      <c r="A6264" s="10" t="b">
        <v>0</v>
      </c>
      <c r="B6264" s="11" t="str">
        <f>IF(D6264&lt;&gt;"",IF(COUNTIF('USPTO TMs'!A:A,D6264)&gt;0,"Yes","No"),"")</f>
        <v/>
      </c>
      <c r="C6264" s="11"/>
      <c r="D6264" s="11"/>
      <c r="E6264" s="11"/>
      <c r="F6264" s="11"/>
      <c r="G6264" s="11"/>
      <c r="H6264" s="11"/>
      <c r="I6264" s="15"/>
    </row>
    <row r="6265" spans="1:9" ht="16.5">
      <c r="A6265" s="10" t="b">
        <v>0</v>
      </c>
      <c r="B6265" s="11" t="str">
        <f>IF(D6265&lt;&gt;"",IF(COUNTIF('USPTO TMs'!A:A,D6265)&gt;0,"Yes","No"),"")</f>
        <v/>
      </c>
      <c r="C6265" s="11"/>
      <c r="D6265" s="11"/>
      <c r="E6265" s="11"/>
      <c r="F6265" s="11"/>
      <c r="G6265" s="11"/>
      <c r="H6265" s="11"/>
      <c r="I6265" s="15"/>
    </row>
    <row r="6266" spans="1:9" ht="16.5">
      <c r="A6266" s="10" t="b">
        <v>0</v>
      </c>
      <c r="B6266" s="11" t="str">
        <f>IF(D6266&lt;&gt;"",IF(COUNTIF('USPTO TMs'!A:A,D6266)&gt;0,"Yes","No"),"")</f>
        <v/>
      </c>
      <c r="C6266" s="11"/>
      <c r="D6266" s="11"/>
      <c r="E6266" s="11"/>
      <c r="F6266" s="11"/>
      <c r="G6266" s="11"/>
      <c r="H6266" s="11"/>
      <c r="I6266" s="15"/>
    </row>
    <row r="6267" spans="1:9" ht="16.5">
      <c r="A6267" s="10" t="b">
        <v>0</v>
      </c>
      <c r="B6267" s="11" t="str">
        <f>IF(D6267&lt;&gt;"",IF(COUNTIF('USPTO TMs'!A:A,D6267)&gt;0,"Yes","No"),"")</f>
        <v/>
      </c>
      <c r="C6267" s="11"/>
      <c r="D6267" s="11"/>
      <c r="E6267" s="11"/>
      <c r="F6267" s="11"/>
      <c r="G6267" s="11"/>
      <c r="H6267" s="11"/>
      <c r="I6267" s="15"/>
    </row>
    <row r="6268" spans="1:9" ht="16.5">
      <c r="A6268" s="10" t="b">
        <v>0</v>
      </c>
      <c r="B6268" s="11" t="str">
        <f>IF(D6268&lt;&gt;"",IF(COUNTIF('USPTO TMs'!A:A,D6268)&gt;0,"Yes","No"),"")</f>
        <v/>
      </c>
      <c r="C6268" s="11"/>
      <c r="D6268" s="11"/>
      <c r="E6268" s="11"/>
      <c r="F6268" s="11"/>
      <c r="G6268" s="11"/>
      <c r="H6268" s="11"/>
      <c r="I6268" s="15"/>
    </row>
    <row r="6269" spans="1:9" ht="16.5">
      <c r="A6269" s="10" t="b">
        <v>0</v>
      </c>
      <c r="B6269" s="11" t="str">
        <f>IF(D6269&lt;&gt;"",IF(COUNTIF('USPTO TMs'!A:A,D6269)&gt;0,"Yes","No"),"")</f>
        <v/>
      </c>
      <c r="C6269" s="11"/>
      <c r="D6269" s="11"/>
      <c r="E6269" s="11"/>
      <c r="F6269" s="11"/>
      <c r="G6269" s="11"/>
      <c r="H6269" s="11"/>
      <c r="I6269" s="15"/>
    </row>
    <row r="6270" spans="1:9" ht="16.5">
      <c r="A6270" s="10" t="b">
        <v>0</v>
      </c>
      <c r="B6270" s="11" t="str">
        <f>IF(D6270&lt;&gt;"",IF(COUNTIF('USPTO TMs'!A:A,D6270)&gt;0,"Yes","No"),"")</f>
        <v/>
      </c>
      <c r="C6270" s="11"/>
      <c r="D6270" s="11"/>
      <c r="E6270" s="11"/>
      <c r="F6270" s="11"/>
      <c r="G6270" s="11"/>
      <c r="H6270" s="11"/>
      <c r="I6270" s="15"/>
    </row>
    <row r="6271" spans="1:9" ht="16.5">
      <c r="A6271" s="10" t="b">
        <v>0</v>
      </c>
      <c r="B6271" s="11" t="str">
        <f>IF(D6271&lt;&gt;"",IF(COUNTIF('USPTO TMs'!A:A,D6271)&gt;0,"Yes","No"),"")</f>
        <v/>
      </c>
      <c r="C6271" s="11"/>
      <c r="D6271" s="11"/>
      <c r="E6271" s="11"/>
      <c r="F6271" s="11"/>
      <c r="G6271" s="11"/>
      <c r="H6271" s="11"/>
      <c r="I6271" s="15"/>
    </row>
    <row r="6272" spans="1:9" ht="16.5">
      <c r="A6272" s="10" t="b">
        <v>0</v>
      </c>
      <c r="B6272" s="11" t="str">
        <f>IF(D6272&lt;&gt;"",IF(COUNTIF('USPTO TMs'!A:A,D6272)&gt;0,"Yes","No"),"")</f>
        <v/>
      </c>
      <c r="C6272" s="11"/>
      <c r="D6272" s="11"/>
      <c r="E6272" s="11"/>
      <c r="F6272" s="11"/>
      <c r="G6272" s="11"/>
      <c r="H6272" s="11"/>
      <c r="I6272" s="15"/>
    </row>
    <row r="6273" spans="1:9" ht="16.5">
      <c r="A6273" s="10" t="b">
        <v>0</v>
      </c>
      <c r="B6273" s="11" t="str">
        <f>IF(D6273&lt;&gt;"",IF(COUNTIF('USPTO TMs'!A:A,D6273)&gt;0,"Yes","No"),"")</f>
        <v/>
      </c>
      <c r="C6273" s="11"/>
      <c r="D6273" s="11"/>
      <c r="E6273" s="11"/>
      <c r="F6273" s="11"/>
      <c r="G6273" s="11"/>
      <c r="H6273" s="11"/>
      <c r="I6273" s="15"/>
    </row>
    <row r="6274" spans="1:9" ht="16.5">
      <c r="A6274" s="10" t="b">
        <v>0</v>
      </c>
      <c r="B6274" s="11" t="str">
        <f>IF(D6274&lt;&gt;"",IF(COUNTIF('USPTO TMs'!A:A,D6274)&gt;0,"Yes","No"),"")</f>
        <v/>
      </c>
      <c r="C6274" s="11"/>
      <c r="D6274" s="11"/>
      <c r="E6274" s="11"/>
      <c r="F6274" s="11"/>
      <c r="G6274" s="11"/>
      <c r="H6274" s="11"/>
      <c r="I6274" s="15"/>
    </row>
    <row r="6275" spans="1:9" ht="16.5">
      <c r="A6275" s="10" t="b">
        <v>0</v>
      </c>
      <c r="B6275" s="11" t="str">
        <f>IF(D6275&lt;&gt;"",IF(COUNTIF('USPTO TMs'!A:A,D6275)&gt;0,"Yes","No"),"")</f>
        <v/>
      </c>
      <c r="C6275" s="11"/>
      <c r="D6275" s="11"/>
      <c r="E6275" s="11"/>
      <c r="F6275" s="11"/>
      <c r="G6275" s="11"/>
      <c r="H6275" s="11"/>
      <c r="I6275" s="15"/>
    </row>
    <row r="6276" spans="1:9" ht="16.5">
      <c r="A6276" s="10" t="b">
        <v>0</v>
      </c>
      <c r="B6276" s="11" t="str">
        <f>IF(D6276&lt;&gt;"",IF(COUNTIF('USPTO TMs'!A:A,D6276)&gt;0,"Yes","No"),"")</f>
        <v/>
      </c>
      <c r="C6276" s="11"/>
      <c r="D6276" s="11"/>
      <c r="E6276" s="11"/>
      <c r="F6276" s="11"/>
      <c r="G6276" s="11"/>
      <c r="H6276" s="11"/>
      <c r="I6276" s="15"/>
    </row>
    <row r="6277" spans="1:9" ht="16.5">
      <c r="A6277" s="10" t="b">
        <v>0</v>
      </c>
      <c r="B6277" s="11" t="str">
        <f>IF(D6277&lt;&gt;"",IF(COUNTIF('USPTO TMs'!A:A,D6277)&gt;0,"Yes","No"),"")</f>
        <v/>
      </c>
      <c r="C6277" s="11"/>
      <c r="D6277" s="11"/>
      <c r="E6277" s="11"/>
      <c r="F6277" s="11"/>
      <c r="G6277" s="11"/>
      <c r="H6277" s="11"/>
      <c r="I6277" s="15"/>
    </row>
    <row r="6278" spans="1:9" ht="16.5">
      <c r="A6278" s="10" t="b">
        <v>0</v>
      </c>
      <c r="B6278" s="11" t="str">
        <f>IF(D6278&lt;&gt;"",IF(COUNTIF('USPTO TMs'!A:A,D6278)&gt;0,"Yes","No"),"")</f>
        <v/>
      </c>
      <c r="C6278" s="11"/>
      <c r="D6278" s="11"/>
      <c r="E6278" s="11"/>
      <c r="F6278" s="11"/>
      <c r="G6278" s="11"/>
      <c r="H6278" s="11"/>
      <c r="I6278" s="15"/>
    </row>
    <row r="6279" spans="1:9" ht="16.5">
      <c r="A6279" s="10" t="b">
        <v>0</v>
      </c>
      <c r="B6279" s="11" t="str">
        <f>IF(D6279&lt;&gt;"",IF(COUNTIF('USPTO TMs'!A:A,D6279)&gt;0,"Yes","No"),"")</f>
        <v/>
      </c>
      <c r="C6279" s="11"/>
      <c r="D6279" s="11"/>
      <c r="E6279" s="11"/>
      <c r="F6279" s="11"/>
      <c r="G6279" s="11"/>
      <c r="H6279" s="11"/>
      <c r="I6279" s="15"/>
    </row>
    <row r="6280" spans="1:9" ht="16.5">
      <c r="A6280" s="10" t="b">
        <v>0</v>
      </c>
      <c r="B6280" s="11" t="str">
        <f>IF(D6280&lt;&gt;"",IF(COUNTIF('USPTO TMs'!A:A,D6280)&gt;0,"Yes","No"),"")</f>
        <v/>
      </c>
      <c r="C6280" s="11"/>
      <c r="D6280" s="11"/>
      <c r="E6280" s="11"/>
      <c r="F6280" s="11"/>
      <c r="G6280" s="11"/>
      <c r="H6280" s="11"/>
      <c r="I6280" s="15"/>
    </row>
    <row r="6281" spans="1:9" ht="16.5">
      <c r="A6281" s="10" t="b">
        <v>0</v>
      </c>
      <c r="B6281" s="11" t="str">
        <f>IF(D6281&lt;&gt;"",IF(COUNTIF('USPTO TMs'!A:A,D6281)&gt;0,"Yes","No"),"")</f>
        <v/>
      </c>
      <c r="C6281" s="11"/>
      <c r="D6281" s="11"/>
      <c r="E6281" s="11"/>
      <c r="F6281" s="11"/>
      <c r="G6281" s="11"/>
      <c r="H6281" s="11"/>
      <c r="I6281" s="15"/>
    </row>
    <row r="6282" spans="1:9" ht="16.5">
      <c r="A6282" s="10" t="b">
        <v>0</v>
      </c>
      <c r="B6282" s="11" t="str">
        <f>IF(D6282&lt;&gt;"",IF(COUNTIF('USPTO TMs'!A:A,D6282)&gt;0,"Yes","No"),"")</f>
        <v/>
      </c>
      <c r="C6282" s="11"/>
      <c r="D6282" s="11"/>
      <c r="E6282" s="11"/>
      <c r="F6282" s="11"/>
      <c r="G6282" s="11"/>
      <c r="H6282" s="11"/>
      <c r="I6282" s="15"/>
    </row>
    <row r="6283" spans="1:9" ht="16.5">
      <c r="A6283" s="10" t="b">
        <v>0</v>
      </c>
      <c r="B6283" s="11" t="str">
        <f>IF(D6283&lt;&gt;"",IF(COUNTIF('USPTO TMs'!A:A,D6283)&gt;0,"Yes","No"),"")</f>
        <v/>
      </c>
      <c r="C6283" s="11"/>
      <c r="D6283" s="11"/>
      <c r="E6283" s="11"/>
      <c r="F6283" s="11"/>
      <c r="G6283" s="11"/>
      <c r="H6283" s="11"/>
      <c r="I6283" s="15"/>
    </row>
    <row r="6284" spans="1:9" ht="16.5">
      <c r="A6284" s="10" t="b">
        <v>0</v>
      </c>
      <c r="B6284" s="11" t="str">
        <f>IF(D6284&lt;&gt;"",IF(COUNTIF('USPTO TMs'!A:A,D6284)&gt;0,"Yes","No"),"")</f>
        <v/>
      </c>
      <c r="C6284" s="11"/>
      <c r="D6284" s="11"/>
      <c r="E6284" s="11"/>
      <c r="F6284" s="11"/>
      <c r="G6284" s="11"/>
      <c r="H6284" s="11"/>
      <c r="I6284" s="15"/>
    </row>
    <row r="6285" spans="1:9" ht="16.5">
      <c r="A6285" s="10" t="b">
        <v>0</v>
      </c>
      <c r="B6285" s="11" t="str">
        <f>IF(D6285&lt;&gt;"",IF(COUNTIF('USPTO TMs'!A:A,D6285)&gt;0,"Yes","No"),"")</f>
        <v/>
      </c>
      <c r="C6285" s="11"/>
      <c r="D6285" s="11"/>
      <c r="E6285" s="11"/>
      <c r="F6285" s="11"/>
      <c r="G6285" s="11"/>
      <c r="H6285" s="11"/>
      <c r="I6285" s="15"/>
    </row>
    <row r="6286" spans="1:9" ht="16.5">
      <c r="A6286" s="10" t="b">
        <v>0</v>
      </c>
      <c r="B6286" s="11" t="str">
        <f>IF(D6286&lt;&gt;"",IF(COUNTIF('USPTO TMs'!A:A,D6286)&gt;0,"Yes","No"),"")</f>
        <v/>
      </c>
      <c r="C6286" s="11"/>
      <c r="D6286" s="11"/>
      <c r="E6286" s="11"/>
      <c r="F6286" s="11"/>
      <c r="G6286" s="11"/>
      <c r="H6286" s="11"/>
      <c r="I6286" s="15"/>
    </row>
    <row r="6287" spans="1:9" ht="16.5">
      <c r="A6287" s="10" t="b">
        <v>0</v>
      </c>
      <c r="B6287" s="11" t="str">
        <f>IF(D6287&lt;&gt;"",IF(COUNTIF('USPTO TMs'!A:A,D6287)&gt;0,"Yes","No"),"")</f>
        <v/>
      </c>
      <c r="C6287" s="11"/>
      <c r="D6287" s="11"/>
      <c r="E6287" s="11"/>
      <c r="F6287" s="11"/>
      <c r="G6287" s="11"/>
      <c r="H6287" s="11"/>
      <c r="I6287" s="15"/>
    </row>
    <row r="6288" spans="1:9" ht="16.5">
      <c r="A6288" s="10" t="b">
        <v>0</v>
      </c>
      <c r="B6288" s="11" t="str">
        <f>IF(D6288&lt;&gt;"",IF(COUNTIF('USPTO TMs'!A:A,D6288)&gt;0,"Yes","No"),"")</f>
        <v/>
      </c>
      <c r="C6288" s="11"/>
      <c r="D6288" s="11"/>
      <c r="E6288" s="11"/>
      <c r="F6288" s="11"/>
      <c r="G6288" s="11"/>
      <c r="H6288" s="11"/>
      <c r="I6288" s="15"/>
    </row>
    <row r="6289" spans="1:9" ht="16.5">
      <c r="A6289" s="10" t="b">
        <v>0</v>
      </c>
      <c r="B6289" s="11" t="str">
        <f>IF(D6289&lt;&gt;"",IF(COUNTIF('USPTO TMs'!A:A,D6289)&gt;0,"Yes","No"),"")</f>
        <v/>
      </c>
      <c r="C6289" s="11"/>
      <c r="D6289" s="11"/>
      <c r="E6289" s="11"/>
      <c r="F6289" s="11"/>
      <c r="G6289" s="11"/>
      <c r="H6289" s="11"/>
      <c r="I6289" s="15"/>
    </row>
    <row r="6290" spans="1:9" ht="16.5">
      <c r="A6290" s="10" t="b">
        <v>0</v>
      </c>
      <c r="B6290" s="11" t="str">
        <f>IF(D6290&lt;&gt;"",IF(COUNTIF('USPTO TMs'!A:A,D6290)&gt;0,"Yes","No"),"")</f>
        <v/>
      </c>
      <c r="C6290" s="11"/>
      <c r="D6290" s="11"/>
      <c r="E6290" s="11"/>
      <c r="F6290" s="11"/>
      <c r="G6290" s="11"/>
      <c r="H6290" s="11"/>
      <c r="I6290" s="15"/>
    </row>
    <row r="6291" spans="1:9" ht="16.5">
      <c r="A6291" s="10" t="b">
        <v>0</v>
      </c>
      <c r="B6291" s="11" t="str">
        <f>IF(D6291&lt;&gt;"",IF(COUNTIF('USPTO TMs'!A:A,D6291)&gt;0,"Yes","No"),"")</f>
        <v/>
      </c>
      <c r="C6291" s="11"/>
      <c r="D6291" s="11"/>
      <c r="E6291" s="11"/>
      <c r="F6291" s="11"/>
      <c r="G6291" s="11"/>
      <c r="H6291" s="11"/>
      <c r="I6291" s="15"/>
    </row>
    <row r="6292" spans="1:9" ht="16.5">
      <c r="A6292" s="10" t="b">
        <v>0</v>
      </c>
      <c r="B6292" s="11" t="str">
        <f>IF(D6292&lt;&gt;"",IF(COUNTIF('USPTO TMs'!A:A,D6292)&gt;0,"Yes","No"),"")</f>
        <v/>
      </c>
      <c r="C6292" s="11"/>
      <c r="D6292" s="11"/>
      <c r="E6292" s="11"/>
      <c r="F6292" s="11"/>
      <c r="G6292" s="11"/>
      <c r="H6292" s="11"/>
      <c r="I6292" s="15"/>
    </row>
    <row r="6293" spans="1:9" ht="16.5">
      <c r="A6293" s="10" t="b">
        <v>0</v>
      </c>
      <c r="B6293" s="11" t="str">
        <f>IF(D6293&lt;&gt;"",IF(COUNTIF('USPTO TMs'!A:A,D6293)&gt;0,"Yes","No"),"")</f>
        <v/>
      </c>
      <c r="C6293" s="11"/>
      <c r="D6293" s="11"/>
      <c r="E6293" s="11"/>
      <c r="F6293" s="11"/>
      <c r="G6293" s="11"/>
      <c r="H6293" s="11"/>
      <c r="I6293" s="15"/>
    </row>
    <row r="6294" spans="1:9" ht="16.5">
      <c r="A6294" s="10" t="b">
        <v>0</v>
      </c>
      <c r="B6294" s="11" t="str">
        <f>IF(D6294&lt;&gt;"",IF(COUNTIF('USPTO TMs'!A:A,D6294)&gt;0,"Yes","No"),"")</f>
        <v/>
      </c>
      <c r="C6294" s="11"/>
      <c r="D6294" s="11"/>
      <c r="E6294" s="11"/>
      <c r="F6294" s="11"/>
      <c r="G6294" s="11"/>
      <c r="H6294" s="11"/>
      <c r="I6294" s="15"/>
    </row>
    <row r="6295" spans="1:9" ht="16.5">
      <c r="A6295" s="10" t="b">
        <v>0</v>
      </c>
      <c r="B6295" s="11" t="str">
        <f>IF(D6295&lt;&gt;"",IF(COUNTIF('USPTO TMs'!A:A,D6295)&gt;0,"Yes","No"),"")</f>
        <v/>
      </c>
      <c r="C6295" s="11"/>
      <c r="D6295" s="11"/>
      <c r="E6295" s="11"/>
      <c r="F6295" s="11"/>
      <c r="G6295" s="11"/>
      <c r="H6295" s="11"/>
      <c r="I6295" s="15"/>
    </row>
    <row r="6296" spans="1:9" ht="16.5">
      <c r="A6296" s="10" t="b">
        <v>0</v>
      </c>
      <c r="B6296" s="11" t="str">
        <f>IF(D6296&lt;&gt;"",IF(COUNTIF('USPTO TMs'!A:A,D6296)&gt;0,"Yes","No"),"")</f>
        <v/>
      </c>
      <c r="C6296" s="11"/>
      <c r="D6296" s="11"/>
      <c r="E6296" s="11"/>
      <c r="F6296" s="11"/>
      <c r="G6296" s="11"/>
      <c r="H6296" s="11"/>
      <c r="I6296" s="15"/>
    </row>
    <row r="6297" spans="1:9" ht="16.5">
      <c r="A6297" s="10" t="b">
        <v>0</v>
      </c>
      <c r="B6297" s="11" t="str">
        <f>IF(D6297&lt;&gt;"",IF(COUNTIF('USPTO TMs'!A:A,D6297)&gt;0,"Yes","No"),"")</f>
        <v/>
      </c>
      <c r="C6297" s="11"/>
      <c r="D6297" s="11"/>
      <c r="E6297" s="11"/>
      <c r="F6297" s="11"/>
      <c r="G6297" s="11"/>
      <c r="H6297" s="11"/>
      <c r="I6297" s="15"/>
    </row>
    <row r="6298" spans="1:9" ht="16.5">
      <c r="A6298" s="10" t="b">
        <v>0</v>
      </c>
      <c r="B6298" s="11" t="str">
        <f>IF(D6298&lt;&gt;"",IF(COUNTIF('USPTO TMs'!A:A,D6298)&gt;0,"Yes","No"),"")</f>
        <v/>
      </c>
      <c r="C6298" s="11"/>
      <c r="D6298" s="11"/>
      <c r="E6298" s="11"/>
      <c r="F6298" s="11"/>
      <c r="G6298" s="11"/>
      <c r="H6298" s="11"/>
      <c r="I6298" s="15"/>
    </row>
    <row r="6299" spans="1:9" ht="16.5">
      <c r="A6299" s="10" t="b">
        <v>0</v>
      </c>
      <c r="B6299" s="11" t="str">
        <f>IF(D6299&lt;&gt;"",IF(COUNTIF('USPTO TMs'!A:A,D6299)&gt;0,"Yes","No"),"")</f>
        <v/>
      </c>
      <c r="C6299" s="11"/>
      <c r="D6299" s="11"/>
      <c r="E6299" s="11"/>
      <c r="F6299" s="11"/>
      <c r="G6299" s="11"/>
      <c r="H6299" s="11"/>
      <c r="I6299" s="15"/>
    </row>
    <row r="6300" spans="1:9" ht="16.5">
      <c r="A6300" s="10" t="b">
        <v>0</v>
      </c>
      <c r="B6300" s="11" t="str">
        <f>IF(D6300&lt;&gt;"",IF(COUNTIF('USPTO TMs'!A:A,D6300)&gt;0,"Yes","No"),"")</f>
        <v/>
      </c>
      <c r="C6300" s="11"/>
      <c r="D6300" s="11"/>
      <c r="E6300" s="11"/>
      <c r="F6300" s="11"/>
      <c r="G6300" s="11"/>
      <c r="H6300" s="11"/>
      <c r="I6300" s="15"/>
    </row>
    <row r="6301" spans="1:9" ht="16.5">
      <c r="A6301" s="10" t="b">
        <v>0</v>
      </c>
      <c r="B6301" s="11" t="str">
        <f>IF(D6301&lt;&gt;"",IF(COUNTIF('USPTO TMs'!A:A,D6301)&gt;0,"Yes","No"),"")</f>
        <v/>
      </c>
      <c r="C6301" s="11"/>
      <c r="D6301" s="11"/>
      <c r="E6301" s="11"/>
      <c r="F6301" s="11"/>
      <c r="G6301" s="11"/>
      <c r="H6301" s="11"/>
      <c r="I6301" s="15"/>
    </row>
    <row r="6302" spans="1:9" ht="16.5">
      <c r="A6302" s="10" t="b">
        <v>0</v>
      </c>
      <c r="B6302" s="11" t="str">
        <f>IF(D6302&lt;&gt;"",IF(COUNTIF('USPTO TMs'!A:A,D6302)&gt;0,"Yes","No"),"")</f>
        <v/>
      </c>
      <c r="C6302" s="11"/>
      <c r="D6302" s="11"/>
      <c r="E6302" s="11"/>
      <c r="F6302" s="11"/>
      <c r="G6302" s="11"/>
      <c r="H6302" s="11"/>
      <c r="I6302" s="15"/>
    </row>
    <row r="6303" spans="1:9" ht="16.5">
      <c r="A6303" s="10" t="b">
        <v>0</v>
      </c>
      <c r="B6303" s="11" t="str">
        <f>IF(D6303&lt;&gt;"",IF(COUNTIF('USPTO TMs'!A:A,D6303)&gt;0,"Yes","No"),"")</f>
        <v/>
      </c>
      <c r="C6303" s="11"/>
      <c r="D6303" s="11"/>
      <c r="E6303" s="11"/>
      <c r="F6303" s="11"/>
      <c r="G6303" s="11"/>
      <c r="H6303" s="11"/>
      <c r="I6303" s="15"/>
    </row>
    <row r="6304" spans="1:9" ht="16.5">
      <c r="A6304" s="10" t="b">
        <v>0</v>
      </c>
      <c r="B6304" s="11" t="str">
        <f>IF(D6304&lt;&gt;"",IF(COUNTIF('USPTO TMs'!A:A,D6304)&gt;0,"Yes","No"),"")</f>
        <v/>
      </c>
      <c r="C6304" s="11"/>
      <c r="D6304" s="11"/>
      <c r="E6304" s="11"/>
      <c r="F6304" s="11"/>
      <c r="G6304" s="11"/>
      <c r="H6304" s="11"/>
      <c r="I6304" s="15"/>
    </row>
    <row r="6305" spans="1:9" ht="16.5">
      <c r="A6305" s="10" t="b">
        <v>0</v>
      </c>
      <c r="B6305" s="11" t="str">
        <f>IF(D6305&lt;&gt;"",IF(COUNTIF('USPTO TMs'!A:A,D6305)&gt;0,"Yes","No"),"")</f>
        <v/>
      </c>
      <c r="C6305" s="11"/>
      <c r="D6305" s="11"/>
      <c r="E6305" s="11"/>
      <c r="F6305" s="11"/>
      <c r="G6305" s="11"/>
      <c r="H6305" s="11"/>
      <c r="I6305" s="15"/>
    </row>
    <row r="6306" spans="1:9" ht="16.5">
      <c r="A6306" s="10" t="b">
        <v>0</v>
      </c>
      <c r="B6306" s="11" t="str">
        <f>IF(D6306&lt;&gt;"",IF(COUNTIF('USPTO TMs'!A:A,D6306)&gt;0,"Yes","No"),"")</f>
        <v/>
      </c>
      <c r="C6306" s="11"/>
      <c r="D6306" s="11"/>
      <c r="E6306" s="11"/>
      <c r="F6306" s="11"/>
      <c r="G6306" s="11"/>
      <c r="H6306" s="11"/>
      <c r="I6306" s="15"/>
    </row>
    <row r="6307" spans="1:9" ht="16.5">
      <c r="A6307" s="10" t="b">
        <v>0</v>
      </c>
      <c r="B6307" s="11" t="str">
        <f>IF(D6307&lt;&gt;"",IF(COUNTIF('USPTO TMs'!A:A,D6307)&gt;0,"Yes","No"),"")</f>
        <v/>
      </c>
      <c r="C6307" s="11"/>
      <c r="D6307" s="11"/>
      <c r="E6307" s="11"/>
      <c r="F6307" s="11"/>
      <c r="G6307" s="11"/>
      <c r="H6307" s="11"/>
      <c r="I6307" s="15"/>
    </row>
    <row r="6308" spans="1:9" ht="16.5">
      <c r="A6308" s="10" t="b">
        <v>0</v>
      </c>
      <c r="B6308" s="11" t="str">
        <f>IF(D6308&lt;&gt;"",IF(COUNTIF('USPTO TMs'!A:A,D6308)&gt;0,"Yes","No"),"")</f>
        <v/>
      </c>
      <c r="C6308" s="11"/>
      <c r="D6308" s="11"/>
      <c r="E6308" s="11"/>
      <c r="F6308" s="11"/>
      <c r="G6308" s="11"/>
      <c r="H6308" s="11"/>
      <c r="I6308" s="15"/>
    </row>
    <row r="6309" spans="1:9" ht="16.5">
      <c r="A6309" s="10" t="b">
        <v>0</v>
      </c>
      <c r="B6309" s="11" t="str">
        <f>IF(D6309&lt;&gt;"",IF(COUNTIF('USPTO TMs'!A:A,D6309)&gt;0,"Yes","No"),"")</f>
        <v/>
      </c>
      <c r="C6309" s="11"/>
      <c r="D6309" s="11"/>
      <c r="E6309" s="11"/>
      <c r="F6309" s="11"/>
      <c r="G6309" s="11"/>
      <c r="H6309" s="11"/>
      <c r="I6309" s="15"/>
    </row>
    <row r="6310" spans="1:9" ht="16.5">
      <c r="A6310" s="10" t="b">
        <v>0</v>
      </c>
      <c r="B6310" s="11" t="str">
        <f>IF(D6310&lt;&gt;"",IF(COUNTIF('USPTO TMs'!A:A,D6310)&gt;0,"Yes","No"),"")</f>
        <v/>
      </c>
      <c r="C6310" s="11"/>
      <c r="D6310" s="11"/>
      <c r="E6310" s="11"/>
      <c r="F6310" s="11"/>
      <c r="G6310" s="11"/>
      <c r="H6310" s="11"/>
      <c r="I6310" s="15"/>
    </row>
    <row r="6311" spans="1:9" ht="16.5">
      <c r="A6311" s="10" t="b">
        <v>0</v>
      </c>
      <c r="B6311" s="11" t="str">
        <f>IF(D6311&lt;&gt;"",IF(COUNTIF('USPTO TMs'!A:A,D6311)&gt;0,"Yes","No"),"")</f>
        <v/>
      </c>
      <c r="C6311" s="11"/>
      <c r="D6311" s="11"/>
      <c r="E6311" s="11"/>
      <c r="F6311" s="11"/>
      <c r="G6311" s="11"/>
      <c r="H6311" s="11"/>
      <c r="I6311" s="15"/>
    </row>
    <row r="6312" spans="1:9" ht="16.5">
      <c r="A6312" s="10" t="b">
        <v>0</v>
      </c>
      <c r="B6312" s="11" t="str">
        <f>IF(D6312&lt;&gt;"",IF(COUNTIF('USPTO TMs'!A:A,D6312)&gt;0,"Yes","No"),"")</f>
        <v/>
      </c>
      <c r="C6312" s="11"/>
      <c r="D6312" s="11"/>
      <c r="E6312" s="11"/>
      <c r="F6312" s="11"/>
      <c r="G6312" s="11"/>
      <c r="H6312" s="11"/>
      <c r="I6312" s="15"/>
    </row>
    <row r="6313" spans="1:9" ht="16.5">
      <c r="A6313" s="10" t="b">
        <v>0</v>
      </c>
      <c r="B6313" s="11" t="str">
        <f>IF(D6313&lt;&gt;"",IF(COUNTIF('USPTO TMs'!A:A,D6313)&gt;0,"Yes","No"),"")</f>
        <v/>
      </c>
      <c r="C6313" s="11"/>
      <c r="D6313" s="11"/>
      <c r="E6313" s="11"/>
      <c r="F6313" s="11"/>
      <c r="G6313" s="11"/>
      <c r="H6313" s="11"/>
      <c r="I6313" s="15"/>
    </row>
    <row r="6314" spans="1:9" ht="16.5">
      <c r="A6314" s="10" t="b">
        <v>0</v>
      </c>
      <c r="B6314" s="11" t="str">
        <f>IF(D6314&lt;&gt;"",IF(COUNTIF('USPTO TMs'!A:A,D6314)&gt;0,"Yes","No"),"")</f>
        <v/>
      </c>
      <c r="C6314" s="11"/>
      <c r="D6314" s="11"/>
      <c r="E6314" s="11"/>
      <c r="F6314" s="11"/>
      <c r="G6314" s="11"/>
      <c r="H6314" s="11"/>
      <c r="I6314" s="15"/>
    </row>
    <row r="6315" spans="1:9" ht="16.5">
      <c r="A6315" s="10" t="b">
        <v>0</v>
      </c>
      <c r="B6315" s="11" t="str">
        <f>IF(D6315&lt;&gt;"",IF(COUNTIF('USPTO TMs'!A:A,D6315)&gt;0,"Yes","No"),"")</f>
        <v/>
      </c>
      <c r="C6315" s="11"/>
      <c r="D6315" s="11"/>
      <c r="E6315" s="11"/>
      <c r="F6315" s="11"/>
      <c r="G6315" s="11"/>
      <c r="H6315" s="11"/>
      <c r="I6315" s="15"/>
    </row>
    <row r="6316" spans="1:9" ht="16.5">
      <c r="A6316" s="10" t="b">
        <v>0</v>
      </c>
      <c r="B6316" s="11" t="str">
        <f>IF(D6316&lt;&gt;"",IF(COUNTIF('USPTO TMs'!A:A,D6316)&gt;0,"Yes","No"),"")</f>
        <v/>
      </c>
      <c r="C6316" s="11"/>
      <c r="D6316" s="11"/>
      <c r="E6316" s="11"/>
      <c r="F6316" s="11"/>
      <c r="G6316" s="11"/>
      <c r="H6316" s="11"/>
      <c r="I6316" s="15"/>
    </row>
    <row r="6317" spans="1:9" ht="16.5">
      <c r="A6317" s="10" t="b">
        <v>0</v>
      </c>
      <c r="B6317" s="11" t="str">
        <f>IF(D6317&lt;&gt;"",IF(COUNTIF('USPTO TMs'!A:A,D6317)&gt;0,"Yes","No"),"")</f>
        <v/>
      </c>
      <c r="C6317" s="11"/>
      <c r="D6317" s="11"/>
      <c r="E6317" s="11"/>
      <c r="F6317" s="11"/>
      <c r="G6317" s="11"/>
      <c r="H6317" s="11"/>
      <c r="I6317" s="15"/>
    </row>
    <row r="6318" spans="1:9" ht="16.5">
      <c r="A6318" s="10" t="b">
        <v>0</v>
      </c>
      <c r="B6318" s="11" t="str">
        <f>IF(D6318&lt;&gt;"",IF(COUNTIF('USPTO TMs'!A:A,D6318)&gt;0,"Yes","No"),"")</f>
        <v/>
      </c>
      <c r="C6318" s="11"/>
      <c r="D6318" s="11"/>
      <c r="E6318" s="11"/>
      <c r="F6318" s="11"/>
      <c r="G6318" s="11"/>
      <c r="H6318" s="11"/>
      <c r="I6318" s="15"/>
    </row>
    <row r="6319" spans="1:9" ht="16.5">
      <c r="A6319" s="10" t="b">
        <v>0</v>
      </c>
      <c r="B6319" s="11" t="str">
        <f>IF(D6319&lt;&gt;"",IF(COUNTIF('USPTO TMs'!A:A,D6319)&gt;0,"Yes","No"),"")</f>
        <v/>
      </c>
      <c r="C6319" s="11"/>
      <c r="D6319" s="11"/>
      <c r="E6319" s="11"/>
      <c r="F6319" s="11"/>
      <c r="G6319" s="11"/>
      <c r="H6319" s="11"/>
      <c r="I6319" s="15"/>
    </row>
    <row r="6320" spans="1:9" ht="16.5">
      <c r="A6320" s="10" t="b">
        <v>0</v>
      </c>
      <c r="B6320" s="11" t="str">
        <f>IF(D6320&lt;&gt;"",IF(COUNTIF('USPTO TMs'!A:A,D6320)&gt;0,"Yes","No"),"")</f>
        <v/>
      </c>
      <c r="C6320" s="11"/>
      <c r="D6320" s="11"/>
      <c r="E6320" s="11"/>
      <c r="F6320" s="11"/>
      <c r="G6320" s="11"/>
      <c r="H6320" s="11"/>
      <c r="I6320" s="15"/>
    </row>
    <row r="6321" spans="1:9" ht="16.5">
      <c r="A6321" s="10" t="b">
        <v>0</v>
      </c>
      <c r="B6321" s="11" t="str">
        <f>IF(D6321&lt;&gt;"",IF(COUNTIF('USPTO TMs'!A:A,D6321)&gt;0,"Yes","No"),"")</f>
        <v/>
      </c>
      <c r="C6321" s="11"/>
      <c r="D6321" s="11"/>
      <c r="E6321" s="11"/>
      <c r="F6321" s="11"/>
      <c r="G6321" s="11"/>
      <c r="H6321" s="11"/>
      <c r="I6321" s="15"/>
    </row>
    <row r="6322" spans="1:9" ht="16.5">
      <c r="A6322" s="10" t="b">
        <v>0</v>
      </c>
      <c r="B6322" s="11" t="str">
        <f>IF(D6322&lt;&gt;"",IF(COUNTIF('USPTO TMs'!A:A,D6322)&gt;0,"Yes","No"),"")</f>
        <v/>
      </c>
      <c r="C6322" s="11"/>
      <c r="D6322" s="11"/>
      <c r="E6322" s="11"/>
      <c r="F6322" s="11"/>
      <c r="G6322" s="11"/>
      <c r="H6322" s="11"/>
      <c r="I6322" s="15"/>
    </row>
    <row r="6323" spans="1:9" ht="16.5">
      <c r="A6323" s="10" t="b">
        <v>0</v>
      </c>
      <c r="B6323" s="11" t="str">
        <f>IF(D6323&lt;&gt;"",IF(COUNTIF('USPTO TMs'!A:A,D6323)&gt;0,"Yes","No"),"")</f>
        <v/>
      </c>
      <c r="C6323" s="11"/>
      <c r="D6323" s="11"/>
      <c r="E6323" s="11"/>
      <c r="F6323" s="11"/>
      <c r="G6323" s="11"/>
      <c r="H6323" s="11"/>
      <c r="I6323" s="15"/>
    </row>
    <row r="6324" spans="1:9" ht="16.5">
      <c r="A6324" s="10" t="b">
        <v>0</v>
      </c>
      <c r="B6324" s="11" t="str">
        <f>IF(D6324&lt;&gt;"",IF(COUNTIF('USPTO TMs'!A:A,D6324)&gt;0,"Yes","No"),"")</f>
        <v/>
      </c>
      <c r="C6324" s="11"/>
      <c r="D6324" s="11"/>
      <c r="E6324" s="11"/>
      <c r="F6324" s="11"/>
      <c r="G6324" s="11"/>
      <c r="H6324" s="11"/>
      <c r="I6324" s="15"/>
    </row>
    <row r="6325" spans="1:9" ht="16.5">
      <c r="A6325" s="10" t="b">
        <v>0</v>
      </c>
      <c r="B6325" s="11" t="str">
        <f>IF(D6325&lt;&gt;"",IF(COUNTIF('USPTO TMs'!A:A,D6325)&gt;0,"Yes","No"),"")</f>
        <v/>
      </c>
      <c r="C6325" s="11"/>
      <c r="D6325" s="11"/>
      <c r="E6325" s="11"/>
      <c r="F6325" s="11"/>
      <c r="G6325" s="11"/>
      <c r="H6325" s="11"/>
      <c r="I6325" s="15"/>
    </row>
    <row r="6326" spans="1:9" ht="16.5">
      <c r="A6326" s="10" t="b">
        <v>0</v>
      </c>
      <c r="B6326" s="11" t="str">
        <f>IF(D6326&lt;&gt;"",IF(COUNTIF('USPTO TMs'!A:A,D6326)&gt;0,"Yes","No"),"")</f>
        <v/>
      </c>
      <c r="C6326" s="11"/>
      <c r="D6326" s="11"/>
      <c r="E6326" s="11"/>
      <c r="F6326" s="11"/>
      <c r="G6326" s="11"/>
      <c r="H6326" s="11"/>
      <c r="I6326" s="15"/>
    </row>
    <row r="6327" spans="1:9" ht="16.5">
      <c r="A6327" s="10" t="b">
        <v>0</v>
      </c>
      <c r="B6327" s="11" t="str">
        <f>IF(D6327&lt;&gt;"",IF(COUNTIF('USPTO TMs'!A:A,D6327)&gt;0,"Yes","No"),"")</f>
        <v/>
      </c>
      <c r="C6327" s="11"/>
      <c r="D6327" s="11"/>
      <c r="E6327" s="11"/>
      <c r="F6327" s="11"/>
      <c r="G6327" s="11"/>
      <c r="H6327" s="11"/>
      <c r="I6327" s="15"/>
    </row>
    <row r="6328" spans="1:9" ht="16.5">
      <c r="A6328" s="10" t="b">
        <v>0</v>
      </c>
      <c r="B6328" s="11" t="str">
        <f>IF(D6328&lt;&gt;"",IF(COUNTIF('USPTO TMs'!A:A,D6328)&gt;0,"Yes","No"),"")</f>
        <v/>
      </c>
      <c r="C6328" s="11"/>
      <c r="D6328" s="11"/>
      <c r="E6328" s="11"/>
      <c r="F6328" s="11"/>
      <c r="G6328" s="11"/>
      <c r="H6328" s="11"/>
      <c r="I6328" s="15"/>
    </row>
    <row r="6329" spans="1:9" ht="16.5">
      <c r="A6329" s="10" t="b">
        <v>0</v>
      </c>
      <c r="B6329" s="11" t="str">
        <f>IF(D6329&lt;&gt;"",IF(COUNTIF('USPTO TMs'!A:A,D6329)&gt;0,"Yes","No"),"")</f>
        <v/>
      </c>
      <c r="C6329" s="11"/>
      <c r="D6329" s="11"/>
      <c r="E6329" s="11"/>
      <c r="F6329" s="11"/>
      <c r="G6329" s="11"/>
      <c r="H6329" s="11"/>
      <c r="I6329" s="15"/>
    </row>
    <row r="6330" spans="1:9" ht="16.5">
      <c r="A6330" s="10" t="b">
        <v>0</v>
      </c>
      <c r="B6330" s="11" t="str">
        <f>IF(D6330&lt;&gt;"",IF(COUNTIF('USPTO TMs'!A:A,D6330)&gt;0,"Yes","No"),"")</f>
        <v/>
      </c>
      <c r="C6330" s="11"/>
      <c r="D6330" s="11"/>
      <c r="E6330" s="11"/>
      <c r="F6330" s="11"/>
      <c r="G6330" s="11"/>
      <c r="H6330" s="11"/>
      <c r="I6330" s="15"/>
    </row>
    <row r="6331" spans="1:9" ht="16.5">
      <c r="A6331" s="10" t="b">
        <v>0</v>
      </c>
      <c r="B6331" s="11" t="str">
        <f>IF(D6331&lt;&gt;"",IF(COUNTIF('USPTO TMs'!A:A,D6331)&gt;0,"Yes","No"),"")</f>
        <v/>
      </c>
      <c r="C6331" s="11"/>
      <c r="D6331" s="11"/>
      <c r="E6331" s="11"/>
      <c r="F6331" s="11"/>
      <c r="G6331" s="11"/>
      <c r="H6331" s="11"/>
      <c r="I6331" s="15"/>
    </row>
    <row r="6332" spans="1:9" ht="16.5">
      <c r="A6332" s="10" t="b">
        <v>0</v>
      </c>
      <c r="B6332" s="11" t="str">
        <f>IF(D6332&lt;&gt;"",IF(COUNTIF('USPTO TMs'!A:A,D6332)&gt;0,"Yes","No"),"")</f>
        <v/>
      </c>
      <c r="C6332" s="11"/>
      <c r="D6332" s="11"/>
      <c r="E6332" s="11"/>
      <c r="F6332" s="11"/>
      <c r="G6332" s="11"/>
      <c r="H6332" s="11"/>
      <c r="I6332" s="15"/>
    </row>
    <row r="6333" spans="1:9" ht="16.5">
      <c r="A6333" s="10" t="b">
        <v>0</v>
      </c>
      <c r="B6333" s="11" t="str">
        <f>IF(D6333&lt;&gt;"",IF(COUNTIF('USPTO TMs'!A:A,D6333)&gt;0,"Yes","No"),"")</f>
        <v/>
      </c>
      <c r="C6333" s="11"/>
      <c r="D6333" s="11"/>
      <c r="E6333" s="11"/>
      <c r="F6333" s="11"/>
      <c r="G6333" s="11"/>
      <c r="H6333" s="11"/>
      <c r="I6333" s="15"/>
    </row>
    <row r="6334" spans="1:9" ht="16.5">
      <c r="A6334" s="10" t="b">
        <v>0</v>
      </c>
      <c r="B6334" s="11" t="str">
        <f>IF(D6334&lt;&gt;"",IF(COUNTIF('USPTO TMs'!A:A,D6334)&gt;0,"Yes","No"),"")</f>
        <v/>
      </c>
      <c r="C6334" s="11"/>
      <c r="D6334" s="11"/>
      <c r="E6334" s="11"/>
      <c r="F6334" s="11"/>
      <c r="G6334" s="11"/>
      <c r="H6334" s="11"/>
      <c r="I6334" s="15"/>
    </row>
    <row r="6335" spans="1:9" ht="16.5">
      <c r="A6335" s="10" t="b">
        <v>0</v>
      </c>
      <c r="B6335" s="11" t="str">
        <f>IF(D6335&lt;&gt;"",IF(COUNTIF('USPTO TMs'!A:A,D6335)&gt;0,"Yes","No"),"")</f>
        <v/>
      </c>
      <c r="C6335" s="11"/>
      <c r="D6335" s="11"/>
      <c r="E6335" s="11"/>
      <c r="F6335" s="11"/>
      <c r="G6335" s="11"/>
      <c r="H6335" s="11"/>
      <c r="I6335" s="15"/>
    </row>
    <row r="6336" spans="1:9" ht="16.5">
      <c r="A6336" s="10" t="b">
        <v>0</v>
      </c>
      <c r="B6336" s="11" t="str">
        <f>IF(D6336&lt;&gt;"",IF(COUNTIF('USPTO TMs'!A:A,D6336)&gt;0,"Yes","No"),"")</f>
        <v/>
      </c>
      <c r="C6336" s="11"/>
      <c r="D6336" s="11"/>
      <c r="E6336" s="11"/>
      <c r="F6336" s="11"/>
      <c r="G6336" s="11"/>
      <c r="H6336" s="11"/>
      <c r="I6336" s="15"/>
    </row>
    <row r="6337" spans="1:9" ht="16.5">
      <c r="A6337" s="10" t="b">
        <v>0</v>
      </c>
      <c r="B6337" s="11" t="str">
        <f>IF(D6337&lt;&gt;"",IF(COUNTIF('USPTO TMs'!A:A,D6337)&gt;0,"Yes","No"),"")</f>
        <v/>
      </c>
      <c r="C6337" s="11"/>
      <c r="D6337" s="11"/>
      <c r="E6337" s="11"/>
      <c r="F6337" s="11"/>
      <c r="G6337" s="11"/>
      <c r="H6337" s="11"/>
      <c r="I6337" s="15"/>
    </row>
    <row r="6338" spans="1:9" ht="16.5">
      <c r="A6338" s="10" t="b">
        <v>0</v>
      </c>
      <c r="B6338" s="11" t="str">
        <f>IF(D6338&lt;&gt;"",IF(COUNTIF('USPTO TMs'!A:A,D6338)&gt;0,"Yes","No"),"")</f>
        <v/>
      </c>
      <c r="C6338" s="11"/>
      <c r="D6338" s="11"/>
      <c r="E6338" s="11"/>
      <c r="F6338" s="11"/>
      <c r="G6338" s="11"/>
      <c r="H6338" s="11"/>
      <c r="I6338" s="15"/>
    </row>
    <row r="6339" spans="1:9" ht="16.5">
      <c r="A6339" s="10" t="b">
        <v>0</v>
      </c>
      <c r="B6339" s="11" t="str">
        <f>IF(D6339&lt;&gt;"",IF(COUNTIF('USPTO TMs'!A:A,D6339)&gt;0,"Yes","No"),"")</f>
        <v/>
      </c>
      <c r="C6339" s="11"/>
      <c r="D6339" s="11"/>
      <c r="E6339" s="11"/>
      <c r="F6339" s="11"/>
      <c r="G6339" s="11"/>
      <c r="H6339" s="11"/>
      <c r="I6339" s="15"/>
    </row>
    <row r="6340" spans="1:9" ht="16.5">
      <c r="A6340" s="10" t="b">
        <v>0</v>
      </c>
      <c r="B6340" s="11" t="str">
        <f>IF(D6340&lt;&gt;"",IF(COUNTIF('USPTO TMs'!A:A,D6340)&gt;0,"Yes","No"),"")</f>
        <v/>
      </c>
      <c r="C6340" s="11"/>
      <c r="D6340" s="11"/>
      <c r="E6340" s="11"/>
      <c r="F6340" s="11"/>
      <c r="G6340" s="11"/>
      <c r="H6340" s="11"/>
      <c r="I6340" s="15"/>
    </row>
    <row r="6341" spans="1:9" ht="16.5">
      <c r="A6341" s="10" t="b">
        <v>0</v>
      </c>
      <c r="B6341" s="11" t="str">
        <f>IF(D6341&lt;&gt;"",IF(COUNTIF('USPTO TMs'!A:A,D6341)&gt;0,"Yes","No"),"")</f>
        <v/>
      </c>
      <c r="C6341" s="11"/>
      <c r="D6341" s="11"/>
      <c r="E6341" s="11"/>
      <c r="F6341" s="11"/>
      <c r="G6341" s="11"/>
      <c r="H6341" s="11"/>
      <c r="I6341" s="15"/>
    </row>
    <row r="6342" spans="1:9" ht="16.5">
      <c r="A6342" s="10" t="b">
        <v>0</v>
      </c>
      <c r="B6342" s="11" t="str">
        <f>IF(D6342&lt;&gt;"",IF(COUNTIF('USPTO TMs'!A:A,D6342)&gt;0,"Yes","No"),"")</f>
        <v/>
      </c>
      <c r="C6342" s="11"/>
      <c r="D6342" s="11"/>
      <c r="E6342" s="11"/>
      <c r="F6342" s="11"/>
      <c r="G6342" s="11"/>
      <c r="H6342" s="11"/>
      <c r="I6342" s="15"/>
    </row>
    <row r="6343" spans="1:9" ht="16.5">
      <c r="A6343" s="10" t="b">
        <v>0</v>
      </c>
      <c r="B6343" s="11" t="str">
        <f>IF(D6343&lt;&gt;"",IF(COUNTIF('USPTO TMs'!A:A,D6343)&gt;0,"Yes","No"),"")</f>
        <v/>
      </c>
      <c r="C6343" s="11"/>
      <c r="D6343" s="11"/>
      <c r="E6343" s="11"/>
      <c r="F6343" s="11"/>
      <c r="G6343" s="11"/>
      <c r="H6343" s="11"/>
      <c r="I6343" s="15"/>
    </row>
    <row r="6344" spans="1:9" ht="16.5">
      <c r="A6344" s="10" t="b">
        <v>0</v>
      </c>
      <c r="B6344" s="11" t="str">
        <f>IF(D6344&lt;&gt;"",IF(COUNTIF('USPTO TMs'!A:A,D6344)&gt;0,"Yes","No"),"")</f>
        <v/>
      </c>
      <c r="C6344" s="11"/>
      <c r="D6344" s="11"/>
      <c r="E6344" s="11"/>
      <c r="F6344" s="11"/>
      <c r="G6344" s="11"/>
      <c r="H6344" s="11"/>
      <c r="I6344" s="15"/>
    </row>
    <row r="6345" spans="1:9" ht="16.5">
      <c r="A6345" s="10" t="b">
        <v>0</v>
      </c>
      <c r="B6345" s="11" t="str">
        <f>IF(D6345&lt;&gt;"",IF(COUNTIF('USPTO TMs'!A:A,D6345)&gt;0,"Yes","No"),"")</f>
        <v/>
      </c>
      <c r="C6345" s="11"/>
      <c r="D6345" s="11"/>
      <c r="E6345" s="11"/>
      <c r="F6345" s="11"/>
      <c r="G6345" s="11"/>
      <c r="H6345" s="11"/>
      <c r="I6345" s="15"/>
    </row>
    <row r="6346" spans="1:9" ht="16.5">
      <c r="A6346" s="10" t="b">
        <v>0</v>
      </c>
      <c r="B6346" s="11" t="str">
        <f>IF(D6346&lt;&gt;"",IF(COUNTIF('USPTO TMs'!A:A,D6346)&gt;0,"Yes","No"),"")</f>
        <v/>
      </c>
      <c r="C6346" s="11"/>
      <c r="D6346" s="11"/>
      <c r="E6346" s="11"/>
      <c r="F6346" s="11"/>
      <c r="G6346" s="11"/>
      <c r="H6346" s="11"/>
      <c r="I6346" s="15"/>
    </row>
    <row r="6347" spans="1:9" ht="16.5">
      <c r="A6347" s="10" t="b">
        <v>0</v>
      </c>
      <c r="B6347" s="11" t="str">
        <f>IF(D6347&lt;&gt;"",IF(COUNTIF('USPTO TMs'!A:A,D6347)&gt;0,"Yes","No"),"")</f>
        <v/>
      </c>
      <c r="C6347" s="11"/>
      <c r="D6347" s="11"/>
      <c r="E6347" s="11"/>
      <c r="F6347" s="11"/>
      <c r="G6347" s="11"/>
      <c r="H6347" s="11"/>
      <c r="I6347" s="15"/>
    </row>
    <row r="6348" spans="1:9" ht="16.5">
      <c r="A6348" s="10" t="b">
        <v>0</v>
      </c>
      <c r="B6348" s="11" t="str">
        <f>IF(D6348&lt;&gt;"",IF(COUNTIF('USPTO TMs'!A:A,D6348)&gt;0,"Yes","No"),"")</f>
        <v/>
      </c>
      <c r="C6348" s="11"/>
      <c r="D6348" s="11"/>
      <c r="E6348" s="11"/>
      <c r="F6348" s="11"/>
      <c r="G6348" s="11"/>
      <c r="H6348" s="11"/>
      <c r="I6348" s="15"/>
    </row>
    <row r="6349" spans="1:9" ht="16.5">
      <c r="A6349" s="10" t="b">
        <v>0</v>
      </c>
      <c r="B6349" s="11" t="str">
        <f>IF(D6349&lt;&gt;"",IF(COUNTIF('USPTO TMs'!A:A,D6349)&gt;0,"Yes","No"),"")</f>
        <v/>
      </c>
      <c r="C6349" s="11"/>
      <c r="D6349" s="11"/>
      <c r="E6349" s="11"/>
      <c r="F6349" s="11"/>
      <c r="G6349" s="11"/>
      <c r="H6349" s="11"/>
      <c r="I6349" s="15"/>
    </row>
    <row r="6350" spans="1:9" ht="16.5">
      <c r="A6350" s="10" t="b">
        <v>0</v>
      </c>
      <c r="B6350" s="11" t="str">
        <f>IF(D6350&lt;&gt;"",IF(COUNTIF('USPTO TMs'!A:A,D6350)&gt;0,"Yes","No"),"")</f>
        <v/>
      </c>
      <c r="C6350" s="11"/>
      <c r="D6350" s="11"/>
      <c r="E6350" s="11"/>
      <c r="F6350" s="11"/>
      <c r="G6350" s="11"/>
      <c r="H6350" s="11"/>
      <c r="I6350" s="15"/>
    </row>
    <row r="6351" spans="1:9" ht="16.5">
      <c r="A6351" s="10" t="b">
        <v>0</v>
      </c>
      <c r="B6351" s="11" t="str">
        <f>IF(D6351&lt;&gt;"",IF(COUNTIF('USPTO TMs'!A:A,D6351)&gt;0,"Yes","No"),"")</f>
        <v/>
      </c>
      <c r="C6351" s="11"/>
      <c r="D6351" s="11"/>
      <c r="E6351" s="11"/>
      <c r="F6351" s="11"/>
      <c r="G6351" s="11"/>
      <c r="H6351" s="11"/>
      <c r="I6351" s="15"/>
    </row>
    <row r="6352" spans="1:9" ht="16.5">
      <c r="A6352" s="10" t="b">
        <v>0</v>
      </c>
      <c r="B6352" s="11" t="str">
        <f>IF(D6352&lt;&gt;"",IF(COUNTIF('USPTO TMs'!A:A,D6352)&gt;0,"Yes","No"),"")</f>
        <v/>
      </c>
      <c r="C6352" s="11"/>
      <c r="D6352" s="11"/>
      <c r="E6352" s="11"/>
      <c r="F6352" s="11"/>
      <c r="G6352" s="11"/>
      <c r="H6352" s="11"/>
      <c r="I6352" s="15"/>
    </row>
    <row r="6353" spans="1:9" ht="16.5">
      <c r="A6353" s="10" t="b">
        <v>0</v>
      </c>
      <c r="B6353" s="11" t="str">
        <f>IF(D6353&lt;&gt;"",IF(COUNTIF('USPTO TMs'!A:A,D6353)&gt;0,"Yes","No"),"")</f>
        <v/>
      </c>
      <c r="C6353" s="11"/>
      <c r="D6353" s="11"/>
      <c r="E6353" s="11"/>
      <c r="F6353" s="11"/>
      <c r="G6353" s="11"/>
      <c r="H6353" s="11"/>
      <c r="I6353" s="15"/>
    </row>
    <row r="6354" spans="1:9" ht="16.5">
      <c r="A6354" s="10" t="b">
        <v>0</v>
      </c>
      <c r="B6354" s="11" t="str">
        <f>IF(D6354&lt;&gt;"",IF(COUNTIF('USPTO TMs'!A:A,D6354)&gt;0,"Yes","No"),"")</f>
        <v/>
      </c>
      <c r="C6354" s="11"/>
      <c r="D6354" s="11"/>
      <c r="E6354" s="11"/>
      <c r="F6354" s="11"/>
      <c r="G6354" s="11"/>
      <c r="H6354" s="11"/>
      <c r="I6354" s="15"/>
    </row>
    <row r="6355" spans="1:9" ht="16.5">
      <c r="A6355" s="10" t="b">
        <v>0</v>
      </c>
      <c r="B6355" s="11" t="str">
        <f>IF(D6355&lt;&gt;"",IF(COUNTIF('USPTO TMs'!A:A,D6355)&gt;0,"Yes","No"),"")</f>
        <v/>
      </c>
      <c r="C6355" s="11"/>
      <c r="D6355" s="11"/>
      <c r="E6355" s="11"/>
      <c r="F6355" s="11"/>
      <c r="G6355" s="11"/>
      <c r="H6355" s="11"/>
      <c r="I6355" s="15"/>
    </row>
    <row r="6356" spans="1:9" ht="16.5">
      <c r="A6356" s="10" t="b">
        <v>0</v>
      </c>
      <c r="B6356" s="11" t="str">
        <f>IF(D6356&lt;&gt;"",IF(COUNTIF('USPTO TMs'!A:A,D6356)&gt;0,"Yes","No"),"")</f>
        <v/>
      </c>
      <c r="C6356" s="11"/>
      <c r="D6356" s="11"/>
      <c r="E6356" s="11"/>
      <c r="F6356" s="11"/>
      <c r="G6356" s="11"/>
      <c r="H6356" s="11"/>
      <c r="I6356" s="15"/>
    </row>
    <row r="6357" spans="1:9" ht="16.5">
      <c r="A6357" s="10" t="b">
        <v>0</v>
      </c>
      <c r="B6357" s="11" t="str">
        <f>IF(D6357&lt;&gt;"",IF(COUNTIF('USPTO TMs'!A:A,D6357)&gt;0,"Yes","No"),"")</f>
        <v/>
      </c>
      <c r="C6357" s="11"/>
      <c r="D6357" s="11"/>
      <c r="E6357" s="11"/>
      <c r="F6357" s="11"/>
      <c r="G6357" s="11"/>
      <c r="H6357" s="11"/>
      <c r="I6357" s="15"/>
    </row>
    <row r="6358" spans="1:9" ht="16.5">
      <c r="A6358" s="10" t="b">
        <v>0</v>
      </c>
      <c r="B6358" s="11" t="str">
        <f>IF(D6358&lt;&gt;"",IF(COUNTIF('USPTO TMs'!A:A,D6358)&gt;0,"Yes","No"),"")</f>
        <v/>
      </c>
      <c r="C6358" s="11"/>
      <c r="D6358" s="11"/>
      <c r="E6358" s="11"/>
      <c r="F6358" s="11"/>
      <c r="G6358" s="11"/>
      <c r="H6358" s="11"/>
      <c r="I6358" s="15"/>
    </row>
    <row r="6359" spans="1:9" ht="16.5">
      <c r="A6359" s="10" t="b">
        <v>0</v>
      </c>
      <c r="B6359" s="11" t="str">
        <f>IF(D6359&lt;&gt;"",IF(COUNTIF('USPTO TMs'!A:A,D6359)&gt;0,"Yes","No"),"")</f>
        <v/>
      </c>
      <c r="C6359" s="11"/>
      <c r="D6359" s="11"/>
      <c r="E6359" s="11"/>
      <c r="F6359" s="11"/>
      <c r="G6359" s="11"/>
      <c r="H6359" s="11"/>
      <c r="I6359" s="15"/>
    </row>
    <row r="6360" spans="1:9" ht="16.5">
      <c r="A6360" s="10" t="b">
        <v>0</v>
      </c>
      <c r="B6360" s="11" t="str">
        <f>IF(D6360&lt;&gt;"",IF(COUNTIF('USPTO TMs'!A:A,D6360)&gt;0,"Yes","No"),"")</f>
        <v/>
      </c>
      <c r="C6360" s="11"/>
      <c r="D6360" s="11"/>
      <c r="E6360" s="11"/>
      <c r="F6360" s="11"/>
      <c r="G6360" s="11"/>
      <c r="H6360" s="11"/>
      <c r="I6360" s="15"/>
    </row>
    <row r="6361" spans="1:9" ht="16.5">
      <c r="A6361" s="10" t="b">
        <v>0</v>
      </c>
      <c r="B6361" s="11" t="str">
        <f>IF(D6361&lt;&gt;"",IF(COUNTIF('USPTO TMs'!A:A,D6361)&gt;0,"Yes","No"),"")</f>
        <v/>
      </c>
      <c r="C6361" s="11"/>
      <c r="D6361" s="11"/>
      <c r="E6361" s="11"/>
      <c r="F6361" s="11"/>
      <c r="G6361" s="11"/>
      <c r="H6361" s="11"/>
      <c r="I6361" s="15"/>
    </row>
    <row r="6362" spans="1:9" ht="16.5">
      <c r="A6362" s="10" t="b">
        <v>0</v>
      </c>
      <c r="B6362" s="11" t="str">
        <f>IF(D6362&lt;&gt;"",IF(COUNTIF('USPTO TMs'!A:A,D6362)&gt;0,"Yes","No"),"")</f>
        <v/>
      </c>
      <c r="C6362" s="11"/>
      <c r="D6362" s="11"/>
      <c r="E6362" s="11"/>
      <c r="F6362" s="11"/>
      <c r="G6362" s="11"/>
      <c r="H6362" s="11"/>
      <c r="I6362" s="15"/>
    </row>
    <row r="6363" spans="1:9" ht="16.5">
      <c r="A6363" s="10" t="b">
        <v>0</v>
      </c>
      <c r="B6363" s="11" t="str">
        <f>IF(D6363&lt;&gt;"",IF(COUNTIF('USPTO TMs'!A:A,D6363)&gt;0,"Yes","No"),"")</f>
        <v/>
      </c>
      <c r="C6363" s="11"/>
      <c r="D6363" s="11"/>
      <c r="E6363" s="11"/>
      <c r="F6363" s="11"/>
      <c r="G6363" s="11"/>
      <c r="H6363" s="11"/>
      <c r="I6363" s="15"/>
    </row>
    <row r="6364" spans="1:9" ht="16.5">
      <c r="A6364" s="10" t="b">
        <v>0</v>
      </c>
      <c r="B6364" s="11" t="str">
        <f>IF(D6364&lt;&gt;"",IF(COUNTIF('USPTO TMs'!A:A,D6364)&gt;0,"Yes","No"),"")</f>
        <v/>
      </c>
      <c r="C6364" s="11"/>
      <c r="D6364" s="11"/>
      <c r="E6364" s="11"/>
      <c r="F6364" s="11"/>
      <c r="G6364" s="11"/>
      <c r="H6364" s="11"/>
      <c r="I6364" s="15"/>
    </row>
    <row r="6365" spans="1:9" ht="16.5">
      <c r="A6365" s="10" t="b">
        <v>0</v>
      </c>
      <c r="B6365" s="11" t="str">
        <f>IF(D6365&lt;&gt;"",IF(COUNTIF('USPTO TMs'!A:A,D6365)&gt;0,"Yes","No"),"")</f>
        <v/>
      </c>
      <c r="C6365" s="11"/>
      <c r="D6365" s="11"/>
      <c r="E6365" s="11"/>
      <c r="F6365" s="11"/>
      <c r="G6365" s="11"/>
      <c r="H6365" s="11"/>
      <c r="I6365" s="15"/>
    </row>
    <row r="6366" spans="1:9" ht="16.5">
      <c r="A6366" s="10" t="b">
        <v>0</v>
      </c>
      <c r="B6366" s="11" t="str">
        <f>IF(D6366&lt;&gt;"",IF(COUNTIF('USPTO TMs'!A:A,D6366)&gt;0,"Yes","No"),"")</f>
        <v/>
      </c>
      <c r="C6366" s="11"/>
      <c r="D6366" s="11"/>
      <c r="E6366" s="11"/>
      <c r="F6366" s="11"/>
      <c r="G6366" s="11"/>
      <c r="H6366" s="11"/>
      <c r="I6366" s="15"/>
    </row>
    <row r="6367" spans="1:9" ht="16.5">
      <c r="A6367" s="10" t="b">
        <v>0</v>
      </c>
      <c r="B6367" s="11" t="str">
        <f>IF(D6367&lt;&gt;"",IF(COUNTIF('USPTO TMs'!A:A,D6367)&gt;0,"Yes","No"),"")</f>
        <v/>
      </c>
      <c r="C6367" s="11"/>
      <c r="D6367" s="11"/>
      <c r="E6367" s="11"/>
      <c r="F6367" s="11"/>
      <c r="G6367" s="11"/>
      <c r="H6367" s="11"/>
      <c r="I6367" s="15"/>
    </row>
    <row r="6368" spans="1:9" ht="16.5">
      <c r="A6368" s="10" t="b">
        <v>0</v>
      </c>
      <c r="B6368" s="11" t="str">
        <f>IF(D6368&lt;&gt;"",IF(COUNTIF('USPTO TMs'!A:A,D6368)&gt;0,"Yes","No"),"")</f>
        <v/>
      </c>
      <c r="C6368" s="11"/>
      <c r="D6368" s="11"/>
      <c r="E6368" s="11"/>
      <c r="F6368" s="11"/>
      <c r="G6368" s="11"/>
      <c r="H6368" s="11"/>
      <c r="I6368" s="15"/>
    </row>
    <row r="6369" spans="1:9" ht="16.5">
      <c r="A6369" s="10" t="b">
        <v>0</v>
      </c>
      <c r="B6369" s="11" t="str">
        <f>IF(D6369&lt;&gt;"",IF(COUNTIF('USPTO TMs'!A:A,D6369)&gt;0,"Yes","No"),"")</f>
        <v/>
      </c>
      <c r="C6369" s="11"/>
      <c r="D6369" s="11"/>
      <c r="E6369" s="11"/>
      <c r="F6369" s="11"/>
      <c r="G6369" s="11"/>
      <c r="H6369" s="11"/>
      <c r="I6369" s="15"/>
    </row>
    <row r="6370" spans="1:9" ht="16.5">
      <c r="A6370" s="10" t="b">
        <v>0</v>
      </c>
      <c r="B6370" s="11" t="str">
        <f>IF(D6370&lt;&gt;"",IF(COUNTIF('USPTO TMs'!A:A,D6370)&gt;0,"Yes","No"),"")</f>
        <v/>
      </c>
      <c r="C6370" s="11"/>
      <c r="D6370" s="11"/>
      <c r="E6370" s="11"/>
      <c r="F6370" s="11"/>
      <c r="G6370" s="11"/>
      <c r="H6370" s="11"/>
      <c r="I6370" s="15"/>
    </row>
    <row r="6371" spans="1:9" ht="16.5">
      <c r="A6371" s="10" t="b">
        <v>0</v>
      </c>
      <c r="B6371" s="11" t="str">
        <f>IF(D6371&lt;&gt;"",IF(COUNTIF('USPTO TMs'!A:A,D6371)&gt;0,"Yes","No"),"")</f>
        <v/>
      </c>
      <c r="C6371" s="11"/>
      <c r="D6371" s="11"/>
      <c r="E6371" s="11"/>
      <c r="F6371" s="11"/>
      <c r="G6371" s="11"/>
      <c r="H6371" s="11"/>
      <c r="I6371" s="15"/>
    </row>
    <row r="6372" spans="1:9" ht="16.5">
      <c r="A6372" s="10" t="b">
        <v>0</v>
      </c>
      <c r="B6372" s="11" t="str">
        <f>IF(D6372&lt;&gt;"",IF(COUNTIF('USPTO TMs'!A:A,D6372)&gt;0,"Yes","No"),"")</f>
        <v/>
      </c>
      <c r="C6372" s="11"/>
      <c r="D6372" s="11"/>
      <c r="E6372" s="11"/>
      <c r="F6372" s="11"/>
      <c r="G6372" s="11"/>
      <c r="H6372" s="11"/>
      <c r="I6372" s="15"/>
    </row>
    <row r="6373" spans="1:9" ht="16.5">
      <c r="A6373" s="10" t="b">
        <v>0</v>
      </c>
      <c r="B6373" s="11" t="str">
        <f>IF(D6373&lt;&gt;"",IF(COUNTIF('USPTO TMs'!A:A,D6373)&gt;0,"Yes","No"),"")</f>
        <v/>
      </c>
      <c r="C6373" s="11"/>
      <c r="D6373" s="11"/>
      <c r="E6373" s="11"/>
      <c r="F6373" s="11"/>
      <c r="G6373" s="11"/>
      <c r="H6373" s="11"/>
      <c r="I6373" s="15"/>
    </row>
    <row r="6374" spans="1:9" ht="16.5">
      <c r="A6374" s="10" t="b">
        <v>0</v>
      </c>
      <c r="B6374" s="11" t="str">
        <f>IF(D6374&lt;&gt;"",IF(COUNTIF('USPTO TMs'!A:A,D6374)&gt;0,"Yes","No"),"")</f>
        <v/>
      </c>
      <c r="C6374" s="11"/>
      <c r="D6374" s="11"/>
      <c r="E6374" s="11"/>
      <c r="F6374" s="11"/>
      <c r="G6374" s="11"/>
      <c r="H6374" s="11"/>
      <c r="I6374" s="15"/>
    </row>
    <row r="6375" spans="1:9" ht="16.5">
      <c r="A6375" s="10" t="b">
        <v>0</v>
      </c>
      <c r="B6375" s="11" t="str">
        <f>IF(D6375&lt;&gt;"",IF(COUNTIF('USPTO TMs'!A:A,D6375)&gt;0,"Yes","No"),"")</f>
        <v/>
      </c>
      <c r="C6375" s="11"/>
      <c r="D6375" s="11"/>
      <c r="E6375" s="11"/>
      <c r="F6375" s="11"/>
      <c r="G6375" s="11"/>
      <c r="H6375" s="11"/>
      <c r="I6375" s="15"/>
    </row>
    <row r="6376" spans="1:9" ht="16.5">
      <c r="A6376" s="10" t="b">
        <v>0</v>
      </c>
      <c r="B6376" s="11" t="str">
        <f>IF(D6376&lt;&gt;"",IF(COUNTIF('USPTO TMs'!A:A,D6376)&gt;0,"Yes","No"),"")</f>
        <v/>
      </c>
      <c r="C6376" s="11"/>
      <c r="D6376" s="11"/>
      <c r="E6376" s="11"/>
      <c r="F6376" s="11"/>
      <c r="G6376" s="11"/>
      <c r="H6376" s="11"/>
      <c r="I6376" s="15"/>
    </row>
    <row r="6377" spans="1:9" ht="16.5">
      <c r="A6377" s="10" t="b">
        <v>0</v>
      </c>
      <c r="B6377" s="11" t="str">
        <f>IF(D6377&lt;&gt;"",IF(COUNTIF('USPTO TMs'!A:A,D6377)&gt;0,"Yes","No"),"")</f>
        <v/>
      </c>
      <c r="C6377" s="11"/>
      <c r="D6377" s="11"/>
      <c r="E6377" s="11"/>
      <c r="F6377" s="11"/>
      <c r="G6377" s="11"/>
      <c r="H6377" s="11"/>
      <c r="I6377" s="15"/>
    </row>
    <row r="6378" spans="1:9" ht="16.5">
      <c r="A6378" s="10" t="b">
        <v>0</v>
      </c>
      <c r="B6378" s="11" t="str">
        <f>IF(D6378&lt;&gt;"",IF(COUNTIF('USPTO TMs'!A:A,D6378)&gt;0,"Yes","No"),"")</f>
        <v/>
      </c>
      <c r="C6378" s="11"/>
      <c r="D6378" s="11"/>
      <c r="E6378" s="11"/>
      <c r="F6378" s="11"/>
      <c r="G6378" s="11"/>
      <c r="H6378" s="11"/>
      <c r="I6378" s="15"/>
    </row>
    <row r="6379" spans="1:9" ht="16.5">
      <c r="A6379" s="10" t="b">
        <v>0</v>
      </c>
      <c r="B6379" s="11" t="str">
        <f>IF(D6379&lt;&gt;"",IF(COUNTIF('USPTO TMs'!A:A,D6379)&gt;0,"Yes","No"),"")</f>
        <v/>
      </c>
      <c r="C6379" s="11"/>
      <c r="D6379" s="11"/>
      <c r="E6379" s="11"/>
      <c r="F6379" s="11"/>
      <c r="G6379" s="11"/>
      <c r="H6379" s="11"/>
      <c r="I6379" s="15"/>
    </row>
    <row r="6380" spans="1:9" ht="16.5">
      <c r="A6380" s="10" t="b">
        <v>0</v>
      </c>
      <c r="B6380" s="11" t="str">
        <f>IF(D6380&lt;&gt;"",IF(COUNTIF('USPTO TMs'!A:A,D6380)&gt;0,"Yes","No"),"")</f>
        <v/>
      </c>
      <c r="C6380" s="11"/>
      <c r="D6380" s="11"/>
      <c r="E6380" s="11"/>
      <c r="F6380" s="11"/>
      <c r="G6380" s="11"/>
      <c r="H6380" s="11"/>
      <c r="I6380" s="15"/>
    </row>
    <row r="6381" spans="1:9" ht="16.5">
      <c r="A6381" s="10" t="b">
        <v>0</v>
      </c>
      <c r="B6381" s="11" t="str">
        <f>IF(D6381&lt;&gt;"",IF(COUNTIF('USPTO TMs'!A:A,D6381)&gt;0,"Yes","No"),"")</f>
        <v/>
      </c>
      <c r="C6381" s="11"/>
      <c r="D6381" s="11"/>
      <c r="E6381" s="11"/>
      <c r="F6381" s="11"/>
      <c r="G6381" s="11"/>
      <c r="H6381" s="11"/>
      <c r="I6381" s="15"/>
    </row>
    <row r="6382" spans="1:9" ht="16.5">
      <c r="A6382" s="10" t="b">
        <v>0</v>
      </c>
      <c r="B6382" s="11" t="str">
        <f>IF(D6382&lt;&gt;"",IF(COUNTIF('USPTO TMs'!A:A,D6382)&gt;0,"Yes","No"),"")</f>
        <v/>
      </c>
      <c r="C6382" s="11"/>
      <c r="D6382" s="11"/>
      <c r="E6382" s="11"/>
      <c r="F6382" s="11"/>
      <c r="G6382" s="11"/>
      <c r="H6382" s="11"/>
      <c r="I6382" s="15"/>
    </row>
    <row r="6383" spans="1:9" ht="16.5">
      <c r="A6383" s="10" t="b">
        <v>0</v>
      </c>
      <c r="B6383" s="11" t="str">
        <f>IF(D6383&lt;&gt;"",IF(COUNTIF('USPTO TMs'!A:A,D6383)&gt;0,"Yes","No"),"")</f>
        <v/>
      </c>
      <c r="C6383" s="11"/>
      <c r="D6383" s="11"/>
      <c r="E6383" s="11"/>
      <c r="F6383" s="11"/>
      <c r="G6383" s="11"/>
      <c r="H6383" s="11"/>
      <c r="I6383" s="15"/>
    </row>
    <row r="6384" spans="1:9" ht="16.5">
      <c r="A6384" s="10" t="b">
        <v>0</v>
      </c>
      <c r="B6384" s="11" t="str">
        <f>IF(D6384&lt;&gt;"",IF(COUNTIF('USPTO TMs'!A:A,D6384)&gt;0,"Yes","No"),"")</f>
        <v/>
      </c>
      <c r="C6384" s="11"/>
      <c r="D6384" s="11"/>
      <c r="E6384" s="11"/>
      <c r="F6384" s="11"/>
      <c r="G6384" s="11"/>
      <c r="H6384" s="11"/>
      <c r="I6384" s="15"/>
    </row>
    <row r="6385" spans="1:9" ht="16.5">
      <c r="A6385" s="10" t="b">
        <v>0</v>
      </c>
      <c r="B6385" s="11" t="str">
        <f>IF(D6385&lt;&gt;"",IF(COUNTIF('USPTO TMs'!A:A,D6385)&gt;0,"Yes","No"),"")</f>
        <v/>
      </c>
      <c r="C6385" s="11"/>
      <c r="D6385" s="11"/>
      <c r="E6385" s="11"/>
      <c r="F6385" s="11"/>
      <c r="G6385" s="11"/>
      <c r="H6385" s="11"/>
      <c r="I6385" s="15"/>
    </row>
    <row r="6386" spans="1:9" ht="16.5">
      <c r="A6386" s="10" t="b">
        <v>0</v>
      </c>
      <c r="B6386" s="11" t="str">
        <f>IF(D6386&lt;&gt;"",IF(COUNTIF('USPTO TMs'!A:A,D6386)&gt;0,"Yes","No"),"")</f>
        <v/>
      </c>
      <c r="C6386" s="11"/>
      <c r="D6386" s="11"/>
      <c r="E6386" s="11"/>
      <c r="F6386" s="11"/>
      <c r="G6386" s="11"/>
      <c r="H6386" s="11"/>
      <c r="I6386" s="15"/>
    </row>
    <row r="6387" spans="1:9" ht="16.5">
      <c r="A6387" s="10" t="b">
        <v>0</v>
      </c>
      <c r="B6387" s="11" t="str">
        <f>IF(D6387&lt;&gt;"",IF(COUNTIF('USPTO TMs'!A:A,D6387)&gt;0,"Yes","No"),"")</f>
        <v/>
      </c>
      <c r="C6387" s="11"/>
      <c r="D6387" s="11"/>
      <c r="E6387" s="11"/>
      <c r="F6387" s="11"/>
      <c r="G6387" s="11"/>
      <c r="H6387" s="11"/>
      <c r="I6387" s="15"/>
    </row>
    <row r="6388" spans="1:9" ht="16.5">
      <c r="A6388" s="10" t="b">
        <v>0</v>
      </c>
      <c r="B6388" s="11" t="str">
        <f>IF(D6388&lt;&gt;"",IF(COUNTIF('USPTO TMs'!A:A,D6388)&gt;0,"Yes","No"),"")</f>
        <v/>
      </c>
      <c r="C6388" s="11"/>
      <c r="D6388" s="11"/>
      <c r="E6388" s="11"/>
      <c r="F6388" s="11"/>
      <c r="G6388" s="11"/>
      <c r="H6388" s="11"/>
      <c r="I6388" s="15"/>
    </row>
    <row r="6389" spans="1:9" ht="16.5">
      <c r="A6389" s="10" t="b">
        <v>0</v>
      </c>
      <c r="B6389" s="11" t="str">
        <f>IF(D6389&lt;&gt;"",IF(COUNTIF('USPTO TMs'!A:A,D6389)&gt;0,"Yes","No"),"")</f>
        <v/>
      </c>
      <c r="C6389" s="11"/>
      <c r="D6389" s="11"/>
      <c r="E6389" s="11"/>
      <c r="F6389" s="11"/>
      <c r="G6389" s="11"/>
      <c r="H6389" s="11"/>
      <c r="I6389" s="15"/>
    </row>
    <row r="6390" spans="1:9" ht="16.5">
      <c r="A6390" s="10" t="b">
        <v>0</v>
      </c>
      <c r="B6390" s="11" t="str">
        <f>IF(D6390&lt;&gt;"",IF(COUNTIF('USPTO TMs'!A:A,D6390)&gt;0,"Yes","No"),"")</f>
        <v/>
      </c>
      <c r="C6390" s="11"/>
      <c r="D6390" s="11"/>
      <c r="E6390" s="11"/>
      <c r="F6390" s="11"/>
      <c r="G6390" s="11"/>
      <c r="H6390" s="11"/>
      <c r="I6390" s="15"/>
    </row>
    <row r="6391" spans="1:9" ht="16.5">
      <c r="A6391" s="10" t="b">
        <v>0</v>
      </c>
      <c r="B6391" s="11" t="str">
        <f>IF(D6391&lt;&gt;"",IF(COUNTIF('USPTO TMs'!A:A,D6391)&gt;0,"Yes","No"),"")</f>
        <v/>
      </c>
      <c r="C6391" s="11"/>
      <c r="D6391" s="11"/>
      <c r="E6391" s="11"/>
      <c r="F6391" s="11"/>
      <c r="G6391" s="11"/>
      <c r="H6391" s="11"/>
      <c r="I6391" s="15"/>
    </row>
    <row r="6392" spans="1:9" ht="16.5">
      <c r="A6392" s="10" t="b">
        <v>0</v>
      </c>
      <c r="B6392" s="11" t="str">
        <f>IF(D6392&lt;&gt;"",IF(COUNTIF('USPTO TMs'!A:A,D6392)&gt;0,"Yes","No"),"")</f>
        <v/>
      </c>
      <c r="C6392" s="11"/>
      <c r="D6392" s="11"/>
      <c r="E6392" s="11"/>
      <c r="F6392" s="11"/>
      <c r="G6392" s="11"/>
      <c r="H6392" s="11"/>
      <c r="I6392" s="15"/>
    </row>
    <row r="6393" spans="1:9" ht="16.5">
      <c r="A6393" s="10" t="b">
        <v>0</v>
      </c>
      <c r="B6393" s="11" t="str">
        <f>IF(D6393&lt;&gt;"",IF(COUNTIF('USPTO TMs'!A:A,D6393)&gt;0,"Yes","No"),"")</f>
        <v/>
      </c>
      <c r="C6393" s="11"/>
      <c r="D6393" s="11"/>
      <c r="E6393" s="11"/>
      <c r="F6393" s="11"/>
      <c r="G6393" s="11"/>
      <c r="H6393" s="11"/>
      <c r="I6393" s="15"/>
    </row>
    <row r="6394" spans="1:9" ht="16.5">
      <c r="A6394" s="10" t="b">
        <v>0</v>
      </c>
      <c r="B6394" s="11" t="str">
        <f>IF(D6394&lt;&gt;"",IF(COUNTIF('USPTO TMs'!A:A,D6394)&gt;0,"Yes","No"),"")</f>
        <v/>
      </c>
      <c r="C6394" s="11"/>
      <c r="D6394" s="11"/>
      <c r="E6394" s="11"/>
      <c r="F6394" s="11"/>
      <c r="G6394" s="11"/>
      <c r="H6394" s="11"/>
      <c r="I6394" s="15"/>
    </row>
    <row r="6395" spans="1:9" ht="16.5">
      <c r="A6395" s="10" t="b">
        <v>0</v>
      </c>
      <c r="B6395" s="11" t="str">
        <f>IF(D6395&lt;&gt;"",IF(COUNTIF('USPTO TMs'!A:A,D6395)&gt;0,"Yes","No"),"")</f>
        <v/>
      </c>
      <c r="C6395" s="11"/>
      <c r="D6395" s="11"/>
      <c r="E6395" s="11"/>
      <c r="F6395" s="11"/>
      <c r="G6395" s="11"/>
      <c r="H6395" s="11"/>
      <c r="I6395" s="15"/>
    </row>
    <row r="6396" spans="1:9" ht="16.5">
      <c r="A6396" s="10" t="b">
        <v>0</v>
      </c>
      <c r="B6396" s="11" t="str">
        <f>IF(D6396&lt;&gt;"",IF(COUNTIF('USPTO TMs'!A:A,D6396)&gt;0,"Yes","No"),"")</f>
        <v/>
      </c>
      <c r="C6396" s="11"/>
      <c r="D6396" s="11"/>
      <c r="E6396" s="11"/>
      <c r="F6396" s="11"/>
      <c r="G6396" s="11"/>
      <c r="H6396" s="11"/>
      <c r="I6396" s="15"/>
    </row>
    <row r="6397" spans="1:9" ht="16.5">
      <c r="A6397" s="10" t="b">
        <v>0</v>
      </c>
      <c r="B6397" s="11" t="str">
        <f>IF(D6397&lt;&gt;"",IF(COUNTIF('USPTO TMs'!A:A,D6397)&gt;0,"Yes","No"),"")</f>
        <v/>
      </c>
      <c r="C6397" s="11"/>
      <c r="D6397" s="11"/>
      <c r="E6397" s="11"/>
      <c r="F6397" s="11"/>
      <c r="G6397" s="11"/>
      <c r="H6397" s="11"/>
      <c r="I6397" s="15"/>
    </row>
    <row r="6398" spans="1:9" ht="16.5">
      <c r="A6398" s="10" t="b">
        <v>0</v>
      </c>
      <c r="B6398" s="11" t="str">
        <f>IF(D6398&lt;&gt;"",IF(COUNTIF('USPTO TMs'!A:A,D6398)&gt;0,"Yes","No"),"")</f>
        <v/>
      </c>
      <c r="C6398" s="11"/>
      <c r="D6398" s="11"/>
      <c r="E6398" s="11"/>
      <c r="F6398" s="11"/>
      <c r="G6398" s="11"/>
      <c r="H6398" s="11"/>
      <c r="I6398" s="15"/>
    </row>
    <row r="6399" spans="1:9" ht="16.5">
      <c r="A6399" s="10" t="b">
        <v>0</v>
      </c>
      <c r="B6399" s="11" t="str">
        <f>IF(D6399&lt;&gt;"",IF(COUNTIF('USPTO TMs'!A:A,D6399)&gt;0,"Yes","No"),"")</f>
        <v/>
      </c>
      <c r="C6399" s="11"/>
      <c r="D6399" s="11"/>
      <c r="E6399" s="11"/>
      <c r="F6399" s="11"/>
      <c r="G6399" s="11"/>
      <c r="H6399" s="11"/>
      <c r="I6399" s="15"/>
    </row>
    <row r="6400" spans="1:9" ht="16.5">
      <c r="A6400" s="10" t="b">
        <v>0</v>
      </c>
      <c r="B6400" s="11" t="str">
        <f>IF(D6400&lt;&gt;"",IF(COUNTIF('USPTO TMs'!A:A,D6400)&gt;0,"Yes","No"),"")</f>
        <v/>
      </c>
      <c r="C6400" s="11"/>
      <c r="D6400" s="11"/>
      <c r="E6400" s="11"/>
      <c r="F6400" s="11"/>
      <c r="G6400" s="11"/>
      <c r="H6400" s="11"/>
      <c r="I6400" s="15"/>
    </row>
    <row r="6401" spans="1:9" ht="16.5">
      <c r="A6401" s="10" t="b">
        <v>0</v>
      </c>
      <c r="B6401" s="11" t="str">
        <f>IF(D6401&lt;&gt;"",IF(COUNTIF('USPTO TMs'!A:A,D6401)&gt;0,"Yes","No"),"")</f>
        <v/>
      </c>
      <c r="C6401" s="11"/>
      <c r="D6401" s="11"/>
      <c r="E6401" s="11"/>
      <c r="F6401" s="11"/>
      <c r="G6401" s="11"/>
      <c r="H6401" s="11"/>
      <c r="I6401" s="15"/>
    </row>
    <row r="6402" spans="1:9" ht="16.5">
      <c r="A6402" s="10" t="b">
        <v>0</v>
      </c>
      <c r="B6402" s="11" t="str">
        <f>IF(D6402&lt;&gt;"",IF(COUNTIF('USPTO TMs'!A:A,D6402)&gt;0,"Yes","No"),"")</f>
        <v/>
      </c>
      <c r="C6402" s="11"/>
      <c r="D6402" s="11"/>
      <c r="E6402" s="11"/>
      <c r="F6402" s="11"/>
      <c r="G6402" s="11"/>
      <c r="H6402" s="11"/>
      <c r="I6402" s="15"/>
    </row>
    <row r="6403" spans="1:9" ht="16.5">
      <c r="A6403" s="10" t="b">
        <v>0</v>
      </c>
      <c r="B6403" s="11" t="str">
        <f>IF(D6403&lt;&gt;"",IF(COUNTIF('USPTO TMs'!A:A,D6403)&gt;0,"Yes","No"),"")</f>
        <v/>
      </c>
      <c r="C6403" s="11"/>
      <c r="D6403" s="11"/>
      <c r="E6403" s="11"/>
      <c r="F6403" s="11"/>
      <c r="G6403" s="11"/>
      <c r="H6403" s="11"/>
      <c r="I6403" s="15"/>
    </row>
    <row r="6404" spans="1:9" ht="16.5">
      <c r="A6404" s="10" t="b">
        <v>0</v>
      </c>
      <c r="B6404" s="11" t="str">
        <f>IF(D6404&lt;&gt;"",IF(COUNTIF('USPTO TMs'!A:A,D6404)&gt;0,"Yes","No"),"")</f>
        <v/>
      </c>
      <c r="C6404" s="11"/>
      <c r="D6404" s="11"/>
      <c r="E6404" s="11"/>
      <c r="F6404" s="11"/>
      <c r="G6404" s="11"/>
      <c r="H6404" s="11"/>
      <c r="I6404" s="15"/>
    </row>
    <row r="6405" spans="1:9" ht="16.5">
      <c r="A6405" s="10" t="b">
        <v>0</v>
      </c>
      <c r="B6405" s="11" t="str">
        <f>IF(D6405&lt;&gt;"",IF(COUNTIF('USPTO TMs'!A:A,D6405)&gt;0,"Yes","No"),"")</f>
        <v/>
      </c>
      <c r="C6405" s="11"/>
      <c r="D6405" s="11"/>
      <c r="E6405" s="11"/>
      <c r="F6405" s="11"/>
      <c r="G6405" s="11"/>
      <c r="H6405" s="11"/>
      <c r="I6405" s="15"/>
    </row>
    <row r="6406" spans="1:9" ht="16.5">
      <c r="A6406" s="10" t="b">
        <v>0</v>
      </c>
      <c r="B6406" s="11" t="str">
        <f>IF(D6406&lt;&gt;"",IF(COUNTIF('USPTO TMs'!A:A,D6406)&gt;0,"Yes","No"),"")</f>
        <v/>
      </c>
      <c r="C6406" s="11"/>
      <c r="D6406" s="11"/>
      <c r="E6406" s="11"/>
      <c r="F6406" s="11"/>
      <c r="G6406" s="11"/>
      <c r="H6406" s="11"/>
      <c r="I6406" s="15"/>
    </row>
    <row r="6407" spans="1:9" ht="16.5">
      <c r="A6407" s="10" t="b">
        <v>0</v>
      </c>
      <c r="B6407" s="11" t="str">
        <f>IF(D6407&lt;&gt;"",IF(COUNTIF('USPTO TMs'!A:A,D6407)&gt;0,"Yes","No"),"")</f>
        <v/>
      </c>
      <c r="C6407" s="11"/>
      <c r="D6407" s="11"/>
      <c r="E6407" s="11"/>
      <c r="F6407" s="11"/>
      <c r="G6407" s="11"/>
      <c r="H6407" s="11"/>
      <c r="I6407" s="15"/>
    </row>
    <row r="6408" spans="1:9" ht="16.5">
      <c r="A6408" s="10" t="b">
        <v>0</v>
      </c>
      <c r="B6408" s="11" t="str">
        <f>IF(D6408&lt;&gt;"",IF(COUNTIF('USPTO TMs'!A:A,D6408)&gt;0,"Yes","No"),"")</f>
        <v/>
      </c>
      <c r="C6408" s="11"/>
      <c r="D6408" s="11"/>
      <c r="E6408" s="11"/>
      <c r="F6408" s="11"/>
      <c r="G6408" s="11"/>
      <c r="H6408" s="11"/>
      <c r="I6408" s="15"/>
    </row>
    <row r="6409" spans="1:9" ht="16.5">
      <c r="A6409" s="10" t="b">
        <v>0</v>
      </c>
      <c r="B6409" s="11" t="str">
        <f>IF(D6409&lt;&gt;"",IF(COUNTIF('USPTO TMs'!A:A,D6409)&gt;0,"Yes","No"),"")</f>
        <v/>
      </c>
      <c r="C6409" s="11"/>
      <c r="D6409" s="11"/>
      <c r="E6409" s="11"/>
      <c r="F6409" s="11"/>
      <c r="G6409" s="11"/>
      <c r="H6409" s="11"/>
      <c r="I6409" s="15"/>
    </row>
    <row r="6410" spans="1:9" ht="16.5">
      <c r="A6410" s="10" t="b">
        <v>0</v>
      </c>
      <c r="B6410" s="11" t="str">
        <f>IF(D6410&lt;&gt;"",IF(COUNTIF('USPTO TMs'!A:A,D6410)&gt;0,"Yes","No"),"")</f>
        <v/>
      </c>
      <c r="C6410" s="11"/>
      <c r="D6410" s="11"/>
      <c r="E6410" s="11"/>
      <c r="F6410" s="11"/>
      <c r="G6410" s="11"/>
      <c r="H6410" s="11"/>
      <c r="I6410" s="15"/>
    </row>
    <row r="6411" spans="1:9" ht="16.5">
      <c r="A6411" s="10" t="b">
        <v>0</v>
      </c>
      <c r="B6411" s="11" t="str">
        <f>IF(D6411&lt;&gt;"",IF(COUNTIF('USPTO TMs'!A:A,D6411)&gt;0,"Yes","No"),"")</f>
        <v/>
      </c>
      <c r="C6411" s="11"/>
      <c r="D6411" s="11"/>
      <c r="E6411" s="11"/>
      <c r="F6411" s="11"/>
      <c r="G6411" s="11"/>
      <c r="H6411" s="11"/>
      <c r="I6411" s="15"/>
    </row>
    <row r="6412" spans="1:9" ht="16.5">
      <c r="A6412" s="10" t="b">
        <v>0</v>
      </c>
      <c r="B6412" s="11" t="str">
        <f>IF(D6412&lt;&gt;"",IF(COUNTIF('USPTO TMs'!A:A,D6412)&gt;0,"Yes","No"),"")</f>
        <v/>
      </c>
      <c r="C6412" s="11"/>
      <c r="D6412" s="11"/>
      <c r="E6412" s="11"/>
      <c r="F6412" s="11"/>
      <c r="G6412" s="11"/>
      <c r="H6412" s="11"/>
      <c r="I6412" s="15"/>
    </row>
    <row r="6413" spans="1:9" ht="16.5">
      <c r="A6413" s="10" t="b">
        <v>0</v>
      </c>
      <c r="B6413" s="11" t="str">
        <f>IF(D6413&lt;&gt;"",IF(COUNTIF('USPTO TMs'!A:A,D6413)&gt;0,"Yes","No"),"")</f>
        <v/>
      </c>
      <c r="C6413" s="11"/>
      <c r="D6413" s="11"/>
      <c r="E6413" s="11"/>
      <c r="F6413" s="11"/>
      <c r="G6413" s="11"/>
      <c r="H6413" s="11"/>
      <c r="I6413" s="15"/>
    </row>
    <row r="6414" spans="1:9" ht="16.5">
      <c r="A6414" s="10" t="b">
        <v>0</v>
      </c>
      <c r="B6414" s="11" t="str">
        <f>IF(D6414&lt;&gt;"",IF(COUNTIF('USPTO TMs'!A:A,D6414)&gt;0,"Yes","No"),"")</f>
        <v/>
      </c>
      <c r="C6414" s="11"/>
      <c r="D6414" s="11"/>
      <c r="E6414" s="11"/>
      <c r="F6414" s="11"/>
      <c r="G6414" s="11"/>
      <c r="H6414" s="11"/>
      <c r="I6414" s="15"/>
    </row>
    <row r="6415" spans="1:9" ht="16.5">
      <c r="A6415" s="10" t="b">
        <v>0</v>
      </c>
      <c r="B6415" s="11" t="str">
        <f>IF(D6415&lt;&gt;"",IF(COUNTIF('USPTO TMs'!A:A,D6415)&gt;0,"Yes","No"),"")</f>
        <v/>
      </c>
      <c r="C6415" s="11"/>
      <c r="D6415" s="11"/>
      <c r="E6415" s="11"/>
      <c r="F6415" s="11"/>
      <c r="G6415" s="11"/>
      <c r="H6415" s="11"/>
      <c r="I6415" s="15"/>
    </row>
    <row r="6416" spans="1:9" ht="16.5">
      <c r="A6416" s="10" t="b">
        <v>0</v>
      </c>
      <c r="B6416" s="11" t="str">
        <f>IF(D6416&lt;&gt;"",IF(COUNTIF('USPTO TMs'!A:A,D6416)&gt;0,"Yes","No"),"")</f>
        <v/>
      </c>
      <c r="C6416" s="11"/>
      <c r="D6416" s="11"/>
      <c r="E6416" s="11"/>
      <c r="F6416" s="11"/>
      <c r="G6416" s="11"/>
      <c r="H6416" s="11"/>
      <c r="I6416" s="15"/>
    </row>
    <row r="6417" spans="1:9" ht="16.5">
      <c r="A6417" s="10" t="b">
        <v>0</v>
      </c>
      <c r="B6417" s="11" t="str">
        <f>IF(D6417&lt;&gt;"",IF(COUNTIF('USPTO TMs'!A:A,D6417)&gt;0,"Yes","No"),"")</f>
        <v/>
      </c>
      <c r="C6417" s="11"/>
      <c r="D6417" s="11"/>
      <c r="E6417" s="11"/>
      <c r="F6417" s="11"/>
      <c r="G6417" s="11"/>
      <c r="H6417" s="11"/>
      <c r="I6417" s="15"/>
    </row>
    <row r="6418" spans="1:9" ht="16.5">
      <c r="A6418" s="10" t="b">
        <v>0</v>
      </c>
      <c r="B6418" s="11" t="str">
        <f>IF(D6418&lt;&gt;"",IF(COUNTIF('USPTO TMs'!A:A,D6418)&gt;0,"Yes","No"),"")</f>
        <v/>
      </c>
      <c r="C6418" s="11"/>
      <c r="D6418" s="11"/>
      <c r="E6418" s="11"/>
      <c r="F6418" s="11"/>
      <c r="G6418" s="11"/>
      <c r="H6418" s="11"/>
      <c r="I6418" s="15"/>
    </row>
    <row r="6419" spans="1:9" ht="16.5">
      <c r="A6419" s="10" t="b">
        <v>0</v>
      </c>
      <c r="B6419" s="11" t="str">
        <f>IF(D6419&lt;&gt;"",IF(COUNTIF('USPTO TMs'!A:A,D6419)&gt;0,"Yes","No"),"")</f>
        <v/>
      </c>
      <c r="C6419" s="11"/>
      <c r="D6419" s="11"/>
      <c r="E6419" s="11"/>
      <c r="F6419" s="11"/>
      <c r="G6419" s="11"/>
      <c r="H6419" s="11"/>
      <c r="I6419" s="15"/>
    </row>
    <row r="6420" spans="1:9" ht="16.5">
      <c r="A6420" s="10" t="b">
        <v>0</v>
      </c>
      <c r="B6420" s="11" t="str">
        <f>IF(D6420&lt;&gt;"",IF(COUNTIF('USPTO TMs'!A:A,D6420)&gt;0,"Yes","No"),"")</f>
        <v/>
      </c>
      <c r="C6420" s="11"/>
      <c r="D6420" s="11"/>
      <c r="E6420" s="11"/>
      <c r="F6420" s="11"/>
      <c r="G6420" s="11"/>
      <c r="H6420" s="11"/>
      <c r="I6420" s="15"/>
    </row>
    <row r="6421" spans="1:9" ht="16.5">
      <c r="A6421" s="10" t="b">
        <v>0</v>
      </c>
      <c r="B6421" s="11" t="str">
        <f>IF(D6421&lt;&gt;"",IF(COUNTIF('USPTO TMs'!A:A,D6421)&gt;0,"Yes","No"),"")</f>
        <v/>
      </c>
      <c r="C6421" s="11"/>
      <c r="D6421" s="11"/>
      <c r="E6421" s="11"/>
      <c r="F6421" s="11"/>
      <c r="G6421" s="11"/>
      <c r="H6421" s="11"/>
      <c r="I6421" s="15"/>
    </row>
    <row r="6422" spans="1:9" ht="16.5">
      <c r="A6422" s="10" t="b">
        <v>0</v>
      </c>
      <c r="B6422" s="11" t="str">
        <f>IF(D6422&lt;&gt;"",IF(COUNTIF('USPTO TMs'!A:A,D6422)&gt;0,"Yes","No"),"")</f>
        <v/>
      </c>
      <c r="C6422" s="11"/>
      <c r="D6422" s="11"/>
      <c r="E6422" s="11"/>
      <c r="F6422" s="11"/>
      <c r="G6422" s="11"/>
      <c r="H6422" s="11"/>
      <c r="I6422" s="15"/>
    </row>
    <row r="6423" spans="1:9" ht="16.5">
      <c r="A6423" s="10" t="b">
        <v>0</v>
      </c>
      <c r="B6423" s="11" t="str">
        <f>IF(D6423&lt;&gt;"",IF(COUNTIF('USPTO TMs'!A:A,D6423)&gt;0,"Yes","No"),"")</f>
        <v/>
      </c>
      <c r="C6423" s="11"/>
      <c r="D6423" s="11"/>
      <c r="E6423" s="11"/>
      <c r="F6423" s="11"/>
      <c r="G6423" s="11"/>
      <c r="H6423" s="11"/>
      <c r="I6423" s="15"/>
    </row>
    <row r="6424" spans="1:9" ht="16.5">
      <c r="A6424" s="10" t="b">
        <v>0</v>
      </c>
      <c r="B6424" s="11" t="str">
        <f>IF(D6424&lt;&gt;"",IF(COUNTIF('USPTO TMs'!A:A,D6424)&gt;0,"Yes","No"),"")</f>
        <v/>
      </c>
      <c r="C6424" s="11"/>
      <c r="D6424" s="11"/>
      <c r="E6424" s="11"/>
      <c r="F6424" s="11"/>
      <c r="G6424" s="11"/>
      <c r="H6424" s="11"/>
      <c r="I6424" s="15"/>
    </row>
    <row r="6425" spans="1:9" ht="16.5">
      <c r="A6425" s="10" t="b">
        <v>0</v>
      </c>
      <c r="B6425" s="11" t="str">
        <f>IF(D6425&lt;&gt;"",IF(COUNTIF('USPTO TMs'!A:A,D6425)&gt;0,"Yes","No"),"")</f>
        <v/>
      </c>
      <c r="C6425" s="11"/>
      <c r="D6425" s="11"/>
      <c r="E6425" s="11"/>
      <c r="F6425" s="11"/>
      <c r="G6425" s="11"/>
      <c r="H6425" s="11"/>
      <c r="I6425" s="15"/>
    </row>
    <row r="6426" spans="1:9" ht="16.5">
      <c r="A6426" s="10" t="b">
        <v>0</v>
      </c>
      <c r="B6426" s="11" t="str">
        <f>IF(D6426&lt;&gt;"",IF(COUNTIF('USPTO TMs'!A:A,D6426)&gt;0,"Yes","No"),"")</f>
        <v/>
      </c>
      <c r="C6426" s="11"/>
      <c r="D6426" s="11"/>
      <c r="E6426" s="11"/>
      <c r="F6426" s="11"/>
      <c r="G6426" s="11"/>
      <c r="H6426" s="11"/>
      <c r="I6426" s="15"/>
    </row>
    <row r="6427" spans="1:9" ht="16.5">
      <c r="A6427" s="10" t="b">
        <v>0</v>
      </c>
      <c r="B6427" s="11" t="str">
        <f>IF(D6427&lt;&gt;"",IF(COUNTIF('USPTO TMs'!A:A,D6427)&gt;0,"Yes","No"),"")</f>
        <v/>
      </c>
      <c r="C6427" s="11"/>
      <c r="D6427" s="11"/>
      <c r="E6427" s="11"/>
      <c r="F6427" s="11"/>
      <c r="G6427" s="11"/>
      <c r="H6427" s="11"/>
      <c r="I6427" s="15"/>
    </row>
    <row r="6428" spans="1:9" ht="16.5">
      <c r="A6428" s="10" t="b">
        <v>0</v>
      </c>
      <c r="B6428" s="11" t="str">
        <f>IF(D6428&lt;&gt;"",IF(COUNTIF('USPTO TMs'!A:A,D6428)&gt;0,"Yes","No"),"")</f>
        <v/>
      </c>
      <c r="C6428" s="11"/>
      <c r="D6428" s="11"/>
      <c r="E6428" s="11"/>
      <c r="F6428" s="11"/>
      <c r="G6428" s="11"/>
      <c r="H6428" s="11"/>
      <c r="I6428" s="15"/>
    </row>
    <row r="6429" spans="1:9" ht="16.5">
      <c r="A6429" s="10" t="b">
        <v>0</v>
      </c>
      <c r="B6429" s="11" t="str">
        <f>IF(D6429&lt;&gt;"",IF(COUNTIF('USPTO TMs'!A:A,D6429)&gt;0,"Yes","No"),"")</f>
        <v/>
      </c>
      <c r="C6429" s="11"/>
      <c r="D6429" s="11"/>
      <c r="E6429" s="11"/>
      <c r="F6429" s="11"/>
      <c r="G6429" s="11"/>
      <c r="H6429" s="11"/>
      <c r="I6429" s="15"/>
    </row>
    <row r="6430" spans="1:9" ht="16.5">
      <c r="A6430" s="10" t="b">
        <v>0</v>
      </c>
      <c r="B6430" s="11" t="str">
        <f>IF(D6430&lt;&gt;"",IF(COUNTIF('USPTO TMs'!A:A,D6430)&gt;0,"Yes","No"),"")</f>
        <v/>
      </c>
      <c r="C6430" s="11"/>
      <c r="D6430" s="11"/>
      <c r="E6430" s="11"/>
      <c r="F6430" s="11"/>
      <c r="G6430" s="11"/>
      <c r="H6430" s="11"/>
      <c r="I6430" s="15"/>
    </row>
    <row r="6431" spans="1:9" ht="16.5">
      <c r="A6431" s="10" t="b">
        <v>0</v>
      </c>
      <c r="B6431" s="11" t="str">
        <f>IF(D6431&lt;&gt;"",IF(COUNTIF('USPTO TMs'!A:A,D6431)&gt;0,"Yes","No"),"")</f>
        <v/>
      </c>
      <c r="C6431" s="11"/>
      <c r="D6431" s="11"/>
      <c r="E6431" s="11"/>
      <c r="F6431" s="11"/>
      <c r="G6431" s="11"/>
      <c r="H6431" s="11"/>
      <c r="I6431" s="15"/>
    </row>
    <row r="6432" spans="1:9" ht="16.5">
      <c r="A6432" s="10" t="b">
        <v>0</v>
      </c>
      <c r="B6432" s="11" t="str">
        <f>IF(D6432&lt;&gt;"",IF(COUNTIF('USPTO TMs'!A:A,D6432)&gt;0,"Yes","No"),"")</f>
        <v/>
      </c>
      <c r="C6432" s="11"/>
      <c r="D6432" s="11"/>
      <c r="E6432" s="11"/>
      <c r="F6432" s="11"/>
      <c r="G6432" s="11"/>
      <c r="H6432" s="11"/>
      <c r="I6432" s="15"/>
    </row>
    <row r="6433" spans="1:9" ht="16.5">
      <c r="A6433" s="10" t="b">
        <v>0</v>
      </c>
      <c r="B6433" s="11" t="str">
        <f>IF(D6433&lt;&gt;"",IF(COUNTIF('USPTO TMs'!A:A,D6433)&gt;0,"Yes","No"),"")</f>
        <v/>
      </c>
      <c r="C6433" s="11"/>
      <c r="D6433" s="11"/>
      <c r="E6433" s="11"/>
      <c r="F6433" s="11"/>
      <c r="G6433" s="11"/>
      <c r="H6433" s="11"/>
      <c r="I6433" s="15"/>
    </row>
    <row r="6434" spans="1:9" ht="16.5">
      <c r="A6434" s="10" t="b">
        <v>0</v>
      </c>
      <c r="B6434" s="11" t="str">
        <f>IF(D6434&lt;&gt;"",IF(COUNTIF('USPTO TMs'!A:A,D6434)&gt;0,"Yes","No"),"")</f>
        <v/>
      </c>
      <c r="C6434" s="11"/>
      <c r="D6434" s="11"/>
      <c r="E6434" s="11"/>
      <c r="F6434" s="11"/>
      <c r="G6434" s="11"/>
      <c r="H6434" s="11"/>
      <c r="I6434" s="15"/>
    </row>
    <row r="6435" spans="1:9" ht="16.5">
      <c r="A6435" s="10" t="b">
        <v>0</v>
      </c>
      <c r="B6435" s="11" t="str">
        <f>IF(D6435&lt;&gt;"",IF(COUNTIF('USPTO TMs'!A:A,D6435)&gt;0,"Yes","No"),"")</f>
        <v/>
      </c>
      <c r="C6435" s="11"/>
      <c r="D6435" s="11"/>
      <c r="E6435" s="11"/>
      <c r="F6435" s="11"/>
      <c r="G6435" s="11"/>
      <c r="H6435" s="11"/>
      <c r="I6435" s="15"/>
    </row>
    <row r="6436" spans="1:9" ht="16.5">
      <c r="A6436" s="10" t="b">
        <v>0</v>
      </c>
      <c r="B6436" s="11" t="str">
        <f>IF(D6436&lt;&gt;"",IF(COUNTIF('USPTO TMs'!A:A,D6436)&gt;0,"Yes","No"),"")</f>
        <v/>
      </c>
      <c r="C6436" s="11"/>
      <c r="D6436" s="11"/>
      <c r="E6436" s="11"/>
      <c r="F6436" s="11"/>
      <c r="G6436" s="11"/>
      <c r="H6436" s="11"/>
      <c r="I6436" s="15"/>
    </row>
    <row r="6437" spans="1:9" ht="16.5">
      <c r="A6437" s="10" t="b">
        <v>0</v>
      </c>
      <c r="B6437" s="11" t="str">
        <f>IF(D6437&lt;&gt;"",IF(COUNTIF('USPTO TMs'!A:A,D6437)&gt;0,"Yes","No"),"")</f>
        <v/>
      </c>
      <c r="C6437" s="11"/>
      <c r="D6437" s="11"/>
      <c r="E6437" s="11"/>
      <c r="F6437" s="11"/>
      <c r="G6437" s="11"/>
      <c r="H6437" s="11"/>
      <c r="I6437" s="15"/>
    </row>
    <row r="6438" spans="1:9" ht="16.5">
      <c r="A6438" s="10" t="b">
        <v>0</v>
      </c>
      <c r="B6438" s="11" t="str">
        <f>IF(D6438&lt;&gt;"",IF(COUNTIF('USPTO TMs'!A:A,D6438)&gt;0,"Yes","No"),"")</f>
        <v/>
      </c>
      <c r="C6438" s="11"/>
      <c r="D6438" s="11"/>
      <c r="E6438" s="11"/>
      <c r="F6438" s="11"/>
      <c r="G6438" s="11"/>
      <c r="H6438" s="11"/>
      <c r="I6438" s="15"/>
    </row>
    <row r="6439" spans="1:9" ht="16.5">
      <c r="A6439" s="10" t="b">
        <v>0</v>
      </c>
      <c r="B6439" s="11" t="str">
        <f>IF(D6439&lt;&gt;"",IF(COUNTIF('USPTO TMs'!A:A,D6439)&gt;0,"Yes","No"),"")</f>
        <v/>
      </c>
      <c r="C6439" s="11"/>
      <c r="D6439" s="11"/>
      <c r="E6439" s="11"/>
      <c r="F6439" s="11"/>
      <c r="G6439" s="11"/>
      <c r="H6439" s="11"/>
      <c r="I6439" s="15"/>
    </row>
    <row r="6440" spans="1:9" ht="16.5">
      <c r="A6440" s="10" t="b">
        <v>0</v>
      </c>
      <c r="B6440" s="11" t="str">
        <f>IF(D6440&lt;&gt;"",IF(COUNTIF('USPTO TMs'!A:A,D6440)&gt;0,"Yes","No"),"")</f>
        <v/>
      </c>
      <c r="C6440" s="11"/>
      <c r="D6440" s="11"/>
      <c r="E6440" s="11"/>
      <c r="F6440" s="11"/>
      <c r="G6440" s="11"/>
      <c r="H6440" s="11"/>
      <c r="I6440" s="15"/>
    </row>
    <row r="6441" spans="1:9" ht="16.5">
      <c r="A6441" s="10" t="b">
        <v>0</v>
      </c>
      <c r="B6441" s="11" t="str">
        <f>IF(D6441&lt;&gt;"",IF(COUNTIF('USPTO TMs'!A:A,D6441)&gt;0,"Yes","No"),"")</f>
        <v/>
      </c>
      <c r="C6441" s="11"/>
      <c r="D6441" s="11"/>
      <c r="E6441" s="11"/>
      <c r="F6441" s="11"/>
      <c r="G6441" s="11"/>
      <c r="H6441" s="11"/>
      <c r="I6441" s="15"/>
    </row>
    <row r="6442" spans="1:9" ht="16.5">
      <c r="A6442" s="10" t="b">
        <v>0</v>
      </c>
      <c r="B6442" s="11" t="str">
        <f>IF(D6442&lt;&gt;"",IF(COUNTIF('USPTO TMs'!A:A,D6442)&gt;0,"Yes","No"),"")</f>
        <v/>
      </c>
      <c r="C6442" s="11"/>
      <c r="D6442" s="11"/>
      <c r="E6442" s="11"/>
      <c r="F6442" s="11"/>
      <c r="G6442" s="11"/>
      <c r="H6442" s="11"/>
      <c r="I6442" s="15"/>
    </row>
    <row r="6443" spans="1:9" ht="16.5">
      <c r="A6443" s="10" t="b">
        <v>0</v>
      </c>
      <c r="B6443" s="11" t="str">
        <f>IF(D6443&lt;&gt;"",IF(COUNTIF('USPTO TMs'!A:A,D6443)&gt;0,"Yes","No"),"")</f>
        <v/>
      </c>
      <c r="C6443" s="11"/>
      <c r="D6443" s="11"/>
      <c r="E6443" s="11"/>
      <c r="F6443" s="11"/>
      <c r="G6443" s="11"/>
      <c r="H6443" s="11"/>
      <c r="I6443" s="15"/>
    </row>
    <row r="6444" spans="1:9" ht="16.5">
      <c r="A6444" s="10" t="b">
        <v>0</v>
      </c>
      <c r="B6444" s="11" t="str">
        <f>IF(D6444&lt;&gt;"",IF(COUNTIF('USPTO TMs'!A:A,D6444)&gt;0,"Yes","No"),"")</f>
        <v/>
      </c>
      <c r="C6444" s="11"/>
      <c r="D6444" s="11"/>
      <c r="E6444" s="11"/>
      <c r="F6444" s="11"/>
      <c r="G6444" s="11"/>
      <c r="H6444" s="11"/>
      <c r="I6444" s="15"/>
    </row>
    <row r="6445" spans="1:9" ht="16.5">
      <c r="A6445" s="10" t="b">
        <v>0</v>
      </c>
      <c r="B6445" s="11" t="str">
        <f>IF(D6445&lt;&gt;"",IF(COUNTIF('USPTO TMs'!A:A,D6445)&gt;0,"Yes","No"),"")</f>
        <v/>
      </c>
      <c r="C6445" s="11"/>
      <c r="D6445" s="11"/>
      <c r="E6445" s="11"/>
      <c r="F6445" s="11"/>
      <c r="G6445" s="11"/>
      <c r="H6445" s="11"/>
      <c r="I6445" s="15"/>
    </row>
    <row r="6446" spans="1:9" ht="16.5">
      <c r="A6446" s="10" t="b">
        <v>0</v>
      </c>
      <c r="B6446" s="11" t="str">
        <f>IF(D6446&lt;&gt;"",IF(COUNTIF('USPTO TMs'!A:A,D6446)&gt;0,"Yes","No"),"")</f>
        <v/>
      </c>
      <c r="C6446" s="11"/>
      <c r="D6446" s="11"/>
      <c r="E6446" s="11"/>
      <c r="F6446" s="11"/>
      <c r="G6446" s="11"/>
      <c r="H6446" s="11"/>
      <c r="I6446" s="15"/>
    </row>
    <row r="6447" spans="1:9" ht="16.5">
      <c r="A6447" s="10" t="b">
        <v>0</v>
      </c>
      <c r="B6447" s="11" t="str">
        <f>IF(D6447&lt;&gt;"",IF(COUNTIF('USPTO TMs'!A:A,D6447)&gt;0,"Yes","No"),"")</f>
        <v/>
      </c>
      <c r="C6447" s="11"/>
      <c r="D6447" s="11"/>
      <c r="E6447" s="11"/>
      <c r="F6447" s="11"/>
      <c r="G6447" s="11"/>
      <c r="H6447" s="11"/>
      <c r="I6447" s="15"/>
    </row>
    <row r="6448" spans="1:9" ht="16.5">
      <c r="A6448" s="10" t="b">
        <v>0</v>
      </c>
      <c r="B6448" s="11" t="str">
        <f>IF(D6448&lt;&gt;"",IF(COUNTIF('USPTO TMs'!A:A,D6448)&gt;0,"Yes","No"),"")</f>
        <v/>
      </c>
      <c r="C6448" s="11"/>
      <c r="D6448" s="11"/>
      <c r="E6448" s="11"/>
      <c r="F6448" s="11"/>
      <c r="G6448" s="11"/>
      <c r="H6448" s="11"/>
      <c r="I6448" s="15"/>
    </row>
    <row r="6449" spans="1:9" ht="16.5">
      <c r="A6449" s="10" t="b">
        <v>0</v>
      </c>
      <c r="B6449" s="11" t="str">
        <f>IF(D6449&lt;&gt;"",IF(COUNTIF('USPTO TMs'!A:A,D6449)&gt;0,"Yes","No"),"")</f>
        <v/>
      </c>
      <c r="C6449" s="11"/>
      <c r="D6449" s="11"/>
      <c r="E6449" s="11"/>
      <c r="F6449" s="11"/>
      <c r="G6449" s="11"/>
      <c r="H6449" s="11"/>
      <c r="I6449" s="15"/>
    </row>
    <row r="6450" spans="1:9" ht="16.5">
      <c r="A6450" s="10" t="b">
        <v>0</v>
      </c>
      <c r="B6450" s="11" t="str">
        <f>IF(D6450&lt;&gt;"",IF(COUNTIF('USPTO TMs'!A:A,D6450)&gt;0,"Yes","No"),"")</f>
        <v/>
      </c>
      <c r="C6450" s="11"/>
      <c r="D6450" s="11"/>
      <c r="E6450" s="11"/>
      <c r="F6450" s="11"/>
      <c r="G6450" s="11"/>
      <c r="H6450" s="11"/>
      <c r="I6450" s="15"/>
    </row>
    <row r="6451" spans="1:9" ht="16.5">
      <c r="A6451" s="10" t="b">
        <v>0</v>
      </c>
      <c r="B6451" s="11" t="str">
        <f>IF(D6451&lt;&gt;"",IF(COUNTIF('USPTO TMs'!A:A,D6451)&gt;0,"Yes","No"),"")</f>
        <v/>
      </c>
      <c r="C6451" s="11"/>
      <c r="D6451" s="11"/>
      <c r="E6451" s="11"/>
      <c r="F6451" s="11"/>
      <c r="G6451" s="11"/>
      <c r="H6451" s="11"/>
      <c r="I6451" s="15"/>
    </row>
    <row r="6452" spans="1:9" ht="16.5">
      <c r="A6452" s="10" t="b">
        <v>0</v>
      </c>
      <c r="B6452" s="11" t="str">
        <f>IF(D6452&lt;&gt;"",IF(COUNTIF('USPTO TMs'!A:A,D6452)&gt;0,"Yes","No"),"")</f>
        <v/>
      </c>
      <c r="C6452" s="11"/>
      <c r="D6452" s="11"/>
      <c r="E6452" s="11"/>
      <c r="F6452" s="11"/>
      <c r="G6452" s="11"/>
      <c r="H6452" s="11"/>
      <c r="I6452" s="15"/>
    </row>
    <row r="6453" spans="1:9" ht="16.5">
      <c r="A6453" s="10" t="b">
        <v>0</v>
      </c>
      <c r="B6453" s="11" t="str">
        <f>IF(D6453&lt;&gt;"",IF(COUNTIF('USPTO TMs'!A:A,D6453)&gt;0,"Yes","No"),"")</f>
        <v/>
      </c>
      <c r="C6453" s="11"/>
      <c r="D6453" s="11"/>
      <c r="E6453" s="11"/>
      <c r="F6453" s="11"/>
      <c r="G6453" s="11"/>
      <c r="H6453" s="11"/>
      <c r="I6453" s="15"/>
    </row>
    <row r="6454" spans="1:9" ht="16.5">
      <c r="A6454" s="10" t="b">
        <v>0</v>
      </c>
      <c r="B6454" s="11" t="str">
        <f>IF(D6454&lt;&gt;"",IF(COUNTIF('USPTO TMs'!A:A,D6454)&gt;0,"Yes","No"),"")</f>
        <v/>
      </c>
      <c r="C6454" s="11"/>
      <c r="D6454" s="11"/>
      <c r="E6454" s="11"/>
      <c r="F6454" s="11"/>
      <c r="G6454" s="11"/>
      <c r="H6454" s="11"/>
      <c r="I6454" s="15"/>
    </row>
    <row r="6455" spans="1:9" ht="16.5">
      <c r="A6455" s="10" t="b">
        <v>0</v>
      </c>
      <c r="B6455" s="11" t="str">
        <f>IF(D6455&lt;&gt;"",IF(COUNTIF('USPTO TMs'!A:A,D6455)&gt;0,"Yes","No"),"")</f>
        <v/>
      </c>
      <c r="C6455" s="11"/>
      <c r="D6455" s="11"/>
      <c r="E6455" s="11"/>
      <c r="F6455" s="11"/>
      <c r="G6455" s="11"/>
      <c r="H6455" s="11"/>
      <c r="I6455" s="15"/>
    </row>
    <row r="6456" spans="1:9" ht="16.5">
      <c r="A6456" s="10" t="b">
        <v>0</v>
      </c>
      <c r="B6456" s="11" t="str">
        <f>IF(D6456&lt;&gt;"",IF(COUNTIF('USPTO TMs'!A:A,D6456)&gt;0,"Yes","No"),"")</f>
        <v/>
      </c>
      <c r="C6456" s="11"/>
      <c r="D6456" s="11"/>
      <c r="E6456" s="11"/>
      <c r="F6456" s="11"/>
      <c r="G6456" s="11"/>
      <c r="H6456" s="11"/>
      <c r="I6456" s="15"/>
    </row>
    <row r="6457" spans="1:9" ht="16.5">
      <c r="A6457" s="10" t="b">
        <v>0</v>
      </c>
      <c r="B6457" s="11" t="str">
        <f>IF(D6457&lt;&gt;"",IF(COUNTIF('USPTO TMs'!A:A,D6457)&gt;0,"Yes","No"),"")</f>
        <v/>
      </c>
      <c r="C6457" s="11"/>
      <c r="D6457" s="11"/>
      <c r="E6457" s="11"/>
      <c r="F6457" s="11"/>
      <c r="G6457" s="11"/>
      <c r="H6457" s="11"/>
      <c r="I6457" s="15"/>
    </row>
    <row r="6458" spans="1:9" ht="16.5">
      <c r="A6458" s="10" t="b">
        <v>0</v>
      </c>
      <c r="B6458" s="11" t="str">
        <f>IF(D6458&lt;&gt;"",IF(COUNTIF('USPTO TMs'!A:A,D6458)&gt;0,"Yes","No"),"")</f>
        <v/>
      </c>
      <c r="C6458" s="11"/>
      <c r="D6458" s="11"/>
      <c r="E6458" s="11"/>
      <c r="F6458" s="11"/>
      <c r="G6458" s="11"/>
      <c r="H6458" s="11"/>
      <c r="I6458" s="15"/>
    </row>
    <row r="6459" spans="1:9" ht="16.5">
      <c r="A6459" s="10" t="b">
        <v>0</v>
      </c>
      <c r="B6459" s="11" t="str">
        <f>IF(D6459&lt;&gt;"",IF(COUNTIF('USPTO TMs'!A:A,D6459)&gt;0,"Yes","No"),"")</f>
        <v/>
      </c>
      <c r="C6459" s="11"/>
      <c r="D6459" s="11"/>
      <c r="E6459" s="11"/>
      <c r="F6459" s="11"/>
      <c r="G6459" s="11"/>
      <c r="H6459" s="11"/>
      <c r="I6459" s="15"/>
    </row>
    <row r="6460" spans="1:9" ht="16.5">
      <c r="A6460" s="10" t="b">
        <v>0</v>
      </c>
      <c r="B6460" s="11" t="str">
        <f>IF(D6460&lt;&gt;"",IF(COUNTIF('USPTO TMs'!A:A,D6460)&gt;0,"Yes","No"),"")</f>
        <v/>
      </c>
      <c r="C6460" s="11"/>
      <c r="D6460" s="11"/>
      <c r="E6460" s="11"/>
      <c r="F6460" s="11"/>
      <c r="G6460" s="11"/>
      <c r="H6460" s="11"/>
      <c r="I6460" s="15"/>
    </row>
    <row r="6461" spans="1:9" ht="16.5">
      <c r="A6461" s="10" t="b">
        <v>0</v>
      </c>
      <c r="B6461" s="11" t="str">
        <f>IF(D6461&lt;&gt;"",IF(COUNTIF('USPTO TMs'!A:A,D6461)&gt;0,"Yes","No"),"")</f>
        <v/>
      </c>
      <c r="C6461" s="11"/>
      <c r="D6461" s="11"/>
      <c r="E6461" s="11"/>
      <c r="F6461" s="11"/>
      <c r="G6461" s="11"/>
      <c r="H6461" s="11"/>
      <c r="I6461" s="15"/>
    </row>
    <row r="6462" spans="1:9" ht="16.5">
      <c r="A6462" s="10" t="b">
        <v>0</v>
      </c>
      <c r="B6462" s="11" t="str">
        <f>IF(D6462&lt;&gt;"",IF(COUNTIF('USPTO TMs'!A:A,D6462)&gt;0,"Yes","No"),"")</f>
        <v/>
      </c>
      <c r="C6462" s="11"/>
      <c r="D6462" s="11"/>
      <c r="E6462" s="11"/>
      <c r="F6462" s="11"/>
      <c r="G6462" s="11"/>
      <c r="H6462" s="11"/>
      <c r="I6462" s="15"/>
    </row>
    <row r="6463" spans="1:9" ht="16.5">
      <c r="A6463" s="10" t="b">
        <v>0</v>
      </c>
      <c r="B6463" s="11" t="str">
        <f>IF(D6463&lt;&gt;"",IF(COUNTIF('USPTO TMs'!A:A,D6463)&gt;0,"Yes","No"),"")</f>
        <v/>
      </c>
      <c r="C6463" s="11"/>
      <c r="D6463" s="11"/>
      <c r="E6463" s="11"/>
      <c r="F6463" s="11"/>
      <c r="G6463" s="11"/>
      <c r="H6463" s="11"/>
      <c r="I6463" s="15"/>
    </row>
    <row r="6464" spans="1:9" ht="16.5">
      <c r="A6464" s="10" t="b">
        <v>0</v>
      </c>
      <c r="B6464" s="11" t="str">
        <f>IF(D6464&lt;&gt;"",IF(COUNTIF('USPTO TMs'!A:A,D6464)&gt;0,"Yes","No"),"")</f>
        <v/>
      </c>
      <c r="C6464" s="11"/>
      <c r="D6464" s="11"/>
      <c r="E6464" s="11"/>
      <c r="F6464" s="11"/>
      <c r="G6464" s="11"/>
      <c r="H6464" s="11"/>
      <c r="I6464" s="15"/>
    </row>
    <row r="6465" spans="1:9" ht="16.5">
      <c r="A6465" s="10" t="b">
        <v>0</v>
      </c>
      <c r="B6465" s="11" t="str">
        <f>IF(D6465&lt;&gt;"",IF(COUNTIF('USPTO TMs'!A:A,D6465)&gt;0,"Yes","No"),"")</f>
        <v/>
      </c>
      <c r="C6465" s="11"/>
      <c r="D6465" s="11"/>
      <c r="E6465" s="11"/>
      <c r="F6465" s="11"/>
      <c r="G6465" s="11"/>
      <c r="H6465" s="11"/>
      <c r="I6465" s="15"/>
    </row>
    <row r="6466" spans="1:9" ht="16.5">
      <c r="A6466" s="10" t="b">
        <v>0</v>
      </c>
      <c r="B6466" s="11" t="str">
        <f>IF(D6466&lt;&gt;"",IF(COUNTIF('USPTO TMs'!A:A,D6466)&gt;0,"Yes","No"),"")</f>
        <v/>
      </c>
      <c r="C6466" s="11"/>
      <c r="D6466" s="11"/>
      <c r="E6466" s="11"/>
      <c r="F6466" s="11"/>
      <c r="G6466" s="11"/>
      <c r="H6466" s="11"/>
      <c r="I6466" s="15"/>
    </row>
    <row r="6467" spans="1:9" ht="16.5">
      <c r="A6467" s="10" t="b">
        <v>0</v>
      </c>
      <c r="B6467" s="11" t="str">
        <f>IF(D6467&lt;&gt;"",IF(COUNTIF('USPTO TMs'!A:A,D6467)&gt;0,"Yes","No"),"")</f>
        <v/>
      </c>
      <c r="C6467" s="11"/>
      <c r="D6467" s="11"/>
      <c r="E6467" s="11"/>
      <c r="F6467" s="11"/>
      <c r="G6467" s="11"/>
      <c r="H6467" s="11"/>
      <c r="I6467" s="15"/>
    </row>
    <row r="6468" spans="1:9" ht="16.5">
      <c r="A6468" s="10" t="b">
        <v>0</v>
      </c>
      <c r="B6468" s="11" t="str">
        <f>IF(D6468&lt;&gt;"",IF(COUNTIF('USPTO TMs'!A:A,D6468)&gt;0,"Yes","No"),"")</f>
        <v/>
      </c>
      <c r="C6468" s="11"/>
      <c r="D6468" s="11"/>
      <c r="E6468" s="11"/>
      <c r="F6468" s="11"/>
      <c r="G6468" s="11"/>
      <c r="H6468" s="11"/>
      <c r="I6468" s="15"/>
    </row>
    <row r="6469" spans="1:9" ht="16.5">
      <c r="A6469" s="10" t="b">
        <v>0</v>
      </c>
      <c r="B6469" s="11" t="str">
        <f>IF(D6469&lt;&gt;"",IF(COUNTIF('USPTO TMs'!A:A,D6469)&gt;0,"Yes","No"),"")</f>
        <v/>
      </c>
      <c r="C6469" s="11"/>
      <c r="D6469" s="11"/>
      <c r="E6469" s="11"/>
      <c r="F6469" s="11"/>
      <c r="G6469" s="11"/>
      <c r="H6469" s="11"/>
      <c r="I6469" s="15"/>
    </row>
    <row r="6470" spans="1:9" ht="16.5">
      <c r="A6470" s="10" t="b">
        <v>0</v>
      </c>
      <c r="B6470" s="11" t="str">
        <f>IF(D6470&lt;&gt;"",IF(COUNTIF('USPTO TMs'!A:A,D6470)&gt;0,"Yes","No"),"")</f>
        <v/>
      </c>
      <c r="C6470" s="11"/>
      <c r="D6470" s="11"/>
      <c r="E6470" s="11"/>
      <c r="F6470" s="11"/>
      <c r="G6470" s="11"/>
      <c r="H6470" s="11"/>
      <c r="I6470" s="15"/>
    </row>
    <row r="6471" spans="1:9" ht="16.5">
      <c r="A6471" s="10" t="b">
        <v>0</v>
      </c>
      <c r="B6471" s="11" t="str">
        <f>IF(D6471&lt;&gt;"",IF(COUNTIF('USPTO TMs'!A:A,D6471)&gt;0,"Yes","No"),"")</f>
        <v/>
      </c>
      <c r="C6471" s="11"/>
      <c r="D6471" s="11"/>
      <c r="E6471" s="11"/>
      <c r="F6471" s="11"/>
      <c r="G6471" s="11"/>
      <c r="H6471" s="11"/>
      <c r="I6471" s="15"/>
    </row>
    <row r="6472" spans="1:9" ht="16.5">
      <c r="A6472" s="10" t="b">
        <v>0</v>
      </c>
      <c r="B6472" s="11" t="str">
        <f>IF(D6472&lt;&gt;"",IF(COUNTIF('USPTO TMs'!A:A,D6472)&gt;0,"Yes","No"),"")</f>
        <v/>
      </c>
      <c r="C6472" s="11"/>
      <c r="D6472" s="11"/>
      <c r="E6472" s="11"/>
      <c r="F6472" s="11"/>
      <c r="G6472" s="11"/>
      <c r="H6472" s="11"/>
      <c r="I6472" s="15"/>
    </row>
    <row r="6473" spans="1:9" ht="16.5">
      <c r="A6473" s="10" t="b">
        <v>0</v>
      </c>
      <c r="B6473" s="11" t="str">
        <f>IF(D6473&lt;&gt;"",IF(COUNTIF('USPTO TMs'!A:A,D6473)&gt;0,"Yes","No"),"")</f>
        <v/>
      </c>
      <c r="C6473" s="11"/>
      <c r="D6473" s="11"/>
      <c r="E6473" s="11"/>
      <c r="F6473" s="11"/>
      <c r="G6473" s="11"/>
      <c r="H6473" s="11"/>
      <c r="I6473" s="15"/>
    </row>
    <row r="6474" spans="1:9" ht="16.5">
      <c r="A6474" s="10" t="b">
        <v>0</v>
      </c>
      <c r="B6474" s="11" t="str">
        <f>IF(D6474&lt;&gt;"",IF(COUNTIF('USPTO TMs'!A:A,D6474)&gt;0,"Yes","No"),"")</f>
        <v/>
      </c>
      <c r="C6474" s="11"/>
      <c r="D6474" s="11"/>
      <c r="E6474" s="11"/>
      <c r="F6474" s="11"/>
      <c r="G6474" s="11"/>
      <c r="H6474" s="11"/>
      <c r="I6474" s="15"/>
    </row>
    <row r="6475" spans="1:9" ht="16.5">
      <c r="A6475" s="10" t="b">
        <v>0</v>
      </c>
      <c r="B6475" s="11" t="str">
        <f>IF(D6475&lt;&gt;"",IF(COUNTIF('USPTO TMs'!A:A,D6475)&gt;0,"Yes","No"),"")</f>
        <v/>
      </c>
      <c r="C6475" s="11"/>
      <c r="D6475" s="11"/>
      <c r="E6475" s="11"/>
      <c r="F6475" s="11"/>
      <c r="G6475" s="11"/>
      <c r="H6475" s="11"/>
      <c r="I6475" s="15"/>
    </row>
    <row r="6476" spans="1:9" ht="16.5">
      <c r="A6476" s="10" t="b">
        <v>0</v>
      </c>
      <c r="B6476" s="11" t="str">
        <f>IF(D6476&lt;&gt;"",IF(COUNTIF('USPTO TMs'!A:A,D6476)&gt;0,"Yes","No"),"")</f>
        <v/>
      </c>
      <c r="C6476" s="11"/>
      <c r="D6476" s="11"/>
      <c r="E6476" s="11"/>
      <c r="F6476" s="11"/>
      <c r="G6476" s="11"/>
      <c r="H6476" s="11"/>
      <c r="I6476" s="15"/>
    </row>
    <row r="6477" spans="1:9" ht="16.5">
      <c r="A6477" s="10" t="b">
        <v>0</v>
      </c>
      <c r="B6477" s="11" t="str">
        <f>IF(D6477&lt;&gt;"",IF(COUNTIF('USPTO TMs'!A:A,D6477)&gt;0,"Yes","No"),"")</f>
        <v/>
      </c>
      <c r="C6477" s="11"/>
      <c r="D6477" s="11"/>
      <c r="E6477" s="11"/>
      <c r="F6477" s="11"/>
      <c r="G6477" s="11"/>
      <c r="H6477" s="11"/>
      <c r="I6477" s="15"/>
    </row>
    <row r="6478" spans="1:9" ht="16.5">
      <c r="A6478" s="10" t="b">
        <v>0</v>
      </c>
      <c r="B6478" s="11" t="str">
        <f>IF(D6478&lt;&gt;"",IF(COUNTIF('USPTO TMs'!A:A,D6478)&gt;0,"Yes","No"),"")</f>
        <v/>
      </c>
      <c r="C6478" s="11"/>
      <c r="D6478" s="11"/>
      <c r="E6478" s="11"/>
      <c r="F6478" s="11"/>
      <c r="G6478" s="11"/>
      <c r="H6478" s="11"/>
      <c r="I6478" s="15"/>
    </row>
    <row r="6479" spans="1:9" ht="16.5">
      <c r="A6479" s="10" t="b">
        <v>0</v>
      </c>
      <c r="B6479" s="11" t="str">
        <f>IF(D6479&lt;&gt;"",IF(COUNTIF('USPTO TMs'!A:A,D6479)&gt;0,"Yes","No"),"")</f>
        <v/>
      </c>
      <c r="C6479" s="11"/>
      <c r="D6479" s="11"/>
      <c r="E6479" s="11"/>
      <c r="F6479" s="11"/>
      <c r="G6479" s="11"/>
      <c r="H6479" s="11"/>
      <c r="I6479" s="15"/>
    </row>
    <row r="6480" spans="1:9" ht="16.5">
      <c r="A6480" s="10" t="b">
        <v>0</v>
      </c>
      <c r="B6480" s="11" t="str">
        <f>IF(D6480&lt;&gt;"",IF(COUNTIF('USPTO TMs'!A:A,D6480)&gt;0,"Yes","No"),"")</f>
        <v/>
      </c>
      <c r="C6480" s="11"/>
      <c r="D6480" s="11"/>
      <c r="E6480" s="11"/>
      <c r="F6480" s="11"/>
      <c r="G6480" s="11"/>
      <c r="H6480" s="11"/>
      <c r="I6480" s="15"/>
    </row>
    <row r="6481" spans="1:9" ht="16.5">
      <c r="A6481" s="10" t="b">
        <v>0</v>
      </c>
      <c r="B6481" s="11" t="str">
        <f>IF(D6481&lt;&gt;"",IF(COUNTIF('USPTO TMs'!A:A,D6481)&gt;0,"Yes","No"),"")</f>
        <v/>
      </c>
      <c r="C6481" s="11"/>
      <c r="D6481" s="11"/>
      <c r="E6481" s="11"/>
      <c r="F6481" s="11"/>
      <c r="G6481" s="11"/>
      <c r="H6481" s="11"/>
      <c r="I6481" s="15"/>
    </row>
    <row r="6482" spans="1:9" ht="16.5">
      <c r="A6482" s="10" t="b">
        <v>0</v>
      </c>
      <c r="B6482" s="11" t="str">
        <f>IF(D6482&lt;&gt;"",IF(COUNTIF('USPTO TMs'!A:A,D6482)&gt;0,"Yes","No"),"")</f>
        <v/>
      </c>
      <c r="C6482" s="11"/>
      <c r="D6482" s="11"/>
      <c r="E6482" s="11"/>
      <c r="F6482" s="11"/>
      <c r="G6482" s="11"/>
      <c r="H6482" s="11"/>
      <c r="I6482" s="15"/>
    </row>
    <row r="6483" spans="1:9" ht="16.5">
      <c r="A6483" s="10" t="b">
        <v>0</v>
      </c>
      <c r="B6483" s="11" t="str">
        <f>IF(D6483&lt;&gt;"",IF(COUNTIF('USPTO TMs'!A:A,D6483)&gt;0,"Yes","No"),"")</f>
        <v/>
      </c>
      <c r="C6483" s="11"/>
      <c r="D6483" s="11"/>
      <c r="E6483" s="11"/>
      <c r="F6483" s="11"/>
      <c r="G6483" s="11"/>
      <c r="H6483" s="11"/>
      <c r="I6483" s="15"/>
    </row>
    <row r="6484" spans="1:9" ht="16.5">
      <c r="A6484" s="10" t="b">
        <v>0</v>
      </c>
      <c r="B6484" s="11" t="str">
        <f>IF(D6484&lt;&gt;"",IF(COUNTIF('USPTO TMs'!A:A,D6484)&gt;0,"Yes","No"),"")</f>
        <v/>
      </c>
      <c r="C6484" s="11"/>
      <c r="D6484" s="11"/>
      <c r="E6484" s="11"/>
      <c r="F6484" s="11"/>
      <c r="G6484" s="11"/>
      <c r="H6484" s="11"/>
      <c r="I6484" s="15"/>
    </row>
    <row r="6485" spans="1:9" ht="16.5">
      <c r="A6485" s="10" t="b">
        <v>0</v>
      </c>
      <c r="B6485" s="11" t="str">
        <f>IF(D6485&lt;&gt;"",IF(COUNTIF('USPTO TMs'!A:A,D6485)&gt;0,"Yes","No"),"")</f>
        <v/>
      </c>
      <c r="C6485" s="11"/>
      <c r="D6485" s="11"/>
      <c r="E6485" s="11"/>
      <c r="F6485" s="11"/>
      <c r="G6485" s="11"/>
      <c r="H6485" s="11"/>
      <c r="I6485" s="15"/>
    </row>
    <row r="6486" spans="1:9" ht="16.5">
      <c r="A6486" s="10" t="b">
        <v>0</v>
      </c>
      <c r="B6486" s="11" t="str">
        <f>IF(D6486&lt;&gt;"",IF(COUNTIF('USPTO TMs'!A:A,D6486)&gt;0,"Yes","No"),"")</f>
        <v/>
      </c>
      <c r="C6486" s="11"/>
      <c r="D6486" s="11"/>
      <c r="E6486" s="11"/>
      <c r="F6486" s="11"/>
      <c r="G6486" s="11"/>
      <c r="H6486" s="11"/>
      <c r="I6486" s="15"/>
    </row>
    <row r="6487" spans="1:9" ht="16.5">
      <c r="A6487" s="10" t="b">
        <v>0</v>
      </c>
      <c r="B6487" s="11" t="str">
        <f>IF(D6487&lt;&gt;"",IF(COUNTIF('USPTO TMs'!A:A,D6487)&gt;0,"Yes","No"),"")</f>
        <v/>
      </c>
      <c r="C6487" s="11"/>
      <c r="D6487" s="11"/>
      <c r="E6487" s="11"/>
      <c r="F6487" s="11"/>
      <c r="G6487" s="11"/>
      <c r="H6487" s="11"/>
      <c r="I6487" s="15"/>
    </row>
    <row r="6488" spans="1:9" ht="16.5">
      <c r="A6488" s="10" t="b">
        <v>0</v>
      </c>
      <c r="B6488" s="11" t="str">
        <f>IF(D6488&lt;&gt;"",IF(COUNTIF('USPTO TMs'!A:A,D6488)&gt;0,"Yes","No"),"")</f>
        <v/>
      </c>
      <c r="C6488" s="11"/>
      <c r="D6488" s="11"/>
      <c r="E6488" s="11"/>
      <c r="F6488" s="11"/>
      <c r="G6488" s="11"/>
      <c r="H6488" s="11"/>
      <c r="I6488" s="15"/>
    </row>
    <row r="6489" spans="1:9" ht="16.5">
      <c r="A6489" s="10" t="b">
        <v>0</v>
      </c>
      <c r="B6489" s="11" t="str">
        <f>IF(D6489&lt;&gt;"",IF(COUNTIF('USPTO TMs'!A:A,D6489)&gt;0,"Yes","No"),"")</f>
        <v/>
      </c>
      <c r="C6489" s="11"/>
      <c r="D6489" s="11"/>
      <c r="E6489" s="11"/>
      <c r="F6489" s="11"/>
      <c r="G6489" s="11"/>
      <c r="H6489" s="11"/>
      <c r="I6489" s="15"/>
    </row>
    <row r="6490" spans="1:9" ht="16.5">
      <c r="A6490" s="10" t="b">
        <v>0</v>
      </c>
      <c r="B6490" s="11" t="str">
        <f>IF(D6490&lt;&gt;"",IF(COUNTIF('USPTO TMs'!A:A,D6490)&gt;0,"Yes","No"),"")</f>
        <v/>
      </c>
      <c r="C6490" s="11"/>
      <c r="D6490" s="11"/>
      <c r="E6490" s="11"/>
      <c r="F6490" s="11"/>
      <c r="G6490" s="11"/>
      <c r="H6490" s="11"/>
      <c r="I6490" s="15"/>
    </row>
    <row r="6491" spans="1:9" ht="16.5">
      <c r="A6491" s="10" t="b">
        <v>0</v>
      </c>
      <c r="B6491" s="11" t="str">
        <f>IF(D6491&lt;&gt;"",IF(COUNTIF('USPTO TMs'!A:A,D6491)&gt;0,"Yes","No"),"")</f>
        <v/>
      </c>
      <c r="C6491" s="11"/>
      <c r="D6491" s="11"/>
      <c r="E6491" s="11"/>
      <c r="F6491" s="11"/>
      <c r="G6491" s="11"/>
      <c r="H6491" s="11"/>
      <c r="I6491" s="15"/>
    </row>
    <row r="6492" spans="1:9" ht="16.5">
      <c r="A6492" s="10" t="b">
        <v>0</v>
      </c>
      <c r="B6492" s="11" t="str">
        <f>IF(D6492&lt;&gt;"",IF(COUNTIF('USPTO TMs'!A:A,D6492)&gt;0,"Yes","No"),"")</f>
        <v/>
      </c>
      <c r="C6492" s="11"/>
      <c r="D6492" s="11"/>
      <c r="E6492" s="11"/>
      <c r="F6492" s="11"/>
      <c r="G6492" s="11"/>
      <c r="H6492" s="11"/>
      <c r="I6492" s="15"/>
    </row>
    <row r="6493" spans="1:9" ht="16.5">
      <c r="A6493" s="10" t="b">
        <v>0</v>
      </c>
      <c r="B6493" s="11" t="str">
        <f>IF(D6493&lt;&gt;"",IF(COUNTIF('USPTO TMs'!A:A,D6493)&gt;0,"Yes","No"),"")</f>
        <v/>
      </c>
      <c r="C6493" s="11"/>
      <c r="D6493" s="11"/>
      <c r="E6493" s="11"/>
      <c r="F6493" s="11"/>
      <c r="G6493" s="11"/>
      <c r="H6493" s="11"/>
      <c r="I6493" s="15"/>
    </row>
    <row r="6494" spans="1:9" ht="16.5">
      <c r="A6494" s="10" t="b">
        <v>0</v>
      </c>
      <c r="B6494" s="11" t="str">
        <f>IF(D6494&lt;&gt;"",IF(COUNTIF('USPTO TMs'!A:A,D6494)&gt;0,"Yes","No"),"")</f>
        <v/>
      </c>
      <c r="C6494" s="11"/>
      <c r="D6494" s="11"/>
      <c r="E6494" s="11"/>
      <c r="F6494" s="11"/>
      <c r="G6494" s="11"/>
      <c r="H6494" s="11"/>
      <c r="I6494" s="15"/>
    </row>
    <row r="6495" spans="1:9" ht="16.5">
      <c r="A6495" s="10" t="b">
        <v>0</v>
      </c>
      <c r="B6495" s="11" t="str">
        <f>IF(D6495&lt;&gt;"",IF(COUNTIF('USPTO TMs'!A:A,D6495)&gt;0,"Yes","No"),"")</f>
        <v/>
      </c>
      <c r="C6495" s="11"/>
      <c r="D6495" s="11"/>
      <c r="E6495" s="11"/>
      <c r="F6495" s="11"/>
      <c r="G6495" s="11"/>
      <c r="H6495" s="11"/>
      <c r="I6495" s="15"/>
    </row>
    <row r="6496" spans="1:9" ht="16.5">
      <c r="A6496" s="10" t="b">
        <v>0</v>
      </c>
      <c r="B6496" s="11" t="str">
        <f>IF(D6496&lt;&gt;"",IF(COUNTIF('USPTO TMs'!A:A,D6496)&gt;0,"Yes","No"),"")</f>
        <v/>
      </c>
      <c r="C6496" s="11"/>
      <c r="D6496" s="11"/>
      <c r="E6496" s="11"/>
      <c r="F6496" s="11"/>
      <c r="G6496" s="11"/>
      <c r="H6496" s="11"/>
      <c r="I6496" s="15"/>
    </row>
    <row r="6497" spans="1:9" ht="16.5">
      <c r="A6497" s="10" t="b">
        <v>0</v>
      </c>
      <c r="B6497" s="11" t="str">
        <f>IF(D6497&lt;&gt;"",IF(COUNTIF('USPTO TMs'!A:A,D6497)&gt;0,"Yes","No"),"")</f>
        <v/>
      </c>
      <c r="C6497" s="11"/>
      <c r="D6497" s="11"/>
      <c r="E6497" s="11"/>
      <c r="F6497" s="11"/>
      <c r="G6497" s="11"/>
      <c r="H6497" s="11"/>
      <c r="I6497" s="15"/>
    </row>
    <row r="6498" spans="1:9" ht="16.5">
      <c r="A6498" s="10" t="b">
        <v>0</v>
      </c>
      <c r="B6498" s="11" t="str">
        <f>IF(D6498&lt;&gt;"",IF(COUNTIF('USPTO TMs'!A:A,D6498)&gt;0,"Yes","No"),"")</f>
        <v/>
      </c>
      <c r="C6498" s="11"/>
      <c r="D6498" s="11"/>
      <c r="E6498" s="11"/>
      <c r="F6498" s="11"/>
      <c r="G6498" s="11"/>
      <c r="H6498" s="11"/>
      <c r="I6498" s="15"/>
    </row>
    <row r="6499" spans="1:9" ht="16.5">
      <c r="A6499" s="10" t="b">
        <v>0</v>
      </c>
      <c r="B6499" s="11" t="str">
        <f>IF(D6499&lt;&gt;"",IF(COUNTIF('USPTO TMs'!A:A,D6499)&gt;0,"Yes","No"),"")</f>
        <v/>
      </c>
      <c r="C6499" s="11"/>
      <c r="D6499" s="11"/>
      <c r="E6499" s="11"/>
      <c r="F6499" s="11"/>
      <c r="G6499" s="11"/>
      <c r="H6499" s="11"/>
      <c r="I6499" s="15"/>
    </row>
    <row r="6500" spans="1:9" ht="16.5">
      <c r="A6500" s="10" t="b">
        <v>0</v>
      </c>
      <c r="B6500" s="11" t="str">
        <f>IF(D6500&lt;&gt;"",IF(COUNTIF('USPTO TMs'!A:A,D6500)&gt;0,"Yes","No"),"")</f>
        <v/>
      </c>
      <c r="C6500" s="11"/>
      <c r="D6500" s="11"/>
      <c r="E6500" s="11"/>
      <c r="F6500" s="11"/>
      <c r="G6500" s="11"/>
      <c r="H6500" s="11"/>
      <c r="I6500" s="15"/>
    </row>
    <row r="6501" spans="1:9" ht="16.5">
      <c r="A6501" s="10" t="b">
        <v>0</v>
      </c>
      <c r="B6501" s="11" t="str">
        <f>IF(D6501&lt;&gt;"",IF(COUNTIF('USPTO TMs'!A:A,D6501)&gt;0,"Yes","No"),"")</f>
        <v/>
      </c>
      <c r="C6501" s="11"/>
      <c r="D6501" s="11"/>
      <c r="E6501" s="11"/>
      <c r="F6501" s="11"/>
      <c r="G6501" s="11"/>
      <c r="H6501" s="11"/>
      <c r="I6501" s="15"/>
    </row>
    <row r="6502" spans="1:9" ht="16.5">
      <c r="A6502" s="10" t="b">
        <v>0</v>
      </c>
      <c r="B6502" s="11" t="str">
        <f>IF(D6502&lt;&gt;"",IF(COUNTIF('USPTO TMs'!A:A,D6502)&gt;0,"Yes","No"),"")</f>
        <v/>
      </c>
      <c r="C6502" s="11"/>
      <c r="D6502" s="11"/>
      <c r="E6502" s="11"/>
      <c r="F6502" s="11"/>
      <c r="G6502" s="11"/>
      <c r="H6502" s="11"/>
      <c r="I6502" s="15"/>
    </row>
    <row r="6503" spans="1:9" ht="16.5">
      <c r="A6503" s="10" t="b">
        <v>0</v>
      </c>
      <c r="B6503" s="11" t="str">
        <f>IF(D6503&lt;&gt;"",IF(COUNTIF('USPTO TMs'!A:A,D6503)&gt;0,"Yes","No"),"")</f>
        <v/>
      </c>
      <c r="C6503" s="11"/>
      <c r="D6503" s="11"/>
      <c r="E6503" s="11"/>
      <c r="F6503" s="11"/>
      <c r="G6503" s="11"/>
      <c r="H6503" s="11"/>
      <c r="I6503" s="15"/>
    </row>
    <row r="6504" spans="1:9" ht="16.5">
      <c r="A6504" s="10" t="b">
        <v>0</v>
      </c>
      <c r="B6504" s="11" t="str">
        <f>IF(D6504&lt;&gt;"",IF(COUNTIF('USPTO TMs'!A:A,D6504)&gt;0,"Yes","No"),"")</f>
        <v/>
      </c>
      <c r="C6504" s="11"/>
      <c r="D6504" s="11"/>
      <c r="E6504" s="11"/>
      <c r="F6504" s="11"/>
      <c r="G6504" s="11"/>
      <c r="H6504" s="11"/>
      <c r="I6504" s="15"/>
    </row>
    <row r="6505" spans="1:9" ht="16.5">
      <c r="A6505" s="10" t="b">
        <v>0</v>
      </c>
      <c r="B6505" s="11" t="str">
        <f>IF(D6505&lt;&gt;"",IF(COUNTIF('USPTO TMs'!A:A,D6505)&gt;0,"Yes","No"),"")</f>
        <v/>
      </c>
      <c r="C6505" s="11"/>
      <c r="D6505" s="11"/>
      <c r="E6505" s="11"/>
      <c r="F6505" s="11"/>
      <c r="G6505" s="11"/>
      <c r="H6505" s="11"/>
      <c r="I6505" s="15"/>
    </row>
    <row r="6506" spans="1:9" ht="16.5">
      <c r="A6506" s="10" t="b">
        <v>0</v>
      </c>
      <c r="B6506" s="11" t="str">
        <f>IF(D6506&lt;&gt;"",IF(COUNTIF('USPTO TMs'!A:A,D6506)&gt;0,"Yes","No"),"")</f>
        <v/>
      </c>
      <c r="C6506" s="11"/>
      <c r="D6506" s="11"/>
      <c r="E6506" s="11"/>
      <c r="F6506" s="11"/>
      <c r="G6506" s="11"/>
      <c r="H6506" s="11"/>
      <c r="I6506" s="15"/>
    </row>
    <row r="6507" spans="1:9" ht="16.5">
      <c r="A6507" s="10" t="b">
        <v>0</v>
      </c>
      <c r="B6507" s="11" t="str">
        <f>IF(D6507&lt;&gt;"",IF(COUNTIF('USPTO TMs'!A:A,D6507)&gt;0,"Yes","No"),"")</f>
        <v/>
      </c>
      <c r="C6507" s="11"/>
      <c r="D6507" s="11"/>
      <c r="E6507" s="11"/>
      <c r="F6507" s="11"/>
      <c r="G6507" s="11"/>
      <c r="H6507" s="11"/>
      <c r="I6507" s="15"/>
    </row>
    <row r="6508" spans="1:9" ht="16.5">
      <c r="A6508" s="10" t="b">
        <v>0</v>
      </c>
      <c r="B6508" s="11" t="str">
        <f>IF(D6508&lt;&gt;"",IF(COUNTIF('USPTO TMs'!A:A,D6508)&gt;0,"Yes","No"),"")</f>
        <v/>
      </c>
      <c r="C6508" s="11"/>
      <c r="D6508" s="11"/>
      <c r="E6508" s="11"/>
      <c r="F6508" s="11"/>
      <c r="G6508" s="11"/>
      <c r="H6508" s="11"/>
      <c r="I6508" s="15"/>
    </row>
    <row r="6509" spans="1:9" ht="16.5">
      <c r="A6509" s="10" t="b">
        <v>0</v>
      </c>
      <c r="B6509" s="11" t="str">
        <f>IF(D6509&lt;&gt;"",IF(COUNTIF('USPTO TMs'!A:A,D6509)&gt;0,"Yes","No"),"")</f>
        <v/>
      </c>
      <c r="C6509" s="11"/>
      <c r="D6509" s="11"/>
      <c r="E6509" s="11"/>
      <c r="F6509" s="11"/>
      <c r="G6509" s="11"/>
      <c r="H6509" s="11"/>
      <c r="I6509" s="15"/>
    </row>
    <row r="6510" spans="1:9" ht="16.5">
      <c r="A6510" s="10" t="b">
        <v>0</v>
      </c>
      <c r="B6510" s="11" t="str">
        <f>IF(D6510&lt;&gt;"",IF(COUNTIF('USPTO TMs'!A:A,D6510)&gt;0,"Yes","No"),"")</f>
        <v/>
      </c>
      <c r="C6510" s="11"/>
      <c r="D6510" s="11"/>
      <c r="E6510" s="11"/>
      <c r="F6510" s="11"/>
      <c r="G6510" s="11"/>
      <c r="H6510" s="11"/>
      <c r="I6510" s="15"/>
    </row>
    <row r="6511" spans="1:9" ht="16.5">
      <c r="A6511" s="10" t="b">
        <v>0</v>
      </c>
      <c r="B6511" s="11" t="str">
        <f>IF(D6511&lt;&gt;"",IF(COUNTIF('USPTO TMs'!A:A,D6511)&gt;0,"Yes","No"),"")</f>
        <v/>
      </c>
      <c r="C6511" s="11"/>
      <c r="D6511" s="11"/>
      <c r="E6511" s="11"/>
      <c r="F6511" s="11"/>
      <c r="G6511" s="11"/>
      <c r="H6511" s="11"/>
      <c r="I6511" s="15"/>
    </row>
    <row r="6512" spans="1:9" ht="16.5">
      <c r="A6512" s="10" t="b">
        <v>0</v>
      </c>
      <c r="B6512" s="11" t="str">
        <f>IF(D6512&lt;&gt;"",IF(COUNTIF('USPTO TMs'!A:A,D6512)&gt;0,"Yes","No"),"")</f>
        <v/>
      </c>
      <c r="C6512" s="11"/>
      <c r="D6512" s="11"/>
      <c r="E6512" s="11"/>
      <c r="F6512" s="11"/>
      <c r="G6512" s="11"/>
      <c r="H6512" s="11"/>
      <c r="I6512" s="15"/>
    </row>
    <row r="6513" spans="1:9" ht="16.5">
      <c r="A6513" s="10" t="b">
        <v>0</v>
      </c>
      <c r="B6513" s="11" t="str">
        <f>IF(D6513&lt;&gt;"",IF(COUNTIF('USPTO TMs'!A:A,D6513)&gt;0,"Yes","No"),"")</f>
        <v/>
      </c>
      <c r="C6513" s="11"/>
      <c r="D6513" s="11"/>
      <c r="E6513" s="11"/>
      <c r="F6513" s="11"/>
      <c r="G6513" s="11"/>
      <c r="H6513" s="11"/>
      <c r="I6513" s="15"/>
    </row>
    <row r="6514" spans="1:9" ht="16.5">
      <c r="A6514" s="10" t="b">
        <v>0</v>
      </c>
      <c r="B6514" s="11" t="str">
        <f>IF(D6514&lt;&gt;"",IF(COUNTIF('USPTO TMs'!A:A,D6514)&gt;0,"Yes","No"),"")</f>
        <v/>
      </c>
      <c r="C6514" s="11"/>
      <c r="D6514" s="11"/>
      <c r="E6514" s="11"/>
      <c r="F6514" s="11"/>
      <c r="G6514" s="11"/>
      <c r="H6514" s="11"/>
      <c r="I6514" s="15"/>
    </row>
    <row r="6515" spans="1:9" ht="16.5">
      <c r="A6515" s="10" t="b">
        <v>0</v>
      </c>
      <c r="B6515" s="11" t="str">
        <f>IF(D6515&lt;&gt;"",IF(COUNTIF('USPTO TMs'!A:A,D6515)&gt;0,"Yes","No"),"")</f>
        <v/>
      </c>
      <c r="C6515" s="11"/>
      <c r="D6515" s="11"/>
      <c r="E6515" s="11"/>
      <c r="F6515" s="11"/>
      <c r="G6515" s="11"/>
      <c r="H6515" s="11"/>
      <c r="I6515" s="15"/>
    </row>
    <row r="6516" spans="1:9" ht="16.5">
      <c r="A6516" s="10" t="b">
        <v>0</v>
      </c>
      <c r="B6516" s="11" t="str">
        <f>IF(D6516&lt;&gt;"",IF(COUNTIF('USPTO TMs'!A:A,D6516)&gt;0,"Yes","No"),"")</f>
        <v/>
      </c>
      <c r="C6516" s="11"/>
      <c r="D6516" s="11"/>
      <c r="E6516" s="11"/>
      <c r="F6516" s="11"/>
      <c r="G6516" s="11"/>
      <c r="H6516" s="11"/>
      <c r="I6516" s="15"/>
    </row>
    <row r="6517" spans="1:9" ht="16.5">
      <c r="A6517" s="10" t="b">
        <v>0</v>
      </c>
      <c r="B6517" s="11" t="str">
        <f>IF(D6517&lt;&gt;"",IF(COUNTIF('USPTO TMs'!A:A,D6517)&gt;0,"Yes","No"),"")</f>
        <v/>
      </c>
      <c r="C6517" s="11"/>
      <c r="D6517" s="11"/>
      <c r="E6517" s="11"/>
      <c r="F6517" s="11"/>
      <c r="G6517" s="11"/>
      <c r="H6517" s="11"/>
      <c r="I6517" s="15"/>
    </row>
    <row r="6518" spans="1:9" ht="16.5">
      <c r="A6518" s="10" t="b">
        <v>0</v>
      </c>
      <c r="B6518" s="11" t="str">
        <f>IF(D6518&lt;&gt;"",IF(COUNTIF('USPTO TMs'!A:A,D6518)&gt;0,"Yes","No"),"")</f>
        <v/>
      </c>
      <c r="C6518" s="11"/>
      <c r="D6518" s="11"/>
      <c r="E6518" s="11"/>
      <c r="F6518" s="11"/>
      <c r="G6518" s="11"/>
      <c r="H6518" s="11"/>
      <c r="I6518" s="15"/>
    </row>
    <row r="6519" spans="1:9" ht="16.5">
      <c r="A6519" s="10" t="b">
        <v>0</v>
      </c>
      <c r="B6519" s="11" t="str">
        <f>IF(D6519&lt;&gt;"",IF(COUNTIF('USPTO TMs'!A:A,D6519)&gt;0,"Yes","No"),"")</f>
        <v/>
      </c>
      <c r="C6519" s="11"/>
      <c r="D6519" s="11"/>
      <c r="E6519" s="11"/>
      <c r="F6519" s="11"/>
      <c r="G6519" s="11"/>
      <c r="H6519" s="11"/>
      <c r="I6519" s="15"/>
    </row>
    <row r="6520" spans="1:9" ht="16.5">
      <c r="A6520" s="10" t="b">
        <v>0</v>
      </c>
      <c r="B6520" s="11" t="str">
        <f>IF(D6520&lt;&gt;"",IF(COUNTIF('USPTO TMs'!A:A,D6520)&gt;0,"Yes","No"),"")</f>
        <v/>
      </c>
      <c r="C6520" s="11"/>
      <c r="D6520" s="11"/>
      <c r="E6520" s="11"/>
      <c r="F6520" s="11"/>
      <c r="G6520" s="11"/>
      <c r="H6520" s="11"/>
      <c r="I6520" s="15"/>
    </row>
    <row r="6521" spans="1:9" ht="16.5">
      <c r="A6521" s="10" t="b">
        <v>0</v>
      </c>
      <c r="B6521" s="11" t="str">
        <f>IF(D6521&lt;&gt;"",IF(COUNTIF('USPTO TMs'!A:A,D6521)&gt;0,"Yes","No"),"")</f>
        <v/>
      </c>
      <c r="C6521" s="11"/>
      <c r="D6521" s="11"/>
      <c r="E6521" s="11"/>
      <c r="F6521" s="11"/>
      <c r="G6521" s="11"/>
      <c r="H6521" s="11"/>
      <c r="I6521" s="15"/>
    </row>
    <row r="6522" spans="1:9" ht="16.5">
      <c r="A6522" s="10" t="b">
        <v>0</v>
      </c>
      <c r="B6522" s="11" t="str">
        <f>IF(D6522&lt;&gt;"",IF(COUNTIF('USPTO TMs'!A:A,D6522)&gt;0,"Yes","No"),"")</f>
        <v/>
      </c>
      <c r="C6522" s="11"/>
      <c r="D6522" s="11"/>
      <c r="E6522" s="11"/>
      <c r="F6522" s="11"/>
      <c r="G6522" s="11"/>
      <c r="H6522" s="11"/>
      <c r="I6522" s="15"/>
    </row>
    <row r="6523" spans="1:9" ht="16.5">
      <c r="A6523" s="10" t="b">
        <v>0</v>
      </c>
      <c r="B6523" s="11" t="str">
        <f>IF(D6523&lt;&gt;"",IF(COUNTIF('USPTO TMs'!A:A,D6523)&gt;0,"Yes","No"),"")</f>
        <v/>
      </c>
      <c r="C6523" s="11"/>
      <c r="D6523" s="11"/>
      <c r="E6523" s="11"/>
      <c r="F6523" s="11"/>
      <c r="G6523" s="11"/>
      <c r="H6523" s="11"/>
      <c r="I6523" s="15"/>
    </row>
    <row r="6524" spans="1:9" ht="16.5">
      <c r="A6524" s="10" t="b">
        <v>0</v>
      </c>
      <c r="B6524" s="11" t="str">
        <f>IF(D6524&lt;&gt;"",IF(COUNTIF('USPTO TMs'!A:A,D6524)&gt;0,"Yes","No"),"")</f>
        <v/>
      </c>
      <c r="C6524" s="11"/>
      <c r="D6524" s="11"/>
      <c r="E6524" s="11"/>
      <c r="F6524" s="11"/>
      <c r="G6524" s="11"/>
      <c r="H6524" s="11"/>
      <c r="I6524" s="15"/>
    </row>
    <row r="6525" spans="1:9" ht="16.5">
      <c r="A6525" s="10" t="b">
        <v>0</v>
      </c>
      <c r="B6525" s="11" t="str">
        <f>IF(D6525&lt;&gt;"",IF(COUNTIF('USPTO TMs'!A:A,D6525)&gt;0,"Yes","No"),"")</f>
        <v/>
      </c>
      <c r="C6525" s="11"/>
      <c r="D6525" s="11"/>
      <c r="E6525" s="11"/>
      <c r="F6525" s="11"/>
      <c r="G6525" s="11"/>
      <c r="H6525" s="11"/>
      <c r="I6525" s="15"/>
    </row>
    <row r="6526" spans="1:9" ht="16.5">
      <c r="A6526" s="10" t="b">
        <v>0</v>
      </c>
      <c r="B6526" s="11" t="str">
        <f>IF(D6526&lt;&gt;"",IF(COUNTIF('USPTO TMs'!A:A,D6526)&gt;0,"Yes","No"),"")</f>
        <v/>
      </c>
      <c r="C6526" s="11"/>
      <c r="D6526" s="11"/>
      <c r="E6526" s="11"/>
      <c r="F6526" s="11"/>
      <c r="G6526" s="11"/>
      <c r="H6526" s="11"/>
      <c r="I6526" s="15"/>
    </row>
    <row r="6527" spans="1:9" ht="16.5">
      <c r="A6527" s="10" t="b">
        <v>0</v>
      </c>
      <c r="B6527" s="11" t="str">
        <f>IF(D6527&lt;&gt;"",IF(COUNTIF('USPTO TMs'!A:A,D6527)&gt;0,"Yes","No"),"")</f>
        <v/>
      </c>
      <c r="C6527" s="11"/>
      <c r="D6527" s="11"/>
      <c r="E6527" s="11"/>
      <c r="F6527" s="11"/>
      <c r="G6527" s="11"/>
      <c r="H6527" s="11"/>
      <c r="I6527" s="15"/>
    </row>
    <row r="6528" spans="1:9" ht="16.5">
      <c r="A6528" s="10" t="b">
        <v>0</v>
      </c>
      <c r="B6528" s="11" t="str">
        <f>IF(D6528&lt;&gt;"",IF(COUNTIF('USPTO TMs'!A:A,D6528)&gt;0,"Yes","No"),"")</f>
        <v/>
      </c>
      <c r="C6528" s="11"/>
      <c r="D6528" s="11"/>
      <c r="E6528" s="11"/>
      <c r="F6528" s="11"/>
      <c r="G6528" s="11"/>
      <c r="H6528" s="11"/>
      <c r="I6528" s="15"/>
    </row>
    <row r="6529" spans="1:9" ht="16.5">
      <c r="A6529" s="10" t="b">
        <v>0</v>
      </c>
      <c r="B6529" s="11" t="str">
        <f>IF(D6529&lt;&gt;"",IF(COUNTIF('USPTO TMs'!A:A,D6529)&gt;0,"Yes","No"),"")</f>
        <v/>
      </c>
      <c r="C6529" s="11"/>
      <c r="D6529" s="11"/>
      <c r="E6529" s="11"/>
      <c r="F6529" s="11"/>
      <c r="G6529" s="11"/>
      <c r="H6529" s="11"/>
      <c r="I6529" s="15"/>
    </row>
    <row r="6530" spans="1:9" ht="16.5">
      <c r="A6530" s="10" t="b">
        <v>0</v>
      </c>
      <c r="B6530" s="11" t="str">
        <f>IF(D6530&lt;&gt;"",IF(COUNTIF('USPTO TMs'!A:A,D6530)&gt;0,"Yes","No"),"")</f>
        <v/>
      </c>
      <c r="C6530" s="11"/>
      <c r="D6530" s="11"/>
      <c r="E6530" s="11"/>
      <c r="F6530" s="11"/>
      <c r="G6530" s="11"/>
      <c r="H6530" s="11"/>
      <c r="I6530" s="15"/>
    </row>
    <row r="6531" spans="1:9" ht="16.5">
      <c r="A6531" s="10" t="b">
        <v>0</v>
      </c>
      <c r="B6531" s="11" t="str">
        <f>IF(D6531&lt;&gt;"",IF(COUNTIF('USPTO TMs'!A:A,D6531)&gt;0,"Yes","No"),"")</f>
        <v/>
      </c>
      <c r="C6531" s="11"/>
      <c r="D6531" s="11"/>
      <c r="E6531" s="11"/>
      <c r="F6531" s="11"/>
      <c r="G6531" s="11"/>
      <c r="H6531" s="11"/>
      <c r="I6531" s="15"/>
    </row>
    <row r="6532" spans="1:9" ht="16.5">
      <c r="A6532" s="10" t="b">
        <v>0</v>
      </c>
      <c r="B6532" s="11" t="str">
        <f>IF(D6532&lt;&gt;"",IF(COUNTIF('USPTO TMs'!A:A,D6532)&gt;0,"Yes","No"),"")</f>
        <v/>
      </c>
      <c r="C6532" s="11"/>
      <c r="D6532" s="11"/>
      <c r="E6532" s="11"/>
      <c r="F6532" s="11"/>
      <c r="G6532" s="11"/>
      <c r="H6532" s="11"/>
      <c r="I6532" s="15"/>
    </row>
    <row r="6533" spans="1:9" ht="16.5">
      <c r="A6533" s="10" t="b">
        <v>0</v>
      </c>
      <c r="B6533" s="11" t="str">
        <f>IF(D6533&lt;&gt;"",IF(COUNTIF('USPTO TMs'!A:A,D6533)&gt;0,"Yes","No"),"")</f>
        <v/>
      </c>
      <c r="C6533" s="11"/>
      <c r="D6533" s="11"/>
      <c r="E6533" s="11"/>
      <c r="F6533" s="11"/>
      <c r="G6533" s="11"/>
      <c r="H6533" s="11"/>
      <c r="I6533" s="15"/>
    </row>
    <row r="6534" spans="1:9" ht="16.5">
      <c r="A6534" s="10" t="b">
        <v>0</v>
      </c>
      <c r="B6534" s="11" t="str">
        <f>IF(D6534&lt;&gt;"",IF(COUNTIF('USPTO TMs'!A:A,D6534)&gt;0,"Yes","No"),"")</f>
        <v/>
      </c>
      <c r="C6534" s="11"/>
      <c r="D6534" s="11"/>
      <c r="E6534" s="11"/>
      <c r="F6534" s="11"/>
      <c r="G6534" s="11"/>
      <c r="H6534" s="11"/>
      <c r="I6534" s="15"/>
    </row>
    <row r="6535" spans="1:9" ht="16.5">
      <c r="A6535" s="10" t="b">
        <v>0</v>
      </c>
      <c r="B6535" s="11" t="str">
        <f>IF(D6535&lt;&gt;"",IF(COUNTIF('USPTO TMs'!A:A,D6535)&gt;0,"Yes","No"),"")</f>
        <v/>
      </c>
      <c r="C6535" s="11"/>
      <c r="D6535" s="11"/>
      <c r="E6535" s="11"/>
      <c r="F6535" s="11"/>
      <c r="G6535" s="11"/>
      <c r="H6535" s="11"/>
      <c r="I6535" s="15"/>
    </row>
    <row r="6536" spans="1:9" ht="16.5">
      <c r="A6536" s="10" t="b">
        <v>0</v>
      </c>
      <c r="B6536" s="11" t="str">
        <f>IF(D6536&lt;&gt;"",IF(COUNTIF('USPTO TMs'!A:A,D6536)&gt;0,"Yes","No"),"")</f>
        <v/>
      </c>
      <c r="C6536" s="11"/>
      <c r="D6536" s="11"/>
      <c r="E6536" s="11"/>
      <c r="F6536" s="11"/>
      <c r="G6536" s="11"/>
      <c r="H6536" s="11"/>
      <c r="I6536" s="15"/>
    </row>
    <row r="6537" spans="1:9" ht="16.5">
      <c r="A6537" s="10" t="b">
        <v>0</v>
      </c>
      <c r="B6537" s="11" t="str">
        <f>IF(D6537&lt;&gt;"",IF(COUNTIF('USPTO TMs'!A:A,D6537)&gt;0,"Yes","No"),"")</f>
        <v/>
      </c>
      <c r="C6537" s="11"/>
      <c r="D6537" s="11"/>
      <c r="E6537" s="11"/>
      <c r="F6537" s="11"/>
      <c r="G6537" s="11"/>
      <c r="H6537" s="11"/>
      <c r="I6537" s="15"/>
    </row>
    <row r="6538" spans="1:9" ht="16.5">
      <c r="A6538" s="10" t="b">
        <v>0</v>
      </c>
      <c r="B6538" s="11" t="str">
        <f>IF(D6538&lt;&gt;"",IF(COUNTIF('USPTO TMs'!A:A,D6538)&gt;0,"Yes","No"),"")</f>
        <v/>
      </c>
      <c r="C6538" s="11"/>
      <c r="D6538" s="11"/>
      <c r="E6538" s="11"/>
      <c r="F6538" s="11"/>
      <c r="G6538" s="11"/>
      <c r="H6538" s="11"/>
      <c r="I6538" s="15"/>
    </row>
    <row r="6539" spans="1:9" ht="16.5">
      <c r="A6539" s="10" t="b">
        <v>0</v>
      </c>
      <c r="B6539" s="11" t="str">
        <f>IF(D6539&lt;&gt;"",IF(COUNTIF('USPTO TMs'!A:A,D6539)&gt;0,"Yes","No"),"")</f>
        <v/>
      </c>
      <c r="C6539" s="11"/>
      <c r="D6539" s="11"/>
      <c r="E6539" s="11"/>
      <c r="F6539" s="11"/>
      <c r="G6539" s="11"/>
      <c r="H6539" s="11"/>
      <c r="I6539" s="15"/>
    </row>
    <row r="6540" spans="1:9" ht="16.5">
      <c r="A6540" s="10" t="b">
        <v>0</v>
      </c>
      <c r="B6540" s="11" t="str">
        <f>IF(D6540&lt;&gt;"",IF(COUNTIF('USPTO TMs'!A:A,D6540)&gt;0,"Yes","No"),"")</f>
        <v/>
      </c>
      <c r="C6540" s="11"/>
      <c r="D6540" s="11"/>
      <c r="E6540" s="11"/>
      <c r="F6540" s="11"/>
      <c r="G6540" s="11"/>
      <c r="H6540" s="11"/>
      <c r="I6540" s="15"/>
    </row>
    <row r="6541" spans="1:9" ht="16.5">
      <c r="A6541" s="10" t="b">
        <v>0</v>
      </c>
      <c r="B6541" s="11" t="str">
        <f>IF(D6541&lt;&gt;"",IF(COUNTIF('USPTO TMs'!A:A,D6541)&gt;0,"Yes","No"),"")</f>
        <v/>
      </c>
      <c r="C6541" s="11"/>
      <c r="D6541" s="11"/>
      <c r="E6541" s="11"/>
      <c r="F6541" s="11"/>
      <c r="G6541" s="11"/>
      <c r="H6541" s="11"/>
      <c r="I6541" s="15"/>
    </row>
    <row r="6542" spans="1:9" ht="16.5">
      <c r="A6542" s="10" t="b">
        <v>0</v>
      </c>
      <c r="B6542" s="11" t="str">
        <f>IF(D6542&lt;&gt;"",IF(COUNTIF('USPTO TMs'!A:A,D6542)&gt;0,"Yes","No"),"")</f>
        <v/>
      </c>
      <c r="C6542" s="11"/>
      <c r="D6542" s="11"/>
      <c r="E6542" s="11"/>
      <c r="F6542" s="11"/>
      <c r="G6542" s="11"/>
      <c r="H6542" s="11"/>
      <c r="I6542" s="15"/>
    </row>
    <row r="6543" spans="1:9" ht="16.5">
      <c r="A6543" s="10" t="b">
        <v>0</v>
      </c>
      <c r="B6543" s="11" t="str">
        <f>IF(D6543&lt;&gt;"",IF(COUNTIF('USPTO TMs'!A:A,D6543)&gt;0,"Yes","No"),"")</f>
        <v/>
      </c>
      <c r="C6543" s="11"/>
      <c r="D6543" s="11"/>
      <c r="E6543" s="11"/>
      <c r="F6543" s="11"/>
      <c r="G6543" s="11"/>
      <c r="H6543" s="11"/>
      <c r="I6543" s="15"/>
    </row>
    <row r="6544" spans="1:9" ht="16.5">
      <c r="A6544" s="10" t="b">
        <v>0</v>
      </c>
      <c r="B6544" s="11" t="str">
        <f>IF(D6544&lt;&gt;"",IF(COUNTIF('USPTO TMs'!A:A,D6544)&gt;0,"Yes","No"),"")</f>
        <v/>
      </c>
      <c r="C6544" s="11"/>
      <c r="D6544" s="11"/>
      <c r="E6544" s="11"/>
      <c r="F6544" s="11"/>
      <c r="G6544" s="11"/>
      <c r="H6544" s="11"/>
      <c r="I6544" s="15"/>
    </row>
    <row r="6545" spans="1:9" ht="16.5">
      <c r="A6545" s="10" t="b">
        <v>0</v>
      </c>
      <c r="B6545" s="11" t="str">
        <f>IF(D6545&lt;&gt;"",IF(COUNTIF('USPTO TMs'!A:A,D6545)&gt;0,"Yes","No"),"")</f>
        <v/>
      </c>
      <c r="C6545" s="11"/>
      <c r="D6545" s="11"/>
      <c r="E6545" s="11"/>
      <c r="F6545" s="11"/>
      <c r="G6545" s="11"/>
      <c r="H6545" s="11"/>
      <c r="I6545" s="15"/>
    </row>
    <row r="6546" spans="1:9" ht="16.5">
      <c r="A6546" s="10" t="b">
        <v>0</v>
      </c>
      <c r="B6546" s="11" t="str">
        <f>IF(D6546&lt;&gt;"",IF(COUNTIF('USPTO TMs'!A:A,D6546)&gt;0,"Yes","No"),"")</f>
        <v/>
      </c>
      <c r="C6546" s="11"/>
      <c r="D6546" s="11"/>
      <c r="E6546" s="11"/>
      <c r="F6546" s="11"/>
      <c r="G6546" s="11"/>
      <c r="H6546" s="11"/>
      <c r="I6546" s="15"/>
    </row>
    <row r="6547" spans="1:9" ht="16.5">
      <c r="A6547" s="10" t="b">
        <v>0</v>
      </c>
      <c r="B6547" s="11" t="str">
        <f>IF(D6547&lt;&gt;"",IF(COUNTIF('USPTO TMs'!A:A,D6547)&gt;0,"Yes","No"),"")</f>
        <v/>
      </c>
      <c r="C6547" s="11"/>
      <c r="D6547" s="11"/>
      <c r="E6547" s="11"/>
      <c r="F6547" s="11"/>
      <c r="G6547" s="11"/>
      <c r="H6547" s="11"/>
      <c r="I6547" s="15"/>
    </row>
    <row r="6548" spans="1:9" ht="16.5">
      <c r="A6548" s="10" t="b">
        <v>0</v>
      </c>
      <c r="B6548" s="11" t="str">
        <f>IF(D6548&lt;&gt;"",IF(COUNTIF('USPTO TMs'!A:A,D6548)&gt;0,"Yes","No"),"")</f>
        <v/>
      </c>
      <c r="C6548" s="11"/>
      <c r="D6548" s="11"/>
      <c r="E6548" s="11"/>
      <c r="F6548" s="11"/>
      <c r="G6548" s="11"/>
      <c r="H6548" s="11"/>
      <c r="I6548" s="15"/>
    </row>
    <row r="6549" spans="1:9" ht="16.5">
      <c r="A6549" s="10" t="b">
        <v>0</v>
      </c>
      <c r="B6549" s="11" t="str">
        <f>IF(D6549&lt;&gt;"",IF(COUNTIF('USPTO TMs'!A:A,D6549)&gt;0,"Yes","No"),"")</f>
        <v/>
      </c>
      <c r="C6549" s="11"/>
      <c r="D6549" s="11"/>
      <c r="E6549" s="11"/>
      <c r="F6549" s="11"/>
      <c r="G6549" s="11"/>
      <c r="H6549" s="11"/>
      <c r="I6549" s="15"/>
    </row>
    <row r="6550" spans="1:9" ht="16.5">
      <c r="A6550" s="10" t="b">
        <v>0</v>
      </c>
      <c r="B6550" s="11" t="str">
        <f>IF(D6550&lt;&gt;"",IF(COUNTIF('USPTO TMs'!A:A,D6550)&gt;0,"Yes","No"),"")</f>
        <v/>
      </c>
      <c r="C6550" s="11"/>
      <c r="D6550" s="11"/>
      <c r="E6550" s="11"/>
      <c r="F6550" s="11"/>
      <c r="G6550" s="11"/>
      <c r="H6550" s="11"/>
      <c r="I6550" s="15"/>
    </row>
    <row r="6551" spans="1:9" ht="16.5">
      <c r="A6551" s="10" t="b">
        <v>0</v>
      </c>
      <c r="B6551" s="11" t="str">
        <f>IF(D6551&lt;&gt;"",IF(COUNTIF('USPTO TMs'!A:A,D6551)&gt;0,"Yes","No"),"")</f>
        <v/>
      </c>
      <c r="C6551" s="11"/>
      <c r="D6551" s="11"/>
      <c r="E6551" s="11"/>
      <c r="F6551" s="11"/>
      <c r="G6551" s="11"/>
      <c r="H6551" s="11"/>
      <c r="I6551" s="15"/>
    </row>
    <row r="6552" spans="1:9" ht="16.5">
      <c r="A6552" s="10" t="b">
        <v>0</v>
      </c>
      <c r="B6552" s="11" t="str">
        <f>IF(D6552&lt;&gt;"",IF(COUNTIF('USPTO TMs'!A:A,D6552)&gt;0,"Yes","No"),"")</f>
        <v/>
      </c>
      <c r="C6552" s="11"/>
      <c r="D6552" s="11"/>
      <c r="E6552" s="11"/>
      <c r="F6552" s="11"/>
      <c r="G6552" s="11"/>
      <c r="H6552" s="11"/>
      <c r="I6552" s="15"/>
    </row>
    <row r="6553" spans="1:9" ht="16.5">
      <c r="A6553" s="10" t="b">
        <v>0</v>
      </c>
      <c r="B6553" s="11" t="str">
        <f>IF(D6553&lt;&gt;"",IF(COUNTIF('USPTO TMs'!A:A,D6553)&gt;0,"Yes","No"),"")</f>
        <v/>
      </c>
      <c r="C6553" s="11"/>
      <c r="D6553" s="11"/>
      <c r="E6553" s="11"/>
      <c r="F6553" s="11"/>
      <c r="G6553" s="11"/>
      <c r="H6553" s="11"/>
      <c r="I6553" s="15"/>
    </row>
    <row r="6554" spans="1:9" ht="16.5">
      <c r="A6554" s="10" t="b">
        <v>0</v>
      </c>
      <c r="B6554" s="11" t="str">
        <f>IF(D6554&lt;&gt;"",IF(COUNTIF('USPTO TMs'!A:A,D6554)&gt;0,"Yes","No"),"")</f>
        <v/>
      </c>
      <c r="C6554" s="11"/>
      <c r="D6554" s="11"/>
      <c r="E6554" s="11"/>
      <c r="F6554" s="11"/>
      <c r="G6554" s="11"/>
      <c r="H6554" s="11"/>
      <c r="I6554" s="15"/>
    </row>
    <row r="6555" spans="1:9" ht="16.5">
      <c r="A6555" s="10" t="b">
        <v>0</v>
      </c>
      <c r="B6555" s="11" t="str">
        <f>IF(D6555&lt;&gt;"",IF(COUNTIF('USPTO TMs'!A:A,D6555)&gt;0,"Yes","No"),"")</f>
        <v/>
      </c>
      <c r="C6555" s="11"/>
      <c r="D6555" s="11"/>
      <c r="E6555" s="11"/>
      <c r="F6555" s="11"/>
      <c r="G6555" s="11"/>
      <c r="H6555" s="11"/>
      <c r="I6555" s="15"/>
    </row>
    <row r="6556" spans="1:9" ht="16.5">
      <c r="A6556" s="10" t="b">
        <v>0</v>
      </c>
      <c r="B6556" s="11" t="str">
        <f>IF(D6556&lt;&gt;"",IF(COUNTIF('USPTO TMs'!A:A,D6556)&gt;0,"Yes","No"),"")</f>
        <v/>
      </c>
      <c r="C6556" s="11"/>
      <c r="D6556" s="11"/>
      <c r="E6556" s="11"/>
      <c r="F6556" s="11"/>
      <c r="G6556" s="11"/>
      <c r="H6556" s="11"/>
      <c r="I6556" s="15"/>
    </row>
    <row r="6557" spans="1:9" ht="16.5">
      <c r="A6557" s="10" t="b">
        <v>0</v>
      </c>
      <c r="B6557" s="11" t="str">
        <f>IF(D6557&lt;&gt;"",IF(COUNTIF('USPTO TMs'!A:A,D6557)&gt;0,"Yes","No"),"")</f>
        <v/>
      </c>
      <c r="C6557" s="11"/>
      <c r="D6557" s="11"/>
      <c r="E6557" s="11"/>
      <c r="F6557" s="11"/>
      <c r="G6557" s="11"/>
      <c r="H6557" s="11"/>
      <c r="I6557" s="15"/>
    </row>
    <row r="6558" spans="1:9" ht="16.5">
      <c r="A6558" s="10" t="b">
        <v>0</v>
      </c>
      <c r="B6558" s="11" t="str">
        <f>IF(D6558&lt;&gt;"",IF(COUNTIF('USPTO TMs'!A:A,D6558)&gt;0,"Yes","No"),"")</f>
        <v/>
      </c>
      <c r="C6558" s="11"/>
      <c r="D6558" s="11"/>
      <c r="E6558" s="11"/>
      <c r="F6558" s="11"/>
      <c r="G6558" s="11"/>
      <c r="H6558" s="11"/>
      <c r="I6558" s="15"/>
    </row>
    <row r="6559" spans="1:9" ht="16.5">
      <c r="A6559" s="10" t="b">
        <v>0</v>
      </c>
      <c r="B6559" s="11" t="str">
        <f>IF(D6559&lt;&gt;"",IF(COUNTIF('USPTO TMs'!A:A,D6559)&gt;0,"Yes","No"),"")</f>
        <v/>
      </c>
      <c r="C6559" s="11"/>
      <c r="D6559" s="11"/>
      <c r="E6559" s="11"/>
      <c r="F6559" s="11"/>
      <c r="G6559" s="11"/>
      <c r="H6559" s="11"/>
      <c r="I6559" s="15"/>
    </row>
    <row r="6560" spans="1:9" ht="16.5">
      <c r="A6560" s="10" t="b">
        <v>0</v>
      </c>
      <c r="B6560" s="11" t="str">
        <f>IF(D6560&lt;&gt;"",IF(COUNTIF('USPTO TMs'!A:A,D6560)&gt;0,"Yes","No"),"")</f>
        <v/>
      </c>
      <c r="C6560" s="11"/>
      <c r="D6560" s="11"/>
      <c r="E6560" s="11"/>
      <c r="F6560" s="11"/>
      <c r="G6560" s="11"/>
      <c r="H6560" s="11"/>
      <c r="I6560" s="15"/>
    </row>
    <row r="6561" spans="1:9" ht="16.5">
      <c r="A6561" s="10" t="b">
        <v>0</v>
      </c>
      <c r="B6561" s="11" t="str">
        <f>IF(D6561&lt;&gt;"",IF(COUNTIF('USPTO TMs'!A:A,D6561)&gt;0,"Yes","No"),"")</f>
        <v/>
      </c>
      <c r="C6561" s="11"/>
      <c r="D6561" s="11"/>
      <c r="E6561" s="11"/>
      <c r="F6561" s="11"/>
      <c r="G6561" s="11"/>
      <c r="H6561" s="11"/>
      <c r="I6561" s="15"/>
    </row>
    <row r="6562" spans="1:9" ht="16.5">
      <c r="A6562" s="10" t="b">
        <v>0</v>
      </c>
      <c r="B6562" s="11" t="str">
        <f>IF(D6562&lt;&gt;"",IF(COUNTIF('USPTO TMs'!A:A,D6562)&gt;0,"Yes","No"),"")</f>
        <v/>
      </c>
      <c r="C6562" s="11"/>
      <c r="D6562" s="11"/>
      <c r="E6562" s="11"/>
      <c r="F6562" s="11"/>
      <c r="G6562" s="11"/>
      <c r="H6562" s="11"/>
      <c r="I6562" s="15"/>
    </row>
    <row r="6563" spans="1:9" ht="16.5">
      <c r="A6563" s="10" t="b">
        <v>0</v>
      </c>
      <c r="B6563" s="11" t="str">
        <f>IF(D6563&lt;&gt;"",IF(COUNTIF('USPTO TMs'!A:A,D6563)&gt;0,"Yes","No"),"")</f>
        <v/>
      </c>
      <c r="C6563" s="11"/>
      <c r="D6563" s="11"/>
      <c r="E6563" s="11"/>
      <c r="F6563" s="11"/>
      <c r="G6563" s="11"/>
      <c r="H6563" s="11"/>
      <c r="I6563" s="15"/>
    </row>
    <row r="6564" spans="1:9" ht="16.5">
      <c r="A6564" s="10" t="b">
        <v>0</v>
      </c>
      <c r="B6564" s="11" t="str">
        <f>IF(D6564&lt;&gt;"",IF(COUNTIF('USPTO TMs'!A:A,D6564)&gt;0,"Yes","No"),"")</f>
        <v/>
      </c>
      <c r="C6564" s="11"/>
      <c r="D6564" s="11"/>
      <c r="E6564" s="11"/>
      <c r="F6564" s="11"/>
      <c r="G6564" s="11"/>
      <c r="H6564" s="11"/>
      <c r="I6564" s="15"/>
    </row>
    <row r="6565" spans="1:9" ht="16.5">
      <c r="A6565" s="10" t="b">
        <v>0</v>
      </c>
      <c r="B6565" s="11" t="str">
        <f>IF(D6565&lt;&gt;"",IF(COUNTIF('USPTO TMs'!A:A,D6565)&gt;0,"Yes","No"),"")</f>
        <v/>
      </c>
      <c r="C6565" s="11"/>
      <c r="D6565" s="11"/>
      <c r="E6565" s="11"/>
      <c r="F6565" s="11"/>
      <c r="G6565" s="11"/>
      <c r="H6565" s="11"/>
      <c r="I6565" s="15"/>
    </row>
    <row r="6566" spans="1:9" ht="16.5">
      <c r="A6566" s="10" t="b">
        <v>0</v>
      </c>
      <c r="B6566" s="11" t="str">
        <f>IF(D6566&lt;&gt;"",IF(COUNTIF('USPTO TMs'!A:A,D6566)&gt;0,"Yes","No"),"")</f>
        <v/>
      </c>
      <c r="C6566" s="11"/>
      <c r="D6566" s="11"/>
      <c r="E6566" s="11"/>
      <c r="F6566" s="11"/>
      <c r="G6566" s="11"/>
      <c r="H6566" s="11"/>
      <c r="I6566" s="15"/>
    </row>
    <row r="6567" spans="1:9" ht="16.5">
      <c r="A6567" s="10" t="b">
        <v>0</v>
      </c>
      <c r="B6567" s="11" t="str">
        <f>IF(D6567&lt;&gt;"",IF(COUNTIF('USPTO TMs'!A:A,D6567)&gt;0,"Yes","No"),"")</f>
        <v/>
      </c>
      <c r="C6567" s="11"/>
      <c r="D6567" s="11"/>
      <c r="E6567" s="11"/>
      <c r="F6567" s="11"/>
      <c r="G6567" s="11"/>
      <c r="H6567" s="11"/>
      <c r="I6567" s="15"/>
    </row>
    <row r="6568" spans="1:9" ht="16.5">
      <c r="A6568" s="10" t="b">
        <v>0</v>
      </c>
      <c r="B6568" s="11" t="str">
        <f>IF(D6568&lt;&gt;"",IF(COUNTIF('USPTO TMs'!A:A,D6568)&gt;0,"Yes","No"),"")</f>
        <v/>
      </c>
      <c r="C6568" s="11"/>
      <c r="D6568" s="11"/>
      <c r="E6568" s="11"/>
      <c r="F6568" s="11"/>
      <c r="G6568" s="11"/>
      <c r="H6568" s="11"/>
      <c r="I6568" s="15"/>
    </row>
    <row r="6569" spans="1:9" ht="16.5">
      <c r="A6569" s="10" t="b">
        <v>0</v>
      </c>
      <c r="B6569" s="11" t="str">
        <f>IF(D6569&lt;&gt;"",IF(COUNTIF('USPTO TMs'!A:A,D6569)&gt;0,"Yes","No"),"")</f>
        <v/>
      </c>
      <c r="C6569" s="11"/>
      <c r="D6569" s="11"/>
      <c r="E6569" s="11"/>
      <c r="F6569" s="11"/>
      <c r="G6569" s="11"/>
      <c r="H6569" s="11"/>
      <c r="I6569" s="15"/>
    </row>
    <row r="6570" spans="1:9" ht="16.5">
      <c r="A6570" s="10" t="b">
        <v>0</v>
      </c>
      <c r="B6570" s="11" t="str">
        <f>IF(D6570&lt;&gt;"",IF(COUNTIF('USPTO TMs'!A:A,D6570)&gt;0,"Yes","No"),"")</f>
        <v/>
      </c>
      <c r="C6570" s="11"/>
      <c r="D6570" s="11"/>
      <c r="E6570" s="11"/>
      <c r="F6570" s="11"/>
      <c r="G6570" s="11"/>
      <c r="H6570" s="11"/>
      <c r="I6570" s="15"/>
    </row>
    <row r="6571" spans="1:9" ht="16.5">
      <c r="A6571" s="10" t="b">
        <v>0</v>
      </c>
      <c r="B6571" s="11" t="str">
        <f>IF(D6571&lt;&gt;"",IF(COUNTIF('USPTO TMs'!A:A,D6571)&gt;0,"Yes","No"),"")</f>
        <v/>
      </c>
      <c r="C6571" s="11"/>
      <c r="D6571" s="11"/>
      <c r="E6571" s="11"/>
      <c r="F6571" s="11"/>
      <c r="G6571" s="11"/>
      <c r="H6571" s="11"/>
      <c r="I6571" s="15"/>
    </row>
    <row r="6572" spans="1:9" ht="16.5">
      <c r="A6572" s="10" t="b">
        <v>0</v>
      </c>
      <c r="B6572" s="11" t="str">
        <f>IF(D6572&lt;&gt;"",IF(COUNTIF('USPTO TMs'!A:A,D6572)&gt;0,"Yes","No"),"")</f>
        <v/>
      </c>
      <c r="C6572" s="11"/>
      <c r="D6572" s="11"/>
      <c r="E6572" s="11"/>
      <c r="F6572" s="11"/>
      <c r="G6572" s="11"/>
      <c r="H6572" s="11"/>
      <c r="I6572" s="15"/>
    </row>
    <row r="6573" spans="1:9" ht="16.5">
      <c r="A6573" s="10" t="b">
        <v>0</v>
      </c>
      <c r="B6573" s="11" t="str">
        <f>IF(D6573&lt;&gt;"",IF(COUNTIF('USPTO TMs'!A:A,D6573)&gt;0,"Yes","No"),"")</f>
        <v/>
      </c>
      <c r="C6573" s="11"/>
      <c r="D6573" s="11"/>
      <c r="E6573" s="11"/>
      <c r="F6573" s="11"/>
      <c r="G6573" s="11"/>
      <c r="H6573" s="11"/>
      <c r="I6573" s="15"/>
    </row>
    <row r="6574" spans="1:9" ht="16.5">
      <c r="A6574" s="10" t="b">
        <v>0</v>
      </c>
      <c r="B6574" s="11" t="str">
        <f>IF(D6574&lt;&gt;"",IF(COUNTIF('USPTO TMs'!A:A,D6574)&gt;0,"Yes","No"),"")</f>
        <v/>
      </c>
      <c r="C6574" s="11"/>
      <c r="D6574" s="11"/>
      <c r="E6574" s="11"/>
      <c r="F6574" s="11"/>
      <c r="G6574" s="11"/>
      <c r="H6574" s="11"/>
      <c r="I6574" s="15"/>
    </row>
    <row r="6575" spans="1:9" ht="16.5">
      <c r="A6575" s="10" t="b">
        <v>0</v>
      </c>
      <c r="B6575" s="11" t="str">
        <f>IF(D6575&lt;&gt;"",IF(COUNTIF('USPTO TMs'!A:A,D6575)&gt;0,"Yes","No"),"")</f>
        <v/>
      </c>
      <c r="C6575" s="11"/>
      <c r="D6575" s="11"/>
      <c r="E6575" s="11"/>
      <c r="F6575" s="11"/>
      <c r="G6575" s="11"/>
      <c r="H6575" s="11"/>
      <c r="I6575" s="15"/>
    </row>
    <row r="6576" spans="1:9" ht="16.5">
      <c r="A6576" s="10" t="b">
        <v>0</v>
      </c>
      <c r="B6576" s="11" t="str">
        <f>IF(D6576&lt;&gt;"",IF(COUNTIF('USPTO TMs'!A:A,D6576)&gt;0,"Yes","No"),"")</f>
        <v/>
      </c>
      <c r="C6576" s="11"/>
      <c r="D6576" s="11"/>
      <c r="E6576" s="11"/>
      <c r="F6576" s="11"/>
      <c r="G6576" s="11"/>
      <c r="H6576" s="11"/>
      <c r="I6576" s="15"/>
    </row>
    <row r="6577" spans="1:9" ht="16.5">
      <c r="A6577" s="10" t="b">
        <v>0</v>
      </c>
      <c r="B6577" s="11" t="str">
        <f>IF(D6577&lt;&gt;"",IF(COUNTIF('USPTO TMs'!A:A,D6577)&gt;0,"Yes","No"),"")</f>
        <v/>
      </c>
      <c r="C6577" s="11"/>
      <c r="D6577" s="11"/>
      <c r="E6577" s="11"/>
      <c r="F6577" s="11"/>
      <c r="G6577" s="11"/>
      <c r="H6577" s="11"/>
      <c r="I6577" s="15"/>
    </row>
    <row r="6578" spans="1:9" ht="16.5">
      <c r="A6578" s="10" t="b">
        <v>0</v>
      </c>
      <c r="B6578" s="11" t="str">
        <f>IF(D6578&lt;&gt;"",IF(COUNTIF('USPTO TMs'!A:A,D6578)&gt;0,"Yes","No"),"")</f>
        <v/>
      </c>
      <c r="C6578" s="11"/>
      <c r="D6578" s="11"/>
      <c r="E6578" s="11"/>
      <c r="F6578" s="11"/>
      <c r="G6578" s="11"/>
      <c r="H6578" s="11"/>
      <c r="I6578" s="15"/>
    </row>
    <row r="6579" spans="1:9" ht="16.5">
      <c r="A6579" s="10" t="b">
        <v>0</v>
      </c>
      <c r="B6579" s="11" t="str">
        <f>IF(D6579&lt;&gt;"",IF(COUNTIF('USPTO TMs'!A:A,D6579)&gt;0,"Yes","No"),"")</f>
        <v/>
      </c>
      <c r="C6579" s="11"/>
      <c r="D6579" s="11"/>
      <c r="E6579" s="11"/>
      <c r="F6579" s="11"/>
      <c r="G6579" s="11"/>
      <c r="H6579" s="11"/>
      <c r="I6579" s="15"/>
    </row>
    <row r="6580" spans="1:9" ht="16.5">
      <c r="A6580" s="10" t="b">
        <v>0</v>
      </c>
      <c r="B6580" s="11" t="str">
        <f>IF(D6580&lt;&gt;"",IF(COUNTIF('USPTO TMs'!A:A,D6580)&gt;0,"Yes","No"),"")</f>
        <v/>
      </c>
      <c r="C6580" s="11"/>
      <c r="D6580" s="11"/>
      <c r="E6580" s="11"/>
      <c r="F6580" s="11"/>
      <c r="G6580" s="11"/>
      <c r="H6580" s="11"/>
      <c r="I6580" s="15"/>
    </row>
    <row r="6581" spans="1:9" ht="16.5">
      <c r="A6581" s="10" t="b">
        <v>0</v>
      </c>
      <c r="B6581" s="11" t="str">
        <f>IF(D6581&lt;&gt;"",IF(COUNTIF('USPTO TMs'!A:A,D6581)&gt;0,"Yes","No"),"")</f>
        <v/>
      </c>
      <c r="C6581" s="11"/>
      <c r="D6581" s="11"/>
      <c r="E6581" s="11"/>
      <c r="F6581" s="11"/>
      <c r="G6581" s="11"/>
      <c r="H6581" s="11"/>
      <c r="I6581" s="15"/>
    </row>
    <row r="6582" spans="1:9" ht="16.5">
      <c r="A6582" s="10" t="b">
        <v>0</v>
      </c>
      <c r="B6582" s="11" t="str">
        <f>IF(D6582&lt;&gt;"",IF(COUNTIF('USPTO TMs'!A:A,D6582)&gt;0,"Yes","No"),"")</f>
        <v/>
      </c>
      <c r="C6582" s="11"/>
      <c r="D6582" s="11"/>
      <c r="E6582" s="11"/>
      <c r="F6582" s="11"/>
      <c r="G6582" s="11"/>
      <c r="H6582" s="11"/>
      <c r="I6582" s="15"/>
    </row>
    <row r="6583" spans="1:9" ht="16.5">
      <c r="A6583" s="10" t="b">
        <v>0</v>
      </c>
      <c r="B6583" s="11" t="str">
        <f>IF(D6583&lt;&gt;"",IF(COUNTIF('USPTO TMs'!A:A,D6583)&gt;0,"Yes","No"),"")</f>
        <v/>
      </c>
      <c r="C6583" s="11"/>
      <c r="D6583" s="11"/>
      <c r="E6583" s="11"/>
      <c r="F6583" s="11"/>
      <c r="G6583" s="11"/>
      <c r="H6583" s="11"/>
      <c r="I6583" s="15"/>
    </row>
    <row r="6584" spans="1:9" ht="16.5">
      <c r="A6584" s="10" t="b">
        <v>0</v>
      </c>
      <c r="B6584" s="11" t="str">
        <f>IF(D6584&lt;&gt;"",IF(COUNTIF('USPTO TMs'!A:A,D6584)&gt;0,"Yes","No"),"")</f>
        <v/>
      </c>
      <c r="C6584" s="11"/>
      <c r="D6584" s="11"/>
      <c r="E6584" s="11"/>
      <c r="F6584" s="11"/>
      <c r="G6584" s="11"/>
      <c r="H6584" s="11"/>
      <c r="I6584" s="15"/>
    </row>
    <row r="6585" spans="1:9" ht="16.5">
      <c r="A6585" s="10" t="b">
        <v>0</v>
      </c>
      <c r="B6585" s="11" t="str">
        <f>IF(D6585&lt;&gt;"",IF(COUNTIF('USPTO TMs'!A:A,D6585)&gt;0,"Yes","No"),"")</f>
        <v/>
      </c>
      <c r="C6585" s="11"/>
      <c r="D6585" s="11"/>
      <c r="E6585" s="11"/>
      <c r="F6585" s="11"/>
      <c r="G6585" s="11"/>
      <c r="H6585" s="11"/>
      <c r="I6585" s="15"/>
    </row>
    <row r="6586" spans="1:9" ht="16.5">
      <c r="A6586" s="10" t="b">
        <v>0</v>
      </c>
      <c r="B6586" s="11" t="str">
        <f>IF(D6586&lt;&gt;"",IF(COUNTIF('USPTO TMs'!A:A,D6586)&gt;0,"Yes","No"),"")</f>
        <v/>
      </c>
      <c r="C6586" s="11"/>
      <c r="D6586" s="11"/>
      <c r="E6586" s="11"/>
      <c r="F6586" s="11"/>
      <c r="G6586" s="11"/>
      <c r="H6586" s="11"/>
      <c r="I6586" s="15"/>
    </row>
    <row r="6587" spans="1:9" ht="16.5">
      <c r="A6587" s="10" t="b">
        <v>0</v>
      </c>
      <c r="B6587" s="11" t="str">
        <f>IF(D6587&lt;&gt;"",IF(COUNTIF('USPTO TMs'!A:A,D6587)&gt;0,"Yes","No"),"")</f>
        <v/>
      </c>
      <c r="C6587" s="11"/>
      <c r="D6587" s="11"/>
      <c r="E6587" s="11"/>
      <c r="F6587" s="11"/>
      <c r="G6587" s="11"/>
      <c r="H6587" s="11"/>
      <c r="I6587" s="15"/>
    </row>
    <row r="6588" spans="1:9" ht="16.5">
      <c r="A6588" s="10" t="b">
        <v>0</v>
      </c>
      <c r="B6588" s="11" t="str">
        <f>IF(D6588&lt;&gt;"",IF(COUNTIF('USPTO TMs'!A:A,D6588)&gt;0,"Yes","No"),"")</f>
        <v/>
      </c>
      <c r="C6588" s="11"/>
      <c r="D6588" s="11"/>
      <c r="E6588" s="11"/>
      <c r="F6588" s="11"/>
      <c r="G6588" s="11"/>
      <c r="H6588" s="11"/>
      <c r="I6588" s="15"/>
    </row>
    <row r="6589" spans="1:9" ht="16.5">
      <c r="A6589" s="10" t="b">
        <v>0</v>
      </c>
      <c r="B6589" s="11" t="str">
        <f>IF(D6589&lt;&gt;"",IF(COUNTIF('USPTO TMs'!A:A,D6589)&gt;0,"Yes","No"),"")</f>
        <v/>
      </c>
      <c r="C6589" s="11"/>
      <c r="D6589" s="11"/>
      <c r="E6589" s="11"/>
      <c r="F6589" s="11"/>
      <c r="G6589" s="11"/>
      <c r="H6589" s="11"/>
      <c r="I6589" s="15"/>
    </row>
    <row r="6590" spans="1:9" ht="16.5">
      <c r="A6590" s="10" t="b">
        <v>0</v>
      </c>
      <c r="B6590" s="11" t="str">
        <f>IF(D6590&lt;&gt;"",IF(COUNTIF('USPTO TMs'!A:A,D6590)&gt;0,"Yes","No"),"")</f>
        <v/>
      </c>
      <c r="C6590" s="11"/>
      <c r="D6590" s="11"/>
      <c r="E6590" s="11"/>
      <c r="F6590" s="11"/>
      <c r="G6590" s="11"/>
      <c r="H6590" s="11"/>
      <c r="I6590" s="15"/>
    </row>
    <row r="6591" spans="1:9" ht="16.5">
      <c r="A6591" s="10" t="b">
        <v>0</v>
      </c>
      <c r="B6591" s="11" t="str">
        <f>IF(D6591&lt;&gt;"",IF(COUNTIF('USPTO TMs'!A:A,D6591)&gt;0,"Yes","No"),"")</f>
        <v/>
      </c>
      <c r="C6591" s="11"/>
      <c r="D6591" s="11"/>
      <c r="E6591" s="11"/>
      <c r="F6591" s="11"/>
      <c r="G6591" s="11"/>
      <c r="H6591" s="11"/>
      <c r="I6591" s="15"/>
    </row>
    <row r="6592" spans="1:9" ht="16.5">
      <c r="A6592" s="10" t="b">
        <v>0</v>
      </c>
      <c r="B6592" s="11" t="str">
        <f>IF(D6592&lt;&gt;"",IF(COUNTIF('USPTO TMs'!A:A,D6592)&gt;0,"Yes","No"),"")</f>
        <v/>
      </c>
      <c r="C6592" s="11"/>
      <c r="D6592" s="11"/>
      <c r="E6592" s="11"/>
      <c r="F6592" s="11"/>
      <c r="G6592" s="11"/>
      <c r="H6592" s="11"/>
      <c r="I6592" s="15"/>
    </row>
    <row r="6593" spans="1:9" ht="16.5">
      <c r="A6593" s="10" t="b">
        <v>0</v>
      </c>
      <c r="B6593" s="11" t="str">
        <f>IF(D6593&lt;&gt;"",IF(COUNTIF('USPTO TMs'!A:A,D6593)&gt;0,"Yes","No"),"")</f>
        <v/>
      </c>
      <c r="C6593" s="11"/>
      <c r="D6593" s="11"/>
      <c r="E6593" s="11"/>
      <c r="F6593" s="11"/>
      <c r="G6593" s="11"/>
      <c r="H6593" s="11"/>
      <c r="I6593" s="15"/>
    </row>
    <row r="6594" spans="1:9" ht="16.5">
      <c r="A6594" s="10" t="b">
        <v>0</v>
      </c>
      <c r="B6594" s="11" t="str">
        <f>IF(D6594&lt;&gt;"",IF(COUNTIF('USPTO TMs'!A:A,D6594)&gt;0,"Yes","No"),"")</f>
        <v/>
      </c>
      <c r="C6594" s="11"/>
      <c r="D6594" s="11"/>
      <c r="E6594" s="11"/>
      <c r="F6594" s="11"/>
      <c r="G6594" s="11"/>
      <c r="H6594" s="11"/>
      <c r="I6594" s="15"/>
    </row>
    <row r="6595" spans="1:9" ht="16.5">
      <c r="A6595" s="10" t="b">
        <v>0</v>
      </c>
      <c r="B6595" s="11" t="str">
        <f>IF(D6595&lt;&gt;"",IF(COUNTIF('USPTO TMs'!A:A,D6595)&gt;0,"Yes","No"),"")</f>
        <v/>
      </c>
      <c r="C6595" s="11"/>
      <c r="D6595" s="11"/>
      <c r="E6595" s="11"/>
      <c r="F6595" s="11"/>
      <c r="G6595" s="11"/>
      <c r="H6595" s="11"/>
      <c r="I6595" s="15"/>
    </row>
    <row r="6596" spans="1:9" ht="16.5">
      <c r="A6596" s="10" t="b">
        <v>0</v>
      </c>
      <c r="B6596" s="11" t="str">
        <f>IF(D6596&lt;&gt;"",IF(COUNTIF('USPTO TMs'!A:A,D6596)&gt;0,"Yes","No"),"")</f>
        <v/>
      </c>
      <c r="C6596" s="11"/>
      <c r="D6596" s="11"/>
      <c r="E6596" s="11"/>
      <c r="F6596" s="11"/>
      <c r="G6596" s="11"/>
      <c r="H6596" s="11"/>
      <c r="I6596" s="15"/>
    </row>
    <row r="6597" spans="1:9" ht="16.5">
      <c r="A6597" s="10" t="b">
        <v>0</v>
      </c>
      <c r="B6597" s="11" t="str">
        <f>IF(D6597&lt;&gt;"",IF(COUNTIF('USPTO TMs'!A:A,D6597)&gt;0,"Yes","No"),"")</f>
        <v/>
      </c>
      <c r="C6597" s="11"/>
      <c r="D6597" s="11"/>
      <c r="E6597" s="11"/>
      <c r="F6597" s="11"/>
      <c r="G6597" s="11"/>
      <c r="H6597" s="11"/>
      <c r="I6597" s="15"/>
    </row>
    <row r="6598" spans="1:9" ht="16.5">
      <c r="A6598" s="10" t="b">
        <v>0</v>
      </c>
      <c r="B6598" s="11" t="str">
        <f>IF(D6598&lt;&gt;"",IF(COUNTIF('USPTO TMs'!A:A,D6598)&gt;0,"Yes","No"),"")</f>
        <v/>
      </c>
      <c r="C6598" s="11"/>
      <c r="D6598" s="11"/>
      <c r="E6598" s="11"/>
      <c r="F6598" s="11"/>
      <c r="G6598" s="11"/>
      <c r="H6598" s="11"/>
      <c r="I6598" s="15"/>
    </row>
    <row r="6599" spans="1:9" ht="16.5">
      <c r="A6599" s="10" t="b">
        <v>0</v>
      </c>
      <c r="B6599" s="11" t="str">
        <f>IF(D6599&lt;&gt;"",IF(COUNTIF('USPTO TMs'!A:A,D6599)&gt;0,"Yes","No"),"")</f>
        <v/>
      </c>
      <c r="C6599" s="11"/>
      <c r="D6599" s="11"/>
      <c r="E6599" s="11"/>
      <c r="F6599" s="11"/>
      <c r="G6599" s="11"/>
      <c r="H6599" s="11"/>
      <c r="I6599" s="15"/>
    </row>
    <row r="6600" spans="1:9" ht="16.5">
      <c r="A6600" s="10" t="b">
        <v>0</v>
      </c>
      <c r="B6600" s="11" t="str">
        <f>IF(D6600&lt;&gt;"",IF(COUNTIF('USPTO TMs'!A:A,D6600)&gt;0,"Yes","No"),"")</f>
        <v/>
      </c>
      <c r="C6600" s="11"/>
      <c r="D6600" s="11"/>
      <c r="E6600" s="11"/>
      <c r="F6600" s="11"/>
      <c r="G6600" s="11"/>
      <c r="H6600" s="11"/>
      <c r="I6600" s="15"/>
    </row>
    <row r="6601" spans="1:9" ht="16.5">
      <c r="A6601" s="10" t="b">
        <v>0</v>
      </c>
      <c r="B6601" s="11" t="str">
        <f>IF(D6601&lt;&gt;"",IF(COUNTIF('USPTO TMs'!A:A,D6601)&gt;0,"Yes","No"),"")</f>
        <v/>
      </c>
      <c r="C6601" s="11"/>
      <c r="D6601" s="11"/>
      <c r="E6601" s="11"/>
      <c r="F6601" s="11"/>
      <c r="G6601" s="11"/>
      <c r="H6601" s="11"/>
      <c r="I6601" s="15"/>
    </row>
    <row r="6602" spans="1:9" ht="16.5">
      <c r="A6602" s="10" t="b">
        <v>0</v>
      </c>
      <c r="B6602" s="11" t="str">
        <f>IF(D6602&lt;&gt;"",IF(COUNTIF('USPTO TMs'!A:A,D6602)&gt;0,"Yes","No"),"")</f>
        <v/>
      </c>
      <c r="C6602" s="11"/>
      <c r="D6602" s="11"/>
      <c r="E6602" s="11"/>
      <c r="F6602" s="11"/>
      <c r="G6602" s="11"/>
      <c r="H6602" s="11"/>
      <c r="I6602" s="15"/>
    </row>
    <row r="6603" spans="1:9" ht="16.5">
      <c r="A6603" s="10" t="b">
        <v>0</v>
      </c>
      <c r="B6603" s="11" t="str">
        <f>IF(D6603&lt;&gt;"",IF(COUNTIF('USPTO TMs'!A:A,D6603)&gt;0,"Yes","No"),"")</f>
        <v/>
      </c>
      <c r="C6603" s="11"/>
      <c r="D6603" s="11"/>
      <c r="E6603" s="11"/>
      <c r="F6603" s="11"/>
      <c r="G6603" s="11"/>
      <c r="H6603" s="11"/>
      <c r="I6603" s="15"/>
    </row>
    <row r="6604" spans="1:9" ht="16.5">
      <c r="A6604" s="10" t="b">
        <v>0</v>
      </c>
      <c r="B6604" s="11" t="str">
        <f>IF(D6604&lt;&gt;"",IF(COUNTIF('USPTO TMs'!A:A,D6604)&gt;0,"Yes","No"),"")</f>
        <v/>
      </c>
      <c r="C6604" s="11"/>
      <c r="D6604" s="11"/>
      <c r="E6604" s="11"/>
      <c r="F6604" s="11"/>
      <c r="G6604" s="11"/>
      <c r="H6604" s="11"/>
      <c r="I6604" s="15"/>
    </row>
    <row r="6605" spans="1:9" ht="16.5">
      <c r="A6605" s="10" t="b">
        <v>0</v>
      </c>
      <c r="B6605" s="11" t="str">
        <f>IF(D6605&lt;&gt;"",IF(COUNTIF('USPTO TMs'!A:A,D6605)&gt;0,"Yes","No"),"")</f>
        <v/>
      </c>
      <c r="C6605" s="11"/>
      <c r="D6605" s="11"/>
      <c r="E6605" s="11"/>
      <c r="F6605" s="11"/>
      <c r="G6605" s="11"/>
      <c r="H6605" s="11"/>
      <c r="I6605" s="15"/>
    </row>
    <row r="6606" spans="1:9" ht="16.5">
      <c r="A6606" s="10" t="b">
        <v>0</v>
      </c>
      <c r="B6606" s="11" t="str">
        <f>IF(D6606&lt;&gt;"",IF(COUNTIF('USPTO TMs'!A:A,D6606)&gt;0,"Yes","No"),"")</f>
        <v/>
      </c>
      <c r="C6606" s="11"/>
      <c r="D6606" s="11"/>
      <c r="E6606" s="11"/>
      <c r="F6606" s="11"/>
      <c r="G6606" s="11"/>
      <c r="H6606" s="11"/>
      <c r="I6606" s="15"/>
    </row>
    <row r="6607" spans="1:9" ht="16.5">
      <c r="A6607" s="10" t="b">
        <v>0</v>
      </c>
      <c r="B6607" s="11" t="str">
        <f>IF(D6607&lt;&gt;"",IF(COUNTIF('USPTO TMs'!A:A,D6607)&gt;0,"Yes","No"),"")</f>
        <v/>
      </c>
      <c r="C6607" s="11"/>
      <c r="D6607" s="11"/>
      <c r="E6607" s="11"/>
      <c r="F6607" s="11"/>
      <c r="G6607" s="11"/>
      <c r="H6607" s="11"/>
      <c r="I6607" s="15"/>
    </row>
    <row r="6608" spans="1:9" ht="16.5">
      <c r="A6608" s="10" t="b">
        <v>0</v>
      </c>
      <c r="B6608" s="11" t="str">
        <f>IF(D6608&lt;&gt;"",IF(COUNTIF('USPTO TMs'!A:A,D6608)&gt;0,"Yes","No"),"")</f>
        <v/>
      </c>
      <c r="C6608" s="11"/>
      <c r="D6608" s="11"/>
      <c r="E6608" s="11"/>
      <c r="F6608" s="11"/>
      <c r="G6608" s="11"/>
      <c r="H6608" s="11"/>
      <c r="I6608" s="15"/>
    </row>
    <row r="6609" spans="1:9" ht="16.5">
      <c r="A6609" s="10" t="b">
        <v>0</v>
      </c>
      <c r="B6609" s="11" t="str">
        <f>IF(D6609&lt;&gt;"",IF(COUNTIF('USPTO TMs'!A:A,D6609)&gt;0,"Yes","No"),"")</f>
        <v/>
      </c>
      <c r="C6609" s="11"/>
      <c r="D6609" s="11"/>
      <c r="E6609" s="11"/>
      <c r="F6609" s="11"/>
      <c r="G6609" s="11"/>
      <c r="H6609" s="11"/>
      <c r="I6609" s="15"/>
    </row>
    <row r="6610" spans="1:9" ht="16.5">
      <c r="A6610" s="10" t="b">
        <v>0</v>
      </c>
      <c r="B6610" s="11" t="str">
        <f>IF(D6610&lt;&gt;"",IF(COUNTIF('USPTO TMs'!A:A,D6610)&gt;0,"Yes","No"),"")</f>
        <v/>
      </c>
      <c r="C6610" s="11"/>
      <c r="D6610" s="11"/>
      <c r="E6610" s="11"/>
      <c r="F6610" s="11"/>
      <c r="G6610" s="11"/>
      <c r="H6610" s="11"/>
      <c r="I6610" s="15"/>
    </row>
    <row r="6611" spans="1:9" ht="16.5">
      <c r="A6611" s="10" t="b">
        <v>0</v>
      </c>
      <c r="B6611" s="11" t="str">
        <f>IF(D6611&lt;&gt;"",IF(COUNTIF('USPTO TMs'!A:A,D6611)&gt;0,"Yes","No"),"")</f>
        <v/>
      </c>
      <c r="C6611" s="11"/>
      <c r="D6611" s="11"/>
      <c r="E6611" s="11"/>
      <c r="F6611" s="11"/>
      <c r="G6611" s="11"/>
      <c r="H6611" s="11"/>
      <c r="I6611" s="15"/>
    </row>
    <row r="6612" spans="1:9" ht="16.5">
      <c r="A6612" s="10" t="b">
        <v>0</v>
      </c>
      <c r="B6612" s="11" t="str">
        <f>IF(D6612&lt;&gt;"",IF(COUNTIF('USPTO TMs'!A:A,D6612)&gt;0,"Yes","No"),"")</f>
        <v/>
      </c>
      <c r="C6612" s="11"/>
      <c r="D6612" s="11"/>
      <c r="E6612" s="11"/>
      <c r="F6612" s="11"/>
      <c r="G6612" s="11"/>
      <c r="H6612" s="11"/>
      <c r="I6612" s="15"/>
    </row>
    <row r="6613" spans="1:9" ht="16.5">
      <c r="A6613" s="10" t="b">
        <v>0</v>
      </c>
      <c r="B6613" s="11" t="str">
        <f>IF(D6613&lt;&gt;"",IF(COUNTIF('USPTO TMs'!A:A,D6613)&gt;0,"Yes","No"),"")</f>
        <v/>
      </c>
      <c r="C6613" s="11"/>
      <c r="D6613" s="11"/>
      <c r="E6613" s="11"/>
      <c r="F6613" s="11"/>
      <c r="G6613" s="11"/>
      <c r="H6613" s="11"/>
      <c r="I6613" s="15"/>
    </row>
    <row r="6614" spans="1:9" ht="16.5">
      <c r="A6614" s="10" t="b">
        <v>0</v>
      </c>
      <c r="B6614" s="11" t="str">
        <f>IF(D6614&lt;&gt;"",IF(COUNTIF('USPTO TMs'!A:A,D6614)&gt;0,"Yes","No"),"")</f>
        <v/>
      </c>
      <c r="C6614" s="11"/>
      <c r="D6614" s="11"/>
      <c r="E6614" s="11"/>
      <c r="F6614" s="11"/>
      <c r="G6614" s="11"/>
      <c r="H6614" s="11"/>
      <c r="I6614" s="15"/>
    </row>
    <row r="6615" spans="1:9" ht="16.5">
      <c r="A6615" s="10" t="b">
        <v>0</v>
      </c>
      <c r="B6615" s="11" t="str">
        <f>IF(D6615&lt;&gt;"",IF(COUNTIF('USPTO TMs'!A:A,D6615)&gt;0,"Yes","No"),"")</f>
        <v/>
      </c>
      <c r="C6615" s="11"/>
      <c r="D6615" s="11"/>
      <c r="E6615" s="11"/>
      <c r="F6615" s="11"/>
      <c r="G6615" s="11"/>
      <c r="H6615" s="11"/>
      <c r="I6615" s="15"/>
    </row>
    <row r="6616" spans="1:9" ht="16.5">
      <c r="A6616" s="10" t="b">
        <v>0</v>
      </c>
      <c r="B6616" s="11" t="str">
        <f>IF(D6616&lt;&gt;"",IF(COUNTIF('USPTO TMs'!A:A,D6616)&gt;0,"Yes","No"),"")</f>
        <v/>
      </c>
      <c r="C6616" s="11"/>
      <c r="D6616" s="11"/>
      <c r="E6616" s="11"/>
      <c r="F6616" s="11"/>
      <c r="G6616" s="11"/>
      <c r="H6616" s="11"/>
      <c r="I6616" s="15"/>
    </row>
    <row r="6617" spans="1:9" ht="16.5">
      <c r="A6617" s="10" t="b">
        <v>0</v>
      </c>
      <c r="B6617" s="11" t="str">
        <f>IF(D6617&lt;&gt;"",IF(COUNTIF('USPTO TMs'!A:A,D6617)&gt;0,"Yes","No"),"")</f>
        <v/>
      </c>
      <c r="C6617" s="11"/>
      <c r="D6617" s="11"/>
      <c r="E6617" s="11"/>
      <c r="F6617" s="11"/>
      <c r="G6617" s="11"/>
      <c r="H6617" s="11"/>
      <c r="I6617" s="15"/>
    </row>
    <row r="6618" spans="1:9" ht="16.5">
      <c r="A6618" s="10" t="b">
        <v>0</v>
      </c>
      <c r="B6618" s="11" t="str">
        <f>IF(D6618&lt;&gt;"",IF(COUNTIF('USPTO TMs'!A:A,D6618)&gt;0,"Yes","No"),"")</f>
        <v/>
      </c>
      <c r="C6618" s="11"/>
      <c r="D6618" s="11"/>
      <c r="E6618" s="11"/>
      <c r="F6618" s="11"/>
      <c r="G6618" s="11"/>
      <c r="H6618" s="11"/>
      <c r="I6618" s="15"/>
    </row>
    <row r="6619" spans="1:9" ht="16.5">
      <c r="A6619" s="10" t="b">
        <v>0</v>
      </c>
      <c r="B6619" s="11" t="str">
        <f>IF(D6619&lt;&gt;"",IF(COUNTIF('USPTO TMs'!A:A,D6619)&gt;0,"Yes","No"),"")</f>
        <v/>
      </c>
      <c r="C6619" s="11"/>
      <c r="D6619" s="11"/>
      <c r="E6619" s="11"/>
      <c r="F6619" s="11"/>
      <c r="G6619" s="11"/>
      <c r="H6619" s="11"/>
      <c r="I6619" s="15"/>
    </row>
    <row r="6620" spans="1:9" ht="16.5">
      <c r="A6620" s="10" t="b">
        <v>0</v>
      </c>
      <c r="B6620" s="11" t="str">
        <f>IF(D6620&lt;&gt;"",IF(COUNTIF('USPTO TMs'!A:A,D6620)&gt;0,"Yes","No"),"")</f>
        <v/>
      </c>
      <c r="C6620" s="11"/>
      <c r="D6620" s="11"/>
      <c r="E6620" s="11"/>
      <c r="F6620" s="11"/>
      <c r="G6620" s="11"/>
      <c r="H6620" s="11"/>
      <c r="I6620" s="15"/>
    </row>
    <row r="6621" spans="1:9" ht="16.5">
      <c r="A6621" s="10" t="b">
        <v>0</v>
      </c>
      <c r="B6621" s="11" t="str">
        <f>IF(D6621&lt;&gt;"",IF(COUNTIF('USPTO TMs'!A:A,D6621)&gt;0,"Yes","No"),"")</f>
        <v/>
      </c>
      <c r="C6621" s="11"/>
      <c r="D6621" s="11"/>
      <c r="E6621" s="11"/>
      <c r="F6621" s="11"/>
      <c r="G6621" s="11"/>
      <c r="H6621" s="11"/>
      <c r="I6621" s="15"/>
    </row>
    <row r="6622" spans="1:9" ht="16.5">
      <c r="A6622" s="10" t="b">
        <v>0</v>
      </c>
      <c r="B6622" s="11" t="str">
        <f>IF(D6622&lt;&gt;"",IF(COUNTIF('USPTO TMs'!A:A,D6622)&gt;0,"Yes","No"),"")</f>
        <v/>
      </c>
      <c r="C6622" s="11"/>
      <c r="D6622" s="11"/>
      <c r="E6622" s="11"/>
      <c r="F6622" s="11"/>
      <c r="G6622" s="11"/>
      <c r="H6622" s="11"/>
      <c r="I6622" s="15"/>
    </row>
    <row r="6623" spans="1:9" ht="16.5">
      <c r="A6623" s="10" t="b">
        <v>0</v>
      </c>
      <c r="B6623" s="11" t="str">
        <f>IF(D6623&lt;&gt;"",IF(COUNTIF('USPTO TMs'!A:A,D6623)&gt;0,"Yes","No"),"")</f>
        <v/>
      </c>
      <c r="C6623" s="11"/>
      <c r="D6623" s="11"/>
      <c r="E6623" s="11"/>
      <c r="F6623" s="11"/>
      <c r="G6623" s="11"/>
      <c r="H6623" s="11"/>
      <c r="I6623" s="15"/>
    </row>
    <row r="6624" spans="1:9" ht="16.5">
      <c r="A6624" s="10" t="b">
        <v>0</v>
      </c>
      <c r="B6624" s="11" t="str">
        <f>IF(D6624&lt;&gt;"",IF(COUNTIF('USPTO TMs'!A:A,D6624)&gt;0,"Yes","No"),"")</f>
        <v/>
      </c>
      <c r="C6624" s="11"/>
      <c r="D6624" s="11"/>
      <c r="E6624" s="11"/>
      <c r="F6624" s="11"/>
      <c r="G6624" s="11"/>
      <c r="H6624" s="11"/>
      <c r="I6624" s="15"/>
    </row>
    <row r="6625" spans="1:9" ht="16.5">
      <c r="A6625" s="10" t="b">
        <v>0</v>
      </c>
      <c r="B6625" s="11" t="str">
        <f>IF(D6625&lt;&gt;"",IF(COUNTIF('USPTO TMs'!A:A,D6625)&gt;0,"Yes","No"),"")</f>
        <v/>
      </c>
      <c r="C6625" s="11"/>
      <c r="D6625" s="11"/>
      <c r="E6625" s="11"/>
      <c r="F6625" s="11"/>
      <c r="G6625" s="11"/>
      <c r="H6625" s="11"/>
      <c r="I6625" s="15"/>
    </row>
    <row r="6626" spans="1:9" ht="16.5">
      <c r="A6626" s="10" t="b">
        <v>0</v>
      </c>
      <c r="B6626" s="11" t="str">
        <f>IF(D6626&lt;&gt;"",IF(COUNTIF('USPTO TMs'!A:A,D6626)&gt;0,"Yes","No"),"")</f>
        <v/>
      </c>
      <c r="C6626" s="11"/>
      <c r="D6626" s="11"/>
      <c r="E6626" s="11"/>
      <c r="F6626" s="11"/>
      <c r="G6626" s="11"/>
      <c r="H6626" s="11"/>
      <c r="I6626" s="15"/>
    </row>
    <row r="6627" spans="1:9" ht="16.5">
      <c r="A6627" s="10" t="b">
        <v>0</v>
      </c>
      <c r="B6627" s="11" t="str">
        <f>IF(D6627&lt;&gt;"",IF(COUNTIF('USPTO TMs'!A:A,D6627)&gt;0,"Yes","No"),"")</f>
        <v/>
      </c>
      <c r="C6627" s="11"/>
      <c r="D6627" s="11"/>
      <c r="E6627" s="11"/>
      <c r="F6627" s="11"/>
      <c r="G6627" s="11"/>
      <c r="H6627" s="11"/>
      <c r="I6627" s="15"/>
    </row>
    <row r="6628" spans="1:9" ht="16.5">
      <c r="A6628" s="10" t="b">
        <v>0</v>
      </c>
      <c r="B6628" s="11" t="str">
        <f>IF(D6628&lt;&gt;"",IF(COUNTIF('USPTO TMs'!A:A,D6628)&gt;0,"Yes","No"),"")</f>
        <v/>
      </c>
      <c r="C6628" s="11"/>
      <c r="D6628" s="11"/>
      <c r="E6628" s="11"/>
      <c r="F6628" s="11"/>
      <c r="G6628" s="11"/>
      <c r="H6628" s="11"/>
      <c r="I6628" s="15"/>
    </row>
    <row r="6629" spans="1:9" ht="16.5">
      <c r="A6629" s="10" t="b">
        <v>0</v>
      </c>
      <c r="B6629" s="11" t="str">
        <f>IF(D6629&lt;&gt;"",IF(COUNTIF('USPTO TMs'!A:A,D6629)&gt;0,"Yes","No"),"")</f>
        <v/>
      </c>
      <c r="C6629" s="11"/>
      <c r="D6629" s="11"/>
      <c r="E6629" s="11"/>
      <c r="F6629" s="11"/>
      <c r="G6629" s="11"/>
      <c r="H6629" s="11"/>
      <c r="I6629" s="15"/>
    </row>
    <row r="6630" spans="1:9" ht="16.5">
      <c r="A6630" s="10" t="b">
        <v>0</v>
      </c>
      <c r="B6630" s="11" t="str">
        <f>IF(D6630&lt;&gt;"",IF(COUNTIF('USPTO TMs'!A:A,D6630)&gt;0,"Yes","No"),"")</f>
        <v/>
      </c>
      <c r="C6630" s="11"/>
      <c r="D6630" s="11"/>
      <c r="E6630" s="11"/>
      <c r="F6630" s="11"/>
      <c r="G6630" s="11"/>
      <c r="H6630" s="11"/>
      <c r="I6630" s="15"/>
    </row>
    <row r="6631" spans="1:9" ht="16.5">
      <c r="A6631" s="10" t="b">
        <v>0</v>
      </c>
      <c r="B6631" s="11" t="str">
        <f>IF(D6631&lt;&gt;"",IF(COUNTIF('USPTO TMs'!A:A,D6631)&gt;0,"Yes","No"),"")</f>
        <v/>
      </c>
      <c r="C6631" s="11"/>
      <c r="D6631" s="11"/>
      <c r="E6631" s="11"/>
      <c r="F6631" s="11"/>
      <c r="G6631" s="11"/>
      <c r="H6631" s="11"/>
      <c r="I6631" s="15"/>
    </row>
    <row r="6632" spans="1:9" ht="16.5">
      <c r="A6632" s="10" t="b">
        <v>0</v>
      </c>
      <c r="B6632" s="11" t="str">
        <f>IF(D6632&lt;&gt;"",IF(COUNTIF('USPTO TMs'!A:A,D6632)&gt;0,"Yes","No"),"")</f>
        <v/>
      </c>
      <c r="C6632" s="11"/>
      <c r="D6632" s="11"/>
      <c r="E6632" s="11"/>
      <c r="F6632" s="11"/>
      <c r="G6632" s="11"/>
      <c r="H6632" s="11"/>
      <c r="I6632" s="15"/>
    </row>
    <row r="6633" spans="1:9" ht="16.5">
      <c r="A6633" s="10" t="b">
        <v>0</v>
      </c>
      <c r="B6633" s="11" t="str">
        <f>IF(D6633&lt;&gt;"",IF(COUNTIF('USPTO TMs'!A:A,D6633)&gt;0,"Yes","No"),"")</f>
        <v/>
      </c>
      <c r="C6633" s="11"/>
      <c r="D6633" s="11"/>
      <c r="E6633" s="11"/>
      <c r="F6633" s="11"/>
      <c r="G6633" s="11"/>
      <c r="H6633" s="11"/>
      <c r="I6633" s="15"/>
    </row>
    <row r="6634" spans="1:9" ht="16.5">
      <c r="A6634" s="10" t="b">
        <v>0</v>
      </c>
      <c r="B6634" s="11" t="str">
        <f>IF(D6634&lt;&gt;"",IF(COUNTIF('USPTO TMs'!A:A,D6634)&gt;0,"Yes","No"),"")</f>
        <v/>
      </c>
      <c r="C6634" s="11"/>
      <c r="D6634" s="11"/>
      <c r="E6634" s="11"/>
      <c r="F6634" s="11"/>
      <c r="G6634" s="11"/>
      <c r="H6634" s="11"/>
      <c r="I6634" s="15"/>
    </row>
    <row r="6635" spans="1:9" ht="16.5">
      <c r="A6635" s="10" t="b">
        <v>0</v>
      </c>
      <c r="B6635" s="11" t="str">
        <f>IF(D6635&lt;&gt;"",IF(COUNTIF('USPTO TMs'!A:A,D6635)&gt;0,"Yes","No"),"")</f>
        <v/>
      </c>
      <c r="C6635" s="11"/>
      <c r="D6635" s="11"/>
      <c r="E6635" s="11"/>
      <c r="F6635" s="11"/>
      <c r="G6635" s="11"/>
      <c r="H6635" s="11"/>
      <c r="I6635" s="15"/>
    </row>
    <row r="6636" spans="1:9" ht="16.5">
      <c r="A6636" s="10" t="b">
        <v>0</v>
      </c>
      <c r="B6636" s="11" t="str">
        <f>IF(D6636&lt;&gt;"",IF(COUNTIF('USPTO TMs'!A:A,D6636)&gt;0,"Yes","No"),"")</f>
        <v/>
      </c>
      <c r="C6636" s="11"/>
      <c r="D6636" s="11"/>
      <c r="E6636" s="11"/>
      <c r="F6636" s="11"/>
      <c r="G6636" s="11"/>
      <c r="H6636" s="11"/>
      <c r="I6636" s="15"/>
    </row>
    <row r="6637" spans="1:9" ht="16.5">
      <c r="A6637" s="10" t="b">
        <v>0</v>
      </c>
      <c r="B6637" s="11" t="str">
        <f>IF(D6637&lt;&gt;"",IF(COUNTIF('USPTO TMs'!A:A,D6637)&gt;0,"Yes","No"),"")</f>
        <v/>
      </c>
      <c r="C6637" s="11"/>
      <c r="D6637" s="11"/>
      <c r="E6637" s="11"/>
      <c r="F6637" s="11"/>
      <c r="G6637" s="11"/>
      <c r="H6637" s="11"/>
      <c r="I6637" s="15"/>
    </row>
    <row r="6638" spans="1:9" ht="16.5">
      <c r="A6638" s="10" t="b">
        <v>0</v>
      </c>
      <c r="B6638" s="11" t="str">
        <f>IF(D6638&lt;&gt;"",IF(COUNTIF('USPTO TMs'!A:A,D6638)&gt;0,"Yes","No"),"")</f>
        <v/>
      </c>
      <c r="C6638" s="11"/>
      <c r="D6638" s="11"/>
      <c r="E6638" s="11"/>
      <c r="F6638" s="11"/>
      <c r="G6638" s="11"/>
      <c r="H6638" s="11"/>
      <c r="I6638" s="15"/>
    </row>
    <row r="6639" spans="1:9" ht="16.5">
      <c r="A6639" s="10" t="b">
        <v>0</v>
      </c>
      <c r="B6639" s="11" t="str">
        <f>IF(D6639&lt;&gt;"",IF(COUNTIF('USPTO TMs'!A:A,D6639)&gt;0,"Yes","No"),"")</f>
        <v/>
      </c>
      <c r="C6639" s="11"/>
      <c r="D6639" s="11"/>
      <c r="E6639" s="11"/>
      <c r="F6639" s="11"/>
      <c r="G6639" s="11"/>
      <c r="H6639" s="11"/>
      <c r="I6639" s="15"/>
    </row>
    <row r="6640" spans="1:9" ht="16.5">
      <c r="A6640" s="10" t="b">
        <v>0</v>
      </c>
      <c r="B6640" s="11" t="str">
        <f>IF(D6640&lt;&gt;"",IF(COUNTIF('USPTO TMs'!A:A,D6640)&gt;0,"Yes","No"),"")</f>
        <v/>
      </c>
      <c r="C6640" s="11"/>
      <c r="D6640" s="11"/>
      <c r="E6640" s="11"/>
      <c r="F6640" s="11"/>
      <c r="G6640" s="11"/>
      <c r="H6640" s="11"/>
      <c r="I6640" s="15"/>
    </row>
    <row r="6641" spans="1:9" ht="16.5">
      <c r="A6641" s="10" t="b">
        <v>0</v>
      </c>
      <c r="B6641" s="11" t="str">
        <f>IF(D6641&lt;&gt;"",IF(COUNTIF('USPTO TMs'!A:A,D6641)&gt;0,"Yes","No"),"")</f>
        <v/>
      </c>
      <c r="C6641" s="11"/>
      <c r="D6641" s="11"/>
      <c r="E6641" s="11"/>
      <c r="F6641" s="11"/>
      <c r="G6641" s="11"/>
      <c r="H6641" s="11"/>
      <c r="I6641" s="15"/>
    </row>
    <row r="6642" spans="1:9" ht="16.5">
      <c r="A6642" s="10" t="b">
        <v>0</v>
      </c>
      <c r="B6642" s="11" t="str">
        <f>IF(D6642&lt;&gt;"",IF(COUNTIF('USPTO TMs'!A:A,D6642)&gt;0,"Yes","No"),"")</f>
        <v/>
      </c>
      <c r="C6642" s="11"/>
      <c r="D6642" s="11"/>
      <c r="E6642" s="11"/>
      <c r="F6642" s="11"/>
      <c r="G6642" s="11"/>
      <c r="H6642" s="11"/>
      <c r="I6642" s="15"/>
    </row>
    <row r="6643" spans="1:9" ht="16.5">
      <c r="A6643" s="10" t="b">
        <v>0</v>
      </c>
      <c r="B6643" s="11" t="str">
        <f>IF(D6643&lt;&gt;"",IF(COUNTIF('USPTO TMs'!A:A,D6643)&gt;0,"Yes","No"),"")</f>
        <v/>
      </c>
      <c r="C6643" s="11"/>
      <c r="D6643" s="11"/>
      <c r="E6643" s="11"/>
      <c r="F6643" s="11"/>
      <c r="G6643" s="11"/>
      <c r="H6643" s="11"/>
      <c r="I6643" s="15"/>
    </row>
    <row r="6644" spans="1:9" ht="16.5">
      <c r="A6644" s="10" t="b">
        <v>0</v>
      </c>
      <c r="B6644" s="11" t="str">
        <f>IF(D6644&lt;&gt;"",IF(COUNTIF('USPTO TMs'!A:A,D6644)&gt;0,"Yes","No"),"")</f>
        <v/>
      </c>
      <c r="C6644" s="11"/>
      <c r="D6644" s="11"/>
      <c r="E6644" s="11"/>
      <c r="F6644" s="11"/>
      <c r="G6644" s="11"/>
      <c r="H6644" s="11"/>
      <c r="I6644" s="15"/>
    </row>
    <row r="6645" spans="1:9" ht="16.5">
      <c r="A6645" s="10" t="b">
        <v>0</v>
      </c>
      <c r="B6645" s="11" t="str">
        <f>IF(D6645&lt;&gt;"",IF(COUNTIF('USPTO TMs'!A:A,D6645)&gt;0,"Yes","No"),"")</f>
        <v/>
      </c>
      <c r="C6645" s="11"/>
      <c r="D6645" s="11"/>
      <c r="E6645" s="11"/>
      <c r="F6645" s="11"/>
      <c r="G6645" s="11"/>
      <c r="H6645" s="11"/>
      <c r="I6645" s="15"/>
    </row>
    <row r="6646" spans="1:9" ht="16.5">
      <c r="A6646" s="10" t="b">
        <v>0</v>
      </c>
      <c r="B6646" s="11" t="str">
        <f>IF(D6646&lt;&gt;"",IF(COUNTIF('USPTO TMs'!A:A,D6646)&gt;0,"Yes","No"),"")</f>
        <v/>
      </c>
      <c r="C6646" s="11"/>
      <c r="D6646" s="11"/>
      <c r="E6646" s="11"/>
      <c r="F6646" s="11"/>
      <c r="G6646" s="11"/>
      <c r="H6646" s="11"/>
      <c r="I6646" s="15"/>
    </row>
    <row r="6647" spans="1:9" ht="16.5">
      <c r="A6647" s="10" t="b">
        <v>0</v>
      </c>
      <c r="B6647" s="11" t="str">
        <f>IF(D6647&lt;&gt;"",IF(COUNTIF('USPTO TMs'!A:A,D6647)&gt;0,"Yes","No"),"")</f>
        <v/>
      </c>
      <c r="C6647" s="11"/>
      <c r="D6647" s="11"/>
      <c r="E6647" s="11"/>
      <c r="F6647" s="11"/>
      <c r="G6647" s="11"/>
      <c r="H6647" s="11"/>
      <c r="I6647" s="15"/>
    </row>
    <row r="6648" spans="1:9" ht="16.5">
      <c r="A6648" s="10" t="b">
        <v>0</v>
      </c>
      <c r="B6648" s="11" t="str">
        <f>IF(D6648&lt;&gt;"",IF(COUNTIF('USPTO TMs'!A:A,D6648)&gt;0,"Yes","No"),"")</f>
        <v/>
      </c>
      <c r="C6648" s="11"/>
      <c r="D6648" s="11"/>
      <c r="E6648" s="11"/>
      <c r="F6648" s="11"/>
      <c r="G6648" s="11"/>
      <c r="H6648" s="11"/>
      <c r="I6648" s="15"/>
    </row>
    <row r="6649" spans="1:9" ht="16.5">
      <c r="A6649" s="10" t="b">
        <v>0</v>
      </c>
      <c r="B6649" s="11" t="str">
        <f>IF(D6649&lt;&gt;"",IF(COUNTIF('USPTO TMs'!A:A,D6649)&gt;0,"Yes","No"),"")</f>
        <v/>
      </c>
      <c r="C6649" s="11"/>
      <c r="D6649" s="11"/>
      <c r="E6649" s="11"/>
      <c r="F6649" s="11"/>
      <c r="G6649" s="11"/>
      <c r="H6649" s="11"/>
      <c r="I6649" s="15"/>
    </row>
    <row r="6650" spans="1:9" ht="16.5">
      <c r="A6650" s="10" t="b">
        <v>0</v>
      </c>
      <c r="B6650" s="11" t="str">
        <f>IF(D6650&lt;&gt;"",IF(COUNTIF('USPTO TMs'!A:A,D6650)&gt;0,"Yes","No"),"")</f>
        <v/>
      </c>
      <c r="C6650" s="11"/>
      <c r="D6650" s="11"/>
      <c r="E6650" s="11"/>
      <c r="F6650" s="11"/>
      <c r="G6650" s="11"/>
      <c r="H6650" s="11"/>
      <c r="I6650" s="15"/>
    </row>
    <row r="6651" spans="1:9" ht="16.5">
      <c r="A6651" s="10" t="b">
        <v>0</v>
      </c>
      <c r="B6651" s="11" t="str">
        <f>IF(D6651&lt;&gt;"",IF(COUNTIF('USPTO TMs'!A:A,D6651)&gt;0,"Yes","No"),"")</f>
        <v/>
      </c>
      <c r="C6651" s="11"/>
      <c r="D6651" s="11"/>
      <c r="E6651" s="11"/>
      <c r="F6651" s="11"/>
      <c r="G6651" s="11"/>
      <c r="H6651" s="11"/>
      <c r="I6651" s="15"/>
    </row>
    <row r="6652" spans="1:9" ht="16.5">
      <c r="A6652" s="10" t="b">
        <v>0</v>
      </c>
      <c r="B6652" s="11" t="str">
        <f>IF(D6652&lt;&gt;"",IF(COUNTIF('USPTO TMs'!A:A,D6652)&gt;0,"Yes","No"),"")</f>
        <v/>
      </c>
      <c r="C6652" s="11"/>
      <c r="D6652" s="11"/>
      <c r="E6652" s="11"/>
      <c r="F6652" s="11"/>
      <c r="G6652" s="11"/>
      <c r="H6652" s="11"/>
      <c r="I6652" s="15"/>
    </row>
    <row r="6653" spans="1:9" ht="16.5">
      <c r="A6653" s="10" t="b">
        <v>0</v>
      </c>
      <c r="B6653" s="11" t="str">
        <f>IF(D6653&lt;&gt;"",IF(COUNTIF('USPTO TMs'!A:A,D6653)&gt;0,"Yes","No"),"")</f>
        <v/>
      </c>
      <c r="C6653" s="11"/>
      <c r="D6653" s="11"/>
      <c r="E6653" s="11"/>
      <c r="F6653" s="11"/>
      <c r="G6653" s="11"/>
      <c r="H6653" s="11"/>
      <c r="I6653" s="15"/>
    </row>
    <row r="6654" spans="1:9" ht="16.5">
      <c r="A6654" s="10" t="b">
        <v>0</v>
      </c>
      <c r="B6654" s="11" t="str">
        <f>IF(D6654&lt;&gt;"",IF(COUNTIF('USPTO TMs'!A:A,D6654)&gt;0,"Yes","No"),"")</f>
        <v/>
      </c>
      <c r="C6654" s="11"/>
      <c r="D6654" s="11"/>
      <c r="E6654" s="11"/>
      <c r="F6654" s="11"/>
      <c r="G6654" s="11"/>
      <c r="H6654" s="11"/>
      <c r="I6654" s="15"/>
    </row>
    <row r="6655" spans="1:9" ht="16.5">
      <c r="A6655" s="10" t="b">
        <v>0</v>
      </c>
      <c r="B6655" s="11" t="str">
        <f>IF(D6655&lt;&gt;"",IF(COUNTIF('USPTO TMs'!A:A,D6655)&gt;0,"Yes","No"),"")</f>
        <v/>
      </c>
      <c r="C6655" s="11"/>
      <c r="D6655" s="11"/>
      <c r="E6655" s="11"/>
      <c r="F6655" s="11"/>
      <c r="G6655" s="11"/>
      <c r="H6655" s="11"/>
      <c r="I6655" s="15"/>
    </row>
    <row r="6656" spans="1:9" ht="16.5">
      <c r="A6656" s="10" t="b">
        <v>0</v>
      </c>
      <c r="B6656" s="11" t="str">
        <f>IF(D6656&lt;&gt;"",IF(COUNTIF('USPTO TMs'!A:A,D6656)&gt;0,"Yes","No"),"")</f>
        <v/>
      </c>
      <c r="C6656" s="11"/>
      <c r="D6656" s="11"/>
      <c r="E6656" s="11"/>
      <c r="F6656" s="11"/>
      <c r="G6656" s="11"/>
      <c r="H6656" s="11"/>
      <c r="I6656" s="15"/>
    </row>
    <row r="6657" spans="1:9" ht="16.5">
      <c r="A6657" s="10" t="b">
        <v>0</v>
      </c>
      <c r="B6657" s="11" t="str">
        <f>IF(D6657&lt;&gt;"",IF(COUNTIF('USPTO TMs'!A:A,D6657)&gt;0,"Yes","No"),"")</f>
        <v/>
      </c>
      <c r="C6657" s="11"/>
      <c r="D6657" s="11"/>
      <c r="E6657" s="11"/>
      <c r="F6657" s="11"/>
      <c r="G6657" s="11"/>
      <c r="H6657" s="11"/>
      <c r="I6657" s="15"/>
    </row>
    <row r="6658" spans="1:9" ht="16.5">
      <c r="A6658" s="10" t="b">
        <v>0</v>
      </c>
      <c r="B6658" s="11" t="str">
        <f>IF(D6658&lt;&gt;"",IF(COUNTIF('USPTO TMs'!A:A,D6658)&gt;0,"Yes","No"),"")</f>
        <v/>
      </c>
      <c r="C6658" s="11"/>
      <c r="D6658" s="11"/>
      <c r="E6658" s="11"/>
      <c r="F6658" s="11"/>
      <c r="G6658" s="11"/>
      <c r="H6658" s="11"/>
      <c r="I6658" s="15"/>
    </row>
    <row r="6659" spans="1:9" ht="16.5">
      <c r="A6659" s="10" t="b">
        <v>0</v>
      </c>
      <c r="B6659" s="11" t="str">
        <f>IF(D6659&lt;&gt;"",IF(COUNTIF('USPTO TMs'!A:A,D6659)&gt;0,"Yes","No"),"")</f>
        <v/>
      </c>
      <c r="C6659" s="11"/>
      <c r="D6659" s="11"/>
      <c r="E6659" s="11"/>
      <c r="F6659" s="11"/>
      <c r="G6659" s="11"/>
      <c r="H6659" s="11"/>
      <c r="I6659" s="15"/>
    </row>
    <row r="6660" spans="1:9" ht="16.5">
      <c r="A6660" s="10" t="b">
        <v>0</v>
      </c>
      <c r="B6660" s="11" t="str">
        <f>IF(D6660&lt;&gt;"",IF(COUNTIF('USPTO TMs'!A:A,D6660)&gt;0,"Yes","No"),"")</f>
        <v/>
      </c>
      <c r="C6660" s="11"/>
      <c r="D6660" s="11"/>
      <c r="E6660" s="11"/>
      <c r="F6660" s="11"/>
      <c r="G6660" s="11"/>
      <c r="H6660" s="11"/>
      <c r="I6660" s="15"/>
    </row>
    <row r="6661" spans="1:9" ht="16.5">
      <c r="A6661" s="10" t="b">
        <v>0</v>
      </c>
      <c r="B6661" s="11" t="str">
        <f>IF(D6661&lt;&gt;"",IF(COUNTIF('USPTO TMs'!A:A,D6661)&gt;0,"Yes","No"),"")</f>
        <v/>
      </c>
      <c r="C6661" s="11"/>
      <c r="D6661" s="11"/>
      <c r="E6661" s="11"/>
      <c r="F6661" s="11"/>
      <c r="G6661" s="11"/>
      <c r="H6661" s="11"/>
      <c r="I6661" s="15"/>
    </row>
    <row r="6662" spans="1:9" ht="16.5">
      <c r="A6662" s="10" t="b">
        <v>0</v>
      </c>
      <c r="B6662" s="11" t="str">
        <f>IF(D6662&lt;&gt;"",IF(COUNTIF('USPTO TMs'!A:A,D6662)&gt;0,"Yes","No"),"")</f>
        <v/>
      </c>
      <c r="C6662" s="11"/>
      <c r="D6662" s="11"/>
      <c r="E6662" s="11"/>
      <c r="F6662" s="11"/>
      <c r="G6662" s="11"/>
      <c r="H6662" s="11"/>
      <c r="I6662" s="15"/>
    </row>
    <row r="6663" spans="1:9" ht="16.5">
      <c r="A6663" s="10" t="b">
        <v>0</v>
      </c>
      <c r="B6663" s="11" t="str">
        <f>IF(D6663&lt;&gt;"",IF(COUNTIF('USPTO TMs'!A:A,D6663)&gt;0,"Yes","No"),"")</f>
        <v/>
      </c>
      <c r="C6663" s="11"/>
      <c r="D6663" s="11"/>
      <c r="E6663" s="11"/>
      <c r="F6663" s="11"/>
      <c r="G6663" s="11"/>
      <c r="H6663" s="11"/>
      <c r="I6663" s="15"/>
    </row>
    <row r="6664" spans="1:9" ht="16.5">
      <c r="A6664" s="10" t="b">
        <v>0</v>
      </c>
      <c r="B6664" s="11" t="str">
        <f>IF(D6664&lt;&gt;"",IF(COUNTIF('USPTO TMs'!A:A,D6664)&gt;0,"Yes","No"),"")</f>
        <v/>
      </c>
      <c r="C6664" s="11"/>
      <c r="D6664" s="11"/>
      <c r="E6664" s="11"/>
      <c r="F6664" s="11"/>
      <c r="G6664" s="11"/>
      <c r="H6664" s="11"/>
      <c r="I6664" s="15"/>
    </row>
    <row r="6665" spans="1:9" ht="16.5">
      <c r="A6665" s="10" t="b">
        <v>0</v>
      </c>
      <c r="B6665" s="11" t="str">
        <f>IF(D6665&lt;&gt;"",IF(COUNTIF('USPTO TMs'!A:A,D6665)&gt;0,"Yes","No"),"")</f>
        <v/>
      </c>
      <c r="C6665" s="11"/>
      <c r="D6665" s="11"/>
      <c r="E6665" s="11"/>
      <c r="F6665" s="11"/>
      <c r="G6665" s="11"/>
      <c r="H6665" s="11"/>
      <c r="I6665" s="15"/>
    </row>
    <row r="6666" spans="1:9" ht="16.5">
      <c r="A6666" s="10" t="b">
        <v>0</v>
      </c>
      <c r="B6666" s="11" t="str">
        <f>IF(D6666&lt;&gt;"",IF(COUNTIF('USPTO TMs'!A:A,D6666)&gt;0,"Yes","No"),"")</f>
        <v/>
      </c>
      <c r="C6666" s="11"/>
      <c r="D6666" s="11"/>
      <c r="E6666" s="11"/>
      <c r="F6666" s="11"/>
      <c r="G6666" s="11"/>
      <c r="H6666" s="11"/>
      <c r="I6666" s="15"/>
    </row>
    <row r="6667" spans="1:9" ht="16.5">
      <c r="A6667" s="10" t="b">
        <v>0</v>
      </c>
      <c r="B6667" s="11" t="str">
        <f>IF(D6667&lt;&gt;"",IF(COUNTIF('USPTO TMs'!A:A,D6667)&gt;0,"Yes","No"),"")</f>
        <v/>
      </c>
      <c r="C6667" s="11"/>
      <c r="D6667" s="11"/>
      <c r="E6667" s="11"/>
      <c r="F6667" s="11"/>
      <c r="G6667" s="11"/>
      <c r="H6667" s="11"/>
      <c r="I6667" s="15"/>
    </row>
    <row r="6668" spans="1:9" ht="16.5">
      <c r="A6668" s="10" t="b">
        <v>0</v>
      </c>
      <c r="B6668" s="11" t="str">
        <f>IF(D6668&lt;&gt;"",IF(COUNTIF('USPTO TMs'!A:A,D6668)&gt;0,"Yes","No"),"")</f>
        <v/>
      </c>
      <c r="C6668" s="11"/>
      <c r="D6668" s="11"/>
      <c r="E6668" s="11"/>
      <c r="F6668" s="11"/>
      <c r="G6668" s="11"/>
      <c r="H6668" s="11"/>
      <c r="I6668" s="15"/>
    </row>
    <row r="6669" spans="1:9" ht="16.5">
      <c r="A6669" s="10" t="b">
        <v>0</v>
      </c>
      <c r="B6669" s="11" t="str">
        <f>IF(D6669&lt;&gt;"",IF(COUNTIF('USPTO TMs'!A:A,D6669)&gt;0,"Yes","No"),"")</f>
        <v/>
      </c>
      <c r="C6669" s="11"/>
      <c r="D6669" s="11"/>
      <c r="E6669" s="11"/>
      <c r="F6669" s="11"/>
      <c r="G6669" s="11"/>
      <c r="H6669" s="11"/>
      <c r="I6669" s="15"/>
    </row>
    <row r="6670" spans="1:9" ht="16.5">
      <c r="A6670" s="10" t="b">
        <v>0</v>
      </c>
      <c r="B6670" s="11" t="str">
        <f>IF(D6670&lt;&gt;"",IF(COUNTIF('USPTO TMs'!A:A,D6670)&gt;0,"Yes","No"),"")</f>
        <v/>
      </c>
      <c r="C6670" s="11"/>
      <c r="D6670" s="11"/>
      <c r="E6670" s="11"/>
      <c r="F6670" s="11"/>
      <c r="G6670" s="11"/>
      <c r="H6670" s="11"/>
      <c r="I6670" s="15"/>
    </row>
    <row r="6671" spans="1:9" ht="16.5">
      <c r="A6671" s="10" t="b">
        <v>0</v>
      </c>
      <c r="B6671" s="11" t="str">
        <f>IF(D6671&lt;&gt;"",IF(COUNTIF('USPTO TMs'!A:A,D6671)&gt;0,"Yes","No"),"")</f>
        <v/>
      </c>
      <c r="C6671" s="11"/>
      <c r="D6671" s="11"/>
      <c r="E6671" s="11"/>
      <c r="F6671" s="11"/>
      <c r="G6671" s="11"/>
      <c r="H6671" s="11"/>
      <c r="I6671" s="15"/>
    </row>
    <row r="6672" spans="1:9" ht="16.5">
      <c r="A6672" s="10" t="b">
        <v>0</v>
      </c>
      <c r="B6672" s="11" t="str">
        <f>IF(D6672&lt;&gt;"",IF(COUNTIF('USPTO TMs'!A:A,D6672)&gt;0,"Yes","No"),"")</f>
        <v/>
      </c>
      <c r="C6672" s="11"/>
      <c r="D6672" s="11"/>
      <c r="E6672" s="11"/>
      <c r="F6672" s="11"/>
      <c r="G6672" s="11"/>
      <c r="H6672" s="11"/>
      <c r="I6672" s="15"/>
    </row>
    <row r="6673" spans="1:9" ht="16.5">
      <c r="A6673" s="10" t="b">
        <v>0</v>
      </c>
      <c r="B6673" s="11" t="str">
        <f>IF(D6673&lt;&gt;"",IF(COUNTIF('USPTO TMs'!A:A,D6673)&gt;0,"Yes","No"),"")</f>
        <v/>
      </c>
      <c r="C6673" s="11"/>
      <c r="D6673" s="11"/>
      <c r="E6673" s="11"/>
      <c r="F6673" s="11"/>
      <c r="G6673" s="11"/>
      <c r="H6673" s="11"/>
      <c r="I6673" s="15"/>
    </row>
    <row r="6674" spans="1:9" ht="16.5">
      <c r="A6674" s="10" t="b">
        <v>0</v>
      </c>
      <c r="B6674" s="11" t="str">
        <f>IF(D6674&lt;&gt;"",IF(COUNTIF('USPTO TMs'!A:A,D6674)&gt;0,"Yes","No"),"")</f>
        <v/>
      </c>
      <c r="C6674" s="11"/>
      <c r="D6674" s="11"/>
      <c r="E6674" s="11"/>
      <c r="F6674" s="11"/>
      <c r="G6674" s="11"/>
      <c r="H6674" s="11"/>
      <c r="I6674" s="15"/>
    </row>
    <row r="6675" spans="1:9" ht="16.5">
      <c r="A6675" s="10" t="b">
        <v>0</v>
      </c>
      <c r="B6675" s="11" t="str">
        <f>IF(D6675&lt;&gt;"",IF(COUNTIF('USPTO TMs'!A:A,D6675)&gt;0,"Yes","No"),"")</f>
        <v/>
      </c>
      <c r="C6675" s="11"/>
      <c r="D6675" s="11"/>
      <c r="E6675" s="11"/>
      <c r="F6675" s="11"/>
      <c r="G6675" s="11"/>
      <c r="H6675" s="11"/>
      <c r="I6675" s="15"/>
    </row>
    <row r="6676" spans="1:9" ht="16.5">
      <c r="A6676" s="10" t="b">
        <v>0</v>
      </c>
      <c r="B6676" s="11" t="str">
        <f>IF(D6676&lt;&gt;"",IF(COUNTIF('USPTO TMs'!A:A,D6676)&gt;0,"Yes","No"),"")</f>
        <v/>
      </c>
      <c r="C6676" s="11"/>
      <c r="D6676" s="11"/>
      <c r="E6676" s="11"/>
      <c r="F6676" s="11"/>
      <c r="G6676" s="11"/>
      <c r="H6676" s="11"/>
      <c r="I6676" s="15"/>
    </row>
    <row r="6677" spans="1:9" ht="16.5">
      <c r="A6677" s="10" t="b">
        <v>0</v>
      </c>
      <c r="B6677" s="11" t="str">
        <f>IF(D6677&lt;&gt;"",IF(COUNTIF('USPTO TMs'!A:A,D6677)&gt;0,"Yes","No"),"")</f>
        <v/>
      </c>
      <c r="C6677" s="11"/>
      <c r="D6677" s="11"/>
      <c r="E6677" s="11"/>
      <c r="F6677" s="11"/>
      <c r="G6677" s="11"/>
      <c r="H6677" s="11"/>
      <c r="I6677" s="15"/>
    </row>
    <row r="6678" spans="1:9" ht="16.5">
      <c r="A6678" s="10" t="b">
        <v>0</v>
      </c>
      <c r="B6678" s="11" t="str">
        <f>IF(D6678&lt;&gt;"",IF(COUNTIF('USPTO TMs'!A:A,D6678)&gt;0,"Yes","No"),"")</f>
        <v/>
      </c>
      <c r="C6678" s="11"/>
      <c r="D6678" s="11"/>
      <c r="E6678" s="11"/>
      <c r="F6678" s="11"/>
      <c r="G6678" s="11"/>
      <c r="H6678" s="11"/>
      <c r="I6678" s="15"/>
    </row>
    <row r="6679" spans="1:9" ht="16.5">
      <c r="A6679" s="10" t="b">
        <v>0</v>
      </c>
      <c r="B6679" s="11" t="str">
        <f>IF(D6679&lt;&gt;"",IF(COUNTIF('USPTO TMs'!A:A,D6679)&gt;0,"Yes","No"),"")</f>
        <v/>
      </c>
      <c r="C6679" s="11"/>
      <c r="D6679" s="11"/>
      <c r="E6679" s="11"/>
      <c r="F6679" s="11"/>
      <c r="G6679" s="11"/>
      <c r="H6679" s="11"/>
      <c r="I6679" s="15"/>
    </row>
    <row r="6680" spans="1:9" ht="16.5">
      <c r="A6680" s="10" t="b">
        <v>0</v>
      </c>
      <c r="B6680" s="11" t="str">
        <f>IF(D6680&lt;&gt;"",IF(COUNTIF('USPTO TMs'!A:A,D6680)&gt;0,"Yes","No"),"")</f>
        <v/>
      </c>
      <c r="C6680" s="11"/>
      <c r="D6680" s="11"/>
      <c r="E6680" s="11"/>
      <c r="F6680" s="11"/>
      <c r="G6680" s="11"/>
      <c r="H6680" s="11"/>
      <c r="I6680" s="15"/>
    </row>
    <row r="6681" spans="1:9" ht="16.5">
      <c r="A6681" s="10" t="b">
        <v>0</v>
      </c>
      <c r="B6681" s="11" t="str">
        <f>IF(D6681&lt;&gt;"",IF(COUNTIF('USPTO TMs'!A:A,D6681)&gt;0,"Yes","No"),"")</f>
        <v/>
      </c>
      <c r="C6681" s="11"/>
      <c r="D6681" s="11"/>
      <c r="E6681" s="11"/>
      <c r="F6681" s="11"/>
      <c r="G6681" s="11"/>
      <c r="H6681" s="11"/>
      <c r="I6681" s="15"/>
    </row>
    <row r="6682" spans="1:9" ht="16.5">
      <c r="A6682" s="10" t="b">
        <v>0</v>
      </c>
      <c r="B6682" s="11" t="str">
        <f>IF(D6682&lt;&gt;"",IF(COUNTIF('USPTO TMs'!A:A,D6682)&gt;0,"Yes","No"),"")</f>
        <v/>
      </c>
      <c r="C6682" s="11"/>
      <c r="D6682" s="11"/>
      <c r="E6682" s="11"/>
      <c r="F6682" s="11"/>
      <c r="G6682" s="11"/>
      <c r="H6682" s="11"/>
      <c r="I6682" s="15"/>
    </row>
    <row r="6683" spans="1:9" ht="16.5">
      <c r="A6683" s="10" t="b">
        <v>0</v>
      </c>
      <c r="B6683" s="11" t="str">
        <f>IF(D6683&lt;&gt;"",IF(COUNTIF('USPTO TMs'!A:A,D6683)&gt;0,"Yes","No"),"")</f>
        <v/>
      </c>
      <c r="C6683" s="11"/>
      <c r="D6683" s="11"/>
      <c r="E6683" s="11"/>
      <c r="F6683" s="11"/>
      <c r="G6683" s="11"/>
      <c r="H6683" s="11"/>
      <c r="I6683" s="15"/>
    </row>
    <row r="6684" spans="1:9" ht="16.5">
      <c r="A6684" s="10" t="b">
        <v>0</v>
      </c>
      <c r="B6684" s="11" t="str">
        <f>IF(D6684&lt;&gt;"",IF(COUNTIF('USPTO TMs'!A:A,D6684)&gt;0,"Yes","No"),"")</f>
        <v/>
      </c>
      <c r="C6684" s="11"/>
      <c r="D6684" s="11"/>
      <c r="E6684" s="11"/>
      <c r="F6684" s="11"/>
      <c r="G6684" s="11"/>
      <c r="H6684" s="11"/>
      <c r="I6684" s="15"/>
    </row>
    <row r="6685" spans="1:9" ht="16.5">
      <c r="A6685" s="10" t="b">
        <v>0</v>
      </c>
      <c r="B6685" s="11" t="str">
        <f>IF(D6685&lt;&gt;"",IF(COUNTIF('USPTO TMs'!A:A,D6685)&gt;0,"Yes","No"),"")</f>
        <v/>
      </c>
      <c r="C6685" s="11"/>
      <c r="D6685" s="11"/>
      <c r="E6685" s="11"/>
      <c r="F6685" s="11"/>
      <c r="G6685" s="11"/>
      <c r="H6685" s="11"/>
      <c r="I6685" s="15"/>
    </row>
    <row r="6686" spans="1:9" ht="16.5">
      <c r="A6686" s="10" t="b">
        <v>0</v>
      </c>
      <c r="B6686" s="11" t="str">
        <f>IF(D6686&lt;&gt;"",IF(COUNTIF('USPTO TMs'!A:A,D6686)&gt;0,"Yes","No"),"")</f>
        <v/>
      </c>
      <c r="C6686" s="11"/>
      <c r="D6686" s="11"/>
      <c r="E6686" s="11"/>
      <c r="F6686" s="11"/>
      <c r="G6686" s="11"/>
      <c r="H6686" s="11"/>
      <c r="I6686" s="15"/>
    </row>
    <row r="6687" spans="1:9" ht="16.5">
      <c r="A6687" s="10" t="b">
        <v>0</v>
      </c>
      <c r="B6687" s="11" t="str">
        <f>IF(D6687&lt;&gt;"",IF(COUNTIF('USPTO TMs'!A:A,D6687)&gt;0,"Yes","No"),"")</f>
        <v/>
      </c>
      <c r="C6687" s="11"/>
      <c r="D6687" s="11"/>
      <c r="E6687" s="11"/>
      <c r="F6687" s="11"/>
      <c r="G6687" s="11"/>
      <c r="H6687" s="11"/>
      <c r="I6687" s="15"/>
    </row>
    <row r="6688" spans="1:9" ht="16.5">
      <c r="A6688" s="10" t="b">
        <v>0</v>
      </c>
      <c r="B6688" s="11" t="str">
        <f>IF(D6688&lt;&gt;"",IF(COUNTIF('USPTO TMs'!A:A,D6688)&gt;0,"Yes","No"),"")</f>
        <v/>
      </c>
      <c r="C6688" s="11"/>
      <c r="D6688" s="11"/>
      <c r="E6688" s="11"/>
      <c r="F6688" s="11"/>
      <c r="G6688" s="11"/>
      <c r="H6688" s="11"/>
      <c r="I6688" s="15"/>
    </row>
    <row r="6689" spans="1:9" ht="16.5">
      <c r="A6689" s="10" t="b">
        <v>0</v>
      </c>
      <c r="B6689" s="11" t="str">
        <f>IF(D6689&lt;&gt;"",IF(COUNTIF('USPTO TMs'!A:A,D6689)&gt;0,"Yes","No"),"")</f>
        <v/>
      </c>
      <c r="C6689" s="11"/>
      <c r="D6689" s="11"/>
      <c r="E6689" s="11"/>
      <c r="F6689" s="11"/>
      <c r="G6689" s="11"/>
      <c r="H6689" s="11"/>
      <c r="I6689" s="15"/>
    </row>
    <row r="6690" spans="1:9" ht="16.5">
      <c r="A6690" s="10" t="b">
        <v>0</v>
      </c>
      <c r="B6690" s="11" t="str">
        <f>IF(D6690&lt;&gt;"",IF(COUNTIF('USPTO TMs'!A:A,D6690)&gt;0,"Yes","No"),"")</f>
        <v/>
      </c>
      <c r="C6690" s="11"/>
      <c r="D6690" s="11"/>
      <c r="E6690" s="11"/>
      <c r="F6690" s="11"/>
      <c r="G6690" s="11"/>
      <c r="H6690" s="11"/>
      <c r="I6690" s="15"/>
    </row>
    <row r="6691" spans="1:9" ht="16.5">
      <c r="A6691" s="10" t="b">
        <v>0</v>
      </c>
      <c r="B6691" s="11" t="str">
        <f>IF(D6691&lt;&gt;"",IF(COUNTIF('USPTO TMs'!A:A,D6691)&gt;0,"Yes","No"),"")</f>
        <v/>
      </c>
      <c r="C6691" s="11"/>
      <c r="D6691" s="11"/>
      <c r="E6691" s="11"/>
      <c r="F6691" s="11"/>
      <c r="G6691" s="11"/>
      <c r="H6691" s="11"/>
      <c r="I6691" s="15"/>
    </row>
    <row r="6692" spans="1:9" ht="16.5">
      <c r="A6692" s="10" t="b">
        <v>0</v>
      </c>
      <c r="B6692" s="11" t="str">
        <f>IF(D6692&lt;&gt;"",IF(COUNTIF('USPTO TMs'!A:A,D6692)&gt;0,"Yes","No"),"")</f>
        <v/>
      </c>
      <c r="C6692" s="11"/>
      <c r="D6692" s="11"/>
      <c r="E6692" s="11"/>
      <c r="F6692" s="11"/>
      <c r="G6692" s="11"/>
      <c r="H6692" s="11"/>
      <c r="I6692" s="15"/>
    </row>
    <row r="6693" spans="1:9" ht="16.5">
      <c r="A6693" s="10" t="b">
        <v>0</v>
      </c>
      <c r="B6693" s="11" t="str">
        <f>IF(D6693&lt;&gt;"",IF(COUNTIF('USPTO TMs'!A:A,D6693)&gt;0,"Yes","No"),"")</f>
        <v/>
      </c>
      <c r="C6693" s="11"/>
      <c r="D6693" s="11"/>
      <c r="E6693" s="11"/>
      <c r="F6693" s="11"/>
      <c r="G6693" s="11"/>
      <c r="H6693" s="11"/>
      <c r="I6693" s="15"/>
    </row>
    <row r="6694" spans="1:9" ht="16.5">
      <c r="A6694" s="10" t="b">
        <v>0</v>
      </c>
      <c r="B6694" s="11" t="str">
        <f>IF(D6694&lt;&gt;"",IF(COUNTIF('USPTO TMs'!A:A,D6694)&gt;0,"Yes","No"),"")</f>
        <v/>
      </c>
      <c r="C6694" s="11"/>
      <c r="D6694" s="11"/>
      <c r="E6694" s="11"/>
      <c r="F6694" s="11"/>
      <c r="G6694" s="11"/>
      <c r="H6694" s="11"/>
      <c r="I6694" s="15"/>
    </row>
    <row r="6695" spans="1:9" ht="16.5">
      <c r="A6695" s="10" t="b">
        <v>0</v>
      </c>
      <c r="B6695" s="11" t="str">
        <f>IF(D6695&lt;&gt;"",IF(COUNTIF('USPTO TMs'!A:A,D6695)&gt;0,"Yes","No"),"")</f>
        <v/>
      </c>
      <c r="C6695" s="11"/>
      <c r="D6695" s="11"/>
      <c r="E6695" s="11"/>
      <c r="F6695" s="11"/>
      <c r="G6695" s="11"/>
      <c r="H6695" s="11"/>
      <c r="I6695" s="15"/>
    </row>
    <row r="6696" spans="1:9" ht="16.5">
      <c r="A6696" s="10" t="b">
        <v>0</v>
      </c>
      <c r="B6696" s="11" t="str">
        <f>IF(D6696&lt;&gt;"",IF(COUNTIF('USPTO TMs'!A:A,D6696)&gt;0,"Yes","No"),"")</f>
        <v/>
      </c>
      <c r="C6696" s="11"/>
      <c r="D6696" s="11"/>
      <c r="E6696" s="11"/>
      <c r="F6696" s="11"/>
      <c r="G6696" s="11"/>
      <c r="H6696" s="11"/>
      <c r="I6696" s="15"/>
    </row>
    <row r="6697" spans="1:9" ht="16.5">
      <c r="A6697" s="10" t="b">
        <v>0</v>
      </c>
      <c r="B6697" s="11" t="str">
        <f>IF(D6697&lt;&gt;"",IF(COUNTIF('USPTO TMs'!A:A,D6697)&gt;0,"Yes","No"),"")</f>
        <v/>
      </c>
      <c r="C6697" s="11"/>
      <c r="D6697" s="11"/>
      <c r="E6697" s="11"/>
      <c r="F6697" s="11"/>
      <c r="G6697" s="11"/>
      <c r="H6697" s="11"/>
      <c r="I6697" s="15"/>
    </row>
    <row r="6698" spans="1:9" ht="16.5">
      <c r="A6698" s="10" t="b">
        <v>0</v>
      </c>
      <c r="B6698" s="11" t="str">
        <f>IF(D6698&lt;&gt;"",IF(COUNTIF('USPTO TMs'!A:A,D6698)&gt;0,"Yes","No"),"")</f>
        <v/>
      </c>
      <c r="C6698" s="11"/>
      <c r="D6698" s="11"/>
      <c r="E6698" s="11"/>
      <c r="F6698" s="11"/>
      <c r="G6698" s="11"/>
      <c r="H6698" s="11"/>
      <c r="I6698" s="15"/>
    </row>
    <row r="6699" spans="1:9" ht="16.5">
      <c r="A6699" s="10" t="b">
        <v>0</v>
      </c>
      <c r="B6699" s="11" t="str">
        <f>IF(D6699&lt;&gt;"",IF(COUNTIF('USPTO TMs'!A:A,D6699)&gt;0,"Yes","No"),"")</f>
        <v/>
      </c>
      <c r="C6699" s="11"/>
      <c r="D6699" s="11"/>
      <c r="E6699" s="11"/>
      <c r="F6699" s="11"/>
      <c r="G6699" s="11"/>
      <c r="H6699" s="11"/>
      <c r="I6699" s="15"/>
    </row>
    <row r="6700" spans="1:9" ht="16.5">
      <c r="A6700" s="10" t="b">
        <v>0</v>
      </c>
      <c r="B6700" s="11" t="str">
        <f>IF(D6700&lt;&gt;"",IF(COUNTIF('USPTO TMs'!A:A,D6700)&gt;0,"Yes","No"),"")</f>
        <v/>
      </c>
      <c r="C6700" s="11"/>
      <c r="D6700" s="11"/>
      <c r="E6700" s="11"/>
      <c r="F6700" s="11"/>
      <c r="G6700" s="11"/>
      <c r="H6700" s="11"/>
      <c r="I6700" s="15"/>
    </row>
    <row r="6701" spans="1:9" ht="16.5">
      <c r="A6701" s="10" t="b">
        <v>0</v>
      </c>
      <c r="B6701" s="11" t="str">
        <f>IF(D6701&lt;&gt;"",IF(COUNTIF('USPTO TMs'!A:A,D6701)&gt;0,"Yes","No"),"")</f>
        <v/>
      </c>
      <c r="C6701" s="11"/>
      <c r="D6701" s="11"/>
      <c r="E6701" s="11"/>
      <c r="F6701" s="11"/>
      <c r="G6701" s="11"/>
      <c r="H6701" s="11"/>
      <c r="I6701" s="15"/>
    </row>
    <row r="6702" spans="1:9" ht="16.5">
      <c r="A6702" s="10" t="b">
        <v>0</v>
      </c>
      <c r="B6702" s="11" t="str">
        <f>IF(D6702&lt;&gt;"",IF(COUNTIF('USPTO TMs'!A:A,D6702)&gt;0,"Yes","No"),"")</f>
        <v/>
      </c>
      <c r="C6702" s="11"/>
      <c r="D6702" s="11"/>
      <c r="E6702" s="11"/>
      <c r="F6702" s="11"/>
      <c r="G6702" s="11"/>
      <c r="H6702" s="11"/>
      <c r="I6702" s="15"/>
    </row>
    <row r="6703" spans="1:9" ht="16.5">
      <c r="A6703" s="10" t="b">
        <v>0</v>
      </c>
      <c r="B6703" s="11" t="str">
        <f>IF(D6703&lt;&gt;"",IF(COUNTIF('USPTO TMs'!A:A,D6703)&gt;0,"Yes","No"),"")</f>
        <v/>
      </c>
      <c r="C6703" s="11"/>
      <c r="D6703" s="11"/>
      <c r="E6703" s="11"/>
      <c r="F6703" s="11"/>
      <c r="G6703" s="11"/>
      <c r="H6703" s="11"/>
      <c r="I6703" s="15"/>
    </row>
    <row r="6704" spans="1:9" ht="16.5">
      <c r="A6704" s="10" t="b">
        <v>0</v>
      </c>
      <c r="B6704" s="11" t="str">
        <f>IF(D6704&lt;&gt;"",IF(COUNTIF('USPTO TMs'!A:A,D6704)&gt;0,"Yes","No"),"")</f>
        <v/>
      </c>
      <c r="C6704" s="11"/>
      <c r="D6704" s="11"/>
      <c r="E6704" s="11"/>
      <c r="F6704" s="11"/>
      <c r="G6704" s="11"/>
      <c r="H6704" s="11"/>
      <c r="I6704" s="15"/>
    </row>
    <row r="6705" spans="1:9" ht="16.5">
      <c r="A6705" s="10" t="b">
        <v>0</v>
      </c>
      <c r="B6705" s="11" t="str">
        <f>IF(D6705&lt;&gt;"",IF(COUNTIF('USPTO TMs'!A:A,D6705)&gt;0,"Yes","No"),"")</f>
        <v/>
      </c>
      <c r="C6705" s="11"/>
      <c r="D6705" s="11"/>
      <c r="E6705" s="11"/>
      <c r="F6705" s="11"/>
      <c r="G6705" s="11"/>
      <c r="H6705" s="11"/>
      <c r="I6705" s="15"/>
    </row>
    <row r="6706" spans="1:9" ht="16.5">
      <c r="A6706" s="10" t="b">
        <v>0</v>
      </c>
      <c r="B6706" s="11" t="str">
        <f>IF(D6706&lt;&gt;"",IF(COUNTIF('USPTO TMs'!A:A,D6706)&gt;0,"Yes","No"),"")</f>
        <v/>
      </c>
      <c r="C6706" s="11"/>
      <c r="D6706" s="11"/>
      <c r="E6706" s="11"/>
      <c r="F6706" s="11"/>
      <c r="G6706" s="11"/>
      <c r="H6706" s="11"/>
      <c r="I6706" s="15"/>
    </row>
    <row r="6707" spans="1:9" ht="16.5">
      <c r="A6707" s="10" t="b">
        <v>0</v>
      </c>
      <c r="B6707" s="11" t="str">
        <f>IF(D6707&lt;&gt;"",IF(COUNTIF('USPTO TMs'!A:A,D6707)&gt;0,"Yes","No"),"")</f>
        <v/>
      </c>
      <c r="C6707" s="11"/>
      <c r="D6707" s="11"/>
      <c r="E6707" s="11"/>
      <c r="F6707" s="11"/>
      <c r="G6707" s="11"/>
      <c r="H6707" s="11"/>
      <c r="I6707" s="15"/>
    </row>
    <row r="6708" spans="1:9" ht="16.5">
      <c r="A6708" s="10" t="b">
        <v>0</v>
      </c>
      <c r="B6708" s="11" t="str">
        <f>IF(D6708&lt;&gt;"",IF(COUNTIF('USPTO TMs'!A:A,D6708)&gt;0,"Yes","No"),"")</f>
        <v/>
      </c>
      <c r="C6708" s="11"/>
      <c r="D6708" s="11"/>
      <c r="E6708" s="11"/>
      <c r="F6708" s="11"/>
      <c r="G6708" s="11"/>
      <c r="H6708" s="11"/>
      <c r="I6708" s="15"/>
    </row>
    <row r="6709" spans="1:9" ht="16.5">
      <c r="A6709" s="10" t="b">
        <v>0</v>
      </c>
      <c r="B6709" s="11" t="str">
        <f>IF(D6709&lt;&gt;"",IF(COUNTIF('USPTO TMs'!A:A,D6709)&gt;0,"Yes","No"),"")</f>
        <v/>
      </c>
      <c r="C6709" s="11"/>
      <c r="D6709" s="11"/>
      <c r="E6709" s="11"/>
      <c r="F6709" s="11"/>
      <c r="G6709" s="11"/>
      <c r="H6709" s="11"/>
      <c r="I6709" s="15"/>
    </row>
    <row r="6710" spans="1:9" ht="16.5">
      <c r="A6710" s="10" t="b">
        <v>0</v>
      </c>
      <c r="B6710" s="11" t="str">
        <f>IF(D6710&lt;&gt;"",IF(COUNTIF('USPTO TMs'!A:A,D6710)&gt;0,"Yes","No"),"")</f>
        <v/>
      </c>
      <c r="C6710" s="11"/>
      <c r="D6710" s="11"/>
      <c r="E6710" s="11"/>
      <c r="F6710" s="11"/>
      <c r="G6710" s="11"/>
      <c r="H6710" s="11"/>
      <c r="I6710" s="15"/>
    </row>
    <row r="6711" spans="1:9" ht="16.5">
      <c r="A6711" s="10" t="b">
        <v>0</v>
      </c>
      <c r="B6711" s="11" t="str">
        <f>IF(D6711&lt;&gt;"",IF(COUNTIF('USPTO TMs'!A:A,D6711)&gt;0,"Yes","No"),"")</f>
        <v/>
      </c>
      <c r="C6711" s="11"/>
      <c r="D6711" s="11"/>
      <c r="E6711" s="11"/>
      <c r="F6711" s="11"/>
      <c r="G6711" s="11"/>
      <c r="H6711" s="11"/>
      <c r="I6711" s="15"/>
    </row>
    <row r="6712" spans="1:9" ht="16.5">
      <c r="A6712" s="10" t="b">
        <v>0</v>
      </c>
      <c r="B6712" s="11" t="str">
        <f>IF(D6712&lt;&gt;"",IF(COUNTIF('USPTO TMs'!A:A,D6712)&gt;0,"Yes","No"),"")</f>
        <v/>
      </c>
      <c r="C6712" s="11"/>
      <c r="D6712" s="11"/>
      <c r="E6712" s="11"/>
      <c r="F6712" s="11"/>
      <c r="G6712" s="11"/>
      <c r="H6712" s="11"/>
      <c r="I6712" s="15"/>
    </row>
    <row r="6713" spans="1:9" ht="16.5">
      <c r="A6713" s="10" t="b">
        <v>0</v>
      </c>
      <c r="B6713" s="11" t="str">
        <f>IF(D6713&lt;&gt;"",IF(COUNTIF('USPTO TMs'!A:A,D6713)&gt;0,"Yes","No"),"")</f>
        <v/>
      </c>
      <c r="C6713" s="11"/>
      <c r="D6713" s="11"/>
      <c r="E6713" s="11"/>
      <c r="F6713" s="11"/>
      <c r="G6713" s="11"/>
      <c r="H6713" s="11"/>
      <c r="I6713" s="15"/>
    </row>
    <row r="6714" spans="1:9" ht="16.5">
      <c r="A6714" s="10" t="b">
        <v>0</v>
      </c>
      <c r="B6714" s="11" t="str">
        <f>IF(D6714&lt;&gt;"",IF(COUNTIF('USPTO TMs'!A:A,D6714)&gt;0,"Yes","No"),"")</f>
        <v/>
      </c>
      <c r="C6714" s="11"/>
      <c r="D6714" s="11"/>
      <c r="E6714" s="11"/>
      <c r="F6714" s="11"/>
      <c r="G6714" s="11"/>
      <c r="H6714" s="11"/>
      <c r="I6714" s="15"/>
    </row>
    <row r="6715" spans="1:9" ht="16.5">
      <c r="A6715" s="10" t="b">
        <v>0</v>
      </c>
      <c r="B6715" s="11" t="str">
        <f>IF(D6715&lt;&gt;"",IF(COUNTIF('USPTO TMs'!A:A,D6715)&gt;0,"Yes","No"),"")</f>
        <v/>
      </c>
      <c r="C6715" s="11"/>
      <c r="D6715" s="11"/>
      <c r="E6715" s="11"/>
      <c r="F6715" s="11"/>
      <c r="G6715" s="11"/>
      <c r="H6715" s="11"/>
      <c r="I6715" s="15"/>
    </row>
    <row r="6716" spans="1:9" ht="16.5">
      <c r="A6716" s="10" t="b">
        <v>0</v>
      </c>
      <c r="B6716" s="11" t="str">
        <f>IF(D6716&lt;&gt;"",IF(COUNTIF('USPTO TMs'!A:A,D6716)&gt;0,"Yes","No"),"")</f>
        <v/>
      </c>
      <c r="C6716" s="11"/>
      <c r="D6716" s="11"/>
      <c r="E6716" s="11"/>
      <c r="F6716" s="11"/>
      <c r="G6716" s="11"/>
      <c r="H6716" s="11"/>
      <c r="I6716" s="15"/>
    </row>
    <row r="6717" spans="1:9" ht="16.5">
      <c r="A6717" s="10" t="b">
        <v>0</v>
      </c>
      <c r="B6717" s="11" t="str">
        <f>IF(D6717&lt;&gt;"",IF(COUNTIF('USPTO TMs'!A:A,D6717)&gt;0,"Yes","No"),"")</f>
        <v/>
      </c>
      <c r="C6717" s="11"/>
      <c r="D6717" s="11"/>
      <c r="E6717" s="11"/>
      <c r="F6717" s="11"/>
      <c r="G6717" s="11"/>
      <c r="H6717" s="11"/>
      <c r="I6717" s="15"/>
    </row>
    <row r="6718" spans="1:9" ht="16.5">
      <c r="A6718" s="10" t="b">
        <v>0</v>
      </c>
      <c r="B6718" s="11" t="str">
        <f>IF(D6718&lt;&gt;"",IF(COUNTIF('USPTO TMs'!A:A,D6718)&gt;0,"Yes","No"),"")</f>
        <v/>
      </c>
      <c r="C6718" s="11"/>
      <c r="D6718" s="11"/>
      <c r="E6718" s="11"/>
      <c r="F6718" s="11"/>
      <c r="G6718" s="11"/>
      <c r="H6718" s="11"/>
      <c r="I6718" s="15"/>
    </row>
    <row r="6719" spans="1:9" ht="16.5">
      <c r="A6719" s="10" t="b">
        <v>0</v>
      </c>
      <c r="B6719" s="11" t="str">
        <f>IF(D6719&lt;&gt;"",IF(COUNTIF('USPTO TMs'!A:A,D6719)&gt;0,"Yes","No"),"")</f>
        <v/>
      </c>
      <c r="C6719" s="11"/>
      <c r="D6719" s="11"/>
      <c r="E6719" s="11"/>
      <c r="F6719" s="11"/>
      <c r="G6719" s="11"/>
      <c r="H6719" s="11"/>
      <c r="I6719" s="15"/>
    </row>
    <row r="6720" spans="1:9" ht="16.5">
      <c r="A6720" s="10" t="b">
        <v>0</v>
      </c>
      <c r="B6720" s="11" t="str">
        <f>IF(D6720&lt;&gt;"",IF(COUNTIF('USPTO TMs'!A:A,D6720)&gt;0,"Yes","No"),"")</f>
        <v/>
      </c>
      <c r="C6720" s="11"/>
      <c r="D6720" s="11"/>
      <c r="E6720" s="11"/>
      <c r="F6720" s="11"/>
      <c r="G6720" s="11"/>
      <c r="H6720" s="11"/>
      <c r="I6720" s="15"/>
    </row>
    <row r="6721" spans="1:9" ht="16.5">
      <c r="A6721" s="10" t="b">
        <v>0</v>
      </c>
      <c r="B6721" s="11" t="str">
        <f>IF(D6721&lt;&gt;"",IF(COUNTIF('USPTO TMs'!A:A,D6721)&gt;0,"Yes","No"),"")</f>
        <v/>
      </c>
      <c r="C6721" s="11"/>
      <c r="D6721" s="11"/>
      <c r="E6721" s="11"/>
      <c r="F6721" s="11"/>
      <c r="G6721" s="11"/>
      <c r="H6721" s="11"/>
      <c r="I6721" s="15"/>
    </row>
    <row r="6722" spans="1:9" ht="16.5">
      <c r="A6722" s="10" t="b">
        <v>0</v>
      </c>
      <c r="B6722" s="11" t="str">
        <f>IF(D6722&lt;&gt;"",IF(COUNTIF('USPTO TMs'!A:A,D6722)&gt;0,"Yes","No"),"")</f>
        <v/>
      </c>
      <c r="C6722" s="11"/>
      <c r="D6722" s="11"/>
      <c r="E6722" s="11"/>
      <c r="F6722" s="11"/>
      <c r="G6722" s="11"/>
      <c r="H6722" s="11"/>
      <c r="I6722" s="15"/>
    </row>
    <row r="6723" spans="1:9" ht="16.5">
      <c r="A6723" s="10" t="b">
        <v>0</v>
      </c>
      <c r="B6723" s="11" t="str">
        <f>IF(D6723&lt;&gt;"",IF(COUNTIF('USPTO TMs'!A:A,D6723)&gt;0,"Yes","No"),"")</f>
        <v/>
      </c>
      <c r="C6723" s="11"/>
      <c r="D6723" s="11"/>
      <c r="E6723" s="11"/>
      <c r="F6723" s="11"/>
      <c r="G6723" s="11"/>
      <c r="H6723" s="11"/>
      <c r="I6723" s="15"/>
    </row>
    <row r="6724" spans="1:9" ht="16.5">
      <c r="A6724" s="10" t="b">
        <v>0</v>
      </c>
      <c r="B6724" s="11" t="str">
        <f>IF(D6724&lt;&gt;"",IF(COUNTIF('USPTO TMs'!A:A,D6724)&gt;0,"Yes","No"),"")</f>
        <v/>
      </c>
      <c r="C6724" s="11"/>
      <c r="D6724" s="11"/>
      <c r="E6724" s="11"/>
      <c r="F6724" s="11"/>
      <c r="G6724" s="11"/>
      <c r="H6724" s="11"/>
      <c r="I6724" s="15"/>
    </row>
    <row r="6725" spans="1:9" ht="16.5">
      <c r="A6725" s="10" t="b">
        <v>0</v>
      </c>
      <c r="B6725" s="11" t="str">
        <f>IF(D6725&lt;&gt;"",IF(COUNTIF('USPTO TMs'!A:A,D6725)&gt;0,"Yes","No"),"")</f>
        <v/>
      </c>
      <c r="C6725" s="11"/>
      <c r="D6725" s="11"/>
      <c r="E6725" s="11"/>
      <c r="F6725" s="11"/>
      <c r="G6725" s="11"/>
      <c r="H6725" s="11"/>
      <c r="I6725" s="15"/>
    </row>
    <row r="6726" spans="1:9" ht="16.5">
      <c r="A6726" s="10" t="b">
        <v>0</v>
      </c>
      <c r="B6726" s="11" t="str">
        <f>IF(D6726&lt;&gt;"",IF(COUNTIF('USPTO TMs'!A:A,D6726)&gt;0,"Yes","No"),"")</f>
        <v/>
      </c>
      <c r="C6726" s="11"/>
      <c r="D6726" s="11"/>
      <c r="E6726" s="11"/>
      <c r="F6726" s="11"/>
      <c r="G6726" s="11"/>
      <c r="H6726" s="11"/>
      <c r="I6726" s="15"/>
    </row>
    <row r="6727" spans="1:9" ht="16.5">
      <c r="A6727" s="10" t="b">
        <v>0</v>
      </c>
      <c r="B6727" s="11" t="str">
        <f>IF(D6727&lt;&gt;"",IF(COUNTIF('USPTO TMs'!A:A,D6727)&gt;0,"Yes","No"),"")</f>
        <v/>
      </c>
      <c r="C6727" s="11"/>
      <c r="D6727" s="11"/>
      <c r="E6727" s="11"/>
      <c r="F6727" s="11"/>
      <c r="G6727" s="11"/>
      <c r="H6727" s="11"/>
      <c r="I6727" s="15"/>
    </row>
    <row r="6728" spans="1:9" ht="16.5">
      <c r="A6728" s="10" t="b">
        <v>0</v>
      </c>
      <c r="B6728" s="11" t="str">
        <f>IF(D6728&lt;&gt;"",IF(COUNTIF('USPTO TMs'!A:A,D6728)&gt;0,"Yes","No"),"")</f>
        <v/>
      </c>
      <c r="C6728" s="11"/>
      <c r="D6728" s="11"/>
      <c r="E6728" s="11"/>
      <c r="F6728" s="11"/>
      <c r="G6728" s="11"/>
      <c r="H6728" s="11"/>
      <c r="I6728" s="15"/>
    </row>
    <row r="6729" spans="1:9" ht="16.5">
      <c r="A6729" s="10" t="b">
        <v>0</v>
      </c>
      <c r="B6729" s="11" t="str">
        <f>IF(D6729&lt;&gt;"",IF(COUNTIF('USPTO TMs'!A:A,D6729)&gt;0,"Yes","No"),"")</f>
        <v/>
      </c>
      <c r="C6729" s="11"/>
      <c r="D6729" s="11"/>
      <c r="E6729" s="11"/>
      <c r="F6729" s="11"/>
      <c r="G6729" s="11"/>
      <c r="H6729" s="11"/>
      <c r="I6729" s="15"/>
    </row>
    <row r="6730" spans="1:9" ht="16.5">
      <c r="A6730" s="10" t="b">
        <v>0</v>
      </c>
      <c r="B6730" s="11" t="str">
        <f>IF(D6730&lt;&gt;"",IF(COUNTIF('USPTO TMs'!A:A,D6730)&gt;0,"Yes","No"),"")</f>
        <v/>
      </c>
      <c r="C6730" s="11"/>
      <c r="D6730" s="11"/>
      <c r="E6730" s="11"/>
      <c r="F6730" s="11"/>
      <c r="G6730" s="11"/>
      <c r="H6730" s="11"/>
      <c r="I6730" s="15"/>
    </row>
    <row r="6731" spans="1:9" ht="16.5">
      <c r="A6731" s="10" t="b">
        <v>0</v>
      </c>
      <c r="B6731" s="11" t="str">
        <f>IF(D6731&lt;&gt;"",IF(COUNTIF('USPTO TMs'!A:A,D6731)&gt;0,"Yes","No"),"")</f>
        <v/>
      </c>
      <c r="C6731" s="11"/>
      <c r="D6731" s="11"/>
      <c r="E6731" s="11"/>
      <c r="F6731" s="11"/>
      <c r="G6731" s="11"/>
      <c r="H6731" s="11"/>
      <c r="I6731" s="15"/>
    </row>
    <row r="6732" spans="1:9" ht="16.5">
      <c r="A6732" s="10" t="b">
        <v>0</v>
      </c>
      <c r="B6732" s="11" t="str">
        <f>IF(D6732&lt;&gt;"",IF(COUNTIF('USPTO TMs'!A:A,D6732)&gt;0,"Yes","No"),"")</f>
        <v/>
      </c>
      <c r="C6732" s="11"/>
      <c r="D6732" s="11"/>
      <c r="E6732" s="11"/>
      <c r="F6732" s="11"/>
      <c r="G6732" s="11"/>
      <c r="H6732" s="11"/>
      <c r="I6732" s="15"/>
    </row>
    <row r="6733" spans="1:9" ht="16.5">
      <c r="A6733" s="10" t="b">
        <v>0</v>
      </c>
      <c r="B6733" s="11" t="str">
        <f>IF(D6733&lt;&gt;"",IF(COUNTIF('USPTO TMs'!A:A,D6733)&gt;0,"Yes","No"),"")</f>
        <v/>
      </c>
      <c r="C6733" s="11"/>
      <c r="D6733" s="11"/>
      <c r="E6733" s="11"/>
      <c r="F6733" s="11"/>
      <c r="G6733" s="11"/>
      <c r="H6733" s="11"/>
      <c r="I6733" s="15"/>
    </row>
    <row r="6734" spans="1:9" ht="16.5">
      <c r="A6734" s="10" t="b">
        <v>0</v>
      </c>
      <c r="B6734" s="11" t="str">
        <f>IF(D6734&lt;&gt;"",IF(COUNTIF('USPTO TMs'!A:A,D6734)&gt;0,"Yes","No"),"")</f>
        <v/>
      </c>
      <c r="C6734" s="11"/>
      <c r="D6734" s="11"/>
      <c r="E6734" s="11"/>
      <c r="F6734" s="11"/>
      <c r="G6734" s="11"/>
      <c r="H6734" s="11"/>
      <c r="I6734" s="15"/>
    </row>
    <row r="6735" spans="1:9" ht="16.5">
      <c r="A6735" s="10" t="b">
        <v>0</v>
      </c>
      <c r="B6735" s="11" t="str">
        <f>IF(D6735&lt;&gt;"",IF(COUNTIF('USPTO TMs'!A:A,D6735)&gt;0,"Yes","No"),"")</f>
        <v/>
      </c>
      <c r="C6735" s="11"/>
      <c r="D6735" s="11"/>
      <c r="E6735" s="11"/>
      <c r="F6735" s="11"/>
      <c r="G6735" s="11"/>
      <c r="H6735" s="11"/>
      <c r="I6735" s="15"/>
    </row>
    <row r="6736" spans="1:9" ht="16.5">
      <c r="A6736" s="10" t="b">
        <v>0</v>
      </c>
      <c r="B6736" s="11" t="str">
        <f>IF(D6736&lt;&gt;"",IF(COUNTIF('USPTO TMs'!A:A,D6736)&gt;0,"Yes","No"),"")</f>
        <v/>
      </c>
      <c r="C6736" s="11"/>
      <c r="D6736" s="11"/>
      <c r="E6736" s="11"/>
      <c r="F6736" s="11"/>
      <c r="G6736" s="11"/>
      <c r="H6736" s="11"/>
      <c r="I6736" s="15"/>
    </row>
    <row r="6737" spans="1:9" ht="16.5">
      <c r="A6737" s="10" t="b">
        <v>0</v>
      </c>
      <c r="B6737" s="11" t="str">
        <f>IF(D6737&lt;&gt;"",IF(COUNTIF('USPTO TMs'!A:A,D6737)&gt;0,"Yes","No"),"")</f>
        <v/>
      </c>
      <c r="C6737" s="11"/>
      <c r="D6737" s="11"/>
      <c r="E6737" s="11"/>
      <c r="F6737" s="11"/>
      <c r="G6737" s="11"/>
      <c r="H6737" s="11"/>
      <c r="I6737" s="15"/>
    </row>
    <row r="6738" spans="1:9" ht="16.5">
      <c r="A6738" s="10" t="b">
        <v>0</v>
      </c>
      <c r="B6738" s="11" t="str">
        <f>IF(D6738&lt;&gt;"",IF(COUNTIF('USPTO TMs'!A:A,D6738)&gt;0,"Yes","No"),"")</f>
        <v/>
      </c>
      <c r="C6738" s="11"/>
      <c r="D6738" s="11"/>
      <c r="E6738" s="11"/>
      <c r="F6738" s="11"/>
      <c r="G6738" s="11"/>
      <c r="H6738" s="11"/>
      <c r="I6738" s="15"/>
    </row>
    <row r="6739" spans="1:9" ht="16.5">
      <c r="A6739" s="10" t="b">
        <v>0</v>
      </c>
      <c r="B6739" s="11" t="str">
        <f>IF(D6739&lt;&gt;"",IF(COUNTIF('USPTO TMs'!A:A,D6739)&gt;0,"Yes","No"),"")</f>
        <v/>
      </c>
      <c r="C6739" s="11"/>
      <c r="D6739" s="11"/>
      <c r="E6739" s="11"/>
      <c r="F6739" s="11"/>
      <c r="G6739" s="11"/>
      <c r="H6739" s="11"/>
      <c r="I6739" s="15"/>
    </row>
    <row r="6740" spans="1:9" ht="16.5">
      <c r="A6740" s="10" t="b">
        <v>0</v>
      </c>
      <c r="B6740" s="11" t="str">
        <f>IF(D6740&lt;&gt;"",IF(COUNTIF('USPTO TMs'!A:A,D6740)&gt;0,"Yes","No"),"")</f>
        <v/>
      </c>
      <c r="C6740" s="11"/>
      <c r="D6740" s="11"/>
      <c r="E6740" s="11"/>
      <c r="F6740" s="11"/>
      <c r="G6740" s="11"/>
      <c r="H6740" s="11"/>
      <c r="I6740" s="15"/>
    </row>
    <row r="6741" spans="1:9" ht="16.5">
      <c r="A6741" s="10" t="b">
        <v>0</v>
      </c>
      <c r="B6741" s="11" t="str">
        <f>IF(D6741&lt;&gt;"",IF(COUNTIF('USPTO TMs'!A:A,D6741)&gt;0,"Yes","No"),"")</f>
        <v/>
      </c>
      <c r="C6741" s="11"/>
      <c r="D6741" s="11"/>
      <c r="E6741" s="11"/>
      <c r="F6741" s="11"/>
      <c r="G6741" s="11"/>
      <c r="H6741" s="11"/>
      <c r="I6741" s="15"/>
    </row>
    <row r="6742" spans="1:9" ht="16.5">
      <c r="A6742" s="10" t="b">
        <v>0</v>
      </c>
      <c r="B6742" s="11" t="str">
        <f>IF(D6742&lt;&gt;"",IF(COUNTIF('USPTO TMs'!A:A,D6742)&gt;0,"Yes","No"),"")</f>
        <v/>
      </c>
      <c r="C6742" s="11"/>
      <c r="D6742" s="11"/>
      <c r="E6742" s="11"/>
      <c r="F6742" s="11"/>
      <c r="G6742" s="11"/>
      <c r="H6742" s="11"/>
      <c r="I6742" s="15"/>
    </row>
    <row r="6743" spans="1:9" ht="16.5">
      <c r="A6743" s="10" t="b">
        <v>0</v>
      </c>
      <c r="B6743" s="11" t="str">
        <f>IF(D6743&lt;&gt;"",IF(COUNTIF('USPTO TMs'!A:A,D6743)&gt;0,"Yes","No"),"")</f>
        <v/>
      </c>
      <c r="C6743" s="11"/>
      <c r="D6743" s="11"/>
      <c r="E6743" s="11"/>
      <c r="F6743" s="11"/>
      <c r="G6743" s="11"/>
      <c r="H6743" s="11"/>
      <c r="I6743" s="15"/>
    </row>
    <row r="6744" spans="1:9" ht="16.5">
      <c r="A6744" s="10" t="b">
        <v>0</v>
      </c>
      <c r="B6744" s="11" t="str">
        <f>IF(D6744&lt;&gt;"",IF(COUNTIF('USPTO TMs'!A:A,D6744)&gt;0,"Yes","No"),"")</f>
        <v/>
      </c>
      <c r="C6744" s="11"/>
      <c r="D6744" s="11"/>
      <c r="E6744" s="11"/>
      <c r="F6744" s="11"/>
      <c r="G6744" s="11"/>
      <c r="H6744" s="11"/>
      <c r="I6744" s="15"/>
    </row>
    <row r="6745" spans="1:9" ht="16.5">
      <c r="A6745" s="10" t="b">
        <v>0</v>
      </c>
      <c r="B6745" s="11" t="str">
        <f>IF(D6745&lt;&gt;"",IF(COUNTIF('USPTO TMs'!A:A,D6745)&gt;0,"Yes","No"),"")</f>
        <v/>
      </c>
      <c r="C6745" s="11"/>
      <c r="D6745" s="11"/>
      <c r="E6745" s="11"/>
      <c r="F6745" s="11"/>
      <c r="G6745" s="11"/>
      <c r="H6745" s="11"/>
      <c r="I6745" s="15"/>
    </row>
    <row r="6746" spans="1:9" ht="16.5">
      <c r="A6746" s="10" t="b">
        <v>0</v>
      </c>
      <c r="B6746" s="11" t="str">
        <f>IF(D6746&lt;&gt;"",IF(COUNTIF('USPTO TMs'!A:A,D6746)&gt;0,"Yes","No"),"")</f>
        <v/>
      </c>
      <c r="C6746" s="11"/>
      <c r="D6746" s="11"/>
      <c r="E6746" s="11"/>
      <c r="F6746" s="11"/>
      <c r="G6746" s="11"/>
      <c r="H6746" s="11"/>
      <c r="I6746" s="15"/>
    </row>
    <row r="6747" spans="1:9" ht="16.5">
      <c r="A6747" s="10" t="b">
        <v>0</v>
      </c>
      <c r="B6747" s="11" t="str">
        <f>IF(D6747&lt;&gt;"",IF(COUNTIF('USPTO TMs'!A:A,D6747)&gt;0,"Yes","No"),"")</f>
        <v/>
      </c>
      <c r="C6747" s="11"/>
      <c r="D6747" s="11"/>
      <c r="E6747" s="11"/>
      <c r="F6747" s="11"/>
      <c r="G6747" s="11"/>
      <c r="H6747" s="11"/>
      <c r="I6747" s="15"/>
    </row>
    <row r="6748" spans="1:9" ht="16.5">
      <c r="A6748" s="10" t="b">
        <v>0</v>
      </c>
      <c r="B6748" s="11" t="str">
        <f>IF(D6748&lt;&gt;"",IF(COUNTIF('USPTO TMs'!A:A,D6748)&gt;0,"Yes","No"),"")</f>
        <v/>
      </c>
      <c r="C6748" s="11"/>
      <c r="D6748" s="11"/>
      <c r="E6748" s="11"/>
      <c r="F6748" s="11"/>
      <c r="G6748" s="11"/>
      <c r="H6748" s="11"/>
      <c r="I6748" s="15"/>
    </row>
    <row r="6749" spans="1:9" ht="16.5">
      <c r="A6749" s="10" t="b">
        <v>0</v>
      </c>
      <c r="B6749" s="11" t="str">
        <f>IF(D6749&lt;&gt;"",IF(COUNTIF('USPTO TMs'!A:A,D6749)&gt;0,"Yes","No"),"")</f>
        <v/>
      </c>
      <c r="C6749" s="11"/>
      <c r="D6749" s="11"/>
      <c r="E6749" s="11"/>
      <c r="F6749" s="11"/>
      <c r="G6749" s="11"/>
      <c r="H6749" s="11"/>
      <c r="I6749" s="15"/>
    </row>
    <row r="6750" spans="1:9" ht="16.5">
      <c r="A6750" s="10" t="b">
        <v>0</v>
      </c>
      <c r="B6750" s="11" t="str">
        <f>IF(D6750&lt;&gt;"",IF(COUNTIF('USPTO TMs'!A:A,D6750)&gt;0,"Yes","No"),"")</f>
        <v/>
      </c>
      <c r="C6750" s="11"/>
      <c r="D6750" s="11"/>
      <c r="E6750" s="11"/>
      <c r="F6750" s="11"/>
      <c r="G6750" s="11"/>
      <c r="H6750" s="11"/>
      <c r="I6750" s="15"/>
    </row>
    <row r="6751" spans="1:9" ht="16.5">
      <c r="A6751" s="10" t="b">
        <v>0</v>
      </c>
      <c r="B6751" s="11" t="str">
        <f>IF(D6751&lt;&gt;"",IF(COUNTIF('USPTO TMs'!A:A,D6751)&gt;0,"Yes","No"),"")</f>
        <v/>
      </c>
      <c r="C6751" s="11"/>
      <c r="D6751" s="11"/>
      <c r="E6751" s="11"/>
      <c r="F6751" s="11"/>
      <c r="G6751" s="11"/>
      <c r="H6751" s="11"/>
      <c r="I6751" s="15"/>
    </row>
    <row r="6752" spans="1:9" ht="16.5">
      <c r="A6752" s="10" t="b">
        <v>0</v>
      </c>
      <c r="B6752" s="11" t="str">
        <f>IF(D6752&lt;&gt;"",IF(COUNTIF('USPTO TMs'!A:A,D6752)&gt;0,"Yes","No"),"")</f>
        <v/>
      </c>
      <c r="C6752" s="11"/>
      <c r="D6752" s="11"/>
      <c r="E6752" s="11"/>
      <c r="F6752" s="11"/>
      <c r="G6752" s="11"/>
      <c r="H6752" s="11"/>
      <c r="I6752" s="15"/>
    </row>
    <row r="6753" spans="1:9" ht="16.5">
      <c r="A6753" s="10" t="b">
        <v>0</v>
      </c>
      <c r="B6753" s="11" t="str">
        <f>IF(D6753&lt;&gt;"",IF(COUNTIF('USPTO TMs'!A:A,D6753)&gt;0,"Yes","No"),"")</f>
        <v/>
      </c>
      <c r="C6753" s="11"/>
      <c r="D6753" s="11"/>
      <c r="E6753" s="11"/>
      <c r="F6753" s="11"/>
      <c r="G6753" s="11"/>
      <c r="H6753" s="11"/>
      <c r="I6753" s="15"/>
    </row>
    <row r="6754" spans="1:9" ht="16.5">
      <c r="A6754" s="10" t="b">
        <v>0</v>
      </c>
      <c r="B6754" s="11" t="str">
        <f>IF(D6754&lt;&gt;"",IF(COUNTIF('USPTO TMs'!A:A,D6754)&gt;0,"Yes","No"),"")</f>
        <v/>
      </c>
      <c r="C6754" s="11"/>
      <c r="D6754" s="11"/>
      <c r="E6754" s="11"/>
      <c r="F6754" s="11"/>
      <c r="G6754" s="11"/>
      <c r="H6754" s="11"/>
      <c r="I6754" s="15"/>
    </row>
    <row r="6755" spans="1:9" ht="16.5">
      <c r="A6755" s="10" t="b">
        <v>0</v>
      </c>
      <c r="B6755" s="11" t="str">
        <f>IF(D6755&lt;&gt;"",IF(COUNTIF('USPTO TMs'!A:A,D6755)&gt;0,"Yes","No"),"")</f>
        <v/>
      </c>
      <c r="C6755" s="11"/>
      <c r="D6755" s="11"/>
      <c r="E6755" s="11"/>
      <c r="F6755" s="11"/>
      <c r="G6755" s="11"/>
      <c r="H6755" s="11"/>
      <c r="I6755" s="15"/>
    </row>
    <row r="6756" spans="1:9" ht="16.5">
      <c r="A6756" s="10" t="b">
        <v>0</v>
      </c>
      <c r="B6756" s="11" t="str">
        <f>IF(D6756&lt;&gt;"",IF(COUNTIF('USPTO TMs'!A:A,D6756)&gt;0,"Yes","No"),"")</f>
        <v/>
      </c>
      <c r="C6756" s="11"/>
      <c r="D6756" s="11"/>
      <c r="E6756" s="11"/>
      <c r="F6756" s="11"/>
      <c r="G6756" s="11"/>
      <c r="H6756" s="11"/>
      <c r="I6756" s="15"/>
    </row>
    <row r="6757" spans="1:9" ht="16.5">
      <c r="A6757" s="10" t="b">
        <v>0</v>
      </c>
      <c r="B6757" s="11" t="str">
        <f>IF(D6757&lt;&gt;"",IF(COUNTIF('USPTO TMs'!A:A,D6757)&gt;0,"Yes","No"),"")</f>
        <v/>
      </c>
      <c r="C6757" s="11"/>
      <c r="D6757" s="11"/>
      <c r="E6757" s="11"/>
      <c r="F6757" s="11"/>
      <c r="G6757" s="11"/>
      <c r="H6757" s="11"/>
      <c r="I6757" s="15"/>
    </row>
    <row r="6758" spans="1:9" ht="16.5">
      <c r="A6758" s="10" t="b">
        <v>0</v>
      </c>
      <c r="B6758" s="11" t="str">
        <f>IF(D6758&lt;&gt;"",IF(COUNTIF('USPTO TMs'!A:A,D6758)&gt;0,"Yes","No"),"")</f>
        <v/>
      </c>
      <c r="C6758" s="11"/>
      <c r="D6758" s="11"/>
      <c r="E6758" s="11"/>
      <c r="F6758" s="11"/>
      <c r="G6758" s="11"/>
      <c r="H6758" s="11"/>
      <c r="I6758" s="15"/>
    </row>
    <row r="6759" spans="1:9" ht="16.5">
      <c r="A6759" s="10" t="b">
        <v>0</v>
      </c>
      <c r="B6759" s="11" t="str">
        <f>IF(D6759&lt;&gt;"",IF(COUNTIF('USPTO TMs'!A:A,D6759)&gt;0,"Yes","No"),"")</f>
        <v/>
      </c>
      <c r="C6759" s="11"/>
      <c r="D6759" s="11"/>
      <c r="E6759" s="11"/>
      <c r="F6759" s="11"/>
      <c r="G6759" s="11"/>
      <c r="H6759" s="11"/>
      <c r="I6759" s="15"/>
    </row>
    <row r="6760" spans="1:9" ht="16.5">
      <c r="A6760" s="10" t="b">
        <v>0</v>
      </c>
      <c r="B6760" s="11" t="str">
        <f>IF(D6760&lt;&gt;"",IF(COUNTIF('USPTO TMs'!A:A,D6760)&gt;0,"Yes","No"),"")</f>
        <v/>
      </c>
      <c r="C6760" s="11"/>
      <c r="D6760" s="11"/>
      <c r="E6760" s="11"/>
      <c r="F6760" s="11"/>
      <c r="G6760" s="11"/>
      <c r="H6760" s="11"/>
      <c r="I6760" s="15"/>
    </row>
    <row r="6761" spans="1:9" ht="16.5">
      <c r="A6761" s="10" t="b">
        <v>0</v>
      </c>
      <c r="B6761" s="11" t="str">
        <f>IF(D6761&lt;&gt;"",IF(COUNTIF('USPTO TMs'!A:A,D6761)&gt;0,"Yes","No"),"")</f>
        <v/>
      </c>
      <c r="C6761" s="11"/>
      <c r="D6761" s="11"/>
      <c r="E6761" s="11"/>
      <c r="F6761" s="11"/>
      <c r="G6761" s="11"/>
      <c r="H6761" s="11"/>
      <c r="I6761" s="15"/>
    </row>
    <row r="6762" spans="1:9" ht="16.5">
      <c r="A6762" s="10" t="b">
        <v>0</v>
      </c>
      <c r="B6762" s="11" t="str">
        <f>IF(D6762&lt;&gt;"",IF(COUNTIF('USPTO TMs'!A:A,D6762)&gt;0,"Yes","No"),"")</f>
        <v/>
      </c>
      <c r="C6762" s="11"/>
      <c r="D6762" s="11"/>
      <c r="E6762" s="11"/>
      <c r="F6762" s="11"/>
      <c r="G6762" s="11"/>
      <c r="H6762" s="11"/>
      <c r="I6762" s="15"/>
    </row>
    <row r="6763" spans="1:9" ht="16.5">
      <c r="A6763" s="10" t="b">
        <v>0</v>
      </c>
      <c r="B6763" s="11" t="str">
        <f>IF(D6763&lt;&gt;"",IF(COUNTIF('USPTO TMs'!A:A,D6763)&gt;0,"Yes","No"),"")</f>
        <v/>
      </c>
      <c r="C6763" s="11"/>
      <c r="D6763" s="11"/>
      <c r="E6763" s="11"/>
      <c r="F6763" s="11"/>
      <c r="G6763" s="11"/>
      <c r="H6763" s="11"/>
      <c r="I6763" s="15"/>
    </row>
    <row r="6764" spans="1:9" ht="16.5">
      <c r="A6764" s="10" t="b">
        <v>0</v>
      </c>
      <c r="B6764" s="11" t="str">
        <f>IF(D6764&lt;&gt;"",IF(COUNTIF('USPTO TMs'!A:A,D6764)&gt;0,"Yes","No"),"")</f>
        <v/>
      </c>
      <c r="C6764" s="11"/>
      <c r="D6764" s="11"/>
      <c r="E6764" s="11"/>
      <c r="F6764" s="11"/>
      <c r="G6764" s="11"/>
      <c r="H6764" s="11"/>
      <c r="I6764" s="15"/>
    </row>
    <row r="6765" spans="1:9" ht="16.5">
      <c r="A6765" s="10" t="b">
        <v>0</v>
      </c>
      <c r="B6765" s="11" t="str">
        <f>IF(D6765&lt;&gt;"",IF(COUNTIF('USPTO TMs'!A:A,D6765)&gt;0,"Yes","No"),"")</f>
        <v/>
      </c>
      <c r="C6765" s="11"/>
      <c r="D6765" s="11"/>
      <c r="E6765" s="11"/>
      <c r="F6765" s="11"/>
      <c r="G6765" s="11"/>
      <c r="H6765" s="11"/>
      <c r="I6765" s="15"/>
    </row>
    <row r="6766" spans="1:9" ht="16.5">
      <c r="A6766" s="10" t="b">
        <v>0</v>
      </c>
      <c r="B6766" s="11" t="str">
        <f>IF(D6766&lt;&gt;"",IF(COUNTIF('USPTO TMs'!A:A,D6766)&gt;0,"Yes","No"),"")</f>
        <v/>
      </c>
      <c r="C6766" s="11"/>
      <c r="D6766" s="11"/>
      <c r="E6766" s="11"/>
      <c r="F6766" s="11"/>
      <c r="G6766" s="11"/>
      <c r="H6766" s="11"/>
      <c r="I6766" s="15"/>
    </row>
    <row r="6767" spans="1:9" ht="16.5">
      <c r="A6767" s="10" t="b">
        <v>0</v>
      </c>
      <c r="B6767" s="11" t="str">
        <f>IF(D6767&lt;&gt;"",IF(COUNTIF('USPTO TMs'!A:A,D6767)&gt;0,"Yes","No"),"")</f>
        <v/>
      </c>
      <c r="C6767" s="11"/>
      <c r="D6767" s="11"/>
      <c r="E6767" s="11"/>
      <c r="F6767" s="11"/>
      <c r="G6767" s="11"/>
      <c r="H6767" s="11"/>
      <c r="I6767" s="15"/>
    </row>
    <row r="6768" spans="1:9" ht="16.5">
      <c r="A6768" s="10" t="b">
        <v>0</v>
      </c>
      <c r="B6768" s="11" t="str">
        <f>IF(D6768&lt;&gt;"",IF(COUNTIF('USPTO TMs'!A:A,D6768)&gt;0,"Yes","No"),"")</f>
        <v/>
      </c>
      <c r="C6768" s="11"/>
      <c r="D6768" s="11"/>
      <c r="E6768" s="11"/>
      <c r="F6768" s="11"/>
      <c r="G6768" s="11"/>
      <c r="H6768" s="11"/>
      <c r="I6768" s="15"/>
    </row>
    <row r="6769" spans="1:9" ht="16.5">
      <c r="A6769" s="10" t="b">
        <v>0</v>
      </c>
      <c r="B6769" s="11" t="str">
        <f>IF(D6769&lt;&gt;"",IF(COUNTIF('USPTO TMs'!A:A,D6769)&gt;0,"Yes","No"),"")</f>
        <v/>
      </c>
      <c r="C6769" s="11"/>
      <c r="D6769" s="11"/>
      <c r="E6769" s="11"/>
      <c r="F6769" s="11"/>
      <c r="G6769" s="11"/>
      <c r="H6769" s="11"/>
      <c r="I6769" s="15"/>
    </row>
    <row r="6770" spans="1:9" ht="16.5">
      <c r="A6770" s="10" t="b">
        <v>0</v>
      </c>
      <c r="B6770" s="11" t="str">
        <f>IF(D6770&lt;&gt;"",IF(COUNTIF('USPTO TMs'!A:A,D6770)&gt;0,"Yes","No"),"")</f>
        <v/>
      </c>
      <c r="C6770" s="11"/>
      <c r="D6770" s="11"/>
      <c r="E6770" s="11"/>
      <c r="F6770" s="11"/>
      <c r="G6770" s="11"/>
      <c r="H6770" s="11"/>
      <c r="I6770" s="15"/>
    </row>
    <row r="6771" spans="1:9" ht="16.5">
      <c r="A6771" s="10" t="b">
        <v>0</v>
      </c>
      <c r="B6771" s="11" t="str">
        <f>IF(D6771&lt;&gt;"",IF(COUNTIF('USPTO TMs'!A:A,D6771)&gt;0,"Yes","No"),"")</f>
        <v/>
      </c>
      <c r="C6771" s="11"/>
      <c r="D6771" s="11"/>
      <c r="E6771" s="11"/>
      <c r="F6771" s="11"/>
      <c r="G6771" s="11"/>
      <c r="H6771" s="11"/>
      <c r="I6771" s="15"/>
    </row>
    <row r="6772" spans="1:9" ht="16.5">
      <c r="A6772" s="10" t="b">
        <v>0</v>
      </c>
      <c r="B6772" s="11" t="str">
        <f>IF(D6772&lt;&gt;"",IF(COUNTIF('USPTO TMs'!A:A,D6772)&gt;0,"Yes","No"),"")</f>
        <v/>
      </c>
      <c r="C6772" s="11"/>
      <c r="D6772" s="11"/>
      <c r="E6772" s="11"/>
      <c r="F6772" s="11"/>
      <c r="G6772" s="11"/>
      <c r="H6772" s="11"/>
      <c r="I6772" s="15"/>
    </row>
    <row r="6773" spans="1:9" ht="16.5">
      <c r="A6773" s="10" t="b">
        <v>0</v>
      </c>
      <c r="B6773" s="11" t="str">
        <f>IF(D6773&lt;&gt;"",IF(COUNTIF('USPTO TMs'!A:A,D6773)&gt;0,"Yes","No"),"")</f>
        <v/>
      </c>
      <c r="C6773" s="11"/>
      <c r="D6773" s="11"/>
      <c r="E6773" s="11"/>
      <c r="F6773" s="11"/>
      <c r="G6773" s="11"/>
      <c r="H6773" s="11"/>
      <c r="I6773" s="15"/>
    </row>
    <row r="6774" spans="1:9" ht="16.5">
      <c r="A6774" s="10" t="b">
        <v>0</v>
      </c>
      <c r="B6774" s="11" t="str">
        <f>IF(D6774&lt;&gt;"",IF(COUNTIF('USPTO TMs'!A:A,D6774)&gt;0,"Yes","No"),"")</f>
        <v/>
      </c>
      <c r="C6774" s="11"/>
      <c r="D6774" s="11"/>
      <c r="E6774" s="11"/>
      <c r="F6774" s="11"/>
      <c r="G6774" s="11"/>
      <c r="H6774" s="11"/>
      <c r="I6774" s="15"/>
    </row>
    <row r="6775" spans="1:9" ht="16.5">
      <c r="A6775" s="10" t="b">
        <v>0</v>
      </c>
      <c r="B6775" s="11" t="str">
        <f>IF(D6775&lt;&gt;"",IF(COUNTIF('USPTO TMs'!A:A,D6775)&gt;0,"Yes","No"),"")</f>
        <v/>
      </c>
      <c r="C6775" s="11"/>
      <c r="D6775" s="11"/>
      <c r="E6775" s="11"/>
      <c r="F6775" s="11"/>
      <c r="G6775" s="11"/>
      <c r="H6775" s="11"/>
      <c r="I6775" s="15"/>
    </row>
    <row r="6776" spans="1:9" ht="16.5">
      <c r="A6776" s="10" t="b">
        <v>0</v>
      </c>
      <c r="B6776" s="11" t="str">
        <f>IF(D6776&lt;&gt;"",IF(COUNTIF('USPTO TMs'!A:A,D6776)&gt;0,"Yes","No"),"")</f>
        <v/>
      </c>
      <c r="C6776" s="11"/>
      <c r="D6776" s="11"/>
      <c r="E6776" s="11"/>
      <c r="F6776" s="11"/>
      <c r="G6776" s="11"/>
      <c r="H6776" s="11"/>
      <c r="I6776" s="15"/>
    </row>
    <row r="6777" spans="1:9" ht="16.5">
      <c r="A6777" s="10" t="b">
        <v>0</v>
      </c>
      <c r="B6777" s="11" t="str">
        <f>IF(D6777&lt;&gt;"",IF(COUNTIF('USPTO TMs'!A:A,D6777)&gt;0,"Yes","No"),"")</f>
        <v/>
      </c>
      <c r="C6777" s="11"/>
      <c r="D6777" s="11"/>
      <c r="E6777" s="11"/>
      <c r="F6777" s="11"/>
      <c r="G6777" s="11"/>
      <c r="H6777" s="11"/>
      <c r="I6777" s="15"/>
    </row>
    <row r="6778" spans="1:9" ht="16.5">
      <c r="A6778" s="10" t="b">
        <v>0</v>
      </c>
      <c r="B6778" s="11" t="str">
        <f>IF(D6778&lt;&gt;"",IF(COUNTIF('USPTO TMs'!A:A,D6778)&gt;0,"Yes","No"),"")</f>
        <v/>
      </c>
      <c r="C6778" s="11"/>
      <c r="D6778" s="11"/>
      <c r="E6778" s="11"/>
      <c r="F6778" s="11"/>
      <c r="G6778" s="11"/>
      <c r="H6778" s="11"/>
      <c r="I6778" s="15"/>
    </row>
    <row r="6779" spans="1:9" ht="16.5">
      <c r="A6779" s="10" t="b">
        <v>0</v>
      </c>
      <c r="B6779" s="11" t="str">
        <f>IF(D6779&lt;&gt;"",IF(COUNTIF('USPTO TMs'!A:A,D6779)&gt;0,"Yes","No"),"")</f>
        <v/>
      </c>
      <c r="C6779" s="11"/>
      <c r="D6779" s="11"/>
      <c r="E6779" s="11"/>
      <c r="F6779" s="11"/>
      <c r="G6779" s="11"/>
      <c r="H6779" s="11"/>
      <c r="I6779" s="15"/>
    </row>
    <row r="6780" spans="1:9" ht="16.5">
      <c r="A6780" s="10" t="b">
        <v>0</v>
      </c>
      <c r="B6780" s="11" t="str">
        <f>IF(D6780&lt;&gt;"",IF(COUNTIF('USPTO TMs'!A:A,D6780)&gt;0,"Yes","No"),"")</f>
        <v/>
      </c>
      <c r="C6780" s="11"/>
      <c r="D6780" s="11"/>
      <c r="E6780" s="11"/>
      <c r="F6780" s="11"/>
      <c r="G6780" s="11"/>
      <c r="H6780" s="11"/>
      <c r="I6780" s="15"/>
    </row>
    <row r="6781" spans="1:9" ht="16.5">
      <c r="A6781" s="10" t="b">
        <v>0</v>
      </c>
      <c r="B6781" s="11" t="str">
        <f>IF(D6781&lt;&gt;"",IF(COUNTIF('USPTO TMs'!A:A,D6781)&gt;0,"Yes","No"),"")</f>
        <v/>
      </c>
      <c r="C6781" s="11"/>
      <c r="D6781" s="11"/>
      <c r="E6781" s="11"/>
      <c r="F6781" s="11"/>
      <c r="G6781" s="11"/>
      <c r="H6781" s="11"/>
      <c r="I6781" s="15"/>
    </row>
    <row r="6782" spans="1:9" ht="16.5">
      <c r="A6782" s="10" t="b">
        <v>0</v>
      </c>
      <c r="B6782" s="11" t="str">
        <f>IF(D6782&lt;&gt;"",IF(COUNTIF('USPTO TMs'!A:A,D6782)&gt;0,"Yes","No"),"")</f>
        <v/>
      </c>
      <c r="C6782" s="11"/>
      <c r="D6782" s="11"/>
      <c r="E6782" s="11"/>
      <c r="F6782" s="11"/>
      <c r="G6782" s="11"/>
      <c r="H6782" s="11"/>
      <c r="I6782" s="15"/>
    </row>
    <row r="6783" spans="1:9" ht="16.5">
      <c r="A6783" s="10" t="b">
        <v>0</v>
      </c>
      <c r="B6783" s="11" t="str">
        <f>IF(D6783&lt;&gt;"",IF(COUNTIF('USPTO TMs'!A:A,D6783)&gt;0,"Yes","No"),"")</f>
        <v/>
      </c>
      <c r="C6783" s="11"/>
      <c r="D6783" s="11"/>
      <c r="E6783" s="11"/>
      <c r="F6783" s="11"/>
      <c r="G6783" s="11"/>
      <c r="H6783" s="11"/>
      <c r="I6783" s="15"/>
    </row>
    <row r="6784" spans="1:9" ht="16.5">
      <c r="A6784" s="10" t="b">
        <v>0</v>
      </c>
      <c r="B6784" s="11" t="str">
        <f>IF(D6784&lt;&gt;"",IF(COUNTIF('USPTO TMs'!A:A,D6784)&gt;0,"Yes","No"),"")</f>
        <v/>
      </c>
      <c r="C6784" s="11"/>
      <c r="D6784" s="11"/>
      <c r="E6784" s="11"/>
      <c r="F6784" s="11"/>
      <c r="G6784" s="11"/>
      <c r="H6784" s="11"/>
      <c r="I6784" s="15"/>
    </row>
    <row r="6785" spans="1:9" ht="16.5">
      <c r="A6785" s="10" t="b">
        <v>0</v>
      </c>
      <c r="B6785" s="11" t="str">
        <f>IF(D6785&lt;&gt;"",IF(COUNTIF('USPTO TMs'!A:A,D6785)&gt;0,"Yes","No"),"")</f>
        <v/>
      </c>
      <c r="C6785" s="11"/>
      <c r="D6785" s="11"/>
      <c r="E6785" s="11"/>
      <c r="F6785" s="11"/>
      <c r="G6785" s="11"/>
      <c r="H6785" s="11"/>
      <c r="I6785" s="15"/>
    </row>
    <row r="6786" spans="1:9" ht="16.5">
      <c r="A6786" s="10" t="b">
        <v>0</v>
      </c>
      <c r="B6786" s="11" t="str">
        <f>IF(D6786&lt;&gt;"",IF(COUNTIF('USPTO TMs'!A:A,D6786)&gt;0,"Yes","No"),"")</f>
        <v/>
      </c>
      <c r="C6786" s="11"/>
      <c r="D6786" s="11"/>
      <c r="E6786" s="11"/>
      <c r="F6786" s="11"/>
      <c r="G6786" s="11"/>
      <c r="H6786" s="11"/>
      <c r="I6786" s="15"/>
    </row>
    <row r="6787" spans="1:9" ht="16.5">
      <c r="A6787" s="10" t="b">
        <v>0</v>
      </c>
      <c r="B6787" s="11" t="str">
        <f>IF(D6787&lt;&gt;"",IF(COUNTIF('USPTO TMs'!A:A,D6787)&gt;0,"Yes","No"),"")</f>
        <v/>
      </c>
      <c r="C6787" s="11"/>
      <c r="D6787" s="11"/>
      <c r="E6787" s="11"/>
      <c r="F6787" s="11"/>
      <c r="G6787" s="11"/>
      <c r="H6787" s="11"/>
      <c r="I6787" s="15"/>
    </row>
    <row r="6788" spans="1:9" ht="16.5">
      <c r="A6788" s="10" t="b">
        <v>0</v>
      </c>
      <c r="B6788" s="11" t="str">
        <f>IF(D6788&lt;&gt;"",IF(COUNTIF('USPTO TMs'!A:A,D6788)&gt;0,"Yes","No"),"")</f>
        <v/>
      </c>
      <c r="C6788" s="11"/>
      <c r="D6788" s="11"/>
      <c r="E6788" s="11"/>
      <c r="F6788" s="11"/>
      <c r="G6788" s="11"/>
      <c r="H6788" s="11"/>
      <c r="I6788" s="15"/>
    </row>
    <row r="6789" spans="1:9" ht="16.5">
      <c r="A6789" s="10" t="b">
        <v>0</v>
      </c>
      <c r="B6789" s="11" t="str">
        <f>IF(D6789&lt;&gt;"",IF(COUNTIF('USPTO TMs'!A:A,D6789)&gt;0,"Yes","No"),"")</f>
        <v/>
      </c>
      <c r="C6789" s="11"/>
      <c r="D6789" s="11"/>
      <c r="E6789" s="11"/>
      <c r="F6789" s="11"/>
      <c r="G6789" s="11"/>
      <c r="H6789" s="11"/>
      <c r="I6789" s="15"/>
    </row>
    <row r="6790" spans="1:9" ht="16.5">
      <c r="A6790" s="10" t="b">
        <v>0</v>
      </c>
      <c r="B6790" s="11" t="str">
        <f>IF(D6790&lt;&gt;"",IF(COUNTIF('USPTO TMs'!A:A,D6790)&gt;0,"Yes","No"),"")</f>
        <v/>
      </c>
      <c r="C6790" s="11"/>
      <c r="D6790" s="11"/>
      <c r="E6790" s="11"/>
      <c r="F6790" s="11"/>
      <c r="G6790" s="11"/>
      <c r="H6790" s="11"/>
      <c r="I6790" s="15"/>
    </row>
    <row r="6791" spans="1:9" ht="16.5">
      <c r="A6791" s="10" t="b">
        <v>0</v>
      </c>
      <c r="B6791" s="11" t="str">
        <f>IF(D6791&lt;&gt;"",IF(COUNTIF('USPTO TMs'!A:A,D6791)&gt;0,"Yes","No"),"")</f>
        <v/>
      </c>
      <c r="C6791" s="11"/>
      <c r="D6791" s="11"/>
      <c r="E6791" s="11"/>
      <c r="F6791" s="11"/>
      <c r="G6791" s="11"/>
      <c r="H6791" s="11"/>
      <c r="I6791" s="15"/>
    </row>
    <row r="6792" spans="1:9" ht="16.5">
      <c r="A6792" s="10" t="b">
        <v>0</v>
      </c>
      <c r="B6792" s="11" t="str">
        <f>IF(D6792&lt;&gt;"",IF(COUNTIF('USPTO TMs'!A:A,D6792)&gt;0,"Yes","No"),"")</f>
        <v/>
      </c>
      <c r="C6792" s="11"/>
      <c r="D6792" s="11"/>
      <c r="E6792" s="11"/>
      <c r="F6792" s="11"/>
      <c r="G6792" s="11"/>
      <c r="H6792" s="11"/>
      <c r="I6792" s="15"/>
    </row>
    <row r="6793" spans="1:9" ht="16.5">
      <c r="A6793" s="10" t="b">
        <v>0</v>
      </c>
      <c r="B6793" s="11" t="str">
        <f>IF(D6793&lt;&gt;"",IF(COUNTIF('USPTO TMs'!A:A,D6793)&gt;0,"Yes","No"),"")</f>
        <v/>
      </c>
      <c r="C6793" s="11"/>
      <c r="D6793" s="11"/>
      <c r="E6793" s="11"/>
      <c r="F6793" s="11"/>
      <c r="G6793" s="11"/>
      <c r="H6793" s="11"/>
      <c r="I6793" s="15"/>
    </row>
    <row r="6794" spans="1:9" ht="16.5">
      <c r="A6794" s="10" t="b">
        <v>0</v>
      </c>
      <c r="B6794" s="11" t="str">
        <f>IF(D6794&lt;&gt;"",IF(COUNTIF('USPTO TMs'!A:A,D6794)&gt;0,"Yes","No"),"")</f>
        <v/>
      </c>
      <c r="C6794" s="11"/>
      <c r="D6794" s="11"/>
      <c r="E6794" s="11"/>
      <c r="F6794" s="11"/>
      <c r="G6794" s="11"/>
      <c r="H6794" s="11"/>
      <c r="I6794" s="15"/>
    </row>
    <row r="6795" spans="1:9" ht="16.5">
      <c r="A6795" s="10" t="b">
        <v>0</v>
      </c>
      <c r="B6795" s="11" t="str">
        <f>IF(D6795&lt;&gt;"",IF(COUNTIF('USPTO TMs'!A:A,D6795)&gt;0,"Yes","No"),"")</f>
        <v/>
      </c>
      <c r="C6795" s="11"/>
      <c r="D6795" s="11"/>
      <c r="E6795" s="11"/>
      <c r="F6795" s="11"/>
      <c r="G6795" s="11"/>
      <c r="H6795" s="11"/>
      <c r="I6795" s="15"/>
    </row>
    <row r="6796" spans="1:9" ht="16.5">
      <c r="A6796" s="10" t="b">
        <v>0</v>
      </c>
      <c r="B6796" s="11" t="str">
        <f>IF(D6796&lt;&gt;"",IF(COUNTIF('USPTO TMs'!A:A,D6796)&gt;0,"Yes","No"),"")</f>
        <v/>
      </c>
      <c r="C6796" s="11"/>
      <c r="D6796" s="11"/>
      <c r="E6796" s="11"/>
      <c r="F6796" s="11"/>
      <c r="G6796" s="11"/>
      <c r="H6796" s="11"/>
      <c r="I6796" s="15"/>
    </row>
    <row r="6797" spans="1:9" ht="16.5">
      <c r="A6797" s="10" t="b">
        <v>0</v>
      </c>
      <c r="B6797" s="11" t="str">
        <f>IF(D6797&lt;&gt;"",IF(COUNTIF('USPTO TMs'!A:A,D6797)&gt;0,"Yes","No"),"")</f>
        <v/>
      </c>
      <c r="C6797" s="11"/>
      <c r="D6797" s="11"/>
      <c r="E6797" s="11"/>
      <c r="F6797" s="11"/>
      <c r="G6797" s="11"/>
      <c r="H6797" s="11"/>
      <c r="I6797" s="15"/>
    </row>
    <row r="6798" spans="1:9" ht="16.5">
      <c r="A6798" s="10" t="b">
        <v>0</v>
      </c>
      <c r="B6798" s="11" t="str">
        <f>IF(D6798&lt;&gt;"",IF(COUNTIF('USPTO TMs'!A:A,D6798)&gt;0,"Yes","No"),"")</f>
        <v/>
      </c>
      <c r="C6798" s="11"/>
      <c r="D6798" s="11"/>
      <c r="E6798" s="11"/>
      <c r="F6798" s="11"/>
      <c r="G6798" s="11"/>
      <c r="H6798" s="11"/>
      <c r="I6798" s="15"/>
    </row>
    <row r="6799" spans="1:9" ht="16.5">
      <c r="A6799" s="10" t="b">
        <v>0</v>
      </c>
      <c r="B6799" s="11" t="str">
        <f>IF(D6799&lt;&gt;"",IF(COUNTIF('USPTO TMs'!A:A,D6799)&gt;0,"Yes","No"),"")</f>
        <v/>
      </c>
      <c r="C6799" s="11"/>
      <c r="D6799" s="11"/>
      <c r="E6799" s="11"/>
      <c r="F6799" s="11"/>
      <c r="G6799" s="11"/>
      <c r="H6799" s="11"/>
      <c r="I6799" s="15"/>
    </row>
    <row r="6800" spans="1:9" ht="16.5">
      <c r="A6800" s="10" t="b">
        <v>0</v>
      </c>
      <c r="B6800" s="11" t="str">
        <f>IF(D6800&lt;&gt;"",IF(COUNTIF('USPTO TMs'!A:A,D6800)&gt;0,"Yes","No"),"")</f>
        <v/>
      </c>
      <c r="C6800" s="11"/>
      <c r="D6800" s="11"/>
      <c r="E6800" s="11"/>
      <c r="F6800" s="11"/>
      <c r="G6800" s="11"/>
      <c r="H6800" s="11"/>
      <c r="I6800" s="15"/>
    </row>
    <row r="6801" spans="1:9" ht="16.5">
      <c r="A6801" s="10" t="b">
        <v>0</v>
      </c>
      <c r="B6801" s="11" t="str">
        <f>IF(D6801&lt;&gt;"",IF(COUNTIF('USPTO TMs'!A:A,D6801)&gt;0,"Yes","No"),"")</f>
        <v/>
      </c>
      <c r="C6801" s="11"/>
      <c r="D6801" s="11"/>
      <c r="E6801" s="11"/>
      <c r="F6801" s="11"/>
      <c r="G6801" s="11"/>
      <c r="H6801" s="11"/>
      <c r="I6801" s="15"/>
    </row>
    <row r="6802" spans="1:9" ht="16.5">
      <c r="A6802" s="10" t="b">
        <v>0</v>
      </c>
      <c r="B6802" s="11" t="str">
        <f>IF(D6802&lt;&gt;"",IF(COUNTIF('USPTO TMs'!A:A,D6802)&gt;0,"Yes","No"),"")</f>
        <v/>
      </c>
      <c r="C6802" s="11"/>
      <c r="D6802" s="11"/>
      <c r="E6802" s="11"/>
      <c r="F6802" s="11"/>
      <c r="G6802" s="11"/>
      <c r="H6802" s="11"/>
      <c r="I6802" s="15"/>
    </row>
    <row r="6803" spans="1:9" ht="16.5">
      <c r="A6803" s="10" t="b">
        <v>0</v>
      </c>
      <c r="B6803" s="11" t="str">
        <f>IF(D6803&lt;&gt;"",IF(COUNTIF('USPTO TMs'!A:A,D6803)&gt;0,"Yes","No"),"")</f>
        <v/>
      </c>
      <c r="C6803" s="11"/>
      <c r="D6803" s="11"/>
      <c r="E6803" s="11"/>
      <c r="F6803" s="11"/>
      <c r="G6803" s="11"/>
      <c r="H6803" s="11"/>
      <c r="I6803" s="15"/>
    </row>
    <row r="6804" spans="1:9" ht="16.5">
      <c r="A6804" s="10" t="b">
        <v>0</v>
      </c>
      <c r="B6804" s="11" t="str">
        <f>IF(D6804&lt;&gt;"",IF(COUNTIF('USPTO TMs'!A:A,D6804)&gt;0,"Yes","No"),"")</f>
        <v/>
      </c>
      <c r="C6804" s="11"/>
      <c r="D6804" s="11"/>
      <c r="E6804" s="11"/>
      <c r="F6804" s="11"/>
      <c r="G6804" s="11"/>
      <c r="H6804" s="11"/>
      <c r="I6804" s="15"/>
    </row>
    <row r="6805" spans="1:9" ht="16.5">
      <c r="A6805" s="10" t="b">
        <v>0</v>
      </c>
      <c r="B6805" s="11" t="str">
        <f>IF(D6805&lt;&gt;"",IF(COUNTIF('USPTO TMs'!A:A,D6805)&gt;0,"Yes","No"),"")</f>
        <v/>
      </c>
      <c r="C6805" s="11"/>
      <c r="D6805" s="11"/>
      <c r="E6805" s="11"/>
      <c r="F6805" s="11"/>
      <c r="G6805" s="11"/>
      <c r="H6805" s="11"/>
      <c r="I6805" s="15"/>
    </row>
    <row r="6806" spans="1:9" ht="16.5">
      <c r="A6806" s="10" t="b">
        <v>0</v>
      </c>
      <c r="B6806" s="11" t="str">
        <f>IF(D6806&lt;&gt;"",IF(COUNTIF('USPTO TMs'!A:A,D6806)&gt;0,"Yes","No"),"")</f>
        <v/>
      </c>
      <c r="C6806" s="11"/>
      <c r="D6806" s="11"/>
      <c r="E6806" s="11"/>
      <c r="F6806" s="11"/>
      <c r="G6806" s="11"/>
      <c r="H6806" s="11"/>
      <c r="I6806" s="15"/>
    </row>
    <row r="6807" spans="1:9" ht="16.5">
      <c r="A6807" s="10" t="b">
        <v>0</v>
      </c>
      <c r="B6807" s="11" t="str">
        <f>IF(D6807&lt;&gt;"",IF(COUNTIF('USPTO TMs'!A:A,D6807)&gt;0,"Yes","No"),"")</f>
        <v/>
      </c>
      <c r="C6807" s="11"/>
      <c r="D6807" s="11"/>
      <c r="E6807" s="11"/>
      <c r="F6807" s="11"/>
      <c r="G6807" s="11"/>
      <c r="H6807" s="11"/>
      <c r="I6807" s="15"/>
    </row>
    <row r="6808" spans="1:9" ht="16.5">
      <c r="A6808" s="10" t="b">
        <v>0</v>
      </c>
      <c r="B6808" s="11" t="str">
        <f>IF(D6808&lt;&gt;"",IF(COUNTIF('USPTO TMs'!A:A,D6808)&gt;0,"Yes","No"),"")</f>
        <v/>
      </c>
      <c r="C6808" s="11"/>
      <c r="D6808" s="11"/>
      <c r="E6808" s="11"/>
      <c r="F6808" s="11"/>
      <c r="G6808" s="11"/>
      <c r="H6808" s="11"/>
      <c r="I6808" s="15"/>
    </row>
    <row r="6809" spans="1:9" ht="16.5">
      <c r="A6809" s="10" t="b">
        <v>0</v>
      </c>
      <c r="B6809" s="11" t="str">
        <f>IF(D6809&lt;&gt;"",IF(COUNTIF('USPTO TMs'!A:A,D6809)&gt;0,"Yes","No"),"")</f>
        <v/>
      </c>
      <c r="C6809" s="11"/>
      <c r="D6809" s="11"/>
      <c r="E6809" s="11"/>
      <c r="F6809" s="11"/>
      <c r="G6809" s="11"/>
      <c r="H6809" s="11"/>
      <c r="I6809" s="15"/>
    </row>
    <row r="6810" spans="1:9" ht="16.5">
      <c r="A6810" s="10" t="b">
        <v>0</v>
      </c>
      <c r="B6810" s="11" t="str">
        <f>IF(D6810&lt;&gt;"",IF(COUNTIF('USPTO TMs'!A:A,D6810)&gt;0,"Yes","No"),"")</f>
        <v/>
      </c>
      <c r="C6810" s="11"/>
      <c r="D6810" s="11"/>
      <c r="E6810" s="11"/>
      <c r="F6810" s="11"/>
      <c r="G6810" s="11"/>
      <c r="H6810" s="11"/>
      <c r="I6810" s="15"/>
    </row>
    <row r="6811" spans="1:9" ht="16.5">
      <c r="A6811" s="10" t="b">
        <v>0</v>
      </c>
      <c r="B6811" s="11" t="str">
        <f>IF(D6811&lt;&gt;"",IF(COUNTIF('USPTO TMs'!A:A,D6811)&gt;0,"Yes","No"),"")</f>
        <v/>
      </c>
      <c r="C6811" s="11"/>
      <c r="D6811" s="11"/>
      <c r="E6811" s="11"/>
      <c r="F6811" s="11"/>
      <c r="G6811" s="11"/>
      <c r="H6811" s="11"/>
      <c r="I6811" s="15"/>
    </row>
    <row r="6812" spans="1:9" ht="16.5">
      <c r="A6812" s="10" t="b">
        <v>0</v>
      </c>
      <c r="B6812" s="11" t="str">
        <f>IF(D6812&lt;&gt;"",IF(COUNTIF('USPTO TMs'!A:A,D6812)&gt;0,"Yes","No"),"")</f>
        <v/>
      </c>
      <c r="C6812" s="11"/>
      <c r="D6812" s="11"/>
      <c r="E6812" s="11"/>
      <c r="F6812" s="11"/>
      <c r="G6812" s="11"/>
      <c r="H6812" s="11"/>
      <c r="I6812" s="15"/>
    </row>
    <row r="6813" spans="1:9" ht="16.5">
      <c r="A6813" s="10" t="b">
        <v>0</v>
      </c>
      <c r="B6813" s="11" t="str">
        <f>IF(D6813&lt;&gt;"",IF(COUNTIF('USPTO TMs'!A:A,D6813)&gt;0,"Yes","No"),"")</f>
        <v/>
      </c>
      <c r="C6813" s="11"/>
      <c r="D6813" s="11"/>
      <c r="E6813" s="11"/>
      <c r="F6813" s="11"/>
      <c r="G6813" s="11"/>
      <c r="H6813" s="11"/>
      <c r="I6813" s="15"/>
    </row>
    <row r="6814" spans="1:9" ht="16.5">
      <c r="A6814" s="10" t="b">
        <v>0</v>
      </c>
      <c r="B6814" s="11" t="str">
        <f>IF(D6814&lt;&gt;"",IF(COUNTIF('USPTO TMs'!A:A,D6814)&gt;0,"Yes","No"),"")</f>
        <v/>
      </c>
      <c r="C6814" s="11"/>
      <c r="D6814" s="11"/>
      <c r="E6814" s="11"/>
      <c r="F6814" s="11"/>
      <c r="G6814" s="11"/>
      <c r="H6814" s="11"/>
      <c r="I6814" s="15"/>
    </row>
    <row r="6815" spans="1:9" ht="16.5">
      <c r="A6815" s="10" t="b">
        <v>0</v>
      </c>
      <c r="B6815" s="11" t="str">
        <f>IF(D6815&lt;&gt;"",IF(COUNTIF('USPTO TMs'!A:A,D6815)&gt;0,"Yes","No"),"")</f>
        <v/>
      </c>
      <c r="C6815" s="11"/>
      <c r="D6815" s="11"/>
      <c r="E6815" s="11"/>
      <c r="F6815" s="11"/>
      <c r="G6815" s="11"/>
      <c r="H6815" s="11"/>
      <c r="I6815" s="15"/>
    </row>
    <row r="6816" spans="1:9" ht="16.5">
      <c r="A6816" s="10" t="b">
        <v>0</v>
      </c>
      <c r="B6816" s="11" t="str">
        <f>IF(D6816&lt;&gt;"",IF(COUNTIF('USPTO TMs'!A:A,D6816)&gt;0,"Yes","No"),"")</f>
        <v/>
      </c>
      <c r="C6816" s="11"/>
      <c r="D6816" s="11"/>
      <c r="E6816" s="11"/>
      <c r="F6816" s="11"/>
      <c r="G6816" s="11"/>
      <c r="H6816" s="11"/>
      <c r="I6816" s="15"/>
    </row>
    <row r="6817" spans="1:9" ht="16.5">
      <c r="A6817" s="10" t="b">
        <v>0</v>
      </c>
      <c r="B6817" s="11" t="str">
        <f>IF(D6817&lt;&gt;"",IF(COUNTIF('USPTO TMs'!A:A,D6817)&gt;0,"Yes","No"),"")</f>
        <v/>
      </c>
      <c r="C6817" s="11"/>
      <c r="D6817" s="11"/>
      <c r="E6817" s="11"/>
      <c r="F6817" s="11"/>
      <c r="G6817" s="11"/>
      <c r="H6817" s="11"/>
      <c r="I6817" s="15"/>
    </row>
    <row r="6818" spans="1:9" ht="16.5">
      <c r="A6818" s="10" t="b">
        <v>0</v>
      </c>
      <c r="B6818" s="11" t="str">
        <f>IF(D6818&lt;&gt;"",IF(COUNTIF('USPTO TMs'!A:A,D6818)&gt;0,"Yes","No"),"")</f>
        <v/>
      </c>
      <c r="C6818" s="11"/>
      <c r="D6818" s="11"/>
      <c r="E6818" s="11"/>
      <c r="F6818" s="11"/>
      <c r="G6818" s="11"/>
      <c r="H6818" s="11"/>
      <c r="I6818" s="15"/>
    </row>
    <row r="6819" spans="1:9" ht="16.5">
      <c r="A6819" s="10" t="b">
        <v>0</v>
      </c>
      <c r="B6819" s="11" t="str">
        <f>IF(D6819&lt;&gt;"",IF(COUNTIF('USPTO TMs'!A:A,D6819)&gt;0,"Yes","No"),"")</f>
        <v/>
      </c>
      <c r="C6819" s="11"/>
      <c r="D6819" s="11"/>
      <c r="E6819" s="11"/>
      <c r="F6819" s="11"/>
      <c r="G6819" s="11"/>
      <c r="H6819" s="11"/>
      <c r="I6819" s="15"/>
    </row>
    <row r="6820" spans="1:9" ht="16.5">
      <c r="A6820" s="10" t="b">
        <v>0</v>
      </c>
      <c r="B6820" s="11" t="str">
        <f>IF(D6820&lt;&gt;"",IF(COUNTIF('USPTO TMs'!A:A,D6820)&gt;0,"Yes","No"),"")</f>
        <v/>
      </c>
      <c r="C6820" s="11"/>
      <c r="D6820" s="11"/>
      <c r="E6820" s="11"/>
      <c r="F6820" s="11"/>
      <c r="G6820" s="11"/>
      <c r="H6820" s="11"/>
      <c r="I6820" s="15"/>
    </row>
    <row r="6821" spans="1:9" ht="16.5">
      <c r="A6821" s="10" t="b">
        <v>0</v>
      </c>
      <c r="B6821" s="11" t="str">
        <f>IF(D6821&lt;&gt;"",IF(COUNTIF('USPTO TMs'!A:A,D6821)&gt;0,"Yes","No"),"")</f>
        <v/>
      </c>
      <c r="C6821" s="11"/>
      <c r="D6821" s="11"/>
      <c r="E6821" s="11"/>
      <c r="F6821" s="11"/>
      <c r="G6821" s="11"/>
      <c r="H6821" s="11"/>
      <c r="I6821" s="15"/>
    </row>
    <row r="6822" spans="1:9" ht="16.5">
      <c r="A6822" s="10" t="b">
        <v>0</v>
      </c>
      <c r="B6822" s="11" t="str">
        <f>IF(D6822&lt;&gt;"",IF(COUNTIF('USPTO TMs'!A:A,D6822)&gt;0,"Yes","No"),"")</f>
        <v/>
      </c>
      <c r="C6822" s="11"/>
      <c r="D6822" s="11"/>
      <c r="E6822" s="11"/>
      <c r="F6822" s="11"/>
      <c r="G6822" s="11"/>
      <c r="H6822" s="11"/>
      <c r="I6822" s="15"/>
    </row>
    <row r="6823" spans="1:9" ht="16.5">
      <c r="A6823" s="10" t="b">
        <v>0</v>
      </c>
      <c r="B6823" s="11" t="str">
        <f>IF(D6823&lt;&gt;"",IF(COUNTIF('USPTO TMs'!A:A,D6823)&gt;0,"Yes","No"),"")</f>
        <v/>
      </c>
      <c r="C6823" s="11"/>
      <c r="D6823" s="11"/>
      <c r="E6823" s="11"/>
      <c r="F6823" s="11"/>
      <c r="G6823" s="11"/>
      <c r="H6823" s="11"/>
      <c r="I6823" s="15"/>
    </row>
    <row r="6824" spans="1:9" ht="16.5">
      <c r="A6824" s="10" t="b">
        <v>0</v>
      </c>
      <c r="B6824" s="11" t="str">
        <f>IF(D6824&lt;&gt;"",IF(COUNTIF('USPTO TMs'!A:A,D6824)&gt;0,"Yes","No"),"")</f>
        <v/>
      </c>
      <c r="C6824" s="11"/>
      <c r="D6824" s="11"/>
      <c r="E6824" s="11"/>
      <c r="F6824" s="11"/>
      <c r="G6824" s="11"/>
      <c r="H6824" s="11"/>
      <c r="I6824" s="15"/>
    </row>
    <row r="6825" spans="1:9" ht="16.5">
      <c r="A6825" s="10" t="b">
        <v>0</v>
      </c>
      <c r="B6825" s="11" t="str">
        <f>IF(D6825&lt;&gt;"",IF(COUNTIF('USPTO TMs'!A:A,D6825)&gt;0,"Yes","No"),"")</f>
        <v/>
      </c>
      <c r="C6825" s="11"/>
      <c r="D6825" s="11"/>
      <c r="E6825" s="11"/>
      <c r="F6825" s="11"/>
      <c r="G6825" s="11"/>
      <c r="H6825" s="11"/>
      <c r="I6825" s="15"/>
    </row>
    <row r="6826" spans="1:9" ht="16.5">
      <c r="A6826" s="10" t="b">
        <v>0</v>
      </c>
      <c r="B6826" s="11" t="str">
        <f>IF(D6826&lt;&gt;"",IF(COUNTIF('USPTO TMs'!A:A,D6826)&gt;0,"Yes","No"),"")</f>
        <v/>
      </c>
      <c r="C6826" s="11"/>
      <c r="D6826" s="11"/>
      <c r="E6826" s="11"/>
      <c r="F6826" s="11"/>
      <c r="G6826" s="11"/>
      <c r="H6826" s="11"/>
      <c r="I6826" s="15"/>
    </row>
    <row r="6827" spans="1:9" ht="16.5">
      <c r="A6827" s="10" t="b">
        <v>0</v>
      </c>
      <c r="B6827" s="11" t="str">
        <f>IF(D6827&lt;&gt;"",IF(COUNTIF('USPTO TMs'!A:A,D6827)&gt;0,"Yes","No"),"")</f>
        <v/>
      </c>
      <c r="C6827" s="11"/>
      <c r="D6827" s="11"/>
      <c r="E6827" s="11"/>
      <c r="F6827" s="11"/>
      <c r="G6827" s="11"/>
      <c r="H6827" s="11"/>
      <c r="I6827" s="15"/>
    </row>
    <row r="6828" spans="1:9" ht="16.5">
      <c r="A6828" s="10" t="b">
        <v>0</v>
      </c>
      <c r="B6828" s="11" t="str">
        <f>IF(D6828&lt;&gt;"",IF(COUNTIF('USPTO TMs'!A:A,D6828)&gt;0,"Yes","No"),"")</f>
        <v/>
      </c>
      <c r="C6828" s="11"/>
      <c r="D6828" s="11"/>
      <c r="E6828" s="11"/>
      <c r="F6828" s="11"/>
      <c r="G6828" s="11"/>
      <c r="H6828" s="11"/>
      <c r="I6828" s="15"/>
    </row>
    <row r="6829" spans="1:9" ht="16.5">
      <c r="A6829" s="10" t="b">
        <v>0</v>
      </c>
      <c r="B6829" s="11" t="str">
        <f>IF(D6829&lt;&gt;"",IF(COUNTIF('USPTO TMs'!A:A,D6829)&gt;0,"Yes","No"),"")</f>
        <v/>
      </c>
      <c r="C6829" s="11"/>
      <c r="D6829" s="11"/>
      <c r="E6829" s="11"/>
      <c r="F6829" s="11"/>
      <c r="G6829" s="11"/>
      <c r="H6829" s="11"/>
      <c r="I6829" s="15"/>
    </row>
    <row r="6830" spans="1:9" ht="16.5">
      <c r="A6830" s="10" t="b">
        <v>0</v>
      </c>
      <c r="B6830" s="11" t="str">
        <f>IF(D6830&lt;&gt;"",IF(COUNTIF('USPTO TMs'!A:A,D6830)&gt;0,"Yes","No"),"")</f>
        <v/>
      </c>
      <c r="C6830" s="11"/>
      <c r="D6830" s="11"/>
      <c r="E6830" s="11"/>
      <c r="F6830" s="11"/>
      <c r="G6830" s="11"/>
      <c r="H6830" s="11"/>
      <c r="I6830" s="15"/>
    </row>
    <row r="6831" spans="1:9" ht="16.5">
      <c r="A6831" s="10" t="b">
        <v>0</v>
      </c>
      <c r="B6831" s="11" t="str">
        <f>IF(D6831&lt;&gt;"",IF(COUNTIF('USPTO TMs'!A:A,D6831)&gt;0,"Yes","No"),"")</f>
        <v/>
      </c>
      <c r="C6831" s="11"/>
      <c r="D6831" s="11"/>
      <c r="E6831" s="11"/>
      <c r="F6831" s="11"/>
      <c r="G6831" s="11"/>
      <c r="H6831" s="11"/>
      <c r="I6831" s="15"/>
    </row>
    <row r="6832" spans="1:9" ht="16.5">
      <c r="A6832" s="10" t="b">
        <v>0</v>
      </c>
      <c r="B6832" s="11" t="str">
        <f>IF(D6832&lt;&gt;"",IF(COUNTIF('USPTO TMs'!A:A,D6832)&gt;0,"Yes","No"),"")</f>
        <v/>
      </c>
      <c r="C6832" s="11"/>
      <c r="D6832" s="11"/>
      <c r="E6832" s="11"/>
      <c r="F6832" s="11"/>
      <c r="G6832" s="11"/>
      <c r="H6832" s="11"/>
      <c r="I6832" s="15"/>
    </row>
    <row r="6833" spans="1:9" ht="16.5">
      <c r="A6833" s="10" t="b">
        <v>0</v>
      </c>
      <c r="B6833" s="11" t="str">
        <f>IF(D6833&lt;&gt;"",IF(COUNTIF('USPTO TMs'!A:A,D6833)&gt;0,"Yes","No"),"")</f>
        <v/>
      </c>
      <c r="C6833" s="11"/>
      <c r="D6833" s="11"/>
      <c r="E6833" s="11"/>
      <c r="F6833" s="11"/>
      <c r="G6833" s="11"/>
      <c r="H6833" s="11"/>
      <c r="I6833" s="15"/>
    </row>
    <row r="6834" spans="1:9" ht="16.5">
      <c r="A6834" s="10" t="b">
        <v>0</v>
      </c>
      <c r="B6834" s="11" t="str">
        <f>IF(D6834&lt;&gt;"",IF(COUNTIF('USPTO TMs'!A:A,D6834)&gt;0,"Yes","No"),"")</f>
        <v/>
      </c>
      <c r="C6834" s="11"/>
      <c r="D6834" s="11"/>
      <c r="E6834" s="11"/>
      <c r="F6834" s="11"/>
      <c r="G6834" s="11"/>
      <c r="H6834" s="11"/>
      <c r="I6834" s="15"/>
    </row>
    <row r="6835" spans="1:9" ht="16.5">
      <c r="A6835" s="10" t="b">
        <v>0</v>
      </c>
      <c r="B6835" s="11" t="str">
        <f>IF(D6835&lt;&gt;"",IF(COUNTIF('USPTO TMs'!A:A,D6835)&gt;0,"Yes","No"),"")</f>
        <v/>
      </c>
      <c r="C6835" s="11"/>
      <c r="D6835" s="11"/>
      <c r="E6835" s="11"/>
      <c r="F6835" s="11"/>
      <c r="G6835" s="11"/>
      <c r="H6835" s="11"/>
      <c r="I6835" s="15"/>
    </row>
    <row r="6836" spans="1:9" ht="16.5">
      <c r="A6836" s="10" t="b">
        <v>0</v>
      </c>
      <c r="B6836" s="11" t="str">
        <f>IF(D6836&lt;&gt;"",IF(COUNTIF('USPTO TMs'!A:A,D6836)&gt;0,"Yes","No"),"")</f>
        <v/>
      </c>
      <c r="C6836" s="11"/>
      <c r="D6836" s="11"/>
      <c r="E6836" s="11"/>
      <c r="F6836" s="11"/>
      <c r="G6836" s="11"/>
      <c r="H6836" s="11"/>
      <c r="I6836" s="15"/>
    </row>
    <row r="6837" spans="1:9" ht="16.5">
      <c r="A6837" s="10" t="b">
        <v>0</v>
      </c>
      <c r="B6837" s="11" t="str">
        <f>IF(D6837&lt;&gt;"",IF(COUNTIF('USPTO TMs'!A:A,D6837)&gt;0,"Yes","No"),"")</f>
        <v/>
      </c>
      <c r="C6837" s="11"/>
      <c r="D6837" s="11"/>
      <c r="E6837" s="11"/>
      <c r="F6837" s="11"/>
      <c r="G6837" s="11"/>
      <c r="H6837" s="11"/>
      <c r="I6837" s="15"/>
    </row>
    <row r="6838" spans="1:9" ht="16.5">
      <c r="A6838" s="10" t="b">
        <v>0</v>
      </c>
      <c r="B6838" s="11" t="str">
        <f>IF(D6838&lt;&gt;"",IF(COUNTIF('USPTO TMs'!A:A,D6838)&gt;0,"Yes","No"),"")</f>
        <v/>
      </c>
      <c r="C6838" s="11"/>
      <c r="D6838" s="11"/>
      <c r="E6838" s="11"/>
      <c r="F6838" s="11"/>
      <c r="G6838" s="11"/>
      <c r="H6838" s="11"/>
      <c r="I6838" s="15"/>
    </row>
    <row r="6839" spans="1:9" ht="16.5">
      <c r="A6839" s="10" t="b">
        <v>0</v>
      </c>
      <c r="B6839" s="11" t="str">
        <f>IF(D6839&lt;&gt;"",IF(COUNTIF('USPTO TMs'!A:A,D6839)&gt;0,"Yes","No"),"")</f>
        <v/>
      </c>
      <c r="C6839" s="11"/>
      <c r="D6839" s="11"/>
      <c r="E6839" s="11"/>
      <c r="F6839" s="11"/>
      <c r="G6839" s="11"/>
      <c r="H6839" s="11"/>
      <c r="I6839" s="15"/>
    </row>
    <row r="6840" spans="1:9" ht="16.5">
      <c r="A6840" s="10" t="b">
        <v>0</v>
      </c>
      <c r="B6840" s="11" t="str">
        <f>IF(D6840&lt;&gt;"",IF(COUNTIF('USPTO TMs'!A:A,D6840)&gt;0,"Yes","No"),"")</f>
        <v/>
      </c>
      <c r="C6840" s="11"/>
      <c r="D6840" s="11"/>
      <c r="E6840" s="11"/>
      <c r="F6840" s="11"/>
      <c r="G6840" s="11"/>
      <c r="H6840" s="11"/>
      <c r="I6840" s="15"/>
    </row>
    <row r="6841" spans="1:9" ht="16.5">
      <c r="A6841" s="10" t="b">
        <v>0</v>
      </c>
      <c r="B6841" s="11" t="str">
        <f>IF(D6841&lt;&gt;"",IF(COUNTIF('USPTO TMs'!A:A,D6841)&gt;0,"Yes","No"),"")</f>
        <v/>
      </c>
      <c r="C6841" s="11"/>
      <c r="D6841" s="11"/>
      <c r="E6841" s="11"/>
      <c r="F6841" s="11"/>
      <c r="G6841" s="11"/>
      <c r="H6841" s="11"/>
      <c r="I6841" s="15"/>
    </row>
    <row r="6842" spans="1:9" ht="16.5">
      <c r="A6842" s="10" t="b">
        <v>0</v>
      </c>
      <c r="B6842" s="11" t="str">
        <f>IF(D6842&lt;&gt;"",IF(COUNTIF('USPTO TMs'!A:A,D6842)&gt;0,"Yes","No"),"")</f>
        <v/>
      </c>
      <c r="C6842" s="11"/>
      <c r="D6842" s="11"/>
      <c r="E6842" s="11"/>
      <c r="F6842" s="11"/>
      <c r="G6842" s="11"/>
      <c r="H6842" s="11"/>
      <c r="I6842" s="15"/>
    </row>
    <row r="6843" spans="1:9" ht="16.5">
      <c r="A6843" s="10" t="b">
        <v>0</v>
      </c>
      <c r="B6843" s="11" t="str">
        <f>IF(D6843&lt;&gt;"",IF(COUNTIF('USPTO TMs'!A:A,D6843)&gt;0,"Yes","No"),"")</f>
        <v/>
      </c>
      <c r="C6843" s="11"/>
      <c r="D6843" s="11"/>
      <c r="E6843" s="11"/>
      <c r="F6843" s="11"/>
      <c r="G6843" s="11"/>
      <c r="H6843" s="11"/>
      <c r="I6843" s="15"/>
    </row>
    <row r="6844" spans="1:9" ht="16.5">
      <c r="A6844" s="10" t="b">
        <v>0</v>
      </c>
      <c r="B6844" s="11" t="str">
        <f>IF(D6844&lt;&gt;"",IF(COUNTIF('USPTO TMs'!A:A,D6844)&gt;0,"Yes","No"),"")</f>
        <v/>
      </c>
      <c r="C6844" s="11"/>
      <c r="D6844" s="11"/>
      <c r="E6844" s="11"/>
      <c r="F6844" s="11"/>
      <c r="G6844" s="11"/>
      <c r="H6844" s="11"/>
      <c r="I6844" s="15"/>
    </row>
    <row r="6845" spans="1:9" ht="16.5">
      <c r="A6845" s="10" t="b">
        <v>0</v>
      </c>
      <c r="B6845" s="11" t="str">
        <f>IF(D6845&lt;&gt;"",IF(COUNTIF('USPTO TMs'!A:A,D6845)&gt;0,"Yes","No"),"")</f>
        <v/>
      </c>
      <c r="C6845" s="11"/>
      <c r="D6845" s="11"/>
      <c r="E6845" s="11"/>
      <c r="F6845" s="11"/>
      <c r="G6845" s="11"/>
      <c r="H6845" s="11"/>
      <c r="I6845" s="15"/>
    </row>
    <row r="6846" spans="1:9" ht="16.5">
      <c r="A6846" s="10" t="b">
        <v>0</v>
      </c>
      <c r="B6846" s="11" t="str">
        <f>IF(D6846&lt;&gt;"",IF(COUNTIF('USPTO TMs'!A:A,D6846)&gt;0,"Yes","No"),"")</f>
        <v/>
      </c>
      <c r="C6846" s="11"/>
      <c r="D6846" s="11"/>
      <c r="E6846" s="11"/>
      <c r="F6846" s="11"/>
      <c r="G6846" s="11"/>
      <c r="H6846" s="11"/>
      <c r="I6846" s="15"/>
    </row>
    <row r="6847" spans="1:9" ht="16.5">
      <c r="A6847" s="10" t="b">
        <v>0</v>
      </c>
      <c r="B6847" s="11" t="str">
        <f>IF(D6847&lt;&gt;"",IF(COUNTIF('USPTO TMs'!A:A,D6847)&gt;0,"Yes","No"),"")</f>
        <v/>
      </c>
      <c r="C6847" s="11"/>
      <c r="D6847" s="11"/>
      <c r="E6847" s="11"/>
      <c r="F6847" s="11"/>
      <c r="G6847" s="11"/>
      <c r="H6847" s="11"/>
      <c r="I6847" s="15"/>
    </row>
    <row r="6848" spans="1:9" ht="16.5">
      <c r="A6848" s="10" t="b">
        <v>0</v>
      </c>
      <c r="B6848" s="11" t="str">
        <f>IF(D6848&lt;&gt;"",IF(COUNTIF('USPTO TMs'!A:A,D6848)&gt;0,"Yes","No"),"")</f>
        <v/>
      </c>
      <c r="C6848" s="11"/>
      <c r="D6848" s="11"/>
      <c r="E6848" s="11"/>
      <c r="F6848" s="11"/>
      <c r="G6848" s="11"/>
      <c r="H6848" s="11"/>
      <c r="I6848" s="15"/>
    </row>
    <row r="6849" spans="1:9" ht="16.5">
      <c r="A6849" s="10" t="b">
        <v>0</v>
      </c>
      <c r="B6849" s="11" t="str">
        <f>IF(D6849&lt;&gt;"",IF(COUNTIF('USPTO TMs'!A:A,D6849)&gt;0,"Yes","No"),"")</f>
        <v/>
      </c>
      <c r="C6849" s="11"/>
      <c r="D6849" s="11"/>
      <c r="E6849" s="11"/>
      <c r="F6849" s="11"/>
      <c r="G6849" s="11"/>
      <c r="H6849" s="11"/>
      <c r="I6849" s="15"/>
    </row>
    <row r="6850" spans="1:9" ht="16.5">
      <c r="A6850" s="10" t="b">
        <v>0</v>
      </c>
      <c r="B6850" s="11" t="str">
        <f>IF(D6850&lt;&gt;"",IF(COUNTIF('USPTO TMs'!A:A,D6850)&gt;0,"Yes","No"),"")</f>
        <v/>
      </c>
      <c r="C6850" s="11"/>
      <c r="D6850" s="11"/>
      <c r="E6850" s="11"/>
      <c r="F6850" s="11"/>
      <c r="G6850" s="11"/>
      <c r="H6850" s="11"/>
      <c r="I6850" s="15"/>
    </row>
    <row r="6851" spans="1:9" ht="16.5">
      <c r="A6851" s="10" t="b">
        <v>0</v>
      </c>
      <c r="B6851" s="11" t="str">
        <f>IF(D6851&lt;&gt;"",IF(COUNTIF('USPTO TMs'!A:A,D6851)&gt;0,"Yes","No"),"")</f>
        <v/>
      </c>
      <c r="C6851" s="11"/>
      <c r="D6851" s="11"/>
      <c r="E6851" s="11"/>
      <c r="F6851" s="11"/>
      <c r="G6851" s="11"/>
      <c r="H6851" s="11"/>
      <c r="I6851" s="15"/>
    </row>
    <row r="6852" spans="1:9" ht="16.5">
      <c r="A6852" s="10" t="b">
        <v>0</v>
      </c>
      <c r="B6852" s="11" t="str">
        <f>IF(D6852&lt;&gt;"",IF(COUNTIF('USPTO TMs'!A:A,D6852)&gt;0,"Yes","No"),"")</f>
        <v/>
      </c>
      <c r="C6852" s="11"/>
      <c r="D6852" s="11"/>
      <c r="E6852" s="11"/>
      <c r="F6852" s="11"/>
      <c r="G6852" s="11"/>
      <c r="H6852" s="11"/>
      <c r="I6852" s="15"/>
    </row>
    <row r="6853" spans="1:9" ht="16.5">
      <c r="A6853" s="10" t="b">
        <v>0</v>
      </c>
      <c r="B6853" s="11" t="str">
        <f>IF(D6853&lt;&gt;"",IF(COUNTIF('USPTO TMs'!A:A,D6853)&gt;0,"Yes","No"),"")</f>
        <v/>
      </c>
      <c r="C6853" s="11"/>
      <c r="D6853" s="11"/>
      <c r="E6853" s="11"/>
      <c r="F6853" s="11"/>
      <c r="G6853" s="11"/>
      <c r="H6853" s="11"/>
      <c r="I6853" s="15"/>
    </row>
    <row r="6854" spans="1:9" ht="16.5">
      <c r="A6854" s="10" t="b">
        <v>0</v>
      </c>
      <c r="B6854" s="11" t="str">
        <f>IF(D6854&lt;&gt;"",IF(COUNTIF('USPTO TMs'!A:A,D6854)&gt;0,"Yes","No"),"")</f>
        <v/>
      </c>
      <c r="C6854" s="11"/>
      <c r="D6854" s="11"/>
      <c r="E6854" s="11"/>
      <c r="F6854" s="11"/>
      <c r="G6854" s="11"/>
      <c r="H6854" s="11"/>
      <c r="I6854" s="15"/>
    </row>
    <row r="6855" spans="1:9" ht="16.5">
      <c r="A6855" s="10" t="b">
        <v>0</v>
      </c>
      <c r="B6855" s="11" t="str">
        <f>IF(D6855&lt;&gt;"",IF(COUNTIF('USPTO TMs'!A:A,D6855)&gt;0,"Yes","No"),"")</f>
        <v/>
      </c>
      <c r="C6855" s="11"/>
      <c r="D6855" s="11"/>
      <c r="E6855" s="11"/>
      <c r="F6855" s="11"/>
      <c r="G6855" s="11"/>
      <c r="H6855" s="11"/>
      <c r="I6855" s="15"/>
    </row>
    <row r="6856" spans="1:9" ht="16.5">
      <c r="A6856" s="10" t="b">
        <v>0</v>
      </c>
      <c r="B6856" s="11" t="str">
        <f>IF(D6856&lt;&gt;"",IF(COUNTIF('USPTO TMs'!A:A,D6856)&gt;0,"Yes","No"),"")</f>
        <v/>
      </c>
      <c r="C6856" s="11"/>
      <c r="D6856" s="11"/>
      <c r="E6856" s="11"/>
      <c r="F6856" s="11"/>
      <c r="G6856" s="11"/>
      <c r="H6856" s="11"/>
      <c r="I6856" s="15"/>
    </row>
    <row r="6857" spans="1:9" ht="16.5">
      <c r="A6857" s="10" t="b">
        <v>0</v>
      </c>
      <c r="B6857" s="11" t="str">
        <f>IF(D6857&lt;&gt;"",IF(COUNTIF('USPTO TMs'!A:A,D6857)&gt;0,"Yes","No"),"")</f>
        <v/>
      </c>
      <c r="C6857" s="11"/>
      <c r="D6857" s="11"/>
      <c r="E6857" s="11"/>
      <c r="F6857" s="11"/>
      <c r="G6857" s="11"/>
      <c r="H6857" s="11"/>
      <c r="I6857" s="15"/>
    </row>
    <row r="6858" spans="1:9" ht="16.5">
      <c r="A6858" s="10" t="b">
        <v>0</v>
      </c>
      <c r="B6858" s="11" t="str">
        <f>IF(D6858&lt;&gt;"",IF(COUNTIF('USPTO TMs'!A:A,D6858)&gt;0,"Yes","No"),"")</f>
        <v/>
      </c>
      <c r="C6858" s="11"/>
      <c r="D6858" s="11"/>
      <c r="E6858" s="11"/>
      <c r="F6858" s="11"/>
      <c r="G6858" s="11"/>
      <c r="H6858" s="11"/>
      <c r="I6858" s="15"/>
    </row>
    <row r="6859" spans="1:9" ht="16.5">
      <c r="A6859" s="10" t="b">
        <v>0</v>
      </c>
      <c r="B6859" s="11" t="str">
        <f>IF(D6859&lt;&gt;"",IF(COUNTIF('USPTO TMs'!A:A,D6859)&gt;0,"Yes","No"),"")</f>
        <v/>
      </c>
      <c r="C6859" s="11"/>
      <c r="D6859" s="11"/>
      <c r="E6859" s="11"/>
      <c r="F6859" s="11"/>
      <c r="G6859" s="11"/>
      <c r="H6859" s="11"/>
      <c r="I6859" s="15"/>
    </row>
    <row r="6860" spans="1:9" ht="16.5">
      <c r="A6860" s="10" t="b">
        <v>0</v>
      </c>
      <c r="B6860" s="11" t="str">
        <f>IF(D6860&lt;&gt;"",IF(COUNTIF('USPTO TMs'!A:A,D6860)&gt;0,"Yes","No"),"")</f>
        <v/>
      </c>
      <c r="C6860" s="11"/>
      <c r="D6860" s="11"/>
      <c r="E6860" s="11"/>
      <c r="F6860" s="11"/>
      <c r="G6860" s="11"/>
      <c r="H6860" s="11"/>
      <c r="I6860" s="15"/>
    </row>
    <row r="6861" spans="1:9" ht="16.5">
      <c r="A6861" s="10" t="b">
        <v>0</v>
      </c>
      <c r="B6861" s="11" t="str">
        <f>IF(D6861&lt;&gt;"",IF(COUNTIF('USPTO TMs'!A:A,D6861)&gt;0,"Yes","No"),"")</f>
        <v/>
      </c>
      <c r="C6861" s="11"/>
      <c r="D6861" s="11"/>
      <c r="E6861" s="11"/>
      <c r="F6861" s="11"/>
      <c r="G6861" s="11"/>
      <c r="H6861" s="11"/>
      <c r="I6861" s="15"/>
    </row>
    <row r="6862" spans="1:9" ht="16.5">
      <c r="A6862" s="10" t="b">
        <v>0</v>
      </c>
      <c r="B6862" s="11" t="str">
        <f>IF(D6862&lt;&gt;"",IF(COUNTIF('USPTO TMs'!A:A,D6862)&gt;0,"Yes","No"),"")</f>
        <v/>
      </c>
      <c r="C6862" s="11"/>
      <c r="D6862" s="11"/>
      <c r="E6862" s="11"/>
      <c r="F6862" s="11"/>
      <c r="G6862" s="11"/>
      <c r="H6862" s="11"/>
      <c r="I6862" s="15"/>
    </row>
    <row r="6863" spans="1:9" ht="16.5">
      <c r="A6863" s="10" t="b">
        <v>0</v>
      </c>
      <c r="B6863" s="11" t="str">
        <f>IF(D6863&lt;&gt;"",IF(COUNTIF('USPTO TMs'!A:A,D6863)&gt;0,"Yes","No"),"")</f>
        <v/>
      </c>
      <c r="C6863" s="11"/>
      <c r="D6863" s="11"/>
      <c r="E6863" s="11"/>
      <c r="F6863" s="11"/>
      <c r="G6863" s="11"/>
      <c r="H6863" s="11"/>
      <c r="I6863" s="15"/>
    </row>
    <row r="6864" spans="1:9" ht="16.5">
      <c r="A6864" s="10" t="b">
        <v>0</v>
      </c>
      <c r="B6864" s="11" t="str">
        <f>IF(D6864&lt;&gt;"",IF(COUNTIF('USPTO TMs'!A:A,D6864)&gt;0,"Yes","No"),"")</f>
        <v/>
      </c>
      <c r="C6864" s="11"/>
      <c r="D6864" s="11"/>
      <c r="E6864" s="11"/>
      <c r="F6864" s="11"/>
      <c r="G6864" s="11"/>
      <c r="H6864" s="11"/>
      <c r="I6864" s="15"/>
    </row>
    <row r="6865" spans="1:9" ht="16.5">
      <c r="A6865" s="10" t="b">
        <v>0</v>
      </c>
      <c r="B6865" s="11" t="str">
        <f>IF(D6865&lt;&gt;"",IF(COUNTIF('USPTO TMs'!A:A,D6865)&gt;0,"Yes","No"),"")</f>
        <v/>
      </c>
      <c r="C6865" s="11"/>
      <c r="D6865" s="11"/>
      <c r="E6865" s="11"/>
      <c r="F6865" s="11"/>
      <c r="G6865" s="11"/>
      <c r="H6865" s="11"/>
      <c r="I6865" s="15"/>
    </row>
    <row r="6866" spans="1:9" ht="16.5">
      <c r="A6866" s="10" t="b">
        <v>0</v>
      </c>
      <c r="B6866" s="11" t="str">
        <f>IF(D6866&lt;&gt;"",IF(COUNTIF('USPTO TMs'!A:A,D6866)&gt;0,"Yes","No"),"")</f>
        <v/>
      </c>
      <c r="C6866" s="11"/>
      <c r="D6866" s="11"/>
      <c r="E6866" s="11"/>
      <c r="F6866" s="11"/>
      <c r="G6866" s="11"/>
      <c r="H6866" s="11"/>
      <c r="I6866" s="15"/>
    </row>
    <row r="6867" spans="1:9" ht="16.5">
      <c r="A6867" s="10" t="b">
        <v>0</v>
      </c>
      <c r="B6867" s="11" t="str">
        <f>IF(D6867&lt;&gt;"",IF(COUNTIF('USPTO TMs'!A:A,D6867)&gt;0,"Yes","No"),"")</f>
        <v/>
      </c>
      <c r="C6867" s="11"/>
      <c r="D6867" s="11"/>
      <c r="E6867" s="11"/>
      <c r="F6867" s="11"/>
      <c r="G6867" s="11"/>
      <c r="H6867" s="11"/>
      <c r="I6867" s="15"/>
    </row>
    <row r="6868" spans="1:9" ht="16.5">
      <c r="A6868" s="10" t="b">
        <v>0</v>
      </c>
      <c r="B6868" s="11" t="str">
        <f>IF(D6868&lt;&gt;"",IF(COUNTIF('USPTO TMs'!A:A,D6868)&gt;0,"Yes","No"),"")</f>
        <v/>
      </c>
      <c r="C6868" s="11"/>
      <c r="D6868" s="11"/>
      <c r="E6868" s="11"/>
      <c r="F6868" s="11"/>
      <c r="G6868" s="11"/>
      <c r="H6868" s="11"/>
      <c r="I6868" s="15"/>
    </row>
    <row r="6869" spans="1:9" ht="16.5">
      <c r="A6869" s="10" t="b">
        <v>0</v>
      </c>
      <c r="B6869" s="11" t="str">
        <f>IF(D6869&lt;&gt;"",IF(COUNTIF('USPTO TMs'!A:A,D6869)&gt;0,"Yes","No"),"")</f>
        <v/>
      </c>
      <c r="C6869" s="11"/>
      <c r="D6869" s="11"/>
      <c r="E6869" s="11"/>
      <c r="F6869" s="11"/>
      <c r="G6869" s="11"/>
      <c r="H6869" s="11"/>
      <c r="I6869" s="15"/>
    </row>
    <row r="6870" spans="1:9" ht="16.5">
      <c r="A6870" s="10" t="b">
        <v>0</v>
      </c>
      <c r="B6870" s="11" t="str">
        <f>IF(D6870&lt;&gt;"",IF(COUNTIF('USPTO TMs'!A:A,D6870)&gt;0,"Yes","No"),"")</f>
        <v/>
      </c>
      <c r="C6870" s="11"/>
      <c r="D6870" s="11"/>
      <c r="E6870" s="11"/>
      <c r="F6870" s="11"/>
      <c r="G6870" s="11"/>
      <c r="H6870" s="11"/>
      <c r="I6870" s="15"/>
    </row>
    <row r="6871" spans="1:9" ht="16.5">
      <c r="A6871" s="10" t="b">
        <v>0</v>
      </c>
      <c r="B6871" s="11" t="str">
        <f>IF(D6871&lt;&gt;"",IF(COUNTIF('USPTO TMs'!A:A,D6871)&gt;0,"Yes","No"),"")</f>
        <v/>
      </c>
      <c r="C6871" s="11"/>
      <c r="D6871" s="11"/>
      <c r="E6871" s="11"/>
      <c r="F6871" s="11"/>
      <c r="G6871" s="11"/>
      <c r="H6871" s="11"/>
      <c r="I6871" s="15"/>
    </row>
    <row r="6872" spans="1:9" ht="16.5">
      <c r="A6872" s="10" t="b">
        <v>0</v>
      </c>
      <c r="B6872" s="11" t="str">
        <f>IF(D6872&lt;&gt;"",IF(COUNTIF('USPTO TMs'!A:A,D6872)&gt;0,"Yes","No"),"")</f>
        <v/>
      </c>
      <c r="C6872" s="11"/>
      <c r="D6872" s="11"/>
      <c r="E6872" s="11"/>
      <c r="F6872" s="11"/>
      <c r="G6872" s="11"/>
      <c r="H6872" s="11"/>
      <c r="I6872" s="15"/>
    </row>
    <row r="6873" spans="1:9" ht="16.5">
      <c r="A6873" s="10" t="b">
        <v>0</v>
      </c>
      <c r="B6873" s="11" t="str">
        <f>IF(D6873&lt;&gt;"",IF(COUNTIF('USPTO TMs'!A:A,D6873)&gt;0,"Yes","No"),"")</f>
        <v/>
      </c>
      <c r="C6873" s="11"/>
      <c r="D6873" s="11"/>
      <c r="E6873" s="11"/>
      <c r="F6873" s="11"/>
      <c r="G6873" s="11"/>
      <c r="H6873" s="11"/>
      <c r="I6873" s="15"/>
    </row>
    <row r="6874" spans="1:9" ht="16.5">
      <c r="A6874" s="10" t="b">
        <v>0</v>
      </c>
      <c r="B6874" s="11" t="str">
        <f>IF(D6874&lt;&gt;"",IF(COUNTIF('USPTO TMs'!A:A,D6874)&gt;0,"Yes","No"),"")</f>
        <v/>
      </c>
      <c r="C6874" s="11"/>
      <c r="D6874" s="11"/>
      <c r="E6874" s="11"/>
      <c r="F6874" s="11"/>
      <c r="G6874" s="11"/>
      <c r="H6874" s="11"/>
      <c r="I6874" s="15"/>
    </row>
    <row r="6875" spans="1:9" ht="16.5">
      <c r="A6875" s="10" t="b">
        <v>0</v>
      </c>
      <c r="B6875" s="11" t="str">
        <f>IF(D6875&lt;&gt;"",IF(COUNTIF('USPTO TMs'!A:A,D6875)&gt;0,"Yes","No"),"")</f>
        <v/>
      </c>
      <c r="C6875" s="11"/>
      <c r="D6875" s="11"/>
      <c r="E6875" s="11"/>
      <c r="F6875" s="11"/>
      <c r="G6875" s="11"/>
      <c r="H6875" s="11"/>
      <c r="I6875" s="15"/>
    </row>
    <row r="6876" spans="1:9" ht="16.5">
      <c r="A6876" s="10" t="b">
        <v>0</v>
      </c>
      <c r="B6876" s="11" t="str">
        <f>IF(D6876&lt;&gt;"",IF(COUNTIF('USPTO TMs'!A:A,D6876)&gt;0,"Yes","No"),"")</f>
        <v/>
      </c>
      <c r="C6876" s="11"/>
      <c r="D6876" s="11"/>
      <c r="E6876" s="11"/>
      <c r="F6876" s="11"/>
      <c r="G6876" s="11"/>
      <c r="H6876" s="11"/>
      <c r="I6876" s="15"/>
    </row>
    <row r="6877" spans="1:9" ht="16.5">
      <c r="A6877" s="10" t="b">
        <v>0</v>
      </c>
      <c r="B6877" s="11" t="str">
        <f>IF(D6877&lt;&gt;"",IF(COUNTIF('USPTO TMs'!A:A,D6877)&gt;0,"Yes","No"),"")</f>
        <v/>
      </c>
      <c r="C6877" s="11"/>
      <c r="D6877" s="11"/>
      <c r="E6877" s="11"/>
      <c r="F6877" s="11"/>
      <c r="G6877" s="11"/>
      <c r="H6877" s="11"/>
      <c r="I6877" s="15"/>
    </row>
    <row r="6878" spans="1:9" ht="16.5">
      <c r="A6878" s="10" t="b">
        <v>0</v>
      </c>
      <c r="B6878" s="11" t="str">
        <f>IF(D6878&lt;&gt;"",IF(COUNTIF('USPTO TMs'!A:A,D6878)&gt;0,"Yes","No"),"")</f>
        <v/>
      </c>
      <c r="C6878" s="11"/>
      <c r="D6878" s="11"/>
      <c r="E6878" s="11"/>
      <c r="F6878" s="11"/>
      <c r="G6878" s="11"/>
      <c r="H6878" s="11"/>
      <c r="I6878" s="15"/>
    </row>
    <row r="6879" spans="1:9" ht="16.5">
      <c r="A6879" s="10" t="b">
        <v>0</v>
      </c>
      <c r="B6879" s="11" t="str">
        <f>IF(D6879&lt;&gt;"",IF(COUNTIF('USPTO TMs'!A:A,D6879)&gt;0,"Yes","No"),"")</f>
        <v/>
      </c>
      <c r="C6879" s="11"/>
      <c r="D6879" s="11"/>
      <c r="E6879" s="11"/>
      <c r="F6879" s="11"/>
      <c r="G6879" s="11"/>
      <c r="H6879" s="11"/>
      <c r="I6879" s="15"/>
    </row>
    <row r="6880" spans="1:9" ht="16.5">
      <c r="A6880" s="10" t="b">
        <v>0</v>
      </c>
      <c r="B6880" s="11" t="str">
        <f>IF(D6880&lt;&gt;"",IF(COUNTIF('USPTO TMs'!A:A,D6880)&gt;0,"Yes","No"),"")</f>
        <v/>
      </c>
      <c r="C6880" s="11"/>
      <c r="D6880" s="11"/>
      <c r="E6880" s="11"/>
      <c r="F6880" s="11"/>
      <c r="G6880" s="11"/>
      <c r="H6880" s="11"/>
      <c r="I6880" s="15"/>
    </row>
    <row r="6881" spans="1:9" ht="16.5">
      <c r="A6881" s="10" t="b">
        <v>0</v>
      </c>
      <c r="B6881" s="11" t="str">
        <f>IF(D6881&lt;&gt;"",IF(COUNTIF('USPTO TMs'!A:A,D6881)&gt;0,"Yes","No"),"")</f>
        <v/>
      </c>
      <c r="C6881" s="11"/>
      <c r="D6881" s="11"/>
      <c r="E6881" s="11"/>
      <c r="F6881" s="11"/>
      <c r="G6881" s="11"/>
      <c r="H6881" s="11"/>
      <c r="I6881" s="15"/>
    </row>
    <row r="6882" spans="1:9" ht="16.5">
      <c r="A6882" s="10" t="b">
        <v>0</v>
      </c>
      <c r="B6882" s="11" t="str">
        <f>IF(D6882&lt;&gt;"",IF(COUNTIF('USPTO TMs'!A:A,D6882)&gt;0,"Yes","No"),"")</f>
        <v/>
      </c>
      <c r="C6882" s="11"/>
      <c r="D6882" s="11"/>
      <c r="E6882" s="11"/>
      <c r="F6882" s="11"/>
      <c r="G6882" s="11"/>
      <c r="H6882" s="11"/>
      <c r="I6882" s="15"/>
    </row>
    <row r="6883" spans="1:9" ht="16.5">
      <c r="A6883" s="10" t="b">
        <v>0</v>
      </c>
      <c r="B6883" s="11" t="str">
        <f>IF(D6883&lt;&gt;"",IF(COUNTIF('USPTO TMs'!A:A,D6883)&gt;0,"Yes","No"),"")</f>
        <v/>
      </c>
      <c r="C6883" s="11"/>
      <c r="D6883" s="11"/>
      <c r="E6883" s="11"/>
      <c r="F6883" s="11"/>
      <c r="G6883" s="11"/>
      <c r="H6883" s="11"/>
      <c r="I6883" s="15"/>
    </row>
    <row r="6884" spans="1:9" ht="16.5">
      <c r="A6884" s="10" t="b">
        <v>0</v>
      </c>
      <c r="B6884" s="11" t="str">
        <f>IF(D6884&lt;&gt;"",IF(COUNTIF('USPTO TMs'!A:A,D6884)&gt;0,"Yes","No"),"")</f>
        <v/>
      </c>
      <c r="C6884" s="11"/>
      <c r="D6884" s="11"/>
      <c r="E6884" s="11"/>
      <c r="F6884" s="11"/>
      <c r="G6884" s="11"/>
      <c r="H6884" s="11"/>
      <c r="I6884" s="15"/>
    </row>
    <row r="6885" spans="1:9" ht="16.5">
      <c r="A6885" s="10" t="b">
        <v>0</v>
      </c>
      <c r="B6885" s="11" t="str">
        <f>IF(D6885&lt;&gt;"",IF(COUNTIF('USPTO TMs'!A:A,D6885)&gt;0,"Yes","No"),"")</f>
        <v/>
      </c>
      <c r="C6885" s="11"/>
      <c r="D6885" s="11"/>
      <c r="E6885" s="11"/>
      <c r="F6885" s="11"/>
      <c r="G6885" s="11"/>
      <c r="H6885" s="11"/>
      <c r="I6885" s="15"/>
    </row>
    <row r="6886" spans="1:9" ht="16.5">
      <c r="A6886" s="10" t="b">
        <v>0</v>
      </c>
      <c r="B6886" s="11" t="str">
        <f>IF(D6886&lt;&gt;"",IF(COUNTIF('USPTO TMs'!A:A,D6886)&gt;0,"Yes","No"),"")</f>
        <v/>
      </c>
      <c r="C6886" s="11"/>
      <c r="D6886" s="11"/>
      <c r="E6886" s="11"/>
      <c r="F6886" s="11"/>
      <c r="G6886" s="11"/>
      <c r="H6886" s="11"/>
      <c r="I6886" s="15"/>
    </row>
    <row r="6887" spans="1:9" ht="16.5">
      <c r="A6887" s="10" t="b">
        <v>0</v>
      </c>
      <c r="B6887" s="11" t="str">
        <f>IF(D6887&lt;&gt;"",IF(COUNTIF('USPTO TMs'!A:A,D6887)&gt;0,"Yes","No"),"")</f>
        <v/>
      </c>
      <c r="C6887" s="11"/>
      <c r="D6887" s="11"/>
      <c r="E6887" s="11"/>
      <c r="F6887" s="11"/>
      <c r="G6887" s="11"/>
      <c r="H6887" s="11"/>
      <c r="I6887" s="15"/>
    </row>
    <row r="6888" spans="1:9" ht="16.5">
      <c r="A6888" s="10" t="b">
        <v>0</v>
      </c>
      <c r="B6888" s="11" t="str">
        <f>IF(D6888&lt;&gt;"",IF(COUNTIF('USPTO TMs'!A:A,D6888)&gt;0,"Yes","No"),"")</f>
        <v/>
      </c>
      <c r="C6888" s="11"/>
      <c r="D6888" s="11"/>
      <c r="E6888" s="11"/>
      <c r="F6888" s="11"/>
      <c r="G6888" s="11"/>
      <c r="H6888" s="11"/>
      <c r="I6888" s="15"/>
    </row>
    <row r="6889" spans="1:9" ht="16.5">
      <c r="A6889" s="10" t="b">
        <v>0</v>
      </c>
      <c r="B6889" s="11" t="str">
        <f>IF(D6889&lt;&gt;"",IF(COUNTIF('USPTO TMs'!A:A,D6889)&gt;0,"Yes","No"),"")</f>
        <v/>
      </c>
      <c r="C6889" s="11"/>
      <c r="D6889" s="11"/>
      <c r="E6889" s="11"/>
      <c r="F6889" s="11"/>
      <c r="G6889" s="11"/>
      <c r="H6889" s="11"/>
      <c r="I6889" s="15"/>
    </row>
    <row r="6890" spans="1:9" ht="16.5">
      <c r="A6890" s="10" t="b">
        <v>0</v>
      </c>
      <c r="B6890" s="11" t="str">
        <f>IF(D6890&lt;&gt;"",IF(COUNTIF('USPTO TMs'!A:A,D6890)&gt;0,"Yes","No"),"")</f>
        <v/>
      </c>
      <c r="C6890" s="11"/>
      <c r="D6890" s="11"/>
      <c r="E6890" s="11"/>
      <c r="F6890" s="11"/>
      <c r="G6890" s="11"/>
      <c r="H6890" s="11"/>
      <c r="I6890" s="15"/>
    </row>
    <row r="6891" spans="1:9" ht="16.5">
      <c r="A6891" s="10" t="b">
        <v>0</v>
      </c>
      <c r="B6891" s="11" t="str">
        <f>IF(D6891&lt;&gt;"",IF(COUNTIF('USPTO TMs'!A:A,D6891)&gt;0,"Yes","No"),"")</f>
        <v/>
      </c>
      <c r="C6891" s="11"/>
      <c r="D6891" s="11"/>
      <c r="E6891" s="11"/>
      <c r="F6891" s="11"/>
      <c r="G6891" s="11"/>
      <c r="H6891" s="11"/>
      <c r="I6891" s="15"/>
    </row>
    <row r="6892" spans="1:9" ht="16.5">
      <c r="A6892" s="10" t="b">
        <v>0</v>
      </c>
      <c r="B6892" s="11" t="str">
        <f>IF(D6892&lt;&gt;"",IF(COUNTIF('USPTO TMs'!A:A,D6892)&gt;0,"Yes","No"),"")</f>
        <v/>
      </c>
      <c r="C6892" s="11"/>
      <c r="D6892" s="11"/>
      <c r="E6892" s="11"/>
      <c r="F6892" s="11"/>
      <c r="G6892" s="11"/>
      <c r="H6892" s="11"/>
      <c r="I6892" s="15"/>
    </row>
    <row r="6893" spans="1:9" ht="16.5">
      <c r="A6893" s="10" t="b">
        <v>0</v>
      </c>
      <c r="B6893" s="11" t="str">
        <f>IF(D6893&lt;&gt;"",IF(COUNTIF('USPTO TMs'!A:A,D6893)&gt;0,"Yes","No"),"")</f>
        <v/>
      </c>
      <c r="C6893" s="11"/>
      <c r="D6893" s="11"/>
      <c r="E6893" s="11"/>
      <c r="F6893" s="11"/>
      <c r="G6893" s="11"/>
      <c r="H6893" s="11"/>
      <c r="I6893" s="15"/>
    </row>
    <row r="6894" spans="1:9" ht="16.5">
      <c r="A6894" s="10" t="b">
        <v>0</v>
      </c>
      <c r="B6894" s="11" t="str">
        <f>IF(D6894&lt;&gt;"",IF(COUNTIF('USPTO TMs'!A:A,D6894)&gt;0,"Yes","No"),"")</f>
        <v/>
      </c>
      <c r="C6894" s="11"/>
      <c r="D6894" s="11"/>
      <c r="E6894" s="11"/>
      <c r="F6894" s="11"/>
      <c r="G6894" s="11"/>
      <c r="H6894" s="11"/>
      <c r="I6894" s="15"/>
    </row>
    <row r="6895" spans="1:9" ht="16.5">
      <c r="A6895" s="10" t="b">
        <v>0</v>
      </c>
      <c r="B6895" s="11" t="str">
        <f>IF(D6895&lt;&gt;"",IF(COUNTIF('USPTO TMs'!A:A,D6895)&gt;0,"Yes","No"),"")</f>
        <v/>
      </c>
      <c r="C6895" s="11"/>
      <c r="D6895" s="11"/>
      <c r="E6895" s="11"/>
      <c r="F6895" s="11"/>
      <c r="G6895" s="11"/>
      <c r="H6895" s="11"/>
      <c r="I6895" s="15"/>
    </row>
    <row r="6896" spans="1:9" ht="16.5">
      <c r="A6896" s="10" t="b">
        <v>0</v>
      </c>
      <c r="B6896" s="11" t="str">
        <f>IF(D6896&lt;&gt;"",IF(COUNTIF('USPTO TMs'!A:A,D6896)&gt;0,"Yes","No"),"")</f>
        <v/>
      </c>
      <c r="C6896" s="11"/>
      <c r="D6896" s="11"/>
      <c r="E6896" s="11"/>
      <c r="F6896" s="11"/>
      <c r="G6896" s="11"/>
      <c r="H6896" s="11"/>
      <c r="I6896" s="15"/>
    </row>
    <row r="6897" spans="1:9" ht="16.5">
      <c r="A6897" s="10" t="b">
        <v>0</v>
      </c>
      <c r="B6897" s="11" t="str">
        <f>IF(D6897&lt;&gt;"",IF(COUNTIF('USPTO TMs'!A:A,D6897)&gt;0,"Yes","No"),"")</f>
        <v/>
      </c>
      <c r="C6897" s="11"/>
      <c r="D6897" s="11"/>
      <c r="E6897" s="11"/>
      <c r="F6897" s="11"/>
      <c r="G6897" s="11"/>
      <c r="H6897" s="11"/>
      <c r="I6897" s="15"/>
    </row>
    <row r="6898" spans="1:9" ht="16.5">
      <c r="A6898" s="10" t="b">
        <v>0</v>
      </c>
      <c r="B6898" s="11" t="str">
        <f>IF(D6898&lt;&gt;"",IF(COUNTIF('USPTO TMs'!A:A,D6898)&gt;0,"Yes","No"),"")</f>
        <v/>
      </c>
      <c r="C6898" s="11"/>
      <c r="D6898" s="11"/>
      <c r="E6898" s="11"/>
      <c r="F6898" s="11"/>
      <c r="G6898" s="11"/>
      <c r="H6898" s="11"/>
      <c r="I6898" s="15"/>
    </row>
    <row r="6899" spans="1:9" ht="16.5">
      <c r="A6899" s="10" t="b">
        <v>0</v>
      </c>
      <c r="B6899" s="11" t="str">
        <f>IF(D6899&lt;&gt;"",IF(COUNTIF('USPTO TMs'!A:A,D6899)&gt;0,"Yes","No"),"")</f>
        <v/>
      </c>
      <c r="C6899" s="11"/>
      <c r="D6899" s="11"/>
      <c r="E6899" s="11"/>
      <c r="F6899" s="11"/>
      <c r="G6899" s="11"/>
      <c r="H6899" s="11"/>
      <c r="I6899" s="15"/>
    </row>
    <row r="6900" spans="1:9" ht="16.5">
      <c r="A6900" s="10" t="b">
        <v>0</v>
      </c>
      <c r="B6900" s="11" t="str">
        <f>IF(D6900&lt;&gt;"",IF(COUNTIF('USPTO TMs'!A:A,D6900)&gt;0,"Yes","No"),"")</f>
        <v/>
      </c>
      <c r="C6900" s="11"/>
      <c r="D6900" s="11"/>
      <c r="E6900" s="11"/>
      <c r="F6900" s="11"/>
      <c r="G6900" s="11"/>
      <c r="H6900" s="11"/>
      <c r="I6900" s="15"/>
    </row>
    <row r="6901" spans="1:9" ht="16.5">
      <c r="A6901" s="10" t="b">
        <v>0</v>
      </c>
      <c r="B6901" s="11" t="str">
        <f>IF(D6901&lt;&gt;"",IF(COUNTIF('USPTO TMs'!A:A,D6901)&gt;0,"Yes","No"),"")</f>
        <v/>
      </c>
      <c r="C6901" s="11"/>
      <c r="D6901" s="11"/>
      <c r="E6901" s="11"/>
      <c r="F6901" s="11"/>
      <c r="G6901" s="11"/>
      <c r="H6901" s="11"/>
      <c r="I6901" s="15"/>
    </row>
    <row r="6902" spans="1:9" ht="16.5">
      <c r="A6902" s="10" t="b">
        <v>0</v>
      </c>
      <c r="B6902" s="11" t="str">
        <f>IF(D6902&lt;&gt;"",IF(COUNTIF('USPTO TMs'!A:A,D6902)&gt;0,"Yes","No"),"")</f>
        <v/>
      </c>
      <c r="C6902" s="11"/>
      <c r="D6902" s="11"/>
      <c r="E6902" s="11"/>
      <c r="F6902" s="11"/>
      <c r="G6902" s="11"/>
      <c r="H6902" s="11"/>
      <c r="I6902" s="15"/>
    </row>
    <row r="6903" spans="1:9" ht="16.5">
      <c r="A6903" s="10" t="b">
        <v>0</v>
      </c>
      <c r="B6903" s="11" t="str">
        <f>IF(D6903&lt;&gt;"",IF(COUNTIF('USPTO TMs'!A:A,D6903)&gt;0,"Yes","No"),"")</f>
        <v/>
      </c>
      <c r="C6903" s="11"/>
      <c r="D6903" s="11"/>
      <c r="E6903" s="11"/>
      <c r="F6903" s="11"/>
      <c r="G6903" s="11"/>
      <c r="H6903" s="11"/>
      <c r="I6903" s="15"/>
    </row>
    <row r="6904" spans="1:9" ht="16.5">
      <c r="A6904" s="10" t="b">
        <v>0</v>
      </c>
      <c r="B6904" s="11" t="str">
        <f>IF(D6904&lt;&gt;"",IF(COUNTIF('USPTO TMs'!A:A,D6904)&gt;0,"Yes","No"),"")</f>
        <v/>
      </c>
      <c r="C6904" s="11"/>
      <c r="D6904" s="11"/>
      <c r="E6904" s="11"/>
      <c r="F6904" s="11"/>
      <c r="G6904" s="11"/>
      <c r="H6904" s="11"/>
      <c r="I6904" s="15"/>
    </row>
    <row r="6905" spans="1:9" ht="16.5">
      <c r="A6905" s="10" t="b">
        <v>0</v>
      </c>
      <c r="B6905" s="11" t="str">
        <f>IF(D6905&lt;&gt;"",IF(COUNTIF('USPTO TMs'!A:A,D6905)&gt;0,"Yes","No"),"")</f>
        <v/>
      </c>
      <c r="C6905" s="11"/>
      <c r="D6905" s="11"/>
      <c r="E6905" s="11"/>
      <c r="F6905" s="11"/>
      <c r="G6905" s="11"/>
      <c r="H6905" s="11"/>
      <c r="I6905" s="15"/>
    </row>
    <row r="6906" spans="1:9" ht="16.5">
      <c r="A6906" s="10" t="b">
        <v>0</v>
      </c>
      <c r="B6906" s="11" t="str">
        <f>IF(D6906&lt;&gt;"",IF(COUNTIF('USPTO TMs'!A:A,D6906)&gt;0,"Yes","No"),"")</f>
        <v/>
      </c>
      <c r="C6906" s="11"/>
      <c r="D6906" s="11"/>
      <c r="E6906" s="11"/>
      <c r="F6906" s="11"/>
      <c r="G6906" s="11"/>
      <c r="H6906" s="11"/>
      <c r="I6906" s="15"/>
    </row>
    <row r="6907" spans="1:9" ht="16.5">
      <c r="A6907" s="10" t="b">
        <v>0</v>
      </c>
      <c r="B6907" s="11" t="str">
        <f>IF(D6907&lt;&gt;"",IF(COUNTIF('USPTO TMs'!A:A,D6907)&gt;0,"Yes","No"),"")</f>
        <v/>
      </c>
      <c r="C6907" s="11"/>
      <c r="D6907" s="11"/>
      <c r="E6907" s="11"/>
      <c r="F6907" s="11"/>
      <c r="G6907" s="11"/>
      <c r="H6907" s="11"/>
      <c r="I6907" s="15"/>
    </row>
    <row r="6908" spans="1:9" ht="16.5">
      <c r="A6908" s="10" t="b">
        <v>0</v>
      </c>
      <c r="B6908" s="11" t="str">
        <f>IF(D6908&lt;&gt;"",IF(COUNTIF('USPTO TMs'!A:A,D6908)&gt;0,"Yes","No"),"")</f>
        <v/>
      </c>
      <c r="C6908" s="11"/>
      <c r="D6908" s="11"/>
      <c r="E6908" s="11"/>
      <c r="F6908" s="11"/>
      <c r="G6908" s="11"/>
      <c r="H6908" s="11"/>
      <c r="I6908" s="15"/>
    </row>
    <row r="6909" spans="1:9" ht="16.5">
      <c r="A6909" s="10" t="b">
        <v>0</v>
      </c>
      <c r="B6909" s="11" t="str">
        <f>IF(D6909&lt;&gt;"",IF(COUNTIF('USPTO TMs'!A:A,D6909)&gt;0,"Yes","No"),"")</f>
        <v/>
      </c>
      <c r="C6909" s="11"/>
      <c r="D6909" s="11"/>
      <c r="E6909" s="11"/>
      <c r="F6909" s="11"/>
      <c r="G6909" s="11"/>
      <c r="H6909" s="11"/>
      <c r="I6909" s="15"/>
    </row>
    <row r="6910" spans="1:9" ht="16.5">
      <c r="A6910" s="10" t="b">
        <v>0</v>
      </c>
      <c r="B6910" s="11" t="str">
        <f>IF(D6910&lt;&gt;"",IF(COUNTIF('USPTO TMs'!A:A,D6910)&gt;0,"Yes","No"),"")</f>
        <v/>
      </c>
      <c r="C6910" s="11"/>
      <c r="D6910" s="11"/>
      <c r="E6910" s="11"/>
      <c r="F6910" s="11"/>
      <c r="G6910" s="11"/>
      <c r="H6910" s="11"/>
      <c r="I6910" s="15"/>
    </row>
    <row r="6911" spans="1:9" ht="16.5">
      <c r="A6911" s="10" t="b">
        <v>0</v>
      </c>
      <c r="B6911" s="11" t="str">
        <f>IF(D6911&lt;&gt;"",IF(COUNTIF('USPTO TMs'!A:A,D6911)&gt;0,"Yes","No"),"")</f>
        <v/>
      </c>
      <c r="C6911" s="11"/>
      <c r="D6911" s="11"/>
      <c r="E6911" s="11"/>
      <c r="F6911" s="11"/>
      <c r="G6911" s="11"/>
      <c r="H6911" s="11"/>
      <c r="I6911" s="15"/>
    </row>
    <row r="6912" spans="1:9" ht="16.5">
      <c r="A6912" s="10" t="b">
        <v>0</v>
      </c>
      <c r="B6912" s="11" t="str">
        <f>IF(D6912&lt;&gt;"",IF(COUNTIF('USPTO TMs'!A:A,D6912)&gt;0,"Yes","No"),"")</f>
        <v/>
      </c>
      <c r="C6912" s="11"/>
      <c r="D6912" s="11"/>
      <c r="E6912" s="11"/>
      <c r="F6912" s="11"/>
      <c r="G6912" s="11"/>
      <c r="H6912" s="11"/>
      <c r="I6912" s="15"/>
    </row>
    <row r="6913" spans="1:9" ht="16.5">
      <c r="A6913" s="10" t="b">
        <v>0</v>
      </c>
      <c r="B6913" s="11" t="str">
        <f>IF(D6913&lt;&gt;"",IF(COUNTIF('USPTO TMs'!A:A,D6913)&gt;0,"Yes","No"),"")</f>
        <v/>
      </c>
      <c r="C6913" s="11"/>
      <c r="D6913" s="11"/>
      <c r="E6913" s="11"/>
      <c r="F6913" s="11"/>
      <c r="G6913" s="11"/>
      <c r="H6913" s="11"/>
      <c r="I6913" s="15"/>
    </row>
    <row r="6914" spans="1:9" ht="16.5">
      <c r="A6914" s="10" t="b">
        <v>0</v>
      </c>
      <c r="B6914" s="11" t="str">
        <f>IF(D6914&lt;&gt;"",IF(COUNTIF('USPTO TMs'!A:A,D6914)&gt;0,"Yes","No"),"")</f>
        <v/>
      </c>
      <c r="C6914" s="11"/>
      <c r="D6914" s="11"/>
      <c r="E6914" s="11"/>
      <c r="F6914" s="11"/>
      <c r="G6914" s="11"/>
      <c r="H6914" s="11"/>
      <c r="I6914" s="15"/>
    </row>
    <row r="6915" spans="1:9" ht="16.5">
      <c r="A6915" s="10" t="b">
        <v>0</v>
      </c>
      <c r="B6915" s="11" t="str">
        <f>IF(D6915&lt;&gt;"",IF(COUNTIF('USPTO TMs'!A:A,D6915)&gt;0,"Yes","No"),"")</f>
        <v/>
      </c>
      <c r="C6915" s="11"/>
      <c r="D6915" s="11"/>
      <c r="E6915" s="11"/>
      <c r="F6915" s="11"/>
      <c r="G6915" s="11"/>
      <c r="H6915" s="11"/>
      <c r="I6915" s="15"/>
    </row>
    <row r="6916" spans="1:9" ht="16.5">
      <c r="A6916" s="10" t="b">
        <v>0</v>
      </c>
      <c r="B6916" s="11" t="str">
        <f>IF(D6916&lt;&gt;"",IF(COUNTIF('USPTO TMs'!A:A,D6916)&gt;0,"Yes","No"),"")</f>
        <v/>
      </c>
      <c r="C6916" s="11"/>
      <c r="D6916" s="11"/>
      <c r="E6916" s="11"/>
      <c r="F6916" s="11"/>
      <c r="G6916" s="11"/>
      <c r="H6916" s="11"/>
      <c r="I6916" s="15"/>
    </row>
    <row r="6917" spans="1:9" ht="16.5">
      <c r="A6917" s="10" t="b">
        <v>0</v>
      </c>
      <c r="B6917" s="11" t="str">
        <f>IF(D6917&lt;&gt;"",IF(COUNTIF('USPTO TMs'!A:A,D6917)&gt;0,"Yes","No"),"")</f>
        <v/>
      </c>
      <c r="C6917" s="11"/>
      <c r="D6917" s="11"/>
      <c r="E6917" s="11"/>
      <c r="F6917" s="11"/>
      <c r="G6917" s="11"/>
      <c r="H6917" s="11"/>
      <c r="I6917" s="15"/>
    </row>
    <row r="6918" spans="1:9" ht="16.5">
      <c r="A6918" s="10" t="b">
        <v>0</v>
      </c>
      <c r="B6918" s="11" t="str">
        <f>IF(D6918&lt;&gt;"",IF(COUNTIF('USPTO TMs'!A:A,D6918)&gt;0,"Yes","No"),"")</f>
        <v/>
      </c>
      <c r="C6918" s="11"/>
      <c r="D6918" s="11"/>
      <c r="E6918" s="11"/>
      <c r="F6918" s="11"/>
      <c r="G6918" s="11"/>
      <c r="H6918" s="11"/>
      <c r="I6918" s="15"/>
    </row>
    <row r="6919" spans="1:9" ht="16.5">
      <c r="A6919" s="10" t="b">
        <v>0</v>
      </c>
      <c r="B6919" s="11" t="str">
        <f>IF(D6919&lt;&gt;"",IF(COUNTIF('USPTO TMs'!A:A,D6919)&gt;0,"Yes","No"),"")</f>
        <v/>
      </c>
      <c r="C6919" s="11"/>
      <c r="D6919" s="11"/>
      <c r="E6919" s="11"/>
      <c r="F6919" s="11"/>
      <c r="G6919" s="11"/>
      <c r="H6919" s="11"/>
      <c r="I6919" s="15"/>
    </row>
    <row r="6920" spans="1:9" ht="16.5">
      <c r="A6920" s="10" t="b">
        <v>0</v>
      </c>
      <c r="B6920" s="11" t="str">
        <f>IF(D6920&lt;&gt;"",IF(COUNTIF('USPTO TMs'!A:A,D6920)&gt;0,"Yes","No"),"")</f>
        <v/>
      </c>
      <c r="C6920" s="11"/>
      <c r="D6920" s="11"/>
      <c r="E6920" s="11"/>
      <c r="F6920" s="11"/>
      <c r="G6920" s="11"/>
      <c r="H6920" s="11"/>
      <c r="I6920" s="15"/>
    </row>
    <row r="6921" spans="1:9" ht="16.5">
      <c r="A6921" s="10" t="b">
        <v>0</v>
      </c>
      <c r="B6921" s="11" t="str">
        <f>IF(D6921&lt;&gt;"",IF(COUNTIF('USPTO TMs'!A:A,D6921)&gt;0,"Yes","No"),"")</f>
        <v/>
      </c>
      <c r="C6921" s="11"/>
      <c r="D6921" s="11"/>
      <c r="E6921" s="11"/>
      <c r="F6921" s="11"/>
      <c r="G6921" s="11"/>
      <c r="H6921" s="11"/>
      <c r="I6921" s="15"/>
    </row>
    <row r="6922" spans="1:9" ht="16.5">
      <c r="A6922" s="10" t="b">
        <v>0</v>
      </c>
      <c r="B6922" s="11" t="str">
        <f>IF(D6922&lt;&gt;"",IF(COUNTIF('USPTO TMs'!A:A,D6922)&gt;0,"Yes","No"),"")</f>
        <v/>
      </c>
      <c r="C6922" s="11"/>
      <c r="D6922" s="11"/>
      <c r="E6922" s="11"/>
      <c r="F6922" s="11"/>
      <c r="G6922" s="11"/>
      <c r="H6922" s="11"/>
      <c r="I6922" s="15"/>
    </row>
    <row r="6923" spans="1:9" ht="16.5">
      <c r="A6923" s="10" t="b">
        <v>0</v>
      </c>
      <c r="B6923" s="11" t="str">
        <f>IF(D6923&lt;&gt;"",IF(COUNTIF('USPTO TMs'!A:A,D6923)&gt;0,"Yes","No"),"")</f>
        <v/>
      </c>
      <c r="C6923" s="11"/>
      <c r="D6923" s="11"/>
      <c r="E6923" s="11"/>
      <c r="F6923" s="11"/>
      <c r="G6923" s="11"/>
      <c r="H6923" s="11"/>
      <c r="I6923" s="15"/>
    </row>
    <row r="6924" spans="1:9" ht="16.5">
      <c r="A6924" s="10" t="b">
        <v>0</v>
      </c>
      <c r="B6924" s="11" t="str">
        <f>IF(D6924&lt;&gt;"",IF(COUNTIF('USPTO TMs'!A:A,D6924)&gt;0,"Yes","No"),"")</f>
        <v/>
      </c>
      <c r="C6924" s="11"/>
      <c r="D6924" s="11"/>
      <c r="E6924" s="11"/>
      <c r="F6924" s="11"/>
      <c r="G6924" s="11"/>
      <c r="H6924" s="11"/>
      <c r="I6924" s="15"/>
    </row>
    <row r="6925" spans="1:9" ht="16.5">
      <c r="A6925" s="10" t="b">
        <v>0</v>
      </c>
      <c r="B6925" s="11" t="str">
        <f>IF(D6925&lt;&gt;"",IF(COUNTIF('USPTO TMs'!A:A,D6925)&gt;0,"Yes","No"),"")</f>
        <v/>
      </c>
      <c r="C6925" s="11"/>
      <c r="D6925" s="11"/>
      <c r="E6925" s="11"/>
      <c r="F6925" s="11"/>
      <c r="G6925" s="11"/>
      <c r="H6925" s="11"/>
      <c r="I6925" s="15"/>
    </row>
    <row r="6926" spans="1:9" ht="16.5">
      <c r="A6926" s="10" t="b">
        <v>0</v>
      </c>
      <c r="B6926" s="11" t="str">
        <f>IF(D6926&lt;&gt;"",IF(COUNTIF('USPTO TMs'!A:A,D6926)&gt;0,"Yes","No"),"")</f>
        <v/>
      </c>
      <c r="C6926" s="11"/>
      <c r="D6926" s="11"/>
      <c r="E6926" s="11"/>
      <c r="F6926" s="11"/>
      <c r="G6926" s="11"/>
      <c r="H6926" s="11"/>
      <c r="I6926" s="15"/>
    </row>
    <row r="6927" spans="1:9" ht="16.5">
      <c r="A6927" s="10" t="b">
        <v>0</v>
      </c>
      <c r="B6927" s="11" t="str">
        <f>IF(D6927&lt;&gt;"",IF(COUNTIF('USPTO TMs'!A:A,D6927)&gt;0,"Yes","No"),"")</f>
        <v/>
      </c>
      <c r="C6927" s="11"/>
      <c r="D6927" s="11"/>
      <c r="E6927" s="11"/>
      <c r="F6927" s="11"/>
      <c r="G6927" s="11"/>
      <c r="H6927" s="11"/>
      <c r="I6927" s="15"/>
    </row>
    <row r="6928" spans="1:9" ht="16.5">
      <c r="A6928" s="10" t="b">
        <v>0</v>
      </c>
      <c r="B6928" s="11" t="str">
        <f>IF(D6928&lt;&gt;"",IF(COUNTIF('USPTO TMs'!A:A,D6928)&gt;0,"Yes","No"),"")</f>
        <v/>
      </c>
      <c r="C6928" s="11"/>
      <c r="D6928" s="11"/>
      <c r="E6928" s="11"/>
      <c r="F6928" s="11"/>
      <c r="G6928" s="11"/>
      <c r="H6928" s="11"/>
      <c r="I6928" s="15"/>
    </row>
    <row r="6929" spans="1:9" ht="16.5">
      <c r="A6929" s="10" t="b">
        <v>0</v>
      </c>
      <c r="B6929" s="11" t="str">
        <f>IF(D6929&lt;&gt;"",IF(COUNTIF('USPTO TMs'!A:A,D6929)&gt;0,"Yes","No"),"")</f>
        <v/>
      </c>
      <c r="C6929" s="11"/>
      <c r="D6929" s="11"/>
      <c r="E6929" s="11"/>
      <c r="F6929" s="11"/>
      <c r="G6929" s="11"/>
      <c r="H6929" s="11"/>
      <c r="I6929" s="15"/>
    </row>
    <row r="6930" spans="1:9" ht="16.5">
      <c r="A6930" s="10" t="b">
        <v>0</v>
      </c>
      <c r="B6930" s="11" t="str">
        <f>IF(D6930&lt;&gt;"",IF(COUNTIF('USPTO TMs'!A:A,D6930)&gt;0,"Yes","No"),"")</f>
        <v/>
      </c>
      <c r="C6930" s="11"/>
      <c r="D6930" s="11"/>
      <c r="E6930" s="11"/>
      <c r="F6930" s="11"/>
      <c r="G6930" s="11"/>
      <c r="H6930" s="11"/>
      <c r="I6930" s="15"/>
    </row>
    <row r="6931" spans="1:9" ht="16.5">
      <c r="A6931" s="10" t="b">
        <v>0</v>
      </c>
      <c r="B6931" s="11" t="str">
        <f>IF(D6931&lt;&gt;"",IF(COUNTIF('USPTO TMs'!A:A,D6931)&gt;0,"Yes","No"),"")</f>
        <v/>
      </c>
      <c r="C6931" s="11"/>
      <c r="D6931" s="11"/>
      <c r="E6931" s="11"/>
      <c r="F6931" s="11"/>
      <c r="G6931" s="11"/>
      <c r="H6931" s="11"/>
      <c r="I6931" s="15"/>
    </row>
    <row r="6932" spans="1:9" ht="16.5">
      <c r="A6932" s="10" t="b">
        <v>0</v>
      </c>
      <c r="B6932" s="11" t="str">
        <f>IF(D6932&lt;&gt;"",IF(COUNTIF('USPTO TMs'!A:A,D6932)&gt;0,"Yes","No"),"")</f>
        <v/>
      </c>
      <c r="C6932" s="11"/>
      <c r="D6932" s="11"/>
      <c r="E6932" s="11"/>
      <c r="F6932" s="11"/>
      <c r="G6932" s="11"/>
      <c r="H6932" s="11"/>
      <c r="I6932" s="15"/>
    </row>
    <row r="6933" spans="1:9" ht="16.5">
      <c r="A6933" s="10" t="b">
        <v>0</v>
      </c>
      <c r="B6933" s="11" t="str">
        <f>IF(D6933&lt;&gt;"",IF(COUNTIF('USPTO TMs'!A:A,D6933)&gt;0,"Yes","No"),"")</f>
        <v/>
      </c>
      <c r="C6933" s="11"/>
      <c r="D6933" s="11"/>
      <c r="E6933" s="11"/>
      <c r="F6933" s="11"/>
      <c r="G6933" s="11"/>
      <c r="H6933" s="11"/>
      <c r="I6933" s="15"/>
    </row>
    <row r="6934" spans="1:9" ht="16.5">
      <c r="A6934" s="10" t="b">
        <v>0</v>
      </c>
      <c r="B6934" s="11" t="str">
        <f>IF(D6934&lt;&gt;"",IF(COUNTIF('USPTO TMs'!A:A,D6934)&gt;0,"Yes","No"),"")</f>
        <v/>
      </c>
      <c r="C6934" s="11"/>
      <c r="D6934" s="11"/>
      <c r="E6934" s="11"/>
      <c r="F6934" s="11"/>
      <c r="G6934" s="11"/>
      <c r="H6934" s="11"/>
      <c r="I6934" s="15"/>
    </row>
    <row r="6935" spans="1:9" ht="16.5">
      <c r="A6935" s="10" t="b">
        <v>0</v>
      </c>
      <c r="B6935" s="11" t="str">
        <f>IF(D6935&lt;&gt;"",IF(COUNTIF('USPTO TMs'!A:A,D6935)&gt;0,"Yes","No"),"")</f>
        <v/>
      </c>
      <c r="C6935" s="11"/>
      <c r="D6935" s="11"/>
      <c r="E6935" s="11"/>
      <c r="F6935" s="11"/>
      <c r="G6935" s="11"/>
      <c r="H6935" s="11"/>
      <c r="I6935" s="15"/>
    </row>
    <row r="6936" spans="1:9" ht="16.5">
      <c r="A6936" s="10" t="b">
        <v>0</v>
      </c>
      <c r="B6936" s="11" t="str">
        <f>IF(D6936&lt;&gt;"",IF(COUNTIF('USPTO TMs'!A:A,D6936)&gt;0,"Yes","No"),"")</f>
        <v/>
      </c>
      <c r="C6936" s="11"/>
      <c r="D6936" s="11"/>
      <c r="E6936" s="11"/>
      <c r="F6936" s="11"/>
      <c r="G6936" s="11"/>
      <c r="H6936" s="11"/>
      <c r="I6936" s="15"/>
    </row>
    <row r="6937" spans="1:9" ht="16.5">
      <c r="A6937" s="10" t="b">
        <v>0</v>
      </c>
      <c r="B6937" s="11" t="str">
        <f>IF(D6937&lt;&gt;"",IF(COUNTIF('USPTO TMs'!A:A,D6937)&gt;0,"Yes","No"),"")</f>
        <v/>
      </c>
      <c r="C6937" s="11"/>
      <c r="D6937" s="11"/>
      <c r="E6937" s="11"/>
      <c r="F6937" s="11"/>
      <c r="G6937" s="11"/>
      <c r="H6937" s="11"/>
      <c r="I6937" s="15"/>
    </row>
    <row r="6938" spans="1:9" ht="16.5">
      <c r="A6938" s="10" t="b">
        <v>0</v>
      </c>
      <c r="B6938" s="11" t="str">
        <f>IF(D6938&lt;&gt;"",IF(COUNTIF('USPTO TMs'!A:A,D6938)&gt;0,"Yes","No"),"")</f>
        <v/>
      </c>
      <c r="C6938" s="11"/>
      <c r="D6938" s="11"/>
      <c r="E6938" s="11"/>
      <c r="F6938" s="11"/>
      <c r="G6938" s="11"/>
      <c r="H6938" s="11"/>
      <c r="I6938" s="15"/>
    </row>
    <row r="6939" spans="1:9" ht="16.5">
      <c r="A6939" s="10" t="b">
        <v>0</v>
      </c>
      <c r="B6939" s="11" t="str">
        <f>IF(D6939&lt;&gt;"",IF(COUNTIF('USPTO TMs'!A:A,D6939)&gt;0,"Yes","No"),"")</f>
        <v/>
      </c>
      <c r="C6939" s="11"/>
      <c r="D6939" s="11"/>
      <c r="E6939" s="11"/>
      <c r="F6939" s="11"/>
      <c r="G6939" s="11"/>
      <c r="H6939" s="11"/>
      <c r="I6939" s="15"/>
    </row>
    <row r="6940" spans="1:9" ht="16.5">
      <c r="A6940" s="10" t="b">
        <v>0</v>
      </c>
      <c r="B6940" s="11" t="str">
        <f>IF(D6940&lt;&gt;"",IF(COUNTIF('USPTO TMs'!A:A,D6940)&gt;0,"Yes","No"),"")</f>
        <v/>
      </c>
      <c r="C6940" s="11"/>
      <c r="D6940" s="11"/>
      <c r="E6940" s="11"/>
      <c r="F6940" s="11"/>
      <c r="G6940" s="11"/>
      <c r="H6940" s="11"/>
      <c r="I6940" s="15"/>
    </row>
    <row r="6941" spans="1:9" ht="16.5">
      <c r="A6941" s="10" t="b">
        <v>0</v>
      </c>
      <c r="B6941" s="11" t="str">
        <f>IF(D6941&lt;&gt;"",IF(COUNTIF('USPTO TMs'!A:A,D6941)&gt;0,"Yes","No"),"")</f>
        <v/>
      </c>
      <c r="C6941" s="11"/>
      <c r="D6941" s="11"/>
      <c r="E6941" s="11"/>
      <c r="F6941" s="11"/>
      <c r="G6941" s="11"/>
      <c r="H6941" s="11"/>
      <c r="I6941" s="15"/>
    </row>
    <row r="6942" spans="1:9" ht="16.5">
      <c r="A6942" s="10" t="b">
        <v>0</v>
      </c>
      <c r="B6942" s="11" t="str">
        <f>IF(D6942&lt;&gt;"",IF(COUNTIF('USPTO TMs'!A:A,D6942)&gt;0,"Yes","No"),"")</f>
        <v/>
      </c>
      <c r="C6942" s="11"/>
      <c r="D6942" s="11"/>
      <c r="E6942" s="11"/>
      <c r="F6942" s="11"/>
      <c r="G6942" s="11"/>
      <c r="H6942" s="11"/>
      <c r="I6942" s="15"/>
    </row>
    <row r="6943" spans="1:9" ht="16.5">
      <c r="A6943" s="10" t="b">
        <v>0</v>
      </c>
      <c r="B6943" s="11" t="str">
        <f>IF(D6943&lt;&gt;"",IF(COUNTIF('USPTO TMs'!A:A,D6943)&gt;0,"Yes","No"),"")</f>
        <v/>
      </c>
      <c r="C6943" s="11"/>
      <c r="D6943" s="11"/>
      <c r="E6943" s="11"/>
      <c r="F6943" s="11"/>
      <c r="G6943" s="11"/>
      <c r="H6943" s="11"/>
      <c r="I6943" s="15"/>
    </row>
    <row r="6944" spans="1:9" ht="16.5">
      <c r="A6944" s="10" t="b">
        <v>0</v>
      </c>
      <c r="B6944" s="11" t="str">
        <f>IF(D6944&lt;&gt;"",IF(COUNTIF('USPTO TMs'!A:A,D6944)&gt;0,"Yes","No"),"")</f>
        <v/>
      </c>
      <c r="C6944" s="11"/>
      <c r="D6944" s="11"/>
      <c r="E6944" s="11"/>
      <c r="F6944" s="11"/>
      <c r="G6944" s="11"/>
      <c r="H6944" s="11"/>
      <c r="I6944" s="15"/>
    </row>
    <row r="6945" spans="1:9" ht="16.5">
      <c r="A6945" s="10" t="b">
        <v>0</v>
      </c>
      <c r="B6945" s="11" t="str">
        <f>IF(D6945&lt;&gt;"",IF(COUNTIF('USPTO TMs'!A:A,D6945)&gt;0,"Yes","No"),"")</f>
        <v/>
      </c>
      <c r="C6945" s="11"/>
      <c r="D6945" s="11"/>
      <c r="E6945" s="11"/>
      <c r="F6945" s="11"/>
      <c r="G6945" s="11"/>
      <c r="H6945" s="11"/>
      <c r="I6945" s="15"/>
    </row>
    <row r="6946" spans="1:9" ht="16.5">
      <c r="A6946" s="10" t="b">
        <v>0</v>
      </c>
      <c r="B6946" s="11" t="str">
        <f>IF(D6946&lt;&gt;"",IF(COUNTIF('USPTO TMs'!A:A,D6946)&gt;0,"Yes","No"),"")</f>
        <v/>
      </c>
      <c r="C6946" s="11"/>
      <c r="D6946" s="11"/>
      <c r="E6946" s="11"/>
      <c r="F6946" s="11"/>
      <c r="G6946" s="11"/>
      <c r="H6946" s="11"/>
      <c r="I6946" s="15"/>
    </row>
    <row r="6947" spans="1:9" ht="16.5">
      <c r="A6947" s="10" t="b">
        <v>0</v>
      </c>
      <c r="B6947" s="11" t="str">
        <f>IF(D6947&lt;&gt;"",IF(COUNTIF('USPTO TMs'!A:A,D6947)&gt;0,"Yes","No"),"")</f>
        <v/>
      </c>
      <c r="C6947" s="11"/>
      <c r="D6947" s="11"/>
      <c r="E6947" s="11"/>
      <c r="F6947" s="11"/>
      <c r="G6947" s="11"/>
      <c r="H6947" s="11"/>
      <c r="I6947" s="15"/>
    </row>
    <row r="6948" spans="1:9" ht="16.5">
      <c r="A6948" s="10" t="b">
        <v>0</v>
      </c>
      <c r="B6948" s="11" t="str">
        <f>IF(D6948&lt;&gt;"",IF(COUNTIF('USPTO TMs'!A:A,D6948)&gt;0,"Yes","No"),"")</f>
        <v/>
      </c>
      <c r="C6948" s="11"/>
      <c r="D6948" s="11"/>
      <c r="E6948" s="11"/>
      <c r="F6948" s="11"/>
      <c r="G6948" s="11"/>
      <c r="H6948" s="11"/>
      <c r="I6948" s="15"/>
    </row>
    <row r="6949" spans="1:9" ht="16.5">
      <c r="A6949" s="10" t="b">
        <v>0</v>
      </c>
      <c r="B6949" s="11" t="str">
        <f>IF(D6949&lt;&gt;"",IF(COUNTIF('USPTO TMs'!A:A,D6949)&gt;0,"Yes","No"),"")</f>
        <v/>
      </c>
      <c r="C6949" s="11"/>
      <c r="D6949" s="11"/>
      <c r="E6949" s="11"/>
      <c r="F6949" s="11"/>
      <c r="G6949" s="11"/>
      <c r="H6949" s="11"/>
      <c r="I6949" s="15"/>
    </row>
    <row r="6950" spans="1:9" ht="16.5">
      <c r="A6950" s="10" t="b">
        <v>0</v>
      </c>
      <c r="B6950" s="11" t="str">
        <f>IF(D6950&lt;&gt;"",IF(COUNTIF('USPTO TMs'!A:A,D6950)&gt;0,"Yes","No"),"")</f>
        <v/>
      </c>
      <c r="C6950" s="11"/>
      <c r="D6950" s="11"/>
      <c r="E6950" s="11"/>
      <c r="F6950" s="11"/>
      <c r="G6950" s="11"/>
      <c r="H6950" s="11"/>
      <c r="I6950" s="15"/>
    </row>
    <row r="6951" spans="1:9" ht="16.5">
      <c r="A6951" s="10" t="b">
        <v>0</v>
      </c>
      <c r="B6951" s="11" t="str">
        <f>IF(D6951&lt;&gt;"",IF(COUNTIF('USPTO TMs'!A:A,D6951)&gt;0,"Yes","No"),"")</f>
        <v/>
      </c>
      <c r="C6951" s="11"/>
      <c r="D6951" s="11"/>
      <c r="E6951" s="11"/>
      <c r="F6951" s="11"/>
      <c r="G6951" s="11"/>
      <c r="H6951" s="11"/>
      <c r="I6951" s="15"/>
    </row>
    <row r="6952" spans="1:9" ht="16.5">
      <c r="A6952" s="10" t="b">
        <v>0</v>
      </c>
      <c r="B6952" s="11" t="str">
        <f>IF(D6952&lt;&gt;"",IF(COUNTIF('USPTO TMs'!A:A,D6952)&gt;0,"Yes","No"),"")</f>
        <v/>
      </c>
      <c r="C6952" s="11"/>
      <c r="D6952" s="11"/>
      <c r="E6952" s="11"/>
      <c r="F6952" s="11"/>
      <c r="G6952" s="11"/>
      <c r="H6952" s="11"/>
      <c r="I6952" s="15"/>
    </row>
    <row r="6953" spans="1:9" ht="16.5">
      <c r="A6953" s="10" t="b">
        <v>0</v>
      </c>
      <c r="B6953" s="11" t="str">
        <f>IF(D6953&lt;&gt;"",IF(COUNTIF('USPTO TMs'!A:A,D6953)&gt;0,"Yes","No"),"")</f>
        <v/>
      </c>
      <c r="C6953" s="11"/>
      <c r="D6953" s="11"/>
      <c r="E6953" s="11"/>
      <c r="F6953" s="11"/>
      <c r="G6953" s="11"/>
      <c r="H6953" s="11"/>
      <c r="I6953" s="15"/>
    </row>
    <row r="6954" spans="1:9" ht="16.5">
      <c r="A6954" s="10" t="b">
        <v>0</v>
      </c>
      <c r="B6954" s="11" t="str">
        <f>IF(D6954&lt;&gt;"",IF(COUNTIF('USPTO TMs'!A:A,D6954)&gt;0,"Yes","No"),"")</f>
        <v/>
      </c>
      <c r="C6954" s="11"/>
      <c r="D6954" s="11"/>
      <c r="E6954" s="11"/>
      <c r="F6954" s="11"/>
      <c r="G6954" s="11"/>
      <c r="H6954" s="11"/>
      <c r="I6954" s="15"/>
    </row>
    <row r="6955" spans="1:9" ht="16.5">
      <c r="A6955" s="10" t="b">
        <v>0</v>
      </c>
      <c r="B6955" s="11" t="str">
        <f>IF(D6955&lt;&gt;"",IF(COUNTIF('USPTO TMs'!A:A,D6955)&gt;0,"Yes","No"),"")</f>
        <v/>
      </c>
      <c r="C6955" s="11"/>
      <c r="D6955" s="11"/>
      <c r="E6955" s="11"/>
      <c r="F6955" s="11"/>
      <c r="G6955" s="11"/>
      <c r="H6955" s="11"/>
      <c r="I6955" s="15"/>
    </row>
    <row r="6956" spans="1:9" ht="16.5">
      <c r="A6956" s="10" t="b">
        <v>0</v>
      </c>
      <c r="B6956" s="11" t="str">
        <f>IF(D6956&lt;&gt;"",IF(COUNTIF('USPTO TMs'!A:A,D6956)&gt;0,"Yes","No"),"")</f>
        <v/>
      </c>
      <c r="C6956" s="11"/>
      <c r="D6956" s="11"/>
      <c r="E6956" s="11"/>
      <c r="F6956" s="11"/>
      <c r="G6956" s="11"/>
      <c r="H6956" s="11"/>
      <c r="I6956" s="15"/>
    </row>
    <row r="6957" spans="1:9" ht="16.5">
      <c r="A6957" s="10" t="b">
        <v>0</v>
      </c>
      <c r="B6957" s="11" t="str">
        <f>IF(D6957&lt;&gt;"",IF(COUNTIF('USPTO TMs'!A:A,D6957)&gt;0,"Yes","No"),"")</f>
        <v/>
      </c>
      <c r="C6957" s="11"/>
      <c r="D6957" s="11"/>
      <c r="E6957" s="11"/>
      <c r="F6957" s="11"/>
      <c r="G6957" s="11"/>
      <c r="H6957" s="11"/>
      <c r="I6957" s="15"/>
    </row>
    <row r="6958" spans="1:9" ht="16.5">
      <c r="A6958" s="10" t="b">
        <v>0</v>
      </c>
      <c r="B6958" s="11" t="str">
        <f>IF(D6958&lt;&gt;"",IF(COUNTIF('USPTO TMs'!A:A,D6958)&gt;0,"Yes","No"),"")</f>
        <v/>
      </c>
      <c r="C6958" s="11"/>
      <c r="D6958" s="11"/>
      <c r="E6958" s="11"/>
      <c r="F6958" s="11"/>
      <c r="G6958" s="11"/>
      <c r="H6958" s="11"/>
      <c r="I6958" s="15"/>
    </row>
    <row r="6959" spans="1:9" ht="16.5">
      <c r="A6959" s="10" t="b">
        <v>0</v>
      </c>
      <c r="B6959" s="11" t="str">
        <f>IF(D6959&lt;&gt;"",IF(COUNTIF('USPTO TMs'!A:A,D6959)&gt;0,"Yes","No"),"")</f>
        <v/>
      </c>
      <c r="C6959" s="11"/>
      <c r="D6959" s="11"/>
      <c r="E6959" s="11"/>
      <c r="F6959" s="11"/>
      <c r="G6959" s="11"/>
      <c r="H6959" s="11"/>
      <c r="I6959" s="15"/>
    </row>
    <row r="6960" spans="1:9" ht="16.5">
      <c r="A6960" s="10" t="b">
        <v>0</v>
      </c>
      <c r="B6960" s="11" t="str">
        <f>IF(D6960&lt;&gt;"",IF(COUNTIF('USPTO TMs'!A:A,D6960)&gt;0,"Yes","No"),"")</f>
        <v/>
      </c>
      <c r="C6960" s="11"/>
      <c r="D6960" s="11"/>
      <c r="E6960" s="11"/>
      <c r="F6960" s="11"/>
      <c r="G6960" s="11"/>
      <c r="H6960" s="11"/>
      <c r="I6960" s="15"/>
    </row>
    <row r="6961" spans="1:9" ht="16.5">
      <c r="A6961" s="10" t="b">
        <v>0</v>
      </c>
      <c r="B6961" s="11" t="str">
        <f>IF(D6961&lt;&gt;"",IF(COUNTIF('USPTO TMs'!A:A,D6961)&gt;0,"Yes","No"),"")</f>
        <v/>
      </c>
      <c r="C6961" s="11"/>
      <c r="D6961" s="11"/>
      <c r="E6961" s="11"/>
      <c r="F6961" s="11"/>
      <c r="G6961" s="11"/>
      <c r="H6961" s="11"/>
      <c r="I6961" s="15"/>
    </row>
    <row r="6962" spans="1:9" ht="16.5">
      <c r="A6962" s="10" t="b">
        <v>0</v>
      </c>
      <c r="B6962" s="11" t="str">
        <f>IF(D6962&lt;&gt;"",IF(COUNTIF('USPTO TMs'!A:A,D6962)&gt;0,"Yes","No"),"")</f>
        <v/>
      </c>
      <c r="C6962" s="11"/>
      <c r="D6962" s="11"/>
      <c r="E6962" s="11"/>
      <c r="F6962" s="11"/>
      <c r="G6962" s="11"/>
      <c r="H6962" s="11"/>
      <c r="I6962" s="15"/>
    </row>
    <row r="6963" spans="1:9" ht="16.5">
      <c r="A6963" s="10" t="b">
        <v>0</v>
      </c>
      <c r="B6963" s="11" t="str">
        <f>IF(D6963&lt;&gt;"",IF(COUNTIF('USPTO TMs'!A:A,D6963)&gt;0,"Yes","No"),"")</f>
        <v/>
      </c>
      <c r="C6963" s="11"/>
      <c r="D6963" s="11"/>
      <c r="E6963" s="11"/>
      <c r="F6963" s="11"/>
      <c r="G6963" s="11"/>
      <c r="H6963" s="11"/>
      <c r="I6963" s="15"/>
    </row>
    <row r="6964" spans="1:9" ht="16.5">
      <c r="A6964" s="10" t="b">
        <v>0</v>
      </c>
      <c r="B6964" s="11" t="str">
        <f>IF(D6964&lt;&gt;"",IF(COUNTIF('USPTO TMs'!A:A,D6964)&gt;0,"Yes","No"),"")</f>
        <v/>
      </c>
      <c r="C6964" s="11"/>
      <c r="D6964" s="11"/>
      <c r="E6964" s="11"/>
      <c r="F6964" s="11"/>
      <c r="G6964" s="11"/>
      <c r="H6964" s="11"/>
      <c r="I6964" s="15"/>
    </row>
    <row r="6965" spans="1:9" ht="16.5">
      <c r="A6965" s="10" t="b">
        <v>0</v>
      </c>
      <c r="B6965" s="11" t="str">
        <f>IF(D6965&lt;&gt;"",IF(COUNTIF('USPTO TMs'!A:A,D6965)&gt;0,"Yes","No"),"")</f>
        <v/>
      </c>
      <c r="C6965" s="11"/>
      <c r="D6965" s="11"/>
      <c r="E6965" s="11"/>
      <c r="F6965" s="11"/>
      <c r="G6965" s="11"/>
      <c r="H6965" s="11"/>
      <c r="I6965" s="15"/>
    </row>
    <row r="6966" spans="1:9" ht="16.5">
      <c r="A6966" s="10" t="b">
        <v>0</v>
      </c>
      <c r="B6966" s="11" t="str">
        <f>IF(D6966&lt;&gt;"",IF(COUNTIF('USPTO TMs'!A:A,D6966)&gt;0,"Yes","No"),"")</f>
        <v/>
      </c>
      <c r="C6966" s="11"/>
      <c r="D6966" s="11"/>
      <c r="E6966" s="11"/>
      <c r="F6966" s="11"/>
      <c r="G6966" s="11"/>
      <c r="H6966" s="11"/>
      <c r="I6966" s="15"/>
    </row>
    <row r="6967" spans="1:9" ht="16.5">
      <c r="A6967" s="10" t="b">
        <v>0</v>
      </c>
      <c r="B6967" s="11" t="str">
        <f>IF(D6967&lt;&gt;"",IF(COUNTIF('USPTO TMs'!A:A,D6967)&gt;0,"Yes","No"),"")</f>
        <v/>
      </c>
      <c r="C6967" s="11"/>
      <c r="D6967" s="11"/>
      <c r="E6967" s="11"/>
      <c r="F6967" s="11"/>
      <c r="G6967" s="11"/>
      <c r="H6967" s="11"/>
      <c r="I6967" s="15"/>
    </row>
    <row r="6968" spans="1:9" ht="16.5">
      <c r="A6968" s="10" t="b">
        <v>0</v>
      </c>
      <c r="B6968" s="11" t="str">
        <f>IF(D6968&lt;&gt;"",IF(COUNTIF('USPTO TMs'!A:A,D6968)&gt;0,"Yes","No"),"")</f>
        <v/>
      </c>
      <c r="C6968" s="11"/>
      <c r="D6968" s="11"/>
      <c r="E6968" s="11"/>
      <c r="F6968" s="11"/>
      <c r="G6968" s="11"/>
      <c r="H6968" s="11"/>
      <c r="I6968" s="15"/>
    </row>
    <row r="6969" spans="1:9" ht="16.5">
      <c r="A6969" s="10" t="b">
        <v>0</v>
      </c>
      <c r="B6969" s="11" t="str">
        <f>IF(D6969&lt;&gt;"",IF(COUNTIF('USPTO TMs'!A:A,D6969)&gt;0,"Yes","No"),"")</f>
        <v/>
      </c>
      <c r="C6969" s="11"/>
      <c r="D6969" s="11"/>
      <c r="E6969" s="11"/>
      <c r="F6969" s="11"/>
      <c r="G6969" s="11"/>
      <c r="H6969" s="11"/>
      <c r="I6969" s="15"/>
    </row>
    <row r="6970" spans="1:9" ht="16.5">
      <c r="A6970" s="10" t="b">
        <v>0</v>
      </c>
      <c r="B6970" s="11" t="str">
        <f>IF(D6970&lt;&gt;"",IF(COUNTIF('USPTO TMs'!A:A,D6970)&gt;0,"Yes","No"),"")</f>
        <v/>
      </c>
      <c r="C6970" s="11"/>
      <c r="D6970" s="11"/>
      <c r="E6970" s="11"/>
      <c r="F6970" s="11"/>
      <c r="G6970" s="11"/>
      <c r="H6970" s="11"/>
      <c r="I6970" s="15"/>
    </row>
    <row r="6971" spans="1:9" ht="16.5">
      <c r="A6971" s="10" t="b">
        <v>0</v>
      </c>
      <c r="B6971" s="11" t="str">
        <f>IF(D6971&lt;&gt;"",IF(COUNTIF('USPTO TMs'!A:A,D6971)&gt;0,"Yes","No"),"")</f>
        <v/>
      </c>
      <c r="C6971" s="11"/>
      <c r="D6971" s="11"/>
      <c r="E6971" s="11"/>
      <c r="F6971" s="11"/>
      <c r="G6971" s="11"/>
      <c r="H6971" s="11"/>
      <c r="I6971" s="15"/>
    </row>
    <row r="6972" spans="1:9" ht="16.5">
      <c r="A6972" s="10" t="b">
        <v>0</v>
      </c>
      <c r="B6972" s="11" t="str">
        <f>IF(D6972&lt;&gt;"",IF(COUNTIF('USPTO TMs'!A:A,D6972)&gt;0,"Yes","No"),"")</f>
        <v/>
      </c>
      <c r="C6972" s="11"/>
      <c r="D6972" s="11"/>
      <c r="E6972" s="11"/>
      <c r="F6972" s="11"/>
      <c r="G6972" s="11"/>
      <c r="H6972" s="11"/>
      <c r="I6972" s="15"/>
    </row>
    <row r="6973" spans="1:9" ht="16.5">
      <c r="A6973" s="10" t="b">
        <v>0</v>
      </c>
      <c r="B6973" s="11" t="str">
        <f>IF(D6973&lt;&gt;"",IF(COUNTIF('USPTO TMs'!A:A,D6973)&gt;0,"Yes","No"),"")</f>
        <v/>
      </c>
      <c r="C6973" s="11"/>
      <c r="D6973" s="11"/>
      <c r="E6973" s="11"/>
      <c r="F6973" s="11"/>
      <c r="G6973" s="11"/>
      <c r="H6973" s="11"/>
      <c r="I6973" s="15"/>
    </row>
    <row r="6974" spans="1:9" ht="16.5">
      <c r="A6974" s="10" t="b">
        <v>0</v>
      </c>
      <c r="B6974" s="11" t="str">
        <f>IF(D6974&lt;&gt;"",IF(COUNTIF('USPTO TMs'!A:A,D6974)&gt;0,"Yes","No"),"")</f>
        <v/>
      </c>
      <c r="C6974" s="11"/>
      <c r="D6974" s="11"/>
      <c r="E6974" s="11"/>
      <c r="F6974" s="11"/>
      <c r="G6974" s="11"/>
      <c r="H6974" s="11"/>
      <c r="I6974" s="15"/>
    </row>
    <row r="6975" spans="1:9" ht="16.5">
      <c r="A6975" s="10" t="b">
        <v>0</v>
      </c>
      <c r="B6975" s="11" t="str">
        <f>IF(D6975&lt;&gt;"",IF(COUNTIF('USPTO TMs'!A:A,D6975)&gt;0,"Yes","No"),"")</f>
        <v/>
      </c>
      <c r="C6975" s="11"/>
      <c r="D6975" s="11"/>
      <c r="E6975" s="11"/>
      <c r="F6975" s="11"/>
      <c r="G6975" s="11"/>
      <c r="H6975" s="11"/>
      <c r="I6975" s="15"/>
    </row>
    <row r="6976" spans="1:9" ht="16.5">
      <c r="A6976" s="10" t="b">
        <v>0</v>
      </c>
      <c r="B6976" s="11" t="str">
        <f>IF(D6976&lt;&gt;"",IF(COUNTIF('USPTO TMs'!A:A,D6976)&gt;0,"Yes","No"),"")</f>
        <v/>
      </c>
      <c r="C6976" s="11"/>
      <c r="D6976" s="11"/>
      <c r="E6976" s="11"/>
      <c r="F6976" s="11"/>
      <c r="G6976" s="11"/>
      <c r="H6976" s="11"/>
      <c r="I6976" s="15"/>
    </row>
    <row r="6977" spans="1:9" ht="16.5">
      <c r="A6977" s="10" t="b">
        <v>0</v>
      </c>
      <c r="B6977" s="11" t="str">
        <f>IF(D6977&lt;&gt;"",IF(COUNTIF('USPTO TMs'!A:A,D6977)&gt;0,"Yes","No"),"")</f>
        <v/>
      </c>
      <c r="C6977" s="11"/>
      <c r="D6977" s="11"/>
      <c r="E6977" s="11"/>
      <c r="F6977" s="11"/>
      <c r="G6977" s="11"/>
      <c r="H6977" s="11"/>
      <c r="I6977" s="15"/>
    </row>
    <row r="6978" spans="1:9" ht="16.5">
      <c r="A6978" s="10" t="b">
        <v>0</v>
      </c>
      <c r="B6978" s="11" t="str">
        <f>IF(D6978&lt;&gt;"",IF(COUNTIF('USPTO TMs'!A:A,D6978)&gt;0,"Yes","No"),"")</f>
        <v/>
      </c>
      <c r="C6978" s="11"/>
      <c r="D6978" s="11"/>
      <c r="E6978" s="11"/>
      <c r="F6978" s="11"/>
      <c r="G6978" s="11"/>
      <c r="H6978" s="11"/>
      <c r="I6978" s="15"/>
    </row>
    <row r="6979" spans="1:9" ht="16.5">
      <c r="A6979" s="10" t="b">
        <v>0</v>
      </c>
      <c r="B6979" s="11" t="str">
        <f>IF(D6979&lt;&gt;"",IF(COUNTIF('USPTO TMs'!A:A,D6979)&gt;0,"Yes","No"),"")</f>
        <v/>
      </c>
      <c r="C6979" s="11"/>
      <c r="D6979" s="11"/>
      <c r="E6979" s="11"/>
      <c r="F6979" s="11"/>
      <c r="G6979" s="11"/>
      <c r="H6979" s="11"/>
      <c r="I6979" s="15"/>
    </row>
    <row r="6980" spans="1:9" ht="16.5">
      <c r="A6980" s="10" t="b">
        <v>0</v>
      </c>
      <c r="B6980" s="11" t="str">
        <f>IF(D6980&lt;&gt;"",IF(COUNTIF('USPTO TMs'!A:A,D6980)&gt;0,"Yes","No"),"")</f>
        <v/>
      </c>
      <c r="C6980" s="11"/>
      <c r="D6980" s="11"/>
      <c r="E6980" s="11"/>
      <c r="F6980" s="11"/>
      <c r="G6980" s="11"/>
      <c r="H6980" s="11"/>
      <c r="I6980" s="15"/>
    </row>
    <row r="6981" spans="1:9" ht="16.5">
      <c r="A6981" s="10" t="b">
        <v>0</v>
      </c>
      <c r="B6981" s="11" t="str">
        <f>IF(D6981&lt;&gt;"",IF(COUNTIF('USPTO TMs'!A:A,D6981)&gt;0,"Yes","No"),"")</f>
        <v/>
      </c>
      <c r="C6981" s="11"/>
      <c r="D6981" s="11"/>
      <c r="E6981" s="11"/>
      <c r="F6981" s="11"/>
      <c r="G6981" s="11"/>
      <c r="H6981" s="11"/>
      <c r="I6981" s="15"/>
    </row>
    <row r="6982" spans="1:9" ht="16.5">
      <c r="A6982" s="10" t="b">
        <v>0</v>
      </c>
      <c r="B6982" s="11" t="str">
        <f>IF(D6982&lt;&gt;"",IF(COUNTIF('USPTO TMs'!A:A,D6982)&gt;0,"Yes","No"),"")</f>
        <v/>
      </c>
      <c r="C6982" s="11"/>
      <c r="D6982" s="11"/>
      <c r="E6982" s="11"/>
      <c r="F6982" s="11"/>
      <c r="G6982" s="11"/>
      <c r="H6982" s="11"/>
      <c r="I6982" s="15"/>
    </row>
    <row r="6983" spans="1:9" ht="16.5">
      <c r="A6983" s="10" t="b">
        <v>0</v>
      </c>
      <c r="B6983" s="11" t="str">
        <f>IF(D6983&lt;&gt;"",IF(COUNTIF('USPTO TMs'!A:A,D6983)&gt;0,"Yes","No"),"")</f>
        <v/>
      </c>
      <c r="C6983" s="11"/>
      <c r="D6983" s="11"/>
      <c r="E6983" s="11"/>
      <c r="F6983" s="11"/>
      <c r="G6983" s="11"/>
      <c r="H6983" s="11"/>
      <c r="I6983" s="15"/>
    </row>
    <row r="6984" spans="1:9" ht="16.5">
      <c r="A6984" s="10" t="b">
        <v>0</v>
      </c>
      <c r="B6984" s="11" t="str">
        <f>IF(D6984&lt;&gt;"",IF(COUNTIF('USPTO TMs'!A:A,D6984)&gt;0,"Yes","No"),"")</f>
        <v/>
      </c>
      <c r="C6984" s="11"/>
      <c r="D6984" s="11"/>
      <c r="E6984" s="11"/>
      <c r="F6984" s="11"/>
      <c r="G6984" s="11"/>
      <c r="H6984" s="11"/>
      <c r="I6984" s="15"/>
    </row>
    <row r="6985" spans="1:9" ht="16.5">
      <c r="A6985" s="10" t="b">
        <v>0</v>
      </c>
      <c r="B6985" s="11" t="str">
        <f>IF(D6985&lt;&gt;"",IF(COUNTIF('USPTO TMs'!A:A,D6985)&gt;0,"Yes","No"),"")</f>
        <v/>
      </c>
      <c r="C6985" s="11"/>
      <c r="D6985" s="11"/>
      <c r="E6985" s="11"/>
      <c r="F6985" s="11"/>
      <c r="G6985" s="11"/>
      <c r="H6985" s="11"/>
      <c r="I6985" s="15"/>
    </row>
    <row r="6986" spans="1:9" ht="16.5">
      <c r="A6986" s="10" t="b">
        <v>0</v>
      </c>
      <c r="B6986" s="11" t="str">
        <f>IF(D6986&lt;&gt;"",IF(COUNTIF('USPTO TMs'!A:A,D6986)&gt;0,"Yes","No"),"")</f>
        <v/>
      </c>
      <c r="C6986" s="11"/>
      <c r="D6986" s="11"/>
      <c r="E6986" s="11"/>
      <c r="F6986" s="11"/>
      <c r="G6986" s="11"/>
      <c r="H6986" s="11"/>
      <c r="I6986" s="15"/>
    </row>
    <row r="6987" spans="1:9" ht="16.5">
      <c r="A6987" s="10" t="b">
        <v>0</v>
      </c>
      <c r="B6987" s="11" t="str">
        <f>IF(D6987&lt;&gt;"",IF(COUNTIF('USPTO TMs'!A:A,D6987)&gt;0,"Yes","No"),"")</f>
        <v/>
      </c>
      <c r="C6987" s="11"/>
      <c r="D6987" s="11"/>
      <c r="E6987" s="11"/>
      <c r="F6987" s="11"/>
      <c r="G6987" s="11"/>
      <c r="H6987" s="11"/>
      <c r="I6987" s="15"/>
    </row>
    <row r="6988" spans="1:9" ht="16.5">
      <c r="A6988" s="10" t="b">
        <v>0</v>
      </c>
      <c r="B6988" s="11" t="str">
        <f>IF(D6988&lt;&gt;"",IF(COUNTIF('USPTO TMs'!A:A,D6988)&gt;0,"Yes","No"),"")</f>
        <v/>
      </c>
      <c r="C6988" s="11"/>
      <c r="D6988" s="11"/>
      <c r="E6988" s="11"/>
      <c r="F6988" s="11"/>
      <c r="G6988" s="11"/>
      <c r="H6988" s="11"/>
      <c r="I6988" s="15"/>
    </row>
    <row r="6989" spans="1:9" ht="16.5">
      <c r="A6989" s="10" t="b">
        <v>0</v>
      </c>
      <c r="B6989" s="11" t="str">
        <f>IF(D6989&lt;&gt;"",IF(COUNTIF('USPTO TMs'!A:A,D6989)&gt;0,"Yes","No"),"")</f>
        <v/>
      </c>
      <c r="C6989" s="11"/>
      <c r="D6989" s="11"/>
      <c r="E6989" s="11"/>
      <c r="F6989" s="11"/>
      <c r="G6989" s="11"/>
      <c r="H6989" s="11"/>
      <c r="I6989" s="15"/>
    </row>
    <row r="6990" spans="1:9" ht="16.5">
      <c r="A6990" s="10" t="b">
        <v>0</v>
      </c>
      <c r="B6990" s="11" t="str">
        <f>IF(D6990&lt;&gt;"",IF(COUNTIF('USPTO TMs'!A:A,D6990)&gt;0,"Yes","No"),"")</f>
        <v/>
      </c>
      <c r="C6990" s="11"/>
      <c r="D6990" s="11"/>
      <c r="E6990" s="11"/>
      <c r="F6990" s="11"/>
      <c r="G6990" s="11"/>
      <c r="H6990" s="11"/>
      <c r="I6990" s="15"/>
    </row>
    <row r="6991" spans="1:9" ht="16.5">
      <c r="A6991" s="10" t="b">
        <v>0</v>
      </c>
      <c r="B6991" s="11" t="str">
        <f>IF(D6991&lt;&gt;"",IF(COUNTIF('USPTO TMs'!A:A,D6991)&gt;0,"Yes","No"),"")</f>
        <v/>
      </c>
      <c r="C6991" s="11"/>
      <c r="D6991" s="11"/>
      <c r="E6991" s="11"/>
      <c r="F6991" s="11"/>
      <c r="G6991" s="11"/>
      <c r="H6991" s="11"/>
      <c r="I6991" s="15"/>
    </row>
    <row r="6992" spans="1:9" ht="16.5">
      <c r="A6992" s="10" t="b">
        <v>0</v>
      </c>
      <c r="B6992" s="11" t="str">
        <f>IF(D6992&lt;&gt;"",IF(COUNTIF('USPTO TMs'!A:A,D6992)&gt;0,"Yes","No"),"")</f>
        <v/>
      </c>
      <c r="C6992" s="11"/>
      <c r="D6992" s="11"/>
      <c r="E6992" s="11"/>
      <c r="F6992" s="11"/>
      <c r="G6992" s="11"/>
      <c r="H6992" s="11"/>
      <c r="I6992" s="15"/>
    </row>
    <row r="6993" spans="1:9" ht="16.5">
      <c r="A6993" s="10" t="b">
        <v>0</v>
      </c>
      <c r="B6993" s="11" t="str">
        <f>IF(D6993&lt;&gt;"",IF(COUNTIF('USPTO TMs'!A:A,D6993)&gt;0,"Yes","No"),"")</f>
        <v/>
      </c>
      <c r="C6993" s="11"/>
      <c r="D6993" s="11"/>
      <c r="E6993" s="11"/>
      <c r="F6993" s="11"/>
      <c r="G6993" s="11"/>
      <c r="H6993" s="11"/>
      <c r="I6993" s="15"/>
    </row>
    <row r="6994" spans="1:9" ht="16.5">
      <c r="A6994" s="10" t="b">
        <v>0</v>
      </c>
      <c r="B6994" s="11" t="str">
        <f>IF(D6994&lt;&gt;"",IF(COUNTIF('USPTO TMs'!A:A,D6994)&gt;0,"Yes","No"),"")</f>
        <v/>
      </c>
      <c r="C6994" s="11"/>
      <c r="D6994" s="11"/>
      <c r="E6994" s="11"/>
      <c r="F6994" s="11"/>
      <c r="G6994" s="11"/>
      <c r="H6994" s="11"/>
      <c r="I6994" s="15"/>
    </row>
    <row r="6995" spans="1:9" ht="16.5">
      <c r="A6995" s="10" t="b">
        <v>0</v>
      </c>
      <c r="B6995" s="11" t="str">
        <f>IF(D6995&lt;&gt;"",IF(COUNTIF('USPTO TMs'!A:A,D6995)&gt;0,"Yes","No"),"")</f>
        <v/>
      </c>
      <c r="C6995" s="11"/>
      <c r="D6995" s="11"/>
      <c r="E6995" s="11"/>
      <c r="F6995" s="11"/>
      <c r="G6995" s="11"/>
      <c r="H6995" s="11"/>
      <c r="I6995" s="15"/>
    </row>
    <row r="6996" spans="1:9" ht="16.5">
      <c r="A6996" s="10" t="b">
        <v>0</v>
      </c>
      <c r="B6996" s="11" t="str">
        <f>IF(D6996&lt;&gt;"",IF(COUNTIF('USPTO TMs'!A:A,D6996)&gt;0,"Yes","No"),"")</f>
        <v/>
      </c>
      <c r="C6996" s="11"/>
      <c r="D6996" s="11"/>
      <c r="E6996" s="11"/>
      <c r="F6996" s="11"/>
      <c r="G6996" s="11"/>
      <c r="H6996" s="11"/>
      <c r="I6996" s="15"/>
    </row>
    <row r="6997" spans="1:9" ht="16.5">
      <c r="A6997" s="10" t="b">
        <v>0</v>
      </c>
      <c r="B6997" s="11" t="str">
        <f>IF(D6997&lt;&gt;"",IF(COUNTIF('USPTO TMs'!A:A,D6997)&gt;0,"Yes","No"),"")</f>
        <v/>
      </c>
      <c r="C6997" s="11"/>
      <c r="D6997" s="11"/>
      <c r="E6997" s="11"/>
      <c r="F6997" s="11"/>
      <c r="G6997" s="11"/>
      <c r="H6997" s="11"/>
      <c r="I6997" s="15"/>
    </row>
    <row r="6998" spans="1:9" ht="16.5">
      <c r="A6998" s="10" t="b">
        <v>0</v>
      </c>
      <c r="B6998" s="11" t="str">
        <f>IF(D6998&lt;&gt;"",IF(COUNTIF('USPTO TMs'!A:A,D6998)&gt;0,"Yes","No"),"")</f>
        <v/>
      </c>
      <c r="C6998" s="11"/>
      <c r="D6998" s="11"/>
      <c r="E6998" s="11"/>
      <c r="F6998" s="11"/>
      <c r="G6998" s="11"/>
      <c r="H6998" s="11"/>
      <c r="I6998" s="15"/>
    </row>
    <row r="6999" spans="1:9" ht="16.5">
      <c r="A6999" s="10" t="b">
        <v>0</v>
      </c>
      <c r="B6999" s="11" t="str">
        <f>IF(D6999&lt;&gt;"",IF(COUNTIF('USPTO TMs'!A:A,D6999)&gt;0,"Yes","No"),"")</f>
        <v/>
      </c>
      <c r="C6999" s="11"/>
      <c r="D6999" s="11"/>
      <c r="E6999" s="11"/>
      <c r="F6999" s="11"/>
      <c r="G6999" s="11"/>
      <c r="H6999" s="11"/>
      <c r="I6999" s="15"/>
    </row>
    <row r="7000" spans="1:9" ht="16.5">
      <c r="A7000" s="10" t="b">
        <v>0</v>
      </c>
      <c r="B7000" s="11" t="str">
        <f>IF(D7000&lt;&gt;"",IF(COUNTIF('USPTO TMs'!A:A,D7000)&gt;0,"Yes","No"),"")</f>
        <v/>
      </c>
      <c r="C7000" s="11"/>
      <c r="D7000" s="11"/>
      <c r="E7000" s="11"/>
      <c r="F7000" s="11"/>
      <c r="G7000" s="11"/>
      <c r="H7000" s="11"/>
      <c r="I7000" s="15"/>
    </row>
    <row r="7001" spans="1:9" ht="16.5">
      <c r="A7001" s="10" t="b">
        <v>0</v>
      </c>
      <c r="B7001" s="11" t="str">
        <f>IF(D7001&lt;&gt;"",IF(COUNTIF('USPTO TMs'!A:A,D7001)&gt;0,"Yes","No"),"")</f>
        <v/>
      </c>
      <c r="C7001" s="11"/>
      <c r="D7001" s="11"/>
      <c r="E7001" s="11"/>
      <c r="F7001" s="11"/>
      <c r="G7001" s="11"/>
      <c r="H7001" s="11"/>
      <c r="I7001" s="15"/>
    </row>
    <row r="7002" spans="1:9" ht="16.5">
      <c r="A7002" s="10" t="b">
        <v>0</v>
      </c>
      <c r="B7002" s="11" t="str">
        <f>IF(D7002&lt;&gt;"",IF(COUNTIF('USPTO TMs'!A:A,D7002)&gt;0,"Yes","No"),"")</f>
        <v/>
      </c>
      <c r="C7002" s="11"/>
      <c r="D7002" s="11"/>
      <c r="E7002" s="11"/>
      <c r="F7002" s="11"/>
      <c r="G7002" s="11"/>
      <c r="H7002" s="11"/>
      <c r="I7002" s="15"/>
    </row>
    <row r="7003" spans="1:9" ht="16.5">
      <c r="A7003" s="10" t="b">
        <v>0</v>
      </c>
      <c r="B7003" s="11" t="str">
        <f>IF(D7003&lt;&gt;"",IF(COUNTIF('USPTO TMs'!A:A,D7003)&gt;0,"Yes","No"),"")</f>
        <v/>
      </c>
      <c r="C7003" s="11"/>
      <c r="D7003" s="11"/>
      <c r="E7003" s="11"/>
      <c r="F7003" s="11"/>
      <c r="G7003" s="11"/>
      <c r="H7003" s="11"/>
      <c r="I7003" s="15"/>
    </row>
    <row r="7004" spans="1:9" ht="16.5">
      <c r="A7004" s="10" t="b">
        <v>0</v>
      </c>
      <c r="B7004" s="11" t="str">
        <f>IF(D7004&lt;&gt;"",IF(COUNTIF('USPTO TMs'!A:A,D7004)&gt;0,"Yes","No"),"")</f>
        <v/>
      </c>
      <c r="C7004" s="11"/>
      <c r="D7004" s="11"/>
      <c r="E7004" s="11"/>
      <c r="F7004" s="11"/>
      <c r="G7004" s="11"/>
      <c r="H7004" s="11"/>
      <c r="I7004" s="15"/>
    </row>
    <row r="7005" spans="1:9" ht="16.5">
      <c r="A7005" s="10" t="b">
        <v>0</v>
      </c>
      <c r="B7005" s="11" t="str">
        <f>IF(D7005&lt;&gt;"",IF(COUNTIF('USPTO TMs'!A:A,D7005)&gt;0,"Yes","No"),"")</f>
        <v/>
      </c>
      <c r="C7005" s="11"/>
      <c r="D7005" s="11"/>
      <c r="E7005" s="11"/>
      <c r="F7005" s="11"/>
      <c r="G7005" s="11"/>
      <c r="H7005" s="11"/>
      <c r="I7005" s="15"/>
    </row>
    <row r="7006" spans="1:9" ht="16.5">
      <c r="A7006" s="10" t="b">
        <v>0</v>
      </c>
      <c r="B7006" s="11" t="str">
        <f>IF(D7006&lt;&gt;"",IF(COUNTIF('USPTO TMs'!A:A,D7006)&gt;0,"Yes","No"),"")</f>
        <v/>
      </c>
      <c r="C7006" s="11"/>
      <c r="D7006" s="11"/>
      <c r="E7006" s="11"/>
      <c r="F7006" s="11"/>
      <c r="G7006" s="11"/>
      <c r="H7006" s="11"/>
      <c r="I7006" s="15"/>
    </row>
    <row r="7007" spans="1:9" ht="16.5">
      <c r="A7007" s="10" t="b">
        <v>0</v>
      </c>
      <c r="B7007" s="11" t="str">
        <f>IF(D7007&lt;&gt;"",IF(COUNTIF('USPTO TMs'!A:A,D7007)&gt;0,"Yes","No"),"")</f>
        <v/>
      </c>
      <c r="C7007" s="11"/>
      <c r="D7007" s="11"/>
      <c r="E7007" s="11"/>
      <c r="F7007" s="11"/>
      <c r="G7007" s="11"/>
      <c r="H7007" s="11"/>
      <c r="I7007" s="15"/>
    </row>
    <row r="7008" spans="1:9" ht="16.5">
      <c r="A7008" s="10" t="b">
        <v>0</v>
      </c>
      <c r="B7008" s="11" t="str">
        <f>IF(D7008&lt;&gt;"",IF(COUNTIF('USPTO TMs'!A:A,D7008)&gt;0,"Yes","No"),"")</f>
        <v/>
      </c>
      <c r="C7008" s="11"/>
      <c r="D7008" s="11"/>
      <c r="E7008" s="11"/>
      <c r="F7008" s="11"/>
      <c r="G7008" s="11"/>
      <c r="H7008" s="11"/>
      <c r="I7008" s="15"/>
    </row>
    <row r="7009" spans="1:9" ht="16.5">
      <c r="A7009" s="10" t="b">
        <v>0</v>
      </c>
      <c r="B7009" s="11" t="str">
        <f>IF(D7009&lt;&gt;"",IF(COUNTIF('USPTO TMs'!A:A,D7009)&gt;0,"Yes","No"),"")</f>
        <v/>
      </c>
      <c r="C7009" s="11"/>
      <c r="D7009" s="11"/>
      <c r="E7009" s="11"/>
      <c r="F7009" s="11"/>
      <c r="G7009" s="11"/>
      <c r="H7009" s="11"/>
      <c r="I7009" s="15"/>
    </row>
    <row r="7010" spans="1:9" ht="16.5">
      <c r="A7010" s="10" t="b">
        <v>0</v>
      </c>
      <c r="B7010" s="11" t="str">
        <f>IF(D7010&lt;&gt;"",IF(COUNTIF('USPTO TMs'!A:A,D7010)&gt;0,"Yes","No"),"")</f>
        <v/>
      </c>
      <c r="C7010" s="11"/>
      <c r="D7010" s="11"/>
      <c r="E7010" s="11"/>
      <c r="F7010" s="11"/>
      <c r="G7010" s="11"/>
      <c r="H7010" s="11"/>
      <c r="I7010" s="15"/>
    </row>
    <row r="7011" spans="1:9" ht="16.5">
      <c r="A7011" s="10" t="b">
        <v>0</v>
      </c>
      <c r="B7011" s="11" t="str">
        <f>IF(D7011&lt;&gt;"",IF(COUNTIF('USPTO TMs'!A:A,D7011)&gt;0,"Yes","No"),"")</f>
        <v/>
      </c>
      <c r="C7011" s="11"/>
      <c r="D7011" s="11"/>
      <c r="E7011" s="11"/>
      <c r="F7011" s="11"/>
      <c r="G7011" s="11"/>
      <c r="H7011" s="11"/>
      <c r="I7011" s="15"/>
    </row>
    <row r="7012" spans="1:9" ht="16.5">
      <c r="A7012" s="10" t="b">
        <v>0</v>
      </c>
      <c r="B7012" s="11" t="str">
        <f>IF(D7012&lt;&gt;"",IF(COUNTIF('USPTO TMs'!A:A,D7012)&gt;0,"Yes","No"),"")</f>
        <v/>
      </c>
      <c r="C7012" s="11"/>
      <c r="D7012" s="11"/>
      <c r="E7012" s="11"/>
      <c r="F7012" s="11"/>
      <c r="G7012" s="11"/>
      <c r="H7012" s="11"/>
      <c r="I7012" s="15"/>
    </row>
    <row r="7013" spans="1:9" ht="16.5">
      <c r="A7013" s="10" t="b">
        <v>0</v>
      </c>
      <c r="B7013" s="11" t="str">
        <f>IF(D7013&lt;&gt;"",IF(COUNTIF('USPTO TMs'!A:A,D7013)&gt;0,"Yes","No"),"")</f>
        <v/>
      </c>
      <c r="C7013" s="11"/>
      <c r="D7013" s="11"/>
      <c r="E7013" s="11"/>
      <c r="F7013" s="11"/>
      <c r="G7013" s="11"/>
      <c r="H7013" s="11"/>
      <c r="I7013" s="15"/>
    </row>
    <row r="7014" spans="1:9" ht="16.5">
      <c r="A7014" s="10" t="b">
        <v>0</v>
      </c>
      <c r="B7014" s="11" t="str">
        <f>IF(D7014&lt;&gt;"",IF(COUNTIF('USPTO TMs'!A:A,D7014)&gt;0,"Yes","No"),"")</f>
        <v/>
      </c>
      <c r="C7014" s="11"/>
      <c r="D7014" s="11"/>
      <c r="E7014" s="11"/>
      <c r="F7014" s="11"/>
      <c r="G7014" s="11"/>
      <c r="H7014" s="11"/>
      <c r="I7014" s="15"/>
    </row>
    <row r="7015" spans="1:9" ht="16.5">
      <c r="A7015" s="10" t="b">
        <v>0</v>
      </c>
      <c r="B7015" s="11" t="str">
        <f>IF(D7015&lt;&gt;"",IF(COUNTIF('USPTO TMs'!A:A,D7015)&gt;0,"Yes","No"),"")</f>
        <v/>
      </c>
      <c r="C7015" s="11"/>
      <c r="D7015" s="11"/>
      <c r="E7015" s="11"/>
      <c r="F7015" s="11"/>
      <c r="G7015" s="11"/>
      <c r="H7015" s="11"/>
      <c r="I7015" s="15"/>
    </row>
    <row r="7016" spans="1:9" ht="16.5">
      <c r="A7016" s="10" t="b">
        <v>0</v>
      </c>
      <c r="B7016" s="11" t="str">
        <f>IF(D7016&lt;&gt;"",IF(COUNTIF('USPTO TMs'!A:A,D7016)&gt;0,"Yes","No"),"")</f>
        <v/>
      </c>
      <c r="C7016" s="11"/>
      <c r="D7016" s="11"/>
      <c r="E7016" s="11"/>
      <c r="F7016" s="11"/>
      <c r="G7016" s="11"/>
      <c r="H7016" s="11"/>
      <c r="I7016" s="15"/>
    </row>
    <row r="7017" spans="1:9" ht="16.5">
      <c r="A7017" s="10" t="b">
        <v>0</v>
      </c>
      <c r="B7017" s="11" t="str">
        <f>IF(D7017&lt;&gt;"",IF(COUNTIF('USPTO TMs'!A:A,D7017)&gt;0,"Yes","No"),"")</f>
        <v/>
      </c>
      <c r="C7017" s="11"/>
      <c r="D7017" s="11"/>
      <c r="E7017" s="11"/>
      <c r="F7017" s="11"/>
      <c r="G7017" s="11"/>
      <c r="H7017" s="11"/>
      <c r="I7017" s="15"/>
    </row>
    <row r="7018" spans="1:9" ht="16.5">
      <c r="A7018" s="10" t="b">
        <v>0</v>
      </c>
      <c r="B7018" s="11" t="str">
        <f>IF(D7018&lt;&gt;"",IF(COUNTIF('USPTO TMs'!A:A,D7018)&gt;0,"Yes","No"),"")</f>
        <v/>
      </c>
      <c r="C7018" s="11"/>
      <c r="D7018" s="11"/>
      <c r="E7018" s="11"/>
      <c r="F7018" s="11"/>
      <c r="G7018" s="11"/>
      <c r="H7018" s="11"/>
      <c r="I7018" s="15"/>
    </row>
    <row r="7019" spans="1:9" ht="16.5">
      <c r="A7019" s="10" t="b">
        <v>0</v>
      </c>
      <c r="B7019" s="11" t="str">
        <f>IF(D7019&lt;&gt;"",IF(COUNTIF('USPTO TMs'!A:A,D7019)&gt;0,"Yes","No"),"")</f>
        <v/>
      </c>
      <c r="C7019" s="11"/>
      <c r="D7019" s="11"/>
      <c r="E7019" s="11"/>
      <c r="F7019" s="11"/>
      <c r="G7019" s="11"/>
      <c r="H7019" s="11"/>
      <c r="I7019" s="15"/>
    </row>
    <row r="7020" spans="1:9" ht="16.5">
      <c r="A7020" s="10" t="b">
        <v>0</v>
      </c>
      <c r="B7020" s="11" t="str">
        <f>IF(D7020&lt;&gt;"",IF(COUNTIF('USPTO TMs'!A:A,D7020)&gt;0,"Yes","No"),"")</f>
        <v/>
      </c>
      <c r="C7020" s="11"/>
      <c r="D7020" s="11"/>
      <c r="E7020" s="11"/>
      <c r="F7020" s="11"/>
      <c r="G7020" s="11"/>
      <c r="H7020" s="11"/>
      <c r="I7020" s="15"/>
    </row>
    <row r="7021" spans="1:9" ht="16.5">
      <c r="A7021" s="10" t="b">
        <v>0</v>
      </c>
      <c r="B7021" s="11" t="str">
        <f>IF(D7021&lt;&gt;"",IF(COUNTIF('USPTO TMs'!A:A,D7021)&gt;0,"Yes","No"),"")</f>
        <v/>
      </c>
      <c r="C7021" s="11"/>
      <c r="D7021" s="11"/>
      <c r="E7021" s="11"/>
      <c r="F7021" s="11"/>
      <c r="G7021" s="11"/>
      <c r="H7021" s="11"/>
      <c r="I7021" s="15"/>
    </row>
    <row r="7022" spans="1:9" ht="16.5">
      <c r="A7022" s="10" t="b">
        <v>0</v>
      </c>
      <c r="B7022" s="11" t="str">
        <f>IF(D7022&lt;&gt;"",IF(COUNTIF('USPTO TMs'!A:A,D7022)&gt;0,"Yes","No"),"")</f>
        <v/>
      </c>
      <c r="C7022" s="11"/>
      <c r="D7022" s="11"/>
      <c r="E7022" s="11"/>
      <c r="F7022" s="11"/>
      <c r="G7022" s="11"/>
      <c r="H7022" s="11"/>
      <c r="I7022" s="15"/>
    </row>
    <row r="7023" spans="1:9" ht="16.5">
      <c r="A7023" s="10" t="b">
        <v>0</v>
      </c>
      <c r="B7023" s="11" t="str">
        <f>IF(D7023&lt;&gt;"",IF(COUNTIF('USPTO TMs'!A:A,D7023)&gt;0,"Yes","No"),"")</f>
        <v/>
      </c>
      <c r="C7023" s="11"/>
      <c r="D7023" s="11"/>
      <c r="E7023" s="11"/>
      <c r="F7023" s="11"/>
      <c r="G7023" s="11"/>
      <c r="H7023" s="11"/>
      <c r="I7023" s="15"/>
    </row>
    <row r="7024" spans="1:9" ht="16.5">
      <c r="A7024" s="10" t="b">
        <v>0</v>
      </c>
      <c r="B7024" s="11" t="str">
        <f>IF(D7024&lt;&gt;"",IF(COUNTIF('USPTO TMs'!A:A,D7024)&gt;0,"Yes","No"),"")</f>
        <v/>
      </c>
      <c r="C7024" s="11"/>
      <c r="D7024" s="11"/>
      <c r="E7024" s="11"/>
      <c r="F7024" s="11"/>
      <c r="G7024" s="11"/>
      <c r="H7024" s="11"/>
      <c r="I7024" s="15"/>
    </row>
    <row r="7025" spans="1:9" ht="16.5">
      <c r="A7025" s="10" t="b">
        <v>0</v>
      </c>
      <c r="B7025" s="11" t="str">
        <f>IF(D7025&lt;&gt;"",IF(COUNTIF('USPTO TMs'!A:A,D7025)&gt;0,"Yes","No"),"")</f>
        <v/>
      </c>
      <c r="C7025" s="11"/>
      <c r="D7025" s="11"/>
      <c r="E7025" s="11"/>
      <c r="F7025" s="11"/>
      <c r="G7025" s="11"/>
      <c r="H7025" s="11"/>
      <c r="I7025" s="15"/>
    </row>
    <row r="7026" spans="1:9" ht="16.5">
      <c r="A7026" s="10" t="b">
        <v>0</v>
      </c>
      <c r="B7026" s="11" t="str">
        <f>IF(D7026&lt;&gt;"",IF(COUNTIF('USPTO TMs'!A:A,D7026)&gt;0,"Yes","No"),"")</f>
        <v/>
      </c>
      <c r="C7026" s="11"/>
      <c r="D7026" s="11"/>
      <c r="E7026" s="11"/>
      <c r="F7026" s="11"/>
      <c r="G7026" s="11"/>
      <c r="H7026" s="11"/>
      <c r="I7026" s="15"/>
    </row>
    <row r="7027" spans="1:9" ht="16.5">
      <c r="A7027" s="10" t="b">
        <v>0</v>
      </c>
      <c r="B7027" s="11" t="str">
        <f>IF(D7027&lt;&gt;"",IF(COUNTIF('USPTO TMs'!A:A,D7027)&gt;0,"Yes","No"),"")</f>
        <v/>
      </c>
      <c r="C7027" s="11"/>
      <c r="D7027" s="11"/>
      <c r="E7027" s="11"/>
      <c r="F7027" s="11"/>
      <c r="G7027" s="11"/>
      <c r="H7027" s="11"/>
      <c r="I7027" s="15"/>
    </row>
    <row r="7028" spans="1:9" ht="16.5">
      <c r="A7028" s="10" t="b">
        <v>0</v>
      </c>
      <c r="B7028" s="11" t="str">
        <f>IF(D7028&lt;&gt;"",IF(COUNTIF('USPTO TMs'!A:A,D7028)&gt;0,"Yes","No"),"")</f>
        <v/>
      </c>
      <c r="C7028" s="11"/>
      <c r="D7028" s="11"/>
      <c r="E7028" s="11"/>
      <c r="F7028" s="11"/>
      <c r="G7028" s="11"/>
      <c r="H7028" s="11"/>
      <c r="I7028" s="15"/>
    </row>
    <row r="7029" spans="1:9" ht="16.5">
      <c r="A7029" s="10" t="b">
        <v>0</v>
      </c>
      <c r="B7029" s="11" t="str">
        <f>IF(D7029&lt;&gt;"",IF(COUNTIF('USPTO TMs'!A:A,D7029)&gt;0,"Yes","No"),"")</f>
        <v/>
      </c>
      <c r="C7029" s="11"/>
      <c r="D7029" s="11"/>
      <c r="E7029" s="11"/>
      <c r="F7029" s="11"/>
      <c r="G7029" s="11"/>
      <c r="H7029" s="11"/>
      <c r="I7029" s="15"/>
    </row>
    <row r="7030" spans="1:9" ht="16.5">
      <c r="A7030" s="10" t="b">
        <v>0</v>
      </c>
      <c r="B7030" s="11" t="str">
        <f>IF(D7030&lt;&gt;"",IF(COUNTIF('USPTO TMs'!A:A,D7030)&gt;0,"Yes","No"),"")</f>
        <v/>
      </c>
      <c r="C7030" s="11"/>
      <c r="D7030" s="11"/>
      <c r="E7030" s="11"/>
      <c r="F7030" s="11"/>
      <c r="G7030" s="11"/>
      <c r="H7030" s="11"/>
      <c r="I7030" s="15"/>
    </row>
    <row r="7031" spans="1:9" ht="16.5">
      <c r="A7031" s="10" t="b">
        <v>0</v>
      </c>
      <c r="B7031" s="11" t="str">
        <f>IF(D7031&lt;&gt;"",IF(COUNTIF('USPTO TMs'!A:A,D7031)&gt;0,"Yes","No"),"")</f>
        <v/>
      </c>
      <c r="C7031" s="11"/>
      <c r="D7031" s="11"/>
      <c r="E7031" s="11"/>
      <c r="F7031" s="11"/>
      <c r="G7031" s="11"/>
      <c r="H7031" s="11"/>
      <c r="I7031" s="15"/>
    </row>
    <row r="7032" spans="1:9" ht="16.5">
      <c r="A7032" s="10" t="b">
        <v>0</v>
      </c>
      <c r="B7032" s="11" t="str">
        <f>IF(D7032&lt;&gt;"",IF(COUNTIF('USPTO TMs'!A:A,D7032)&gt;0,"Yes","No"),"")</f>
        <v/>
      </c>
      <c r="C7032" s="11"/>
      <c r="D7032" s="11"/>
      <c r="E7032" s="11"/>
      <c r="F7032" s="11"/>
      <c r="G7032" s="11"/>
      <c r="H7032" s="11"/>
      <c r="I7032" s="15"/>
    </row>
    <row r="7033" spans="1:9" ht="16.5">
      <c r="A7033" s="10" t="b">
        <v>0</v>
      </c>
      <c r="B7033" s="11" t="str">
        <f>IF(D7033&lt;&gt;"",IF(COUNTIF('USPTO TMs'!A:A,D7033)&gt;0,"Yes","No"),"")</f>
        <v/>
      </c>
      <c r="C7033" s="11"/>
      <c r="D7033" s="11"/>
      <c r="E7033" s="11"/>
      <c r="F7033" s="11"/>
      <c r="G7033" s="11"/>
      <c r="H7033" s="11"/>
      <c r="I7033" s="15"/>
    </row>
    <row r="7034" spans="1:9" ht="16.5">
      <c r="A7034" s="10" t="b">
        <v>0</v>
      </c>
      <c r="B7034" s="11" t="str">
        <f>IF(D7034&lt;&gt;"",IF(COUNTIF('USPTO TMs'!A:A,D7034)&gt;0,"Yes","No"),"")</f>
        <v/>
      </c>
      <c r="C7034" s="11"/>
      <c r="D7034" s="11"/>
      <c r="E7034" s="11"/>
      <c r="F7034" s="11"/>
      <c r="G7034" s="11"/>
      <c r="H7034" s="11"/>
      <c r="I7034" s="15"/>
    </row>
    <row r="7035" spans="1:9" ht="16.5">
      <c r="A7035" s="10" t="b">
        <v>0</v>
      </c>
      <c r="B7035" s="11" t="str">
        <f>IF(D7035&lt;&gt;"",IF(COUNTIF('USPTO TMs'!A:A,D7035)&gt;0,"Yes","No"),"")</f>
        <v/>
      </c>
      <c r="C7035" s="11"/>
      <c r="D7035" s="11"/>
      <c r="E7035" s="11"/>
      <c r="F7035" s="11"/>
      <c r="G7035" s="11"/>
      <c r="H7035" s="11"/>
      <c r="I7035" s="15"/>
    </row>
    <row r="7036" spans="1:9" ht="16.5">
      <c r="A7036" s="10" t="b">
        <v>0</v>
      </c>
      <c r="B7036" s="11" t="str">
        <f>IF(D7036&lt;&gt;"",IF(COUNTIF('USPTO TMs'!A:A,D7036)&gt;0,"Yes","No"),"")</f>
        <v/>
      </c>
      <c r="C7036" s="11"/>
      <c r="D7036" s="11"/>
      <c r="E7036" s="11"/>
      <c r="F7036" s="11"/>
      <c r="G7036" s="11"/>
      <c r="H7036" s="11"/>
      <c r="I7036" s="15"/>
    </row>
    <row r="7037" spans="1:9" ht="16.5">
      <c r="A7037" s="10" t="b">
        <v>0</v>
      </c>
      <c r="B7037" s="11" t="str">
        <f>IF(D7037&lt;&gt;"",IF(COUNTIF('USPTO TMs'!A:A,D7037)&gt;0,"Yes","No"),"")</f>
        <v/>
      </c>
      <c r="C7037" s="11"/>
      <c r="D7037" s="11"/>
      <c r="E7037" s="11"/>
      <c r="F7037" s="11"/>
      <c r="G7037" s="11"/>
      <c r="H7037" s="11"/>
      <c r="I7037" s="15"/>
    </row>
    <row r="7038" spans="1:9" ht="16.5">
      <c r="A7038" s="10" t="b">
        <v>0</v>
      </c>
      <c r="B7038" s="11" t="str">
        <f>IF(D7038&lt;&gt;"",IF(COUNTIF('USPTO TMs'!A:A,D7038)&gt;0,"Yes","No"),"")</f>
        <v/>
      </c>
      <c r="C7038" s="11"/>
      <c r="D7038" s="11"/>
      <c r="E7038" s="11"/>
      <c r="F7038" s="11"/>
      <c r="G7038" s="11"/>
      <c r="H7038" s="11"/>
      <c r="I7038" s="15"/>
    </row>
    <row r="7039" spans="1:9" ht="16.5">
      <c r="A7039" s="10" t="b">
        <v>0</v>
      </c>
      <c r="B7039" s="11" t="str">
        <f>IF(D7039&lt;&gt;"",IF(COUNTIF('USPTO TMs'!A:A,D7039)&gt;0,"Yes","No"),"")</f>
        <v/>
      </c>
      <c r="C7039" s="11"/>
      <c r="D7039" s="11"/>
      <c r="E7039" s="11"/>
      <c r="F7039" s="11"/>
      <c r="G7039" s="11"/>
      <c r="H7039" s="11"/>
      <c r="I7039" s="15"/>
    </row>
    <row r="7040" spans="1:9" ht="16.5">
      <c r="A7040" s="10" t="b">
        <v>0</v>
      </c>
      <c r="B7040" s="11" t="str">
        <f>IF(D7040&lt;&gt;"",IF(COUNTIF('USPTO TMs'!A:A,D7040)&gt;0,"Yes","No"),"")</f>
        <v/>
      </c>
      <c r="C7040" s="11"/>
      <c r="D7040" s="11"/>
      <c r="E7040" s="11"/>
      <c r="F7040" s="11"/>
      <c r="G7040" s="11"/>
      <c r="H7040" s="11"/>
      <c r="I7040" s="15"/>
    </row>
    <row r="7041" spans="1:9" ht="16.5">
      <c r="A7041" s="10" t="b">
        <v>0</v>
      </c>
      <c r="B7041" s="11" t="str">
        <f>IF(D7041&lt;&gt;"",IF(COUNTIF('USPTO TMs'!A:A,D7041)&gt;0,"Yes","No"),"")</f>
        <v/>
      </c>
      <c r="C7041" s="11"/>
      <c r="D7041" s="11"/>
      <c r="E7041" s="11"/>
      <c r="F7041" s="11"/>
      <c r="G7041" s="11"/>
      <c r="H7041" s="11"/>
      <c r="I7041" s="15"/>
    </row>
    <row r="7042" spans="1:9" ht="16.5">
      <c r="A7042" s="10" t="b">
        <v>0</v>
      </c>
      <c r="B7042" s="11" t="str">
        <f>IF(D7042&lt;&gt;"",IF(COUNTIF('USPTO TMs'!A:A,D7042)&gt;0,"Yes","No"),"")</f>
        <v/>
      </c>
      <c r="C7042" s="11"/>
      <c r="D7042" s="11"/>
      <c r="E7042" s="11"/>
      <c r="F7042" s="11"/>
      <c r="G7042" s="11"/>
      <c r="H7042" s="11"/>
      <c r="I7042" s="15"/>
    </row>
    <row r="7043" spans="1:9" ht="16.5">
      <c r="A7043" s="10" t="b">
        <v>0</v>
      </c>
      <c r="B7043" s="11" t="str">
        <f>IF(D7043&lt;&gt;"",IF(COUNTIF('USPTO TMs'!A:A,D7043)&gt;0,"Yes","No"),"")</f>
        <v/>
      </c>
      <c r="C7043" s="11"/>
      <c r="D7043" s="11"/>
      <c r="E7043" s="11"/>
      <c r="F7043" s="11"/>
      <c r="G7043" s="11"/>
      <c r="H7043" s="11"/>
      <c r="I7043" s="15"/>
    </row>
    <row r="7044" spans="1:9" ht="16.5">
      <c r="A7044" s="10" t="b">
        <v>0</v>
      </c>
      <c r="B7044" s="11" t="str">
        <f>IF(D7044&lt;&gt;"",IF(COUNTIF('USPTO TMs'!A:A,D7044)&gt;0,"Yes","No"),"")</f>
        <v/>
      </c>
      <c r="C7044" s="11"/>
      <c r="D7044" s="11"/>
      <c r="E7044" s="11"/>
      <c r="F7044" s="11"/>
      <c r="G7044" s="11"/>
      <c r="H7044" s="11"/>
      <c r="I7044" s="15"/>
    </row>
    <row r="7045" spans="1:9" ht="16.5">
      <c r="A7045" s="10" t="b">
        <v>0</v>
      </c>
      <c r="B7045" s="11" t="str">
        <f>IF(D7045&lt;&gt;"",IF(COUNTIF('USPTO TMs'!A:A,D7045)&gt;0,"Yes","No"),"")</f>
        <v/>
      </c>
      <c r="C7045" s="11"/>
      <c r="D7045" s="11"/>
      <c r="E7045" s="11"/>
      <c r="F7045" s="11"/>
      <c r="G7045" s="11"/>
      <c r="H7045" s="11"/>
      <c r="I7045" s="15"/>
    </row>
    <row r="7046" spans="1:9" ht="16.5">
      <c r="A7046" s="10" t="b">
        <v>0</v>
      </c>
      <c r="B7046" s="11" t="str">
        <f>IF(D7046&lt;&gt;"",IF(COUNTIF('USPTO TMs'!A:A,D7046)&gt;0,"Yes","No"),"")</f>
        <v/>
      </c>
      <c r="C7046" s="11"/>
      <c r="D7046" s="11"/>
      <c r="E7046" s="11"/>
      <c r="F7046" s="11"/>
      <c r="G7046" s="11"/>
      <c r="H7046" s="11"/>
      <c r="I7046" s="15"/>
    </row>
    <row r="7047" spans="1:9" ht="16.5">
      <c r="A7047" s="10" t="b">
        <v>0</v>
      </c>
      <c r="B7047" s="11" t="str">
        <f>IF(D7047&lt;&gt;"",IF(COUNTIF('USPTO TMs'!A:A,D7047)&gt;0,"Yes","No"),"")</f>
        <v/>
      </c>
      <c r="C7047" s="11"/>
      <c r="D7047" s="11"/>
      <c r="E7047" s="11"/>
      <c r="F7047" s="11"/>
      <c r="G7047" s="11"/>
      <c r="H7047" s="11"/>
      <c r="I7047" s="15"/>
    </row>
    <row r="7048" spans="1:9" ht="16.5">
      <c r="A7048" s="10" t="b">
        <v>0</v>
      </c>
      <c r="B7048" s="11" t="str">
        <f>IF(D7048&lt;&gt;"",IF(COUNTIF('USPTO TMs'!A:A,D7048)&gt;0,"Yes","No"),"")</f>
        <v/>
      </c>
      <c r="C7048" s="11"/>
      <c r="D7048" s="11"/>
      <c r="E7048" s="11"/>
      <c r="F7048" s="11"/>
      <c r="G7048" s="11"/>
      <c r="H7048" s="11"/>
      <c r="I7048" s="15"/>
    </row>
    <row r="7049" spans="1:9" ht="16.5">
      <c r="A7049" s="10" t="b">
        <v>0</v>
      </c>
      <c r="B7049" s="11" t="str">
        <f>IF(D7049&lt;&gt;"",IF(COUNTIF('USPTO TMs'!A:A,D7049)&gt;0,"Yes","No"),"")</f>
        <v/>
      </c>
      <c r="C7049" s="11"/>
      <c r="D7049" s="11"/>
      <c r="E7049" s="11"/>
      <c r="F7049" s="11"/>
      <c r="G7049" s="11"/>
      <c r="H7049" s="11"/>
      <c r="I7049" s="15"/>
    </row>
    <row r="7050" spans="1:9" ht="16.5">
      <c r="A7050" s="10" t="b">
        <v>0</v>
      </c>
      <c r="B7050" s="11" t="str">
        <f>IF(D7050&lt;&gt;"",IF(COUNTIF('USPTO TMs'!A:A,D7050)&gt;0,"Yes","No"),"")</f>
        <v/>
      </c>
      <c r="C7050" s="11"/>
      <c r="D7050" s="11"/>
      <c r="E7050" s="11"/>
      <c r="F7050" s="11"/>
      <c r="G7050" s="11"/>
      <c r="H7050" s="11"/>
      <c r="I7050" s="15"/>
    </row>
    <row r="7051" spans="1:9" ht="16.5">
      <c r="A7051" s="10" t="b">
        <v>0</v>
      </c>
      <c r="B7051" s="11" t="str">
        <f>IF(D7051&lt;&gt;"",IF(COUNTIF('USPTO TMs'!A:A,D7051)&gt;0,"Yes","No"),"")</f>
        <v/>
      </c>
      <c r="C7051" s="11"/>
      <c r="D7051" s="11"/>
      <c r="E7051" s="11"/>
      <c r="F7051" s="11"/>
      <c r="G7051" s="11"/>
      <c r="H7051" s="11"/>
      <c r="I7051" s="15"/>
    </row>
    <row r="7052" spans="1:9" ht="16.5">
      <c r="A7052" s="10" t="b">
        <v>0</v>
      </c>
      <c r="B7052" s="11" t="str">
        <f>IF(D7052&lt;&gt;"",IF(COUNTIF('USPTO TMs'!A:A,D7052)&gt;0,"Yes","No"),"")</f>
        <v/>
      </c>
      <c r="C7052" s="11"/>
      <c r="D7052" s="11"/>
      <c r="E7052" s="11"/>
      <c r="F7052" s="11"/>
      <c r="G7052" s="11"/>
      <c r="H7052" s="11"/>
      <c r="I7052" s="15"/>
    </row>
    <row r="7053" spans="1:9" ht="16.5">
      <c r="A7053" s="10" t="b">
        <v>0</v>
      </c>
      <c r="B7053" s="11" t="str">
        <f>IF(D7053&lt;&gt;"",IF(COUNTIF('USPTO TMs'!A:A,D7053)&gt;0,"Yes","No"),"")</f>
        <v/>
      </c>
      <c r="C7053" s="11"/>
      <c r="D7053" s="11"/>
      <c r="E7053" s="11"/>
      <c r="F7053" s="11"/>
      <c r="G7053" s="11"/>
      <c r="H7053" s="11"/>
      <c r="I7053" s="15"/>
    </row>
    <row r="7054" spans="1:9" ht="16.5">
      <c r="A7054" s="10" t="b">
        <v>0</v>
      </c>
      <c r="B7054" s="11" t="str">
        <f>IF(D7054&lt;&gt;"",IF(COUNTIF('USPTO TMs'!A:A,D7054)&gt;0,"Yes","No"),"")</f>
        <v/>
      </c>
      <c r="C7054" s="11"/>
      <c r="D7054" s="11"/>
      <c r="E7054" s="11"/>
      <c r="F7054" s="11"/>
      <c r="G7054" s="11"/>
      <c r="H7054" s="11"/>
      <c r="I7054" s="15"/>
    </row>
    <row r="7055" spans="1:9" ht="16.5">
      <c r="A7055" s="10" t="b">
        <v>0</v>
      </c>
      <c r="B7055" s="11" t="str">
        <f>IF(D7055&lt;&gt;"",IF(COUNTIF('USPTO TMs'!A:A,D7055)&gt;0,"Yes","No"),"")</f>
        <v/>
      </c>
      <c r="C7055" s="11"/>
      <c r="D7055" s="11"/>
      <c r="E7055" s="11"/>
      <c r="F7055" s="11"/>
      <c r="G7055" s="11"/>
      <c r="H7055" s="11"/>
      <c r="I7055" s="15"/>
    </row>
    <row r="7056" spans="1:9" ht="16.5">
      <c r="A7056" s="10" t="b">
        <v>0</v>
      </c>
      <c r="B7056" s="11" t="str">
        <f>IF(D7056&lt;&gt;"",IF(COUNTIF('USPTO TMs'!A:A,D7056)&gt;0,"Yes","No"),"")</f>
        <v/>
      </c>
      <c r="C7056" s="11"/>
      <c r="D7056" s="11"/>
      <c r="E7056" s="11"/>
      <c r="F7056" s="11"/>
      <c r="G7056" s="11"/>
      <c r="H7056" s="11"/>
      <c r="I7056" s="15"/>
    </row>
    <row r="7057" spans="1:9" ht="16.5">
      <c r="A7057" s="10" t="b">
        <v>0</v>
      </c>
      <c r="B7057" s="11" t="str">
        <f>IF(D7057&lt;&gt;"",IF(COUNTIF('USPTO TMs'!A:A,D7057)&gt;0,"Yes","No"),"")</f>
        <v/>
      </c>
      <c r="C7057" s="11"/>
      <c r="D7057" s="11"/>
      <c r="E7057" s="11"/>
      <c r="F7057" s="11"/>
      <c r="G7057" s="11"/>
      <c r="H7057" s="11"/>
      <c r="I7057" s="15"/>
    </row>
    <row r="7058" spans="1:9" ht="16.5">
      <c r="A7058" s="10" t="b">
        <v>0</v>
      </c>
      <c r="B7058" s="11" t="str">
        <f>IF(D7058&lt;&gt;"",IF(COUNTIF('USPTO TMs'!A:A,D7058)&gt;0,"Yes","No"),"")</f>
        <v/>
      </c>
      <c r="C7058" s="11"/>
      <c r="D7058" s="11"/>
      <c r="E7058" s="11"/>
      <c r="F7058" s="11"/>
      <c r="G7058" s="11"/>
      <c r="H7058" s="11"/>
      <c r="I7058" s="15"/>
    </row>
    <row r="7059" spans="1:9" ht="16.5">
      <c r="A7059" s="10" t="b">
        <v>0</v>
      </c>
      <c r="B7059" s="11" t="str">
        <f>IF(D7059&lt;&gt;"",IF(COUNTIF('USPTO TMs'!A:A,D7059)&gt;0,"Yes","No"),"")</f>
        <v/>
      </c>
      <c r="C7059" s="11"/>
      <c r="D7059" s="11"/>
      <c r="E7059" s="11"/>
      <c r="F7059" s="11"/>
      <c r="G7059" s="11"/>
      <c r="H7059" s="11"/>
      <c r="I7059" s="15"/>
    </row>
    <row r="7060" spans="1:9" ht="16.5">
      <c r="A7060" s="10" t="b">
        <v>0</v>
      </c>
      <c r="B7060" s="11" t="str">
        <f>IF(D7060&lt;&gt;"",IF(COUNTIF('USPTO TMs'!A:A,D7060)&gt;0,"Yes","No"),"")</f>
        <v/>
      </c>
      <c r="C7060" s="11"/>
      <c r="D7060" s="11"/>
      <c r="E7060" s="11"/>
      <c r="F7060" s="11"/>
      <c r="G7060" s="11"/>
      <c r="H7060" s="11"/>
      <c r="I7060" s="15"/>
    </row>
    <row r="7061" spans="1:9" ht="16.5">
      <c r="A7061" s="10" t="b">
        <v>0</v>
      </c>
      <c r="B7061" s="11" t="str">
        <f>IF(D7061&lt;&gt;"",IF(COUNTIF('USPTO TMs'!A:A,D7061)&gt;0,"Yes","No"),"")</f>
        <v/>
      </c>
      <c r="C7061" s="11"/>
      <c r="D7061" s="11"/>
      <c r="E7061" s="11"/>
      <c r="F7061" s="11"/>
      <c r="G7061" s="11"/>
      <c r="H7061" s="11"/>
      <c r="I7061" s="15"/>
    </row>
    <row r="7062" spans="1:9" ht="16.5">
      <c r="A7062" s="10" t="b">
        <v>0</v>
      </c>
      <c r="B7062" s="11" t="str">
        <f>IF(D7062&lt;&gt;"",IF(COUNTIF('USPTO TMs'!A:A,D7062)&gt;0,"Yes","No"),"")</f>
        <v/>
      </c>
      <c r="C7062" s="11"/>
      <c r="D7062" s="11"/>
      <c r="E7062" s="11"/>
      <c r="F7062" s="11"/>
      <c r="G7062" s="11"/>
      <c r="H7062" s="11"/>
      <c r="I7062" s="15"/>
    </row>
    <row r="7063" spans="1:9" ht="16.5">
      <c r="A7063" s="10" t="b">
        <v>0</v>
      </c>
      <c r="B7063" s="11" t="str">
        <f>IF(D7063&lt;&gt;"",IF(COUNTIF('USPTO TMs'!A:A,D7063)&gt;0,"Yes","No"),"")</f>
        <v/>
      </c>
      <c r="C7063" s="11"/>
      <c r="D7063" s="11"/>
      <c r="E7063" s="11"/>
      <c r="F7063" s="11"/>
      <c r="G7063" s="11"/>
      <c r="H7063" s="11"/>
      <c r="I7063" s="15"/>
    </row>
    <row r="7064" spans="1:9" ht="16.5">
      <c r="A7064" s="10" t="b">
        <v>0</v>
      </c>
      <c r="B7064" s="11" t="str">
        <f>IF(D7064&lt;&gt;"",IF(COUNTIF('USPTO TMs'!A:A,D7064)&gt;0,"Yes","No"),"")</f>
        <v/>
      </c>
      <c r="C7064" s="11"/>
      <c r="D7064" s="11"/>
      <c r="E7064" s="11"/>
      <c r="F7064" s="11"/>
      <c r="G7064" s="11"/>
      <c r="H7064" s="11"/>
      <c r="I7064" s="15"/>
    </row>
    <row r="7065" spans="1:9" ht="16.5">
      <c r="A7065" s="10" t="b">
        <v>0</v>
      </c>
      <c r="B7065" s="11" t="str">
        <f>IF(D7065&lt;&gt;"",IF(COUNTIF('USPTO TMs'!A:A,D7065)&gt;0,"Yes","No"),"")</f>
        <v/>
      </c>
      <c r="C7065" s="11"/>
      <c r="D7065" s="11"/>
      <c r="E7065" s="11"/>
      <c r="F7065" s="11"/>
      <c r="G7065" s="11"/>
      <c r="H7065" s="11"/>
      <c r="I7065" s="15"/>
    </row>
    <row r="7066" spans="1:9" ht="16.5">
      <c r="A7066" s="10" t="b">
        <v>0</v>
      </c>
      <c r="B7066" s="11" t="str">
        <f>IF(D7066&lt;&gt;"",IF(COUNTIF('USPTO TMs'!A:A,D7066)&gt;0,"Yes","No"),"")</f>
        <v/>
      </c>
      <c r="C7066" s="11"/>
      <c r="D7066" s="11"/>
      <c r="E7066" s="11"/>
      <c r="F7066" s="11"/>
      <c r="G7066" s="11"/>
      <c r="H7066" s="11"/>
      <c r="I7066" s="15"/>
    </row>
    <row r="7067" spans="1:9" ht="16.5">
      <c r="A7067" s="10" t="b">
        <v>0</v>
      </c>
      <c r="B7067" s="11" t="str">
        <f>IF(D7067&lt;&gt;"",IF(COUNTIF('USPTO TMs'!A:A,D7067)&gt;0,"Yes","No"),"")</f>
        <v/>
      </c>
      <c r="C7067" s="11"/>
      <c r="D7067" s="11"/>
      <c r="E7067" s="11"/>
      <c r="F7067" s="11"/>
      <c r="G7067" s="11"/>
      <c r="H7067" s="11"/>
      <c r="I7067" s="15"/>
    </row>
    <row r="7068" spans="1:9" ht="16.5">
      <c r="A7068" s="10" t="b">
        <v>0</v>
      </c>
      <c r="B7068" s="11" t="str">
        <f>IF(D7068&lt;&gt;"",IF(COUNTIF('USPTO TMs'!A:A,D7068)&gt;0,"Yes","No"),"")</f>
        <v/>
      </c>
      <c r="C7068" s="11"/>
      <c r="D7068" s="11"/>
      <c r="E7068" s="11"/>
      <c r="F7068" s="11"/>
      <c r="G7068" s="11"/>
      <c r="H7068" s="11"/>
      <c r="I7068" s="15"/>
    </row>
    <row r="7069" spans="1:9" ht="16.5">
      <c r="A7069" s="10" t="b">
        <v>0</v>
      </c>
      <c r="B7069" s="11" t="str">
        <f>IF(D7069&lt;&gt;"",IF(COUNTIF('USPTO TMs'!A:A,D7069)&gt;0,"Yes","No"),"")</f>
        <v/>
      </c>
      <c r="C7069" s="11"/>
      <c r="D7069" s="11"/>
      <c r="E7069" s="11"/>
      <c r="F7069" s="11"/>
      <c r="G7069" s="11"/>
      <c r="H7069" s="11"/>
      <c r="I7069" s="15"/>
    </row>
    <row r="7070" spans="1:9" ht="16.5">
      <c r="A7070" s="10" t="b">
        <v>0</v>
      </c>
      <c r="B7070" s="11" t="str">
        <f>IF(D7070&lt;&gt;"",IF(COUNTIF('USPTO TMs'!A:A,D7070)&gt;0,"Yes","No"),"")</f>
        <v/>
      </c>
      <c r="C7070" s="11"/>
      <c r="D7070" s="11"/>
      <c r="E7070" s="11"/>
      <c r="F7070" s="11"/>
      <c r="G7070" s="11"/>
      <c r="H7070" s="11"/>
      <c r="I7070" s="15"/>
    </row>
    <row r="7071" spans="1:9" ht="16.5">
      <c r="A7071" s="10" t="b">
        <v>0</v>
      </c>
      <c r="B7071" s="11" t="str">
        <f>IF(D7071&lt;&gt;"",IF(COUNTIF('USPTO TMs'!A:A,D7071)&gt;0,"Yes","No"),"")</f>
        <v/>
      </c>
      <c r="C7071" s="11"/>
      <c r="D7071" s="11"/>
      <c r="E7071" s="11"/>
      <c r="F7071" s="11"/>
      <c r="G7071" s="11"/>
      <c r="H7071" s="11"/>
      <c r="I7071" s="15"/>
    </row>
    <row r="7072" spans="1:9" ht="16.5">
      <c r="A7072" s="10" t="b">
        <v>0</v>
      </c>
      <c r="B7072" s="11" t="str">
        <f>IF(D7072&lt;&gt;"",IF(COUNTIF('USPTO TMs'!A:A,D7072)&gt;0,"Yes","No"),"")</f>
        <v/>
      </c>
      <c r="C7072" s="11"/>
      <c r="D7072" s="11"/>
      <c r="E7072" s="11"/>
      <c r="F7072" s="11"/>
      <c r="G7072" s="11"/>
      <c r="H7072" s="11"/>
      <c r="I7072" s="15"/>
    </row>
    <row r="7073" spans="1:9" ht="16.5">
      <c r="A7073" s="10" t="b">
        <v>0</v>
      </c>
      <c r="B7073" s="11" t="str">
        <f>IF(D7073&lt;&gt;"",IF(COUNTIF('USPTO TMs'!A:A,D7073)&gt;0,"Yes","No"),"")</f>
        <v/>
      </c>
      <c r="C7073" s="11"/>
      <c r="D7073" s="11"/>
      <c r="E7073" s="11"/>
      <c r="F7073" s="11"/>
      <c r="G7073" s="11"/>
      <c r="H7073" s="11"/>
      <c r="I7073" s="15"/>
    </row>
    <row r="7074" spans="1:9" ht="16.5">
      <c r="A7074" s="10" t="b">
        <v>0</v>
      </c>
      <c r="B7074" s="11" t="str">
        <f>IF(D7074&lt;&gt;"",IF(COUNTIF('USPTO TMs'!A:A,D7074)&gt;0,"Yes","No"),"")</f>
        <v/>
      </c>
      <c r="C7074" s="11"/>
      <c r="D7074" s="11"/>
      <c r="E7074" s="11"/>
      <c r="F7074" s="11"/>
      <c r="G7074" s="11"/>
      <c r="H7074" s="11"/>
      <c r="I7074" s="15"/>
    </row>
    <row r="7075" spans="1:9" ht="16.5">
      <c r="A7075" s="10" t="b">
        <v>0</v>
      </c>
      <c r="B7075" s="11" t="str">
        <f>IF(D7075&lt;&gt;"",IF(COUNTIF('USPTO TMs'!A:A,D7075)&gt;0,"Yes","No"),"")</f>
        <v/>
      </c>
      <c r="C7075" s="11"/>
      <c r="D7075" s="11"/>
      <c r="E7075" s="11"/>
      <c r="F7075" s="11"/>
      <c r="G7075" s="11"/>
      <c r="H7075" s="11"/>
      <c r="I7075" s="15"/>
    </row>
    <row r="7076" spans="1:9" ht="16.5">
      <c r="A7076" s="10" t="b">
        <v>0</v>
      </c>
      <c r="B7076" s="11" t="str">
        <f>IF(D7076&lt;&gt;"",IF(COUNTIF('USPTO TMs'!A:A,D7076)&gt;0,"Yes","No"),"")</f>
        <v/>
      </c>
      <c r="C7076" s="11"/>
      <c r="D7076" s="11"/>
      <c r="E7076" s="11"/>
      <c r="F7076" s="11"/>
      <c r="G7076" s="11"/>
      <c r="H7076" s="11"/>
      <c r="I7076" s="15"/>
    </row>
    <row r="7077" spans="1:9" ht="16.5">
      <c r="A7077" s="10" t="b">
        <v>0</v>
      </c>
      <c r="B7077" s="11" t="str">
        <f>IF(D7077&lt;&gt;"",IF(COUNTIF('USPTO TMs'!A:A,D7077)&gt;0,"Yes","No"),"")</f>
        <v/>
      </c>
      <c r="C7077" s="11"/>
      <c r="D7077" s="11"/>
      <c r="E7077" s="11"/>
      <c r="F7077" s="11"/>
      <c r="G7077" s="11"/>
      <c r="H7077" s="11"/>
      <c r="I7077" s="15"/>
    </row>
    <row r="7078" spans="1:9" ht="16.5">
      <c r="A7078" s="10" t="b">
        <v>0</v>
      </c>
      <c r="B7078" s="11" t="str">
        <f>IF(D7078&lt;&gt;"",IF(COUNTIF('USPTO TMs'!A:A,D7078)&gt;0,"Yes","No"),"")</f>
        <v/>
      </c>
      <c r="C7078" s="11"/>
      <c r="D7078" s="11"/>
      <c r="E7078" s="11"/>
      <c r="F7078" s="11"/>
      <c r="G7078" s="11"/>
      <c r="H7078" s="11"/>
      <c r="I7078" s="15"/>
    </row>
    <row r="7079" spans="1:9" ht="16.5">
      <c r="A7079" s="10" t="b">
        <v>0</v>
      </c>
      <c r="B7079" s="11" t="str">
        <f>IF(D7079&lt;&gt;"",IF(COUNTIF('USPTO TMs'!A:A,D7079)&gt;0,"Yes","No"),"")</f>
        <v/>
      </c>
      <c r="C7079" s="11"/>
      <c r="D7079" s="11"/>
      <c r="E7079" s="11"/>
      <c r="F7079" s="11"/>
      <c r="G7079" s="11"/>
      <c r="H7079" s="11"/>
      <c r="I7079" s="15"/>
    </row>
    <row r="7080" spans="1:9" ht="16.5">
      <c r="A7080" s="10" t="b">
        <v>0</v>
      </c>
      <c r="B7080" s="11" t="str">
        <f>IF(D7080&lt;&gt;"",IF(COUNTIF('USPTO TMs'!A:A,D7080)&gt;0,"Yes","No"),"")</f>
        <v/>
      </c>
      <c r="C7080" s="11"/>
      <c r="D7080" s="11"/>
      <c r="E7080" s="11"/>
      <c r="F7080" s="11"/>
      <c r="G7080" s="11"/>
      <c r="H7080" s="11"/>
      <c r="I7080" s="15"/>
    </row>
    <row r="7081" spans="1:9" ht="16.5">
      <c r="A7081" s="10" t="b">
        <v>0</v>
      </c>
      <c r="B7081" s="11" t="str">
        <f>IF(D7081&lt;&gt;"",IF(COUNTIF('USPTO TMs'!A:A,D7081)&gt;0,"Yes","No"),"")</f>
        <v/>
      </c>
      <c r="C7081" s="11"/>
      <c r="D7081" s="11"/>
      <c r="E7081" s="11"/>
      <c r="F7081" s="11"/>
      <c r="G7081" s="11"/>
      <c r="H7081" s="11"/>
      <c r="I7081" s="15"/>
    </row>
    <row r="7082" spans="1:9" ht="16.5">
      <c r="A7082" s="10" t="b">
        <v>0</v>
      </c>
      <c r="B7082" s="11" t="str">
        <f>IF(D7082&lt;&gt;"",IF(COUNTIF('USPTO TMs'!A:A,D7082)&gt;0,"Yes","No"),"")</f>
        <v/>
      </c>
      <c r="C7082" s="11"/>
      <c r="D7082" s="11"/>
      <c r="E7082" s="11"/>
      <c r="F7082" s="11"/>
      <c r="G7082" s="11"/>
      <c r="H7082" s="11"/>
      <c r="I7082" s="15"/>
    </row>
    <row r="7083" spans="1:9" ht="16.5">
      <c r="A7083" s="10" t="b">
        <v>0</v>
      </c>
      <c r="B7083" s="11" t="str">
        <f>IF(D7083&lt;&gt;"",IF(COUNTIF('USPTO TMs'!A:A,D7083)&gt;0,"Yes","No"),"")</f>
        <v/>
      </c>
      <c r="C7083" s="11"/>
      <c r="D7083" s="11"/>
      <c r="E7083" s="11"/>
      <c r="F7083" s="11"/>
      <c r="G7083" s="11"/>
      <c r="H7083" s="11"/>
      <c r="I7083" s="15"/>
    </row>
    <row r="7084" spans="1:9" ht="16.5">
      <c r="A7084" s="10" t="b">
        <v>0</v>
      </c>
      <c r="B7084" s="11" t="str">
        <f>IF(D7084&lt;&gt;"",IF(COUNTIF('USPTO TMs'!A:A,D7084)&gt;0,"Yes","No"),"")</f>
        <v/>
      </c>
      <c r="C7084" s="11"/>
      <c r="D7084" s="11"/>
      <c r="E7084" s="11"/>
      <c r="F7084" s="11"/>
      <c r="G7084" s="11"/>
      <c r="H7084" s="11"/>
      <c r="I7084" s="15"/>
    </row>
    <row r="7085" spans="1:9" ht="16.5">
      <c r="A7085" s="10" t="b">
        <v>0</v>
      </c>
      <c r="B7085" s="11" t="str">
        <f>IF(D7085&lt;&gt;"",IF(COUNTIF('USPTO TMs'!A:A,D7085)&gt;0,"Yes","No"),"")</f>
        <v/>
      </c>
      <c r="C7085" s="11"/>
      <c r="D7085" s="11"/>
      <c r="E7085" s="11"/>
      <c r="F7085" s="11"/>
      <c r="G7085" s="11"/>
      <c r="H7085" s="11"/>
      <c r="I7085" s="15"/>
    </row>
    <row r="7086" spans="1:9" ht="16.5">
      <c r="A7086" s="10" t="b">
        <v>0</v>
      </c>
      <c r="B7086" s="11" t="str">
        <f>IF(D7086&lt;&gt;"",IF(COUNTIF('USPTO TMs'!A:A,D7086)&gt;0,"Yes","No"),"")</f>
        <v/>
      </c>
      <c r="C7086" s="11"/>
      <c r="D7086" s="11"/>
      <c r="E7086" s="11"/>
      <c r="F7086" s="11"/>
      <c r="G7086" s="11"/>
      <c r="H7086" s="11"/>
      <c r="I7086" s="15"/>
    </row>
    <row r="7087" spans="1:9" ht="16.5">
      <c r="A7087" s="10" t="b">
        <v>0</v>
      </c>
      <c r="B7087" s="11" t="str">
        <f>IF(D7087&lt;&gt;"",IF(COUNTIF('USPTO TMs'!A:A,D7087)&gt;0,"Yes","No"),"")</f>
        <v/>
      </c>
      <c r="C7087" s="11"/>
      <c r="D7087" s="11"/>
      <c r="E7087" s="11"/>
      <c r="F7087" s="11"/>
      <c r="G7087" s="11"/>
      <c r="H7087" s="11"/>
      <c r="I7087" s="15"/>
    </row>
    <row r="7088" spans="1:9" ht="16.5">
      <c r="A7088" s="10" t="b">
        <v>0</v>
      </c>
      <c r="B7088" s="11" t="str">
        <f>IF(D7088&lt;&gt;"",IF(COUNTIF('USPTO TMs'!A:A,D7088)&gt;0,"Yes","No"),"")</f>
        <v/>
      </c>
      <c r="C7088" s="11"/>
      <c r="D7088" s="11"/>
      <c r="E7088" s="11"/>
      <c r="F7088" s="11"/>
      <c r="G7088" s="11"/>
      <c r="H7088" s="11"/>
      <c r="I7088" s="15"/>
    </row>
    <row r="7089" spans="1:9" ht="16.5">
      <c r="A7089" s="10" t="b">
        <v>0</v>
      </c>
      <c r="B7089" s="11" t="str">
        <f>IF(D7089&lt;&gt;"",IF(COUNTIF('USPTO TMs'!A:A,D7089)&gt;0,"Yes","No"),"")</f>
        <v/>
      </c>
      <c r="C7089" s="11"/>
      <c r="D7089" s="11"/>
      <c r="E7089" s="11"/>
      <c r="F7089" s="11"/>
      <c r="G7089" s="11"/>
      <c r="H7089" s="11"/>
      <c r="I7089" s="15"/>
    </row>
    <row r="7090" spans="1:9" ht="16.5">
      <c r="A7090" s="10" t="b">
        <v>0</v>
      </c>
      <c r="B7090" s="11" t="str">
        <f>IF(D7090&lt;&gt;"",IF(COUNTIF('USPTO TMs'!A:A,D7090)&gt;0,"Yes","No"),"")</f>
        <v/>
      </c>
      <c r="C7090" s="11"/>
      <c r="D7090" s="11"/>
      <c r="E7090" s="11"/>
      <c r="F7090" s="11"/>
      <c r="G7090" s="11"/>
      <c r="H7090" s="11"/>
      <c r="I7090" s="15"/>
    </row>
    <row r="7091" spans="1:9" ht="16.5">
      <c r="A7091" s="10" t="b">
        <v>0</v>
      </c>
      <c r="B7091" s="11" t="str">
        <f>IF(D7091&lt;&gt;"",IF(COUNTIF('USPTO TMs'!A:A,D7091)&gt;0,"Yes","No"),"")</f>
        <v/>
      </c>
      <c r="C7091" s="11"/>
      <c r="D7091" s="11"/>
      <c r="E7091" s="11"/>
      <c r="F7091" s="11"/>
      <c r="G7091" s="11"/>
      <c r="H7091" s="11"/>
      <c r="I7091" s="15"/>
    </row>
    <row r="7092" spans="1:9" ht="16.5">
      <c r="A7092" s="10" t="b">
        <v>0</v>
      </c>
      <c r="B7092" s="11" t="str">
        <f>IF(D7092&lt;&gt;"",IF(COUNTIF('USPTO TMs'!A:A,D7092)&gt;0,"Yes","No"),"")</f>
        <v/>
      </c>
      <c r="C7092" s="11"/>
      <c r="D7092" s="11"/>
      <c r="E7092" s="11"/>
      <c r="F7092" s="11"/>
      <c r="G7092" s="11"/>
      <c r="H7092" s="11"/>
      <c r="I7092" s="15"/>
    </row>
    <row r="7093" spans="1:9" ht="16.5">
      <c r="A7093" s="10" t="b">
        <v>0</v>
      </c>
      <c r="B7093" s="11" t="str">
        <f>IF(D7093&lt;&gt;"",IF(COUNTIF('USPTO TMs'!A:A,D7093)&gt;0,"Yes","No"),"")</f>
        <v/>
      </c>
      <c r="C7093" s="11"/>
      <c r="D7093" s="11"/>
      <c r="E7093" s="11"/>
      <c r="F7093" s="11"/>
      <c r="G7093" s="11"/>
      <c r="H7093" s="11"/>
      <c r="I7093" s="15"/>
    </row>
    <row r="7094" spans="1:9" ht="16.5">
      <c r="A7094" s="10" t="b">
        <v>0</v>
      </c>
      <c r="B7094" s="11" t="str">
        <f>IF(D7094&lt;&gt;"",IF(COUNTIF('USPTO TMs'!A:A,D7094)&gt;0,"Yes","No"),"")</f>
        <v/>
      </c>
      <c r="C7094" s="11"/>
      <c r="D7094" s="11"/>
      <c r="E7094" s="11"/>
      <c r="F7094" s="11"/>
      <c r="G7094" s="11"/>
      <c r="H7094" s="11"/>
      <c r="I7094" s="15"/>
    </row>
    <row r="7095" spans="1:9" ht="16.5">
      <c r="A7095" s="10" t="b">
        <v>0</v>
      </c>
      <c r="B7095" s="11" t="str">
        <f>IF(D7095&lt;&gt;"",IF(COUNTIF('USPTO TMs'!A:A,D7095)&gt;0,"Yes","No"),"")</f>
        <v/>
      </c>
      <c r="C7095" s="11"/>
      <c r="D7095" s="11"/>
      <c r="E7095" s="11"/>
      <c r="F7095" s="11"/>
      <c r="G7095" s="11"/>
      <c r="H7095" s="11"/>
      <c r="I7095" s="15"/>
    </row>
    <row r="7096" spans="1:9" ht="16.5">
      <c r="A7096" s="10" t="b">
        <v>0</v>
      </c>
      <c r="B7096" s="11" t="str">
        <f>IF(D7096&lt;&gt;"",IF(COUNTIF('USPTO TMs'!A:A,D7096)&gt;0,"Yes","No"),"")</f>
        <v/>
      </c>
      <c r="C7096" s="11"/>
      <c r="D7096" s="11"/>
      <c r="E7096" s="11"/>
      <c r="F7096" s="11"/>
      <c r="G7096" s="11"/>
      <c r="H7096" s="11"/>
      <c r="I7096" s="15"/>
    </row>
    <row r="7097" spans="1:9" ht="16.5">
      <c r="A7097" s="10" t="b">
        <v>0</v>
      </c>
      <c r="B7097" s="11" t="str">
        <f>IF(D7097&lt;&gt;"",IF(COUNTIF('USPTO TMs'!A:A,D7097)&gt;0,"Yes","No"),"")</f>
        <v/>
      </c>
      <c r="C7097" s="11"/>
      <c r="D7097" s="11"/>
      <c r="E7097" s="11"/>
      <c r="F7097" s="11"/>
      <c r="G7097" s="11"/>
      <c r="H7097" s="11"/>
      <c r="I7097" s="15"/>
    </row>
    <row r="7098" spans="1:9" ht="16.5">
      <c r="A7098" s="10" t="b">
        <v>0</v>
      </c>
      <c r="B7098" s="11" t="str">
        <f>IF(D7098&lt;&gt;"",IF(COUNTIF('USPTO TMs'!A:A,D7098)&gt;0,"Yes","No"),"")</f>
        <v/>
      </c>
      <c r="C7098" s="11"/>
      <c r="D7098" s="11"/>
      <c r="E7098" s="11"/>
      <c r="F7098" s="11"/>
      <c r="G7098" s="11"/>
      <c r="H7098" s="11"/>
      <c r="I7098" s="15"/>
    </row>
    <row r="7099" spans="1:9" ht="16.5">
      <c r="A7099" s="10" t="b">
        <v>0</v>
      </c>
      <c r="B7099" s="11" t="str">
        <f>IF(D7099&lt;&gt;"",IF(COUNTIF('USPTO TMs'!A:A,D7099)&gt;0,"Yes","No"),"")</f>
        <v/>
      </c>
      <c r="C7099" s="11"/>
      <c r="D7099" s="11"/>
      <c r="E7099" s="11"/>
      <c r="F7099" s="11"/>
      <c r="G7099" s="11"/>
      <c r="H7099" s="11"/>
      <c r="I7099" s="15"/>
    </row>
    <row r="7100" spans="1:9" ht="16.5">
      <c r="A7100" s="10" t="b">
        <v>0</v>
      </c>
      <c r="B7100" s="11" t="str">
        <f>IF(D7100&lt;&gt;"",IF(COUNTIF('USPTO TMs'!A:A,D7100)&gt;0,"Yes","No"),"")</f>
        <v/>
      </c>
      <c r="C7100" s="11"/>
      <c r="D7100" s="11"/>
      <c r="E7100" s="11"/>
      <c r="F7100" s="11"/>
      <c r="G7100" s="11"/>
      <c r="H7100" s="11"/>
      <c r="I7100" s="15"/>
    </row>
    <row r="7101" spans="1:9" ht="16.5">
      <c r="A7101" s="10" t="b">
        <v>0</v>
      </c>
      <c r="B7101" s="11" t="str">
        <f>IF(D7101&lt;&gt;"",IF(COUNTIF('USPTO TMs'!A:A,D7101)&gt;0,"Yes","No"),"")</f>
        <v/>
      </c>
      <c r="C7101" s="11"/>
      <c r="D7101" s="11"/>
      <c r="E7101" s="11"/>
      <c r="F7101" s="11"/>
      <c r="G7101" s="11"/>
      <c r="H7101" s="11"/>
      <c r="I7101" s="15"/>
    </row>
    <row r="7102" spans="1:9" ht="16.5">
      <c r="A7102" s="10" t="b">
        <v>0</v>
      </c>
      <c r="B7102" s="11" t="str">
        <f>IF(D7102&lt;&gt;"",IF(COUNTIF('USPTO TMs'!A:A,D7102)&gt;0,"Yes","No"),"")</f>
        <v/>
      </c>
      <c r="C7102" s="11"/>
      <c r="D7102" s="11"/>
      <c r="E7102" s="11"/>
      <c r="F7102" s="11"/>
      <c r="G7102" s="11"/>
      <c r="H7102" s="11"/>
      <c r="I7102" s="15"/>
    </row>
    <row r="7103" spans="1:9" ht="16.5">
      <c r="A7103" s="10" t="b">
        <v>0</v>
      </c>
      <c r="B7103" s="11" t="str">
        <f>IF(D7103&lt;&gt;"",IF(COUNTIF('USPTO TMs'!A:A,D7103)&gt;0,"Yes","No"),"")</f>
        <v/>
      </c>
      <c r="C7103" s="11"/>
      <c r="D7103" s="11"/>
      <c r="E7103" s="11"/>
      <c r="F7103" s="11"/>
      <c r="G7103" s="11"/>
      <c r="H7103" s="11"/>
      <c r="I7103" s="15"/>
    </row>
    <row r="7104" spans="1:9" ht="16.5">
      <c r="A7104" s="10" t="b">
        <v>0</v>
      </c>
      <c r="B7104" s="11" t="str">
        <f>IF(D7104&lt;&gt;"",IF(COUNTIF('USPTO TMs'!A:A,D7104)&gt;0,"Yes","No"),"")</f>
        <v/>
      </c>
      <c r="C7104" s="11"/>
      <c r="D7104" s="11"/>
      <c r="E7104" s="11"/>
      <c r="F7104" s="11"/>
      <c r="G7104" s="11"/>
      <c r="H7104" s="11"/>
      <c r="I7104" s="15"/>
    </row>
    <row r="7105" spans="1:9" ht="16.5">
      <c r="A7105" s="10" t="b">
        <v>0</v>
      </c>
      <c r="B7105" s="11" t="str">
        <f>IF(D7105&lt;&gt;"",IF(COUNTIF('USPTO TMs'!A:A,D7105)&gt;0,"Yes","No"),"")</f>
        <v/>
      </c>
      <c r="C7105" s="11"/>
      <c r="D7105" s="11"/>
      <c r="E7105" s="11"/>
      <c r="F7105" s="11"/>
      <c r="G7105" s="11"/>
      <c r="H7105" s="11"/>
      <c r="I7105" s="15"/>
    </row>
    <row r="7106" spans="1:9" ht="16.5">
      <c r="A7106" s="10" t="b">
        <v>0</v>
      </c>
      <c r="B7106" s="11" t="str">
        <f>IF(D7106&lt;&gt;"",IF(COUNTIF('USPTO TMs'!A:A,D7106)&gt;0,"Yes","No"),"")</f>
        <v/>
      </c>
      <c r="C7106" s="11"/>
      <c r="D7106" s="11"/>
      <c r="E7106" s="11"/>
      <c r="F7106" s="11"/>
      <c r="G7106" s="11"/>
      <c r="H7106" s="11"/>
      <c r="I7106" s="15"/>
    </row>
    <row r="7107" spans="1:9" ht="16.5">
      <c r="A7107" s="10" t="b">
        <v>0</v>
      </c>
      <c r="B7107" s="11" t="str">
        <f>IF(D7107&lt;&gt;"",IF(COUNTIF('USPTO TMs'!A:A,D7107)&gt;0,"Yes","No"),"")</f>
        <v/>
      </c>
      <c r="C7107" s="11"/>
      <c r="D7107" s="11"/>
      <c r="E7107" s="11"/>
      <c r="F7107" s="11"/>
      <c r="G7107" s="11"/>
      <c r="H7107" s="11"/>
      <c r="I7107" s="15"/>
    </row>
    <row r="7108" spans="1:9" ht="16.5">
      <c r="A7108" s="10" t="b">
        <v>0</v>
      </c>
      <c r="B7108" s="11" t="str">
        <f>IF(D7108&lt;&gt;"",IF(COUNTIF('USPTO TMs'!A:A,D7108)&gt;0,"Yes","No"),"")</f>
        <v/>
      </c>
      <c r="C7108" s="11"/>
      <c r="D7108" s="11"/>
      <c r="E7108" s="11"/>
      <c r="F7108" s="11"/>
      <c r="G7108" s="11"/>
      <c r="H7108" s="11"/>
      <c r="I7108" s="15"/>
    </row>
    <row r="7109" spans="1:9" ht="16.5">
      <c r="A7109" s="10" t="b">
        <v>0</v>
      </c>
      <c r="B7109" s="11" t="str">
        <f>IF(D7109&lt;&gt;"",IF(COUNTIF('USPTO TMs'!A:A,D7109)&gt;0,"Yes","No"),"")</f>
        <v/>
      </c>
      <c r="C7109" s="11"/>
      <c r="D7109" s="11"/>
      <c r="E7109" s="11"/>
      <c r="F7109" s="11"/>
      <c r="G7109" s="11"/>
      <c r="H7109" s="11"/>
      <c r="I7109" s="15"/>
    </row>
    <row r="7110" spans="1:9" ht="16.5">
      <c r="A7110" s="10" t="b">
        <v>0</v>
      </c>
      <c r="B7110" s="11" t="str">
        <f>IF(D7110&lt;&gt;"",IF(COUNTIF('USPTO TMs'!A:A,D7110)&gt;0,"Yes","No"),"")</f>
        <v/>
      </c>
      <c r="C7110" s="11"/>
      <c r="D7110" s="11"/>
      <c r="E7110" s="11"/>
      <c r="F7110" s="11"/>
      <c r="G7110" s="11"/>
      <c r="H7110" s="11"/>
      <c r="I7110" s="15"/>
    </row>
    <row r="7111" spans="1:9" ht="16.5">
      <c r="A7111" s="10" t="b">
        <v>0</v>
      </c>
      <c r="B7111" s="11" t="str">
        <f>IF(D7111&lt;&gt;"",IF(COUNTIF('USPTO TMs'!A:A,D7111)&gt;0,"Yes","No"),"")</f>
        <v/>
      </c>
      <c r="C7111" s="11"/>
      <c r="D7111" s="11"/>
      <c r="E7111" s="11"/>
      <c r="F7111" s="11"/>
      <c r="G7111" s="11"/>
      <c r="H7111" s="11"/>
      <c r="I7111" s="15"/>
    </row>
    <row r="7112" spans="1:9" ht="16.5">
      <c r="A7112" s="10" t="b">
        <v>0</v>
      </c>
      <c r="B7112" s="11" t="str">
        <f>IF(D7112&lt;&gt;"",IF(COUNTIF('USPTO TMs'!A:A,D7112)&gt;0,"Yes","No"),"")</f>
        <v/>
      </c>
      <c r="C7112" s="11"/>
      <c r="D7112" s="11"/>
      <c r="E7112" s="11"/>
      <c r="F7112" s="11"/>
      <c r="G7112" s="11"/>
      <c r="H7112" s="11"/>
      <c r="I7112" s="15"/>
    </row>
    <row r="7113" spans="1:9" ht="16.5">
      <c r="A7113" s="10" t="b">
        <v>0</v>
      </c>
      <c r="B7113" s="11" t="str">
        <f>IF(D7113&lt;&gt;"",IF(COUNTIF('USPTO TMs'!A:A,D7113)&gt;0,"Yes","No"),"")</f>
        <v/>
      </c>
      <c r="C7113" s="11"/>
      <c r="D7113" s="11"/>
      <c r="E7113" s="11"/>
      <c r="F7113" s="11"/>
      <c r="G7113" s="11"/>
      <c r="H7113" s="11"/>
      <c r="I7113" s="15"/>
    </row>
    <row r="7114" spans="1:9" ht="16.5">
      <c r="A7114" s="10" t="b">
        <v>0</v>
      </c>
      <c r="B7114" s="11" t="str">
        <f>IF(D7114&lt;&gt;"",IF(COUNTIF('USPTO TMs'!A:A,D7114)&gt;0,"Yes","No"),"")</f>
        <v/>
      </c>
      <c r="C7114" s="11"/>
      <c r="D7114" s="11"/>
      <c r="E7114" s="11"/>
      <c r="F7114" s="11"/>
      <c r="G7114" s="11"/>
      <c r="H7114" s="11"/>
      <c r="I7114" s="15"/>
    </row>
    <row r="7115" spans="1:9" ht="16.5">
      <c r="A7115" s="10" t="b">
        <v>0</v>
      </c>
      <c r="B7115" s="11" t="str">
        <f>IF(D7115&lt;&gt;"",IF(COUNTIF('USPTO TMs'!A:A,D7115)&gt;0,"Yes","No"),"")</f>
        <v/>
      </c>
      <c r="C7115" s="11"/>
      <c r="D7115" s="11"/>
      <c r="E7115" s="11"/>
      <c r="F7115" s="11"/>
      <c r="G7115" s="11"/>
      <c r="H7115" s="11"/>
      <c r="I7115" s="15"/>
    </row>
    <row r="7116" spans="1:9" ht="16.5">
      <c r="A7116" s="10" t="b">
        <v>0</v>
      </c>
      <c r="B7116" s="11" t="str">
        <f>IF(D7116&lt;&gt;"",IF(COUNTIF('USPTO TMs'!A:A,D7116)&gt;0,"Yes","No"),"")</f>
        <v/>
      </c>
      <c r="C7116" s="11"/>
      <c r="D7116" s="11"/>
      <c r="E7116" s="11"/>
      <c r="F7116" s="11"/>
      <c r="G7116" s="11"/>
      <c r="H7116" s="11"/>
      <c r="I7116" s="15"/>
    </row>
    <row r="7117" spans="1:9" ht="16.5">
      <c r="A7117" s="10" t="b">
        <v>0</v>
      </c>
      <c r="B7117" s="11" t="str">
        <f>IF(D7117&lt;&gt;"",IF(COUNTIF('USPTO TMs'!A:A,D7117)&gt;0,"Yes","No"),"")</f>
        <v/>
      </c>
      <c r="C7117" s="11"/>
      <c r="D7117" s="11"/>
      <c r="E7117" s="11"/>
      <c r="F7117" s="11"/>
      <c r="G7117" s="11"/>
      <c r="H7117" s="11"/>
      <c r="I7117" s="15"/>
    </row>
    <row r="7118" spans="1:9" ht="16.5">
      <c r="A7118" s="10" t="b">
        <v>0</v>
      </c>
      <c r="B7118" s="11" t="str">
        <f>IF(D7118&lt;&gt;"",IF(COUNTIF('USPTO TMs'!A:A,D7118)&gt;0,"Yes","No"),"")</f>
        <v/>
      </c>
      <c r="C7118" s="11"/>
      <c r="D7118" s="11"/>
      <c r="E7118" s="11"/>
      <c r="F7118" s="11"/>
      <c r="G7118" s="11"/>
      <c r="H7118" s="11"/>
      <c r="I7118" s="15"/>
    </row>
    <row r="7119" spans="1:9" ht="16.5">
      <c r="A7119" s="10" t="b">
        <v>0</v>
      </c>
      <c r="B7119" s="11" t="str">
        <f>IF(D7119&lt;&gt;"",IF(COUNTIF('USPTO TMs'!A:A,D7119)&gt;0,"Yes","No"),"")</f>
        <v/>
      </c>
      <c r="C7119" s="11"/>
      <c r="D7119" s="11"/>
      <c r="E7119" s="11"/>
      <c r="F7119" s="11"/>
      <c r="G7119" s="11"/>
      <c r="H7119" s="11"/>
      <c r="I7119" s="15"/>
    </row>
    <row r="7120" spans="1:9" ht="16.5">
      <c r="A7120" s="10" t="b">
        <v>0</v>
      </c>
      <c r="B7120" s="11" t="str">
        <f>IF(D7120&lt;&gt;"",IF(COUNTIF('USPTO TMs'!A:A,D7120)&gt;0,"Yes","No"),"")</f>
        <v/>
      </c>
      <c r="C7120" s="11"/>
      <c r="D7120" s="11"/>
      <c r="E7120" s="11"/>
      <c r="F7120" s="11"/>
      <c r="G7120" s="11"/>
      <c r="H7120" s="11"/>
      <c r="I7120" s="15"/>
    </row>
    <row r="7121" spans="1:9" ht="16.5">
      <c r="A7121" s="10" t="b">
        <v>0</v>
      </c>
      <c r="B7121" s="11" t="str">
        <f>IF(D7121&lt;&gt;"",IF(COUNTIF('USPTO TMs'!A:A,D7121)&gt;0,"Yes","No"),"")</f>
        <v/>
      </c>
      <c r="C7121" s="11"/>
      <c r="D7121" s="11"/>
      <c r="E7121" s="11"/>
      <c r="F7121" s="11"/>
      <c r="G7121" s="11"/>
      <c r="H7121" s="11"/>
      <c r="I7121" s="15"/>
    </row>
    <row r="7122" spans="1:9" ht="16.5">
      <c r="A7122" s="10" t="b">
        <v>0</v>
      </c>
      <c r="B7122" s="11" t="str">
        <f>IF(D7122&lt;&gt;"",IF(COUNTIF('USPTO TMs'!A:A,D7122)&gt;0,"Yes","No"),"")</f>
        <v/>
      </c>
      <c r="C7122" s="11"/>
      <c r="D7122" s="11"/>
      <c r="E7122" s="11"/>
      <c r="F7122" s="11"/>
      <c r="G7122" s="11"/>
      <c r="H7122" s="11"/>
      <c r="I7122" s="15"/>
    </row>
    <row r="7123" spans="1:9" ht="16.5">
      <c r="A7123" s="10" t="b">
        <v>0</v>
      </c>
      <c r="B7123" s="11" t="str">
        <f>IF(D7123&lt;&gt;"",IF(COUNTIF('USPTO TMs'!A:A,D7123)&gt;0,"Yes","No"),"")</f>
        <v/>
      </c>
      <c r="C7123" s="11"/>
      <c r="D7123" s="11"/>
      <c r="E7123" s="11"/>
      <c r="F7123" s="11"/>
      <c r="G7123" s="11"/>
      <c r="H7123" s="11"/>
      <c r="I7123" s="15"/>
    </row>
    <row r="7124" spans="1:9" ht="16.5">
      <c r="A7124" s="10" t="b">
        <v>0</v>
      </c>
      <c r="B7124" s="11" t="str">
        <f>IF(D7124&lt;&gt;"",IF(COUNTIF('USPTO TMs'!A:A,D7124)&gt;0,"Yes","No"),"")</f>
        <v/>
      </c>
      <c r="C7124" s="11"/>
      <c r="D7124" s="11"/>
      <c r="E7124" s="11"/>
      <c r="F7124" s="11"/>
      <c r="G7124" s="11"/>
      <c r="H7124" s="11"/>
      <c r="I7124" s="15"/>
    </row>
    <row r="7125" spans="1:9" ht="16.5">
      <c r="A7125" s="10" t="b">
        <v>0</v>
      </c>
      <c r="B7125" s="11" t="str">
        <f>IF(D7125&lt;&gt;"",IF(COUNTIF('USPTO TMs'!A:A,D7125)&gt;0,"Yes","No"),"")</f>
        <v/>
      </c>
      <c r="C7125" s="11"/>
      <c r="D7125" s="11"/>
      <c r="E7125" s="11"/>
      <c r="F7125" s="11"/>
      <c r="G7125" s="11"/>
      <c r="H7125" s="11"/>
      <c r="I7125" s="15"/>
    </row>
    <row r="7126" spans="1:9" ht="16.5">
      <c r="A7126" s="10" t="b">
        <v>0</v>
      </c>
      <c r="B7126" s="11" t="str">
        <f>IF(D7126&lt;&gt;"",IF(COUNTIF('USPTO TMs'!A:A,D7126)&gt;0,"Yes","No"),"")</f>
        <v/>
      </c>
      <c r="C7126" s="11"/>
      <c r="D7126" s="11"/>
      <c r="E7126" s="11"/>
      <c r="F7126" s="11"/>
      <c r="G7126" s="11"/>
      <c r="H7126" s="11"/>
      <c r="I7126" s="15"/>
    </row>
    <row r="7127" spans="1:9" ht="16.5">
      <c r="A7127" s="10" t="b">
        <v>0</v>
      </c>
      <c r="B7127" s="11" t="str">
        <f>IF(D7127&lt;&gt;"",IF(COUNTIF('USPTO TMs'!A:A,D7127)&gt;0,"Yes","No"),"")</f>
        <v/>
      </c>
      <c r="C7127" s="11"/>
      <c r="D7127" s="11"/>
      <c r="E7127" s="11"/>
      <c r="F7127" s="11"/>
      <c r="G7127" s="11"/>
      <c r="H7127" s="11"/>
      <c r="I7127" s="15"/>
    </row>
    <row r="7128" spans="1:9" ht="16.5">
      <c r="A7128" s="10" t="b">
        <v>0</v>
      </c>
      <c r="B7128" s="11" t="str">
        <f>IF(D7128&lt;&gt;"",IF(COUNTIF('USPTO TMs'!A:A,D7128)&gt;0,"Yes","No"),"")</f>
        <v/>
      </c>
      <c r="C7128" s="11"/>
      <c r="D7128" s="11"/>
      <c r="E7128" s="11"/>
      <c r="F7128" s="11"/>
      <c r="G7128" s="11"/>
      <c r="H7128" s="11"/>
      <c r="I7128" s="15"/>
    </row>
    <row r="7129" spans="1:9" ht="16.5">
      <c r="A7129" s="10" t="b">
        <v>0</v>
      </c>
      <c r="B7129" s="11" t="str">
        <f>IF(D7129&lt;&gt;"",IF(COUNTIF('USPTO TMs'!A:A,D7129)&gt;0,"Yes","No"),"")</f>
        <v/>
      </c>
      <c r="C7129" s="11"/>
      <c r="D7129" s="11"/>
      <c r="E7129" s="11"/>
      <c r="F7129" s="11"/>
      <c r="G7129" s="11"/>
      <c r="H7129" s="11"/>
      <c r="I7129" s="15"/>
    </row>
    <row r="7130" spans="1:9" ht="16.5">
      <c r="A7130" s="10" t="b">
        <v>0</v>
      </c>
      <c r="B7130" s="11" t="str">
        <f>IF(D7130&lt;&gt;"",IF(COUNTIF('USPTO TMs'!A:A,D7130)&gt;0,"Yes","No"),"")</f>
        <v/>
      </c>
      <c r="C7130" s="11"/>
      <c r="D7130" s="11"/>
      <c r="E7130" s="11"/>
      <c r="F7130" s="11"/>
      <c r="G7130" s="11"/>
      <c r="H7130" s="11"/>
      <c r="I7130" s="15"/>
    </row>
    <row r="7131" spans="1:9" ht="16.5">
      <c r="A7131" s="10" t="b">
        <v>0</v>
      </c>
      <c r="B7131" s="11" t="str">
        <f>IF(D7131&lt;&gt;"",IF(COUNTIF('USPTO TMs'!A:A,D7131)&gt;0,"Yes","No"),"")</f>
        <v/>
      </c>
      <c r="C7131" s="11"/>
      <c r="D7131" s="11"/>
      <c r="E7131" s="11"/>
      <c r="F7131" s="11"/>
      <c r="G7131" s="11"/>
      <c r="H7131" s="11"/>
      <c r="I7131" s="15"/>
    </row>
    <row r="7132" spans="1:9" ht="16.5">
      <c r="A7132" s="10" t="b">
        <v>0</v>
      </c>
      <c r="B7132" s="11" t="str">
        <f>IF(D7132&lt;&gt;"",IF(COUNTIF('USPTO TMs'!A:A,D7132)&gt;0,"Yes","No"),"")</f>
        <v/>
      </c>
      <c r="C7132" s="11"/>
      <c r="D7132" s="11"/>
      <c r="E7132" s="11"/>
      <c r="F7132" s="11"/>
      <c r="G7132" s="11"/>
      <c r="H7132" s="11"/>
      <c r="I7132" s="15"/>
    </row>
    <row r="7133" spans="1:9" ht="16.5">
      <c r="A7133" s="10" t="b">
        <v>0</v>
      </c>
      <c r="B7133" s="11" t="str">
        <f>IF(D7133&lt;&gt;"",IF(COUNTIF('USPTO TMs'!A:A,D7133)&gt;0,"Yes","No"),"")</f>
        <v/>
      </c>
      <c r="C7133" s="11"/>
      <c r="D7133" s="11"/>
      <c r="E7133" s="11"/>
      <c r="F7133" s="11"/>
      <c r="G7133" s="11"/>
      <c r="H7133" s="11"/>
      <c r="I7133" s="15"/>
    </row>
    <row r="7134" spans="1:9" ht="16.5">
      <c r="A7134" s="10" t="b">
        <v>0</v>
      </c>
      <c r="B7134" s="11" t="str">
        <f>IF(D7134&lt;&gt;"",IF(COUNTIF('USPTO TMs'!A:A,D7134)&gt;0,"Yes","No"),"")</f>
        <v/>
      </c>
      <c r="C7134" s="11"/>
      <c r="D7134" s="11"/>
      <c r="E7134" s="11"/>
      <c r="F7134" s="11"/>
      <c r="G7134" s="11"/>
      <c r="H7134" s="11"/>
      <c r="I7134" s="15"/>
    </row>
    <row r="7135" spans="1:9" ht="16.5">
      <c r="A7135" s="10" t="b">
        <v>0</v>
      </c>
      <c r="B7135" s="11" t="str">
        <f>IF(D7135&lt;&gt;"",IF(COUNTIF('USPTO TMs'!A:A,D7135)&gt;0,"Yes","No"),"")</f>
        <v/>
      </c>
      <c r="C7135" s="11"/>
      <c r="D7135" s="11"/>
      <c r="E7135" s="11"/>
      <c r="F7135" s="11"/>
      <c r="G7135" s="11"/>
      <c r="H7135" s="11"/>
      <c r="I7135" s="15"/>
    </row>
    <row r="7136" spans="1:9" ht="16.5">
      <c r="A7136" s="10" t="b">
        <v>0</v>
      </c>
      <c r="B7136" s="11" t="str">
        <f>IF(D7136&lt;&gt;"",IF(COUNTIF('USPTO TMs'!A:A,D7136)&gt;0,"Yes","No"),"")</f>
        <v/>
      </c>
      <c r="C7136" s="11"/>
      <c r="D7136" s="11"/>
      <c r="E7136" s="11"/>
      <c r="F7136" s="11"/>
      <c r="G7136" s="11"/>
      <c r="H7136" s="11"/>
      <c r="I7136" s="15"/>
    </row>
    <row r="7137" spans="1:9" ht="16.5">
      <c r="A7137" s="10" t="b">
        <v>0</v>
      </c>
      <c r="B7137" s="11" t="str">
        <f>IF(D7137&lt;&gt;"",IF(COUNTIF('USPTO TMs'!A:A,D7137)&gt;0,"Yes","No"),"")</f>
        <v/>
      </c>
      <c r="C7137" s="11"/>
      <c r="D7137" s="11"/>
      <c r="E7137" s="11"/>
      <c r="F7137" s="11"/>
      <c r="G7137" s="11"/>
      <c r="H7137" s="11"/>
      <c r="I7137" s="15"/>
    </row>
    <row r="7138" spans="1:9" ht="16.5">
      <c r="A7138" s="10" t="b">
        <v>0</v>
      </c>
      <c r="B7138" s="11" t="str">
        <f>IF(D7138&lt;&gt;"",IF(COUNTIF('USPTO TMs'!A:A,D7138)&gt;0,"Yes","No"),"")</f>
        <v/>
      </c>
      <c r="C7138" s="11"/>
      <c r="D7138" s="11"/>
      <c r="E7138" s="11"/>
      <c r="F7138" s="11"/>
      <c r="G7138" s="11"/>
      <c r="H7138" s="11"/>
      <c r="I7138" s="15"/>
    </row>
    <row r="7139" spans="1:9" ht="16.5">
      <c r="A7139" s="10" t="b">
        <v>0</v>
      </c>
      <c r="B7139" s="11" t="str">
        <f>IF(D7139&lt;&gt;"",IF(COUNTIF('USPTO TMs'!A:A,D7139)&gt;0,"Yes","No"),"")</f>
        <v/>
      </c>
      <c r="C7139" s="11"/>
      <c r="D7139" s="11"/>
      <c r="E7139" s="11"/>
      <c r="F7139" s="11"/>
      <c r="G7139" s="11"/>
      <c r="H7139" s="11"/>
      <c r="I7139" s="15"/>
    </row>
    <row r="7140" spans="1:9" ht="16.5">
      <c r="A7140" s="10" t="b">
        <v>0</v>
      </c>
      <c r="B7140" s="11" t="str">
        <f>IF(D7140&lt;&gt;"",IF(COUNTIF('USPTO TMs'!A:A,D7140)&gt;0,"Yes","No"),"")</f>
        <v/>
      </c>
      <c r="C7140" s="11"/>
      <c r="D7140" s="11"/>
      <c r="E7140" s="11"/>
      <c r="F7140" s="11"/>
      <c r="G7140" s="11"/>
      <c r="H7140" s="11"/>
      <c r="I7140" s="15"/>
    </row>
    <row r="7141" spans="1:9" ht="16.5">
      <c r="A7141" s="10" t="b">
        <v>0</v>
      </c>
      <c r="B7141" s="11" t="str">
        <f>IF(D7141&lt;&gt;"",IF(COUNTIF('USPTO TMs'!A:A,D7141)&gt;0,"Yes","No"),"")</f>
        <v/>
      </c>
      <c r="C7141" s="11"/>
      <c r="D7141" s="11"/>
      <c r="E7141" s="11"/>
      <c r="F7141" s="11"/>
      <c r="G7141" s="11"/>
      <c r="H7141" s="11"/>
      <c r="I7141" s="15"/>
    </row>
    <row r="7142" spans="1:9" ht="16.5">
      <c r="A7142" s="10" t="b">
        <v>0</v>
      </c>
      <c r="B7142" s="11" t="str">
        <f>IF(D7142&lt;&gt;"",IF(COUNTIF('USPTO TMs'!A:A,D7142)&gt;0,"Yes","No"),"")</f>
        <v/>
      </c>
      <c r="C7142" s="11"/>
      <c r="D7142" s="11"/>
      <c r="E7142" s="11"/>
      <c r="F7142" s="11"/>
      <c r="G7142" s="11"/>
      <c r="H7142" s="11"/>
      <c r="I7142" s="15"/>
    </row>
    <row r="7143" spans="1:9" ht="16.5">
      <c r="A7143" s="10" t="b">
        <v>0</v>
      </c>
      <c r="B7143" s="11" t="str">
        <f>IF(D7143&lt;&gt;"",IF(COUNTIF('USPTO TMs'!A:A,D7143)&gt;0,"Yes","No"),"")</f>
        <v/>
      </c>
      <c r="C7143" s="11"/>
      <c r="D7143" s="11"/>
      <c r="E7143" s="11"/>
      <c r="F7143" s="11"/>
      <c r="G7143" s="11"/>
      <c r="H7143" s="11"/>
      <c r="I7143" s="15"/>
    </row>
    <row r="7144" spans="1:9" ht="16.5">
      <c r="A7144" s="10" t="b">
        <v>0</v>
      </c>
      <c r="B7144" s="11" t="str">
        <f>IF(D7144&lt;&gt;"",IF(COUNTIF('USPTO TMs'!A:A,D7144)&gt;0,"Yes","No"),"")</f>
        <v/>
      </c>
      <c r="C7144" s="11"/>
      <c r="D7144" s="11"/>
      <c r="E7144" s="11"/>
      <c r="F7144" s="11"/>
      <c r="G7144" s="11"/>
      <c r="H7144" s="11"/>
      <c r="I7144" s="15"/>
    </row>
    <row r="7145" spans="1:9" ht="16.5">
      <c r="A7145" s="10" t="b">
        <v>0</v>
      </c>
      <c r="B7145" s="11" t="str">
        <f>IF(D7145&lt;&gt;"",IF(COUNTIF('USPTO TMs'!A:A,D7145)&gt;0,"Yes","No"),"")</f>
        <v/>
      </c>
      <c r="C7145" s="11"/>
      <c r="D7145" s="11"/>
      <c r="E7145" s="11"/>
      <c r="F7145" s="11"/>
      <c r="G7145" s="11"/>
      <c r="H7145" s="11"/>
      <c r="I7145" s="15"/>
    </row>
    <row r="7146" spans="1:9" ht="16.5">
      <c r="A7146" s="10" t="b">
        <v>0</v>
      </c>
      <c r="B7146" s="11" t="str">
        <f>IF(D7146&lt;&gt;"",IF(COUNTIF('USPTO TMs'!A:A,D7146)&gt;0,"Yes","No"),"")</f>
        <v/>
      </c>
      <c r="C7146" s="11"/>
      <c r="D7146" s="11"/>
      <c r="E7146" s="11"/>
      <c r="F7146" s="11"/>
      <c r="G7146" s="11"/>
      <c r="H7146" s="11"/>
      <c r="I7146" s="15"/>
    </row>
    <row r="7147" spans="1:9" ht="16.5">
      <c r="A7147" s="10" t="b">
        <v>0</v>
      </c>
      <c r="B7147" s="11" t="str">
        <f>IF(D7147&lt;&gt;"",IF(COUNTIF('USPTO TMs'!A:A,D7147)&gt;0,"Yes","No"),"")</f>
        <v/>
      </c>
      <c r="C7147" s="11"/>
      <c r="D7147" s="11"/>
      <c r="E7147" s="11"/>
      <c r="F7147" s="11"/>
      <c r="G7147" s="11"/>
      <c r="H7147" s="11"/>
      <c r="I7147" s="15"/>
    </row>
    <row r="7148" spans="1:9" ht="16.5">
      <c r="A7148" s="10" t="b">
        <v>0</v>
      </c>
      <c r="B7148" s="11" t="str">
        <f>IF(D7148&lt;&gt;"",IF(COUNTIF('USPTO TMs'!A:A,D7148)&gt;0,"Yes","No"),"")</f>
        <v/>
      </c>
      <c r="C7148" s="11"/>
      <c r="D7148" s="11"/>
      <c r="E7148" s="11"/>
      <c r="F7148" s="11"/>
      <c r="G7148" s="11"/>
      <c r="H7148" s="11"/>
      <c r="I7148" s="15"/>
    </row>
    <row r="7149" spans="1:9" ht="16.5">
      <c r="A7149" s="10" t="b">
        <v>0</v>
      </c>
      <c r="B7149" s="11" t="str">
        <f>IF(D7149&lt;&gt;"",IF(COUNTIF('USPTO TMs'!A:A,D7149)&gt;0,"Yes","No"),"")</f>
        <v/>
      </c>
      <c r="C7149" s="11"/>
      <c r="D7149" s="11"/>
      <c r="E7149" s="11"/>
      <c r="F7149" s="11"/>
      <c r="G7149" s="11"/>
      <c r="H7149" s="11"/>
      <c r="I7149" s="15"/>
    </row>
    <row r="7150" spans="1:9" ht="16.5">
      <c r="A7150" s="10" t="b">
        <v>0</v>
      </c>
      <c r="B7150" s="11" t="str">
        <f>IF(D7150&lt;&gt;"",IF(COUNTIF('USPTO TMs'!A:A,D7150)&gt;0,"Yes","No"),"")</f>
        <v/>
      </c>
      <c r="C7150" s="11"/>
      <c r="D7150" s="11"/>
      <c r="E7150" s="11"/>
      <c r="F7150" s="11"/>
      <c r="G7150" s="11"/>
      <c r="H7150" s="11"/>
      <c r="I7150" s="15"/>
    </row>
    <row r="7151" spans="1:9" ht="16.5">
      <c r="A7151" s="10" t="b">
        <v>0</v>
      </c>
      <c r="B7151" s="11" t="str">
        <f>IF(D7151&lt;&gt;"",IF(COUNTIF('USPTO TMs'!A:A,D7151)&gt;0,"Yes","No"),"")</f>
        <v/>
      </c>
      <c r="C7151" s="11"/>
      <c r="D7151" s="11"/>
      <c r="E7151" s="11"/>
      <c r="F7151" s="11"/>
      <c r="G7151" s="11"/>
      <c r="H7151" s="11"/>
      <c r="I7151" s="15"/>
    </row>
    <row r="7152" spans="1:9" ht="16.5">
      <c r="A7152" s="10" t="b">
        <v>0</v>
      </c>
      <c r="B7152" s="11" t="str">
        <f>IF(D7152&lt;&gt;"",IF(COUNTIF('USPTO TMs'!A:A,D7152)&gt;0,"Yes","No"),"")</f>
        <v/>
      </c>
      <c r="C7152" s="11"/>
      <c r="D7152" s="11"/>
      <c r="E7152" s="11"/>
      <c r="F7152" s="11"/>
      <c r="G7152" s="11"/>
      <c r="H7152" s="11"/>
      <c r="I7152" s="15"/>
    </row>
    <row r="7153" spans="1:9" ht="16.5">
      <c r="A7153" s="10" t="b">
        <v>0</v>
      </c>
      <c r="B7153" s="11" t="str">
        <f>IF(D7153&lt;&gt;"",IF(COUNTIF('USPTO TMs'!A:A,D7153)&gt;0,"Yes","No"),"")</f>
        <v/>
      </c>
      <c r="C7153" s="11"/>
      <c r="D7153" s="11"/>
      <c r="E7153" s="11"/>
      <c r="F7153" s="11"/>
      <c r="G7153" s="11"/>
      <c r="H7153" s="11"/>
      <c r="I7153" s="15"/>
    </row>
    <row r="7154" spans="1:9" ht="16.5">
      <c r="A7154" s="10" t="b">
        <v>0</v>
      </c>
      <c r="B7154" s="11" t="str">
        <f>IF(D7154&lt;&gt;"",IF(COUNTIF('USPTO TMs'!A:A,D7154)&gt;0,"Yes","No"),"")</f>
        <v/>
      </c>
      <c r="C7154" s="11"/>
      <c r="D7154" s="11"/>
      <c r="E7154" s="11"/>
      <c r="F7154" s="11"/>
      <c r="G7154" s="11"/>
      <c r="H7154" s="11"/>
      <c r="I7154" s="15"/>
    </row>
    <row r="7155" spans="1:9" ht="16.5">
      <c r="A7155" s="10" t="b">
        <v>0</v>
      </c>
      <c r="B7155" s="11" t="str">
        <f>IF(D7155&lt;&gt;"",IF(COUNTIF('USPTO TMs'!A:A,D7155)&gt;0,"Yes","No"),"")</f>
        <v/>
      </c>
      <c r="C7155" s="11"/>
      <c r="D7155" s="11"/>
      <c r="E7155" s="11"/>
      <c r="F7155" s="11"/>
      <c r="G7155" s="11"/>
      <c r="H7155" s="11"/>
      <c r="I7155" s="15"/>
    </row>
    <row r="7156" spans="1:9" ht="16.5">
      <c r="A7156" s="10" t="b">
        <v>0</v>
      </c>
      <c r="B7156" s="11" t="str">
        <f>IF(D7156&lt;&gt;"",IF(COUNTIF('USPTO TMs'!A:A,D7156)&gt;0,"Yes","No"),"")</f>
        <v/>
      </c>
      <c r="C7156" s="11"/>
      <c r="D7156" s="11"/>
      <c r="E7156" s="11"/>
      <c r="F7156" s="11"/>
      <c r="G7156" s="11"/>
      <c r="H7156" s="11"/>
      <c r="I7156" s="15"/>
    </row>
    <row r="7157" spans="1:9" ht="16.5">
      <c r="A7157" s="10" t="b">
        <v>0</v>
      </c>
      <c r="B7157" s="11" t="str">
        <f>IF(D7157&lt;&gt;"",IF(COUNTIF('USPTO TMs'!A:A,D7157)&gt;0,"Yes","No"),"")</f>
        <v/>
      </c>
      <c r="C7157" s="11"/>
      <c r="D7157" s="11"/>
      <c r="E7157" s="11"/>
      <c r="F7157" s="11"/>
      <c r="G7157" s="11"/>
      <c r="H7157" s="11"/>
      <c r="I7157" s="15"/>
    </row>
    <row r="7158" spans="1:9" ht="16.5">
      <c r="A7158" s="10" t="b">
        <v>0</v>
      </c>
      <c r="B7158" s="11" t="str">
        <f>IF(D7158&lt;&gt;"",IF(COUNTIF('USPTO TMs'!A:A,D7158)&gt;0,"Yes","No"),"")</f>
        <v/>
      </c>
      <c r="C7158" s="11"/>
      <c r="D7158" s="11"/>
      <c r="E7158" s="11"/>
      <c r="F7158" s="11"/>
      <c r="G7158" s="11"/>
      <c r="H7158" s="11"/>
      <c r="I7158" s="15"/>
    </row>
    <row r="7159" spans="1:9" ht="16.5">
      <c r="A7159" s="10" t="b">
        <v>0</v>
      </c>
      <c r="B7159" s="11" t="str">
        <f>IF(D7159&lt;&gt;"",IF(COUNTIF('USPTO TMs'!A:A,D7159)&gt;0,"Yes","No"),"")</f>
        <v/>
      </c>
      <c r="C7159" s="11"/>
      <c r="D7159" s="11"/>
      <c r="E7159" s="11"/>
      <c r="F7159" s="11"/>
      <c r="G7159" s="11"/>
      <c r="H7159" s="11"/>
      <c r="I7159" s="15"/>
    </row>
    <row r="7160" spans="1:9" ht="16.5">
      <c r="A7160" s="10" t="b">
        <v>0</v>
      </c>
      <c r="B7160" s="11" t="str">
        <f>IF(D7160&lt;&gt;"",IF(COUNTIF('USPTO TMs'!A:A,D7160)&gt;0,"Yes","No"),"")</f>
        <v/>
      </c>
      <c r="C7160" s="11"/>
      <c r="D7160" s="11"/>
      <c r="E7160" s="11"/>
      <c r="F7160" s="11"/>
      <c r="G7160" s="11"/>
      <c r="H7160" s="11"/>
      <c r="I7160" s="15"/>
    </row>
    <row r="7161" spans="1:9" ht="16.5">
      <c r="A7161" s="10" t="b">
        <v>0</v>
      </c>
      <c r="B7161" s="11" t="str">
        <f>IF(D7161&lt;&gt;"",IF(COUNTIF('USPTO TMs'!A:A,D7161)&gt;0,"Yes","No"),"")</f>
        <v/>
      </c>
      <c r="C7161" s="11"/>
      <c r="D7161" s="11"/>
      <c r="E7161" s="11"/>
      <c r="F7161" s="11"/>
      <c r="G7161" s="11"/>
      <c r="H7161" s="11"/>
      <c r="I7161" s="15"/>
    </row>
    <row r="7162" spans="1:9" ht="16.5">
      <c r="A7162" s="10" t="b">
        <v>0</v>
      </c>
      <c r="B7162" s="11" t="str">
        <f>IF(D7162&lt;&gt;"",IF(COUNTIF('USPTO TMs'!A:A,D7162)&gt;0,"Yes","No"),"")</f>
        <v/>
      </c>
      <c r="C7162" s="11"/>
      <c r="D7162" s="11"/>
      <c r="E7162" s="11"/>
      <c r="F7162" s="11"/>
      <c r="G7162" s="11"/>
      <c r="H7162" s="11"/>
      <c r="I7162" s="15"/>
    </row>
    <row r="7163" spans="1:9" ht="16.5">
      <c r="A7163" s="10" t="b">
        <v>0</v>
      </c>
      <c r="B7163" s="11" t="str">
        <f>IF(D7163&lt;&gt;"",IF(COUNTIF('USPTO TMs'!A:A,D7163)&gt;0,"Yes","No"),"")</f>
        <v/>
      </c>
      <c r="C7163" s="11"/>
      <c r="D7163" s="11"/>
      <c r="E7163" s="11"/>
      <c r="F7163" s="11"/>
      <c r="G7163" s="11"/>
      <c r="H7163" s="11"/>
      <c r="I7163" s="15"/>
    </row>
    <row r="7164" spans="1:9" ht="16.5">
      <c r="A7164" s="10" t="b">
        <v>0</v>
      </c>
      <c r="B7164" s="11" t="str">
        <f>IF(D7164&lt;&gt;"",IF(COUNTIF('USPTO TMs'!A:A,D7164)&gt;0,"Yes","No"),"")</f>
        <v/>
      </c>
      <c r="C7164" s="11"/>
      <c r="D7164" s="11"/>
      <c r="E7164" s="11"/>
      <c r="F7164" s="11"/>
      <c r="G7164" s="11"/>
      <c r="H7164" s="11"/>
      <c r="I7164" s="15"/>
    </row>
    <row r="7165" spans="1:9" ht="16.5">
      <c r="A7165" s="10" t="b">
        <v>0</v>
      </c>
      <c r="B7165" s="11" t="str">
        <f>IF(D7165&lt;&gt;"",IF(COUNTIF('USPTO TMs'!A:A,D7165)&gt;0,"Yes","No"),"")</f>
        <v/>
      </c>
      <c r="C7165" s="11"/>
      <c r="D7165" s="11"/>
      <c r="E7165" s="11"/>
      <c r="F7165" s="11"/>
      <c r="G7165" s="11"/>
      <c r="H7165" s="11"/>
      <c r="I7165" s="15"/>
    </row>
    <row r="7166" spans="1:9" ht="16.5">
      <c r="A7166" s="10" t="b">
        <v>0</v>
      </c>
      <c r="B7166" s="11" t="str">
        <f>IF(D7166&lt;&gt;"",IF(COUNTIF('USPTO TMs'!A:A,D7166)&gt;0,"Yes","No"),"")</f>
        <v/>
      </c>
      <c r="C7166" s="11"/>
      <c r="D7166" s="11"/>
      <c r="E7166" s="11"/>
      <c r="F7166" s="11"/>
      <c r="G7166" s="11"/>
      <c r="H7166" s="11"/>
      <c r="I7166" s="15"/>
    </row>
    <row r="7167" spans="1:9" ht="16.5">
      <c r="A7167" s="10" t="b">
        <v>0</v>
      </c>
      <c r="B7167" s="11" t="str">
        <f>IF(D7167&lt;&gt;"",IF(COUNTIF('USPTO TMs'!A:A,D7167)&gt;0,"Yes","No"),"")</f>
        <v/>
      </c>
      <c r="C7167" s="11"/>
      <c r="D7167" s="11"/>
      <c r="E7167" s="11"/>
      <c r="F7167" s="11"/>
      <c r="G7167" s="11"/>
      <c r="H7167" s="11"/>
      <c r="I7167" s="15"/>
    </row>
    <row r="7168" spans="1:9" ht="16.5">
      <c r="A7168" s="10" t="b">
        <v>0</v>
      </c>
      <c r="B7168" s="11" t="str">
        <f>IF(D7168&lt;&gt;"",IF(COUNTIF('USPTO TMs'!A:A,D7168)&gt;0,"Yes","No"),"")</f>
        <v/>
      </c>
      <c r="C7168" s="11"/>
      <c r="D7168" s="11"/>
      <c r="E7168" s="11"/>
      <c r="F7168" s="11"/>
      <c r="G7168" s="11"/>
      <c r="H7168" s="11"/>
      <c r="I7168" s="15"/>
    </row>
    <row r="7169" spans="1:9" ht="16.5">
      <c r="A7169" s="10" t="b">
        <v>0</v>
      </c>
      <c r="B7169" s="11" t="str">
        <f>IF(D7169&lt;&gt;"",IF(COUNTIF('USPTO TMs'!A:A,D7169)&gt;0,"Yes","No"),"")</f>
        <v/>
      </c>
      <c r="C7169" s="11"/>
      <c r="D7169" s="11"/>
      <c r="E7169" s="11"/>
      <c r="F7169" s="11"/>
      <c r="G7169" s="11"/>
      <c r="H7169" s="11"/>
      <c r="I7169" s="15"/>
    </row>
    <row r="7170" spans="1:9" ht="16.5">
      <c r="A7170" s="10" t="b">
        <v>0</v>
      </c>
      <c r="B7170" s="11" t="str">
        <f>IF(D7170&lt;&gt;"",IF(COUNTIF('USPTO TMs'!A:A,D7170)&gt;0,"Yes","No"),"")</f>
        <v/>
      </c>
      <c r="C7170" s="11"/>
      <c r="D7170" s="11"/>
      <c r="E7170" s="11"/>
      <c r="F7170" s="11"/>
      <c r="G7170" s="11"/>
      <c r="H7170" s="11"/>
      <c r="I7170" s="15"/>
    </row>
    <row r="7171" spans="1:9" ht="16.5">
      <c r="A7171" s="10" t="b">
        <v>0</v>
      </c>
      <c r="B7171" s="11" t="str">
        <f>IF(D7171&lt;&gt;"",IF(COUNTIF('USPTO TMs'!A:A,D7171)&gt;0,"Yes","No"),"")</f>
        <v/>
      </c>
      <c r="C7171" s="11"/>
      <c r="D7171" s="11"/>
      <c r="E7171" s="11"/>
      <c r="F7171" s="11"/>
      <c r="G7171" s="11"/>
      <c r="H7171" s="11"/>
      <c r="I7171" s="15"/>
    </row>
    <row r="7172" spans="1:9" ht="16.5">
      <c r="A7172" s="10" t="b">
        <v>0</v>
      </c>
      <c r="B7172" s="11" t="str">
        <f>IF(D7172&lt;&gt;"",IF(COUNTIF('USPTO TMs'!A:A,D7172)&gt;0,"Yes","No"),"")</f>
        <v/>
      </c>
      <c r="C7172" s="11"/>
      <c r="D7172" s="11"/>
      <c r="E7172" s="11"/>
      <c r="F7172" s="11"/>
      <c r="G7172" s="11"/>
      <c r="H7172" s="11"/>
      <c r="I7172" s="15"/>
    </row>
    <row r="7173" spans="1:9" ht="16.5">
      <c r="A7173" s="10" t="b">
        <v>0</v>
      </c>
      <c r="B7173" s="11" t="str">
        <f>IF(D7173&lt;&gt;"",IF(COUNTIF('USPTO TMs'!A:A,D7173)&gt;0,"Yes","No"),"")</f>
        <v/>
      </c>
      <c r="C7173" s="11"/>
      <c r="D7173" s="11"/>
      <c r="E7173" s="11"/>
      <c r="F7173" s="11"/>
      <c r="G7173" s="11"/>
      <c r="H7173" s="11"/>
      <c r="I7173" s="15"/>
    </row>
    <row r="7174" spans="1:9" ht="16.5">
      <c r="A7174" s="10" t="b">
        <v>0</v>
      </c>
      <c r="B7174" s="11" t="str">
        <f>IF(D7174&lt;&gt;"",IF(COUNTIF('USPTO TMs'!A:A,D7174)&gt;0,"Yes","No"),"")</f>
        <v/>
      </c>
      <c r="C7174" s="11"/>
      <c r="D7174" s="11"/>
      <c r="E7174" s="11"/>
      <c r="F7174" s="11"/>
      <c r="G7174" s="11"/>
      <c r="H7174" s="11"/>
      <c r="I7174" s="15"/>
    </row>
    <row r="7175" spans="1:9" ht="16.5">
      <c r="A7175" s="10" t="b">
        <v>0</v>
      </c>
      <c r="B7175" s="11" t="str">
        <f>IF(D7175&lt;&gt;"",IF(COUNTIF('USPTO TMs'!A:A,D7175)&gt;0,"Yes","No"),"")</f>
        <v/>
      </c>
      <c r="C7175" s="11"/>
      <c r="D7175" s="11"/>
      <c r="E7175" s="11"/>
      <c r="F7175" s="11"/>
      <c r="G7175" s="11"/>
      <c r="H7175" s="11"/>
      <c r="I7175" s="15"/>
    </row>
    <row r="7176" spans="1:9" ht="16.5">
      <c r="A7176" s="10" t="b">
        <v>0</v>
      </c>
      <c r="B7176" s="11" t="str">
        <f>IF(D7176&lt;&gt;"",IF(COUNTIF('USPTO TMs'!A:A,D7176)&gt;0,"Yes","No"),"")</f>
        <v/>
      </c>
      <c r="C7176" s="11"/>
      <c r="D7176" s="11"/>
      <c r="E7176" s="11"/>
      <c r="F7176" s="11"/>
      <c r="G7176" s="11"/>
      <c r="H7176" s="11"/>
      <c r="I7176" s="15"/>
    </row>
    <row r="7177" spans="1:9" ht="16.5">
      <c r="A7177" s="10" t="b">
        <v>0</v>
      </c>
      <c r="B7177" s="11" t="str">
        <f>IF(D7177&lt;&gt;"",IF(COUNTIF('USPTO TMs'!A:A,D7177)&gt;0,"Yes","No"),"")</f>
        <v/>
      </c>
      <c r="C7177" s="11"/>
      <c r="D7177" s="11"/>
      <c r="E7177" s="11"/>
      <c r="F7177" s="11"/>
      <c r="G7177" s="11"/>
      <c r="H7177" s="11"/>
      <c r="I7177" s="15"/>
    </row>
    <row r="7178" spans="1:9" ht="16.5">
      <c r="A7178" s="10" t="b">
        <v>0</v>
      </c>
      <c r="B7178" s="11" t="str">
        <f>IF(D7178&lt;&gt;"",IF(COUNTIF('USPTO TMs'!A:A,D7178)&gt;0,"Yes","No"),"")</f>
        <v/>
      </c>
      <c r="C7178" s="11"/>
      <c r="D7178" s="11"/>
      <c r="E7178" s="11"/>
      <c r="F7178" s="11"/>
      <c r="G7178" s="11"/>
      <c r="H7178" s="11"/>
      <c r="I7178" s="15"/>
    </row>
    <row r="7179" spans="1:9" ht="16.5">
      <c r="A7179" s="10" t="b">
        <v>0</v>
      </c>
      <c r="B7179" s="11" t="str">
        <f>IF(D7179&lt;&gt;"",IF(COUNTIF('USPTO TMs'!A:A,D7179)&gt;0,"Yes","No"),"")</f>
        <v/>
      </c>
      <c r="C7179" s="11"/>
      <c r="D7179" s="11"/>
      <c r="E7179" s="11"/>
      <c r="F7179" s="11"/>
      <c r="G7179" s="11"/>
      <c r="H7179" s="11"/>
      <c r="I7179" s="15"/>
    </row>
    <row r="7180" spans="1:9" ht="16.5">
      <c r="A7180" s="10" t="b">
        <v>0</v>
      </c>
      <c r="B7180" s="11" t="str">
        <f>IF(D7180&lt;&gt;"",IF(COUNTIF('USPTO TMs'!A:A,D7180)&gt;0,"Yes","No"),"")</f>
        <v/>
      </c>
      <c r="C7180" s="11"/>
      <c r="D7180" s="11"/>
      <c r="E7180" s="11"/>
      <c r="F7180" s="11"/>
      <c r="G7180" s="11"/>
      <c r="H7180" s="11"/>
      <c r="I7180" s="15"/>
    </row>
    <row r="7181" spans="1:9" ht="16.5">
      <c r="A7181" s="10" t="b">
        <v>0</v>
      </c>
      <c r="B7181" s="11" t="str">
        <f>IF(D7181&lt;&gt;"",IF(COUNTIF('USPTO TMs'!A:A,D7181)&gt;0,"Yes","No"),"")</f>
        <v/>
      </c>
      <c r="C7181" s="11"/>
      <c r="D7181" s="11"/>
      <c r="E7181" s="11"/>
      <c r="F7181" s="11"/>
      <c r="G7181" s="11"/>
      <c r="H7181" s="11"/>
      <c r="I7181" s="15"/>
    </row>
    <row r="7182" spans="1:9" ht="16.5">
      <c r="A7182" s="10" t="b">
        <v>0</v>
      </c>
      <c r="B7182" s="11" t="str">
        <f>IF(D7182&lt;&gt;"",IF(COUNTIF('USPTO TMs'!A:A,D7182)&gt;0,"Yes","No"),"")</f>
        <v/>
      </c>
      <c r="C7182" s="11"/>
      <c r="D7182" s="11"/>
      <c r="E7182" s="11"/>
      <c r="F7182" s="11"/>
      <c r="G7182" s="11"/>
      <c r="H7182" s="11"/>
      <c r="I7182" s="15"/>
    </row>
    <row r="7183" spans="1:9" ht="16.5">
      <c r="A7183" s="10" t="b">
        <v>0</v>
      </c>
      <c r="B7183" s="11" t="str">
        <f>IF(D7183&lt;&gt;"",IF(COUNTIF('USPTO TMs'!A:A,D7183)&gt;0,"Yes","No"),"")</f>
        <v/>
      </c>
      <c r="C7183" s="11"/>
      <c r="D7183" s="11"/>
      <c r="E7183" s="11"/>
      <c r="F7183" s="11"/>
      <c r="G7183" s="11"/>
      <c r="H7183" s="11"/>
      <c r="I7183" s="15"/>
    </row>
    <row r="7184" spans="1:9" ht="16.5">
      <c r="A7184" s="10" t="b">
        <v>0</v>
      </c>
      <c r="B7184" s="11" t="str">
        <f>IF(D7184&lt;&gt;"",IF(COUNTIF('USPTO TMs'!A:A,D7184)&gt;0,"Yes","No"),"")</f>
        <v/>
      </c>
      <c r="C7184" s="11"/>
      <c r="D7184" s="11"/>
      <c r="E7184" s="11"/>
      <c r="F7184" s="11"/>
      <c r="G7184" s="11"/>
      <c r="H7184" s="11"/>
      <c r="I7184" s="15"/>
    </row>
    <row r="7185" spans="1:9" ht="16.5">
      <c r="A7185" s="10" t="b">
        <v>0</v>
      </c>
      <c r="B7185" s="11" t="str">
        <f>IF(D7185&lt;&gt;"",IF(COUNTIF('USPTO TMs'!A:A,D7185)&gt;0,"Yes","No"),"")</f>
        <v/>
      </c>
      <c r="C7185" s="11"/>
      <c r="D7185" s="11"/>
      <c r="E7185" s="11"/>
      <c r="F7185" s="11"/>
      <c r="G7185" s="11"/>
      <c r="H7185" s="11"/>
      <c r="I7185" s="15"/>
    </row>
    <row r="7186" spans="1:9" ht="16.5">
      <c r="A7186" s="10" t="b">
        <v>0</v>
      </c>
      <c r="B7186" s="11" t="str">
        <f>IF(D7186&lt;&gt;"",IF(COUNTIF('USPTO TMs'!A:A,D7186)&gt;0,"Yes","No"),"")</f>
        <v/>
      </c>
      <c r="C7186" s="11"/>
      <c r="D7186" s="11"/>
      <c r="E7186" s="11"/>
      <c r="F7186" s="11"/>
      <c r="G7186" s="11"/>
      <c r="H7186" s="11"/>
      <c r="I7186" s="15"/>
    </row>
    <row r="7187" spans="1:9" ht="16.5">
      <c r="A7187" s="10" t="b">
        <v>0</v>
      </c>
      <c r="B7187" s="11" t="str">
        <f>IF(D7187&lt;&gt;"",IF(COUNTIF('USPTO TMs'!A:A,D7187)&gt;0,"Yes","No"),"")</f>
        <v/>
      </c>
      <c r="C7187" s="11"/>
      <c r="D7187" s="11"/>
      <c r="E7187" s="11"/>
      <c r="F7187" s="11"/>
      <c r="G7187" s="11"/>
      <c r="H7187" s="11"/>
      <c r="I7187" s="15"/>
    </row>
    <row r="7188" spans="1:9" ht="16.5">
      <c r="A7188" s="10" t="b">
        <v>0</v>
      </c>
      <c r="B7188" s="11" t="str">
        <f>IF(D7188&lt;&gt;"",IF(COUNTIF('USPTO TMs'!A:A,D7188)&gt;0,"Yes","No"),"")</f>
        <v/>
      </c>
      <c r="C7188" s="11"/>
      <c r="D7188" s="11"/>
      <c r="E7188" s="11"/>
      <c r="F7188" s="11"/>
      <c r="G7188" s="11"/>
      <c r="H7188" s="11"/>
      <c r="I7188" s="15"/>
    </row>
    <row r="7189" spans="1:9" ht="16.5">
      <c r="A7189" s="10" t="b">
        <v>0</v>
      </c>
      <c r="B7189" s="11" t="str">
        <f>IF(D7189&lt;&gt;"",IF(COUNTIF('USPTO TMs'!A:A,D7189)&gt;0,"Yes","No"),"")</f>
        <v/>
      </c>
      <c r="C7189" s="11"/>
      <c r="D7189" s="11"/>
      <c r="E7189" s="11"/>
      <c r="F7189" s="11"/>
      <c r="G7189" s="11"/>
      <c r="H7189" s="11"/>
      <c r="I7189" s="15"/>
    </row>
    <row r="7190" spans="1:9" ht="16.5">
      <c r="A7190" s="10" t="b">
        <v>0</v>
      </c>
      <c r="B7190" s="11" t="str">
        <f>IF(D7190&lt;&gt;"",IF(COUNTIF('USPTO TMs'!A:A,D7190)&gt;0,"Yes","No"),"")</f>
        <v/>
      </c>
      <c r="C7190" s="11"/>
      <c r="D7190" s="11"/>
      <c r="E7190" s="11"/>
      <c r="F7190" s="11"/>
      <c r="G7190" s="11"/>
      <c r="H7190" s="11"/>
      <c r="I7190" s="15"/>
    </row>
    <row r="7191" spans="1:9" ht="16.5">
      <c r="A7191" s="10" t="b">
        <v>0</v>
      </c>
      <c r="B7191" s="11" t="str">
        <f>IF(D7191&lt;&gt;"",IF(COUNTIF('USPTO TMs'!A:A,D7191)&gt;0,"Yes","No"),"")</f>
        <v/>
      </c>
      <c r="C7191" s="11"/>
      <c r="D7191" s="11"/>
      <c r="E7191" s="11"/>
      <c r="F7191" s="11"/>
      <c r="G7191" s="11"/>
      <c r="H7191" s="11"/>
      <c r="I7191" s="15"/>
    </row>
    <row r="7192" spans="1:9" ht="16.5">
      <c r="A7192" s="10" t="b">
        <v>0</v>
      </c>
      <c r="B7192" s="11" t="str">
        <f>IF(D7192&lt;&gt;"",IF(COUNTIF('USPTO TMs'!A:A,D7192)&gt;0,"Yes","No"),"")</f>
        <v/>
      </c>
      <c r="C7192" s="11"/>
      <c r="D7192" s="11"/>
      <c r="E7192" s="11"/>
      <c r="F7192" s="11"/>
      <c r="G7192" s="11"/>
      <c r="H7192" s="11"/>
      <c r="I7192" s="15"/>
    </row>
    <row r="7193" spans="1:9" ht="16.5">
      <c r="A7193" s="10" t="b">
        <v>0</v>
      </c>
      <c r="B7193" s="11" t="str">
        <f>IF(D7193&lt;&gt;"",IF(COUNTIF('USPTO TMs'!A:A,D7193)&gt;0,"Yes","No"),"")</f>
        <v/>
      </c>
      <c r="C7193" s="11"/>
      <c r="D7193" s="11"/>
      <c r="E7193" s="11"/>
      <c r="F7193" s="11"/>
      <c r="G7193" s="11"/>
      <c r="H7193" s="11"/>
      <c r="I7193" s="15"/>
    </row>
    <row r="7194" spans="1:9" ht="16.5">
      <c r="A7194" s="10" t="b">
        <v>0</v>
      </c>
      <c r="B7194" s="11" t="str">
        <f>IF(D7194&lt;&gt;"",IF(COUNTIF('USPTO TMs'!A:A,D7194)&gt;0,"Yes","No"),"")</f>
        <v/>
      </c>
      <c r="C7194" s="11"/>
      <c r="D7194" s="11"/>
      <c r="E7194" s="11"/>
      <c r="F7194" s="11"/>
      <c r="G7194" s="11"/>
      <c r="H7194" s="11"/>
      <c r="I7194" s="15"/>
    </row>
    <row r="7195" spans="1:9" ht="16.5">
      <c r="A7195" s="10" t="b">
        <v>0</v>
      </c>
      <c r="B7195" s="11" t="str">
        <f>IF(D7195&lt;&gt;"",IF(COUNTIF('USPTO TMs'!A:A,D7195)&gt;0,"Yes","No"),"")</f>
        <v/>
      </c>
      <c r="C7195" s="11"/>
      <c r="D7195" s="11"/>
      <c r="E7195" s="11"/>
      <c r="F7195" s="11"/>
      <c r="G7195" s="11"/>
      <c r="H7195" s="11"/>
      <c r="I7195" s="15"/>
    </row>
    <row r="7196" spans="1:9" ht="16.5">
      <c r="A7196" s="10" t="b">
        <v>0</v>
      </c>
      <c r="B7196" s="11" t="str">
        <f>IF(D7196&lt;&gt;"",IF(COUNTIF('USPTO TMs'!A:A,D7196)&gt;0,"Yes","No"),"")</f>
        <v/>
      </c>
      <c r="C7196" s="11"/>
      <c r="D7196" s="11"/>
      <c r="E7196" s="11"/>
      <c r="F7196" s="11"/>
      <c r="G7196" s="11"/>
      <c r="H7196" s="11"/>
      <c r="I7196" s="15"/>
    </row>
    <row r="7197" spans="1:9" ht="16.5">
      <c r="A7197" s="10" t="b">
        <v>0</v>
      </c>
      <c r="B7197" s="11" t="str">
        <f>IF(D7197&lt;&gt;"",IF(COUNTIF('USPTO TMs'!A:A,D7197)&gt;0,"Yes","No"),"")</f>
        <v/>
      </c>
      <c r="C7197" s="11"/>
      <c r="D7197" s="11"/>
      <c r="E7197" s="11"/>
      <c r="F7197" s="11"/>
      <c r="G7197" s="11"/>
      <c r="H7197" s="11"/>
      <c r="I7197" s="15"/>
    </row>
    <row r="7198" spans="1:9" ht="16.5">
      <c r="A7198" s="10" t="b">
        <v>0</v>
      </c>
      <c r="B7198" s="11" t="str">
        <f>IF(D7198&lt;&gt;"",IF(COUNTIF('USPTO TMs'!A:A,D7198)&gt;0,"Yes","No"),"")</f>
        <v/>
      </c>
      <c r="C7198" s="11"/>
      <c r="D7198" s="11"/>
      <c r="E7198" s="11"/>
      <c r="F7198" s="11"/>
      <c r="G7198" s="11"/>
      <c r="H7198" s="11"/>
      <c r="I7198" s="15"/>
    </row>
    <row r="7199" spans="1:9" ht="16.5">
      <c r="A7199" s="10" t="b">
        <v>0</v>
      </c>
      <c r="B7199" s="11" t="str">
        <f>IF(D7199&lt;&gt;"",IF(COUNTIF('USPTO TMs'!A:A,D7199)&gt;0,"Yes","No"),"")</f>
        <v/>
      </c>
      <c r="C7199" s="11"/>
      <c r="D7199" s="11"/>
      <c r="E7199" s="11"/>
      <c r="F7199" s="11"/>
      <c r="G7199" s="11"/>
      <c r="H7199" s="11"/>
      <c r="I7199" s="15"/>
    </row>
    <row r="7200" spans="1:9" ht="16.5">
      <c r="A7200" s="10" t="b">
        <v>0</v>
      </c>
      <c r="B7200" s="11" t="str">
        <f>IF(D7200&lt;&gt;"",IF(COUNTIF('USPTO TMs'!A:A,D7200)&gt;0,"Yes","No"),"")</f>
        <v/>
      </c>
      <c r="C7200" s="11"/>
      <c r="D7200" s="11"/>
      <c r="E7200" s="11"/>
      <c r="F7200" s="11"/>
      <c r="G7200" s="11"/>
      <c r="H7200" s="11"/>
      <c r="I7200" s="15"/>
    </row>
    <row r="7201" spans="1:9" ht="16.5">
      <c r="A7201" s="10" t="b">
        <v>0</v>
      </c>
      <c r="B7201" s="11" t="str">
        <f>IF(D7201&lt;&gt;"",IF(COUNTIF('USPTO TMs'!A:A,D7201)&gt;0,"Yes","No"),"")</f>
        <v/>
      </c>
      <c r="C7201" s="11"/>
      <c r="D7201" s="11"/>
      <c r="E7201" s="11"/>
      <c r="F7201" s="11"/>
      <c r="G7201" s="11"/>
      <c r="H7201" s="11"/>
      <c r="I7201" s="15"/>
    </row>
    <row r="7202" spans="1:9" ht="16.5">
      <c r="A7202" s="10" t="b">
        <v>0</v>
      </c>
      <c r="B7202" s="11" t="str">
        <f>IF(D7202&lt;&gt;"",IF(COUNTIF('USPTO TMs'!A:A,D7202)&gt;0,"Yes","No"),"")</f>
        <v/>
      </c>
      <c r="C7202" s="11"/>
      <c r="D7202" s="11"/>
      <c r="E7202" s="11"/>
      <c r="F7202" s="11"/>
      <c r="G7202" s="11"/>
      <c r="H7202" s="11"/>
      <c r="I7202" s="15"/>
    </row>
    <row r="7203" spans="1:9" ht="16.5">
      <c r="A7203" s="10" t="b">
        <v>0</v>
      </c>
      <c r="B7203" s="11" t="str">
        <f>IF(D7203&lt;&gt;"",IF(COUNTIF('USPTO TMs'!A:A,D7203)&gt;0,"Yes","No"),"")</f>
        <v/>
      </c>
      <c r="C7203" s="11"/>
      <c r="D7203" s="11"/>
      <c r="E7203" s="11"/>
      <c r="F7203" s="11"/>
      <c r="G7203" s="11"/>
      <c r="H7203" s="11"/>
      <c r="I7203" s="15"/>
    </row>
    <row r="7204" spans="1:9" ht="16.5">
      <c r="A7204" s="10" t="b">
        <v>0</v>
      </c>
      <c r="B7204" s="11" t="str">
        <f>IF(D7204&lt;&gt;"",IF(COUNTIF('USPTO TMs'!A:A,D7204)&gt;0,"Yes","No"),"")</f>
        <v/>
      </c>
      <c r="C7204" s="11"/>
      <c r="D7204" s="11"/>
      <c r="E7204" s="11"/>
      <c r="F7204" s="11"/>
      <c r="G7204" s="11"/>
      <c r="H7204" s="11"/>
      <c r="I7204" s="15"/>
    </row>
    <row r="7205" spans="1:9" ht="16.5">
      <c r="A7205" s="10" t="b">
        <v>0</v>
      </c>
      <c r="B7205" s="11" t="str">
        <f>IF(D7205&lt;&gt;"",IF(COUNTIF('USPTO TMs'!A:A,D7205)&gt;0,"Yes","No"),"")</f>
        <v/>
      </c>
      <c r="C7205" s="11"/>
      <c r="D7205" s="11"/>
      <c r="E7205" s="11"/>
      <c r="F7205" s="11"/>
      <c r="G7205" s="11"/>
      <c r="H7205" s="11"/>
      <c r="I7205" s="15"/>
    </row>
    <row r="7206" spans="1:9" ht="16.5">
      <c r="A7206" s="10" t="b">
        <v>0</v>
      </c>
      <c r="B7206" s="11" t="str">
        <f>IF(D7206&lt;&gt;"",IF(COUNTIF('USPTO TMs'!A:A,D7206)&gt;0,"Yes","No"),"")</f>
        <v/>
      </c>
      <c r="C7206" s="11"/>
      <c r="D7206" s="11"/>
      <c r="E7206" s="11"/>
      <c r="F7206" s="11"/>
      <c r="G7206" s="11"/>
      <c r="H7206" s="11"/>
      <c r="I7206" s="15"/>
    </row>
    <row r="7207" spans="1:9" ht="16.5">
      <c r="A7207" s="10" t="b">
        <v>0</v>
      </c>
      <c r="B7207" s="11" t="str">
        <f>IF(D7207&lt;&gt;"",IF(COUNTIF('USPTO TMs'!A:A,D7207)&gt;0,"Yes","No"),"")</f>
        <v/>
      </c>
      <c r="C7207" s="11"/>
      <c r="D7207" s="11"/>
      <c r="E7207" s="11"/>
      <c r="F7207" s="11"/>
      <c r="G7207" s="11"/>
      <c r="H7207" s="11"/>
      <c r="I7207" s="15"/>
    </row>
    <row r="7208" spans="1:9" ht="16.5">
      <c r="A7208" s="10" t="b">
        <v>0</v>
      </c>
      <c r="B7208" s="11" t="str">
        <f>IF(D7208&lt;&gt;"",IF(COUNTIF('USPTO TMs'!A:A,D7208)&gt;0,"Yes","No"),"")</f>
        <v/>
      </c>
      <c r="C7208" s="11"/>
      <c r="D7208" s="11"/>
      <c r="E7208" s="11"/>
      <c r="F7208" s="11"/>
      <c r="G7208" s="11"/>
      <c r="H7208" s="11"/>
      <c r="I7208" s="15"/>
    </row>
    <row r="7209" spans="1:9" ht="16.5">
      <c r="A7209" s="10" t="b">
        <v>0</v>
      </c>
      <c r="B7209" s="11" t="str">
        <f>IF(D7209&lt;&gt;"",IF(COUNTIF('USPTO TMs'!A:A,D7209)&gt;0,"Yes","No"),"")</f>
        <v/>
      </c>
      <c r="C7209" s="11"/>
      <c r="D7209" s="11"/>
      <c r="E7209" s="11"/>
      <c r="F7209" s="11"/>
      <c r="G7209" s="11"/>
      <c r="H7209" s="11"/>
      <c r="I7209" s="15"/>
    </row>
    <row r="7210" spans="1:9" ht="16.5">
      <c r="A7210" s="10" t="b">
        <v>0</v>
      </c>
      <c r="B7210" s="11" t="str">
        <f>IF(D7210&lt;&gt;"",IF(COUNTIF('USPTO TMs'!A:A,D7210)&gt;0,"Yes","No"),"")</f>
        <v/>
      </c>
      <c r="C7210" s="11"/>
      <c r="D7210" s="11"/>
      <c r="E7210" s="11"/>
      <c r="F7210" s="11"/>
      <c r="G7210" s="11"/>
      <c r="H7210" s="11"/>
      <c r="I7210" s="15"/>
    </row>
    <row r="7211" spans="1:9" ht="16.5">
      <c r="A7211" s="10" t="b">
        <v>0</v>
      </c>
      <c r="B7211" s="11" t="str">
        <f>IF(D7211&lt;&gt;"",IF(COUNTIF('USPTO TMs'!A:A,D7211)&gt;0,"Yes","No"),"")</f>
        <v/>
      </c>
      <c r="C7211" s="11"/>
      <c r="D7211" s="11"/>
      <c r="E7211" s="11"/>
      <c r="F7211" s="11"/>
      <c r="G7211" s="11"/>
      <c r="H7211" s="11"/>
      <c r="I7211" s="15"/>
    </row>
    <row r="7212" spans="1:9" ht="16.5">
      <c r="A7212" s="10" t="b">
        <v>0</v>
      </c>
      <c r="B7212" s="11" t="str">
        <f>IF(D7212&lt;&gt;"",IF(COUNTIF('USPTO TMs'!A:A,D7212)&gt;0,"Yes","No"),"")</f>
        <v/>
      </c>
      <c r="C7212" s="11"/>
      <c r="D7212" s="11"/>
      <c r="E7212" s="11"/>
      <c r="F7212" s="11"/>
      <c r="G7212" s="11"/>
      <c r="H7212" s="11"/>
      <c r="I7212" s="15"/>
    </row>
    <row r="7213" spans="1:9" ht="16.5">
      <c r="A7213" s="10" t="b">
        <v>0</v>
      </c>
      <c r="B7213" s="11" t="str">
        <f>IF(D7213&lt;&gt;"",IF(COUNTIF('USPTO TMs'!A:A,D7213)&gt;0,"Yes","No"),"")</f>
        <v/>
      </c>
      <c r="C7213" s="11"/>
      <c r="D7213" s="11"/>
      <c r="E7213" s="11"/>
      <c r="F7213" s="11"/>
      <c r="G7213" s="11"/>
      <c r="H7213" s="11"/>
      <c r="I7213" s="15"/>
    </row>
    <row r="7214" spans="1:9" ht="16.5">
      <c r="A7214" s="10" t="b">
        <v>0</v>
      </c>
      <c r="B7214" s="11" t="str">
        <f>IF(D7214&lt;&gt;"",IF(COUNTIF('USPTO TMs'!A:A,D7214)&gt;0,"Yes","No"),"")</f>
        <v/>
      </c>
      <c r="C7214" s="11"/>
      <c r="D7214" s="11"/>
      <c r="E7214" s="11"/>
      <c r="F7214" s="11"/>
      <c r="G7214" s="11"/>
      <c r="H7214" s="11"/>
      <c r="I7214" s="15"/>
    </row>
    <row r="7215" spans="1:9" ht="16.5">
      <c r="A7215" s="10" t="b">
        <v>0</v>
      </c>
      <c r="B7215" s="11" t="str">
        <f>IF(D7215&lt;&gt;"",IF(COUNTIF('USPTO TMs'!A:A,D7215)&gt;0,"Yes","No"),"")</f>
        <v/>
      </c>
      <c r="C7215" s="11"/>
      <c r="D7215" s="11"/>
      <c r="E7215" s="11"/>
      <c r="F7215" s="11"/>
      <c r="G7215" s="11"/>
      <c r="H7215" s="11"/>
      <c r="I7215" s="15"/>
    </row>
    <row r="7216" spans="1:9" ht="16.5">
      <c r="A7216" s="10" t="b">
        <v>0</v>
      </c>
      <c r="B7216" s="11" t="str">
        <f>IF(D7216&lt;&gt;"",IF(COUNTIF('USPTO TMs'!A:A,D7216)&gt;0,"Yes","No"),"")</f>
        <v/>
      </c>
      <c r="C7216" s="11"/>
      <c r="D7216" s="11"/>
      <c r="E7216" s="11"/>
      <c r="F7216" s="11"/>
      <c r="G7216" s="11"/>
      <c r="H7216" s="11"/>
      <c r="I7216" s="15"/>
    </row>
    <row r="7217" spans="1:9" ht="16.5">
      <c r="A7217" s="10" t="b">
        <v>0</v>
      </c>
      <c r="B7217" s="11" t="str">
        <f>IF(D7217&lt;&gt;"",IF(COUNTIF('USPTO TMs'!A:A,D7217)&gt;0,"Yes","No"),"")</f>
        <v/>
      </c>
      <c r="C7217" s="11"/>
      <c r="D7217" s="11"/>
      <c r="E7217" s="11"/>
      <c r="F7217" s="11"/>
      <c r="G7217" s="11"/>
      <c r="H7217" s="11"/>
      <c r="I7217" s="15"/>
    </row>
    <row r="7218" spans="1:9" ht="16.5">
      <c r="A7218" s="10" t="b">
        <v>0</v>
      </c>
      <c r="B7218" s="11" t="str">
        <f>IF(D7218&lt;&gt;"",IF(COUNTIF('USPTO TMs'!A:A,D7218)&gt;0,"Yes","No"),"")</f>
        <v/>
      </c>
      <c r="C7218" s="11"/>
      <c r="D7218" s="11"/>
      <c r="E7218" s="11"/>
      <c r="F7218" s="11"/>
      <c r="G7218" s="11"/>
      <c r="H7218" s="11"/>
      <c r="I7218" s="15"/>
    </row>
    <row r="7219" spans="1:9" ht="16.5">
      <c r="A7219" s="10" t="b">
        <v>0</v>
      </c>
      <c r="B7219" s="11" t="str">
        <f>IF(D7219&lt;&gt;"",IF(COUNTIF('USPTO TMs'!A:A,D7219)&gt;0,"Yes","No"),"")</f>
        <v/>
      </c>
      <c r="C7219" s="11"/>
      <c r="D7219" s="11"/>
      <c r="E7219" s="11"/>
      <c r="F7219" s="11"/>
      <c r="G7219" s="11"/>
      <c r="H7219" s="11"/>
      <c r="I7219" s="15"/>
    </row>
    <row r="7220" spans="1:9" ht="16.5">
      <c r="A7220" s="10" t="b">
        <v>0</v>
      </c>
      <c r="B7220" s="11" t="str">
        <f>IF(D7220&lt;&gt;"",IF(COUNTIF('USPTO TMs'!A:A,D7220)&gt;0,"Yes","No"),"")</f>
        <v/>
      </c>
      <c r="C7220" s="11"/>
      <c r="D7220" s="11"/>
      <c r="E7220" s="11"/>
      <c r="F7220" s="11"/>
      <c r="G7220" s="11"/>
      <c r="H7220" s="11"/>
      <c r="I7220" s="15"/>
    </row>
    <row r="7221" spans="1:9" ht="16.5">
      <c r="A7221" s="10" t="b">
        <v>0</v>
      </c>
      <c r="B7221" s="11" t="str">
        <f>IF(D7221&lt;&gt;"",IF(COUNTIF('USPTO TMs'!A:A,D7221)&gt;0,"Yes","No"),"")</f>
        <v/>
      </c>
      <c r="C7221" s="11"/>
      <c r="D7221" s="11"/>
      <c r="E7221" s="11"/>
      <c r="F7221" s="11"/>
      <c r="G7221" s="11"/>
      <c r="H7221" s="11"/>
      <c r="I7221" s="15"/>
    </row>
    <row r="7222" spans="1:9" ht="16.5">
      <c r="A7222" s="10" t="b">
        <v>0</v>
      </c>
      <c r="B7222" s="11" t="str">
        <f>IF(D7222&lt;&gt;"",IF(COUNTIF('USPTO TMs'!A:A,D7222)&gt;0,"Yes","No"),"")</f>
        <v/>
      </c>
      <c r="C7222" s="11"/>
      <c r="D7222" s="11"/>
      <c r="E7222" s="11"/>
      <c r="F7222" s="11"/>
      <c r="G7222" s="11"/>
      <c r="H7222" s="11"/>
      <c r="I7222" s="15"/>
    </row>
    <row r="7223" spans="1:9" ht="16.5">
      <c r="A7223" s="10" t="b">
        <v>0</v>
      </c>
      <c r="B7223" s="11" t="str">
        <f>IF(D7223&lt;&gt;"",IF(COUNTIF('USPTO TMs'!A:A,D7223)&gt;0,"Yes","No"),"")</f>
        <v/>
      </c>
      <c r="C7223" s="11"/>
      <c r="D7223" s="11"/>
      <c r="E7223" s="11"/>
      <c r="F7223" s="11"/>
      <c r="G7223" s="11"/>
      <c r="H7223" s="11"/>
      <c r="I7223" s="15"/>
    </row>
    <row r="7224" spans="1:9" ht="16.5">
      <c r="A7224" s="10" t="b">
        <v>0</v>
      </c>
      <c r="B7224" s="11" t="str">
        <f>IF(D7224&lt;&gt;"",IF(COUNTIF('USPTO TMs'!A:A,D7224)&gt;0,"Yes","No"),"")</f>
        <v/>
      </c>
      <c r="C7224" s="11"/>
      <c r="D7224" s="11"/>
      <c r="E7224" s="11"/>
      <c r="F7224" s="11"/>
      <c r="G7224" s="11"/>
      <c r="H7224" s="11"/>
      <c r="I7224" s="15"/>
    </row>
    <row r="7225" spans="1:9" ht="16.5">
      <c r="A7225" s="10" t="b">
        <v>0</v>
      </c>
      <c r="B7225" s="11" t="str">
        <f>IF(D7225&lt;&gt;"",IF(COUNTIF('USPTO TMs'!A:A,D7225)&gt;0,"Yes","No"),"")</f>
        <v/>
      </c>
      <c r="C7225" s="11"/>
      <c r="D7225" s="11"/>
      <c r="E7225" s="11"/>
      <c r="F7225" s="11"/>
      <c r="G7225" s="11"/>
      <c r="H7225" s="11"/>
      <c r="I7225" s="15"/>
    </row>
    <row r="7226" spans="1:9" ht="16.5">
      <c r="A7226" s="10" t="b">
        <v>0</v>
      </c>
      <c r="B7226" s="11" t="str">
        <f>IF(D7226&lt;&gt;"",IF(COUNTIF('USPTO TMs'!A:A,D7226)&gt;0,"Yes","No"),"")</f>
        <v/>
      </c>
      <c r="C7226" s="11"/>
      <c r="D7226" s="11"/>
      <c r="E7226" s="11"/>
      <c r="F7226" s="11"/>
      <c r="G7226" s="11"/>
      <c r="H7226" s="11"/>
      <c r="I7226" s="15"/>
    </row>
    <row r="7227" spans="1:9" ht="16.5">
      <c r="A7227" s="10" t="b">
        <v>0</v>
      </c>
      <c r="B7227" s="11" t="str">
        <f>IF(D7227&lt;&gt;"",IF(COUNTIF('USPTO TMs'!A:A,D7227)&gt;0,"Yes","No"),"")</f>
        <v/>
      </c>
      <c r="C7227" s="11"/>
      <c r="D7227" s="11"/>
      <c r="E7227" s="11"/>
      <c r="F7227" s="11"/>
      <c r="G7227" s="11"/>
      <c r="H7227" s="11"/>
      <c r="I7227" s="15"/>
    </row>
    <row r="7228" spans="1:9" ht="16.5">
      <c r="A7228" s="10" t="b">
        <v>0</v>
      </c>
      <c r="B7228" s="11" t="str">
        <f>IF(D7228&lt;&gt;"",IF(COUNTIF('USPTO TMs'!A:A,D7228)&gt;0,"Yes","No"),"")</f>
        <v/>
      </c>
      <c r="C7228" s="11"/>
      <c r="D7228" s="11"/>
      <c r="E7228" s="11"/>
      <c r="F7228" s="11"/>
      <c r="G7228" s="11"/>
      <c r="H7228" s="11"/>
      <c r="I7228" s="15"/>
    </row>
    <row r="7229" spans="1:9" ht="16.5">
      <c r="A7229" s="10" t="b">
        <v>0</v>
      </c>
      <c r="B7229" s="11" t="str">
        <f>IF(D7229&lt;&gt;"",IF(COUNTIF('USPTO TMs'!A:A,D7229)&gt;0,"Yes","No"),"")</f>
        <v/>
      </c>
      <c r="C7229" s="11"/>
      <c r="D7229" s="11"/>
      <c r="E7229" s="11"/>
      <c r="F7229" s="11"/>
      <c r="G7229" s="11"/>
      <c r="H7229" s="11"/>
      <c r="I7229" s="15"/>
    </row>
    <row r="7230" spans="1:9" ht="16.5">
      <c r="A7230" s="10" t="b">
        <v>0</v>
      </c>
      <c r="B7230" s="11" t="str">
        <f>IF(D7230&lt;&gt;"",IF(COUNTIF('USPTO TMs'!A:A,D7230)&gt;0,"Yes","No"),"")</f>
        <v/>
      </c>
      <c r="C7230" s="11"/>
      <c r="D7230" s="11"/>
      <c r="E7230" s="11"/>
      <c r="F7230" s="11"/>
      <c r="G7230" s="11"/>
      <c r="H7230" s="11"/>
      <c r="I7230" s="15"/>
    </row>
    <row r="7231" spans="1:9" ht="16.5">
      <c r="A7231" s="10" t="b">
        <v>0</v>
      </c>
      <c r="B7231" s="11" t="str">
        <f>IF(D7231&lt;&gt;"",IF(COUNTIF('USPTO TMs'!A:A,D7231)&gt;0,"Yes","No"),"")</f>
        <v/>
      </c>
      <c r="C7231" s="11"/>
      <c r="D7231" s="11"/>
      <c r="E7231" s="11"/>
      <c r="F7231" s="11"/>
      <c r="G7231" s="11"/>
      <c r="H7231" s="11"/>
      <c r="I7231" s="15"/>
    </row>
    <row r="7232" spans="1:9" ht="16.5">
      <c r="A7232" s="10" t="b">
        <v>0</v>
      </c>
      <c r="B7232" s="11" t="str">
        <f>IF(D7232&lt;&gt;"",IF(COUNTIF('USPTO TMs'!A:A,D7232)&gt;0,"Yes","No"),"")</f>
        <v/>
      </c>
      <c r="C7232" s="11"/>
      <c r="D7232" s="11"/>
      <c r="E7232" s="11"/>
      <c r="F7232" s="11"/>
      <c r="G7232" s="11"/>
      <c r="H7232" s="11"/>
      <c r="I7232" s="15"/>
    </row>
    <row r="7233" spans="1:9" ht="16.5">
      <c r="A7233" s="10" t="b">
        <v>0</v>
      </c>
      <c r="B7233" s="11" t="str">
        <f>IF(D7233&lt;&gt;"",IF(COUNTIF('USPTO TMs'!A:A,D7233)&gt;0,"Yes","No"),"")</f>
        <v/>
      </c>
      <c r="C7233" s="11"/>
      <c r="D7233" s="11"/>
      <c r="E7233" s="11"/>
      <c r="F7233" s="11"/>
      <c r="G7233" s="11"/>
      <c r="H7233" s="11"/>
      <c r="I7233" s="15"/>
    </row>
    <row r="7234" spans="1:9" ht="16.5">
      <c r="A7234" s="10" t="b">
        <v>0</v>
      </c>
      <c r="B7234" s="11" t="str">
        <f>IF(D7234&lt;&gt;"",IF(COUNTIF('USPTO TMs'!A:A,D7234)&gt;0,"Yes","No"),"")</f>
        <v/>
      </c>
      <c r="C7234" s="11"/>
      <c r="D7234" s="11"/>
      <c r="E7234" s="11"/>
      <c r="F7234" s="11"/>
      <c r="G7234" s="11"/>
      <c r="H7234" s="11"/>
      <c r="I7234" s="15"/>
    </row>
    <row r="7235" spans="1:9" ht="16.5">
      <c r="A7235" s="10" t="b">
        <v>0</v>
      </c>
      <c r="B7235" s="11" t="str">
        <f>IF(D7235&lt;&gt;"",IF(COUNTIF('USPTO TMs'!A:A,D7235)&gt;0,"Yes","No"),"")</f>
        <v/>
      </c>
      <c r="C7235" s="11"/>
      <c r="D7235" s="11"/>
      <c r="E7235" s="11"/>
      <c r="F7235" s="11"/>
      <c r="G7235" s="11"/>
      <c r="H7235" s="11"/>
      <c r="I7235" s="15"/>
    </row>
    <row r="7236" spans="1:9" ht="16.5">
      <c r="A7236" s="10" t="b">
        <v>0</v>
      </c>
      <c r="B7236" s="11" t="str">
        <f>IF(D7236&lt;&gt;"",IF(COUNTIF('USPTO TMs'!A:A,D7236)&gt;0,"Yes","No"),"")</f>
        <v/>
      </c>
      <c r="C7236" s="11"/>
      <c r="D7236" s="11"/>
      <c r="E7236" s="11"/>
      <c r="F7236" s="11"/>
      <c r="G7236" s="11"/>
      <c r="H7236" s="11"/>
      <c r="I7236" s="15"/>
    </row>
    <row r="7237" spans="1:9" ht="16.5">
      <c r="A7237" s="10" t="b">
        <v>0</v>
      </c>
      <c r="B7237" s="11" t="str">
        <f>IF(D7237&lt;&gt;"",IF(COUNTIF('USPTO TMs'!A:A,D7237)&gt;0,"Yes","No"),"")</f>
        <v/>
      </c>
      <c r="C7237" s="11"/>
      <c r="D7237" s="11"/>
      <c r="E7237" s="11"/>
      <c r="F7237" s="11"/>
      <c r="G7237" s="11"/>
      <c r="H7237" s="11"/>
      <c r="I7237" s="15"/>
    </row>
    <row r="7238" spans="1:9" ht="16.5">
      <c r="A7238" s="10" t="b">
        <v>0</v>
      </c>
      <c r="B7238" s="11" t="str">
        <f>IF(D7238&lt;&gt;"",IF(COUNTIF('USPTO TMs'!A:A,D7238)&gt;0,"Yes","No"),"")</f>
        <v/>
      </c>
      <c r="C7238" s="11"/>
      <c r="D7238" s="11"/>
      <c r="E7238" s="11"/>
      <c r="F7238" s="11"/>
      <c r="G7238" s="11"/>
      <c r="H7238" s="11"/>
      <c r="I7238" s="15"/>
    </row>
    <row r="7239" spans="1:9" ht="16.5">
      <c r="A7239" s="10" t="b">
        <v>0</v>
      </c>
      <c r="B7239" s="11" t="str">
        <f>IF(D7239&lt;&gt;"",IF(COUNTIF('USPTO TMs'!A:A,D7239)&gt;0,"Yes","No"),"")</f>
        <v/>
      </c>
      <c r="C7239" s="11"/>
      <c r="D7239" s="11"/>
      <c r="E7239" s="11"/>
      <c r="F7239" s="11"/>
      <c r="G7239" s="11"/>
      <c r="H7239" s="11"/>
      <c r="I7239" s="15"/>
    </row>
    <row r="7240" spans="1:9" ht="16.5">
      <c r="A7240" s="10" t="b">
        <v>0</v>
      </c>
      <c r="B7240" s="11" t="str">
        <f>IF(D7240&lt;&gt;"",IF(COUNTIF('USPTO TMs'!A:A,D7240)&gt;0,"Yes","No"),"")</f>
        <v/>
      </c>
      <c r="C7240" s="11"/>
      <c r="D7240" s="11"/>
      <c r="E7240" s="11"/>
      <c r="F7240" s="11"/>
      <c r="G7240" s="11"/>
      <c r="H7240" s="11"/>
      <c r="I7240" s="15"/>
    </row>
    <row r="7241" spans="1:9" ht="16.5">
      <c r="A7241" s="10" t="b">
        <v>0</v>
      </c>
      <c r="B7241" s="11" t="str">
        <f>IF(D7241&lt;&gt;"",IF(COUNTIF('USPTO TMs'!A:A,D7241)&gt;0,"Yes","No"),"")</f>
        <v/>
      </c>
      <c r="C7241" s="11"/>
      <c r="D7241" s="11"/>
      <c r="E7241" s="11"/>
      <c r="F7241" s="11"/>
      <c r="G7241" s="11"/>
      <c r="H7241" s="11"/>
      <c r="I7241" s="15"/>
    </row>
    <row r="7242" spans="1:9" ht="16.5">
      <c r="A7242" s="10" t="b">
        <v>0</v>
      </c>
      <c r="B7242" s="11" t="str">
        <f>IF(D7242&lt;&gt;"",IF(COUNTIF('USPTO TMs'!A:A,D7242)&gt;0,"Yes","No"),"")</f>
        <v/>
      </c>
      <c r="C7242" s="11"/>
      <c r="D7242" s="11"/>
      <c r="E7242" s="11"/>
      <c r="F7242" s="11"/>
      <c r="G7242" s="11"/>
      <c r="H7242" s="11"/>
      <c r="I7242" s="15"/>
    </row>
    <row r="7243" spans="1:9" ht="16.5">
      <c r="A7243" s="10" t="b">
        <v>0</v>
      </c>
      <c r="B7243" s="11" t="str">
        <f>IF(D7243&lt;&gt;"",IF(COUNTIF('USPTO TMs'!A:A,D7243)&gt;0,"Yes","No"),"")</f>
        <v/>
      </c>
      <c r="C7243" s="11"/>
      <c r="D7243" s="11"/>
      <c r="E7243" s="11"/>
      <c r="F7243" s="11"/>
      <c r="G7243" s="11"/>
      <c r="H7243" s="11"/>
      <c r="I7243" s="15"/>
    </row>
    <row r="7244" spans="1:9" ht="16.5">
      <c r="A7244" s="10" t="b">
        <v>0</v>
      </c>
      <c r="B7244" s="11" t="str">
        <f>IF(D7244&lt;&gt;"",IF(COUNTIF('USPTO TMs'!A:A,D7244)&gt;0,"Yes","No"),"")</f>
        <v/>
      </c>
      <c r="C7244" s="11"/>
      <c r="D7244" s="11"/>
      <c r="E7244" s="11"/>
      <c r="F7244" s="11"/>
      <c r="G7244" s="11"/>
      <c r="H7244" s="11"/>
      <c r="I7244" s="15"/>
    </row>
    <row r="7245" spans="1:9" ht="16.5">
      <c r="A7245" s="10" t="b">
        <v>0</v>
      </c>
      <c r="B7245" s="11" t="str">
        <f>IF(D7245&lt;&gt;"",IF(COUNTIF('USPTO TMs'!A:A,D7245)&gt;0,"Yes","No"),"")</f>
        <v/>
      </c>
      <c r="C7245" s="11"/>
      <c r="D7245" s="11"/>
      <c r="E7245" s="11"/>
      <c r="F7245" s="11"/>
      <c r="G7245" s="11"/>
      <c r="H7245" s="11"/>
      <c r="I7245" s="15"/>
    </row>
    <row r="7246" spans="1:9" ht="16.5">
      <c r="A7246" s="10" t="b">
        <v>0</v>
      </c>
      <c r="B7246" s="11" t="str">
        <f>IF(D7246&lt;&gt;"",IF(COUNTIF('USPTO TMs'!A:A,D7246)&gt;0,"Yes","No"),"")</f>
        <v/>
      </c>
      <c r="C7246" s="11"/>
      <c r="D7246" s="11"/>
      <c r="E7246" s="11"/>
      <c r="F7246" s="11"/>
      <c r="G7246" s="11"/>
      <c r="H7246" s="11"/>
      <c r="I7246" s="15"/>
    </row>
    <row r="7247" spans="1:9" ht="16.5">
      <c r="A7247" s="10" t="b">
        <v>0</v>
      </c>
      <c r="B7247" s="11" t="str">
        <f>IF(D7247&lt;&gt;"",IF(COUNTIF('USPTO TMs'!A:A,D7247)&gt;0,"Yes","No"),"")</f>
        <v/>
      </c>
      <c r="C7247" s="11"/>
      <c r="D7247" s="11"/>
      <c r="E7247" s="11"/>
      <c r="F7247" s="11"/>
      <c r="G7247" s="11"/>
      <c r="H7247" s="11"/>
      <c r="I7247" s="15"/>
    </row>
    <row r="7248" spans="1:9" ht="16.5">
      <c r="A7248" s="10" t="b">
        <v>0</v>
      </c>
      <c r="B7248" s="11" t="str">
        <f>IF(D7248&lt;&gt;"",IF(COUNTIF('USPTO TMs'!A:A,D7248)&gt;0,"Yes","No"),"")</f>
        <v/>
      </c>
      <c r="C7248" s="11"/>
      <c r="D7248" s="11"/>
      <c r="E7248" s="11"/>
      <c r="F7248" s="11"/>
      <c r="G7248" s="11"/>
      <c r="H7248" s="11"/>
      <c r="I7248" s="15"/>
    </row>
    <row r="7249" spans="1:9" ht="16.5">
      <c r="A7249" s="10" t="b">
        <v>0</v>
      </c>
      <c r="B7249" s="11" t="str">
        <f>IF(D7249&lt;&gt;"",IF(COUNTIF('USPTO TMs'!A:A,D7249)&gt;0,"Yes","No"),"")</f>
        <v/>
      </c>
      <c r="C7249" s="11"/>
      <c r="D7249" s="11"/>
      <c r="E7249" s="11"/>
      <c r="F7249" s="11"/>
      <c r="G7249" s="11"/>
      <c r="H7249" s="11"/>
      <c r="I7249" s="15"/>
    </row>
    <row r="7250" spans="1:9" ht="16.5">
      <c r="A7250" s="10" t="b">
        <v>0</v>
      </c>
      <c r="B7250" s="11" t="str">
        <f>IF(D7250&lt;&gt;"",IF(COUNTIF('USPTO TMs'!A:A,D7250)&gt;0,"Yes","No"),"")</f>
        <v/>
      </c>
      <c r="C7250" s="11"/>
      <c r="D7250" s="11"/>
      <c r="E7250" s="11"/>
      <c r="F7250" s="11"/>
      <c r="G7250" s="11"/>
      <c r="H7250" s="11"/>
      <c r="I7250" s="15"/>
    </row>
    <row r="7251" spans="1:9" ht="16.5">
      <c r="A7251" s="10" t="b">
        <v>0</v>
      </c>
      <c r="B7251" s="11" t="str">
        <f>IF(D7251&lt;&gt;"",IF(COUNTIF('USPTO TMs'!A:A,D7251)&gt;0,"Yes","No"),"")</f>
        <v/>
      </c>
      <c r="C7251" s="11"/>
      <c r="D7251" s="11"/>
      <c r="E7251" s="11"/>
      <c r="F7251" s="11"/>
      <c r="G7251" s="11"/>
      <c r="H7251" s="11"/>
      <c r="I7251" s="15"/>
    </row>
    <row r="7252" spans="1:9" ht="16.5">
      <c r="A7252" s="10" t="b">
        <v>0</v>
      </c>
      <c r="B7252" s="11" t="str">
        <f>IF(D7252&lt;&gt;"",IF(COUNTIF('USPTO TMs'!A:A,D7252)&gt;0,"Yes","No"),"")</f>
        <v/>
      </c>
      <c r="C7252" s="11"/>
      <c r="D7252" s="11"/>
      <c r="E7252" s="11"/>
      <c r="F7252" s="11"/>
      <c r="G7252" s="11"/>
      <c r="H7252" s="11"/>
      <c r="I7252" s="15"/>
    </row>
    <row r="7253" spans="1:9" ht="16.5">
      <c r="A7253" s="10" t="b">
        <v>0</v>
      </c>
      <c r="B7253" s="11" t="str">
        <f>IF(D7253&lt;&gt;"",IF(COUNTIF('USPTO TMs'!A:A,D7253)&gt;0,"Yes","No"),"")</f>
        <v/>
      </c>
      <c r="C7253" s="11"/>
      <c r="D7253" s="11"/>
      <c r="E7253" s="11"/>
      <c r="F7253" s="11"/>
      <c r="G7253" s="11"/>
      <c r="H7253" s="11"/>
      <c r="I7253" s="15"/>
    </row>
    <row r="7254" spans="1:9" ht="16.5">
      <c r="A7254" s="10" t="b">
        <v>0</v>
      </c>
      <c r="B7254" s="11" t="str">
        <f>IF(D7254&lt;&gt;"",IF(COUNTIF('USPTO TMs'!A:A,D7254)&gt;0,"Yes","No"),"")</f>
        <v/>
      </c>
      <c r="C7254" s="11"/>
      <c r="D7254" s="11"/>
      <c r="E7254" s="11"/>
      <c r="F7254" s="11"/>
      <c r="G7254" s="11"/>
      <c r="H7254" s="11"/>
      <c r="I7254" s="15"/>
    </row>
    <row r="7255" spans="1:9" ht="16.5">
      <c r="A7255" s="10" t="b">
        <v>0</v>
      </c>
      <c r="B7255" s="11" t="str">
        <f>IF(D7255&lt;&gt;"",IF(COUNTIF('USPTO TMs'!A:A,D7255)&gt;0,"Yes","No"),"")</f>
        <v/>
      </c>
      <c r="C7255" s="11"/>
      <c r="D7255" s="11"/>
      <c r="E7255" s="11"/>
      <c r="F7255" s="11"/>
      <c r="G7255" s="11"/>
      <c r="H7255" s="11"/>
      <c r="I7255" s="15"/>
    </row>
    <row r="7256" spans="1:9" ht="16.5">
      <c r="A7256" s="10" t="b">
        <v>0</v>
      </c>
      <c r="B7256" s="11" t="str">
        <f>IF(D7256&lt;&gt;"",IF(COUNTIF('USPTO TMs'!A:A,D7256)&gt;0,"Yes","No"),"")</f>
        <v/>
      </c>
      <c r="C7256" s="11"/>
      <c r="D7256" s="11"/>
      <c r="E7256" s="11"/>
      <c r="F7256" s="11"/>
      <c r="G7256" s="11"/>
      <c r="H7256" s="11"/>
      <c r="I7256" s="15"/>
    </row>
    <row r="7257" spans="1:9" ht="16.5">
      <c r="A7257" s="10" t="b">
        <v>0</v>
      </c>
      <c r="B7257" s="11" t="str">
        <f>IF(D7257&lt;&gt;"",IF(COUNTIF('USPTO TMs'!A:A,D7257)&gt;0,"Yes","No"),"")</f>
        <v/>
      </c>
      <c r="C7257" s="11"/>
      <c r="D7257" s="11"/>
      <c r="E7257" s="11"/>
      <c r="F7257" s="11"/>
      <c r="G7257" s="11"/>
      <c r="H7257" s="11"/>
      <c r="I7257" s="15"/>
    </row>
    <row r="7258" spans="1:9" ht="16.5">
      <c r="A7258" s="10" t="b">
        <v>0</v>
      </c>
      <c r="B7258" s="11" t="str">
        <f>IF(D7258&lt;&gt;"",IF(COUNTIF('USPTO TMs'!A:A,D7258)&gt;0,"Yes","No"),"")</f>
        <v/>
      </c>
      <c r="C7258" s="11"/>
      <c r="D7258" s="11"/>
      <c r="E7258" s="11"/>
      <c r="F7258" s="11"/>
      <c r="G7258" s="11"/>
      <c r="H7258" s="11"/>
      <c r="I7258" s="15"/>
    </row>
    <row r="7259" spans="1:9" ht="16.5">
      <c r="A7259" s="10" t="b">
        <v>0</v>
      </c>
      <c r="B7259" s="11" t="str">
        <f>IF(D7259&lt;&gt;"",IF(COUNTIF('USPTO TMs'!A:A,D7259)&gt;0,"Yes","No"),"")</f>
        <v/>
      </c>
      <c r="C7259" s="11"/>
      <c r="D7259" s="11"/>
      <c r="E7259" s="11"/>
      <c r="F7259" s="11"/>
      <c r="G7259" s="11"/>
      <c r="H7259" s="11"/>
      <c r="I7259" s="15"/>
    </row>
    <row r="7260" spans="1:9" ht="16.5">
      <c r="A7260" s="10" t="b">
        <v>0</v>
      </c>
      <c r="B7260" s="11" t="str">
        <f>IF(D7260&lt;&gt;"",IF(COUNTIF('USPTO TMs'!A:A,D7260)&gt;0,"Yes","No"),"")</f>
        <v/>
      </c>
      <c r="C7260" s="11"/>
      <c r="D7260" s="11"/>
      <c r="E7260" s="11"/>
      <c r="F7260" s="11"/>
      <c r="G7260" s="11"/>
      <c r="H7260" s="11"/>
      <c r="I7260" s="15"/>
    </row>
    <row r="7261" spans="1:9" ht="16.5">
      <c r="A7261" s="10" t="b">
        <v>0</v>
      </c>
      <c r="B7261" s="11" t="str">
        <f>IF(D7261&lt;&gt;"",IF(COUNTIF('USPTO TMs'!A:A,D7261)&gt;0,"Yes","No"),"")</f>
        <v/>
      </c>
      <c r="C7261" s="11"/>
      <c r="D7261" s="11"/>
      <c r="E7261" s="11"/>
      <c r="F7261" s="11"/>
      <c r="G7261" s="11"/>
      <c r="H7261" s="11"/>
      <c r="I7261" s="15"/>
    </row>
    <row r="7262" spans="1:9" ht="16.5">
      <c r="A7262" s="10" t="b">
        <v>0</v>
      </c>
      <c r="B7262" s="11" t="str">
        <f>IF(D7262&lt;&gt;"",IF(COUNTIF('USPTO TMs'!A:A,D7262)&gt;0,"Yes","No"),"")</f>
        <v/>
      </c>
      <c r="C7262" s="11"/>
      <c r="D7262" s="11"/>
      <c r="E7262" s="11"/>
      <c r="F7262" s="11"/>
      <c r="G7262" s="11"/>
      <c r="H7262" s="11"/>
      <c r="I7262" s="15"/>
    </row>
    <row r="7263" spans="1:9" ht="16.5">
      <c r="A7263" s="10" t="b">
        <v>0</v>
      </c>
      <c r="B7263" s="11" t="str">
        <f>IF(D7263&lt;&gt;"",IF(COUNTIF('USPTO TMs'!A:A,D7263)&gt;0,"Yes","No"),"")</f>
        <v/>
      </c>
      <c r="C7263" s="11"/>
      <c r="D7263" s="11"/>
      <c r="E7263" s="11"/>
      <c r="F7263" s="11"/>
      <c r="G7263" s="11"/>
      <c r="H7263" s="11"/>
      <c r="I7263" s="15"/>
    </row>
    <row r="7264" spans="1:9" ht="16.5">
      <c r="A7264" s="10" t="b">
        <v>0</v>
      </c>
      <c r="B7264" s="11" t="str">
        <f>IF(D7264&lt;&gt;"",IF(COUNTIF('USPTO TMs'!A:A,D7264)&gt;0,"Yes","No"),"")</f>
        <v/>
      </c>
      <c r="C7264" s="11"/>
      <c r="D7264" s="11"/>
      <c r="E7264" s="11"/>
      <c r="F7264" s="11"/>
      <c r="G7264" s="11"/>
      <c r="H7264" s="11"/>
      <c r="I7264" s="15"/>
    </row>
    <row r="7265" spans="1:9" ht="16.5">
      <c r="A7265" s="10" t="b">
        <v>0</v>
      </c>
      <c r="B7265" s="11" t="str">
        <f>IF(D7265&lt;&gt;"",IF(COUNTIF('USPTO TMs'!A:A,D7265)&gt;0,"Yes","No"),"")</f>
        <v/>
      </c>
      <c r="C7265" s="11"/>
      <c r="D7265" s="11"/>
      <c r="E7265" s="11"/>
      <c r="F7265" s="11"/>
      <c r="G7265" s="11"/>
      <c r="H7265" s="11"/>
      <c r="I7265" s="15"/>
    </row>
    <row r="7266" spans="1:9" ht="16.5">
      <c r="A7266" s="10" t="b">
        <v>0</v>
      </c>
      <c r="B7266" s="11" t="str">
        <f>IF(D7266&lt;&gt;"",IF(COUNTIF('USPTO TMs'!A:A,D7266)&gt;0,"Yes","No"),"")</f>
        <v/>
      </c>
      <c r="C7266" s="11"/>
      <c r="D7266" s="11"/>
      <c r="E7266" s="11"/>
      <c r="F7266" s="11"/>
      <c r="G7266" s="11"/>
      <c r="H7266" s="11"/>
      <c r="I7266" s="15"/>
    </row>
    <row r="7267" spans="1:9" ht="16.5">
      <c r="A7267" s="10" t="b">
        <v>0</v>
      </c>
      <c r="B7267" s="11" t="str">
        <f>IF(D7267&lt;&gt;"",IF(COUNTIF('USPTO TMs'!A:A,D7267)&gt;0,"Yes","No"),"")</f>
        <v/>
      </c>
      <c r="C7267" s="11"/>
      <c r="D7267" s="11"/>
      <c r="E7267" s="11"/>
      <c r="F7267" s="11"/>
      <c r="G7267" s="11"/>
      <c r="H7267" s="11"/>
      <c r="I7267" s="15"/>
    </row>
    <row r="7268" spans="1:9" ht="16.5">
      <c r="A7268" s="10" t="b">
        <v>0</v>
      </c>
      <c r="B7268" s="11" t="str">
        <f>IF(D7268&lt;&gt;"",IF(COUNTIF('USPTO TMs'!A:A,D7268)&gt;0,"Yes","No"),"")</f>
        <v/>
      </c>
      <c r="C7268" s="11"/>
      <c r="D7268" s="11"/>
      <c r="E7268" s="11"/>
      <c r="F7268" s="11"/>
      <c r="G7268" s="11"/>
      <c r="H7268" s="11"/>
      <c r="I7268" s="15"/>
    </row>
    <row r="7269" spans="1:9" ht="16.5">
      <c r="A7269" s="10" t="b">
        <v>0</v>
      </c>
      <c r="B7269" s="11" t="str">
        <f>IF(D7269&lt;&gt;"",IF(COUNTIF('USPTO TMs'!A:A,D7269)&gt;0,"Yes","No"),"")</f>
        <v/>
      </c>
      <c r="C7269" s="11"/>
      <c r="D7269" s="11"/>
      <c r="E7269" s="11"/>
      <c r="F7269" s="11"/>
      <c r="G7269" s="11"/>
      <c r="H7269" s="11"/>
      <c r="I7269" s="15"/>
    </row>
    <row r="7270" spans="1:9" ht="16.5">
      <c r="A7270" s="10" t="b">
        <v>0</v>
      </c>
      <c r="B7270" s="11" t="str">
        <f>IF(D7270&lt;&gt;"",IF(COUNTIF('USPTO TMs'!A:A,D7270)&gt;0,"Yes","No"),"")</f>
        <v/>
      </c>
      <c r="C7270" s="11"/>
      <c r="D7270" s="11"/>
      <c r="E7270" s="11"/>
      <c r="F7270" s="11"/>
      <c r="G7270" s="11"/>
      <c r="H7270" s="11"/>
      <c r="I7270" s="15"/>
    </row>
    <row r="7271" spans="1:9" ht="16.5">
      <c r="A7271" s="10" t="b">
        <v>0</v>
      </c>
      <c r="B7271" s="11" t="str">
        <f>IF(D7271&lt;&gt;"",IF(COUNTIF('USPTO TMs'!A:A,D7271)&gt;0,"Yes","No"),"")</f>
        <v/>
      </c>
      <c r="C7271" s="11"/>
      <c r="D7271" s="11"/>
      <c r="E7271" s="11"/>
      <c r="F7271" s="11"/>
      <c r="G7271" s="11"/>
      <c r="H7271" s="11"/>
      <c r="I7271" s="15"/>
    </row>
    <row r="7272" spans="1:9" ht="16.5">
      <c r="A7272" s="10" t="b">
        <v>0</v>
      </c>
      <c r="B7272" s="11" t="str">
        <f>IF(D7272&lt;&gt;"",IF(COUNTIF('USPTO TMs'!A:A,D7272)&gt;0,"Yes","No"),"")</f>
        <v/>
      </c>
      <c r="C7272" s="11"/>
      <c r="D7272" s="11"/>
      <c r="E7272" s="11"/>
      <c r="F7272" s="11"/>
      <c r="G7272" s="11"/>
      <c r="H7272" s="11"/>
      <c r="I7272" s="15"/>
    </row>
    <row r="7273" spans="1:9" ht="16.5">
      <c r="A7273" s="10" t="b">
        <v>0</v>
      </c>
      <c r="B7273" s="11" t="str">
        <f>IF(D7273&lt;&gt;"",IF(COUNTIF('USPTO TMs'!A:A,D7273)&gt;0,"Yes","No"),"")</f>
        <v/>
      </c>
      <c r="C7273" s="11"/>
      <c r="D7273" s="11"/>
      <c r="E7273" s="11"/>
      <c r="F7273" s="11"/>
      <c r="G7273" s="11"/>
      <c r="H7273" s="11"/>
      <c r="I7273" s="15"/>
    </row>
    <row r="7274" spans="1:9" ht="16.5">
      <c r="A7274" s="10" t="b">
        <v>0</v>
      </c>
      <c r="B7274" s="11" t="str">
        <f>IF(D7274&lt;&gt;"",IF(COUNTIF('USPTO TMs'!A:A,D7274)&gt;0,"Yes","No"),"")</f>
        <v/>
      </c>
      <c r="C7274" s="11"/>
      <c r="D7274" s="11"/>
      <c r="E7274" s="11"/>
      <c r="F7274" s="11"/>
      <c r="G7274" s="11"/>
      <c r="H7274" s="11"/>
      <c r="I7274" s="15"/>
    </row>
    <row r="7275" spans="1:9" ht="16.5">
      <c r="A7275" s="10" t="b">
        <v>0</v>
      </c>
      <c r="B7275" s="11" t="str">
        <f>IF(D7275&lt;&gt;"",IF(COUNTIF('USPTO TMs'!A:A,D7275)&gt;0,"Yes","No"),"")</f>
        <v/>
      </c>
      <c r="C7275" s="11"/>
      <c r="D7275" s="11"/>
      <c r="E7275" s="11"/>
      <c r="F7275" s="11"/>
      <c r="G7275" s="11"/>
      <c r="H7275" s="11"/>
      <c r="I7275" s="15"/>
    </row>
    <row r="7276" spans="1:9" ht="16.5">
      <c r="A7276" s="10" t="b">
        <v>0</v>
      </c>
      <c r="B7276" s="11" t="str">
        <f>IF(D7276&lt;&gt;"",IF(COUNTIF('USPTO TMs'!A:A,D7276)&gt;0,"Yes","No"),"")</f>
        <v/>
      </c>
      <c r="C7276" s="11"/>
      <c r="D7276" s="11"/>
      <c r="E7276" s="11"/>
      <c r="F7276" s="11"/>
      <c r="G7276" s="11"/>
      <c r="H7276" s="11"/>
      <c r="I7276" s="15"/>
    </row>
    <row r="7277" spans="1:9" ht="16.5">
      <c r="A7277" s="10" t="b">
        <v>0</v>
      </c>
      <c r="B7277" s="11" t="str">
        <f>IF(D7277&lt;&gt;"",IF(COUNTIF('USPTO TMs'!A:A,D7277)&gt;0,"Yes","No"),"")</f>
        <v/>
      </c>
      <c r="C7277" s="11"/>
      <c r="D7277" s="11"/>
      <c r="E7277" s="11"/>
      <c r="F7277" s="11"/>
      <c r="G7277" s="11"/>
      <c r="H7277" s="11"/>
      <c r="I7277" s="15"/>
    </row>
    <row r="7278" spans="1:9" ht="16.5">
      <c r="A7278" s="10" t="b">
        <v>0</v>
      </c>
      <c r="B7278" s="11" t="str">
        <f>IF(D7278&lt;&gt;"",IF(COUNTIF('USPTO TMs'!A:A,D7278)&gt;0,"Yes","No"),"")</f>
        <v/>
      </c>
      <c r="C7278" s="11"/>
      <c r="D7278" s="11"/>
      <c r="E7278" s="11"/>
      <c r="F7278" s="11"/>
      <c r="G7278" s="11"/>
      <c r="H7278" s="11"/>
      <c r="I7278" s="15"/>
    </row>
    <row r="7279" spans="1:9" ht="16.5">
      <c r="A7279" s="10" t="b">
        <v>0</v>
      </c>
      <c r="B7279" s="11" t="str">
        <f>IF(D7279&lt;&gt;"",IF(COUNTIF('USPTO TMs'!A:A,D7279)&gt;0,"Yes","No"),"")</f>
        <v/>
      </c>
      <c r="C7279" s="11"/>
      <c r="D7279" s="11"/>
      <c r="E7279" s="11"/>
      <c r="F7279" s="11"/>
      <c r="G7279" s="11"/>
      <c r="H7279" s="11"/>
      <c r="I7279" s="15"/>
    </row>
    <row r="7280" spans="1:9" ht="16.5">
      <c r="A7280" s="10" t="b">
        <v>0</v>
      </c>
      <c r="B7280" s="11" t="str">
        <f>IF(D7280&lt;&gt;"",IF(COUNTIF('USPTO TMs'!A:A,D7280)&gt;0,"Yes","No"),"")</f>
        <v/>
      </c>
      <c r="C7280" s="11"/>
      <c r="D7280" s="11"/>
      <c r="E7280" s="11"/>
      <c r="F7280" s="11"/>
      <c r="G7280" s="11"/>
      <c r="H7280" s="11"/>
      <c r="I7280" s="15"/>
    </row>
    <row r="7281" spans="1:9" ht="16.5">
      <c r="A7281" s="10" t="b">
        <v>0</v>
      </c>
      <c r="B7281" s="11" t="str">
        <f>IF(D7281&lt;&gt;"",IF(COUNTIF('USPTO TMs'!A:A,D7281)&gt;0,"Yes","No"),"")</f>
        <v/>
      </c>
      <c r="C7281" s="11"/>
      <c r="D7281" s="11"/>
      <c r="E7281" s="11"/>
      <c r="F7281" s="11"/>
      <c r="G7281" s="11"/>
      <c r="H7281" s="11"/>
      <c r="I7281" s="15"/>
    </row>
    <row r="7282" spans="1:9" ht="16.5">
      <c r="A7282" s="10" t="b">
        <v>0</v>
      </c>
      <c r="B7282" s="11" t="str">
        <f>IF(D7282&lt;&gt;"",IF(COUNTIF('USPTO TMs'!A:A,D7282)&gt;0,"Yes","No"),"")</f>
        <v/>
      </c>
      <c r="C7282" s="11"/>
      <c r="D7282" s="11"/>
      <c r="E7282" s="11"/>
      <c r="F7282" s="11"/>
      <c r="G7282" s="11"/>
      <c r="H7282" s="11"/>
      <c r="I7282" s="15"/>
    </row>
    <row r="7283" spans="1:9" ht="16.5">
      <c r="A7283" s="10" t="b">
        <v>0</v>
      </c>
      <c r="B7283" s="11" t="str">
        <f>IF(D7283&lt;&gt;"",IF(COUNTIF('USPTO TMs'!A:A,D7283)&gt;0,"Yes","No"),"")</f>
        <v/>
      </c>
      <c r="C7283" s="11"/>
      <c r="D7283" s="11"/>
      <c r="E7283" s="11"/>
      <c r="F7283" s="11"/>
      <c r="G7283" s="11"/>
      <c r="H7283" s="11"/>
      <c r="I7283" s="15"/>
    </row>
    <row r="7284" spans="1:9" ht="16.5">
      <c r="A7284" s="10" t="b">
        <v>0</v>
      </c>
      <c r="B7284" s="11" t="str">
        <f>IF(D7284&lt;&gt;"",IF(COUNTIF('USPTO TMs'!A:A,D7284)&gt;0,"Yes","No"),"")</f>
        <v/>
      </c>
      <c r="C7284" s="11"/>
      <c r="D7284" s="11"/>
      <c r="E7284" s="11"/>
      <c r="F7284" s="11"/>
      <c r="G7284" s="11"/>
      <c r="H7284" s="11"/>
      <c r="I7284" s="15"/>
    </row>
    <row r="7285" spans="1:9" ht="16.5">
      <c r="A7285" s="10" t="b">
        <v>0</v>
      </c>
      <c r="B7285" s="11" t="str">
        <f>IF(D7285&lt;&gt;"",IF(COUNTIF('USPTO TMs'!A:A,D7285)&gt;0,"Yes","No"),"")</f>
        <v/>
      </c>
      <c r="C7285" s="11"/>
      <c r="D7285" s="11"/>
      <c r="E7285" s="11"/>
      <c r="F7285" s="11"/>
      <c r="G7285" s="11"/>
      <c r="H7285" s="11"/>
      <c r="I7285" s="15"/>
    </row>
    <row r="7286" spans="1:9" ht="16.5">
      <c r="A7286" s="10" t="b">
        <v>0</v>
      </c>
      <c r="B7286" s="11" t="str">
        <f>IF(D7286&lt;&gt;"",IF(COUNTIF('USPTO TMs'!A:A,D7286)&gt;0,"Yes","No"),"")</f>
        <v/>
      </c>
      <c r="C7286" s="11"/>
      <c r="D7286" s="11"/>
      <c r="E7286" s="11"/>
      <c r="F7286" s="11"/>
      <c r="G7286" s="11"/>
      <c r="H7286" s="11"/>
      <c r="I7286" s="15"/>
    </row>
    <row r="7287" spans="1:9" ht="16.5">
      <c r="A7287" s="10" t="b">
        <v>0</v>
      </c>
      <c r="B7287" s="11" t="str">
        <f>IF(D7287&lt;&gt;"",IF(COUNTIF('USPTO TMs'!A:A,D7287)&gt;0,"Yes","No"),"")</f>
        <v/>
      </c>
      <c r="C7287" s="11"/>
      <c r="D7287" s="11"/>
      <c r="E7287" s="11"/>
      <c r="F7287" s="11"/>
      <c r="G7287" s="11"/>
      <c r="H7287" s="11"/>
      <c r="I7287" s="15"/>
    </row>
    <row r="7288" spans="1:9" ht="16.5">
      <c r="A7288" s="10" t="b">
        <v>0</v>
      </c>
      <c r="B7288" s="11" t="str">
        <f>IF(D7288&lt;&gt;"",IF(COUNTIF('USPTO TMs'!A:A,D7288)&gt;0,"Yes","No"),"")</f>
        <v/>
      </c>
      <c r="C7288" s="11"/>
      <c r="D7288" s="11"/>
      <c r="E7288" s="11"/>
      <c r="F7288" s="11"/>
      <c r="G7288" s="11"/>
      <c r="H7288" s="11"/>
      <c r="I7288" s="15"/>
    </row>
    <row r="7289" spans="1:9" ht="16.5">
      <c r="A7289" s="10" t="b">
        <v>0</v>
      </c>
      <c r="B7289" s="11" t="str">
        <f>IF(D7289&lt;&gt;"",IF(COUNTIF('USPTO TMs'!A:A,D7289)&gt;0,"Yes","No"),"")</f>
        <v/>
      </c>
      <c r="C7289" s="11"/>
      <c r="D7289" s="11"/>
      <c r="E7289" s="11"/>
      <c r="F7289" s="11"/>
      <c r="G7289" s="11"/>
      <c r="H7289" s="11"/>
      <c r="I7289" s="15"/>
    </row>
    <row r="7290" spans="1:9" ht="16.5">
      <c r="A7290" s="10" t="b">
        <v>0</v>
      </c>
      <c r="B7290" s="11" t="str">
        <f>IF(D7290&lt;&gt;"",IF(COUNTIF('USPTO TMs'!A:A,D7290)&gt;0,"Yes","No"),"")</f>
        <v/>
      </c>
      <c r="C7290" s="11"/>
      <c r="D7290" s="11"/>
      <c r="E7290" s="11"/>
      <c r="F7290" s="11"/>
      <c r="G7290" s="11"/>
      <c r="H7290" s="11"/>
      <c r="I7290" s="15"/>
    </row>
    <row r="7291" spans="1:9" ht="16.5">
      <c r="A7291" s="10" t="b">
        <v>0</v>
      </c>
      <c r="B7291" s="11" t="str">
        <f>IF(D7291&lt;&gt;"",IF(COUNTIF('USPTO TMs'!A:A,D7291)&gt;0,"Yes","No"),"")</f>
        <v/>
      </c>
      <c r="C7291" s="11"/>
      <c r="D7291" s="11"/>
      <c r="E7291" s="11"/>
      <c r="F7291" s="11"/>
      <c r="G7291" s="11"/>
      <c r="H7291" s="11"/>
      <c r="I7291" s="15"/>
    </row>
    <row r="7292" spans="1:9" ht="16.5">
      <c r="A7292" s="10" t="b">
        <v>0</v>
      </c>
      <c r="B7292" s="11" t="str">
        <f>IF(D7292&lt;&gt;"",IF(COUNTIF('USPTO TMs'!A:A,D7292)&gt;0,"Yes","No"),"")</f>
        <v/>
      </c>
      <c r="C7292" s="11"/>
      <c r="D7292" s="11"/>
      <c r="E7292" s="11"/>
      <c r="F7292" s="11"/>
      <c r="G7292" s="11"/>
      <c r="H7292" s="11"/>
      <c r="I7292" s="15"/>
    </row>
    <row r="7293" spans="1:9" ht="16.5">
      <c r="A7293" s="10" t="b">
        <v>0</v>
      </c>
      <c r="B7293" s="11" t="str">
        <f>IF(D7293&lt;&gt;"",IF(COUNTIF('USPTO TMs'!A:A,D7293)&gt;0,"Yes","No"),"")</f>
        <v/>
      </c>
      <c r="C7293" s="11"/>
      <c r="D7293" s="11"/>
      <c r="E7293" s="11"/>
      <c r="F7293" s="11"/>
      <c r="G7293" s="11"/>
      <c r="H7293" s="11"/>
      <c r="I7293" s="15"/>
    </row>
    <row r="7294" spans="1:9" ht="16.5">
      <c r="A7294" s="10" t="b">
        <v>0</v>
      </c>
      <c r="B7294" s="11" t="str">
        <f>IF(D7294&lt;&gt;"",IF(COUNTIF('USPTO TMs'!A:A,D7294)&gt;0,"Yes","No"),"")</f>
        <v/>
      </c>
      <c r="C7294" s="11"/>
      <c r="D7294" s="11"/>
      <c r="E7294" s="11"/>
      <c r="F7294" s="11"/>
      <c r="G7294" s="11"/>
      <c r="H7294" s="11"/>
      <c r="I7294" s="15"/>
    </row>
    <row r="7295" spans="1:9" ht="16.5">
      <c r="A7295" s="10" t="b">
        <v>0</v>
      </c>
      <c r="B7295" s="11" t="str">
        <f>IF(D7295&lt;&gt;"",IF(COUNTIF('USPTO TMs'!A:A,D7295)&gt;0,"Yes","No"),"")</f>
        <v/>
      </c>
      <c r="C7295" s="11"/>
      <c r="D7295" s="11"/>
      <c r="E7295" s="11"/>
      <c r="F7295" s="11"/>
      <c r="G7295" s="11"/>
      <c r="H7295" s="11"/>
      <c r="I7295" s="15"/>
    </row>
    <row r="7296" spans="1:9" ht="16.5">
      <c r="A7296" s="10" t="b">
        <v>0</v>
      </c>
      <c r="B7296" s="11" t="str">
        <f>IF(D7296&lt;&gt;"",IF(COUNTIF('USPTO TMs'!A:A,D7296)&gt;0,"Yes","No"),"")</f>
        <v/>
      </c>
      <c r="C7296" s="11"/>
      <c r="D7296" s="11"/>
      <c r="E7296" s="11"/>
      <c r="F7296" s="11"/>
      <c r="G7296" s="11"/>
      <c r="H7296" s="11"/>
      <c r="I7296" s="15"/>
    </row>
    <row r="7297" spans="1:9" ht="16.5">
      <c r="A7297" s="10" t="b">
        <v>0</v>
      </c>
      <c r="B7297" s="11" t="str">
        <f>IF(D7297&lt;&gt;"",IF(COUNTIF('USPTO TMs'!A:A,D7297)&gt;0,"Yes","No"),"")</f>
        <v/>
      </c>
      <c r="C7297" s="11"/>
      <c r="D7297" s="11"/>
      <c r="E7297" s="11"/>
      <c r="F7297" s="11"/>
      <c r="G7297" s="11"/>
      <c r="H7297" s="11"/>
      <c r="I7297" s="15"/>
    </row>
    <row r="7298" spans="1:9" ht="16.5">
      <c r="A7298" s="10" t="b">
        <v>0</v>
      </c>
      <c r="B7298" s="11" t="str">
        <f>IF(D7298&lt;&gt;"",IF(COUNTIF('USPTO TMs'!A:A,D7298)&gt;0,"Yes","No"),"")</f>
        <v/>
      </c>
      <c r="C7298" s="11"/>
      <c r="D7298" s="11"/>
      <c r="E7298" s="11"/>
      <c r="F7298" s="11"/>
      <c r="G7298" s="11"/>
      <c r="H7298" s="11"/>
      <c r="I7298" s="15"/>
    </row>
    <row r="7299" spans="1:9" ht="16.5">
      <c r="A7299" s="10" t="b">
        <v>0</v>
      </c>
      <c r="B7299" s="11" t="str">
        <f>IF(D7299&lt;&gt;"",IF(COUNTIF('USPTO TMs'!A:A,D7299)&gt;0,"Yes","No"),"")</f>
        <v/>
      </c>
      <c r="C7299" s="11"/>
      <c r="D7299" s="11"/>
      <c r="E7299" s="11"/>
      <c r="F7299" s="11"/>
      <c r="G7299" s="11"/>
      <c r="H7299" s="11"/>
      <c r="I7299" s="15"/>
    </row>
    <row r="7300" spans="1:9" ht="16.5">
      <c r="A7300" s="10" t="b">
        <v>0</v>
      </c>
      <c r="B7300" s="11" t="str">
        <f>IF(D7300&lt;&gt;"",IF(COUNTIF('USPTO TMs'!A:A,D7300)&gt;0,"Yes","No"),"")</f>
        <v/>
      </c>
      <c r="C7300" s="11"/>
      <c r="D7300" s="11"/>
      <c r="E7300" s="11"/>
      <c r="F7300" s="11"/>
      <c r="G7300" s="11"/>
      <c r="H7300" s="11"/>
      <c r="I7300" s="15"/>
    </row>
    <row r="7301" spans="1:9" ht="16.5">
      <c r="A7301" s="10" t="b">
        <v>0</v>
      </c>
      <c r="B7301" s="11" t="str">
        <f>IF(D7301&lt;&gt;"",IF(COUNTIF('USPTO TMs'!A:A,D7301)&gt;0,"Yes","No"),"")</f>
        <v/>
      </c>
      <c r="C7301" s="11"/>
      <c r="D7301" s="11"/>
      <c r="E7301" s="11"/>
      <c r="F7301" s="11"/>
      <c r="G7301" s="11"/>
      <c r="H7301" s="11"/>
      <c r="I7301" s="15"/>
    </row>
    <row r="7302" spans="1:9" ht="16.5">
      <c r="A7302" s="10" t="b">
        <v>0</v>
      </c>
      <c r="B7302" s="11" t="str">
        <f>IF(D7302&lt;&gt;"",IF(COUNTIF('USPTO TMs'!A:A,D7302)&gt;0,"Yes","No"),"")</f>
        <v/>
      </c>
      <c r="C7302" s="11"/>
      <c r="D7302" s="11"/>
      <c r="E7302" s="11"/>
      <c r="F7302" s="11"/>
      <c r="G7302" s="11"/>
      <c r="H7302" s="11"/>
      <c r="I7302" s="15"/>
    </row>
    <row r="7303" spans="1:9" ht="16.5">
      <c r="A7303" s="10" t="b">
        <v>0</v>
      </c>
      <c r="B7303" s="11" t="str">
        <f>IF(D7303&lt;&gt;"",IF(COUNTIF('USPTO TMs'!A:A,D7303)&gt;0,"Yes","No"),"")</f>
        <v/>
      </c>
      <c r="C7303" s="11"/>
      <c r="D7303" s="11"/>
      <c r="E7303" s="11"/>
      <c r="F7303" s="11"/>
      <c r="G7303" s="11"/>
      <c r="H7303" s="11"/>
      <c r="I7303" s="15"/>
    </row>
    <row r="7304" spans="1:9" ht="16.5">
      <c r="A7304" s="10" t="b">
        <v>0</v>
      </c>
      <c r="B7304" s="11" t="str">
        <f>IF(D7304&lt;&gt;"",IF(COUNTIF('USPTO TMs'!A:A,D7304)&gt;0,"Yes","No"),"")</f>
        <v/>
      </c>
      <c r="C7304" s="11"/>
      <c r="D7304" s="11"/>
      <c r="E7304" s="11"/>
      <c r="F7304" s="11"/>
      <c r="G7304" s="11"/>
      <c r="H7304" s="11"/>
      <c r="I7304" s="15"/>
    </row>
    <row r="7305" spans="1:9" ht="16.5">
      <c r="A7305" s="10" t="b">
        <v>0</v>
      </c>
      <c r="B7305" s="11" t="str">
        <f>IF(D7305&lt;&gt;"",IF(COUNTIF('USPTO TMs'!A:A,D7305)&gt;0,"Yes","No"),"")</f>
        <v/>
      </c>
      <c r="C7305" s="11"/>
      <c r="D7305" s="11"/>
      <c r="E7305" s="11"/>
      <c r="F7305" s="11"/>
      <c r="G7305" s="11"/>
      <c r="H7305" s="11"/>
      <c r="I7305" s="15"/>
    </row>
    <row r="7306" spans="1:9" ht="16.5">
      <c r="A7306" s="10" t="b">
        <v>0</v>
      </c>
      <c r="B7306" s="11" t="str">
        <f>IF(D7306&lt;&gt;"",IF(COUNTIF('USPTO TMs'!A:A,D7306)&gt;0,"Yes","No"),"")</f>
        <v/>
      </c>
      <c r="C7306" s="11"/>
      <c r="D7306" s="11"/>
      <c r="E7306" s="11"/>
      <c r="F7306" s="11"/>
      <c r="G7306" s="11"/>
      <c r="H7306" s="11"/>
      <c r="I7306" s="15"/>
    </row>
    <row r="7307" spans="1:9" ht="16.5">
      <c r="A7307" s="10" t="b">
        <v>0</v>
      </c>
      <c r="B7307" s="11" t="str">
        <f>IF(D7307&lt;&gt;"",IF(COUNTIF('USPTO TMs'!A:A,D7307)&gt;0,"Yes","No"),"")</f>
        <v/>
      </c>
      <c r="C7307" s="11"/>
      <c r="D7307" s="11"/>
      <c r="E7307" s="11"/>
      <c r="F7307" s="11"/>
      <c r="G7307" s="11"/>
      <c r="H7307" s="11"/>
      <c r="I7307" s="15"/>
    </row>
    <row r="7308" spans="1:9" ht="16.5">
      <c r="A7308" s="10" t="b">
        <v>0</v>
      </c>
      <c r="B7308" s="11" t="str">
        <f>IF(D7308&lt;&gt;"",IF(COUNTIF('USPTO TMs'!A:A,D7308)&gt;0,"Yes","No"),"")</f>
        <v/>
      </c>
      <c r="C7308" s="11"/>
      <c r="D7308" s="11"/>
      <c r="E7308" s="11"/>
      <c r="F7308" s="11"/>
      <c r="G7308" s="11"/>
      <c r="H7308" s="11"/>
      <c r="I7308" s="15"/>
    </row>
    <row r="7309" spans="1:9" ht="16.5">
      <c r="A7309" s="10" t="b">
        <v>0</v>
      </c>
      <c r="B7309" s="11" t="str">
        <f>IF(D7309&lt;&gt;"",IF(COUNTIF('USPTO TMs'!A:A,D7309)&gt;0,"Yes","No"),"")</f>
        <v/>
      </c>
      <c r="C7309" s="11"/>
      <c r="D7309" s="11"/>
      <c r="E7309" s="11"/>
      <c r="F7309" s="11"/>
      <c r="G7309" s="11"/>
      <c r="H7309" s="11"/>
      <c r="I7309" s="15"/>
    </row>
    <row r="7310" spans="1:9" ht="16.5">
      <c r="A7310" s="10" t="b">
        <v>0</v>
      </c>
      <c r="B7310" s="11" t="str">
        <f>IF(D7310&lt;&gt;"",IF(COUNTIF('USPTO TMs'!A:A,D7310)&gt;0,"Yes","No"),"")</f>
        <v/>
      </c>
      <c r="C7310" s="11"/>
      <c r="D7310" s="11"/>
      <c r="E7310" s="11"/>
      <c r="F7310" s="11"/>
      <c r="G7310" s="11"/>
      <c r="H7310" s="11"/>
      <c r="I7310" s="15"/>
    </row>
    <row r="7311" spans="1:9" ht="16.5">
      <c r="A7311" s="10" t="b">
        <v>0</v>
      </c>
      <c r="B7311" s="11" t="str">
        <f>IF(D7311&lt;&gt;"",IF(COUNTIF('USPTO TMs'!A:A,D7311)&gt;0,"Yes","No"),"")</f>
        <v/>
      </c>
      <c r="C7311" s="11"/>
      <c r="D7311" s="11"/>
      <c r="E7311" s="11"/>
      <c r="F7311" s="11"/>
      <c r="G7311" s="11"/>
      <c r="H7311" s="11"/>
      <c r="I7311" s="15"/>
    </row>
    <row r="7312" spans="1:9" ht="16.5">
      <c r="A7312" s="10" t="b">
        <v>0</v>
      </c>
      <c r="B7312" s="11" t="str">
        <f>IF(D7312&lt;&gt;"",IF(COUNTIF('USPTO TMs'!A:A,D7312)&gt;0,"Yes","No"),"")</f>
        <v/>
      </c>
      <c r="C7312" s="11"/>
      <c r="D7312" s="11"/>
      <c r="E7312" s="11"/>
      <c r="F7312" s="11"/>
      <c r="G7312" s="11"/>
      <c r="H7312" s="11"/>
      <c r="I7312" s="15"/>
    </row>
    <row r="7313" spans="1:9" ht="16.5">
      <c r="A7313" s="10" t="b">
        <v>0</v>
      </c>
      <c r="B7313" s="11" t="str">
        <f>IF(D7313&lt;&gt;"",IF(COUNTIF('USPTO TMs'!A:A,D7313)&gt;0,"Yes","No"),"")</f>
        <v/>
      </c>
      <c r="C7313" s="11"/>
      <c r="D7313" s="11"/>
      <c r="E7313" s="11"/>
      <c r="F7313" s="11"/>
      <c r="G7313" s="11"/>
      <c r="H7313" s="11"/>
      <c r="I7313" s="15"/>
    </row>
    <row r="7314" spans="1:9" ht="16.5">
      <c r="A7314" s="10" t="b">
        <v>0</v>
      </c>
      <c r="B7314" s="11" t="str">
        <f>IF(D7314&lt;&gt;"",IF(COUNTIF('USPTO TMs'!A:A,D7314)&gt;0,"Yes","No"),"")</f>
        <v/>
      </c>
      <c r="C7314" s="11"/>
      <c r="D7314" s="11"/>
      <c r="E7314" s="11"/>
      <c r="F7314" s="11"/>
      <c r="G7314" s="11"/>
      <c r="H7314" s="11"/>
      <c r="I7314" s="15"/>
    </row>
    <row r="7315" spans="1:9" ht="16.5">
      <c r="A7315" s="10" t="b">
        <v>0</v>
      </c>
      <c r="B7315" s="11" t="str">
        <f>IF(D7315&lt;&gt;"",IF(COUNTIF('USPTO TMs'!A:A,D7315)&gt;0,"Yes","No"),"")</f>
        <v/>
      </c>
      <c r="C7315" s="11"/>
      <c r="D7315" s="11"/>
      <c r="E7315" s="11"/>
      <c r="F7315" s="11"/>
      <c r="G7315" s="11"/>
      <c r="H7315" s="11"/>
      <c r="I7315" s="15"/>
    </row>
    <row r="7316" spans="1:9" ht="16.5">
      <c r="A7316" s="10" t="b">
        <v>0</v>
      </c>
      <c r="B7316" s="11" t="str">
        <f>IF(D7316&lt;&gt;"",IF(COUNTIF('USPTO TMs'!A:A,D7316)&gt;0,"Yes","No"),"")</f>
        <v/>
      </c>
      <c r="C7316" s="11"/>
      <c r="D7316" s="11"/>
      <c r="E7316" s="11"/>
      <c r="F7316" s="11"/>
      <c r="G7316" s="11"/>
      <c r="H7316" s="11"/>
      <c r="I7316" s="15"/>
    </row>
    <row r="7317" spans="1:9" ht="16.5">
      <c r="A7317" s="10" t="b">
        <v>0</v>
      </c>
      <c r="B7317" s="11" t="str">
        <f>IF(D7317&lt;&gt;"",IF(COUNTIF('USPTO TMs'!A:A,D7317)&gt;0,"Yes","No"),"")</f>
        <v/>
      </c>
      <c r="C7317" s="11"/>
      <c r="D7317" s="11"/>
      <c r="E7317" s="11"/>
      <c r="F7317" s="11"/>
      <c r="G7317" s="11"/>
      <c r="H7317" s="11"/>
      <c r="I7317" s="15"/>
    </row>
    <row r="7318" spans="1:9" ht="16.5">
      <c r="A7318" s="10" t="b">
        <v>0</v>
      </c>
      <c r="B7318" s="11" t="str">
        <f>IF(D7318&lt;&gt;"",IF(COUNTIF('USPTO TMs'!A:A,D7318)&gt;0,"Yes","No"),"")</f>
        <v/>
      </c>
      <c r="C7318" s="11"/>
      <c r="D7318" s="11"/>
      <c r="E7318" s="11"/>
      <c r="F7318" s="11"/>
      <c r="G7318" s="11"/>
      <c r="H7318" s="11"/>
      <c r="I7318" s="15"/>
    </row>
    <row r="7319" spans="1:9" ht="16.5">
      <c r="A7319" s="10" t="b">
        <v>0</v>
      </c>
      <c r="B7319" s="11" t="str">
        <f>IF(D7319&lt;&gt;"",IF(COUNTIF('USPTO TMs'!A:A,D7319)&gt;0,"Yes","No"),"")</f>
        <v/>
      </c>
      <c r="C7319" s="11"/>
      <c r="D7319" s="11"/>
      <c r="E7319" s="11"/>
      <c r="F7319" s="11"/>
      <c r="G7319" s="11"/>
      <c r="H7319" s="11"/>
      <c r="I7319" s="15"/>
    </row>
    <row r="7320" spans="1:9" ht="16.5">
      <c r="A7320" s="10" t="b">
        <v>0</v>
      </c>
      <c r="B7320" s="11" t="str">
        <f>IF(D7320&lt;&gt;"",IF(COUNTIF('USPTO TMs'!A:A,D7320)&gt;0,"Yes","No"),"")</f>
        <v/>
      </c>
      <c r="C7320" s="11"/>
      <c r="D7320" s="11"/>
      <c r="E7320" s="11"/>
      <c r="F7320" s="11"/>
      <c r="G7320" s="11"/>
      <c r="H7320" s="11"/>
      <c r="I7320" s="15"/>
    </row>
    <row r="7321" spans="1:9" ht="16.5">
      <c r="A7321" s="10" t="b">
        <v>0</v>
      </c>
      <c r="B7321" s="11" t="str">
        <f>IF(D7321&lt;&gt;"",IF(COUNTIF('USPTO TMs'!A:A,D7321)&gt;0,"Yes","No"),"")</f>
        <v/>
      </c>
      <c r="C7321" s="11"/>
      <c r="D7321" s="11"/>
      <c r="E7321" s="11"/>
      <c r="F7321" s="11"/>
      <c r="G7321" s="11"/>
      <c r="H7321" s="11"/>
      <c r="I7321" s="15"/>
    </row>
    <row r="7322" spans="1:9" ht="16.5">
      <c r="A7322" s="10" t="b">
        <v>0</v>
      </c>
      <c r="B7322" s="11" t="str">
        <f>IF(D7322&lt;&gt;"",IF(COUNTIF('USPTO TMs'!A:A,D7322)&gt;0,"Yes","No"),"")</f>
        <v/>
      </c>
      <c r="C7322" s="11"/>
      <c r="D7322" s="11"/>
      <c r="E7322" s="11"/>
      <c r="F7322" s="11"/>
      <c r="G7322" s="11"/>
      <c r="H7322" s="11"/>
      <c r="I7322" s="15"/>
    </row>
    <row r="7323" spans="1:9" ht="16.5">
      <c r="A7323" s="10" t="b">
        <v>0</v>
      </c>
      <c r="B7323" s="11" t="str">
        <f>IF(D7323&lt;&gt;"",IF(COUNTIF('USPTO TMs'!A:A,D7323)&gt;0,"Yes","No"),"")</f>
        <v/>
      </c>
      <c r="C7323" s="11"/>
      <c r="D7323" s="11"/>
      <c r="E7323" s="11"/>
      <c r="F7323" s="11"/>
      <c r="G7323" s="11"/>
      <c r="H7323" s="11"/>
      <c r="I7323" s="15"/>
    </row>
    <row r="7324" spans="1:9" ht="16.5">
      <c r="A7324" s="10" t="b">
        <v>0</v>
      </c>
      <c r="B7324" s="11" t="str">
        <f>IF(D7324&lt;&gt;"",IF(COUNTIF('USPTO TMs'!A:A,D7324)&gt;0,"Yes","No"),"")</f>
        <v/>
      </c>
      <c r="C7324" s="11"/>
      <c r="D7324" s="11"/>
      <c r="E7324" s="11"/>
      <c r="F7324" s="11"/>
      <c r="G7324" s="11"/>
      <c r="H7324" s="11"/>
      <c r="I7324" s="15"/>
    </row>
    <row r="7325" spans="1:9" ht="16.5">
      <c r="A7325" s="10" t="b">
        <v>0</v>
      </c>
      <c r="B7325" s="11" t="str">
        <f>IF(D7325&lt;&gt;"",IF(COUNTIF('USPTO TMs'!A:A,D7325)&gt;0,"Yes","No"),"")</f>
        <v/>
      </c>
      <c r="C7325" s="11"/>
      <c r="D7325" s="11"/>
      <c r="E7325" s="11"/>
      <c r="F7325" s="11"/>
      <c r="G7325" s="11"/>
      <c r="H7325" s="11"/>
      <c r="I7325" s="15"/>
    </row>
    <row r="7326" spans="1:9" ht="16.5">
      <c r="A7326" s="10" t="b">
        <v>0</v>
      </c>
      <c r="B7326" s="11" t="str">
        <f>IF(D7326&lt;&gt;"",IF(COUNTIF('USPTO TMs'!A:A,D7326)&gt;0,"Yes","No"),"")</f>
        <v/>
      </c>
      <c r="C7326" s="11"/>
      <c r="D7326" s="11"/>
      <c r="E7326" s="11"/>
      <c r="F7326" s="11"/>
      <c r="G7326" s="11"/>
      <c r="H7326" s="11"/>
      <c r="I7326" s="15"/>
    </row>
    <row r="7327" spans="1:9" ht="16.5">
      <c r="A7327" s="10" t="b">
        <v>0</v>
      </c>
      <c r="B7327" s="11" t="str">
        <f>IF(D7327&lt;&gt;"",IF(COUNTIF('USPTO TMs'!A:A,D7327)&gt;0,"Yes","No"),"")</f>
        <v/>
      </c>
      <c r="C7327" s="11"/>
      <c r="D7327" s="11"/>
      <c r="E7327" s="11"/>
      <c r="F7327" s="11"/>
      <c r="G7327" s="11"/>
      <c r="H7327" s="11"/>
      <c r="I7327" s="15"/>
    </row>
    <row r="7328" spans="1:9" ht="16.5">
      <c r="A7328" s="10" t="b">
        <v>0</v>
      </c>
      <c r="B7328" s="11" t="str">
        <f>IF(D7328&lt;&gt;"",IF(COUNTIF('USPTO TMs'!A:A,D7328)&gt;0,"Yes","No"),"")</f>
        <v/>
      </c>
      <c r="C7328" s="11"/>
      <c r="D7328" s="11"/>
      <c r="E7328" s="11"/>
      <c r="F7328" s="11"/>
      <c r="G7328" s="11"/>
      <c r="H7328" s="11"/>
      <c r="I7328" s="15"/>
    </row>
    <row r="7329" spans="1:9" ht="16.5">
      <c r="A7329" s="10" t="b">
        <v>0</v>
      </c>
      <c r="B7329" s="11" t="str">
        <f>IF(D7329&lt;&gt;"",IF(COUNTIF('USPTO TMs'!A:A,D7329)&gt;0,"Yes","No"),"")</f>
        <v/>
      </c>
      <c r="C7329" s="11"/>
      <c r="D7329" s="11"/>
      <c r="E7329" s="11"/>
      <c r="F7329" s="11"/>
      <c r="G7329" s="11"/>
      <c r="H7329" s="11"/>
      <c r="I7329" s="15"/>
    </row>
    <row r="7330" spans="1:9" ht="16.5">
      <c r="A7330" s="10" t="b">
        <v>0</v>
      </c>
      <c r="B7330" s="11" t="str">
        <f>IF(D7330&lt;&gt;"",IF(COUNTIF('USPTO TMs'!A:A,D7330)&gt;0,"Yes","No"),"")</f>
        <v/>
      </c>
      <c r="C7330" s="11"/>
      <c r="D7330" s="11"/>
      <c r="E7330" s="11"/>
      <c r="F7330" s="11"/>
      <c r="G7330" s="11"/>
      <c r="H7330" s="11"/>
      <c r="I7330" s="15"/>
    </row>
    <row r="7331" spans="1:9" ht="16.5">
      <c r="A7331" s="10" t="b">
        <v>0</v>
      </c>
      <c r="B7331" s="11" t="str">
        <f>IF(D7331&lt;&gt;"",IF(COUNTIF('USPTO TMs'!A:A,D7331)&gt;0,"Yes","No"),"")</f>
        <v/>
      </c>
      <c r="C7331" s="11"/>
      <c r="D7331" s="11"/>
      <c r="E7331" s="11"/>
      <c r="F7331" s="11"/>
      <c r="G7331" s="11"/>
      <c r="H7331" s="11"/>
      <c r="I7331" s="15"/>
    </row>
    <row r="7332" spans="1:9" ht="16.5">
      <c r="A7332" s="10" t="b">
        <v>0</v>
      </c>
      <c r="B7332" s="11" t="str">
        <f>IF(D7332&lt;&gt;"",IF(COUNTIF('USPTO TMs'!A:A,D7332)&gt;0,"Yes","No"),"")</f>
        <v/>
      </c>
      <c r="C7332" s="11"/>
      <c r="D7332" s="11"/>
      <c r="E7332" s="11"/>
      <c r="F7332" s="11"/>
      <c r="G7332" s="11"/>
      <c r="H7332" s="11"/>
      <c r="I7332" s="15"/>
    </row>
    <row r="7333" spans="1:9" ht="16.5">
      <c r="A7333" s="10" t="b">
        <v>0</v>
      </c>
      <c r="B7333" s="11" t="str">
        <f>IF(D7333&lt;&gt;"",IF(COUNTIF('USPTO TMs'!A:A,D7333)&gt;0,"Yes","No"),"")</f>
        <v/>
      </c>
      <c r="C7333" s="11"/>
      <c r="D7333" s="11"/>
      <c r="E7333" s="11"/>
      <c r="F7333" s="11"/>
      <c r="G7333" s="11"/>
      <c r="H7333" s="11"/>
      <c r="I7333" s="15"/>
    </row>
    <row r="7334" spans="1:9" ht="16.5">
      <c r="A7334" s="10" t="b">
        <v>0</v>
      </c>
      <c r="B7334" s="11" t="str">
        <f>IF(D7334&lt;&gt;"",IF(COUNTIF('USPTO TMs'!A:A,D7334)&gt;0,"Yes","No"),"")</f>
        <v/>
      </c>
      <c r="C7334" s="11"/>
      <c r="D7334" s="11"/>
      <c r="E7334" s="11"/>
      <c r="F7334" s="11"/>
      <c r="G7334" s="11"/>
      <c r="H7334" s="11"/>
      <c r="I7334" s="15"/>
    </row>
    <row r="7335" spans="1:9" ht="16.5">
      <c r="A7335" s="10" t="b">
        <v>0</v>
      </c>
      <c r="B7335" s="11" t="str">
        <f>IF(D7335&lt;&gt;"",IF(COUNTIF('USPTO TMs'!A:A,D7335)&gt;0,"Yes","No"),"")</f>
        <v/>
      </c>
      <c r="C7335" s="11"/>
      <c r="D7335" s="11"/>
      <c r="E7335" s="11"/>
      <c r="F7335" s="11"/>
      <c r="G7335" s="11"/>
      <c r="H7335" s="11"/>
      <c r="I7335" s="15"/>
    </row>
    <row r="7336" spans="1:9" ht="16.5">
      <c r="A7336" s="10" t="b">
        <v>0</v>
      </c>
      <c r="B7336" s="11" t="str">
        <f>IF(D7336&lt;&gt;"",IF(COUNTIF('USPTO TMs'!A:A,D7336)&gt;0,"Yes","No"),"")</f>
        <v/>
      </c>
      <c r="C7336" s="11"/>
      <c r="D7336" s="11"/>
      <c r="E7336" s="11"/>
      <c r="F7336" s="11"/>
      <c r="G7336" s="11"/>
      <c r="H7336" s="11"/>
      <c r="I7336" s="15"/>
    </row>
    <row r="7337" spans="1:9" ht="16.5">
      <c r="A7337" s="10" t="b">
        <v>0</v>
      </c>
      <c r="B7337" s="11" t="str">
        <f>IF(D7337&lt;&gt;"",IF(COUNTIF('USPTO TMs'!A:A,D7337)&gt;0,"Yes","No"),"")</f>
        <v/>
      </c>
      <c r="C7337" s="11"/>
      <c r="D7337" s="11"/>
      <c r="E7337" s="11"/>
      <c r="F7337" s="11"/>
      <c r="G7337" s="11"/>
      <c r="H7337" s="11"/>
      <c r="I7337" s="15"/>
    </row>
    <row r="7338" spans="1:9" ht="16.5">
      <c r="A7338" s="10" t="b">
        <v>0</v>
      </c>
      <c r="B7338" s="11" t="str">
        <f>IF(D7338&lt;&gt;"",IF(COUNTIF('USPTO TMs'!A:A,D7338)&gt;0,"Yes","No"),"")</f>
        <v/>
      </c>
      <c r="C7338" s="11"/>
      <c r="D7338" s="11"/>
      <c r="E7338" s="11"/>
      <c r="F7338" s="11"/>
      <c r="G7338" s="11"/>
      <c r="H7338" s="11"/>
      <c r="I7338" s="15"/>
    </row>
    <row r="7339" spans="1:9" ht="16.5">
      <c r="A7339" s="10" t="b">
        <v>0</v>
      </c>
      <c r="B7339" s="11" t="str">
        <f>IF(D7339&lt;&gt;"",IF(COUNTIF('USPTO TMs'!A:A,D7339)&gt;0,"Yes","No"),"")</f>
        <v/>
      </c>
      <c r="C7339" s="11"/>
      <c r="D7339" s="11"/>
      <c r="E7339" s="11"/>
      <c r="F7339" s="11"/>
      <c r="G7339" s="11"/>
      <c r="H7339" s="11"/>
      <c r="I7339" s="15"/>
    </row>
    <row r="7340" spans="1:9" ht="16.5">
      <c r="A7340" s="10" t="b">
        <v>0</v>
      </c>
      <c r="B7340" s="11" t="str">
        <f>IF(D7340&lt;&gt;"",IF(COUNTIF('USPTO TMs'!A:A,D7340)&gt;0,"Yes","No"),"")</f>
        <v/>
      </c>
      <c r="C7340" s="11"/>
      <c r="D7340" s="11"/>
      <c r="E7340" s="11"/>
      <c r="F7340" s="11"/>
      <c r="G7340" s="11"/>
      <c r="H7340" s="11"/>
      <c r="I7340" s="15"/>
    </row>
    <row r="7341" spans="1:9" ht="16.5">
      <c r="A7341" s="10" t="b">
        <v>0</v>
      </c>
      <c r="B7341" s="11" t="str">
        <f>IF(D7341&lt;&gt;"",IF(COUNTIF('USPTO TMs'!A:A,D7341)&gt;0,"Yes","No"),"")</f>
        <v/>
      </c>
      <c r="C7341" s="11"/>
      <c r="D7341" s="11"/>
      <c r="E7341" s="11"/>
      <c r="F7341" s="11"/>
      <c r="G7341" s="11"/>
      <c r="H7341" s="11"/>
      <c r="I7341" s="15"/>
    </row>
    <row r="7342" spans="1:9" ht="16.5">
      <c r="A7342" s="10" t="b">
        <v>0</v>
      </c>
      <c r="B7342" s="11" t="str">
        <f>IF(D7342&lt;&gt;"",IF(COUNTIF('USPTO TMs'!A:A,D7342)&gt;0,"Yes","No"),"")</f>
        <v/>
      </c>
      <c r="C7342" s="11"/>
      <c r="D7342" s="11"/>
      <c r="E7342" s="11"/>
      <c r="F7342" s="11"/>
      <c r="G7342" s="11"/>
      <c r="H7342" s="11"/>
      <c r="I7342" s="15"/>
    </row>
    <row r="7343" spans="1:9" ht="16.5">
      <c r="A7343" s="10" t="b">
        <v>0</v>
      </c>
      <c r="B7343" s="11" t="str">
        <f>IF(D7343&lt;&gt;"",IF(COUNTIF('USPTO TMs'!A:A,D7343)&gt;0,"Yes","No"),"")</f>
        <v/>
      </c>
      <c r="C7343" s="11"/>
      <c r="D7343" s="11"/>
      <c r="E7343" s="11"/>
      <c r="F7343" s="11"/>
      <c r="G7343" s="11"/>
      <c r="H7343" s="11"/>
      <c r="I7343" s="15"/>
    </row>
    <row r="7344" spans="1:9" ht="16.5">
      <c r="A7344" s="10" t="b">
        <v>0</v>
      </c>
      <c r="B7344" s="11" t="str">
        <f>IF(D7344&lt;&gt;"",IF(COUNTIF('USPTO TMs'!A:A,D7344)&gt;0,"Yes","No"),"")</f>
        <v/>
      </c>
      <c r="C7344" s="11"/>
      <c r="D7344" s="11"/>
      <c r="E7344" s="11"/>
      <c r="F7344" s="11"/>
      <c r="G7344" s="11"/>
      <c r="H7344" s="11"/>
      <c r="I7344" s="15"/>
    </row>
    <row r="7345" spans="1:9" ht="16.5">
      <c r="A7345" s="10" t="b">
        <v>0</v>
      </c>
      <c r="B7345" s="11" t="str">
        <f>IF(D7345&lt;&gt;"",IF(COUNTIF('USPTO TMs'!A:A,D7345)&gt;0,"Yes","No"),"")</f>
        <v/>
      </c>
      <c r="C7345" s="11"/>
      <c r="D7345" s="11"/>
      <c r="E7345" s="11"/>
      <c r="F7345" s="11"/>
      <c r="G7345" s="11"/>
      <c r="H7345" s="11"/>
      <c r="I7345" s="15"/>
    </row>
    <row r="7346" spans="1:9" ht="16.5">
      <c r="A7346" s="10" t="b">
        <v>0</v>
      </c>
      <c r="B7346" s="11" t="str">
        <f>IF(D7346&lt;&gt;"",IF(COUNTIF('USPTO TMs'!A:A,D7346)&gt;0,"Yes","No"),"")</f>
        <v/>
      </c>
      <c r="C7346" s="11"/>
      <c r="D7346" s="11"/>
      <c r="E7346" s="11"/>
      <c r="F7346" s="11"/>
      <c r="G7346" s="11"/>
      <c r="H7346" s="11"/>
      <c r="I7346" s="15"/>
    </row>
    <row r="7347" spans="1:9" ht="16.5">
      <c r="A7347" s="10" t="b">
        <v>0</v>
      </c>
      <c r="B7347" s="11" t="str">
        <f>IF(D7347&lt;&gt;"",IF(COUNTIF('USPTO TMs'!A:A,D7347)&gt;0,"Yes","No"),"")</f>
        <v/>
      </c>
      <c r="C7347" s="11"/>
      <c r="D7347" s="11"/>
      <c r="E7347" s="11"/>
      <c r="F7347" s="11"/>
      <c r="G7347" s="11"/>
      <c r="H7347" s="11"/>
      <c r="I7347" s="15"/>
    </row>
    <row r="7348" spans="1:9" ht="16.5">
      <c r="A7348" s="10" t="b">
        <v>0</v>
      </c>
      <c r="B7348" s="11" t="str">
        <f>IF(D7348&lt;&gt;"",IF(COUNTIF('USPTO TMs'!A:A,D7348)&gt;0,"Yes","No"),"")</f>
        <v/>
      </c>
      <c r="C7348" s="11"/>
      <c r="D7348" s="11"/>
      <c r="E7348" s="11"/>
      <c r="F7348" s="11"/>
      <c r="G7348" s="11"/>
      <c r="H7348" s="11"/>
      <c r="I7348" s="15"/>
    </row>
    <row r="7349" spans="1:9" ht="16.5">
      <c r="A7349" s="10" t="b">
        <v>0</v>
      </c>
      <c r="B7349" s="11" t="str">
        <f>IF(D7349&lt;&gt;"",IF(COUNTIF('USPTO TMs'!A:A,D7349)&gt;0,"Yes","No"),"")</f>
        <v/>
      </c>
      <c r="C7349" s="11"/>
      <c r="D7349" s="11"/>
      <c r="E7349" s="11"/>
      <c r="F7349" s="11"/>
      <c r="G7349" s="11"/>
      <c r="H7349" s="11"/>
      <c r="I7349" s="15"/>
    </row>
    <row r="7350" spans="1:9" ht="16.5">
      <c r="A7350" s="10" t="b">
        <v>0</v>
      </c>
      <c r="B7350" s="11" t="str">
        <f>IF(D7350&lt;&gt;"",IF(COUNTIF('USPTO TMs'!A:A,D7350)&gt;0,"Yes","No"),"")</f>
        <v/>
      </c>
      <c r="C7350" s="11"/>
      <c r="D7350" s="11"/>
      <c r="E7350" s="11"/>
      <c r="F7350" s="11"/>
      <c r="G7350" s="11"/>
      <c r="H7350" s="11"/>
      <c r="I7350" s="15"/>
    </row>
    <row r="7351" spans="1:9" ht="16.5">
      <c r="A7351" s="10" t="b">
        <v>0</v>
      </c>
      <c r="B7351" s="11" t="str">
        <f>IF(D7351&lt;&gt;"",IF(COUNTIF('USPTO TMs'!A:A,D7351)&gt;0,"Yes","No"),"")</f>
        <v/>
      </c>
      <c r="C7351" s="11"/>
      <c r="D7351" s="11"/>
      <c r="E7351" s="11"/>
      <c r="F7351" s="11"/>
      <c r="G7351" s="11"/>
      <c r="H7351" s="11"/>
      <c r="I7351" s="15"/>
    </row>
    <row r="7352" spans="1:9" ht="16.5">
      <c r="A7352" s="10" t="b">
        <v>0</v>
      </c>
      <c r="B7352" s="11" t="str">
        <f>IF(D7352&lt;&gt;"",IF(COUNTIF('USPTO TMs'!A:A,D7352)&gt;0,"Yes","No"),"")</f>
        <v/>
      </c>
      <c r="C7352" s="11"/>
      <c r="D7352" s="11"/>
      <c r="E7352" s="11"/>
      <c r="F7352" s="11"/>
      <c r="G7352" s="11"/>
      <c r="H7352" s="11"/>
      <c r="I7352" s="15"/>
    </row>
    <row r="7353" spans="1:9" ht="16.5">
      <c r="A7353" s="10" t="b">
        <v>0</v>
      </c>
      <c r="B7353" s="11" t="str">
        <f>IF(D7353&lt;&gt;"",IF(COUNTIF('USPTO TMs'!A:A,D7353)&gt;0,"Yes","No"),"")</f>
        <v/>
      </c>
      <c r="C7353" s="11"/>
      <c r="D7353" s="11"/>
      <c r="E7353" s="11"/>
      <c r="F7353" s="11"/>
      <c r="G7353" s="11"/>
      <c r="H7353" s="11"/>
      <c r="I7353" s="15"/>
    </row>
    <row r="7354" spans="1:9" ht="16.5">
      <c r="A7354" s="10" t="b">
        <v>0</v>
      </c>
      <c r="B7354" s="11" t="str">
        <f>IF(D7354&lt;&gt;"",IF(COUNTIF('USPTO TMs'!A:A,D7354)&gt;0,"Yes","No"),"")</f>
        <v/>
      </c>
      <c r="C7354" s="11"/>
      <c r="D7354" s="11"/>
      <c r="E7354" s="11"/>
      <c r="F7354" s="11"/>
      <c r="G7354" s="11"/>
      <c r="H7354" s="11"/>
      <c r="I7354" s="15"/>
    </row>
    <row r="7355" spans="1:9" ht="16.5">
      <c r="A7355" s="10" t="b">
        <v>0</v>
      </c>
      <c r="B7355" s="11" t="str">
        <f>IF(D7355&lt;&gt;"",IF(COUNTIF('USPTO TMs'!A:A,D7355)&gt;0,"Yes","No"),"")</f>
        <v/>
      </c>
      <c r="C7355" s="11"/>
      <c r="D7355" s="11"/>
      <c r="E7355" s="11"/>
      <c r="F7355" s="11"/>
      <c r="G7355" s="11"/>
      <c r="H7355" s="11"/>
      <c r="I7355" s="15"/>
    </row>
    <row r="7356" spans="1:9" ht="16.5">
      <c r="A7356" s="10" t="b">
        <v>0</v>
      </c>
      <c r="B7356" s="11" t="str">
        <f>IF(D7356&lt;&gt;"",IF(COUNTIF('USPTO TMs'!A:A,D7356)&gt;0,"Yes","No"),"")</f>
        <v/>
      </c>
      <c r="C7356" s="11"/>
      <c r="D7356" s="11"/>
      <c r="E7356" s="11"/>
      <c r="F7356" s="11"/>
      <c r="G7356" s="11"/>
      <c r="H7356" s="11"/>
      <c r="I7356" s="15"/>
    </row>
    <row r="7357" spans="1:9" ht="16.5">
      <c r="A7357" s="10" t="b">
        <v>0</v>
      </c>
      <c r="B7357" s="11" t="str">
        <f>IF(D7357&lt;&gt;"",IF(COUNTIF('USPTO TMs'!A:A,D7357)&gt;0,"Yes","No"),"")</f>
        <v/>
      </c>
      <c r="C7357" s="11"/>
      <c r="D7357" s="11"/>
      <c r="E7357" s="11"/>
      <c r="F7357" s="11"/>
      <c r="G7357" s="11"/>
      <c r="H7357" s="11"/>
      <c r="I7357" s="15"/>
    </row>
    <row r="7358" spans="1:9" ht="16.5">
      <c r="A7358" s="10" t="b">
        <v>0</v>
      </c>
      <c r="B7358" s="11" t="str">
        <f>IF(D7358&lt;&gt;"",IF(COUNTIF('USPTO TMs'!A:A,D7358)&gt;0,"Yes","No"),"")</f>
        <v/>
      </c>
      <c r="C7358" s="11"/>
      <c r="D7358" s="11"/>
      <c r="E7358" s="11"/>
      <c r="F7358" s="11"/>
      <c r="G7358" s="11"/>
      <c r="H7358" s="11"/>
      <c r="I7358" s="15"/>
    </row>
    <row r="7359" spans="1:9" ht="16.5">
      <c r="A7359" s="10" t="b">
        <v>0</v>
      </c>
      <c r="B7359" s="11" t="str">
        <f>IF(D7359&lt;&gt;"",IF(COUNTIF('USPTO TMs'!A:A,D7359)&gt;0,"Yes","No"),"")</f>
        <v/>
      </c>
      <c r="C7359" s="11"/>
      <c r="D7359" s="11"/>
      <c r="E7359" s="11"/>
      <c r="F7359" s="11"/>
      <c r="G7359" s="11"/>
      <c r="H7359" s="11"/>
      <c r="I7359" s="15"/>
    </row>
    <row r="7360" spans="1:9" ht="16.5">
      <c r="A7360" s="10" t="b">
        <v>0</v>
      </c>
      <c r="B7360" s="11" t="str">
        <f>IF(D7360&lt;&gt;"",IF(COUNTIF('USPTO TMs'!A:A,D7360)&gt;0,"Yes","No"),"")</f>
        <v/>
      </c>
      <c r="C7360" s="11"/>
      <c r="D7360" s="11"/>
      <c r="E7360" s="11"/>
      <c r="F7360" s="11"/>
      <c r="G7360" s="11"/>
      <c r="H7360" s="11"/>
      <c r="I7360" s="15"/>
    </row>
    <row r="7361" spans="1:9" ht="16.5">
      <c r="A7361" s="10" t="b">
        <v>0</v>
      </c>
      <c r="B7361" s="11" t="str">
        <f>IF(D7361&lt;&gt;"",IF(COUNTIF('USPTO TMs'!A:A,D7361)&gt;0,"Yes","No"),"")</f>
        <v/>
      </c>
      <c r="C7361" s="11"/>
      <c r="D7361" s="11"/>
      <c r="E7361" s="11"/>
      <c r="F7361" s="11"/>
      <c r="G7361" s="11"/>
      <c r="H7361" s="11"/>
      <c r="I7361" s="15"/>
    </row>
    <row r="7362" spans="1:9" ht="16.5">
      <c r="A7362" s="10" t="b">
        <v>0</v>
      </c>
      <c r="B7362" s="11" t="str">
        <f>IF(D7362&lt;&gt;"",IF(COUNTIF('USPTO TMs'!A:A,D7362)&gt;0,"Yes","No"),"")</f>
        <v/>
      </c>
      <c r="C7362" s="11"/>
      <c r="D7362" s="11"/>
      <c r="E7362" s="11"/>
      <c r="F7362" s="11"/>
      <c r="G7362" s="11"/>
      <c r="H7362" s="11"/>
      <c r="I7362" s="15"/>
    </row>
    <row r="7363" spans="1:9" ht="16.5">
      <c r="A7363" s="10" t="b">
        <v>0</v>
      </c>
      <c r="B7363" s="11" t="str">
        <f>IF(D7363&lt;&gt;"",IF(COUNTIF('USPTO TMs'!A:A,D7363)&gt;0,"Yes","No"),"")</f>
        <v/>
      </c>
      <c r="C7363" s="11"/>
      <c r="D7363" s="11"/>
      <c r="E7363" s="11"/>
      <c r="F7363" s="11"/>
      <c r="G7363" s="11"/>
      <c r="H7363" s="11"/>
      <c r="I7363" s="15"/>
    </row>
    <row r="7364" spans="1:9" ht="16.5">
      <c r="A7364" s="10" t="b">
        <v>0</v>
      </c>
      <c r="B7364" s="11" t="str">
        <f>IF(D7364&lt;&gt;"",IF(COUNTIF('USPTO TMs'!A:A,D7364)&gt;0,"Yes","No"),"")</f>
        <v/>
      </c>
      <c r="C7364" s="11"/>
      <c r="D7364" s="11"/>
      <c r="E7364" s="11"/>
      <c r="F7364" s="11"/>
      <c r="G7364" s="11"/>
      <c r="H7364" s="11"/>
      <c r="I7364" s="15"/>
    </row>
    <row r="7365" spans="1:9" ht="16.5">
      <c r="A7365" s="10" t="b">
        <v>0</v>
      </c>
      <c r="B7365" s="11" t="str">
        <f>IF(D7365&lt;&gt;"",IF(COUNTIF('USPTO TMs'!A:A,D7365)&gt;0,"Yes","No"),"")</f>
        <v/>
      </c>
      <c r="C7365" s="11"/>
      <c r="D7365" s="11"/>
      <c r="E7365" s="11"/>
      <c r="F7365" s="11"/>
      <c r="G7365" s="11"/>
      <c r="H7365" s="11"/>
      <c r="I7365" s="15"/>
    </row>
    <row r="7366" spans="1:9" ht="16.5">
      <c r="A7366" s="10" t="b">
        <v>0</v>
      </c>
      <c r="B7366" s="11" t="str">
        <f>IF(D7366&lt;&gt;"",IF(COUNTIF('USPTO TMs'!A:A,D7366)&gt;0,"Yes","No"),"")</f>
        <v/>
      </c>
      <c r="C7366" s="11"/>
      <c r="D7366" s="11"/>
      <c r="E7366" s="11"/>
      <c r="F7366" s="11"/>
      <c r="G7366" s="11"/>
      <c r="H7366" s="11"/>
      <c r="I7366" s="15"/>
    </row>
    <row r="7367" spans="1:9" ht="16.5">
      <c r="A7367" s="10" t="b">
        <v>0</v>
      </c>
      <c r="B7367" s="11" t="str">
        <f>IF(D7367&lt;&gt;"",IF(COUNTIF('USPTO TMs'!A:A,D7367)&gt;0,"Yes","No"),"")</f>
        <v/>
      </c>
      <c r="C7367" s="11"/>
      <c r="D7367" s="11"/>
      <c r="E7367" s="11"/>
      <c r="F7367" s="11"/>
      <c r="G7367" s="11"/>
      <c r="H7367" s="11"/>
      <c r="I7367" s="15"/>
    </row>
    <row r="7368" spans="1:9" ht="16.5">
      <c r="A7368" s="10" t="b">
        <v>0</v>
      </c>
      <c r="B7368" s="11" t="str">
        <f>IF(D7368&lt;&gt;"",IF(COUNTIF('USPTO TMs'!A:A,D7368)&gt;0,"Yes","No"),"")</f>
        <v/>
      </c>
      <c r="C7368" s="11"/>
      <c r="D7368" s="11"/>
      <c r="E7368" s="11"/>
      <c r="F7368" s="11"/>
      <c r="G7368" s="11"/>
      <c r="H7368" s="11"/>
      <c r="I7368" s="15"/>
    </row>
    <row r="7369" spans="1:9" ht="16.5">
      <c r="A7369" s="10" t="b">
        <v>0</v>
      </c>
      <c r="B7369" s="11" t="str">
        <f>IF(D7369&lt;&gt;"",IF(COUNTIF('USPTO TMs'!A:A,D7369)&gt;0,"Yes","No"),"")</f>
        <v/>
      </c>
      <c r="C7369" s="11"/>
      <c r="D7369" s="11"/>
      <c r="E7369" s="11"/>
      <c r="F7369" s="11"/>
      <c r="G7369" s="11"/>
      <c r="H7369" s="11"/>
      <c r="I7369" s="15"/>
    </row>
    <row r="7370" spans="1:9" ht="16.5">
      <c r="A7370" s="10" t="b">
        <v>0</v>
      </c>
      <c r="B7370" s="11" t="str">
        <f>IF(D7370&lt;&gt;"",IF(COUNTIF('USPTO TMs'!A:A,D7370)&gt;0,"Yes","No"),"")</f>
        <v/>
      </c>
      <c r="C7370" s="11"/>
      <c r="D7370" s="11"/>
      <c r="E7370" s="11"/>
      <c r="F7370" s="11"/>
      <c r="G7370" s="11"/>
      <c r="H7370" s="11"/>
      <c r="I7370" s="15"/>
    </row>
    <row r="7371" spans="1:9" ht="16.5">
      <c r="A7371" s="10" t="b">
        <v>0</v>
      </c>
      <c r="B7371" s="11" t="str">
        <f>IF(D7371&lt;&gt;"",IF(COUNTIF('USPTO TMs'!A:A,D7371)&gt;0,"Yes","No"),"")</f>
        <v/>
      </c>
      <c r="C7371" s="11"/>
      <c r="D7371" s="11"/>
      <c r="E7371" s="11"/>
      <c r="F7371" s="11"/>
      <c r="G7371" s="11"/>
      <c r="H7371" s="11"/>
      <c r="I7371" s="15"/>
    </row>
    <row r="7372" spans="1:9" ht="16.5">
      <c r="A7372" s="10" t="b">
        <v>0</v>
      </c>
      <c r="B7372" s="11" t="str">
        <f>IF(D7372&lt;&gt;"",IF(COUNTIF('USPTO TMs'!A:A,D7372)&gt;0,"Yes","No"),"")</f>
        <v/>
      </c>
      <c r="C7372" s="11"/>
      <c r="D7372" s="11"/>
      <c r="E7372" s="11"/>
      <c r="F7372" s="11"/>
      <c r="G7372" s="11"/>
      <c r="H7372" s="11"/>
      <c r="I7372" s="15"/>
    </row>
    <row r="7373" spans="1:9" ht="16.5">
      <c r="A7373" s="10" t="b">
        <v>0</v>
      </c>
      <c r="B7373" s="11" t="str">
        <f>IF(D7373&lt;&gt;"",IF(COUNTIF('USPTO TMs'!A:A,D7373)&gt;0,"Yes","No"),"")</f>
        <v/>
      </c>
      <c r="C7373" s="11"/>
      <c r="D7373" s="11"/>
      <c r="E7373" s="11"/>
      <c r="F7373" s="11"/>
      <c r="G7373" s="11"/>
      <c r="H7373" s="11"/>
      <c r="I7373" s="15"/>
    </row>
    <row r="7374" spans="1:9" ht="16.5">
      <c r="A7374" s="10" t="b">
        <v>0</v>
      </c>
      <c r="B7374" s="11" t="str">
        <f>IF(D7374&lt;&gt;"",IF(COUNTIF('USPTO TMs'!A:A,D7374)&gt;0,"Yes","No"),"")</f>
        <v/>
      </c>
      <c r="C7374" s="11"/>
      <c r="D7374" s="11"/>
      <c r="E7374" s="11"/>
      <c r="F7374" s="11"/>
      <c r="G7374" s="11"/>
      <c r="H7374" s="11"/>
      <c r="I7374" s="15"/>
    </row>
    <row r="7375" spans="1:9" ht="16.5">
      <c r="A7375" s="10" t="b">
        <v>0</v>
      </c>
      <c r="B7375" s="11" t="str">
        <f>IF(D7375&lt;&gt;"",IF(COUNTIF('USPTO TMs'!A:A,D7375)&gt;0,"Yes","No"),"")</f>
        <v/>
      </c>
      <c r="C7375" s="11"/>
      <c r="D7375" s="11"/>
      <c r="E7375" s="11"/>
      <c r="F7375" s="11"/>
      <c r="G7375" s="11"/>
      <c r="H7375" s="11"/>
      <c r="I7375" s="15"/>
    </row>
    <row r="7376" spans="1:9" ht="16.5">
      <c r="A7376" s="10" t="b">
        <v>0</v>
      </c>
      <c r="B7376" s="11" t="str">
        <f>IF(D7376&lt;&gt;"",IF(COUNTIF('USPTO TMs'!A:A,D7376)&gt;0,"Yes","No"),"")</f>
        <v/>
      </c>
      <c r="C7376" s="11"/>
      <c r="D7376" s="11"/>
      <c r="E7376" s="11"/>
      <c r="F7376" s="11"/>
      <c r="G7376" s="11"/>
      <c r="H7376" s="11"/>
      <c r="I7376" s="15"/>
    </row>
    <row r="7377" spans="1:9" ht="16.5">
      <c r="A7377" s="10" t="b">
        <v>0</v>
      </c>
      <c r="B7377" s="11" t="str">
        <f>IF(D7377&lt;&gt;"",IF(COUNTIF('USPTO TMs'!A:A,D7377)&gt;0,"Yes","No"),"")</f>
        <v/>
      </c>
      <c r="C7377" s="11"/>
      <c r="D7377" s="11"/>
      <c r="E7377" s="11"/>
      <c r="F7377" s="11"/>
      <c r="G7377" s="11"/>
      <c r="H7377" s="11"/>
      <c r="I7377" s="15"/>
    </row>
    <row r="7378" spans="1:9" ht="16.5">
      <c r="A7378" s="10" t="b">
        <v>0</v>
      </c>
      <c r="B7378" s="11" t="str">
        <f>IF(D7378&lt;&gt;"",IF(COUNTIF('USPTO TMs'!A:A,D7378)&gt;0,"Yes","No"),"")</f>
        <v/>
      </c>
      <c r="C7378" s="11"/>
      <c r="D7378" s="11"/>
      <c r="E7378" s="11"/>
      <c r="F7378" s="11"/>
      <c r="G7378" s="11"/>
      <c r="H7378" s="11"/>
      <c r="I7378" s="15"/>
    </row>
    <row r="7379" spans="1:9" ht="16.5">
      <c r="A7379" s="10" t="b">
        <v>0</v>
      </c>
      <c r="B7379" s="11" t="str">
        <f>IF(D7379&lt;&gt;"",IF(COUNTIF('USPTO TMs'!A:A,D7379)&gt;0,"Yes","No"),"")</f>
        <v/>
      </c>
      <c r="C7379" s="11"/>
      <c r="D7379" s="11"/>
      <c r="E7379" s="11"/>
      <c r="F7379" s="11"/>
      <c r="G7379" s="11"/>
      <c r="H7379" s="11"/>
      <c r="I7379" s="15"/>
    </row>
    <row r="7380" spans="1:9" ht="16.5">
      <c r="A7380" s="10" t="b">
        <v>0</v>
      </c>
      <c r="B7380" s="11" t="str">
        <f>IF(D7380&lt;&gt;"",IF(COUNTIF('USPTO TMs'!A:A,D7380)&gt;0,"Yes","No"),"")</f>
        <v/>
      </c>
      <c r="C7380" s="11"/>
      <c r="D7380" s="11"/>
      <c r="E7380" s="11"/>
      <c r="F7380" s="11"/>
      <c r="G7380" s="11"/>
      <c r="H7380" s="11"/>
      <c r="I7380" s="15"/>
    </row>
    <row r="7381" spans="1:9" ht="16.5">
      <c r="A7381" s="10" t="b">
        <v>0</v>
      </c>
      <c r="B7381" s="11" t="str">
        <f>IF(D7381&lt;&gt;"",IF(COUNTIF('USPTO TMs'!A:A,D7381)&gt;0,"Yes","No"),"")</f>
        <v/>
      </c>
      <c r="C7381" s="11"/>
      <c r="D7381" s="11"/>
      <c r="E7381" s="11"/>
      <c r="F7381" s="11"/>
      <c r="G7381" s="11"/>
      <c r="H7381" s="11"/>
      <c r="I7381" s="15"/>
    </row>
    <row r="7382" spans="1:9" ht="16.5">
      <c r="A7382" s="10" t="b">
        <v>0</v>
      </c>
      <c r="B7382" s="11" t="str">
        <f>IF(D7382&lt;&gt;"",IF(COUNTIF('USPTO TMs'!A:A,D7382)&gt;0,"Yes","No"),"")</f>
        <v/>
      </c>
      <c r="C7382" s="11"/>
      <c r="D7382" s="11"/>
      <c r="E7382" s="11"/>
      <c r="F7382" s="11"/>
      <c r="G7382" s="11"/>
      <c r="H7382" s="11"/>
      <c r="I7382" s="15"/>
    </row>
    <row r="7383" spans="1:9" ht="16.5">
      <c r="A7383" s="10" t="b">
        <v>0</v>
      </c>
      <c r="B7383" s="11" t="str">
        <f>IF(D7383&lt;&gt;"",IF(COUNTIF('USPTO TMs'!A:A,D7383)&gt;0,"Yes","No"),"")</f>
        <v/>
      </c>
      <c r="C7383" s="11"/>
      <c r="D7383" s="11"/>
      <c r="E7383" s="11"/>
      <c r="F7383" s="11"/>
      <c r="G7383" s="11"/>
      <c r="H7383" s="11"/>
      <c r="I7383" s="15"/>
    </row>
    <row r="7384" spans="1:9" ht="16.5">
      <c r="A7384" s="10" t="b">
        <v>0</v>
      </c>
      <c r="B7384" s="11" t="str">
        <f>IF(D7384&lt;&gt;"",IF(COUNTIF('USPTO TMs'!A:A,D7384)&gt;0,"Yes","No"),"")</f>
        <v/>
      </c>
      <c r="C7384" s="11"/>
      <c r="D7384" s="11"/>
      <c r="E7384" s="11"/>
      <c r="F7384" s="11"/>
      <c r="G7384" s="11"/>
      <c r="H7384" s="11"/>
      <c r="I7384" s="15"/>
    </row>
    <row r="7385" spans="1:9" ht="16.5">
      <c r="A7385" s="10" t="b">
        <v>0</v>
      </c>
      <c r="B7385" s="11" t="str">
        <f>IF(D7385&lt;&gt;"",IF(COUNTIF('USPTO TMs'!A:A,D7385)&gt;0,"Yes","No"),"")</f>
        <v/>
      </c>
      <c r="C7385" s="11"/>
      <c r="D7385" s="11"/>
      <c r="E7385" s="11"/>
      <c r="F7385" s="11"/>
      <c r="G7385" s="11"/>
      <c r="H7385" s="11"/>
      <c r="I7385" s="15"/>
    </row>
    <row r="7386" spans="1:9" ht="16.5">
      <c r="A7386" s="10" t="b">
        <v>0</v>
      </c>
      <c r="B7386" s="11" t="str">
        <f>IF(D7386&lt;&gt;"",IF(COUNTIF('USPTO TMs'!A:A,D7386)&gt;0,"Yes","No"),"")</f>
        <v/>
      </c>
      <c r="C7386" s="11"/>
      <c r="D7386" s="11"/>
      <c r="E7386" s="11"/>
      <c r="F7386" s="11"/>
      <c r="G7386" s="11"/>
      <c r="H7386" s="11"/>
      <c r="I7386" s="15"/>
    </row>
    <row r="7387" spans="1:9" ht="16.5">
      <c r="A7387" s="10" t="b">
        <v>0</v>
      </c>
      <c r="B7387" s="11" t="str">
        <f>IF(D7387&lt;&gt;"",IF(COUNTIF('USPTO TMs'!A:A,D7387)&gt;0,"Yes","No"),"")</f>
        <v/>
      </c>
      <c r="C7387" s="11"/>
      <c r="D7387" s="11"/>
      <c r="E7387" s="11"/>
      <c r="F7387" s="11"/>
      <c r="G7387" s="11"/>
      <c r="H7387" s="11"/>
      <c r="I7387" s="15"/>
    </row>
    <row r="7388" spans="1:9" ht="16.5">
      <c r="A7388" s="10" t="b">
        <v>0</v>
      </c>
      <c r="B7388" s="11" t="str">
        <f>IF(D7388&lt;&gt;"",IF(COUNTIF('USPTO TMs'!A:A,D7388)&gt;0,"Yes","No"),"")</f>
        <v/>
      </c>
      <c r="C7388" s="11"/>
      <c r="D7388" s="11"/>
      <c r="E7388" s="11"/>
      <c r="F7388" s="11"/>
      <c r="G7388" s="11"/>
      <c r="H7388" s="11"/>
      <c r="I7388" s="15"/>
    </row>
    <row r="7389" spans="1:9" ht="16.5">
      <c r="A7389" s="10" t="b">
        <v>0</v>
      </c>
      <c r="B7389" s="11" t="str">
        <f>IF(D7389&lt;&gt;"",IF(COUNTIF('USPTO TMs'!A:A,D7389)&gt;0,"Yes","No"),"")</f>
        <v/>
      </c>
      <c r="C7389" s="11"/>
      <c r="D7389" s="11"/>
      <c r="E7389" s="11"/>
      <c r="F7389" s="11"/>
      <c r="G7389" s="11"/>
      <c r="H7389" s="11"/>
      <c r="I7389" s="15"/>
    </row>
    <row r="7390" spans="1:9" ht="16.5">
      <c r="A7390" s="10" t="b">
        <v>0</v>
      </c>
      <c r="B7390" s="11" t="str">
        <f>IF(D7390&lt;&gt;"",IF(COUNTIF('USPTO TMs'!A:A,D7390)&gt;0,"Yes","No"),"")</f>
        <v/>
      </c>
      <c r="C7390" s="11"/>
      <c r="D7390" s="11"/>
      <c r="E7390" s="11"/>
      <c r="F7390" s="11"/>
      <c r="G7390" s="11"/>
      <c r="H7390" s="11"/>
      <c r="I7390" s="15"/>
    </row>
    <row r="7391" spans="1:9" ht="16.5">
      <c r="A7391" s="10" t="b">
        <v>0</v>
      </c>
      <c r="B7391" s="11" t="str">
        <f>IF(D7391&lt;&gt;"",IF(COUNTIF('USPTO TMs'!A:A,D7391)&gt;0,"Yes","No"),"")</f>
        <v/>
      </c>
      <c r="C7391" s="11"/>
      <c r="D7391" s="11"/>
      <c r="E7391" s="11"/>
      <c r="F7391" s="11"/>
      <c r="G7391" s="11"/>
      <c r="H7391" s="11"/>
      <c r="I7391" s="15"/>
    </row>
    <row r="7392" spans="1:9" ht="16.5">
      <c r="A7392" s="10" t="b">
        <v>0</v>
      </c>
      <c r="B7392" s="11" t="str">
        <f>IF(D7392&lt;&gt;"",IF(COUNTIF('USPTO TMs'!A:A,D7392)&gt;0,"Yes","No"),"")</f>
        <v/>
      </c>
      <c r="C7392" s="11"/>
      <c r="D7392" s="11"/>
      <c r="E7392" s="11"/>
      <c r="F7392" s="11"/>
      <c r="G7392" s="11"/>
      <c r="H7392" s="11"/>
      <c r="I7392" s="15"/>
    </row>
    <row r="7393" spans="1:9" ht="16.5">
      <c r="A7393" s="10" t="b">
        <v>0</v>
      </c>
      <c r="B7393" s="11" t="str">
        <f>IF(D7393&lt;&gt;"",IF(COUNTIF('USPTO TMs'!A:A,D7393)&gt;0,"Yes","No"),"")</f>
        <v/>
      </c>
      <c r="C7393" s="11"/>
      <c r="D7393" s="11"/>
      <c r="E7393" s="11"/>
      <c r="F7393" s="11"/>
      <c r="G7393" s="11"/>
      <c r="H7393" s="11"/>
      <c r="I7393" s="15"/>
    </row>
    <row r="7394" spans="1:9" ht="16.5">
      <c r="A7394" s="10" t="b">
        <v>0</v>
      </c>
      <c r="B7394" s="11" t="str">
        <f>IF(D7394&lt;&gt;"",IF(COUNTIF('USPTO TMs'!A:A,D7394)&gt;0,"Yes","No"),"")</f>
        <v/>
      </c>
      <c r="C7394" s="11"/>
      <c r="D7394" s="11"/>
      <c r="E7394" s="11"/>
      <c r="F7394" s="11"/>
      <c r="G7394" s="11"/>
      <c r="H7394" s="11"/>
      <c r="I7394" s="15"/>
    </row>
    <row r="7395" spans="1:9" ht="16.5">
      <c r="A7395" s="10" t="b">
        <v>0</v>
      </c>
      <c r="B7395" s="11" t="str">
        <f>IF(D7395&lt;&gt;"",IF(COUNTIF('USPTO TMs'!A:A,D7395)&gt;0,"Yes","No"),"")</f>
        <v/>
      </c>
      <c r="C7395" s="11"/>
      <c r="D7395" s="11"/>
      <c r="E7395" s="11"/>
      <c r="F7395" s="11"/>
      <c r="G7395" s="11"/>
      <c r="H7395" s="11"/>
      <c r="I7395" s="15"/>
    </row>
    <row r="7396" spans="1:9" ht="16.5">
      <c r="A7396" s="10" t="b">
        <v>0</v>
      </c>
      <c r="B7396" s="11" t="str">
        <f>IF(D7396&lt;&gt;"",IF(COUNTIF('USPTO TMs'!A:A,D7396)&gt;0,"Yes","No"),"")</f>
        <v/>
      </c>
      <c r="C7396" s="11"/>
      <c r="D7396" s="11"/>
      <c r="E7396" s="11"/>
      <c r="F7396" s="11"/>
      <c r="G7396" s="11"/>
      <c r="H7396" s="11"/>
      <c r="I7396" s="15"/>
    </row>
    <row r="7397" spans="1:9" ht="16.5">
      <c r="A7397" s="10" t="b">
        <v>0</v>
      </c>
      <c r="B7397" s="11" t="str">
        <f>IF(D7397&lt;&gt;"",IF(COUNTIF('USPTO TMs'!A:A,D7397)&gt;0,"Yes","No"),"")</f>
        <v/>
      </c>
      <c r="C7397" s="11"/>
      <c r="D7397" s="11"/>
      <c r="E7397" s="11"/>
      <c r="F7397" s="11"/>
      <c r="G7397" s="11"/>
      <c r="H7397" s="11"/>
      <c r="I7397" s="15"/>
    </row>
    <row r="7398" spans="1:9" ht="16.5">
      <c r="A7398" s="10" t="b">
        <v>0</v>
      </c>
      <c r="B7398" s="11" t="str">
        <f>IF(D7398&lt;&gt;"",IF(COUNTIF('USPTO TMs'!A:A,D7398)&gt;0,"Yes","No"),"")</f>
        <v/>
      </c>
      <c r="C7398" s="11"/>
      <c r="D7398" s="11"/>
      <c r="E7398" s="11"/>
      <c r="F7398" s="11"/>
      <c r="G7398" s="11"/>
      <c r="H7398" s="11"/>
      <c r="I7398" s="15"/>
    </row>
    <row r="7399" spans="1:9" ht="16.5">
      <c r="A7399" s="10" t="b">
        <v>0</v>
      </c>
      <c r="B7399" s="11" t="str">
        <f>IF(D7399&lt;&gt;"",IF(COUNTIF('USPTO TMs'!A:A,D7399)&gt;0,"Yes","No"),"")</f>
        <v/>
      </c>
      <c r="C7399" s="11"/>
      <c r="D7399" s="11"/>
      <c r="E7399" s="11"/>
      <c r="F7399" s="11"/>
      <c r="G7399" s="11"/>
      <c r="H7399" s="11"/>
      <c r="I7399" s="15"/>
    </row>
    <row r="7400" spans="1:9" ht="16.5">
      <c r="A7400" s="10" t="b">
        <v>0</v>
      </c>
      <c r="B7400" s="11" t="str">
        <f>IF(D7400&lt;&gt;"",IF(COUNTIF('USPTO TMs'!A:A,D7400)&gt;0,"Yes","No"),"")</f>
        <v/>
      </c>
      <c r="C7400" s="11"/>
      <c r="D7400" s="11"/>
      <c r="E7400" s="11"/>
      <c r="F7400" s="11"/>
      <c r="G7400" s="11"/>
      <c r="H7400" s="11"/>
      <c r="I7400" s="15"/>
    </row>
    <row r="7401" spans="1:9" ht="16.5">
      <c r="A7401" s="10" t="b">
        <v>0</v>
      </c>
      <c r="B7401" s="11" t="str">
        <f>IF(D7401&lt;&gt;"",IF(COUNTIF('USPTO TMs'!A:A,D7401)&gt;0,"Yes","No"),"")</f>
        <v/>
      </c>
      <c r="C7401" s="11"/>
      <c r="D7401" s="11"/>
      <c r="E7401" s="11"/>
      <c r="F7401" s="11"/>
      <c r="G7401" s="11"/>
      <c r="H7401" s="11"/>
      <c r="I7401" s="15"/>
    </row>
    <row r="7402" spans="1:9" ht="16.5">
      <c r="A7402" s="10" t="b">
        <v>0</v>
      </c>
      <c r="B7402" s="11" t="str">
        <f>IF(D7402&lt;&gt;"",IF(COUNTIF('USPTO TMs'!A:A,D7402)&gt;0,"Yes","No"),"")</f>
        <v/>
      </c>
      <c r="C7402" s="11"/>
      <c r="D7402" s="11"/>
      <c r="E7402" s="11"/>
      <c r="F7402" s="11"/>
      <c r="G7402" s="11"/>
      <c r="H7402" s="11"/>
      <c r="I7402" s="15"/>
    </row>
    <row r="7403" spans="1:9" ht="16.5">
      <c r="A7403" s="10" t="b">
        <v>0</v>
      </c>
      <c r="B7403" s="11" t="str">
        <f>IF(D7403&lt;&gt;"",IF(COUNTIF('USPTO TMs'!A:A,D7403)&gt;0,"Yes","No"),"")</f>
        <v/>
      </c>
      <c r="C7403" s="11"/>
      <c r="D7403" s="11"/>
      <c r="E7403" s="11"/>
      <c r="F7403" s="11"/>
      <c r="G7403" s="11"/>
      <c r="H7403" s="11"/>
      <c r="I7403" s="15"/>
    </row>
    <row r="7404" spans="1:9" ht="16.5">
      <c r="A7404" s="10" t="b">
        <v>0</v>
      </c>
      <c r="B7404" s="11" t="str">
        <f>IF(D7404&lt;&gt;"",IF(COUNTIF('USPTO TMs'!A:A,D7404)&gt;0,"Yes","No"),"")</f>
        <v/>
      </c>
      <c r="C7404" s="11"/>
      <c r="D7404" s="11"/>
      <c r="E7404" s="11"/>
      <c r="F7404" s="11"/>
      <c r="G7404" s="11"/>
      <c r="H7404" s="11"/>
      <c r="I7404" s="15"/>
    </row>
    <row r="7405" spans="1:9" ht="16.5">
      <c r="A7405" s="10" t="b">
        <v>0</v>
      </c>
      <c r="B7405" s="11" t="str">
        <f>IF(D7405&lt;&gt;"",IF(COUNTIF('USPTO TMs'!A:A,D7405)&gt;0,"Yes","No"),"")</f>
        <v/>
      </c>
      <c r="C7405" s="11"/>
      <c r="D7405" s="11"/>
      <c r="E7405" s="11"/>
      <c r="F7405" s="11"/>
      <c r="G7405" s="11"/>
      <c r="H7405" s="11"/>
      <c r="I7405" s="15"/>
    </row>
    <row r="7406" spans="1:9" ht="16.5">
      <c r="A7406" s="10" t="b">
        <v>0</v>
      </c>
      <c r="B7406" s="11" t="str">
        <f>IF(D7406&lt;&gt;"",IF(COUNTIF('USPTO TMs'!A:A,D7406)&gt;0,"Yes","No"),"")</f>
        <v/>
      </c>
      <c r="C7406" s="11"/>
      <c r="D7406" s="11"/>
      <c r="E7406" s="11"/>
      <c r="F7406" s="11"/>
      <c r="G7406" s="11"/>
      <c r="H7406" s="11"/>
      <c r="I7406" s="15"/>
    </row>
    <row r="7407" spans="1:9" ht="16.5">
      <c r="A7407" s="10" t="b">
        <v>0</v>
      </c>
      <c r="B7407" s="11" t="str">
        <f>IF(D7407&lt;&gt;"",IF(COUNTIF('USPTO TMs'!A:A,D7407)&gt;0,"Yes","No"),"")</f>
        <v/>
      </c>
      <c r="C7407" s="11"/>
      <c r="D7407" s="11"/>
      <c r="E7407" s="11"/>
      <c r="F7407" s="11"/>
      <c r="G7407" s="11"/>
      <c r="H7407" s="11"/>
      <c r="I7407" s="15"/>
    </row>
    <row r="7408" spans="1:9" ht="16.5">
      <c r="A7408" s="10" t="b">
        <v>0</v>
      </c>
      <c r="B7408" s="11" t="str">
        <f>IF(D7408&lt;&gt;"",IF(COUNTIF('USPTO TMs'!A:A,D7408)&gt;0,"Yes","No"),"")</f>
        <v/>
      </c>
      <c r="C7408" s="11"/>
      <c r="D7408" s="11"/>
      <c r="E7408" s="11"/>
      <c r="F7408" s="11"/>
      <c r="G7408" s="11"/>
      <c r="H7408" s="11"/>
      <c r="I7408" s="15"/>
    </row>
    <row r="7409" spans="1:9" ht="16.5">
      <c r="A7409" s="10" t="b">
        <v>0</v>
      </c>
      <c r="B7409" s="11" t="str">
        <f>IF(D7409&lt;&gt;"",IF(COUNTIF('USPTO TMs'!A:A,D7409)&gt;0,"Yes","No"),"")</f>
        <v/>
      </c>
      <c r="C7409" s="11"/>
      <c r="D7409" s="11"/>
      <c r="E7409" s="11"/>
      <c r="F7409" s="11"/>
      <c r="G7409" s="11"/>
      <c r="H7409" s="11"/>
      <c r="I7409" s="15"/>
    </row>
    <row r="7410" spans="1:9" ht="16.5">
      <c r="A7410" s="10" t="b">
        <v>0</v>
      </c>
      <c r="B7410" s="11" t="str">
        <f>IF(D7410&lt;&gt;"",IF(COUNTIF('USPTO TMs'!A:A,D7410)&gt;0,"Yes","No"),"")</f>
        <v/>
      </c>
      <c r="C7410" s="11"/>
      <c r="D7410" s="11"/>
      <c r="E7410" s="11"/>
      <c r="F7410" s="11"/>
      <c r="G7410" s="11"/>
      <c r="H7410" s="11"/>
      <c r="I7410" s="15"/>
    </row>
    <row r="7411" spans="1:9" ht="16.5">
      <c r="A7411" s="10" t="b">
        <v>0</v>
      </c>
      <c r="B7411" s="11" t="str">
        <f>IF(D7411&lt;&gt;"",IF(COUNTIF('USPTO TMs'!A:A,D7411)&gt;0,"Yes","No"),"")</f>
        <v/>
      </c>
      <c r="C7411" s="11"/>
      <c r="D7411" s="11"/>
      <c r="E7411" s="11"/>
      <c r="F7411" s="11"/>
      <c r="G7411" s="11"/>
      <c r="H7411" s="11"/>
      <c r="I7411" s="15"/>
    </row>
    <row r="7412" spans="1:9" ht="16.5">
      <c r="A7412" s="10" t="b">
        <v>0</v>
      </c>
      <c r="B7412" s="11" t="str">
        <f>IF(D7412&lt;&gt;"",IF(COUNTIF('USPTO TMs'!A:A,D7412)&gt;0,"Yes","No"),"")</f>
        <v/>
      </c>
      <c r="C7412" s="11"/>
      <c r="D7412" s="11"/>
      <c r="E7412" s="11"/>
      <c r="F7412" s="11"/>
      <c r="G7412" s="11"/>
      <c r="H7412" s="11"/>
      <c r="I7412" s="15"/>
    </row>
    <row r="7413" spans="1:9" ht="16.5">
      <c r="A7413" s="10" t="b">
        <v>0</v>
      </c>
      <c r="B7413" s="11" t="str">
        <f>IF(D7413&lt;&gt;"",IF(COUNTIF('USPTO TMs'!A:A,D7413)&gt;0,"Yes","No"),"")</f>
        <v/>
      </c>
      <c r="C7413" s="11"/>
      <c r="D7413" s="11"/>
      <c r="E7413" s="11"/>
      <c r="F7413" s="11"/>
      <c r="G7413" s="11"/>
      <c r="H7413" s="11"/>
      <c r="I7413" s="15"/>
    </row>
    <row r="7414" spans="1:9" ht="16.5">
      <c r="A7414" s="10" t="b">
        <v>0</v>
      </c>
      <c r="B7414" s="11" t="str">
        <f>IF(D7414&lt;&gt;"",IF(COUNTIF('USPTO TMs'!A:A,D7414)&gt;0,"Yes","No"),"")</f>
        <v/>
      </c>
      <c r="C7414" s="11"/>
      <c r="D7414" s="11"/>
      <c r="E7414" s="11"/>
      <c r="F7414" s="11"/>
      <c r="G7414" s="11"/>
      <c r="H7414" s="11"/>
      <c r="I7414" s="15"/>
    </row>
    <row r="7415" spans="1:9" ht="16.5">
      <c r="A7415" s="10" t="b">
        <v>0</v>
      </c>
      <c r="B7415" s="11" t="str">
        <f>IF(D7415&lt;&gt;"",IF(COUNTIF('USPTO TMs'!A:A,D7415)&gt;0,"Yes","No"),"")</f>
        <v/>
      </c>
      <c r="C7415" s="11"/>
      <c r="D7415" s="11"/>
      <c r="E7415" s="11"/>
      <c r="F7415" s="11"/>
      <c r="G7415" s="11"/>
      <c r="H7415" s="11"/>
      <c r="I7415" s="15"/>
    </row>
    <row r="7416" spans="1:9" ht="16.5">
      <c r="A7416" s="10" t="b">
        <v>0</v>
      </c>
      <c r="B7416" s="11" t="str">
        <f>IF(D7416&lt;&gt;"",IF(COUNTIF('USPTO TMs'!A:A,D7416)&gt;0,"Yes","No"),"")</f>
        <v/>
      </c>
      <c r="C7416" s="11"/>
      <c r="D7416" s="11"/>
      <c r="E7416" s="11"/>
      <c r="F7416" s="11"/>
      <c r="G7416" s="11"/>
      <c r="H7416" s="11"/>
      <c r="I7416" s="15"/>
    </row>
    <row r="7417" spans="1:9" ht="16.5">
      <c r="A7417" s="10" t="b">
        <v>0</v>
      </c>
      <c r="B7417" s="11" t="str">
        <f>IF(D7417&lt;&gt;"",IF(COUNTIF('USPTO TMs'!A:A,D7417)&gt;0,"Yes","No"),"")</f>
        <v/>
      </c>
      <c r="C7417" s="11"/>
      <c r="D7417" s="11"/>
      <c r="E7417" s="11"/>
      <c r="F7417" s="11"/>
      <c r="G7417" s="11"/>
      <c r="H7417" s="11"/>
      <c r="I7417" s="15"/>
    </row>
    <row r="7418" spans="1:9" ht="16.5">
      <c r="A7418" s="10" t="b">
        <v>0</v>
      </c>
      <c r="B7418" s="11" t="str">
        <f>IF(D7418&lt;&gt;"",IF(COUNTIF('USPTO TMs'!A:A,D7418)&gt;0,"Yes","No"),"")</f>
        <v/>
      </c>
      <c r="C7418" s="11"/>
      <c r="D7418" s="11"/>
      <c r="E7418" s="11"/>
      <c r="F7418" s="11"/>
      <c r="G7418" s="11"/>
      <c r="H7418" s="11"/>
      <c r="I7418" s="15"/>
    </row>
    <row r="7419" spans="1:9" ht="16.5">
      <c r="A7419" s="10" t="b">
        <v>0</v>
      </c>
      <c r="B7419" s="11" t="str">
        <f>IF(D7419&lt;&gt;"",IF(COUNTIF('USPTO TMs'!A:A,D7419)&gt;0,"Yes","No"),"")</f>
        <v/>
      </c>
      <c r="C7419" s="11"/>
      <c r="D7419" s="11"/>
      <c r="E7419" s="11"/>
      <c r="F7419" s="11"/>
      <c r="G7419" s="11"/>
      <c r="H7419" s="11"/>
      <c r="I7419" s="15"/>
    </row>
    <row r="7420" spans="1:9" ht="16.5">
      <c r="A7420" s="10" t="b">
        <v>0</v>
      </c>
      <c r="B7420" s="11" t="str">
        <f>IF(D7420&lt;&gt;"",IF(COUNTIF('USPTO TMs'!A:A,D7420)&gt;0,"Yes","No"),"")</f>
        <v/>
      </c>
      <c r="C7420" s="11"/>
      <c r="D7420" s="11"/>
      <c r="E7420" s="11"/>
      <c r="F7420" s="11"/>
      <c r="G7420" s="11"/>
      <c r="H7420" s="11"/>
      <c r="I7420" s="15"/>
    </row>
    <row r="7421" spans="1:9" ht="16.5">
      <c r="A7421" s="10" t="b">
        <v>0</v>
      </c>
      <c r="B7421" s="11" t="str">
        <f>IF(D7421&lt;&gt;"",IF(COUNTIF('USPTO TMs'!A:A,D7421)&gt;0,"Yes","No"),"")</f>
        <v/>
      </c>
      <c r="C7421" s="11"/>
      <c r="D7421" s="11"/>
      <c r="E7421" s="11"/>
      <c r="F7421" s="11"/>
      <c r="G7421" s="11"/>
      <c r="H7421" s="11"/>
      <c r="I7421" s="15"/>
    </row>
    <row r="7422" spans="1:9" ht="16.5">
      <c r="A7422" s="10" t="b">
        <v>0</v>
      </c>
      <c r="B7422" s="11" t="str">
        <f>IF(D7422&lt;&gt;"",IF(COUNTIF('USPTO TMs'!A:A,D7422)&gt;0,"Yes","No"),"")</f>
        <v/>
      </c>
      <c r="C7422" s="11"/>
      <c r="D7422" s="11"/>
      <c r="E7422" s="11"/>
      <c r="F7422" s="11"/>
      <c r="G7422" s="11"/>
      <c r="H7422" s="11"/>
      <c r="I7422" s="15"/>
    </row>
    <row r="7423" spans="1:9" ht="16.5">
      <c r="A7423" s="10" t="b">
        <v>0</v>
      </c>
      <c r="B7423" s="11" t="str">
        <f>IF(D7423&lt;&gt;"",IF(COUNTIF('USPTO TMs'!A:A,D7423)&gt;0,"Yes","No"),"")</f>
        <v/>
      </c>
      <c r="C7423" s="11"/>
      <c r="D7423" s="11"/>
      <c r="E7423" s="11"/>
      <c r="F7423" s="11"/>
      <c r="G7423" s="11"/>
      <c r="H7423" s="11"/>
      <c r="I7423" s="15"/>
    </row>
    <row r="7424" spans="1:9" ht="16.5">
      <c r="A7424" s="10" t="b">
        <v>0</v>
      </c>
      <c r="B7424" s="11" t="str">
        <f>IF(D7424&lt;&gt;"",IF(COUNTIF('USPTO TMs'!A:A,D7424)&gt;0,"Yes","No"),"")</f>
        <v/>
      </c>
      <c r="C7424" s="11"/>
      <c r="D7424" s="11"/>
      <c r="E7424" s="11"/>
      <c r="F7424" s="11"/>
      <c r="G7424" s="11"/>
      <c r="H7424" s="11"/>
      <c r="I7424" s="15"/>
    </row>
    <row r="7425" spans="1:9" ht="16.5">
      <c r="A7425" s="10" t="b">
        <v>0</v>
      </c>
      <c r="B7425" s="11" t="str">
        <f>IF(D7425&lt;&gt;"",IF(COUNTIF('USPTO TMs'!A:A,D7425)&gt;0,"Yes","No"),"")</f>
        <v/>
      </c>
      <c r="C7425" s="11"/>
      <c r="D7425" s="11"/>
      <c r="E7425" s="11"/>
      <c r="F7425" s="11"/>
      <c r="G7425" s="11"/>
      <c r="H7425" s="11"/>
      <c r="I7425" s="15"/>
    </row>
    <row r="7426" spans="1:9" ht="16.5">
      <c r="A7426" s="10" t="b">
        <v>0</v>
      </c>
      <c r="B7426" s="11" t="str">
        <f>IF(D7426&lt;&gt;"",IF(COUNTIF('USPTO TMs'!A:A,D7426)&gt;0,"Yes","No"),"")</f>
        <v/>
      </c>
      <c r="C7426" s="11"/>
      <c r="D7426" s="11"/>
      <c r="E7426" s="11"/>
      <c r="F7426" s="11"/>
      <c r="G7426" s="11"/>
      <c r="H7426" s="11"/>
      <c r="I7426" s="15"/>
    </row>
    <row r="7427" spans="1:9" ht="16.5">
      <c r="A7427" s="10" t="b">
        <v>0</v>
      </c>
      <c r="B7427" s="11" t="str">
        <f>IF(D7427&lt;&gt;"",IF(COUNTIF('USPTO TMs'!A:A,D7427)&gt;0,"Yes","No"),"")</f>
        <v/>
      </c>
      <c r="C7427" s="11"/>
      <c r="D7427" s="11"/>
      <c r="E7427" s="11"/>
      <c r="F7427" s="11"/>
      <c r="G7427" s="11"/>
      <c r="H7427" s="11"/>
      <c r="I7427" s="15"/>
    </row>
    <row r="7428" spans="1:9" ht="16.5">
      <c r="A7428" s="10" t="b">
        <v>0</v>
      </c>
      <c r="B7428" s="11" t="str">
        <f>IF(D7428&lt;&gt;"",IF(COUNTIF('USPTO TMs'!A:A,D7428)&gt;0,"Yes","No"),"")</f>
        <v/>
      </c>
      <c r="C7428" s="11"/>
      <c r="D7428" s="11"/>
      <c r="E7428" s="11"/>
      <c r="F7428" s="11"/>
      <c r="G7428" s="11"/>
      <c r="H7428" s="11"/>
      <c r="I7428" s="15"/>
    </row>
    <row r="7429" spans="1:9" ht="16.5">
      <c r="A7429" s="10" t="b">
        <v>0</v>
      </c>
      <c r="B7429" s="11" t="str">
        <f>IF(D7429&lt;&gt;"",IF(COUNTIF('USPTO TMs'!A:A,D7429)&gt;0,"Yes","No"),"")</f>
        <v/>
      </c>
      <c r="C7429" s="11"/>
      <c r="D7429" s="11"/>
      <c r="E7429" s="11"/>
      <c r="F7429" s="11"/>
      <c r="G7429" s="11"/>
      <c r="H7429" s="11"/>
      <c r="I7429" s="15"/>
    </row>
    <row r="7430" spans="1:9" ht="16.5">
      <c r="A7430" s="10" t="b">
        <v>0</v>
      </c>
      <c r="B7430" s="11" t="str">
        <f>IF(D7430&lt;&gt;"",IF(COUNTIF('USPTO TMs'!A:A,D7430)&gt;0,"Yes","No"),"")</f>
        <v/>
      </c>
      <c r="C7430" s="11"/>
      <c r="D7430" s="11"/>
      <c r="E7430" s="11"/>
      <c r="F7430" s="11"/>
      <c r="G7430" s="11"/>
      <c r="H7430" s="11"/>
      <c r="I7430" s="15"/>
    </row>
    <row r="7431" spans="1:9" ht="16.5">
      <c r="A7431" s="10" t="b">
        <v>0</v>
      </c>
      <c r="B7431" s="11" t="str">
        <f>IF(D7431&lt;&gt;"",IF(COUNTIF('USPTO TMs'!A:A,D7431)&gt;0,"Yes","No"),"")</f>
        <v/>
      </c>
      <c r="C7431" s="11"/>
      <c r="D7431" s="11"/>
      <c r="E7431" s="11"/>
      <c r="F7431" s="11"/>
      <c r="G7431" s="11"/>
      <c r="H7431" s="11"/>
      <c r="I7431" s="15"/>
    </row>
    <row r="7432" spans="1:9" ht="16.5">
      <c r="A7432" s="10" t="b">
        <v>0</v>
      </c>
      <c r="B7432" s="11" t="str">
        <f>IF(D7432&lt;&gt;"",IF(COUNTIF('USPTO TMs'!A:A,D7432)&gt;0,"Yes","No"),"")</f>
        <v/>
      </c>
      <c r="C7432" s="11"/>
      <c r="D7432" s="11"/>
      <c r="E7432" s="11"/>
      <c r="F7432" s="11"/>
      <c r="G7432" s="11"/>
      <c r="H7432" s="11"/>
      <c r="I7432" s="15"/>
    </row>
    <row r="7433" spans="1:9" ht="16.5">
      <c r="A7433" s="10" t="b">
        <v>0</v>
      </c>
      <c r="B7433" s="11" t="str">
        <f>IF(D7433&lt;&gt;"",IF(COUNTIF('USPTO TMs'!A:A,D7433)&gt;0,"Yes","No"),"")</f>
        <v/>
      </c>
      <c r="C7433" s="11"/>
      <c r="D7433" s="11"/>
      <c r="E7433" s="11"/>
      <c r="F7433" s="11"/>
      <c r="G7433" s="11"/>
      <c r="H7433" s="11"/>
      <c r="I7433" s="15"/>
    </row>
    <row r="7434" spans="1:9" ht="16.5">
      <c r="A7434" s="10" t="b">
        <v>0</v>
      </c>
      <c r="B7434" s="11" t="str">
        <f>IF(D7434&lt;&gt;"",IF(COUNTIF('USPTO TMs'!A:A,D7434)&gt;0,"Yes","No"),"")</f>
        <v/>
      </c>
      <c r="C7434" s="11"/>
      <c r="D7434" s="11"/>
      <c r="E7434" s="11"/>
      <c r="F7434" s="11"/>
      <c r="G7434" s="11"/>
      <c r="H7434" s="11"/>
      <c r="I7434" s="15"/>
    </row>
    <row r="7435" spans="1:9" ht="16.5">
      <c r="A7435" s="10" t="b">
        <v>0</v>
      </c>
      <c r="B7435" s="11" t="str">
        <f>IF(D7435&lt;&gt;"",IF(COUNTIF('USPTO TMs'!A:A,D7435)&gt;0,"Yes","No"),"")</f>
        <v/>
      </c>
      <c r="C7435" s="11"/>
      <c r="D7435" s="11"/>
      <c r="E7435" s="11"/>
      <c r="F7435" s="11"/>
      <c r="G7435" s="11"/>
      <c r="H7435" s="11"/>
      <c r="I7435" s="15"/>
    </row>
    <row r="7436" spans="1:9" ht="16.5">
      <c r="A7436" s="10" t="b">
        <v>0</v>
      </c>
      <c r="B7436" s="11" t="str">
        <f>IF(D7436&lt;&gt;"",IF(COUNTIF('USPTO TMs'!A:A,D7436)&gt;0,"Yes","No"),"")</f>
        <v/>
      </c>
      <c r="C7436" s="11"/>
      <c r="D7436" s="11"/>
      <c r="E7436" s="11"/>
      <c r="F7436" s="11"/>
      <c r="G7436" s="11"/>
      <c r="H7436" s="11"/>
      <c r="I7436" s="15"/>
    </row>
    <row r="7437" spans="1:9" ht="16.5">
      <c r="A7437" s="10" t="b">
        <v>0</v>
      </c>
      <c r="B7437" s="11" t="str">
        <f>IF(D7437&lt;&gt;"",IF(COUNTIF('USPTO TMs'!A:A,D7437)&gt;0,"Yes","No"),"")</f>
        <v/>
      </c>
      <c r="C7437" s="11"/>
      <c r="D7437" s="11"/>
      <c r="E7437" s="11"/>
      <c r="F7437" s="11"/>
      <c r="G7437" s="11"/>
      <c r="H7437" s="11"/>
      <c r="I7437" s="15"/>
    </row>
    <row r="7438" spans="1:9" ht="16.5">
      <c r="A7438" s="10" t="b">
        <v>0</v>
      </c>
      <c r="B7438" s="11" t="str">
        <f>IF(D7438&lt;&gt;"",IF(COUNTIF('USPTO TMs'!A:A,D7438)&gt;0,"Yes","No"),"")</f>
        <v/>
      </c>
      <c r="C7438" s="11"/>
      <c r="D7438" s="11"/>
      <c r="E7438" s="11"/>
      <c r="F7438" s="11"/>
      <c r="G7438" s="11"/>
      <c r="H7438" s="11"/>
      <c r="I7438" s="15"/>
    </row>
    <row r="7439" spans="1:9" ht="16.5">
      <c r="A7439" s="10" t="b">
        <v>0</v>
      </c>
      <c r="B7439" s="11" t="str">
        <f>IF(D7439&lt;&gt;"",IF(COUNTIF('USPTO TMs'!A:A,D7439)&gt;0,"Yes","No"),"")</f>
        <v/>
      </c>
      <c r="C7439" s="11"/>
      <c r="D7439" s="11"/>
      <c r="E7439" s="11"/>
      <c r="F7439" s="11"/>
      <c r="G7439" s="11"/>
      <c r="H7439" s="11"/>
      <c r="I7439" s="15"/>
    </row>
    <row r="7440" spans="1:9" ht="16.5">
      <c r="A7440" s="10" t="b">
        <v>0</v>
      </c>
      <c r="B7440" s="11" t="str">
        <f>IF(D7440&lt;&gt;"",IF(COUNTIF('USPTO TMs'!A:A,D7440)&gt;0,"Yes","No"),"")</f>
        <v/>
      </c>
      <c r="C7440" s="11"/>
      <c r="D7440" s="11"/>
      <c r="E7440" s="11"/>
      <c r="F7440" s="11"/>
      <c r="G7440" s="11"/>
      <c r="H7440" s="11"/>
      <c r="I7440" s="15"/>
    </row>
    <row r="7441" spans="1:9" ht="16.5">
      <c r="A7441" s="10" t="b">
        <v>0</v>
      </c>
      <c r="B7441" s="11" t="str">
        <f>IF(D7441&lt;&gt;"",IF(COUNTIF('USPTO TMs'!A:A,D7441)&gt;0,"Yes","No"),"")</f>
        <v/>
      </c>
      <c r="C7441" s="11"/>
      <c r="D7441" s="11"/>
      <c r="E7441" s="11"/>
      <c r="F7441" s="11"/>
      <c r="G7441" s="11"/>
      <c r="H7441" s="11"/>
      <c r="I7441" s="15"/>
    </row>
    <row r="7442" spans="1:9" ht="16.5">
      <c r="A7442" s="10" t="b">
        <v>0</v>
      </c>
      <c r="B7442" s="11" t="str">
        <f>IF(D7442&lt;&gt;"",IF(COUNTIF('USPTO TMs'!A:A,D7442)&gt;0,"Yes","No"),"")</f>
        <v/>
      </c>
      <c r="C7442" s="11"/>
      <c r="D7442" s="11"/>
      <c r="E7442" s="11"/>
      <c r="F7442" s="11"/>
      <c r="G7442" s="11"/>
      <c r="H7442" s="11"/>
      <c r="I7442" s="15"/>
    </row>
    <row r="7443" spans="1:9" ht="16.5">
      <c r="A7443" s="10" t="b">
        <v>0</v>
      </c>
      <c r="B7443" s="11" t="str">
        <f>IF(D7443&lt;&gt;"",IF(COUNTIF('USPTO TMs'!A:A,D7443)&gt;0,"Yes","No"),"")</f>
        <v/>
      </c>
      <c r="C7443" s="11"/>
      <c r="D7443" s="11"/>
      <c r="E7443" s="11"/>
      <c r="F7443" s="11"/>
      <c r="G7443" s="11"/>
      <c r="H7443" s="11"/>
      <c r="I7443" s="15"/>
    </row>
    <row r="7444" spans="1:9" ht="16.5">
      <c r="A7444" s="10" t="b">
        <v>0</v>
      </c>
      <c r="B7444" s="11" t="str">
        <f>IF(D7444&lt;&gt;"",IF(COUNTIF('USPTO TMs'!A:A,D7444)&gt;0,"Yes","No"),"")</f>
        <v/>
      </c>
      <c r="C7444" s="11"/>
      <c r="D7444" s="11"/>
      <c r="E7444" s="11"/>
      <c r="F7444" s="11"/>
      <c r="G7444" s="11"/>
      <c r="H7444" s="11"/>
      <c r="I7444" s="15"/>
    </row>
    <row r="7445" spans="1:9" ht="16.5">
      <c r="A7445" s="10" t="b">
        <v>0</v>
      </c>
      <c r="B7445" s="11" t="str">
        <f>IF(D7445&lt;&gt;"",IF(COUNTIF('USPTO TMs'!A:A,D7445)&gt;0,"Yes","No"),"")</f>
        <v/>
      </c>
      <c r="C7445" s="11"/>
      <c r="D7445" s="11"/>
      <c r="E7445" s="11"/>
      <c r="F7445" s="11"/>
      <c r="G7445" s="11"/>
      <c r="H7445" s="11"/>
      <c r="I7445" s="15"/>
    </row>
    <row r="7446" spans="1:9" ht="16.5">
      <c r="A7446" s="10" t="b">
        <v>0</v>
      </c>
      <c r="B7446" s="11" t="str">
        <f>IF(D7446&lt;&gt;"",IF(COUNTIF('USPTO TMs'!A:A,D7446)&gt;0,"Yes","No"),"")</f>
        <v/>
      </c>
      <c r="C7446" s="11"/>
      <c r="D7446" s="11"/>
      <c r="E7446" s="11"/>
      <c r="F7446" s="11"/>
      <c r="G7446" s="11"/>
      <c r="H7446" s="11"/>
      <c r="I7446" s="15"/>
    </row>
    <row r="7447" spans="1:9" ht="16.5">
      <c r="A7447" s="10" t="b">
        <v>0</v>
      </c>
      <c r="B7447" s="11" t="str">
        <f>IF(D7447&lt;&gt;"",IF(COUNTIF('USPTO TMs'!A:A,D7447)&gt;0,"Yes","No"),"")</f>
        <v/>
      </c>
      <c r="C7447" s="11"/>
      <c r="D7447" s="11"/>
      <c r="E7447" s="11"/>
      <c r="F7447" s="11"/>
      <c r="G7447" s="11"/>
      <c r="H7447" s="11"/>
      <c r="I7447" s="15"/>
    </row>
    <row r="7448" spans="1:9" ht="16.5">
      <c r="A7448" s="10" t="b">
        <v>0</v>
      </c>
      <c r="B7448" s="11" t="str">
        <f>IF(D7448&lt;&gt;"",IF(COUNTIF('USPTO TMs'!A:A,D7448)&gt;0,"Yes","No"),"")</f>
        <v/>
      </c>
      <c r="C7448" s="11"/>
      <c r="D7448" s="11"/>
      <c r="E7448" s="11"/>
      <c r="F7448" s="11"/>
      <c r="G7448" s="11"/>
      <c r="H7448" s="11"/>
      <c r="I7448" s="15"/>
    </row>
    <row r="7449" spans="1:9" ht="16.5">
      <c r="A7449" s="10" t="b">
        <v>0</v>
      </c>
      <c r="B7449" s="11" t="str">
        <f>IF(D7449&lt;&gt;"",IF(COUNTIF('USPTO TMs'!A:A,D7449)&gt;0,"Yes","No"),"")</f>
        <v/>
      </c>
      <c r="C7449" s="11"/>
      <c r="D7449" s="11"/>
      <c r="E7449" s="11"/>
      <c r="F7449" s="11"/>
      <c r="G7449" s="11"/>
      <c r="H7449" s="11"/>
      <c r="I7449" s="15"/>
    </row>
    <row r="7450" spans="1:9" ht="16.5">
      <c r="A7450" s="10" t="b">
        <v>0</v>
      </c>
      <c r="B7450" s="11" t="str">
        <f>IF(D7450&lt;&gt;"",IF(COUNTIF('USPTO TMs'!A:A,D7450)&gt;0,"Yes","No"),"")</f>
        <v/>
      </c>
      <c r="C7450" s="11"/>
      <c r="D7450" s="11"/>
      <c r="E7450" s="11"/>
      <c r="F7450" s="11"/>
      <c r="G7450" s="11"/>
      <c r="H7450" s="11"/>
      <c r="I7450" s="15"/>
    </row>
    <row r="7451" spans="1:9" ht="16.5">
      <c r="A7451" s="10" t="b">
        <v>0</v>
      </c>
      <c r="B7451" s="11" t="str">
        <f>IF(D7451&lt;&gt;"",IF(COUNTIF('USPTO TMs'!A:A,D7451)&gt;0,"Yes","No"),"")</f>
        <v/>
      </c>
      <c r="C7451" s="11"/>
      <c r="D7451" s="11"/>
      <c r="E7451" s="11"/>
      <c r="F7451" s="11"/>
      <c r="G7451" s="11"/>
      <c r="H7451" s="11"/>
      <c r="I7451" s="15"/>
    </row>
    <row r="7452" spans="1:9" ht="16.5">
      <c r="A7452" s="10" t="b">
        <v>0</v>
      </c>
      <c r="B7452" s="11" t="str">
        <f>IF(D7452&lt;&gt;"",IF(COUNTIF('USPTO TMs'!A:A,D7452)&gt;0,"Yes","No"),"")</f>
        <v/>
      </c>
      <c r="C7452" s="11"/>
      <c r="D7452" s="11"/>
      <c r="E7452" s="11"/>
      <c r="F7452" s="11"/>
      <c r="G7452" s="11"/>
      <c r="H7452" s="11"/>
      <c r="I7452" s="15"/>
    </row>
    <row r="7453" spans="1:9" ht="16.5">
      <c r="A7453" s="10" t="b">
        <v>0</v>
      </c>
      <c r="B7453" s="11" t="str">
        <f>IF(D7453&lt;&gt;"",IF(COUNTIF('USPTO TMs'!A:A,D7453)&gt;0,"Yes","No"),"")</f>
        <v/>
      </c>
      <c r="C7453" s="11"/>
      <c r="D7453" s="11"/>
      <c r="E7453" s="11"/>
      <c r="F7453" s="11"/>
      <c r="G7453" s="11"/>
      <c r="H7453" s="11"/>
      <c r="I7453" s="15"/>
    </row>
    <row r="7454" spans="1:9" ht="16.5">
      <c r="A7454" s="10" t="b">
        <v>0</v>
      </c>
      <c r="B7454" s="11" t="str">
        <f>IF(D7454&lt;&gt;"",IF(COUNTIF('USPTO TMs'!A:A,D7454)&gt;0,"Yes","No"),"")</f>
        <v/>
      </c>
      <c r="C7454" s="11"/>
      <c r="D7454" s="11"/>
      <c r="E7454" s="11"/>
      <c r="F7454" s="11"/>
      <c r="G7454" s="11"/>
      <c r="H7454" s="11"/>
      <c r="I7454" s="15"/>
    </row>
    <row r="7455" spans="1:9" ht="16.5">
      <c r="A7455" s="10" t="b">
        <v>0</v>
      </c>
      <c r="B7455" s="11" t="str">
        <f>IF(D7455&lt;&gt;"",IF(COUNTIF('USPTO TMs'!A:A,D7455)&gt;0,"Yes","No"),"")</f>
        <v/>
      </c>
      <c r="C7455" s="11"/>
      <c r="D7455" s="11"/>
      <c r="E7455" s="11"/>
      <c r="F7455" s="11"/>
      <c r="G7455" s="11"/>
      <c r="H7455" s="11"/>
      <c r="I7455" s="15"/>
    </row>
    <row r="7456" spans="1:9" ht="16.5">
      <c r="A7456" s="10" t="b">
        <v>0</v>
      </c>
      <c r="B7456" s="11" t="str">
        <f>IF(D7456&lt;&gt;"",IF(COUNTIF('USPTO TMs'!A:A,D7456)&gt;0,"Yes","No"),"")</f>
        <v/>
      </c>
      <c r="C7456" s="11"/>
      <c r="D7456" s="11"/>
      <c r="E7456" s="11"/>
      <c r="F7456" s="11"/>
      <c r="G7456" s="11"/>
      <c r="H7456" s="11"/>
      <c r="I7456" s="15"/>
    </row>
    <row r="7457" spans="1:9" ht="16.5">
      <c r="A7457" s="10" t="b">
        <v>0</v>
      </c>
      <c r="B7457" s="11" t="str">
        <f>IF(D7457&lt;&gt;"",IF(COUNTIF('USPTO TMs'!A:A,D7457)&gt;0,"Yes","No"),"")</f>
        <v/>
      </c>
      <c r="C7457" s="11"/>
      <c r="D7457" s="11"/>
      <c r="E7457" s="11"/>
      <c r="F7457" s="11"/>
      <c r="G7457" s="11"/>
      <c r="H7457" s="11"/>
      <c r="I7457" s="15"/>
    </row>
    <row r="7458" spans="1:9" ht="16.5">
      <c r="A7458" s="10" t="b">
        <v>0</v>
      </c>
      <c r="B7458" s="11" t="str">
        <f>IF(D7458&lt;&gt;"",IF(COUNTIF('USPTO TMs'!A:A,D7458)&gt;0,"Yes","No"),"")</f>
        <v/>
      </c>
      <c r="C7458" s="11"/>
      <c r="D7458" s="11"/>
      <c r="E7458" s="11"/>
      <c r="F7458" s="11"/>
      <c r="G7458" s="11"/>
      <c r="H7458" s="11"/>
      <c r="I7458" s="15"/>
    </row>
    <row r="7459" spans="1:9" ht="16.5">
      <c r="A7459" s="10" t="b">
        <v>0</v>
      </c>
      <c r="B7459" s="11" t="str">
        <f>IF(D7459&lt;&gt;"",IF(COUNTIF('USPTO TMs'!A:A,D7459)&gt;0,"Yes","No"),"")</f>
        <v/>
      </c>
      <c r="C7459" s="11"/>
      <c r="D7459" s="11"/>
      <c r="E7459" s="11"/>
      <c r="F7459" s="11"/>
      <c r="G7459" s="11"/>
      <c r="H7459" s="11"/>
      <c r="I7459" s="15"/>
    </row>
    <row r="7460" spans="1:9" ht="16.5">
      <c r="A7460" s="10" t="b">
        <v>0</v>
      </c>
      <c r="B7460" s="11" t="str">
        <f>IF(D7460&lt;&gt;"",IF(COUNTIF('USPTO TMs'!A:A,D7460)&gt;0,"Yes","No"),"")</f>
        <v/>
      </c>
      <c r="C7460" s="11"/>
      <c r="D7460" s="11"/>
      <c r="E7460" s="11"/>
      <c r="F7460" s="11"/>
      <c r="G7460" s="11"/>
      <c r="H7460" s="11"/>
      <c r="I7460" s="15"/>
    </row>
    <row r="7461" spans="1:9" ht="16.5">
      <c r="A7461" s="10" t="b">
        <v>0</v>
      </c>
      <c r="B7461" s="11" t="str">
        <f>IF(D7461&lt;&gt;"",IF(COUNTIF('USPTO TMs'!A:A,D7461)&gt;0,"Yes","No"),"")</f>
        <v/>
      </c>
      <c r="C7461" s="11"/>
      <c r="D7461" s="11"/>
      <c r="E7461" s="11"/>
      <c r="F7461" s="11"/>
      <c r="G7461" s="11"/>
      <c r="H7461" s="11"/>
      <c r="I7461" s="15"/>
    </row>
    <row r="7462" spans="1:9" ht="16.5">
      <c r="A7462" s="10" t="b">
        <v>0</v>
      </c>
      <c r="B7462" s="11" t="str">
        <f>IF(D7462&lt;&gt;"",IF(COUNTIF('USPTO TMs'!A:A,D7462)&gt;0,"Yes","No"),"")</f>
        <v/>
      </c>
      <c r="C7462" s="11"/>
      <c r="D7462" s="11"/>
      <c r="E7462" s="11"/>
      <c r="F7462" s="11"/>
      <c r="G7462" s="11"/>
      <c r="H7462" s="11"/>
      <c r="I7462" s="15"/>
    </row>
    <row r="7463" spans="1:9" ht="16.5">
      <c r="A7463" s="10" t="b">
        <v>0</v>
      </c>
      <c r="B7463" s="11" t="str">
        <f>IF(D7463&lt;&gt;"",IF(COUNTIF('USPTO TMs'!A:A,D7463)&gt;0,"Yes","No"),"")</f>
        <v/>
      </c>
      <c r="C7463" s="11"/>
      <c r="D7463" s="11"/>
      <c r="E7463" s="11"/>
      <c r="F7463" s="11"/>
      <c r="G7463" s="11"/>
      <c r="H7463" s="11"/>
      <c r="I7463" s="15"/>
    </row>
    <row r="7464" spans="1:9" ht="16.5">
      <c r="A7464" s="10" t="b">
        <v>0</v>
      </c>
      <c r="B7464" s="11" t="str">
        <f>IF(D7464&lt;&gt;"",IF(COUNTIF('USPTO TMs'!A:A,D7464)&gt;0,"Yes","No"),"")</f>
        <v/>
      </c>
      <c r="C7464" s="11"/>
      <c r="D7464" s="11"/>
      <c r="E7464" s="11"/>
      <c r="F7464" s="11"/>
      <c r="G7464" s="11"/>
      <c r="H7464" s="11"/>
      <c r="I7464" s="15"/>
    </row>
    <row r="7465" spans="1:9" ht="16.5">
      <c r="A7465" s="10" t="b">
        <v>0</v>
      </c>
      <c r="B7465" s="11" t="str">
        <f>IF(D7465&lt;&gt;"",IF(COUNTIF('USPTO TMs'!A:A,D7465)&gt;0,"Yes","No"),"")</f>
        <v/>
      </c>
      <c r="C7465" s="11"/>
      <c r="D7465" s="11"/>
      <c r="E7465" s="11"/>
      <c r="F7465" s="11"/>
      <c r="G7465" s="11"/>
      <c r="H7465" s="11"/>
      <c r="I7465" s="15"/>
    </row>
    <row r="7466" spans="1:9" ht="16.5">
      <c r="A7466" s="10" t="b">
        <v>0</v>
      </c>
      <c r="B7466" s="11" t="str">
        <f>IF(D7466&lt;&gt;"",IF(COUNTIF('USPTO TMs'!A:A,D7466)&gt;0,"Yes","No"),"")</f>
        <v/>
      </c>
      <c r="C7466" s="11"/>
      <c r="D7466" s="11"/>
      <c r="E7466" s="11"/>
      <c r="F7466" s="11"/>
      <c r="G7466" s="11"/>
      <c r="H7466" s="11"/>
      <c r="I7466" s="15"/>
    </row>
    <row r="7467" spans="1:9" ht="16.5">
      <c r="A7467" s="10" t="b">
        <v>0</v>
      </c>
      <c r="B7467" s="11" t="str">
        <f>IF(D7467&lt;&gt;"",IF(COUNTIF('USPTO TMs'!A:A,D7467)&gt;0,"Yes","No"),"")</f>
        <v/>
      </c>
      <c r="C7467" s="11"/>
      <c r="D7467" s="11"/>
      <c r="E7467" s="11"/>
      <c r="F7467" s="11"/>
      <c r="G7467" s="11"/>
      <c r="H7467" s="11"/>
      <c r="I7467" s="15"/>
    </row>
    <row r="7468" spans="1:9" ht="16.5">
      <c r="A7468" s="10" t="b">
        <v>0</v>
      </c>
      <c r="B7468" s="11" t="str">
        <f>IF(D7468&lt;&gt;"",IF(COUNTIF('USPTO TMs'!A:A,D7468)&gt;0,"Yes","No"),"")</f>
        <v/>
      </c>
      <c r="C7468" s="11"/>
      <c r="D7468" s="11"/>
      <c r="E7468" s="11"/>
      <c r="F7468" s="11"/>
      <c r="G7468" s="11"/>
      <c r="H7468" s="11"/>
      <c r="I7468" s="15"/>
    </row>
    <row r="7469" spans="1:9" ht="16.5">
      <c r="A7469" s="10" t="b">
        <v>0</v>
      </c>
      <c r="B7469" s="11" t="str">
        <f>IF(D7469&lt;&gt;"",IF(COUNTIF('USPTO TMs'!A:A,D7469)&gt;0,"Yes","No"),"")</f>
        <v/>
      </c>
      <c r="C7469" s="11"/>
      <c r="D7469" s="11"/>
      <c r="E7469" s="11"/>
      <c r="F7469" s="11"/>
      <c r="G7469" s="11"/>
      <c r="H7469" s="11"/>
      <c r="I7469" s="15"/>
    </row>
    <row r="7470" spans="1:9" ht="16.5">
      <c r="A7470" s="10" t="b">
        <v>0</v>
      </c>
      <c r="B7470" s="11" t="str">
        <f>IF(D7470&lt;&gt;"",IF(COUNTIF('USPTO TMs'!A:A,D7470)&gt;0,"Yes","No"),"")</f>
        <v/>
      </c>
      <c r="C7470" s="11"/>
      <c r="D7470" s="11"/>
      <c r="E7470" s="11"/>
      <c r="F7470" s="11"/>
      <c r="G7470" s="11"/>
      <c r="H7470" s="11"/>
      <c r="I7470" s="15"/>
    </row>
    <row r="7471" spans="1:9" ht="16.5">
      <c r="A7471" s="10" t="b">
        <v>0</v>
      </c>
      <c r="B7471" s="11" t="str">
        <f>IF(D7471&lt;&gt;"",IF(COUNTIF('USPTO TMs'!A:A,D7471)&gt;0,"Yes","No"),"")</f>
        <v/>
      </c>
      <c r="C7471" s="11"/>
      <c r="D7471" s="11"/>
      <c r="E7471" s="11"/>
      <c r="F7471" s="11"/>
      <c r="G7471" s="11"/>
      <c r="H7471" s="11"/>
      <c r="I7471" s="15"/>
    </row>
    <row r="7472" spans="1:9" ht="16.5">
      <c r="A7472" s="10" t="b">
        <v>0</v>
      </c>
      <c r="B7472" s="11" t="str">
        <f>IF(D7472&lt;&gt;"",IF(COUNTIF('USPTO TMs'!A:A,D7472)&gt;0,"Yes","No"),"")</f>
        <v/>
      </c>
      <c r="C7472" s="11"/>
      <c r="D7472" s="11"/>
      <c r="E7472" s="11"/>
      <c r="F7472" s="11"/>
      <c r="G7472" s="11"/>
      <c r="H7472" s="11"/>
      <c r="I7472" s="15"/>
    </row>
    <row r="7473" spans="1:9" ht="16.5">
      <c r="A7473" s="10" t="b">
        <v>0</v>
      </c>
      <c r="B7473" s="11" t="str">
        <f>IF(D7473&lt;&gt;"",IF(COUNTIF('USPTO TMs'!A:A,D7473)&gt;0,"Yes","No"),"")</f>
        <v/>
      </c>
      <c r="C7473" s="11"/>
      <c r="D7473" s="11"/>
      <c r="E7473" s="11"/>
      <c r="F7473" s="11"/>
      <c r="G7473" s="11"/>
      <c r="H7473" s="11"/>
      <c r="I7473" s="15"/>
    </row>
    <row r="7474" spans="1:9" ht="16.5">
      <c r="A7474" s="10" t="b">
        <v>0</v>
      </c>
      <c r="B7474" s="11" t="str">
        <f>IF(D7474&lt;&gt;"",IF(COUNTIF('USPTO TMs'!A:A,D7474)&gt;0,"Yes","No"),"")</f>
        <v/>
      </c>
      <c r="C7474" s="11"/>
      <c r="D7474" s="11"/>
      <c r="E7474" s="11"/>
      <c r="F7474" s="11"/>
      <c r="G7474" s="11"/>
      <c r="H7474" s="11"/>
      <c r="I7474" s="15"/>
    </row>
    <row r="7475" spans="1:9" ht="16.5">
      <c r="A7475" s="10" t="b">
        <v>0</v>
      </c>
      <c r="B7475" s="11" t="str">
        <f>IF(D7475&lt;&gt;"",IF(COUNTIF('USPTO TMs'!A:A,D7475)&gt;0,"Yes","No"),"")</f>
        <v/>
      </c>
      <c r="C7475" s="11"/>
      <c r="D7475" s="11"/>
      <c r="E7475" s="11"/>
      <c r="F7475" s="11"/>
      <c r="G7475" s="11"/>
      <c r="H7475" s="11"/>
      <c r="I7475" s="15"/>
    </row>
    <row r="7476" spans="1:9" ht="16.5">
      <c r="A7476" s="10" t="b">
        <v>0</v>
      </c>
      <c r="B7476" s="11" t="str">
        <f>IF(D7476&lt;&gt;"",IF(COUNTIF('USPTO TMs'!A:A,D7476)&gt;0,"Yes","No"),"")</f>
        <v/>
      </c>
      <c r="C7476" s="11"/>
      <c r="D7476" s="11"/>
      <c r="E7476" s="11"/>
      <c r="F7476" s="11"/>
      <c r="G7476" s="11"/>
      <c r="H7476" s="11"/>
      <c r="I7476" s="15"/>
    </row>
    <row r="7477" spans="1:9" ht="16.5">
      <c r="A7477" s="10" t="b">
        <v>0</v>
      </c>
      <c r="B7477" s="11" t="str">
        <f>IF(D7477&lt;&gt;"",IF(COUNTIF('USPTO TMs'!A:A,D7477)&gt;0,"Yes","No"),"")</f>
        <v/>
      </c>
      <c r="C7477" s="11"/>
      <c r="D7477" s="11"/>
      <c r="E7477" s="11"/>
      <c r="F7477" s="11"/>
      <c r="G7477" s="11"/>
      <c r="H7477" s="11"/>
      <c r="I7477" s="15"/>
    </row>
    <row r="7478" spans="1:9" ht="16.5">
      <c r="A7478" s="10" t="b">
        <v>0</v>
      </c>
      <c r="B7478" s="11" t="str">
        <f>IF(D7478&lt;&gt;"",IF(COUNTIF('USPTO TMs'!A:A,D7478)&gt;0,"Yes","No"),"")</f>
        <v/>
      </c>
      <c r="C7478" s="11"/>
      <c r="D7478" s="11"/>
      <c r="E7478" s="11"/>
      <c r="F7478" s="11"/>
      <c r="G7478" s="11"/>
      <c r="H7478" s="11"/>
      <c r="I7478" s="15"/>
    </row>
    <row r="7479" spans="1:9" ht="16.5">
      <c r="A7479" s="10" t="b">
        <v>0</v>
      </c>
      <c r="B7479" s="11" t="str">
        <f>IF(D7479&lt;&gt;"",IF(COUNTIF('USPTO TMs'!A:A,D7479)&gt;0,"Yes","No"),"")</f>
        <v/>
      </c>
      <c r="C7479" s="11"/>
      <c r="D7479" s="11"/>
      <c r="E7479" s="11"/>
      <c r="F7479" s="11"/>
      <c r="G7479" s="11"/>
      <c r="H7479" s="11"/>
      <c r="I7479" s="15"/>
    </row>
    <row r="7480" spans="1:9" ht="16.5">
      <c r="A7480" s="10" t="b">
        <v>0</v>
      </c>
      <c r="B7480" s="11" t="str">
        <f>IF(D7480&lt;&gt;"",IF(COUNTIF('USPTO TMs'!A:A,D7480)&gt;0,"Yes","No"),"")</f>
        <v/>
      </c>
      <c r="C7480" s="11"/>
      <c r="D7480" s="11"/>
      <c r="E7480" s="11"/>
      <c r="F7480" s="11"/>
      <c r="G7480" s="11"/>
      <c r="H7480" s="11"/>
      <c r="I7480" s="15"/>
    </row>
    <row r="7481" spans="1:9" ht="16.5">
      <c r="A7481" s="10" t="b">
        <v>0</v>
      </c>
      <c r="B7481" s="11" t="str">
        <f>IF(D7481&lt;&gt;"",IF(COUNTIF('USPTO TMs'!A:A,D7481)&gt;0,"Yes","No"),"")</f>
        <v/>
      </c>
      <c r="C7481" s="11"/>
      <c r="D7481" s="11"/>
      <c r="E7481" s="11"/>
      <c r="F7481" s="11"/>
      <c r="G7481" s="11"/>
      <c r="H7481" s="11"/>
      <c r="I7481" s="15"/>
    </row>
    <row r="7482" spans="1:9" ht="16.5">
      <c r="A7482" s="10" t="b">
        <v>0</v>
      </c>
      <c r="B7482" s="11" t="str">
        <f>IF(D7482&lt;&gt;"",IF(COUNTIF('USPTO TMs'!A:A,D7482)&gt;0,"Yes","No"),"")</f>
        <v/>
      </c>
      <c r="C7482" s="11"/>
      <c r="D7482" s="11"/>
      <c r="E7482" s="11"/>
      <c r="F7482" s="11"/>
      <c r="G7482" s="11"/>
      <c r="H7482" s="11"/>
      <c r="I7482" s="15"/>
    </row>
    <row r="7483" spans="1:9" ht="16.5">
      <c r="A7483" s="10" t="b">
        <v>0</v>
      </c>
      <c r="B7483" s="11" t="str">
        <f>IF(D7483&lt;&gt;"",IF(COUNTIF('USPTO TMs'!A:A,D7483)&gt;0,"Yes","No"),"")</f>
        <v/>
      </c>
      <c r="C7483" s="11"/>
      <c r="D7483" s="11"/>
      <c r="E7483" s="11"/>
      <c r="F7483" s="11"/>
      <c r="G7483" s="11"/>
      <c r="H7483" s="11"/>
      <c r="I7483" s="15"/>
    </row>
    <row r="7484" spans="1:9" ht="16.5">
      <c r="A7484" s="10" t="b">
        <v>0</v>
      </c>
      <c r="B7484" s="11" t="str">
        <f>IF(D7484&lt;&gt;"",IF(COUNTIF('USPTO TMs'!A:A,D7484)&gt;0,"Yes","No"),"")</f>
        <v/>
      </c>
      <c r="C7484" s="11"/>
      <c r="D7484" s="11"/>
      <c r="E7484" s="11"/>
      <c r="F7484" s="11"/>
      <c r="G7484" s="11"/>
      <c r="H7484" s="11"/>
      <c r="I7484" s="15"/>
    </row>
    <row r="7485" spans="1:9" ht="16.5">
      <c r="A7485" s="10" t="b">
        <v>0</v>
      </c>
      <c r="B7485" s="11" t="str">
        <f>IF(D7485&lt;&gt;"",IF(COUNTIF('USPTO TMs'!A:A,D7485)&gt;0,"Yes","No"),"")</f>
        <v/>
      </c>
      <c r="C7485" s="11"/>
      <c r="D7485" s="11"/>
      <c r="E7485" s="11"/>
      <c r="F7485" s="11"/>
      <c r="G7485" s="11"/>
      <c r="H7485" s="11"/>
      <c r="I7485" s="15"/>
    </row>
    <row r="7486" spans="1:9" ht="16.5">
      <c r="A7486" s="10" t="b">
        <v>0</v>
      </c>
      <c r="B7486" s="11" t="str">
        <f>IF(D7486&lt;&gt;"",IF(COUNTIF('USPTO TMs'!A:A,D7486)&gt;0,"Yes","No"),"")</f>
        <v/>
      </c>
      <c r="C7486" s="11"/>
      <c r="D7486" s="11"/>
      <c r="E7486" s="11"/>
      <c r="F7486" s="11"/>
      <c r="G7486" s="11"/>
      <c r="H7486" s="11"/>
      <c r="I7486" s="15"/>
    </row>
    <row r="7487" spans="1:9" ht="16.5">
      <c r="A7487" s="10" t="b">
        <v>0</v>
      </c>
      <c r="B7487" s="11" t="str">
        <f>IF(D7487&lt;&gt;"",IF(COUNTIF('USPTO TMs'!A:A,D7487)&gt;0,"Yes","No"),"")</f>
        <v/>
      </c>
      <c r="C7487" s="11"/>
      <c r="D7487" s="11"/>
      <c r="E7487" s="11"/>
      <c r="F7487" s="11"/>
      <c r="G7487" s="11"/>
      <c r="H7487" s="11"/>
      <c r="I7487" s="15"/>
    </row>
    <row r="7488" spans="1:9" ht="16.5">
      <c r="A7488" s="10" t="b">
        <v>0</v>
      </c>
      <c r="B7488" s="11" t="str">
        <f>IF(D7488&lt;&gt;"",IF(COUNTIF('USPTO TMs'!A:A,D7488)&gt;0,"Yes","No"),"")</f>
        <v/>
      </c>
      <c r="C7488" s="11"/>
      <c r="D7488" s="11"/>
      <c r="E7488" s="11"/>
      <c r="F7488" s="11"/>
      <c r="G7488" s="11"/>
      <c r="H7488" s="11"/>
      <c r="I7488" s="15"/>
    </row>
    <row r="7489" spans="1:9" ht="16.5">
      <c r="A7489" s="10" t="b">
        <v>0</v>
      </c>
      <c r="B7489" s="11" t="str">
        <f>IF(D7489&lt;&gt;"",IF(COUNTIF('USPTO TMs'!A:A,D7489)&gt;0,"Yes","No"),"")</f>
        <v/>
      </c>
      <c r="C7489" s="11"/>
      <c r="D7489" s="11"/>
      <c r="E7489" s="11"/>
      <c r="F7489" s="11"/>
      <c r="G7489" s="11"/>
      <c r="H7489" s="11"/>
      <c r="I7489" s="15"/>
    </row>
    <row r="7490" spans="1:9" ht="16.5">
      <c r="A7490" s="10" t="b">
        <v>0</v>
      </c>
      <c r="B7490" s="11" t="str">
        <f>IF(D7490&lt;&gt;"",IF(COUNTIF('USPTO TMs'!A:A,D7490)&gt;0,"Yes","No"),"")</f>
        <v/>
      </c>
      <c r="C7490" s="11"/>
      <c r="D7490" s="11"/>
      <c r="E7490" s="11"/>
      <c r="F7490" s="11"/>
      <c r="G7490" s="11"/>
      <c r="H7490" s="11"/>
      <c r="I7490" s="15"/>
    </row>
    <row r="7491" spans="1:9" ht="16.5">
      <c r="A7491" s="10" t="b">
        <v>0</v>
      </c>
      <c r="B7491" s="11" t="str">
        <f>IF(D7491&lt;&gt;"",IF(COUNTIF('USPTO TMs'!A:A,D7491)&gt;0,"Yes","No"),"")</f>
        <v/>
      </c>
      <c r="C7491" s="11"/>
      <c r="D7491" s="11"/>
      <c r="E7491" s="11"/>
      <c r="F7491" s="11"/>
      <c r="G7491" s="11"/>
      <c r="H7491" s="11"/>
      <c r="I7491" s="15"/>
    </row>
    <row r="7492" spans="1:9" ht="16.5">
      <c r="A7492" s="10" t="b">
        <v>0</v>
      </c>
      <c r="B7492" s="11" t="str">
        <f>IF(D7492&lt;&gt;"",IF(COUNTIF('USPTO TMs'!A:A,D7492)&gt;0,"Yes","No"),"")</f>
        <v/>
      </c>
      <c r="C7492" s="11"/>
      <c r="D7492" s="11"/>
      <c r="E7492" s="11"/>
      <c r="F7492" s="11"/>
      <c r="G7492" s="11"/>
      <c r="H7492" s="11"/>
      <c r="I7492" s="15"/>
    </row>
    <row r="7493" spans="1:9" ht="16.5">
      <c r="A7493" s="10" t="b">
        <v>0</v>
      </c>
      <c r="B7493" s="11" t="str">
        <f>IF(D7493&lt;&gt;"",IF(COUNTIF('USPTO TMs'!A:A,D7493)&gt;0,"Yes","No"),"")</f>
        <v/>
      </c>
      <c r="C7493" s="11"/>
      <c r="D7493" s="11"/>
      <c r="E7493" s="11"/>
      <c r="F7493" s="11"/>
      <c r="G7493" s="11"/>
      <c r="H7493" s="11"/>
      <c r="I7493" s="15"/>
    </row>
    <row r="7494" spans="1:9" ht="16.5">
      <c r="A7494" s="10" t="b">
        <v>0</v>
      </c>
      <c r="B7494" s="11" t="str">
        <f>IF(D7494&lt;&gt;"",IF(COUNTIF('USPTO TMs'!A:A,D7494)&gt;0,"Yes","No"),"")</f>
        <v/>
      </c>
      <c r="C7494" s="11"/>
      <c r="D7494" s="11"/>
      <c r="E7494" s="11"/>
      <c r="F7494" s="11"/>
      <c r="G7494" s="11"/>
      <c r="H7494" s="11"/>
      <c r="I7494" s="15"/>
    </row>
    <row r="7495" spans="1:9" ht="16.5">
      <c r="A7495" s="10" t="b">
        <v>0</v>
      </c>
      <c r="B7495" s="11" t="str">
        <f>IF(D7495&lt;&gt;"",IF(COUNTIF('USPTO TMs'!A:A,D7495)&gt;0,"Yes","No"),"")</f>
        <v/>
      </c>
      <c r="C7495" s="11"/>
      <c r="D7495" s="11"/>
      <c r="E7495" s="11"/>
      <c r="F7495" s="11"/>
      <c r="G7495" s="11"/>
      <c r="H7495" s="11"/>
      <c r="I7495" s="15"/>
    </row>
    <row r="7496" spans="1:9" ht="16.5">
      <c r="A7496" s="10" t="b">
        <v>0</v>
      </c>
      <c r="B7496" s="11" t="str">
        <f>IF(D7496&lt;&gt;"",IF(COUNTIF('USPTO TMs'!A:A,D7496)&gt;0,"Yes","No"),"")</f>
        <v/>
      </c>
      <c r="C7496" s="11"/>
      <c r="D7496" s="11"/>
      <c r="E7496" s="11"/>
      <c r="F7496" s="11"/>
      <c r="G7496" s="11"/>
      <c r="H7496" s="11"/>
      <c r="I7496" s="15"/>
    </row>
    <row r="7497" spans="1:9" ht="16.5">
      <c r="A7497" s="10" t="b">
        <v>0</v>
      </c>
      <c r="B7497" s="11" t="str">
        <f>IF(D7497&lt;&gt;"",IF(COUNTIF('USPTO TMs'!A:A,D7497)&gt;0,"Yes","No"),"")</f>
        <v/>
      </c>
      <c r="C7497" s="11"/>
      <c r="D7497" s="11"/>
      <c r="E7497" s="11"/>
      <c r="F7497" s="11"/>
      <c r="G7497" s="11"/>
      <c r="H7497" s="11"/>
      <c r="I7497" s="15"/>
    </row>
    <row r="7498" spans="1:9" ht="16.5">
      <c r="A7498" s="10" t="b">
        <v>0</v>
      </c>
      <c r="B7498" s="11" t="str">
        <f>IF(D7498&lt;&gt;"",IF(COUNTIF('USPTO TMs'!A:A,D7498)&gt;0,"Yes","No"),"")</f>
        <v/>
      </c>
      <c r="C7498" s="11"/>
      <c r="D7498" s="11"/>
      <c r="E7498" s="11"/>
      <c r="F7498" s="11"/>
      <c r="G7498" s="11"/>
      <c r="H7498" s="11"/>
      <c r="I7498" s="15"/>
    </row>
    <row r="7499" spans="1:9" ht="16.5">
      <c r="A7499" s="10" t="b">
        <v>0</v>
      </c>
      <c r="B7499" s="11" t="str">
        <f>IF(D7499&lt;&gt;"",IF(COUNTIF('USPTO TMs'!A:A,D7499)&gt;0,"Yes","No"),"")</f>
        <v/>
      </c>
      <c r="C7499" s="11"/>
      <c r="D7499" s="11"/>
      <c r="E7499" s="11"/>
      <c r="F7499" s="11"/>
      <c r="G7499" s="11"/>
      <c r="H7499" s="11"/>
      <c r="I7499" s="15"/>
    </row>
    <row r="7500" spans="1:9" ht="16.5">
      <c r="A7500" s="10" t="b">
        <v>0</v>
      </c>
      <c r="B7500" s="11" t="str">
        <f>IF(D7500&lt;&gt;"",IF(COUNTIF('USPTO TMs'!A:A,D7500)&gt;0,"Yes","No"),"")</f>
        <v/>
      </c>
      <c r="C7500" s="11"/>
      <c r="D7500" s="11"/>
      <c r="E7500" s="11"/>
      <c r="F7500" s="11"/>
      <c r="G7500" s="11"/>
      <c r="H7500" s="11"/>
      <c r="I7500" s="15"/>
    </row>
    <row r="7501" spans="1:9" ht="16.5">
      <c r="A7501" s="10" t="b">
        <v>0</v>
      </c>
      <c r="B7501" s="11" t="str">
        <f>IF(D7501&lt;&gt;"",IF(COUNTIF('USPTO TMs'!A:A,D7501)&gt;0,"Yes","No"),"")</f>
        <v/>
      </c>
      <c r="C7501" s="11"/>
      <c r="D7501" s="11"/>
      <c r="E7501" s="11"/>
      <c r="F7501" s="11"/>
      <c r="G7501" s="11"/>
      <c r="H7501" s="11"/>
      <c r="I7501" s="15"/>
    </row>
    <row r="7502" spans="1:9" ht="16.5">
      <c r="A7502" s="10" t="b">
        <v>0</v>
      </c>
      <c r="B7502" s="11" t="str">
        <f>IF(D7502&lt;&gt;"",IF(COUNTIF('USPTO TMs'!A:A,D7502)&gt;0,"Yes","No"),"")</f>
        <v/>
      </c>
      <c r="C7502" s="11"/>
      <c r="D7502" s="11"/>
      <c r="E7502" s="11"/>
      <c r="F7502" s="11"/>
      <c r="G7502" s="11"/>
      <c r="H7502" s="11"/>
      <c r="I7502" s="15"/>
    </row>
    <row r="7503" spans="1:9" ht="16.5">
      <c r="A7503" s="10" t="b">
        <v>0</v>
      </c>
      <c r="B7503" s="11" t="str">
        <f>IF(D7503&lt;&gt;"",IF(COUNTIF('USPTO TMs'!A:A,D7503)&gt;0,"Yes","No"),"")</f>
        <v/>
      </c>
      <c r="C7503" s="11"/>
      <c r="D7503" s="11"/>
      <c r="E7503" s="11"/>
      <c r="F7503" s="11"/>
      <c r="G7503" s="11"/>
      <c r="H7503" s="11"/>
      <c r="I7503" s="15"/>
    </row>
    <row r="7504" spans="1:9" ht="16.5">
      <c r="A7504" s="10" t="b">
        <v>0</v>
      </c>
      <c r="B7504" s="11" t="str">
        <f>IF(D7504&lt;&gt;"",IF(COUNTIF('USPTO TMs'!A:A,D7504)&gt;0,"Yes","No"),"")</f>
        <v/>
      </c>
      <c r="C7504" s="11"/>
      <c r="D7504" s="11"/>
      <c r="E7504" s="11"/>
      <c r="F7504" s="11"/>
      <c r="G7504" s="11"/>
      <c r="H7504" s="11"/>
      <c r="I7504" s="15"/>
    </row>
    <row r="7505" spans="1:9" ht="16.5">
      <c r="A7505" s="10" t="b">
        <v>0</v>
      </c>
      <c r="B7505" s="11" t="str">
        <f>IF(D7505&lt;&gt;"",IF(COUNTIF('USPTO TMs'!A:A,D7505)&gt;0,"Yes","No"),"")</f>
        <v/>
      </c>
      <c r="C7505" s="11"/>
      <c r="D7505" s="11"/>
      <c r="E7505" s="11"/>
      <c r="F7505" s="11"/>
      <c r="G7505" s="11"/>
      <c r="H7505" s="11"/>
      <c r="I7505" s="15"/>
    </row>
    <row r="7506" spans="1:9" ht="16.5">
      <c r="A7506" s="10" t="b">
        <v>0</v>
      </c>
      <c r="B7506" s="11" t="str">
        <f>IF(D7506&lt;&gt;"",IF(COUNTIF('USPTO TMs'!A:A,D7506)&gt;0,"Yes","No"),"")</f>
        <v/>
      </c>
      <c r="C7506" s="11"/>
      <c r="D7506" s="11"/>
      <c r="E7506" s="11"/>
      <c r="F7506" s="11"/>
      <c r="G7506" s="11"/>
      <c r="H7506" s="11"/>
      <c r="I7506" s="15"/>
    </row>
    <row r="7507" spans="1:9" ht="16.5">
      <c r="A7507" s="10" t="b">
        <v>0</v>
      </c>
      <c r="B7507" s="11" t="str">
        <f>IF(D7507&lt;&gt;"",IF(COUNTIF('USPTO TMs'!A:A,D7507)&gt;0,"Yes","No"),"")</f>
        <v/>
      </c>
      <c r="C7507" s="11"/>
      <c r="D7507" s="11"/>
      <c r="E7507" s="11"/>
      <c r="F7507" s="11"/>
      <c r="G7507" s="11"/>
      <c r="H7507" s="11"/>
      <c r="I7507" s="15"/>
    </row>
    <row r="7508" spans="1:9" ht="16.5">
      <c r="A7508" s="10" t="b">
        <v>0</v>
      </c>
      <c r="B7508" s="11" t="str">
        <f>IF(D7508&lt;&gt;"",IF(COUNTIF('USPTO TMs'!A:A,D7508)&gt;0,"Yes","No"),"")</f>
        <v/>
      </c>
      <c r="C7508" s="11"/>
      <c r="D7508" s="11"/>
      <c r="E7508" s="11"/>
      <c r="F7508" s="11"/>
      <c r="G7508" s="11"/>
      <c r="H7508" s="11"/>
      <c r="I7508" s="15"/>
    </row>
    <row r="7509" spans="1:9" ht="16.5">
      <c r="A7509" s="10" t="b">
        <v>0</v>
      </c>
      <c r="B7509" s="11" t="str">
        <f>IF(D7509&lt;&gt;"",IF(COUNTIF('USPTO TMs'!A:A,D7509)&gt;0,"Yes","No"),"")</f>
        <v/>
      </c>
      <c r="C7509" s="11"/>
      <c r="D7509" s="11"/>
      <c r="E7509" s="11"/>
      <c r="F7509" s="11"/>
      <c r="G7509" s="11"/>
      <c r="H7509" s="11"/>
      <c r="I7509" s="15"/>
    </row>
    <row r="7510" spans="1:9" ht="16.5">
      <c r="A7510" s="10" t="b">
        <v>0</v>
      </c>
      <c r="B7510" s="11" t="str">
        <f>IF(D7510&lt;&gt;"",IF(COUNTIF('USPTO TMs'!A:A,D7510)&gt;0,"Yes","No"),"")</f>
        <v/>
      </c>
      <c r="C7510" s="11"/>
      <c r="D7510" s="11"/>
      <c r="E7510" s="11"/>
      <c r="F7510" s="11"/>
      <c r="G7510" s="11"/>
      <c r="H7510" s="11"/>
      <c r="I7510" s="15"/>
    </row>
    <row r="7511" spans="1:9" ht="16.5">
      <c r="A7511" s="10" t="b">
        <v>0</v>
      </c>
      <c r="B7511" s="11" t="str">
        <f>IF(D7511&lt;&gt;"",IF(COUNTIF('USPTO TMs'!A:A,D7511)&gt;0,"Yes","No"),"")</f>
        <v/>
      </c>
      <c r="C7511" s="11"/>
      <c r="D7511" s="11"/>
      <c r="E7511" s="11"/>
      <c r="F7511" s="11"/>
      <c r="G7511" s="11"/>
      <c r="H7511" s="11"/>
      <c r="I7511" s="15"/>
    </row>
    <row r="7512" spans="1:9" ht="16.5">
      <c r="A7512" s="10" t="b">
        <v>0</v>
      </c>
      <c r="B7512" s="11" t="str">
        <f>IF(D7512&lt;&gt;"",IF(COUNTIF('USPTO TMs'!A:A,D7512)&gt;0,"Yes","No"),"")</f>
        <v/>
      </c>
      <c r="C7512" s="11"/>
      <c r="D7512" s="11"/>
      <c r="E7512" s="11"/>
      <c r="F7512" s="11"/>
      <c r="G7512" s="11"/>
      <c r="H7512" s="11"/>
      <c r="I7512" s="15"/>
    </row>
    <row r="7513" spans="1:9" ht="16.5">
      <c r="A7513" s="10" t="b">
        <v>0</v>
      </c>
      <c r="B7513" s="11" t="str">
        <f>IF(D7513&lt;&gt;"",IF(COUNTIF('USPTO TMs'!A:A,D7513)&gt;0,"Yes","No"),"")</f>
        <v/>
      </c>
      <c r="C7513" s="11"/>
      <c r="D7513" s="11"/>
      <c r="E7513" s="11"/>
      <c r="F7513" s="11"/>
      <c r="G7513" s="11"/>
      <c r="H7513" s="11"/>
      <c r="I7513" s="15"/>
    </row>
    <row r="7514" spans="1:9" ht="16.5">
      <c r="A7514" s="10" t="b">
        <v>0</v>
      </c>
      <c r="B7514" s="11" t="str">
        <f>IF(D7514&lt;&gt;"",IF(COUNTIF('USPTO TMs'!A:A,D7514)&gt;0,"Yes","No"),"")</f>
        <v/>
      </c>
      <c r="C7514" s="11"/>
      <c r="D7514" s="11"/>
      <c r="E7514" s="11"/>
      <c r="F7514" s="11"/>
      <c r="G7514" s="11"/>
      <c r="H7514" s="11"/>
      <c r="I7514" s="15"/>
    </row>
    <row r="7515" spans="1:9" ht="16.5">
      <c r="A7515" s="10" t="b">
        <v>0</v>
      </c>
      <c r="B7515" s="11" t="str">
        <f>IF(D7515&lt;&gt;"",IF(COUNTIF('USPTO TMs'!A:A,D7515)&gt;0,"Yes","No"),"")</f>
        <v/>
      </c>
      <c r="C7515" s="11"/>
      <c r="D7515" s="11"/>
      <c r="E7515" s="11"/>
      <c r="F7515" s="11"/>
      <c r="G7515" s="11"/>
      <c r="H7515" s="11"/>
      <c r="I7515" s="15"/>
    </row>
    <row r="7516" spans="1:9" ht="16.5">
      <c r="A7516" s="10" t="b">
        <v>0</v>
      </c>
      <c r="B7516" s="11" t="str">
        <f>IF(D7516&lt;&gt;"",IF(COUNTIF('USPTO TMs'!A:A,D7516)&gt;0,"Yes","No"),"")</f>
        <v/>
      </c>
      <c r="C7516" s="11"/>
      <c r="D7516" s="11"/>
      <c r="E7516" s="11"/>
      <c r="F7516" s="11"/>
      <c r="G7516" s="11"/>
      <c r="H7516" s="11"/>
      <c r="I7516" s="15"/>
    </row>
    <row r="7517" spans="1:9" ht="16.5">
      <c r="A7517" s="10" t="b">
        <v>0</v>
      </c>
      <c r="B7517" s="11" t="str">
        <f>IF(D7517&lt;&gt;"",IF(COUNTIF('USPTO TMs'!A:A,D7517)&gt;0,"Yes","No"),"")</f>
        <v/>
      </c>
      <c r="C7517" s="11"/>
      <c r="D7517" s="11"/>
      <c r="E7517" s="11"/>
      <c r="F7517" s="11"/>
      <c r="G7517" s="11"/>
      <c r="H7517" s="11"/>
      <c r="I7517" s="15"/>
    </row>
    <row r="7518" spans="1:9" ht="16.5">
      <c r="A7518" s="10" t="b">
        <v>0</v>
      </c>
      <c r="B7518" s="11" t="str">
        <f>IF(D7518&lt;&gt;"",IF(COUNTIF('USPTO TMs'!A:A,D7518)&gt;0,"Yes","No"),"")</f>
        <v/>
      </c>
      <c r="C7518" s="11"/>
      <c r="D7518" s="11"/>
      <c r="E7518" s="11"/>
      <c r="F7518" s="11"/>
      <c r="G7518" s="11"/>
      <c r="H7518" s="11"/>
      <c r="I7518" s="15"/>
    </row>
    <row r="7519" spans="1:9" ht="16.5">
      <c r="A7519" s="10" t="b">
        <v>0</v>
      </c>
      <c r="B7519" s="11" t="str">
        <f>IF(D7519&lt;&gt;"",IF(COUNTIF('USPTO TMs'!A:A,D7519)&gt;0,"Yes","No"),"")</f>
        <v/>
      </c>
      <c r="C7519" s="11"/>
      <c r="D7519" s="11"/>
      <c r="E7519" s="11"/>
      <c r="F7519" s="11"/>
      <c r="G7519" s="11"/>
      <c r="H7519" s="11"/>
      <c r="I7519" s="15"/>
    </row>
    <row r="7520" spans="1:9" ht="16.5">
      <c r="A7520" s="10" t="b">
        <v>0</v>
      </c>
      <c r="B7520" s="11" t="str">
        <f>IF(D7520&lt;&gt;"",IF(COUNTIF('USPTO TMs'!A:A,D7520)&gt;0,"Yes","No"),"")</f>
        <v/>
      </c>
      <c r="C7520" s="11"/>
      <c r="D7520" s="11"/>
      <c r="E7520" s="11"/>
      <c r="F7520" s="11"/>
      <c r="G7520" s="11"/>
      <c r="H7520" s="11"/>
      <c r="I7520" s="15"/>
    </row>
    <row r="7521" spans="1:9" ht="16.5">
      <c r="A7521" s="10" t="b">
        <v>0</v>
      </c>
      <c r="B7521" s="11" t="str">
        <f>IF(D7521&lt;&gt;"",IF(COUNTIF('USPTO TMs'!A:A,D7521)&gt;0,"Yes","No"),"")</f>
        <v/>
      </c>
      <c r="C7521" s="11"/>
      <c r="D7521" s="11"/>
      <c r="E7521" s="11"/>
      <c r="F7521" s="11"/>
      <c r="G7521" s="11"/>
      <c r="H7521" s="11"/>
      <c r="I7521" s="15"/>
    </row>
    <row r="7522" spans="1:9" ht="16.5">
      <c r="A7522" s="10" t="b">
        <v>0</v>
      </c>
      <c r="B7522" s="11" t="str">
        <f>IF(D7522&lt;&gt;"",IF(COUNTIF('USPTO TMs'!A:A,D7522)&gt;0,"Yes","No"),"")</f>
        <v/>
      </c>
      <c r="C7522" s="11"/>
      <c r="D7522" s="11"/>
      <c r="E7522" s="11"/>
      <c r="F7522" s="11"/>
      <c r="G7522" s="11"/>
      <c r="H7522" s="11"/>
      <c r="I7522" s="15"/>
    </row>
    <row r="7523" spans="1:9" ht="16.5">
      <c r="A7523" s="10" t="b">
        <v>0</v>
      </c>
      <c r="B7523" s="11" t="str">
        <f>IF(D7523&lt;&gt;"",IF(COUNTIF('USPTO TMs'!A:A,D7523)&gt;0,"Yes","No"),"")</f>
        <v/>
      </c>
      <c r="C7523" s="11"/>
      <c r="D7523" s="11"/>
      <c r="E7523" s="11"/>
      <c r="F7523" s="11"/>
      <c r="G7523" s="11"/>
      <c r="H7523" s="11"/>
      <c r="I7523" s="15"/>
    </row>
    <row r="7524" spans="1:9" ht="16.5">
      <c r="A7524" s="10" t="b">
        <v>0</v>
      </c>
      <c r="B7524" s="11" t="str">
        <f>IF(D7524&lt;&gt;"",IF(COUNTIF('USPTO TMs'!A:A,D7524)&gt;0,"Yes","No"),"")</f>
        <v/>
      </c>
      <c r="C7524" s="11"/>
      <c r="D7524" s="11"/>
      <c r="E7524" s="11"/>
      <c r="F7524" s="11"/>
      <c r="G7524" s="11"/>
      <c r="H7524" s="11"/>
      <c r="I7524" s="15"/>
    </row>
    <row r="7525" spans="1:9" ht="16.5">
      <c r="A7525" s="10" t="b">
        <v>0</v>
      </c>
      <c r="B7525" s="11" t="str">
        <f>IF(D7525&lt;&gt;"",IF(COUNTIF('USPTO TMs'!A:A,D7525)&gt;0,"Yes","No"),"")</f>
        <v/>
      </c>
      <c r="C7525" s="11"/>
      <c r="D7525" s="11"/>
      <c r="E7525" s="11"/>
      <c r="F7525" s="11"/>
      <c r="G7525" s="11"/>
      <c r="H7525" s="11"/>
      <c r="I7525" s="15"/>
    </row>
    <row r="7526" spans="1:9" ht="16.5">
      <c r="A7526" s="10" t="b">
        <v>0</v>
      </c>
      <c r="B7526" s="11" t="str">
        <f>IF(D7526&lt;&gt;"",IF(COUNTIF('USPTO TMs'!A:A,D7526)&gt;0,"Yes","No"),"")</f>
        <v/>
      </c>
      <c r="C7526" s="11"/>
      <c r="D7526" s="11"/>
      <c r="E7526" s="11"/>
      <c r="F7526" s="11"/>
      <c r="G7526" s="11"/>
      <c r="H7526" s="11"/>
      <c r="I7526" s="15"/>
    </row>
    <row r="7527" spans="1:9" ht="16.5">
      <c r="A7527" s="10" t="b">
        <v>0</v>
      </c>
      <c r="B7527" s="11" t="str">
        <f>IF(D7527&lt;&gt;"",IF(COUNTIF('USPTO TMs'!A:A,D7527)&gt;0,"Yes","No"),"")</f>
        <v/>
      </c>
      <c r="C7527" s="11"/>
      <c r="D7527" s="11"/>
      <c r="E7527" s="11"/>
      <c r="F7527" s="11"/>
      <c r="G7527" s="11"/>
      <c r="H7527" s="11"/>
      <c r="I7527" s="15"/>
    </row>
    <row r="7528" spans="1:9" ht="16.5">
      <c r="A7528" s="10" t="b">
        <v>0</v>
      </c>
      <c r="B7528" s="11" t="str">
        <f>IF(D7528&lt;&gt;"",IF(COUNTIF('USPTO TMs'!A:A,D7528)&gt;0,"Yes","No"),"")</f>
        <v/>
      </c>
      <c r="C7528" s="11"/>
      <c r="D7528" s="11"/>
      <c r="E7528" s="11"/>
      <c r="F7528" s="11"/>
      <c r="G7528" s="11"/>
      <c r="H7528" s="11"/>
      <c r="I7528" s="15"/>
    </row>
    <row r="7529" spans="1:9" ht="16.5">
      <c r="A7529" s="10" t="b">
        <v>0</v>
      </c>
      <c r="B7529" s="11" t="str">
        <f>IF(D7529&lt;&gt;"",IF(COUNTIF('USPTO TMs'!A:A,D7529)&gt;0,"Yes","No"),"")</f>
        <v/>
      </c>
      <c r="C7529" s="11"/>
      <c r="D7529" s="11"/>
      <c r="E7529" s="11"/>
      <c r="F7529" s="11"/>
      <c r="G7529" s="11"/>
      <c r="H7529" s="11"/>
      <c r="I7529" s="15"/>
    </row>
    <row r="7530" spans="1:9" ht="16.5">
      <c r="A7530" s="10" t="b">
        <v>0</v>
      </c>
      <c r="B7530" s="11" t="str">
        <f>IF(D7530&lt;&gt;"",IF(COUNTIF('USPTO TMs'!A:A,D7530)&gt;0,"Yes","No"),"")</f>
        <v/>
      </c>
      <c r="C7530" s="11"/>
      <c r="D7530" s="11"/>
      <c r="E7530" s="11"/>
      <c r="F7530" s="11"/>
      <c r="G7530" s="11"/>
      <c r="H7530" s="11"/>
      <c r="I7530" s="15"/>
    </row>
    <row r="7531" spans="1:9" ht="16.5">
      <c r="A7531" s="10" t="b">
        <v>0</v>
      </c>
      <c r="B7531" s="11" t="str">
        <f>IF(D7531&lt;&gt;"",IF(COUNTIF('USPTO TMs'!A:A,D7531)&gt;0,"Yes","No"),"")</f>
        <v/>
      </c>
      <c r="C7531" s="11"/>
      <c r="D7531" s="11"/>
      <c r="E7531" s="11"/>
      <c r="F7531" s="11"/>
      <c r="G7531" s="11"/>
      <c r="H7531" s="11"/>
      <c r="I7531" s="15"/>
    </row>
    <row r="7532" spans="1:9" ht="16.5">
      <c r="A7532" s="10" t="b">
        <v>0</v>
      </c>
      <c r="B7532" s="11" t="str">
        <f>IF(D7532&lt;&gt;"",IF(COUNTIF('USPTO TMs'!A:A,D7532)&gt;0,"Yes","No"),"")</f>
        <v/>
      </c>
      <c r="C7532" s="11"/>
      <c r="D7532" s="11"/>
      <c r="E7532" s="11"/>
      <c r="F7532" s="11"/>
      <c r="G7532" s="11"/>
      <c r="H7532" s="11"/>
      <c r="I7532" s="15"/>
    </row>
    <row r="7533" spans="1:9" ht="16.5">
      <c r="A7533" s="10" t="b">
        <v>0</v>
      </c>
      <c r="B7533" s="11" t="str">
        <f>IF(D7533&lt;&gt;"",IF(COUNTIF('USPTO TMs'!A:A,D7533)&gt;0,"Yes","No"),"")</f>
        <v/>
      </c>
      <c r="C7533" s="11"/>
      <c r="D7533" s="11"/>
      <c r="E7533" s="11"/>
      <c r="F7533" s="11"/>
      <c r="G7533" s="11"/>
      <c r="H7533" s="11"/>
      <c r="I7533" s="15"/>
    </row>
    <row r="7534" spans="1:9" ht="16.5">
      <c r="A7534" s="10" t="b">
        <v>0</v>
      </c>
      <c r="B7534" s="11" t="str">
        <f>IF(D7534&lt;&gt;"",IF(COUNTIF('USPTO TMs'!A:A,D7534)&gt;0,"Yes","No"),"")</f>
        <v/>
      </c>
      <c r="C7534" s="11"/>
      <c r="D7534" s="11"/>
      <c r="E7534" s="11"/>
      <c r="F7534" s="11"/>
      <c r="G7534" s="11"/>
      <c r="H7534" s="11"/>
      <c r="I7534" s="15"/>
    </row>
    <row r="7535" spans="1:9" ht="16.5">
      <c r="A7535" s="10" t="b">
        <v>0</v>
      </c>
      <c r="B7535" s="11" t="str">
        <f>IF(D7535&lt;&gt;"",IF(COUNTIF('USPTO TMs'!A:A,D7535)&gt;0,"Yes","No"),"")</f>
        <v/>
      </c>
      <c r="C7535" s="11"/>
      <c r="D7535" s="11"/>
      <c r="E7535" s="11"/>
      <c r="F7535" s="11"/>
      <c r="G7535" s="11"/>
      <c r="H7535" s="11"/>
      <c r="I7535" s="15"/>
    </row>
    <row r="7536" spans="1:9" ht="16.5">
      <c r="A7536" s="10" t="b">
        <v>0</v>
      </c>
      <c r="B7536" s="11" t="str">
        <f>IF(D7536&lt;&gt;"",IF(COUNTIF('USPTO TMs'!A:A,D7536)&gt;0,"Yes","No"),"")</f>
        <v/>
      </c>
      <c r="C7536" s="11"/>
      <c r="D7536" s="11"/>
      <c r="E7536" s="11"/>
      <c r="F7536" s="11"/>
      <c r="G7536" s="11"/>
      <c r="H7536" s="11"/>
      <c r="I7536" s="15"/>
    </row>
    <row r="7537" spans="1:9" ht="16.5">
      <c r="A7537" s="10" t="b">
        <v>0</v>
      </c>
      <c r="B7537" s="11" t="str">
        <f>IF(D7537&lt;&gt;"",IF(COUNTIF('USPTO TMs'!A:A,D7537)&gt;0,"Yes","No"),"")</f>
        <v/>
      </c>
      <c r="C7537" s="11"/>
      <c r="D7537" s="11"/>
      <c r="E7537" s="11"/>
      <c r="F7537" s="11"/>
      <c r="G7537" s="11"/>
      <c r="H7537" s="11"/>
      <c r="I7537" s="15"/>
    </row>
    <row r="7538" spans="1:9" ht="16.5">
      <c r="A7538" s="10" t="b">
        <v>0</v>
      </c>
      <c r="B7538" s="11" t="str">
        <f>IF(D7538&lt;&gt;"",IF(COUNTIF('USPTO TMs'!A:A,D7538)&gt;0,"Yes","No"),"")</f>
        <v/>
      </c>
      <c r="C7538" s="11"/>
      <c r="D7538" s="11"/>
      <c r="E7538" s="11"/>
      <c r="F7538" s="11"/>
      <c r="G7538" s="11"/>
      <c r="H7538" s="11"/>
      <c r="I7538" s="15"/>
    </row>
    <row r="7539" spans="1:9" ht="16.5">
      <c r="A7539" s="10" t="b">
        <v>0</v>
      </c>
      <c r="B7539" s="11" t="str">
        <f>IF(D7539&lt;&gt;"",IF(COUNTIF('USPTO TMs'!A:A,D7539)&gt;0,"Yes","No"),"")</f>
        <v/>
      </c>
      <c r="C7539" s="11"/>
      <c r="D7539" s="11"/>
      <c r="E7539" s="11"/>
      <c r="F7539" s="11"/>
      <c r="G7539" s="11"/>
      <c r="H7539" s="11"/>
      <c r="I7539" s="15"/>
    </row>
    <row r="7540" spans="1:9" ht="16.5">
      <c r="A7540" s="10" t="b">
        <v>0</v>
      </c>
      <c r="B7540" s="11" t="str">
        <f>IF(D7540&lt;&gt;"",IF(COUNTIF('USPTO TMs'!A:A,D7540)&gt;0,"Yes","No"),"")</f>
        <v/>
      </c>
      <c r="C7540" s="11"/>
      <c r="D7540" s="11"/>
      <c r="E7540" s="11"/>
      <c r="F7540" s="11"/>
      <c r="G7540" s="11"/>
      <c r="H7540" s="11"/>
      <c r="I7540" s="15"/>
    </row>
    <row r="7541" spans="1:9" ht="16.5">
      <c r="A7541" s="10" t="b">
        <v>0</v>
      </c>
      <c r="B7541" s="11" t="str">
        <f>IF(D7541&lt;&gt;"",IF(COUNTIF('USPTO TMs'!A:A,D7541)&gt;0,"Yes","No"),"")</f>
        <v/>
      </c>
      <c r="C7541" s="11"/>
      <c r="D7541" s="11"/>
      <c r="E7541" s="11"/>
      <c r="F7541" s="11"/>
      <c r="G7541" s="11"/>
      <c r="H7541" s="11"/>
      <c r="I7541" s="15"/>
    </row>
    <row r="7542" spans="1:9" ht="16.5">
      <c r="A7542" s="10" t="b">
        <v>0</v>
      </c>
      <c r="B7542" s="11" t="str">
        <f>IF(D7542&lt;&gt;"",IF(COUNTIF('USPTO TMs'!A:A,D7542)&gt;0,"Yes","No"),"")</f>
        <v/>
      </c>
      <c r="C7542" s="11"/>
      <c r="D7542" s="11"/>
      <c r="E7542" s="11"/>
      <c r="F7542" s="11"/>
      <c r="G7542" s="11"/>
      <c r="H7542" s="11"/>
      <c r="I7542" s="15"/>
    </row>
    <row r="7543" spans="1:9" ht="16.5">
      <c r="A7543" s="10" t="b">
        <v>0</v>
      </c>
      <c r="B7543" s="11" t="str">
        <f>IF(D7543&lt;&gt;"",IF(COUNTIF('USPTO TMs'!A:A,D7543)&gt;0,"Yes","No"),"")</f>
        <v/>
      </c>
      <c r="C7543" s="11"/>
      <c r="D7543" s="11"/>
      <c r="E7543" s="11"/>
      <c r="F7543" s="11"/>
      <c r="G7543" s="11"/>
      <c r="H7543" s="11"/>
      <c r="I7543" s="15"/>
    </row>
    <row r="7544" spans="1:9" ht="16.5">
      <c r="A7544" s="10" t="b">
        <v>0</v>
      </c>
      <c r="B7544" s="11" t="str">
        <f>IF(D7544&lt;&gt;"",IF(COUNTIF('USPTO TMs'!A:A,D7544)&gt;0,"Yes","No"),"")</f>
        <v/>
      </c>
      <c r="C7544" s="11"/>
      <c r="D7544" s="11"/>
      <c r="E7544" s="11"/>
      <c r="F7544" s="11"/>
      <c r="G7544" s="11"/>
      <c r="H7544" s="11"/>
      <c r="I7544" s="15"/>
    </row>
    <row r="7545" spans="1:9" ht="16.5">
      <c r="A7545" s="10" t="b">
        <v>0</v>
      </c>
      <c r="B7545" s="11" t="str">
        <f>IF(D7545&lt;&gt;"",IF(COUNTIF('USPTO TMs'!A:A,D7545)&gt;0,"Yes","No"),"")</f>
        <v/>
      </c>
      <c r="C7545" s="11"/>
      <c r="D7545" s="11"/>
      <c r="E7545" s="11"/>
      <c r="F7545" s="11"/>
      <c r="G7545" s="11"/>
      <c r="H7545" s="11"/>
      <c r="I7545" s="15"/>
    </row>
    <row r="7546" spans="1:9" ht="16.5">
      <c r="A7546" s="10" t="b">
        <v>0</v>
      </c>
      <c r="B7546" s="11" t="str">
        <f>IF(D7546&lt;&gt;"",IF(COUNTIF('USPTO TMs'!A:A,D7546)&gt;0,"Yes","No"),"")</f>
        <v/>
      </c>
      <c r="C7546" s="11"/>
      <c r="D7546" s="11"/>
      <c r="E7546" s="11"/>
      <c r="F7546" s="11"/>
      <c r="G7546" s="11"/>
      <c r="H7546" s="11"/>
      <c r="I7546" s="15"/>
    </row>
    <row r="7547" spans="1:9" ht="16.5">
      <c r="A7547" s="10" t="b">
        <v>0</v>
      </c>
      <c r="B7547" s="11" t="str">
        <f>IF(D7547&lt;&gt;"",IF(COUNTIF('USPTO TMs'!A:A,D7547)&gt;0,"Yes","No"),"")</f>
        <v/>
      </c>
      <c r="C7547" s="11"/>
      <c r="D7547" s="11"/>
      <c r="E7547" s="11"/>
      <c r="F7547" s="11"/>
      <c r="G7547" s="11"/>
      <c r="H7547" s="11"/>
      <c r="I7547" s="15"/>
    </row>
    <row r="7548" spans="1:9" ht="16.5">
      <c r="A7548" s="10" t="b">
        <v>0</v>
      </c>
      <c r="B7548" s="11" t="str">
        <f>IF(D7548&lt;&gt;"",IF(COUNTIF('USPTO TMs'!A:A,D7548)&gt;0,"Yes","No"),"")</f>
        <v/>
      </c>
      <c r="C7548" s="11"/>
      <c r="D7548" s="11"/>
      <c r="E7548" s="11"/>
      <c r="F7548" s="11"/>
      <c r="G7548" s="11"/>
      <c r="H7548" s="11"/>
      <c r="I7548" s="15"/>
    </row>
    <row r="7549" spans="1:9" ht="16.5">
      <c r="A7549" s="10" t="b">
        <v>0</v>
      </c>
      <c r="B7549" s="11" t="str">
        <f>IF(D7549&lt;&gt;"",IF(COUNTIF('USPTO TMs'!A:A,D7549)&gt;0,"Yes","No"),"")</f>
        <v/>
      </c>
      <c r="C7549" s="11"/>
      <c r="D7549" s="11"/>
      <c r="E7549" s="11"/>
      <c r="F7549" s="11"/>
      <c r="G7549" s="11"/>
      <c r="H7549" s="11"/>
      <c r="I7549" s="15"/>
    </row>
    <row r="7550" spans="1:9" ht="16.5">
      <c r="A7550" s="10" t="b">
        <v>0</v>
      </c>
      <c r="B7550" s="11" t="str">
        <f>IF(D7550&lt;&gt;"",IF(COUNTIF('USPTO TMs'!A:A,D7550)&gt;0,"Yes","No"),"")</f>
        <v/>
      </c>
      <c r="C7550" s="11"/>
      <c r="D7550" s="11"/>
      <c r="E7550" s="11"/>
      <c r="F7550" s="11"/>
      <c r="G7550" s="11"/>
      <c r="H7550" s="11"/>
      <c r="I7550" s="15"/>
    </row>
    <row r="7551" spans="1:9" ht="16.5">
      <c r="A7551" s="10" t="b">
        <v>0</v>
      </c>
      <c r="B7551" s="11" t="str">
        <f>IF(D7551&lt;&gt;"",IF(COUNTIF('USPTO TMs'!A:A,D7551)&gt;0,"Yes","No"),"")</f>
        <v/>
      </c>
      <c r="C7551" s="11"/>
      <c r="D7551" s="11"/>
      <c r="E7551" s="11"/>
      <c r="F7551" s="11"/>
      <c r="G7551" s="11"/>
      <c r="H7551" s="11"/>
      <c r="I7551" s="15"/>
    </row>
    <row r="7552" spans="1:9" ht="16.5">
      <c r="A7552" s="10" t="b">
        <v>0</v>
      </c>
      <c r="B7552" s="11" t="str">
        <f>IF(D7552&lt;&gt;"",IF(COUNTIF('USPTO TMs'!A:A,D7552)&gt;0,"Yes","No"),"")</f>
        <v/>
      </c>
      <c r="C7552" s="11"/>
      <c r="D7552" s="11"/>
      <c r="E7552" s="11"/>
      <c r="F7552" s="11"/>
      <c r="G7552" s="11"/>
      <c r="H7552" s="11"/>
      <c r="I7552" s="15"/>
    </row>
    <row r="7553" spans="1:9" ht="16.5">
      <c r="A7553" s="10" t="b">
        <v>0</v>
      </c>
      <c r="B7553" s="11" t="str">
        <f>IF(D7553&lt;&gt;"",IF(COUNTIF('USPTO TMs'!A:A,D7553)&gt;0,"Yes","No"),"")</f>
        <v/>
      </c>
      <c r="C7553" s="11"/>
      <c r="D7553" s="11"/>
      <c r="E7553" s="11"/>
      <c r="F7553" s="11"/>
      <c r="G7553" s="11"/>
      <c r="H7553" s="11"/>
      <c r="I7553" s="15"/>
    </row>
    <row r="7554" spans="1:9" ht="16.5">
      <c r="A7554" s="10" t="b">
        <v>0</v>
      </c>
      <c r="B7554" s="11" t="str">
        <f>IF(D7554&lt;&gt;"",IF(COUNTIF('USPTO TMs'!A:A,D7554)&gt;0,"Yes","No"),"")</f>
        <v/>
      </c>
      <c r="C7554" s="11"/>
      <c r="D7554" s="11"/>
      <c r="E7554" s="11"/>
      <c r="F7554" s="11"/>
      <c r="G7554" s="11"/>
      <c r="H7554" s="11"/>
      <c r="I7554" s="15"/>
    </row>
    <row r="7555" spans="1:9" ht="16.5">
      <c r="A7555" s="10" t="b">
        <v>0</v>
      </c>
      <c r="B7555" s="11" t="str">
        <f>IF(D7555&lt;&gt;"",IF(COUNTIF('USPTO TMs'!A:A,D7555)&gt;0,"Yes","No"),"")</f>
        <v/>
      </c>
      <c r="C7555" s="11"/>
      <c r="D7555" s="11"/>
      <c r="E7555" s="11"/>
      <c r="F7555" s="11"/>
      <c r="G7555" s="11"/>
      <c r="H7555" s="11"/>
      <c r="I7555" s="15"/>
    </row>
    <row r="7556" spans="1:9" ht="16.5">
      <c r="A7556" s="10" t="b">
        <v>0</v>
      </c>
      <c r="B7556" s="11" t="str">
        <f>IF(D7556&lt;&gt;"",IF(COUNTIF('USPTO TMs'!A:A,D7556)&gt;0,"Yes","No"),"")</f>
        <v/>
      </c>
      <c r="C7556" s="11"/>
      <c r="D7556" s="11"/>
      <c r="E7556" s="11"/>
      <c r="F7556" s="11"/>
      <c r="G7556" s="11"/>
      <c r="H7556" s="11"/>
      <c r="I7556" s="15"/>
    </row>
    <row r="7557" spans="1:9" ht="16.5">
      <c r="A7557" s="10" t="b">
        <v>0</v>
      </c>
      <c r="B7557" s="11" t="str">
        <f>IF(D7557&lt;&gt;"",IF(COUNTIF('USPTO TMs'!A:A,D7557)&gt;0,"Yes","No"),"")</f>
        <v/>
      </c>
      <c r="C7557" s="11"/>
      <c r="D7557" s="11"/>
      <c r="E7557" s="11"/>
      <c r="F7557" s="11"/>
      <c r="G7557" s="11"/>
      <c r="H7557" s="11"/>
      <c r="I7557" s="15"/>
    </row>
    <row r="7558" spans="1:9" ht="16.5">
      <c r="A7558" s="10" t="b">
        <v>0</v>
      </c>
      <c r="B7558" s="11" t="str">
        <f>IF(D7558&lt;&gt;"",IF(COUNTIF('USPTO TMs'!A:A,D7558)&gt;0,"Yes","No"),"")</f>
        <v/>
      </c>
      <c r="C7558" s="11"/>
      <c r="D7558" s="11"/>
      <c r="E7558" s="11"/>
      <c r="F7558" s="11"/>
      <c r="G7558" s="11"/>
      <c r="H7558" s="11"/>
      <c r="I7558" s="15"/>
    </row>
    <row r="7559" spans="1:9" ht="16.5">
      <c r="A7559" s="10" t="b">
        <v>0</v>
      </c>
      <c r="B7559" s="11" t="str">
        <f>IF(D7559&lt;&gt;"",IF(COUNTIF('USPTO TMs'!A:A,D7559)&gt;0,"Yes","No"),"")</f>
        <v/>
      </c>
      <c r="C7559" s="11"/>
      <c r="D7559" s="11"/>
      <c r="E7559" s="11"/>
      <c r="F7559" s="11"/>
      <c r="G7559" s="11"/>
      <c r="H7559" s="11"/>
      <c r="I7559" s="15"/>
    </row>
    <row r="7560" spans="1:9" ht="16.5">
      <c r="A7560" s="10" t="b">
        <v>0</v>
      </c>
      <c r="B7560" s="11" t="str">
        <f>IF(D7560&lt;&gt;"",IF(COUNTIF('USPTO TMs'!A:A,D7560)&gt;0,"Yes","No"),"")</f>
        <v/>
      </c>
      <c r="C7560" s="11"/>
      <c r="D7560" s="11"/>
      <c r="E7560" s="11"/>
      <c r="F7560" s="11"/>
      <c r="G7560" s="11"/>
      <c r="H7560" s="11"/>
      <c r="I7560" s="15"/>
    </row>
    <row r="7561" spans="1:9" ht="16.5">
      <c r="A7561" s="10" t="b">
        <v>0</v>
      </c>
      <c r="B7561" s="11" t="str">
        <f>IF(D7561&lt;&gt;"",IF(COUNTIF('USPTO TMs'!A:A,D7561)&gt;0,"Yes","No"),"")</f>
        <v/>
      </c>
      <c r="C7561" s="11"/>
      <c r="D7561" s="11"/>
      <c r="E7561" s="11"/>
      <c r="F7561" s="11"/>
      <c r="G7561" s="11"/>
      <c r="H7561" s="11"/>
      <c r="I7561" s="15"/>
    </row>
    <row r="7562" spans="1:9" ht="16.5">
      <c r="A7562" s="10" t="b">
        <v>0</v>
      </c>
      <c r="B7562" s="11" t="str">
        <f>IF(D7562&lt;&gt;"",IF(COUNTIF('USPTO TMs'!A:A,D7562)&gt;0,"Yes","No"),"")</f>
        <v/>
      </c>
      <c r="C7562" s="11"/>
      <c r="D7562" s="11"/>
      <c r="E7562" s="11"/>
      <c r="F7562" s="11"/>
      <c r="G7562" s="11"/>
      <c r="H7562" s="11"/>
      <c r="I7562" s="15"/>
    </row>
    <row r="7563" spans="1:9" ht="16.5">
      <c r="A7563" s="10" t="b">
        <v>0</v>
      </c>
      <c r="B7563" s="11" t="str">
        <f>IF(D7563&lt;&gt;"",IF(COUNTIF('USPTO TMs'!A:A,D7563)&gt;0,"Yes","No"),"")</f>
        <v/>
      </c>
      <c r="C7563" s="11"/>
      <c r="D7563" s="11"/>
      <c r="E7563" s="11"/>
      <c r="F7563" s="11"/>
      <c r="G7563" s="11"/>
      <c r="H7563" s="11"/>
      <c r="I7563" s="15"/>
    </row>
    <row r="7564" spans="1:9" ht="16.5">
      <c r="A7564" s="10" t="b">
        <v>0</v>
      </c>
      <c r="B7564" s="11" t="str">
        <f>IF(D7564&lt;&gt;"",IF(COUNTIF('USPTO TMs'!A:A,D7564)&gt;0,"Yes","No"),"")</f>
        <v/>
      </c>
      <c r="C7564" s="11"/>
      <c r="D7564" s="11"/>
      <c r="E7564" s="11"/>
      <c r="F7564" s="11"/>
      <c r="G7564" s="11"/>
      <c r="H7564" s="11"/>
      <c r="I7564" s="15"/>
    </row>
    <row r="7565" spans="1:9" ht="16.5">
      <c r="A7565" s="10" t="b">
        <v>0</v>
      </c>
      <c r="B7565" s="11" t="str">
        <f>IF(D7565&lt;&gt;"",IF(COUNTIF('USPTO TMs'!A:A,D7565)&gt;0,"Yes","No"),"")</f>
        <v/>
      </c>
      <c r="C7565" s="11"/>
      <c r="D7565" s="11"/>
      <c r="E7565" s="11"/>
      <c r="F7565" s="11"/>
      <c r="G7565" s="11"/>
      <c r="H7565" s="11"/>
      <c r="I7565" s="15"/>
    </row>
    <row r="7566" spans="1:9" ht="16.5">
      <c r="A7566" s="10" t="b">
        <v>0</v>
      </c>
      <c r="B7566" s="11" t="str">
        <f>IF(D7566&lt;&gt;"",IF(COUNTIF('USPTO TMs'!A:A,D7566)&gt;0,"Yes","No"),"")</f>
        <v/>
      </c>
      <c r="C7566" s="11"/>
      <c r="D7566" s="11"/>
      <c r="E7566" s="11"/>
      <c r="F7566" s="11"/>
      <c r="G7566" s="11"/>
      <c r="H7566" s="11"/>
      <c r="I7566" s="15"/>
    </row>
    <row r="7567" spans="1:9" ht="16.5">
      <c r="A7567" s="10" t="b">
        <v>0</v>
      </c>
      <c r="B7567" s="11" t="str">
        <f>IF(D7567&lt;&gt;"",IF(COUNTIF('USPTO TMs'!A:A,D7567)&gt;0,"Yes","No"),"")</f>
        <v/>
      </c>
      <c r="C7567" s="11"/>
      <c r="D7567" s="11"/>
      <c r="E7567" s="11"/>
      <c r="F7567" s="11"/>
      <c r="G7567" s="11"/>
      <c r="H7567" s="11"/>
      <c r="I7567" s="15"/>
    </row>
    <row r="7568" spans="1:9" ht="16.5">
      <c r="A7568" s="10" t="b">
        <v>0</v>
      </c>
      <c r="B7568" s="11" t="str">
        <f>IF(D7568&lt;&gt;"",IF(COUNTIF('USPTO TMs'!A:A,D7568)&gt;0,"Yes","No"),"")</f>
        <v/>
      </c>
      <c r="C7568" s="11"/>
      <c r="D7568" s="11"/>
      <c r="E7568" s="11"/>
      <c r="F7568" s="11"/>
      <c r="G7568" s="11"/>
      <c r="H7568" s="11"/>
      <c r="I7568" s="15"/>
    </row>
    <row r="7569" spans="1:9" ht="16.5">
      <c r="A7569" s="10" t="b">
        <v>0</v>
      </c>
      <c r="B7569" s="11" t="str">
        <f>IF(D7569&lt;&gt;"",IF(COUNTIF('USPTO TMs'!A:A,D7569)&gt;0,"Yes","No"),"")</f>
        <v/>
      </c>
      <c r="C7569" s="11"/>
      <c r="D7569" s="11"/>
      <c r="E7569" s="11"/>
      <c r="F7569" s="11"/>
      <c r="G7569" s="11"/>
      <c r="H7569" s="11"/>
      <c r="I7569" s="15"/>
    </row>
    <row r="7570" spans="1:9" ht="16.5">
      <c r="A7570" s="10" t="b">
        <v>0</v>
      </c>
      <c r="B7570" s="11" t="str">
        <f>IF(D7570&lt;&gt;"",IF(COUNTIF('USPTO TMs'!A:A,D7570)&gt;0,"Yes","No"),"")</f>
        <v/>
      </c>
      <c r="C7570" s="11"/>
      <c r="D7570" s="11"/>
      <c r="E7570" s="11"/>
      <c r="F7570" s="11"/>
      <c r="G7570" s="11"/>
      <c r="H7570" s="11"/>
      <c r="I7570" s="15"/>
    </row>
    <row r="7571" spans="1:9" ht="16.5">
      <c r="A7571" s="10" t="b">
        <v>0</v>
      </c>
      <c r="B7571" s="11" t="str">
        <f>IF(D7571&lt;&gt;"",IF(COUNTIF('USPTO TMs'!A:A,D7571)&gt;0,"Yes","No"),"")</f>
        <v/>
      </c>
      <c r="C7571" s="11"/>
      <c r="D7571" s="11"/>
      <c r="E7571" s="11"/>
      <c r="F7571" s="11"/>
      <c r="G7571" s="11"/>
      <c r="H7571" s="11"/>
      <c r="I7571" s="15"/>
    </row>
    <row r="7572" spans="1:9" ht="16.5">
      <c r="A7572" s="10" t="b">
        <v>0</v>
      </c>
      <c r="B7572" s="11" t="str">
        <f>IF(D7572&lt;&gt;"",IF(COUNTIF('USPTO TMs'!A:A,D7572)&gt;0,"Yes","No"),"")</f>
        <v/>
      </c>
      <c r="C7572" s="11"/>
      <c r="D7572" s="11"/>
      <c r="E7572" s="11"/>
      <c r="F7572" s="11"/>
      <c r="G7572" s="11"/>
      <c r="H7572" s="11"/>
      <c r="I7572" s="15"/>
    </row>
    <row r="7573" spans="1:9" ht="16.5">
      <c r="A7573" s="10" t="b">
        <v>0</v>
      </c>
      <c r="B7573" s="11" t="str">
        <f>IF(D7573&lt;&gt;"",IF(COUNTIF('USPTO TMs'!A:A,D7573)&gt;0,"Yes","No"),"")</f>
        <v/>
      </c>
      <c r="C7573" s="11"/>
      <c r="D7573" s="11"/>
      <c r="E7573" s="11"/>
      <c r="F7573" s="11"/>
      <c r="G7573" s="11"/>
      <c r="H7573" s="11"/>
      <c r="I7573" s="15"/>
    </row>
    <row r="7574" spans="1:9" ht="16.5">
      <c r="A7574" s="10" t="b">
        <v>0</v>
      </c>
      <c r="B7574" s="11" t="str">
        <f>IF(D7574&lt;&gt;"",IF(COUNTIF('USPTO TMs'!A:A,D7574)&gt;0,"Yes","No"),"")</f>
        <v/>
      </c>
      <c r="C7574" s="11"/>
      <c r="D7574" s="11"/>
      <c r="E7574" s="11"/>
      <c r="F7574" s="11"/>
      <c r="G7574" s="11"/>
      <c r="H7574" s="11"/>
      <c r="I7574" s="15"/>
    </row>
    <row r="7575" spans="1:9" ht="16.5">
      <c r="A7575" s="10" t="b">
        <v>0</v>
      </c>
      <c r="B7575" s="11" t="str">
        <f>IF(D7575&lt;&gt;"",IF(COUNTIF('USPTO TMs'!A:A,D7575)&gt;0,"Yes","No"),"")</f>
        <v/>
      </c>
      <c r="C7575" s="11"/>
      <c r="D7575" s="11"/>
      <c r="E7575" s="11"/>
      <c r="F7575" s="11"/>
      <c r="G7575" s="11"/>
      <c r="H7575" s="11"/>
      <c r="I7575" s="15"/>
    </row>
    <row r="7576" spans="1:9" ht="16.5">
      <c r="A7576" s="10" t="b">
        <v>0</v>
      </c>
      <c r="B7576" s="11" t="str">
        <f>IF(D7576&lt;&gt;"",IF(COUNTIF('USPTO TMs'!A:A,D7576)&gt;0,"Yes","No"),"")</f>
        <v/>
      </c>
      <c r="C7576" s="11"/>
      <c r="D7576" s="11"/>
      <c r="E7576" s="11"/>
      <c r="F7576" s="11"/>
      <c r="G7576" s="11"/>
      <c r="H7576" s="11"/>
      <c r="I7576" s="15"/>
    </row>
    <row r="7577" spans="1:9" ht="16.5">
      <c r="A7577" s="10" t="b">
        <v>0</v>
      </c>
      <c r="B7577" s="11" t="str">
        <f>IF(D7577&lt;&gt;"",IF(COUNTIF('USPTO TMs'!A:A,D7577)&gt;0,"Yes","No"),"")</f>
        <v/>
      </c>
      <c r="C7577" s="11"/>
      <c r="D7577" s="11"/>
      <c r="E7577" s="11"/>
      <c r="F7577" s="11"/>
      <c r="G7577" s="11"/>
      <c r="H7577" s="11"/>
      <c r="I7577" s="15"/>
    </row>
    <row r="7578" spans="1:9" ht="16.5">
      <c r="A7578" s="10" t="b">
        <v>0</v>
      </c>
      <c r="B7578" s="11" t="str">
        <f>IF(D7578&lt;&gt;"",IF(COUNTIF('USPTO TMs'!A:A,D7578)&gt;0,"Yes","No"),"")</f>
        <v/>
      </c>
      <c r="C7578" s="11"/>
      <c r="D7578" s="11"/>
      <c r="E7578" s="11"/>
      <c r="F7578" s="11"/>
      <c r="G7578" s="11"/>
      <c r="H7578" s="11"/>
      <c r="I7578" s="15"/>
    </row>
    <row r="7579" spans="1:9" ht="16.5">
      <c r="A7579" s="10" t="b">
        <v>0</v>
      </c>
      <c r="B7579" s="11" t="str">
        <f>IF(D7579&lt;&gt;"",IF(COUNTIF('USPTO TMs'!A:A,D7579)&gt;0,"Yes","No"),"")</f>
        <v/>
      </c>
      <c r="C7579" s="11"/>
      <c r="D7579" s="11"/>
      <c r="E7579" s="11"/>
      <c r="F7579" s="11"/>
      <c r="G7579" s="11"/>
      <c r="H7579" s="11"/>
      <c r="I7579" s="15"/>
    </row>
    <row r="7580" spans="1:9" ht="16.5">
      <c r="A7580" s="10" t="b">
        <v>0</v>
      </c>
      <c r="B7580" s="11" t="str">
        <f>IF(D7580&lt;&gt;"",IF(COUNTIF('USPTO TMs'!A:A,D7580)&gt;0,"Yes","No"),"")</f>
        <v/>
      </c>
      <c r="C7580" s="11"/>
      <c r="D7580" s="11"/>
      <c r="E7580" s="11"/>
      <c r="F7580" s="11"/>
      <c r="G7580" s="11"/>
      <c r="H7580" s="11"/>
      <c r="I7580" s="15"/>
    </row>
    <row r="7581" spans="1:9" ht="16.5">
      <c r="A7581" s="10" t="b">
        <v>0</v>
      </c>
      <c r="B7581" s="11" t="str">
        <f>IF(D7581&lt;&gt;"",IF(COUNTIF('USPTO TMs'!A:A,D7581)&gt;0,"Yes","No"),"")</f>
        <v/>
      </c>
      <c r="C7581" s="11"/>
      <c r="D7581" s="11"/>
      <c r="E7581" s="11"/>
      <c r="F7581" s="11"/>
      <c r="G7581" s="11"/>
      <c r="H7581" s="11"/>
      <c r="I7581" s="15"/>
    </row>
    <row r="7582" spans="1:9" ht="16.5">
      <c r="A7582" s="10" t="b">
        <v>0</v>
      </c>
      <c r="B7582" s="11" t="str">
        <f>IF(D7582&lt;&gt;"",IF(COUNTIF('USPTO TMs'!A:A,D7582)&gt;0,"Yes","No"),"")</f>
        <v/>
      </c>
      <c r="C7582" s="11"/>
      <c r="D7582" s="11"/>
      <c r="E7582" s="11"/>
      <c r="F7582" s="11"/>
      <c r="G7582" s="11"/>
      <c r="H7582" s="11"/>
      <c r="I7582" s="15"/>
    </row>
    <row r="7583" spans="1:9" ht="16.5">
      <c r="A7583" s="10" t="b">
        <v>0</v>
      </c>
      <c r="B7583" s="11" t="str">
        <f>IF(D7583&lt;&gt;"",IF(COUNTIF('USPTO TMs'!A:A,D7583)&gt;0,"Yes","No"),"")</f>
        <v/>
      </c>
      <c r="C7583" s="11"/>
      <c r="D7583" s="11"/>
      <c r="E7583" s="11"/>
      <c r="F7583" s="11"/>
      <c r="G7583" s="11"/>
      <c r="H7583" s="11"/>
      <c r="I7583" s="15"/>
    </row>
    <row r="7584" spans="1:9" ht="16.5">
      <c r="A7584" s="10" t="b">
        <v>0</v>
      </c>
      <c r="B7584" s="11" t="str">
        <f>IF(D7584&lt;&gt;"",IF(COUNTIF('USPTO TMs'!A:A,D7584)&gt;0,"Yes","No"),"")</f>
        <v/>
      </c>
      <c r="C7584" s="11"/>
      <c r="D7584" s="11"/>
      <c r="E7584" s="11"/>
      <c r="F7584" s="11"/>
      <c r="G7584" s="11"/>
      <c r="H7584" s="11"/>
      <c r="I7584" s="15"/>
    </row>
    <row r="7585" spans="1:9" ht="16.5">
      <c r="A7585" s="10" t="b">
        <v>0</v>
      </c>
      <c r="B7585" s="11" t="str">
        <f>IF(D7585&lt;&gt;"",IF(COUNTIF('USPTO TMs'!A:A,D7585)&gt;0,"Yes","No"),"")</f>
        <v/>
      </c>
      <c r="C7585" s="11"/>
      <c r="D7585" s="11"/>
      <c r="E7585" s="11"/>
      <c r="F7585" s="11"/>
      <c r="G7585" s="11"/>
      <c r="H7585" s="11"/>
      <c r="I7585" s="15"/>
    </row>
    <row r="7586" spans="1:9" ht="16.5">
      <c r="A7586" s="10" t="b">
        <v>0</v>
      </c>
      <c r="B7586" s="11" t="str">
        <f>IF(D7586&lt;&gt;"",IF(COUNTIF('USPTO TMs'!A:A,D7586)&gt;0,"Yes","No"),"")</f>
        <v/>
      </c>
      <c r="C7586" s="11"/>
      <c r="D7586" s="11"/>
      <c r="E7586" s="11"/>
      <c r="F7586" s="11"/>
      <c r="G7586" s="11"/>
      <c r="H7586" s="11"/>
      <c r="I7586" s="15"/>
    </row>
    <row r="7587" spans="1:9" ht="16.5">
      <c r="A7587" s="10" t="b">
        <v>0</v>
      </c>
      <c r="B7587" s="11" t="str">
        <f>IF(D7587&lt;&gt;"",IF(COUNTIF('USPTO TMs'!A:A,D7587)&gt;0,"Yes","No"),"")</f>
        <v/>
      </c>
      <c r="C7587" s="11"/>
      <c r="D7587" s="11"/>
      <c r="E7587" s="11"/>
      <c r="F7587" s="11"/>
      <c r="G7587" s="11"/>
      <c r="H7587" s="11"/>
      <c r="I7587" s="15"/>
    </row>
    <row r="7588" spans="1:9" ht="16.5">
      <c r="A7588" s="10" t="b">
        <v>0</v>
      </c>
      <c r="B7588" s="11" t="str">
        <f>IF(D7588&lt;&gt;"",IF(COUNTIF('USPTO TMs'!A:A,D7588)&gt;0,"Yes","No"),"")</f>
        <v/>
      </c>
      <c r="C7588" s="11"/>
      <c r="D7588" s="11"/>
      <c r="E7588" s="11"/>
      <c r="F7588" s="11"/>
      <c r="G7588" s="11"/>
      <c r="H7588" s="11"/>
      <c r="I7588" s="15"/>
    </row>
    <row r="7589" spans="1:9" ht="16.5">
      <c r="A7589" s="10" t="b">
        <v>0</v>
      </c>
      <c r="B7589" s="11" t="str">
        <f>IF(D7589&lt;&gt;"",IF(COUNTIF('USPTO TMs'!A:A,D7589)&gt;0,"Yes","No"),"")</f>
        <v/>
      </c>
      <c r="C7589" s="11"/>
      <c r="D7589" s="11"/>
      <c r="E7589" s="11"/>
      <c r="F7589" s="11"/>
      <c r="G7589" s="11"/>
      <c r="H7589" s="11"/>
      <c r="I7589" s="15"/>
    </row>
    <row r="7590" spans="1:9" ht="16.5">
      <c r="A7590" s="10" t="b">
        <v>0</v>
      </c>
      <c r="B7590" s="11" t="str">
        <f>IF(D7590&lt;&gt;"",IF(COUNTIF('USPTO TMs'!A:A,D7590)&gt;0,"Yes","No"),"")</f>
        <v/>
      </c>
      <c r="C7590" s="11"/>
      <c r="D7590" s="11"/>
      <c r="E7590" s="11"/>
      <c r="F7590" s="11"/>
      <c r="G7590" s="11"/>
      <c r="H7590" s="11"/>
      <c r="I7590" s="15"/>
    </row>
    <row r="7591" spans="1:9" ht="16.5">
      <c r="A7591" s="10" t="b">
        <v>0</v>
      </c>
      <c r="B7591" s="11" t="str">
        <f>IF(D7591&lt;&gt;"",IF(COUNTIF('USPTO TMs'!A:A,D7591)&gt;0,"Yes","No"),"")</f>
        <v/>
      </c>
      <c r="C7591" s="11"/>
      <c r="D7591" s="11"/>
      <c r="E7591" s="11"/>
      <c r="F7591" s="11"/>
      <c r="G7591" s="11"/>
      <c r="H7591" s="11"/>
      <c r="I7591" s="15"/>
    </row>
    <row r="7592" spans="1:9" ht="16.5">
      <c r="A7592" s="10" t="b">
        <v>0</v>
      </c>
      <c r="B7592" s="11" t="str">
        <f>IF(D7592&lt;&gt;"",IF(COUNTIF('USPTO TMs'!A:A,D7592)&gt;0,"Yes","No"),"")</f>
        <v/>
      </c>
      <c r="C7592" s="11"/>
      <c r="D7592" s="11"/>
      <c r="E7592" s="11"/>
      <c r="F7592" s="11"/>
      <c r="G7592" s="11"/>
      <c r="H7592" s="11"/>
      <c r="I7592" s="15"/>
    </row>
    <row r="7593" spans="1:9" ht="16.5">
      <c r="A7593" s="10" t="b">
        <v>0</v>
      </c>
      <c r="B7593" s="11" t="str">
        <f>IF(D7593&lt;&gt;"",IF(COUNTIF('USPTO TMs'!A:A,D7593)&gt;0,"Yes","No"),"")</f>
        <v/>
      </c>
      <c r="C7593" s="11"/>
      <c r="D7593" s="11"/>
      <c r="E7593" s="11"/>
      <c r="F7593" s="11"/>
      <c r="G7593" s="11"/>
      <c r="H7593" s="11"/>
      <c r="I7593" s="15"/>
    </row>
    <row r="7594" spans="1:9" ht="16.5">
      <c r="A7594" s="10" t="b">
        <v>0</v>
      </c>
      <c r="B7594" s="11" t="str">
        <f>IF(D7594&lt;&gt;"",IF(COUNTIF('USPTO TMs'!A:A,D7594)&gt;0,"Yes","No"),"")</f>
        <v/>
      </c>
      <c r="C7594" s="11"/>
      <c r="D7594" s="11"/>
      <c r="E7594" s="11"/>
      <c r="F7594" s="11"/>
      <c r="G7594" s="11"/>
      <c r="H7594" s="11"/>
      <c r="I7594" s="15"/>
    </row>
    <row r="7595" spans="1:9" ht="16.5">
      <c r="A7595" s="10" t="b">
        <v>0</v>
      </c>
      <c r="B7595" s="11" t="str">
        <f>IF(D7595&lt;&gt;"",IF(COUNTIF('USPTO TMs'!A:A,D7595)&gt;0,"Yes","No"),"")</f>
        <v/>
      </c>
      <c r="C7595" s="11"/>
      <c r="D7595" s="11"/>
      <c r="E7595" s="11"/>
      <c r="F7595" s="11"/>
      <c r="G7595" s="11"/>
      <c r="H7595" s="11"/>
      <c r="I7595" s="15"/>
    </row>
    <row r="7596" spans="1:9" ht="16.5">
      <c r="A7596" s="10" t="b">
        <v>0</v>
      </c>
      <c r="B7596" s="11" t="str">
        <f>IF(D7596&lt;&gt;"",IF(COUNTIF('USPTO TMs'!A:A,D7596)&gt;0,"Yes","No"),"")</f>
        <v/>
      </c>
      <c r="C7596" s="11"/>
      <c r="D7596" s="11"/>
      <c r="E7596" s="11"/>
      <c r="F7596" s="11"/>
      <c r="G7596" s="11"/>
      <c r="H7596" s="11"/>
      <c r="I7596" s="15"/>
    </row>
    <row r="7597" spans="1:9" ht="16.5">
      <c r="A7597" s="10" t="b">
        <v>0</v>
      </c>
      <c r="B7597" s="11" t="str">
        <f>IF(D7597&lt;&gt;"",IF(COUNTIF('USPTO TMs'!A:A,D7597)&gt;0,"Yes","No"),"")</f>
        <v/>
      </c>
      <c r="C7597" s="11"/>
      <c r="D7597" s="11"/>
      <c r="E7597" s="11"/>
      <c r="F7597" s="11"/>
      <c r="G7597" s="11"/>
      <c r="H7597" s="11"/>
      <c r="I7597" s="15"/>
    </row>
    <row r="7598" spans="1:9" ht="16.5">
      <c r="A7598" s="10" t="b">
        <v>0</v>
      </c>
      <c r="B7598" s="11" t="str">
        <f>IF(D7598&lt;&gt;"",IF(COUNTIF('USPTO TMs'!A:A,D7598)&gt;0,"Yes","No"),"")</f>
        <v/>
      </c>
      <c r="C7598" s="11"/>
      <c r="D7598" s="11"/>
      <c r="E7598" s="11"/>
      <c r="F7598" s="11"/>
      <c r="G7598" s="11"/>
      <c r="H7598" s="11"/>
      <c r="I7598" s="15"/>
    </row>
    <row r="7599" spans="1:9" ht="16.5">
      <c r="A7599" s="10" t="b">
        <v>0</v>
      </c>
      <c r="B7599" s="11" t="str">
        <f>IF(D7599&lt;&gt;"",IF(COUNTIF('USPTO TMs'!A:A,D7599)&gt;0,"Yes","No"),"")</f>
        <v/>
      </c>
      <c r="C7599" s="11"/>
      <c r="D7599" s="11"/>
      <c r="E7599" s="11"/>
      <c r="F7599" s="11"/>
      <c r="G7599" s="11"/>
      <c r="H7599" s="11"/>
      <c r="I7599" s="15"/>
    </row>
    <row r="7600" spans="1:9" ht="16.5">
      <c r="A7600" s="10" t="b">
        <v>0</v>
      </c>
      <c r="B7600" s="11" t="str">
        <f>IF(D7600&lt;&gt;"",IF(COUNTIF('USPTO TMs'!A:A,D7600)&gt;0,"Yes","No"),"")</f>
        <v/>
      </c>
      <c r="C7600" s="11"/>
      <c r="D7600" s="11"/>
      <c r="E7600" s="11"/>
      <c r="F7600" s="11"/>
      <c r="G7600" s="11"/>
      <c r="H7600" s="11"/>
      <c r="I7600" s="15"/>
    </row>
    <row r="7601" spans="1:9" ht="16.5">
      <c r="A7601" s="10" t="b">
        <v>0</v>
      </c>
      <c r="B7601" s="11" t="str">
        <f>IF(D7601&lt;&gt;"",IF(COUNTIF('USPTO TMs'!A:A,D7601)&gt;0,"Yes","No"),"")</f>
        <v/>
      </c>
      <c r="C7601" s="11"/>
      <c r="D7601" s="11"/>
      <c r="E7601" s="11"/>
      <c r="F7601" s="11"/>
      <c r="G7601" s="11"/>
      <c r="H7601" s="11"/>
      <c r="I7601" s="15"/>
    </row>
    <row r="7602" spans="1:9" ht="16.5">
      <c r="A7602" s="10" t="b">
        <v>0</v>
      </c>
      <c r="B7602" s="11" t="str">
        <f>IF(D7602&lt;&gt;"",IF(COUNTIF('USPTO TMs'!A:A,D7602)&gt;0,"Yes","No"),"")</f>
        <v/>
      </c>
      <c r="C7602" s="11"/>
      <c r="D7602" s="11"/>
      <c r="E7602" s="11"/>
      <c r="F7602" s="11"/>
      <c r="G7602" s="11"/>
      <c r="H7602" s="11"/>
      <c r="I7602" s="15"/>
    </row>
    <row r="7603" spans="1:9" ht="16.5">
      <c r="A7603" s="10" t="b">
        <v>0</v>
      </c>
      <c r="B7603" s="11" t="str">
        <f>IF(D7603&lt;&gt;"",IF(COUNTIF('USPTO TMs'!A:A,D7603)&gt;0,"Yes","No"),"")</f>
        <v/>
      </c>
      <c r="C7603" s="11"/>
      <c r="D7603" s="11"/>
      <c r="E7603" s="11"/>
      <c r="F7603" s="11"/>
      <c r="G7603" s="11"/>
      <c r="H7603" s="11"/>
      <c r="I7603" s="15"/>
    </row>
    <row r="7604" spans="1:9" ht="16.5">
      <c r="A7604" s="10" t="b">
        <v>0</v>
      </c>
      <c r="B7604" s="11" t="str">
        <f>IF(D7604&lt;&gt;"",IF(COUNTIF('USPTO TMs'!A:A,D7604)&gt;0,"Yes","No"),"")</f>
        <v/>
      </c>
      <c r="C7604" s="11"/>
      <c r="D7604" s="11"/>
      <c r="E7604" s="11"/>
      <c r="F7604" s="11"/>
      <c r="G7604" s="11"/>
      <c r="H7604" s="11"/>
      <c r="I7604" s="15"/>
    </row>
    <row r="7605" spans="1:9" ht="16.5">
      <c r="A7605" s="10" t="b">
        <v>0</v>
      </c>
      <c r="B7605" s="11" t="str">
        <f>IF(D7605&lt;&gt;"",IF(COUNTIF('USPTO TMs'!A:A,D7605)&gt;0,"Yes","No"),"")</f>
        <v/>
      </c>
      <c r="C7605" s="11"/>
      <c r="D7605" s="11"/>
      <c r="E7605" s="11"/>
      <c r="F7605" s="11"/>
      <c r="G7605" s="11"/>
      <c r="H7605" s="11"/>
      <c r="I7605" s="15"/>
    </row>
    <row r="7606" spans="1:9" ht="16.5">
      <c r="A7606" s="10" t="b">
        <v>0</v>
      </c>
      <c r="B7606" s="11" t="str">
        <f>IF(D7606&lt;&gt;"",IF(COUNTIF('USPTO TMs'!A:A,D7606)&gt;0,"Yes","No"),"")</f>
        <v/>
      </c>
      <c r="C7606" s="11"/>
      <c r="D7606" s="11"/>
      <c r="E7606" s="11"/>
      <c r="F7606" s="11"/>
      <c r="G7606" s="11"/>
      <c r="H7606" s="11"/>
      <c r="I7606" s="15"/>
    </row>
    <row r="7607" spans="1:9" ht="16.5">
      <c r="A7607" s="10" t="b">
        <v>0</v>
      </c>
      <c r="B7607" s="11" t="str">
        <f>IF(D7607&lt;&gt;"",IF(COUNTIF('USPTO TMs'!A:A,D7607)&gt;0,"Yes","No"),"")</f>
        <v/>
      </c>
      <c r="C7607" s="11"/>
      <c r="D7607" s="11"/>
      <c r="E7607" s="11"/>
      <c r="F7607" s="11"/>
      <c r="G7607" s="11"/>
      <c r="H7607" s="11"/>
      <c r="I7607" s="15"/>
    </row>
    <row r="7608" spans="1:9" ht="16.5">
      <c r="A7608" s="10" t="b">
        <v>0</v>
      </c>
      <c r="B7608" s="11" t="str">
        <f>IF(D7608&lt;&gt;"",IF(COUNTIF('USPTO TMs'!A:A,D7608)&gt;0,"Yes","No"),"")</f>
        <v/>
      </c>
      <c r="C7608" s="11"/>
      <c r="D7608" s="11"/>
      <c r="E7608" s="11"/>
      <c r="F7608" s="11"/>
      <c r="G7608" s="11"/>
      <c r="H7608" s="11"/>
      <c r="I7608" s="15"/>
    </row>
    <row r="7609" spans="1:9" ht="16.5">
      <c r="A7609" s="10" t="b">
        <v>0</v>
      </c>
      <c r="B7609" s="11" t="str">
        <f>IF(D7609&lt;&gt;"",IF(COUNTIF('USPTO TMs'!A:A,D7609)&gt;0,"Yes","No"),"")</f>
        <v/>
      </c>
      <c r="C7609" s="11"/>
      <c r="D7609" s="11"/>
      <c r="E7609" s="11"/>
      <c r="F7609" s="11"/>
      <c r="G7609" s="11"/>
      <c r="H7609" s="11"/>
      <c r="I7609" s="15"/>
    </row>
    <row r="7610" spans="1:9" ht="16.5">
      <c r="A7610" s="10" t="b">
        <v>0</v>
      </c>
      <c r="B7610" s="11" t="str">
        <f>IF(D7610&lt;&gt;"",IF(COUNTIF('USPTO TMs'!A:A,D7610)&gt;0,"Yes","No"),"")</f>
        <v/>
      </c>
      <c r="C7610" s="11"/>
      <c r="D7610" s="11"/>
      <c r="E7610" s="11"/>
      <c r="F7610" s="11"/>
      <c r="G7610" s="11"/>
      <c r="H7610" s="11"/>
      <c r="I7610" s="15"/>
    </row>
    <row r="7611" spans="1:9" ht="16.5">
      <c r="A7611" s="10" t="b">
        <v>0</v>
      </c>
      <c r="B7611" s="11" t="str">
        <f>IF(D7611&lt;&gt;"",IF(COUNTIF('USPTO TMs'!A:A,D7611)&gt;0,"Yes","No"),"")</f>
        <v/>
      </c>
      <c r="C7611" s="11"/>
      <c r="D7611" s="11"/>
      <c r="E7611" s="11"/>
      <c r="F7611" s="11"/>
      <c r="G7611" s="11"/>
      <c r="H7611" s="11"/>
      <c r="I7611" s="15"/>
    </row>
    <row r="7612" spans="1:9" ht="16.5">
      <c r="A7612" s="10" t="b">
        <v>0</v>
      </c>
      <c r="B7612" s="11" t="str">
        <f>IF(D7612&lt;&gt;"",IF(COUNTIF('USPTO TMs'!A:A,D7612)&gt;0,"Yes","No"),"")</f>
        <v/>
      </c>
      <c r="C7612" s="11"/>
      <c r="D7612" s="11"/>
      <c r="E7612" s="11"/>
      <c r="F7612" s="11"/>
      <c r="G7612" s="11"/>
      <c r="H7612" s="11"/>
      <c r="I7612" s="15"/>
    </row>
    <row r="7613" spans="1:9" ht="16.5">
      <c r="A7613" s="10" t="b">
        <v>0</v>
      </c>
      <c r="B7613" s="11" t="str">
        <f>IF(D7613&lt;&gt;"",IF(COUNTIF('USPTO TMs'!A:A,D7613)&gt;0,"Yes","No"),"")</f>
        <v/>
      </c>
      <c r="C7613" s="11"/>
      <c r="D7613" s="11"/>
      <c r="E7613" s="11"/>
      <c r="F7613" s="11"/>
      <c r="G7613" s="11"/>
      <c r="H7613" s="11"/>
      <c r="I7613" s="15"/>
    </row>
    <row r="7614" spans="1:9" ht="16.5">
      <c r="A7614" s="10" t="b">
        <v>0</v>
      </c>
      <c r="B7614" s="11" t="str">
        <f>IF(D7614&lt;&gt;"",IF(COUNTIF('USPTO TMs'!A:A,D7614)&gt;0,"Yes","No"),"")</f>
        <v/>
      </c>
      <c r="C7614" s="11"/>
      <c r="D7614" s="11"/>
      <c r="E7614" s="11"/>
      <c r="F7614" s="11"/>
      <c r="G7614" s="11"/>
      <c r="H7614" s="11"/>
      <c r="I7614" s="15"/>
    </row>
    <row r="7615" spans="1:9" ht="16.5">
      <c r="A7615" s="10" t="b">
        <v>0</v>
      </c>
      <c r="B7615" s="11" t="str">
        <f>IF(D7615&lt;&gt;"",IF(COUNTIF('USPTO TMs'!A:A,D7615)&gt;0,"Yes","No"),"")</f>
        <v/>
      </c>
      <c r="C7615" s="11"/>
      <c r="D7615" s="11"/>
      <c r="E7615" s="11"/>
      <c r="F7615" s="11"/>
      <c r="G7615" s="11"/>
      <c r="H7615" s="11"/>
      <c r="I7615" s="15"/>
    </row>
    <row r="7616" spans="1:9" ht="16.5">
      <c r="A7616" s="10" t="b">
        <v>0</v>
      </c>
      <c r="B7616" s="11" t="str">
        <f>IF(D7616&lt;&gt;"",IF(COUNTIF('USPTO TMs'!A:A,D7616)&gt;0,"Yes","No"),"")</f>
        <v/>
      </c>
      <c r="C7616" s="11"/>
      <c r="D7616" s="11"/>
      <c r="E7616" s="11"/>
      <c r="F7616" s="11"/>
      <c r="G7616" s="11"/>
      <c r="H7616" s="11"/>
      <c r="I7616" s="15"/>
    </row>
    <row r="7617" spans="1:9" ht="16.5">
      <c r="A7617" s="10" t="b">
        <v>0</v>
      </c>
      <c r="B7617" s="11" t="str">
        <f>IF(D7617&lt;&gt;"",IF(COUNTIF('USPTO TMs'!A:A,D7617)&gt;0,"Yes","No"),"")</f>
        <v/>
      </c>
      <c r="C7617" s="11"/>
      <c r="D7617" s="11"/>
      <c r="E7617" s="11"/>
      <c r="F7617" s="11"/>
      <c r="G7617" s="11"/>
      <c r="H7617" s="11"/>
      <c r="I7617" s="15"/>
    </row>
    <row r="7618" spans="1:9" ht="16.5">
      <c r="A7618" s="10" t="b">
        <v>0</v>
      </c>
      <c r="B7618" s="11" t="str">
        <f>IF(D7618&lt;&gt;"",IF(COUNTIF('USPTO TMs'!A:A,D7618)&gt;0,"Yes","No"),"")</f>
        <v/>
      </c>
      <c r="C7618" s="11"/>
      <c r="D7618" s="11"/>
      <c r="E7618" s="11"/>
      <c r="F7618" s="11"/>
      <c r="G7618" s="11"/>
      <c r="H7618" s="11"/>
      <c r="I7618" s="15"/>
    </row>
    <row r="7619" spans="1:9" ht="16.5">
      <c r="A7619" s="10" t="b">
        <v>0</v>
      </c>
      <c r="B7619" s="11" t="str">
        <f>IF(D7619&lt;&gt;"",IF(COUNTIF('USPTO TMs'!A:A,D7619)&gt;0,"Yes","No"),"")</f>
        <v/>
      </c>
      <c r="C7619" s="11"/>
      <c r="D7619" s="11"/>
      <c r="E7619" s="11"/>
      <c r="F7619" s="11"/>
      <c r="G7619" s="11"/>
      <c r="H7619" s="11"/>
      <c r="I7619" s="15"/>
    </row>
    <row r="7620" spans="1:9" ht="16.5">
      <c r="A7620" s="10" t="b">
        <v>0</v>
      </c>
      <c r="B7620" s="11" t="str">
        <f>IF(D7620&lt;&gt;"",IF(COUNTIF('USPTO TMs'!A:A,D7620)&gt;0,"Yes","No"),"")</f>
        <v/>
      </c>
      <c r="C7620" s="11"/>
      <c r="D7620" s="11"/>
      <c r="E7620" s="11"/>
      <c r="F7620" s="11"/>
      <c r="G7620" s="11"/>
      <c r="H7620" s="11"/>
      <c r="I7620" s="15"/>
    </row>
    <row r="7621" spans="1:9" ht="16.5">
      <c r="A7621" s="10" t="b">
        <v>0</v>
      </c>
      <c r="B7621" s="11" t="str">
        <f>IF(D7621&lt;&gt;"",IF(COUNTIF('USPTO TMs'!A:A,D7621)&gt;0,"Yes","No"),"")</f>
        <v/>
      </c>
      <c r="C7621" s="11"/>
      <c r="D7621" s="11"/>
      <c r="E7621" s="11"/>
      <c r="F7621" s="11"/>
      <c r="G7621" s="11"/>
      <c r="H7621" s="11"/>
      <c r="I7621" s="15"/>
    </row>
    <row r="7622" spans="1:9" ht="16.5">
      <c r="A7622" s="10" t="b">
        <v>0</v>
      </c>
      <c r="B7622" s="11" t="str">
        <f>IF(D7622&lt;&gt;"",IF(COUNTIF('USPTO TMs'!A:A,D7622)&gt;0,"Yes","No"),"")</f>
        <v/>
      </c>
      <c r="C7622" s="11"/>
      <c r="D7622" s="11"/>
      <c r="E7622" s="11"/>
      <c r="F7622" s="11"/>
      <c r="G7622" s="11"/>
      <c r="H7622" s="11"/>
      <c r="I7622" s="15"/>
    </row>
    <row r="7623" spans="1:9" ht="16.5">
      <c r="A7623" s="10" t="b">
        <v>0</v>
      </c>
      <c r="B7623" s="11" t="str">
        <f>IF(D7623&lt;&gt;"",IF(COUNTIF('USPTO TMs'!A:A,D7623)&gt;0,"Yes","No"),"")</f>
        <v/>
      </c>
      <c r="C7623" s="11"/>
      <c r="D7623" s="11"/>
      <c r="E7623" s="11"/>
      <c r="F7623" s="11"/>
      <c r="G7623" s="11"/>
      <c r="H7623" s="11"/>
      <c r="I7623" s="15"/>
    </row>
    <row r="7624" spans="1:9" ht="16.5">
      <c r="A7624" s="10" t="b">
        <v>0</v>
      </c>
      <c r="B7624" s="11" t="str">
        <f>IF(D7624&lt;&gt;"",IF(COUNTIF('USPTO TMs'!A:A,D7624)&gt;0,"Yes","No"),"")</f>
        <v/>
      </c>
      <c r="C7624" s="11"/>
      <c r="D7624" s="11"/>
      <c r="E7624" s="11"/>
      <c r="F7624" s="11"/>
      <c r="G7624" s="11"/>
      <c r="H7624" s="11"/>
      <c r="I7624" s="15"/>
    </row>
    <row r="7625" spans="1:9" ht="16.5">
      <c r="A7625" s="10" t="b">
        <v>0</v>
      </c>
      <c r="B7625" s="11" t="str">
        <f>IF(D7625&lt;&gt;"",IF(COUNTIF('USPTO TMs'!A:A,D7625)&gt;0,"Yes","No"),"")</f>
        <v/>
      </c>
      <c r="C7625" s="11"/>
      <c r="D7625" s="11"/>
      <c r="E7625" s="11"/>
      <c r="F7625" s="11"/>
      <c r="G7625" s="11"/>
      <c r="H7625" s="11"/>
      <c r="I7625" s="15"/>
    </row>
    <row r="7626" spans="1:9" ht="16.5">
      <c r="A7626" s="10" t="b">
        <v>0</v>
      </c>
      <c r="B7626" s="11" t="str">
        <f>IF(D7626&lt;&gt;"",IF(COUNTIF('USPTO TMs'!A:A,D7626)&gt;0,"Yes","No"),"")</f>
        <v/>
      </c>
      <c r="C7626" s="11"/>
      <c r="D7626" s="11"/>
      <c r="E7626" s="11"/>
      <c r="F7626" s="11"/>
      <c r="G7626" s="11"/>
      <c r="H7626" s="11"/>
      <c r="I7626" s="15"/>
    </row>
    <row r="7627" spans="1:9" ht="16.5">
      <c r="A7627" s="10" t="b">
        <v>0</v>
      </c>
      <c r="B7627" s="11" t="str">
        <f>IF(D7627&lt;&gt;"",IF(COUNTIF('USPTO TMs'!A:A,D7627)&gt;0,"Yes","No"),"")</f>
        <v/>
      </c>
      <c r="C7627" s="11"/>
      <c r="D7627" s="11"/>
      <c r="E7627" s="11"/>
      <c r="F7627" s="11"/>
      <c r="G7627" s="11"/>
      <c r="H7627" s="11"/>
      <c r="I7627" s="15"/>
    </row>
    <row r="7628" spans="1:9" ht="16.5">
      <c r="A7628" s="10" t="b">
        <v>0</v>
      </c>
      <c r="B7628" s="11" t="str">
        <f>IF(D7628&lt;&gt;"",IF(COUNTIF('USPTO TMs'!A:A,D7628)&gt;0,"Yes","No"),"")</f>
        <v/>
      </c>
      <c r="C7628" s="11"/>
      <c r="D7628" s="11"/>
      <c r="E7628" s="11"/>
      <c r="F7628" s="11"/>
      <c r="G7628" s="11"/>
      <c r="H7628" s="11"/>
      <c r="I7628" s="15"/>
    </row>
    <row r="7629" spans="1:9" ht="16.5">
      <c r="A7629" s="10" t="b">
        <v>0</v>
      </c>
      <c r="B7629" s="11" t="str">
        <f>IF(D7629&lt;&gt;"",IF(COUNTIF('USPTO TMs'!A:A,D7629)&gt;0,"Yes","No"),"")</f>
        <v/>
      </c>
      <c r="C7629" s="11"/>
      <c r="D7629" s="11"/>
      <c r="E7629" s="11"/>
      <c r="F7629" s="11"/>
      <c r="G7629" s="11"/>
      <c r="H7629" s="11"/>
      <c r="I7629" s="15"/>
    </row>
    <row r="7630" spans="1:9" ht="16.5">
      <c r="A7630" s="10" t="b">
        <v>0</v>
      </c>
      <c r="B7630" s="11" t="str">
        <f>IF(D7630&lt;&gt;"",IF(COUNTIF('USPTO TMs'!A:A,D7630)&gt;0,"Yes","No"),"")</f>
        <v/>
      </c>
      <c r="C7630" s="11"/>
      <c r="D7630" s="11"/>
      <c r="E7630" s="11"/>
      <c r="F7630" s="11"/>
      <c r="G7630" s="11"/>
      <c r="H7630" s="11"/>
      <c r="I7630" s="15"/>
    </row>
    <row r="7631" spans="1:9" ht="16.5">
      <c r="A7631" s="10" t="b">
        <v>0</v>
      </c>
      <c r="B7631" s="11" t="str">
        <f>IF(D7631&lt;&gt;"",IF(COUNTIF('USPTO TMs'!A:A,D7631)&gt;0,"Yes","No"),"")</f>
        <v/>
      </c>
      <c r="C7631" s="11"/>
      <c r="D7631" s="11"/>
      <c r="E7631" s="11"/>
      <c r="F7631" s="11"/>
      <c r="G7631" s="11"/>
      <c r="H7631" s="11"/>
      <c r="I7631" s="15"/>
    </row>
    <row r="7632" spans="1:9" ht="16.5">
      <c r="A7632" s="10" t="b">
        <v>0</v>
      </c>
      <c r="B7632" s="11" t="str">
        <f>IF(D7632&lt;&gt;"",IF(COUNTIF('USPTO TMs'!A:A,D7632)&gt;0,"Yes","No"),"")</f>
        <v/>
      </c>
      <c r="C7632" s="11"/>
      <c r="D7632" s="11"/>
      <c r="E7632" s="11"/>
      <c r="F7632" s="11"/>
      <c r="G7632" s="11"/>
      <c r="H7632" s="11"/>
      <c r="I7632" s="15"/>
    </row>
    <row r="7633" spans="1:9" ht="16.5">
      <c r="A7633" s="10" t="b">
        <v>0</v>
      </c>
      <c r="B7633" s="11" t="str">
        <f>IF(D7633&lt;&gt;"",IF(COUNTIF('USPTO TMs'!A:A,D7633)&gt;0,"Yes","No"),"")</f>
        <v/>
      </c>
      <c r="C7633" s="11"/>
      <c r="D7633" s="11"/>
      <c r="E7633" s="11"/>
      <c r="F7633" s="11"/>
      <c r="G7633" s="11"/>
      <c r="H7633" s="11"/>
      <c r="I7633" s="15"/>
    </row>
    <row r="7634" spans="1:9" ht="16.5">
      <c r="A7634" s="10" t="b">
        <v>0</v>
      </c>
      <c r="B7634" s="11" t="str">
        <f>IF(D7634&lt;&gt;"",IF(COUNTIF('USPTO TMs'!A:A,D7634)&gt;0,"Yes","No"),"")</f>
        <v/>
      </c>
      <c r="C7634" s="11"/>
      <c r="D7634" s="11"/>
      <c r="E7634" s="11"/>
      <c r="F7634" s="11"/>
      <c r="G7634" s="11"/>
      <c r="H7634" s="11"/>
      <c r="I7634" s="15"/>
    </row>
    <row r="7635" spans="1:9" ht="16.5">
      <c r="A7635" s="10" t="b">
        <v>0</v>
      </c>
      <c r="B7635" s="11" t="str">
        <f>IF(D7635&lt;&gt;"",IF(COUNTIF('USPTO TMs'!A:A,D7635)&gt;0,"Yes","No"),"")</f>
        <v/>
      </c>
      <c r="C7635" s="11"/>
      <c r="D7635" s="11"/>
      <c r="E7635" s="11"/>
      <c r="F7635" s="11"/>
      <c r="G7635" s="11"/>
      <c r="H7635" s="11"/>
      <c r="I7635" s="15"/>
    </row>
    <row r="7636" spans="1:9" ht="16.5">
      <c r="A7636" s="10" t="b">
        <v>0</v>
      </c>
      <c r="B7636" s="11" t="str">
        <f>IF(D7636&lt;&gt;"",IF(COUNTIF('USPTO TMs'!A:A,D7636)&gt;0,"Yes","No"),"")</f>
        <v/>
      </c>
      <c r="C7636" s="11"/>
      <c r="D7636" s="11"/>
      <c r="E7636" s="11"/>
      <c r="F7636" s="11"/>
      <c r="G7636" s="11"/>
      <c r="H7636" s="11"/>
      <c r="I7636" s="15"/>
    </row>
    <row r="7637" spans="1:9" ht="16.5">
      <c r="A7637" s="10" t="b">
        <v>0</v>
      </c>
      <c r="B7637" s="11" t="str">
        <f>IF(D7637&lt;&gt;"",IF(COUNTIF('USPTO TMs'!A:A,D7637)&gt;0,"Yes","No"),"")</f>
        <v/>
      </c>
      <c r="C7637" s="11"/>
      <c r="D7637" s="11"/>
      <c r="E7637" s="11"/>
      <c r="F7637" s="11"/>
      <c r="G7637" s="11"/>
      <c r="H7637" s="11"/>
      <c r="I7637" s="15"/>
    </row>
    <row r="7638" spans="1:9" ht="16.5">
      <c r="A7638" s="10" t="b">
        <v>0</v>
      </c>
      <c r="B7638" s="11" t="str">
        <f>IF(D7638&lt;&gt;"",IF(COUNTIF('USPTO TMs'!A:A,D7638)&gt;0,"Yes","No"),"")</f>
        <v/>
      </c>
      <c r="C7638" s="11"/>
      <c r="D7638" s="11"/>
      <c r="E7638" s="11"/>
      <c r="F7638" s="11"/>
      <c r="G7638" s="11"/>
      <c r="H7638" s="11"/>
      <c r="I7638" s="15"/>
    </row>
    <row r="7639" spans="1:9" ht="16.5">
      <c r="A7639" s="10" t="b">
        <v>0</v>
      </c>
      <c r="B7639" s="11" t="str">
        <f>IF(D7639&lt;&gt;"",IF(COUNTIF('USPTO TMs'!A:A,D7639)&gt;0,"Yes","No"),"")</f>
        <v/>
      </c>
      <c r="C7639" s="11"/>
      <c r="D7639" s="11"/>
      <c r="E7639" s="11"/>
      <c r="F7639" s="11"/>
      <c r="G7639" s="11"/>
      <c r="H7639" s="11"/>
      <c r="I7639" s="15"/>
    </row>
    <row r="7640" spans="1:9" ht="16.5">
      <c r="A7640" s="10" t="b">
        <v>0</v>
      </c>
      <c r="B7640" s="11" t="str">
        <f>IF(D7640&lt;&gt;"",IF(COUNTIF('USPTO TMs'!A:A,D7640)&gt;0,"Yes","No"),"")</f>
        <v/>
      </c>
      <c r="C7640" s="11"/>
      <c r="D7640" s="11"/>
      <c r="E7640" s="11"/>
      <c r="F7640" s="11"/>
      <c r="G7640" s="11"/>
      <c r="H7640" s="11"/>
      <c r="I7640" s="15"/>
    </row>
    <row r="7641" spans="1:9" ht="16.5">
      <c r="A7641" s="10" t="b">
        <v>0</v>
      </c>
      <c r="B7641" s="11" t="str">
        <f>IF(D7641&lt;&gt;"",IF(COUNTIF('USPTO TMs'!A:A,D7641)&gt;0,"Yes","No"),"")</f>
        <v/>
      </c>
      <c r="C7641" s="11"/>
      <c r="D7641" s="11"/>
      <c r="E7641" s="11"/>
      <c r="F7641" s="11"/>
      <c r="G7641" s="11"/>
      <c r="H7641" s="11"/>
      <c r="I7641" s="15"/>
    </row>
    <row r="7642" spans="1:9" ht="16.5">
      <c r="A7642" s="10" t="b">
        <v>0</v>
      </c>
      <c r="B7642" s="11" t="str">
        <f>IF(D7642&lt;&gt;"",IF(COUNTIF('USPTO TMs'!A:A,D7642)&gt;0,"Yes","No"),"")</f>
        <v/>
      </c>
      <c r="C7642" s="11"/>
      <c r="D7642" s="11"/>
      <c r="E7642" s="11"/>
      <c r="F7642" s="11"/>
      <c r="G7642" s="11"/>
      <c r="H7642" s="11"/>
      <c r="I7642" s="15"/>
    </row>
    <row r="7643" spans="1:9" ht="16.5">
      <c r="A7643" s="10" t="b">
        <v>0</v>
      </c>
      <c r="B7643" s="11" t="str">
        <f>IF(D7643&lt;&gt;"",IF(COUNTIF('USPTO TMs'!A:A,D7643)&gt;0,"Yes","No"),"")</f>
        <v/>
      </c>
      <c r="C7643" s="11"/>
      <c r="D7643" s="11"/>
      <c r="E7643" s="11"/>
      <c r="F7643" s="11"/>
      <c r="G7643" s="11"/>
      <c r="H7643" s="11"/>
      <c r="I7643" s="15"/>
    </row>
    <row r="7644" spans="1:9" ht="16.5">
      <c r="A7644" s="10" t="b">
        <v>0</v>
      </c>
      <c r="B7644" s="11" t="str">
        <f>IF(D7644&lt;&gt;"",IF(COUNTIF('USPTO TMs'!A:A,D7644)&gt;0,"Yes","No"),"")</f>
        <v/>
      </c>
      <c r="C7644" s="11"/>
      <c r="D7644" s="11"/>
      <c r="E7644" s="11"/>
      <c r="F7644" s="11"/>
      <c r="G7644" s="11"/>
      <c r="H7644" s="11"/>
      <c r="I7644" s="15"/>
    </row>
    <row r="7645" spans="1:9" ht="16.5">
      <c r="A7645" s="10" t="b">
        <v>0</v>
      </c>
      <c r="B7645" s="11" t="str">
        <f>IF(D7645&lt;&gt;"",IF(COUNTIF('USPTO TMs'!A:A,D7645)&gt;0,"Yes","No"),"")</f>
        <v/>
      </c>
      <c r="C7645" s="11"/>
      <c r="D7645" s="11"/>
      <c r="E7645" s="11"/>
      <c r="F7645" s="11"/>
      <c r="G7645" s="11"/>
      <c r="H7645" s="11"/>
      <c r="I7645" s="15"/>
    </row>
    <row r="7646" spans="1:9" ht="16.5">
      <c r="A7646" s="10" t="b">
        <v>0</v>
      </c>
      <c r="B7646" s="11" t="str">
        <f>IF(D7646&lt;&gt;"",IF(COUNTIF('USPTO TMs'!A:A,D7646)&gt;0,"Yes","No"),"")</f>
        <v/>
      </c>
      <c r="C7646" s="11"/>
      <c r="D7646" s="11"/>
      <c r="E7646" s="11"/>
      <c r="F7646" s="11"/>
      <c r="G7646" s="11"/>
      <c r="H7646" s="11"/>
      <c r="I7646" s="15"/>
    </row>
    <row r="7647" spans="1:9" ht="16.5">
      <c r="A7647" s="10" t="b">
        <v>0</v>
      </c>
      <c r="B7647" s="11" t="str">
        <f>IF(D7647&lt;&gt;"",IF(COUNTIF('USPTO TMs'!A:A,D7647)&gt;0,"Yes","No"),"")</f>
        <v/>
      </c>
      <c r="C7647" s="11"/>
      <c r="D7647" s="11"/>
      <c r="E7647" s="11"/>
      <c r="F7647" s="11"/>
      <c r="G7647" s="11"/>
      <c r="H7647" s="11"/>
      <c r="I7647" s="15"/>
    </row>
    <row r="7648" spans="1:9" ht="16.5">
      <c r="A7648" s="10" t="b">
        <v>0</v>
      </c>
      <c r="B7648" s="11" t="str">
        <f>IF(D7648&lt;&gt;"",IF(COUNTIF('USPTO TMs'!A:A,D7648)&gt;0,"Yes","No"),"")</f>
        <v/>
      </c>
      <c r="C7648" s="11"/>
      <c r="D7648" s="11"/>
      <c r="E7648" s="11"/>
      <c r="F7648" s="11"/>
      <c r="G7648" s="11"/>
      <c r="H7648" s="11"/>
      <c r="I7648" s="15"/>
    </row>
    <row r="7649" spans="1:9" ht="16.5">
      <c r="A7649" s="10" t="b">
        <v>0</v>
      </c>
      <c r="B7649" s="11" t="str">
        <f>IF(D7649&lt;&gt;"",IF(COUNTIF('USPTO TMs'!A:A,D7649)&gt;0,"Yes","No"),"")</f>
        <v/>
      </c>
      <c r="C7649" s="11"/>
      <c r="D7649" s="11"/>
      <c r="E7649" s="11"/>
      <c r="F7649" s="11"/>
      <c r="G7649" s="11"/>
      <c r="H7649" s="11"/>
      <c r="I7649" s="15"/>
    </row>
    <row r="7650" spans="1:9" ht="16.5">
      <c r="A7650" s="10" t="b">
        <v>0</v>
      </c>
      <c r="B7650" s="11" t="str">
        <f>IF(D7650&lt;&gt;"",IF(COUNTIF('USPTO TMs'!A:A,D7650)&gt;0,"Yes","No"),"")</f>
        <v/>
      </c>
      <c r="C7650" s="11"/>
      <c r="D7650" s="11"/>
      <c r="E7650" s="11"/>
      <c r="F7650" s="11"/>
      <c r="G7650" s="11"/>
      <c r="H7650" s="11"/>
      <c r="I7650" s="15"/>
    </row>
    <row r="7651" spans="1:9" ht="16.5">
      <c r="A7651" s="10" t="b">
        <v>0</v>
      </c>
      <c r="B7651" s="11" t="str">
        <f>IF(D7651&lt;&gt;"",IF(COUNTIF('USPTO TMs'!A:A,D7651)&gt;0,"Yes","No"),"")</f>
        <v/>
      </c>
      <c r="C7651" s="11"/>
      <c r="D7651" s="11"/>
      <c r="E7651" s="11"/>
      <c r="F7651" s="11"/>
      <c r="G7651" s="11"/>
      <c r="H7651" s="11"/>
      <c r="I7651" s="15"/>
    </row>
    <row r="7652" spans="1:9" ht="16.5">
      <c r="A7652" s="10" t="b">
        <v>0</v>
      </c>
      <c r="B7652" s="11" t="str">
        <f>IF(D7652&lt;&gt;"",IF(COUNTIF('USPTO TMs'!A:A,D7652)&gt;0,"Yes","No"),"")</f>
        <v/>
      </c>
      <c r="C7652" s="11"/>
      <c r="D7652" s="11"/>
      <c r="E7652" s="11"/>
      <c r="F7652" s="11"/>
      <c r="G7652" s="11"/>
      <c r="H7652" s="11"/>
      <c r="I7652" s="15"/>
    </row>
    <row r="7653" spans="1:9" ht="16.5">
      <c r="A7653" s="10" t="b">
        <v>0</v>
      </c>
      <c r="B7653" s="11" t="str">
        <f>IF(D7653&lt;&gt;"",IF(COUNTIF('USPTO TMs'!A:A,D7653)&gt;0,"Yes","No"),"")</f>
        <v/>
      </c>
      <c r="C7653" s="11"/>
      <c r="D7653" s="11"/>
      <c r="E7653" s="11"/>
      <c r="F7653" s="11"/>
      <c r="G7653" s="11"/>
      <c r="H7653" s="11"/>
      <c r="I7653" s="15"/>
    </row>
    <row r="7654" spans="1:9" ht="16.5">
      <c r="A7654" s="10" t="b">
        <v>0</v>
      </c>
      <c r="B7654" s="11" t="str">
        <f>IF(D7654&lt;&gt;"",IF(COUNTIF('USPTO TMs'!A:A,D7654)&gt;0,"Yes","No"),"")</f>
        <v/>
      </c>
      <c r="C7654" s="11"/>
      <c r="D7654" s="11"/>
      <c r="E7654" s="11"/>
      <c r="F7654" s="11"/>
      <c r="G7654" s="11"/>
      <c r="H7654" s="11"/>
      <c r="I7654" s="15"/>
    </row>
    <row r="7655" spans="1:9" ht="16.5">
      <c r="A7655" s="10" t="b">
        <v>0</v>
      </c>
      <c r="B7655" s="11" t="str">
        <f>IF(D7655&lt;&gt;"",IF(COUNTIF('USPTO TMs'!A:A,D7655)&gt;0,"Yes","No"),"")</f>
        <v/>
      </c>
      <c r="C7655" s="11"/>
      <c r="D7655" s="11"/>
      <c r="E7655" s="11"/>
      <c r="F7655" s="11"/>
      <c r="G7655" s="11"/>
      <c r="H7655" s="11"/>
      <c r="I7655" s="15"/>
    </row>
    <row r="7656" spans="1:9" ht="16.5">
      <c r="A7656" s="10" t="b">
        <v>0</v>
      </c>
      <c r="B7656" s="11" t="str">
        <f>IF(D7656&lt;&gt;"",IF(COUNTIF('USPTO TMs'!A:A,D7656)&gt;0,"Yes","No"),"")</f>
        <v/>
      </c>
      <c r="C7656" s="11"/>
      <c r="D7656" s="11"/>
      <c r="E7656" s="11"/>
      <c r="F7656" s="11"/>
      <c r="G7656" s="11"/>
      <c r="H7656" s="11"/>
      <c r="I7656" s="15"/>
    </row>
    <row r="7657" spans="1:9" ht="16.5">
      <c r="A7657" s="10" t="b">
        <v>0</v>
      </c>
      <c r="B7657" s="11" t="str">
        <f>IF(D7657&lt;&gt;"",IF(COUNTIF('USPTO TMs'!A:A,D7657)&gt;0,"Yes","No"),"")</f>
        <v/>
      </c>
      <c r="C7657" s="11"/>
      <c r="D7657" s="11"/>
      <c r="E7657" s="11"/>
      <c r="F7657" s="11"/>
      <c r="G7657" s="11"/>
      <c r="H7657" s="11"/>
      <c r="I7657" s="15"/>
    </row>
    <row r="7658" spans="1:9" ht="16.5">
      <c r="A7658" s="10" t="b">
        <v>0</v>
      </c>
      <c r="B7658" s="11" t="str">
        <f>IF(D7658&lt;&gt;"",IF(COUNTIF('USPTO TMs'!A:A,D7658)&gt;0,"Yes","No"),"")</f>
        <v/>
      </c>
      <c r="C7658" s="11"/>
      <c r="D7658" s="11"/>
      <c r="E7658" s="11"/>
      <c r="F7658" s="11"/>
      <c r="G7658" s="11"/>
      <c r="H7658" s="11"/>
      <c r="I7658" s="15"/>
    </row>
    <row r="7659" spans="1:9" ht="16.5">
      <c r="A7659" s="10" t="b">
        <v>0</v>
      </c>
      <c r="B7659" s="11" t="str">
        <f>IF(D7659&lt;&gt;"",IF(COUNTIF('USPTO TMs'!A:A,D7659)&gt;0,"Yes","No"),"")</f>
        <v/>
      </c>
      <c r="C7659" s="11"/>
      <c r="D7659" s="11"/>
      <c r="E7659" s="11"/>
      <c r="F7659" s="11"/>
      <c r="G7659" s="11"/>
      <c r="H7659" s="11"/>
      <c r="I7659" s="15"/>
    </row>
    <row r="7660" spans="1:9" ht="16.5">
      <c r="A7660" s="10" t="b">
        <v>0</v>
      </c>
      <c r="B7660" s="11" t="str">
        <f>IF(D7660&lt;&gt;"",IF(COUNTIF('USPTO TMs'!A:A,D7660)&gt;0,"Yes","No"),"")</f>
        <v/>
      </c>
      <c r="C7660" s="11"/>
      <c r="D7660" s="11"/>
      <c r="E7660" s="11"/>
      <c r="F7660" s="11"/>
      <c r="G7660" s="11"/>
      <c r="H7660" s="11"/>
      <c r="I7660" s="15"/>
    </row>
    <row r="7661" spans="1:9" ht="16.5">
      <c r="A7661" s="10" t="b">
        <v>0</v>
      </c>
      <c r="B7661" s="11" t="str">
        <f>IF(D7661&lt;&gt;"",IF(COUNTIF('USPTO TMs'!A:A,D7661)&gt;0,"Yes","No"),"")</f>
        <v/>
      </c>
      <c r="C7661" s="11"/>
      <c r="D7661" s="11"/>
      <c r="E7661" s="11"/>
      <c r="F7661" s="11"/>
      <c r="G7661" s="11"/>
      <c r="H7661" s="11"/>
      <c r="I7661" s="15"/>
    </row>
    <row r="7662" spans="1:9" ht="16.5">
      <c r="A7662" s="10" t="b">
        <v>0</v>
      </c>
      <c r="B7662" s="11" t="str">
        <f>IF(D7662&lt;&gt;"",IF(COUNTIF('USPTO TMs'!A:A,D7662)&gt;0,"Yes","No"),"")</f>
        <v/>
      </c>
      <c r="C7662" s="11"/>
      <c r="D7662" s="11"/>
      <c r="E7662" s="11"/>
      <c r="F7662" s="11"/>
      <c r="G7662" s="11"/>
      <c r="H7662" s="11"/>
      <c r="I7662" s="15"/>
    </row>
    <row r="7663" spans="1:9" ht="16.5">
      <c r="A7663" s="10" t="b">
        <v>0</v>
      </c>
      <c r="B7663" s="11" t="str">
        <f>IF(D7663&lt;&gt;"",IF(COUNTIF('USPTO TMs'!A:A,D7663)&gt;0,"Yes","No"),"")</f>
        <v/>
      </c>
      <c r="C7663" s="11"/>
      <c r="D7663" s="11"/>
      <c r="E7663" s="11"/>
      <c r="F7663" s="11"/>
      <c r="G7663" s="11"/>
      <c r="H7663" s="11"/>
      <c r="I7663" s="15"/>
    </row>
    <row r="7664" spans="1:9" ht="16.5">
      <c r="A7664" s="10" t="b">
        <v>0</v>
      </c>
      <c r="B7664" s="11" t="str">
        <f>IF(D7664&lt;&gt;"",IF(COUNTIF('USPTO TMs'!A:A,D7664)&gt;0,"Yes","No"),"")</f>
        <v/>
      </c>
      <c r="C7664" s="11"/>
      <c r="D7664" s="11"/>
      <c r="E7664" s="11"/>
      <c r="F7664" s="11"/>
      <c r="G7664" s="11"/>
      <c r="H7664" s="11"/>
      <c r="I7664" s="15"/>
    </row>
    <row r="7665" spans="1:9" ht="16.5">
      <c r="A7665" s="10" t="b">
        <v>0</v>
      </c>
      <c r="B7665" s="11" t="str">
        <f>IF(D7665&lt;&gt;"",IF(COUNTIF('USPTO TMs'!A:A,D7665)&gt;0,"Yes","No"),"")</f>
        <v/>
      </c>
      <c r="C7665" s="11"/>
      <c r="D7665" s="11"/>
      <c r="E7665" s="11"/>
      <c r="F7665" s="11"/>
      <c r="G7665" s="11"/>
      <c r="H7665" s="11"/>
      <c r="I7665" s="15"/>
    </row>
    <row r="7666" spans="1:9" ht="16.5">
      <c r="A7666" s="10" t="b">
        <v>0</v>
      </c>
      <c r="B7666" s="11" t="str">
        <f>IF(D7666&lt;&gt;"",IF(COUNTIF('USPTO TMs'!A:A,D7666)&gt;0,"Yes","No"),"")</f>
        <v/>
      </c>
      <c r="C7666" s="11"/>
      <c r="D7666" s="11"/>
      <c r="E7666" s="11"/>
      <c r="F7666" s="11"/>
      <c r="G7666" s="11"/>
      <c r="H7666" s="11"/>
      <c r="I7666" s="15"/>
    </row>
    <row r="7667" spans="1:9" ht="16.5">
      <c r="A7667" s="10" t="b">
        <v>0</v>
      </c>
      <c r="B7667" s="11" t="str">
        <f>IF(D7667&lt;&gt;"",IF(COUNTIF('USPTO TMs'!A:A,D7667)&gt;0,"Yes","No"),"")</f>
        <v/>
      </c>
      <c r="C7667" s="11"/>
      <c r="D7667" s="11"/>
      <c r="E7667" s="11"/>
      <c r="F7667" s="11"/>
      <c r="G7667" s="11"/>
      <c r="H7667" s="11"/>
      <c r="I7667" s="15"/>
    </row>
    <row r="7668" spans="1:9" ht="16.5">
      <c r="A7668" s="10" t="b">
        <v>0</v>
      </c>
      <c r="B7668" s="11" t="str">
        <f>IF(D7668&lt;&gt;"",IF(COUNTIF('USPTO TMs'!A:A,D7668)&gt;0,"Yes","No"),"")</f>
        <v/>
      </c>
      <c r="C7668" s="11"/>
      <c r="D7668" s="11"/>
      <c r="E7668" s="11"/>
      <c r="F7668" s="11"/>
      <c r="G7668" s="11"/>
      <c r="H7668" s="11"/>
      <c r="I7668" s="15"/>
    </row>
    <row r="7669" spans="1:9" ht="16.5">
      <c r="A7669" s="10" t="b">
        <v>0</v>
      </c>
      <c r="B7669" s="11" t="str">
        <f>IF(D7669&lt;&gt;"",IF(COUNTIF('USPTO TMs'!A:A,D7669)&gt;0,"Yes","No"),"")</f>
        <v/>
      </c>
      <c r="C7669" s="11"/>
      <c r="D7669" s="11"/>
      <c r="E7669" s="11"/>
      <c r="F7669" s="11"/>
      <c r="G7669" s="11"/>
      <c r="H7669" s="11"/>
      <c r="I7669" s="15"/>
    </row>
    <row r="7670" spans="1:9" ht="16.5">
      <c r="A7670" s="10" t="b">
        <v>0</v>
      </c>
      <c r="B7670" s="11" t="str">
        <f>IF(D7670&lt;&gt;"",IF(COUNTIF('USPTO TMs'!A:A,D7670)&gt;0,"Yes","No"),"")</f>
        <v/>
      </c>
      <c r="C7670" s="11"/>
      <c r="D7670" s="11"/>
      <c r="E7670" s="11"/>
      <c r="F7670" s="11"/>
      <c r="G7670" s="11"/>
      <c r="H7670" s="11"/>
      <c r="I7670" s="15"/>
    </row>
    <row r="7671" spans="1:9" ht="16.5">
      <c r="A7671" s="10" t="b">
        <v>0</v>
      </c>
      <c r="B7671" s="11" t="str">
        <f>IF(D7671&lt;&gt;"",IF(COUNTIF('USPTO TMs'!A:A,D7671)&gt;0,"Yes","No"),"")</f>
        <v/>
      </c>
      <c r="C7671" s="11"/>
      <c r="D7671" s="11"/>
      <c r="E7671" s="11"/>
      <c r="F7671" s="11"/>
      <c r="G7671" s="11"/>
      <c r="H7671" s="11"/>
      <c r="I7671" s="15"/>
    </row>
    <row r="7672" spans="1:9" ht="16.5">
      <c r="A7672" s="10" t="b">
        <v>0</v>
      </c>
      <c r="B7672" s="11" t="str">
        <f>IF(D7672&lt;&gt;"",IF(COUNTIF('USPTO TMs'!A:A,D7672)&gt;0,"Yes","No"),"")</f>
        <v/>
      </c>
      <c r="C7672" s="11"/>
      <c r="D7672" s="11"/>
      <c r="E7672" s="11"/>
      <c r="F7672" s="11"/>
      <c r="G7672" s="11"/>
      <c r="H7672" s="11"/>
      <c r="I7672" s="15"/>
    </row>
    <row r="7673" spans="1:9" ht="16.5">
      <c r="A7673" s="10" t="b">
        <v>0</v>
      </c>
      <c r="B7673" s="11" t="str">
        <f>IF(D7673&lt;&gt;"",IF(COUNTIF('USPTO TMs'!A:A,D7673)&gt;0,"Yes","No"),"")</f>
        <v/>
      </c>
      <c r="C7673" s="11"/>
      <c r="D7673" s="11"/>
      <c r="E7673" s="11"/>
      <c r="F7673" s="11"/>
      <c r="G7673" s="11"/>
      <c r="H7673" s="11"/>
      <c r="I7673" s="15"/>
    </row>
    <row r="7674" spans="1:9" ht="16.5">
      <c r="A7674" s="10" t="b">
        <v>0</v>
      </c>
      <c r="B7674" s="11" t="str">
        <f>IF(D7674&lt;&gt;"",IF(COUNTIF('USPTO TMs'!A:A,D7674)&gt;0,"Yes","No"),"")</f>
        <v/>
      </c>
      <c r="C7674" s="11"/>
      <c r="D7674" s="11"/>
      <c r="E7674" s="11"/>
      <c r="F7674" s="11"/>
      <c r="G7674" s="11"/>
      <c r="H7674" s="11"/>
      <c r="I7674" s="15"/>
    </row>
    <row r="7675" spans="1:9" ht="16.5">
      <c r="A7675" s="10" t="b">
        <v>0</v>
      </c>
      <c r="B7675" s="11" t="str">
        <f>IF(D7675&lt;&gt;"",IF(COUNTIF('USPTO TMs'!A:A,D7675)&gt;0,"Yes","No"),"")</f>
        <v/>
      </c>
      <c r="C7675" s="11"/>
      <c r="D7675" s="11"/>
      <c r="E7675" s="11"/>
      <c r="F7675" s="11"/>
      <c r="G7675" s="11"/>
      <c r="H7675" s="11"/>
      <c r="I7675" s="15"/>
    </row>
    <row r="7676" spans="1:9" ht="16.5">
      <c r="A7676" s="10" t="b">
        <v>0</v>
      </c>
      <c r="B7676" s="11" t="str">
        <f>IF(D7676&lt;&gt;"",IF(COUNTIF('USPTO TMs'!A:A,D7676)&gt;0,"Yes","No"),"")</f>
        <v/>
      </c>
      <c r="C7676" s="11"/>
      <c r="D7676" s="11"/>
      <c r="E7676" s="11"/>
      <c r="F7676" s="11"/>
      <c r="G7676" s="11"/>
      <c r="H7676" s="11"/>
      <c r="I7676" s="15"/>
    </row>
    <row r="7677" spans="1:9" ht="16.5">
      <c r="A7677" s="10" t="b">
        <v>0</v>
      </c>
      <c r="B7677" s="11" t="str">
        <f>IF(D7677&lt;&gt;"",IF(COUNTIF('USPTO TMs'!A:A,D7677)&gt;0,"Yes","No"),"")</f>
        <v/>
      </c>
      <c r="C7677" s="11"/>
      <c r="D7677" s="11"/>
      <c r="E7677" s="11"/>
      <c r="F7677" s="11"/>
      <c r="G7677" s="11"/>
      <c r="H7677" s="11"/>
      <c r="I7677" s="15"/>
    </row>
    <row r="7678" spans="1:9" ht="16.5">
      <c r="A7678" s="10" t="b">
        <v>0</v>
      </c>
      <c r="B7678" s="11" t="str">
        <f>IF(D7678&lt;&gt;"",IF(COUNTIF('USPTO TMs'!A:A,D7678)&gt;0,"Yes","No"),"")</f>
        <v/>
      </c>
      <c r="C7678" s="11"/>
      <c r="D7678" s="11"/>
      <c r="E7678" s="11"/>
      <c r="F7678" s="11"/>
      <c r="G7678" s="11"/>
      <c r="H7678" s="11"/>
      <c r="I7678" s="15"/>
    </row>
    <row r="7679" spans="1:9" ht="16.5">
      <c r="A7679" s="10" t="b">
        <v>0</v>
      </c>
      <c r="B7679" s="11" t="str">
        <f>IF(D7679&lt;&gt;"",IF(COUNTIF('USPTO TMs'!A:A,D7679)&gt;0,"Yes","No"),"")</f>
        <v/>
      </c>
      <c r="C7679" s="11"/>
      <c r="D7679" s="11"/>
      <c r="E7679" s="11"/>
      <c r="F7679" s="11"/>
      <c r="G7679" s="11"/>
      <c r="H7679" s="11"/>
      <c r="I7679" s="15"/>
    </row>
    <row r="7680" spans="1:9" ht="16.5">
      <c r="A7680" s="10" t="b">
        <v>0</v>
      </c>
      <c r="B7680" s="11" t="str">
        <f>IF(D7680&lt;&gt;"",IF(COUNTIF('USPTO TMs'!A:A,D7680)&gt;0,"Yes","No"),"")</f>
        <v/>
      </c>
      <c r="C7680" s="11"/>
      <c r="D7680" s="11"/>
      <c r="E7680" s="11"/>
      <c r="F7680" s="11"/>
      <c r="G7680" s="11"/>
      <c r="H7680" s="11"/>
      <c r="I7680" s="15"/>
    </row>
    <row r="7681" spans="1:9" ht="16.5">
      <c r="A7681" s="10" t="b">
        <v>0</v>
      </c>
      <c r="B7681" s="11" t="str">
        <f>IF(D7681&lt;&gt;"",IF(COUNTIF('USPTO TMs'!A:A,D7681)&gt;0,"Yes","No"),"")</f>
        <v/>
      </c>
      <c r="C7681" s="11"/>
      <c r="D7681" s="11"/>
      <c r="E7681" s="11"/>
      <c r="F7681" s="11"/>
      <c r="G7681" s="11"/>
      <c r="H7681" s="11"/>
      <c r="I7681" s="15"/>
    </row>
    <row r="7682" spans="1:9" ht="16.5">
      <c r="A7682" s="10" t="b">
        <v>0</v>
      </c>
      <c r="B7682" s="11" t="str">
        <f>IF(D7682&lt;&gt;"",IF(COUNTIF('USPTO TMs'!A:A,D7682)&gt;0,"Yes","No"),"")</f>
        <v/>
      </c>
      <c r="C7682" s="11"/>
      <c r="D7682" s="11"/>
      <c r="E7682" s="11"/>
      <c r="F7682" s="11"/>
      <c r="G7682" s="11"/>
      <c r="H7682" s="11"/>
      <c r="I7682" s="15"/>
    </row>
    <row r="7683" spans="1:9" ht="16.5">
      <c r="A7683" s="10" t="b">
        <v>0</v>
      </c>
      <c r="B7683" s="11" t="str">
        <f>IF(D7683&lt;&gt;"",IF(COUNTIF('USPTO TMs'!A:A,D7683)&gt;0,"Yes","No"),"")</f>
        <v/>
      </c>
      <c r="C7683" s="11"/>
      <c r="D7683" s="11"/>
      <c r="E7683" s="11"/>
      <c r="F7683" s="11"/>
      <c r="G7683" s="11"/>
      <c r="H7683" s="11"/>
      <c r="I7683" s="15"/>
    </row>
    <row r="7684" spans="1:9" ht="16.5">
      <c r="A7684" s="10" t="b">
        <v>0</v>
      </c>
      <c r="B7684" s="11" t="str">
        <f>IF(D7684&lt;&gt;"",IF(COUNTIF('USPTO TMs'!A:A,D7684)&gt;0,"Yes","No"),"")</f>
        <v/>
      </c>
      <c r="C7684" s="11"/>
      <c r="D7684" s="11"/>
      <c r="E7684" s="11"/>
      <c r="F7684" s="11"/>
      <c r="G7684" s="11"/>
      <c r="H7684" s="11"/>
      <c r="I7684" s="15"/>
    </row>
    <row r="7685" spans="1:9" ht="16.5">
      <c r="A7685" s="10" t="b">
        <v>0</v>
      </c>
      <c r="B7685" s="11" t="str">
        <f>IF(D7685&lt;&gt;"",IF(COUNTIF('USPTO TMs'!A:A,D7685)&gt;0,"Yes","No"),"")</f>
        <v/>
      </c>
      <c r="C7685" s="11"/>
      <c r="D7685" s="11"/>
      <c r="E7685" s="11"/>
      <c r="F7685" s="11"/>
      <c r="G7685" s="11"/>
      <c r="H7685" s="11"/>
      <c r="I7685" s="15"/>
    </row>
    <row r="7686" spans="1:9" ht="16.5">
      <c r="A7686" s="10" t="b">
        <v>0</v>
      </c>
      <c r="B7686" s="11" t="str">
        <f>IF(D7686&lt;&gt;"",IF(COUNTIF('USPTO TMs'!A:A,D7686)&gt;0,"Yes","No"),"")</f>
        <v/>
      </c>
      <c r="C7686" s="11"/>
      <c r="D7686" s="11"/>
      <c r="E7686" s="11"/>
      <c r="F7686" s="11"/>
      <c r="G7686" s="11"/>
      <c r="H7686" s="11"/>
      <c r="I7686" s="15"/>
    </row>
    <row r="7687" spans="1:9" ht="16.5">
      <c r="A7687" s="10" t="b">
        <v>0</v>
      </c>
      <c r="B7687" s="11" t="str">
        <f>IF(D7687&lt;&gt;"",IF(COUNTIF('USPTO TMs'!A:A,D7687)&gt;0,"Yes","No"),"")</f>
        <v/>
      </c>
      <c r="C7687" s="11"/>
      <c r="D7687" s="11"/>
      <c r="E7687" s="11"/>
      <c r="F7687" s="11"/>
      <c r="G7687" s="11"/>
      <c r="H7687" s="11"/>
      <c r="I7687" s="15"/>
    </row>
    <row r="7688" spans="1:9" ht="16.5">
      <c r="A7688" s="10" t="b">
        <v>0</v>
      </c>
      <c r="B7688" s="11" t="str">
        <f>IF(D7688&lt;&gt;"",IF(COUNTIF('USPTO TMs'!A:A,D7688)&gt;0,"Yes","No"),"")</f>
        <v/>
      </c>
      <c r="C7688" s="11"/>
      <c r="D7688" s="11"/>
      <c r="E7688" s="11"/>
      <c r="F7688" s="11"/>
      <c r="G7688" s="11"/>
      <c r="H7688" s="11"/>
      <c r="I7688" s="15"/>
    </row>
    <row r="7689" spans="1:9" ht="16.5">
      <c r="A7689" s="10" t="b">
        <v>0</v>
      </c>
      <c r="B7689" s="11" t="str">
        <f>IF(D7689&lt;&gt;"",IF(COUNTIF('USPTO TMs'!A:A,D7689)&gt;0,"Yes","No"),"")</f>
        <v/>
      </c>
      <c r="C7689" s="11"/>
      <c r="D7689" s="11"/>
      <c r="E7689" s="11"/>
      <c r="F7689" s="11"/>
      <c r="G7689" s="11"/>
      <c r="H7689" s="11"/>
      <c r="I7689" s="15"/>
    </row>
    <row r="7690" spans="1:9" ht="16.5">
      <c r="A7690" s="10" t="b">
        <v>0</v>
      </c>
      <c r="B7690" s="11" t="str">
        <f>IF(D7690&lt;&gt;"",IF(COUNTIF('USPTO TMs'!A:A,D7690)&gt;0,"Yes","No"),"")</f>
        <v/>
      </c>
      <c r="C7690" s="11"/>
      <c r="D7690" s="11"/>
      <c r="E7690" s="11"/>
      <c r="F7690" s="11"/>
      <c r="G7690" s="11"/>
      <c r="H7690" s="11"/>
      <c r="I7690" s="15"/>
    </row>
    <row r="7691" spans="1:9" ht="16.5">
      <c r="A7691" s="10" t="b">
        <v>0</v>
      </c>
      <c r="B7691" s="11" t="str">
        <f>IF(D7691&lt;&gt;"",IF(COUNTIF('USPTO TMs'!A:A,D7691)&gt;0,"Yes","No"),"")</f>
        <v/>
      </c>
      <c r="C7691" s="11"/>
      <c r="D7691" s="11"/>
      <c r="E7691" s="11"/>
      <c r="F7691" s="11"/>
      <c r="G7691" s="11"/>
      <c r="H7691" s="11"/>
      <c r="I7691" s="15"/>
    </row>
    <row r="7692" spans="1:9" ht="16.5">
      <c r="A7692" s="10" t="b">
        <v>0</v>
      </c>
      <c r="B7692" s="11" t="str">
        <f>IF(D7692&lt;&gt;"",IF(COUNTIF('USPTO TMs'!A:A,D7692)&gt;0,"Yes","No"),"")</f>
        <v/>
      </c>
      <c r="C7692" s="11"/>
      <c r="D7692" s="11"/>
      <c r="E7692" s="11"/>
      <c r="F7692" s="11"/>
      <c r="G7692" s="11"/>
      <c r="H7692" s="11"/>
      <c r="I7692" s="15"/>
    </row>
    <row r="7693" spans="1:9" ht="16.5">
      <c r="A7693" s="10" t="b">
        <v>0</v>
      </c>
      <c r="B7693" s="11" t="str">
        <f>IF(D7693&lt;&gt;"",IF(COUNTIF('USPTO TMs'!A:A,D7693)&gt;0,"Yes","No"),"")</f>
        <v/>
      </c>
      <c r="C7693" s="11"/>
      <c r="D7693" s="11"/>
      <c r="E7693" s="11"/>
      <c r="F7693" s="11"/>
      <c r="G7693" s="11"/>
      <c r="H7693" s="11"/>
      <c r="I7693" s="15"/>
    </row>
    <row r="7694" spans="1:9" ht="16.5">
      <c r="A7694" s="10" t="b">
        <v>0</v>
      </c>
      <c r="B7694" s="11" t="str">
        <f>IF(D7694&lt;&gt;"",IF(COUNTIF('USPTO TMs'!A:A,D7694)&gt;0,"Yes","No"),"")</f>
        <v/>
      </c>
      <c r="C7694" s="11"/>
      <c r="D7694" s="11"/>
      <c r="E7694" s="11"/>
      <c r="F7694" s="11"/>
      <c r="G7694" s="11"/>
      <c r="H7694" s="11"/>
      <c r="I7694" s="15"/>
    </row>
    <row r="7695" spans="1:9" ht="16.5">
      <c r="A7695" s="10" t="b">
        <v>0</v>
      </c>
      <c r="B7695" s="11" t="str">
        <f>IF(D7695&lt;&gt;"",IF(COUNTIF('USPTO TMs'!A:A,D7695)&gt;0,"Yes","No"),"")</f>
        <v/>
      </c>
      <c r="C7695" s="11"/>
      <c r="D7695" s="11"/>
      <c r="E7695" s="11"/>
      <c r="F7695" s="11"/>
      <c r="G7695" s="11"/>
      <c r="H7695" s="11"/>
      <c r="I7695" s="15"/>
    </row>
    <row r="7696" spans="1:9" ht="16.5">
      <c r="A7696" s="10" t="b">
        <v>0</v>
      </c>
      <c r="B7696" s="11" t="str">
        <f>IF(D7696&lt;&gt;"",IF(COUNTIF('USPTO TMs'!A:A,D7696)&gt;0,"Yes","No"),"")</f>
        <v/>
      </c>
      <c r="C7696" s="11"/>
      <c r="D7696" s="11"/>
      <c r="E7696" s="11"/>
      <c r="F7696" s="11"/>
      <c r="G7696" s="11"/>
      <c r="H7696" s="11"/>
      <c r="I7696" s="15"/>
    </row>
    <row r="7697" spans="1:9" ht="16.5">
      <c r="A7697" s="10" t="b">
        <v>0</v>
      </c>
      <c r="B7697" s="11" t="str">
        <f>IF(D7697&lt;&gt;"",IF(COUNTIF('USPTO TMs'!A:A,D7697)&gt;0,"Yes","No"),"")</f>
        <v/>
      </c>
      <c r="C7697" s="11"/>
      <c r="D7697" s="11"/>
      <c r="E7697" s="11"/>
      <c r="F7697" s="11"/>
      <c r="G7697" s="11"/>
      <c r="H7697" s="11"/>
      <c r="I7697" s="15"/>
    </row>
    <row r="7698" spans="1:9" ht="16.5">
      <c r="A7698" s="10" t="b">
        <v>0</v>
      </c>
      <c r="B7698" s="11" t="str">
        <f>IF(D7698&lt;&gt;"",IF(COUNTIF('USPTO TMs'!A:A,D7698)&gt;0,"Yes","No"),"")</f>
        <v/>
      </c>
      <c r="C7698" s="11"/>
      <c r="D7698" s="11"/>
      <c r="E7698" s="11"/>
      <c r="F7698" s="11"/>
      <c r="G7698" s="11"/>
      <c r="H7698" s="11"/>
      <c r="I7698" s="15"/>
    </row>
    <row r="7699" spans="1:9" ht="16.5">
      <c r="A7699" s="10" t="b">
        <v>0</v>
      </c>
      <c r="B7699" s="11" t="str">
        <f>IF(D7699&lt;&gt;"",IF(COUNTIF('USPTO TMs'!A:A,D7699)&gt;0,"Yes","No"),"")</f>
        <v/>
      </c>
      <c r="C7699" s="11"/>
      <c r="D7699" s="11"/>
      <c r="E7699" s="11"/>
      <c r="F7699" s="11"/>
      <c r="G7699" s="11"/>
      <c r="H7699" s="11"/>
      <c r="I7699" s="15"/>
    </row>
    <row r="7700" spans="1:9" ht="16.5">
      <c r="A7700" s="10" t="b">
        <v>0</v>
      </c>
      <c r="B7700" s="11" t="str">
        <f>IF(D7700&lt;&gt;"",IF(COUNTIF('USPTO TMs'!A:A,D7700)&gt;0,"Yes","No"),"")</f>
        <v/>
      </c>
      <c r="C7700" s="11"/>
      <c r="D7700" s="11"/>
      <c r="E7700" s="11"/>
      <c r="F7700" s="11"/>
      <c r="G7700" s="11"/>
      <c r="H7700" s="11"/>
      <c r="I7700" s="15"/>
    </row>
    <row r="7701" spans="1:9" ht="16.5">
      <c r="A7701" s="10" t="b">
        <v>0</v>
      </c>
      <c r="B7701" s="11" t="str">
        <f>IF(D7701&lt;&gt;"",IF(COUNTIF('USPTO TMs'!A:A,D7701)&gt;0,"Yes","No"),"")</f>
        <v/>
      </c>
      <c r="C7701" s="11"/>
      <c r="D7701" s="11"/>
      <c r="E7701" s="11"/>
      <c r="F7701" s="11"/>
      <c r="G7701" s="11"/>
      <c r="H7701" s="11"/>
      <c r="I7701" s="15"/>
    </row>
    <row r="7702" spans="1:9" ht="16.5">
      <c r="A7702" s="10" t="b">
        <v>0</v>
      </c>
      <c r="B7702" s="11" t="str">
        <f>IF(D7702&lt;&gt;"",IF(COUNTIF('USPTO TMs'!A:A,D7702)&gt;0,"Yes","No"),"")</f>
        <v/>
      </c>
      <c r="C7702" s="11"/>
      <c r="D7702" s="11"/>
      <c r="E7702" s="11"/>
      <c r="F7702" s="11"/>
      <c r="G7702" s="11"/>
      <c r="H7702" s="11"/>
      <c r="I7702" s="15"/>
    </row>
    <row r="7703" spans="1:9" ht="16.5">
      <c r="A7703" s="10" t="b">
        <v>0</v>
      </c>
      <c r="B7703" s="11" t="str">
        <f>IF(D7703&lt;&gt;"",IF(COUNTIF('USPTO TMs'!A:A,D7703)&gt;0,"Yes","No"),"")</f>
        <v/>
      </c>
      <c r="C7703" s="11"/>
      <c r="D7703" s="11"/>
      <c r="E7703" s="11"/>
      <c r="F7703" s="11"/>
      <c r="G7703" s="11"/>
      <c r="H7703" s="11"/>
      <c r="I7703" s="15"/>
    </row>
    <row r="7704" spans="1:9" ht="16.5">
      <c r="A7704" s="10" t="b">
        <v>0</v>
      </c>
      <c r="B7704" s="11" t="str">
        <f>IF(D7704&lt;&gt;"",IF(COUNTIF('USPTO TMs'!A:A,D7704)&gt;0,"Yes","No"),"")</f>
        <v/>
      </c>
      <c r="C7704" s="11"/>
      <c r="D7704" s="11"/>
      <c r="E7704" s="11"/>
      <c r="F7704" s="11"/>
      <c r="G7704" s="11"/>
      <c r="H7704" s="11"/>
      <c r="I7704" s="15"/>
    </row>
    <row r="7705" spans="1:9" ht="16.5">
      <c r="A7705" s="10" t="b">
        <v>0</v>
      </c>
      <c r="B7705" s="11" t="str">
        <f>IF(D7705&lt;&gt;"",IF(COUNTIF('USPTO TMs'!A:A,D7705)&gt;0,"Yes","No"),"")</f>
        <v/>
      </c>
      <c r="C7705" s="11"/>
      <c r="D7705" s="11"/>
      <c r="E7705" s="11"/>
      <c r="F7705" s="11"/>
      <c r="G7705" s="11"/>
      <c r="H7705" s="11"/>
      <c r="I7705" s="15"/>
    </row>
    <row r="7706" spans="1:9" ht="16.5">
      <c r="A7706" s="10" t="b">
        <v>0</v>
      </c>
      <c r="B7706" s="11" t="str">
        <f>IF(D7706&lt;&gt;"",IF(COUNTIF('USPTO TMs'!A:A,D7706)&gt;0,"Yes","No"),"")</f>
        <v/>
      </c>
      <c r="C7706" s="11"/>
      <c r="D7706" s="11"/>
      <c r="E7706" s="11"/>
      <c r="F7706" s="11"/>
      <c r="G7706" s="11"/>
      <c r="H7706" s="11"/>
      <c r="I7706" s="15"/>
    </row>
    <row r="7707" spans="1:9" ht="16.5">
      <c r="A7707" s="10" t="b">
        <v>0</v>
      </c>
      <c r="B7707" s="11" t="str">
        <f>IF(D7707&lt;&gt;"",IF(COUNTIF('USPTO TMs'!A:A,D7707)&gt;0,"Yes","No"),"")</f>
        <v/>
      </c>
      <c r="C7707" s="11"/>
      <c r="D7707" s="11"/>
      <c r="E7707" s="11"/>
      <c r="F7707" s="11"/>
      <c r="G7707" s="11"/>
      <c r="H7707" s="11"/>
      <c r="I7707" s="15"/>
    </row>
    <row r="7708" spans="1:9" ht="16.5">
      <c r="A7708" s="10" t="b">
        <v>0</v>
      </c>
      <c r="B7708" s="11" t="str">
        <f>IF(D7708&lt;&gt;"",IF(COUNTIF('USPTO TMs'!A:A,D7708)&gt;0,"Yes","No"),"")</f>
        <v/>
      </c>
      <c r="C7708" s="11"/>
      <c r="D7708" s="11"/>
      <c r="E7708" s="11"/>
      <c r="F7708" s="11"/>
      <c r="G7708" s="11"/>
      <c r="H7708" s="11"/>
      <c r="I7708" s="15"/>
    </row>
    <row r="7709" spans="1:9" ht="16.5">
      <c r="A7709" s="10" t="b">
        <v>0</v>
      </c>
      <c r="B7709" s="11" t="str">
        <f>IF(D7709&lt;&gt;"",IF(COUNTIF('USPTO TMs'!A:A,D7709)&gt;0,"Yes","No"),"")</f>
        <v/>
      </c>
      <c r="C7709" s="11"/>
      <c r="D7709" s="11"/>
      <c r="E7709" s="11"/>
      <c r="F7709" s="11"/>
      <c r="G7709" s="11"/>
      <c r="H7709" s="11"/>
      <c r="I7709" s="15"/>
    </row>
    <row r="7710" spans="1:9" ht="16.5">
      <c r="A7710" s="10" t="b">
        <v>0</v>
      </c>
      <c r="B7710" s="11" t="str">
        <f>IF(D7710&lt;&gt;"",IF(COUNTIF('USPTO TMs'!A:A,D7710)&gt;0,"Yes","No"),"")</f>
        <v/>
      </c>
      <c r="C7710" s="11"/>
      <c r="D7710" s="11"/>
      <c r="E7710" s="11"/>
      <c r="F7710" s="11"/>
      <c r="G7710" s="11"/>
      <c r="H7710" s="11"/>
      <c r="I7710" s="15"/>
    </row>
    <row r="7711" spans="1:9" ht="16.5">
      <c r="A7711" s="10" t="b">
        <v>0</v>
      </c>
      <c r="B7711" s="11" t="str">
        <f>IF(D7711&lt;&gt;"",IF(COUNTIF('USPTO TMs'!A:A,D7711)&gt;0,"Yes","No"),"")</f>
        <v/>
      </c>
      <c r="C7711" s="11"/>
      <c r="D7711" s="11"/>
      <c r="E7711" s="11"/>
      <c r="F7711" s="11"/>
      <c r="G7711" s="11"/>
      <c r="H7711" s="11"/>
      <c r="I7711" s="15"/>
    </row>
    <row r="7712" spans="1:9" ht="16.5">
      <c r="A7712" s="10" t="b">
        <v>0</v>
      </c>
      <c r="B7712" s="11" t="str">
        <f>IF(D7712&lt;&gt;"",IF(COUNTIF('USPTO TMs'!A:A,D7712)&gt;0,"Yes","No"),"")</f>
        <v/>
      </c>
      <c r="C7712" s="11"/>
      <c r="D7712" s="11"/>
      <c r="E7712" s="11"/>
      <c r="F7712" s="11"/>
      <c r="G7712" s="11"/>
      <c r="H7712" s="11"/>
      <c r="I7712" s="15"/>
    </row>
    <row r="7713" spans="1:9" ht="16.5">
      <c r="A7713" s="10" t="b">
        <v>0</v>
      </c>
      <c r="B7713" s="11" t="str">
        <f>IF(D7713&lt;&gt;"",IF(COUNTIF('USPTO TMs'!A:A,D7713)&gt;0,"Yes","No"),"")</f>
        <v/>
      </c>
      <c r="C7713" s="11"/>
      <c r="D7713" s="11"/>
      <c r="E7713" s="11"/>
      <c r="F7713" s="11"/>
      <c r="G7713" s="11"/>
      <c r="H7713" s="11"/>
      <c r="I7713" s="15"/>
    </row>
    <row r="7714" spans="1:9" ht="16.5">
      <c r="A7714" s="10" t="b">
        <v>0</v>
      </c>
      <c r="B7714" s="11" t="str">
        <f>IF(D7714&lt;&gt;"",IF(COUNTIF('USPTO TMs'!A:A,D7714)&gt;0,"Yes","No"),"")</f>
        <v/>
      </c>
      <c r="C7714" s="11"/>
      <c r="D7714" s="11"/>
      <c r="E7714" s="11"/>
      <c r="F7714" s="11"/>
      <c r="G7714" s="11"/>
      <c r="H7714" s="11"/>
      <c r="I7714" s="15"/>
    </row>
    <row r="7715" spans="1:9" ht="16.5">
      <c r="A7715" s="10" t="b">
        <v>0</v>
      </c>
      <c r="B7715" s="11" t="str">
        <f>IF(D7715&lt;&gt;"",IF(COUNTIF('USPTO TMs'!A:A,D7715)&gt;0,"Yes","No"),"")</f>
        <v/>
      </c>
      <c r="C7715" s="11"/>
      <c r="D7715" s="11"/>
      <c r="E7715" s="11"/>
      <c r="F7715" s="11"/>
      <c r="G7715" s="11"/>
      <c r="H7715" s="11"/>
      <c r="I7715" s="15"/>
    </row>
    <row r="7716" spans="1:9" ht="16.5">
      <c r="A7716" s="10" t="b">
        <v>0</v>
      </c>
      <c r="B7716" s="11" t="str">
        <f>IF(D7716&lt;&gt;"",IF(COUNTIF('USPTO TMs'!A:A,D7716)&gt;0,"Yes","No"),"")</f>
        <v/>
      </c>
      <c r="C7716" s="11"/>
      <c r="D7716" s="11"/>
      <c r="E7716" s="11"/>
      <c r="F7716" s="11"/>
      <c r="G7716" s="11"/>
      <c r="H7716" s="11"/>
      <c r="I7716" s="15"/>
    </row>
    <row r="7717" spans="1:9" ht="16.5">
      <c r="A7717" s="10" t="b">
        <v>0</v>
      </c>
      <c r="B7717" s="11" t="str">
        <f>IF(D7717&lt;&gt;"",IF(COUNTIF('USPTO TMs'!A:A,D7717)&gt;0,"Yes","No"),"")</f>
        <v/>
      </c>
      <c r="C7717" s="11"/>
      <c r="D7717" s="11"/>
      <c r="E7717" s="11"/>
      <c r="F7717" s="11"/>
      <c r="G7717" s="11"/>
      <c r="H7717" s="11"/>
      <c r="I7717" s="15"/>
    </row>
    <row r="7718" spans="1:9" ht="16.5">
      <c r="A7718" s="10" t="b">
        <v>0</v>
      </c>
      <c r="B7718" s="11" t="str">
        <f>IF(D7718&lt;&gt;"",IF(COUNTIF('USPTO TMs'!A:A,D7718)&gt;0,"Yes","No"),"")</f>
        <v/>
      </c>
      <c r="C7718" s="11"/>
      <c r="D7718" s="11"/>
      <c r="E7718" s="11"/>
      <c r="F7718" s="11"/>
      <c r="G7718" s="11"/>
      <c r="H7718" s="11"/>
      <c r="I7718" s="15"/>
    </row>
    <row r="7719" spans="1:9" ht="16.5">
      <c r="A7719" s="10" t="b">
        <v>0</v>
      </c>
      <c r="B7719" s="11" t="str">
        <f>IF(D7719&lt;&gt;"",IF(COUNTIF('USPTO TMs'!A:A,D7719)&gt;0,"Yes","No"),"")</f>
        <v/>
      </c>
      <c r="C7719" s="11"/>
      <c r="D7719" s="11"/>
      <c r="E7719" s="11"/>
      <c r="F7719" s="11"/>
      <c r="G7719" s="11"/>
      <c r="H7719" s="11"/>
      <c r="I7719" s="15"/>
    </row>
    <row r="7720" spans="1:9" ht="16.5">
      <c r="A7720" s="10" t="b">
        <v>0</v>
      </c>
      <c r="B7720" s="11" t="str">
        <f>IF(D7720&lt;&gt;"",IF(COUNTIF('USPTO TMs'!A:A,D7720)&gt;0,"Yes","No"),"")</f>
        <v/>
      </c>
      <c r="C7720" s="11"/>
      <c r="D7720" s="11"/>
      <c r="E7720" s="11"/>
      <c r="F7720" s="11"/>
      <c r="G7720" s="11"/>
      <c r="H7720" s="11"/>
      <c r="I7720" s="15"/>
    </row>
    <row r="7721" spans="1:9" ht="16.5">
      <c r="A7721" s="10" t="b">
        <v>0</v>
      </c>
      <c r="B7721" s="11" t="str">
        <f>IF(D7721&lt;&gt;"",IF(COUNTIF('USPTO TMs'!A:A,D7721)&gt;0,"Yes","No"),"")</f>
        <v/>
      </c>
      <c r="C7721" s="11"/>
      <c r="D7721" s="11"/>
      <c r="E7721" s="11"/>
      <c r="F7721" s="11"/>
      <c r="G7721" s="11"/>
      <c r="H7721" s="11"/>
      <c r="I7721" s="15"/>
    </row>
    <row r="7722" spans="1:9" ht="16.5">
      <c r="A7722" s="10" t="b">
        <v>0</v>
      </c>
      <c r="B7722" s="11" t="str">
        <f>IF(D7722&lt;&gt;"",IF(COUNTIF('USPTO TMs'!A:A,D7722)&gt;0,"Yes","No"),"")</f>
        <v/>
      </c>
      <c r="C7722" s="11"/>
      <c r="D7722" s="11"/>
      <c r="E7722" s="11"/>
      <c r="F7722" s="11"/>
      <c r="G7722" s="11"/>
      <c r="H7722" s="11"/>
      <c r="I7722" s="15"/>
    </row>
    <row r="7723" spans="1:9" ht="16.5">
      <c r="A7723" s="10" t="b">
        <v>0</v>
      </c>
      <c r="B7723" s="11" t="str">
        <f>IF(D7723&lt;&gt;"",IF(COUNTIF('USPTO TMs'!A:A,D7723)&gt;0,"Yes","No"),"")</f>
        <v/>
      </c>
      <c r="C7723" s="11"/>
      <c r="D7723" s="11"/>
      <c r="E7723" s="11"/>
      <c r="F7723" s="11"/>
      <c r="G7723" s="11"/>
      <c r="H7723" s="11"/>
      <c r="I7723" s="15"/>
    </row>
    <row r="7724" spans="1:9" ht="16.5">
      <c r="A7724" s="10" t="b">
        <v>0</v>
      </c>
      <c r="B7724" s="11" t="str">
        <f>IF(D7724&lt;&gt;"",IF(COUNTIF('USPTO TMs'!A:A,D7724)&gt;0,"Yes","No"),"")</f>
        <v/>
      </c>
      <c r="C7724" s="11"/>
      <c r="D7724" s="11"/>
      <c r="E7724" s="11"/>
      <c r="F7724" s="11"/>
      <c r="G7724" s="11"/>
      <c r="H7724" s="11"/>
      <c r="I7724" s="15"/>
    </row>
    <row r="7725" spans="1:9" ht="16.5">
      <c r="A7725" s="10" t="b">
        <v>0</v>
      </c>
      <c r="B7725" s="11" t="str">
        <f>IF(D7725&lt;&gt;"",IF(COUNTIF('USPTO TMs'!A:A,D7725)&gt;0,"Yes","No"),"")</f>
        <v/>
      </c>
      <c r="C7725" s="11"/>
      <c r="D7725" s="11"/>
      <c r="E7725" s="11"/>
      <c r="F7725" s="11"/>
      <c r="G7725" s="11"/>
      <c r="H7725" s="11"/>
      <c r="I7725" s="15"/>
    </row>
    <row r="7726" spans="1:9" ht="16.5">
      <c r="A7726" s="10" t="b">
        <v>0</v>
      </c>
      <c r="B7726" s="11" t="str">
        <f>IF(D7726&lt;&gt;"",IF(COUNTIF('USPTO TMs'!A:A,D7726)&gt;0,"Yes","No"),"")</f>
        <v/>
      </c>
      <c r="C7726" s="11"/>
      <c r="D7726" s="11"/>
      <c r="E7726" s="11"/>
      <c r="F7726" s="11"/>
      <c r="G7726" s="11"/>
      <c r="H7726" s="11"/>
      <c r="I7726" s="15"/>
    </row>
    <row r="7727" spans="1:9" ht="16.5">
      <c r="A7727" s="10" t="b">
        <v>0</v>
      </c>
      <c r="B7727" s="11" t="str">
        <f>IF(D7727&lt;&gt;"",IF(COUNTIF('USPTO TMs'!A:A,D7727)&gt;0,"Yes","No"),"")</f>
        <v/>
      </c>
      <c r="C7727" s="11"/>
      <c r="D7727" s="11"/>
      <c r="E7727" s="11"/>
      <c r="F7727" s="11"/>
      <c r="G7727" s="11"/>
      <c r="H7727" s="11"/>
      <c r="I7727" s="15"/>
    </row>
    <row r="7728" spans="1:9" ht="16.5">
      <c r="A7728" s="10" t="b">
        <v>0</v>
      </c>
      <c r="B7728" s="11" t="str">
        <f>IF(D7728&lt;&gt;"",IF(COUNTIF('USPTO TMs'!A:A,D7728)&gt;0,"Yes","No"),"")</f>
        <v/>
      </c>
      <c r="C7728" s="11"/>
      <c r="D7728" s="11"/>
      <c r="E7728" s="11"/>
      <c r="F7728" s="11"/>
      <c r="G7728" s="11"/>
      <c r="H7728" s="11"/>
      <c r="I7728" s="15"/>
    </row>
    <row r="7729" spans="1:9" ht="16.5">
      <c r="A7729" s="10" t="b">
        <v>0</v>
      </c>
      <c r="B7729" s="11" t="str">
        <f>IF(D7729&lt;&gt;"",IF(COUNTIF('USPTO TMs'!A:A,D7729)&gt;0,"Yes","No"),"")</f>
        <v/>
      </c>
      <c r="C7729" s="11"/>
      <c r="D7729" s="11"/>
      <c r="E7729" s="11"/>
      <c r="F7729" s="11"/>
      <c r="G7729" s="11"/>
      <c r="H7729" s="11"/>
      <c r="I7729" s="15"/>
    </row>
    <row r="7730" spans="1:9" ht="16.5">
      <c r="A7730" s="10" t="b">
        <v>0</v>
      </c>
      <c r="B7730" s="11" t="str">
        <f>IF(D7730&lt;&gt;"",IF(COUNTIF('USPTO TMs'!A:A,D7730)&gt;0,"Yes","No"),"")</f>
        <v/>
      </c>
      <c r="C7730" s="11"/>
      <c r="D7730" s="11"/>
      <c r="E7730" s="11"/>
      <c r="F7730" s="11"/>
      <c r="G7730" s="11"/>
      <c r="H7730" s="11"/>
      <c r="I7730" s="15"/>
    </row>
    <row r="7731" spans="1:9" ht="16.5">
      <c r="A7731" s="10" t="b">
        <v>0</v>
      </c>
      <c r="B7731" s="11" t="str">
        <f>IF(D7731&lt;&gt;"",IF(COUNTIF('USPTO TMs'!A:A,D7731)&gt;0,"Yes","No"),"")</f>
        <v/>
      </c>
      <c r="C7731" s="11"/>
      <c r="D7731" s="11"/>
      <c r="E7731" s="11"/>
      <c r="F7731" s="11"/>
      <c r="G7731" s="11"/>
      <c r="H7731" s="11"/>
      <c r="I7731" s="15"/>
    </row>
    <row r="7732" spans="1:9" ht="16.5">
      <c r="A7732" s="10" t="b">
        <v>0</v>
      </c>
      <c r="B7732" s="11" t="str">
        <f>IF(D7732&lt;&gt;"",IF(COUNTIF('USPTO TMs'!A:A,D7732)&gt;0,"Yes","No"),"")</f>
        <v/>
      </c>
      <c r="C7732" s="11"/>
      <c r="D7732" s="11"/>
      <c r="E7732" s="11"/>
      <c r="F7732" s="11"/>
      <c r="G7732" s="11"/>
      <c r="H7732" s="11"/>
      <c r="I7732" s="15"/>
    </row>
    <row r="7733" spans="1:9" ht="16.5">
      <c r="A7733" s="10" t="b">
        <v>0</v>
      </c>
      <c r="B7733" s="11" t="str">
        <f>IF(D7733&lt;&gt;"",IF(COUNTIF('USPTO TMs'!A:A,D7733)&gt;0,"Yes","No"),"")</f>
        <v/>
      </c>
      <c r="C7733" s="11"/>
      <c r="D7733" s="11"/>
      <c r="E7733" s="11"/>
      <c r="F7733" s="11"/>
      <c r="G7733" s="11"/>
      <c r="H7733" s="11"/>
      <c r="I7733" s="15"/>
    </row>
    <row r="7734" spans="1:9" ht="16.5">
      <c r="A7734" s="10" t="b">
        <v>0</v>
      </c>
      <c r="B7734" s="11" t="str">
        <f>IF(D7734&lt;&gt;"",IF(COUNTIF('USPTO TMs'!A:A,D7734)&gt;0,"Yes","No"),"")</f>
        <v/>
      </c>
      <c r="C7734" s="11"/>
      <c r="D7734" s="11"/>
      <c r="E7734" s="11"/>
      <c r="F7734" s="11"/>
      <c r="G7734" s="11"/>
      <c r="H7734" s="11"/>
      <c r="I7734" s="15"/>
    </row>
    <row r="7735" spans="1:9" ht="16.5">
      <c r="A7735" s="10" t="b">
        <v>0</v>
      </c>
      <c r="B7735" s="11" t="str">
        <f>IF(D7735&lt;&gt;"",IF(COUNTIF('USPTO TMs'!A:A,D7735)&gt;0,"Yes","No"),"")</f>
        <v/>
      </c>
      <c r="C7735" s="11"/>
      <c r="D7735" s="11"/>
      <c r="E7735" s="11"/>
      <c r="F7735" s="11"/>
      <c r="G7735" s="11"/>
      <c r="H7735" s="11"/>
      <c r="I7735" s="15"/>
    </row>
    <row r="7736" spans="1:9" ht="16.5">
      <c r="A7736" s="10" t="b">
        <v>0</v>
      </c>
      <c r="B7736" s="11" t="str">
        <f>IF(D7736&lt;&gt;"",IF(COUNTIF('USPTO TMs'!A:A,D7736)&gt;0,"Yes","No"),"")</f>
        <v/>
      </c>
      <c r="C7736" s="11"/>
      <c r="D7736" s="11"/>
      <c r="E7736" s="11"/>
      <c r="F7736" s="11"/>
      <c r="G7736" s="11"/>
      <c r="H7736" s="11"/>
      <c r="I7736" s="15"/>
    </row>
    <row r="7737" spans="1:9" ht="16.5">
      <c r="A7737" s="10" t="b">
        <v>0</v>
      </c>
      <c r="B7737" s="11" t="str">
        <f>IF(D7737&lt;&gt;"",IF(COUNTIF('USPTO TMs'!A:A,D7737)&gt;0,"Yes","No"),"")</f>
        <v/>
      </c>
      <c r="C7737" s="11"/>
      <c r="D7737" s="11"/>
      <c r="E7737" s="11"/>
      <c r="F7737" s="11"/>
      <c r="G7737" s="11"/>
      <c r="H7737" s="11"/>
      <c r="I7737" s="15"/>
    </row>
    <row r="7738" spans="1:9" ht="16.5">
      <c r="A7738" s="10" t="b">
        <v>0</v>
      </c>
      <c r="B7738" s="11" t="str">
        <f>IF(D7738&lt;&gt;"",IF(COUNTIF('USPTO TMs'!A:A,D7738)&gt;0,"Yes","No"),"")</f>
        <v/>
      </c>
      <c r="C7738" s="11"/>
      <c r="D7738" s="11"/>
      <c r="E7738" s="11"/>
      <c r="F7738" s="11"/>
      <c r="G7738" s="11"/>
      <c r="H7738" s="11"/>
      <c r="I7738" s="15"/>
    </row>
    <row r="7739" spans="1:9" ht="16.5">
      <c r="A7739" s="10" t="b">
        <v>0</v>
      </c>
      <c r="B7739" s="11" t="str">
        <f>IF(D7739&lt;&gt;"",IF(COUNTIF('USPTO TMs'!A:A,D7739)&gt;0,"Yes","No"),"")</f>
        <v/>
      </c>
      <c r="C7739" s="11"/>
      <c r="D7739" s="11"/>
      <c r="E7739" s="11"/>
      <c r="F7739" s="11"/>
      <c r="G7739" s="11"/>
      <c r="H7739" s="11"/>
      <c r="I7739" s="15"/>
    </row>
    <row r="7740" spans="1:9" ht="16.5">
      <c r="A7740" s="10" t="b">
        <v>0</v>
      </c>
      <c r="B7740" s="11" t="str">
        <f>IF(D7740&lt;&gt;"",IF(COUNTIF('USPTO TMs'!A:A,D7740)&gt;0,"Yes","No"),"")</f>
        <v/>
      </c>
      <c r="C7740" s="11"/>
      <c r="D7740" s="11"/>
      <c r="E7740" s="11"/>
      <c r="F7740" s="11"/>
      <c r="G7740" s="11"/>
      <c r="H7740" s="11"/>
      <c r="I7740" s="15"/>
    </row>
    <row r="7741" spans="1:9" ht="16.5">
      <c r="A7741" s="10" t="b">
        <v>0</v>
      </c>
      <c r="B7741" s="11" t="str">
        <f>IF(D7741&lt;&gt;"",IF(COUNTIF('USPTO TMs'!A:A,D7741)&gt;0,"Yes","No"),"")</f>
        <v/>
      </c>
      <c r="C7741" s="11"/>
      <c r="D7741" s="11"/>
      <c r="E7741" s="11"/>
      <c r="F7741" s="11"/>
      <c r="G7741" s="11"/>
      <c r="H7741" s="11"/>
      <c r="I7741" s="15"/>
    </row>
    <row r="7742" spans="1:9" ht="16.5">
      <c r="A7742" s="10" t="b">
        <v>0</v>
      </c>
      <c r="B7742" s="11" t="str">
        <f>IF(D7742&lt;&gt;"",IF(COUNTIF('USPTO TMs'!A:A,D7742)&gt;0,"Yes","No"),"")</f>
        <v/>
      </c>
      <c r="C7742" s="11"/>
      <c r="D7742" s="11"/>
      <c r="E7742" s="11"/>
      <c r="F7742" s="11"/>
      <c r="G7742" s="11"/>
      <c r="H7742" s="11"/>
      <c r="I7742" s="15"/>
    </row>
    <row r="7743" spans="1:9" ht="16.5">
      <c r="A7743" s="10" t="b">
        <v>0</v>
      </c>
      <c r="B7743" s="11" t="str">
        <f>IF(D7743&lt;&gt;"",IF(COUNTIF('USPTO TMs'!A:A,D7743)&gt;0,"Yes","No"),"")</f>
        <v/>
      </c>
      <c r="C7743" s="11"/>
      <c r="D7743" s="11"/>
      <c r="E7743" s="11"/>
      <c r="F7743" s="11"/>
      <c r="G7743" s="11"/>
      <c r="H7743" s="11"/>
      <c r="I7743" s="15"/>
    </row>
    <row r="7744" spans="1:9" ht="16.5">
      <c r="A7744" s="10" t="b">
        <v>0</v>
      </c>
      <c r="B7744" s="11" t="str">
        <f>IF(D7744&lt;&gt;"",IF(COUNTIF('USPTO TMs'!A:A,D7744)&gt;0,"Yes","No"),"")</f>
        <v/>
      </c>
      <c r="C7744" s="11"/>
      <c r="D7744" s="11"/>
      <c r="E7744" s="11"/>
      <c r="F7744" s="11"/>
      <c r="G7744" s="11"/>
      <c r="H7744" s="11"/>
      <c r="I7744" s="15"/>
    </row>
    <row r="7745" spans="1:9" ht="16.5">
      <c r="A7745" s="10" t="b">
        <v>0</v>
      </c>
      <c r="B7745" s="11" t="str">
        <f>IF(D7745&lt;&gt;"",IF(COUNTIF('USPTO TMs'!A:A,D7745)&gt;0,"Yes","No"),"")</f>
        <v/>
      </c>
      <c r="C7745" s="11"/>
      <c r="D7745" s="11"/>
      <c r="E7745" s="11"/>
      <c r="F7745" s="11"/>
      <c r="G7745" s="11"/>
      <c r="H7745" s="11"/>
      <c r="I7745" s="15"/>
    </row>
    <row r="7746" spans="1:9" ht="16.5">
      <c r="A7746" s="10" t="b">
        <v>0</v>
      </c>
      <c r="B7746" s="11" t="str">
        <f>IF(D7746&lt;&gt;"",IF(COUNTIF('USPTO TMs'!A:A,D7746)&gt;0,"Yes","No"),"")</f>
        <v/>
      </c>
      <c r="C7746" s="11"/>
      <c r="D7746" s="11"/>
      <c r="E7746" s="11"/>
      <c r="F7746" s="11"/>
      <c r="G7746" s="11"/>
      <c r="H7746" s="11"/>
      <c r="I7746" s="15"/>
    </row>
    <row r="7747" spans="1:9" ht="16.5">
      <c r="A7747" s="10" t="b">
        <v>0</v>
      </c>
      <c r="B7747" s="11" t="str">
        <f>IF(D7747&lt;&gt;"",IF(COUNTIF('USPTO TMs'!A:A,D7747)&gt;0,"Yes","No"),"")</f>
        <v/>
      </c>
      <c r="C7747" s="11"/>
      <c r="D7747" s="11"/>
      <c r="E7747" s="11"/>
      <c r="F7747" s="11"/>
      <c r="G7747" s="11"/>
      <c r="H7747" s="11"/>
      <c r="I7747" s="15"/>
    </row>
    <row r="7748" spans="1:9" ht="16.5">
      <c r="A7748" s="10" t="b">
        <v>0</v>
      </c>
      <c r="B7748" s="11" t="str">
        <f>IF(D7748&lt;&gt;"",IF(COUNTIF('USPTO TMs'!A:A,D7748)&gt;0,"Yes","No"),"")</f>
        <v/>
      </c>
      <c r="C7748" s="11"/>
      <c r="D7748" s="11"/>
      <c r="E7748" s="11"/>
      <c r="F7748" s="11"/>
      <c r="G7748" s="11"/>
      <c r="H7748" s="11"/>
      <c r="I7748" s="15"/>
    </row>
    <row r="7749" spans="1:9" ht="16.5">
      <c r="A7749" s="10" t="b">
        <v>0</v>
      </c>
      <c r="B7749" s="11" t="str">
        <f>IF(D7749&lt;&gt;"",IF(COUNTIF('USPTO TMs'!A:A,D7749)&gt;0,"Yes","No"),"")</f>
        <v/>
      </c>
      <c r="C7749" s="11"/>
      <c r="D7749" s="11"/>
      <c r="E7749" s="11"/>
      <c r="F7749" s="11"/>
      <c r="G7749" s="11"/>
      <c r="H7749" s="11"/>
      <c r="I7749" s="15"/>
    </row>
    <row r="7750" spans="1:9" ht="16.5">
      <c r="A7750" s="10" t="b">
        <v>0</v>
      </c>
      <c r="B7750" s="11" t="str">
        <f>IF(D7750&lt;&gt;"",IF(COUNTIF('USPTO TMs'!A:A,D7750)&gt;0,"Yes","No"),"")</f>
        <v/>
      </c>
      <c r="C7750" s="11"/>
      <c r="D7750" s="11"/>
      <c r="E7750" s="11"/>
      <c r="F7750" s="11"/>
      <c r="G7750" s="11"/>
      <c r="H7750" s="11"/>
      <c r="I7750" s="15"/>
    </row>
    <row r="7751" spans="1:9" ht="16.5">
      <c r="A7751" s="10" t="b">
        <v>0</v>
      </c>
      <c r="B7751" s="11" t="str">
        <f>IF(D7751&lt;&gt;"",IF(COUNTIF('USPTO TMs'!A:A,D7751)&gt;0,"Yes","No"),"")</f>
        <v/>
      </c>
      <c r="C7751" s="11"/>
      <c r="D7751" s="11"/>
      <c r="E7751" s="11"/>
      <c r="F7751" s="11"/>
      <c r="G7751" s="11"/>
      <c r="H7751" s="11"/>
      <c r="I7751" s="15"/>
    </row>
    <row r="7752" spans="1:9" ht="16.5">
      <c r="A7752" s="10" t="b">
        <v>0</v>
      </c>
      <c r="B7752" s="11" t="str">
        <f>IF(D7752&lt;&gt;"",IF(COUNTIF('USPTO TMs'!A:A,D7752)&gt;0,"Yes","No"),"")</f>
        <v/>
      </c>
      <c r="C7752" s="11"/>
      <c r="D7752" s="11"/>
      <c r="E7752" s="11"/>
      <c r="F7752" s="11"/>
      <c r="G7752" s="11"/>
      <c r="H7752" s="11"/>
      <c r="I7752" s="15"/>
    </row>
    <row r="7753" spans="1:9" ht="16.5">
      <c r="A7753" s="10" t="b">
        <v>0</v>
      </c>
      <c r="B7753" s="11" t="str">
        <f>IF(D7753&lt;&gt;"",IF(COUNTIF('USPTO TMs'!A:A,D7753)&gt;0,"Yes","No"),"")</f>
        <v/>
      </c>
      <c r="C7753" s="11"/>
      <c r="D7753" s="11"/>
      <c r="E7753" s="11"/>
      <c r="F7753" s="11"/>
      <c r="G7753" s="11"/>
      <c r="H7753" s="11"/>
      <c r="I7753" s="15"/>
    </row>
    <row r="7754" spans="1:9" ht="16.5">
      <c r="A7754" s="10" t="b">
        <v>0</v>
      </c>
      <c r="B7754" s="11" t="str">
        <f>IF(D7754&lt;&gt;"",IF(COUNTIF('USPTO TMs'!A:A,D7754)&gt;0,"Yes","No"),"")</f>
        <v/>
      </c>
      <c r="C7754" s="11"/>
      <c r="D7754" s="11"/>
      <c r="E7754" s="11"/>
      <c r="F7754" s="11"/>
      <c r="G7754" s="11"/>
      <c r="H7754" s="11"/>
      <c r="I7754" s="15"/>
    </row>
    <row r="7755" spans="1:9" ht="16.5">
      <c r="A7755" s="10" t="b">
        <v>0</v>
      </c>
      <c r="B7755" s="11" t="str">
        <f>IF(D7755&lt;&gt;"",IF(COUNTIF('USPTO TMs'!A:A,D7755)&gt;0,"Yes","No"),"")</f>
        <v/>
      </c>
      <c r="C7755" s="11"/>
      <c r="D7755" s="11"/>
      <c r="E7755" s="11"/>
      <c r="F7755" s="11"/>
      <c r="G7755" s="11"/>
      <c r="H7755" s="11"/>
      <c r="I7755" s="15"/>
    </row>
    <row r="7756" spans="1:9" ht="16.5">
      <c r="A7756" s="10" t="b">
        <v>0</v>
      </c>
      <c r="B7756" s="11" t="str">
        <f>IF(D7756&lt;&gt;"",IF(COUNTIF('USPTO TMs'!A:A,D7756)&gt;0,"Yes","No"),"")</f>
        <v/>
      </c>
      <c r="C7756" s="11"/>
      <c r="D7756" s="11"/>
      <c r="E7756" s="11"/>
      <c r="F7756" s="11"/>
      <c r="G7756" s="11"/>
      <c r="H7756" s="11"/>
      <c r="I7756" s="15"/>
    </row>
    <row r="7757" spans="1:9" ht="16.5">
      <c r="A7757" s="10" t="b">
        <v>0</v>
      </c>
      <c r="B7757" s="11" t="str">
        <f>IF(D7757&lt;&gt;"",IF(COUNTIF('USPTO TMs'!A:A,D7757)&gt;0,"Yes","No"),"")</f>
        <v/>
      </c>
      <c r="C7757" s="11"/>
      <c r="D7757" s="11"/>
      <c r="E7757" s="11"/>
      <c r="F7757" s="11"/>
      <c r="G7757" s="11"/>
      <c r="H7757" s="11"/>
      <c r="I7757" s="15"/>
    </row>
    <row r="7758" spans="1:9" ht="16.5">
      <c r="A7758" s="10" t="b">
        <v>0</v>
      </c>
      <c r="B7758" s="11" t="str">
        <f>IF(D7758&lt;&gt;"",IF(COUNTIF('USPTO TMs'!A:A,D7758)&gt;0,"Yes","No"),"")</f>
        <v/>
      </c>
      <c r="C7758" s="11"/>
      <c r="D7758" s="11"/>
      <c r="E7758" s="11"/>
      <c r="F7758" s="11"/>
      <c r="G7758" s="11"/>
      <c r="H7758" s="11"/>
      <c r="I7758" s="15"/>
    </row>
    <row r="7759" spans="1:9" ht="16.5">
      <c r="A7759" s="10" t="b">
        <v>0</v>
      </c>
      <c r="B7759" s="11" t="str">
        <f>IF(D7759&lt;&gt;"",IF(COUNTIF('USPTO TMs'!A:A,D7759)&gt;0,"Yes","No"),"")</f>
        <v/>
      </c>
      <c r="C7759" s="11"/>
      <c r="D7759" s="11"/>
      <c r="E7759" s="11"/>
      <c r="F7759" s="11"/>
      <c r="G7759" s="11"/>
      <c r="H7759" s="11"/>
      <c r="I7759" s="15"/>
    </row>
    <row r="7760" spans="1:9" ht="16.5">
      <c r="A7760" s="10" t="b">
        <v>0</v>
      </c>
      <c r="B7760" s="11" t="str">
        <f>IF(D7760&lt;&gt;"",IF(COUNTIF('USPTO TMs'!A:A,D7760)&gt;0,"Yes","No"),"")</f>
        <v/>
      </c>
      <c r="C7760" s="11"/>
      <c r="D7760" s="11"/>
      <c r="E7760" s="11"/>
      <c r="F7760" s="11"/>
      <c r="G7760" s="11"/>
      <c r="H7760" s="11"/>
      <c r="I7760" s="15"/>
    </row>
    <row r="7761" spans="1:9" ht="16.5">
      <c r="A7761" s="10" t="b">
        <v>0</v>
      </c>
      <c r="B7761" s="11" t="str">
        <f>IF(D7761&lt;&gt;"",IF(COUNTIF('USPTO TMs'!A:A,D7761)&gt;0,"Yes","No"),"")</f>
        <v/>
      </c>
      <c r="C7761" s="11"/>
      <c r="D7761" s="11"/>
      <c r="E7761" s="11"/>
      <c r="F7761" s="11"/>
      <c r="G7761" s="11"/>
      <c r="H7761" s="11"/>
      <c r="I7761" s="15"/>
    </row>
    <row r="7762" spans="1:9" ht="16.5">
      <c r="A7762" s="10" t="b">
        <v>0</v>
      </c>
      <c r="B7762" s="11" t="str">
        <f>IF(D7762&lt;&gt;"",IF(COUNTIF('USPTO TMs'!A:A,D7762)&gt;0,"Yes","No"),"")</f>
        <v/>
      </c>
      <c r="C7762" s="11"/>
      <c r="D7762" s="11"/>
      <c r="E7762" s="11"/>
      <c r="F7762" s="11"/>
      <c r="G7762" s="11"/>
      <c r="H7762" s="11"/>
      <c r="I7762" s="15"/>
    </row>
    <row r="7763" spans="1:9" ht="16.5">
      <c r="A7763" s="10" t="b">
        <v>0</v>
      </c>
      <c r="B7763" s="11" t="str">
        <f>IF(D7763&lt;&gt;"",IF(COUNTIF('USPTO TMs'!A:A,D7763)&gt;0,"Yes","No"),"")</f>
        <v/>
      </c>
      <c r="C7763" s="11"/>
      <c r="D7763" s="11"/>
      <c r="E7763" s="11"/>
      <c r="F7763" s="11"/>
      <c r="G7763" s="11"/>
      <c r="H7763" s="11"/>
      <c r="I7763" s="15"/>
    </row>
    <row r="7764" spans="1:9" ht="16.5">
      <c r="A7764" s="10" t="b">
        <v>0</v>
      </c>
      <c r="B7764" s="11" t="str">
        <f>IF(D7764&lt;&gt;"",IF(COUNTIF('USPTO TMs'!A:A,D7764)&gt;0,"Yes","No"),"")</f>
        <v/>
      </c>
      <c r="C7764" s="11"/>
      <c r="D7764" s="11"/>
      <c r="E7764" s="11"/>
      <c r="F7764" s="11"/>
      <c r="G7764" s="11"/>
      <c r="H7764" s="11"/>
      <c r="I7764" s="15"/>
    </row>
    <row r="7765" spans="1:9" ht="16.5">
      <c r="A7765" s="10" t="b">
        <v>0</v>
      </c>
      <c r="B7765" s="11" t="str">
        <f>IF(D7765&lt;&gt;"",IF(COUNTIF('USPTO TMs'!A:A,D7765)&gt;0,"Yes","No"),"")</f>
        <v/>
      </c>
      <c r="C7765" s="11"/>
      <c r="D7765" s="11"/>
      <c r="E7765" s="11"/>
      <c r="F7765" s="11"/>
      <c r="G7765" s="11"/>
      <c r="H7765" s="11"/>
      <c r="I7765" s="15"/>
    </row>
    <row r="7766" spans="1:9" ht="16.5">
      <c r="A7766" s="10" t="b">
        <v>0</v>
      </c>
      <c r="B7766" s="11" t="str">
        <f>IF(D7766&lt;&gt;"",IF(COUNTIF('USPTO TMs'!A:A,D7766)&gt;0,"Yes","No"),"")</f>
        <v/>
      </c>
      <c r="C7766" s="11"/>
      <c r="D7766" s="11"/>
      <c r="E7766" s="11"/>
      <c r="F7766" s="11"/>
      <c r="G7766" s="11"/>
      <c r="H7766" s="11"/>
      <c r="I7766" s="15"/>
    </row>
    <row r="7767" spans="1:9" ht="16.5">
      <c r="A7767" s="10" t="b">
        <v>0</v>
      </c>
      <c r="B7767" s="11" t="str">
        <f>IF(D7767&lt;&gt;"",IF(COUNTIF('USPTO TMs'!A:A,D7767)&gt;0,"Yes","No"),"")</f>
        <v/>
      </c>
      <c r="C7767" s="11"/>
      <c r="D7767" s="11"/>
      <c r="E7767" s="11"/>
      <c r="F7767" s="11"/>
      <c r="G7767" s="11"/>
      <c r="H7767" s="11"/>
      <c r="I7767" s="15"/>
    </row>
    <row r="7768" spans="1:9" ht="16.5">
      <c r="A7768" s="10" t="b">
        <v>0</v>
      </c>
      <c r="B7768" s="11" t="str">
        <f>IF(D7768&lt;&gt;"",IF(COUNTIF('USPTO TMs'!A:A,D7768)&gt;0,"Yes","No"),"")</f>
        <v/>
      </c>
      <c r="C7768" s="11"/>
      <c r="D7768" s="11"/>
      <c r="E7768" s="11"/>
      <c r="F7768" s="11"/>
      <c r="G7768" s="11"/>
      <c r="H7768" s="11"/>
      <c r="I7768" s="15"/>
    </row>
    <row r="7769" spans="1:9" ht="16.5">
      <c r="A7769" s="10" t="b">
        <v>0</v>
      </c>
      <c r="B7769" s="11" t="str">
        <f>IF(D7769&lt;&gt;"",IF(COUNTIF('USPTO TMs'!A:A,D7769)&gt;0,"Yes","No"),"")</f>
        <v/>
      </c>
      <c r="C7769" s="11"/>
      <c r="D7769" s="11"/>
      <c r="E7769" s="11"/>
      <c r="F7769" s="11"/>
      <c r="G7769" s="11"/>
      <c r="H7769" s="11"/>
      <c r="I7769" s="15"/>
    </row>
    <row r="7770" spans="1:9" ht="16.5">
      <c r="A7770" s="10" t="b">
        <v>0</v>
      </c>
      <c r="B7770" s="11" t="str">
        <f>IF(D7770&lt;&gt;"",IF(COUNTIF('USPTO TMs'!A:A,D7770)&gt;0,"Yes","No"),"")</f>
        <v/>
      </c>
      <c r="C7770" s="11"/>
      <c r="D7770" s="11"/>
      <c r="E7770" s="11"/>
      <c r="F7770" s="11"/>
      <c r="G7770" s="11"/>
      <c r="H7770" s="11"/>
      <c r="I7770" s="15"/>
    </row>
    <row r="7771" spans="1:9" ht="16.5">
      <c r="A7771" s="10" t="b">
        <v>0</v>
      </c>
      <c r="B7771" s="11" t="str">
        <f>IF(D7771&lt;&gt;"",IF(COUNTIF('USPTO TMs'!A:A,D7771)&gt;0,"Yes","No"),"")</f>
        <v/>
      </c>
      <c r="C7771" s="11"/>
      <c r="D7771" s="11"/>
      <c r="E7771" s="11"/>
      <c r="F7771" s="11"/>
      <c r="G7771" s="11"/>
      <c r="H7771" s="11"/>
      <c r="I7771" s="15"/>
    </row>
    <row r="7772" spans="1:9" ht="16.5">
      <c r="A7772" s="10" t="b">
        <v>0</v>
      </c>
      <c r="B7772" s="11" t="str">
        <f>IF(D7772&lt;&gt;"",IF(COUNTIF('USPTO TMs'!A:A,D7772)&gt;0,"Yes","No"),"")</f>
        <v/>
      </c>
      <c r="C7772" s="11"/>
      <c r="D7772" s="11"/>
      <c r="E7772" s="11"/>
      <c r="F7772" s="11"/>
      <c r="G7772" s="11"/>
      <c r="H7772" s="11"/>
      <c r="I7772" s="15"/>
    </row>
    <row r="7773" spans="1:9" ht="16.5">
      <c r="A7773" s="10" t="b">
        <v>0</v>
      </c>
      <c r="B7773" s="11" t="str">
        <f>IF(D7773&lt;&gt;"",IF(COUNTIF('USPTO TMs'!A:A,D7773)&gt;0,"Yes","No"),"")</f>
        <v/>
      </c>
      <c r="C7773" s="11"/>
      <c r="D7773" s="11"/>
      <c r="E7773" s="11"/>
      <c r="F7773" s="11"/>
      <c r="G7773" s="11"/>
      <c r="H7773" s="11"/>
      <c r="I7773" s="15"/>
    </row>
    <row r="7774" spans="1:9" ht="16.5">
      <c r="A7774" s="10" t="b">
        <v>0</v>
      </c>
      <c r="B7774" s="11" t="str">
        <f>IF(D7774&lt;&gt;"",IF(COUNTIF('USPTO TMs'!A:A,D7774)&gt;0,"Yes","No"),"")</f>
        <v/>
      </c>
      <c r="C7774" s="11"/>
      <c r="D7774" s="11"/>
      <c r="E7774" s="11"/>
      <c r="F7774" s="11"/>
      <c r="G7774" s="11"/>
      <c r="H7774" s="11"/>
      <c r="I7774" s="15"/>
    </row>
    <row r="7775" spans="1:9" ht="16.5">
      <c r="A7775" s="10" t="b">
        <v>0</v>
      </c>
      <c r="B7775" s="11" t="str">
        <f>IF(D7775&lt;&gt;"",IF(COUNTIF('USPTO TMs'!A:A,D7775)&gt;0,"Yes","No"),"")</f>
        <v/>
      </c>
      <c r="C7775" s="11"/>
      <c r="D7775" s="11"/>
      <c r="E7775" s="11"/>
      <c r="F7775" s="11"/>
      <c r="G7775" s="11"/>
      <c r="H7775" s="11"/>
      <c r="I7775" s="15"/>
    </row>
    <row r="7776" spans="1:9" ht="16.5">
      <c r="A7776" s="10" t="b">
        <v>0</v>
      </c>
      <c r="B7776" s="11" t="str">
        <f>IF(D7776&lt;&gt;"",IF(COUNTIF('USPTO TMs'!A:A,D7776)&gt;0,"Yes","No"),"")</f>
        <v/>
      </c>
      <c r="C7776" s="11"/>
      <c r="D7776" s="11"/>
      <c r="E7776" s="11"/>
      <c r="F7776" s="11"/>
      <c r="G7776" s="11"/>
      <c r="H7776" s="11"/>
      <c r="I7776" s="15"/>
    </row>
    <row r="7777" spans="1:9" ht="16.5">
      <c r="A7777" s="10" t="b">
        <v>0</v>
      </c>
      <c r="B7777" s="11" t="str">
        <f>IF(D7777&lt;&gt;"",IF(COUNTIF('USPTO TMs'!A:A,D7777)&gt;0,"Yes","No"),"")</f>
        <v/>
      </c>
      <c r="C7777" s="11"/>
      <c r="D7777" s="11"/>
      <c r="E7777" s="11"/>
      <c r="F7777" s="11"/>
      <c r="G7777" s="11"/>
      <c r="H7777" s="11"/>
      <c r="I7777" s="15"/>
    </row>
    <row r="7778" spans="1:9" ht="16.5">
      <c r="A7778" s="10" t="b">
        <v>0</v>
      </c>
      <c r="B7778" s="11" t="str">
        <f>IF(D7778&lt;&gt;"",IF(COUNTIF('USPTO TMs'!A:A,D7778)&gt;0,"Yes","No"),"")</f>
        <v/>
      </c>
      <c r="C7778" s="11"/>
      <c r="D7778" s="11"/>
      <c r="E7778" s="11"/>
      <c r="F7778" s="11"/>
      <c r="G7778" s="11"/>
      <c r="H7778" s="11"/>
      <c r="I7778" s="15"/>
    </row>
    <row r="7779" spans="1:9" ht="16.5">
      <c r="A7779" s="10" t="b">
        <v>0</v>
      </c>
      <c r="B7779" s="11" t="str">
        <f>IF(D7779&lt;&gt;"",IF(COUNTIF('USPTO TMs'!A:A,D7779)&gt;0,"Yes","No"),"")</f>
        <v/>
      </c>
      <c r="C7779" s="11"/>
      <c r="D7779" s="11"/>
      <c r="E7779" s="11"/>
      <c r="F7779" s="11"/>
      <c r="G7779" s="11"/>
      <c r="H7779" s="11"/>
      <c r="I7779" s="15"/>
    </row>
    <row r="7780" spans="1:9" ht="16.5">
      <c r="A7780" s="10" t="b">
        <v>0</v>
      </c>
      <c r="B7780" s="11" t="str">
        <f>IF(D7780&lt;&gt;"",IF(COUNTIF('USPTO TMs'!A:A,D7780)&gt;0,"Yes","No"),"")</f>
        <v/>
      </c>
      <c r="C7780" s="11"/>
      <c r="D7780" s="11"/>
      <c r="E7780" s="11"/>
      <c r="F7780" s="11"/>
      <c r="G7780" s="11"/>
      <c r="H7780" s="11"/>
      <c r="I7780" s="15"/>
    </row>
    <row r="7781" spans="1:9" ht="16.5">
      <c r="A7781" s="10" t="b">
        <v>0</v>
      </c>
      <c r="B7781" s="11" t="str">
        <f>IF(D7781&lt;&gt;"",IF(COUNTIF('USPTO TMs'!A:A,D7781)&gt;0,"Yes","No"),"")</f>
        <v/>
      </c>
      <c r="C7781" s="11"/>
      <c r="D7781" s="11"/>
      <c r="E7781" s="11"/>
      <c r="F7781" s="11"/>
      <c r="G7781" s="11"/>
      <c r="H7781" s="11"/>
      <c r="I7781" s="15"/>
    </row>
    <row r="7782" spans="1:9" ht="16.5">
      <c r="A7782" s="10" t="b">
        <v>0</v>
      </c>
      <c r="B7782" s="11" t="str">
        <f>IF(D7782&lt;&gt;"",IF(COUNTIF('USPTO TMs'!A:A,D7782)&gt;0,"Yes","No"),"")</f>
        <v/>
      </c>
      <c r="C7782" s="11"/>
      <c r="D7782" s="11"/>
      <c r="E7782" s="11"/>
      <c r="F7782" s="11"/>
      <c r="G7782" s="11"/>
      <c r="H7782" s="11"/>
      <c r="I7782" s="15"/>
    </row>
    <row r="7783" spans="1:9" ht="16.5">
      <c r="A7783" s="10" t="b">
        <v>0</v>
      </c>
      <c r="B7783" s="11" t="str">
        <f>IF(D7783&lt;&gt;"",IF(COUNTIF('USPTO TMs'!A:A,D7783)&gt;0,"Yes","No"),"")</f>
        <v/>
      </c>
      <c r="C7783" s="11"/>
      <c r="D7783" s="11"/>
      <c r="E7783" s="11"/>
      <c r="F7783" s="11"/>
      <c r="G7783" s="11"/>
      <c r="H7783" s="11"/>
      <c r="I7783" s="15"/>
    </row>
    <row r="7784" spans="1:9" ht="16.5">
      <c r="A7784" s="10" t="b">
        <v>0</v>
      </c>
      <c r="B7784" s="11" t="str">
        <f>IF(D7784&lt;&gt;"",IF(COUNTIF('USPTO TMs'!A:A,D7784)&gt;0,"Yes","No"),"")</f>
        <v/>
      </c>
      <c r="C7784" s="11"/>
      <c r="D7784" s="11"/>
      <c r="E7784" s="11"/>
      <c r="F7784" s="11"/>
      <c r="G7784" s="11"/>
      <c r="H7784" s="11"/>
      <c r="I7784" s="15"/>
    </row>
    <row r="7785" spans="1:9" ht="16.5">
      <c r="A7785" s="10" t="b">
        <v>0</v>
      </c>
      <c r="B7785" s="11" t="str">
        <f>IF(D7785&lt;&gt;"",IF(COUNTIF('USPTO TMs'!A:A,D7785)&gt;0,"Yes","No"),"")</f>
        <v/>
      </c>
      <c r="C7785" s="11"/>
      <c r="D7785" s="11"/>
      <c r="E7785" s="11"/>
      <c r="F7785" s="11"/>
      <c r="G7785" s="11"/>
      <c r="H7785" s="11"/>
      <c r="I7785" s="15"/>
    </row>
    <row r="7786" spans="1:9" ht="16.5">
      <c r="A7786" s="10" t="b">
        <v>0</v>
      </c>
      <c r="B7786" s="11" t="str">
        <f>IF(D7786&lt;&gt;"",IF(COUNTIF('USPTO TMs'!A:A,D7786)&gt;0,"Yes","No"),"")</f>
        <v/>
      </c>
      <c r="C7786" s="11"/>
      <c r="D7786" s="11"/>
      <c r="E7786" s="11"/>
      <c r="F7786" s="11"/>
      <c r="G7786" s="11"/>
      <c r="H7786" s="11"/>
      <c r="I7786" s="15"/>
    </row>
    <row r="7787" spans="1:9" ht="16.5">
      <c r="A7787" s="10" t="b">
        <v>0</v>
      </c>
      <c r="B7787" s="11" t="str">
        <f>IF(D7787&lt;&gt;"",IF(COUNTIF('USPTO TMs'!A:A,D7787)&gt;0,"Yes","No"),"")</f>
        <v/>
      </c>
      <c r="C7787" s="11"/>
      <c r="D7787" s="11"/>
      <c r="E7787" s="11"/>
      <c r="F7787" s="11"/>
      <c r="G7787" s="11"/>
      <c r="H7787" s="11"/>
      <c r="I7787" s="15"/>
    </row>
    <row r="7788" spans="1:9" ht="16.5">
      <c r="A7788" s="10" t="b">
        <v>0</v>
      </c>
      <c r="B7788" s="11" t="str">
        <f>IF(D7788&lt;&gt;"",IF(COUNTIF('USPTO TMs'!A:A,D7788)&gt;0,"Yes","No"),"")</f>
        <v/>
      </c>
      <c r="C7788" s="11"/>
      <c r="D7788" s="11"/>
      <c r="E7788" s="11"/>
      <c r="F7788" s="11"/>
      <c r="G7788" s="11"/>
      <c r="H7788" s="11"/>
      <c r="I7788" s="15"/>
    </row>
    <row r="7789" spans="1:9" ht="16.5">
      <c r="A7789" s="10" t="b">
        <v>0</v>
      </c>
      <c r="B7789" s="11" t="str">
        <f>IF(D7789&lt;&gt;"",IF(COUNTIF('USPTO TMs'!A:A,D7789)&gt;0,"Yes","No"),"")</f>
        <v/>
      </c>
      <c r="C7789" s="11"/>
      <c r="D7789" s="11"/>
      <c r="E7789" s="11"/>
      <c r="F7789" s="11"/>
      <c r="G7789" s="11"/>
      <c r="H7789" s="11"/>
      <c r="I7789" s="15"/>
    </row>
    <row r="7790" spans="1:9" ht="16.5">
      <c r="A7790" s="10" t="b">
        <v>0</v>
      </c>
      <c r="B7790" s="11" t="str">
        <f>IF(D7790&lt;&gt;"",IF(COUNTIF('USPTO TMs'!A:A,D7790)&gt;0,"Yes","No"),"")</f>
        <v/>
      </c>
      <c r="C7790" s="11"/>
      <c r="D7790" s="11"/>
      <c r="E7790" s="11"/>
      <c r="F7790" s="11"/>
      <c r="G7790" s="11"/>
      <c r="H7790" s="11"/>
      <c r="I7790" s="15"/>
    </row>
    <row r="7791" spans="1:9" ht="16.5">
      <c r="A7791" s="10" t="b">
        <v>0</v>
      </c>
      <c r="B7791" s="11" t="str">
        <f>IF(D7791&lt;&gt;"",IF(COUNTIF('USPTO TMs'!A:A,D7791)&gt;0,"Yes","No"),"")</f>
        <v/>
      </c>
      <c r="C7791" s="11"/>
      <c r="D7791" s="11"/>
      <c r="E7791" s="11"/>
      <c r="F7791" s="11"/>
      <c r="G7791" s="11"/>
      <c r="H7791" s="11"/>
      <c r="I7791" s="15"/>
    </row>
    <row r="7792" spans="1:9" ht="16.5">
      <c r="A7792" s="10" t="b">
        <v>0</v>
      </c>
      <c r="B7792" s="11" t="str">
        <f>IF(D7792&lt;&gt;"",IF(COUNTIF('USPTO TMs'!A:A,D7792)&gt;0,"Yes","No"),"")</f>
        <v/>
      </c>
      <c r="C7792" s="11"/>
      <c r="D7792" s="11"/>
      <c r="E7792" s="11"/>
      <c r="F7792" s="11"/>
      <c r="G7792" s="11"/>
      <c r="H7792" s="11"/>
      <c r="I7792" s="15"/>
    </row>
    <row r="7793" spans="1:9" ht="16.5">
      <c r="A7793" s="10" t="b">
        <v>0</v>
      </c>
      <c r="B7793" s="11" t="str">
        <f>IF(D7793&lt;&gt;"",IF(COUNTIF('USPTO TMs'!A:A,D7793)&gt;0,"Yes","No"),"")</f>
        <v/>
      </c>
      <c r="C7793" s="11"/>
      <c r="D7793" s="11"/>
      <c r="E7793" s="11"/>
      <c r="F7793" s="11"/>
      <c r="G7793" s="11"/>
      <c r="H7793" s="11"/>
      <c r="I7793" s="15"/>
    </row>
    <row r="7794" spans="1:9" ht="16.5">
      <c r="A7794" s="10" t="b">
        <v>0</v>
      </c>
      <c r="B7794" s="11" t="str">
        <f>IF(D7794&lt;&gt;"",IF(COUNTIF('USPTO TMs'!A:A,D7794)&gt;0,"Yes","No"),"")</f>
        <v/>
      </c>
      <c r="C7794" s="11"/>
      <c r="D7794" s="11"/>
      <c r="E7794" s="11"/>
      <c r="F7794" s="11"/>
      <c r="G7794" s="11"/>
      <c r="H7794" s="11"/>
      <c r="I7794" s="15"/>
    </row>
    <row r="7795" spans="1:9" ht="16.5">
      <c r="A7795" s="10" t="b">
        <v>0</v>
      </c>
      <c r="B7795" s="11" t="str">
        <f>IF(D7795&lt;&gt;"",IF(COUNTIF('USPTO TMs'!A:A,D7795)&gt;0,"Yes","No"),"")</f>
        <v/>
      </c>
      <c r="C7795" s="11"/>
      <c r="D7795" s="11"/>
      <c r="E7795" s="11"/>
      <c r="F7795" s="11"/>
      <c r="G7795" s="11"/>
      <c r="H7795" s="11"/>
      <c r="I7795" s="15"/>
    </row>
    <row r="7796" spans="1:9" ht="16.5">
      <c r="A7796" s="10" t="b">
        <v>0</v>
      </c>
      <c r="B7796" s="11" t="str">
        <f>IF(D7796&lt;&gt;"",IF(COUNTIF('USPTO TMs'!A:A,D7796)&gt;0,"Yes","No"),"")</f>
        <v/>
      </c>
      <c r="C7796" s="11"/>
      <c r="D7796" s="11"/>
      <c r="E7796" s="11"/>
      <c r="F7796" s="11"/>
      <c r="G7796" s="11"/>
      <c r="H7796" s="11"/>
      <c r="I7796" s="15"/>
    </row>
    <row r="7797" spans="1:9" ht="16.5">
      <c r="A7797" s="10" t="b">
        <v>0</v>
      </c>
      <c r="B7797" s="11" t="str">
        <f>IF(D7797&lt;&gt;"",IF(COUNTIF('USPTO TMs'!A:A,D7797)&gt;0,"Yes","No"),"")</f>
        <v/>
      </c>
      <c r="C7797" s="11"/>
      <c r="D7797" s="11"/>
      <c r="E7797" s="11"/>
      <c r="F7797" s="11"/>
      <c r="G7797" s="11"/>
      <c r="H7797" s="11"/>
      <c r="I7797" s="15"/>
    </row>
    <row r="7798" spans="1:9" ht="16.5">
      <c r="A7798" s="10" t="b">
        <v>0</v>
      </c>
      <c r="B7798" s="11" t="str">
        <f>IF(D7798&lt;&gt;"",IF(COUNTIF('USPTO TMs'!A:A,D7798)&gt;0,"Yes","No"),"")</f>
        <v/>
      </c>
      <c r="C7798" s="11"/>
      <c r="D7798" s="11"/>
      <c r="E7798" s="11"/>
      <c r="F7798" s="11"/>
      <c r="G7798" s="11"/>
      <c r="H7798" s="11"/>
      <c r="I7798" s="15"/>
    </row>
    <row r="7799" spans="1:9" ht="16.5">
      <c r="A7799" s="10" t="b">
        <v>0</v>
      </c>
      <c r="B7799" s="11" t="str">
        <f>IF(D7799&lt;&gt;"",IF(COUNTIF('USPTO TMs'!A:A,D7799)&gt;0,"Yes","No"),"")</f>
        <v/>
      </c>
      <c r="C7799" s="11"/>
      <c r="D7799" s="11"/>
      <c r="E7799" s="11"/>
      <c r="F7799" s="11"/>
      <c r="G7799" s="11"/>
      <c r="H7799" s="11"/>
      <c r="I7799" s="15"/>
    </row>
    <row r="7800" spans="1:9" ht="16.5">
      <c r="A7800" s="10" t="b">
        <v>0</v>
      </c>
      <c r="B7800" s="11" t="str">
        <f>IF(D7800&lt;&gt;"",IF(COUNTIF('USPTO TMs'!A:A,D7800)&gt;0,"Yes","No"),"")</f>
        <v/>
      </c>
      <c r="C7800" s="11"/>
      <c r="D7800" s="11"/>
      <c r="E7800" s="11"/>
      <c r="F7800" s="11"/>
      <c r="G7800" s="11"/>
      <c r="H7800" s="11"/>
      <c r="I7800" s="15"/>
    </row>
    <row r="7801" spans="1:9" ht="16.5">
      <c r="A7801" s="10" t="b">
        <v>0</v>
      </c>
      <c r="B7801" s="11" t="str">
        <f>IF(D7801&lt;&gt;"",IF(COUNTIF('USPTO TMs'!A:A,D7801)&gt;0,"Yes","No"),"")</f>
        <v/>
      </c>
      <c r="C7801" s="11"/>
      <c r="D7801" s="11"/>
      <c r="E7801" s="11"/>
      <c r="F7801" s="11"/>
      <c r="G7801" s="11"/>
      <c r="H7801" s="11"/>
      <c r="I7801" s="15"/>
    </row>
    <row r="7802" spans="1:9" ht="16.5">
      <c r="A7802" s="10" t="b">
        <v>0</v>
      </c>
      <c r="B7802" s="11" t="str">
        <f>IF(D7802&lt;&gt;"",IF(COUNTIF('USPTO TMs'!A:A,D7802)&gt;0,"Yes","No"),"")</f>
        <v/>
      </c>
      <c r="C7802" s="11"/>
      <c r="D7802" s="11"/>
      <c r="E7802" s="11"/>
      <c r="F7802" s="11"/>
      <c r="G7802" s="11"/>
      <c r="H7802" s="11"/>
      <c r="I7802" s="15"/>
    </row>
    <row r="7803" spans="1:9" ht="16.5">
      <c r="A7803" s="10" t="b">
        <v>0</v>
      </c>
      <c r="B7803" s="11" t="str">
        <f>IF(D7803&lt;&gt;"",IF(COUNTIF('USPTO TMs'!A:A,D7803)&gt;0,"Yes","No"),"")</f>
        <v/>
      </c>
      <c r="C7803" s="11"/>
      <c r="D7803" s="11"/>
      <c r="E7803" s="11"/>
      <c r="F7803" s="11"/>
      <c r="G7803" s="11"/>
      <c r="H7803" s="11"/>
      <c r="I7803" s="15"/>
    </row>
    <row r="7804" spans="1:9" ht="16.5">
      <c r="A7804" s="10" t="b">
        <v>0</v>
      </c>
      <c r="B7804" s="11" t="str">
        <f>IF(D7804&lt;&gt;"",IF(COUNTIF('USPTO TMs'!A:A,D7804)&gt;0,"Yes","No"),"")</f>
        <v/>
      </c>
      <c r="C7804" s="11"/>
      <c r="D7804" s="11"/>
      <c r="E7804" s="11"/>
      <c r="F7804" s="11"/>
      <c r="G7804" s="11"/>
      <c r="H7804" s="11"/>
      <c r="I7804" s="15"/>
    </row>
    <row r="7805" spans="1:9" ht="16.5">
      <c r="A7805" s="10" t="b">
        <v>0</v>
      </c>
      <c r="B7805" s="11" t="str">
        <f>IF(D7805&lt;&gt;"",IF(COUNTIF('USPTO TMs'!A:A,D7805)&gt;0,"Yes","No"),"")</f>
        <v/>
      </c>
      <c r="C7805" s="11"/>
      <c r="D7805" s="11"/>
      <c r="E7805" s="11"/>
      <c r="F7805" s="11"/>
      <c r="G7805" s="11"/>
      <c r="H7805" s="11"/>
      <c r="I7805" s="15"/>
    </row>
    <row r="7806" spans="1:9" ht="16.5">
      <c r="A7806" s="10" t="b">
        <v>0</v>
      </c>
      <c r="B7806" s="11" t="str">
        <f>IF(D7806&lt;&gt;"",IF(COUNTIF('USPTO TMs'!A:A,D7806)&gt;0,"Yes","No"),"")</f>
        <v/>
      </c>
      <c r="C7806" s="11"/>
      <c r="D7806" s="11"/>
      <c r="E7806" s="11"/>
      <c r="F7806" s="11"/>
      <c r="G7806" s="11"/>
      <c r="H7806" s="11"/>
      <c r="I7806" s="15"/>
    </row>
    <row r="7807" spans="1:9" ht="16.5">
      <c r="A7807" s="10" t="b">
        <v>0</v>
      </c>
      <c r="B7807" s="11" t="str">
        <f>IF(D7807&lt;&gt;"",IF(COUNTIF('USPTO TMs'!A:A,D7807)&gt;0,"Yes","No"),"")</f>
        <v/>
      </c>
      <c r="C7807" s="11"/>
      <c r="D7807" s="11"/>
      <c r="E7807" s="11"/>
      <c r="F7807" s="11"/>
      <c r="G7807" s="11"/>
      <c r="H7807" s="11"/>
      <c r="I7807" s="15"/>
    </row>
    <row r="7808" spans="1:9" ht="16.5">
      <c r="A7808" s="10" t="b">
        <v>0</v>
      </c>
      <c r="B7808" s="11" t="str">
        <f>IF(D7808&lt;&gt;"",IF(COUNTIF('USPTO TMs'!A:A,D7808)&gt;0,"Yes","No"),"")</f>
        <v/>
      </c>
      <c r="C7808" s="11"/>
      <c r="D7808" s="11"/>
      <c r="E7808" s="11"/>
      <c r="F7808" s="11"/>
      <c r="G7808" s="11"/>
      <c r="H7808" s="11"/>
      <c r="I7808" s="15"/>
    </row>
    <row r="7809" spans="1:9" ht="16.5">
      <c r="A7809" s="10" t="b">
        <v>0</v>
      </c>
      <c r="B7809" s="11" t="str">
        <f>IF(D7809&lt;&gt;"",IF(COUNTIF('USPTO TMs'!A:A,D7809)&gt;0,"Yes","No"),"")</f>
        <v/>
      </c>
      <c r="C7809" s="11"/>
      <c r="D7809" s="11"/>
      <c r="E7809" s="11"/>
      <c r="F7809" s="11"/>
      <c r="G7809" s="11"/>
      <c r="H7809" s="11"/>
      <c r="I7809" s="15"/>
    </row>
    <row r="7810" spans="1:9" ht="16.5">
      <c r="A7810" s="10" t="b">
        <v>0</v>
      </c>
      <c r="B7810" s="11" t="str">
        <f>IF(D7810&lt;&gt;"",IF(COUNTIF('USPTO TMs'!A:A,D7810)&gt;0,"Yes","No"),"")</f>
        <v/>
      </c>
      <c r="C7810" s="11"/>
      <c r="D7810" s="11"/>
      <c r="E7810" s="11"/>
      <c r="F7810" s="11"/>
      <c r="G7810" s="11"/>
      <c r="H7810" s="11"/>
      <c r="I7810" s="15"/>
    </row>
    <row r="7811" spans="1:9" ht="16.5">
      <c r="A7811" s="10" t="b">
        <v>0</v>
      </c>
      <c r="B7811" s="11" t="str">
        <f>IF(D7811&lt;&gt;"",IF(COUNTIF('USPTO TMs'!A:A,D7811)&gt;0,"Yes","No"),"")</f>
        <v/>
      </c>
      <c r="C7811" s="11"/>
      <c r="D7811" s="11"/>
      <c r="E7811" s="11"/>
      <c r="F7811" s="11"/>
      <c r="G7811" s="11"/>
      <c r="H7811" s="11"/>
      <c r="I7811" s="15"/>
    </row>
    <row r="7812" spans="1:9" ht="16.5">
      <c r="A7812" s="10" t="b">
        <v>0</v>
      </c>
      <c r="B7812" s="11" t="str">
        <f>IF(D7812&lt;&gt;"",IF(COUNTIF('USPTO TMs'!A:A,D7812)&gt;0,"Yes","No"),"")</f>
        <v/>
      </c>
      <c r="C7812" s="11"/>
      <c r="D7812" s="11"/>
      <c r="E7812" s="11"/>
      <c r="F7812" s="11"/>
      <c r="G7812" s="11"/>
      <c r="H7812" s="11"/>
      <c r="I7812" s="15"/>
    </row>
    <row r="7813" spans="1:9" ht="16.5">
      <c r="A7813" s="10" t="b">
        <v>0</v>
      </c>
      <c r="B7813" s="11" t="str">
        <f>IF(D7813&lt;&gt;"",IF(COUNTIF('USPTO TMs'!A:A,D7813)&gt;0,"Yes","No"),"")</f>
        <v/>
      </c>
      <c r="C7813" s="11"/>
      <c r="D7813" s="11"/>
      <c r="E7813" s="11"/>
      <c r="F7813" s="11"/>
      <c r="G7813" s="11"/>
      <c r="H7813" s="11"/>
      <c r="I7813" s="15"/>
    </row>
    <row r="7814" spans="1:9" ht="16.5">
      <c r="A7814" s="10" t="b">
        <v>0</v>
      </c>
      <c r="B7814" s="11" t="str">
        <f>IF(D7814&lt;&gt;"",IF(COUNTIF('USPTO TMs'!A:A,D7814)&gt;0,"Yes","No"),"")</f>
        <v/>
      </c>
      <c r="C7814" s="11"/>
      <c r="D7814" s="11"/>
      <c r="E7814" s="11"/>
      <c r="F7814" s="11"/>
      <c r="G7814" s="11"/>
      <c r="H7814" s="11"/>
      <c r="I7814" s="15"/>
    </row>
    <row r="7815" spans="1:9" ht="16.5">
      <c r="A7815" s="10" t="b">
        <v>0</v>
      </c>
      <c r="B7815" s="11" t="str">
        <f>IF(D7815&lt;&gt;"",IF(COUNTIF('USPTO TMs'!A:A,D7815)&gt;0,"Yes","No"),"")</f>
        <v/>
      </c>
      <c r="C7815" s="11"/>
      <c r="D7815" s="11"/>
      <c r="E7815" s="11"/>
      <c r="F7815" s="11"/>
      <c r="G7815" s="11"/>
      <c r="H7815" s="11"/>
      <c r="I7815" s="15"/>
    </row>
    <row r="7816" spans="1:9" ht="16.5">
      <c r="A7816" s="10" t="b">
        <v>0</v>
      </c>
      <c r="B7816" s="11" t="str">
        <f>IF(D7816&lt;&gt;"",IF(COUNTIF('USPTO TMs'!A:A,D7816)&gt;0,"Yes","No"),"")</f>
        <v/>
      </c>
      <c r="C7816" s="11"/>
      <c r="D7816" s="11"/>
      <c r="E7816" s="11"/>
      <c r="F7816" s="11"/>
      <c r="G7816" s="11"/>
      <c r="H7816" s="11"/>
      <c r="I7816" s="15"/>
    </row>
    <row r="7817" spans="1:9" ht="16.5">
      <c r="A7817" s="10" t="b">
        <v>0</v>
      </c>
      <c r="B7817" s="11" t="str">
        <f>IF(D7817&lt;&gt;"",IF(COUNTIF('USPTO TMs'!A:A,D7817)&gt;0,"Yes","No"),"")</f>
        <v/>
      </c>
      <c r="C7817" s="11"/>
      <c r="D7817" s="11"/>
      <c r="E7817" s="11"/>
      <c r="F7817" s="11"/>
      <c r="G7817" s="11"/>
      <c r="H7817" s="11"/>
      <c r="I7817" s="15"/>
    </row>
    <row r="7818" spans="1:9" ht="16.5">
      <c r="A7818" s="10" t="b">
        <v>0</v>
      </c>
      <c r="B7818" s="11" t="str">
        <f>IF(D7818&lt;&gt;"",IF(COUNTIF('USPTO TMs'!A:A,D7818)&gt;0,"Yes","No"),"")</f>
        <v/>
      </c>
      <c r="C7818" s="11"/>
      <c r="D7818" s="11"/>
      <c r="E7818" s="11"/>
      <c r="F7818" s="11"/>
      <c r="G7818" s="11"/>
      <c r="H7818" s="11"/>
      <c r="I7818" s="15"/>
    </row>
    <row r="7819" spans="1:9" ht="16.5">
      <c r="A7819" s="10" t="b">
        <v>0</v>
      </c>
      <c r="B7819" s="11" t="str">
        <f>IF(D7819&lt;&gt;"",IF(COUNTIF('USPTO TMs'!A:A,D7819)&gt;0,"Yes","No"),"")</f>
        <v/>
      </c>
      <c r="C7819" s="11"/>
      <c r="D7819" s="11"/>
      <c r="E7819" s="11"/>
      <c r="F7819" s="11"/>
      <c r="G7819" s="11"/>
      <c r="H7819" s="11"/>
      <c r="I7819" s="15"/>
    </row>
    <row r="7820" spans="1:9" ht="16.5">
      <c r="A7820" s="10" t="b">
        <v>0</v>
      </c>
      <c r="B7820" s="11" t="str">
        <f>IF(D7820&lt;&gt;"",IF(COUNTIF('USPTO TMs'!A:A,D7820)&gt;0,"Yes","No"),"")</f>
        <v/>
      </c>
      <c r="C7820" s="11"/>
      <c r="D7820" s="11"/>
      <c r="E7820" s="11"/>
      <c r="F7820" s="11"/>
      <c r="G7820" s="11"/>
      <c r="H7820" s="11"/>
      <c r="I7820" s="15"/>
    </row>
    <row r="7821" spans="1:9" ht="16.5">
      <c r="A7821" s="10" t="b">
        <v>0</v>
      </c>
      <c r="B7821" s="11" t="str">
        <f>IF(D7821&lt;&gt;"",IF(COUNTIF('USPTO TMs'!A:A,D7821)&gt;0,"Yes","No"),"")</f>
        <v/>
      </c>
      <c r="C7821" s="11"/>
      <c r="D7821" s="11"/>
      <c r="E7821" s="11"/>
      <c r="F7821" s="11"/>
      <c r="G7821" s="11"/>
      <c r="H7821" s="11"/>
      <c r="I7821" s="15"/>
    </row>
    <row r="7822" spans="1:9" ht="16.5">
      <c r="A7822" s="10" t="b">
        <v>0</v>
      </c>
      <c r="B7822" s="11" t="str">
        <f>IF(D7822&lt;&gt;"",IF(COUNTIF('USPTO TMs'!A:A,D7822)&gt;0,"Yes","No"),"")</f>
        <v/>
      </c>
      <c r="C7822" s="11"/>
      <c r="D7822" s="11"/>
      <c r="E7822" s="11"/>
      <c r="F7822" s="11"/>
      <c r="G7822" s="11"/>
      <c r="H7822" s="11"/>
      <c r="I7822" s="15"/>
    </row>
    <row r="7823" spans="1:9" ht="16.5">
      <c r="A7823" s="10" t="b">
        <v>0</v>
      </c>
      <c r="B7823" s="11" t="str">
        <f>IF(D7823&lt;&gt;"",IF(COUNTIF('USPTO TMs'!A:A,D7823)&gt;0,"Yes","No"),"")</f>
        <v/>
      </c>
      <c r="C7823" s="11"/>
      <c r="D7823" s="11"/>
      <c r="E7823" s="11"/>
      <c r="F7823" s="11"/>
      <c r="G7823" s="11"/>
      <c r="H7823" s="11"/>
      <c r="I7823" s="15"/>
    </row>
    <row r="7824" spans="1:9" ht="16.5">
      <c r="A7824" s="10" t="b">
        <v>0</v>
      </c>
      <c r="B7824" s="11" t="str">
        <f>IF(D7824&lt;&gt;"",IF(COUNTIF('USPTO TMs'!A:A,D7824)&gt;0,"Yes","No"),"")</f>
        <v/>
      </c>
      <c r="C7824" s="11"/>
      <c r="D7824" s="11"/>
      <c r="E7824" s="11"/>
      <c r="F7824" s="11"/>
      <c r="G7824" s="11"/>
      <c r="H7824" s="11"/>
      <c r="I7824" s="15"/>
    </row>
    <row r="7825" spans="1:9" ht="16.5">
      <c r="A7825" s="10" t="b">
        <v>0</v>
      </c>
      <c r="B7825" s="11" t="str">
        <f>IF(D7825&lt;&gt;"",IF(COUNTIF('USPTO TMs'!A:A,D7825)&gt;0,"Yes","No"),"")</f>
        <v/>
      </c>
      <c r="C7825" s="11"/>
      <c r="D7825" s="11"/>
      <c r="E7825" s="11"/>
      <c r="F7825" s="11"/>
      <c r="G7825" s="11"/>
      <c r="H7825" s="11"/>
      <c r="I7825" s="15"/>
    </row>
    <row r="7826" spans="1:9" ht="16.5">
      <c r="A7826" s="10" t="b">
        <v>0</v>
      </c>
      <c r="B7826" s="11" t="str">
        <f>IF(D7826&lt;&gt;"",IF(COUNTIF('USPTO TMs'!A:A,D7826)&gt;0,"Yes","No"),"")</f>
        <v/>
      </c>
      <c r="C7826" s="11"/>
      <c r="D7826" s="11"/>
      <c r="E7826" s="11"/>
      <c r="F7826" s="11"/>
      <c r="G7826" s="11"/>
      <c r="H7826" s="11"/>
      <c r="I7826" s="15"/>
    </row>
    <row r="7827" spans="1:9" ht="16.5">
      <c r="A7827" s="10" t="b">
        <v>0</v>
      </c>
      <c r="B7827" s="11" t="str">
        <f>IF(D7827&lt;&gt;"",IF(COUNTIF('USPTO TMs'!A:A,D7827)&gt;0,"Yes","No"),"")</f>
        <v/>
      </c>
      <c r="C7827" s="11"/>
      <c r="D7827" s="11"/>
      <c r="E7827" s="11"/>
      <c r="F7827" s="11"/>
      <c r="G7827" s="11"/>
      <c r="H7827" s="11"/>
      <c r="I7827" s="15"/>
    </row>
    <row r="7828" spans="1:9" ht="16.5">
      <c r="A7828" s="10" t="b">
        <v>0</v>
      </c>
      <c r="B7828" s="11" t="str">
        <f>IF(D7828&lt;&gt;"",IF(COUNTIF('USPTO TMs'!A:A,D7828)&gt;0,"Yes","No"),"")</f>
        <v/>
      </c>
      <c r="C7828" s="11"/>
      <c r="D7828" s="11"/>
      <c r="E7828" s="11"/>
      <c r="F7828" s="11"/>
      <c r="G7828" s="11"/>
      <c r="H7828" s="11"/>
      <c r="I7828" s="15"/>
    </row>
    <row r="7829" spans="1:9" ht="16.5">
      <c r="A7829" s="10" t="b">
        <v>0</v>
      </c>
      <c r="B7829" s="11" t="str">
        <f>IF(D7829&lt;&gt;"",IF(COUNTIF('USPTO TMs'!A:A,D7829)&gt;0,"Yes","No"),"")</f>
        <v/>
      </c>
      <c r="C7829" s="11"/>
      <c r="D7829" s="11"/>
      <c r="E7829" s="11"/>
      <c r="F7829" s="11"/>
      <c r="G7829" s="11"/>
      <c r="H7829" s="11"/>
      <c r="I7829" s="15"/>
    </row>
    <row r="7830" spans="1:9" ht="16.5">
      <c r="A7830" s="10" t="b">
        <v>0</v>
      </c>
      <c r="B7830" s="11" t="str">
        <f>IF(D7830&lt;&gt;"",IF(COUNTIF('USPTO TMs'!A:A,D7830)&gt;0,"Yes","No"),"")</f>
        <v/>
      </c>
      <c r="C7830" s="11"/>
      <c r="D7830" s="11"/>
      <c r="E7830" s="11"/>
      <c r="F7830" s="11"/>
      <c r="G7830" s="11"/>
      <c r="H7830" s="11"/>
      <c r="I7830" s="15"/>
    </row>
    <row r="7831" spans="1:9" ht="16.5">
      <c r="A7831" s="10" t="b">
        <v>0</v>
      </c>
      <c r="B7831" s="11" t="str">
        <f>IF(D7831&lt;&gt;"",IF(COUNTIF('USPTO TMs'!A:A,D7831)&gt;0,"Yes","No"),"")</f>
        <v/>
      </c>
      <c r="C7831" s="11"/>
      <c r="D7831" s="11"/>
      <c r="E7831" s="11"/>
      <c r="F7831" s="11"/>
      <c r="G7831" s="11"/>
      <c r="H7831" s="11"/>
      <c r="I7831" s="15"/>
    </row>
    <row r="7832" spans="1:9" ht="16.5">
      <c r="A7832" s="10" t="b">
        <v>0</v>
      </c>
      <c r="B7832" s="11" t="str">
        <f>IF(D7832&lt;&gt;"",IF(COUNTIF('USPTO TMs'!A:A,D7832)&gt;0,"Yes","No"),"")</f>
        <v/>
      </c>
      <c r="C7832" s="11"/>
      <c r="D7832" s="11"/>
      <c r="E7832" s="11"/>
      <c r="F7832" s="11"/>
      <c r="G7832" s="11"/>
      <c r="H7832" s="11"/>
      <c r="I7832" s="15"/>
    </row>
    <row r="7833" spans="1:9" ht="16.5">
      <c r="A7833" s="10" t="b">
        <v>0</v>
      </c>
      <c r="B7833" s="11" t="str">
        <f>IF(D7833&lt;&gt;"",IF(COUNTIF('USPTO TMs'!A:A,D7833)&gt;0,"Yes","No"),"")</f>
        <v/>
      </c>
      <c r="C7833" s="11"/>
      <c r="D7833" s="11"/>
      <c r="E7833" s="11"/>
      <c r="F7833" s="11"/>
      <c r="G7833" s="11"/>
      <c r="H7833" s="11"/>
      <c r="I7833" s="15"/>
    </row>
    <row r="7834" spans="1:9" ht="16.5">
      <c r="A7834" s="10" t="b">
        <v>0</v>
      </c>
      <c r="B7834" s="11" t="str">
        <f>IF(D7834&lt;&gt;"",IF(COUNTIF('USPTO TMs'!A:A,D7834)&gt;0,"Yes","No"),"")</f>
        <v/>
      </c>
      <c r="C7834" s="11"/>
      <c r="D7834" s="11"/>
      <c r="E7834" s="11"/>
      <c r="F7834" s="11"/>
      <c r="G7834" s="11"/>
      <c r="H7834" s="11"/>
      <c r="I7834" s="15"/>
    </row>
    <row r="7835" spans="1:9" ht="16.5">
      <c r="A7835" s="10" t="b">
        <v>0</v>
      </c>
      <c r="B7835" s="11" t="str">
        <f>IF(D7835&lt;&gt;"",IF(COUNTIF('USPTO TMs'!A:A,D7835)&gt;0,"Yes","No"),"")</f>
        <v/>
      </c>
      <c r="C7835" s="11"/>
      <c r="D7835" s="11"/>
      <c r="E7835" s="11"/>
      <c r="F7835" s="11"/>
      <c r="G7835" s="11"/>
      <c r="H7835" s="11"/>
      <c r="I7835" s="15"/>
    </row>
    <row r="7836" spans="1:9" ht="16.5">
      <c r="A7836" s="10" t="b">
        <v>0</v>
      </c>
      <c r="B7836" s="11" t="str">
        <f>IF(D7836&lt;&gt;"",IF(COUNTIF('USPTO TMs'!A:A,D7836)&gt;0,"Yes","No"),"")</f>
        <v/>
      </c>
      <c r="C7836" s="11"/>
      <c r="D7836" s="11"/>
      <c r="E7836" s="11"/>
      <c r="F7836" s="11"/>
      <c r="G7836" s="11"/>
      <c r="H7836" s="11"/>
      <c r="I7836" s="15"/>
    </row>
    <row r="7837" spans="1:9" ht="16.5">
      <c r="A7837" s="10" t="b">
        <v>0</v>
      </c>
      <c r="B7837" s="11" t="str">
        <f>IF(D7837&lt;&gt;"",IF(COUNTIF('USPTO TMs'!A:A,D7837)&gt;0,"Yes","No"),"")</f>
        <v/>
      </c>
      <c r="C7837" s="11"/>
      <c r="D7837" s="11"/>
      <c r="E7837" s="11"/>
      <c r="F7837" s="11"/>
      <c r="G7837" s="11"/>
      <c r="H7837" s="11"/>
      <c r="I7837" s="15"/>
    </row>
    <row r="7838" spans="1:9" ht="16.5">
      <c r="A7838" s="10" t="b">
        <v>0</v>
      </c>
      <c r="B7838" s="11" t="str">
        <f>IF(D7838&lt;&gt;"",IF(COUNTIF('USPTO TMs'!A:A,D7838)&gt;0,"Yes","No"),"")</f>
        <v/>
      </c>
      <c r="C7838" s="11"/>
      <c r="D7838" s="11"/>
      <c r="E7838" s="11"/>
      <c r="F7838" s="11"/>
      <c r="G7838" s="11"/>
      <c r="H7838" s="11"/>
      <c r="I7838" s="15"/>
    </row>
    <row r="7839" spans="1:9" ht="16.5">
      <c r="A7839" s="10" t="b">
        <v>0</v>
      </c>
      <c r="B7839" s="11" t="str">
        <f>IF(D7839&lt;&gt;"",IF(COUNTIF('USPTO TMs'!A:A,D7839)&gt;0,"Yes","No"),"")</f>
        <v/>
      </c>
      <c r="C7839" s="11"/>
      <c r="D7839" s="11"/>
      <c r="E7839" s="11"/>
      <c r="F7839" s="11"/>
      <c r="G7839" s="11"/>
      <c r="H7839" s="11"/>
      <c r="I7839" s="15"/>
    </row>
    <row r="7840" spans="1:9" ht="16.5">
      <c r="A7840" s="10" t="b">
        <v>0</v>
      </c>
      <c r="B7840" s="11" t="str">
        <f>IF(D7840&lt;&gt;"",IF(COUNTIF('USPTO TMs'!A:A,D7840)&gt;0,"Yes","No"),"")</f>
        <v/>
      </c>
      <c r="C7840" s="11"/>
      <c r="D7840" s="11"/>
      <c r="E7840" s="11"/>
      <c r="F7840" s="11"/>
      <c r="G7840" s="11"/>
      <c r="H7840" s="11"/>
      <c r="I7840" s="15"/>
    </row>
    <row r="7841" spans="1:9" ht="16.5">
      <c r="A7841" s="10" t="b">
        <v>0</v>
      </c>
      <c r="B7841" s="11" t="str">
        <f>IF(D7841&lt;&gt;"",IF(COUNTIF('USPTO TMs'!A:A,D7841)&gt;0,"Yes","No"),"")</f>
        <v/>
      </c>
      <c r="C7841" s="11"/>
      <c r="D7841" s="11"/>
      <c r="E7841" s="11"/>
      <c r="F7841" s="11"/>
      <c r="G7841" s="11"/>
      <c r="H7841" s="11"/>
      <c r="I7841" s="15"/>
    </row>
    <row r="7842" spans="1:9" ht="16.5">
      <c r="A7842" s="10" t="b">
        <v>0</v>
      </c>
      <c r="B7842" s="11" t="str">
        <f>IF(D7842&lt;&gt;"",IF(COUNTIF('USPTO TMs'!A:A,D7842)&gt;0,"Yes","No"),"")</f>
        <v/>
      </c>
      <c r="C7842" s="11"/>
      <c r="D7842" s="11"/>
      <c r="E7842" s="11"/>
      <c r="F7842" s="11"/>
      <c r="G7842" s="11"/>
      <c r="H7842" s="11"/>
      <c r="I7842" s="15"/>
    </row>
    <row r="7843" spans="1:9" ht="16.5">
      <c r="A7843" s="10" t="b">
        <v>0</v>
      </c>
      <c r="B7843" s="11" t="str">
        <f>IF(D7843&lt;&gt;"",IF(COUNTIF('USPTO TMs'!A:A,D7843)&gt;0,"Yes","No"),"")</f>
        <v/>
      </c>
      <c r="C7843" s="11"/>
      <c r="D7843" s="11"/>
      <c r="E7843" s="11"/>
      <c r="F7843" s="11"/>
      <c r="G7843" s="11"/>
      <c r="H7843" s="11"/>
      <c r="I7843" s="15"/>
    </row>
    <row r="7844" spans="1:9" ht="16.5">
      <c r="A7844" s="10" t="b">
        <v>0</v>
      </c>
      <c r="B7844" s="11" t="str">
        <f>IF(D7844&lt;&gt;"",IF(COUNTIF('USPTO TMs'!A:A,D7844)&gt;0,"Yes","No"),"")</f>
        <v/>
      </c>
      <c r="C7844" s="11"/>
      <c r="D7844" s="11"/>
      <c r="E7844" s="11"/>
      <c r="F7844" s="11"/>
      <c r="G7844" s="11"/>
      <c r="H7844" s="11"/>
      <c r="I7844" s="15"/>
    </row>
    <row r="7845" spans="1:9" ht="16.5">
      <c r="A7845" s="10" t="b">
        <v>0</v>
      </c>
      <c r="B7845" s="11" t="str">
        <f>IF(D7845&lt;&gt;"",IF(COUNTIF('USPTO TMs'!A:A,D7845)&gt;0,"Yes","No"),"")</f>
        <v/>
      </c>
      <c r="C7845" s="11"/>
      <c r="D7845" s="11"/>
      <c r="E7845" s="11"/>
      <c r="F7845" s="11"/>
      <c r="G7845" s="11"/>
      <c r="H7845" s="11"/>
      <c r="I7845" s="15"/>
    </row>
    <row r="7846" spans="1:9" ht="16.5">
      <c r="A7846" s="10" t="b">
        <v>0</v>
      </c>
      <c r="B7846" s="11" t="str">
        <f>IF(D7846&lt;&gt;"",IF(COUNTIF('USPTO TMs'!A:A,D7846)&gt;0,"Yes","No"),"")</f>
        <v/>
      </c>
      <c r="C7846" s="11"/>
      <c r="D7846" s="11"/>
      <c r="E7846" s="11"/>
      <c r="F7846" s="11"/>
      <c r="G7846" s="11"/>
      <c r="H7846" s="11"/>
      <c r="I7846" s="15"/>
    </row>
    <row r="7847" spans="1:9" ht="16.5">
      <c r="A7847" s="10" t="b">
        <v>0</v>
      </c>
      <c r="B7847" s="11" t="str">
        <f>IF(D7847&lt;&gt;"",IF(COUNTIF('USPTO TMs'!A:A,D7847)&gt;0,"Yes","No"),"")</f>
        <v/>
      </c>
      <c r="C7847" s="11"/>
      <c r="D7847" s="11"/>
      <c r="E7847" s="11"/>
      <c r="F7847" s="11"/>
      <c r="G7847" s="11"/>
      <c r="H7847" s="11"/>
      <c r="I7847" s="15"/>
    </row>
    <row r="7848" spans="1:9" ht="16.5">
      <c r="A7848" s="10" t="b">
        <v>0</v>
      </c>
      <c r="B7848" s="11" t="str">
        <f>IF(D7848&lt;&gt;"",IF(COUNTIF('USPTO TMs'!A:A,D7848)&gt;0,"Yes","No"),"")</f>
        <v/>
      </c>
      <c r="C7848" s="11"/>
      <c r="D7848" s="11"/>
      <c r="E7848" s="11"/>
      <c r="F7848" s="11"/>
      <c r="G7848" s="11"/>
      <c r="H7848" s="11"/>
      <c r="I7848" s="15"/>
    </row>
    <row r="7849" spans="1:9" ht="16.5">
      <c r="A7849" s="10" t="b">
        <v>0</v>
      </c>
      <c r="B7849" s="11" t="str">
        <f>IF(D7849&lt;&gt;"",IF(COUNTIF('USPTO TMs'!A:A,D7849)&gt;0,"Yes","No"),"")</f>
        <v/>
      </c>
      <c r="C7849" s="11"/>
      <c r="D7849" s="11"/>
      <c r="E7849" s="11"/>
      <c r="F7849" s="11"/>
      <c r="G7849" s="11"/>
      <c r="H7849" s="11"/>
      <c r="I7849" s="15"/>
    </row>
    <row r="7850" spans="1:9" ht="16.5">
      <c r="A7850" s="10" t="b">
        <v>0</v>
      </c>
      <c r="B7850" s="11" t="str">
        <f>IF(D7850&lt;&gt;"",IF(COUNTIF('USPTO TMs'!A:A,D7850)&gt;0,"Yes","No"),"")</f>
        <v/>
      </c>
      <c r="C7850" s="11"/>
      <c r="D7850" s="11"/>
      <c r="E7850" s="11"/>
      <c r="F7850" s="11"/>
      <c r="G7850" s="11"/>
      <c r="H7850" s="11"/>
      <c r="I7850" s="15"/>
    </row>
    <row r="7851" spans="1:9" ht="16.5">
      <c r="A7851" s="10" t="b">
        <v>0</v>
      </c>
      <c r="B7851" s="11" t="str">
        <f>IF(D7851&lt;&gt;"",IF(COUNTIF('USPTO TMs'!A:A,D7851)&gt;0,"Yes","No"),"")</f>
        <v/>
      </c>
      <c r="C7851" s="11"/>
      <c r="D7851" s="11"/>
      <c r="E7851" s="11"/>
      <c r="F7851" s="11"/>
      <c r="G7851" s="11"/>
      <c r="H7851" s="11"/>
      <c r="I7851" s="15"/>
    </row>
    <row r="7852" spans="1:9" ht="16.5">
      <c r="A7852" s="10" t="b">
        <v>0</v>
      </c>
      <c r="B7852" s="11" t="str">
        <f>IF(D7852&lt;&gt;"",IF(COUNTIF('USPTO TMs'!A:A,D7852)&gt;0,"Yes","No"),"")</f>
        <v/>
      </c>
      <c r="C7852" s="11"/>
      <c r="D7852" s="11"/>
      <c r="E7852" s="11"/>
      <c r="F7852" s="11"/>
      <c r="G7852" s="11"/>
      <c r="H7852" s="11"/>
      <c r="I7852" s="15"/>
    </row>
    <row r="7853" spans="1:9" ht="16.5">
      <c r="A7853" s="10" t="b">
        <v>0</v>
      </c>
      <c r="B7853" s="11" t="str">
        <f>IF(D7853&lt;&gt;"",IF(COUNTIF('USPTO TMs'!A:A,D7853)&gt;0,"Yes","No"),"")</f>
        <v/>
      </c>
      <c r="C7853" s="11"/>
      <c r="D7853" s="11"/>
      <c r="E7853" s="11"/>
      <c r="F7853" s="11"/>
      <c r="G7853" s="11"/>
      <c r="H7853" s="11"/>
      <c r="I7853" s="15"/>
    </row>
    <row r="7854" spans="1:9" ht="16.5">
      <c r="A7854" s="10" t="b">
        <v>0</v>
      </c>
      <c r="B7854" s="11" t="str">
        <f>IF(D7854&lt;&gt;"",IF(COUNTIF('USPTO TMs'!A:A,D7854)&gt;0,"Yes","No"),"")</f>
        <v/>
      </c>
      <c r="C7854" s="11"/>
      <c r="D7854" s="11"/>
      <c r="E7854" s="11"/>
      <c r="F7854" s="11"/>
      <c r="G7854" s="11"/>
      <c r="H7854" s="11"/>
      <c r="I7854" s="15"/>
    </row>
    <row r="7855" spans="1:9" ht="16.5">
      <c r="A7855" s="10" t="b">
        <v>0</v>
      </c>
      <c r="B7855" s="11" t="str">
        <f>IF(D7855&lt;&gt;"",IF(COUNTIF('USPTO TMs'!A:A,D7855)&gt;0,"Yes","No"),"")</f>
        <v/>
      </c>
      <c r="C7855" s="11"/>
      <c r="D7855" s="11"/>
      <c r="E7855" s="11"/>
      <c r="F7855" s="11"/>
      <c r="G7855" s="11"/>
      <c r="H7855" s="11"/>
      <c r="I7855" s="15"/>
    </row>
    <row r="7856" spans="1:9" ht="16.5">
      <c r="A7856" s="10" t="b">
        <v>0</v>
      </c>
      <c r="B7856" s="11" t="str">
        <f>IF(D7856&lt;&gt;"",IF(COUNTIF('USPTO TMs'!A:A,D7856)&gt;0,"Yes","No"),"")</f>
        <v/>
      </c>
      <c r="C7856" s="11"/>
      <c r="D7856" s="11"/>
      <c r="E7856" s="11"/>
      <c r="F7856" s="11"/>
      <c r="G7856" s="11"/>
      <c r="H7856" s="11"/>
      <c r="I7856" s="15"/>
    </row>
    <row r="7857" spans="1:9" ht="16.5">
      <c r="A7857" s="10" t="b">
        <v>0</v>
      </c>
      <c r="B7857" s="11" t="str">
        <f>IF(D7857&lt;&gt;"",IF(COUNTIF('USPTO TMs'!A:A,D7857)&gt;0,"Yes","No"),"")</f>
        <v/>
      </c>
      <c r="C7857" s="11"/>
      <c r="D7857" s="11"/>
      <c r="E7857" s="11"/>
      <c r="F7857" s="11"/>
      <c r="G7857" s="11"/>
      <c r="H7857" s="11"/>
      <c r="I7857" s="15"/>
    </row>
    <row r="7858" spans="1:9" ht="16.5">
      <c r="A7858" s="10" t="b">
        <v>0</v>
      </c>
      <c r="B7858" s="11" t="str">
        <f>IF(D7858&lt;&gt;"",IF(COUNTIF('USPTO TMs'!A:A,D7858)&gt;0,"Yes","No"),"")</f>
        <v/>
      </c>
      <c r="C7858" s="11"/>
      <c r="D7858" s="11"/>
      <c r="E7858" s="11"/>
      <c r="F7858" s="11"/>
      <c r="G7858" s="11"/>
      <c r="H7858" s="11"/>
      <c r="I7858" s="15"/>
    </row>
    <row r="7859" spans="1:9" ht="16.5">
      <c r="A7859" s="10" t="b">
        <v>0</v>
      </c>
      <c r="B7859" s="11" t="str">
        <f>IF(D7859&lt;&gt;"",IF(COUNTIF('USPTO TMs'!A:A,D7859)&gt;0,"Yes","No"),"")</f>
        <v/>
      </c>
      <c r="C7859" s="11"/>
      <c r="D7859" s="11"/>
      <c r="E7859" s="11"/>
      <c r="F7859" s="11"/>
      <c r="G7859" s="11"/>
      <c r="H7859" s="11"/>
      <c r="I7859" s="15"/>
    </row>
    <row r="7860" spans="1:9" ht="16.5">
      <c r="A7860" s="10" t="b">
        <v>0</v>
      </c>
      <c r="B7860" s="11" t="str">
        <f>IF(D7860&lt;&gt;"",IF(COUNTIF('USPTO TMs'!A:A,D7860)&gt;0,"Yes","No"),"")</f>
        <v/>
      </c>
      <c r="C7860" s="11"/>
      <c r="D7860" s="11"/>
      <c r="E7860" s="11"/>
      <c r="F7860" s="11"/>
      <c r="G7860" s="11"/>
      <c r="H7860" s="11"/>
      <c r="I7860" s="15"/>
    </row>
    <row r="7861" spans="1:9" ht="16.5">
      <c r="A7861" s="10" t="b">
        <v>0</v>
      </c>
      <c r="B7861" s="11" t="str">
        <f>IF(D7861&lt;&gt;"",IF(COUNTIF('USPTO TMs'!A:A,D7861)&gt;0,"Yes","No"),"")</f>
        <v/>
      </c>
      <c r="C7861" s="11"/>
      <c r="D7861" s="11"/>
      <c r="E7861" s="11"/>
      <c r="F7861" s="11"/>
      <c r="G7861" s="11"/>
      <c r="H7861" s="11"/>
      <c r="I7861" s="15"/>
    </row>
    <row r="7862" spans="1:9" ht="16.5">
      <c r="A7862" s="10" t="b">
        <v>0</v>
      </c>
      <c r="B7862" s="11" t="str">
        <f>IF(D7862&lt;&gt;"",IF(COUNTIF('USPTO TMs'!A:A,D7862)&gt;0,"Yes","No"),"")</f>
        <v/>
      </c>
      <c r="C7862" s="11"/>
      <c r="D7862" s="11"/>
      <c r="E7862" s="11"/>
      <c r="F7862" s="11"/>
      <c r="G7862" s="11"/>
      <c r="H7862" s="11"/>
      <c r="I7862" s="15"/>
    </row>
    <row r="7863" spans="1:9" ht="16.5">
      <c r="A7863" s="10" t="b">
        <v>0</v>
      </c>
      <c r="B7863" s="11" t="str">
        <f>IF(D7863&lt;&gt;"",IF(COUNTIF('USPTO TMs'!A:A,D7863)&gt;0,"Yes","No"),"")</f>
        <v/>
      </c>
      <c r="C7863" s="11"/>
      <c r="D7863" s="11"/>
      <c r="E7863" s="11"/>
      <c r="F7863" s="11"/>
      <c r="G7863" s="11"/>
      <c r="H7863" s="11"/>
      <c r="I7863" s="15"/>
    </row>
    <row r="7864" spans="1:9" ht="16.5">
      <c r="A7864" s="10" t="b">
        <v>0</v>
      </c>
      <c r="B7864" s="11" t="str">
        <f>IF(D7864&lt;&gt;"",IF(COUNTIF('USPTO TMs'!A:A,D7864)&gt;0,"Yes","No"),"")</f>
        <v/>
      </c>
      <c r="C7864" s="11"/>
      <c r="D7864" s="11"/>
      <c r="E7864" s="11"/>
      <c r="F7864" s="11"/>
      <c r="G7864" s="11"/>
      <c r="H7864" s="11"/>
      <c r="I7864" s="15"/>
    </row>
    <row r="7865" spans="1:9" ht="16.5">
      <c r="A7865" s="10" t="b">
        <v>0</v>
      </c>
      <c r="B7865" s="11" t="str">
        <f>IF(D7865&lt;&gt;"",IF(COUNTIF('USPTO TMs'!A:A,D7865)&gt;0,"Yes","No"),"")</f>
        <v/>
      </c>
      <c r="C7865" s="11"/>
      <c r="D7865" s="11"/>
      <c r="E7865" s="11"/>
      <c r="F7865" s="11"/>
      <c r="G7865" s="11"/>
      <c r="H7865" s="11"/>
      <c r="I7865" s="15"/>
    </row>
    <row r="7866" spans="1:9" ht="16.5">
      <c r="A7866" s="10" t="b">
        <v>0</v>
      </c>
      <c r="B7866" s="11" t="str">
        <f>IF(D7866&lt;&gt;"",IF(COUNTIF('USPTO TMs'!A:A,D7866)&gt;0,"Yes","No"),"")</f>
        <v/>
      </c>
      <c r="C7866" s="11"/>
      <c r="D7866" s="11"/>
      <c r="E7866" s="11"/>
      <c r="F7866" s="11"/>
      <c r="G7866" s="11"/>
      <c r="H7866" s="11"/>
      <c r="I7866" s="15"/>
    </row>
    <row r="7867" spans="1:9" ht="16.5">
      <c r="A7867" s="10" t="b">
        <v>0</v>
      </c>
      <c r="B7867" s="11" t="str">
        <f>IF(D7867&lt;&gt;"",IF(COUNTIF('USPTO TMs'!A:A,D7867)&gt;0,"Yes","No"),"")</f>
        <v/>
      </c>
      <c r="C7867" s="11"/>
      <c r="D7867" s="11"/>
      <c r="E7867" s="11"/>
      <c r="F7867" s="11"/>
      <c r="G7867" s="11"/>
      <c r="H7867" s="11"/>
      <c r="I7867" s="15"/>
    </row>
    <row r="7868" spans="1:9" ht="16.5">
      <c r="A7868" s="10" t="b">
        <v>0</v>
      </c>
      <c r="B7868" s="11" t="str">
        <f>IF(D7868&lt;&gt;"",IF(COUNTIF('USPTO TMs'!A:A,D7868)&gt;0,"Yes","No"),"")</f>
        <v/>
      </c>
      <c r="C7868" s="11"/>
      <c r="D7868" s="11"/>
      <c r="E7868" s="11"/>
      <c r="F7868" s="11"/>
      <c r="G7868" s="11"/>
      <c r="H7868" s="11"/>
      <c r="I7868" s="15"/>
    </row>
    <row r="7869" spans="1:9" ht="16.5">
      <c r="A7869" s="10" t="b">
        <v>0</v>
      </c>
      <c r="B7869" s="11" t="str">
        <f>IF(D7869&lt;&gt;"",IF(COUNTIF('USPTO TMs'!A:A,D7869)&gt;0,"Yes","No"),"")</f>
        <v/>
      </c>
      <c r="C7869" s="11"/>
      <c r="D7869" s="11"/>
      <c r="E7869" s="11"/>
      <c r="F7869" s="11"/>
      <c r="G7869" s="11"/>
      <c r="H7869" s="11"/>
      <c r="I7869" s="15"/>
    </row>
    <row r="7870" spans="1:9" ht="16.5">
      <c r="A7870" s="10" t="b">
        <v>0</v>
      </c>
      <c r="B7870" s="11" t="str">
        <f>IF(D7870&lt;&gt;"",IF(COUNTIF('USPTO TMs'!A:A,D7870)&gt;0,"Yes","No"),"")</f>
        <v/>
      </c>
      <c r="C7870" s="11"/>
      <c r="D7870" s="11"/>
      <c r="E7870" s="11"/>
      <c r="F7870" s="11"/>
      <c r="G7870" s="11"/>
      <c r="H7870" s="11"/>
      <c r="I7870" s="15"/>
    </row>
    <row r="7871" spans="1:9" ht="16.5">
      <c r="A7871" s="10" t="b">
        <v>0</v>
      </c>
      <c r="B7871" s="11" t="str">
        <f>IF(D7871&lt;&gt;"",IF(COUNTIF('USPTO TMs'!A:A,D7871)&gt;0,"Yes","No"),"")</f>
        <v/>
      </c>
      <c r="C7871" s="11"/>
      <c r="D7871" s="11"/>
      <c r="E7871" s="11"/>
      <c r="F7871" s="11"/>
      <c r="G7871" s="11"/>
      <c r="H7871" s="11"/>
      <c r="I7871" s="15"/>
    </row>
    <row r="7872" spans="1:9" ht="16.5">
      <c r="A7872" s="10" t="b">
        <v>0</v>
      </c>
      <c r="B7872" s="11" t="str">
        <f>IF(D7872&lt;&gt;"",IF(COUNTIF('USPTO TMs'!A:A,D7872)&gt;0,"Yes","No"),"")</f>
        <v/>
      </c>
      <c r="C7872" s="11"/>
      <c r="D7872" s="11"/>
      <c r="E7872" s="11"/>
      <c r="F7872" s="11"/>
      <c r="G7872" s="11"/>
      <c r="H7872" s="11"/>
      <c r="I7872" s="15"/>
    </row>
    <row r="7873" spans="1:9" ht="16.5">
      <c r="A7873" s="10" t="b">
        <v>0</v>
      </c>
      <c r="B7873" s="11" t="str">
        <f>IF(D7873&lt;&gt;"",IF(COUNTIF('USPTO TMs'!A:A,D7873)&gt;0,"Yes","No"),"")</f>
        <v/>
      </c>
      <c r="C7873" s="11"/>
      <c r="D7873" s="11"/>
      <c r="E7873" s="11"/>
      <c r="F7873" s="11"/>
      <c r="G7873" s="11"/>
      <c r="H7873" s="11"/>
      <c r="I7873" s="15"/>
    </row>
    <row r="7874" spans="1:9" ht="16.5">
      <c r="A7874" s="10" t="b">
        <v>0</v>
      </c>
      <c r="B7874" s="11" t="str">
        <f>IF(D7874&lt;&gt;"",IF(COUNTIF('USPTO TMs'!A:A,D7874)&gt;0,"Yes","No"),"")</f>
        <v/>
      </c>
      <c r="C7874" s="11"/>
      <c r="D7874" s="11"/>
      <c r="E7874" s="11"/>
      <c r="F7874" s="11"/>
      <c r="G7874" s="11"/>
      <c r="H7874" s="11"/>
      <c r="I7874" s="15"/>
    </row>
    <row r="7875" spans="1:9" ht="16.5">
      <c r="A7875" s="10" t="b">
        <v>0</v>
      </c>
      <c r="B7875" s="11" t="str">
        <f>IF(D7875&lt;&gt;"",IF(COUNTIF('USPTO TMs'!A:A,D7875)&gt;0,"Yes","No"),"")</f>
        <v/>
      </c>
      <c r="C7875" s="11"/>
      <c r="D7875" s="11"/>
      <c r="E7875" s="11"/>
      <c r="F7875" s="11"/>
      <c r="G7875" s="11"/>
      <c r="H7875" s="11"/>
      <c r="I7875" s="15"/>
    </row>
    <row r="7876" spans="1:9" ht="16.5">
      <c r="A7876" s="10" t="b">
        <v>0</v>
      </c>
      <c r="B7876" s="11" t="str">
        <f>IF(D7876&lt;&gt;"",IF(COUNTIF('USPTO TMs'!A:A,D7876)&gt;0,"Yes","No"),"")</f>
        <v/>
      </c>
      <c r="C7876" s="11"/>
      <c r="D7876" s="11"/>
      <c r="E7876" s="11"/>
      <c r="F7876" s="11"/>
      <c r="G7876" s="11"/>
      <c r="H7876" s="11"/>
      <c r="I7876" s="15"/>
    </row>
    <row r="7877" spans="1:9" ht="16.5">
      <c r="A7877" s="10" t="b">
        <v>0</v>
      </c>
      <c r="B7877" s="11" t="str">
        <f>IF(D7877&lt;&gt;"",IF(COUNTIF('USPTO TMs'!A:A,D7877)&gt;0,"Yes","No"),"")</f>
        <v/>
      </c>
      <c r="C7877" s="11"/>
      <c r="D7877" s="11"/>
      <c r="E7877" s="11"/>
      <c r="F7877" s="11"/>
      <c r="G7877" s="11"/>
      <c r="H7877" s="11"/>
      <c r="I7877" s="15"/>
    </row>
    <row r="7878" spans="1:9" ht="16.5">
      <c r="A7878" s="10" t="b">
        <v>0</v>
      </c>
      <c r="B7878" s="11" t="str">
        <f>IF(D7878&lt;&gt;"",IF(COUNTIF('USPTO TMs'!A:A,D7878)&gt;0,"Yes","No"),"")</f>
        <v/>
      </c>
      <c r="C7878" s="11"/>
      <c r="D7878" s="11"/>
      <c r="E7878" s="11"/>
      <c r="F7878" s="11"/>
      <c r="G7878" s="11"/>
      <c r="H7878" s="11"/>
      <c r="I7878" s="15"/>
    </row>
    <row r="7879" spans="1:9" ht="16.5">
      <c r="A7879" s="10" t="b">
        <v>0</v>
      </c>
      <c r="B7879" s="11" t="str">
        <f>IF(D7879&lt;&gt;"",IF(COUNTIF('USPTO TMs'!A:A,D7879)&gt;0,"Yes","No"),"")</f>
        <v/>
      </c>
      <c r="C7879" s="11"/>
      <c r="D7879" s="11"/>
      <c r="E7879" s="11"/>
      <c r="F7879" s="11"/>
      <c r="G7879" s="11"/>
      <c r="H7879" s="11"/>
      <c r="I7879" s="15"/>
    </row>
    <row r="7880" spans="1:9" ht="16.5">
      <c r="A7880" s="10" t="b">
        <v>0</v>
      </c>
      <c r="B7880" s="11" t="str">
        <f>IF(D7880&lt;&gt;"",IF(COUNTIF('USPTO TMs'!A:A,D7880)&gt;0,"Yes","No"),"")</f>
        <v/>
      </c>
      <c r="C7880" s="11"/>
      <c r="D7880" s="11"/>
      <c r="E7880" s="11"/>
      <c r="F7880" s="11"/>
      <c r="G7880" s="11"/>
      <c r="H7880" s="11"/>
      <c r="I7880" s="15"/>
    </row>
    <row r="7881" spans="1:9" ht="16.5">
      <c r="A7881" s="10" t="b">
        <v>0</v>
      </c>
      <c r="B7881" s="11" t="str">
        <f>IF(D7881&lt;&gt;"",IF(COUNTIF('USPTO TMs'!A:A,D7881)&gt;0,"Yes","No"),"")</f>
        <v/>
      </c>
      <c r="C7881" s="11"/>
      <c r="D7881" s="11"/>
      <c r="E7881" s="11"/>
      <c r="F7881" s="11"/>
      <c r="G7881" s="11"/>
      <c r="H7881" s="11"/>
      <c r="I7881" s="15"/>
    </row>
    <row r="7882" spans="1:9" ht="16.5">
      <c r="A7882" s="10" t="b">
        <v>0</v>
      </c>
      <c r="B7882" s="11" t="str">
        <f>IF(D7882&lt;&gt;"",IF(COUNTIF('USPTO TMs'!A:A,D7882)&gt;0,"Yes","No"),"")</f>
        <v/>
      </c>
      <c r="C7882" s="11"/>
      <c r="D7882" s="11"/>
      <c r="E7882" s="11"/>
      <c r="F7882" s="11"/>
      <c r="G7882" s="11"/>
      <c r="H7882" s="11"/>
      <c r="I7882" s="15"/>
    </row>
    <row r="7883" spans="1:9" ht="16.5">
      <c r="A7883" s="10" t="b">
        <v>0</v>
      </c>
      <c r="B7883" s="11" t="str">
        <f>IF(D7883&lt;&gt;"",IF(COUNTIF('USPTO TMs'!A:A,D7883)&gt;0,"Yes","No"),"")</f>
        <v/>
      </c>
      <c r="C7883" s="11"/>
      <c r="D7883" s="11"/>
      <c r="E7883" s="11"/>
      <c r="F7883" s="11"/>
      <c r="G7883" s="11"/>
      <c r="H7883" s="11"/>
      <c r="I7883" s="15"/>
    </row>
    <row r="7884" spans="1:9" ht="16.5">
      <c r="A7884" s="10" t="b">
        <v>0</v>
      </c>
      <c r="B7884" s="11" t="str">
        <f>IF(D7884&lt;&gt;"",IF(COUNTIF('USPTO TMs'!A:A,D7884)&gt;0,"Yes","No"),"")</f>
        <v/>
      </c>
      <c r="C7884" s="11"/>
      <c r="D7884" s="11"/>
      <c r="E7884" s="11"/>
      <c r="F7884" s="11"/>
      <c r="G7884" s="11"/>
      <c r="H7884" s="11"/>
      <c r="I7884" s="15"/>
    </row>
    <row r="7885" spans="1:9" ht="16.5">
      <c r="A7885" s="10" t="b">
        <v>0</v>
      </c>
      <c r="B7885" s="11" t="str">
        <f>IF(D7885&lt;&gt;"",IF(COUNTIF('USPTO TMs'!A:A,D7885)&gt;0,"Yes","No"),"")</f>
        <v/>
      </c>
      <c r="C7885" s="11"/>
      <c r="D7885" s="11"/>
      <c r="E7885" s="11"/>
      <c r="F7885" s="11"/>
      <c r="G7885" s="11"/>
      <c r="H7885" s="11"/>
      <c r="I7885" s="15"/>
    </row>
    <row r="7886" spans="1:9" ht="16.5">
      <c r="A7886" s="10" t="b">
        <v>0</v>
      </c>
      <c r="B7886" s="11" t="str">
        <f>IF(D7886&lt;&gt;"",IF(COUNTIF('USPTO TMs'!A:A,D7886)&gt;0,"Yes","No"),"")</f>
        <v/>
      </c>
      <c r="C7886" s="11"/>
      <c r="D7886" s="11"/>
      <c r="E7886" s="11"/>
      <c r="F7886" s="11"/>
      <c r="G7886" s="11"/>
      <c r="H7886" s="11"/>
      <c r="I7886" s="15"/>
    </row>
    <row r="7887" spans="1:9" ht="16.5">
      <c r="A7887" s="10" t="b">
        <v>0</v>
      </c>
      <c r="B7887" s="11" t="str">
        <f>IF(D7887&lt;&gt;"",IF(COUNTIF('USPTO TMs'!A:A,D7887)&gt;0,"Yes","No"),"")</f>
        <v/>
      </c>
      <c r="C7887" s="11"/>
      <c r="D7887" s="11"/>
      <c r="E7887" s="11"/>
      <c r="F7887" s="11"/>
      <c r="G7887" s="11"/>
      <c r="H7887" s="11"/>
      <c r="I7887" s="15"/>
    </row>
    <row r="7888" spans="1:9" ht="16.5">
      <c r="A7888" s="10" t="b">
        <v>0</v>
      </c>
      <c r="B7888" s="11" t="str">
        <f>IF(D7888&lt;&gt;"",IF(COUNTIF('USPTO TMs'!A:A,D7888)&gt;0,"Yes","No"),"")</f>
        <v/>
      </c>
      <c r="C7888" s="11"/>
      <c r="D7888" s="11"/>
      <c r="E7888" s="11"/>
      <c r="F7888" s="11"/>
      <c r="G7888" s="11"/>
      <c r="H7888" s="11"/>
      <c r="I7888" s="15"/>
    </row>
    <row r="7889" spans="1:9" ht="16.5">
      <c r="A7889" s="10" t="b">
        <v>0</v>
      </c>
      <c r="B7889" s="11" t="str">
        <f>IF(D7889&lt;&gt;"",IF(COUNTIF('USPTO TMs'!A:A,D7889)&gt;0,"Yes","No"),"")</f>
        <v/>
      </c>
      <c r="C7889" s="11"/>
      <c r="D7889" s="11"/>
      <c r="E7889" s="11"/>
      <c r="F7889" s="11"/>
      <c r="G7889" s="11"/>
      <c r="H7889" s="11"/>
      <c r="I7889" s="15"/>
    </row>
    <row r="7890" spans="1:9" ht="16.5">
      <c r="A7890" s="10" t="b">
        <v>0</v>
      </c>
      <c r="B7890" s="11" t="str">
        <f>IF(D7890&lt;&gt;"",IF(COUNTIF('USPTO TMs'!A:A,D7890)&gt;0,"Yes","No"),"")</f>
        <v/>
      </c>
      <c r="C7890" s="11"/>
      <c r="D7890" s="11"/>
      <c r="E7890" s="11"/>
      <c r="F7890" s="11"/>
      <c r="G7890" s="11"/>
      <c r="H7890" s="11"/>
      <c r="I7890" s="15"/>
    </row>
    <row r="7891" spans="1:9" ht="16.5">
      <c r="A7891" s="10" t="b">
        <v>0</v>
      </c>
      <c r="B7891" s="11" t="str">
        <f>IF(D7891&lt;&gt;"",IF(COUNTIF('USPTO TMs'!A:A,D7891)&gt;0,"Yes","No"),"")</f>
        <v/>
      </c>
      <c r="C7891" s="11"/>
      <c r="D7891" s="11"/>
      <c r="E7891" s="11"/>
      <c r="F7891" s="11"/>
      <c r="G7891" s="11"/>
      <c r="H7891" s="11"/>
      <c r="I7891" s="15"/>
    </row>
    <row r="7892" spans="1:9" ht="16.5">
      <c r="A7892" s="10" t="b">
        <v>0</v>
      </c>
      <c r="B7892" s="11" t="str">
        <f>IF(D7892&lt;&gt;"",IF(COUNTIF('USPTO TMs'!A:A,D7892)&gt;0,"Yes","No"),"")</f>
        <v/>
      </c>
      <c r="C7892" s="11"/>
      <c r="D7892" s="11"/>
      <c r="E7892" s="11"/>
      <c r="F7892" s="11"/>
      <c r="G7892" s="11"/>
      <c r="H7892" s="11"/>
      <c r="I7892" s="15"/>
    </row>
    <row r="7893" spans="1:9" ht="16.5">
      <c r="A7893" s="10" t="b">
        <v>0</v>
      </c>
      <c r="B7893" s="11" t="str">
        <f>IF(D7893&lt;&gt;"",IF(COUNTIF('USPTO TMs'!A:A,D7893)&gt;0,"Yes","No"),"")</f>
        <v/>
      </c>
      <c r="C7893" s="11"/>
      <c r="D7893" s="11"/>
      <c r="E7893" s="11"/>
      <c r="F7893" s="11"/>
      <c r="G7893" s="11"/>
      <c r="H7893" s="11"/>
      <c r="I7893" s="15"/>
    </row>
    <row r="7894" spans="1:9" ht="16.5">
      <c r="A7894" s="10" t="b">
        <v>0</v>
      </c>
      <c r="B7894" s="11" t="str">
        <f>IF(D7894&lt;&gt;"",IF(COUNTIF('USPTO TMs'!A:A,D7894)&gt;0,"Yes","No"),"")</f>
        <v/>
      </c>
      <c r="C7894" s="11"/>
      <c r="D7894" s="11"/>
      <c r="E7894" s="11"/>
      <c r="F7894" s="11"/>
      <c r="G7894" s="11"/>
      <c r="H7894" s="11"/>
      <c r="I7894" s="15"/>
    </row>
    <row r="7895" spans="1:9" ht="16.5">
      <c r="A7895" s="10" t="b">
        <v>0</v>
      </c>
      <c r="B7895" s="11" t="str">
        <f>IF(D7895&lt;&gt;"",IF(COUNTIF('USPTO TMs'!A:A,D7895)&gt;0,"Yes","No"),"")</f>
        <v/>
      </c>
      <c r="C7895" s="11"/>
      <c r="D7895" s="11"/>
      <c r="E7895" s="11"/>
      <c r="F7895" s="11"/>
      <c r="G7895" s="11"/>
      <c r="H7895" s="11"/>
      <c r="I7895" s="15"/>
    </row>
    <row r="7896" spans="1:9" ht="16.5">
      <c r="A7896" s="10" t="b">
        <v>0</v>
      </c>
      <c r="B7896" s="11" t="str">
        <f>IF(D7896&lt;&gt;"",IF(COUNTIF('USPTO TMs'!A:A,D7896)&gt;0,"Yes","No"),"")</f>
        <v/>
      </c>
      <c r="C7896" s="11"/>
      <c r="D7896" s="11"/>
      <c r="E7896" s="11"/>
      <c r="F7896" s="11"/>
      <c r="G7896" s="11"/>
      <c r="H7896" s="11"/>
      <c r="I7896" s="15"/>
    </row>
    <row r="7897" spans="1:9" ht="16.5">
      <c r="A7897" s="10" t="b">
        <v>0</v>
      </c>
      <c r="B7897" s="11" t="str">
        <f>IF(D7897&lt;&gt;"",IF(COUNTIF('USPTO TMs'!A:A,D7897)&gt;0,"Yes","No"),"")</f>
        <v/>
      </c>
      <c r="C7897" s="11"/>
      <c r="D7897" s="11"/>
      <c r="E7897" s="11"/>
      <c r="F7897" s="11"/>
      <c r="G7897" s="11"/>
      <c r="H7897" s="11"/>
      <c r="I7897" s="15"/>
    </row>
    <row r="7898" spans="1:9" ht="16.5">
      <c r="A7898" s="10" t="b">
        <v>0</v>
      </c>
      <c r="B7898" s="11" t="str">
        <f>IF(D7898&lt;&gt;"",IF(COUNTIF('USPTO TMs'!A:A,D7898)&gt;0,"Yes","No"),"")</f>
        <v/>
      </c>
      <c r="C7898" s="11"/>
      <c r="D7898" s="11"/>
      <c r="E7898" s="11"/>
      <c r="F7898" s="11"/>
      <c r="G7898" s="11"/>
      <c r="H7898" s="11"/>
      <c r="I7898" s="15"/>
    </row>
    <row r="7899" spans="1:9" ht="16.5">
      <c r="A7899" s="10" t="b">
        <v>0</v>
      </c>
      <c r="B7899" s="11" t="str">
        <f>IF(D7899&lt;&gt;"",IF(COUNTIF('USPTO TMs'!A:A,D7899)&gt;0,"Yes","No"),"")</f>
        <v/>
      </c>
      <c r="C7899" s="11"/>
      <c r="D7899" s="11"/>
      <c r="E7899" s="11"/>
      <c r="F7899" s="11"/>
      <c r="G7899" s="11"/>
      <c r="H7899" s="11"/>
      <c r="I7899" s="15"/>
    </row>
    <row r="7900" spans="1:9" ht="16.5">
      <c r="A7900" s="10" t="b">
        <v>0</v>
      </c>
      <c r="B7900" s="11" t="str">
        <f>IF(D7900&lt;&gt;"",IF(COUNTIF('USPTO TMs'!A:A,D7900)&gt;0,"Yes","No"),"")</f>
        <v/>
      </c>
      <c r="C7900" s="11"/>
      <c r="D7900" s="11"/>
      <c r="E7900" s="11"/>
      <c r="F7900" s="11"/>
      <c r="G7900" s="11"/>
      <c r="H7900" s="11"/>
      <c r="I7900" s="15"/>
    </row>
    <row r="7901" spans="1:9" ht="16.5">
      <c r="A7901" s="10" t="b">
        <v>0</v>
      </c>
      <c r="B7901" s="11" t="str">
        <f>IF(D7901&lt;&gt;"",IF(COUNTIF('USPTO TMs'!A:A,D7901)&gt;0,"Yes","No"),"")</f>
        <v/>
      </c>
      <c r="C7901" s="11"/>
      <c r="D7901" s="11"/>
      <c r="E7901" s="11"/>
      <c r="F7901" s="11"/>
      <c r="G7901" s="11"/>
      <c r="H7901" s="11"/>
      <c r="I7901" s="15"/>
    </row>
    <row r="7902" spans="1:9" ht="16.5">
      <c r="A7902" s="10" t="b">
        <v>0</v>
      </c>
      <c r="B7902" s="11" t="str">
        <f>IF(D7902&lt;&gt;"",IF(COUNTIF('USPTO TMs'!A:A,D7902)&gt;0,"Yes","No"),"")</f>
        <v/>
      </c>
      <c r="C7902" s="11"/>
      <c r="D7902" s="11"/>
      <c r="E7902" s="11"/>
      <c r="F7902" s="11"/>
      <c r="G7902" s="11"/>
      <c r="H7902" s="11"/>
      <c r="I7902" s="15"/>
    </row>
    <row r="7903" spans="1:9" ht="16.5">
      <c r="A7903" s="10" t="b">
        <v>0</v>
      </c>
      <c r="B7903" s="11" t="str">
        <f>IF(D7903&lt;&gt;"",IF(COUNTIF('USPTO TMs'!A:A,D7903)&gt;0,"Yes","No"),"")</f>
        <v/>
      </c>
      <c r="C7903" s="11"/>
      <c r="D7903" s="11"/>
      <c r="E7903" s="11"/>
      <c r="F7903" s="11"/>
      <c r="G7903" s="11"/>
      <c r="H7903" s="11"/>
      <c r="I7903" s="15"/>
    </row>
    <row r="7904" spans="1:9" ht="16.5">
      <c r="A7904" s="10" t="b">
        <v>0</v>
      </c>
      <c r="B7904" s="11" t="str">
        <f>IF(D7904&lt;&gt;"",IF(COUNTIF('USPTO TMs'!A:A,D7904)&gt;0,"Yes","No"),"")</f>
        <v/>
      </c>
      <c r="C7904" s="11"/>
      <c r="D7904" s="11"/>
      <c r="E7904" s="11"/>
      <c r="F7904" s="11"/>
      <c r="G7904" s="11"/>
      <c r="H7904" s="11"/>
      <c r="I7904" s="15"/>
    </row>
    <row r="7905" spans="1:9" ht="16.5">
      <c r="A7905" s="10" t="b">
        <v>0</v>
      </c>
      <c r="B7905" s="11" t="str">
        <f>IF(D7905&lt;&gt;"",IF(COUNTIF('USPTO TMs'!A:A,D7905)&gt;0,"Yes","No"),"")</f>
        <v/>
      </c>
      <c r="C7905" s="11"/>
      <c r="D7905" s="11"/>
      <c r="E7905" s="11"/>
      <c r="F7905" s="11"/>
      <c r="G7905" s="11"/>
      <c r="H7905" s="11"/>
      <c r="I7905" s="15"/>
    </row>
    <row r="7906" spans="1:9" ht="16.5">
      <c r="A7906" s="10" t="b">
        <v>0</v>
      </c>
      <c r="B7906" s="11" t="str">
        <f>IF(D7906&lt;&gt;"",IF(COUNTIF('USPTO TMs'!A:A,D7906)&gt;0,"Yes","No"),"")</f>
        <v/>
      </c>
      <c r="C7906" s="11"/>
      <c r="D7906" s="11"/>
      <c r="E7906" s="11"/>
      <c r="F7906" s="11"/>
      <c r="G7906" s="11"/>
      <c r="H7906" s="11"/>
      <c r="I7906" s="15"/>
    </row>
    <row r="7907" spans="1:9" ht="16.5">
      <c r="A7907" s="10" t="b">
        <v>0</v>
      </c>
      <c r="B7907" s="11" t="str">
        <f>IF(D7907&lt;&gt;"",IF(COUNTIF('USPTO TMs'!A:A,D7907)&gt;0,"Yes","No"),"")</f>
        <v/>
      </c>
      <c r="C7907" s="11"/>
      <c r="D7907" s="11"/>
      <c r="E7907" s="11"/>
      <c r="F7907" s="11"/>
      <c r="G7907" s="11"/>
      <c r="H7907" s="11"/>
      <c r="I7907" s="15"/>
    </row>
    <row r="7908" spans="1:9" ht="16.5">
      <c r="A7908" s="10" t="b">
        <v>0</v>
      </c>
      <c r="B7908" s="11" t="str">
        <f>IF(D7908&lt;&gt;"",IF(COUNTIF('USPTO TMs'!A:A,D7908)&gt;0,"Yes","No"),"")</f>
        <v/>
      </c>
      <c r="C7908" s="11"/>
      <c r="D7908" s="11"/>
      <c r="E7908" s="11"/>
      <c r="F7908" s="11"/>
      <c r="G7908" s="11"/>
      <c r="H7908" s="11"/>
      <c r="I7908" s="15"/>
    </row>
    <row r="7909" spans="1:9" ht="16.5">
      <c r="A7909" s="10" t="b">
        <v>0</v>
      </c>
      <c r="B7909" s="11" t="str">
        <f>IF(D7909&lt;&gt;"",IF(COUNTIF('USPTO TMs'!A:A,D7909)&gt;0,"Yes","No"),"")</f>
        <v/>
      </c>
      <c r="C7909" s="11"/>
      <c r="D7909" s="11"/>
      <c r="E7909" s="11"/>
      <c r="F7909" s="11"/>
      <c r="G7909" s="11"/>
      <c r="H7909" s="11"/>
      <c r="I7909" s="15"/>
    </row>
    <row r="7910" spans="1:9" ht="16.5">
      <c r="A7910" s="10" t="b">
        <v>0</v>
      </c>
      <c r="B7910" s="11" t="str">
        <f>IF(D7910&lt;&gt;"",IF(COUNTIF('USPTO TMs'!A:A,D7910)&gt;0,"Yes","No"),"")</f>
        <v/>
      </c>
      <c r="C7910" s="11"/>
      <c r="D7910" s="11"/>
      <c r="E7910" s="11"/>
      <c r="F7910" s="11"/>
      <c r="G7910" s="11"/>
      <c r="H7910" s="11"/>
      <c r="I7910" s="15"/>
    </row>
    <row r="7911" spans="1:9" ht="16.5">
      <c r="A7911" s="10" t="b">
        <v>0</v>
      </c>
      <c r="B7911" s="11" t="str">
        <f>IF(D7911&lt;&gt;"",IF(COUNTIF('USPTO TMs'!A:A,D7911)&gt;0,"Yes","No"),"")</f>
        <v/>
      </c>
      <c r="C7911" s="11"/>
      <c r="D7911" s="11"/>
      <c r="E7911" s="11"/>
      <c r="F7911" s="11"/>
      <c r="G7911" s="11"/>
      <c r="H7911" s="11"/>
      <c r="I7911" s="15"/>
    </row>
    <row r="7912" spans="1:9" ht="16.5">
      <c r="A7912" s="10" t="b">
        <v>0</v>
      </c>
      <c r="B7912" s="11" t="str">
        <f>IF(D7912&lt;&gt;"",IF(COUNTIF('USPTO TMs'!A:A,D7912)&gt;0,"Yes","No"),"")</f>
        <v/>
      </c>
      <c r="C7912" s="11"/>
      <c r="D7912" s="11"/>
      <c r="E7912" s="11"/>
      <c r="F7912" s="11"/>
      <c r="G7912" s="11"/>
      <c r="H7912" s="11"/>
      <c r="I7912" s="15"/>
    </row>
    <row r="7913" spans="1:9" ht="16.5">
      <c r="A7913" s="10" t="b">
        <v>0</v>
      </c>
      <c r="B7913" s="11" t="str">
        <f>IF(D7913&lt;&gt;"",IF(COUNTIF('USPTO TMs'!A:A,D7913)&gt;0,"Yes","No"),"")</f>
        <v/>
      </c>
      <c r="C7913" s="11"/>
      <c r="D7913" s="11"/>
      <c r="E7913" s="11"/>
      <c r="F7913" s="11"/>
      <c r="G7913" s="11"/>
      <c r="H7913" s="11"/>
      <c r="I7913" s="15"/>
    </row>
    <row r="7914" spans="1:9" ht="16.5">
      <c r="A7914" s="10" t="b">
        <v>0</v>
      </c>
      <c r="B7914" s="11" t="str">
        <f>IF(D7914&lt;&gt;"",IF(COUNTIF('USPTO TMs'!A:A,D7914)&gt;0,"Yes","No"),"")</f>
        <v/>
      </c>
      <c r="C7914" s="11"/>
      <c r="D7914" s="11"/>
      <c r="E7914" s="11"/>
      <c r="F7914" s="11"/>
      <c r="G7914" s="11"/>
      <c r="H7914" s="11"/>
      <c r="I7914" s="15"/>
    </row>
    <row r="7915" spans="1:9" ht="16.5">
      <c r="A7915" s="10" t="b">
        <v>0</v>
      </c>
      <c r="B7915" s="11" t="str">
        <f>IF(D7915&lt;&gt;"",IF(COUNTIF('USPTO TMs'!A:A,D7915)&gt;0,"Yes","No"),"")</f>
        <v/>
      </c>
      <c r="C7915" s="11"/>
      <c r="D7915" s="11"/>
      <c r="E7915" s="11"/>
      <c r="F7915" s="11"/>
      <c r="G7915" s="11"/>
      <c r="H7915" s="11"/>
      <c r="I7915" s="15"/>
    </row>
    <row r="7916" spans="1:9" ht="16.5">
      <c r="A7916" s="10" t="b">
        <v>0</v>
      </c>
      <c r="B7916" s="11" t="str">
        <f>IF(D7916&lt;&gt;"",IF(COUNTIF('USPTO TMs'!A:A,D7916)&gt;0,"Yes","No"),"")</f>
        <v/>
      </c>
      <c r="C7916" s="11"/>
      <c r="D7916" s="11"/>
      <c r="E7916" s="11"/>
      <c r="F7916" s="11"/>
      <c r="G7916" s="11"/>
      <c r="H7916" s="11"/>
      <c r="I7916" s="15"/>
    </row>
    <row r="7917" spans="1:9" ht="16.5">
      <c r="A7917" s="10" t="b">
        <v>0</v>
      </c>
      <c r="B7917" s="11" t="str">
        <f>IF(D7917&lt;&gt;"",IF(COUNTIF('USPTO TMs'!A:A,D7917)&gt;0,"Yes","No"),"")</f>
        <v/>
      </c>
      <c r="C7917" s="11"/>
      <c r="D7917" s="11"/>
      <c r="E7917" s="11"/>
      <c r="F7917" s="11"/>
      <c r="G7917" s="11"/>
      <c r="H7917" s="11"/>
      <c r="I7917" s="15"/>
    </row>
    <row r="7918" spans="1:9" ht="16.5">
      <c r="A7918" s="10" t="b">
        <v>0</v>
      </c>
      <c r="B7918" s="11" t="str">
        <f>IF(D7918&lt;&gt;"",IF(COUNTIF('USPTO TMs'!A:A,D7918)&gt;0,"Yes","No"),"")</f>
        <v/>
      </c>
      <c r="C7918" s="11"/>
      <c r="D7918" s="11"/>
      <c r="E7918" s="11"/>
      <c r="F7918" s="11"/>
      <c r="G7918" s="11"/>
      <c r="H7918" s="11"/>
      <c r="I7918" s="15"/>
    </row>
    <row r="7919" spans="1:9" ht="16.5">
      <c r="A7919" s="10" t="b">
        <v>0</v>
      </c>
      <c r="B7919" s="11" t="str">
        <f>IF(D7919&lt;&gt;"",IF(COUNTIF('USPTO TMs'!A:A,D7919)&gt;0,"Yes","No"),"")</f>
        <v/>
      </c>
      <c r="C7919" s="11"/>
      <c r="D7919" s="11"/>
      <c r="E7919" s="11"/>
      <c r="F7919" s="11"/>
      <c r="G7919" s="11"/>
      <c r="H7919" s="11"/>
      <c r="I7919" s="15"/>
    </row>
    <row r="7920" spans="1:9" ht="16.5">
      <c r="A7920" s="10" t="b">
        <v>0</v>
      </c>
      <c r="B7920" s="11" t="str">
        <f>IF(D7920&lt;&gt;"",IF(COUNTIF('USPTO TMs'!A:A,D7920)&gt;0,"Yes","No"),"")</f>
        <v/>
      </c>
      <c r="C7920" s="11"/>
      <c r="D7920" s="11"/>
      <c r="E7920" s="11"/>
      <c r="F7920" s="11"/>
      <c r="G7920" s="11"/>
      <c r="H7920" s="11"/>
      <c r="I7920" s="15"/>
    </row>
    <row r="7921" spans="1:9" ht="16.5">
      <c r="A7921" s="10" t="b">
        <v>0</v>
      </c>
      <c r="B7921" s="11" t="str">
        <f>IF(D7921&lt;&gt;"",IF(COUNTIF('USPTO TMs'!A:A,D7921)&gt;0,"Yes","No"),"")</f>
        <v/>
      </c>
      <c r="C7921" s="11"/>
      <c r="D7921" s="11"/>
      <c r="E7921" s="11"/>
      <c r="F7921" s="11"/>
      <c r="G7921" s="11"/>
      <c r="H7921" s="11"/>
      <c r="I7921" s="15"/>
    </row>
    <row r="7922" spans="1:9" ht="16.5">
      <c r="A7922" s="10" t="b">
        <v>0</v>
      </c>
      <c r="B7922" s="11" t="str">
        <f>IF(D7922&lt;&gt;"",IF(COUNTIF('USPTO TMs'!A:A,D7922)&gt;0,"Yes","No"),"")</f>
        <v/>
      </c>
      <c r="C7922" s="11"/>
      <c r="D7922" s="11"/>
      <c r="E7922" s="11"/>
      <c r="F7922" s="11"/>
      <c r="G7922" s="11"/>
      <c r="H7922" s="11"/>
      <c r="I7922" s="15"/>
    </row>
    <row r="7923" spans="1:9" ht="16.5">
      <c r="A7923" s="10" t="b">
        <v>0</v>
      </c>
      <c r="B7923" s="11" t="str">
        <f>IF(D7923&lt;&gt;"",IF(COUNTIF('USPTO TMs'!A:A,D7923)&gt;0,"Yes","No"),"")</f>
        <v/>
      </c>
      <c r="C7923" s="11"/>
      <c r="D7923" s="11"/>
      <c r="E7923" s="11"/>
      <c r="F7923" s="11"/>
      <c r="G7923" s="11"/>
      <c r="H7923" s="11"/>
      <c r="I7923" s="15"/>
    </row>
    <row r="7924" spans="1:9" ht="16.5">
      <c r="A7924" s="10" t="b">
        <v>0</v>
      </c>
      <c r="B7924" s="11" t="str">
        <f>IF(D7924&lt;&gt;"",IF(COUNTIF('USPTO TMs'!A:A,D7924)&gt;0,"Yes","No"),"")</f>
        <v/>
      </c>
      <c r="C7924" s="11"/>
      <c r="D7924" s="11"/>
      <c r="E7924" s="11"/>
      <c r="F7924" s="11"/>
      <c r="G7924" s="11"/>
      <c r="H7924" s="11"/>
      <c r="I7924" s="15"/>
    </row>
    <row r="7925" spans="1:9" ht="16.5">
      <c r="A7925" s="10" t="b">
        <v>0</v>
      </c>
      <c r="B7925" s="11" t="str">
        <f>IF(D7925&lt;&gt;"",IF(COUNTIF('USPTO TMs'!A:A,D7925)&gt;0,"Yes","No"),"")</f>
        <v/>
      </c>
      <c r="C7925" s="11"/>
      <c r="D7925" s="11"/>
      <c r="E7925" s="11"/>
      <c r="F7925" s="11"/>
      <c r="G7925" s="11"/>
      <c r="H7925" s="11"/>
      <c r="I7925" s="15"/>
    </row>
    <row r="7926" spans="1:9" ht="16.5">
      <c r="A7926" s="10" t="b">
        <v>0</v>
      </c>
      <c r="B7926" s="11" t="str">
        <f>IF(D7926&lt;&gt;"",IF(COUNTIF('USPTO TMs'!A:A,D7926)&gt;0,"Yes","No"),"")</f>
        <v/>
      </c>
      <c r="C7926" s="11"/>
      <c r="D7926" s="11"/>
      <c r="E7926" s="11"/>
      <c r="F7926" s="11"/>
      <c r="G7926" s="11"/>
      <c r="H7926" s="11"/>
      <c r="I7926" s="15"/>
    </row>
    <row r="7927" spans="1:9" ht="16.5">
      <c r="A7927" s="10" t="b">
        <v>0</v>
      </c>
      <c r="B7927" s="11" t="str">
        <f>IF(D7927&lt;&gt;"",IF(COUNTIF('USPTO TMs'!A:A,D7927)&gt;0,"Yes","No"),"")</f>
        <v/>
      </c>
      <c r="C7927" s="11"/>
      <c r="D7927" s="11"/>
      <c r="E7927" s="11"/>
      <c r="F7927" s="11"/>
      <c r="G7927" s="11"/>
      <c r="H7927" s="11"/>
      <c r="I7927" s="15"/>
    </row>
    <row r="7928" spans="1:9" ht="16.5">
      <c r="A7928" s="10" t="b">
        <v>0</v>
      </c>
      <c r="B7928" s="11" t="str">
        <f>IF(D7928&lt;&gt;"",IF(COUNTIF('USPTO TMs'!A:A,D7928)&gt;0,"Yes","No"),"")</f>
        <v/>
      </c>
      <c r="C7928" s="11"/>
      <c r="D7928" s="11"/>
      <c r="E7928" s="11"/>
      <c r="F7928" s="11"/>
      <c r="G7928" s="11"/>
      <c r="H7928" s="11"/>
      <c r="I7928" s="15"/>
    </row>
    <row r="7929" spans="1:9" ht="16.5">
      <c r="A7929" s="10" t="b">
        <v>0</v>
      </c>
      <c r="B7929" s="11" t="str">
        <f>IF(D7929&lt;&gt;"",IF(COUNTIF('USPTO TMs'!A:A,D7929)&gt;0,"Yes","No"),"")</f>
        <v/>
      </c>
      <c r="C7929" s="11"/>
      <c r="D7929" s="11"/>
      <c r="E7929" s="11"/>
      <c r="F7929" s="11"/>
      <c r="G7929" s="11"/>
      <c r="H7929" s="11"/>
      <c r="I7929" s="15"/>
    </row>
    <row r="7930" spans="1:9" ht="16.5">
      <c r="A7930" s="10" t="b">
        <v>0</v>
      </c>
      <c r="B7930" s="11" t="str">
        <f>IF(D7930&lt;&gt;"",IF(COUNTIF('USPTO TMs'!A:A,D7930)&gt;0,"Yes","No"),"")</f>
        <v/>
      </c>
      <c r="C7930" s="11"/>
      <c r="D7930" s="11"/>
      <c r="E7930" s="11"/>
      <c r="F7930" s="11"/>
      <c r="G7930" s="11"/>
      <c r="H7930" s="11"/>
      <c r="I7930" s="15"/>
    </row>
    <row r="7931" spans="1:9" ht="16.5">
      <c r="A7931" s="10" t="b">
        <v>0</v>
      </c>
      <c r="B7931" s="11" t="str">
        <f>IF(D7931&lt;&gt;"",IF(COUNTIF('USPTO TMs'!A:A,D7931)&gt;0,"Yes","No"),"")</f>
        <v/>
      </c>
      <c r="C7931" s="11"/>
      <c r="D7931" s="11"/>
      <c r="E7931" s="11"/>
      <c r="F7931" s="11"/>
      <c r="G7931" s="11"/>
      <c r="H7931" s="11"/>
      <c r="I7931" s="15"/>
    </row>
    <row r="7932" spans="1:9" ht="16.5">
      <c r="A7932" s="10" t="b">
        <v>0</v>
      </c>
      <c r="B7932" s="11" t="str">
        <f>IF(D7932&lt;&gt;"",IF(COUNTIF('USPTO TMs'!A:A,D7932)&gt;0,"Yes","No"),"")</f>
        <v/>
      </c>
      <c r="C7932" s="11"/>
      <c r="D7932" s="11"/>
      <c r="E7932" s="11"/>
      <c r="F7932" s="11"/>
      <c r="G7932" s="11"/>
      <c r="H7932" s="11"/>
      <c r="I7932" s="15"/>
    </row>
    <row r="7933" spans="1:9" ht="16.5">
      <c r="A7933" s="10" t="b">
        <v>0</v>
      </c>
      <c r="B7933" s="11" t="str">
        <f>IF(D7933&lt;&gt;"",IF(COUNTIF('USPTO TMs'!A:A,D7933)&gt;0,"Yes","No"),"")</f>
        <v/>
      </c>
      <c r="C7933" s="11"/>
      <c r="D7933" s="11"/>
      <c r="E7933" s="11"/>
      <c r="F7933" s="11"/>
      <c r="G7933" s="11"/>
      <c r="H7933" s="11"/>
      <c r="I7933" s="15"/>
    </row>
    <row r="7934" spans="1:9" ht="16.5">
      <c r="A7934" s="10" t="b">
        <v>0</v>
      </c>
      <c r="B7934" s="11" t="str">
        <f>IF(D7934&lt;&gt;"",IF(COUNTIF('USPTO TMs'!A:A,D7934)&gt;0,"Yes","No"),"")</f>
        <v/>
      </c>
      <c r="C7934" s="11"/>
      <c r="D7934" s="11"/>
      <c r="E7934" s="11"/>
      <c r="F7934" s="11"/>
      <c r="G7934" s="11"/>
      <c r="H7934" s="11"/>
      <c r="I7934" s="15"/>
    </row>
    <row r="7935" spans="1:9" ht="16.5">
      <c r="A7935" s="10" t="b">
        <v>0</v>
      </c>
      <c r="B7935" s="11" t="str">
        <f>IF(D7935&lt;&gt;"",IF(COUNTIF('USPTO TMs'!A:A,D7935)&gt;0,"Yes","No"),"")</f>
        <v/>
      </c>
      <c r="C7935" s="11"/>
      <c r="D7935" s="11"/>
      <c r="E7935" s="11"/>
      <c r="F7935" s="11"/>
      <c r="G7935" s="11"/>
      <c r="H7935" s="11"/>
      <c r="I7935" s="15"/>
    </row>
    <row r="7936" spans="1:9" ht="16.5">
      <c r="A7936" s="10" t="b">
        <v>0</v>
      </c>
      <c r="B7936" s="11" t="str">
        <f>IF(D7936&lt;&gt;"",IF(COUNTIF('USPTO TMs'!A:A,D7936)&gt;0,"Yes","No"),"")</f>
        <v/>
      </c>
      <c r="C7936" s="11"/>
      <c r="D7936" s="11"/>
      <c r="E7936" s="11"/>
      <c r="F7936" s="11"/>
      <c r="G7936" s="11"/>
      <c r="H7936" s="11"/>
      <c r="I7936" s="15"/>
    </row>
    <row r="7937" spans="1:9" ht="16.5">
      <c r="A7937" s="10" t="b">
        <v>0</v>
      </c>
      <c r="B7937" s="11" t="str">
        <f>IF(D7937&lt;&gt;"",IF(COUNTIF('USPTO TMs'!A:A,D7937)&gt;0,"Yes","No"),"")</f>
        <v/>
      </c>
      <c r="C7937" s="11"/>
      <c r="D7937" s="11"/>
      <c r="E7937" s="11"/>
      <c r="F7937" s="11"/>
      <c r="G7937" s="11"/>
      <c r="H7937" s="11"/>
      <c r="I7937" s="15"/>
    </row>
    <row r="7938" spans="1:9" ht="16.5">
      <c r="A7938" s="10" t="b">
        <v>0</v>
      </c>
      <c r="B7938" s="11" t="str">
        <f>IF(D7938&lt;&gt;"",IF(COUNTIF('USPTO TMs'!A:A,D7938)&gt;0,"Yes","No"),"")</f>
        <v/>
      </c>
      <c r="C7938" s="11"/>
      <c r="D7938" s="11"/>
      <c r="E7938" s="11"/>
      <c r="F7938" s="11"/>
      <c r="G7938" s="11"/>
      <c r="H7938" s="11"/>
      <c r="I7938" s="15"/>
    </row>
    <row r="7939" spans="1:9" ht="16.5">
      <c r="A7939" s="10" t="b">
        <v>0</v>
      </c>
      <c r="B7939" s="11" t="str">
        <f>IF(D7939&lt;&gt;"",IF(COUNTIF('USPTO TMs'!A:A,D7939)&gt;0,"Yes","No"),"")</f>
        <v/>
      </c>
      <c r="C7939" s="11"/>
      <c r="D7939" s="11"/>
      <c r="E7939" s="11"/>
      <c r="F7939" s="11"/>
      <c r="G7939" s="11"/>
      <c r="H7939" s="11"/>
      <c r="I7939" s="15"/>
    </row>
    <row r="7940" spans="1:9" ht="16.5">
      <c r="A7940" s="10" t="b">
        <v>0</v>
      </c>
      <c r="B7940" s="11" t="str">
        <f>IF(D7940&lt;&gt;"",IF(COUNTIF('USPTO TMs'!A:A,D7940)&gt;0,"Yes","No"),"")</f>
        <v/>
      </c>
      <c r="C7940" s="11"/>
      <c r="D7940" s="11"/>
      <c r="E7940" s="11"/>
      <c r="F7940" s="11"/>
      <c r="G7940" s="11"/>
      <c r="H7940" s="11"/>
      <c r="I7940" s="15"/>
    </row>
    <row r="7941" spans="1:9" ht="16.5">
      <c r="A7941" s="10" t="b">
        <v>0</v>
      </c>
      <c r="B7941" s="11" t="str">
        <f>IF(D7941&lt;&gt;"",IF(COUNTIF('USPTO TMs'!A:A,D7941)&gt;0,"Yes","No"),"")</f>
        <v/>
      </c>
      <c r="C7941" s="11"/>
      <c r="D7941" s="11"/>
      <c r="E7941" s="11"/>
      <c r="F7941" s="11"/>
      <c r="G7941" s="11"/>
      <c r="H7941" s="11"/>
      <c r="I7941" s="15"/>
    </row>
    <row r="7942" spans="1:9" ht="16.5">
      <c r="A7942" s="10" t="b">
        <v>0</v>
      </c>
      <c r="B7942" s="11" t="str">
        <f>IF(D7942&lt;&gt;"",IF(COUNTIF('USPTO TMs'!A:A,D7942)&gt;0,"Yes","No"),"")</f>
        <v/>
      </c>
      <c r="C7942" s="11"/>
      <c r="D7942" s="11"/>
      <c r="E7942" s="11"/>
      <c r="F7942" s="11"/>
      <c r="G7942" s="11"/>
      <c r="H7942" s="11"/>
      <c r="I7942" s="15"/>
    </row>
    <row r="7943" spans="1:9" ht="16.5">
      <c r="A7943" s="10" t="b">
        <v>0</v>
      </c>
      <c r="B7943" s="11" t="str">
        <f>IF(D7943&lt;&gt;"",IF(COUNTIF('USPTO TMs'!A:A,D7943)&gt;0,"Yes","No"),"")</f>
        <v/>
      </c>
      <c r="C7943" s="11"/>
      <c r="D7943" s="11"/>
      <c r="E7943" s="11"/>
      <c r="F7943" s="11"/>
      <c r="G7943" s="11"/>
      <c r="H7943" s="11"/>
      <c r="I7943" s="15"/>
    </row>
    <row r="7944" spans="1:9" ht="16.5">
      <c r="A7944" s="10" t="b">
        <v>0</v>
      </c>
      <c r="B7944" s="11" t="str">
        <f>IF(D7944&lt;&gt;"",IF(COUNTIF('USPTO TMs'!A:A,D7944)&gt;0,"Yes","No"),"")</f>
        <v/>
      </c>
      <c r="C7944" s="11"/>
      <c r="D7944" s="11"/>
      <c r="E7944" s="11"/>
      <c r="F7944" s="11"/>
      <c r="G7944" s="11"/>
      <c r="H7944" s="11"/>
      <c r="I7944" s="15"/>
    </row>
    <row r="7945" spans="1:9" ht="16.5">
      <c r="A7945" s="10" t="b">
        <v>0</v>
      </c>
      <c r="B7945" s="11" t="str">
        <f>IF(D7945&lt;&gt;"",IF(COUNTIF('USPTO TMs'!A:A,D7945)&gt;0,"Yes","No"),"")</f>
        <v/>
      </c>
      <c r="C7945" s="11"/>
      <c r="D7945" s="11"/>
      <c r="E7945" s="11"/>
      <c r="F7945" s="11"/>
      <c r="G7945" s="11"/>
      <c r="H7945" s="11"/>
      <c r="I7945" s="15"/>
    </row>
    <row r="7946" spans="1:9" ht="16.5">
      <c r="A7946" s="10" t="b">
        <v>0</v>
      </c>
      <c r="B7946" s="11" t="str">
        <f>IF(D7946&lt;&gt;"",IF(COUNTIF('USPTO TMs'!A:A,D7946)&gt;0,"Yes","No"),"")</f>
        <v/>
      </c>
      <c r="C7946" s="11"/>
      <c r="D7946" s="11"/>
      <c r="E7946" s="11"/>
      <c r="F7946" s="11"/>
      <c r="G7946" s="11"/>
      <c r="H7946" s="11"/>
      <c r="I7946" s="15"/>
    </row>
    <row r="7947" spans="1:9" ht="16.5">
      <c r="A7947" s="10" t="b">
        <v>0</v>
      </c>
      <c r="B7947" s="11" t="str">
        <f>IF(D7947&lt;&gt;"",IF(COUNTIF('USPTO TMs'!A:A,D7947)&gt;0,"Yes","No"),"")</f>
        <v/>
      </c>
      <c r="C7947" s="11"/>
      <c r="D7947" s="11"/>
      <c r="E7947" s="11"/>
      <c r="F7947" s="11"/>
      <c r="G7947" s="11"/>
      <c r="H7947" s="11"/>
      <c r="I7947" s="15"/>
    </row>
    <row r="7948" spans="1:9" ht="16.5">
      <c r="A7948" s="10" t="b">
        <v>0</v>
      </c>
      <c r="B7948" s="11" t="str">
        <f>IF(D7948&lt;&gt;"",IF(COUNTIF('USPTO TMs'!A:A,D7948)&gt;0,"Yes","No"),"")</f>
        <v/>
      </c>
      <c r="C7948" s="11"/>
      <c r="D7948" s="11"/>
      <c r="E7948" s="11"/>
      <c r="F7948" s="11"/>
      <c r="G7948" s="11"/>
      <c r="H7948" s="11"/>
      <c r="I7948" s="15"/>
    </row>
    <row r="7949" spans="1:9" ht="16.5">
      <c r="A7949" s="10" t="b">
        <v>0</v>
      </c>
      <c r="B7949" s="11" t="str">
        <f>IF(D7949&lt;&gt;"",IF(COUNTIF('USPTO TMs'!A:A,D7949)&gt;0,"Yes","No"),"")</f>
        <v/>
      </c>
      <c r="C7949" s="11"/>
      <c r="D7949" s="11"/>
      <c r="E7949" s="11"/>
      <c r="F7949" s="11"/>
      <c r="G7949" s="11"/>
      <c r="H7949" s="11"/>
      <c r="I7949" s="15"/>
    </row>
    <row r="7950" spans="1:9" ht="16.5">
      <c r="A7950" s="10" t="b">
        <v>0</v>
      </c>
      <c r="B7950" s="11" t="str">
        <f>IF(D7950&lt;&gt;"",IF(COUNTIF('USPTO TMs'!A:A,D7950)&gt;0,"Yes","No"),"")</f>
        <v/>
      </c>
      <c r="C7950" s="11"/>
      <c r="D7950" s="11"/>
      <c r="E7950" s="11"/>
      <c r="F7950" s="11"/>
      <c r="G7950" s="11"/>
      <c r="H7950" s="11"/>
      <c r="I7950" s="15"/>
    </row>
    <row r="7951" spans="1:9" ht="16.5">
      <c r="A7951" s="10" t="b">
        <v>0</v>
      </c>
      <c r="B7951" s="11" t="str">
        <f>IF(D7951&lt;&gt;"",IF(COUNTIF('USPTO TMs'!A:A,D7951)&gt;0,"Yes","No"),"")</f>
        <v/>
      </c>
      <c r="C7951" s="11"/>
      <c r="D7951" s="11"/>
      <c r="E7951" s="11"/>
      <c r="F7951" s="11"/>
      <c r="G7951" s="11"/>
      <c r="H7951" s="11"/>
      <c r="I7951" s="15"/>
    </row>
    <row r="7952" spans="1:9" ht="16.5">
      <c r="A7952" s="10" t="b">
        <v>0</v>
      </c>
      <c r="B7952" s="11" t="str">
        <f>IF(D7952&lt;&gt;"",IF(COUNTIF('USPTO TMs'!A:A,D7952)&gt;0,"Yes","No"),"")</f>
        <v/>
      </c>
      <c r="C7952" s="11"/>
      <c r="D7952" s="11"/>
      <c r="E7952" s="11"/>
      <c r="F7952" s="11"/>
      <c r="G7952" s="11"/>
      <c r="H7952" s="11"/>
      <c r="I7952" s="15"/>
    </row>
    <row r="7953" spans="1:9" ht="16.5">
      <c r="A7953" s="10" t="b">
        <v>0</v>
      </c>
      <c r="B7953" s="11" t="str">
        <f>IF(D7953&lt;&gt;"",IF(COUNTIF('USPTO TMs'!A:A,D7953)&gt;0,"Yes","No"),"")</f>
        <v/>
      </c>
      <c r="C7953" s="11"/>
      <c r="D7953" s="11"/>
      <c r="E7953" s="11"/>
      <c r="F7953" s="11"/>
      <c r="G7953" s="11"/>
      <c r="H7953" s="11"/>
      <c r="I7953" s="15"/>
    </row>
    <row r="7954" spans="1:9" ht="16.5">
      <c r="A7954" s="10" t="b">
        <v>0</v>
      </c>
      <c r="B7954" s="11" t="str">
        <f>IF(D7954&lt;&gt;"",IF(COUNTIF('USPTO TMs'!A:A,D7954)&gt;0,"Yes","No"),"")</f>
        <v/>
      </c>
      <c r="C7954" s="11"/>
      <c r="D7954" s="11"/>
      <c r="E7954" s="11"/>
      <c r="F7954" s="11"/>
      <c r="G7954" s="11"/>
      <c r="H7954" s="11"/>
      <c r="I7954" s="15"/>
    </row>
    <row r="7955" spans="1:9" ht="16.5">
      <c r="A7955" s="10" t="b">
        <v>0</v>
      </c>
      <c r="B7955" s="11" t="str">
        <f>IF(D7955&lt;&gt;"",IF(COUNTIF('USPTO TMs'!A:A,D7955)&gt;0,"Yes","No"),"")</f>
        <v/>
      </c>
      <c r="C7955" s="11"/>
      <c r="D7955" s="11"/>
      <c r="E7955" s="11"/>
      <c r="F7955" s="11"/>
      <c r="G7955" s="11"/>
      <c r="H7955" s="11"/>
      <c r="I7955" s="15"/>
    </row>
    <row r="7956" spans="1:9" ht="16.5">
      <c r="A7956" s="10" t="b">
        <v>0</v>
      </c>
      <c r="B7956" s="11" t="str">
        <f>IF(D7956&lt;&gt;"",IF(COUNTIF('USPTO TMs'!A:A,D7956)&gt;0,"Yes","No"),"")</f>
        <v/>
      </c>
      <c r="C7956" s="11"/>
      <c r="D7956" s="11"/>
      <c r="E7956" s="11"/>
      <c r="F7956" s="11"/>
      <c r="G7956" s="11"/>
      <c r="H7956" s="11"/>
      <c r="I7956" s="15"/>
    </row>
    <row r="7957" spans="1:9" ht="16.5">
      <c r="A7957" s="10" t="b">
        <v>0</v>
      </c>
      <c r="B7957" s="11" t="str">
        <f>IF(D7957&lt;&gt;"",IF(COUNTIF('USPTO TMs'!A:A,D7957)&gt;0,"Yes","No"),"")</f>
        <v/>
      </c>
      <c r="C7957" s="11"/>
      <c r="D7957" s="11"/>
      <c r="E7957" s="11"/>
      <c r="F7957" s="11"/>
      <c r="G7957" s="11"/>
      <c r="H7957" s="11"/>
      <c r="I7957" s="15"/>
    </row>
    <row r="7958" spans="1:9" ht="16.5">
      <c r="A7958" s="10" t="b">
        <v>0</v>
      </c>
      <c r="B7958" s="11" t="str">
        <f>IF(D7958&lt;&gt;"",IF(COUNTIF('USPTO TMs'!A:A,D7958)&gt;0,"Yes","No"),"")</f>
        <v/>
      </c>
      <c r="C7958" s="11"/>
      <c r="D7958" s="11"/>
      <c r="E7958" s="11"/>
      <c r="F7958" s="11"/>
      <c r="G7958" s="11"/>
      <c r="H7958" s="11"/>
      <c r="I7958" s="15"/>
    </row>
    <row r="7959" spans="1:9" ht="16.5">
      <c r="A7959" s="10" t="b">
        <v>0</v>
      </c>
      <c r="B7959" s="11" t="str">
        <f>IF(D7959&lt;&gt;"",IF(COUNTIF('USPTO TMs'!A:A,D7959)&gt;0,"Yes","No"),"")</f>
        <v/>
      </c>
      <c r="C7959" s="11"/>
      <c r="D7959" s="11"/>
      <c r="E7959" s="11"/>
      <c r="F7959" s="11"/>
      <c r="G7959" s="11"/>
      <c r="H7959" s="11"/>
      <c r="I7959" s="15"/>
    </row>
    <row r="7960" spans="1:9" ht="16.5">
      <c r="A7960" s="10" t="b">
        <v>0</v>
      </c>
      <c r="B7960" s="11" t="str">
        <f>IF(D7960&lt;&gt;"",IF(COUNTIF('USPTO TMs'!A:A,D7960)&gt;0,"Yes","No"),"")</f>
        <v/>
      </c>
      <c r="C7960" s="11"/>
      <c r="D7960" s="11"/>
      <c r="E7960" s="11"/>
      <c r="F7960" s="11"/>
      <c r="G7960" s="11"/>
      <c r="H7960" s="11"/>
      <c r="I7960" s="15"/>
    </row>
    <row r="7961" spans="1:9" ht="16.5">
      <c r="A7961" s="10" t="b">
        <v>0</v>
      </c>
      <c r="B7961" s="11" t="str">
        <f>IF(D7961&lt;&gt;"",IF(COUNTIF('USPTO TMs'!A:A,D7961)&gt;0,"Yes","No"),"")</f>
        <v/>
      </c>
      <c r="C7961" s="11"/>
      <c r="D7961" s="11"/>
      <c r="E7961" s="11"/>
      <c r="F7961" s="11"/>
      <c r="G7961" s="11"/>
      <c r="H7961" s="11"/>
      <c r="I7961" s="15"/>
    </row>
    <row r="7962" spans="1:9" ht="16.5">
      <c r="A7962" s="10" t="b">
        <v>0</v>
      </c>
      <c r="B7962" s="11" t="str">
        <f>IF(D7962&lt;&gt;"",IF(COUNTIF('USPTO TMs'!A:A,D7962)&gt;0,"Yes","No"),"")</f>
        <v/>
      </c>
      <c r="C7962" s="11"/>
      <c r="D7962" s="11"/>
      <c r="E7962" s="11"/>
      <c r="F7962" s="11"/>
      <c r="G7962" s="11"/>
      <c r="H7962" s="11"/>
      <c r="I7962" s="15"/>
    </row>
    <row r="7963" spans="1:9" ht="16.5">
      <c r="A7963" s="10" t="b">
        <v>0</v>
      </c>
      <c r="B7963" s="11" t="str">
        <f>IF(D7963&lt;&gt;"",IF(COUNTIF('USPTO TMs'!A:A,D7963)&gt;0,"Yes","No"),"")</f>
        <v/>
      </c>
      <c r="C7963" s="11"/>
      <c r="D7963" s="11"/>
      <c r="E7963" s="11"/>
      <c r="F7963" s="11"/>
      <c r="G7963" s="11"/>
      <c r="H7963" s="11"/>
      <c r="I7963" s="15"/>
    </row>
    <row r="7964" spans="1:9" ht="16.5">
      <c r="A7964" s="10" t="b">
        <v>0</v>
      </c>
      <c r="B7964" s="11" t="str">
        <f>IF(D7964&lt;&gt;"",IF(COUNTIF('USPTO TMs'!A:A,D7964)&gt;0,"Yes","No"),"")</f>
        <v/>
      </c>
      <c r="C7964" s="11"/>
      <c r="D7964" s="11"/>
      <c r="E7964" s="11"/>
      <c r="F7964" s="11"/>
      <c r="G7964" s="11"/>
      <c r="H7964" s="11"/>
      <c r="I7964" s="15"/>
    </row>
    <row r="7965" spans="1:9" ht="16.5">
      <c r="A7965" s="10" t="b">
        <v>0</v>
      </c>
      <c r="B7965" s="11" t="str">
        <f>IF(D7965&lt;&gt;"",IF(COUNTIF('USPTO TMs'!A:A,D7965)&gt;0,"Yes","No"),"")</f>
        <v/>
      </c>
      <c r="C7965" s="11"/>
      <c r="D7965" s="11"/>
      <c r="E7965" s="11"/>
      <c r="F7965" s="11"/>
      <c r="G7965" s="11"/>
      <c r="H7965" s="11"/>
      <c r="I7965" s="15"/>
    </row>
    <row r="7966" spans="1:9" ht="16.5">
      <c r="A7966" s="10" t="b">
        <v>0</v>
      </c>
      <c r="B7966" s="11" t="str">
        <f>IF(D7966&lt;&gt;"",IF(COUNTIF('USPTO TMs'!A:A,D7966)&gt;0,"Yes","No"),"")</f>
        <v/>
      </c>
      <c r="C7966" s="11"/>
      <c r="D7966" s="11"/>
      <c r="E7966" s="11"/>
      <c r="F7966" s="11"/>
      <c r="G7966" s="11"/>
      <c r="H7966" s="11"/>
      <c r="I7966" s="15"/>
    </row>
    <row r="7967" spans="1:9" ht="16.5">
      <c r="A7967" s="10" t="b">
        <v>0</v>
      </c>
      <c r="B7967" s="11" t="str">
        <f>IF(D7967&lt;&gt;"",IF(COUNTIF('USPTO TMs'!A:A,D7967)&gt;0,"Yes","No"),"")</f>
        <v/>
      </c>
      <c r="C7967" s="11"/>
      <c r="D7967" s="11"/>
      <c r="E7967" s="11"/>
      <c r="F7967" s="11"/>
      <c r="G7967" s="11"/>
      <c r="H7967" s="11"/>
      <c r="I7967" s="15"/>
    </row>
    <row r="7968" spans="1:9" ht="16.5">
      <c r="A7968" s="10" t="b">
        <v>0</v>
      </c>
      <c r="B7968" s="11" t="str">
        <f>IF(D7968&lt;&gt;"",IF(COUNTIF('USPTO TMs'!A:A,D7968)&gt;0,"Yes","No"),"")</f>
        <v/>
      </c>
      <c r="C7968" s="11"/>
      <c r="D7968" s="11"/>
      <c r="E7968" s="11"/>
      <c r="F7968" s="11"/>
      <c r="G7968" s="11"/>
      <c r="H7968" s="11"/>
      <c r="I7968" s="15"/>
    </row>
    <row r="7969" spans="1:9" ht="16.5">
      <c r="A7969" s="10" t="b">
        <v>0</v>
      </c>
      <c r="B7969" s="11" t="str">
        <f>IF(D7969&lt;&gt;"",IF(COUNTIF('USPTO TMs'!A:A,D7969)&gt;0,"Yes","No"),"")</f>
        <v/>
      </c>
      <c r="C7969" s="11"/>
      <c r="D7969" s="11"/>
      <c r="E7969" s="11"/>
      <c r="F7969" s="11"/>
      <c r="G7969" s="11"/>
      <c r="H7969" s="11"/>
      <c r="I7969" s="15"/>
    </row>
    <row r="7970" spans="1:9" ht="16.5">
      <c r="A7970" s="10" t="b">
        <v>0</v>
      </c>
      <c r="B7970" s="11" t="str">
        <f>IF(D7970&lt;&gt;"",IF(COUNTIF('USPTO TMs'!A:A,D7970)&gt;0,"Yes","No"),"")</f>
        <v/>
      </c>
      <c r="C7970" s="11"/>
      <c r="D7970" s="11"/>
      <c r="E7970" s="11"/>
      <c r="F7970" s="11"/>
      <c r="G7970" s="11"/>
      <c r="H7970" s="11"/>
      <c r="I7970" s="15"/>
    </row>
    <row r="7971" spans="1:9" ht="16.5">
      <c r="A7971" s="10" t="b">
        <v>0</v>
      </c>
      <c r="B7971" s="11" t="str">
        <f>IF(D7971&lt;&gt;"",IF(COUNTIF('USPTO TMs'!A:A,D7971)&gt;0,"Yes","No"),"")</f>
        <v/>
      </c>
      <c r="C7971" s="11"/>
      <c r="D7971" s="11"/>
      <c r="E7971" s="11"/>
      <c r="F7971" s="11"/>
      <c r="G7971" s="11"/>
      <c r="H7971" s="11"/>
      <c r="I7971" s="15"/>
    </row>
    <row r="7972" spans="1:9" ht="16.5">
      <c r="A7972" s="10" t="b">
        <v>0</v>
      </c>
      <c r="B7972" s="11" t="str">
        <f>IF(D7972&lt;&gt;"",IF(COUNTIF('USPTO TMs'!A:A,D7972)&gt;0,"Yes","No"),"")</f>
        <v/>
      </c>
      <c r="C7972" s="11"/>
      <c r="D7972" s="11"/>
      <c r="E7972" s="11"/>
      <c r="F7972" s="11"/>
      <c r="G7972" s="11"/>
      <c r="H7972" s="11"/>
      <c r="I7972" s="15"/>
    </row>
    <row r="7973" spans="1:9" ht="16.5">
      <c r="A7973" s="10" t="b">
        <v>0</v>
      </c>
      <c r="B7973" s="11" t="str">
        <f>IF(D7973&lt;&gt;"",IF(COUNTIF('USPTO TMs'!A:A,D7973)&gt;0,"Yes","No"),"")</f>
        <v/>
      </c>
      <c r="C7973" s="11"/>
      <c r="D7973" s="11"/>
      <c r="E7973" s="11"/>
      <c r="F7973" s="11"/>
      <c r="G7973" s="11"/>
      <c r="H7973" s="11"/>
      <c r="I7973" s="15"/>
    </row>
    <row r="7974" spans="1:9" ht="16.5">
      <c r="A7974" s="10" t="b">
        <v>0</v>
      </c>
      <c r="B7974" s="11" t="str">
        <f>IF(D7974&lt;&gt;"",IF(COUNTIF('USPTO TMs'!A:A,D7974)&gt;0,"Yes","No"),"")</f>
        <v/>
      </c>
      <c r="C7974" s="11"/>
      <c r="D7974" s="11"/>
      <c r="E7974" s="11"/>
      <c r="F7974" s="11"/>
      <c r="G7974" s="11"/>
      <c r="H7974" s="11"/>
      <c r="I7974" s="15"/>
    </row>
    <row r="7975" spans="1:9" ht="16.5">
      <c r="A7975" s="10" t="b">
        <v>0</v>
      </c>
      <c r="B7975" s="11" t="str">
        <f>IF(D7975&lt;&gt;"",IF(COUNTIF('USPTO TMs'!A:A,D7975)&gt;0,"Yes","No"),"")</f>
        <v/>
      </c>
      <c r="C7975" s="11"/>
      <c r="D7975" s="11"/>
      <c r="E7975" s="11"/>
      <c r="F7975" s="11"/>
      <c r="G7975" s="11"/>
      <c r="H7975" s="11"/>
      <c r="I7975" s="15"/>
    </row>
    <row r="7976" spans="1:9" ht="16.5">
      <c r="A7976" s="10" t="b">
        <v>0</v>
      </c>
      <c r="B7976" s="11" t="str">
        <f>IF(D7976&lt;&gt;"",IF(COUNTIF('USPTO TMs'!A:A,D7976)&gt;0,"Yes","No"),"")</f>
        <v/>
      </c>
      <c r="C7976" s="11"/>
      <c r="D7976" s="11"/>
      <c r="E7976" s="11"/>
      <c r="F7976" s="11"/>
      <c r="G7976" s="11"/>
      <c r="H7976" s="11"/>
      <c r="I7976" s="15"/>
    </row>
    <row r="7977" spans="1:9" ht="16.5">
      <c r="A7977" s="10" t="b">
        <v>0</v>
      </c>
      <c r="B7977" s="11" t="str">
        <f>IF(D7977&lt;&gt;"",IF(COUNTIF('USPTO TMs'!A:A,D7977)&gt;0,"Yes","No"),"")</f>
        <v/>
      </c>
      <c r="C7977" s="11"/>
      <c r="D7977" s="11"/>
      <c r="E7977" s="11"/>
      <c r="F7977" s="11"/>
      <c r="G7977" s="11"/>
      <c r="H7977" s="11"/>
      <c r="I7977" s="15"/>
    </row>
    <row r="7978" spans="1:9" ht="16.5">
      <c r="A7978" s="10" t="b">
        <v>0</v>
      </c>
      <c r="B7978" s="11" t="str">
        <f>IF(D7978&lt;&gt;"",IF(COUNTIF('USPTO TMs'!A:A,D7978)&gt;0,"Yes","No"),"")</f>
        <v/>
      </c>
      <c r="C7978" s="11"/>
      <c r="D7978" s="11"/>
      <c r="E7978" s="11"/>
      <c r="F7978" s="11"/>
      <c r="G7978" s="11"/>
      <c r="H7978" s="11"/>
      <c r="I7978" s="15"/>
    </row>
    <row r="7979" spans="1:9" ht="16.5">
      <c r="A7979" s="10" t="b">
        <v>0</v>
      </c>
      <c r="B7979" s="11" t="str">
        <f>IF(D7979&lt;&gt;"",IF(COUNTIF('USPTO TMs'!A:A,D7979)&gt;0,"Yes","No"),"")</f>
        <v/>
      </c>
      <c r="C7979" s="11"/>
      <c r="D7979" s="11"/>
      <c r="E7979" s="11"/>
      <c r="F7979" s="11"/>
      <c r="G7979" s="11"/>
      <c r="H7979" s="11"/>
      <c r="I7979" s="15"/>
    </row>
    <row r="7980" spans="1:9" ht="16.5">
      <c r="A7980" s="10" t="b">
        <v>0</v>
      </c>
      <c r="B7980" s="11" t="str">
        <f>IF(D7980&lt;&gt;"",IF(COUNTIF('USPTO TMs'!A:A,D7980)&gt;0,"Yes","No"),"")</f>
        <v/>
      </c>
      <c r="C7980" s="11"/>
      <c r="D7980" s="11"/>
      <c r="E7980" s="11"/>
      <c r="F7980" s="11"/>
      <c r="G7980" s="11"/>
      <c r="H7980" s="11"/>
      <c r="I7980" s="15"/>
    </row>
    <row r="7981" spans="1:9" ht="16.5">
      <c r="A7981" s="10" t="b">
        <v>0</v>
      </c>
      <c r="B7981" s="11" t="str">
        <f>IF(D7981&lt;&gt;"",IF(COUNTIF('USPTO TMs'!A:A,D7981)&gt;0,"Yes","No"),"")</f>
        <v/>
      </c>
      <c r="C7981" s="11"/>
      <c r="D7981" s="11"/>
      <c r="E7981" s="11"/>
      <c r="F7981" s="11"/>
      <c r="G7981" s="11"/>
      <c r="H7981" s="11"/>
      <c r="I7981" s="15"/>
    </row>
    <row r="7982" spans="1:9" ht="16.5">
      <c r="A7982" s="10" t="b">
        <v>0</v>
      </c>
      <c r="B7982" s="11" t="str">
        <f>IF(D7982&lt;&gt;"",IF(COUNTIF('USPTO TMs'!A:A,D7982)&gt;0,"Yes","No"),"")</f>
        <v/>
      </c>
      <c r="C7982" s="11"/>
      <c r="D7982" s="11"/>
      <c r="E7982" s="11"/>
      <c r="F7982" s="11"/>
      <c r="G7982" s="11"/>
      <c r="H7982" s="11"/>
      <c r="I7982" s="15"/>
    </row>
    <row r="7983" spans="1:9" ht="16.5">
      <c r="A7983" s="10" t="b">
        <v>0</v>
      </c>
      <c r="B7983" s="11" t="str">
        <f>IF(D7983&lt;&gt;"",IF(COUNTIF('USPTO TMs'!A:A,D7983)&gt;0,"Yes","No"),"")</f>
        <v/>
      </c>
      <c r="C7983" s="11"/>
      <c r="D7983" s="11"/>
      <c r="E7983" s="11"/>
      <c r="F7983" s="11"/>
      <c r="G7983" s="11"/>
      <c r="H7983" s="11"/>
      <c r="I7983" s="15"/>
    </row>
    <row r="7984" spans="1:9" ht="16.5">
      <c r="A7984" s="10" t="b">
        <v>0</v>
      </c>
      <c r="B7984" s="11" t="str">
        <f>IF(D7984&lt;&gt;"",IF(COUNTIF('USPTO TMs'!A:A,D7984)&gt;0,"Yes","No"),"")</f>
        <v/>
      </c>
      <c r="C7984" s="11"/>
      <c r="D7984" s="11"/>
      <c r="E7984" s="11"/>
      <c r="F7984" s="11"/>
      <c r="G7984" s="11"/>
      <c r="H7984" s="11"/>
      <c r="I7984" s="15"/>
    </row>
    <row r="7985" spans="1:9" ht="16.5">
      <c r="A7985" s="10" t="b">
        <v>0</v>
      </c>
      <c r="B7985" s="11" t="str">
        <f>IF(D7985&lt;&gt;"",IF(COUNTIF('USPTO TMs'!A:A,D7985)&gt;0,"Yes","No"),"")</f>
        <v/>
      </c>
      <c r="C7985" s="11"/>
      <c r="D7985" s="11"/>
      <c r="E7985" s="11"/>
      <c r="F7985" s="11"/>
      <c r="G7985" s="11"/>
      <c r="H7985" s="11"/>
      <c r="I7985" s="15"/>
    </row>
    <row r="7986" spans="1:9" ht="16.5">
      <c r="A7986" s="10" t="b">
        <v>0</v>
      </c>
      <c r="B7986" s="11" t="str">
        <f>IF(D7986&lt;&gt;"",IF(COUNTIF('USPTO TMs'!A:A,D7986)&gt;0,"Yes","No"),"")</f>
        <v/>
      </c>
      <c r="C7986" s="11"/>
      <c r="D7986" s="11"/>
      <c r="E7986" s="11"/>
      <c r="F7986" s="11"/>
      <c r="G7986" s="11"/>
      <c r="H7986" s="11"/>
      <c r="I7986" s="15"/>
    </row>
    <row r="7987" spans="1:9" ht="16.5">
      <c r="A7987" s="10" t="b">
        <v>0</v>
      </c>
      <c r="B7987" s="11" t="str">
        <f>IF(D7987&lt;&gt;"",IF(COUNTIF('USPTO TMs'!A:A,D7987)&gt;0,"Yes","No"),"")</f>
        <v/>
      </c>
      <c r="C7987" s="11"/>
      <c r="D7987" s="11"/>
      <c r="E7987" s="11"/>
      <c r="F7987" s="11"/>
      <c r="G7987" s="11"/>
      <c r="H7987" s="11"/>
      <c r="I7987" s="15"/>
    </row>
    <row r="7988" spans="1:9" ht="16.5">
      <c r="A7988" s="10" t="b">
        <v>0</v>
      </c>
      <c r="B7988" s="11" t="str">
        <f>IF(D7988&lt;&gt;"",IF(COUNTIF('USPTO TMs'!A:A,D7988)&gt;0,"Yes","No"),"")</f>
        <v/>
      </c>
      <c r="C7988" s="11"/>
      <c r="D7988" s="11"/>
      <c r="E7988" s="11"/>
      <c r="F7988" s="11"/>
      <c r="G7988" s="11"/>
      <c r="H7988" s="11"/>
      <c r="I7988" s="15"/>
    </row>
    <row r="7989" spans="1:9" ht="16.5">
      <c r="A7989" s="10" t="b">
        <v>0</v>
      </c>
      <c r="B7989" s="11" t="str">
        <f>IF(D7989&lt;&gt;"",IF(COUNTIF('USPTO TMs'!A:A,D7989)&gt;0,"Yes","No"),"")</f>
        <v/>
      </c>
      <c r="C7989" s="11"/>
      <c r="D7989" s="11"/>
      <c r="E7989" s="11"/>
      <c r="F7989" s="11"/>
      <c r="G7989" s="11"/>
      <c r="H7989" s="11"/>
      <c r="I7989" s="15"/>
    </row>
    <row r="7990" spans="1:9" ht="16.5">
      <c r="A7990" s="10" t="b">
        <v>0</v>
      </c>
      <c r="B7990" s="11" t="str">
        <f>IF(D7990&lt;&gt;"",IF(COUNTIF('USPTO TMs'!A:A,D7990)&gt;0,"Yes","No"),"")</f>
        <v/>
      </c>
      <c r="C7990" s="11"/>
      <c r="D7990" s="11"/>
      <c r="E7990" s="11"/>
      <c r="F7990" s="11"/>
      <c r="G7990" s="11"/>
      <c r="H7990" s="11"/>
      <c r="I7990" s="15"/>
    </row>
    <row r="7991" spans="1:9" ht="16.5">
      <c r="A7991" s="10" t="b">
        <v>0</v>
      </c>
      <c r="B7991" s="11" t="str">
        <f>IF(D7991&lt;&gt;"",IF(COUNTIF('USPTO TMs'!A:A,D7991)&gt;0,"Yes","No"),"")</f>
        <v/>
      </c>
      <c r="C7991" s="11"/>
      <c r="D7991" s="11"/>
      <c r="E7991" s="11"/>
      <c r="F7991" s="11"/>
      <c r="G7991" s="11"/>
      <c r="H7991" s="11"/>
      <c r="I7991" s="15"/>
    </row>
    <row r="7992" spans="1:9" ht="16.5">
      <c r="A7992" s="10" t="b">
        <v>0</v>
      </c>
      <c r="B7992" s="11" t="str">
        <f>IF(D7992&lt;&gt;"",IF(COUNTIF('USPTO TMs'!A:A,D7992)&gt;0,"Yes","No"),"")</f>
        <v/>
      </c>
      <c r="C7992" s="11"/>
      <c r="D7992" s="11"/>
      <c r="E7992" s="11"/>
      <c r="F7992" s="11"/>
      <c r="G7992" s="11"/>
      <c r="H7992" s="11"/>
      <c r="I7992" s="15"/>
    </row>
    <row r="7993" spans="1:9" ht="16.5">
      <c r="A7993" s="10" t="b">
        <v>0</v>
      </c>
      <c r="B7993" s="11" t="str">
        <f>IF(D7993&lt;&gt;"",IF(COUNTIF('USPTO TMs'!A:A,D7993)&gt;0,"Yes","No"),"")</f>
        <v/>
      </c>
      <c r="C7993" s="11"/>
      <c r="D7993" s="11"/>
      <c r="E7993" s="11"/>
      <c r="F7993" s="11"/>
      <c r="G7993" s="11"/>
      <c r="H7993" s="11"/>
      <c r="I7993" s="15"/>
    </row>
    <row r="7994" spans="1:9" ht="16.5">
      <c r="A7994" s="10" t="b">
        <v>0</v>
      </c>
      <c r="B7994" s="11" t="str">
        <f>IF(D7994&lt;&gt;"",IF(COUNTIF('USPTO TMs'!A:A,D7994)&gt;0,"Yes","No"),"")</f>
        <v/>
      </c>
      <c r="C7994" s="11"/>
      <c r="D7994" s="11"/>
      <c r="E7994" s="11"/>
      <c r="F7994" s="11"/>
      <c r="G7994" s="11"/>
      <c r="H7994" s="11"/>
      <c r="I7994" s="15"/>
    </row>
    <row r="7995" spans="1:9" ht="16.5">
      <c r="A7995" s="10" t="b">
        <v>0</v>
      </c>
      <c r="B7995" s="11" t="str">
        <f>IF(D7995&lt;&gt;"",IF(COUNTIF('USPTO TMs'!A:A,D7995)&gt;0,"Yes","No"),"")</f>
        <v/>
      </c>
      <c r="C7995" s="11"/>
      <c r="D7995" s="11"/>
      <c r="E7995" s="11"/>
      <c r="F7995" s="11"/>
      <c r="G7995" s="11"/>
      <c r="H7995" s="11"/>
      <c r="I7995" s="15"/>
    </row>
    <row r="7996" spans="1:9" ht="16.5">
      <c r="A7996" s="10" t="b">
        <v>0</v>
      </c>
      <c r="B7996" s="11" t="str">
        <f>IF(D7996&lt;&gt;"",IF(COUNTIF('USPTO TMs'!A:A,D7996)&gt;0,"Yes","No"),"")</f>
        <v/>
      </c>
      <c r="C7996" s="11"/>
      <c r="D7996" s="11"/>
      <c r="E7996" s="11"/>
      <c r="F7996" s="11"/>
      <c r="G7996" s="11"/>
      <c r="H7996" s="11"/>
      <c r="I7996" s="15"/>
    </row>
    <row r="7997" spans="1:9" ht="16.5">
      <c r="A7997" s="10" t="b">
        <v>0</v>
      </c>
      <c r="B7997" s="11" t="str">
        <f>IF(D7997&lt;&gt;"",IF(COUNTIF('USPTO TMs'!A:A,D7997)&gt;0,"Yes","No"),"")</f>
        <v/>
      </c>
      <c r="C7997" s="11"/>
      <c r="D7997" s="11"/>
      <c r="E7997" s="11"/>
      <c r="F7997" s="11"/>
      <c r="G7997" s="11"/>
      <c r="H7997" s="11"/>
      <c r="I7997" s="15"/>
    </row>
    <row r="7998" spans="1:9" ht="16.5">
      <c r="A7998" s="10" t="b">
        <v>0</v>
      </c>
      <c r="B7998" s="11" t="str">
        <f>IF(D7998&lt;&gt;"",IF(COUNTIF('USPTO TMs'!A:A,D7998)&gt;0,"Yes","No"),"")</f>
        <v/>
      </c>
      <c r="C7998" s="11"/>
      <c r="D7998" s="11"/>
      <c r="E7998" s="11"/>
      <c r="F7998" s="11"/>
      <c r="G7998" s="11"/>
      <c r="H7998" s="11"/>
      <c r="I7998" s="15"/>
    </row>
    <row r="7999" spans="1:9" ht="16.5">
      <c r="A7999" s="10" t="b">
        <v>0</v>
      </c>
      <c r="B7999" s="11" t="str">
        <f>IF(D7999&lt;&gt;"",IF(COUNTIF('USPTO TMs'!A:A,D7999)&gt;0,"Yes","No"),"")</f>
        <v/>
      </c>
      <c r="C7999" s="11"/>
      <c r="D7999" s="11"/>
      <c r="E7999" s="11"/>
      <c r="F7999" s="11"/>
      <c r="G7999" s="11"/>
      <c r="H7999" s="11"/>
      <c r="I7999" s="15"/>
    </row>
    <row r="8000" spans="1:9" ht="16.5">
      <c r="A8000" s="10" t="b">
        <v>0</v>
      </c>
      <c r="B8000" s="11" t="str">
        <f>IF(D8000&lt;&gt;"",IF(COUNTIF('USPTO TMs'!A:A,D8000)&gt;0,"Yes","No"),"")</f>
        <v/>
      </c>
      <c r="C8000" s="11"/>
      <c r="D8000" s="11"/>
      <c r="E8000" s="11"/>
      <c r="F8000" s="11"/>
      <c r="G8000" s="11"/>
      <c r="H8000" s="11"/>
      <c r="I8000" s="15"/>
    </row>
    <row r="8001" spans="1:9" ht="16.5">
      <c r="A8001" s="10" t="b">
        <v>0</v>
      </c>
      <c r="B8001" s="11" t="str">
        <f>IF(D8001&lt;&gt;"",IF(COUNTIF('USPTO TMs'!A:A,D8001)&gt;0,"Yes","No"),"")</f>
        <v/>
      </c>
      <c r="C8001" s="11"/>
      <c r="D8001" s="11"/>
      <c r="E8001" s="11"/>
      <c r="F8001" s="11"/>
      <c r="G8001" s="11"/>
      <c r="H8001" s="11"/>
      <c r="I8001" s="15"/>
    </row>
    <row r="8002" spans="1:9" ht="16.5">
      <c r="A8002" s="10" t="b">
        <v>0</v>
      </c>
      <c r="B8002" s="11" t="str">
        <f>IF(D8002&lt;&gt;"",IF(COUNTIF('USPTO TMs'!A:A,D8002)&gt;0,"Yes","No"),"")</f>
        <v/>
      </c>
      <c r="C8002" s="11"/>
      <c r="D8002" s="11"/>
      <c r="E8002" s="11"/>
      <c r="F8002" s="11"/>
      <c r="G8002" s="11"/>
      <c r="H8002" s="11"/>
      <c r="I8002" s="15"/>
    </row>
    <row r="8003" spans="1:9" ht="16.5">
      <c r="A8003" s="10" t="b">
        <v>0</v>
      </c>
      <c r="B8003" s="11" t="str">
        <f>IF(D8003&lt;&gt;"",IF(COUNTIF('USPTO TMs'!A:A,D8003)&gt;0,"Yes","No"),"")</f>
        <v/>
      </c>
      <c r="C8003" s="11"/>
      <c r="D8003" s="11"/>
      <c r="E8003" s="11"/>
      <c r="F8003" s="11"/>
      <c r="G8003" s="11"/>
      <c r="H8003" s="11"/>
      <c r="I8003" s="15"/>
    </row>
    <row r="8004" spans="1:9" ht="16.5">
      <c r="A8004" s="10" t="b">
        <v>0</v>
      </c>
      <c r="B8004" s="11" t="str">
        <f>IF(D8004&lt;&gt;"",IF(COUNTIF('USPTO TMs'!A:A,D8004)&gt;0,"Yes","No"),"")</f>
        <v/>
      </c>
      <c r="C8004" s="11"/>
      <c r="D8004" s="11"/>
      <c r="E8004" s="11"/>
      <c r="F8004" s="11"/>
      <c r="G8004" s="11"/>
      <c r="H8004" s="11"/>
      <c r="I8004" s="15"/>
    </row>
    <row r="8005" spans="1:9" ht="16.5">
      <c r="A8005" s="10" t="b">
        <v>0</v>
      </c>
      <c r="B8005" s="11" t="str">
        <f>IF(D8005&lt;&gt;"",IF(COUNTIF('USPTO TMs'!A:A,D8005)&gt;0,"Yes","No"),"")</f>
        <v/>
      </c>
      <c r="C8005" s="11"/>
      <c r="D8005" s="11"/>
      <c r="E8005" s="11"/>
      <c r="F8005" s="11"/>
      <c r="G8005" s="11"/>
      <c r="H8005" s="11"/>
      <c r="I8005" s="15"/>
    </row>
    <row r="8006" spans="1:9" ht="16.5">
      <c r="A8006" s="10" t="b">
        <v>0</v>
      </c>
      <c r="B8006" s="11" t="str">
        <f>IF(D8006&lt;&gt;"",IF(COUNTIF('USPTO TMs'!A:A,D8006)&gt;0,"Yes","No"),"")</f>
        <v/>
      </c>
      <c r="C8006" s="11"/>
      <c r="D8006" s="11"/>
      <c r="E8006" s="11"/>
      <c r="F8006" s="11"/>
      <c r="G8006" s="11"/>
      <c r="H8006" s="11"/>
      <c r="I8006" s="15"/>
    </row>
    <row r="8007" spans="1:9" ht="16.5">
      <c r="A8007" s="10" t="b">
        <v>0</v>
      </c>
      <c r="B8007" s="11" t="str">
        <f>IF(D8007&lt;&gt;"",IF(COUNTIF('USPTO TMs'!A:A,D8007)&gt;0,"Yes","No"),"")</f>
        <v/>
      </c>
      <c r="C8007" s="11"/>
      <c r="D8007" s="11"/>
      <c r="E8007" s="11"/>
      <c r="F8007" s="11"/>
      <c r="G8007" s="11"/>
      <c r="H8007" s="11"/>
      <c r="I8007" s="15"/>
    </row>
    <row r="8008" spans="1:9" ht="16.5">
      <c r="A8008" s="10" t="b">
        <v>0</v>
      </c>
      <c r="B8008" s="11" t="str">
        <f>IF(D8008&lt;&gt;"",IF(COUNTIF('USPTO TMs'!A:A,D8008)&gt;0,"Yes","No"),"")</f>
        <v/>
      </c>
      <c r="C8008" s="11"/>
      <c r="D8008" s="11"/>
      <c r="E8008" s="11"/>
      <c r="F8008" s="11"/>
      <c r="G8008" s="11"/>
      <c r="H8008" s="11"/>
      <c r="I8008" s="15"/>
    </row>
    <row r="8009" spans="1:9" ht="16.5">
      <c r="A8009" s="10" t="b">
        <v>0</v>
      </c>
      <c r="B8009" s="11" t="str">
        <f>IF(D8009&lt;&gt;"",IF(COUNTIF('USPTO TMs'!A:A,D8009)&gt;0,"Yes","No"),"")</f>
        <v/>
      </c>
      <c r="C8009" s="11"/>
      <c r="D8009" s="11"/>
      <c r="E8009" s="11"/>
      <c r="F8009" s="11"/>
      <c r="G8009" s="11"/>
      <c r="H8009" s="11"/>
      <c r="I8009" s="15"/>
    </row>
    <row r="8010" spans="1:9" ht="16.5">
      <c r="A8010" s="10" t="b">
        <v>0</v>
      </c>
      <c r="B8010" s="11" t="str">
        <f>IF(D8010&lt;&gt;"",IF(COUNTIF('USPTO TMs'!A:A,D8010)&gt;0,"Yes","No"),"")</f>
        <v/>
      </c>
      <c r="C8010" s="11"/>
      <c r="D8010" s="11"/>
      <c r="E8010" s="11"/>
      <c r="F8010" s="11"/>
      <c r="G8010" s="11"/>
      <c r="H8010" s="11"/>
      <c r="I8010" s="15"/>
    </row>
    <row r="8011" spans="1:9" ht="16.5">
      <c r="A8011" s="10" t="b">
        <v>0</v>
      </c>
      <c r="B8011" s="11" t="str">
        <f>IF(D8011&lt;&gt;"",IF(COUNTIF('USPTO TMs'!A:A,D8011)&gt;0,"Yes","No"),"")</f>
        <v/>
      </c>
      <c r="C8011" s="11"/>
      <c r="D8011" s="11"/>
      <c r="E8011" s="11"/>
      <c r="F8011" s="11"/>
      <c r="G8011" s="11"/>
      <c r="H8011" s="11"/>
      <c r="I8011" s="15"/>
    </row>
    <row r="8012" spans="1:9" ht="16.5">
      <c r="A8012" s="10" t="b">
        <v>0</v>
      </c>
      <c r="B8012" s="11" t="str">
        <f>IF(D8012&lt;&gt;"",IF(COUNTIF('USPTO TMs'!A:A,D8012)&gt;0,"Yes","No"),"")</f>
        <v/>
      </c>
      <c r="C8012" s="11"/>
      <c r="D8012" s="11"/>
      <c r="E8012" s="11"/>
      <c r="F8012" s="11"/>
      <c r="G8012" s="11"/>
      <c r="H8012" s="11"/>
      <c r="I8012" s="15"/>
    </row>
    <row r="8013" spans="1:9" ht="16.5">
      <c r="A8013" s="10" t="b">
        <v>0</v>
      </c>
      <c r="B8013" s="11" t="str">
        <f>IF(D8013&lt;&gt;"",IF(COUNTIF('USPTO TMs'!A:A,D8013)&gt;0,"Yes","No"),"")</f>
        <v/>
      </c>
      <c r="C8013" s="11"/>
      <c r="D8013" s="11"/>
      <c r="E8013" s="11"/>
      <c r="F8013" s="11"/>
      <c r="G8013" s="11"/>
      <c r="H8013" s="11"/>
      <c r="I8013" s="15"/>
    </row>
    <row r="8014" spans="1:9" ht="16.5">
      <c r="A8014" s="10" t="b">
        <v>0</v>
      </c>
      <c r="B8014" s="11" t="str">
        <f>IF(D8014&lt;&gt;"",IF(COUNTIF('USPTO TMs'!A:A,D8014)&gt;0,"Yes","No"),"")</f>
        <v/>
      </c>
      <c r="C8014" s="11"/>
      <c r="D8014" s="11"/>
      <c r="E8014" s="11"/>
      <c r="F8014" s="11"/>
      <c r="G8014" s="11"/>
      <c r="H8014" s="11"/>
      <c r="I8014" s="15"/>
    </row>
    <row r="8015" spans="1:9" ht="16.5">
      <c r="A8015" s="10" t="b">
        <v>0</v>
      </c>
      <c r="B8015" s="11" t="str">
        <f>IF(D8015&lt;&gt;"",IF(COUNTIF('USPTO TMs'!A:A,D8015)&gt;0,"Yes","No"),"")</f>
        <v/>
      </c>
      <c r="C8015" s="11"/>
      <c r="D8015" s="11"/>
      <c r="E8015" s="11"/>
      <c r="F8015" s="11"/>
      <c r="G8015" s="11"/>
      <c r="H8015" s="11"/>
      <c r="I8015" s="15"/>
    </row>
    <row r="8016" spans="1:9" ht="16.5">
      <c r="A8016" s="10" t="b">
        <v>0</v>
      </c>
      <c r="B8016" s="11" t="str">
        <f>IF(D8016&lt;&gt;"",IF(COUNTIF('USPTO TMs'!A:A,D8016)&gt;0,"Yes","No"),"")</f>
        <v/>
      </c>
      <c r="C8016" s="11"/>
      <c r="D8016" s="11"/>
      <c r="E8016" s="11"/>
      <c r="F8016" s="11"/>
      <c r="G8016" s="11"/>
      <c r="H8016" s="11"/>
      <c r="I8016" s="15"/>
    </row>
    <row r="8017" spans="1:9" ht="16.5">
      <c r="A8017" s="10" t="b">
        <v>0</v>
      </c>
      <c r="B8017" s="11" t="str">
        <f>IF(D8017&lt;&gt;"",IF(COUNTIF('USPTO TMs'!A:A,D8017)&gt;0,"Yes","No"),"")</f>
        <v/>
      </c>
      <c r="C8017" s="11"/>
      <c r="D8017" s="11"/>
      <c r="E8017" s="11"/>
      <c r="F8017" s="11"/>
      <c r="G8017" s="11"/>
      <c r="H8017" s="11"/>
      <c r="I8017" s="15"/>
    </row>
    <row r="8018" spans="1:9" ht="16.5">
      <c r="A8018" s="10" t="b">
        <v>0</v>
      </c>
      <c r="B8018" s="11" t="str">
        <f>IF(D8018&lt;&gt;"",IF(COUNTIF('USPTO TMs'!A:A,D8018)&gt;0,"Yes","No"),"")</f>
        <v/>
      </c>
      <c r="C8018" s="11"/>
      <c r="D8018" s="11"/>
      <c r="E8018" s="11"/>
      <c r="F8018" s="11"/>
      <c r="G8018" s="11"/>
      <c r="H8018" s="11"/>
      <c r="I8018" s="15"/>
    </row>
    <row r="8019" spans="1:9" ht="16.5">
      <c r="A8019" s="10" t="b">
        <v>0</v>
      </c>
      <c r="B8019" s="11" t="str">
        <f>IF(D8019&lt;&gt;"",IF(COUNTIF('USPTO TMs'!A:A,D8019)&gt;0,"Yes","No"),"")</f>
        <v/>
      </c>
      <c r="C8019" s="11"/>
      <c r="D8019" s="11"/>
      <c r="E8019" s="11"/>
      <c r="F8019" s="11"/>
      <c r="G8019" s="11"/>
      <c r="H8019" s="11"/>
      <c r="I8019" s="15"/>
    </row>
    <row r="8020" spans="1:9" ht="16.5">
      <c r="A8020" s="10" t="b">
        <v>0</v>
      </c>
      <c r="B8020" s="11" t="str">
        <f>IF(D8020&lt;&gt;"",IF(COUNTIF('USPTO TMs'!A:A,D8020)&gt;0,"Yes","No"),"")</f>
        <v/>
      </c>
      <c r="C8020" s="11"/>
      <c r="D8020" s="11"/>
      <c r="E8020" s="11"/>
      <c r="F8020" s="11"/>
      <c r="G8020" s="11"/>
      <c r="H8020" s="11"/>
      <c r="I8020" s="15"/>
    </row>
    <row r="8021" spans="1:9" ht="16.5">
      <c r="A8021" s="10" t="b">
        <v>0</v>
      </c>
      <c r="B8021" s="11" t="str">
        <f>IF(D8021&lt;&gt;"",IF(COUNTIF('USPTO TMs'!A:A,D8021)&gt;0,"Yes","No"),"")</f>
        <v/>
      </c>
      <c r="C8021" s="11"/>
      <c r="D8021" s="11"/>
      <c r="E8021" s="11"/>
      <c r="F8021" s="11"/>
      <c r="G8021" s="11"/>
      <c r="H8021" s="11"/>
      <c r="I8021" s="15"/>
    </row>
    <row r="8022" spans="1:9" ht="16.5">
      <c r="A8022" s="10" t="b">
        <v>0</v>
      </c>
      <c r="B8022" s="11" t="str">
        <f>IF(D8022&lt;&gt;"",IF(COUNTIF('USPTO TMs'!A:A,D8022)&gt;0,"Yes","No"),"")</f>
        <v/>
      </c>
      <c r="C8022" s="11"/>
      <c r="D8022" s="11"/>
      <c r="E8022" s="11"/>
      <c r="F8022" s="11"/>
      <c r="G8022" s="11"/>
      <c r="H8022" s="11"/>
      <c r="I8022" s="15"/>
    </row>
    <row r="8023" spans="1:9" ht="16.5">
      <c r="A8023" s="10" t="b">
        <v>0</v>
      </c>
      <c r="B8023" s="11" t="str">
        <f>IF(D8023&lt;&gt;"",IF(COUNTIF('USPTO TMs'!A:A,D8023)&gt;0,"Yes","No"),"")</f>
        <v/>
      </c>
      <c r="C8023" s="11"/>
      <c r="D8023" s="11"/>
      <c r="E8023" s="11"/>
      <c r="F8023" s="11"/>
      <c r="G8023" s="11"/>
      <c r="H8023" s="11"/>
      <c r="I8023" s="15"/>
    </row>
    <row r="8024" spans="1:9" ht="16.5">
      <c r="A8024" s="10" t="b">
        <v>0</v>
      </c>
      <c r="B8024" s="11" t="str">
        <f>IF(D8024&lt;&gt;"",IF(COUNTIF('USPTO TMs'!A:A,D8024)&gt;0,"Yes","No"),"")</f>
        <v/>
      </c>
      <c r="C8024" s="11"/>
      <c r="D8024" s="11"/>
      <c r="E8024" s="11"/>
      <c r="F8024" s="11"/>
      <c r="G8024" s="11"/>
      <c r="H8024" s="11"/>
      <c r="I8024" s="15"/>
    </row>
    <row r="8025" spans="1:9" ht="16.5">
      <c r="A8025" s="10" t="b">
        <v>0</v>
      </c>
      <c r="B8025" s="11" t="str">
        <f>IF(D8025&lt;&gt;"",IF(COUNTIF('USPTO TMs'!A:A,D8025)&gt;0,"Yes","No"),"")</f>
        <v/>
      </c>
      <c r="C8025" s="11"/>
      <c r="D8025" s="11"/>
      <c r="E8025" s="11"/>
      <c r="F8025" s="11"/>
      <c r="G8025" s="11"/>
      <c r="H8025" s="11"/>
      <c r="I8025" s="15"/>
    </row>
    <row r="8026" spans="1:9" ht="16.5">
      <c r="A8026" s="10" t="b">
        <v>0</v>
      </c>
      <c r="B8026" s="11" t="str">
        <f>IF(D8026&lt;&gt;"",IF(COUNTIF('USPTO TMs'!A:A,D8026)&gt;0,"Yes","No"),"")</f>
        <v/>
      </c>
      <c r="C8026" s="11"/>
      <c r="D8026" s="11"/>
      <c r="E8026" s="11"/>
      <c r="F8026" s="11"/>
      <c r="G8026" s="11"/>
      <c r="H8026" s="11"/>
      <c r="I8026" s="15"/>
    </row>
    <row r="8027" spans="1:9" ht="16.5">
      <c r="A8027" s="10" t="b">
        <v>0</v>
      </c>
      <c r="B8027" s="11" t="str">
        <f>IF(D8027&lt;&gt;"",IF(COUNTIF('USPTO TMs'!A:A,D8027)&gt;0,"Yes","No"),"")</f>
        <v/>
      </c>
      <c r="C8027" s="11"/>
      <c r="D8027" s="11"/>
      <c r="E8027" s="11"/>
      <c r="F8027" s="11"/>
      <c r="G8027" s="11"/>
      <c r="H8027" s="11"/>
      <c r="I8027" s="15"/>
    </row>
    <row r="8028" spans="1:9" ht="16.5">
      <c r="A8028" s="10" t="b">
        <v>0</v>
      </c>
      <c r="B8028" s="11" t="str">
        <f>IF(D8028&lt;&gt;"",IF(COUNTIF('USPTO TMs'!A:A,D8028)&gt;0,"Yes","No"),"")</f>
        <v/>
      </c>
      <c r="C8028" s="11"/>
      <c r="D8028" s="11"/>
      <c r="E8028" s="11"/>
      <c r="F8028" s="11"/>
      <c r="G8028" s="11"/>
      <c r="H8028" s="11"/>
      <c r="I8028" s="15"/>
    </row>
    <row r="8029" spans="1:9" ht="16.5">
      <c r="A8029" s="10" t="b">
        <v>0</v>
      </c>
      <c r="B8029" s="11" t="str">
        <f>IF(D8029&lt;&gt;"",IF(COUNTIF('USPTO TMs'!A:A,D8029)&gt;0,"Yes","No"),"")</f>
        <v/>
      </c>
      <c r="C8029" s="11"/>
      <c r="D8029" s="11"/>
      <c r="E8029" s="11"/>
      <c r="F8029" s="11"/>
      <c r="G8029" s="11"/>
      <c r="H8029" s="11"/>
      <c r="I8029" s="15"/>
    </row>
    <row r="8030" spans="1:9" ht="16.5">
      <c r="A8030" s="10" t="b">
        <v>0</v>
      </c>
      <c r="B8030" s="11" t="str">
        <f>IF(D8030&lt;&gt;"",IF(COUNTIF('USPTO TMs'!A:A,D8030)&gt;0,"Yes","No"),"")</f>
        <v/>
      </c>
      <c r="C8030" s="11"/>
      <c r="D8030" s="11"/>
      <c r="E8030" s="11"/>
      <c r="F8030" s="11"/>
      <c r="G8030" s="11"/>
      <c r="H8030" s="11"/>
      <c r="I8030" s="15"/>
    </row>
    <row r="8031" spans="1:9" ht="16.5">
      <c r="A8031" s="10" t="b">
        <v>0</v>
      </c>
      <c r="B8031" s="11" t="str">
        <f>IF(D8031&lt;&gt;"",IF(COUNTIF('USPTO TMs'!A:A,D8031)&gt;0,"Yes","No"),"")</f>
        <v/>
      </c>
      <c r="C8031" s="11"/>
      <c r="D8031" s="11"/>
      <c r="E8031" s="11"/>
      <c r="F8031" s="11"/>
      <c r="G8031" s="11"/>
      <c r="H8031" s="11"/>
      <c r="I8031" s="15"/>
    </row>
    <row r="8032" spans="1:9" ht="16.5">
      <c r="A8032" s="10" t="b">
        <v>0</v>
      </c>
      <c r="B8032" s="11" t="str">
        <f>IF(D8032&lt;&gt;"",IF(COUNTIF('USPTO TMs'!A:A,D8032)&gt;0,"Yes","No"),"")</f>
        <v/>
      </c>
      <c r="C8032" s="11"/>
      <c r="D8032" s="11"/>
      <c r="E8032" s="11"/>
      <c r="F8032" s="11"/>
      <c r="G8032" s="11"/>
      <c r="H8032" s="11"/>
      <c r="I8032" s="15"/>
    </row>
    <row r="8033" spans="1:9" ht="16.5">
      <c r="A8033" s="10" t="b">
        <v>0</v>
      </c>
      <c r="B8033" s="11" t="str">
        <f>IF(D8033&lt;&gt;"",IF(COUNTIF('USPTO TMs'!A:A,D8033)&gt;0,"Yes","No"),"")</f>
        <v/>
      </c>
      <c r="C8033" s="11"/>
      <c r="D8033" s="11"/>
      <c r="E8033" s="11"/>
      <c r="F8033" s="11"/>
      <c r="G8033" s="11"/>
      <c r="H8033" s="11"/>
      <c r="I8033" s="15"/>
    </row>
    <row r="8034" spans="1:9" ht="16.5">
      <c r="A8034" s="10" t="b">
        <v>0</v>
      </c>
      <c r="B8034" s="11" t="str">
        <f>IF(D8034&lt;&gt;"",IF(COUNTIF('USPTO TMs'!A:A,D8034)&gt;0,"Yes","No"),"")</f>
        <v/>
      </c>
      <c r="C8034" s="11"/>
      <c r="D8034" s="11"/>
      <c r="E8034" s="11"/>
      <c r="F8034" s="11"/>
      <c r="G8034" s="11"/>
      <c r="H8034" s="11"/>
      <c r="I8034" s="15"/>
    </row>
    <row r="8035" spans="1:9" ht="16.5">
      <c r="A8035" s="10" t="b">
        <v>0</v>
      </c>
      <c r="B8035" s="11" t="str">
        <f>IF(D8035&lt;&gt;"",IF(COUNTIF('USPTO TMs'!A:A,D8035)&gt;0,"Yes","No"),"")</f>
        <v/>
      </c>
      <c r="C8035" s="11"/>
      <c r="D8035" s="11"/>
      <c r="E8035" s="11"/>
      <c r="F8035" s="11"/>
      <c r="G8035" s="11"/>
      <c r="H8035" s="11"/>
      <c r="I8035" s="15"/>
    </row>
    <row r="8036" spans="1:9" ht="16.5">
      <c r="A8036" s="10" t="b">
        <v>0</v>
      </c>
      <c r="B8036" s="11" t="str">
        <f>IF(D8036&lt;&gt;"",IF(COUNTIF('USPTO TMs'!A:A,D8036)&gt;0,"Yes","No"),"")</f>
        <v/>
      </c>
      <c r="C8036" s="11"/>
      <c r="D8036" s="11"/>
      <c r="E8036" s="11"/>
      <c r="F8036" s="11"/>
      <c r="G8036" s="11"/>
      <c r="H8036" s="11"/>
      <c r="I8036" s="15"/>
    </row>
    <row r="8037" spans="1:9" ht="16.5">
      <c r="A8037" s="10" t="b">
        <v>0</v>
      </c>
      <c r="B8037" s="11" t="str">
        <f>IF(D8037&lt;&gt;"",IF(COUNTIF('USPTO TMs'!A:A,D8037)&gt;0,"Yes","No"),"")</f>
        <v/>
      </c>
      <c r="C8037" s="11"/>
      <c r="D8037" s="11"/>
      <c r="E8037" s="11"/>
      <c r="F8037" s="11"/>
      <c r="G8037" s="11"/>
      <c r="H8037" s="11"/>
      <c r="I8037" s="15"/>
    </row>
    <row r="8038" spans="1:9" ht="16.5">
      <c r="A8038" s="10" t="b">
        <v>0</v>
      </c>
      <c r="B8038" s="11" t="str">
        <f>IF(D8038&lt;&gt;"",IF(COUNTIF('USPTO TMs'!A:A,D8038)&gt;0,"Yes","No"),"")</f>
        <v/>
      </c>
      <c r="C8038" s="11"/>
      <c r="D8038" s="11"/>
      <c r="E8038" s="11"/>
      <c r="F8038" s="11"/>
      <c r="G8038" s="11"/>
      <c r="H8038" s="11"/>
      <c r="I8038" s="15"/>
    </row>
    <row r="8039" spans="1:9" ht="16.5">
      <c r="A8039" s="10" t="b">
        <v>0</v>
      </c>
      <c r="B8039" s="11" t="str">
        <f>IF(D8039&lt;&gt;"",IF(COUNTIF('USPTO TMs'!A:A,D8039)&gt;0,"Yes","No"),"")</f>
        <v/>
      </c>
      <c r="C8039" s="11"/>
      <c r="D8039" s="11"/>
      <c r="E8039" s="11"/>
      <c r="F8039" s="11"/>
      <c r="G8039" s="11"/>
      <c r="H8039" s="11"/>
      <c r="I8039" s="15"/>
    </row>
    <row r="8040" spans="1:9" ht="16.5">
      <c r="A8040" s="10" t="b">
        <v>0</v>
      </c>
      <c r="B8040" s="11" t="str">
        <f>IF(D8040&lt;&gt;"",IF(COUNTIF('USPTO TMs'!A:A,D8040)&gt;0,"Yes","No"),"")</f>
        <v/>
      </c>
      <c r="C8040" s="11"/>
      <c r="D8040" s="11"/>
      <c r="E8040" s="11"/>
      <c r="F8040" s="11"/>
      <c r="G8040" s="11"/>
      <c r="H8040" s="11"/>
      <c r="I8040" s="15"/>
    </row>
    <row r="8041" spans="1:9" ht="16.5">
      <c r="A8041" s="10" t="b">
        <v>0</v>
      </c>
      <c r="B8041" s="11" t="str">
        <f>IF(D8041&lt;&gt;"",IF(COUNTIF('USPTO TMs'!A:A,D8041)&gt;0,"Yes","No"),"")</f>
        <v/>
      </c>
      <c r="C8041" s="11"/>
      <c r="D8041" s="11"/>
      <c r="E8041" s="11"/>
      <c r="F8041" s="11"/>
      <c r="G8041" s="11"/>
      <c r="H8041" s="11"/>
      <c r="I8041" s="15"/>
    </row>
    <row r="8042" spans="1:9" ht="16.5">
      <c r="A8042" s="10" t="b">
        <v>0</v>
      </c>
      <c r="B8042" s="11" t="str">
        <f>IF(D8042&lt;&gt;"",IF(COUNTIF('USPTO TMs'!A:A,D8042)&gt;0,"Yes","No"),"")</f>
        <v/>
      </c>
      <c r="C8042" s="11"/>
      <c r="D8042" s="11"/>
      <c r="E8042" s="11"/>
      <c r="F8042" s="11"/>
      <c r="G8042" s="11"/>
      <c r="H8042" s="11"/>
      <c r="I8042" s="15"/>
    </row>
    <row r="8043" spans="1:9" ht="16.5">
      <c r="A8043" s="10" t="b">
        <v>0</v>
      </c>
      <c r="B8043" s="11" t="str">
        <f>IF(D8043&lt;&gt;"",IF(COUNTIF('USPTO TMs'!A:A,D8043)&gt;0,"Yes","No"),"")</f>
        <v/>
      </c>
      <c r="C8043" s="11"/>
      <c r="D8043" s="11"/>
      <c r="E8043" s="11"/>
      <c r="F8043" s="11"/>
      <c r="G8043" s="11"/>
      <c r="H8043" s="11"/>
      <c r="I8043" s="15"/>
    </row>
    <row r="8044" spans="1:9" ht="16.5">
      <c r="A8044" s="10" t="b">
        <v>0</v>
      </c>
      <c r="B8044" s="11" t="str">
        <f>IF(D8044&lt;&gt;"",IF(COUNTIF('USPTO TMs'!A:A,D8044)&gt;0,"Yes","No"),"")</f>
        <v/>
      </c>
      <c r="C8044" s="11"/>
      <c r="D8044" s="11"/>
      <c r="E8044" s="11"/>
      <c r="F8044" s="11"/>
      <c r="G8044" s="11"/>
      <c r="H8044" s="11"/>
      <c r="I8044" s="15"/>
    </row>
    <row r="8045" spans="1:9" ht="16.5">
      <c r="A8045" s="10" t="b">
        <v>0</v>
      </c>
      <c r="B8045" s="11" t="str">
        <f>IF(D8045&lt;&gt;"",IF(COUNTIF('USPTO TMs'!A:A,D8045)&gt;0,"Yes","No"),"")</f>
        <v/>
      </c>
      <c r="C8045" s="11"/>
      <c r="D8045" s="11"/>
      <c r="E8045" s="11"/>
      <c r="F8045" s="11"/>
      <c r="G8045" s="11"/>
      <c r="H8045" s="11"/>
      <c r="I8045" s="15"/>
    </row>
    <row r="8046" spans="1:9" ht="16.5">
      <c r="A8046" s="10" t="b">
        <v>0</v>
      </c>
      <c r="B8046" s="11" t="str">
        <f>IF(D8046&lt;&gt;"",IF(COUNTIF('USPTO TMs'!A:A,D8046)&gt;0,"Yes","No"),"")</f>
        <v/>
      </c>
      <c r="C8046" s="11"/>
      <c r="D8046" s="11"/>
      <c r="E8046" s="11"/>
      <c r="F8046" s="11"/>
      <c r="G8046" s="11"/>
      <c r="H8046" s="11"/>
      <c r="I8046" s="15"/>
    </row>
    <row r="8047" spans="1:9" ht="16.5">
      <c r="A8047" s="10" t="b">
        <v>0</v>
      </c>
      <c r="B8047" s="11" t="str">
        <f>IF(D8047&lt;&gt;"",IF(COUNTIF('USPTO TMs'!A:A,D8047)&gt;0,"Yes","No"),"")</f>
        <v/>
      </c>
      <c r="C8047" s="11"/>
      <c r="D8047" s="11"/>
      <c r="E8047" s="11"/>
      <c r="F8047" s="11"/>
      <c r="G8047" s="11"/>
      <c r="H8047" s="11"/>
      <c r="I8047" s="15"/>
    </row>
    <row r="8048" spans="1:9" ht="16.5">
      <c r="A8048" s="10" t="b">
        <v>0</v>
      </c>
      <c r="B8048" s="11" t="str">
        <f>IF(D8048&lt;&gt;"",IF(COUNTIF('USPTO TMs'!A:A,D8048)&gt;0,"Yes","No"),"")</f>
        <v/>
      </c>
      <c r="C8048" s="11"/>
      <c r="D8048" s="11"/>
      <c r="E8048" s="11"/>
      <c r="F8048" s="11"/>
      <c r="G8048" s="11"/>
      <c r="H8048" s="11"/>
      <c r="I8048" s="15"/>
    </row>
    <row r="8049" spans="1:9" ht="16.5">
      <c r="A8049" s="10" t="b">
        <v>0</v>
      </c>
      <c r="B8049" s="11" t="str">
        <f>IF(D8049&lt;&gt;"",IF(COUNTIF('USPTO TMs'!A:A,D8049)&gt;0,"Yes","No"),"")</f>
        <v/>
      </c>
      <c r="C8049" s="11"/>
      <c r="D8049" s="11"/>
      <c r="E8049" s="11"/>
      <c r="F8049" s="11"/>
      <c r="G8049" s="11"/>
      <c r="H8049" s="11"/>
      <c r="I8049" s="15"/>
    </row>
    <row r="8050" spans="1:9" ht="16.5">
      <c r="A8050" s="10" t="b">
        <v>0</v>
      </c>
      <c r="B8050" s="11" t="str">
        <f>IF(D8050&lt;&gt;"",IF(COUNTIF('USPTO TMs'!A:A,D8050)&gt;0,"Yes","No"),"")</f>
        <v/>
      </c>
      <c r="C8050" s="11"/>
      <c r="D8050" s="11"/>
      <c r="E8050" s="11"/>
      <c r="F8050" s="11"/>
      <c r="G8050" s="11"/>
      <c r="H8050" s="11"/>
      <c r="I8050" s="15"/>
    </row>
    <row r="8051" spans="1:9" ht="16.5">
      <c r="A8051" s="10" t="b">
        <v>0</v>
      </c>
      <c r="B8051" s="11" t="str">
        <f>IF(D8051&lt;&gt;"",IF(COUNTIF('USPTO TMs'!A:A,D8051)&gt;0,"Yes","No"),"")</f>
        <v/>
      </c>
      <c r="C8051" s="11"/>
      <c r="D8051" s="11"/>
      <c r="E8051" s="11"/>
      <c r="F8051" s="11"/>
      <c r="G8051" s="11"/>
      <c r="H8051" s="11"/>
      <c r="I8051" s="15"/>
    </row>
    <row r="8052" spans="1:9" ht="16.5">
      <c r="A8052" s="10" t="b">
        <v>0</v>
      </c>
      <c r="B8052" s="11" t="str">
        <f>IF(D8052&lt;&gt;"",IF(COUNTIF('USPTO TMs'!A:A,D8052)&gt;0,"Yes","No"),"")</f>
        <v/>
      </c>
      <c r="C8052" s="11"/>
      <c r="D8052" s="11"/>
      <c r="E8052" s="11"/>
      <c r="F8052" s="11"/>
      <c r="G8052" s="11"/>
      <c r="H8052" s="11"/>
      <c r="I8052" s="15"/>
    </row>
    <row r="8053" spans="1:9" ht="16.5">
      <c r="A8053" s="10" t="b">
        <v>0</v>
      </c>
      <c r="B8053" s="11" t="str">
        <f>IF(D8053&lt;&gt;"",IF(COUNTIF('USPTO TMs'!A:A,D8053)&gt;0,"Yes","No"),"")</f>
        <v/>
      </c>
      <c r="C8053" s="11"/>
      <c r="D8053" s="11"/>
      <c r="E8053" s="11"/>
      <c r="F8053" s="11"/>
      <c r="G8053" s="11"/>
      <c r="H8053" s="11"/>
      <c r="I8053" s="15"/>
    </row>
    <row r="8054" spans="1:9" ht="16.5">
      <c r="A8054" s="10" t="b">
        <v>0</v>
      </c>
      <c r="B8054" s="11" t="str">
        <f>IF(D8054&lt;&gt;"",IF(COUNTIF('USPTO TMs'!A:A,D8054)&gt;0,"Yes","No"),"")</f>
        <v/>
      </c>
      <c r="C8054" s="11"/>
      <c r="D8054" s="11"/>
      <c r="E8054" s="11"/>
      <c r="F8054" s="11"/>
      <c r="G8054" s="11"/>
      <c r="H8054" s="11"/>
      <c r="I8054" s="15"/>
    </row>
    <row r="8055" spans="1:9" ht="16.5">
      <c r="A8055" s="10" t="b">
        <v>0</v>
      </c>
      <c r="B8055" s="11" t="str">
        <f>IF(D8055&lt;&gt;"",IF(COUNTIF('USPTO TMs'!A:A,D8055)&gt;0,"Yes","No"),"")</f>
        <v/>
      </c>
      <c r="C8055" s="11"/>
      <c r="D8055" s="11"/>
      <c r="E8055" s="11"/>
      <c r="F8055" s="11"/>
      <c r="G8055" s="11"/>
      <c r="H8055" s="11"/>
      <c r="I8055" s="15"/>
    </row>
    <row r="8056" spans="1:9" ht="16.5">
      <c r="A8056" s="10" t="b">
        <v>0</v>
      </c>
      <c r="B8056" s="11" t="str">
        <f>IF(D8056&lt;&gt;"",IF(COUNTIF('USPTO TMs'!A:A,D8056)&gt;0,"Yes","No"),"")</f>
        <v/>
      </c>
      <c r="C8056" s="11"/>
      <c r="D8056" s="11"/>
      <c r="E8056" s="11"/>
      <c r="F8056" s="11"/>
      <c r="G8056" s="11"/>
      <c r="H8056" s="11"/>
      <c r="I8056" s="15"/>
    </row>
    <row r="8057" spans="1:9" ht="16.5">
      <c r="A8057" s="10" t="b">
        <v>0</v>
      </c>
      <c r="B8057" s="11" t="str">
        <f>IF(D8057&lt;&gt;"",IF(COUNTIF('USPTO TMs'!A:A,D8057)&gt;0,"Yes","No"),"")</f>
        <v/>
      </c>
      <c r="C8057" s="11"/>
      <c r="D8057" s="11"/>
      <c r="E8057" s="11"/>
      <c r="F8057" s="11"/>
      <c r="G8057" s="11"/>
      <c r="H8057" s="11"/>
      <c r="I8057" s="15"/>
    </row>
    <row r="8058" spans="1:9" ht="16.5">
      <c r="A8058" s="10" t="b">
        <v>0</v>
      </c>
      <c r="B8058" s="11" t="str">
        <f>IF(D8058&lt;&gt;"",IF(COUNTIF('USPTO TMs'!A:A,D8058)&gt;0,"Yes","No"),"")</f>
        <v/>
      </c>
      <c r="C8058" s="11"/>
      <c r="D8058" s="11"/>
      <c r="E8058" s="11"/>
      <c r="F8058" s="11"/>
      <c r="G8058" s="11"/>
      <c r="H8058" s="11"/>
      <c r="I8058" s="15"/>
    </row>
    <row r="8059" spans="1:9" ht="16.5">
      <c r="A8059" s="10" t="b">
        <v>0</v>
      </c>
      <c r="B8059" s="11" t="str">
        <f>IF(D8059&lt;&gt;"",IF(COUNTIF('USPTO TMs'!A:A,D8059)&gt;0,"Yes","No"),"")</f>
        <v/>
      </c>
      <c r="C8059" s="11"/>
      <c r="D8059" s="11"/>
      <c r="E8059" s="11"/>
      <c r="F8059" s="11"/>
      <c r="G8059" s="11"/>
      <c r="H8059" s="11"/>
      <c r="I8059" s="15"/>
    </row>
    <row r="8060" spans="1:9" ht="16.5">
      <c r="A8060" s="10" t="b">
        <v>0</v>
      </c>
      <c r="B8060" s="11" t="str">
        <f>IF(D8060&lt;&gt;"",IF(COUNTIF('USPTO TMs'!A:A,D8060)&gt;0,"Yes","No"),"")</f>
        <v/>
      </c>
      <c r="C8060" s="11"/>
      <c r="D8060" s="11"/>
      <c r="E8060" s="11"/>
      <c r="F8060" s="11"/>
      <c r="G8060" s="11"/>
      <c r="H8060" s="11"/>
      <c r="I8060" s="15"/>
    </row>
    <row r="8061" spans="1:9" ht="16.5">
      <c r="A8061" s="10" t="b">
        <v>0</v>
      </c>
      <c r="B8061" s="11" t="str">
        <f>IF(D8061&lt;&gt;"",IF(COUNTIF('USPTO TMs'!A:A,D8061)&gt;0,"Yes","No"),"")</f>
        <v/>
      </c>
      <c r="C8061" s="11"/>
      <c r="D8061" s="11"/>
      <c r="E8061" s="11"/>
      <c r="F8061" s="11"/>
      <c r="G8061" s="11"/>
      <c r="H8061" s="11"/>
      <c r="I8061" s="15"/>
    </row>
    <row r="8062" spans="1:9" ht="16.5">
      <c r="A8062" s="10" t="b">
        <v>0</v>
      </c>
      <c r="B8062" s="11" t="str">
        <f>IF(D8062&lt;&gt;"",IF(COUNTIF('USPTO TMs'!A:A,D8062)&gt;0,"Yes","No"),"")</f>
        <v/>
      </c>
      <c r="C8062" s="11"/>
      <c r="D8062" s="11"/>
      <c r="E8062" s="11"/>
      <c r="F8062" s="11"/>
      <c r="G8062" s="11"/>
      <c r="H8062" s="11"/>
      <c r="I8062" s="15"/>
    </row>
    <row r="8063" spans="1:9" ht="16.5">
      <c r="A8063" s="10" t="b">
        <v>0</v>
      </c>
      <c r="B8063" s="11" t="str">
        <f>IF(D8063&lt;&gt;"",IF(COUNTIF('USPTO TMs'!A:A,D8063)&gt;0,"Yes","No"),"")</f>
        <v/>
      </c>
      <c r="C8063" s="11"/>
      <c r="D8063" s="11"/>
      <c r="E8063" s="11"/>
      <c r="F8063" s="11"/>
      <c r="G8063" s="11"/>
      <c r="H8063" s="11"/>
      <c r="I8063" s="15"/>
    </row>
    <row r="8064" spans="1:9" ht="16.5">
      <c r="A8064" s="10" t="b">
        <v>0</v>
      </c>
      <c r="B8064" s="11" t="str">
        <f>IF(D8064&lt;&gt;"",IF(COUNTIF('USPTO TMs'!A:A,D8064)&gt;0,"Yes","No"),"")</f>
        <v/>
      </c>
      <c r="C8064" s="11"/>
      <c r="D8064" s="11"/>
      <c r="E8064" s="11"/>
      <c r="F8064" s="11"/>
      <c r="G8064" s="11"/>
      <c r="H8064" s="11"/>
      <c r="I8064" s="15"/>
    </row>
    <row r="8065" spans="1:9" ht="16.5">
      <c r="A8065" s="10" t="b">
        <v>0</v>
      </c>
      <c r="B8065" s="11" t="str">
        <f>IF(D8065&lt;&gt;"",IF(COUNTIF('USPTO TMs'!A:A,D8065)&gt;0,"Yes","No"),"")</f>
        <v/>
      </c>
      <c r="C8065" s="11"/>
      <c r="D8065" s="11"/>
      <c r="E8065" s="11"/>
      <c r="F8065" s="11"/>
      <c r="G8065" s="11"/>
      <c r="H8065" s="11"/>
      <c r="I8065" s="15"/>
    </row>
    <row r="8066" spans="1:9" ht="16.5">
      <c r="A8066" s="10" t="b">
        <v>0</v>
      </c>
      <c r="B8066" s="11" t="str">
        <f>IF(D8066&lt;&gt;"",IF(COUNTIF('USPTO TMs'!A:A,D8066)&gt;0,"Yes","No"),"")</f>
        <v/>
      </c>
      <c r="C8066" s="11"/>
      <c r="D8066" s="11"/>
      <c r="E8066" s="11"/>
      <c r="F8066" s="11"/>
      <c r="G8066" s="11"/>
      <c r="H8066" s="11"/>
      <c r="I8066" s="15"/>
    </row>
    <row r="8067" spans="1:9" ht="16.5">
      <c r="A8067" s="10" t="b">
        <v>0</v>
      </c>
      <c r="B8067" s="11" t="str">
        <f>IF(D8067&lt;&gt;"",IF(COUNTIF('USPTO TMs'!A:A,D8067)&gt;0,"Yes","No"),"")</f>
        <v/>
      </c>
      <c r="C8067" s="11"/>
      <c r="D8067" s="11"/>
      <c r="E8067" s="11"/>
      <c r="F8067" s="11"/>
      <c r="G8067" s="11"/>
      <c r="H8067" s="11"/>
      <c r="I8067" s="15"/>
    </row>
    <row r="8068" spans="1:9" ht="16.5">
      <c r="A8068" s="10" t="b">
        <v>0</v>
      </c>
      <c r="B8068" s="11" t="str">
        <f>IF(D8068&lt;&gt;"",IF(COUNTIF('USPTO TMs'!A:A,D8068)&gt;0,"Yes","No"),"")</f>
        <v/>
      </c>
      <c r="C8068" s="11"/>
      <c r="D8068" s="11"/>
      <c r="E8068" s="11"/>
      <c r="F8068" s="11"/>
      <c r="G8068" s="11"/>
      <c r="H8068" s="11"/>
      <c r="I8068" s="15"/>
    </row>
    <row r="8069" spans="1:9" ht="16.5">
      <c r="A8069" s="10" t="b">
        <v>0</v>
      </c>
      <c r="B8069" s="11" t="str">
        <f>IF(D8069&lt;&gt;"",IF(COUNTIF('USPTO TMs'!A:A,D8069)&gt;0,"Yes","No"),"")</f>
        <v/>
      </c>
      <c r="C8069" s="11"/>
      <c r="D8069" s="11"/>
      <c r="E8069" s="11"/>
      <c r="F8069" s="11"/>
      <c r="G8069" s="11"/>
      <c r="H8069" s="11"/>
      <c r="I8069" s="15"/>
    </row>
    <row r="8070" spans="1:9" ht="16.5">
      <c r="A8070" s="10" t="b">
        <v>0</v>
      </c>
      <c r="B8070" s="11" t="str">
        <f>IF(D8070&lt;&gt;"",IF(COUNTIF('USPTO TMs'!A:A,D8070)&gt;0,"Yes","No"),"")</f>
        <v/>
      </c>
      <c r="C8070" s="11"/>
      <c r="D8070" s="11"/>
      <c r="E8070" s="11"/>
      <c r="F8070" s="11"/>
      <c r="G8070" s="11"/>
      <c r="H8070" s="11"/>
      <c r="I8070" s="15"/>
    </row>
    <row r="8071" spans="1:9" ht="16.5">
      <c r="A8071" s="10" t="b">
        <v>0</v>
      </c>
      <c r="B8071" s="11" t="str">
        <f>IF(D8071&lt;&gt;"",IF(COUNTIF('USPTO TMs'!A:A,D8071)&gt;0,"Yes","No"),"")</f>
        <v/>
      </c>
      <c r="C8071" s="11"/>
      <c r="D8071" s="11"/>
      <c r="E8071" s="11"/>
      <c r="F8071" s="11"/>
      <c r="G8071" s="11"/>
      <c r="H8071" s="11"/>
      <c r="I8071" s="15"/>
    </row>
    <row r="8072" spans="1:9" ht="16.5">
      <c r="A8072" s="10" t="b">
        <v>0</v>
      </c>
      <c r="B8072" s="11" t="str">
        <f>IF(D8072&lt;&gt;"",IF(COUNTIF('USPTO TMs'!A:A,D8072)&gt;0,"Yes","No"),"")</f>
        <v/>
      </c>
      <c r="C8072" s="11"/>
      <c r="D8072" s="11"/>
      <c r="E8072" s="11"/>
      <c r="F8072" s="11"/>
      <c r="G8072" s="11"/>
      <c r="H8072" s="11"/>
      <c r="I8072" s="15"/>
    </row>
    <row r="8073" spans="1:9" ht="16.5">
      <c r="A8073" s="10" t="b">
        <v>0</v>
      </c>
      <c r="B8073" s="11" t="str">
        <f>IF(D8073&lt;&gt;"",IF(COUNTIF('USPTO TMs'!A:A,D8073)&gt;0,"Yes","No"),"")</f>
        <v/>
      </c>
      <c r="C8073" s="11"/>
      <c r="D8073" s="11"/>
      <c r="E8073" s="11"/>
      <c r="F8073" s="11"/>
      <c r="G8073" s="11"/>
      <c r="H8073" s="11"/>
      <c r="I8073" s="15"/>
    </row>
    <row r="8074" spans="1:9" ht="16.5">
      <c r="A8074" s="10" t="b">
        <v>0</v>
      </c>
      <c r="B8074" s="11" t="str">
        <f>IF(D8074&lt;&gt;"",IF(COUNTIF('USPTO TMs'!A:A,D8074)&gt;0,"Yes","No"),"")</f>
        <v/>
      </c>
      <c r="C8074" s="11"/>
      <c r="D8074" s="11"/>
      <c r="E8074" s="11"/>
      <c r="F8074" s="11"/>
      <c r="G8074" s="11"/>
      <c r="H8074" s="11"/>
      <c r="I8074" s="15"/>
    </row>
    <row r="8075" spans="1:9" ht="16.5">
      <c r="A8075" s="10" t="b">
        <v>0</v>
      </c>
      <c r="B8075" s="11" t="str">
        <f>IF(D8075&lt;&gt;"",IF(COUNTIF('USPTO TMs'!A:A,D8075)&gt;0,"Yes","No"),"")</f>
        <v/>
      </c>
      <c r="C8075" s="11"/>
      <c r="D8075" s="11"/>
      <c r="E8075" s="11"/>
      <c r="F8075" s="11"/>
      <c r="G8075" s="11"/>
      <c r="H8075" s="11"/>
      <c r="I8075" s="15"/>
    </row>
    <row r="8076" spans="1:9" ht="16.5">
      <c r="A8076" s="10" t="b">
        <v>0</v>
      </c>
      <c r="B8076" s="11" t="str">
        <f>IF(D8076&lt;&gt;"",IF(COUNTIF('USPTO TMs'!A:A,D8076)&gt;0,"Yes","No"),"")</f>
        <v/>
      </c>
      <c r="C8076" s="11"/>
      <c r="D8076" s="11"/>
      <c r="E8076" s="11"/>
      <c r="F8076" s="11"/>
      <c r="G8076" s="11"/>
      <c r="H8076" s="11"/>
      <c r="I8076" s="15"/>
    </row>
    <row r="8077" spans="1:9" ht="16.5">
      <c r="A8077" s="10" t="b">
        <v>0</v>
      </c>
      <c r="B8077" s="11" t="str">
        <f>IF(D8077&lt;&gt;"",IF(COUNTIF('USPTO TMs'!A:A,D8077)&gt;0,"Yes","No"),"")</f>
        <v/>
      </c>
      <c r="C8077" s="11"/>
      <c r="D8077" s="11"/>
      <c r="E8077" s="11"/>
      <c r="F8077" s="11"/>
      <c r="G8077" s="11"/>
      <c r="H8077" s="11"/>
      <c r="I8077" s="15"/>
    </row>
    <row r="8078" spans="1:9" ht="16.5">
      <c r="A8078" s="10" t="b">
        <v>0</v>
      </c>
      <c r="B8078" s="11" t="str">
        <f>IF(D8078&lt;&gt;"",IF(COUNTIF('USPTO TMs'!A:A,D8078)&gt;0,"Yes","No"),"")</f>
        <v/>
      </c>
      <c r="C8078" s="11"/>
      <c r="D8078" s="11"/>
      <c r="E8078" s="11"/>
      <c r="F8078" s="11"/>
      <c r="G8078" s="11"/>
      <c r="H8078" s="11"/>
      <c r="I8078" s="15"/>
    </row>
    <row r="8079" spans="1:9" ht="16.5">
      <c r="A8079" s="10" t="b">
        <v>0</v>
      </c>
      <c r="B8079" s="11" t="str">
        <f>IF(D8079&lt;&gt;"",IF(COUNTIF('USPTO TMs'!A:A,D8079)&gt;0,"Yes","No"),"")</f>
        <v/>
      </c>
      <c r="C8079" s="11"/>
      <c r="D8079" s="11"/>
      <c r="E8079" s="11"/>
      <c r="F8079" s="11"/>
      <c r="G8079" s="11"/>
      <c r="H8079" s="11"/>
      <c r="I8079" s="15"/>
    </row>
    <row r="8080" spans="1:9" ht="16.5">
      <c r="A8080" s="10" t="b">
        <v>0</v>
      </c>
      <c r="B8080" s="11" t="str">
        <f>IF(D8080&lt;&gt;"",IF(COUNTIF('USPTO TMs'!A:A,D8080)&gt;0,"Yes","No"),"")</f>
        <v/>
      </c>
      <c r="C8080" s="11"/>
      <c r="D8080" s="11"/>
      <c r="E8080" s="11"/>
      <c r="F8080" s="11"/>
      <c r="G8080" s="11"/>
      <c r="H8080" s="11"/>
      <c r="I8080" s="15"/>
    </row>
    <row r="8081" spans="1:9" ht="16.5">
      <c r="A8081" s="10" t="b">
        <v>0</v>
      </c>
      <c r="B8081" s="11" t="str">
        <f>IF(D8081&lt;&gt;"",IF(COUNTIF('USPTO TMs'!A:A,D8081)&gt;0,"Yes","No"),"")</f>
        <v/>
      </c>
      <c r="C8081" s="11"/>
      <c r="D8081" s="11"/>
      <c r="E8081" s="11"/>
      <c r="F8081" s="11"/>
      <c r="G8081" s="11"/>
      <c r="H8081" s="11"/>
      <c r="I8081" s="15"/>
    </row>
    <row r="8082" spans="1:9" ht="16.5">
      <c r="A8082" s="10" t="b">
        <v>0</v>
      </c>
      <c r="B8082" s="11" t="str">
        <f>IF(D8082&lt;&gt;"",IF(COUNTIF('USPTO TMs'!A:A,D8082)&gt;0,"Yes","No"),"")</f>
        <v/>
      </c>
      <c r="C8082" s="11"/>
      <c r="D8082" s="11"/>
      <c r="E8082" s="11"/>
      <c r="F8082" s="11"/>
      <c r="G8082" s="11"/>
      <c r="H8082" s="11"/>
      <c r="I8082" s="15"/>
    </row>
    <row r="8083" spans="1:9" ht="16.5">
      <c r="A8083" s="10" t="b">
        <v>0</v>
      </c>
      <c r="B8083" s="11" t="str">
        <f>IF(D8083&lt;&gt;"",IF(COUNTIF('USPTO TMs'!A:A,D8083)&gt;0,"Yes","No"),"")</f>
        <v/>
      </c>
      <c r="C8083" s="11"/>
      <c r="D8083" s="11"/>
      <c r="E8083" s="11"/>
      <c r="F8083" s="11"/>
      <c r="G8083" s="11"/>
      <c r="H8083" s="11"/>
      <c r="I8083" s="15"/>
    </row>
    <row r="8084" spans="1:9" ht="16.5">
      <c r="A8084" s="10" t="b">
        <v>0</v>
      </c>
      <c r="B8084" s="11" t="str">
        <f>IF(D8084&lt;&gt;"",IF(COUNTIF('USPTO TMs'!A:A,D8084)&gt;0,"Yes","No"),"")</f>
        <v/>
      </c>
      <c r="C8084" s="11"/>
      <c r="D8084" s="11"/>
      <c r="E8084" s="11"/>
      <c r="F8084" s="11"/>
      <c r="G8084" s="11"/>
      <c r="H8084" s="11"/>
      <c r="I8084" s="15"/>
    </row>
    <row r="8085" spans="1:9" ht="16.5">
      <c r="A8085" s="10" t="b">
        <v>0</v>
      </c>
      <c r="B8085" s="11" t="str">
        <f>IF(D8085&lt;&gt;"",IF(COUNTIF('USPTO TMs'!A:A,D8085)&gt;0,"Yes","No"),"")</f>
        <v/>
      </c>
      <c r="C8085" s="11"/>
      <c r="D8085" s="11"/>
      <c r="E8085" s="11"/>
      <c r="F8085" s="11"/>
      <c r="G8085" s="11"/>
      <c r="H8085" s="11"/>
      <c r="I8085" s="15"/>
    </row>
    <row r="8086" spans="1:9" ht="16.5">
      <c r="A8086" s="10" t="b">
        <v>0</v>
      </c>
      <c r="B8086" s="11" t="str">
        <f>IF(D8086&lt;&gt;"",IF(COUNTIF('USPTO TMs'!A:A,D8086)&gt;0,"Yes","No"),"")</f>
        <v/>
      </c>
      <c r="C8086" s="11"/>
      <c r="D8086" s="11"/>
      <c r="E8086" s="11"/>
      <c r="F8086" s="11"/>
      <c r="G8086" s="11"/>
      <c r="H8086" s="11"/>
      <c r="I8086" s="15"/>
    </row>
    <row r="8087" spans="1:9" ht="16.5">
      <c r="A8087" s="10" t="b">
        <v>0</v>
      </c>
      <c r="B8087" s="11" t="str">
        <f>IF(D8087&lt;&gt;"",IF(COUNTIF('USPTO TMs'!A:A,D8087)&gt;0,"Yes","No"),"")</f>
        <v/>
      </c>
      <c r="C8087" s="11"/>
      <c r="D8087" s="11"/>
      <c r="E8087" s="11"/>
      <c r="F8087" s="11"/>
      <c r="G8087" s="11"/>
      <c r="H8087" s="11"/>
      <c r="I8087" s="15"/>
    </row>
    <row r="8088" spans="1:9" ht="16.5">
      <c r="A8088" s="10" t="b">
        <v>0</v>
      </c>
      <c r="B8088" s="11" t="str">
        <f>IF(D8088&lt;&gt;"",IF(COUNTIF('USPTO TMs'!A:A,D8088)&gt;0,"Yes","No"),"")</f>
        <v/>
      </c>
      <c r="C8088" s="11"/>
      <c r="D8088" s="11"/>
      <c r="E8088" s="11"/>
      <c r="F8088" s="11"/>
      <c r="G8088" s="11"/>
      <c r="H8088" s="11"/>
      <c r="I8088" s="15"/>
    </row>
    <row r="8089" spans="1:9" ht="16.5">
      <c r="A8089" s="10" t="b">
        <v>0</v>
      </c>
      <c r="B8089" s="11" t="str">
        <f>IF(D8089&lt;&gt;"",IF(COUNTIF('USPTO TMs'!A:A,D8089)&gt;0,"Yes","No"),"")</f>
        <v/>
      </c>
      <c r="C8089" s="11"/>
      <c r="D8089" s="11"/>
      <c r="E8089" s="11"/>
      <c r="F8089" s="11"/>
      <c r="G8089" s="11"/>
      <c r="H8089" s="11"/>
      <c r="I8089" s="15"/>
    </row>
    <row r="8090" spans="1:9" ht="16.5">
      <c r="A8090" s="10" t="b">
        <v>0</v>
      </c>
      <c r="B8090" s="11" t="str">
        <f>IF(D8090&lt;&gt;"",IF(COUNTIF('USPTO TMs'!A:A,D8090)&gt;0,"Yes","No"),"")</f>
        <v/>
      </c>
      <c r="C8090" s="11"/>
      <c r="D8090" s="11"/>
      <c r="E8090" s="11"/>
      <c r="F8090" s="11"/>
      <c r="G8090" s="11"/>
      <c r="H8090" s="11"/>
      <c r="I8090" s="15"/>
    </row>
    <row r="8091" spans="1:9" ht="16.5">
      <c r="A8091" s="10" t="b">
        <v>0</v>
      </c>
      <c r="B8091" s="11" t="str">
        <f>IF(D8091&lt;&gt;"",IF(COUNTIF('USPTO TMs'!A:A,D8091)&gt;0,"Yes","No"),"")</f>
        <v/>
      </c>
      <c r="C8091" s="11"/>
      <c r="D8091" s="11"/>
      <c r="E8091" s="11"/>
      <c r="F8091" s="11"/>
      <c r="G8091" s="11"/>
      <c r="H8091" s="11"/>
      <c r="I8091" s="15"/>
    </row>
    <row r="8092" spans="1:9" ht="16.5">
      <c r="A8092" s="10" t="b">
        <v>0</v>
      </c>
      <c r="B8092" s="11" t="str">
        <f>IF(D8092&lt;&gt;"",IF(COUNTIF('USPTO TMs'!A:A,D8092)&gt;0,"Yes","No"),"")</f>
        <v/>
      </c>
      <c r="C8092" s="11"/>
      <c r="D8092" s="11"/>
      <c r="E8092" s="11"/>
      <c r="F8092" s="11"/>
      <c r="G8092" s="11"/>
      <c r="H8092" s="11"/>
      <c r="I8092" s="15"/>
    </row>
    <row r="8093" spans="1:9" ht="16.5">
      <c r="A8093" s="10" t="b">
        <v>0</v>
      </c>
      <c r="B8093" s="11" t="str">
        <f>IF(D8093&lt;&gt;"",IF(COUNTIF('USPTO TMs'!A:A,D8093)&gt;0,"Yes","No"),"")</f>
        <v/>
      </c>
      <c r="C8093" s="11"/>
      <c r="D8093" s="11"/>
      <c r="E8093" s="11"/>
      <c r="F8093" s="11"/>
      <c r="G8093" s="11"/>
      <c r="H8093" s="11"/>
      <c r="I8093" s="15"/>
    </row>
    <row r="8094" spans="1:9" ht="16.5">
      <c r="A8094" s="10" t="b">
        <v>0</v>
      </c>
      <c r="B8094" s="11" t="str">
        <f>IF(D8094&lt;&gt;"",IF(COUNTIF('USPTO TMs'!A:A,D8094)&gt;0,"Yes","No"),"")</f>
        <v/>
      </c>
      <c r="C8094" s="11"/>
      <c r="D8094" s="11"/>
      <c r="E8094" s="11"/>
      <c r="F8094" s="11"/>
      <c r="G8094" s="11"/>
      <c r="H8094" s="11"/>
      <c r="I8094" s="15"/>
    </row>
    <row r="8095" spans="1:9" ht="16.5">
      <c r="A8095" s="10" t="b">
        <v>0</v>
      </c>
      <c r="B8095" s="11" t="str">
        <f>IF(D8095&lt;&gt;"",IF(COUNTIF('USPTO TMs'!A:A,D8095)&gt;0,"Yes","No"),"")</f>
        <v/>
      </c>
      <c r="C8095" s="11"/>
      <c r="D8095" s="11"/>
      <c r="E8095" s="11"/>
      <c r="F8095" s="11"/>
      <c r="G8095" s="11"/>
      <c r="H8095" s="11"/>
      <c r="I8095" s="15"/>
    </row>
    <row r="8096" spans="1:9" ht="16.5">
      <c r="A8096" s="10" t="b">
        <v>0</v>
      </c>
      <c r="B8096" s="11" t="str">
        <f>IF(D8096&lt;&gt;"",IF(COUNTIF('USPTO TMs'!A:A,D8096)&gt;0,"Yes","No"),"")</f>
        <v/>
      </c>
      <c r="C8096" s="11"/>
      <c r="D8096" s="11"/>
      <c r="E8096" s="11"/>
      <c r="F8096" s="11"/>
      <c r="G8096" s="11"/>
      <c r="H8096" s="11"/>
      <c r="I8096" s="15"/>
    </row>
    <row r="8097" spans="1:9" ht="16.5">
      <c r="A8097" s="10" t="b">
        <v>0</v>
      </c>
      <c r="B8097" s="11" t="str">
        <f>IF(D8097&lt;&gt;"",IF(COUNTIF('USPTO TMs'!A:A,D8097)&gt;0,"Yes","No"),"")</f>
        <v/>
      </c>
      <c r="C8097" s="11"/>
      <c r="D8097" s="11"/>
      <c r="E8097" s="11"/>
      <c r="F8097" s="11"/>
      <c r="G8097" s="11"/>
      <c r="H8097" s="11"/>
      <c r="I8097" s="15"/>
    </row>
    <row r="8098" spans="1:9" ht="16.5">
      <c r="A8098" s="10" t="b">
        <v>0</v>
      </c>
      <c r="B8098" s="11" t="str">
        <f>IF(D8098&lt;&gt;"",IF(COUNTIF('USPTO TMs'!A:A,D8098)&gt;0,"Yes","No"),"")</f>
        <v/>
      </c>
      <c r="C8098" s="11"/>
      <c r="D8098" s="11"/>
      <c r="E8098" s="11"/>
      <c r="F8098" s="11"/>
      <c r="G8098" s="11"/>
      <c r="H8098" s="11"/>
      <c r="I8098" s="15"/>
    </row>
    <row r="8099" spans="1:9" ht="16.5">
      <c r="A8099" s="10" t="b">
        <v>0</v>
      </c>
      <c r="B8099" s="11" t="str">
        <f>IF(D8099&lt;&gt;"",IF(COUNTIF('USPTO TMs'!A:A,D8099)&gt;0,"Yes","No"),"")</f>
        <v/>
      </c>
      <c r="C8099" s="11"/>
      <c r="D8099" s="11"/>
      <c r="E8099" s="11"/>
      <c r="F8099" s="11"/>
      <c r="G8099" s="11"/>
      <c r="H8099" s="11"/>
      <c r="I8099" s="15"/>
    </row>
    <row r="8100" spans="1:9" ht="16.5">
      <c r="A8100" s="10" t="b">
        <v>0</v>
      </c>
      <c r="B8100" s="11" t="str">
        <f>IF(D8100&lt;&gt;"",IF(COUNTIF('USPTO TMs'!A:A,D8100)&gt;0,"Yes","No"),"")</f>
        <v/>
      </c>
      <c r="C8100" s="11"/>
      <c r="D8100" s="11"/>
      <c r="E8100" s="11"/>
      <c r="F8100" s="11"/>
      <c r="G8100" s="11"/>
      <c r="H8100" s="11"/>
      <c r="I8100" s="15"/>
    </row>
    <row r="8101" spans="1:9" ht="16.5">
      <c r="A8101" s="10" t="b">
        <v>0</v>
      </c>
      <c r="B8101" s="11" t="str">
        <f>IF(D8101&lt;&gt;"",IF(COUNTIF('USPTO TMs'!A:A,D8101)&gt;0,"Yes","No"),"")</f>
        <v/>
      </c>
      <c r="C8101" s="11"/>
      <c r="D8101" s="11"/>
      <c r="E8101" s="11"/>
      <c r="F8101" s="11"/>
      <c r="G8101" s="11"/>
      <c r="H8101" s="11"/>
      <c r="I8101" s="15"/>
    </row>
    <row r="8102" spans="1:9" ht="16.5">
      <c r="A8102" s="10" t="b">
        <v>0</v>
      </c>
      <c r="B8102" s="11" t="str">
        <f>IF(D8102&lt;&gt;"",IF(COUNTIF('USPTO TMs'!A:A,D8102)&gt;0,"Yes","No"),"")</f>
        <v/>
      </c>
      <c r="C8102" s="11"/>
      <c r="D8102" s="11"/>
      <c r="E8102" s="11"/>
      <c r="F8102" s="11"/>
      <c r="G8102" s="11"/>
      <c r="H8102" s="11"/>
      <c r="I8102" s="15"/>
    </row>
    <row r="8103" spans="1:9" ht="16.5">
      <c r="A8103" s="10" t="b">
        <v>0</v>
      </c>
      <c r="B8103" s="11" t="str">
        <f>IF(D8103&lt;&gt;"",IF(COUNTIF('USPTO TMs'!A:A,D8103)&gt;0,"Yes","No"),"")</f>
        <v/>
      </c>
      <c r="C8103" s="11"/>
      <c r="D8103" s="11"/>
      <c r="E8103" s="11"/>
      <c r="F8103" s="11"/>
      <c r="G8103" s="11"/>
      <c r="H8103" s="11"/>
      <c r="I8103" s="15"/>
    </row>
    <row r="8104" spans="1:9" ht="16.5">
      <c r="A8104" s="10" t="b">
        <v>0</v>
      </c>
      <c r="B8104" s="11" t="str">
        <f>IF(D8104&lt;&gt;"",IF(COUNTIF('USPTO TMs'!A:A,D8104)&gt;0,"Yes","No"),"")</f>
        <v/>
      </c>
      <c r="C8104" s="11"/>
      <c r="D8104" s="11"/>
      <c r="E8104" s="11"/>
      <c r="F8104" s="11"/>
      <c r="G8104" s="11"/>
      <c r="H8104" s="11"/>
      <c r="I8104" s="15"/>
    </row>
    <row r="8105" spans="1:9" ht="16.5">
      <c r="A8105" s="10" t="b">
        <v>0</v>
      </c>
      <c r="B8105" s="11" t="str">
        <f>IF(D8105&lt;&gt;"",IF(COUNTIF('USPTO TMs'!A:A,D8105)&gt;0,"Yes","No"),"")</f>
        <v/>
      </c>
      <c r="C8105" s="11"/>
      <c r="D8105" s="11"/>
      <c r="E8105" s="11"/>
      <c r="F8105" s="11"/>
      <c r="G8105" s="11"/>
      <c r="H8105" s="11"/>
      <c r="I8105" s="15"/>
    </row>
    <row r="8106" spans="1:9" ht="16.5">
      <c r="A8106" s="10" t="b">
        <v>0</v>
      </c>
      <c r="B8106" s="11" t="str">
        <f>IF(D8106&lt;&gt;"",IF(COUNTIF('USPTO TMs'!A:A,D8106)&gt;0,"Yes","No"),"")</f>
        <v/>
      </c>
      <c r="C8106" s="11"/>
      <c r="D8106" s="11"/>
      <c r="E8106" s="11"/>
      <c r="F8106" s="11"/>
      <c r="G8106" s="11"/>
      <c r="H8106" s="11"/>
      <c r="I8106" s="15"/>
    </row>
    <row r="8107" spans="1:9" ht="16.5">
      <c r="A8107" s="10" t="b">
        <v>0</v>
      </c>
      <c r="B8107" s="11" t="str">
        <f>IF(D8107&lt;&gt;"",IF(COUNTIF('USPTO TMs'!A:A,D8107)&gt;0,"Yes","No"),"")</f>
        <v/>
      </c>
      <c r="C8107" s="11"/>
      <c r="D8107" s="11"/>
      <c r="E8107" s="11"/>
      <c r="F8107" s="11"/>
      <c r="G8107" s="11"/>
      <c r="H8107" s="11"/>
      <c r="I8107" s="15"/>
    </row>
    <row r="8108" spans="1:9" ht="16.5">
      <c r="A8108" s="10" t="b">
        <v>0</v>
      </c>
      <c r="B8108" s="11" t="str">
        <f>IF(D8108&lt;&gt;"",IF(COUNTIF('USPTO TMs'!A:A,D8108)&gt;0,"Yes","No"),"")</f>
        <v/>
      </c>
      <c r="C8108" s="11"/>
      <c r="D8108" s="11"/>
      <c r="E8108" s="11"/>
      <c r="F8108" s="11"/>
      <c r="G8108" s="11"/>
      <c r="H8108" s="11"/>
      <c r="I8108" s="15"/>
    </row>
    <row r="8109" spans="1:9" ht="16.5">
      <c r="A8109" s="10" t="b">
        <v>0</v>
      </c>
      <c r="B8109" s="11" t="str">
        <f>IF(D8109&lt;&gt;"",IF(COUNTIF('USPTO TMs'!A:A,D8109)&gt;0,"Yes","No"),"")</f>
        <v/>
      </c>
      <c r="C8109" s="11"/>
      <c r="D8109" s="11"/>
      <c r="E8109" s="11"/>
      <c r="F8109" s="11"/>
      <c r="G8109" s="11"/>
      <c r="H8109" s="11"/>
      <c r="I8109" s="15"/>
    </row>
    <row r="8110" spans="1:9" ht="16.5">
      <c r="A8110" s="10" t="b">
        <v>0</v>
      </c>
      <c r="B8110" s="11" t="str">
        <f>IF(D8110&lt;&gt;"",IF(COUNTIF('USPTO TMs'!A:A,D8110)&gt;0,"Yes","No"),"")</f>
        <v/>
      </c>
      <c r="C8110" s="11"/>
      <c r="D8110" s="11"/>
      <c r="E8110" s="11"/>
      <c r="F8110" s="11"/>
      <c r="G8110" s="11"/>
      <c r="H8110" s="11"/>
      <c r="I8110" s="15"/>
    </row>
    <row r="8111" spans="1:9" ht="16.5">
      <c r="A8111" s="10" t="b">
        <v>0</v>
      </c>
      <c r="B8111" s="11" t="str">
        <f>IF(D8111&lt;&gt;"",IF(COUNTIF('USPTO TMs'!A:A,D8111)&gt;0,"Yes","No"),"")</f>
        <v/>
      </c>
      <c r="C8111" s="11"/>
      <c r="D8111" s="11"/>
      <c r="E8111" s="11"/>
      <c r="F8111" s="11"/>
      <c r="G8111" s="11"/>
      <c r="H8111" s="11"/>
      <c r="I8111" s="15"/>
    </row>
    <row r="8112" spans="1:9" ht="16.5">
      <c r="A8112" s="10" t="b">
        <v>0</v>
      </c>
      <c r="B8112" s="11" t="str">
        <f>IF(D8112&lt;&gt;"",IF(COUNTIF('USPTO TMs'!A:A,D8112)&gt;0,"Yes","No"),"")</f>
        <v/>
      </c>
      <c r="C8112" s="11"/>
      <c r="D8112" s="11"/>
      <c r="E8112" s="11"/>
      <c r="F8112" s="11"/>
      <c r="G8112" s="11"/>
      <c r="H8112" s="11"/>
      <c r="I8112" s="15"/>
    </row>
    <row r="8113" spans="1:9" ht="16.5">
      <c r="A8113" s="10" t="b">
        <v>0</v>
      </c>
      <c r="B8113" s="11" t="str">
        <f>IF(D8113&lt;&gt;"",IF(COUNTIF('USPTO TMs'!A:A,D8113)&gt;0,"Yes","No"),"")</f>
        <v/>
      </c>
      <c r="C8113" s="11"/>
      <c r="D8113" s="11"/>
      <c r="E8113" s="11"/>
      <c r="F8113" s="11"/>
      <c r="G8113" s="11"/>
      <c r="H8113" s="11"/>
      <c r="I8113" s="15"/>
    </row>
    <row r="8114" spans="1:9" ht="16.5">
      <c r="A8114" s="10" t="b">
        <v>0</v>
      </c>
      <c r="B8114" s="11" t="str">
        <f>IF(D8114&lt;&gt;"",IF(COUNTIF('USPTO TMs'!A:A,D8114)&gt;0,"Yes","No"),"")</f>
        <v/>
      </c>
      <c r="C8114" s="11"/>
      <c r="D8114" s="11"/>
      <c r="E8114" s="11"/>
      <c r="F8114" s="11"/>
      <c r="G8114" s="11"/>
      <c r="H8114" s="11"/>
      <c r="I8114" s="15"/>
    </row>
    <row r="8115" spans="1:9" ht="16.5">
      <c r="A8115" s="10" t="b">
        <v>0</v>
      </c>
      <c r="B8115" s="11" t="str">
        <f>IF(D8115&lt;&gt;"",IF(COUNTIF('USPTO TMs'!A:A,D8115)&gt;0,"Yes","No"),"")</f>
        <v/>
      </c>
      <c r="C8115" s="11"/>
      <c r="D8115" s="11"/>
      <c r="E8115" s="11"/>
      <c r="F8115" s="11"/>
      <c r="G8115" s="11"/>
      <c r="H8115" s="11"/>
      <c r="I8115" s="15"/>
    </row>
    <row r="8116" spans="1:9" ht="16.5">
      <c r="A8116" s="10" t="b">
        <v>0</v>
      </c>
      <c r="B8116" s="11" t="str">
        <f>IF(D8116&lt;&gt;"",IF(COUNTIF('USPTO TMs'!A:A,D8116)&gt;0,"Yes","No"),"")</f>
        <v/>
      </c>
      <c r="C8116" s="11"/>
      <c r="D8116" s="11"/>
      <c r="E8116" s="11"/>
      <c r="F8116" s="11"/>
      <c r="G8116" s="11"/>
      <c r="H8116" s="11"/>
      <c r="I8116" s="15"/>
    </row>
    <row r="8117" spans="1:9" ht="16.5">
      <c r="A8117" s="10" t="b">
        <v>0</v>
      </c>
      <c r="B8117" s="11" t="str">
        <f>IF(D8117&lt;&gt;"",IF(COUNTIF('USPTO TMs'!A:A,D8117)&gt;0,"Yes","No"),"")</f>
        <v/>
      </c>
      <c r="C8117" s="11"/>
      <c r="D8117" s="11"/>
      <c r="E8117" s="11"/>
      <c r="F8117" s="11"/>
      <c r="G8117" s="11"/>
      <c r="H8117" s="11"/>
      <c r="I8117" s="15"/>
    </row>
    <row r="8118" spans="1:9" ht="16.5">
      <c r="A8118" s="10" t="b">
        <v>0</v>
      </c>
      <c r="B8118" s="11" t="str">
        <f>IF(D8118&lt;&gt;"",IF(COUNTIF('USPTO TMs'!A:A,D8118)&gt;0,"Yes","No"),"")</f>
        <v/>
      </c>
      <c r="C8118" s="11"/>
      <c r="D8118" s="11"/>
      <c r="E8118" s="11"/>
      <c r="F8118" s="11"/>
      <c r="G8118" s="11"/>
      <c r="H8118" s="11"/>
      <c r="I8118" s="15"/>
    </row>
    <row r="8119" spans="1:9" ht="16.5">
      <c r="A8119" s="10" t="b">
        <v>0</v>
      </c>
      <c r="B8119" s="11" t="str">
        <f>IF(D8119&lt;&gt;"",IF(COUNTIF('USPTO TMs'!A:A,D8119)&gt;0,"Yes","No"),"")</f>
        <v/>
      </c>
      <c r="C8119" s="11"/>
      <c r="D8119" s="11"/>
      <c r="E8119" s="11"/>
      <c r="F8119" s="11"/>
      <c r="G8119" s="11"/>
      <c r="H8119" s="11"/>
      <c r="I8119" s="15"/>
    </row>
    <row r="8120" spans="1:9" ht="16.5">
      <c r="A8120" s="10" t="b">
        <v>0</v>
      </c>
      <c r="B8120" s="11" t="str">
        <f>IF(D8120&lt;&gt;"",IF(COUNTIF('USPTO TMs'!A:A,D8120)&gt;0,"Yes","No"),"")</f>
        <v/>
      </c>
      <c r="C8120" s="11"/>
      <c r="D8120" s="11"/>
      <c r="E8120" s="11"/>
      <c r="F8120" s="11"/>
      <c r="G8120" s="11"/>
      <c r="H8120" s="11"/>
      <c r="I8120" s="15"/>
    </row>
    <row r="8121" spans="1:9" ht="16.5">
      <c r="A8121" s="10" t="b">
        <v>0</v>
      </c>
      <c r="B8121" s="11" t="str">
        <f>IF(D8121&lt;&gt;"",IF(COUNTIF('USPTO TMs'!A:A,D8121)&gt;0,"Yes","No"),"")</f>
        <v/>
      </c>
      <c r="C8121" s="11"/>
      <c r="D8121" s="11"/>
      <c r="E8121" s="11"/>
      <c r="F8121" s="11"/>
      <c r="G8121" s="11"/>
      <c r="H8121" s="11"/>
      <c r="I8121" s="15"/>
    </row>
    <row r="8122" spans="1:9" ht="16.5">
      <c r="A8122" s="10" t="b">
        <v>0</v>
      </c>
      <c r="B8122" s="11" t="str">
        <f>IF(D8122&lt;&gt;"",IF(COUNTIF('USPTO TMs'!A:A,D8122)&gt;0,"Yes","No"),"")</f>
        <v/>
      </c>
      <c r="C8122" s="11"/>
      <c r="D8122" s="11"/>
      <c r="E8122" s="11"/>
      <c r="F8122" s="11"/>
      <c r="G8122" s="11"/>
      <c r="H8122" s="11"/>
      <c r="I8122" s="15"/>
    </row>
    <row r="8123" spans="1:9" ht="16.5">
      <c r="A8123" s="10" t="b">
        <v>0</v>
      </c>
      <c r="B8123" s="11" t="str">
        <f>IF(D8123&lt;&gt;"",IF(COUNTIF('USPTO TMs'!A:A,D8123)&gt;0,"Yes","No"),"")</f>
        <v/>
      </c>
      <c r="C8123" s="11"/>
      <c r="D8123" s="11"/>
      <c r="E8123" s="11"/>
      <c r="F8123" s="11"/>
      <c r="G8123" s="11"/>
      <c r="H8123" s="11"/>
      <c r="I8123" s="15"/>
    </row>
    <row r="8124" spans="1:9" ht="16.5">
      <c r="A8124" s="10" t="b">
        <v>0</v>
      </c>
      <c r="B8124" s="11" t="str">
        <f>IF(D8124&lt;&gt;"",IF(COUNTIF('USPTO TMs'!A:A,D8124)&gt;0,"Yes","No"),"")</f>
        <v/>
      </c>
      <c r="C8124" s="11"/>
      <c r="D8124" s="11"/>
      <c r="E8124" s="11"/>
      <c r="F8124" s="11"/>
      <c r="G8124" s="11"/>
      <c r="H8124" s="11"/>
      <c r="I8124" s="15"/>
    </row>
    <row r="8125" spans="1:9" ht="16.5">
      <c r="A8125" s="10" t="b">
        <v>0</v>
      </c>
      <c r="B8125" s="11" t="str">
        <f>IF(D8125&lt;&gt;"",IF(COUNTIF('USPTO TMs'!A:A,D8125)&gt;0,"Yes","No"),"")</f>
        <v/>
      </c>
      <c r="C8125" s="11"/>
      <c r="D8125" s="11"/>
      <c r="E8125" s="11"/>
      <c r="F8125" s="11"/>
      <c r="G8125" s="11"/>
      <c r="H8125" s="11"/>
      <c r="I8125" s="15"/>
    </row>
    <row r="8126" spans="1:9" ht="16.5">
      <c r="A8126" s="10" t="b">
        <v>0</v>
      </c>
      <c r="B8126" s="11" t="str">
        <f>IF(D8126&lt;&gt;"",IF(COUNTIF('USPTO TMs'!A:A,D8126)&gt;0,"Yes","No"),"")</f>
        <v/>
      </c>
      <c r="C8126" s="11"/>
      <c r="D8126" s="11"/>
      <c r="E8126" s="11"/>
      <c r="F8126" s="11"/>
      <c r="G8126" s="11"/>
      <c r="H8126" s="11"/>
      <c r="I8126" s="15"/>
    </row>
    <row r="8127" spans="1:9" ht="16.5">
      <c r="A8127" s="10" t="b">
        <v>0</v>
      </c>
      <c r="B8127" s="11" t="str">
        <f>IF(D8127&lt;&gt;"",IF(COUNTIF('USPTO TMs'!A:A,D8127)&gt;0,"Yes","No"),"")</f>
        <v/>
      </c>
      <c r="C8127" s="11"/>
      <c r="D8127" s="11"/>
      <c r="E8127" s="11"/>
      <c r="F8127" s="11"/>
      <c r="G8127" s="11"/>
      <c r="H8127" s="11"/>
      <c r="I8127" s="15"/>
    </row>
    <row r="8128" spans="1:9" ht="16.5">
      <c r="A8128" s="10" t="b">
        <v>0</v>
      </c>
      <c r="B8128" s="11" t="str">
        <f>IF(D8128&lt;&gt;"",IF(COUNTIF('USPTO TMs'!A:A,D8128)&gt;0,"Yes","No"),"")</f>
        <v/>
      </c>
      <c r="C8128" s="11"/>
      <c r="D8128" s="11"/>
      <c r="E8128" s="11"/>
      <c r="F8128" s="11"/>
      <c r="G8128" s="11"/>
      <c r="H8128" s="11"/>
      <c r="I8128" s="15"/>
    </row>
    <row r="8129" spans="1:9" ht="16.5">
      <c r="A8129" s="10" t="b">
        <v>0</v>
      </c>
      <c r="B8129" s="11" t="str">
        <f>IF(D8129&lt;&gt;"",IF(COUNTIF('USPTO TMs'!A:A,D8129)&gt;0,"Yes","No"),"")</f>
        <v/>
      </c>
      <c r="C8129" s="11"/>
      <c r="D8129" s="11"/>
      <c r="E8129" s="11"/>
      <c r="F8129" s="11"/>
      <c r="G8129" s="11"/>
      <c r="H8129" s="11"/>
      <c r="I8129" s="15"/>
    </row>
    <row r="8130" spans="1:9" ht="16.5">
      <c r="A8130" s="10" t="b">
        <v>0</v>
      </c>
      <c r="B8130" s="11" t="str">
        <f>IF(D8130&lt;&gt;"",IF(COUNTIF('USPTO TMs'!A:A,D8130)&gt;0,"Yes","No"),"")</f>
        <v/>
      </c>
      <c r="C8130" s="11"/>
      <c r="D8130" s="11"/>
      <c r="E8130" s="11"/>
      <c r="F8130" s="11"/>
      <c r="G8130" s="11"/>
      <c r="H8130" s="11"/>
      <c r="I8130" s="15"/>
    </row>
    <row r="8131" spans="1:9" ht="16.5">
      <c r="A8131" s="10" t="b">
        <v>0</v>
      </c>
      <c r="B8131" s="11" t="str">
        <f>IF(D8131&lt;&gt;"",IF(COUNTIF('USPTO TMs'!A:A,D8131)&gt;0,"Yes","No"),"")</f>
        <v/>
      </c>
      <c r="C8131" s="11"/>
      <c r="D8131" s="11"/>
      <c r="E8131" s="11"/>
      <c r="F8131" s="11"/>
      <c r="G8131" s="11"/>
      <c r="H8131" s="11"/>
      <c r="I8131" s="15"/>
    </row>
    <row r="8132" spans="1:9" ht="16.5">
      <c r="A8132" s="10" t="b">
        <v>0</v>
      </c>
      <c r="B8132" s="11" t="str">
        <f>IF(D8132&lt;&gt;"",IF(COUNTIF('USPTO TMs'!A:A,D8132)&gt;0,"Yes","No"),"")</f>
        <v/>
      </c>
      <c r="C8132" s="11"/>
      <c r="D8132" s="11"/>
      <c r="E8132" s="11"/>
      <c r="F8132" s="11"/>
      <c r="G8132" s="11"/>
      <c r="H8132" s="11"/>
      <c r="I8132" s="15"/>
    </row>
    <row r="8133" spans="1:9" ht="16.5">
      <c r="A8133" s="10" t="b">
        <v>0</v>
      </c>
      <c r="B8133" s="11" t="str">
        <f>IF(D8133&lt;&gt;"",IF(COUNTIF('USPTO TMs'!A:A,D8133)&gt;0,"Yes","No"),"")</f>
        <v/>
      </c>
      <c r="C8133" s="11"/>
      <c r="D8133" s="11"/>
      <c r="E8133" s="11"/>
      <c r="F8133" s="11"/>
      <c r="G8133" s="11"/>
      <c r="H8133" s="11"/>
      <c r="I8133" s="15"/>
    </row>
    <row r="8134" spans="1:9" ht="16.5">
      <c r="A8134" s="10" t="b">
        <v>0</v>
      </c>
      <c r="B8134" s="11" t="str">
        <f>IF(D8134&lt;&gt;"",IF(COUNTIF('USPTO TMs'!A:A,D8134)&gt;0,"Yes","No"),"")</f>
        <v/>
      </c>
      <c r="C8134" s="11"/>
      <c r="D8134" s="11"/>
      <c r="E8134" s="11"/>
      <c r="F8134" s="11"/>
      <c r="G8134" s="11"/>
      <c r="H8134" s="11"/>
      <c r="I8134" s="15"/>
    </row>
    <row r="8135" spans="1:9" ht="16.5">
      <c r="A8135" s="10" t="b">
        <v>0</v>
      </c>
      <c r="B8135" s="11" t="str">
        <f>IF(D8135&lt;&gt;"",IF(COUNTIF('USPTO TMs'!A:A,D8135)&gt;0,"Yes","No"),"")</f>
        <v/>
      </c>
      <c r="C8135" s="11"/>
      <c r="D8135" s="11"/>
      <c r="E8135" s="11"/>
      <c r="F8135" s="11"/>
      <c r="G8135" s="11"/>
      <c r="H8135" s="11"/>
      <c r="I8135" s="15"/>
    </row>
    <row r="8136" spans="1:9" ht="16.5">
      <c r="A8136" s="10" t="b">
        <v>0</v>
      </c>
      <c r="B8136" s="11" t="str">
        <f>IF(D8136&lt;&gt;"",IF(COUNTIF('USPTO TMs'!A:A,D8136)&gt;0,"Yes","No"),"")</f>
        <v/>
      </c>
      <c r="C8136" s="11"/>
      <c r="D8136" s="11"/>
      <c r="E8136" s="11"/>
      <c r="F8136" s="11"/>
      <c r="G8136" s="11"/>
      <c r="H8136" s="11"/>
      <c r="I8136" s="15"/>
    </row>
    <row r="8137" spans="1:9" ht="16.5">
      <c r="A8137" s="10" t="b">
        <v>0</v>
      </c>
      <c r="B8137" s="11" t="str">
        <f>IF(D8137&lt;&gt;"",IF(COUNTIF('USPTO TMs'!A:A,D8137)&gt;0,"Yes","No"),"")</f>
        <v/>
      </c>
      <c r="C8137" s="11"/>
      <c r="D8137" s="11"/>
      <c r="E8137" s="11"/>
      <c r="F8137" s="11"/>
      <c r="G8137" s="11"/>
      <c r="H8137" s="11"/>
      <c r="I8137" s="15"/>
    </row>
    <row r="8138" spans="1:9" ht="16.5">
      <c r="A8138" s="10" t="b">
        <v>0</v>
      </c>
      <c r="B8138" s="11" t="str">
        <f>IF(D8138&lt;&gt;"",IF(COUNTIF('USPTO TMs'!A:A,D8138)&gt;0,"Yes","No"),"")</f>
        <v/>
      </c>
      <c r="C8138" s="11"/>
      <c r="D8138" s="11"/>
      <c r="E8138" s="11"/>
      <c r="F8138" s="11"/>
      <c r="G8138" s="11"/>
      <c r="H8138" s="11"/>
      <c r="I8138" s="15"/>
    </row>
    <row r="8139" spans="1:9" ht="16.5">
      <c r="A8139" s="10" t="b">
        <v>0</v>
      </c>
      <c r="B8139" s="11" t="str">
        <f>IF(D8139&lt;&gt;"",IF(COUNTIF('USPTO TMs'!A:A,D8139)&gt;0,"Yes","No"),"")</f>
        <v/>
      </c>
      <c r="C8139" s="11"/>
      <c r="D8139" s="11"/>
      <c r="E8139" s="11"/>
      <c r="F8139" s="11"/>
      <c r="G8139" s="11"/>
      <c r="H8139" s="11"/>
      <c r="I8139" s="15"/>
    </row>
    <row r="8140" spans="1:9" ht="16.5">
      <c r="A8140" s="10" t="b">
        <v>0</v>
      </c>
      <c r="B8140" s="11" t="str">
        <f>IF(D8140&lt;&gt;"",IF(COUNTIF('USPTO TMs'!A:A,D8140)&gt;0,"Yes","No"),"")</f>
        <v/>
      </c>
      <c r="C8140" s="11"/>
      <c r="D8140" s="11"/>
      <c r="E8140" s="11"/>
      <c r="F8140" s="11"/>
      <c r="G8140" s="11"/>
      <c r="H8140" s="11"/>
      <c r="I8140" s="15"/>
    </row>
    <row r="8141" spans="1:9" ht="16.5">
      <c r="A8141" s="10" t="b">
        <v>0</v>
      </c>
      <c r="B8141" s="11" t="str">
        <f>IF(D8141&lt;&gt;"",IF(COUNTIF('USPTO TMs'!A:A,D8141)&gt;0,"Yes","No"),"")</f>
        <v/>
      </c>
      <c r="C8141" s="11"/>
      <c r="D8141" s="11"/>
      <c r="E8141" s="11"/>
      <c r="F8141" s="11"/>
      <c r="G8141" s="11"/>
      <c r="H8141" s="11"/>
      <c r="I8141" s="15"/>
    </row>
    <row r="8142" spans="1:9" ht="16.5">
      <c r="A8142" s="10" t="b">
        <v>0</v>
      </c>
      <c r="B8142" s="11" t="str">
        <f>IF(D8142&lt;&gt;"",IF(COUNTIF('USPTO TMs'!A:A,D8142)&gt;0,"Yes","No"),"")</f>
        <v/>
      </c>
      <c r="C8142" s="11"/>
      <c r="D8142" s="11"/>
      <c r="E8142" s="11"/>
      <c r="F8142" s="11"/>
      <c r="G8142" s="11"/>
      <c r="H8142" s="11"/>
      <c r="I8142" s="15"/>
    </row>
    <row r="8143" spans="1:9" ht="16.5">
      <c r="A8143" s="10" t="b">
        <v>0</v>
      </c>
      <c r="B8143" s="11" t="str">
        <f>IF(D8143&lt;&gt;"",IF(COUNTIF('USPTO TMs'!A:A,D8143)&gt;0,"Yes","No"),"")</f>
        <v/>
      </c>
      <c r="C8143" s="11"/>
      <c r="D8143" s="11"/>
      <c r="E8143" s="11"/>
      <c r="F8143" s="11"/>
      <c r="G8143" s="11"/>
      <c r="H8143" s="11"/>
      <c r="I8143" s="15"/>
    </row>
    <row r="8144" spans="1:9" ht="16.5">
      <c r="A8144" s="10" t="b">
        <v>0</v>
      </c>
      <c r="B8144" s="11" t="str">
        <f>IF(D8144&lt;&gt;"",IF(COUNTIF('USPTO TMs'!A:A,D8144)&gt;0,"Yes","No"),"")</f>
        <v/>
      </c>
      <c r="C8144" s="11"/>
      <c r="D8144" s="11"/>
      <c r="E8144" s="11"/>
      <c r="F8144" s="11"/>
      <c r="G8144" s="11"/>
      <c r="H8144" s="11"/>
      <c r="I8144" s="15"/>
    </row>
    <row r="8145" spans="1:9" ht="16.5">
      <c r="A8145" s="10" t="b">
        <v>0</v>
      </c>
      <c r="B8145" s="11" t="str">
        <f>IF(D8145&lt;&gt;"",IF(COUNTIF('USPTO TMs'!A:A,D8145)&gt;0,"Yes","No"),"")</f>
        <v/>
      </c>
      <c r="C8145" s="11"/>
      <c r="D8145" s="11"/>
      <c r="E8145" s="11"/>
      <c r="F8145" s="11"/>
      <c r="G8145" s="11"/>
      <c r="H8145" s="11"/>
      <c r="I8145" s="15"/>
    </row>
    <row r="8146" spans="1:9" ht="16.5">
      <c r="A8146" s="10" t="b">
        <v>0</v>
      </c>
      <c r="B8146" s="11" t="str">
        <f>IF(D8146&lt;&gt;"",IF(COUNTIF('USPTO TMs'!A:A,D8146)&gt;0,"Yes","No"),"")</f>
        <v/>
      </c>
      <c r="C8146" s="11"/>
      <c r="D8146" s="11"/>
      <c r="E8146" s="11"/>
      <c r="F8146" s="11"/>
      <c r="G8146" s="11"/>
      <c r="H8146" s="11"/>
      <c r="I8146" s="15"/>
    </row>
    <row r="8147" spans="1:9" ht="16.5">
      <c r="A8147" s="10" t="b">
        <v>0</v>
      </c>
      <c r="B8147" s="11" t="str">
        <f>IF(D8147&lt;&gt;"",IF(COUNTIF('USPTO TMs'!A:A,D8147)&gt;0,"Yes","No"),"")</f>
        <v/>
      </c>
      <c r="C8147" s="11"/>
      <c r="D8147" s="11"/>
      <c r="E8147" s="11"/>
      <c r="F8147" s="11"/>
      <c r="G8147" s="11"/>
      <c r="H8147" s="11"/>
      <c r="I8147" s="15"/>
    </row>
    <row r="8148" spans="1:9" ht="16.5">
      <c r="A8148" s="10" t="b">
        <v>0</v>
      </c>
      <c r="B8148" s="11" t="str">
        <f>IF(D8148&lt;&gt;"",IF(COUNTIF('USPTO TMs'!A:A,D8148)&gt;0,"Yes","No"),"")</f>
        <v/>
      </c>
      <c r="C8148" s="11"/>
      <c r="D8148" s="11"/>
      <c r="E8148" s="11"/>
      <c r="F8148" s="11"/>
      <c r="G8148" s="11"/>
      <c r="H8148" s="11"/>
      <c r="I8148" s="15"/>
    </row>
    <row r="8149" spans="1:9" ht="16.5">
      <c r="A8149" s="10" t="b">
        <v>0</v>
      </c>
      <c r="B8149" s="11" t="str">
        <f>IF(D8149&lt;&gt;"",IF(COUNTIF('USPTO TMs'!A:A,D8149)&gt;0,"Yes","No"),"")</f>
        <v/>
      </c>
      <c r="C8149" s="11"/>
      <c r="D8149" s="11"/>
      <c r="E8149" s="11"/>
      <c r="F8149" s="11"/>
      <c r="G8149" s="11"/>
      <c r="H8149" s="11"/>
      <c r="I8149" s="15"/>
    </row>
    <row r="8150" spans="1:9" ht="16.5">
      <c r="A8150" s="10" t="b">
        <v>0</v>
      </c>
      <c r="B8150" s="11" t="str">
        <f>IF(D8150&lt;&gt;"",IF(COUNTIF('USPTO TMs'!A:A,D8150)&gt;0,"Yes","No"),"")</f>
        <v/>
      </c>
      <c r="C8150" s="11"/>
      <c r="D8150" s="11"/>
      <c r="E8150" s="11"/>
      <c r="F8150" s="11"/>
      <c r="G8150" s="11"/>
      <c r="H8150" s="11"/>
      <c r="I8150" s="15"/>
    </row>
    <row r="8151" spans="1:9" ht="16.5">
      <c r="A8151" s="10" t="b">
        <v>0</v>
      </c>
      <c r="B8151" s="11" t="str">
        <f>IF(D8151&lt;&gt;"",IF(COUNTIF('USPTO TMs'!A:A,D8151)&gt;0,"Yes","No"),"")</f>
        <v/>
      </c>
      <c r="C8151" s="11"/>
      <c r="D8151" s="11"/>
      <c r="E8151" s="11"/>
      <c r="F8151" s="11"/>
      <c r="G8151" s="11"/>
      <c r="H8151" s="11"/>
      <c r="I8151" s="15"/>
    </row>
    <row r="8152" spans="1:9" ht="16.5">
      <c r="A8152" s="10" t="b">
        <v>0</v>
      </c>
      <c r="B8152" s="11" t="str">
        <f>IF(D8152&lt;&gt;"",IF(COUNTIF('USPTO TMs'!A:A,D8152)&gt;0,"Yes","No"),"")</f>
        <v/>
      </c>
      <c r="C8152" s="11"/>
      <c r="D8152" s="11"/>
      <c r="E8152" s="11"/>
      <c r="F8152" s="11"/>
      <c r="G8152" s="11"/>
      <c r="H8152" s="11"/>
      <c r="I8152" s="15"/>
    </row>
    <row r="8153" spans="1:9" ht="16.5">
      <c r="A8153" s="10" t="b">
        <v>0</v>
      </c>
      <c r="B8153" s="11" t="str">
        <f>IF(D8153&lt;&gt;"",IF(COUNTIF('USPTO TMs'!A:A,D8153)&gt;0,"Yes","No"),"")</f>
        <v/>
      </c>
      <c r="C8153" s="11"/>
      <c r="D8153" s="11"/>
      <c r="E8153" s="11"/>
      <c r="F8153" s="11"/>
      <c r="G8153" s="11"/>
      <c r="H8153" s="11"/>
      <c r="I8153" s="15"/>
    </row>
    <row r="8154" spans="1:9" ht="16.5">
      <c r="A8154" s="10" t="b">
        <v>0</v>
      </c>
      <c r="B8154" s="11" t="str">
        <f>IF(D8154&lt;&gt;"",IF(COUNTIF('USPTO TMs'!A:A,D8154)&gt;0,"Yes","No"),"")</f>
        <v/>
      </c>
      <c r="C8154" s="11"/>
      <c r="D8154" s="11"/>
      <c r="E8154" s="11"/>
      <c r="F8154" s="11"/>
      <c r="G8154" s="11"/>
      <c r="H8154" s="11"/>
      <c r="I8154" s="15"/>
    </row>
    <row r="8155" spans="1:9" ht="16.5">
      <c r="A8155" s="10" t="b">
        <v>0</v>
      </c>
      <c r="B8155" s="11" t="str">
        <f>IF(D8155&lt;&gt;"",IF(COUNTIF('USPTO TMs'!A:A,D8155)&gt;0,"Yes","No"),"")</f>
        <v/>
      </c>
      <c r="C8155" s="11"/>
      <c r="D8155" s="11"/>
      <c r="E8155" s="11"/>
      <c r="F8155" s="11"/>
      <c r="G8155" s="11"/>
      <c r="H8155" s="11"/>
      <c r="I8155" s="15"/>
    </row>
    <row r="8156" spans="1:9" ht="16.5">
      <c r="A8156" s="10" t="b">
        <v>0</v>
      </c>
      <c r="B8156" s="11" t="str">
        <f>IF(D8156&lt;&gt;"",IF(COUNTIF('USPTO TMs'!A:A,D8156)&gt;0,"Yes","No"),"")</f>
        <v/>
      </c>
      <c r="C8156" s="11"/>
      <c r="D8156" s="11"/>
      <c r="E8156" s="11"/>
      <c r="F8156" s="11"/>
      <c r="G8156" s="11"/>
      <c r="H8156" s="11"/>
      <c r="I8156" s="15"/>
    </row>
    <row r="8157" spans="1:9" ht="16.5">
      <c r="A8157" s="10" t="b">
        <v>0</v>
      </c>
      <c r="B8157" s="11" t="str">
        <f>IF(D8157&lt;&gt;"",IF(COUNTIF('USPTO TMs'!A:A,D8157)&gt;0,"Yes","No"),"")</f>
        <v/>
      </c>
      <c r="C8157" s="11"/>
      <c r="D8157" s="11"/>
      <c r="E8157" s="11"/>
      <c r="F8157" s="11"/>
      <c r="G8157" s="11"/>
      <c r="H8157" s="11"/>
      <c r="I8157" s="15"/>
    </row>
    <row r="8158" spans="1:9" ht="16.5">
      <c r="A8158" s="10" t="b">
        <v>0</v>
      </c>
      <c r="B8158" s="11" t="str">
        <f>IF(D8158&lt;&gt;"",IF(COUNTIF('USPTO TMs'!A:A,D8158)&gt;0,"Yes","No"),"")</f>
        <v/>
      </c>
      <c r="C8158" s="11"/>
      <c r="D8158" s="11"/>
      <c r="E8158" s="11"/>
      <c r="F8158" s="11"/>
      <c r="G8158" s="11"/>
      <c r="H8158" s="11"/>
      <c r="I8158" s="15"/>
    </row>
    <row r="8159" spans="1:9" ht="16.5">
      <c r="A8159" s="10" t="b">
        <v>0</v>
      </c>
      <c r="B8159" s="11" t="str">
        <f>IF(D8159&lt;&gt;"",IF(COUNTIF('USPTO TMs'!A:A,D8159)&gt;0,"Yes","No"),"")</f>
        <v/>
      </c>
      <c r="C8159" s="11"/>
      <c r="D8159" s="11"/>
      <c r="E8159" s="11"/>
      <c r="F8159" s="11"/>
      <c r="G8159" s="11"/>
      <c r="H8159" s="11"/>
      <c r="I8159" s="15"/>
    </row>
    <row r="8160" spans="1:9" ht="16.5">
      <c r="A8160" s="10" t="b">
        <v>0</v>
      </c>
      <c r="B8160" s="11" t="str">
        <f>IF(D8160&lt;&gt;"",IF(COUNTIF('USPTO TMs'!A:A,D8160)&gt;0,"Yes","No"),"")</f>
        <v/>
      </c>
      <c r="C8160" s="11"/>
      <c r="D8160" s="11"/>
      <c r="E8160" s="11"/>
      <c r="F8160" s="11"/>
      <c r="G8160" s="11"/>
      <c r="H8160" s="11"/>
      <c r="I8160" s="15"/>
    </row>
    <row r="8161" spans="1:9" ht="16.5">
      <c r="A8161" s="10" t="b">
        <v>0</v>
      </c>
      <c r="B8161" s="11" t="str">
        <f>IF(D8161&lt;&gt;"",IF(COUNTIF('USPTO TMs'!A:A,D8161)&gt;0,"Yes","No"),"")</f>
        <v/>
      </c>
      <c r="C8161" s="11"/>
      <c r="D8161" s="11"/>
      <c r="E8161" s="11"/>
      <c r="F8161" s="11"/>
      <c r="G8161" s="11"/>
      <c r="H8161" s="11"/>
      <c r="I8161" s="15"/>
    </row>
    <row r="8162" spans="1:9" ht="16.5">
      <c r="A8162" s="10" t="b">
        <v>0</v>
      </c>
      <c r="B8162" s="11" t="str">
        <f>IF(D8162&lt;&gt;"",IF(COUNTIF('USPTO TMs'!A:A,D8162)&gt;0,"Yes","No"),"")</f>
        <v/>
      </c>
      <c r="C8162" s="11"/>
      <c r="D8162" s="11"/>
      <c r="E8162" s="11"/>
      <c r="F8162" s="11"/>
      <c r="G8162" s="11"/>
      <c r="H8162" s="11"/>
      <c r="I8162" s="15"/>
    </row>
    <row r="8163" spans="1:9" ht="16.5">
      <c r="A8163" s="10" t="b">
        <v>0</v>
      </c>
      <c r="B8163" s="11" t="str">
        <f>IF(D8163&lt;&gt;"",IF(COUNTIF('USPTO TMs'!A:A,D8163)&gt;0,"Yes","No"),"")</f>
        <v/>
      </c>
      <c r="C8163" s="11"/>
      <c r="D8163" s="11"/>
      <c r="E8163" s="11"/>
      <c r="F8163" s="11"/>
      <c r="G8163" s="11"/>
      <c r="H8163" s="11"/>
      <c r="I8163" s="15"/>
    </row>
    <row r="8164" spans="1:9" ht="16.5">
      <c r="A8164" s="10" t="b">
        <v>0</v>
      </c>
      <c r="B8164" s="11" t="str">
        <f>IF(D8164&lt;&gt;"",IF(COUNTIF('USPTO TMs'!A:A,D8164)&gt;0,"Yes","No"),"")</f>
        <v/>
      </c>
      <c r="C8164" s="11"/>
      <c r="D8164" s="11"/>
      <c r="E8164" s="11"/>
      <c r="F8164" s="11"/>
      <c r="G8164" s="11"/>
      <c r="H8164" s="11"/>
      <c r="I8164" s="15"/>
    </row>
    <row r="8165" spans="1:9" ht="16.5">
      <c r="A8165" s="10" t="b">
        <v>0</v>
      </c>
      <c r="B8165" s="11" t="str">
        <f>IF(D8165&lt;&gt;"",IF(COUNTIF('USPTO TMs'!A:A,D8165)&gt;0,"Yes","No"),"")</f>
        <v/>
      </c>
      <c r="C8165" s="11"/>
      <c r="D8165" s="11"/>
      <c r="E8165" s="11"/>
      <c r="F8165" s="11"/>
      <c r="G8165" s="11"/>
      <c r="H8165" s="11"/>
      <c r="I8165" s="15"/>
    </row>
    <row r="8166" spans="1:9" ht="16.5">
      <c r="A8166" s="10" t="b">
        <v>0</v>
      </c>
      <c r="B8166" s="11" t="str">
        <f>IF(D8166&lt;&gt;"",IF(COUNTIF('USPTO TMs'!A:A,D8166)&gt;0,"Yes","No"),"")</f>
        <v/>
      </c>
      <c r="C8166" s="11"/>
      <c r="D8166" s="11"/>
      <c r="E8166" s="11"/>
      <c r="F8166" s="11"/>
      <c r="G8166" s="11"/>
      <c r="H8166" s="11"/>
      <c r="I8166" s="15"/>
    </row>
    <row r="8167" spans="1:9" ht="16.5">
      <c r="A8167" s="10" t="b">
        <v>0</v>
      </c>
      <c r="B8167" s="11" t="str">
        <f>IF(D8167&lt;&gt;"",IF(COUNTIF('USPTO TMs'!A:A,D8167)&gt;0,"Yes","No"),"")</f>
        <v/>
      </c>
      <c r="C8167" s="11"/>
      <c r="D8167" s="11"/>
      <c r="E8167" s="11"/>
      <c r="F8167" s="11"/>
      <c r="G8167" s="11"/>
      <c r="H8167" s="11"/>
      <c r="I8167" s="15"/>
    </row>
    <row r="8168" spans="1:9" ht="16.5">
      <c r="A8168" s="10" t="b">
        <v>0</v>
      </c>
      <c r="B8168" s="11" t="str">
        <f>IF(D8168&lt;&gt;"",IF(COUNTIF('USPTO TMs'!A:A,D8168)&gt;0,"Yes","No"),"")</f>
        <v/>
      </c>
      <c r="C8168" s="11"/>
      <c r="D8168" s="11"/>
      <c r="E8168" s="11"/>
      <c r="F8168" s="11"/>
      <c r="G8168" s="11"/>
      <c r="H8168" s="11"/>
      <c r="I8168" s="15"/>
    </row>
    <row r="8169" spans="1:9" ht="16.5">
      <c r="A8169" s="10" t="b">
        <v>0</v>
      </c>
      <c r="B8169" s="11" t="str">
        <f>IF(D8169&lt;&gt;"",IF(COUNTIF('USPTO TMs'!A:A,D8169)&gt;0,"Yes","No"),"")</f>
        <v/>
      </c>
      <c r="C8169" s="11"/>
      <c r="D8169" s="11"/>
      <c r="E8169" s="11"/>
      <c r="F8169" s="11"/>
      <c r="G8169" s="11"/>
      <c r="H8169" s="11"/>
      <c r="I8169" s="15"/>
    </row>
    <row r="8170" spans="1:9" ht="16.5">
      <c r="A8170" s="10" t="b">
        <v>0</v>
      </c>
      <c r="B8170" s="11" t="str">
        <f>IF(D8170&lt;&gt;"",IF(COUNTIF('USPTO TMs'!A:A,D8170)&gt;0,"Yes","No"),"")</f>
        <v/>
      </c>
      <c r="C8170" s="11"/>
      <c r="D8170" s="11"/>
      <c r="E8170" s="11"/>
      <c r="F8170" s="11"/>
      <c r="G8170" s="11"/>
      <c r="H8170" s="11"/>
      <c r="I8170" s="15"/>
    </row>
    <row r="8171" spans="1:9" ht="16.5">
      <c r="A8171" s="10" t="b">
        <v>0</v>
      </c>
      <c r="B8171" s="11" t="str">
        <f>IF(D8171&lt;&gt;"",IF(COUNTIF('USPTO TMs'!A:A,D8171)&gt;0,"Yes","No"),"")</f>
        <v/>
      </c>
      <c r="C8171" s="11"/>
      <c r="D8171" s="11"/>
      <c r="E8171" s="11"/>
      <c r="F8171" s="11"/>
      <c r="G8171" s="11"/>
      <c r="H8171" s="11"/>
      <c r="I8171" s="15"/>
    </row>
    <row r="8172" spans="1:9" ht="16.5">
      <c r="A8172" s="10" t="b">
        <v>0</v>
      </c>
      <c r="B8172" s="11" t="str">
        <f>IF(D8172&lt;&gt;"",IF(COUNTIF('USPTO TMs'!A:A,D8172)&gt;0,"Yes","No"),"")</f>
        <v/>
      </c>
      <c r="C8172" s="11"/>
      <c r="D8172" s="11"/>
      <c r="E8172" s="11"/>
      <c r="F8172" s="11"/>
      <c r="G8172" s="11"/>
      <c r="H8172" s="11"/>
      <c r="I8172" s="15"/>
    </row>
    <row r="8173" spans="1:9" ht="16.5">
      <c r="A8173" s="10" t="b">
        <v>0</v>
      </c>
      <c r="B8173" s="11" t="str">
        <f>IF(D8173&lt;&gt;"",IF(COUNTIF('USPTO TMs'!A:A,D8173)&gt;0,"Yes","No"),"")</f>
        <v/>
      </c>
      <c r="C8173" s="11"/>
      <c r="D8173" s="11"/>
      <c r="E8173" s="11"/>
      <c r="F8173" s="11"/>
      <c r="G8173" s="11"/>
      <c r="H8173" s="11"/>
      <c r="I8173" s="15"/>
    </row>
    <row r="8174" spans="1:9" ht="16.5">
      <c r="A8174" s="10" t="b">
        <v>0</v>
      </c>
      <c r="B8174" s="11" t="str">
        <f>IF(D8174&lt;&gt;"",IF(COUNTIF('USPTO TMs'!A:A,D8174)&gt;0,"Yes","No"),"")</f>
        <v/>
      </c>
      <c r="C8174" s="11"/>
      <c r="D8174" s="11"/>
      <c r="E8174" s="11"/>
      <c r="F8174" s="11"/>
      <c r="G8174" s="11"/>
      <c r="H8174" s="11"/>
      <c r="I8174" s="15"/>
    </row>
    <row r="8175" spans="1:9" ht="16.5">
      <c r="A8175" s="10" t="b">
        <v>0</v>
      </c>
      <c r="B8175" s="11" t="str">
        <f>IF(D8175&lt;&gt;"",IF(COUNTIF('USPTO TMs'!A:A,D8175)&gt;0,"Yes","No"),"")</f>
        <v/>
      </c>
      <c r="C8175" s="11"/>
      <c r="D8175" s="11"/>
      <c r="E8175" s="11"/>
      <c r="F8175" s="11"/>
      <c r="G8175" s="11"/>
      <c r="H8175" s="11"/>
      <c r="I8175" s="15"/>
    </row>
    <row r="8176" spans="1:9" ht="16.5">
      <c r="A8176" s="10" t="b">
        <v>0</v>
      </c>
      <c r="B8176" s="11" t="str">
        <f>IF(D8176&lt;&gt;"",IF(COUNTIF('USPTO TMs'!A:A,D8176)&gt;0,"Yes","No"),"")</f>
        <v/>
      </c>
      <c r="C8176" s="11"/>
      <c r="D8176" s="11"/>
      <c r="E8176" s="11"/>
      <c r="F8176" s="11"/>
      <c r="G8176" s="11"/>
      <c r="H8176" s="11"/>
      <c r="I8176" s="15"/>
    </row>
    <row r="8177" spans="1:9" ht="16.5">
      <c r="A8177" s="10" t="b">
        <v>0</v>
      </c>
      <c r="B8177" s="11" t="str">
        <f>IF(D8177&lt;&gt;"",IF(COUNTIF('USPTO TMs'!A:A,D8177)&gt;0,"Yes","No"),"")</f>
        <v/>
      </c>
      <c r="C8177" s="11"/>
      <c r="D8177" s="11"/>
      <c r="E8177" s="11"/>
      <c r="F8177" s="11"/>
      <c r="G8177" s="11"/>
      <c r="H8177" s="11"/>
      <c r="I8177" s="15"/>
    </row>
    <row r="8178" spans="1:9" ht="16.5">
      <c r="A8178" s="10" t="b">
        <v>0</v>
      </c>
      <c r="B8178" s="11" t="str">
        <f>IF(D8178&lt;&gt;"",IF(COUNTIF('USPTO TMs'!A:A,D8178)&gt;0,"Yes","No"),"")</f>
        <v/>
      </c>
      <c r="C8178" s="11"/>
      <c r="D8178" s="11"/>
      <c r="E8178" s="11"/>
      <c r="F8178" s="11"/>
      <c r="G8178" s="11"/>
      <c r="H8178" s="11"/>
      <c r="I8178" s="15"/>
    </row>
    <row r="8179" spans="1:9" ht="16.5">
      <c r="A8179" s="10" t="b">
        <v>0</v>
      </c>
      <c r="B8179" s="11" t="str">
        <f>IF(D8179&lt;&gt;"",IF(COUNTIF('USPTO TMs'!A:A,D8179)&gt;0,"Yes","No"),"")</f>
        <v/>
      </c>
      <c r="C8179" s="11"/>
      <c r="D8179" s="11"/>
      <c r="E8179" s="11"/>
      <c r="F8179" s="11"/>
      <c r="G8179" s="11"/>
      <c r="H8179" s="11"/>
      <c r="I8179" s="15"/>
    </row>
    <row r="8180" spans="1:9" ht="16.5">
      <c r="A8180" s="10" t="b">
        <v>0</v>
      </c>
      <c r="B8180" s="11" t="str">
        <f>IF(D8180&lt;&gt;"",IF(COUNTIF('USPTO TMs'!A:A,D8180)&gt;0,"Yes","No"),"")</f>
        <v/>
      </c>
      <c r="C8180" s="11"/>
      <c r="D8180" s="11"/>
      <c r="E8180" s="11"/>
      <c r="F8180" s="11"/>
      <c r="G8180" s="11"/>
      <c r="H8180" s="11"/>
      <c r="I8180" s="15"/>
    </row>
    <row r="8181" spans="1:9" ht="16.5">
      <c r="A8181" s="10" t="b">
        <v>0</v>
      </c>
      <c r="B8181" s="11" t="str">
        <f>IF(D8181&lt;&gt;"",IF(COUNTIF('USPTO TMs'!A:A,D8181)&gt;0,"Yes","No"),"")</f>
        <v/>
      </c>
      <c r="C8181" s="11"/>
      <c r="D8181" s="11"/>
      <c r="E8181" s="11"/>
      <c r="F8181" s="11"/>
      <c r="G8181" s="11"/>
      <c r="H8181" s="11"/>
      <c r="I8181" s="15"/>
    </row>
    <row r="8182" spans="1:9" ht="16.5">
      <c r="A8182" s="10" t="b">
        <v>0</v>
      </c>
      <c r="B8182" s="11" t="str">
        <f>IF(D8182&lt;&gt;"",IF(COUNTIF('USPTO TMs'!A:A,D8182)&gt;0,"Yes","No"),"")</f>
        <v/>
      </c>
      <c r="C8182" s="11"/>
      <c r="D8182" s="11"/>
      <c r="E8182" s="11"/>
      <c r="F8182" s="11"/>
      <c r="G8182" s="11"/>
      <c r="H8182" s="11"/>
      <c r="I8182" s="15"/>
    </row>
    <row r="8183" spans="1:9" ht="16.5">
      <c r="A8183" s="10" t="b">
        <v>0</v>
      </c>
      <c r="B8183" s="11" t="str">
        <f>IF(D8183&lt;&gt;"",IF(COUNTIF('USPTO TMs'!A:A,D8183)&gt;0,"Yes","No"),"")</f>
        <v/>
      </c>
      <c r="C8183" s="11"/>
      <c r="D8183" s="11"/>
      <c r="E8183" s="11"/>
      <c r="F8183" s="11"/>
      <c r="G8183" s="11"/>
      <c r="H8183" s="11"/>
      <c r="I8183" s="15"/>
    </row>
    <row r="8184" spans="1:9" ht="16.5">
      <c r="A8184" s="10" t="b">
        <v>0</v>
      </c>
      <c r="B8184" s="11" t="str">
        <f>IF(D8184&lt;&gt;"",IF(COUNTIF('USPTO TMs'!A:A,D8184)&gt;0,"Yes","No"),"")</f>
        <v/>
      </c>
      <c r="C8184" s="11"/>
      <c r="D8184" s="11"/>
      <c r="E8184" s="11"/>
      <c r="F8184" s="11"/>
      <c r="G8184" s="11"/>
      <c r="H8184" s="11"/>
      <c r="I8184" s="15"/>
    </row>
    <row r="8185" spans="1:9" ht="16.5">
      <c r="A8185" s="10" t="b">
        <v>0</v>
      </c>
      <c r="B8185" s="11" t="str">
        <f>IF(D8185&lt;&gt;"",IF(COUNTIF('USPTO TMs'!A:A,D8185)&gt;0,"Yes","No"),"")</f>
        <v/>
      </c>
      <c r="C8185" s="11"/>
      <c r="D8185" s="11"/>
      <c r="E8185" s="11"/>
      <c r="F8185" s="11"/>
      <c r="G8185" s="11"/>
      <c r="H8185" s="11"/>
      <c r="I8185" s="15"/>
    </row>
    <row r="8186" spans="1:9" ht="16.5">
      <c r="A8186" s="10" t="b">
        <v>0</v>
      </c>
      <c r="B8186" s="11" t="str">
        <f>IF(D8186&lt;&gt;"",IF(COUNTIF('USPTO TMs'!A:A,D8186)&gt;0,"Yes","No"),"")</f>
        <v/>
      </c>
      <c r="C8186" s="11"/>
      <c r="D8186" s="11"/>
      <c r="E8186" s="11"/>
      <c r="F8186" s="11"/>
      <c r="G8186" s="11"/>
      <c r="H8186" s="11"/>
      <c r="I8186" s="15"/>
    </row>
    <row r="8187" spans="1:9" ht="16.5">
      <c r="A8187" s="10" t="b">
        <v>0</v>
      </c>
      <c r="B8187" s="11" t="str">
        <f>IF(D8187&lt;&gt;"",IF(COUNTIF('USPTO TMs'!A:A,D8187)&gt;0,"Yes","No"),"")</f>
        <v/>
      </c>
      <c r="C8187" s="11"/>
      <c r="D8187" s="11"/>
      <c r="E8187" s="11"/>
      <c r="F8187" s="11"/>
      <c r="G8187" s="11"/>
      <c r="H8187" s="11"/>
      <c r="I8187" s="15"/>
    </row>
    <row r="8188" spans="1:9" ht="16.5">
      <c r="A8188" s="10" t="b">
        <v>0</v>
      </c>
      <c r="B8188" s="11" t="str">
        <f>IF(D8188&lt;&gt;"",IF(COUNTIF('USPTO TMs'!A:A,D8188)&gt;0,"Yes","No"),"")</f>
        <v/>
      </c>
      <c r="C8188" s="11"/>
      <c r="D8188" s="11"/>
      <c r="E8188" s="11"/>
      <c r="F8188" s="11"/>
      <c r="G8188" s="11"/>
      <c r="H8188" s="11"/>
      <c r="I8188" s="15"/>
    </row>
    <row r="8189" spans="1:9" ht="16.5">
      <c r="A8189" s="10" t="b">
        <v>0</v>
      </c>
      <c r="B8189" s="11" t="str">
        <f>IF(D8189&lt;&gt;"",IF(COUNTIF('USPTO TMs'!A:A,D8189)&gt;0,"Yes","No"),"")</f>
        <v/>
      </c>
      <c r="C8189" s="11"/>
      <c r="D8189" s="11"/>
      <c r="E8189" s="11"/>
      <c r="F8189" s="11"/>
      <c r="G8189" s="11"/>
      <c r="H8189" s="11"/>
      <c r="I8189" s="15"/>
    </row>
    <row r="8190" spans="1:9" ht="16.5">
      <c r="A8190" s="10" t="b">
        <v>0</v>
      </c>
      <c r="B8190" s="11" t="str">
        <f>IF(D8190&lt;&gt;"",IF(COUNTIF('USPTO TMs'!A:A,D8190)&gt;0,"Yes","No"),"")</f>
        <v/>
      </c>
      <c r="C8190" s="11"/>
      <c r="D8190" s="11"/>
      <c r="E8190" s="11"/>
      <c r="F8190" s="11"/>
      <c r="G8190" s="11"/>
      <c r="H8190" s="11"/>
      <c r="I8190" s="15"/>
    </row>
    <row r="8191" spans="1:9" ht="16.5">
      <c r="A8191" s="10" t="b">
        <v>0</v>
      </c>
      <c r="B8191" s="11" t="str">
        <f>IF(D8191&lt;&gt;"",IF(COUNTIF('USPTO TMs'!A:A,D8191)&gt;0,"Yes","No"),"")</f>
        <v/>
      </c>
      <c r="C8191" s="11"/>
      <c r="D8191" s="11"/>
      <c r="E8191" s="11"/>
      <c r="F8191" s="11"/>
      <c r="G8191" s="11"/>
      <c r="H8191" s="11"/>
      <c r="I8191" s="15"/>
    </row>
    <row r="8192" spans="1:9" ht="16.5">
      <c r="A8192" s="10" t="b">
        <v>0</v>
      </c>
      <c r="B8192" s="11" t="str">
        <f>IF(D8192&lt;&gt;"",IF(COUNTIF('USPTO TMs'!A:A,D8192)&gt;0,"Yes","No"),"")</f>
        <v/>
      </c>
      <c r="C8192" s="11"/>
      <c r="D8192" s="11"/>
      <c r="E8192" s="11"/>
      <c r="F8192" s="11"/>
      <c r="G8192" s="11"/>
      <c r="H8192" s="11"/>
      <c r="I8192" s="15"/>
    </row>
    <row r="8193" spans="1:9" ht="16.5">
      <c r="A8193" s="10" t="b">
        <v>0</v>
      </c>
      <c r="B8193" s="11" t="str">
        <f>IF(D8193&lt;&gt;"",IF(COUNTIF('USPTO TMs'!A:A,D8193)&gt;0,"Yes","No"),"")</f>
        <v/>
      </c>
      <c r="C8193" s="11"/>
      <c r="D8193" s="11"/>
      <c r="E8193" s="11"/>
      <c r="F8193" s="11"/>
      <c r="G8193" s="11"/>
      <c r="H8193" s="11"/>
      <c r="I8193" s="15"/>
    </row>
    <row r="8194" spans="1:9" ht="16.5">
      <c r="A8194" s="10" t="b">
        <v>0</v>
      </c>
      <c r="B8194" s="11" t="str">
        <f>IF(D8194&lt;&gt;"",IF(COUNTIF('USPTO TMs'!A:A,D8194)&gt;0,"Yes","No"),"")</f>
        <v/>
      </c>
      <c r="C8194" s="11"/>
      <c r="D8194" s="11"/>
      <c r="E8194" s="11"/>
      <c r="F8194" s="11"/>
      <c r="G8194" s="11"/>
      <c r="H8194" s="11"/>
      <c r="I8194" s="15"/>
    </row>
    <row r="8195" spans="1:9" ht="16.5">
      <c r="A8195" s="10" t="b">
        <v>0</v>
      </c>
      <c r="B8195" s="11" t="str">
        <f>IF(D8195&lt;&gt;"",IF(COUNTIF('USPTO TMs'!A:A,D8195)&gt;0,"Yes","No"),"")</f>
        <v/>
      </c>
      <c r="C8195" s="11"/>
      <c r="D8195" s="11"/>
      <c r="E8195" s="11"/>
      <c r="F8195" s="11"/>
      <c r="G8195" s="11"/>
      <c r="H8195" s="11"/>
      <c r="I8195" s="15"/>
    </row>
    <row r="8196" spans="1:9" ht="16.5">
      <c r="A8196" s="10" t="b">
        <v>0</v>
      </c>
      <c r="B8196" s="11" t="str">
        <f>IF(D8196&lt;&gt;"",IF(COUNTIF('USPTO TMs'!A:A,D8196)&gt;0,"Yes","No"),"")</f>
        <v/>
      </c>
      <c r="C8196" s="11"/>
      <c r="D8196" s="11"/>
      <c r="E8196" s="11"/>
      <c r="F8196" s="11"/>
      <c r="G8196" s="11"/>
      <c r="H8196" s="11"/>
      <c r="I8196" s="15"/>
    </row>
    <row r="8197" spans="1:9" ht="16.5">
      <c r="A8197" s="10" t="b">
        <v>0</v>
      </c>
      <c r="B8197" s="11" t="str">
        <f>IF(D8197&lt;&gt;"",IF(COUNTIF('USPTO TMs'!A:A,D8197)&gt;0,"Yes","No"),"")</f>
        <v/>
      </c>
      <c r="C8197" s="11"/>
      <c r="D8197" s="11"/>
      <c r="E8197" s="11"/>
      <c r="F8197" s="11"/>
      <c r="G8197" s="11"/>
      <c r="H8197" s="11"/>
      <c r="I8197" s="15"/>
    </row>
    <row r="8198" spans="1:9" ht="16.5">
      <c r="A8198" s="10" t="b">
        <v>0</v>
      </c>
      <c r="B8198" s="11" t="str">
        <f>IF(D8198&lt;&gt;"",IF(COUNTIF('USPTO TMs'!A:A,D8198)&gt;0,"Yes","No"),"")</f>
        <v/>
      </c>
      <c r="C8198" s="11"/>
      <c r="D8198" s="11"/>
      <c r="E8198" s="11"/>
      <c r="F8198" s="11"/>
      <c r="G8198" s="11"/>
      <c r="H8198" s="11"/>
      <c r="I8198" s="15"/>
    </row>
    <row r="8199" spans="1:9" ht="16.5">
      <c r="A8199" s="10" t="b">
        <v>0</v>
      </c>
      <c r="B8199" s="11" t="str">
        <f>IF(D8199&lt;&gt;"",IF(COUNTIF('USPTO TMs'!A:A,D8199)&gt;0,"Yes","No"),"")</f>
        <v/>
      </c>
      <c r="C8199" s="11"/>
      <c r="D8199" s="11"/>
      <c r="E8199" s="11"/>
      <c r="F8199" s="11"/>
      <c r="G8199" s="11"/>
      <c r="H8199" s="11"/>
      <c r="I8199" s="15"/>
    </row>
    <row r="8200" spans="1:9" ht="16.5">
      <c r="A8200" s="10" t="b">
        <v>0</v>
      </c>
      <c r="B8200" s="11" t="str">
        <f>IF(D8200&lt;&gt;"",IF(COUNTIF('USPTO TMs'!A:A,D8200)&gt;0,"Yes","No"),"")</f>
        <v/>
      </c>
      <c r="C8200" s="11"/>
      <c r="D8200" s="11"/>
      <c r="E8200" s="11"/>
      <c r="F8200" s="11"/>
      <c r="G8200" s="11"/>
      <c r="H8200" s="11"/>
      <c r="I8200" s="15"/>
    </row>
    <row r="8201" spans="1:9" ht="16.5">
      <c r="A8201" s="10" t="b">
        <v>0</v>
      </c>
      <c r="B8201" s="11" t="str">
        <f>IF(D8201&lt;&gt;"",IF(COUNTIF('USPTO TMs'!A:A,D8201)&gt;0,"Yes","No"),"")</f>
        <v/>
      </c>
      <c r="C8201" s="11"/>
      <c r="D8201" s="11"/>
      <c r="E8201" s="11"/>
      <c r="F8201" s="11"/>
      <c r="G8201" s="11"/>
      <c r="H8201" s="11"/>
      <c r="I8201" s="15"/>
    </row>
    <row r="8202" spans="1:9" ht="16.5">
      <c r="A8202" s="10" t="b">
        <v>0</v>
      </c>
      <c r="B8202" s="11" t="str">
        <f>IF(D8202&lt;&gt;"",IF(COUNTIF('USPTO TMs'!A:A,D8202)&gt;0,"Yes","No"),"")</f>
        <v/>
      </c>
      <c r="C8202" s="11"/>
      <c r="D8202" s="11"/>
      <c r="E8202" s="11"/>
      <c r="F8202" s="11"/>
      <c r="G8202" s="11"/>
      <c r="H8202" s="11"/>
      <c r="I8202" s="15"/>
    </row>
    <row r="8203" spans="1:9" ht="16.5">
      <c r="A8203" s="10" t="b">
        <v>0</v>
      </c>
      <c r="B8203" s="11" t="str">
        <f>IF(D8203&lt;&gt;"",IF(COUNTIF('USPTO TMs'!A:A,D8203)&gt;0,"Yes","No"),"")</f>
        <v/>
      </c>
      <c r="C8203" s="11"/>
      <c r="D8203" s="11"/>
      <c r="E8203" s="11"/>
      <c r="F8203" s="11"/>
      <c r="G8203" s="11"/>
      <c r="H8203" s="11"/>
      <c r="I8203" s="15"/>
    </row>
    <row r="8204" spans="1:9" ht="16.5">
      <c r="A8204" s="10" t="b">
        <v>0</v>
      </c>
      <c r="B8204" s="11" t="str">
        <f>IF(D8204&lt;&gt;"",IF(COUNTIF('USPTO TMs'!A:A,D8204)&gt;0,"Yes","No"),"")</f>
        <v/>
      </c>
      <c r="C8204" s="11"/>
      <c r="D8204" s="11"/>
      <c r="E8204" s="11"/>
      <c r="F8204" s="11"/>
      <c r="G8204" s="11"/>
      <c r="H8204" s="11"/>
      <c r="I8204" s="15"/>
    </row>
    <row r="8205" spans="1:9" ht="16.5">
      <c r="A8205" s="10" t="b">
        <v>0</v>
      </c>
      <c r="B8205" s="11" t="str">
        <f>IF(D8205&lt;&gt;"",IF(COUNTIF('USPTO TMs'!A:A,D8205)&gt;0,"Yes","No"),"")</f>
        <v/>
      </c>
      <c r="C8205" s="11"/>
      <c r="D8205" s="11"/>
      <c r="E8205" s="11"/>
      <c r="F8205" s="11"/>
      <c r="G8205" s="11"/>
      <c r="H8205" s="11"/>
      <c r="I8205" s="15"/>
    </row>
    <row r="8206" spans="1:9" ht="16.5">
      <c r="A8206" s="10" t="b">
        <v>0</v>
      </c>
      <c r="B8206" s="11" t="str">
        <f>IF(D8206&lt;&gt;"",IF(COUNTIF('USPTO TMs'!A:A,D8206)&gt;0,"Yes","No"),"")</f>
        <v/>
      </c>
      <c r="C8206" s="11"/>
      <c r="D8206" s="11"/>
      <c r="E8206" s="11"/>
      <c r="F8206" s="11"/>
      <c r="G8206" s="11"/>
      <c r="H8206" s="11"/>
      <c r="I8206" s="15"/>
    </row>
    <row r="8207" spans="1:9" ht="16.5">
      <c r="A8207" s="10" t="b">
        <v>0</v>
      </c>
      <c r="B8207" s="11" t="str">
        <f>IF(D8207&lt;&gt;"",IF(COUNTIF('USPTO TMs'!A:A,D8207)&gt;0,"Yes","No"),"")</f>
        <v/>
      </c>
      <c r="C8207" s="11"/>
      <c r="D8207" s="11"/>
      <c r="E8207" s="11"/>
      <c r="F8207" s="11"/>
      <c r="G8207" s="11"/>
      <c r="H8207" s="11"/>
      <c r="I8207" s="15"/>
    </row>
    <row r="8208" spans="1:9" ht="16.5">
      <c r="A8208" s="10" t="b">
        <v>0</v>
      </c>
      <c r="B8208" s="11" t="str">
        <f>IF(D8208&lt;&gt;"",IF(COUNTIF('USPTO TMs'!A:A,D8208)&gt;0,"Yes","No"),"")</f>
        <v/>
      </c>
      <c r="C8208" s="11"/>
      <c r="D8208" s="11"/>
      <c r="E8208" s="11"/>
      <c r="F8208" s="11"/>
      <c r="G8208" s="11"/>
      <c r="H8208" s="11"/>
      <c r="I8208" s="15"/>
    </row>
    <row r="8209" spans="1:9" ht="16.5">
      <c r="A8209" s="10" t="b">
        <v>0</v>
      </c>
      <c r="B8209" s="11" t="str">
        <f>IF(D8209&lt;&gt;"",IF(COUNTIF('USPTO TMs'!A:A,D8209)&gt;0,"Yes","No"),"")</f>
        <v/>
      </c>
      <c r="C8209" s="11"/>
      <c r="D8209" s="11"/>
      <c r="E8209" s="11"/>
      <c r="F8209" s="11"/>
      <c r="G8209" s="11"/>
      <c r="H8209" s="11"/>
      <c r="I8209" s="15"/>
    </row>
    <row r="8210" spans="1:9" ht="16.5">
      <c r="A8210" s="10" t="b">
        <v>0</v>
      </c>
      <c r="B8210" s="11" t="str">
        <f>IF(D8210&lt;&gt;"",IF(COUNTIF('USPTO TMs'!A:A,D8210)&gt;0,"Yes","No"),"")</f>
        <v/>
      </c>
      <c r="C8210" s="11"/>
      <c r="D8210" s="11"/>
      <c r="E8210" s="11"/>
      <c r="F8210" s="11"/>
      <c r="G8210" s="11"/>
      <c r="H8210" s="11"/>
      <c r="I8210" s="15"/>
    </row>
    <row r="8211" spans="1:9" ht="16.5">
      <c r="A8211" s="10" t="b">
        <v>0</v>
      </c>
      <c r="B8211" s="11" t="str">
        <f>IF(D8211&lt;&gt;"",IF(COUNTIF('USPTO TMs'!A:A,D8211)&gt;0,"Yes","No"),"")</f>
        <v/>
      </c>
      <c r="C8211" s="11"/>
      <c r="D8211" s="11"/>
      <c r="E8211" s="11"/>
      <c r="F8211" s="11"/>
      <c r="G8211" s="11"/>
      <c r="H8211" s="11"/>
      <c r="I8211" s="15"/>
    </row>
    <row r="8212" spans="1:9" ht="16.5">
      <c r="A8212" s="10" t="b">
        <v>0</v>
      </c>
      <c r="B8212" s="11" t="str">
        <f>IF(D8212&lt;&gt;"",IF(COUNTIF('USPTO TMs'!A:A,D8212)&gt;0,"Yes","No"),"")</f>
        <v/>
      </c>
      <c r="C8212" s="11"/>
      <c r="D8212" s="11"/>
      <c r="E8212" s="11"/>
      <c r="F8212" s="11"/>
      <c r="G8212" s="11"/>
      <c r="H8212" s="11"/>
      <c r="I8212" s="15"/>
    </row>
    <row r="8213" spans="1:9" ht="16.5">
      <c r="A8213" s="10" t="b">
        <v>0</v>
      </c>
      <c r="B8213" s="11" t="str">
        <f>IF(D8213&lt;&gt;"",IF(COUNTIF('USPTO TMs'!A:A,D8213)&gt;0,"Yes","No"),"")</f>
        <v/>
      </c>
      <c r="C8213" s="11"/>
      <c r="D8213" s="11"/>
      <c r="E8213" s="11"/>
      <c r="F8213" s="11"/>
      <c r="G8213" s="11"/>
      <c r="H8213" s="11"/>
      <c r="I8213" s="15"/>
    </row>
    <row r="8214" spans="1:9" ht="16.5">
      <c r="A8214" s="10" t="b">
        <v>0</v>
      </c>
      <c r="B8214" s="11" t="str">
        <f>IF(D8214&lt;&gt;"",IF(COUNTIF('USPTO TMs'!A:A,D8214)&gt;0,"Yes","No"),"")</f>
        <v/>
      </c>
      <c r="C8214" s="11"/>
      <c r="D8214" s="11"/>
      <c r="E8214" s="11"/>
      <c r="F8214" s="11"/>
      <c r="G8214" s="11"/>
      <c r="H8214" s="11"/>
      <c r="I8214" s="15"/>
    </row>
    <row r="8215" spans="1:9" ht="16.5">
      <c r="A8215" s="10" t="b">
        <v>0</v>
      </c>
      <c r="B8215" s="11" t="str">
        <f>IF(D8215&lt;&gt;"",IF(COUNTIF('USPTO TMs'!A:A,D8215)&gt;0,"Yes","No"),"")</f>
        <v/>
      </c>
      <c r="C8215" s="11"/>
      <c r="D8215" s="11"/>
      <c r="E8215" s="11"/>
      <c r="F8215" s="11"/>
      <c r="G8215" s="11"/>
      <c r="H8215" s="11"/>
      <c r="I8215" s="15"/>
    </row>
    <row r="8216" spans="1:9" ht="16.5">
      <c r="A8216" s="10" t="b">
        <v>0</v>
      </c>
      <c r="B8216" s="11" t="str">
        <f>IF(D8216&lt;&gt;"",IF(COUNTIF('USPTO TMs'!A:A,D8216)&gt;0,"Yes","No"),"")</f>
        <v/>
      </c>
      <c r="C8216" s="11"/>
      <c r="D8216" s="11"/>
      <c r="E8216" s="11"/>
      <c r="F8216" s="11"/>
      <c r="G8216" s="11"/>
      <c r="H8216" s="11"/>
      <c r="I8216" s="15"/>
    </row>
    <row r="8217" spans="1:9" ht="16.5">
      <c r="A8217" s="10" t="b">
        <v>0</v>
      </c>
      <c r="B8217" s="11" t="str">
        <f>IF(D8217&lt;&gt;"",IF(COUNTIF('USPTO TMs'!A:A,D8217)&gt;0,"Yes","No"),"")</f>
        <v/>
      </c>
      <c r="C8217" s="11"/>
      <c r="D8217" s="11"/>
      <c r="E8217" s="11"/>
      <c r="F8217" s="11"/>
      <c r="G8217" s="11"/>
      <c r="H8217" s="11"/>
      <c r="I8217" s="15"/>
    </row>
    <row r="8218" spans="1:9" ht="16.5">
      <c r="A8218" s="10" t="b">
        <v>0</v>
      </c>
      <c r="B8218" s="11" t="str">
        <f>IF(D8218&lt;&gt;"",IF(COUNTIF('USPTO TMs'!A:A,D8218)&gt;0,"Yes","No"),"")</f>
        <v/>
      </c>
      <c r="C8218" s="11"/>
      <c r="D8218" s="11"/>
      <c r="E8218" s="11"/>
      <c r="F8218" s="11"/>
      <c r="G8218" s="11"/>
      <c r="H8218" s="11"/>
      <c r="I8218" s="15"/>
    </row>
    <row r="8219" spans="1:9" ht="16.5">
      <c r="A8219" s="10" t="b">
        <v>0</v>
      </c>
      <c r="B8219" s="11" t="str">
        <f>IF(D8219&lt;&gt;"",IF(COUNTIF('USPTO TMs'!A:A,D8219)&gt;0,"Yes","No"),"")</f>
        <v/>
      </c>
      <c r="C8219" s="11"/>
      <c r="D8219" s="11"/>
      <c r="E8219" s="11"/>
      <c r="F8219" s="11"/>
      <c r="G8219" s="11"/>
      <c r="H8219" s="11"/>
      <c r="I8219" s="15"/>
    </row>
    <row r="8220" spans="1:9" ht="16.5">
      <c r="A8220" s="10" t="b">
        <v>0</v>
      </c>
      <c r="B8220" s="11" t="str">
        <f>IF(D8220&lt;&gt;"",IF(COUNTIF('USPTO TMs'!A:A,D8220)&gt;0,"Yes","No"),"")</f>
        <v/>
      </c>
      <c r="C8220" s="11"/>
      <c r="D8220" s="11"/>
      <c r="E8220" s="11"/>
      <c r="F8220" s="11"/>
      <c r="G8220" s="11"/>
      <c r="H8220" s="11"/>
      <c r="I8220" s="15"/>
    </row>
    <row r="8221" spans="1:9" ht="16.5">
      <c r="A8221" s="10" t="b">
        <v>0</v>
      </c>
      <c r="B8221" s="11" t="str">
        <f>IF(D8221&lt;&gt;"",IF(COUNTIF('USPTO TMs'!A:A,D8221)&gt;0,"Yes","No"),"")</f>
        <v/>
      </c>
      <c r="C8221" s="11"/>
      <c r="D8221" s="11"/>
      <c r="E8221" s="11"/>
      <c r="F8221" s="11"/>
      <c r="G8221" s="11"/>
      <c r="H8221" s="11"/>
      <c r="I8221" s="15"/>
    </row>
    <row r="8222" spans="1:9" ht="16.5">
      <c r="A8222" s="10" t="b">
        <v>0</v>
      </c>
      <c r="B8222" s="11" t="str">
        <f>IF(D8222&lt;&gt;"",IF(COUNTIF('USPTO TMs'!A:A,D8222)&gt;0,"Yes","No"),"")</f>
        <v/>
      </c>
      <c r="C8222" s="11"/>
      <c r="D8222" s="11"/>
      <c r="E8222" s="11"/>
      <c r="F8222" s="11"/>
      <c r="G8222" s="11"/>
      <c r="H8222" s="11"/>
      <c r="I8222" s="15"/>
    </row>
    <row r="8223" spans="1:9" ht="16.5">
      <c r="A8223" s="10" t="b">
        <v>0</v>
      </c>
      <c r="B8223" s="11" t="str">
        <f>IF(D8223&lt;&gt;"",IF(COUNTIF('USPTO TMs'!A:A,D8223)&gt;0,"Yes","No"),"")</f>
        <v/>
      </c>
      <c r="C8223" s="11"/>
      <c r="D8223" s="11"/>
      <c r="E8223" s="11"/>
      <c r="F8223" s="11"/>
      <c r="G8223" s="11"/>
      <c r="H8223" s="11"/>
      <c r="I8223" s="15"/>
    </row>
    <row r="8224" spans="1:9" ht="16.5">
      <c r="A8224" s="10" t="b">
        <v>0</v>
      </c>
      <c r="B8224" s="11" t="str">
        <f>IF(D8224&lt;&gt;"",IF(COUNTIF('USPTO TMs'!A:A,D8224)&gt;0,"Yes","No"),"")</f>
        <v/>
      </c>
      <c r="C8224" s="11"/>
      <c r="D8224" s="11"/>
      <c r="E8224" s="11"/>
      <c r="F8224" s="11"/>
      <c r="G8224" s="11"/>
      <c r="H8224" s="11"/>
      <c r="I8224" s="15"/>
    </row>
    <row r="8225" spans="1:9" ht="16.5">
      <c r="A8225" s="10" t="b">
        <v>0</v>
      </c>
      <c r="B8225" s="11" t="str">
        <f>IF(D8225&lt;&gt;"",IF(COUNTIF('USPTO TMs'!A:A,D8225)&gt;0,"Yes","No"),"")</f>
        <v/>
      </c>
      <c r="C8225" s="11"/>
      <c r="D8225" s="11"/>
      <c r="E8225" s="11"/>
      <c r="F8225" s="11"/>
      <c r="G8225" s="11"/>
      <c r="H8225" s="11"/>
      <c r="I8225" s="15"/>
    </row>
    <row r="8226" spans="1:9" ht="16.5">
      <c r="A8226" s="10" t="b">
        <v>0</v>
      </c>
      <c r="B8226" s="11" t="str">
        <f>IF(D8226&lt;&gt;"",IF(COUNTIF('USPTO TMs'!A:A,D8226)&gt;0,"Yes","No"),"")</f>
        <v/>
      </c>
      <c r="C8226" s="11"/>
      <c r="D8226" s="11"/>
      <c r="E8226" s="11"/>
      <c r="F8226" s="11"/>
      <c r="G8226" s="11"/>
      <c r="H8226" s="11"/>
      <c r="I8226" s="15"/>
    </row>
    <row r="8227" spans="1:9" ht="16.5">
      <c r="A8227" s="10" t="b">
        <v>0</v>
      </c>
      <c r="B8227" s="11" t="str">
        <f>IF(D8227&lt;&gt;"",IF(COUNTIF('USPTO TMs'!A:A,D8227)&gt;0,"Yes","No"),"")</f>
        <v/>
      </c>
      <c r="C8227" s="11"/>
      <c r="D8227" s="11"/>
      <c r="E8227" s="11"/>
      <c r="F8227" s="11"/>
      <c r="G8227" s="11"/>
      <c r="H8227" s="11"/>
      <c r="I8227" s="15"/>
    </row>
    <row r="8228" spans="1:9" ht="16.5">
      <c r="A8228" s="10" t="b">
        <v>0</v>
      </c>
      <c r="B8228" s="11" t="str">
        <f>IF(D8228&lt;&gt;"",IF(COUNTIF('USPTO TMs'!A:A,D8228)&gt;0,"Yes","No"),"")</f>
        <v/>
      </c>
      <c r="C8228" s="11"/>
      <c r="D8228" s="11"/>
      <c r="E8228" s="11"/>
      <c r="F8228" s="11"/>
      <c r="G8228" s="11"/>
      <c r="H8228" s="11"/>
      <c r="I8228" s="15"/>
    </row>
    <row r="8229" spans="1:9" ht="16.5">
      <c r="A8229" s="10" t="b">
        <v>0</v>
      </c>
      <c r="B8229" s="11" t="str">
        <f>IF(D8229&lt;&gt;"",IF(COUNTIF('USPTO TMs'!A:A,D8229)&gt;0,"Yes","No"),"")</f>
        <v/>
      </c>
      <c r="C8229" s="11"/>
      <c r="D8229" s="11"/>
      <c r="E8229" s="11"/>
      <c r="F8229" s="11"/>
      <c r="G8229" s="11"/>
      <c r="H8229" s="11"/>
      <c r="I8229" s="15"/>
    </row>
    <row r="8230" spans="1:9" ht="16.5">
      <c r="A8230" s="10" t="b">
        <v>0</v>
      </c>
      <c r="B8230" s="11" t="str">
        <f>IF(D8230&lt;&gt;"",IF(COUNTIF('USPTO TMs'!A:A,D8230)&gt;0,"Yes","No"),"")</f>
        <v/>
      </c>
      <c r="C8230" s="11"/>
      <c r="D8230" s="11"/>
      <c r="E8230" s="11"/>
      <c r="F8230" s="11"/>
      <c r="G8230" s="11"/>
      <c r="H8230" s="11"/>
      <c r="I8230" s="15"/>
    </row>
    <row r="8231" spans="1:9" ht="16.5">
      <c r="A8231" s="10" t="b">
        <v>0</v>
      </c>
      <c r="B8231" s="11" t="str">
        <f>IF(D8231&lt;&gt;"",IF(COUNTIF('USPTO TMs'!A:A,D8231)&gt;0,"Yes","No"),"")</f>
        <v/>
      </c>
      <c r="C8231" s="11"/>
      <c r="D8231" s="11"/>
      <c r="E8231" s="11"/>
      <c r="F8231" s="11"/>
      <c r="G8231" s="11"/>
      <c r="H8231" s="11"/>
      <c r="I8231" s="15"/>
    </row>
    <row r="8232" spans="1:9" ht="16.5">
      <c r="A8232" s="10" t="b">
        <v>0</v>
      </c>
      <c r="B8232" s="11" t="str">
        <f>IF(D8232&lt;&gt;"",IF(COUNTIF('USPTO TMs'!A:A,D8232)&gt;0,"Yes","No"),"")</f>
        <v/>
      </c>
      <c r="C8232" s="11"/>
      <c r="D8232" s="11"/>
      <c r="E8232" s="11"/>
      <c r="F8232" s="11"/>
      <c r="G8232" s="11"/>
      <c r="H8232" s="11"/>
      <c r="I8232" s="15"/>
    </row>
    <row r="8233" spans="1:9" ht="16.5">
      <c r="A8233" s="10" t="b">
        <v>0</v>
      </c>
      <c r="B8233" s="11" t="str">
        <f>IF(D8233&lt;&gt;"",IF(COUNTIF('USPTO TMs'!A:A,D8233)&gt;0,"Yes","No"),"")</f>
        <v/>
      </c>
      <c r="C8233" s="11"/>
      <c r="D8233" s="11"/>
      <c r="E8233" s="11"/>
      <c r="F8233" s="11"/>
      <c r="G8233" s="11"/>
      <c r="H8233" s="11"/>
      <c r="I8233" s="15"/>
    </row>
    <row r="8234" spans="1:9" ht="16.5">
      <c r="A8234" s="10" t="b">
        <v>0</v>
      </c>
      <c r="B8234" s="11" t="str">
        <f>IF(D8234&lt;&gt;"",IF(COUNTIF('USPTO TMs'!A:A,D8234)&gt;0,"Yes","No"),"")</f>
        <v/>
      </c>
      <c r="C8234" s="11"/>
      <c r="D8234" s="11"/>
      <c r="E8234" s="11"/>
      <c r="F8234" s="11"/>
      <c r="G8234" s="11"/>
      <c r="H8234" s="11"/>
      <c r="I8234" s="15"/>
    </row>
    <row r="8235" spans="1:9" ht="16.5">
      <c r="A8235" s="10" t="b">
        <v>0</v>
      </c>
      <c r="B8235" s="11" t="str">
        <f>IF(D8235&lt;&gt;"",IF(COUNTIF('USPTO TMs'!A:A,D8235)&gt;0,"Yes","No"),"")</f>
        <v/>
      </c>
      <c r="C8235" s="11"/>
      <c r="D8235" s="11"/>
      <c r="E8235" s="11"/>
      <c r="F8235" s="11"/>
      <c r="G8235" s="11"/>
      <c r="H8235" s="11"/>
      <c r="I8235" s="15"/>
    </row>
    <row r="8236" spans="1:9" ht="16.5">
      <c r="A8236" s="10" t="b">
        <v>0</v>
      </c>
      <c r="B8236" s="11" t="str">
        <f>IF(D8236&lt;&gt;"",IF(COUNTIF('USPTO TMs'!A:A,D8236)&gt;0,"Yes","No"),"")</f>
        <v/>
      </c>
      <c r="C8236" s="11"/>
      <c r="D8236" s="11"/>
      <c r="E8236" s="11"/>
      <c r="F8236" s="11"/>
      <c r="G8236" s="11"/>
      <c r="H8236" s="11"/>
      <c r="I8236" s="15"/>
    </row>
    <row r="8237" spans="1:9" ht="16.5">
      <c r="A8237" s="10" t="b">
        <v>0</v>
      </c>
      <c r="B8237" s="11" t="str">
        <f>IF(D8237&lt;&gt;"",IF(COUNTIF('USPTO TMs'!A:A,D8237)&gt;0,"Yes","No"),"")</f>
        <v/>
      </c>
      <c r="C8237" s="11"/>
      <c r="D8237" s="11"/>
      <c r="E8237" s="11"/>
      <c r="F8237" s="11"/>
      <c r="G8237" s="11"/>
      <c r="H8237" s="11"/>
      <c r="I8237" s="15"/>
    </row>
    <row r="8238" spans="1:9" ht="16.5">
      <c r="A8238" s="10" t="b">
        <v>0</v>
      </c>
      <c r="B8238" s="11" t="str">
        <f>IF(D8238&lt;&gt;"",IF(COUNTIF('USPTO TMs'!A:A,D8238)&gt;0,"Yes","No"),"")</f>
        <v/>
      </c>
      <c r="C8238" s="11"/>
      <c r="D8238" s="11"/>
      <c r="E8238" s="11"/>
      <c r="F8238" s="11"/>
      <c r="G8238" s="11"/>
      <c r="H8238" s="11"/>
      <c r="I8238" s="15"/>
    </row>
    <row r="8239" spans="1:9" ht="16.5">
      <c r="A8239" s="10" t="b">
        <v>0</v>
      </c>
      <c r="B8239" s="11" t="str">
        <f>IF(D8239&lt;&gt;"",IF(COUNTIF('USPTO TMs'!A:A,D8239)&gt;0,"Yes","No"),"")</f>
        <v/>
      </c>
      <c r="C8239" s="11"/>
      <c r="D8239" s="11"/>
      <c r="E8239" s="11"/>
      <c r="F8239" s="11"/>
      <c r="G8239" s="11"/>
      <c r="H8239" s="11"/>
      <c r="I8239" s="15"/>
    </row>
    <row r="8240" spans="1:9" ht="16.5">
      <c r="A8240" s="10" t="b">
        <v>0</v>
      </c>
      <c r="B8240" s="11" t="str">
        <f>IF(D8240&lt;&gt;"",IF(COUNTIF('USPTO TMs'!A:A,D8240)&gt;0,"Yes","No"),"")</f>
        <v/>
      </c>
      <c r="C8240" s="11"/>
      <c r="D8240" s="11"/>
      <c r="E8240" s="11"/>
      <c r="F8240" s="11"/>
      <c r="G8240" s="11"/>
      <c r="H8240" s="11"/>
      <c r="I8240" s="15"/>
    </row>
    <row r="8241" spans="1:9" ht="16.5">
      <c r="A8241" s="10" t="b">
        <v>0</v>
      </c>
      <c r="B8241" s="11" t="str">
        <f>IF(D8241&lt;&gt;"",IF(COUNTIF('USPTO TMs'!A:A,D8241)&gt;0,"Yes","No"),"")</f>
        <v/>
      </c>
      <c r="C8241" s="11"/>
      <c r="D8241" s="11"/>
      <c r="E8241" s="11"/>
      <c r="F8241" s="11"/>
      <c r="G8241" s="11"/>
      <c r="H8241" s="11"/>
      <c r="I8241" s="15"/>
    </row>
    <row r="8242" spans="1:9" ht="16.5">
      <c r="A8242" s="10" t="b">
        <v>0</v>
      </c>
      <c r="B8242" s="11" t="str">
        <f>IF(D8242&lt;&gt;"",IF(COUNTIF('USPTO TMs'!A:A,D8242)&gt;0,"Yes","No"),"")</f>
        <v/>
      </c>
      <c r="C8242" s="11"/>
      <c r="D8242" s="11"/>
      <c r="E8242" s="11"/>
      <c r="F8242" s="11"/>
      <c r="G8242" s="11"/>
      <c r="H8242" s="11"/>
      <c r="I8242" s="15"/>
    </row>
    <row r="8243" spans="1:9" ht="16.5">
      <c r="A8243" s="10" t="b">
        <v>0</v>
      </c>
      <c r="B8243" s="11" t="str">
        <f>IF(D8243&lt;&gt;"",IF(COUNTIF('USPTO TMs'!A:A,D8243)&gt;0,"Yes","No"),"")</f>
        <v/>
      </c>
      <c r="C8243" s="11"/>
      <c r="D8243" s="11"/>
      <c r="E8243" s="11"/>
      <c r="F8243" s="11"/>
      <c r="G8243" s="11"/>
      <c r="H8243" s="11"/>
      <c r="I8243" s="15"/>
    </row>
    <row r="8244" spans="1:9" ht="16.5">
      <c r="A8244" s="10" t="b">
        <v>0</v>
      </c>
      <c r="B8244" s="11" t="str">
        <f>IF(D8244&lt;&gt;"",IF(COUNTIF('USPTO TMs'!A:A,D8244)&gt;0,"Yes","No"),"")</f>
        <v/>
      </c>
      <c r="C8244" s="11"/>
      <c r="D8244" s="11"/>
      <c r="E8244" s="11"/>
      <c r="F8244" s="11"/>
      <c r="G8244" s="11"/>
      <c r="H8244" s="11"/>
      <c r="I8244" s="15"/>
    </row>
    <row r="8245" spans="1:9" ht="16.5">
      <c r="A8245" s="10" t="b">
        <v>0</v>
      </c>
      <c r="B8245" s="11" t="str">
        <f>IF(D8245&lt;&gt;"",IF(COUNTIF('USPTO TMs'!A:A,D8245)&gt;0,"Yes","No"),"")</f>
        <v/>
      </c>
      <c r="C8245" s="11"/>
      <c r="D8245" s="11"/>
      <c r="E8245" s="11"/>
      <c r="F8245" s="11"/>
      <c r="G8245" s="11"/>
      <c r="H8245" s="11"/>
      <c r="I8245" s="15"/>
    </row>
    <row r="8246" spans="1:9" ht="16.5">
      <c r="A8246" s="10" t="b">
        <v>0</v>
      </c>
      <c r="B8246" s="11" t="str">
        <f>IF(D8246&lt;&gt;"",IF(COUNTIF('USPTO TMs'!A:A,D8246)&gt;0,"Yes","No"),"")</f>
        <v/>
      </c>
      <c r="C8246" s="11"/>
      <c r="D8246" s="11"/>
      <c r="E8246" s="11"/>
      <c r="F8246" s="11"/>
      <c r="G8246" s="11"/>
      <c r="H8246" s="11"/>
      <c r="I8246" s="15"/>
    </row>
    <row r="8247" spans="1:9" ht="16.5">
      <c r="A8247" s="10" t="b">
        <v>0</v>
      </c>
      <c r="B8247" s="11" t="str">
        <f>IF(D8247&lt;&gt;"",IF(COUNTIF('USPTO TMs'!A:A,D8247)&gt;0,"Yes","No"),"")</f>
        <v/>
      </c>
      <c r="C8247" s="11"/>
      <c r="D8247" s="11"/>
      <c r="E8247" s="11"/>
      <c r="F8247" s="11"/>
      <c r="G8247" s="11"/>
      <c r="H8247" s="11"/>
      <c r="I8247" s="15"/>
    </row>
    <row r="8248" spans="1:9" ht="16.5">
      <c r="A8248" s="10" t="b">
        <v>0</v>
      </c>
      <c r="B8248" s="11" t="str">
        <f>IF(D8248&lt;&gt;"",IF(COUNTIF('USPTO TMs'!A:A,D8248)&gt;0,"Yes","No"),"")</f>
        <v/>
      </c>
      <c r="C8248" s="11"/>
      <c r="D8248" s="11"/>
      <c r="E8248" s="11"/>
      <c r="F8248" s="11"/>
      <c r="G8248" s="11"/>
      <c r="H8248" s="11"/>
      <c r="I8248" s="15"/>
    </row>
    <row r="8249" spans="1:9" ht="16.5">
      <c r="A8249" s="10" t="b">
        <v>0</v>
      </c>
      <c r="B8249" s="11" t="str">
        <f>IF(D8249&lt;&gt;"",IF(COUNTIF('USPTO TMs'!A:A,D8249)&gt;0,"Yes","No"),"")</f>
        <v/>
      </c>
      <c r="C8249" s="11"/>
      <c r="D8249" s="11"/>
      <c r="E8249" s="11"/>
      <c r="F8249" s="11"/>
      <c r="G8249" s="11"/>
      <c r="H8249" s="11"/>
      <c r="I8249" s="15"/>
    </row>
    <row r="8250" spans="1:9" ht="16.5">
      <c r="A8250" s="10" t="b">
        <v>0</v>
      </c>
      <c r="B8250" s="11" t="str">
        <f>IF(D8250&lt;&gt;"",IF(COUNTIF('USPTO TMs'!A:A,D8250)&gt;0,"Yes","No"),"")</f>
        <v/>
      </c>
      <c r="C8250" s="11"/>
      <c r="D8250" s="11"/>
      <c r="E8250" s="11"/>
      <c r="F8250" s="11"/>
      <c r="G8250" s="11"/>
      <c r="H8250" s="11"/>
      <c r="I8250" s="15"/>
    </row>
    <row r="8251" spans="1:9" ht="16.5">
      <c r="A8251" s="10" t="b">
        <v>0</v>
      </c>
      <c r="B8251" s="11" t="str">
        <f>IF(D8251&lt;&gt;"",IF(COUNTIF('USPTO TMs'!A:A,D8251)&gt;0,"Yes","No"),"")</f>
        <v/>
      </c>
      <c r="C8251" s="11"/>
      <c r="D8251" s="11"/>
      <c r="E8251" s="11"/>
      <c r="F8251" s="11"/>
      <c r="G8251" s="11"/>
      <c r="H8251" s="11"/>
      <c r="I8251" s="15"/>
    </row>
    <row r="8252" spans="1:9" ht="16.5">
      <c r="A8252" s="10" t="b">
        <v>0</v>
      </c>
      <c r="B8252" s="11" t="str">
        <f>IF(D8252&lt;&gt;"",IF(COUNTIF('USPTO TMs'!A:A,D8252)&gt;0,"Yes","No"),"")</f>
        <v/>
      </c>
      <c r="C8252" s="11"/>
      <c r="D8252" s="11"/>
      <c r="E8252" s="11"/>
      <c r="F8252" s="11"/>
      <c r="G8252" s="11"/>
      <c r="H8252" s="11"/>
      <c r="I8252" s="15"/>
    </row>
    <row r="8253" spans="1:9" ht="16.5">
      <c r="A8253" s="10" t="b">
        <v>0</v>
      </c>
      <c r="B8253" s="11" t="str">
        <f>IF(D8253&lt;&gt;"",IF(COUNTIF('USPTO TMs'!A:A,D8253)&gt;0,"Yes","No"),"")</f>
        <v/>
      </c>
      <c r="C8253" s="11"/>
      <c r="D8253" s="11"/>
      <c r="E8253" s="11"/>
      <c r="F8253" s="11"/>
      <c r="G8253" s="11"/>
      <c r="H8253" s="11"/>
      <c r="I8253" s="15"/>
    </row>
    <row r="8254" spans="1:9" ht="16.5">
      <c r="A8254" s="10" t="b">
        <v>0</v>
      </c>
      <c r="B8254" s="11" t="str">
        <f>IF(D8254&lt;&gt;"",IF(COUNTIF('USPTO TMs'!A:A,D8254)&gt;0,"Yes","No"),"")</f>
        <v/>
      </c>
      <c r="C8254" s="11"/>
      <c r="D8254" s="11"/>
      <c r="E8254" s="11"/>
      <c r="F8254" s="11"/>
      <c r="G8254" s="11"/>
      <c r="H8254" s="11"/>
      <c r="I8254" s="15"/>
    </row>
    <row r="8255" spans="1:9" ht="16.5">
      <c r="A8255" s="10" t="b">
        <v>0</v>
      </c>
      <c r="B8255" s="11" t="str">
        <f>IF(D8255&lt;&gt;"",IF(COUNTIF('USPTO TMs'!A:A,D8255)&gt;0,"Yes","No"),"")</f>
        <v/>
      </c>
      <c r="C8255" s="11"/>
      <c r="D8255" s="11"/>
      <c r="E8255" s="11"/>
      <c r="F8255" s="11"/>
      <c r="G8255" s="11"/>
      <c r="H8255" s="11"/>
      <c r="I8255" s="15"/>
    </row>
    <row r="8256" spans="1:9" ht="16.5">
      <c r="A8256" s="10" t="b">
        <v>0</v>
      </c>
      <c r="B8256" s="11" t="str">
        <f>IF(D8256&lt;&gt;"",IF(COUNTIF('USPTO TMs'!A:A,D8256)&gt;0,"Yes","No"),"")</f>
        <v/>
      </c>
      <c r="C8256" s="11"/>
      <c r="D8256" s="11"/>
      <c r="E8256" s="11"/>
      <c r="F8256" s="11"/>
      <c r="G8256" s="11"/>
      <c r="H8256" s="11"/>
      <c r="I8256" s="15"/>
    </row>
    <row r="8257" spans="1:9" ht="16.5">
      <c r="A8257" s="10" t="b">
        <v>0</v>
      </c>
      <c r="B8257" s="11" t="str">
        <f>IF(D8257&lt;&gt;"",IF(COUNTIF('USPTO TMs'!A:A,D8257)&gt;0,"Yes","No"),"")</f>
        <v/>
      </c>
      <c r="C8257" s="11"/>
      <c r="D8257" s="11"/>
      <c r="E8257" s="11"/>
      <c r="F8257" s="11"/>
      <c r="G8257" s="11"/>
      <c r="H8257" s="11"/>
      <c r="I8257" s="15"/>
    </row>
    <row r="8258" spans="1:9" ht="16.5">
      <c r="A8258" s="10" t="b">
        <v>0</v>
      </c>
      <c r="B8258" s="11" t="str">
        <f>IF(D8258&lt;&gt;"",IF(COUNTIF('USPTO TMs'!A:A,D8258)&gt;0,"Yes","No"),"")</f>
        <v/>
      </c>
      <c r="C8258" s="11"/>
      <c r="D8258" s="11"/>
      <c r="E8258" s="11"/>
      <c r="F8258" s="11"/>
      <c r="G8258" s="11"/>
      <c r="H8258" s="11"/>
      <c r="I8258" s="15"/>
    </row>
    <row r="8259" spans="1:9" ht="16.5">
      <c r="A8259" s="10" t="b">
        <v>0</v>
      </c>
      <c r="B8259" s="11" t="str">
        <f>IF(D8259&lt;&gt;"",IF(COUNTIF('USPTO TMs'!A:A,D8259)&gt;0,"Yes","No"),"")</f>
        <v/>
      </c>
      <c r="C8259" s="11"/>
      <c r="D8259" s="11"/>
      <c r="E8259" s="11"/>
      <c r="F8259" s="11"/>
      <c r="G8259" s="11"/>
      <c r="H8259" s="11"/>
      <c r="I8259" s="15"/>
    </row>
    <row r="8260" spans="1:9" ht="16.5">
      <c r="A8260" s="10" t="b">
        <v>0</v>
      </c>
      <c r="B8260" s="11" t="str">
        <f>IF(D8260&lt;&gt;"",IF(COUNTIF('USPTO TMs'!A:A,D8260)&gt;0,"Yes","No"),"")</f>
        <v/>
      </c>
      <c r="C8260" s="11"/>
      <c r="D8260" s="11"/>
      <c r="E8260" s="11"/>
      <c r="F8260" s="11"/>
      <c r="G8260" s="11"/>
      <c r="H8260" s="11"/>
      <c r="I8260" s="15"/>
    </row>
    <row r="8261" spans="1:9" ht="16.5">
      <c r="A8261" s="10" t="b">
        <v>0</v>
      </c>
      <c r="B8261" s="11" t="str">
        <f>IF(D8261&lt;&gt;"",IF(COUNTIF('USPTO TMs'!A:A,D8261)&gt;0,"Yes","No"),"")</f>
        <v/>
      </c>
      <c r="C8261" s="11"/>
      <c r="D8261" s="11"/>
      <c r="E8261" s="11"/>
      <c r="F8261" s="11"/>
      <c r="G8261" s="11"/>
      <c r="H8261" s="11"/>
      <c r="I8261" s="15"/>
    </row>
    <row r="8262" spans="1:9" ht="16.5">
      <c r="A8262" s="10" t="b">
        <v>0</v>
      </c>
      <c r="B8262" s="11" t="str">
        <f>IF(D8262&lt;&gt;"",IF(COUNTIF('USPTO TMs'!A:A,D8262)&gt;0,"Yes","No"),"")</f>
        <v/>
      </c>
      <c r="C8262" s="11"/>
      <c r="D8262" s="11"/>
      <c r="E8262" s="11"/>
      <c r="F8262" s="11"/>
      <c r="G8262" s="11"/>
      <c r="H8262" s="11"/>
      <c r="I8262" s="15"/>
    </row>
    <row r="8263" spans="1:9" ht="16.5">
      <c r="A8263" s="10" t="b">
        <v>0</v>
      </c>
      <c r="B8263" s="11" t="str">
        <f>IF(D8263&lt;&gt;"",IF(COUNTIF('USPTO TMs'!A:A,D8263)&gt;0,"Yes","No"),"")</f>
        <v/>
      </c>
      <c r="C8263" s="11"/>
      <c r="D8263" s="11"/>
      <c r="E8263" s="11"/>
      <c r="F8263" s="11"/>
      <c r="G8263" s="11"/>
      <c r="H8263" s="11"/>
      <c r="I8263" s="15"/>
    </row>
    <row r="8264" spans="1:9" ht="16.5">
      <c r="A8264" s="10" t="b">
        <v>0</v>
      </c>
      <c r="B8264" s="11" t="str">
        <f>IF(D8264&lt;&gt;"",IF(COUNTIF('USPTO TMs'!A:A,D8264)&gt;0,"Yes","No"),"")</f>
        <v/>
      </c>
      <c r="C8264" s="11"/>
      <c r="D8264" s="11"/>
      <c r="E8264" s="11"/>
      <c r="F8264" s="11"/>
      <c r="G8264" s="11"/>
      <c r="H8264" s="11"/>
      <c r="I8264" s="15"/>
    </row>
    <row r="8265" spans="1:9" ht="16.5">
      <c r="A8265" s="10" t="b">
        <v>0</v>
      </c>
      <c r="B8265" s="11" t="str">
        <f>IF(D8265&lt;&gt;"",IF(COUNTIF('USPTO TMs'!A:A,D8265)&gt;0,"Yes","No"),"")</f>
        <v/>
      </c>
      <c r="C8265" s="11"/>
      <c r="D8265" s="11"/>
      <c r="E8265" s="11"/>
      <c r="F8265" s="11"/>
      <c r="G8265" s="11"/>
      <c r="H8265" s="11"/>
      <c r="I8265" s="15"/>
    </row>
    <row r="8266" spans="1:9" ht="16.5">
      <c r="A8266" s="10" t="b">
        <v>0</v>
      </c>
      <c r="B8266" s="11" t="str">
        <f>IF(D8266&lt;&gt;"",IF(COUNTIF('USPTO TMs'!A:A,D8266)&gt;0,"Yes","No"),"")</f>
        <v/>
      </c>
      <c r="C8266" s="11"/>
      <c r="D8266" s="11"/>
      <c r="E8266" s="11"/>
      <c r="F8266" s="11"/>
      <c r="G8266" s="11"/>
      <c r="H8266" s="11"/>
      <c r="I8266" s="15"/>
    </row>
    <row r="8267" spans="1:9" ht="16.5">
      <c r="A8267" s="10" t="b">
        <v>0</v>
      </c>
      <c r="B8267" s="11" t="str">
        <f>IF(D8267&lt;&gt;"",IF(COUNTIF('USPTO TMs'!A:A,D8267)&gt;0,"Yes","No"),"")</f>
        <v/>
      </c>
      <c r="C8267" s="11"/>
      <c r="D8267" s="11"/>
      <c r="E8267" s="11"/>
      <c r="F8267" s="11"/>
      <c r="G8267" s="11"/>
      <c r="H8267" s="11"/>
      <c r="I8267" s="15"/>
    </row>
    <row r="8268" spans="1:9" ht="16.5">
      <c r="A8268" s="10" t="b">
        <v>0</v>
      </c>
      <c r="B8268" s="11" t="str">
        <f>IF(D8268&lt;&gt;"",IF(COUNTIF('USPTO TMs'!A:A,D8268)&gt;0,"Yes","No"),"")</f>
        <v/>
      </c>
      <c r="C8268" s="11"/>
      <c r="D8268" s="11"/>
      <c r="E8268" s="11"/>
      <c r="F8268" s="11"/>
      <c r="G8268" s="11"/>
      <c r="H8268" s="11"/>
      <c r="I8268" s="15"/>
    </row>
    <row r="8269" spans="1:9" ht="16.5">
      <c r="A8269" s="10" t="b">
        <v>0</v>
      </c>
      <c r="B8269" s="11" t="str">
        <f>IF(D8269&lt;&gt;"",IF(COUNTIF('USPTO TMs'!A:A,D8269)&gt;0,"Yes","No"),"")</f>
        <v/>
      </c>
      <c r="C8269" s="11"/>
      <c r="D8269" s="11"/>
      <c r="E8269" s="11"/>
      <c r="F8269" s="11"/>
      <c r="G8269" s="11"/>
      <c r="H8269" s="11"/>
      <c r="I8269" s="15"/>
    </row>
    <row r="8270" spans="1:9" ht="16.5">
      <c r="A8270" s="10" t="b">
        <v>0</v>
      </c>
      <c r="B8270" s="11" t="str">
        <f>IF(D8270&lt;&gt;"",IF(COUNTIF('USPTO TMs'!A:A,D8270)&gt;0,"Yes","No"),"")</f>
        <v/>
      </c>
      <c r="C8270" s="11"/>
      <c r="D8270" s="11"/>
      <c r="E8270" s="11"/>
      <c r="F8270" s="11"/>
      <c r="G8270" s="11"/>
      <c r="H8270" s="11"/>
      <c r="I8270" s="15"/>
    </row>
    <row r="8271" spans="1:9" ht="16.5">
      <c r="A8271" s="10" t="b">
        <v>0</v>
      </c>
      <c r="B8271" s="11" t="str">
        <f>IF(D8271&lt;&gt;"",IF(COUNTIF('USPTO TMs'!A:A,D8271)&gt;0,"Yes","No"),"")</f>
        <v/>
      </c>
      <c r="C8271" s="11"/>
      <c r="D8271" s="11"/>
      <c r="E8271" s="11"/>
      <c r="F8271" s="11"/>
      <c r="G8271" s="11"/>
      <c r="H8271" s="11"/>
      <c r="I8271" s="15"/>
    </row>
    <row r="8272" spans="1:9" ht="16.5">
      <c r="A8272" s="10" t="b">
        <v>0</v>
      </c>
      <c r="B8272" s="11" t="str">
        <f>IF(D8272&lt;&gt;"",IF(COUNTIF('USPTO TMs'!A:A,D8272)&gt;0,"Yes","No"),"")</f>
        <v/>
      </c>
      <c r="C8272" s="11"/>
      <c r="D8272" s="11"/>
      <c r="E8272" s="11"/>
      <c r="F8272" s="11"/>
      <c r="G8272" s="11"/>
      <c r="H8272" s="11"/>
      <c r="I8272" s="15"/>
    </row>
    <row r="8273" spans="1:9" ht="16.5">
      <c r="A8273" s="10" t="b">
        <v>0</v>
      </c>
      <c r="B8273" s="11" t="str">
        <f>IF(D8273&lt;&gt;"",IF(COUNTIF('USPTO TMs'!A:A,D8273)&gt;0,"Yes","No"),"")</f>
        <v/>
      </c>
      <c r="C8273" s="11"/>
      <c r="D8273" s="11"/>
      <c r="E8273" s="11"/>
      <c r="F8273" s="11"/>
      <c r="G8273" s="11"/>
      <c r="H8273" s="11"/>
      <c r="I8273" s="15"/>
    </row>
    <row r="8274" spans="1:9" ht="16.5">
      <c r="A8274" s="10" t="b">
        <v>0</v>
      </c>
      <c r="B8274" s="11" t="str">
        <f>IF(D8274&lt;&gt;"",IF(COUNTIF('USPTO TMs'!A:A,D8274)&gt;0,"Yes","No"),"")</f>
        <v/>
      </c>
      <c r="C8274" s="11"/>
      <c r="D8274" s="11"/>
      <c r="E8274" s="11"/>
      <c r="F8274" s="11"/>
      <c r="G8274" s="11"/>
      <c r="H8274" s="11"/>
      <c r="I8274" s="15"/>
    </row>
    <row r="8275" spans="1:9" ht="16.5">
      <c r="A8275" s="10" t="b">
        <v>0</v>
      </c>
      <c r="B8275" s="11" t="str">
        <f>IF(D8275&lt;&gt;"",IF(COUNTIF('USPTO TMs'!A:A,D8275)&gt;0,"Yes","No"),"")</f>
        <v/>
      </c>
      <c r="C8275" s="11"/>
      <c r="D8275" s="11"/>
      <c r="E8275" s="11"/>
      <c r="F8275" s="11"/>
      <c r="G8275" s="11"/>
      <c r="H8275" s="11"/>
      <c r="I8275" s="15"/>
    </row>
    <row r="8276" spans="1:9" ht="16.5">
      <c r="A8276" s="10" t="b">
        <v>0</v>
      </c>
      <c r="B8276" s="11" t="str">
        <f>IF(D8276&lt;&gt;"",IF(COUNTIF('USPTO TMs'!A:A,D8276)&gt;0,"Yes","No"),"")</f>
        <v/>
      </c>
      <c r="C8276" s="11"/>
      <c r="D8276" s="11"/>
      <c r="E8276" s="11"/>
      <c r="F8276" s="11"/>
      <c r="G8276" s="11"/>
      <c r="H8276" s="11"/>
      <c r="I8276" s="15"/>
    </row>
    <row r="8277" spans="1:9" ht="16.5">
      <c r="A8277" s="10" t="b">
        <v>0</v>
      </c>
      <c r="B8277" s="11" t="str">
        <f>IF(D8277&lt;&gt;"",IF(COUNTIF('USPTO TMs'!A:A,D8277)&gt;0,"Yes","No"),"")</f>
        <v/>
      </c>
      <c r="C8277" s="11"/>
      <c r="D8277" s="11"/>
      <c r="E8277" s="11"/>
      <c r="F8277" s="11"/>
      <c r="G8277" s="11"/>
      <c r="H8277" s="11"/>
      <c r="I8277" s="15"/>
    </row>
    <row r="8278" spans="1:9" ht="16.5">
      <c r="A8278" s="10" t="b">
        <v>0</v>
      </c>
      <c r="B8278" s="11" t="str">
        <f>IF(D8278&lt;&gt;"",IF(COUNTIF('USPTO TMs'!A:A,D8278)&gt;0,"Yes","No"),"")</f>
        <v/>
      </c>
      <c r="C8278" s="11"/>
      <c r="D8278" s="11"/>
      <c r="E8278" s="11"/>
      <c r="F8278" s="11"/>
      <c r="G8278" s="11"/>
      <c r="H8278" s="11"/>
      <c r="I8278" s="15"/>
    </row>
    <row r="8279" spans="1:9" ht="16.5">
      <c r="A8279" s="10" t="b">
        <v>0</v>
      </c>
      <c r="B8279" s="11" t="str">
        <f>IF(D8279&lt;&gt;"",IF(COUNTIF('USPTO TMs'!A:A,D8279)&gt;0,"Yes","No"),"")</f>
        <v/>
      </c>
      <c r="C8279" s="11"/>
      <c r="D8279" s="11"/>
      <c r="E8279" s="11"/>
      <c r="F8279" s="11"/>
      <c r="G8279" s="11"/>
      <c r="H8279" s="11"/>
      <c r="I8279" s="15"/>
    </row>
    <row r="8280" spans="1:9" ht="16.5">
      <c r="A8280" s="10" t="b">
        <v>0</v>
      </c>
      <c r="B8280" s="11" t="str">
        <f>IF(D8280&lt;&gt;"",IF(COUNTIF('USPTO TMs'!A:A,D8280)&gt;0,"Yes","No"),"")</f>
        <v/>
      </c>
      <c r="C8280" s="11"/>
      <c r="D8280" s="11"/>
      <c r="E8280" s="11"/>
      <c r="F8280" s="11"/>
      <c r="G8280" s="11"/>
      <c r="H8280" s="11"/>
      <c r="I8280" s="15"/>
    </row>
    <row r="8281" spans="1:9" ht="16.5">
      <c r="A8281" s="10" t="b">
        <v>0</v>
      </c>
      <c r="B8281" s="11" t="str">
        <f>IF(D8281&lt;&gt;"",IF(COUNTIF('USPTO TMs'!A:A,D8281)&gt;0,"Yes","No"),"")</f>
        <v/>
      </c>
      <c r="C8281" s="11"/>
      <c r="D8281" s="11"/>
      <c r="E8281" s="11"/>
      <c r="F8281" s="11"/>
      <c r="G8281" s="11"/>
      <c r="H8281" s="11"/>
      <c r="I8281" s="15"/>
    </row>
    <row r="8282" spans="1:9" ht="16.5">
      <c r="A8282" s="10" t="b">
        <v>0</v>
      </c>
      <c r="B8282" s="11" t="str">
        <f>IF(D8282&lt;&gt;"",IF(COUNTIF('USPTO TMs'!A:A,D8282)&gt;0,"Yes","No"),"")</f>
        <v/>
      </c>
      <c r="C8282" s="11"/>
      <c r="D8282" s="11"/>
      <c r="E8282" s="11"/>
      <c r="F8282" s="11"/>
      <c r="G8282" s="11"/>
      <c r="H8282" s="11"/>
      <c r="I8282" s="15"/>
    </row>
    <row r="8283" spans="1:9" ht="16.5">
      <c r="A8283" s="10" t="b">
        <v>0</v>
      </c>
      <c r="B8283" s="11" t="str">
        <f>IF(D8283&lt;&gt;"",IF(COUNTIF('USPTO TMs'!A:A,D8283)&gt;0,"Yes","No"),"")</f>
        <v/>
      </c>
      <c r="C8283" s="11"/>
      <c r="D8283" s="11"/>
      <c r="E8283" s="11"/>
      <c r="F8283" s="11"/>
      <c r="G8283" s="11"/>
      <c r="H8283" s="11"/>
      <c r="I8283" s="15"/>
    </row>
    <row r="8284" spans="1:9" ht="16.5">
      <c r="A8284" s="10" t="b">
        <v>0</v>
      </c>
      <c r="B8284" s="11" t="str">
        <f>IF(D8284&lt;&gt;"",IF(COUNTIF('USPTO TMs'!A:A,D8284)&gt;0,"Yes","No"),"")</f>
        <v/>
      </c>
      <c r="C8284" s="11"/>
      <c r="D8284" s="11"/>
      <c r="E8284" s="11"/>
      <c r="F8284" s="11"/>
      <c r="G8284" s="11"/>
      <c r="H8284" s="11"/>
      <c r="I8284" s="15"/>
    </row>
    <row r="8285" spans="1:9" ht="16.5">
      <c r="A8285" s="10" t="b">
        <v>0</v>
      </c>
      <c r="B8285" s="11" t="str">
        <f>IF(D8285&lt;&gt;"",IF(COUNTIF('USPTO TMs'!A:A,D8285)&gt;0,"Yes","No"),"")</f>
        <v/>
      </c>
      <c r="C8285" s="11"/>
      <c r="D8285" s="11"/>
      <c r="E8285" s="11"/>
      <c r="F8285" s="11"/>
      <c r="G8285" s="11"/>
      <c r="H8285" s="11"/>
      <c r="I8285" s="15"/>
    </row>
    <row r="8286" spans="1:9" ht="16.5">
      <c r="A8286" s="10" t="b">
        <v>0</v>
      </c>
      <c r="B8286" s="11" t="str">
        <f>IF(D8286&lt;&gt;"",IF(COUNTIF('USPTO TMs'!A:A,D8286)&gt;0,"Yes","No"),"")</f>
        <v/>
      </c>
      <c r="C8286" s="11"/>
      <c r="D8286" s="11"/>
      <c r="E8286" s="11"/>
      <c r="F8286" s="11"/>
      <c r="G8286" s="11"/>
      <c r="H8286" s="11"/>
      <c r="I8286" s="15"/>
    </row>
    <row r="8287" spans="1:9" ht="16.5">
      <c r="A8287" s="10" t="b">
        <v>0</v>
      </c>
      <c r="B8287" s="11" t="str">
        <f>IF(D8287&lt;&gt;"",IF(COUNTIF('USPTO TMs'!A:A,D8287)&gt;0,"Yes","No"),"")</f>
        <v/>
      </c>
      <c r="C8287" s="11"/>
      <c r="D8287" s="11"/>
      <c r="E8287" s="11"/>
      <c r="F8287" s="11"/>
      <c r="G8287" s="11"/>
      <c r="H8287" s="11"/>
      <c r="I8287" s="15"/>
    </row>
    <row r="8288" spans="1:9" ht="16.5">
      <c r="A8288" s="10" t="b">
        <v>0</v>
      </c>
      <c r="B8288" s="11" t="str">
        <f>IF(D8288&lt;&gt;"",IF(COUNTIF('USPTO TMs'!A:A,D8288)&gt;0,"Yes","No"),"")</f>
        <v/>
      </c>
      <c r="C8288" s="11"/>
      <c r="D8288" s="11"/>
      <c r="E8288" s="11"/>
      <c r="F8288" s="11"/>
      <c r="G8288" s="11"/>
      <c r="H8288" s="11"/>
      <c r="I8288" s="15"/>
    </row>
    <row r="8289" spans="1:9" ht="16.5">
      <c r="A8289" s="10" t="b">
        <v>0</v>
      </c>
      <c r="B8289" s="11" t="str">
        <f>IF(D8289&lt;&gt;"",IF(COUNTIF('USPTO TMs'!A:A,D8289)&gt;0,"Yes","No"),"")</f>
        <v/>
      </c>
      <c r="C8289" s="11"/>
      <c r="D8289" s="11"/>
      <c r="E8289" s="11"/>
      <c r="F8289" s="11"/>
      <c r="G8289" s="11"/>
      <c r="H8289" s="11"/>
      <c r="I8289" s="15"/>
    </row>
    <row r="8290" spans="1:9" ht="16.5">
      <c r="A8290" s="10" t="b">
        <v>0</v>
      </c>
      <c r="B8290" s="11" t="str">
        <f>IF(D8290&lt;&gt;"",IF(COUNTIF('USPTO TMs'!A:A,D8290)&gt;0,"Yes","No"),"")</f>
        <v/>
      </c>
      <c r="C8290" s="11"/>
      <c r="D8290" s="11"/>
      <c r="E8290" s="11"/>
      <c r="F8290" s="11"/>
      <c r="G8290" s="11"/>
      <c r="H8290" s="11"/>
      <c r="I8290" s="15"/>
    </row>
    <row r="8291" spans="1:9" ht="16.5">
      <c r="A8291" s="10" t="b">
        <v>0</v>
      </c>
      <c r="B8291" s="11" t="str">
        <f>IF(D8291&lt;&gt;"",IF(COUNTIF('USPTO TMs'!A:A,D8291)&gt;0,"Yes","No"),"")</f>
        <v/>
      </c>
      <c r="C8291" s="11"/>
      <c r="D8291" s="11"/>
      <c r="E8291" s="11"/>
      <c r="F8291" s="11"/>
      <c r="G8291" s="11"/>
      <c r="H8291" s="11"/>
      <c r="I8291" s="15"/>
    </row>
    <row r="8292" spans="1:9" ht="16.5">
      <c r="A8292" s="10" t="b">
        <v>0</v>
      </c>
      <c r="B8292" s="11" t="str">
        <f>IF(D8292&lt;&gt;"",IF(COUNTIF('USPTO TMs'!A:A,D8292)&gt;0,"Yes","No"),"")</f>
        <v/>
      </c>
      <c r="C8292" s="11"/>
      <c r="D8292" s="11"/>
      <c r="E8292" s="11"/>
      <c r="F8292" s="11"/>
      <c r="G8292" s="11"/>
      <c r="H8292" s="11"/>
      <c r="I8292" s="15"/>
    </row>
    <row r="8293" spans="1:9" ht="16.5">
      <c r="A8293" s="10" t="b">
        <v>0</v>
      </c>
      <c r="B8293" s="11" t="str">
        <f>IF(D8293&lt;&gt;"",IF(COUNTIF('USPTO TMs'!A:A,D8293)&gt;0,"Yes","No"),"")</f>
        <v/>
      </c>
      <c r="C8293" s="11"/>
      <c r="D8293" s="11"/>
      <c r="E8293" s="11"/>
      <c r="F8293" s="11"/>
      <c r="G8293" s="11"/>
      <c r="H8293" s="11"/>
      <c r="I8293" s="15"/>
    </row>
    <row r="8294" spans="1:9" ht="16.5">
      <c r="A8294" s="10" t="b">
        <v>0</v>
      </c>
      <c r="B8294" s="11" t="str">
        <f>IF(D8294&lt;&gt;"",IF(COUNTIF('USPTO TMs'!A:A,D8294)&gt;0,"Yes","No"),"")</f>
        <v/>
      </c>
      <c r="C8294" s="11"/>
      <c r="D8294" s="11"/>
      <c r="E8294" s="11"/>
      <c r="F8294" s="11"/>
      <c r="G8294" s="11"/>
      <c r="H8294" s="11"/>
      <c r="I8294" s="15"/>
    </row>
    <row r="8295" spans="1:9" ht="16.5">
      <c r="A8295" s="10" t="b">
        <v>0</v>
      </c>
      <c r="B8295" s="11" t="str">
        <f>IF(D8295&lt;&gt;"",IF(COUNTIF('USPTO TMs'!A:A,D8295)&gt;0,"Yes","No"),"")</f>
        <v/>
      </c>
      <c r="C8295" s="11"/>
      <c r="D8295" s="11"/>
      <c r="E8295" s="11"/>
      <c r="F8295" s="11"/>
      <c r="G8295" s="11"/>
      <c r="H8295" s="11"/>
      <c r="I8295" s="15"/>
    </row>
    <row r="8296" spans="1:9" ht="16.5">
      <c r="A8296" s="10" t="b">
        <v>0</v>
      </c>
      <c r="B8296" s="11" t="str">
        <f>IF(D8296&lt;&gt;"",IF(COUNTIF('USPTO TMs'!A:A,D8296)&gt;0,"Yes","No"),"")</f>
        <v/>
      </c>
      <c r="C8296" s="11"/>
      <c r="D8296" s="11"/>
      <c r="E8296" s="11"/>
      <c r="F8296" s="11"/>
      <c r="G8296" s="11"/>
      <c r="H8296" s="11"/>
      <c r="I8296" s="15"/>
    </row>
    <row r="8297" spans="1:9" ht="16.5">
      <c r="A8297" s="10" t="b">
        <v>0</v>
      </c>
      <c r="B8297" s="11" t="str">
        <f>IF(D8297&lt;&gt;"",IF(COUNTIF('USPTO TMs'!A:A,D8297)&gt;0,"Yes","No"),"")</f>
        <v/>
      </c>
      <c r="C8297" s="11"/>
      <c r="D8297" s="11"/>
      <c r="E8297" s="11"/>
      <c r="F8297" s="11"/>
      <c r="G8297" s="11"/>
      <c r="H8297" s="11"/>
      <c r="I8297" s="15"/>
    </row>
    <row r="8298" spans="1:9" ht="16.5">
      <c r="A8298" s="10" t="b">
        <v>0</v>
      </c>
      <c r="B8298" s="11" t="str">
        <f>IF(D8298&lt;&gt;"",IF(COUNTIF('USPTO TMs'!A:A,D8298)&gt;0,"Yes","No"),"")</f>
        <v/>
      </c>
      <c r="C8298" s="11"/>
      <c r="D8298" s="11"/>
      <c r="E8298" s="11"/>
      <c r="F8298" s="11"/>
      <c r="G8298" s="11"/>
      <c r="H8298" s="11"/>
      <c r="I8298" s="15"/>
    </row>
    <row r="8299" spans="1:9" ht="16.5">
      <c r="A8299" s="10" t="b">
        <v>0</v>
      </c>
      <c r="B8299" s="11" t="str">
        <f>IF(D8299&lt;&gt;"",IF(COUNTIF('USPTO TMs'!A:A,D8299)&gt;0,"Yes","No"),"")</f>
        <v/>
      </c>
      <c r="C8299" s="11"/>
      <c r="D8299" s="11"/>
      <c r="E8299" s="11"/>
      <c r="F8299" s="11"/>
      <c r="G8299" s="11"/>
      <c r="H8299" s="11"/>
      <c r="I8299" s="15"/>
    </row>
    <row r="8300" spans="1:9" ht="16.5">
      <c r="A8300" s="10" t="b">
        <v>0</v>
      </c>
      <c r="B8300" s="11" t="str">
        <f>IF(D8300&lt;&gt;"",IF(COUNTIF('USPTO TMs'!A:A,D8300)&gt;0,"Yes","No"),"")</f>
        <v/>
      </c>
      <c r="C8300" s="11"/>
      <c r="D8300" s="11"/>
      <c r="E8300" s="11"/>
      <c r="F8300" s="11"/>
      <c r="G8300" s="11"/>
      <c r="H8300" s="11"/>
      <c r="I8300" s="15"/>
    </row>
    <row r="8301" spans="1:9" ht="16.5">
      <c r="A8301" s="10" t="b">
        <v>0</v>
      </c>
      <c r="B8301" s="11" t="str">
        <f>IF(D8301&lt;&gt;"",IF(COUNTIF('USPTO TMs'!A:A,D8301)&gt;0,"Yes","No"),"")</f>
        <v/>
      </c>
      <c r="C8301" s="11"/>
      <c r="D8301" s="11"/>
      <c r="E8301" s="11"/>
      <c r="F8301" s="11"/>
      <c r="G8301" s="11"/>
      <c r="H8301" s="11"/>
      <c r="I8301" s="15"/>
    </row>
    <row r="8302" spans="1:9" ht="16.5">
      <c r="A8302" s="10" t="b">
        <v>0</v>
      </c>
      <c r="B8302" s="11" t="str">
        <f>IF(D8302&lt;&gt;"",IF(COUNTIF('USPTO TMs'!A:A,D8302)&gt;0,"Yes","No"),"")</f>
        <v/>
      </c>
      <c r="C8302" s="11"/>
      <c r="D8302" s="11"/>
      <c r="E8302" s="11"/>
      <c r="F8302" s="11"/>
      <c r="G8302" s="11"/>
      <c r="H8302" s="11"/>
      <c r="I8302" s="15"/>
    </row>
    <row r="8303" spans="1:9" ht="16.5">
      <c r="A8303" s="10" t="b">
        <v>0</v>
      </c>
      <c r="B8303" s="11" t="str">
        <f>IF(D8303&lt;&gt;"",IF(COUNTIF('USPTO TMs'!A:A,D8303)&gt;0,"Yes","No"),"")</f>
        <v/>
      </c>
      <c r="C8303" s="11"/>
      <c r="D8303" s="11"/>
      <c r="E8303" s="11"/>
      <c r="F8303" s="11"/>
      <c r="G8303" s="11"/>
      <c r="H8303" s="11"/>
      <c r="I8303" s="15"/>
    </row>
    <row r="8304" spans="1:9" ht="16.5">
      <c r="A8304" s="10" t="b">
        <v>0</v>
      </c>
      <c r="B8304" s="11" t="str">
        <f>IF(D8304&lt;&gt;"",IF(COUNTIF('USPTO TMs'!A:A,D8304)&gt;0,"Yes","No"),"")</f>
        <v/>
      </c>
      <c r="C8304" s="11"/>
      <c r="D8304" s="11"/>
      <c r="E8304" s="11"/>
      <c r="F8304" s="11"/>
      <c r="G8304" s="11"/>
      <c r="H8304" s="11"/>
      <c r="I8304" s="15"/>
    </row>
    <row r="8305" spans="1:9" ht="16.5">
      <c r="A8305" s="10" t="b">
        <v>0</v>
      </c>
      <c r="B8305" s="11" t="str">
        <f>IF(D8305&lt;&gt;"",IF(COUNTIF('USPTO TMs'!A:A,D8305)&gt;0,"Yes","No"),"")</f>
        <v/>
      </c>
      <c r="C8305" s="11"/>
      <c r="D8305" s="11"/>
      <c r="E8305" s="11"/>
      <c r="F8305" s="11"/>
      <c r="G8305" s="11"/>
      <c r="H8305" s="11"/>
      <c r="I8305" s="15"/>
    </row>
    <row r="8306" spans="1:9" ht="16.5">
      <c r="A8306" s="10" t="b">
        <v>0</v>
      </c>
      <c r="B8306" s="11" t="str">
        <f>IF(D8306&lt;&gt;"",IF(COUNTIF('USPTO TMs'!A:A,D8306)&gt;0,"Yes","No"),"")</f>
        <v/>
      </c>
      <c r="C8306" s="11"/>
      <c r="D8306" s="11"/>
      <c r="E8306" s="11"/>
      <c r="F8306" s="11"/>
      <c r="G8306" s="11"/>
      <c r="H8306" s="11"/>
      <c r="I8306" s="15"/>
    </row>
    <row r="8307" spans="1:9" ht="16.5">
      <c r="A8307" s="10" t="b">
        <v>0</v>
      </c>
      <c r="B8307" s="11" t="str">
        <f>IF(D8307&lt;&gt;"",IF(COUNTIF('USPTO TMs'!A:A,D8307)&gt;0,"Yes","No"),"")</f>
        <v/>
      </c>
      <c r="C8307" s="11"/>
      <c r="D8307" s="11"/>
      <c r="E8307" s="11"/>
      <c r="F8307" s="11"/>
      <c r="G8307" s="11"/>
      <c r="H8307" s="11"/>
      <c r="I8307" s="15"/>
    </row>
    <row r="8308" spans="1:9" ht="16.5">
      <c r="A8308" s="10" t="b">
        <v>0</v>
      </c>
      <c r="B8308" s="11" t="str">
        <f>IF(D8308&lt;&gt;"",IF(COUNTIF('USPTO TMs'!A:A,D8308)&gt;0,"Yes","No"),"")</f>
        <v/>
      </c>
      <c r="C8308" s="11"/>
      <c r="D8308" s="11"/>
      <c r="E8308" s="11"/>
      <c r="F8308" s="11"/>
      <c r="G8308" s="11"/>
      <c r="H8308" s="11"/>
      <c r="I8308" s="15"/>
    </row>
    <row r="8309" spans="1:9" ht="16.5">
      <c r="A8309" s="10" t="b">
        <v>0</v>
      </c>
      <c r="B8309" s="11" t="str">
        <f>IF(D8309&lt;&gt;"",IF(COUNTIF('USPTO TMs'!A:A,D8309)&gt;0,"Yes","No"),"")</f>
        <v/>
      </c>
      <c r="C8309" s="11"/>
      <c r="D8309" s="11"/>
      <c r="E8309" s="11"/>
      <c r="F8309" s="11"/>
      <c r="G8309" s="11"/>
      <c r="H8309" s="11"/>
      <c r="I8309" s="15"/>
    </row>
    <row r="8310" spans="1:9" ht="16.5">
      <c r="A8310" s="10" t="b">
        <v>0</v>
      </c>
      <c r="B8310" s="11" t="str">
        <f>IF(D8310&lt;&gt;"",IF(COUNTIF('USPTO TMs'!A:A,D8310)&gt;0,"Yes","No"),"")</f>
        <v/>
      </c>
      <c r="C8310" s="11"/>
      <c r="D8310" s="11"/>
      <c r="E8310" s="11"/>
      <c r="F8310" s="11"/>
      <c r="G8310" s="11"/>
      <c r="H8310" s="11"/>
      <c r="I8310" s="15"/>
    </row>
    <row r="8311" spans="1:9" ht="16.5">
      <c r="A8311" s="10" t="b">
        <v>0</v>
      </c>
      <c r="B8311" s="11" t="str">
        <f>IF(D8311&lt;&gt;"",IF(COUNTIF('USPTO TMs'!A:A,D8311)&gt;0,"Yes","No"),"")</f>
        <v/>
      </c>
      <c r="C8311" s="11"/>
      <c r="D8311" s="11"/>
      <c r="E8311" s="11"/>
      <c r="F8311" s="11"/>
      <c r="G8311" s="11"/>
      <c r="H8311" s="11"/>
      <c r="I8311" s="15"/>
    </row>
    <row r="8312" spans="1:9" ht="16.5">
      <c r="A8312" s="10" t="b">
        <v>0</v>
      </c>
      <c r="B8312" s="11" t="str">
        <f>IF(D8312&lt;&gt;"",IF(COUNTIF('USPTO TMs'!A:A,D8312)&gt;0,"Yes","No"),"")</f>
        <v/>
      </c>
      <c r="C8312" s="11"/>
      <c r="D8312" s="11"/>
      <c r="E8312" s="11"/>
      <c r="F8312" s="11"/>
      <c r="G8312" s="11"/>
      <c r="H8312" s="11"/>
      <c r="I8312" s="15"/>
    </row>
    <row r="8313" spans="1:9" ht="16.5">
      <c r="A8313" s="10" t="b">
        <v>0</v>
      </c>
      <c r="B8313" s="11" t="str">
        <f>IF(D8313&lt;&gt;"",IF(COUNTIF('USPTO TMs'!A:A,D8313)&gt;0,"Yes","No"),"")</f>
        <v/>
      </c>
      <c r="C8313" s="11"/>
      <c r="D8313" s="11"/>
      <c r="E8313" s="11"/>
      <c r="F8313" s="11"/>
      <c r="G8313" s="11"/>
      <c r="H8313" s="11"/>
      <c r="I8313" s="15"/>
    </row>
    <row r="8314" spans="1:9" ht="16.5">
      <c r="A8314" s="10" t="b">
        <v>0</v>
      </c>
      <c r="B8314" s="11" t="str">
        <f>IF(D8314&lt;&gt;"",IF(COUNTIF('USPTO TMs'!A:A,D8314)&gt;0,"Yes","No"),"")</f>
        <v/>
      </c>
      <c r="C8314" s="11"/>
      <c r="D8314" s="11"/>
      <c r="E8314" s="11"/>
      <c r="F8314" s="11"/>
      <c r="G8314" s="11"/>
      <c r="H8314" s="11"/>
      <c r="I8314" s="15"/>
    </row>
    <row r="8315" spans="1:9" ht="16.5">
      <c r="A8315" s="10" t="b">
        <v>0</v>
      </c>
      <c r="B8315" s="11" t="str">
        <f>IF(D8315&lt;&gt;"",IF(COUNTIF('USPTO TMs'!A:A,D8315)&gt;0,"Yes","No"),"")</f>
        <v/>
      </c>
      <c r="C8315" s="11"/>
      <c r="D8315" s="11"/>
      <c r="E8315" s="11"/>
      <c r="F8315" s="11"/>
      <c r="G8315" s="11"/>
      <c r="H8315" s="11"/>
      <c r="I8315" s="15"/>
    </row>
    <row r="8316" spans="1:9" ht="16.5">
      <c r="A8316" s="10" t="b">
        <v>0</v>
      </c>
      <c r="B8316" s="11" t="str">
        <f>IF(D8316&lt;&gt;"",IF(COUNTIF('USPTO TMs'!A:A,D8316)&gt;0,"Yes","No"),"")</f>
        <v/>
      </c>
      <c r="C8316" s="11"/>
      <c r="D8316" s="11"/>
      <c r="E8316" s="11"/>
      <c r="F8316" s="11"/>
      <c r="G8316" s="11"/>
      <c r="H8316" s="11"/>
      <c r="I8316" s="15"/>
    </row>
    <row r="8317" spans="1:9" ht="16.5">
      <c r="A8317" s="10" t="b">
        <v>0</v>
      </c>
      <c r="B8317" s="11" t="str">
        <f>IF(D8317&lt;&gt;"",IF(COUNTIF('USPTO TMs'!A:A,D8317)&gt;0,"Yes","No"),"")</f>
        <v/>
      </c>
      <c r="C8317" s="11"/>
      <c r="D8317" s="11"/>
      <c r="E8317" s="11"/>
      <c r="F8317" s="11"/>
      <c r="G8317" s="11"/>
      <c r="H8317" s="11"/>
      <c r="I8317" s="15"/>
    </row>
    <row r="8318" spans="1:9" ht="16.5">
      <c r="A8318" s="10" t="b">
        <v>0</v>
      </c>
      <c r="B8318" s="11" t="str">
        <f>IF(D8318&lt;&gt;"",IF(COUNTIF('USPTO TMs'!A:A,D8318)&gt;0,"Yes","No"),"")</f>
        <v/>
      </c>
      <c r="C8318" s="11"/>
      <c r="D8318" s="11"/>
      <c r="E8318" s="11"/>
      <c r="F8318" s="11"/>
      <c r="G8318" s="11"/>
      <c r="H8318" s="11"/>
      <c r="I8318" s="15"/>
    </row>
    <row r="8319" spans="1:9" ht="16.5">
      <c r="A8319" s="10" t="b">
        <v>0</v>
      </c>
      <c r="B8319" s="11" t="str">
        <f>IF(D8319&lt;&gt;"",IF(COUNTIF('USPTO TMs'!A:A,D8319)&gt;0,"Yes","No"),"")</f>
        <v/>
      </c>
      <c r="C8319" s="11"/>
      <c r="D8319" s="11"/>
      <c r="E8319" s="11"/>
      <c r="F8319" s="11"/>
      <c r="G8319" s="11"/>
      <c r="H8319" s="11"/>
      <c r="I8319" s="15"/>
    </row>
    <row r="8320" spans="1:9" ht="16.5">
      <c r="A8320" s="10" t="b">
        <v>0</v>
      </c>
      <c r="B8320" s="11" t="str">
        <f>IF(D8320&lt;&gt;"",IF(COUNTIF('USPTO TMs'!A:A,D8320)&gt;0,"Yes","No"),"")</f>
        <v/>
      </c>
      <c r="C8320" s="11"/>
      <c r="D8320" s="11"/>
      <c r="E8320" s="11"/>
      <c r="F8320" s="11"/>
      <c r="G8320" s="11"/>
      <c r="H8320" s="11"/>
      <c r="I8320" s="15"/>
    </row>
    <row r="8321" spans="1:9" ht="16.5">
      <c r="A8321" s="10" t="b">
        <v>0</v>
      </c>
      <c r="B8321" s="11" t="str">
        <f>IF(D8321&lt;&gt;"",IF(COUNTIF('USPTO TMs'!A:A,D8321)&gt;0,"Yes","No"),"")</f>
        <v/>
      </c>
      <c r="C8321" s="11"/>
      <c r="D8321" s="11"/>
      <c r="E8321" s="11"/>
      <c r="F8321" s="11"/>
      <c r="G8321" s="11"/>
      <c r="H8321" s="11"/>
      <c r="I8321" s="15"/>
    </row>
    <row r="8322" spans="1:9" ht="16.5">
      <c r="A8322" s="10" t="b">
        <v>0</v>
      </c>
      <c r="B8322" s="11" t="str">
        <f>IF(D8322&lt;&gt;"",IF(COUNTIF('USPTO TMs'!A:A,D8322)&gt;0,"Yes","No"),"")</f>
        <v/>
      </c>
      <c r="C8322" s="11"/>
      <c r="D8322" s="11"/>
      <c r="E8322" s="11"/>
      <c r="F8322" s="11"/>
      <c r="G8322" s="11"/>
      <c r="H8322" s="11"/>
      <c r="I8322" s="15"/>
    </row>
    <row r="8323" spans="1:9" ht="16.5">
      <c r="A8323" s="10" t="b">
        <v>0</v>
      </c>
      <c r="B8323" s="11" t="str">
        <f>IF(D8323&lt;&gt;"",IF(COUNTIF('USPTO TMs'!A:A,D8323)&gt;0,"Yes","No"),"")</f>
        <v/>
      </c>
      <c r="C8323" s="11"/>
      <c r="D8323" s="11"/>
      <c r="E8323" s="11"/>
      <c r="F8323" s="11"/>
      <c r="G8323" s="11"/>
      <c r="H8323" s="11"/>
      <c r="I8323" s="15"/>
    </row>
    <row r="8324" spans="1:9" ht="16.5">
      <c r="A8324" s="10" t="b">
        <v>0</v>
      </c>
      <c r="B8324" s="11" t="str">
        <f>IF(D8324&lt;&gt;"",IF(COUNTIF('USPTO TMs'!A:A,D8324)&gt;0,"Yes","No"),"")</f>
        <v/>
      </c>
      <c r="C8324" s="11"/>
      <c r="D8324" s="11"/>
      <c r="E8324" s="11"/>
      <c r="F8324" s="11"/>
      <c r="G8324" s="11"/>
      <c r="H8324" s="11"/>
      <c r="I8324" s="15"/>
    </row>
    <row r="8325" spans="1:9" ht="16.5">
      <c r="A8325" s="10" t="b">
        <v>0</v>
      </c>
      <c r="B8325" s="11" t="str">
        <f>IF(D8325&lt;&gt;"",IF(COUNTIF('USPTO TMs'!A:A,D8325)&gt;0,"Yes","No"),"")</f>
        <v/>
      </c>
      <c r="C8325" s="11"/>
      <c r="D8325" s="11"/>
      <c r="E8325" s="11"/>
      <c r="F8325" s="11"/>
      <c r="G8325" s="11"/>
      <c r="H8325" s="11"/>
      <c r="I8325" s="15"/>
    </row>
    <row r="8326" spans="1:9" ht="16.5">
      <c r="A8326" s="10" t="b">
        <v>0</v>
      </c>
      <c r="B8326" s="11" t="str">
        <f>IF(D8326&lt;&gt;"",IF(COUNTIF('USPTO TMs'!A:A,D8326)&gt;0,"Yes","No"),"")</f>
        <v/>
      </c>
      <c r="C8326" s="11"/>
      <c r="D8326" s="11"/>
      <c r="E8326" s="11"/>
      <c r="F8326" s="11"/>
      <c r="G8326" s="11"/>
      <c r="H8326" s="11"/>
      <c r="I8326" s="15"/>
    </row>
    <row r="8327" spans="1:9" ht="16.5">
      <c r="A8327" s="10" t="b">
        <v>0</v>
      </c>
      <c r="B8327" s="11" t="str">
        <f>IF(D8327&lt;&gt;"",IF(COUNTIF('USPTO TMs'!A:A,D8327)&gt;0,"Yes","No"),"")</f>
        <v/>
      </c>
      <c r="C8327" s="11"/>
      <c r="D8327" s="11"/>
      <c r="E8327" s="11"/>
      <c r="F8327" s="11"/>
      <c r="G8327" s="11"/>
      <c r="H8327" s="11"/>
      <c r="I8327" s="15"/>
    </row>
    <row r="8328" spans="1:9" ht="16.5">
      <c r="A8328" s="10" t="b">
        <v>0</v>
      </c>
      <c r="B8328" s="11" t="str">
        <f>IF(D8328&lt;&gt;"",IF(COUNTIF('USPTO TMs'!A:A,D8328)&gt;0,"Yes","No"),"")</f>
        <v/>
      </c>
      <c r="C8328" s="11"/>
      <c r="D8328" s="11"/>
      <c r="E8328" s="11"/>
      <c r="F8328" s="11"/>
      <c r="G8328" s="11"/>
      <c r="H8328" s="11"/>
      <c r="I8328" s="15"/>
    </row>
    <row r="8329" spans="1:9" ht="16.5">
      <c r="A8329" s="10" t="b">
        <v>0</v>
      </c>
      <c r="B8329" s="11" t="str">
        <f>IF(D8329&lt;&gt;"",IF(COUNTIF('USPTO TMs'!A:A,D8329)&gt;0,"Yes","No"),"")</f>
        <v/>
      </c>
      <c r="C8329" s="11"/>
      <c r="D8329" s="11"/>
      <c r="E8329" s="11"/>
      <c r="F8329" s="11"/>
      <c r="G8329" s="11"/>
      <c r="H8329" s="11"/>
      <c r="I8329" s="15"/>
    </row>
    <row r="8330" spans="1:9" ht="16.5">
      <c r="A8330" s="10" t="b">
        <v>0</v>
      </c>
      <c r="B8330" s="11" t="str">
        <f>IF(D8330&lt;&gt;"",IF(COUNTIF('USPTO TMs'!A:A,D8330)&gt;0,"Yes","No"),"")</f>
        <v/>
      </c>
      <c r="C8330" s="11"/>
      <c r="D8330" s="11"/>
      <c r="E8330" s="11"/>
      <c r="F8330" s="11"/>
      <c r="G8330" s="11"/>
      <c r="H8330" s="11"/>
      <c r="I8330" s="15"/>
    </row>
    <row r="8331" spans="1:9" ht="16.5">
      <c r="A8331" s="10" t="b">
        <v>0</v>
      </c>
      <c r="B8331" s="11" t="str">
        <f>IF(D8331&lt;&gt;"",IF(COUNTIF('USPTO TMs'!A:A,D8331)&gt;0,"Yes","No"),"")</f>
        <v/>
      </c>
      <c r="C8331" s="11"/>
      <c r="D8331" s="11"/>
      <c r="E8331" s="11"/>
      <c r="F8331" s="11"/>
      <c r="G8331" s="11"/>
      <c r="H8331" s="11"/>
      <c r="I8331" s="15"/>
    </row>
    <row r="8332" spans="1:9" ht="16.5">
      <c r="A8332" s="10" t="b">
        <v>0</v>
      </c>
      <c r="B8332" s="11" t="str">
        <f>IF(D8332&lt;&gt;"",IF(COUNTIF('USPTO TMs'!A:A,D8332)&gt;0,"Yes","No"),"")</f>
        <v/>
      </c>
      <c r="C8332" s="11"/>
      <c r="D8332" s="11"/>
      <c r="E8332" s="11"/>
      <c r="F8332" s="11"/>
      <c r="G8332" s="11"/>
      <c r="H8332" s="11"/>
      <c r="I8332" s="15"/>
    </row>
    <row r="8333" spans="1:9" ht="16.5">
      <c r="A8333" s="10" t="b">
        <v>0</v>
      </c>
      <c r="B8333" s="11" t="str">
        <f>IF(D8333&lt;&gt;"",IF(COUNTIF('USPTO TMs'!A:A,D8333)&gt;0,"Yes","No"),"")</f>
        <v/>
      </c>
      <c r="C8333" s="11"/>
      <c r="D8333" s="11"/>
      <c r="E8333" s="11"/>
      <c r="F8333" s="11"/>
      <c r="G8333" s="11"/>
      <c r="H8333" s="11"/>
      <c r="I8333" s="15"/>
    </row>
    <row r="8334" spans="1:9" ht="16.5">
      <c r="A8334" s="10" t="b">
        <v>0</v>
      </c>
      <c r="B8334" s="11" t="str">
        <f>IF(D8334&lt;&gt;"",IF(COUNTIF('USPTO TMs'!A:A,D8334)&gt;0,"Yes","No"),"")</f>
        <v/>
      </c>
      <c r="C8334" s="11"/>
      <c r="D8334" s="11"/>
      <c r="E8334" s="11"/>
      <c r="F8334" s="11"/>
      <c r="G8334" s="11"/>
      <c r="H8334" s="11"/>
      <c r="I8334" s="15"/>
    </row>
    <row r="8335" spans="1:9" ht="16.5">
      <c r="A8335" s="10" t="b">
        <v>0</v>
      </c>
      <c r="B8335" s="11" t="str">
        <f>IF(D8335&lt;&gt;"",IF(COUNTIF('USPTO TMs'!A:A,D8335)&gt;0,"Yes","No"),"")</f>
        <v/>
      </c>
      <c r="C8335" s="11"/>
      <c r="D8335" s="11"/>
      <c r="E8335" s="11"/>
      <c r="F8335" s="11"/>
      <c r="G8335" s="11"/>
      <c r="H8335" s="11"/>
      <c r="I8335" s="15"/>
    </row>
    <row r="8336" spans="1:9" ht="16.5">
      <c r="A8336" s="10" t="b">
        <v>0</v>
      </c>
      <c r="B8336" s="11" t="str">
        <f>IF(D8336&lt;&gt;"",IF(COUNTIF('USPTO TMs'!A:A,D8336)&gt;0,"Yes","No"),"")</f>
        <v/>
      </c>
      <c r="C8336" s="11"/>
      <c r="D8336" s="11"/>
      <c r="E8336" s="11"/>
      <c r="F8336" s="11"/>
      <c r="G8336" s="11"/>
      <c r="H8336" s="11"/>
      <c r="I8336" s="15"/>
    </row>
    <row r="8337" spans="1:9" ht="16.5">
      <c r="A8337" s="10" t="b">
        <v>0</v>
      </c>
      <c r="B8337" s="11" t="str">
        <f>IF(D8337&lt;&gt;"",IF(COUNTIF('USPTO TMs'!A:A,D8337)&gt;0,"Yes","No"),"")</f>
        <v/>
      </c>
      <c r="C8337" s="11"/>
      <c r="D8337" s="11"/>
      <c r="E8337" s="11"/>
      <c r="F8337" s="11"/>
      <c r="G8337" s="11"/>
      <c r="H8337" s="11"/>
      <c r="I8337" s="15"/>
    </row>
    <row r="8338" spans="1:9" ht="16.5">
      <c r="A8338" s="10" t="b">
        <v>0</v>
      </c>
      <c r="B8338" s="11" t="str">
        <f>IF(D8338&lt;&gt;"",IF(COUNTIF('USPTO TMs'!A:A,D8338)&gt;0,"Yes","No"),"")</f>
        <v/>
      </c>
      <c r="C8338" s="11"/>
      <c r="D8338" s="11"/>
      <c r="E8338" s="11"/>
      <c r="F8338" s="11"/>
      <c r="G8338" s="11"/>
      <c r="H8338" s="11"/>
      <c r="I8338" s="15"/>
    </row>
    <row r="8339" spans="1:9" ht="16.5">
      <c r="A8339" s="10" t="b">
        <v>0</v>
      </c>
      <c r="B8339" s="11" t="str">
        <f>IF(D8339&lt;&gt;"",IF(COUNTIF('USPTO TMs'!A:A,D8339)&gt;0,"Yes","No"),"")</f>
        <v/>
      </c>
      <c r="C8339" s="11"/>
      <c r="D8339" s="11"/>
      <c r="E8339" s="11"/>
      <c r="F8339" s="11"/>
      <c r="G8339" s="11"/>
      <c r="H8339" s="11"/>
      <c r="I8339" s="15"/>
    </row>
    <row r="8340" spans="1:9" ht="16.5">
      <c r="A8340" s="10" t="b">
        <v>0</v>
      </c>
      <c r="B8340" s="11" t="str">
        <f>IF(D8340&lt;&gt;"",IF(COUNTIF('USPTO TMs'!A:A,D8340)&gt;0,"Yes","No"),"")</f>
        <v/>
      </c>
      <c r="C8340" s="11"/>
      <c r="D8340" s="11"/>
      <c r="E8340" s="11"/>
      <c r="F8340" s="11"/>
      <c r="G8340" s="11"/>
      <c r="H8340" s="11"/>
      <c r="I8340" s="15"/>
    </row>
    <row r="8341" spans="1:9" ht="16.5">
      <c r="A8341" s="10" t="b">
        <v>0</v>
      </c>
      <c r="B8341" s="11" t="str">
        <f>IF(D8341&lt;&gt;"",IF(COUNTIF('USPTO TMs'!A:A,D8341)&gt;0,"Yes","No"),"")</f>
        <v/>
      </c>
      <c r="C8341" s="11"/>
      <c r="D8341" s="11"/>
      <c r="E8341" s="11"/>
      <c r="F8341" s="11"/>
      <c r="G8341" s="11"/>
      <c r="H8341" s="11"/>
      <c r="I8341" s="15"/>
    </row>
    <row r="8342" spans="1:9" ht="16.5">
      <c r="A8342" s="10" t="b">
        <v>0</v>
      </c>
      <c r="B8342" s="11" t="str">
        <f>IF(D8342&lt;&gt;"",IF(COUNTIF('USPTO TMs'!A:A,D8342)&gt;0,"Yes","No"),"")</f>
        <v/>
      </c>
      <c r="C8342" s="11"/>
      <c r="D8342" s="11"/>
      <c r="E8342" s="11"/>
      <c r="F8342" s="11"/>
      <c r="G8342" s="11"/>
      <c r="H8342" s="11"/>
      <c r="I8342" s="15"/>
    </row>
    <row r="8343" spans="1:9" ht="16.5">
      <c r="A8343" s="10" t="b">
        <v>0</v>
      </c>
      <c r="B8343" s="11" t="str">
        <f>IF(D8343&lt;&gt;"",IF(COUNTIF('USPTO TMs'!A:A,D8343)&gt;0,"Yes","No"),"")</f>
        <v/>
      </c>
      <c r="C8343" s="11"/>
      <c r="D8343" s="11"/>
      <c r="E8343" s="11"/>
      <c r="F8343" s="11"/>
      <c r="G8343" s="11"/>
      <c r="H8343" s="11"/>
      <c r="I8343" s="15"/>
    </row>
    <row r="8344" spans="1:9" ht="16.5">
      <c r="A8344" s="10" t="b">
        <v>0</v>
      </c>
      <c r="B8344" s="11" t="str">
        <f>IF(D8344&lt;&gt;"",IF(COUNTIF('USPTO TMs'!A:A,D8344)&gt;0,"Yes","No"),"")</f>
        <v/>
      </c>
      <c r="C8344" s="11"/>
      <c r="D8344" s="11"/>
      <c r="E8344" s="11"/>
      <c r="F8344" s="11"/>
      <c r="G8344" s="11"/>
      <c r="H8344" s="11"/>
      <c r="I8344" s="15"/>
    </row>
    <row r="8345" spans="1:9" ht="16.5">
      <c r="A8345" s="10" t="b">
        <v>0</v>
      </c>
      <c r="B8345" s="11" t="str">
        <f>IF(D8345&lt;&gt;"",IF(COUNTIF('USPTO TMs'!A:A,D8345)&gt;0,"Yes","No"),"")</f>
        <v/>
      </c>
      <c r="C8345" s="11"/>
      <c r="D8345" s="11"/>
      <c r="E8345" s="11"/>
      <c r="F8345" s="11"/>
      <c r="G8345" s="11"/>
      <c r="H8345" s="11"/>
      <c r="I8345" s="15"/>
    </row>
    <row r="8346" spans="1:9" ht="16.5">
      <c r="A8346" s="10" t="b">
        <v>0</v>
      </c>
      <c r="B8346" s="11" t="str">
        <f>IF(D8346&lt;&gt;"",IF(COUNTIF('USPTO TMs'!A:A,D8346)&gt;0,"Yes","No"),"")</f>
        <v/>
      </c>
      <c r="C8346" s="11"/>
      <c r="D8346" s="11"/>
      <c r="E8346" s="11"/>
      <c r="F8346" s="11"/>
      <c r="G8346" s="11"/>
      <c r="H8346" s="11"/>
      <c r="I8346" s="15"/>
    </row>
    <row r="8347" spans="1:9" ht="16.5">
      <c r="A8347" s="10" t="b">
        <v>0</v>
      </c>
      <c r="B8347" s="11" t="str">
        <f>IF(D8347&lt;&gt;"",IF(COUNTIF('USPTO TMs'!A:A,D8347)&gt;0,"Yes","No"),"")</f>
        <v/>
      </c>
      <c r="C8347" s="11"/>
      <c r="D8347" s="11"/>
      <c r="E8347" s="11"/>
      <c r="F8347" s="11"/>
      <c r="G8347" s="11"/>
      <c r="H8347" s="11"/>
      <c r="I8347" s="15"/>
    </row>
    <row r="8348" spans="1:9" ht="16.5">
      <c r="A8348" s="10" t="b">
        <v>0</v>
      </c>
      <c r="B8348" s="11" t="str">
        <f>IF(D8348&lt;&gt;"",IF(COUNTIF('USPTO TMs'!A:A,D8348)&gt;0,"Yes","No"),"")</f>
        <v/>
      </c>
      <c r="C8348" s="11"/>
      <c r="D8348" s="11"/>
      <c r="E8348" s="11"/>
      <c r="F8348" s="11"/>
      <c r="G8348" s="11"/>
      <c r="H8348" s="11"/>
      <c r="I8348" s="15"/>
    </row>
    <row r="8349" spans="1:9" ht="16.5">
      <c r="A8349" s="10" t="b">
        <v>0</v>
      </c>
      <c r="B8349" s="11" t="str">
        <f>IF(D8349&lt;&gt;"",IF(COUNTIF('USPTO TMs'!A:A,D8349)&gt;0,"Yes","No"),"")</f>
        <v/>
      </c>
      <c r="C8349" s="11"/>
      <c r="D8349" s="11"/>
      <c r="E8349" s="11"/>
      <c r="F8349" s="11"/>
      <c r="G8349" s="11"/>
      <c r="H8349" s="11"/>
      <c r="I8349" s="15"/>
    </row>
    <row r="8350" spans="1:9" ht="16.5">
      <c r="A8350" s="10" t="b">
        <v>0</v>
      </c>
      <c r="B8350" s="11" t="str">
        <f>IF(D8350&lt;&gt;"",IF(COUNTIF('USPTO TMs'!A:A,D8350)&gt;0,"Yes","No"),"")</f>
        <v/>
      </c>
      <c r="C8350" s="11"/>
      <c r="D8350" s="11"/>
      <c r="E8350" s="11"/>
      <c r="F8350" s="11"/>
      <c r="G8350" s="11"/>
      <c r="H8350" s="11"/>
      <c r="I8350" s="15"/>
    </row>
    <row r="8351" spans="1:9" ht="16.5">
      <c r="A8351" s="10" t="b">
        <v>0</v>
      </c>
      <c r="B8351" s="11" t="str">
        <f>IF(D8351&lt;&gt;"",IF(COUNTIF('USPTO TMs'!A:A,D8351)&gt;0,"Yes","No"),"")</f>
        <v/>
      </c>
      <c r="C8351" s="11"/>
      <c r="D8351" s="11"/>
      <c r="E8351" s="11"/>
      <c r="F8351" s="11"/>
      <c r="G8351" s="11"/>
      <c r="H8351" s="11"/>
      <c r="I8351" s="15"/>
    </row>
    <row r="8352" spans="1:9" ht="16.5">
      <c r="A8352" s="10" t="b">
        <v>0</v>
      </c>
      <c r="B8352" s="11" t="str">
        <f>IF(D8352&lt;&gt;"",IF(COUNTIF('USPTO TMs'!A:A,D8352)&gt;0,"Yes","No"),"")</f>
        <v/>
      </c>
      <c r="C8352" s="11"/>
      <c r="D8352" s="11"/>
      <c r="E8352" s="11"/>
      <c r="F8352" s="11"/>
      <c r="G8352" s="11"/>
      <c r="H8352" s="11"/>
      <c r="I8352" s="15"/>
    </row>
    <row r="8353" spans="1:9" ht="16.5">
      <c r="A8353" s="10" t="b">
        <v>0</v>
      </c>
      <c r="B8353" s="11" t="str">
        <f>IF(D8353&lt;&gt;"",IF(COUNTIF('USPTO TMs'!A:A,D8353)&gt;0,"Yes","No"),"")</f>
        <v/>
      </c>
      <c r="C8353" s="11"/>
      <c r="D8353" s="11"/>
      <c r="E8353" s="11"/>
      <c r="F8353" s="11"/>
      <c r="G8353" s="11"/>
      <c r="H8353" s="11"/>
      <c r="I8353" s="15"/>
    </row>
    <row r="8354" spans="1:9" ht="16.5">
      <c r="A8354" s="10" t="b">
        <v>0</v>
      </c>
      <c r="B8354" s="11" t="str">
        <f>IF(D8354&lt;&gt;"",IF(COUNTIF('USPTO TMs'!A:A,D8354)&gt;0,"Yes","No"),"")</f>
        <v/>
      </c>
      <c r="C8354" s="11"/>
      <c r="D8354" s="11"/>
      <c r="E8354" s="11"/>
      <c r="F8354" s="11"/>
      <c r="G8354" s="11"/>
      <c r="H8354" s="11"/>
      <c r="I8354" s="15"/>
    </row>
    <row r="8355" spans="1:9" ht="16.5">
      <c r="A8355" s="10" t="b">
        <v>0</v>
      </c>
      <c r="B8355" s="11" t="str">
        <f>IF(D8355&lt;&gt;"",IF(COUNTIF('USPTO TMs'!A:A,D8355)&gt;0,"Yes","No"),"")</f>
        <v/>
      </c>
      <c r="C8355" s="11"/>
      <c r="D8355" s="11"/>
      <c r="E8355" s="11"/>
      <c r="F8355" s="11"/>
      <c r="G8355" s="11"/>
      <c r="H8355" s="11"/>
      <c r="I8355" s="15"/>
    </row>
    <row r="8356" spans="1:9" ht="16.5">
      <c r="A8356" s="10" t="b">
        <v>0</v>
      </c>
      <c r="B8356" s="11" t="str">
        <f>IF(D8356&lt;&gt;"",IF(COUNTIF('USPTO TMs'!A:A,D8356)&gt;0,"Yes","No"),"")</f>
        <v/>
      </c>
      <c r="C8356" s="11"/>
      <c r="D8356" s="11"/>
      <c r="E8356" s="11"/>
      <c r="F8356" s="11"/>
      <c r="G8356" s="11"/>
      <c r="H8356" s="11"/>
      <c r="I8356" s="15"/>
    </row>
    <row r="8357" spans="1:9" ht="16.5">
      <c r="A8357" s="10" t="b">
        <v>0</v>
      </c>
      <c r="B8357" s="11" t="str">
        <f>IF(D8357&lt;&gt;"",IF(COUNTIF('USPTO TMs'!A:A,D8357)&gt;0,"Yes","No"),"")</f>
        <v/>
      </c>
      <c r="C8357" s="11"/>
      <c r="D8357" s="11"/>
      <c r="E8357" s="11"/>
      <c r="F8357" s="11"/>
      <c r="G8357" s="11"/>
      <c r="H8357" s="11"/>
      <c r="I8357" s="15"/>
    </row>
    <row r="8358" spans="1:9" ht="16.5">
      <c r="A8358" s="10" t="b">
        <v>0</v>
      </c>
      <c r="B8358" s="11" t="str">
        <f>IF(D8358&lt;&gt;"",IF(COUNTIF('USPTO TMs'!A:A,D8358)&gt;0,"Yes","No"),"")</f>
        <v/>
      </c>
      <c r="C8358" s="11"/>
      <c r="D8358" s="11"/>
      <c r="E8358" s="11"/>
      <c r="F8358" s="11"/>
      <c r="G8358" s="11"/>
      <c r="H8358" s="11"/>
      <c r="I8358" s="15"/>
    </row>
    <row r="8359" spans="1:9" ht="16.5">
      <c r="A8359" s="10" t="b">
        <v>0</v>
      </c>
      <c r="B8359" s="11" t="str">
        <f>IF(D8359&lt;&gt;"",IF(COUNTIF('USPTO TMs'!A:A,D8359)&gt;0,"Yes","No"),"")</f>
        <v/>
      </c>
      <c r="C8359" s="11"/>
      <c r="D8359" s="11"/>
      <c r="E8359" s="11"/>
      <c r="F8359" s="11"/>
      <c r="G8359" s="11"/>
      <c r="H8359" s="11"/>
      <c r="I8359" s="15"/>
    </row>
    <row r="8360" spans="1:9" ht="16.5">
      <c r="A8360" s="10" t="b">
        <v>0</v>
      </c>
      <c r="B8360" s="11" t="str">
        <f>IF(D8360&lt;&gt;"",IF(COUNTIF('USPTO TMs'!A:A,D8360)&gt;0,"Yes","No"),"")</f>
        <v/>
      </c>
      <c r="C8360" s="11"/>
      <c r="D8360" s="11"/>
      <c r="E8360" s="11"/>
      <c r="F8360" s="11"/>
      <c r="G8360" s="11"/>
      <c r="H8360" s="11"/>
      <c r="I8360" s="15"/>
    </row>
    <row r="8361" spans="1:9" ht="16.5">
      <c r="A8361" s="10" t="b">
        <v>0</v>
      </c>
      <c r="B8361" s="11" t="str">
        <f>IF(D8361&lt;&gt;"",IF(COUNTIF('USPTO TMs'!A:A,D8361)&gt;0,"Yes","No"),"")</f>
        <v/>
      </c>
      <c r="C8361" s="11"/>
      <c r="D8361" s="11"/>
      <c r="E8361" s="11"/>
      <c r="F8361" s="11"/>
      <c r="G8361" s="11"/>
      <c r="H8361" s="11"/>
      <c r="I8361" s="15"/>
    </row>
    <row r="8362" spans="1:9" ht="16.5">
      <c r="A8362" s="10" t="b">
        <v>0</v>
      </c>
      <c r="B8362" s="11" t="str">
        <f>IF(D8362&lt;&gt;"",IF(COUNTIF('USPTO TMs'!A:A,D8362)&gt;0,"Yes","No"),"")</f>
        <v/>
      </c>
      <c r="C8362" s="11"/>
      <c r="D8362" s="11"/>
      <c r="E8362" s="11"/>
      <c r="F8362" s="11"/>
      <c r="G8362" s="11"/>
      <c r="H8362" s="11"/>
      <c r="I8362" s="15"/>
    </row>
    <row r="8363" spans="1:9" ht="16.5">
      <c r="A8363" s="10" t="b">
        <v>0</v>
      </c>
      <c r="B8363" s="11" t="str">
        <f>IF(D8363&lt;&gt;"",IF(COUNTIF('USPTO TMs'!A:A,D8363)&gt;0,"Yes","No"),"")</f>
        <v/>
      </c>
      <c r="C8363" s="11"/>
      <c r="D8363" s="11"/>
      <c r="E8363" s="11"/>
      <c r="F8363" s="11"/>
      <c r="G8363" s="11"/>
      <c r="H8363" s="11"/>
      <c r="I8363" s="15"/>
    </row>
    <row r="8364" spans="1:9" ht="16.5">
      <c r="A8364" s="10" t="b">
        <v>0</v>
      </c>
      <c r="B8364" s="11" t="str">
        <f>IF(D8364&lt;&gt;"",IF(COUNTIF('USPTO TMs'!A:A,D8364)&gt;0,"Yes","No"),"")</f>
        <v/>
      </c>
      <c r="C8364" s="11"/>
      <c r="D8364" s="11"/>
      <c r="E8364" s="11"/>
      <c r="F8364" s="11"/>
      <c r="G8364" s="11"/>
      <c r="H8364" s="11"/>
      <c r="I8364" s="15"/>
    </row>
    <row r="8365" spans="1:9" ht="16.5">
      <c r="A8365" s="10" t="b">
        <v>0</v>
      </c>
      <c r="B8365" s="11" t="str">
        <f>IF(D8365&lt;&gt;"",IF(COUNTIF('USPTO TMs'!A:A,D8365)&gt;0,"Yes","No"),"")</f>
        <v/>
      </c>
      <c r="C8365" s="11"/>
      <c r="D8365" s="11"/>
      <c r="E8365" s="11"/>
      <c r="F8365" s="11"/>
      <c r="G8365" s="11"/>
      <c r="H8365" s="11"/>
      <c r="I8365" s="15"/>
    </row>
    <row r="8366" spans="1:9" ht="16.5">
      <c r="A8366" s="10" t="b">
        <v>0</v>
      </c>
      <c r="B8366" s="11" t="str">
        <f>IF(D8366&lt;&gt;"",IF(COUNTIF('USPTO TMs'!A:A,D8366)&gt;0,"Yes","No"),"")</f>
        <v/>
      </c>
      <c r="C8366" s="11"/>
      <c r="D8366" s="11"/>
      <c r="E8366" s="11"/>
      <c r="F8366" s="11"/>
      <c r="G8366" s="11"/>
      <c r="H8366" s="11"/>
      <c r="I8366" s="15"/>
    </row>
    <row r="8367" spans="1:9" ht="16.5">
      <c r="A8367" s="10" t="b">
        <v>0</v>
      </c>
      <c r="B8367" s="11" t="str">
        <f>IF(D8367&lt;&gt;"",IF(COUNTIF('USPTO TMs'!A:A,D8367)&gt;0,"Yes","No"),"")</f>
        <v/>
      </c>
      <c r="C8367" s="11"/>
      <c r="D8367" s="11"/>
      <c r="E8367" s="11"/>
      <c r="F8367" s="11"/>
      <c r="G8367" s="11"/>
      <c r="H8367" s="11"/>
      <c r="I8367" s="15"/>
    </row>
    <row r="8368" spans="1:9" ht="16.5">
      <c r="A8368" s="10" t="b">
        <v>0</v>
      </c>
      <c r="B8368" s="11" t="str">
        <f>IF(D8368&lt;&gt;"",IF(COUNTIF('USPTO TMs'!A:A,D8368)&gt;0,"Yes","No"),"")</f>
        <v/>
      </c>
      <c r="C8368" s="11"/>
      <c r="D8368" s="11"/>
      <c r="E8368" s="11"/>
      <c r="F8368" s="11"/>
      <c r="G8368" s="11"/>
      <c r="H8368" s="11"/>
      <c r="I8368" s="15"/>
    </row>
    <row r="8369" spans="1:9" ht="16.5">
      <c r="A8369" s="10" t="b">
        <v>0</v>
      </c>
      <c r="B8369" s="11" t="str">
        <f>IF(D8369&lt;&gt;"",IF(COUNTIF('USPTO TMs'!A:A,D8369)&gt;0,"Yes","No"),"")</f>
        <v/>
      </c>
      <c r="C8369" s="11"/>
      <c r="D8369" s="11"/>
      <c r="E8369" s="11"/>
      <c r="F8369" s="11"/>
      <c r="G8369" s="11"/>
      <c r="H8369" s="11"/>
      <c r="I8369" s="15"/>
    </row>
    <row r="8370" spans="1:9" ht="16.5">
      <c r="A8370" s="10" t="b">
        <v>0</v>
      </c>
      <c r="B8370" s="11" t="str">
        <f>IF(D8370&lt;&gt;"",IF(COUNTIF('USPTO TMs'!A:A,D8370)&gt;0,"Yes","No"),"")</f>
        <v/>
      </c>
      <c r="C8370" s="11"/>
      <c r="D8370" s="11"/>
      <c r="E8370" s="11"/>
      <c r="F8370" s="11"/>
      <c r="G8370" s="11"/>
      <c r="H8370" s="11"/>
      <c r="I8370" s="15"/>
    </row>
    <row r="8371" spans="1:9" ht="16.5">
      <c r="A8371" s="10" t="b">
        <v>0</v>
      </c>
      <c r="B8371" s="11" t="str">
        <f>IF(D8371&lt;&gt;"",IF(COUNTIF('USPTO TMs'!A:A,D8371)&gt;0,"Yes","No"),"")</f>
        <v/>
      </c>
      <c r="C8371" s="11"/>
      <c r="D8371" s="11"/>
      <c r="E8371" s="11"/>
      <c r="F8371" s="11"/>
      <c r="G8371" s="11"/>
      <c r="H8371" s="11"/>
      <c r="I8371" s="15"/>
    </row>
    <row r="8372" spans="1:9" ht="16.5">
      <c r="A8372" s="10" t="b">
        <v>0</v>
      </c>
      <c r="B8372" s="11" t="str">
        <f>IF(D8372&lt;&gt;"",IF(COUNTIF('USPTO TMs'!A:A,D8372)&gt;0,"Yes","No"),"")</f>
        <v/>
      </c>
      <c r="C8372" s="11"/>
      <c r="D8372" s="11"/>
      <c r="E8372" s="11"/>
      <c r="F8372" s="11"/>
      <c r="G8372" s="11"/>
      <c r="H8372" s="11"/>
      <c r="I8372" s="15"/>
    </row>
    <row r="8373" spans="1:9" ht="16.5">
      <c r="A8373" s="10" t="b">
        <v>0</v>
      </c>
      <c r="B8373" s="11" t="str">
        <f>IF(D8373&lt;&gt;"",IF(COUNTIF('USPTO TMs'!A:A,D8373)&gt;0,"Yes","No"),"")</f>
        <v/>
      </c>
      <c r="C8373" s="11"/>
      <c r="D8373" s="11"/>
      <c r="E8373" s="11"/>
      <c r="F8373" s="11"/>
      <c r="G8373" s="11"/>
      <c r="H8373" s="11"/>
      <c r="I8373" s="15"/>
    </row>
    <row r="8374" spans="1:9" ht="16.5">
      <c r="A8374" s="10" t="b">
        <v>0</v>
      </c>
      <c r="B8374" s="11" t="str">
        <f>IF(D8374&lt;&gt;"",IF(COUNTIF('USPTO TMs'!A:A,D8374)&gt;0,"Yes","No"),"")</f>
        <v/>
      </c>
      <c r="C8374" s="11"/>
      <c r="D8374" s="11"/>
      <c r="E8374" s="11"/>
      <c r="F8374" s="11"/>
      <c r="G8374" s="11"/>
      <c r="H8374" s="11"/>
      <c r="I8374" s="15"/>
    </row>
    <row r="8375" spans="1:9" ht="16.5">
      <c r="A8375" s="10" t="b">
        <v>0</v>
      </c>
      <c r="B8375" s="11" t="str">
        <f>IF(D8375&lt;&gt;"",IF(COUNTIF('USPTO TMs'!A:A,D8375)&gt;0,"Yes","No"),"")</f>
        <v/>
      </c>
      <c r="C8375" s="11"/>
      <c r="D8375" s="11"/>
      <c r="E8375" s="11"/>
      <c r="F8375" s="11"/>
      <c r="G8375" s="11"/>
      <c r="H8375" s="11"/>
      <c r="I8375" s="15"/>
    </row>
    <row r="8376" spans="1:9" ht="16.5">
      <c r="A8376" s="10" t="b">
        <v>0</v>
      </c>
      <c r="B8376" s="11" t="str">
        <f>IF(D8376&lt;&gt;"",IF(COUNTIF('USPTO TMs'!A:A,D8376)&gt;0,"Yes","No"),"")</f>
        <v/>
      </c>
      <c r="C8376" s="11"/>
      <c r="D8376" s="11"/>
      <c r="E8376" s="11"/>
      <c r="F8376" s="11"/>
      <c r="G8376" s="11"/>
      <c r="H8376" s="11"/>
      <c r="I8376" s="15"/>
    </row>
    <row r="8377" spans="1:9" ht="16.5">
      <c r="A8377" s="10" t="b">
        <v>0</v>
      </c>
      <c r="B8377" s="11" t="str">
        <f>IF(D8377&lt;&gt;"",IF(COUNTIF('USPTO TMs'!A:A,D8377)&gt;0,"Yes","No"),"")</f>
        <v/>
      </c>
      <c r="C8377" s="11"/>
      <c r="D8377" s="11"/>
      <c r="E8377" s="11"/>
      <c r="F8377" s="11"/>
      <c r="G8377" s="11"/>
      <c r="H8377" s="11"/>
      <c r="I8377" s="15"/>
    </row>
    <row r="8378" spans="1:9" ht="16.5">
      <c r="A8378" s="10" t="b">
        <v>0</v>
      </c>
      <c r="B8378" s="11" t="str">
        <f>IF(D8378&lt;&gt;"",IF(COUNTIF('USPTO TMs'!A:A,D8378)&gt;0,"Yes","No"),"")</f>
        <v/>
      </c>
      <c r="C8378" s="11"/>
      <c r="D8378" s="11"/>
      <c r="E8378" s="11"/>
      <c r="F8378" s="11"/>
      <c r="G8378" s="11"/>
      <c r="H8378" s="11"/>
      <c r="I8378" s="15"/>
    </row>
    <row r="8379" spans="1:9" ht="16.5">
      <c r="A8379" s="10" t="b">
        <v>0</v>
      </c>
      <c r="B8379" s="11" t="str">
        <f>IF(D8379&lt;&gt;"",IF(COUNTIF('USPTO TMs'!A:A,D8379)&gt;0,"Yes","No"),"")</f>
        <v/>
      </c>
      <c r="C8379" s="11"/>
      <c r="D8379" s="11"/>
      <c r="E8379" s="11"/>
      <c r="F8379" s="11"/>
      <c r="G8379" s="11"/>
      <c r="H8379" s="11"/>
      <c r="I8379" s="15"/>
    </row>
    <row r="8380" spans="1:9" ht="16.5">
      <c r="A8380" s="10" t="b">
        <v>0</v>
      </c>
      <c r="B8380" s="11" t="str">
        <f>IF(D8380&lt;&gt;"",IF(COUNTIF('USPTO TMs'!A:A,D8380)&gt;0,"Yes","No"),"")</f>
        <v/>
      </c>
      <c r="C8380" s="11"/>
      <c r="D8380" s="11"/>
      <c r="E8380" s="11"/>
      <c r="F8380" s="11"/>
      <c r="G8380" s="11"/>
      <c r="H8380" s="11"/>
      <c r="I8380" s="15"/>
    </row>
    <row r="8381" spans="1:9" ht="16.5">
      <c r="A8381" s="10" t="b">
        <v>0</v>
      </c>
      <c r="B8381" s="11" t="str">
        <f>IF(D8381&lt;&gt;"",IF(COUNTIF('USPTO TMs'!A:A,D8381)&gt;0,"Yes","No"),"")</f>
        <v/>
      </c>
      <c r="C8381" s="11"/>
      <c r="D8381" s="11"/>
      <c r="E8381" s="11"/>
      <c r="F8381" s="11"/>
      <c r="G8381" s="11"/>
      <c r="H8381" s="11"/>
      <c r="I8381" s="15"/>
    </row>
    <row r="8382" spans="1:9" ht="16.5">
      <c r="A8382" s="10" t="b">
        <v>0</v>
      </c>
      <c r="B8382" s="11" t="str">
        <f>IF(D8382&lt;&gt;"",IF(COUNTIF('USPTO TMs'!A:A,D8382)&gt;0,"Yes","No"),"")</f>
        <v/>
      </c>
      <c r="C8382" s="11"/>
      <c r="D8382" s="11"/>
      <c r="E8382" s="11"/>
      <c r="F8382" s="11"/>
      <c r="G8382" s="11"/>
      <c r="H8382" s="11"/>
      <c r="I8382" s="15"/>
    </row>
    <row r="8383" spans="1:9" ht="16.5">
      <c r="A8383" s="10" t="b">
        <v>0</v>
      </c>
      <c r="B8383" s="11" t="str">
        <f>IF(D8383&lt;&gt;"",IF(COUNTIF('USPTO TMs'!A:A,D8383)&gt;0,"Yes","No"),"")</f>
        <v/>
      </c>
      <c r="C8383" s="11"/>
      <c r="D8383" s="11"/>
      <c r="E8383" s="11"/>
      <c r="F8383" s="11"/>
      <c r="G8383" s="11"/>
      <c r="H8383" s="11"/>
      <c r="I8383" s="15"/>
    </row>
    <row r="8384" spans="1:9" ht="16.5">
      <c r="A8384" s="10" t="b">
        <v>0</v>
      </c>
      <c r="B8384" s="11" t="str">
        <f>IF(D8384&lt;&gt;"",IF(COUNTIF('USPTO TMs'!A:A,D8384)&gt;0,"Yes","No"),"")</f>
        <v/>
      </c>
      <c r="C8384" s="11"/>
      <c r="D8384" s="11"/>
      <c r="E8384" s="11"/>
      <c r="F8384" s="11"/>
      <c r="G8384" s="11"/>
      <c r="H8384" s="11"/>
      <c r="I8384" s="15"/>
    </row>
    <row r="8385" spans="1:9" ht="16.5">
      <c r="A8385" s="10" t="b">
        <v>0</v>
      </c>
      <c r="B8385" s="11" t="str">
        <f>IF(D8385&lt;&gt;"",IF(COUNTIF('USPTO TMs'!A:A,D8385)&gt;0,"Yes","No"),"")</f>
        <v/>
      </c>
      <c r="C8385" s="11"/>
      <c r="D8385" s="11"/>
      <c r="E8385" s="11"/>
      <c r="F8385" s="11"/>
      <c r="G8385" s="11"/>
      <c r="H8385" s="11"/>
      <c r="I8385" s="15"/>
    </row>
    <row r="8386" spans="1:9" ht="16.5">
      <c r="A8386" s="10" t="b">
        <v>0</v>
      </c>
      <c r="B8386" s="11" t="str">
        <f>IF(D8386&lt;&gt;"",IF(COUNTIF('USPTO TMs'!A:A,D8386)&gt;0,"Yes","No"),"")</f>
        <v/>
      </c>
      <c r="C8386" s="11"/>
      <c r="D8386" s="11"/>
      <c r="E8386" s="11"/>
      <c r="F8386" s="11"/>
      <c r="G8386" s="11"/>
      <c r="H8386" s="11"/>
      <c r="I8386" s="15"/>
    </row>
    <row r="8387" spans="1:9" ht="16.5">
      <c r="A8387" s="10" t="b">
        <v>0</v>
      </c>
      <c r="B8387" s="11" t="str">
        <f>IF(D8387&lt;&gt;"",IF(COUNTIF('USPTO TMs'!A:A,D8387)&gt;0,"Yes","No"),"")</f>
        <v/>
      </c>
      <c r="C8387" s="11"/>
      <c r="D8387" s="11"/>
      <c r="E8387" s="11"/>
      <c r="F8387" s="11"/>
      <c r="G8387" s="11"/>
      <c r="H8387" s="11"/>
      <c r="I8387" s="15"/>
    </row>
    <row r="8388" spans="1:9" ht="16.5">
      <c r="A8388" s="10" t="b">
        <v>0</v>
      </c>
      <c r="B8388" s="11" t="str">
        <f>IF(D8388&lt;&gt;"",IF(COUNTIF('USPTO TMs'!A:A,D8388)&gt;0,"Yes","No"),"")</f>
        <v/>
      </c>
      <c r="C8388" s="11"/>
      <c r="D8388" s="11"/>
      <c r="E8388" s="11"/>
      <c r="F8388" s="11"/>
      <c r="G8388" s="11"/>
      <c r="H8388" s="11"/>
      <c r="I8388" s="15"/>
    </row>
    <row r="8389" spans="1:9" ht="16.5">
      <c r="A8389" s="10" t="b">
        <v>0</v>
      </c>
      <c r="B8389" s="11" t="str">
        <f>IF(D8389&lt;&gt;"",IF(COUNTIF('USPTO TMs'!A:A,D8389)&gt;0,"Yes","No"),"")</f>
        <v/>
      </c>
      <c r="C8389" s="11"/>
      <c r="D8389" s="11"/>
      <c r="E8389" s="11"/>
      <c r="F8389" s="11"/>
      <c r="G8389" s="11"/>
      <c r="H8389" s="11"/>
      <c r="I8389" s="15"/>
    </row>
    <row r="8390" spans="1:9" ht="16.5">
      <c r="A8390" s="10" t="b">
        <v>0</v>
      </c>
      <c r="B8390" s="11" t="str">
        <f>IF(D8390&lt;&gt;"",IF(COUNTIF('USPTO TMs'!A:A,D8390)&gt;0,"Yes","No"),"")</f>
        <v/>
      </c>
      <c r="C8390" s="11"/>
      <c r="D8390" s="11"/>
      <c r="E8390" s="11"/>
      <c r="F8390" s="11"/>
      <c r="G8390" s="11"/>
      <c r="H8390" s="11"/>
      <c r="I8390" s="15"/>
    </row>
    <row r="8391" spans="1:9" ht="16.5">
      <c r="A8391" s="10" t="b">
        <v>0</v>
      </c>
      <c r="B8391" s="11" t="str">
        <f>IF(D8391&lt;&gt;"",IF(COUNTIF('USPTO TMs'!A:A,D8391)&gt;0,"Yes","No"),"")</f>
        <v/>
      </c>
      <c r="C8391" s="11"/>
      <c r="D8391" s="11"/>
      <c r="E8391" s="11"/>
      <c r="F8391" s="11"/>
      <c r="G8391" s="11"/>
      <c r="H8391" s="11"/>
      <c r="I8391" s="15"/>
    </row>
    <row r="8392" spans="1:9" ht="16.5">
      <c r="A8392" s="10" t="b">
        <v>0</v>
      </c>
      <c r="B8392" s="11" t="str">
        <f>IF(D8392&lt;&gt;"",IF(COUNTIF('USPTO TMs'!A:A,D8392)&gt;0,"Yes","No"),"")</f>
        <v/>
      </c>
      <c r="C8392" s="11"/>
      <c r="D8392" s="11"/>
      <c r="E8392" s="11"/>
      <c r="F8392" s="11"/>
      <c r="G8392" s="11"/>
      <c r="H8392" s="11"/>
      <c r="I8392" s="15"/>
    </row>
    <row r="8393" spans="1:9" ht="16.5">
      <c r="A8393" s="10" t="b">
        <v>0</v>
      </c>
      <c r="B8393" s="11" t="str">
        <f>IF(D8393&lt;&gt;"",IF(COUNTIF('USPTO TMs'!A:A,D8393)&gt;0,"Yes","No"),"")</f>
        <v/>
      </c>
      <c r="C8393" s="11"/>
      <c r="D8393" s="11"/>
      <c r="E8393" s="11"/>
      <c r="F8393" s="11"/>
      <c r="G8393" s="11"/>
      <c r="H8393" s="11"/>
      <c r="I8393" s="15"/>
    </row>
    <row r="8394" spans="1:9" ht="16.5">
      <c r="A8394" s="10" t="b">
        <v>0</v>
      </c>
      <c r="B8394" s="11" t="str">
        <f>IF(D8394&lt;&gt;"",IF(COUNTIF('USPTO TMs'!A:A,D8394)&gt;0,"Yes","No"),"")</f>
        <v/>
      </c>
      <c r="C8394" s="11"/>
      <c r="D8394" s="11"/>
      <c r="E8394" s="11"/>
      <c r="F8394" s="11"/>
      <c r="G8394" s="11"/>
      <c r="H8394" s="11"/>
      <c r="I8394" s="15"/>
    </row>
    <row r="8395" spans="1:9" ht="16.5">
      <c r="A8395" s="10" t="b">
        <v>0</v>
      </c>
      <c r="B8395" s="11" t="str">
        <f>IF(D8395&lt;&gt;"",IF(COUNTIF('USPTO TMs'!A:A,D8395)&gt;0,"Yes","No"),"")</f>
        <v/>
      </c>
      <c r="C8395" s="11"/>
      <c r="D8395" s="11"/>
      <c r="E8395" s="11"/>
      <c r="F8395" s="11"/>
      <c r="G8395" s="11"/>
      <c r="H8395" s="11"/>
      <c r="I8395" s="15"/>
    </row>
    <row r="8396" spans="1:9" ht="16.5">
      <c r="A8396" s="10" t="b">
        <v>0</v>
      </c>
      <c r="B8396" s="11" t="str">
        <f>IF(D8396&lt;&gt;"",IF(COUNTIF('USPTO TMs'!A:A,D8396)&gt;0,"Yes","No"),"")</f>
        <v/>
      </c>
      <c r="C8396" s="11"/>
      <c r="D8396" s="11"/>
      <c r="E8396" s="11"/>
      <c r="F8396" s="11"/>
      <c r="G8396" s="11"/>
      <c r="H8396" s="11"/>
      <c r="I8396" s="15"/>
    </row>
    <row r="8397" spans="1:9" ht="16.5">
      <c r="A8397" s="10" t="b">
        <v>0</v>
      </c>
      <c r="B8397" s="11" t="str">
        <f>IF(D8397&lt;&gt;"",IF(COUNTIF('USPTO TMs'!A:A,D8397)&gt;0,"Yes","No"),"")</f>
        <v/>
      </c>
      <c r="C8397" s="11"/>
      <c r="D8397" s="11"/>
      <c r="E8397" s="11"/>
      <c r="F8397" s="11"/>
      <c r="G8397" s="11"/>
      <c r="H8397" s="11"/>
      <c r="I8397" s="15"/>
    </row>
    <row r="8398" spans="1:9" ht="16.5">
      <c r="A8398" s="10" t="b">
        <v>0</v>
      </c>
      <c r="B8398" s="11" t="str">
        <f>IF(D8398&lt;&gt;"",IF(COUNTIF('USPTO TMs'!A:A,D8398)&gt;0,"Yes","No"),"")</f>
        <v/>
      </c>
      <c r="C8398" s="11"/>
      <c r="D8398" s="11"/>
      <c r="E8398" s="11"/>
      <c r="F8398" s="11"/>
      <c r="G8398" s="11"/>
      <c r="H8398" s="11"/>
      <c r="I8398" s="15"/>
    </row>
    <row r="8399" spans="1:9" ht="16.5">
      <c r="A8399" s="10" t="b">
        <v>0</v>
      </c>
      <c r="B8399" s="11" t="str">
        <f>IF(D8399&lt;&gt;"",IF(COUNTIF('USPTO TMs'!A:A,D8399)&gt;0,"Yes","No"),"")</f>
        <v/>
      </c>
      <c r="C8399" s="11"/>
      <c r="D8399" s="11"/>
      <c r="E8399" s="11"/>
      <c r="F8399" s="11"/>
      <c r="G8399" s="11"/>
      <c r="H8399" s="11"/>
      <c r="I8399" s="15"/>
    </row>
    <row r="8400" spans="1:9" ht="16.5">
      <c r="A8400" s="10" t="b">
        <v>0</v>
      </c>
      <c r="B8400" s="11" t="str">
        <f>IF(D8400&lt;&gt;"",IF(COUNTIF('USPTO TMs'!A:A,D8400)&gt;0,"Yes","No"),"")</f>
        <v/>
      </c>
      <c r="C8400" s="11"/>
      <c r="D8400" s="11"/>
      <c r="E8400" s="11"/>
      <c r="F8400" s="11"/>
      <c r="G8400" s="11"/>
      <c r="H8400" s="11"/>
      <c r="I8400" s="15"/>
    </row>
    <row r="8401" spans="1:9" ht="16.5">
      <c r="A8401" s="10" t="b">
        <v>0</v>
      </c>
      <c r="B8401" s="11" t="str">
        <f>IF(D8401&lt;&gt;"",IF(COUNTIF('USPTO TMs'!A:A,D8401)&gt;0,"Yes","No"),"")</f>
        <v/>
      </c>
      <c r="C8401" s="11"/>
      <c r="D8401" s="11"/>
      <c r="E8401" s="11"/>
      <c r="F8401" s="11"/>
      <c r="G8401" s="11"/>
      <c r="H8401" s="11"/>
      <c r="I8401" s="15"/>
    </row>
    <row r="8402" spans="1:9" ht="16.5">
      <c r="A8402" s="10" t="b">
        <v>0</v>
      </c>
      <c r="B8402" s="11" t="str">
        <f>IF(D8402&lt;&gt;"",IF(COUNTIF('USPTO TMs'!A:A,D8402)&gt;0,"Yes","No"),"")</f>
        <v/>
      </c>
      <c r="C8402" s="11"/>
      <c r="D8402" s="11"/>
      <c r="E8402" s="11"/>
      <c r="F8402" s="11"/>
      <c r="G8402" s="11"/>
      <c r="H8402" s="11"/>
      <c r="I8402" s="15"/>
    </row>
    <row r="8403" spans="1:9" ht="16.5">
      <c r="A8403" s="10" t="b">
        <v>0</v>
      </c>
      <c r="B8403" s="11" t="str">
        <f>IF(D8403&lt;&gt;"",IF(COUNTIF('USPTO TMs'!A:A,D8403)&gt;0,"Yes","No"),"")</f>
        <v/>
      </c>
      <c r="C8403" s="11"/>
      <c r="D8403" s="11"/>
      <c r="E8403" s="11"/>
      <c r="F8403" s="11"/>
      <c r="G8403" s="11"/>
      <c r="H8403" s="11"/>
      <c r="I8403" s="15"/>
    </row>
    <row r="8404" spans="1:9" ht="16.5">
      <c r="A8404" s="10" t="b">
        <v>0</v>
      </c>
      <c r="B8404" s="11" t="str">
        <f>IF(D8404&lt;&gt;"",IF(COUNTIF('USPTO TMs'!A:A,D8404)&gt;0,"Yes","No"),"")</f>
        <v/>
      </c>
      <c r="C8404" s="11"/>
      <c r="D8404" s="11"/>
      <c r="E8404" s="11"/>
      <c r="F8404" s="11"/>
      <c r="G8404" s="11"/>
      <c r="H8404" s="11"/>
      <c r="I8404" s="15"/>
    </row>
    <row r="8405" spans="1:9" ht="16.5">
      <c r="A8405" s="10" t="b">
        <v>0</v>
      </c>
      <c r="B8405" s="11" t="str">
        <f>IF(D8405&lt;&gt;"",IF(COUNTIF('USPTO TMs'!A:A,D8405)&gt;0,"Yes","No"),"")</f>
        <v/>
      </c>
      <c r="C8405" s="11"/>
      <c r="D8405" s="11"/>
      <c r="E8405" s="11"/>
      <c r="F8405" s="11"/>
      <c r="G8405" s="11"/>
      <c r="H8405" s="11"/>
      <c r="I8405" s="15"/>
    </row>
    <row r="8406" spans="1:9" ht="16.5">
      <c r="A8406" s="10" t="b">
        <v>0</v>
      </c>
      <c r="B8406" s="11" t="str">
        <f>IF(D8406&lt;&gt;"",IF(COUNTIF('USPTO TMs'!A:A,D8406)&gt;0,"Yes","No"),"")</f>
        <v/>
      </c>
      <c r="C8406" s="11"/>
      <c r="D8406" s="11"/>
      <c r="E8406" s="11"/>
      <c r="F8406" s="11"/>
      <c r="G8406" s="11"/>
      <c r="H8406" s="11"/>
      <c r="I8406" s="15"/>
    </row>
    <row r="8407" spans="1:9" ht="16.5">
      <c r="A8407" s="10" t="b">
        <v>0</v>
      </c>
      <c r="B8407" s="11" t="str">
        <f>IF(D8407&lt;&gt;"",IF(COUNTIF('USPTO TMs'!A:A,D8407)&gt;0,"Yes","No"),"")</f>
        <v/>
      </c>
      <c r="C8407" s="11"/>
      <c r="D8407" s="11"/>
      <c r="E8407" s="11"/>
      <c r="F8407" s="11"/>
      <c r="G8407" s="11"/>
      <c r="H8407" s="11"/>
      <c r="I8407" s="15"/>
    </row>
    <row r="8408" spans="1:9" ht="16.5">
      <c r="A8408" s="10" t="b">
        <v>0</v>
      </c>
      <c r="B8408" s="11" t="str">
        <f>IF(D8408&lt;&gt;"",IF(COUNTIF('USPTO TMs'!A:A,D8408)&gt;0,"Yes","No"),"")</f>
        <v/>
      </c>
      <c r="C8408" s="11"/>
      <c r="D8408" s="11"/>
      <c r="E8408" s="11"/>
      <c r="F8408" s="11"/>
      <c r="G8408" s="11"/>
      <c r="H8408" s="11"/>
      <c r="I8408" s="15"/>
    </row>
    <row r="8409" spans="1:9" ht="16.5">
      <c r="A8409" s="10" t="b">
        <v>0</v>
      </c>
      <c r="B8409" s="11" t="str">
        <f>IF(D8409&lt;&gt;"",IF(COUNTIF('USPTO TMs'!A:A,D8409)&gt;0,"Yes","No"),"")</f>
        <v/>
      </c>
      <c r="C8409" s="11"/>
      <c r="D8409" s="11"/>
      <c r="E8409" s="11"/>
      <c r="F8409" s="11"/>
      <c r="G8409" s="11"/>
      <c r="H8409" s="11"/>
      <c r="I8409" s="15"/>
    </row>
    <row r="8410" spans="1:9" ht="16.5">
      <c r="A8410" s="10" t="b">
        <v>0</v>
      </c>
      <c r="B8410" s="11" t="str">
        <f>IF(D8410&lt;&gt;"",IF(COUNTIF('USPTO TMs'!A:A,D8410)&gt;0,"Yes","No"),"")</f>
        <v/>
      </c>
      <c r="C8410" s="11"/>
      <c r="D8410" s="11"/>
      <c r="E8410" s="11"/>
      <c r="F8410" s="11"/>
      <c r="G8410" s="11"/>
      <c r="H8410" s="11"/>
      <c r="I8410" s="15"/>
    </row>
    <row r="8411" spans="1:9" ht="16.5">
      <c r="A8411" s="10" t="b">
        <v>0</v>
      </c>
      <c r="B8411" s="11" t="str">
        <f>IF(D8411&lt;&gt;"",IF(COUNTIF('USPTO TMs'!A:A,D8411)&gt;0,"Yes","No"),"")</f>
        <v/>
      </c>
      <c r="C8411" s="11"/>
      <c r="D8411" s="11"/>
      <c r="E8411" s="11"/>
      <c r="F8411" s="11"/>
      <c r="G8411" s="11"/>
      <c r="H8411" s="11"/>
      <c r="I8411" s="15"/>
    </row>
    <row r="8412" spans="1:9" ht="16.5">
      <c r="A8412" s="10" t="b">
        <v>0</v>
      </c>
      <c r="B8412" s="11" t="str">
        <f>IF(D8412&lt;&gt;"",IF(COUNTIF('USPTO TMs'!A:A,D8412)&gt;0,"Yes","No"),"")</f>
        <v/>
      </c>
      <c r="C8412" s="11"/>
      <c r="D8412" s="11"/>
      <c r="E8412" s="11"/>
      <c r="F8412" s="11"/>
      <c r="G8412" s="11"/>
      <c r="H8412" s="11"/>
      <c r="I8412" s="15"/>
    </row>
    <row r="8413" spans="1:9" ht="16.5">
      <c r="A8413" s="10" t="b">
        <v>0</v>
      </c>
      <c r="B8413" s="11" t="str">
        <f>IF(D8413&lt;&gt;"",IF(COUNTIF('USPTO TMs'!A:A,D8413)&gt;0,"Yes","No"),"")</f>
        <v/>
      </c>
      <c r="C8413" s="11"/>
      <c r="D8413" s="11"/>
      <c r="E8413" s="11"/>
      <c r="F8413" s="11"/>
      <c r="G8413" s="11"/>
      <c r="H8413" s="11"/>
      <c r="I8413" s="15"/>
    </row>
    <row r="8414" spans="1:9" ht="16.5">
      <c r="A8414" s="10" t="b">
        <v>0</v>
      </c>
      <c r="B8414" s="11" t="str">
        <f>IF(D8414&lt;&gt;"",IF(COUNTIF('USPTO TMs'!A:A,D8414)&gt;0,"Yes","No"),"")</f>
        <v/>
      </c>
      <c r="C8414" s="11"/>
      <c r="D8414" s="11"/>
      <c r="E8414" s="11"/>
      <c r="F8414" s="11"/>
      <c r="G8414" s="11"/>
      <c r="H8414" s="11"/>
      <c r="I8414" s="15"/>
    </row>
    <row r="8415" spans="1:9" ht="16.5">
      <c r="A8415" s="10" t="b">
        <v>0</v>
      </c>
      <c r="B8415" s="11" t="str">
        <f>IF(D8415&lt;&gt;"",IF(COUNTIF('USPTO TMs'!A:A,D8415)&gt;0,"Yes","No"),"")</f>
        <v/>
      </c>
      <c r="C8415" s="11"/>
      <c r="D8415" s="11"/>
      <c r="E8415" s="11"/>
      <c r="F8415" s="11"/>
      <c r="G8415" s="11"/>
      <c r="H8415" s="11"/>
      <c r="I8415" s="15"/>
    </row>
    <row r="8416" spans="1:9" ht="16.5">
      <c r="A8416" s="10" t="b">
        <v>0</v>
      </c>
      <c r="B8416" s="11" t="str">
        <f>IF(D8416&lt;&gt;"",IF(COUNTIF('USPTO TMs'!A:A,D8416)&gt;0,"Yes","No"),"")</f>
        <v/>
      </c>
      <c r="C8416" s="11"/>
      <c r="D8416" s="11"/>
      <c r="E8416" s="11"/>
      <c r="F8416" s="11"/>
      <c r="G8416" s="11"/>
      <c r="H8416" s="11"/>
      <c r="I8416" s="15"/>
    </row>
    <row r="8417" spans="1:9" ht="16.5">
      <c r="A8417" s="10" t="b">
        <v>0</v>
      </c>
      <c r="B8417" s="11" t="str">
        <f>IF(D8417&lt;&gt;"",IF(COUNTIF('USPTO TMs'!A:A,D8417)&gt;0,"Yes","No"),"")</f>
        <v/>
      </c>
      <c r="C8417" s="11"/>
      <c r="D8417" s="11"/>
      <c r="E8417" s="11"/>
      <c r="F8417" s="11"/>
      <c r="G8417" s="11"/>
      <c r="H8417" s="11"/>
      <c r="I8417" s="15"/>
    </row>
    <row r="8418" spans="1:9" ht="16.5">
      <c r="A8418" s="10" t="b">
        <v>0</v>
      </c>
      <c r="B8418" s="11" t="str">
        <f>IF(D8418&lt;&gt;"",IF(COUNTIF('USPTO TMs'!A:A,D8418)&gt;0,"Yes","No"),"")</f>
        <v/>
      </c>
      <c r="C8418" s="11"/>
      <c r="D8418" s="11"/>
      <c r="E8418" s="11"/>
      <c r="F8418" s="11"/>
      <c r="G8418" s="11"/>
      <c r="H8418" s="11"/>
      <c r="I8418" s="15"/>
    </row>
    <row r="8419" spans="1:9" ht="16.5">
      <c r="A8419" s="10" t="b">
        <v>0</v>
      </c>
      <c r="B8419" s="11" t="str">
        <f>IF(D8419&lt;&gt;"",IF(COUNTIF('USPTO TMs'!A:A,D8419)&gt;0,"Yes","No"),"")</f>
        <v/>
      </c>
      <c r="C8419" s="11"/>
      <c r="D8419" s="11"/>
      <c r="E8419" s="11"/>
      <c r="F8419" s="11"/>
      <c r="G8419" s="11"/>
      <c r="H8419" s="11"/>
      <c r="I8419" s="15"/>
    </row>
    <row r="8420" spans="1:9" ht="16.5">
      <c r="A8420" s="10" t="b">
        <v>0</v>
      </c>
      <c r="B8420" s="11" t="str">
        <f>IF(D8420&lt;&gt;"",IF(COUNTIF('USPTO TMs'!A:A,D8420)&gt;0,"Yes","No"),"")</f>
        <v/>
      </c>
      <c r="C8420" s="11"/>
      <c r="D8420" s="11"/>
      <c r="E8420" s="11"/>
      <c r="F8420" s="11"/>
      <c r="G8420" s="11"/>
      <c r="H8420" s="11"/>
      <c r="I8420" s="15"/>
    </row>
    <row r="8421" spans="1:9" ht="16.5">
      <c r="A8421" s="10" t="b">
        <v>0</v>
      </c>
      <c r="B8421" s="11" t="str">
        <f>IF(D8421&lt;&gt;"",IF(COUNTIF('USPTO TMs'!A:A,D8421)&gt;0,"Yes","No"),"")</f>
        <v/>
      </c>
      <c r="C8421" s="11"/>
      <c r="D8421" s="11"/>
      <c r="E8421" s="11"/>
      <c r="F8421" s="11"/>
      <c r="G8421" s="11"/>
      <c r="H8421" s="11"/>
      <c r="I8421" s="15"/>
    </row>
    <row r="8422" spans="1:9" ht="16.5">
      <c r="A8422" s="10" t="b">
        <v>0</v>
      </c>
      <c r="B8422" s="11" t="str">
        <f>IF(D8422&lt;&gt;"",IF(COUNTIF('USPTO TMs'!A:A,D8422)&gt;0,"Yes","No"),"")</f>
        <v/>
      </c>
      <c r="C8422" s="11"/>
      <c r="D8422" s="11"/>
      <c r="E8422" s="11"/>
      <c r="F8422" s="11"/>
      <c r="G8422" s="11"/>
      <c r="H8422" s="11"/>
      <c r="I8422" s="15"/>
    </row>
    <row r="8423" spans="1:9" ht="16.5">
      <c r="A8423" s="10" t="b">
        <v>0</v>
      </c>
      <c r="B8423" s="11" t="str">
        <f>IF(D8423&lt;&gt;"",IF(COUNTIF('USPTO TMs'!A:A,D8423)&gt;0,"Yes","No"),"")</f>
        <v/>
      </c>
      <c r="C8423" s="11"/>
      <c r="D8423" s="11"/>
      <c r="E8423" s="11"/>
      <c r="F8423" s="11"/>
      <c r="G8423" s="11"/>
      <c r="H8423" s="11"/>
      <c r="I8423" s="15"/>
    </row>
    <row r="8424" spans="1:9" ht="16.5">
      <c r="A8424" s="10" t="b">
        <v>0</v>
      </c>
      <c r="B8424" s="11" t="str">
        <f>IF(D8424&lt;&gt;"",IF(COUNTIF('USPTO TMs'!A:A,D8424)&gt;0,"Yes","No"),"")</f>
        <v/>
      </c>
      <c r="C8424" s="11"/>
      <c r="D8424" s="11"/>
      <c r="E8424" s="11"/>
      <c r="F8424" s="11"/>
      <c r="G8424" s="11"/>
      <c r="H8424" s="11"/>
      <c r="I8424" s="15"/>
    </row>
    <row r="8425" spans="1:9" ht="16.5">
      <c r="A8425" s="10" t="b">
        <v>0</v>
      </c>
      <c r="B8425" s="11" t="str">
        <f>IF(D8425&lt;&gt;"",IF(COUNTIF('USPTO TMs'!A:A,D8425)&gt;0,"Yes","No"),"")</f>
        <v/>
      </c>
      <c r="C8425" s="11"/>
      <c r="D8425" s="11"/>
      <c r="E8425" s="11"/>
      <c r="F8425" s="11"/>
      <c r="G8425" s="11"/>
      <c r="H8425" s="11"/>
      <c r="I8425" s="15"/>
    </row>
    <row r="8426" spans="1:9" ht="16.5">
      <c r="A8426" s="10" t="b">
        <v>0</v>
      </c>
      <c r="B8426" s="11" t="str">
        <f>IF(D8426&lt;&gt;"",IF(COUNTIF('USPTO TMs'!A:A,D8426)&gt;0,"Yes","No"),"")</f>
        <v/>
      </c>
      <c r="C8426" s="11"/>
      <c r="D8426" s="11"/>
      <c r="E8426" s="11"/>
      <c r="F8426" s="11"/>
      <c r="G8426" s="11"/>
      <c r="H8426" s="11"/>
      <c r="I8426" s="15"/>
    </row>
    <row r="8427" spans="1:9" ht="16.5">
      <c r="A8427" s="10" t="b">
        <v>0</v>
      </c>
      <c r="B8427" s="11" t="str">
        <f>IF(D8427&lt;&gt;"",IF(COUNTIF('USPTO TMs'!A:A,D8427)&gt;0,"Yes","No"),"")</f>
        <v/>
      </c>
      <c r="C8427" s="11"/>
      <c r="D8427" s="11"/>
      <c r="E8427" s="11"/>
      <c r="F8427" s="11"/>
      <c r="G8427" s="11"/>
      <c r="H8427" s="11"/>
      <c r="I8427" s="15"/>
    </row>
    <row r="8428" spans="1:9" ht="16.5">
      <c r="A8428" s="10" t="b">
        <v>0</v>
      </c>
      <c r="B8428" s="11" t="str">
        <f>IF(D8428&lt;&gt;"",IF(COUNTIF('USPTO TMs'!A:A,D8428)&gt;0,"Yes","No"),"")</f>
        <v/>
      </c>
      <c r="C8428" s="11"/>
      <c r="D8428" s="11"/>
      <c r="E8428" s="11"/>
      <c r="F8428" s="11"/>
      <c r="G8428" s="11"/>
      <c r="H8428" s="11"/>
      <c r="I8428" s="15"/>
    </row>
    <row r="8429" spans="1:9" ht="16.5">
      <c r="A8429" s="10" t="b">
        <v>0</v>
      </c>
      <c r="B8429" s="11" t="str">
        <f>IF(D8429&lt;&gt;"",IF(COUNTIF('USPTO TMs'!A:A,D8429)&gt;0,"Yes","No"),"")</f>
        <v/>
      </c>
      <c r="C8429" s="11"/>
      <c r="D8429" s="11"/>
      <c r="E8429" s="11"/>
      <c r="F8429" s="11"/>
      <c r="G8429" s="11"/>
      <c r="H8429" s="11"/>
      <c r="I8429" s="15"/>
    </row>
    <row r="8430" spans="1:9" ht="16.5">
      <c r="A8430" s="10" t="b">
        <v>0</v>
      </c>
      <c r="B8430" s="11" t="str">
        <f>IF(D8430&lt;&gt;"",IF(COUNTIF('USPTO TMs'!A:A,D8430)&gt;0,"Yes","No"),"")</f>
        <v/>
      </c>
      <c r="C8430" s="11"/>
      <c r="D8430" s="11"/>
      <c r="E8430" s="11"/>
      <c r="F8430" s="11"/>
      <c r="G8430" s="11"/>
      <c r="H8430" s="11"/>
      <c r="I8430" s="15"/>
    </row>
    <row r="8431" spans="1:9" ht="16.5">
      <c r="A8431" s="10" t="b">
        <v>0</v>
      </c>
      <c r="B8431" s="11" t="str">
        <f>IF(D8431&lt;&gt;"",IF(COUNTIF('USPTO TMs'!A:A,D8431)&gt;0,"Yes","No"),"")</f>
        <v/>
      </c>
      <c r="C8431" s="11"/>
      <c r="D8431" s="11"/>
      <c r="E8431" s="11"/>
      <c r="F8431" s="11"/>
      <c r="G8431" s="11"/>
      <c r="H8431" s="11"/>
      <c r="I8431" s="15"/>
    </row>
    <row r="8432" spans="1:9" ht="16.5">
      <c r="A8432" s="10" t="b">
        <v>0</v>
      </c>
      <c r="B8432" s="11" t="str">
        <f>IF(D8432&lt;&gt;"",IF(COUNTIF('USPTO TMs'!A:A,D8432)&gt;0,"Yes","No"),"")</f>
        <v/>
      </c>
      <c r="C8432" s="11"/>
      <c r="D8432" s="11"/>
      <c r="E8432" s="11"/>
      <c r="F8432" s="11"/>
      <c r="G8432" s="11"/>
      <c r="H8432" s="11"/>
      <c r="I8432" s="15"/>
    </row>
    <row r="8433" spans="1:9" ht="16.5">
      <c r="A8433" s="10" t="b">
        <v>0</v>
      </c>
      <c r="B8433" s="11" t="str">
        <f>IF(D8433&lt;&gt;"",IF(COUNTIF('USPTO TMs'!A:A,D8433)&gt;0,"Yes","No"),"")</f>
        <v/>
      </c>
      <c r="C8433" s="11"/>
      <c r="D8433" s="11"/>
      <c r="E8433" s="11"/>
      <c r="F8433" s="11"/>
      <c r="G8433" s="11"/>
      <c r="H8433" s="11"/>
      <c r="I8433" s="15"/>
    </row>
    <row r="8434" spans="1:9" ht="16.5">
      <c r="A8434" s="10" t="b">
        <v>0</v>
      </c>
      <c r="B8434" s="11" t="str">
        <f>IF(D8434&lt;&gt;"",IF(COUNTIF('USPTO TMs'!A:A,D8434)&gt;0,"Yes","No"),"")</f>
        <v/>
      </c>
      <c r="C8434" s="11"/>
      <c r="D8434" s="11"/>
      <c r="E8434" s="11"/>
      <c r="F8434" s="11"/>
      <c r="G8434" s="11"/>
      <c r="H8434" s="11"/>
      <c r="I8434" s="15"/>
    </row>
    <row r="8435" spans="1:9" ht="16.5">
      <c r="A8435" s="10" t="b">
        <v>0</v>
      </c>
      <c r="B8435" s="11" t="str">
        <f>IF(D8435&lt;&gt;"",IF(COUNTIF('USPTO TMs'!A:A,D8435)&gt;0,"Yes","No"),"")</f>
        <v/>
      </c>
      <c r="C8435" s="11"/>
      <c r="D8435" s="11"/>
      <c r="E8435" s="11"/>
      <c r="F8435" s="11"/>
      <c r="G8435" s="11"/>
      <c r="H8435" s="11"/>
      <c r="I8435" s="15"/>
    </row>
    <row r="8436" spans="1:9" ht="16.5">
      <c r="A8436" s="10" t="b">
        <v>0</v>
      </c>
      <c r="B8436" s="11" t="str">
        <f>IF(D8436&lt;&gt;"",IF(COUNTIF('USPTO TMs'!A:A,D8436)&gt;0,"Yes","No"),"")</f>
        <v/>
      </c>
      <c r="C8436" s="11"/>
      <c r="D8436" s="11"/>
      <c r="E8436" s="11"/>
      <c r="F8436" s="11"/>
      <c r="G8436" s="11"/>
      <c r="H8436" s="11"/>
      <c r="I8436" s="15"/>
    </row>
    <row r="8437" spans="1:9" ht="16.5">
      <c r="A8437" s="10" t="b">
        <v>0</v>
      </c>
      <c r="B8437" s="11" t="str">
        <f>IF(D8437&lt;&gt;"",IF(COUNTIF('USPTO TMs'!A:A,D8437)&gt;0,"Yes","No"),"")</f>
        <v/>
      </c>
      <c r="C8437" s="11"/>
      <c r="D8437" s="11"/>
      <c r="E8437" s="11"/>
      <c r="F8437" s="11"/>
      <c r="G8437" s="11"/>
      <c r="H8437" s="11"/>
      <c r="I8437" s="15"/>
    </row>
    <row r="8438" spans="1:9" ht="16.5">
      <c r="A8438" s="10" t="b">
        <v>0</v>
      </c>
      <c r="B8438" s="11" t="str">
        <f>IF(D8438&lt;&gt;"",IF(COUNTIF('USPTO TMs'!A:A,D8438)&gt;0,"Yes","No"),"")</f>
        <v/>
      </c>
      <c r="C8438" s="11"/>
      <c r="D8438" s="11"/>
      <c r="E8438" s="11"/>
      <c r="F8438" s="11"/>
      <c r="G8438" s="11"/>
      <c r="H8438" s="11"/>
      <c r="I8438" s="15"/>
    </row>
    <row r="8439" spans="1:9" ht="16.5">
      <c r="A8439" s="10" t="b">
        <v>0</v>
      </c>
      <c r="B8439" s="11" t="str">
        <f>IF(D8439&lt;&gt;"",IF(COUNTIF('USPTO TMs'!A:A,D8439)&gt;0,"Yes","No"),"")</f>
        <v/>
      </c>
      <c r="C8439" s="11"/>
      <c r="D8439" s="11"/>
      <c r="E8439" s="11"/>
      <c r="F8439" s="11"/>
      <c r="G8439" s="11"/>
      <c r="H8439" s="11"/>
      <c r="I8439" s="15"/>
    </row>
    <row r="8440" spans="1:9" ht="16.5">
      <c r="A8440" s="10" t="b">
        <v>0</v>
      </c>
      <c r="B8440" s="11" t="str">
        <f>IF(D8440&lt;&gt;"",IF(COUNTIF('USPTO TMs'!A:A,D8440)&gt;0,"Yes","No"),"")</f>
        <v/>
      </c>
      <c r="C8440" s="11"/>
      <c r="D8440" s="11"/>
      <c r="E8440" s="11"/>
      <c r="F8440" s="11"/>
      <c r="G8440" s="11"/>
      <c r="H8440" s="11"/>
      <c r="I8440" s="15"/>
    </row>
    <row r="8441" spans="1:9" ht="16.5">
      <c r="A8441" s="10" t="b">
        <v>0</v>
      </c>
      <c r="B8441" s="11" t="str">
        <f>IF(D8441&lt;&gt;"",IF(COUNTIF('USPTO TMs'!A:A,D8441)&gt;0,"Yes","No"),"")</f>
        <v/>
      </c>
      <c r="C8441" s="11"/>
      <c r="D8441" s="11"/>
      <c r="E8441" s="11"/>
      <c r="F8441" s="11"/>
      <c r="G8441" s="11"/>
      <c r="H8441" s="11"/>
      <c r="I8441" s="15"/>
    </row>
    <row r="8442" spans="1:9" ht="16.5">
      <c r="A8442" s="10" t="b">
        <v>0</v>
      </c>
      <c r="B8442" s="11" t="str">
        <f>IF(D8442&lt;&gt;"",IF(COUNTIF('USPTO TMs'!A:A,D8442)&gt;0,"Yes","No"),"")</f>
        <v/>
      </c>
      <c r="C8442" s="11"/>
      <c r="D8442" s="11"/>
      <c r="E8442" s="11"/>
      <c r="F8442" s="11"/>
      <c r="G8442" s="11"/>
      <c r="H8442" s="11"/>
      <c r="I8442" s="15"/>
    </row>
    <row r="8443" spans="1:9" ht="16.5">
      <c r="A8443" s="10" t="b">
        <v>0</v>
      </c>
      <c r="B8443" s="11" t="str">
        <f>IF(D8443&lt;&gt;"",IF(COUNTIF('USPTO TMs'!A:A,D8443)&gt;0,"Yes","No"),"")</f>
        <v/>
      </c>
      <c r="C8443" s="11"/>
      <c r="D8443" s="11"/>
      <c r="E8443" s="11"/>
      <c r="F8443" s="11"/>
      <c r="G8443" s="11"/>
      <c r="H8443" s="11"/>
      <c r="I8443" s="15"/>
    </row>
    <row r="8444" spans="1:9" ht="16.5">
      <c r="A8444" s="10" t="b">
        <v>0</v>
      </c>
      <c r="B8444" s="11" t="str">
        <f>IF(D8444&lt;&gt;"",IF(COUNTIF('USPTO TMs'!A:A,D8444)&gt;0,"Yes","No"),"")</f>
        <v/>
      </c>
      <c r="C8444" s="11"/>
      <c r="D8444" s="11"/>
      <c r="E8444" s="11"/>
      <c r="F8444" s="11"/>
      <c r="G8444" s="11"/>
      <c r="H8444" s="11"/>
      <c r="I8444" s="15"/>
    </row>
    <row r="8445" spans="1:9" ht="16.5">
      <c r="A8445" s="10" t="b">
        <v>0</v>
      </c>
      <c r="B8445" s="11" t="str">
        <f>IF(D8445&lt;&gt;"",IF(COUNTIF('USPTO TMs'!A:A,D8445)&gt;0,"Yes","No"),"")</f>
        <v/>
      </c>
      <c r="C8445" s="11"/>
      <c r="D8445" s="11"/>
      <c r="E8445" s="11"/>
      <c r="F8445" s="11"/>
      <c r="G8445" s="11"/>
      <c r="H8445" s="11"/>
      <c r="I8445" s="15"/>
    </row>
    <row r="8446" spans="1:9" ht="16.5">
      <c r="A8446" s="10" t="b">
        <v>0</v>
      </c>
      <c r="B8446" s="11" t="str">
        <f>IF(D8446&lt;&gt;"",IF(COUNTIF('USPTO TMs'!A:A,D8446)&gt;0,"Yes","No"),"")</f>
        <v/>
      </c>
      <c r="C8446" s="11"/>
      <c r="D8446" s="11"/>
      <c r="E8446" s="11"/>
      <c r="F8446" s="11"/>
      <c r="G8446" s="11"/>
      <c r="H8446" s="11"/>
      <c r="I8446" s="15"/>
    </row>
    <row r="8447" spans="1:9" ht="16.5">
      <c r="A8447" s="10" t="b">
        <v>0</v>
      </c>
      <c r="B8447" s="11" t="str">
        <f>IF(D8447&lt;&gt;"",IF(COUNTIF('USPTO TMs'!A:A,D8447)&gt;0,"Yes","No"),"")</f>
        <v/>
      </c>
      <c r="C8447" s="11"/>
      <c r="D8447" s="11"/>
      <c r="E8447" s="11"/>
      <c r="F8447" s="11"/>
      <c r="G8447" s="11"/>
      <c r="H8447" s="11"/>
      <c r="I8447" s="15"/>
    </row>
    <row r="8448" spans="1:9" ht="16.5">
      <c r="A8448" s="10" t="b">
        <v>0</v>
      </c>
      <c r="B8448" s="11" t="str">
        <f>IF(D8448&lt;&gt;"",IF(COUNTIF('USPTO TMs'!A:A,D8448)&gt;0,"Yes","No"),"")</f>
        <v/>
      </c>
      <c r="C8448" s="11"/>
      <c r="D8448" s="11"/>
      <c r="E8448" s="11"/>
      <c r="F8448" s="11"/>
      <c r="G8448" s="11"/>
      <c r="H8448" s="11"/>
      <c r="I8448" s="15"/>
    </row>
    <row r="8449" spans="1:9" ht="16.5">
      <c r="A8449" s="10" t="b">
        <v>0</v>
      </c>
      <c r="B8449" s="11" t="str">
        <f>IF(D8449&lt;&gt;"",IF(COUNTIF('USPTO TMs'!A:A,D8449)&gt;0,"Yes","No"),"")</f>
        <v/>
      </c>
      <c r="C8449" s="11"/>
      <c r="D8449" s="11"/>
      <c r="E8449" s="11"/>
      <c r="F8449" s="11"/>
      <c r="G8449" s="11"/>
      <c r="H8449" s="11"/>
      <c r="I8449" s="15"/>
    </row>
    <row r="8450" spans="1:9" ht="16.5">
      <c r="A8450" s="10" t="b">
        <v>0</v>
      </c>
      <c r="B8450" s="11" t="str">
        <f>IF(D8450&lt;&gt;"",IF(COUNTIF('USPTO TMs'!A:A,D8450)&gt;0,"Yes","No"),"")</f>
        <v/>
      </c>
      <c r="C8450" s="11"/>
      <c r="D8450" s="11"/>
      <c r="E8450" s="11"/>
      <c r="F8450" s="11"/>
      <c r="G8450" s="11"/>
      <c r="H8450" s="11"/>
      <c r="I8450" s="15"/>
    </row>
    <row r="8451" spans="1:9" ht="16.5">
      <c r="A8451" s="10" t="b">
        <v>0</v>
      </c>
      <c r="B8451" s="11" t="str">
        <f>IF(D8451&lt;&gt;"",IF(COUNTIF('USPTO TMs'!A:A,D8451)&gt;0,"Yes","No"),"")</f>
        <v/>
      </c>
      <c r="C8451" s="11"/>
      <c r="D8451" s="11"/>
      <c r="E8451" s="11"/>
      <c r="F8451" s="11"/>
      <c r="G8451" s="11"/>
      <c r="H8451" s="11"/>
      <c r="I8451" s="15"/>
    </row>
    <row r="8452" spans="1:9" ht="16.5">
      <c r="A8452" s="10" t="b">
        <v>0</v>
      </c>
      <c r="B8452" s="11" t="str">
        <f>IF(D8452&lt;&gt;"",IF(COUNTIF('USPTO TMs'!A:A,D8452)&gt;0,"Yes","No"),"")</f>
        <v/>
      </c>
      <c r="C8452" s="11"/>
      <c r="D8452" s="11"/>
      <c r="E8452" s="11"/>
      <c r="F8452" s="11"/>
      <c r="G8452" s="11"/>
      <c r="H8452" s="11"/>
      <c r="I8452" s="15"/>
    </row>
    <row r="8453" spans="1:9" ht="16.5">
      <c r="A8453" s="10" t="b">
        <v>0</v>
      </c>
      <c r="B8453" s="11" t="str">
        <f>IF(D8453&lt;&gt;"",IF(COUNTIF('USPTO TMs'!A:A,D8453)&gt;0,"Yes","No"),"")</f>
        <v/>
      </c>
      <c r="C8453" s="11"/>
      <c r="D8453" s="11"/>
      <c r="E8453" s="11"/>
      <c r="F8453" s="11"/>
      <c r="G8453" s="11"/>
      <c r="H8453" s="11"/>
      <c r="I8453" s="15"/>
    </row>
    <row r="8454" spans="1:9" ht="16.5">
      <c r="A8454" s="10" t="b">
        <v>0</v>
      </c>
      <c r="B8454" s="11" t="str">
        <f>IF(D8454&lt;&gt;"",IF(COUNTIF('USPTO TMs'!A:A,D8454)&gt;0,"Yes","No"),"")</f>
        <v/>
      </c>
      <c r="C8454" s="11"/>
      <c r="D8454" s="11"/>
      <c r="E8454" s="11"/>
      <c r="F8454" s="11"/>
      <c r="G8454" s="11"/>
      <c r="H8454" s="11"/>
      <c r="I8454" s="15"/>
    </row>
    <row r="8455" spans="1:9" ht="16.5">
      <c r="A8455" s="10" t="b">
        <v>0</v>
      </c>
      <c r="B8455" s="11" t="str">
        <f>IF(D8455&lt;&gt;"",IF(COUNTIF('USPTO TMs'!A:A,D8455)&gt;0,"Yes","No"),"")</f>
        <v/>
      </c>
      <c r="C8455" s="11"/>
      <c r="D8455" s="11"/>
      <c r="E8455" s="11"/>
      <c r="F8455" s="11"/>
      <c r="G8455" s="11"/>
      <c r="H8455" s="11"/>
      <c r="I8455" s="15"/>
    </row>
    <row r="8456" spans="1:9" ht="16.5">
      <c r="A8456" s="10" t="b">
        <v>0</v>
      </c>
      <c r="B8456" s="11" t="str">
        <f>IF(D8456&lt;&gt;"",IF(COUNTIF('USPTO TMs'!A:A,D8456)&gt;0,"Yes","No"),"")</f>
        <v/>
      </c>
      <c r="C8456" s="11"/>
      <c r="D8456" s="11"/>
      <c r="E8456" s="11"/>
      <c r="F8456" s="11"/>
      <c r="G8456" s="11"/>
      <c r="H8456" s="11"/>
      <c r="I8456" s="15"/>
    </row>
    <row r="8457" spans="1:9" ht="16.5">
      <c r="A8457" s="10" t="b">
        <v>0</v>
      </c>
      <c r="B8457" s="11" t="str">
        <f>IF(D8457&lt;&gt;"",IF(COUNTIF('USPTO TMs'!A:A,D8457)&gt;0,"Yes","No"),"")</f>
        <v/>
      </c>
      <c r="C8457" s="11"/>
      <c r="D8457" s="11"/>
      <c r="E8457" s="11"/>
      <c r="F8457" s="11"/>
      <c r="G8457" s="11"/>
      <c r="H8457" s="11"/>
      <c r="I8457" s="15"/>
    </row>
    <row r="8458" spans="1:9" ht="16.5">
      <c r="A8458" s="10" t="b">
        <v>0</v>
      </c>
      <c r="B8458" s="11" t="str">
        <f>IF(D8458&lt;&gt;"",IF(COUNTIF('USPTO TMs'!A:A,D8458)&gt;0,"Yes","No"),"")</f>
        <v/>
      </c>
      <c r="C8458" s="11"/>
      <c r="D8458" s="11"/>
      <c r="E8458" s="11"/>
      <c r="F8458" s="11"/>
      <c r="G8458" s="11"/>
      <c r="H8458" s="11"/>
      <c r="I8458" s="15"/>
    </row>
    <row r="8459" spans="1:9" ht="16.5">
      <c r="A8459" s="10" t="b">
        <v>0</v>
      </c>
      <c r="B8459" s="11" t="str">
        <f>IF(D8459&lt;&gt;"",IF(COUNTIF('USPTO TMs'!A:A,D8459)&gt;0,"Yes","No"),"")</f>
        <v/>
      </c>
      <c r="C8459" s="11"/>
      <c r="D8459" s="11"/>
      <c r="E8459" s="11"/>
      <c r="F8459" s="11"/>
      <c r="G8459" s="11"/>
      <c r="H8459" s="11"/>
      <c r="I8459" s="15"/>
    </row>
    <row r="8460" spans="1:9" ht="16.5">
      <c r="A8460" s="10" t="b">
        <v>0</v>
      </c>
      <c r="B8460" s="11" t="str">
        <f>IF(D8460&lt;&gt;"",IF(COUNTIF('USPTO TMs'!A:A,D8460)&gt;0,"Yes","No"),"")</f>
        <v/>
      </c>
      <c r="C8460" s="11"/>
      <c r="D8460" s="11"/>
      <c r="E8460" s="11"/>
      <c r="F8460" s="11"/>
      <c r="G8460" s="11"/>
      <c r="H8460" s="11"/>
      <c r="I8460" s="15"/>
    </row>
    <row r="8461" spans="1:9" ht="16.5">
      <c r="A8461" s="10" t="b">
        <v>0</v>
      </c>
      <c r="B8461" s="11" t="str">
        <f>IF(D8461&lt;&gt;"",IF(COUNTIF('USPTO TMs'!A:A,D8461)&gt;0,"Yes","No"),"")</f>
        <v/>
      </c>
      <c r="C8461" s="11"/>
      <c r="D8461" s="11"/>
      <c r="E8461" s="11"/>
      <c r="F8461" s="11"/>
      <c r="G8461" s="11"/>
      <c r="H8461" s="11"/>
      <c r="I8461" s="15"/>
    </row>
    <row r="8462" spans="1:9" ht="16.5">
      <c r="A8462" s="10" t="b">
        <v>0</v>
      </c>
      <c r="B8462" s="11" t="str">
        <f>IF(D8462&lt;&gt;"",IF(COUNTIF('USPTO TMs'!A:A,D8462)&gt;0,"Yes","No"),"")</f>
        <v/>
      </c>
      <c r="C8462" s="11"/>
      <c r="D8462" s="11"/>
      <c r="E8462" s="11"/>
      <c r="F8462" s="11"/>
      <c r="G8462" s="11"/>
      <c r="H8462" s="11"/>
      <c r="I8462" s="15"/>
    </row>
    <row r="8463" spans="1:9" ht="16.5">
      <c r="A8463" s="10" t="b">
        <v>0</v>
      </c>
      <c r="B8463" s="11" t="str">
        <f>IF(D8463&lt;&gt;"",IF(COUNTIF('USPTO TMs'!A:A,D8463)&gt;0,"Yes","No"),"")</f>
        <v/>
      </c>
      <c r="C8463" s="11"/>
      <c r="D8463" s="11"/>
      <c r="E8463" s="11"/>
      <c r="F8463" s="11"/>
      <c r="G8463" s="11"/>
      <c r="H8463" s="11"/>
      <c r="I8463" s="15"/>
    </row>
    <row r="8464" spans="1:9" ht="16.5">
      <c r="A8464" s="10" t="b">
        <v>0</v>
      </c>
      <c r="B8464" s="11" t="str">
        <f>IF(D8464&lt;&gt;"",IF(COUNTIF('USPTO TMs'!A:A,D8464)&gt;0,"Yes","No"),"")</f>
        <v/>
      </c>
      <c r="C8464" s="11"/>
      <c r="D8464" s="11"/>
      <c r="E8464" s="11"/>
      <c r="F8464" s="11"/>
      <c r="G8464" s="11"/>
      <c r="H8464" s="11"/>
      <c r="I8464" s="15"/>
    </row>
    <row r="8465" spans="1:9" ht="16.5">
      <c r="A8465" s="10" t="b">
        <v>0</v>
      </c>
      <c r="B8465" s="11" t="str">
        <f>IF(D8465&lt;&gt;"",IF(COUNTIF('USPTO TMs'!A:A,D8465)&gt;0,"Yes","No"),"")</f>
        <v/>
      </c>
      <c r="C8465" s="11"/>
      <c r="D8465" s="11"/>
      <c r="E8465" s="11"/>
      <c r="F8465" s="11"/>
      <c r="G8465" s="11"/>
      <c r="H8465" s="11"/>
      <c r="I8465" s="15"/>
    </row>
    <row r="8466" spans="1:9" ht="16.5">
      <c r="A8466" s="10" t="b">
        <v>0</v>
      </c>
      <c r="B8466" s="11" t="str">
        <f>IF(D8466&lt;&gt;"",IF(COUNTIF('USPTO TMs'!A:A,D8466)&gt;0,"Yes","No"),"")</f>
        <v/>
      </c>
      <c r="C8466" s="11"/>
      <c r="D8466" s="11"/>
      <c r="E8466" s="11"/>
      <c r="F8466" s="11"/>
      <c r="G8466" s="11"/>
      <c r="H8466" s="11"/>
      <c r="I8466" s="15"/>
    </row>
    <row r="8467" spans="1:9" ht="16.5">
      <c r="A8467" s="10" t="b">
        <v>0</v>
      </c>
      <c r="B8467" s="11" t="str">
        <f>IF(D8467&lt;&gt;"",IF(COUNTIF('USPTO TMs'!A:A,D8467)&gt;0,"Yes","No"),"")</f>
        <v/>
      </c>
      <c r="C8467" s="11"/>
      <c r="D8467" s="11"/>
      <c r="E8467" s="11"/>
      <c r="F8467" s="11"/>
      <c r="G8467" s="11"/>
      <c r="H8467" s="11"/>
      <c r="I8467" s="15"/>
    </row>
    <row r="8468" spans="1:9" ht="16.5">
      <c r="A8468" s="10" t="b">
        <v>0</v>
      </c>
      <c r="B8468" s="11" t="str">
        <f>IF(D8468&lt;&gt;"",IF(COUNTIF('USPTO TMs'!A:A,D8468)&gt;0,"Yes","No"),"")</f>
        <v/>
      </c>
      <c r="C8468" s="11"/>
      <c r="D8468" s="11"/>
      <c r="E8468" s="11"/>
      <c r="F8468" s="11"/>
      <c r="G8468" s="11"/>
      <c r="H8468" s="11"/>
      <c r="I8468" s="15"/>
    </row>
    <row r="8469" spans="1:9" ht="16.5">
      <c r="A8469" s="10" t="b">
        <v>0</v>
      </c>
      <c r="B8469" s="11" t="str">
        <f>IF(D8469&lt;&gt;"",IF(COUNTIF('USPTO TMs'!A:A,D8469)&gt;0,"Yes","No"),"")</f>
        <v/>
      </c>
      <c r="C8469" s="11"/>
      <c r="D8469" s="11"/>
      <c r="E8469" s="11"/>
      <c r="F8469" s="11"/>
      <c r="G8469" s="11"/>
      <c r="H8469" s="11"/>
      <c r="I8469" s="15"/>
    </row>
    <row r="8470" spans="1:9" ht="16.5">
      <c r="A8470" s="10" t="b">
        <v>0</v>
      </c>
      <c r="B8470" s="11" t="str">
        <f>IF(D8470&lt;&gt;"",IF(COUNTIF('USPTO TMs'!A:A,D8470)&gt;0,"Yes","No"),"")</f>
        <v/>
      </c>
      <c r="C8470" s="11"/>
      <c r="D8470" s="11"/>
      <c r="E8470" s="11"/>
      <c r="F8470" s="11"/>
      <c r="G8470" s="11"/>
      <c r="H8470" s="11"/>
      <c r="I8470" s="15"/>
    </row>
    <row r="8471" spans="1:9" ht="16.5">
      <c r="A8471" s="10" t="b">
        <v>0</v>
      </c>
      <c r="B8471" s="11" t="str">
        <f>IF(D8471&lt;&gt;"",IF(COUNTIF('USPTO TMs'!A:A,D8471)&gt;0,"Yes","No"),"")</f>
        <v/>
      </c>
      <c r="C8471" s="11"/>
      <c r="D8471" s="11"/>
      <c r="E8471" s="11"/>
      <c r="F8471" s="11"/>
      <c r="G8471" s="11"/>
      <c r="H8471" s="11"/>
      <c r="I8471" s="15"/>
    </row>
    <row r="8472" spans="1:9" ht="16.5">
      <c r="A8472" s="10" t="b">
        <v>0</v>
      </c>
      <c r="B8472" s="11" t="str">
        <f>IF(D8472&lt;&gt;"",IF(COUNTIF('USPTO TMs'!A:A,D8472)&gt;0,"Yes","No"),"")</f>
        <v/>
      </c>
      <c r="C8472" s="11"/>
      <c r="D8472" s="11"/>
      <c r="E8472" s="11"/>
      <c r="F8472" s="11"/>
      <c r="G8472" s="11"/>
      <c r="H8472" s="11"/>
      <c r="I8472" s="15"/>
    </row>
    <row r="8473" spans="1:9" ht="16.5">
      <c r="A8473" s="10" t="b">
        <v>0</v>
      </c>
      <c r="B8473" s="11" t="str">
        <f>IF(D8473&lt;&gt;"",IF(COUNTIF('USPTO TMs'!A:A,D8473)&gt;0,"Yes","No"),"")</f>
        <v/>
      </c>
      <c r="C8473" s="11"/>
      <c r="D8473" s="11"/>
      <c r="E8473" s="11"/>
      <c r="F8473" s="11"/>
      <c r="G8473" s="11"/>
      <c r="H8473" s="11"/>
      <c r="I8473" s="15"/>
    </row>
    <row r="8474" spans="1:9" ht="16.5">
      <c r="A8474" s="10" t="b">
        <v>0</v>
      </c>
      <c r="B8474" s="11" t="str">
        <f>IF(D8474&lt;&gt;"",IF(COUNTIF('USPTO TMs'!A:A,D8474)&gt;0,"Yes","No"),"")</f>
        <v/>
      </c>
      <c r="C8474" s="11"/>
      <c r="D8474" s="11"/>
      <c r="E8474" s="11"/>
      <c r="F8474" s="11"/>
      <c r="G8474" s="11"/>
      <c r="H8474" s="11"/>
      <c r="I8474" s="15"/>
    </row>
    <row r="8475" spans="1:9" ht="16.5">
      <c r="A8475" s="10" t="b">
        <v>0</v>
      </c>
      <c r="B8475" s="11" t="str">
        <f>IF(D8475&lt;&gt;"",IF(COUNTIF('USPTO TMs'!A:A,D8475)&gt;0,"Yes","No"),"")</f>
        <v/>
      </c>
      <c r="C8475" s="11"/>
      <c r="D8475" s="11"/>
      <c r="E8475" s="11"/>
      <c r="F8475" s="11"/>
      <c r="G8475" s="11"/>
      <c r="H8475" s="11"/>
      <c r="I8475" s="15"/>
    </row>
    <row r="8476" spans="1:9" ht="16.5">
      <c r="A8476" s="10" t="b">
        <v>0</v>
      </c>
      <c r="B8476" s="11" t="str">
        <f>IF(D8476&lt;&gt;"",IF(COUNTIF('USPTO TMs'!A:A,D8476)&gt;0,"Yes","No"),"")</f>
        <v/>
      </c>
      <c r="C8476" s="11"/>
      <c r="D8476" s="11"/>
      <c r="E8476" s="11"/>
      <c r="F8476" s="11"/>
      <c r="G8476" s="11"/>
      <c r="H8476" s="11"/>
      <c r="I8476" s="15"/>
    </row>
    <row r="8477" spans="1:9" ht="16.5">
      <c r="A8477" s="10" t="b">
        <v>0</v>
      </c>
      <c r="B8477" s="11" t="str">
        <f>IF(D8477&lt;&gt;"",IF(COUNTIF('USPTO TMs'!A:A,D8477)&gt;0,"Yes","No"),"")</f>
        <v/>
      </c>
      <c r="C8477" s="11"/>
      <c r="D8477" s="11"/>
      <c r="E8477" s="11"/>
      <c r="F8477" s="11"/>
      <c r="G8477" s="11"/>
      <c r="H8477" s="11"/>
      <c r="I8477" s="15"/>
    </row>
    <row r="8478" spans="1:9" ht="16.5">
      <c r="A8478" s="10" t="b">
        <v>0</v>
      </c>
      <c r="B8478" s="11" t="str">
        <f>IF(D8478&lt;&gt;"",IF(COUNTIF('USPTO TMs'!A:A,D8478)&gt;0,"Yes","No"),"")</f>
        <v/>
      </c>
      <c r="C8478" s="11"/>
      <c r="D8478" s="11"/>
      <c r="E8478" s="11"/>
      <c r="F8478" s="11"/>
      <c r="G8478" s="11"/>
      <c r="H8478" s="11"/>
      <c r="I8478" s="15"/>
    </row>
    <row r="8479" spans="1:9" ht="16.5">
      <c r="A8479" s="10" t="b">
        <v>0</v>
      </c>
      <c r="B8479" s="11" t="str">
        <f>IF(D8479&lt;&gt;"",IF(COUNTIF('USPTO TMs'!A:A,D8479)&gt;0,"Yes","No"),"")</f>
        <v/>
      </c>
      <c r="C8479" s="11"/>
      <c r="D8479" s="11"/>
      <c r="E8479" s="11"/>
      <c r="F8479" s="11"/>
      <c r="G8479" s="11"/>
      <c r="H8479" s="11"/>
      <c r="I8479" s="15"/>
    </row>
    <row r="8480" spans="1:9" ht="16.5">
      <c r="A8480" s="10" t="b">
        <v>0</v>
      </c>
      <c r="B8480" s="11" t="str">
        <f>IF(D8480&lt;&gt;"",IF(COUNTIF('USPTO TMs'!A:A,D8480)&gt;0,"Yes","No"),"")</f>
        <v/>
      </c>
      <c r="C8480" s="11"/>
      <c r="D8480" s="11"/>
      <c r="E8480" s="11"/>
      <c r="F8480" s="11"/>
      <c r="G8480" s="11"/>
      <c r="H8480" s="11"/>
      <c r="I8480" s="15"/>
    </row>
    <row r="8481" spans="1:9" ht="16.5">
      <c r="A8481" s="10" t="b">
        <v>0</v>
      </c>
      <c r="B8481" s="11" t="str">
        <f>IF(D8481&lt;&gt;"",IF(COUNTIF('USPTO TMs'!A:A,D8481)&gt;0,"Yes","No"),"")</f>
        <v/>
      </c>
      <c r="C8481" s="11"/>
      <c r="D8481" s="11"/>
      <c r="E8481" s="11"/>
      <c r="F8481" s="11"/>
      <c r="G8481" s="11"/>
      <c r="H8481" s="11"/>
      <c r="I8481" s="15"/>
    </row>
    <row r="8482" spans="1:9" ht="16.5">
      <c r="A8482" s="10" t="b">
        <v>0</v>
      </c>
      <c r="B8482" s="11" t="str">
        <f>IF(D8482&lt;&gt;"",IF(COUNTIF('USPTO TMs'!A:A,D8482)&gt;0,"Yes","No"),"")</f>
        <v/>
      </c>
      <c r="C8482" s="11"/>
      <c r="D8482" s="11"/>
      <c r="E8482" s="11"/>
      <c r="F8482" s="11"/>
      <c r="G8482" s="11"/>
      <c r="H8482" s="11"/>
      <c r="I8482" s="15"/>
    </row>
    <row r="8483" spans="1:9" ht="16.5">
      <c r="A8483" s="10" t="b">
        <v>0</v>
      </c>
      <c r="B8483" s="11" t="str">
        <f>IF(D8483&lt;&gt;"",IF(COUNTIF('USPTO TMs'!A:A,D8483)&gt;0,"Yes","No"),"")</f>
        <v/>
      </c>
      <c r="C8483" s="11"/>
      <c r="D8483" s="11"/>
      <c r="E8483" s="11"/>
      <c r="F8483" s="11"/>
      <c r="G8483" s="11"/>
      <c r="H8483" s="11"/>
      <c r="I8483" s="15"/>
    </row>
    <row r="8484" spans="1:9" ht="16.5">
      <c r="A8484" s="10" t="b">
        <v>0</v>
      </c>
      <c r="B8484" s="11" t="str">
        <f>IF(D8484&lt;&gt;"",IF(COUNTIF('USPTO TMs'!A:A,D8484)&gt;0,"Yes","No"),"")</f>
        <v/>
      </c>
      <c r="C8484" s="11"/>
      <c r="D8484" s="11"/>
      <c r="E8484" s="11"/>
      <c r="F8484" s="11"/>
      <c r="G8484" s="11"/>
      <c r="H8484" s="11"/>
      <c r="I8484" s="15"/>
    </row>
    <row r="8485" spans="1:9" ht="16.5">
      <c r="A8485" s="10" t="b">
        <v>0</v>
      </c>
      <c r="B8485" s="11" t="str">
        <f>IF(D8485&lt;&gt;"",IF(COUNTIF('USPTO TMs'!A:A,D8485)&gt;0,"Yes","No"),"")</f>
        <v/>
      </c>
      <c r="C8485" s="11"/>
      <c r="D8485" s="11"/>
      <c r="E8485" s="11"/>
      <c r="F8485" s="11"/>
      <c r="G8485" s="11"/>
      <c r="H8485" s="11"/>
      <c r="I8485" s="15"/>
    </row>
    <row r="8486" spans="1:9" ht="16.5">
      <c r="A8486" s="10" t="b">
        <v>0</v>
      </c>
      <c r="B8486" s="11" t="str">
        <f>IF(D8486&lt;&gt;"",IF(COUNTIF('USPTO TMs'!A:A,D8486)&gt;0,"Yes","No"),"")</f>
        <v/>
      </c>
      <c r="C8486" s="11"/>
      <c r="D8486" s="11"/>
      <c r="E8486" s="11"/>
      <c r="F8486" s="11"/>
      <c r="G8486" s="11"/>
      <c r="H8486" s="11"/>
      <c r="I8486" s="15"/>
    </row>
    <row r="8487" spans="1:9" ht="16.5">
      <c r="A8487" s="10" t="b">
        <v>0</v>
      </c>
      <c r="B8487" s="11" t="str">
        <f>IF(D8487&lt;&gt;"",IF(COUNTIF('USPTO TMs'!A:A,D8487)&gt;0,"Yes","No"),"")</f>
        <v/>
      </c>
      <c r="C8487" s="11"/>
      <c r="D8487" s="11"/>
      <c r="E8487" s="11"/>
      <c r="F8487" s="11"/>
      <c r="G8487" s="11"/>
      <c r="H8487" s="11"/>
      <c r="I8487" s="15"/>
    </row>
    <row r="8488" spans="1:9" ht="16.5">
      <c r="A8488" s="10" t="b">
        <v>0</v>
      </c>
      <c r="B8488" s="11" t="str">
        <f>IF(D8488&lt;&gt;"",IF(COUNTIF('USPTO TMs'!A:A,D8488)&gt;0,"Yes","No"),"")</f>
        <v/>
      </c>
      <c r="C8488" s="11"/>
      <c r="D8488" s="11"/>
      <c r="E8488" s="11"/>
      <c r="F8488" s="11"/>
      <c r="G8488" s="11"/>
      <c r="H8488" s="11"/>
      <c r="I8488" s="15"/>
    </row>
    <row r="8489" spans="1:9" ht="16.5">
      <c r="A8489" s="10" t="b">
        <v>0</v>
      </c>
      <c r="B8489" s="11" t="str">
        <f>IF(D8489&lt;&gt;"",IF(COUNTIF('USPTO TMs'!A:A,D8489)&gt;0,"Yes","No"),"")</f>
        <v/>
      </c>
      <c r="C8489" s="11"/>
      <c r="D8489" s="11"/>
      <c r="E8489" s="11"/>
      <c r="F8489" s="11"/>
      <c r="G8489" s="11"/>
      <c r="H8489" s="11"/>
      <c r="I8489" s="15"/>
    </row>
    <row r="8490" spans="1:9" ht="16.5">
      <c r="A8490" s="10" t="b">
        <v>0</v>
      </c>
      <c r="B8490" s="11" t="str">
        <f>IF(D8490&lt;&gt;"",IF(COUNTIF('USPTO TMs'!A:A,D8490)&gt;0,"Yes","No"),"")</f>
        <v/>
      </c>
      <c r="C8490" s="11"/>
      <c r="D8490" s="11"/>
      <c r="E8490" s="11"/>
      <c r="F8490" s="11"/>
      <c r="G8490" s="11"/>
      <c r="H8490" s="11"/>
      <c r="I8490" s="15"/>
    </row>
    <row r="8491" spans="1:9" ht="16.5">
      <c r="A8491" s="10" t="b">
        <v>0</v>
      </c>
      <c r="B8491" s="11" t="str">
        <f>IF(D8491&lt;&gt;"",IF(COUNTIF('USPTO TMs'!A:A,D8491)&gt;0,"Yes","No"),"")</f>
        <v/>
      </c>
      <c r="C8491" s="11"/>
      <c r="D8491" s="11"/>
      <c r="E8491" s="11"/>
      <c r="F8491" s="11"/>
      <c r="G8491" s="11"/>
      <c r="H8491" s="11"/>
      <c r="I8491" s="15"/>
    </row>
    <row r="8492" spans="1:9" ht="16.5">
      <c r="A8492" s="10" t="b">
        <v>0</v>
      </c>
      <c r="B8492" s="11" t="str">
        <f>IF(D8492&lt;&gt;"",IF(COUNTIF('USPTO TMs'!A:A,D8492)&gt;0,"Yes","No"),"")</f>
        <v/>
      </c>
      <c r="C8492" s="11"/>
      <c r="D8492" s="11"/>
      <c r="E8492" s="11"/>
      <c r="F8492" s="11"/>
      <c r="G8492" s="11"/>
      <c r="H8492" s="11"/>
      <c r="I8492" s="15"/>
    </row>
    <row r="8493" spans="1:9" ht="16.5">
      <c r="A8493" s="10" t="b">
        <v>0</v>
      </c>
      <c r="B8493" s="11" t="str">
        <f>IF(D8493&lt;&gt;"",IF(COUNTIF('USPTO TMs'!A:A,D8493)&gt;0,"Yes","No"),"")</f>
        <v/>
      </c>
      <c r="C8493" s="11"/>
      <c r="D8493" s="11"/>
      <c r="E8493" s="11"/>
      <c r="F8493" s="11"/>
      <c r="G8493" s="11"/>
      <c r="H8493" s="11"/>
      <c r="I8493" s="15"/>
    </row>
    <row r="8494" spans="1:9" ht="16.5">
      <c r="A8494" s="10" t="b">
        <v>0</v>
      </c>
      <c r="B8494" s="11" t="str">
        <f>IF(D8494&lt;&gt;"",IF(COUNTIF('USPTO TMs'!A:A,D8494)&gt;0,"Yes","No"),"")</f>
        <v/>
      </c>
      <c r="C8494" s="11"/>
      <c r="D8494" s="11"/>
      <c r="E8494" s="11"/>
      <c r="F8494" s="11"/>
      <c r="G8494" s="11"/>
      <c r="H8494" s="11"/>
      <c r="I8494" s="15"/>
    </row>
    <row r="8495" spans="1:9" ht="16.5">
      <c r="A8495" s="10" t="b">
        <v>0</v>
      </c>
      <c r="B8495" s="11" t="str">
        <f>IF(D8495&lt;&gt;"",IF(COUNTIF('USPTO TMs'!A:A,D8495)&gt;0,"Yes","No"),"")</f>
        <v/>
      </c>
      <c r="C8495" s="11"/>
      <c r="D8495" s="11"/>
      <c r="E8495" s="11"/>
      <c r="F8495" s="11"/>
      <c r="G8495" s="11"/>
      <c r="H8495" s="11"/>
      <c r="I8495" s="15"/>
    </row>
    <row r="8496" spans="1:9" ht="16.5">
      <c r="A8496" s="10" t="b">
        <v>0</v>
      </c>
      <c r="B8496" s="11" t="str">
        <f>IF(D8496&lt;&gt;"",IF(COUNTIF('USPTO TMs'!A:A,D8496)&gt;0,"Yes","No"),"")</f>
        <v/>
      </c>
      <c r="C8496" s="11"/>
      <c r="D8496" s="11"/>
      <c r="E8496" s="11"/>
      <c r="F8496" s="11"/>
      <c r="G8496" s="11"/>
      <c r="H8496" s="11"/>
      <c r="I8496" s="15"/>
    </row>
    <row r="8497" spans="1:9" ht="16.5">
      <c r="A8497" s="10" t="b">
        <v>0</v>
      </c>
      <c r="B8497" s="11" t="str">
        <f>IF(D8497&lt;&gt;"",IF(COUNTIF('USPTO TMs'!A:A,D8497)&gt;0,"Yes","No"),"")</f>
        <v/>
      </c>
      <c r="C8497" s="11"/>
      <c r="D8497" s="11"/>
      <c r="E8497" s="11"/>
      <c r="F8497" s="11"/>
      <c r="G8497" s="11"/>
      <c r="H8497" s="11"/>
      <c r="I8497" s="15"/>
    </row>
    <row r="8498" spans="1:9" ht="16.5">
      <c r="A8498" s="10" t="b">
        <v>0</v>
      </c>
      <c r="B8498" s="11" t="str">
        <f>IF(D8498&lt;&gt;"",IF(COUNTIF('USPTO TMs'!A:A,D8498)&gt;0,"Yes","No"),"")</f>
        <v/>
      </c>
      <c r="C8498" s="11"/>
      <c r="D8498" s="11"/>
      <c r="E8498" s="11"/>
      <c r="F8498" s="11"/>
      <c r="G8498" s="11"/>
      <c r="H8498" s="11"/>
      <c r="I8498" s="15"/>
    </row>
    <row r="8499" spans="1:9" ht="16.5">
      <c r="A8499" s="10" t="b">
        <v>0</v>
      </c>
      <c r="B8499" s="11" t="str">
        <f>IF(D8499&lt;&gt;"",IF(COUNTIF('USPTO TMs'!A:A,D8499)&gt;0,"Yes","No"),"")</f>
        <v/>
      </c>
      <c r="C8499" s="11"/>
      <c r="D8499" s="11"/>
      <c r="E8499" s="11"/>
      <c r="F8499" s="11"/>
      <c r="G8499" s="11"/>
      <c r="H8499" s="11"/>
      <c r="I8499" s="15"/>
    </row>
    <row r="8500" spans="1:9" ht="16.5">
      <c r="A8500" s="10" t="b">
        <v>0</v>
      </c>
      <c r="B8500" s="11" t="str">
        <f>IF(D8500&lt;&gt;"",IF(COUNTIF('USPTO TMs'!A:A,D8500)&gt;0,"Yes","No"),"")</f>
        <v/>
      </c>
      <c r="C8500" s="11"/>
      <c r="D8500" s="11"/>
      <c r="E8500" s="11"/>
      <c r="F8500" s="11"/>
      <c r="G8500" s="11"/>
      <c r="H8500" s="11"/>
      <c r="I8500" s="15"/>
    </row>
    <row r="8501" spans="1:9" ht="16.5">
      <c r="A8501" s="10" t="b">
        <v>0</v>
      </c>
      <c r="B8501" s="11" t="str">
        <f>IF(D8501&lt;&gt;"",IF(COUNTIF('USPTO TMs'!A:A,D8501)&gt;0,"Yes","No"),"")</f>
        <v/>
      </c>
      <c r="C8501" s="11"/>
      <c r="D8501" s="11"/>
      <c r="E8501" s="11"/>
      <c r="F8501" s="11"/>
      <c r="G8501" s="11"/>
      <c r="H8501" s="11"/>
      <c r="I8501" s="15"/>
    </row>
    <row r="8502" spans="1:9" ht="16.5">
      <c r="A8502" s="10" t="b">
        <v>0</v>
      </c>
      <c r="B8502" s="11" t="str">
        <f>IF(D8502&lt;&gt;"",IF(COUNTIF('USPTO TMs'!A:A,D8502)&gt;0,"Yes","No"),"")</f>
        <v/>
      </c>
      <c r="C8502" s="11"/>
      <c r="D8502" s="11"/>
      <c r="E8502" s="11"/>
      <c r="F8502" s="11"/>
      <c r="G8502" s="11"/>
      <c r="H8502" s="11"/>
      <c r="I8502" s="15"/>
    </row>
    <row r="8503" spans="1:9" ht="16.5">
      <c r="A8503" s="10" t="b">
        <v>0</v>
      </c>
      <c r="B8503" s="11" t="str">
        <f>IF(D8503&lt;&gt;"",IF(COUNTIF('USPTO TMs'!A:A,D8503)&gt;0,"Yes","No"),"")</f>
        <v/>
      </c>
      <c r="C8503" s="11"/>
      <c r="D8503" s="11"/>
      <c r="E8503" s="11"/>
      <c r="F8503" s="11"/>
      <c r="G8503" s="11"/>
      <c r="H8503" s="11"/>
      <c r="I8503" s="15"/>
    </row>
    <row r="8504" spans="1:9" ht="16.5">
      <c r="A8504" s="10" t="b">
        <v>0</v>
      </c>
      <c r="B8504" s="11" t="str">
        <f>IF(D8504&lt;&gt;"",IF(COUNTIF('USPTO TMs'!A:A,D8504)&gt;0,"Yes","No"),"")</f>
        <v/>
      </c>
      <c r="C8504" s="11"/>
      <c r="D8504" s="11"/>
      <c r="E8504" s="11"/>
      <c r="F8504" s="11"/>
      <c r="G8504" s="11"/>
      <c r="H8504" s="11"/>
      <c r="I8504" s="15"/>
    </row>
    <row r="8505" spans="1:9" ht="16.5">
      <c r="A8505" s="10" t="b">
        <v>0</v>
      </c>
      <c r="B8505" s="11" t="str">
        <f>IF(D8505&lt;&gt;"",IF(COUNTIF('USPTO TMs'!A:A,D8505)&gt;0,"Yes","No"),"")</f>
        <v/>
      </c>
      <c r="C8505" s="11"/>
      <c r="D8505" s="11"/>
      <c r="E8505" s="11"/>
      <c r="F8505" s="11"/>
      <c r="G8505" s="11"/>
      <c r="H8505" s="11"/>
      <c r="I8505" s="15"/>
    </row>
    <row r="8506" spans="1:9" ht="16.5">
      <c r="A8506" s="10" t="b">
        <v>0</v>
      </c>
      <c r="B8506" s="11" t="str">
        <f>IF(D8506&lt;&gt;"",IF(COUNTIF('USPTO TMs'!A:A,D8506)&gt;0,"Yes","No"),"")</f>
        <v/>
      </c>
      <c r="C8506" s="11"/>
      <c r="D8506" s="11"/>
      <c r="E8506" s="11"/>
      <c r="F8506" s="11"/>
      <c r="G8506" s="11"/>
      <c r="H8506" s="11"/>
      <c r="I8506" s="15"/>
    </row>
    <row r="8507" spans="1:9" ht="16.5">
      <c r="A8507" s="10" t="b">
        <v>0</v>
      </c>
      <c r="B8507" s="11" t="str">
        <f>IF(D8507&lt;&gt;"",IF(COUNTIF('USPTO TMs'!A:A,D8507)&gt;0,"Yes","No"),"")</f>
        <v/>
      </c>
      <c r="C8507" s="11"/>
      <c r="D8507" s="11"/>
      <c r="E8507" s="11"/>
      <c r="F8507" s="11"/>
      <c r="G8507" s="11"/>
      <c r="H8507" s="11"/>
      <c r="I8507" s="15"/>
    </row>
    <row r="8508" spans="1:9" ht="16.5">
      <c r="A8508" s="10" t="b">
        <v>0</v>
      </c>
      <c r="B8508" s="11" t="str">
        <f>IF(D8508&lt;&gt;"",IF(COUNTIF('USPTO TMs'!A:A,D8508)&gt;0,"Yes","No"),"")</f>
        <v/>
      </c>
      <c r="C8508" s="11"/>
      <c r="D8508" s="11"/>
      <c r="E8508" s="11"/>
      <c r="F8508" s="11"/>
      <c r="G8508" s="11"/>
      <c r="H8508" s="11"/>
      <c r="I8508" s="15"/>
    </row>
    <row r="8509" spans="1:9" ht="16.5">
      <c r="A8509" s="10" t="b">
        <v>0</v>
      </c>
      <c r="B8509" s="11" t="str">
        <f>IF(D8509&lt;&gt;"",IF(COUNTIF('USPTO TMs'!A:A,D8509)&gt;0,"Yes","No"),"")</f>
        <v/>
      </c>
      <c r="C8509" s="11"/>
      <c r="D8509" s="11"/>
      <c r="E8509" s="11"/>
      <c r="F8509" s="11"/>
      <c r="G8509" s="11"/>
      <c r="H8509" s="11"/>
      <c r="I8509" s="15"/>
    </row>
    <row r="8510" spans="1:9" ht="16.5">
      <c r="A8510" s="10" t="b">
        <v>0</v>
      </c>
      <c r="B8510" s="11" t="str">
        <f>IF(D8510&lt;&gt;"",IF(COUNTIF('USPTO TMs'!A:A,D8510)&gt;0,"Yes","No"),"")</f>
        <v/>
      </c>
      <c r="C8510" s="11"/>
      <c r="D8510" s="11"/>
      <c r="E8510" s="11"/>
      <c r="F8510" s="11"/>
      <c r="G8510" s="11"/>
      <c r="H8510" s="11"/>
      <c r="I8510" s="15"/>
    </row>
    <row r="8511" spans="1:9" ht="16.5">
      <c r="A8511" s="10" t="b">
        <v>0</v>
      </c>
      <c r="B8511" s="11" t="str">
        <f>IF(D8511&lt;&gt;"",IF(COUNTIF('USPTO TMs'!A:A,D8511)&gt;0,"Yes","No"),"")</f>
        <v/>
      </c>
      <c r="C8511" s="11"/>
      <c r="D8511" s="11"/>
      <c r="E8511" s="11"/>
      <c r="F8511" s="11"/>
      <c r="G8511" s="11"/>
      <c r="H8511" s="11"/>
      <c r="I8511" s="15"/>
    </row>
    <row r="8512" spans="1:9" ht="16.5">
      <c r="A8512" s="10" t="b">
        <v>0</v>
      </c>
      <c r="B8512" s="11" t="str">
        <f>IF(D8512&lt;&gt;"",IF(COUNTIF('USPTO TMs'!A:A,D8512)&gt;0,"Yes","No"),"")</f>
        <v/>
      </c>
      <c r="C8512" s="11"/>
      <c r="D8512" s="11"/>
      <c r="E8512" s="11"/>
      <c r="F8512" s="11"/>
      <c r="G8512" s="11"/>
      <c r="H8512" s="11"/>
      <c r="I8512" s="15"/>
    </row>
    <row r="8513" spans="1:9" ht="16.5">
      <c r="A8513" s="10" t="b">
        <v>0</v>
      </c>
      <c r="B8513" s="11" t="str">
        <f>IF(D8513&lt;&gt;"",IF(COUNTIF('USPTO TMs'!A:A,D8513)&gt;0,"Yes","No"),"")</f>
        <v/>
      </c>
      <c r="C8513" s="11"/>
      <c r="D8513" s="11"/>
      <c r="E8513" s="11"/>
      <c r="F8513" s="11"/>
      <c r="G8513" s="11"/>
      <c r="H8513" s="11"/>
      <c r="I8513" s="15"/>
    </row>
    <row r="8514" spans="1:9" ht="16.5">
      <c r="A8514" s="10" t="b">
        <v>0</v>
      </c>
      <c r="B8514" s="11" t="str">
        <f>IF(D8514&lt;&gt;"",IF(COUNTIF('USPTO TMs'!A:A,D8514)&gt;0,"Yes","No"),"")</f>
        <v/>
      </c>
      <c r="C8514" s="11"/>
      <c r="D8514" s="11"/>
      <c r="E8514" s="11"/>
      <c r="F8514" s="11"/>
      <c r="G8514" s="11"/>
      <c r="H8514" s="11"/>
      <c r="I8514" s="15"/>
    </row>
    <row r="8515" spans="1:9" ht="16.5">
      <c r="A8515" s="10" t="b">
        <v>0</v>
      </c>
      <c r="B8515" s="11" t="str">
        <f>IF(D8515&lt;&gt;"",IF(COUNTIF('USPTO TMs'!A:A,D8515)&gt;0,"Yes","No"),"")</f>
        <v/>
      </c>
      <c r="C8515" s="11"/>
      <c r="D8515" s="11"/>
      <c r="E8515" s="11"/>
      <c r="F8515" s="11"/>
      <c r="G8515" s="11"/>
      <c r="H8515" s="11"/>
      <c r="I8515" s="15"/>
    </row>
    <row r="8516" spans="1:9" ht="16.5">
      <c r="A8516" s="10" t="b">
        <v>0</v>
      </c>
      <c r="B8516" s="11" t="str">
        <f>IF(D8516&lt;&gt;"",IF(COUNTIF('USPTO TMs'!A:A,D8516)&gt;0,"Yes","No"),"")</f>
        <v/>
      </c>
      <c r="C8516" s="11"/>
      <c r="D8516" s="11"/>
      <c r="E8516" s="11"/>
      <c r="F8516" s="11"/>
      <c r="G8516" s="11"/>
      <c r="H8516" s="11"/>
      <c r="I8516" s="15"/>
    </row>
    <row r="8517" spans="1:9" ht="16.5">
      <c r="A8517" s="10" t="b">
        <v>0</v>
      </c>
      <c r="B8517" s="11" t="str">
        <f>IF(D8517&lt;&gt;"",IF(COUNTIF('USPTO TMs'!A:A,D8517)&gt;0,"Yes","No"),"")</f>
        <v/>
      </c>
      <c r="C8517" s="11"/>
      <c r="D8517" s="11"/>
      <c r="E8517" s="11"/>
      <c r="F8517" s="11"/>
      <c r="G8517" s="11"/>
      <c r="H8517" s="11"/>
      <c r="I8517" s="15"/>
    </row>
    <row r="8518" spans="1:9" ht="16.5">
      <c r="A8518" s="10" t="b">
        <v>0</v>
      </c>
      <c r="B8518" s="11" t="str">
        <f>IF(D8518&lt;&gt;"",IF(COUNTIF('USPTO TMs'!A:A,D8518)&gt;0,"Yes","No"),"")</f>
        <v/>
      </c>
      <c r="C8518" s="11"/>
      <c r="D8518" s="11"/>
      <c r="E8518" s="11"/>
      <c r="F8518" s="11"/>
      <c r="G8518" s="11"/>
      <c r="H8518" s="11"/>
      <c r="I8518" s="15"/>
    </row>
    <row r="8519" spans="1:9" ht="16.5">
      <c r="A8519" s="10" t="b">
        <v>0</v>
      </c>
      <c r="B8519" s="11" t="str">
        <f>IF(D8519&lt;&gt;"",IF(COUNTIF('USPTO TMs'!A:A,D8519)&gt;0,"Yes","No"),"")</f>
        <v/>
      </c>
      <c r="C8519" s="11"/>
      <c r="D8519" s="11"/>
      <c r="E8519" s="11"/>
      <c r="F8519" s="11"/>
      <c r="G8519" s="11"/>
      <c r="H8519" s="11"/>
      <c r="I8519" s="15"/>
    </row>
    <row r="8520" spans="1:9" ht="16.5">
      <c r="A8520" s="10" t="b">
        <v>0</v>
      </c>
      <c r="B8520" s="11" t="str">
        <f>IF(D8520&lt;&gt;"",IF(COUNTIF('USPTO TMs'!A:A,D8520)&gt;0,"Yes","No"),"")</f>
        <v/>
      </c>
      <c r="C8520" s="11"/>
      <c r="D8520" s="11"/>
      <c r="E8520" s="11"/>
      <c r="F8520" s="11"/>
      <c r="G8520" s="11"/>
      <c r="H8520" s="11"/>
      <c r="I8520" s="15"/>
    </row>
    <row r="8521" spans="1:9" ht="16.5">
      <c r="A8521" s="10" t="b">
        <v>0</v>
      </c>
      <c r="B8521" s="11" t="str">
        <f>IF(D8521&lt;&gt;"",IF(COUNTIF('USPTO TMs'!A:A,D8521)&gt;0,"Yes","No"),"")</f>
        <v/>
      </c>
      <c r="C8521" s="11"/>
      <c r="D8521" s="11"/>
      <c r="E8521" s="11"/>
      <c r="F8521" s="11"/>
      <c r="G8521" s="11"/>
      <c r="H8521" s="11"/>
      <c r="I8521" s="15"/>
    </row>
    <row r="8522" spans="1:9" ht="16.5">
      <c r="A8522" s="10" t="b">
        <v>0</v>
      </c>
      <c r="B8522" s="11" t="str">
        <f>IF(D8522&lt;&gt;"",IF(COUNTIF('USPTO TMs'!A:A,D8522)&gt;0,"Yes","No"),"")</f>
        <v/>
      </c>
      <c r="C8522" s="11"/>
      <c r="D8522" s="11"/>
      <c r="E8522" s="11"/>
      <c r="F8522" s="11"/>
      <c r="G8522" s="11"/>
      <c r="H8522" s="11"/>
      <c r="I8522" s="15"/>
    </row>
    <row r="8523" spans="1:9" ht="16.5">
      <c r="A8523" s="10" t="b">
        <v>0</v>
      </c>
      <c r="B8523" s="11" t="str">
        <f>IF(D8523&lt;&gt;"",IF(COUNTIF('USPTO TMs'!A:A,D8523)&gt;0,"Yes","No"),"")</f>
        <v/>
      </c>
      <c r="C8523" s="11"/>
      <c r="D8523" s="11"/>
      <c r="E8523" s="11"/>
      <c r="F8523" s="11"/>
      <c r="G8523" s="11"/>
      <c r="H8523" s="11"/>
      <c r="I8523" s="15"/>
    </row>
    <row r="8524" spans="1:9" ht="16.5">
      <c r="A8524" s="10" t="b">
        <v>0</v>
      </c>
      <c r="B8524" s="11" t="str">
        <f>IF(D8524&lt;&gt;"",IF(COUNTIF('USPTO TMs'!A:A,D8524)&gt;0,"Yes","No"),"")</f>
        <v/>
      </c>
      <c r="C8524" s="11"/>
      <c r="D8524" s="11"/>
      <c r="E8524" s="11"/>
      <c r="F8524" s="11"/>
      <c r="G8524" s="11"/>
      <c r="H8524" s="11"/>
      <c r="I8524" s="15"/>
    </row>
    <row r="8525" spans="1:9" ht="16.5">
      <c r="A8525" s="10" t="b">
        <v>0</v>
      </c>
      <c r="B8525" s="11" t="str">
        <f>IF(D8525&lt;&gt;"",IF(COUNTIF('USPTO TMs'!A:A,D8525)&gt;0,"Yes","No"),"")</f>
        <v/>
      </c>
      <c r="C8525" s="11"/>
      <c r="D8525" s="11"/>
      <c r="E8525" s="11"/>
      <c r="F8525" s="11"/>
      <c r="G8525" s="11"/>
      <c r="H8525" s="11"/>
      <c r="I8525" s="15"/>
    </row>
    <row r="8526" spans="1:9" ht="16.5">
      <c r="A8526" s="10" t="b">
        <v>0</v>
      </c>
      <c r="B8526" s="11" t="str">
        <f>IF(D8526&lt;&gt;"",IF(COUNTIF('USPTO TMs'!A:A,D8526)&gt;0,"Yes","No"),"")</f>
        <v/>
      </c>
      <c r="C8526" s="11"/>
      <c r="D8526" s="11"/>
      <c r="E8526" s="11"/>
      <c r="F8526" s="11"/>
      <c r="G8526" s="11"/>
      <c r="H8526" s="11"/>
      <c r="I8526" s="15"/>
    </row>
    <row r="8527" spans="1:9" ht="16.5">
      <c r="A8527" s="10" t="b">
        <v>0</v>
      </c>
      <c r="B8527" s="11" t="str">
        <f>IF(D8527&lt;&gt;"",IF(COUNTIF('USPTO TMs'!A:A,D8527)&gt;0,"Yes","No"),"")</f>
        <v/>
      </c>
      <c r="C8527" s="11"/>
      <c r="D8527" s="11"/>
      <c r="E8527" s="11"/>
      <c r="F8527" s="11"/>
      <c r="G8527" s="11"/>
      <c r="H8527" s="11"/>
      <c r="I8527" s="15"/>
    </row>
    <row r="8528" spans="1:9" ht="16.5">
      <c r="A8528" s="10" t="b">
        <v>0</v>
      </c>
      <c r="B8528" s="11" t="str">
        <f>IF(D8528&lt;&gt;"",IF(COUNTIF('USPTO TMs'!A:A,D8528)&gt;0,"Yes","No"),"")</f>
        <v/>
      </c>
      <c r="C8528" s="11"/>
      <c r="D8528" s="11"/>
      <c r="E8528" s="11"/>
      <c r="F8528" s="11"/>
      <c r="G8528" s="11"/>
      <c r="H8528" s="11"/>
      <c r="I8528" s="15"/>
    </row>
    <row r="8529" spans="1:9" ht="16.5">
      <c r="A8529" s="10" t="b">
        <v>0</v>
      </c>
      <c r="B8529" s="11" t="str">
        <f>IF(D8529&lt;&gt;"",IF(COUNTIF('USPTO TMs'!A:A,D8529)&gt;0,"Yes","No"),"")</f>
        <v/>
      </c>
      <c r="C8529" s="11"/>
      <c r="D8529" s="11"/>
      <c r="E8529" s="11"/>
      <c r="F8529" s="11"/>
      <c r="G8529" s="11"/>
      <c r="H8529" s="11"/>
      <c r="I8529" s="15"/>
    </row>
    <row r="8530" spans="1:9" ht="16.5">
      <c r="A8530" s="10" t="b">
        <v>0</v>
      </c>
      <c r="B8530" s="11" t="str">
        <f>IF(D8530&lt;&gt;"",IF(COUNTIF('USPTO TMs'!A:A,D8530)&gt;0,"Yes","No"),"")</f>
        <v/>
      </c>
      <c r="C8530" s="11"/>
      <c r="D8530" s="11"/>
      <c r="E8530" s="11"/>
      <c r="F8530" s="11"/>
      <c r="G8530" s="11"/>
      <c r="H8530" s="11"/>
      <c r="I8530" s="15"/>
    </row>
    <row r="8531" spans="1:9" ht="16.5">
      <c r="A8531" s="10" t="b">
        <v>0</v>
      </c>
      <c r="B8531" s="11" t="str">
        <f>IF(D8531&lt;&gt;"",IF(COUNTIF('USPTO TMs'!A:A,D8531)&gt;0,"Yes","No"),"")</f>
        <v/>
      </c>
      <c r="C8531" s="11"/>
      <c r="D8531" s="11"/>
      <c r="E8531" s="11"/>
      <c r="F8531" s="11"/>
      <c r="G8531" s="11"/>
      <c r="H8531" s="11"/>
      <c r="I8531" s="15"/>
    </row>
    <row r="8532" spans="1:9" ht="16.5">
      <c r="A8532" s="10" t="b">
        <v>0</v>
      </c>
      <c r="B8532" s="11" t="str">
        <f>IF(D8532&lt;&gt;"",IF(COUNTIF('USPTO TMs'!A:A,D8532)&gt;0,"Yes","No"),"")</f>
        <v/>
      </c>
      <c r="C8532" s="11"/>
      <c r="D8532" s="11"/>
      <c r="E8532" s="11"/>
      <c r="F8532" s="11"/>
      <c r="G8532" s="11"/>
      <c r="H8532" s="11"/>
      <c r="I8532" s="15"/>
    </row>
    <row r="8533" spans="1:9" ht="16.5">
      <c r="A8533" s="10" t="b">
        <v>0</v>
      </c>
      <c r="B8533" s="11" t="str">
        <f>IF(D8533&lt;&gt;"",IF(COUNTIF('USPTO TMs'!A:A,D8533)&gt;0,"Yes","No"),"")</f>
        <v/>
      </c>
      <c r="C8533" s="11"/>
      <c r="D8533" s="11"/>
      <c r="E8533" s="11"/>
      <c r="F8533" s="11"/>
      <c r="G8533" s="11"/>
      <c r="H8533" s="11"/>
      <c r="I8533" s="15"/>
    </row>
    <row r="8534" spans="1:9" ht="16.5">
      <c r="A8534" s="10" t="b">
        <v>0</v>
      </c>
      <c r="B8534" s="11" t="str">
        <f>IF(D8534&lt;&gt;"",IF(COUNTIF('USPTO TMs'!A:A,D8534)&gt;0,"Yes","No"),"")</f>
        <v/>
      </c>
      <c r="C8534" s="11"/>
      <c r="D8534" s="11"/>
      <c r="E8534" s="11"/>
      <c r="F8534" s="11"/>
      <c r="G8534" s="11"/>
      <c r="H8534" s="11"/>
      <c r="I8534" s="15"/>
    </row>
    <row r="8535" spans="1:9" ht="16.5">
      <c r="A8535" s="10" t="b">
        <v>0</v>
      </c>
      <c r="B8535" s="11" t="str">
        <f>IF(D8535&lt;&gt;"",IF(COUNTIF('USPTO TMs'!A:A,D8535)&gt;0,"Yes","No"),"")</f>
        <v/>
      </c>
      <c r="C8535" s="11"/>
      <c r="D8535" s="11"/>
      <c r="E8535" s="11"/>
      <c r="F8535" s="11"/>
      <c r="G8535" s="11"/>
      <c r="H8535" s="11"/>
      <c r="I8535" s="15"/>
    </row>
    <row r="8536" spans="1:9" ht="16.5">
      <c r="A8536" s="10" t="b">
        <v>0</v>
      </c>
      <c r="B8536" s="11" t="str">
        <f>IF(D8536&lt;&gt;"",IF(COUNTIF('USPTO TMs'!A:A,D8536)&gt;0,"Yes","No"),"")</f>
        <v/>
      </c>
      <c r="C8536" s="11"/>
      <c r="D8536" s="11"/>
      <c r="E8536" s="11"/>
      <c r="F8536" s="11"/>
      <c r="G8536" s="11"/>
      <c r="H8536" s="11"/>
      <c r="I8536" s="15"/>
    </row>
    <row r="8537" spans="1:9" ht="16.5">
      <c r="A8537" s="10" t="b">
        <v>0</v>
      </c>
      <c r="B8537" s="11" t="str">
        <f>IF(D8537&lt;&gt;"",IF(COUNTIF('USPTO TMs'!A:A,D8537)&gt;0,"Yes","No"),"")</f>
        <v/>
      </c>
      <c r="C8537" s="11"/>
      <c r="D8537" s="11"/>
      <c r="E8537" s="11"/>
      <c r="F8537" s="11"/>
      <c r="G8537" s="11"/>
      <c r="H8537" s="11"/>
      <c r="I8537" s="15"/>
    </row>
    <row r="8538" spans="1:9" ht="16.5">
      <c r="A8538" s="10" t="b">
        <v>0</v>
      </c>
      <c r="B8538" s="11" t="str">
        <f>IF(D8538&lt;&gt;"",IF(COUNTIF('USPTO TMs'!A:A,D8538)&gt;0,"Yes","No"),"")</f>
        <v/>
      </c>
      <c r="C8538" s="11"/>
      <c r="D8538" s="11"/>
      <c r="E8538" s="11"/>
      <c r="F8538" s="11"/>
      <c r="G8538" s="11"/>
      <c r="H8538" s="11"/>
      <c r="I8538" s="15"/>
    </row>
    <row r="8539" spans="1:9" ht="16.5">
      <c r="A8539" s="10" t="b">
        <v>0</v>
      </c>
      <c r="B8539" s="11" t="str">
        <f>IF(D8539&lt;&gt;"",IF(COUNTIF('USPTO TMs'!A:A,D8539)&gt;0,"Yes","No"),"")</f>
        <v/>
      </c>
      <c r="C8539" s="11"/>
      <c r="D8539" s="11"/>
      <c r="E8539" s="11"/>
      <c r="F8539" s="11"/>
      <c r="G8539" s="11"/>
      <c r="H8539" s="11"/>
      <c r="I8539" s="15"/>
    </row>
    <row r="8540" spans="1:9" ht="16.5">
      <c r="A8540" s="10" t="b">
        <v>0</v>
      </c>
      <c r="B8540" s="11" t="str">
        <f>IF(D8540&lt;&gt;"",IF(COUNTIF('USPTO TMs'!A:A,D8540)&gt;0,"Yes","No"),"")</f>
        <v/>
      </c>
      <c r="C8540" s="11"/>
      <c r="D8540" s="11"/>
      <c r="E8540" s="11"/>
      <c r="F8540" s="11"/>
      <c r="G8540" s="11"/>
      <c r="H8540" s="11"/>
      <c r="I8540" s="15"/>
    </row>
    <row r="8541" spans="1:9" ht="16.5">
      <c r="A8541" s="10" t="b">
        <v>0</v>
      </c>
      <c r="B8541" s="11" t="str">
        <f>IF(D8541&lt;&gt;"",IF(COUNTIF('USPTO TMs'!A:A,D8541)&gt;0,"Yes","No"),"")</f>
        <v/>
      </c>
      <c r="C8541" s="11"/>
      <c r="D8541" s="11"/>
      <c r="E8541" s="11"/>
      <c r="F8541" s="11"/>
      <c r="G8541" s="11"/>
      <c r="H8541" s="11"/>
      <c r="I8541" s="15"/>
    </row>
    <row r="8542" spans="1:9" ht="16.5">
      <c r="A8542" s="10" t="b">
        <v>0</v>
      </c>
      <c r="B8542" s="11" t="str">
        <f>IF(D8542&lt;&gt;"",IF(COUNTIF('USPTO TMs'!A:A,D8542)&gt;0,"Yes","No"),"")</f>
        <v/>
      </c>
      <c r="C8542" s="11"/>
      <c r="D8542" s="11"/>
      <c r="E8542" s="11"/>
      <c r="F8542" s="11"/>
      <c r="G8542" s="11"/>
      <c r="H8542" s="11"/>
      <c r="I8542" s="15"/>
    </row>
    <row r="8543" spans="1:9" ht="16.5">
      <c r="A8543" s="10" t="b">
        <v>0</v>
      </c>
      <c r="B8543" s="11" t="str">
        <f>IF(D8543&lt;&gt;"",IF(COUNTIF('USPTO TMs'!A:A,D8543)&gt;0,"Yes","No"),"")</f>
        <v/>
      </c>
      <c r="C8543" s="11"/>
      <c r="D8543" s="11"/>
      <c r="E8543" s="11"/>
      <c r="F8543" s="11"/>
      <c r="G8543" s="11"/>
      <c r="H8543" s="11"/>
      <c r="I8543" s="15"/>
    </row>
    <row r="8544" spans="1:9" ht="16.5">
      <c r="A8544" s="10" t="b">
        <v>0</v>
      </c>
      <c r="B8544" s="11" t="str">
        <f>IF(D8544&lt;&gt;"",IF(COUNTIF('USPTO TMs'!A:A,D8544)&gt;0,"Yes","No"),"")</f>
        <v/>
      </c>
      <c r="C8544" s="11"/>
      <c r="D8544" s="11"/>
      <c r="E8544" s="11"/>
      <c r="F8544" s="11"/>
      <c r="G8544" s="11"/>
      <c r="H8544" s="11"/>
      <c r="I8544" s="15"/>
    </row>
    <row r="8545" spans="1:9" ht="16.5">
      <c r="A8545" s="10" t="b">
        <v>0</v>
      </c>
      <c r="B8545" s="11" t="str">
        <f>IF(D8545&lt;&gt;"",IF(COUNTIF('USPTO TMs'!A:A,D8545)&gt;0,"Yes","No"),"")</f>
        <v/>
      </c>
      <c r="C8545" s="11"/>
      <c r="D8545" s="11"/>
      <c r="E8545" s="11"/>
      <c r="F8545" s="11"/>
      <c r="G8545" s="11"/>
      <c r="H8545" s="11"/>
      <c r="I8545" s="15"/>
    </row>
    <row r="8546" spans="1:9" ht="16.5">
      <c r="A8546" s="10" t="b">
        <v>0</v>
      </c>
      <c r="B8546" s="11" t="str">
        <f>IF(D8546&lt;&gt;"",IF(COUNTIF('USPTO TMs'!A:A,D8546)&gt;0,"Yes","No"),"")</f>
        <v/>
      </c>
      <c r="C8546" s="11"/>
      <c r="D8546" s="11"/>
      <c r="E8546" s="11"/>
      <c r="F8546" s="11"/>
      <c r="G8546" s="11"/>
      <c r="H8546" s="11"/>
      <c r="I8546" s="15"/>
    </row>
    <row r="8547" spans="1:9" ht="16.5">
      <c r="A8547" s="10" t="b">
        <v>0</v>
      </c>
      <c r="B8547" s="11" t="str">
        <f>IF(D8547&lt;&gt;"",IF(COUNTIF('USPTO TMs'!A:A,D8547)&gt;0,"Yes","No"),"")</f>
        <v/>
      </c>
      <c r="C8547" s="11"/>
      <c r="D8547" s="11"/>
      <c r="E8547" s="11"/>
      <c r="F8547" s="11"/>
      <c r="G8547" s="11"/>
      <c r="H8547" s="11"/>
      <c r="I8547" s="15"/>
    </row>
    <row r="8548" spans="1:9" ht="16.5">
      <c r="A8548" s="10" t="b">
        <v>0</v>
      </c>
      <c r="B8548" s="11" t="str">
        <f>IF(D8548&lt;&gt;"",IF(COUNTIF('USPTO TMs'!A:A,D8548)&gt;0,"Yes","No"),"")</f>
        <v/>
      </c>
      <c r="C8548" s="11"/>
      <c r="D8548" s="11"/>
      <c r="E8548" s="11"/>
      <c r="F8548" s="11"/>
      <c r="G8548" s="11"/>
      <c r="H8548" s="11"/>
      <c r="I8548" s="15"/>
    </row>
    <row r="8549" spans="1:9" ht="16.5">
      <c r="A8549" s="10" t="b">
        <v>0</v>
      </c>
      <c r="B8549" s="11" t="str">
        <f>IF(D8549&lt;&gt;"",IF(COUNTIF('USPTO TMs'!A:A,D8549)&gt;0,"Yes","No"),"")</f>
        <v/>
      </c>
      <c r="C8549" s="11"/>
      <c r="D8549" s="11"/>
      <c r="E8549" s="11"/>
      <c r="F8549" s="11"/>
      <c r="G8549" s="11"/>
      <c r="H8549" s="11"/>
      <c r="I8549" s="15"/>
    </row>
    <row r="8550" spans="1:9" ht="16.5">
      <c r="A8550" s="10" t="b">
        <v>0</v>
      </c>
      <c r="B8550" s="11" t="str">
        <f>IF(D8550&lt;&gt;"",IF(COUNTIF('USPTO TMs'!A:A,D8550)&gt;0,"Yes","No"),"")</f>
        <v/>
      </c>
      <c r="C8550" s="11"/>
      <c r="D8550" s="11"/>
      <c r="E8550" s="11"/>
      <c r="F8550" s="11"/>
      <c r="G8550" s="11"/>
      <c r="H8550" s="11"/>
      <c r="I8550" s="15"/>
    </row>
    <row r="8551" spans="1:9" ht="16.5">
      <c r="A8551" s="10" t="b">
        <v>0</v>
      </c>
      <c r="B8551" s="11" t="str">
        <f>IF(D8551&lt;&gt;"",IF(COUNTIF('USPTO TMs'!A:A,D8551)&gt;0,"Yes","No"),"")</f>
        <v/>
      </c>
      <c r="C8551" s="11"/>
      <c r="D8551" s="11"/>
      <c r="E8551" s="11"/>
      <c r="F8551" s="11"/>
      <c r="G8551" s="11"/>
      <c r="H8551" s="11"/>
      <c r="I8551" s="15"/>
    </row>
    <row r="8552" spans="1:9" ht="16.5">
      <c r="A8552" s="10" t="b">
        <v>0</v>
      </c>
      <c r="B8552" s="11" t="str">
        <f>IF(D8552&lt;&gt;"",IF(COUNTIF('USPTO TMs'!A:A,D8552)&gt;0,"Yes","No"),"")</f>
        <v/>
      </c>
      <c r="C8552" s="11"/>
      <c r="D8552" s="11"/>
      <c r="E8552" s="11"/>
      <c r="F8552" s="11"/>
      <c r="G8552" s="11"/>
      <c r="H8552" s="11"/>
      <c r="I8552" s="15"/>
    </row>
    <row r="8553" spans="1:9" ht="16.5">
      <c r="A8553" s="10" t="b">
        <v>0</v>
      </c>
      <c r="B8553" s="11" t="str">
        <f>IF(D8553&lt;&gt;"",IF(COUNTIF('USPTO TMs'!A:A,D8553)&gt;0,"Yes","No"),"")</f>
        <v/>
      </c>
      <c r="C8553" s="11"/>
      <c r="D8553" s="11"/>
      <c r="E8553" s="11"/>
      <c r="F8553" s="11"/>
      <c r="G8553" s="11"/>
      <c r="H8553" s="11"/>
      <c r="I8553" s="15"/>
    </row>
    <row r="8554" spans="1:9" ht="16.5">
      <c r="A8554" s="10" t="b">
        <v>0</v>
      </c>
      <c r="B8554" s="11" t="str">
        <f>IF(D8554&lt;&gt;"",IF(COUNTIF('USPTO TMs'!A:A,D8554)&gt;0,"Yes","No"),"")</f>
        <v/>
      </c>
      <c r="C8554" s="11"/>
      <c r="D8554" s="11"/>
      <c r="E8554" s="11"/>
      <c r="F8554" s="11"/>
      <c r="G8554" s="11"/>
      <c r="H8554" s="11"/>
      <c r="I8554" s="15"/>
    </row>
    <row r="8555" spans="1:9" ht="16.5">
      <c r="A8555" s="10" t="b">
        <v>0</v>
      </c>
      <c r="B8555" s="11" t="str">
        <f>IF(D8555&lt;&gt;"",IF(COUNTIF('USPTO TMs'!A:A,D8555)&gt;0,"Yes","No"),"")</f>
        <v/>
      </c>
      <c r="C8555" s="11"/>
      <c r="D8555" s="11"/>
      <c r="E8555" s="11"/>
      <c r="F8555" s="11"/>
      <c r="G8555" s="11"/>
      <c r="H8555" s="11"/>
      <c r="I8555" s="15"/>
    </row>
    <row r="8556" spans="1:9" ht="16.5">
      <c r="A8556" s="10" t="b">
        <v>0</v>
      </c>
      <c r="B8556" s="11" t="str">
        <f>IF(D8556&lt;&gt;"",IF(COUNTIF('USPTO TMs'!A:A,D8556)&gt;0,"Yes","No"),"")</f>
        <v/>
      </c>
      <c r="C8556" s="11"/>
      <c r="D8556" s="11"/>
      <c r="E8556" s="11"/>
      <c r="F8556" s="11"/>
      <c r="G8556" s="11"/>
      <c r="H8556" s="11"/>
      <c r="I8556" s="15"/>
    </row>
    <row r="8557" spans="1:9" ht="16.5">
      <c r="A8557" s="10" t="b">
        <v>0</v>
      </c>
      <c r="B8557" s="11" t="str">
        <f>IF(D8557&lt;&gt;"",IF(COUNTIF('USPTO TMs'!A:A,D8557)&gt;0,"Yes","No"),"")</f>
        <v/>
      </c>
      <c r="C8557" s="11"/>
      <c r="D8557" s="11"/>
      <c r="E8557" s="11"/>
      <c r="F8557" s="11"/>
      <c r="G8557" s="11"/>
      <c r="H8557" s="11"/>
      <c r="I8557" s="15"/>
    </row>
    <row r="8558" spans="1:9" ht="16.5">
      <c r="A8558" s="10" t="b">
        <v>0</v>
      </c>
      <c r="B8558" s="11" t="str">
        <f>IF(D8558&lt;&gt;"",IF(COUNTIF('USPTO TMs'!A:A,D8558)&gt;0,"Yes","No"),"")</f>
        <v/>
      </c>
      <c r="C8558" s="11"/>
      <c r="D8558" s="11"/>
      <c r="E8558" s="11"/>
      <c r="F8558" s="11"/>
      <c r="G8558" s="11"/>
      <c r="H8558" s="11"/>
      <c r="I8558" s="15"/>
    </row>
    <row r="8559" spans="1:9" ht="16.5">
      <c r="A8559" s="10" t="b">
        <v>0</v>
      </c>
      <c r="B8559" s="11" t="str">
        <f>IF(D8559&lt;&gt;"",IF(COUNTIF('USPTO TMs'!A:A,D8559)&gt;0,"Yes","No"),"")</f>
        <v/>
      </c>
      <c r="C8559" s="11"/>
      <c r="D8559" s="11"/>
      <c r="E8559" s="11"/>
      <c r="F8559" s="11"/>
      <c r="G8559" s="11"/>
      <c r="H8559" s="11"/>
      <c r="I8559" s="15"/>
    </row>
    <row r="8560" spans="1:9" ht="16.5">
      <c r="A8560" s="10" t="b">
        <v>0</v>
      </c>
      <c r="B8560" s="11" t="str">
        <f>IF(D8560&lt;&gt;"",IF(COUNTIF('USPTO TMs'!A:A,D8560)&gt;0,"Yes","No"),"")</f>
        <v/>
      </c>
      <c r="C8560" s="11"/>
      <c r="D8560" s="11"/>
      <c r="E8560" s="11"/>
      <c r="F8560" s="11"/>
      <c r="G8560" s="11"/>
      <c r="H8560" s="11"/>
      <c r="I8560" s="15"/>
    </row>
    <row r="8561" spans="1:9" ht="16.5">
      <c r="A8561" s="10" t="b">
        <v>0</v>
      </c>
      <c r="B8561" s="11" t="str">
        <f>IF(D8561&lt;&gt;"",IF(COUNTIF('USPTO TMs'!A:A,D8561)&gt;0,"Yes","No"),"")</f>
        <v/>
      </c>
      <c r="C8561" s="11"/>
      <c r="D8561" s="11"/>
      <c r="E8561" s="11"/>
      <c r="F8561" s="11"/>
      <c r="G8561" s="11"/>
      <c r="H8561" s="11"/>
      <c r="I8561" s="15"/>
    </row>
    <row r="8562" spans="1:9" ht="16.5">
      <c r="A8562" s="10" t="b">
        <v>0</v>
      </c>
      <c r="B8562" s="11" t="str">
        <f>IF(D8562&lt;&gt;"",IF(COUNTIF('USPTO TMs'!A:A,D8562)&gt;0,"Yes","No"),"")</f>
        <v/>
      </c>
      <c r="C8562" s="11"/>
      <c r="D8562" s="11"/>
      <c r="E8562" s="11"/>
      <c r="F8562" s="11"/>
      <c r="G8562" s="11"/>
      <c r="H8562" s="11"/>
      <c r="I8562" s="15"/>
    </row>
    <row r="8563" spans="1:9" ht="16.5">
      <c r="A8563" s="10" t="b">
        <v>0</v>
      </c>
      <c r="B8563" s="11" t="str">
        <f>IF(D8563&lt;&gt;"",IF(COUNTIF('USPTO TMs'!A:A,D8563)&gt;0,"Yes","No"),"")</f>
        <v/>
      </c>
      <c r="C8563" s="11"/>
      <c r="D8563" s="11"/>
      <c r="E8563" s="11"/>
      <c r="F8563" s="11"/>
      <c r="G8563" s="11"/>
      <c r="H8563" s="11"/>
      <c r="I8563" s="15"/>
    </row>
    <row r="8564" spans="1:9" ht="16.5">
      <c r="A8564" s="10" t="b">
        <v>0</v>
      </c>
      <c r="B8564" s="11" t="str">
        <f>IF(D8564&lt;&gt;"",IF(COUNTIF('USPTO TMs'!A:A,D8564)&gt;0,"Yes","No"),"")</f>
        <v/>
      </c>
      <c r="C8564" s="11"/>
      <c r="D8564" s="11"/>
      <c r="E8564" s="11"/>
      <c r="F8564" s="11"/>
      <c r="G8564" s="11"/>
      <c r="H8564" s="11"/>
      <c r="I8564" s="15"/>
    </row>
    <row r="8565" spans="1:9" ht="16.5">
      <c r="A8565" s="10" t="b">
        <v>0</v>
      </c>
      <c r="B8565" s="11" t="str">
        <f>IF(D8565&lt;&gt;"",IF(COUNTIF('USPTO TMs'!A:A,D8565)&gt;0,"Yes","No"),"")</f>
        <v/>
      </c>
      <c r="C8565" s="11"/>
      <c r="D8565" s="11"/>
      <c r="E8565" s="11"/>
      <c r="F8565" s="11"/>
      <c r="G8565" s="11"/>
      <c r="H8565" s="11"/>
      <c r="I8565" s="15"/>
    </row>
    <row r="8566" spans="1:9" ht="16.5">
      <c r="A8566" s="10" t="b">
        <v>0</v>
      </c>
      <c r="B8566" s="11" t="str">
        <f>IF(D8566&lt;&gt;"",IF(COUNTIF('USPTO TMs'!A:A,D8566)&gt;0,"Yes","No"),"")</f>
        <v/>
      </c>
      <c r="C8566" s="11"/>
      <c r="D8566" s="11"/>
      <c r="E8566" s="11"/>
      <c r="F8566" s="11"/>
      <c r="G8566" s="11"/>
      <c r="H8566" s="11"/>
      <c r="I8566" s="15"/>
    </row>
    <row r="8567" spans="1:9" ht="16.5">
      <c r="A8567" s="10" t="b">
        <v>0</v>
      </c>
      <c r="B8567" s="11" t="str">
        <f>IF(D8567&lt;&gt;"",IF(COUNTIF('USPTO TMs'!A:A,D8567)&gt;0,"Yes","No"),"")</f>
        <v/>
      </c>
      <c r="C8567" s="11"/>
      <c r="D8567" s="11"/>
      <c r="E8567" s="11"/>
      <c r="F8567" s="11"/>
      <c r="G8567" s="11"/>
      <c r="H8567" s="11"/>
      <c r="I8567" s="15"/>
    </row>
    <row r="8568" spans="1:9" ht="16.5">
      <c r="A8568" s="10" t="b">
        <v>0</v>
      </c>
      <c r="B8568" s="11" t="str">
        <f>IF(D8568&lt;&gt;"",IF(COUNTIF('USPTO TMs'!A:A,D8568)&gt;0,"Yes","No"),"")</f>
        <v/>
      </c>
      <c r="C8568" s="11"/>
      <c r="D8568" s="11"/>
      <c r="E8568" s="11"/>
      <c r="F8568" s="11"/>
      <c r="G8568" s="11"/>
      <c r="H8568" s="11"/>
      <c r="I8568" s="15"/>
    </row>
    <row r="8569" spans="1:9" ht="16.5">
      <c r="A8569" s="10" t="b">
        <v>0</v>
      </c>
      <c r="B8569" s="11" t="str">
        <f>IF(D8569&lt;&gt;"",IF(COUNTIF('USPTO TMs'!A:A,D8569)&gt;0,"Yes","No"),"")</f>
        <v/>
      </c>
      <c r="C8569" s="11"/>
      <c r="D8569" s="11"/>
      <c r="E8569" s="11"/>
      <c r="F8569" s="11"/>
      <c r="G8569" s="11"/>
      <c r="H8569" s="11"/>
      <c r="I8569" s="15"/>
    </row>
    <row r="8570" spans="1:9" ht="16.5">
      <c r="A8570" s="10" t="b">
        <v>0</v>
      </c>
      <c r="B8570" s="11" t="str">
        <f>IF(D8570&lt;&gt;"",IF(COUNTIF('USPTO TMs'!A:A,D8570)&gt;0,"Yes","No"),"")</f>
        <v/>
      </c>
      <c r="C8570" s="11"/>
      <c r="D8570" s="11"/>
      <c r="E8570" s="11"/>
      <c r="F8570" s="11"/>
      <c r="G8570" s="11"/>
      <c r="H8570" s="11"/>
      <c r="I8570" s="15"/>
    </row>
    <row r="8571" spans="1:9" ht="16.5">
      <c r="A8571" s="10" t="b">
        <v>0</v>
      </c>
      <c r="B8571" s="11" t="str">
        <f>IF(D8571&lt;&gt;"",IF(COUNTIF('USPTO TMs'!A:A,D8571)&gt;0,"Yes","No"),"")</f>
        <v/>
      </c>
      <c r="C8571" s="11"/>
      <c r="D8571" s="11"/>
      <c r="E8571" s="11"/>
      <c r="F8571" s="11"/>
      <c r="G8571" s="11"/>
      <c r="H8571" s="11"/>
      <c r="I8571" s="15"/>
    </row>
    <row r="8572" spans="1:9" ht="16.5">
      <c r="A8572" s="10" t="b">
        <v>0</v>
      </c>
      <c r="B8572" s="11" t="str">
        <f>IF(D8572&lt;&gt;"",IF(COUNTIF('USPTO TMs'!A:A,D8572)&gt;0,"Yes","No"),"")</f>
        <v/>
      </c>
      <c r="C8572" s="11"/>
      <c r="D8572" s="11"/>
      <c r="E8572" s="11"/>
      <c r="F8572" s="11"/>
      <c r="G8572" s="11"/>
      <c r="H8572" s="11"/>
      <c r="I8572" s="15"/>
    </row>
    <row r="8573" spans="1:9" ht="16.5">
      <c r="A8573" s="10" t="b">
        <v>0</v>
      </c>
      <c r="B8573" s="11" t="str">
        <f>IF(D8573&lt;&gt;"",IF(COUNTIF('USPTO TMs'!A:A,D8573)&gt;0,"Yes","No"),"")</f>
        <v/>
      </c>
      <c r="C8573" s="11"/>
      <c r="D8573" s="11"/>
      <c r="E8573" s="11"/>
      <c r="F8573" s="11"/>
      <c r="G8573" s="11"/>
      <c r="H8573" s="11"/>
      <c r="I8573" s="15"/>
    </row>
    <row r="8574" spans="1:9" ht="16.5">
      <c r="A8574" s="10" t="b">
        <v>0</v>
      </c>
      <c r="B8574" s="11" t="str">
        <f>IF(D8574&lt;&gt;"",IF(COUNTIF('USPTO TMs'!A:A,D8574)&gt;0,"Yes","No"),"")</f>
        <v/>
      </c>
      <c r="C8574" s="11"/>
      <c r="D8574" s="11"/>
      <c r="E8574" s="11"/>
      <c r="F8574" s="11"/>
      <c r="G8574" s="11"/>
      <c r="H8574" s="11"/>
      <c r="I8574" s="15"/>
    </row>
    <row r="8575" spans="1:9" ht="16.5">
      <c r="A8575" s="10" t="b">
        <v>0</v>
      </c>
      <c r="B8575" s="11" t="str">
        <f>IF(D8575&lt;&gt;"",IF(COUNTIF('USPTO TMs'!A:A,D8575)&gt;0,"Yes","No"),"")</f>
        <v/>
      </c>
      <c r="C8575" s="11"/>
      <c r="D8575" s="11"/>
      <c r="E8575" s="11"/>
      <c r="F8575" s="11"/>
      <c r="G8575" s="11"/>
      <c r="H8575" s="11"/>
      <c r="I8575" s="15"/>
    </row>
    <row r="8576" spans="1:9" ht="16.5">
      <c r="A8576" s="10" t="b">
        <v>0</v>
      </c>
      <c r="B8576" s="11" t="str">
        <f>IF(D8576&lt;&gt;"",IF(COUNTIF('USPTO TMs'!A:A,D8576)&gt;0,"Yes","No"),"")</f>
        <v/>
      </c>
      <c r="C8576" s="11"/>
      <c r="D8576" s="11"/>
      <c r="E8576" s="11"/>
      <c r="F8576" s="11"/>
      <c r="G8576" s="11"/>
      <c r="H8576" s="11"/>
      <c r="I8576" s="15"/>
    </row>
    <row r="8577" spans="1:9" ht="16.5">
      <c r="A8577" s="10" t="b">
        <v>0</v>
      </c>
      <c r="B8577" s="11" t="str">
        <f>IF(D8577&lt;&gt;"",IF(COUNTIF('USPTO TMs'!A:A,D8577)&gt;0,"Yes","No"),"")</f>
        <v/>
      </c>
      <c r="C8577" s="11"/>
      <c r="D8577" s="11"/>
      <c r="E8577" s="11"/>
      <c r="F8577" s="11"/>
      <c r="G8577" s="11"/>
      <c r="H8577" s="11"/>
      <c r="I8577" s="15"/>
    </row>
    <row r="8578" spans="1:9" ht="16.5">
      <c r="A8578" s="10" t="b">
        <v>0</v>
      </c>
      <c r="B8578" s="11" t="str">
        <f>IF(D8578&lt;&gt;"",IF(COUNTIF('USPTO TMs'!A:A,D8578)&gt;0,"Yes","No"),"")</f>
        <v/>
      </c>
      <c r="C8578" s="11"/>
      <c r="D8578" s="11"/>
      <c r="E8578" s="11"/>
      <c r="F8578" s="11"/>
      <c r="G8578" s="11"/>
      <c r="H8578" s="11"/>
      <c r="I8578" s="15"/>
    </row>
    <row r="8579" spans="1:9" ht="16.5">
      <c r="A8579" s="10" t="b">
        <v>0</v>
      </c>
      <c r="B8579" s="11" t="str">
        <f>IF(D8579&lt;&gt;"",IF(COUNTIF('USPTO TMs'!A:A,D8579)&gt;0,"Yes","No"),"")</f>
        <v/>
      </c>
      <c r="C8579" s="11"/>
      <c r="D8579" s="11"/>
      <c r="E8579" s="11"/>
      <c r="F8579" s="11"/>
      <c r="G8579" s="11"/>
      <c r="H8579" s="11"/>
      <c r="I8579" s="15"/>
    </row>
    <row r="8580" spans="1:9" ht="16.5">
      <c r="A8580" s="10" t="b">
        <v>0</v>
      </c>
      <c r="B8580" s="11" t="str">
        <f>IF(D8580&lt;&gt;"",IF(COUNTIF('USPTO TMs'!A:A,D8580)&gt;0,"Yes","No"),"")</f>
        <v/>
      </c>
      <c r="C8580" s="11"/>
      <c r="D8580" s="11"/>
      <c r="E8580" s="11"/>
      <c r="F8580" s="11"/>
      <c r="G8580" s="11"/>
      <c r="H8580" s="11"/>
      <c r="I8580" s="15"/>
    </row>
    <row r="8581" spans="1:9" ht="16.5">
      <c r="A8581" s="10" t="b">
        <v>0</v>
      </c>
      <c r="B8581" s="11" t="str">
        <f>IF(D8581&lt;&gt;"",IF(COUNTIF('USPTO TMs'!A:A,D8581)&gt;0,"Yes","No"),"")</f>
        <v/>
      </c>
      <c r="C8581" s="11"/>
      <c r="D8581" s="11"/>
      <c r="E8581" s="11"/>
      <c r="F8581" s="11"/>
      <c r="G8581" s="11"/>
      <c r="H8581" s="11"/>
      <c r="I8581" s="15"/>
    </row>
    <row r="8582" spans="1:9" ht="16.5">
      <c r="A8582" s="10" t="b">
        <v>0</v>
      </c>
      <c r="B8582" s="11" t="str">
        <f>IF(D8582&lt;&gt;"",IF(COUNTIF('USPTO TMs'!A:A,D8582)&gt;0,"Yes","No"),"")</f>
        <v/>
      </c>
      <c r="C8582" s="11"/>
      <c r="D8582" s="11"/>
      <c r="E8582" s="11"/>
      <c r="F8582" s="11"/>
      <c r="G8582" s="11"/>
      <c r="H8582" s="11"/>
      <c r="I8582" s="15"/>
    </row>
    <row r="8583" spans="1:9" ht="16.5">
      <c r="A8583" s="10" t="b">
        <v>0</v>
      </c>
      <c r="B8583" s="11" t="str">
        <f>IF(D8583&lt;&gt;"",IF(COUNTIF('USPTO TMs'!A:A,D8583)&gt;0,"Yes","No"),"")</f>
        <v/>
      </c>
      <c r="C8583" s="11"/>
      <c r="D8583" s="11"/>
      <c r="E8583" s="11"/>
      <c r="F8583" s="11"/>
      <c r="G8583" s="11"/>
      <c r="H8583" s="11"/>
      <c r="I8583" s="15"/>
    </row>
    <row r="8584" spans="1:9" ht="16.5">
      <c r="A8584" s="10" t="b">
        <v>0</v>
      </c>
      <c r="B8584" s="11" t="str">
        <f>IF(D8584&lt;&gt;"",IF(COUNTIF('USPTO TMs'!A:A,D8584)&gt;0,"Yes","No"),"")</f>
        <v/>
      </c>
      <c r="C8584" s="11"/>
      <c r="D8584" s="11"/>
      <c r="E8584" s="11"/>
      <c r="F8584" s="11"/>
      <c r="G8584" s="11"/>
      <c r="H8584" s="11"/>
      <c r="I8584" s="15"/>
    </row>
    <row r="8585" spans="1:9" ht="16.5">
      <c r="A8585" s="10" t="b">
        <v>0</v>
      </c>
      <c r="B8585" s="11" t="str">
        <f>IF(D8585&lt;&gt;"",IF(COUNTIF('USPTO TMs'!A:A,D8585)&gt;0,"Yes","No"),"")</f>
        <v/>
      </c>
      <c r="C8585" s="11"/>
      <c r="D8585" s="11"/>
      <c r="E8585" s="11"/>
      <c r="F8585" s="11"/>
      <c r="G8585" s="11"/>
      <c r="H8585" s="11"/>
      <c r="I8585" s="15"/>
    </row>
    <row r="8586" spans="1:9" ht="16.5">
      <c r="A8586" s="10" t="b">
        <v>0</v>
      </c>
      <c r="B8586" s="11" t="str">
        <f>IF(D8586&lt;&gt;"",IF(COUNTIF('USPTO TMs'!A:A,D8586)&gt;0,"Yes","No"),"")</f>
        <v/>
      </c>
      <c r="C8586" s="11"/>
      <c r="D8586" s="11"/>
      <c r="E8586" s="11"/>
      <c r="F8586" s="11"/>
      <c r="G8586" s="11"/>
      <c r="H8586" s="11"/>
      <c r="I8586" s="15"/>
    </row>
    <row r="8587" spans="1:9" ht="16.5">
      <c r="A8587" s="10" t="b">
        <v>0</v>
      </c>
      <c r="B8587" s="11" t="str">
        <f>IF(D8587&lt;&gt;"",IF(COUNTIF('USPTO TMs'!A:A,D8587)&gt;0,"Yes","No"),"")</f>
        <v/>
      </c>
      <c r="C8587" s="11"/>
      <c r="D8587" s="11"/>
      <c r="E8587" s="11"/>
      <c r="F8587" s="11"/>
      <c r="G8587" s="11"/>
      <c r="H8587" s="11"/>
      <c r="I8587" s="15"/>
    </row>
    <row r="8588" spans="1:9" ht="16.5">
      <c r="A8588" s="10" t="b">
        <v>0</v>
      </c>
      <c r="B8588" s="11" t="str">
        <f>IF(D8588&lt;&gt;"",IF(COUNTIF('USPTO TMs'!A:A,D8588)&gt;0,"Yes","No"),"")</f>
        <v/>
      </c>
      <c r="C8588" s="11"/>
      <c r="D8588" s="11"/>
      <c r="E8588" s="11"/>
      <c r="F8588" s="11"/>
      <c r="G8588" s="11"/>
      <c r="H8588" s="11"/>
      <c r="I8588" s="15"/>
    </row>
    <row r="8589" spans="1:9" ht="16.5">
      <c r="A8589" s="10" t="b">
        <v>0</v>
      </c>
      <c r="B8589" s="11" t="str">
        <f>IF(D8589&lt;&gt;"",IF(COUNTIF('USPTO TMs'!A:A,D8589)&gt;0,"Yes","No"),"")</f>
        <v/>
      </c>
      <c r="C8589" s="11"/>
      <c r="D8589" s="11"/>
      <c r="E8589" s="11"/>
      <c r="F8589" s="11"/>
      <c r="G8589" s="11"/>
      <c r="H8589" s="11"/>
      <c r="I8589" s="15"/>
    </row>
    <row r="8590" spans="1:9" ht="16.5">
      <c r="A8590" s="10" t="b">
        <v>0</v>
      </c>
      <c r="B8590" s="11" t="str">
        <f>IF(D8590&lt;&gt;"",IF(COUNTIF('USPTO TMs'!A:A,D8590)&gt;0,"Yes","No"),"")</f>
        <v/>
      </c>
      <c r="C8590" s="11"/>
      <c r="D8590" s="11"/>
      <c r="E8590" s="11"/>
      <c r="F8590" s="11"/>
      <c r="G8590" s="11"/>
      <c r="H8590" s="11"/>
      <c r="I8590" s="15"/>
    </row>
    <row r="8591" spans="1:9" ht="16.5">
      <c r="A8591" s="10" t="b">
        <v>0</v>
      </c>
      <c r="B8591" s="11" t="str">
        <f>IF(D8591&lt;&gt;"",IF(COUNTIF('USPTO TMs'!A:A,D8591)&gt;0,"Yes","No"),"")</f>
        <v/>
      </c>
      <c r="C8591" s="11"/>
      <c r="D8591" s="11"/>
      <c r="E8591" s="11"/>
      <c r="F8591" s="11"/>
      <c r="G8591" s="11"/>
      <c r="H8591" s="11"/>
      <c r="I8591" s="15"/>
    </row>
    <row r="8592" spans="1:9" ht="16.5">
      <c r="A8592" s="10" t="b">
        <v>0</v>
      </c>
      <c r="B8592" s="11" t="str">
        <f>IF(D8592&lt;&gt;"",IF(COUNTIF('USPTO TMs'!A:A,D8592)&gt;0,"Yes","No"),"")</f>
        <v/>
      </c>
      <c r="C8592" s="11"/>
      <c r="D8592" s="11"/>
      <c r="E8592" s="11"/>
      <c r="F8592" s="11"/>
      <c r="G8592" s="11"/>
      <c r="H8592" s="11"/>
      <c r="I8592" s="15"/>
    </row>
    <row r="8593" spans="1:9" ht="16.5">
      <c r="A8593" s="10" t="b">
        <v>0</v>
      </c>
      <c r="B8593" s="11" t="str">
        <f>IF(D8593&lt;&gt;"",IF(COUNTIF('USPTO TMs'!A:A,D8593)&gt;0,"Yes","No"),"")</f>
        <v/>
      </c>
      <c r="C8593" s="11"/>
      <c r="D8593" s="11"/>
      <c r="E8593" s="11"/>
      <c r="F8593" s="11"/>
      <c r="G8593" s="11"/>
      <c r="H8593" s="11"/>
      <c r="I8593" s="15"/>
    </row>
    <row r="8594" spans="1:9" ht="16.5">
      <c r="A8594" s="10" t="b">
        <v>0</v>
      </c>
      <c r="B8594" s="11" t="str">
        <f>IF(D8594&lt;&gt;"",IF(COUNTIF('USPTO TMs'!A:A,D8594)&gt;0,"Yes","No"),"")</f>
        <v/>
      </c>
      <c r="C8594" s="11"/>
      <c r="D8594" s="11"/>
      <c r="E8594" s="11"/>
      <c r="F8594" s="11"/>
      <c r="G8594" s="11"/>
      <c r="H8594" s="11"/>
      <c r="I8594" s="15"/>
    </row>
    <row r="8595" spans="1:9" ht="16.5">
      <c r="A8595" s="10" t="b">
        <v>0</v>
      </c>
      <c r="B8595" s="11" t="str">
        <f>IF(D8595&lt;&gt;"",IF(COUNTIF('USPTO TMs'!A:A,D8595)&gt;0,"Yes","No"),"")</f>
        <v/>
      </c>
      <c r="C8595" s="11"/>
      <c r="D8595" s="11"/>
      <c r="E8595" s="11"/>
      <c r="F8595" s="11"/>
      <c r="G8595" s="11"/>
      <c r="H8595" s="11"/>
      <c r="I8595" s="15"/>
    </row>
    <row r="8596" spans="1:9" ht="16.5">
      <c r="A8596" s="10" t="b">
        <v>0</v>
      </c>
      <c r="B8596" s="11" t="str">
        <f>IF(D8596&lt;&gt;"",IF(COUNTIF('USPTO TMs'!A:A,D8596)&gt;0,"Yes","No"),"")</f>
        <v/>
      </c>
      <c r="C8596" s="11"/>
      <c r="D8596" s="11"/>
      <c r="E8596" s="11"/>
      <c r="F8596" s="11"/>
      <c r="G8596" s="11"/>
      <c r="H8596" s="11"/>
      <c r="I8596" s="15"/>
    </row>
    <row r="8597" spans="1:9" ht="16.5">
      <c r="A8597" s="10" t="b">
        <v>0</v>
      </c>
      <c r="B8597" s="11" t="str">
        <f>IF(D8597&lt;&gt;"",IF(COUNTIF('USPTO TMs'!A:A,D8597)&gt;0,"Yes","No"),"")</f>
        <v/>
      </c>
      <c r="C8597" s="11"/>
      <c r="D8597" s="11"/>
      <c r="E8597" s="11"/>
      <c r="F8597" s="11"/>
      <c r="G8597" s="11"/>
      <c r="H8597" s="11"/>
      <c r="I8597" s="15"/>
    </row>
    <row r="8598" spans="1:9" ht="16.5">
      <c r="A8598" s="10" t="b">
        <v>0</v>
      </c>
      <c r="B8598" s="11" t="str">
        <f>IF(D8598&lt;&gt;"",IF(COUNTIF('USPTO TMs'!A:A,D8598)&gt;0,"Yes","No"),"")</f>
        <v/>
      </c>
      <c r="C8598" s="11"/>
      <c r="D8598" s="11"/>
      <c r="E8598" s="11"/>
      <c r="F8598" s="11"/>
      <c r="G8598" s="11"/>
      <c r="H8598" s="11"/>
      <c r="I8598" s="15"/>
    </row>
    <row r="8599" spans="1:9" ht="16.5">
      <c r="A8599" s="10" t="b">
        <v>0</v>
      </c>
      <c r="B8599" s="11" t="str">
        <f>IF(D8599&lt;&gt;"",IF(COUNTIF('USPTO TMs'!A:A,D8599)&gt;0,"Yes","No"),"")</f>
        <v/>
      </c>
      <c r="C8599" s="11"/>
      <c r="D8599" s="11"/>
      <c r="E8599" s="11"/>
      <c r="F8599" s="11"/>
      <c r="G8599" s="11"/>
      <c r="H8599" s="11"/>
      <c r="I8599" s="15"/>
    </row>
    <row r="8600" spans="1:9" ht="16.5">
      <c r="A8600" s="10" t="b">
        <v>0</v>
      </c>
      <c r="B8600" s="11" t="str">
        <f>IF(D8600&lt;&gt;"",IF(COUNTIF('USPTO TMs'!A:A,D8600)&gt;0,"Yes","No"),"")</f>
        <v/>
      </c>
      <c r="C8600" s="11"/>
      <c r="D8600" s="11"/>
      <c r="E8600" s="11"/>
      <c r="F8600" s="11"/>
      <c r="G8600" s="11"/>
      <c r="H8600" s="11"/>
      <c r="I8600" s="15"/>
    </row>
    <row r="8601" spans="1:9" ht="16.5">
      <c r="A8601" s="10" t="b">
        <v>0</v>
      </c>
      <c r="B8601" s="11" t="str">
        <f>IF(D8601&lt;&gt;"",IF(COUNTIF('USPTO TMs'!A:A,D8601)&gt;0,"Yes","No"),"")</f>
        <v/>
      </c>
      <c r="C8601" s="11"/>
      <c r="D8601" s="11"/>
      <c r="E8601" s="11"/>
      <c r="F8601" s="11"/>
      <c r="G8601" s="11"/>
      <c r="H8601" s="11"/>
      <c r="I8601" s="15"/>
    </row>
    <row r="8602" spans="1:9" ht="16.5">
      <c r="A8602" s="10" t="b">
        <v>0</v>
      </c>
      <c r="B8602" s="11" t="str">
        <f>IF(D8602&lt;&gt;"",IF(COUNTIF('USPTO TMs'!A:A,D8602)&gt;0,"Yes","No"),"")</f>
        <v/>
      </c>
      <c r="C8602" s="11"/>
      <c r="D8602" s="11"/>
      <c r="E8602" s="11"/>
      <c r="F8602" s="11"/>
      <c r="G8602" s="11"/>
      <c r="H8602" s="11"/>
      <c r="I8602" s="15"/>
    </row>
    <row r="8603" spans="1:9" ht="16.5">
      <c r="A8603" s="10" t="b">
        <v>0</v>
      </c>
      <c r="B8603" s="11" t="str">
        <f>IF(D8603&lt;&gt;"",IF(COUNTIF('USPTO TMs'!A:A,D8603)&gt;0,"Yes","No"),"")</f>
        <v/>
      </c>
      <c r="C8603" s="11"/>
      <c r="D8603" s="11"/>
      <c r="E8603" s="11"/>
      <c r="F8603" s="11"/>
      <c r="G8603" s="11"/>
      <c r="H8603" s="11"/>
      <c r="I8603" s="15"/>
    </row>
    <row r="8604" spans="1:9" ht="16.5">
      <c r="A8604" s="10" t="b">
        <v>0</v>
      </c>
      <c r="B8604" s="11" t="str">
        <f>IF(D8604&lt;&gt;"",IF(COUNTIF('USPTO TMs'!A:A,D8604)&gt;0,"Yes","No"),"")</f>
        <v/>
      </c>
      <c r="C8604" s="11"/>
      <c r="D8604" s="11"/>
      <c r="E8604" s="11"/>
      <c r="F8604" s="11"/>
      <c r="G8604" s="11"/>
      <c r="H8604" s="11"/>
      <c r="I8604" s="15"/>
    </row>
    <row r="8605" spans="1:9" ht="16.5">
      <c r="A8605" s="10" t="b">
        <v>0</v>
      </c>
      <c r="B8605" s="11" t="str">
        <f>IF(D8605&lt;&gt;"",IF(COUNTIF('USPTO TMs'!A:A,D8605)&gt;0,"Yes","No"),"")</f>
        <v/>
      </c>
      <c r="C8605" s="11"/>
      <c r="D8605" s="11"/>
      <c r="E8605" s="11"/>
      <c r="F8605" s="11"/>
      <c r="G8605" s="11"/>
      <c r="H8605" s="11"/>
      <c r="I8605" s="15"/>
    </row>
    <row r="8606" spans="1:9" ht="16.5">
      <c r="A8606" s="10" t="b">
        <v>0</v>
      </c>
      <c r="B8606" s="11" t="str">
        <f>IF(D8606&lt;&gt;"",IF(COUNTIF('USPTO TMs'!A:A,D8606)&gt;0,"Yes","No"),"")</f>
        <v/>
      </c>
      <c r="C8606" s="11"/>
      <c r="D8606" s="11"/>
      <c r="E8606" s="11"/>
      <c r="F8606" s="11"/>
      <c r="G8606" s="11"/>
      <c r="H8606" s="11"/>
      <c r="I8606" s="15"/>
    </row>
    <row r="8607" spans="1:9" ht="16.5">
      <c r="A8607" s="10" t="b">
        <v>0</v>
      </c>
      <c r="B8607" s="11" t="str">
        <f>IF(D8607&lt;&gt;"",IF(COUNTIF('USPTO TMs'!A:A,D8607)&gt;0,"Yes","No"),"")</f>
        <v/>
      </c>
      <c r="C8607" s="11"/>
      <c r="D8607" s="11"/>
      <c r="E8607" s="11"/>
      <c r="F8607" s="11"/>
      <c r="G8607" s="11"/>
      <c r="H8607" s="11"/>
      <c r="I8607" s="15"/>
    </row>
    <row r="8608" spans="1:9" ht="16.5">
      <c r="A8608" s="10" t="b">
        <v>0</v>
      </c>
      <c r="B8608" s="11" t="str">
        <f>IF(D8608&lt;&gt;"",IF(COUNTIF('USPTO TMs'!A:A,D8608)&gt;0,"Yes","No"),"")</f>
        <v/>
      </c>
      <c r="C8608" s="11"/>
      <c r="D8608" s="11"/>
      <c r="E8608" s="11"/>
      <c r="F8608" s="11"/>
      <c r="G8608" s="11"/>
      <c r="H8608" s="11"/>
      <c r="I8608" s="15"/>
    </row>
    <row r="8609" spans="1:9" ht="16.5">
      <c r="A8609" s="10" t="b">
        <v>0</v>
      </c>
      <c r="B8609" s="11" t="str">
        <f>IF(D8609&lt;&gt;"",IF(COUNTIF('USPTO TMs'!A:A,D8609)&gt;0,"Yes","No"),"")</f>
        <v/>
      </c>
      <c r="C8609" s="11"/>
      <c r="D8609" s="11"/>
      <c r="E8609" s="11"/>
      <c r="F8609" s="11"/>
      <c r="G8609" s="11"/>
      <c r="H8609" s="11"/>
      <c r="I8609" s="15"/>
    </row>
    <row r="8610" spans="1:9" ht="16.5">
      <c r="A8610" s="10" t="b">
        <v>0</v>
      </c>
      <c r="B8610" s="11" t="str">
        <f>IF(D8610&lt;&gt;"",IF(COUNTIF('USPTO TMs'!A:A,D8610)&gt;0,"Yes","No"),"")</f>
        <v/>
      </c>
      <c r="C8610" s="11"/>
      <c r="D8610" s="11"/>
      <c r="E8610" s="11"/>
      <c r="F8610" s="11"/>
      <c r="G8610" s="11"/>
      <c r="H8610" s="11"/>
      <c r="I8610" s="15"/>
    </row>
    <row r="8611" spans="1:9" ht="16.5">
      <c r="A8611" s="10" t="b">
        <v>0</v>
      </c>
      <c r="B8611" s="11" t="str">
        <f>IF(D8611&lt;&gt;"",IF(COUNTIF('USPTO TMs'!A:A,D8611)&gt;0,"Yes","No"),"")</f>
        <v/>
      </c>
      <c r="C8611" s="11"/>
      <c r="D8611" s="11"/>
      <c r="E8611" s="11"/>
      <c r="F8611" s="11"/>
      <c r="G8611" s="11"/>
      <c r="H8611" s="11"/>
      <c r="I8611" s="15"/>
    </row>
    <row r="8612" spans="1:9" ht="16.5">
      <c r="A8612" s="10" t="b">
        <v>0</v>
      </c>
      <c r="B8612" s="11" t="str">
        <f>IF(D8612&lt;&gt;"",IF(COUNTIF('USPTO TMs'!A:A,D8612)&gt;0,"Yes","No"),"")</f>
        <v/>
      </c>
      <c r="C8612" s="11"/>
      <c r="D8612" s="11"/>
      <c r="E8612" s="11"/>
      <c r="F8612" s="11"/>
      <c r="G8612" s="11"/>
      <c r="H8612" s="11"/>
      <c r="I8612" s="15"/>
    </row>
    <row r="8613" spans="1:9" ht="16.5">
      <c r="A8613" s="10" t="b">
        <v>0</v>
      </c>
      <c r="B8613" s="11" t="str">
        <f>IF(D8613&lt;&gt;"",IF(COUNTIF('USPTO TMs'!A:A,D8613)&gt;0,"Yes","No"),"")</f>
        <v/>
      </c>
      <c r="C8613" s="11"/>
      <c r="D8613" s="11"/>
      <c r="E8613" s="11"/>
      <c r="F8613" s="11"/>
      <c r="G8613" s="11"/>
      <c r="H8613" s="11"/>
      <c r="I8613" s="15"/>
    </row>
    <row r="8614" spans="1:9" ht="16.5">
      <c r="A8614" s="10" t="b">
        <v>0</v>
      </c>
      <c r="B8614" s="11" t="str">
        <f>IF(D8614&lt;&gt;"",IF(COUNTIF('USPTO TMs'!A:A,D8614)&gt;0,"Yes","No"),"")</f>
        <v/>
      </c>
      <c r="C8614" s="11"/>
      <c r="D8614" s="11"/>
      <c r="E8614" s="11"/>
      <c r="F8614" s="11"/>
      <c r="G8614" s="11"/>
      <c r="H8614" s="11"/>
      <c r="I8614" s="15"/>
    </row>
    <row r="8615" spans="1:9" ht="16.5">
      <c r="A8615" s="10" t="b">
        <v>0</v>
      </c>
      <c r="B8615" s="11" t="str">
        <f>IF(D8615&lt;&gt;"",IF(COUNTIF('USPTO TMs'!A:A,D8615)&gt;0,"Yes","No"),"")</f>
        <v/>
      </c>
      <c r="C8615" s="11"/>
      <c r="D8615" s="11"/>
      <c r="E8615" s="11"/>
      <c r="F8615" s="11"/>
      <c r="G8615" s="11"/>
      <c r="H8615" s="11"/>
      <c r="I8615" s="15"/>
    </row>
    <row r="8616" spans="1:9" ht="16.5">
      <c r="A8616" s="10" t="b">
        <v>0</v>
      </c>
      <c r="B8616" s="11" t="str">
        <f>IF(D8616&lt;&gt;"",IF(COUNTIF('USPTO TMs'!A:A,D8616)&gt;0,"Yes","No"),"")</f>
        <v/>
      </c>
      <c r="C8616" s="11"/>
      <c r="D8616" s="11"/>
      <c r="E8616" s="11"/>
      <c r="F8616" s="11"/>
      <c r="G8616" s="11"/>
      <c r="H8616" s="11"/>
      <c r="I8616" s="15"/>
    </row>
    <row r="8617" spans="1:9" ht="16.5">
      <c r="A8617" s="10" t="b">
        <v>0</v>
      </c>
      <c r="B8617" s="11" t="str">
        <f>IF(D8617&lt;&gt;"",IF(COUNTIF('USPTO TMs'!A:A,D8617)&gt;0,"Yes","No"),"")</f>
        <v/>
      </c>
      <c r="C8617" s="11"/>
      <c r="D8617" s="11"/>
      <c r="E8617" s="11"/>
      <c r="F8617" s="11"/>
      <c r="G8617" s="11"/>
      <c r="H8617" s="11"/>
      <c r="I8617" s="15"/>
    </row>
    <row r="8618" spans="1:9" ht="16.5">
      <c r="A8618" s="10" t="b">
        <v>0</v>
      </c>
      <c r="B8618" s="11" t="str">
        <f>IF(D8618&lt;&gt;"",IF(COUNTIF('USPTO TMs'!A:A,D8618)&gt;0,"Yes","No"),"")</f>
        <v/>
      </c>
      <c r="C8618" s="11"/>
      <c r="D8618" s="11"/>
      <c r="E8618" s="11"/>
      <c r="F8618" s="11"/>
      <c r="G8618" s="11"/>
      <c r="H8618" s="11"/>
      <c r="I8618" s="15"/>
    </row>
    <row r="8619" spans="1:9" ht="16.5">
      <c r="A8619" s="10" t="b">
        <v>0</v>
      </c>
      <c r="B8619" s="11" t="str">
        <f>IF(D8619&lt;&gt;"",IF(COUNTIF('USPTO TMs'!A:A,D8619)&gt;0,"Yes","No"),"")</f>
        <v/>
      </c>
      <c r="C8619" s="11"/>
      <c r="D8619" s="11"/>
      <c r="E8619" s="11"/>
      <c r="F8619" s="11"/>
      <c r="G8619" s="11"/>
      <c r="H8619" s="11"/>
      <c r="I8619" s="15"/>
    </row>
    <row r="8620" spans="1:9" ht="16.5">
      <c r="A8620" s="10" t="b">
        <v>0</v>
      </c>
      <c r="B8620" s="11" t="str">
        <f>IF(D8620&lt;&gt;"",IF(COUNTIF('USPTO TMs'!A:A,D8620)&gt;0,"Yes","No"),"")</f>
        <v/>
      </c>
      <c r="C8620" s="11"/>
      <c r="D8620" s="11"/>
      <c r="E8620" s="11"/>
      <c r="F8620" s="11"/>
      <c r="G8620" s="11"/>
      <c r="H8620" s="11"/>
      <c r="I8620" s="15"/>
    </row>
    <row r="8621" spans="1:9" ht="16.5">
      <c r="A8621" s="10" t="b">
        <v>0</v>
      </c>
      <c r="B8621" s="11" t="str">
        <f>IF(D8621&lt;&gt;"",IF(COUNTIF('USPTO TMs'!A:A,D8621)&gt;0,"Yes","No"),"")</f>
        <v/>
      </c>
      <c r="C8621" s="11"/>
      <c r="D8621" s="11"/>
      <c r="E8621" s="11"/>
      <c r="F8621" s="11"/>
      <c r="G8621" s="11"/>
      <c r="H8621" s="11"/>
      <c r="I8621" s="15"/>
    </row>
    <row r="8622" spans="1:9" ht="16.5">
      <c r="A8622" s="10" t="b">
        <v>0</v>
      </c>
      <c r="B8622" s="11" t="str">
        <f>IF(D8622&lt;&gt;"",IF(COUNTIF('USPTO TMs'!A:A,D8622)&gt;0,"Yes","No"),"")</f>
        <v/>
      </c>
      <c r="C8622" s="11"/>
      <c r="D8622" s="11"/>
      <c r="E8622" s="11"/>
      <c r="F8622" s="11"/>
      <c r="G8622" s="11"/>
      <c r="H8622" s="11"/>
      <c r="I8622" s="15"/>
    </row>
    <row r="8623" spans="1:9" ht="16.5">
      <c r="A8623" s="10" t="b">
        <v>0</v>
      </c>
      <c r="B8623" s="11" t="str">
        <f>IF(D8623&lt;&gt;"",IF(COUNTIF('USPTO TMs'!A:A,D8623)&gt;0,"Yes","No"),"")</f>
        <v/>
      </c>
      <c r="C8623" s="11"/>
      <c r="D8623" s="11"/>
      <c r="E8623" s="11"/>
      <c r="F8623" s="11"/>
      <c r="G8623" s="11"/>
      <c r="H8623" s="11"/>
      <c r="I8623" s="15"/>
    </row>
    <row r="8624" spans="1:9" ht="16.5">
      <c r="A8624" s="10" t="b">
        <v>0</v>
      </c>
      <c r="B8624" s="11" t="str">
        <f>IF(D8624&lt;&gt;"",IF(COUNTIF('USPTO TMs'!A:A,D8624)&gt;0,"Yes","No"),"")</f>
        <v/>
      </c>
      <c r="C8624" s="11"/>
      <c r="D8624" s="11"/>
      <c r="E8624" s="11"/>
      <c r="F8624" s="11"/>
      <c r="G8624" s="11"/>
      <c r="H8624" s="11"/>
      <c r="I8624" s="15"/>
    </row>
    <row r="8625" spans="1:9" ht="16.5">
      <c r="A8625" s="10" t="b">
        <v>0</v>
      </c>
      <c r="B8625" s="11" t="str">
        <f>IF(D8625&lt;&gt;"",IF(COUNTIF('USPTO TMs'!A:A,D8625)&gt;0,"Yes","No"),"")</f>
        <v/>
      </c>
      <c r="C8625" s="11"/>
      <c r="D8625" s="11"/>
      <c r="E8625" s="11"/>
      <c r="F8625" s="11"/>
      <c r="G8625" s="11"/>
      <c r="H8625" s="11"/>
      <c r="I8625" s="15"/>
    </row>
    <row r="8626" spans="1:9" ht="16.5">
      <c r="A8626" s="10" t="b">
        <v>0</v>
      </c>
      <c r="B8626" s="11" t="str">
        <f>IF(D8626&lt;&gt;"",IF(COUNTIF('USPTO TMs'!A:A,D8626)&gt;0,"Yes","No"),"")</f>
        <v/>
      </c>
      <c r="C8626" s="11"/>
      <c r="D8626" s="11"/>
      <c r="E8626" s="11"/>
      <c r="F8626" s="11"/>
      <c r="G8626" s="11"/>
      <c r="H8626" s="11"/>
      <c r="I8626" s="15"/>
    </row>
    <row r="8627" spans="1:9" ht="16.5">
      <c r="A8627" s="10" t="b">
        <v>0</v>
      </c>
      <c r="B8627" s="11" t="str">
        <f>IF(D8627&lt;&gt;"",IF(COUNTIF('USPTO TMs'!A:A,D8627)&gt;0,"Yes","No"),"")</f>
        <v/>
      </c>
      <c r="C8627" s="11"/>
      <c r="D8627" s="11"/>
      <c r="E8627" s="11"/>
      <c r="F8627" s="11"/>
      <c r="G8627" s="11"/>
      <c r="H8627" s="11"/>
      <c r="I8627" s="15"/>
    </row>
    <row r="8628" spans="1:9" ht="16.5">
      <c r="A8628" s="10" t="b">
        <v>0</v>
      </c>
      <c r="B8628" s="11" t="str">
        <f>IF(D8628&lt;&gt;"",IF(COUNTIF('USPTO TMs'!A:A,D8628)&gt;0,"Yes","No"),"")</f>
        <v/>
      </c>
      <c r="C8628" s="11"/>
      <c r="D8628" s="11"/>
      <c r="E8628" s="11"/>
      <c r="F8628" s="11"/>
      <c r="G8628" s="11"/>
      <c r="H8628" s="11"/>
      <c r="I8628" s="15"/>
    </row>
    <row r="8629" spans="1:9" ht="16.5">
      <c r="A8629" s="10" t="b">
        <v>0</v>
      </c>
      <c r="B8629" s="11" t="str">
        <f>IF(D8629&lt;&gt;"",IF(COUNTIF('USPTO TMs'!A:A,D8629)&gt;0,"Yes","No"),"")</f>
        <v/>
      </c>
      <c r="C8629" s="11"/>
      <c r="D8629" s="11"/>
      <c r="E8629" s="11"/>
      <c r="F8629" s="11"/>
      <c r="G8629" s="11"/>
      <c r="H8629" s="11"/>
      <c r="I8629" s="15"/>
    </row>
    <row r="8630" spans="1:9" ht="16.5">
      <c r="A8630" s="10" t="b">
        <v>0</v>
      </c>
      <c r="B8630" s="11" t="str">
        <f>IF(D8630&lt;&gt;"",IF(COUNTIF('USPTO TMs'!A:A,D8630)&gt;0,"Yes","No"),"")</f>
        <v/>
      </c>
      <c r="C8630" s="11"/>
      <c r="D8630" s="11"/>
      <c r="E8630" s="11"/>
      <c r="F8630" s="11"/>
      <c r="G8630" s="11"/>
      <c r="H8630" s="11"/>
      <c r="I8630" s="15"/>
    </row>
    <row r="8631" spans="1:9" ht="16.5">
      <c r="A8631" s="10" t="b">
        <v>0</v>
      </c>
      <c r="B8631" s="11" t="str">
        <f>IF(D8631&lt;&gt;"",IF(COUNTIF('USPTO TMs'!A:A,D8631)&gt;0,"Yes","No"),"")</f>
        <v/>
      </c>
      <c r="C8631" s="11"/>
      <c r="D8631" s="11"/>
      <c r="E8631" s="11"/>
      <c r="F8631" s="11"/>
      <c r="G8631" s="11"/>
      <c r="H8631" s="11"/>
      <c r="I8631" s="15"/>
    </row>
    <row r="8632" spans="1:9" ht="16.5">
      <c r="A8632" s="10" t="b">
        <v>0</v>
      </c>
      <c r="B8632" s="11" t="str">
        <f>IF(D8632&lt;&gt;"",IF(COUNTIF('USPTO TMs'!A:A,D8632)&gt;0,"Yes","No"),"")</f>
        <v/>
      </c>
      <c r="C8632" s="11"/>
      <c r="D8632" s="11"/>
      <c r="E8632" s="11"/>
      <c r="F8632" s="11"/>
      <c r="G8632" s="11"/>
      <c r="H8632" s="11"/>
      <c r="I8632" s="15"/>
    </row>
    <row r="8633" spans="1:9" ht="16.5">
      <c r="A8633" s="10" t="b">
        <v>0</v>
      </c>
      <c r="B8633" s="11" t="str">
        <f>IF(D8633&lt;&gt;"",IF(COUNTIF('USPTO TMs'!A:A,D8633)&gt;0,"Yes","No"),"")</f>
        <v/>
      </c>
      <c r="C8633" s="11"/>
      <c r="D8633" s="11"/>
      <c r="E8633" s="11"/>
      <c r="F8633" s="11"/>
      <c r="G8633" s="11"/>
      <c r="H8633" s="11"/>
      <c r="I8633" s="15"/>
    </row>
    <row r="8634" spans="1:9" ht="16.5">
      <c r="A8634" s="10" t="b">
        <v>0</v>
      </c>
      <c r="B8634" s="11" t="str">
        <f>IF(D8634&lt;&gt;"",IF(COUNTIF('USPTO TMs'!A:A,D8634)&gt;0,"Yes","No"),"")</f>
        <v/>
      </c>
      <c r="C8634" s="11"/>
      <c r="D8634" s="11"/>
      <c r="E8634" s="11"/>
      <c r="F8634" s="11"/>
      <c r="G8634" s="11"/>
      <c r="H8634" s="11"/>
      <c r="I8634" s="15"/>
    </row>
    <row r="8635" spans="1:9" ht="16.5">
      <c r="A8635" s="10" t="b">
        <v>0</v>
      </c>
      <c r="B8635" s="11" t="str">
        <f>IF(D8635&lt;&gt;"",IF(COUNTIF('USPTO TMs'!A:A,D8635)&gt;0,"Yes","No"),"")</f>
        <v/>
      </c>
      <c r="C8635" s="11"/>
      <c r="D8635" s="11"/>
      <c r="E8635" s="11"/>
      <c r="F8635" s="11"/>
      <c r="G8635" s="11"/>
      <c r="H8635" s="11"/>
      <c r="I8635" s="15"/>
    </row>
    <row r="8636" spans="1:9" ht="16.5">
      <c r="A8636" s="10" t="b">
        <v>0</v>
      </c>
      <c r="B8636" s="11" t="str">
        <f>IF(D8636&lt;&gt;"",IF(COUNTIF('USPTO TMs'!A:A,D8636)&gt;0,"Yes","No"),"")</f>
        <v/>
      </c>
      <c r="C8636" s="11"/>
      <c r="D8636" s="11"/>
      <c r="E8636" s="11"/>
      <c r="F8636" s="11"/>
      <c r="G8636" s="11"/>
      <c r="H8636" s="11"/>
      <c r="I8636" s="15"/>
    </row>
    <row r="8637" spans="1:9" ht="16.5">
      <c r="A8637" s="10" t="b">
        <v>0</v>
      </c>
      <c r="B8637" s="11" t="str">
        <f>IF(D8637&lt;&gt;"",IF(COUNTIF('USPTO TMs'!A:A,D8637)&gt;0,"Yes","No"),"")</f>
        <v/>
      </c>
      <c r="C8637" s="11"/>
      <c r="D8637" s="11"/>
      <c r="E8637" s="11"/>
      <c r="F8637" s="11"/>
      <c r="G8637" s="11"/>
      <c r="H8637" s="11"/>
      <c r="I8637" s="15"/>
    </row>
    <row r="8638" spans="1:9" ht="16.5">
      <c r="A8638" s="10" t="b">
        <v>0</v>
      </c>
      <c r="B8638" s="11" t="str">
        <f>IF(D8638&lt;&gt;"",IF(COUNTIF('USPTO TMs'!A:A,D8638)&gt;0,"Yes","No"),"")</f>
        <v/>
      </c>
      <c r="C8638" s="11"/>
      <c r="D8638" s="11"/>
      <c r="E8638" s="11"/>
      <c r="F8638" s="11"/>
      <c r="G8638" s="11"/>
      <c r="H8638" s="11"/>
      <c r="I8638" s="15"/>
    </row>
    <row r="8639" spans="1:9" ht="16.5">
      <c r="A8639" s="10" t="b">
        <v>0</v>
      </c>
      <c r="B8639" s="11" t="str">
        <f>IF(D8639&lt;&gt;"",IF(COUNTIF('USPTO TMs'!A:A,D8639)&gt;0,"Yes","No"),"")</f>
        <v/>
      </c>
      <c r="C8639" s="11"/>
      <c r="D8639" s="11"/>
      <c r="E8639" s="11"/>
      <c r="F8639" s="11"/>
      <c r="G8639" s="11"/>
      <c r="H8639" s="11"/>
      <c r="I8639" s="15"/>
    </row>
    <row r="8640" spans="1:9" ht="16.5">
      <c r="A8640" s="10" t="b">
        <v>0</v>
      </c>
      <c r="B8640" s="11" t="str">
        <f>IF(D8640&lt;&gt;"",IF(COUNTIF('USPTO TMs'!A:A,D8640)&gt;0,"Yes","No"),"")</f>
        <v/>
      </c>
      <c r="C8640" s="11"/>
      <c r="D8640" s="11"/>
      <c r="E8640" s="11"/>
      <c r="F8640" s="11"/>
      <c r="G8640" s="11"/>
      <c r="H8640" s="11"/>
      <c r="I8640" s="15"/>
    </row>
    <row r="8641" spans="1:9" ht="16.5">
      <c r="A8641" s="10" t="b">
        <v>0</v>
      </c>
      <c r="B8641" s="11" t="str">
        <f>IF(D8641&lt;&gt;"",IF(COUNTIF('USPTO TMs'!A:A,D8641)&gt;0,"Yes","No"),"")</f>
        <v/>
      </c>
      <c r="C8641" s="11"/>
      <c r="D8641" s="11"/>
      <c r="E8641" s="11"/>
      <c r="F8641" s="11"/>
      <c r="G8641" s="11"/>
      <c r="H8641" s="11"/>
      <c r="I8641" s="15"/>
    </row>
    <row r="8642" spans="1:9" ht="16.5">
      <c r="A8642" s="10" t="b">
        <v>0</v>
      </c>
      <c r="B8642" s="11" t="str">
        <f>IF(D8642&lt;&gt;"",IF(COUNTIF('USPTO TMs'!A:A,D8642)&gt;0,"Yes","No"),"")</f>
        <v/>
      </c>
      <c r="C8642" s="11"/>
      <c r="D8642" s="11"/>
      <c r="E8642" s="11"/>
      <c r="F8642" s="11"/>
      <c r="G8642" s="11"/>
      <c r="H8642" s="11"/>
      <c r="I8642" s="15"/>
    </row>
    <row r="8643" spans="1:9" ht="16.5">
      <c r="A8643" s="10" t="b">
        <v>0</v>
      </c>
      <c r="B8643" s="11" t="str">
        <f>IF(D8643&lt;&gt;"",IF(COUNTIF('USPTO TMs'!A:A,D8643)&gt;0,"Yes","No"),"")</f>
        <v/>
      </c>
      <c r="C8643" s="11"/>
      <c r="D8643" s="11"/>
      <c r="E8643" s="11"/>
      <c r="F8643" s="11"/>
      <c r="G8643" s="11"/>
      <c r="H8643" s="11"/>
      <c r="I8643" s="15"/>
    </row>
    <row r="8644" spans="1:9" ht="16.5">
      <c r="A8644" s="10" t="b">
        <v>0</v>
      </c>
      <c r="B8644" s="11" t="str">
        <f>IF(D8644&lt;&gt;"",IF(COUNTIF('USPTO TMs'!A:A,D8644)&gt;0,"Yes","No"),"")</f>
        <v/>
      </c>
      <c r="C8644" s="11"/>
      <c r="D8644" s="11"/>
      <c r="E8644" s="11"/>
      <c r="F8644" s="11"/>
      <c r="G8644" s="11"/>
      <c r="H8644" s="11"/>
      <c r="I8644" s="15"/>
    </row>
    <row r="8645" spans="1:9" ht="16.5">
      <c r="A8645" s="10" t="b">
        <v>0</v>
      </c>
      <c r="B8645" s="11" t="str">
        <f>IF(D8645&lt;&gt;"",IF(COUNTIF('USPTO TMs'!A:A,D8645)&gt;0,"Yes","No"),"")</f>
        <v/>
      </c>
      <c r="C8645" s="11"/>
      <c r="D8645" s="11"/>
      <c r="E8645" s="11"/>
      <c r="F8645" s="11"/>
      <c r="G8645" s="11"/>
      <c r="H8645" s="11"/>
      <c r="I8645" s="15"/>
    </row>
    <row r="8646" spans="1:9" ht="16.5">
      <c r="A8646" s="10" t="b">
        <v>0</v>
      </c>
      <c r="B8646" s="11" t="str">
        <f>IF(D8646&lt;&gt;"",IF(COUNTIF('USPTO TMs'!A:A,D8646)&gt;0,"Yes","No"),"")</f>
        <v/>
      </c>
      <c r="C8646" s="11"/>
      <c r="D8646" s="11"/>
      <c r="E8646" s="11"/>
      <c r="F8646" s="11"/>
      <c r="G8646" s="11"/>
      <c r="H8646" s="11"/>
      <c r="I8646" s="15"/>
    </row>
    <row r="8647" spans="1:9" ht="16.5">
      <c r="A8647" s="10" t="b">
        <v>0</v>
      </c>
      <c r="B8647" s="11" t="str">
        <f>IF(D8647&lt;&gt;"",IF(COUNTIF('USPTO TMs'!A:A,D8647)&gt;0,"Yes","No"),"")</f>
        <v/>
      </c>
      <c r="C8647" s="11"/>
      <c r="D8647" s="11"/>
      <c r="E8647" s="11"/>
      <c r="F8647" s="11"/>
      <c r="G8647" s="11"/>
      <c r="H8647" s="11"/>
      <c r="I8647" s="15"/>
    </row>
    <row r="8648" spans="1:9" ht="16.5">
      <c r="A8648" s="10" t="b">
        <v>0</v>
      </c>
      <c r="B8648" s="11" t="str">
        <f>IF(D8648&lt;&gt;"",IF(COUNTIF('USPTO TMs'!A:A,D8648)&gt;0,"Yes","No"),"")</f>
        <v/>
      </c>
      <c r="C8648" s="11"/>
      <c r="D8648" s="11"/>
      <c r="E8648" s="11"/>
      <c r="F8648" s="11"/>
      <c r="G8648" s="11"/>
      <c r="H8648" s="11"/>
      <c r="I8648" s="15"/>
    </row>
    <row r="8649" spans="1:9" ht="16.5">
      <c r="A8649" s="10" t="b">
        <v>0</v>
      </c>
      <c r="B8649" s="11" t="str">
        <f>IF(D8649&lt;&gt;"",IF(COUNTIF('USPTO TMs'!A:A,D8649)&gt;0,"Yes","No"),"")</f>
        <v/>
      </c>
      <c r="C8649" s="11"/>
      <c r="D8649" s="11"/>
      <c r="E8649" s="11"/>
      <c r="F8649" s="11"/>
      <c r="G8649" s="11"/>
      <c r="H8649" s="11"/>
      <c r="I8649" s="15"/>
    </row>
    <row r="8650" spans="1:9" ht="16.5">
      <c r="A8650" s="10" t="b">
        <v>0</v>
      </c>
      <c r="B8650" s="11" t="str">
        <f>IF(D8650&lt;&gt;"",IF(COUNTIF('USPTO TMs'!A:A,D8650)&gt;0,"Yes","No"),"")</f>
        <v/>
      </c>
      <c r="C8650" s="11"/>
      <c r="D8650" s="11"/>
      <c r="E8650" s="11"/>
      <c r="F8650" s="11"/>
      <c r="G8650" s="11"/>
      <c r="H8650" s="11"/>
      <c r="I8650" s="15"/>
    </row>
    <row r="8651" spans="1:9" ht="16.5">
      <c r="A8651" s="10" t="b">
        <v>0</v>
      </c>
      <c r="B8651" s="11" t="str">
        <f>IF(D8651&lt;&gt;"",IF(COUNTIF('USPTO TMs'!A:A,D8651)&gt;0,"Yes","No"),"")</f>
        <v/>
      </c>
      <c r="C8651" s="11"/>
      <c r="D8651" s="11"/>
      <c r="E8651" s="11"/>
      <c r="F8651" s="11"/>
      <c r="G8651" s="11"/>
      <c r="H8651" s="11"/>
      <c r="I8651" s="15"/>
    </row>
    <row r="8652" spans="1:9" ht="16.5">
      <c r="A8652" s="10" t="b">
        <v>0</v>
      </c>
      <c r="B8652" s="11" t="str">
        <f>IF(D8652&lt;&gt;"",IF(COUNTIF('USPTO TMs'!A:A,D8652)&gt;0,"Yes","No"),"")</f>
        <v/>
      </c>
      <c r="C8652" s="11"/>
      <c r="D8652" s="11"/>
      <c r="E8652" s="11"/>
      <c r="F8652" s="11"/>
      <c r="G8652" s="11"/>
      <c r="H8652" s="11"/>
      <c r="I8652" s="15"/>
    </row>
    <row r="8653" spans="1:9" ht="16.5">
      <c r="A8653" s="10" t="b">
        <v>0</v>
      </c>
      <c r="B8653" s="11" t="str">
        <f>IF(D8653&lt;&gt;"",IF(COUNTIF('USPTO TMs'!A:A,D8653)&gt;0,"Yes","No"),"")</f>
        <v/>
      </c>
      <c r="C8653" s="11"/>
      <c r="D8653" s="11"/>
      <c r="E8653" s="11"/>
      <c r="F8653" s="11"/>
      <c r="G8653" s="11"/>
      <c r="H8653" s="11"/>
      <c r="I8653" s="15"/>
    </row>
    <row r="8654" spans="1:9" ht="16.5">
      <c r="A8654" s="10" t="b">
        <v>0</v>
      </c>
      <c r="B8654" s="11" t="str">
        <f>IF(D8654&lt;&gt;"",IF(COUNTIF('USPTO TMs'!A:A,D8654)&gt;0,"Yes","No"),"")</f>
        <v/>
      </c>
      <c r="C8654" s="11"/>
      <c r="D8654" s="11"/>
      <c r="E8654" s="11"/>
      <c r="F8654" s="11"/>
      <c r="G8654" s="11"/>
      <c r="H8654" s="11"/>
      <c r="I8654" s="15"/>
    </row>
    <row r="8655" spans="1:9" ht="16.5">
      <c r="A8655" s="10" t="b">
        <v>0</v>
      </c>
      <c r="B8655" s="11" t="str">
        <f>IF(D8655&lt;&gt;"",IF(COUNTIF('USPTO TMs'!A:A,D8655)&gt;0,"Yes","No"),"")</f>
        <v/>
      </c>
      <c r="C8655" s="11"/>
      <c r="D8655" s="11"/>
      <c r="E8655" s="11"/>
      <c r="F8655" s="11"/>
      <c r="G8655" s="11"/>
      <c r="H8655" s="11"/>
      <c r="I8655" s="15"/>
    </row>
    <row r="8656" spans="1:9" ht="16.5">
      <c r="A8656" s="10" t="b">
        <v>0</v>
      </c>
      <c r="B8656" s="11" t="str">
        <f>IF(D8656&lt;&gt;"",IF(COUNTIF('USPTO TMs'!A:A,D8656)&gt;0,"Yes","No"),"")</f>
        <v/>
      </c>
      <c r="C8656" s="11"/>
      <c r="D8656" s="11"/>
      <c r="E8656" s="11"/>
      <c r="F8656" s="11"/>
      <c r="G8656" s="11"/>
      <c r="H8656" s="11"/>
      <c r="I8656" s="15"/>
    </row>
    <row r="8657" spans="1:9" ht="16.5">
      <c r="A8657" s="10" t="b">
        <v>0</v>
      </c>
      <c r="B8657" s="11" t="str">
        <f>IF(D8657&lt;&gt;"",IF(COUNTIF('USPTO TMs'!A:A,D8657)&gt;0,"Yes","No"),"")</f>
        <v/>
      </c>
      <c r="C8657" s="11"/>
      <c r="D8657" s="11"/>
      <c r="E8657" s="11"/>
      <c r="F8657" s="11"/>
      <c r="G8657" s="11"/>
      <c r="H8657" s="11"/>
      <c r="I8657" s="15"/>
    </row>
    <row r="8658" spans="1:9" ht="16.5">
      <c r="A8658" s="10" t="b">
        <v>0</v>
      </c>
      <c r="B8658" s="11" t="str">
        <f>IF(D8658&lt;&gt;"",IF(COUNTIF('USPTO TMs'!A:A,D8658)&gt;0,"Yes","No"),"")</f>
        <v/>
      </c>
      <c r="C8658" s="11"/>
      <c r="D8658" s="11"/>
      <c r="E8658" s="11"/>
      <c r="F8658" s="11"/>
      <c r="G8658" s="11"/>
      <c r="H8658" s="11"/>
      <c r="I8658" s="15"/>
    </row>
    <row r="8659" spans="1:9" ht="16.5">
      <c r="A8659" s="10" t="b">
        <v>0</v>
      </c>
      <c r="B8659" s="11" t="str">
        <f>IF(D8659&lt;&gt;"",IF(COUNTIF('USPTO TMs'!A:A,D8659)&gt;0,"Yes","No"),"")</f>
        <v/>
      </c>
      <c r="C8659" s="11"/>
      <c r="D8659" s="11"/>
      <c r="E8659" s="11"/>
      <c r="F8659" s="11"/>
      <c r="G8659" s="11"/>
      <c r="H8659" s="11"/>
      <c r="I8659" s="15"/>
    </row>
    <row r="8660" spans="1:9" ht="16.5">
      <c r="A8660" s="10" t="b">
        <v>0</v>
      </c>
      <c r="B8660" s="11" t="str">
        <f>IF(D8660&lt;&gt;"",IF(COUNTIF('USPTO TMs'!A:A,D8660)&gt;0,"Yes","No"),"")</f>
        <v/>
      </c>
      <c r="C8660" s="11"/>
      <c r="D8660" s="11"/>
      <c r="E8660" s="11"/>
      <c r="F8660" s="11"/>
      <c r="G8660" s="11"/>
      <c r="H8660" s="11"/>
      <c r="I8660" s="15"/>
    </row>
    <row r="8661" spans="1:9" ht="16.5">
      <c r="A8661" s="10" t="b">
        <v>0</v>
      </c>
      <c r="B8661" s="11" t="str">
        <f>IF(D8661&lt;&gt;"",IF(COUNTIF('USPTO TMs'!A:A,D8661)&gt;0,"Yes","No"),"")</f>
        <v/>
      </c>
      <c r="C8661" s="11"/>
      <c r="D8661" s="11"/>
      <c r="E8661" s="11"/>
      <c r="F8661" s="11"/>
      <c r="G8661" s="11"/>
      <c r="H8661" s="11"/>
      <c r="I8661" s="15"/>
    </row>
    <row r="8662" spans="1:9" ht="16.5">
      <c r="A8662" s="10" t="b">
        <v>0</v>
      </c>
      <c r="B8662" s="11" t="str">
        <f>IF(D8662&lt;&gt;"",IF(COUNTIF('USPTO TMs'!A:A,D8662)&gt;0,"Yes","No"),"")</f>
        <v/>
      </c>
      <c r="C8662" s="11"/>
      <c r="D8662" s="11"/>
      <c r="E8662" s="11"/>
      <c r="F8662" s="11"/>
      <c r="G8662" s="11"/>
      <c r="H8662" s="11"/>
      <c r="I8662" s="15"/>
    </row>
    <row r="8663" spans="1:9" ht="16.5">
      <c r="A8663" s="10" t="b">
        <v>0</v>
      </c>
      <c r="B8663" s="11" t="str">
        <f>IF(D8663&lt;&gt;"",IF(COUNTIF('USPTO TMs'!A:A,D8663)&gt;0,"Yes","No"),"")</f>
        <v/>
      </c>
      <c r="C8663" s="11"/>
      <c r="D8663" s="11"/>
      <c r="E8663" s="11"/>
      <c r="F8663" s="11"/>
      <c r="G8663" s="11"/>
      <c r="H8663" s="11"/>
      <c r="I8663" s="15"/>
    </row>
    <row r="8664" spans="1:9" ht="16.5">
      <c r="A8664" s="10" t="b">
        <v>0</v>
      </c>
      <c r="B8664" s="11" t="str">
        <f>IF(D8664&lt;&gt;"",IF(COUNTIF('USPTO TMs'!A:A,D8664)&gt;0,"Yes","No"),"")</f>
        <v/>
      </c>
      <c r="C8664" s="11"/>
      <c r="D8664" s="11"/>
      <c r="E8664" s="11"/>
      <c r="F8664" s="11"/>
      <c r="G8664" s="11"/>
      <c r="H8664" s="11"/>
      <c r="I8664" s="15"/>
    </row>
    <row r="8665" spans="1:9" ht="16.5">
      <c r="A8665" s="10" t="b">
        <v>0</v>
      </c>
      <c r="B8665" s="11" t="str">
        <f>IF(D8665&lt;&gt;"",IF(COUNTIF('USPTO TMs'!A:A,D8665)&gt;0,"Yes","No"),"")</f>
        <v/>
      </c>
      <c r="C8665" s="11"/>
      <c r="D8665" s="11"/>
      <c r="E8665" s="11"/>
      <c r="F8665" s="11"/>
      <c r="G8665" s="11"/>
      <c r="H8665" s="11"/>
      <c r="I8665" s="15"/>
    </row>
    <row r="8666" spans="1:9" ht="16.5">
      <c r="A8666" s="10" t="b">
        <v>0</v>
      </c>
      <c r="B8666" s="11" t="str">
        <f>IF(D8666&lt;&gt;"",IF(COUNTIF('USPTO TMs'!A:A,D8666)&gt;0,"Yes","No"),"")</f>
        <v/>
      </c>
      <c r="C8666" s="11"/>
      <c r="D8666" s="11"/>
      <c r="E8666" s="11"/>
      <c r="F8666" s="11"/>
      <c r="G8666" s="11"/>
      <c r="H8666" s="11"/>
      <c r="I8666" s="15"/>
    </row>
    <row r="8667" spans="1:9" ht="16.5">
      <c r="A8667" s="10" t="b">
        <v>0</v>
      </c>
      <c r="B8667" s="11" t="str">
        <f>IF(D8667&lt;&gt;"",IF(COUNTIF('USPTO TMs'!A:A,D8667)&gt;0,"Yes","No"),"")</f>
        <v/>
      </c>
      <c r="C8667" s="11"/>
      <c r="D8667" s="11"/>
      <c r="E8667" s="11"/>
      <c r="F8667" s="11"/>
      <c r="G8667" s="11"/>
      <c r="H8667" s="11"/>
      <c r="I8667" s="15"/>
    </row>
    <row r="8668" spans="1:9" ht="16.5">
      <c r="A8668" s="10" t="b">
        <v>0</v>
      </c>
      <c r="B8668" s="11" t="str">
        <f>IF(D8668&lt;&gt;"",IF(COUNTIF('USPTO TMs'!A:A,D8668)&gt;0,"Yes","No"),"")</f>
        <v/>
      </c>
      <c r="C8668" s="11"/>
      <c r="D8668" s="11"/>
      <c r="E8668" s="11"/>
      <c r="F8668" s="11"/>
      <c r="G8668" s="11"/>
      <c r="H8668" s="11"/>
      <c r="I8668" s="15"/>
    </row>
    <row r="8669" spans="1:9" ht="16.5">
      <c r="A8669" s="10" t="b">
        <v>0</v>
      </c>
      <c r="B8669" s="11" t="str">
        <f>IF(D8669&lt;&gt;"",IF(COUNTIF('USPTO TMs'!A:A,D8669)&gt;0,"Yes","No"),"")</f>
        <v/>
      </c>
      <c r="C8669" s="11"/>
      <c r="D8669" s="11"/>
      <c r="E8669" s="11"/>
      <c r="F8669" s="11"/>
      <c r="G8669" s="11"/>
      <c r="H8669" s="11"/>
      <c r="I8669" s="15"/>
    </row>
    <row r="8670" spans="1:9" ht="16.5">
      <c r="A8670" s="10" t="b">
        <v>0</v>
      </c>
      <c r="B8670" s="11" t="str">
        <f>IF(D8670&lt;&gt;"",IF(COUNTIF('USPTO TMs'!A:A,D8670)&gt;0,"Yes","No"),"")</f>
        <v/>
      </c>
      <c r="C8670" s="11"/>
      <c r="D8670" s="11"/>
      <c r="E8670" s="11"/>
      <c r="F8670" s="11"/>
      <c r="G8670" s="11"/>
      <c r="H8670" s="11"/>
      <c r="I8670" s="15"/>
    </row>
    <row r="8671" spans="1:9" ht="16.5">
      <c r="A8671" s="10" t="b">
        <v>0</v>
      </c>
      <c r="B8671" s="11" t="str">
        <f>IF(D8671&lt;&gt;"",IF(COUNTIF('USPTO TMs'!A:A,D8671)&gt;0,"Yes","No"),"")</f>
        <v/>
      </c>
      <c r="C8671" s="11"/>
      <c r="D8671" s="11"/>
      <c r="E8671" s="11"/>
      <c r="F8671" s="11"/>
      <c r="G8671" s="11"/>
      <c r="H8671" s="11"/>
      <c r="I8671" s="15"/>
    </row>
    <row r="8672" spans="1:9" ht="16.5">
      <c r="A8672" s="10" t="b">
        <v>0</v>
      </c>
      <c r="B8672" s="11" t="str">
        <f>IF(D8672&lt;&gt;"",IF(COUNTIF('USPTO TMs'!A:A,D8672)&gt;0,"Yes","No"),"")</f>
        <v/>
      </c>
      <c r="C8672" s="11"/>
      <c r="D8672" s="11"/>
      <c r="E8672" s="11"/>
      <c r="F8672" s="11"/>
      <c r="G8672" s="11"/>
      <c r="H8672" s="11"/>
      <c r="I8672" s="15"/>
    </row>
    <row r="8673" spans="1:9" ht="16.5">
      <c r="A8673" s="10" t="b">
        <v>0</v>
      </c>
      <c r="B8673" s="11" t="str">
        <f>IF(D8673&lt;&gt;"",IF(COUNTIF('USPTO TMs'!A:A,D8673)&gt;0,"Yes","No"),"")</f>
        <v/>
      </c>
      <c r="C8673" s="11"/>
      <c r="D8673" s="11"/>
      <c r="E8673" s="11"/>
      <c r="F8673" s="11"/>
      <c r="G8673" s="11"/>
      <c r="H8673" s="11"/>
      <c r="I8673" s="15"/>
    </row>
    <row r="8674" spans="1:9" ht="16.5">
      <c r="A8674" s="10" t="b">
        <v>0</v>
      </c>
      <c r="B8674" s="11" t="str">
        <f>IF(D8674&lt;&gt;"",IF(COUNTIF('USPTO TMs'!A:A,D8674)&gt;0,"Yes","No"),"")</f>
        <v/>
      </c>
      <c r="C8674" s="11"/>
      <c r="D8674" s="11"/>
      <c r="E8674" s="11"/>
      <c r="F8674" s="11"/>
      <c r="G8674" s="11"/>
      <c r="H8674" s="11"/>
      <c r="I8674" s="15"/>
    </row>
    <row r="8675" spans="1:9" ht="16.5">
      <c r="A8675" s="10" t="b">
        <v>0</v>
      </c>
      <c r="B8675" s="11" t="str">
        <f>IF(D8675&lt;&gt;"",IF(COUNTIF('USPTO TMs'!A:A,D8675)&gt;0,"Yes","No"),"")</f>
        <v/>
      </c>
      <c r="C8675" s="11"/>
      <c r="D8675" s="11"/>
      <c r="E8675" s="11"/>
      <c r="F8675" s="11"/>
      <c r="G8675" s="11"/>
      <c r="H8675" s="11"/>
      <c r="I8675" s="15"/>
    </row>
    <row r="8676" spans="1:9" ht="16.5">
      <c r="A8676" s="10" t="b">
        <v>0</v>
      </c>
      <c r="B8676" s="11" t="str">
        <f>IF(D8676&lt;&gt;"",IF(COUNTIF('USPTO TMs'!A:A,D8676)&gt;0,"Yes","No"),"")</f>
        <v/>
      </c>
      <c r="C8676" s="11"/>
      <c r="D8676" s="11"/>
      <c r="E8676" s="11"/>
      <c r="F8676" s="11"/>
      <c r="G8676" s="11"/>
      <c r="H8676" s="11"/>
      <c r="I8676" s="15"/>
    </row>
    <row r="8677" spans="1:9" ht="16.5">
      <c r="A8677" s="10" t="b">
        <v>0</v>
      </c>
      <c r="B8677" s="11" t="str">
        <f>IF(D8677&lt;&gt;"",IF(COUNTIF('USPTO TMs'!A:A,D8677)&gt;0,"Yes","No"),"")</f>
        <v/>
      </c>
      <c r="C8677" s="11"/>
      <c r="D8677" s="11"/>
      <c r="E8677" s="11"/>
      <c r="F8677" s="11"/>
      <c r="G8677" s="11"/>
      <c r="H8677" s="11"/>
      <c r="I8677" s="15"/>
    </row>
    <row r="8678" spans="1:9" ht="16.5">
      <c r="A8678" s="10" t="b">
        <v>0</v>
      </c>
      <c r="B8678" s="11" t="str">
        <f>IF(D8678&lt;&gt;"",IF(COUNTIF('USPTO TMs'!A:A,D8678)&gt;0,"Yes","No"),"")</f>
        <v/>
      </c>
      <c r="C8678" s="11"/>
      <c r="D8678" s="11"/>
      <c r="E8678" s="11"/>
      <c r="F8678" s="11"/>
      <c r="G8678" s="11"/>
      <c r="H8678" s="11"/>
      <c r="I8678" s="15"/>
    </row>
    <row r="8679" spans="1:9" ht="16.5">
      <c r="A8679" s="10" t="b">
        <v>0</v>
      </c>
      <c r="B8679" s="11" t="str">
        <f>IF(D8679&lt;&gt;"",IF(COUNTIF('USPTO TMs'!A:A,D8679)&gt;0,"Yes","No"),"")</f>
        <v/>
      </c>
      <c r="C8679" s="11"/>
      <c r="D8679" s="11"/>
      <c r="E8679" s="11"/>
      <c r="F8679" s="11"/>
      <c r="G8679" s="11"/>
      <c r="H8679" s="11"/>
      <c r="I8679" s="15"/>
    </row>
    <row r="8680" spans="1:9" ht="16.5">
      <c r="A8680" s="10" t="b">
        <v>0</v>
      </c>
      <c r="B8680" s="11" t="str">
        <f>IF(D8680&lt;&gt;"",IF(COUNTIF('USPTO TMs'!A:A,D8680)&gt;0,"Yes","No"),"")</f>
        <v/>
      </c>
      <c r="C8680" s="11"/>
      <c r="D8680" s="11"/>
      <c r="E8680" s="11"/>
      <c r="F8680" s="11"/>
      <c r="G8680" s="11"/>
      <c r="H8680" s="11"/>
      <c r="I8680" s="15"/>
    </row>
    <row r="8681" spans="1:9" ht="16.5">
      <c r="A8681" s="10" t="b">
        <v>0</v>
      </c>
      <c r="B8681" s="11" t="str">
        <f>IF(D8681&lt;&gt;"",IF(COUNTIF('USPTO TMs'!A:A,D8681)&gt;0,"Yes","No"),"")</f>
        <v/>
      </c>
      <c r="C8681" s="11"/>
      <c r="D8681" s="11"/>
      <c r="E8681" s="11"/>
      <c r="F8681" s="11"/>
      <c r="G8681" s="11"/>
      <c r="H8681" s="11"/>
      <c r="I8681" s="15"/>
    </row>
    <row r="8682" spans="1:9" ht="16.5">
      <c r="A8682" s="10" t="b">
        <v>0</v>
      </c>
      <c r="B8682" s="11" t="str">
        <f>IF(D8682&lt;&gt;"",IF(COUNTIF('USPTO TMs'!A:A,D8682)&gt;0,"Yes","No"),"")</f>
        <v/>
      </c>
      <c r="C8682" s="11"/>
      <c r="D8682" s="11"/>
      <c r="E8682" s="11"/>
      <c r="F8682" s="11"/>
      <c r="G8682" s="11"/>
      <c r="H8682" s="11"/>
      <c r="I8682" s="15"/>
    </row>
    <row r="8683" spans="1:9" ht="16.5">
      <c r="A8683" s="10" t="b">
        <v>0</v>
      </c>
      <c r="B8683" s="11" t="str">
        <f>IF(D8683&lt;&gt;"",IF(COUNTIF('USPTO TMs'!A:A,D8683)&gt;0,"Yes","No"),"")</f>
        <v/>
      </c>
      <c r="C8683" s="11"/>
      <c r="D8683" s="11"/>
      <c r="E8683" s="11"/>
      <c r="F8683" s="11"/>
      <c r="G8683" s="11"/>
      <c r="H8683" s="11"/>
      <c r="I8683" s="15"/>
    </row>
    <row r="8684" spans="1:9" ht="16.5">
      <c r="A8684" s="10" t="b">
        <v>0</v>
      </c>
      <c r="B8684" s="11" t="str">
        <f>IF(D8684&lt;&gt;"",IF(COUNTIF('USPTO TMs'!A:A,D8684)&gt;0,"Yes","No"),"")</f>
        <v/>
      </c>
      <c r="C8684" s="11"/>
      <c r="D8684" s="11"/>
      <c r="E8684" s="11"/>
      <c r="F8684" s="11"/>
      <c r="G8684" s="11"/>
      <c r="H8684" s="11"/>
      <c r="I8684" s="15"/>
    </row>
    <row r="8685" spans="1:9" ht="16.5">
      <c r="A8685" s="10" t="b">
        <v>0</v>
      </c>
      <c r="B8685" s="11" t="str">
        <f>IF(D8685&lt;&gt;"",IF(COUNTIF('USPTO TMs'!A:A,D8685)&gt;0,"Yes","No"),"")</f>
        <v/>
      </c>
      <c r="C8685" s="11"/>
      <c r="D8685" s="11"/>
      <c r="E8685" s="11"/>
      <c r="F8685" s="11"/>
      <c r="G8685" s="11"/>
      <c r="H8685" s="11"/>
      <c r="I8685" s="15"/>
    </row>
    <row r="8686" spans="1:9" ht="16.5">
      <c r="A8686" s="10" t="b">
        <v>0</v>
      </c>
      <c r="B8686" s="11" t="str">
        <f>IF(D8686&lt;&gt;"",IF(COUNTIF('USPTO TMs'!A:A,D8686)&gt;0,"Yes","No"),"")</f>
        <v/>
      </c>
      <c r="C8686" s="11"/>
      <c r="D8686" s="11"/>
      <c r="E8686" s="11"/>
      <c r="F8686" s="11"/>
      <c r="G8686" s="11"/>
      <c r="H8686" s="11"/>
      <c r="I8686" s="15"/>
    </row>
    <row r="8687" spans="1:9" ht="16.5">
      <c r="A8687" s="10" t="b">
        <v>0</v>
      </c>
      <c r="B8687" s="11" t="str">
        <f>IF(D8687&lt;&gt;"",IF(COUNTIF('USPTO TMs'!A:A,D8687)&gt;0,"Yes","No"),"")</f>
        <v/>
      </c>
      <c r="C8687" s="11"/>
      <c r="D8687" s="11"/>
      <c r="E8687" s="11"/>
      <c r="F8687" s="11"/>
      <c r="G8687" s="11"/>
      <c r="H8687" s="11"/>
      <c r="I8687" s="15"/>
    </row>
    <row r="8688" spans="1:9" ht="16.5">
      <c r="A8688" s="10" t="b">
        <v>0</v>
      </c>
      <c r="B8688" s="11" t="str">
        <f>IF(D8688&lt;&gt;"",IF(COUNTIF('USPTO TMs'!A:A,D8688)&gt;0,"Yes","No"),"")</f>
        <v/>
      </c>
      <c r="C8688" s="11"/>
      <c r="D8688" s="11"/>
      <c r="E8688" s="11"/>
      <c r="F8688" s="11"/>
      <c r="G8688" s="11"/>
      <c r="H8688" s="11"/>
      <c r="I8688" s="15"/>
    </row>
    <row r="8689" spans="1:9" ht="16.5">
      <c r="A8689" s="10" t="b">
        <v>0</v>
      </c>
      <c r="B8689" s="11" t="str">
        <f>IF(D8689&lt;&gt;"",IF(COUNTIF('USPTO TMs'!A:A,D8689)&gt;0,"Yes","No"),"")</f>
        <v/>
      </c>
      <c r="C8689" s="11"/>
      <c r="D8689" s="11"/>
      <c r="E8689" s="11"/>
      <c r="F8689" s="11"/>
      <c r="G8689" s="11"/>
      <c r="H8689" s="11"/>
      <c r="I8689" s="15"/>
    </row>
    <row r="8690" spans="1:9" ht="16.5">
      <c r="A8690" s="10" t="b">
        <v>0</v>
      </c>
      <c r="B8690" s="11" t="str">
        <f>IF(D8690&lt;&gt;"",IF(COUNTIF('USPTO TMs'!A:A,D8690)&gt;0,"Yes","No"),"")</f>
        <v/>
      </c>
      <c r="C8690" s="11"/>
      <c r="D8690" s="11"/>
      <c r="E8690" s="11"/>
      <c r="F8690" s="11"/>
      <c r="G8690" s="11"/>
      <c r="H8690" s="11"/>
      <c r="I8690" s="15"/>
    </row>
    <row r="8691" spans="1:9" ht="16.5">
      <c r="A8691" s="10" t="b">
        <v>0</v>
      </c>
      <c r="B8691" s="11" t="str">
        <f>IF(D8691&lt;&gt;"",IF(COUNTIF('USPTO TMs'!A:A,D8691)&gt;0,"Yes","No"),"")</f>
        <v/>
      </c>
      <c r="C8691" s="11"/>
      <c r="D8691" s="11"/>
      <c r="E8691" s="11"/>
      <c r="F8691" s="11"/>
      <c r="G8691" s="11"/>
      <c r="H8691" s="11"/>
      <c r="I8691" s="15"/>
    </row>
    <row r="8692" spans="1:9" ht="16.5">
      <c r="A8692" s="10" t="b">
        <v>0</v>
      </c>
      <c r="B8692" s="11" t="str">
        <f>IF(D8692&lt;&gt;"",IF(COUNTIF('USPTO TMs'!A:A,D8692)&gt;0,"Yes","No"),"")</f>
        <v/>
      </c>
      <c r="C8692" s="11"/>
      <c r="D8692" s="11"/>
      <c r="E8692" s="11"/>
      <c r="F8692" s="11"/>
      <c r="G8692" s="11"/>
      <c r="H8692" s="11"/>
      <c r="I8692" s="15"/>
    </row>
    <row r="8693" spans="1:9" ht="16.5">
      <c r="A8693" s="10" t="b">
        <v>0</v>
      </c>
      <c r="B8693" s="11" t="str">
        <f>IF(D8693&lt;&gt;"",IF(COUNTIF('USPTO TMs'!A:A,D8693)&gt;0,"Yes","No"),"")</f>
        <v/>
      </c>
      <c r="C8693" s="11"/>
      <c r="D8693" s="11"/>
      <c r="E8693" s="11"/>
      <c r="F8693" s="11"/>
      <c r="G8693" s="11"/>
      <c r="H8693" s="11"/>
      <c r="I8693" s="15"/>
    </row>
    <row r="8694" spans="1:9" ht="16.5">
      <c r="A8694" s="10" t="b">
        <v>0</v>
      </c>
      <c r="B8694" s="11" t="str">
        <f>IF(D8694&lt;&gt;"",IF(COUNTIF('USPTO TMs'!A:A,D8694)&gt;0,"Yes","No"),"")</f>
        <v/>
      </c>
      <c r="C8694" s="11"/>
      <c r="D8694" s="11"/>
      <c r="E8694" s="11"/>
      <c r="F8694" s="11"/>
      <c r="G8694" s="11"/>
      <c r="H8694" s="11"/>
      <c r="I8694" s="15"/>
    </row>
    <row r="8695" spans="1:9" ht="16.5">
      <c r="A8695" s="10" t="b">
        <v>0</v>
      </c>
      <c r="B8695" s="11" t="str">
        <f>IF(D8695&lt;&gt;"",IF(COUNTIF('USPTO TMs'!A:A,D8695)&gt;0,"Yes","No"),"")</f>
        <v/>
      </c>
      <c r="C8695" s="11"/>
      <c r="D8695" s="11"/>
      <c r="E8695" s="11"/>
      <c r="F8695" s="11"/>
      <c r="G8695" s="11"/>
      <c r="H8695" s="11"/>
      <c r="I8695" s="15"/>
    </row>
    <row r="8696" spans="1:9" ht="16.5">
      <c r="A8696" s="10" t="b">
        <v>0</v>
      </c>
      <c r="B8696" s="11" t="str">
        <f>IF(D8696&lt;&gt;"",IF(COUNTIF('USPTO TMs'!A:A,D8696)&gt;0,"Yes","No"),"")</f>
        <v/>
      </c>
      <c r="C8696" s="11"/>
      <c r="D8696" s="11"/>
      <c r="E8696" s="11"/>
      <c r="F8696" s="11"/>
      <c r="G8696" s="11"/>
      <c r="H8696" s="11"/>
      <c r="I8696" s="15"/>
    </row>
    <row r="8697" spans="1:9" ht="16.5">
      <c r="A8697" s="10" t="b">
        <v>0</v>
      </c>
      <c r="B8697" s="11" t="str">
        <f>IF(D8697&lt;&gt;"",IF(COUNTIF('USPTO TMs'!A:A,D8697)&gt;0,"Yes","No"),"")</f>
        <v/>
      </c>
      <c r="C8697" s="11"/>
      <c r="D8697" s="11"/>
      <c r="E8697" s="11"/>
      <c r="F8697" s="11"/>
      <c r="G8697" s="11"/>
      <c r="H8697" s="11"/>
      <c r="I8697" s="15"/>
    </row>
    <row r="8698" spans="1:9" ht="16.5">
      <c r="A8698" s="10" t="b">
        <v>0</v>
      </c>
      <c r="B8698" s="11" t="str">
        <f>IF(D8698&lt;&gt;"",IF(COUNTIF('USPTO TMs'!A:A,D8698)&gt;0,"Yes","No"),"")</f>
        <v/>
      </c>
      <c r="C8698" s="11"/>
      <c r="D8698" s="11"/>
      <c r="E8698" s="11"/>
      <c r="F8698" s="11"/>
      <c r="G8698" s="11"/>
      <c r="H8698" s="11"/>
      <c r="I8698" s="15"/>
    </row>
    <row r="8699" spans="1:9" ht="16.5">
      <c r="A8699" s="10" t="b">
        <v>0</v>
      </c>
      <c r="B8699" s="11" t="str">
        <f>IF(D8699&lt;&gt;"",IF(COUNTIF('USPTO TMs'!A:A,D8699)&gt;0,"Yes","No"),"")</f>
        <v/>
      </c>
      <c r="C8699" s="11"/>
      <c r="D8699" s="11"/>
      <c r="E8699" s="11"/>
      <c r="F8699" s="11"/>
      <c r="G8699" s="11"/>
      <c r="H8699" s="11"/>
      <c r="I8699" s="15"/>
    </row>
    <row r="8700" spans="1:9" ht="16.5">
      <c r="A8700" s="10" t="b">
        <v>0</v>
      </c>
      <c r="B8700" s="11" t="str">
        <f>IF(D8700&lt;&gt;"",IF(COUNTIF('USPTO TMs'!A:A,D8700)&gt;0,"Yes","No"),"")</f>
        <v/>
      </c>
      <c r="C8700" s="11"/>
      <c r="D8700" s="11"/>
      <c r="E8700" s="11"/>
      <c r="F8700" s="11"/>
      <c r="G8700" s="11"/>
      <c r="H8700" s="11"/>
      <c r="I8700" s="15"/>
    </row>
    <row r="8701" spans="1:9" ht="16.5">
      <c r="A8701" s="10" t="b">
        <v>0</v>
      </c>
      <c r="B8701" s="11" t="str">
        <f>IF(D8701&lt;&gt;"",IF(COUNTIF('USPTO TMs'!A:A,D8701)&gt;0,"Yes","No"),"")</f>
        <v/>
      </c>
      <c r="C8701" s="11"/>
      <c r="D8701" s="11"/>
      <c r="E8701" s="11"/>
      <c r="F8701" s="11"/>
      <c r="G8701" s="11"/>
      <c r="H8701" s="11"/>
      <c r="I8701" s="15"/>
    </row>
    <row r="8702" spans="1:9" ht="16.5">
      <c r="A8702" s="10" t="b">
        <v>0</v>
      </c>
      <c r="B8702" s="11" t="str">
        <f>IF(D8702&lt;&gt;"",IF(COUNTIF('USPTO TMs'!A:A,D8702)&gt;0,"Yes","No"),"")</f>
        <v/>
      </c>
      <c r="C8702" s="11"/>
      <c r="D8702" s="11"/>
      <c r="E8702" s="11"/>
      <c r="F8702" s="11"/>
      <c r="G8702" s="11"/>
      <c r="H8702" s="11"/>
      <c r="I8702" s="15"/>
    </row>
    <row r="8703" spans="1:9" ht="16.5">
      <c r="A8703" s="10" t="b">
        <v>0</v>
      </c>
      <c r="B8703" s="11" t="str">
        <f>IF(D8703&lt;&gt;"",IF(COUNTIF('USPTO TMs'!A:A,D8703)&gt;0,"Yes","No"),"")</f>
        <v/>
      </c>
      <c r="C8703" s="11"/>
      <c r="D8703" s="11"/>
      <c r="E8703" s="11"/>
      <c r="F8703" s="11"/>
      <c r="G8703" s="11"/>
      <c r="H8703" s="11"/>
      <c r="I8703" s="15"/>
    </row>
    <row r="8704" spans="1:9" ht="16.5">
      <c r="A8704" s="10" t="b">
        <v>0</v>
      </c>
      <c r="B8704" s="11" t="str">
        <f>IF(D8704&lt;&gt;"",IF(COUNTIF('USPTO TMs'!A:A,D8704)&gt;0,"Yes","No"),"")</f>
        <v/>
      </c>
      <c r="C8704" s="11"/>
      <c r="D8704" s="11"/>
      <c r="E8704" s="11"/>
      <c r="F8704" s="11"/>
      <c r="G8704" s="11"/>
      <c r="H8704" s="11"/>
      <c r="I8704" s="15"/>
    </row>
    <row r="8705" spans="1:9" ht="16.5">
      <c r="A8705" s="10" t="b">
        <v>0</v>
      </c>
      <c r="B8705" s="11" t="str">
        <f>IF(D8705&lt;&gt;"",IF(COUNTIF('USPTO TMs'!A:A,D8705)&gt;0,"Yes","No"),"")</f>
        <v/>
      </c>
      <c r="C8705" s="11"/>
      <c r="D8705" s="11"/>
      <c r="E8705" s="11"/>
      <c r="F8705" s="11"/>
      <c r="G8705" s="11"/>
      <c r="H8705" s="11"/>
      <c r="I8705" s="15"/>
    </row>
    <row r="8706" spans="1:9" ht="16.5">
      <c r="A8706" s="10" t="b">
        <v>0</v>
      </c>
      <c r="B8706" s="11" t="str">
        <f>IF(D8706&lt;&gt;"",IF(COUNTIF('USPTO TMs'!A:A,D8706)&gt;0,"Yes","No"),"")</f>
        <v/>
      </c>
      <c r="C8706" s="11"/>
      <c r="D8706" s="11"/>
      <c r="E8706" s="11"/>
      <c r="F8706" s="11"/>
      <c r="G8706" s="11"/>
      <c r="H8706" s="11"/>
      <c r="I8706" s="15"/>
    </row>
    <row r="8707" spans="1:9" ht="16.5">
      <c r="A8707" s="10" t="b">
        <v>0</v>
      </c>
      <c r="B8707" s="11" t="str">
        <f>IF(D8707&lt;&gt;"",IF(COUNTIF('USPTO TMs'!A:A,D8707)&gt;0,"Yes","No"),"")</f>
        <v/>
      </c>
      <c r="C8707" s="11"/>
      <c r="D8707" s="11"/>
      <c r="E8707" s="11"/>
      <c r="F8707" s="11"/>
      <c r="G8707" s="11"/>
      <c r="H8707" s="11"/>
      <c r="I8707" s="15"/>
    </row>
    <row r="8708" spans="1:9" ht="16.5">
      <c r="A8708" s="10" t="b">
        <v>0</v>
      </c>
      <c r="B8708" s="11" t="str">
        <f>IF(D8708&lt;&gt;"",IF(COUNTIF('USPTO TMs'!A:A,D8708)&gt;0,"Yes","No"),"")</f>
        <v/>
      </c>
      <c r="C8708" s="11"/>
      <c r="D8708" s="11"/>
      <c r="E8708" s="11"/>
      <c r="F8708" s="11"/>
      <c r="G8708" s="11"/>
      <c r="H8708" s="11"/>
      <c r="I8708" s="15"/>
    </row>
    <row r="8709" spans="1:9" ht="16.5">
      <c r="A8709" s="10" t="b">
        <v>0</v>
      </c>
      <c r="B8709" s="11" t="str">
        <f>IF(D8709&lt;&gt;"",IF(COUNTIF('USPTO TMs'!A:A,D8709)&gt;0,"Yes","No"),"")</f>
        <v/>
      </c>
      <c r="C8709" s="11"/>
      <c r="D8709" s="11"/>
      <c r="E8709" s="11"/>
      <c r="F8709" s="11"/>
      <c r="G8709" s="11"/>
      <c r="H8709" s="11"/>
      <c r="I8709" s="15"/>
    </row>
    <row r="8710" spans="1:9" ht="16.5">
      <c r="A8710" s="10" t="b">
        <v>0</v>
      </c>
      <c r="B8710" s="11" t="str">
        <f>IF(D8710&lt;&gt;"",IF(COUNTIF('USPTO TMs'!A:A,D8710)&gt;0,"Yes","No"),"")</f>
        <v/>
      </c>
      <c r="C8710" s="11"/>
      <c r="D8710" s="11"/>
      <c r="E8710" s="11"/>
      <c r="F8710" s="11"/>
      <c r="G8710" s="11"/>
      <c r="H8710" s="11"/>
      <c r="I8710" s="15"/>
    </row>
    <row r="8711" spans="1:9" ht="16.5">
      <c r="A8711" s="10" t="b">
        <v>0</v>
      </c>
      <c r="B8711" s="11" t="str">
        <f>IF(D8711&lt;&gt;"",IF(COUNTIF('USPTO TMs'!A:A,D8711)&gt;0,"Yes","No"),"")</f>
        <v/>
      </c>
      <c r="C8711" s="11"/>
      <c r="D8711" s="11"/>
      <c r="E8711" s="11"/>
      <c r="F8711" s="11"/>
      <c r="G8711" s="11"/>
      <c r="H8711" s="11"/>
      <c r="I8711" s="15"/>
    </row>
    <row r="8712" spans="1:9" ht="16.5">
      <c r="A8712" s="10" t="b">
        <v>0</v>
      </c>
      <c r="B8712" s="11" t="str">
        <f>IF(D8712&lt;&gt;"",IF(COUNTIF('USPTO TMs'!A:A,D8712)&gt;0,"Yes","No"),"")</f>
        <v/>
      </c>
      <c r="C8712" s="11"/>
      <c r="D8712" s="11"/>
      <c r="E8712" s="11"/>
      <c r="F8712" s="11"/>
      <c r="G8712" s="11"/>
      <c r="H8712" s="11"/>
      <c r="I8712" s="15"/>
    </row>
    <row r="8713" spans="1:9" ht="16.5">
      <c r="A8713" s="10" t="b">
        <v>0</v>
      </c>
      <c r="B8713" s="11" t="str">
        <f>IF(D8713&lt;&gt;"",IF(COUNTIF('USPTO TMs'!A:A,D8713)&gt;0,"Yes","No"),"")</f>
        <v/>
      </c>
      <c r="C8713" s="11"/>
      <c r="D8713" s="11"/>
      <c r="E8713" s="11"/>
      <c r="F8713" s="11"/>
      <c r="G8713" s="11"/>
      <c r="H8713" s="11"/>
      <c r="I8713" s="15"/>
    </row>
    <row r="8714" spans="1:9" ht="16.5">
      <c r="A8714" s="10" t="b">
        <v>0</v>
      </c>
      <c r="B8714" s="11" t="str">
        <f>IF(D8714&lt;&gt;"",IF(COUNTIF('USPTO TMs'!A:A,D8714)&gt;0,"Yes","No"),"")</f>
        <v/>
      </c>
      <c r="C8714" s="11"/>
      <c r="D8714" s="11"/>
      <c r="E8714" s="11"/>
      <c r="F8714" s="11"/>
      <c r="G8714" s="11"/>
      <c r="H8714" s="11"/>
      <c r="I8714" s="15"/>
    </row>
    <row r="8715" spans="1:9" ht="16.5">
      <c r="A8715" s="10" t="b">
        <v>0</v>
      </c>
      <c r="B8715" s="11" t="str">
        <f>IF(D8715&lt;&gt;"",IF(COUNTIF('USPTO TMs'!A:A,D8715)&gt;0,"Yes","No"),"")</f>
        <v/>
      </c>
      <c r="C8715" s="11"/>
      <c r="D8715" s="11"/>
      <c r="E8715" s="11"/>
      <c r="F8715" s="11"/>
      <c r="G8715" s="11"/>
      <c r="H8715" s="11"/>
      <c r="I8715" s="15"/>
    </row>
    <row r="8716" spans="1:9" ht="16.5">
      <c r="A8716" s="10" t="b">
        <v>0</v>
      </c>
      <c r="B8716" s="11" t="str">
        <f>IF(D8716&lt;&gt;"",IF(COUNTIF('USPTO TMs'!A:A,D8716)&gt;0,"Yes","No"),"")</f>
        <v/>
      </c>
      <c r="C8716" s="11"/>
      <c r="D8716" s="11"/>
      <c r="E8716" s="11"/>
      <c r="F8716" s="11"/>
      <c r="G8716" s="11"/>
      <c r="H8716" s="11"/>
      <c r="I8716" s="15"/>
    </row>
    <row r="8717" spans="1:9" ht="16.5">
      <c r="A8717" s="10" t="b">
        <v>0</v>
      </c>
      <c r="B8717" s="11" t="str">
        <f>IF(D8717&lt;&gt;"",IF(COUNTIF('USPTO TMs'!A:A,D8717)&gt;0,"Yes","No"),"")</f>
        <v/>
      </c>
      <c r="C8717" s="11"/>
      <c r="D8717" s="11"/>
      <c r="E8717" s="11"/>
      <c r="F8717" s="11"/>
      <c r="G8717" s="11"/>
      <c r="H8717" s="11"/>
      <c r="I8717" s="15"/>
    </row>
    <row r="8718" spans="1:9" ht="16.5">
      <c r="A8718" s="10" t="b">
        <v>0</v>
      </c>
      <c r="B8718" s="11" t="str">
        <f>IF(D8718&lt;&gt;"",IF(COUNTIF('USPTO TMs'!A:A,D8718)&gt;0,"Yes","No"),"")</f>
        <v/>
      </c>
      <c r="C8718" s="11"/>
      <c r="D8718" s="11"/>
      <c r="E8718" s="11"/>
      <c r="F8718" s="11"/>
      <c r="G8718" s="11"/>
      <c r="H8718" s="11"/>
      <c r="I8718" s="15"/>
    </row>
    <row r="8719" spans="1:9" ht="16.5">
      <c r="A8719" s="10" t="b">
        <v>0</v>
      </c>
      <c r="B8719" s="11" t="str">
        <f>IF(D8719&lt;&gt;"",IF(COUNTIF('USPTO TMs'!A:A,D8719)&gt;0,"Yes","No"),"")</f>
        <v/>
      </c>
      <c r="C8719" s="11"/>
      <c r="D8719" s="11"/>
      <c r="E8719" s="11"/>
      <c r="F8719" s="11"/>
      <c r="G8719" s="11"/>
      <c r="H8719" s="11"/>
      <c r="I8719" s="15"/>
    </row>
    <row r="8720" spans="1:9" ht="16.5">
      <c r="A8720" s="10" t="b">
        <v>0</v>
      </c>
      <c r="B8720" s="11" t="str">
        <f>IF(D8720&lt;&gt;"",IF(COUNTIF('USPTO TMs'!A:A,D8720)&gt;0,"Yes","No"),"")</f>
        <v/>
      </c>
      <c r="C8720" s="11"/>
      <c r="D8720" s="11"/>
      <c r="E8720" s="11"/>
      <c r="F8720" s="11"/>
      <c r="G8720" s="11"/>
      <c r="H8720" s="11"/>
      <c r="I8720" s="15"/>
    </row>
    <row r="8721" spans="1:9" ht="16.5">
      <c r="A8721" s="10" t="b">
        <v>0</v>
      </c>
      <c r="B8721" s="11" t="str">
        <f>IF(D8721&lt;&gt;"",IF(COUNTIF('USPTO TMs'!A:A,D8721)&gt;0,"Yes","No"),"")</f>
        <v/>
      </c>
      <c r="C8721" s="11"/>
      <c r="D8721" s="11"/>
      <c r="E8721" s="11"/>
      <c r="F8721" s="11"/>
      <c r="G8721" s="11"/>
      <c r="H8721" s="11"/>
      <c r="I8721" s="15"/>
    </row>
    <row r="8722" spans="1:9" ht="16.5">
      <c r="A8722" s="10" t="b">
        <v>0</v>
      </c>
      <c r="B8722" s="11" t="str">
        <f>IF(D8722&lt;&gt;"",IF(COUNTIF('USPTO TMs'!A:A,D8722)&gt;0,"Yes","No"),"")</f>
        <v/>
      </c>
      <c r="C8722" s="11"/>
      <c r="D8722" s="11"/>
      <c r="E8722" s="11"/>
      <c r="F8722" s="11"/>
      <c r="G8722" s="11"/>
      <c r="H8722" s="11"/>
      <c r="I8722" s="15"/>
    </row>
    <row r="8723" spans="1:9" ht="16.5">
      <c r="A8723" s="10" t="b">
        <v>0</v>
      </c>
      <c r="B8723" s="11" t="str">
        <f>IF(D8723&lt;&gt;"",IF(COUNTIF('USPTO TMs'!A:A,D8723)&gt;0,"Yes","No"),"")</f>
        <v/>
      </c>
      <c r="C8723" s="11"/>
      <c r="D8723" s="11"/>
      <c r="E8723" s="11"/>
      <c r="F8723" s="11"/>
      <c r="G8723" s="11"/>
      <c r="H8723" s="11"/>
      <c r="I8723" s="15"/>
    </row>
    <row r="8724" spans="1:9" ht="16.5">
      <c r="A8724" s="10" t="b">
        <v>0</v>
      </c>
      <c r="B8724" s="11" t="str">
        <f>IF(D8724&lt;&gt;"",IF(COUNTIF('USPTO TMs'!A:A,D8724)&gt;0,"Yes","No"),"")</f>
        <v/>
      </c>
      <c r="C8724" s="11"/>
      <c r="D8724" s="11"/>
      <c r="E8724" s="11"/>
      <c r="F8724" s="11"/>
      <c r="G8724" s="11"/>
      <c r="H8724" s="11"/>
      <c r="I8724" s="15"/>
    </row>
    <row r="8725" spans="1:9" ht="16.5">
      <c r="A8725" s="10" t="b">
        <v>0</v>
      </c>
      <c r="B8725" s="11" t="str">
        <f>IF(D8725&lt;&gt;"",IF(COUNTIF('USPTO TMs'!A:A,D8725)&gt;0,"Yes","No"),"")</f>
        <v/>
      </c>
      <c r="C8725" s="11"/>
      <c r="D8725" s="11"/>
      <c r="E8725" s="11"/>
      <c r="F8725" s="11"/>
      <c r="G8725" s="11"/>
      <c r="H8725" s="11"/>
      <c r="I8725" s="15"/>
    </row>
    <row r="8726" spans="1:9" ht="16.5">
      <c r="A8726" s="10" t="b">
        <v>0</v>
      </c>
      <c r="B8726" s="11" t="str">
        <f>IF(D8726&lt;&gt;"",IF(COUNTIF('USPTO TMs'!A:A,D8726)&gt;0,"Yes","No"),"")</f>
        <v/>
      </c>
      <c r="C8726" s="11"/>
      <c r="D8726" s="11"/>
      <c r="E8726" s="11"/>
      <c r="F8726" s="11"/>
      <c r="G8726" s="11"/>
      <c r="H8726" s="11"/>
      <c r="I8726" s="15"/>
    </row>
    <row r="8727" spans="1:9" ht="16.5">
      <c r="A8727" s="10" t="b">
        <v>0</v>
      </c>
      <c r="B8727" s="11" t="str">
        <f>IF(D8727&lt;&gt;"",IF(COUNTIF('USPTO TMs'!A:A,D8727)&gt;0,"Yes","No"),"")</f>
        <v/>
      </c>
      <c r="C8727" s="11"/>
      <c r="D8727" s="11"/>
      <c r="E8727" s="11"/>
      <c r="F8727" s="11"/>
      <c r="G8727" s="11"/>
      <c r="H8727" s="11"/>
      <c r="I8727" s="15"/>
    </row>
    <row r="8728" spans="1:9" ht="16.5">
      <c r="A8728" s="10" t="b">
        <v>0</v>
      </c>
      <c r="B8728" s="11" t="str">
        <f>IF(D8728&lt;&gt;"",IF(COUNTIF('USPTO TMs'!A:A,D8728)&gt;0,"Yes","No"),"")</f>
        <v/>
      </c>
      <c r="C8728" s="11"/>
      <c r="D8728" s="11"/>
      <c r="E8728" s="11"/>
      <c r="F8728" s="11"/>
      <c r="G8728" s="11"/>
      <c r="H8728" s="11"/>
      <c r="I8728" s="15"/>
    </row>
    <row r="8729" spans="1:9" ht="16.5">
      <c r="A8729" s="10" t="b">
        <v>0</v>
      </c>
      <c r="B8729" s="11" t="str">
        <f>IF(D8729&lt;&gt;"",IF(COUNTIF('USPTO TMs'!A:A,D8729)&gt;0,"Yes","No"),"")</f>
        <v/>
      </c>
      <c r="C8729" s="11"/>
      <c r="D8729" s="11"/>
      <c r="E8729" s="11"/>
      <c r="F8729" s="11"/>
      <c r="G8729" s="11"/>
      <c r="H8729" s="11"/>
      <c r="I8729" s="15"/>
    </row>
    <row r="8730" spans="1:9" ht="16.5">
      <c r="A8730" s="10" t="b">
        <v>0</v>
      </c>
      <c r="B8730" s="11" t="str">
        <f>IF(D8730&lt;&gt;"",IF(COUNTIF('USPTO TMs'!A:A,D8730)&gt;0,"Yes","No"),"")</f>
        <v/>
      </c>
      <c r="C8730" s="11"/>
      <c r="D8730" s="11"/>
      <c r="E8730" s="11"/>
      <c r="F8730" s="11"/>
      <c r="G8730" s="11"/>
      <c r="H8730" s="11"/>
      <c r="I8730" s="15"/>
    </row>
    <row r="8731" spans="1:9" ht="16.5">
      <c r="A8731" s="10" t="b">
        <v>0</v>
      </c>
      <c r="B8731" s="11" t="str">
        <f>IF(D8731&lt;&gt;"",IF(COUNTIF('USPTO TMs'!A:A,D8731)&gt;0,"Yes","No"),"")</f>
        <v/>
      </c>
      <c r="C8731" s="11"/>
      <c r="D8731" s="11"/>
      <c r="E8731" s="11"/>
      <c r="F8731" s="11"/>
      <c r="G8731" s="11"/>
      <c r="H8731" s="11"/>
      <c r="I8731" s="15"/>
    </row>
    <row r="8732" spans="1:9" ht="16.5">
      <c r="A8732" s="10" t="b">
        <v>0</v>
      </c>
      <c r="B8732" s="11" t="str">
        <f>IF(D8732&lt;&gt;"",IF(COUNTIF('USPTO TMs'!A:A,D8732)&gt;0,"Yes","No"),"")</f>
        <v/>
      </c>
      <c r="C8732" s="11"/>
      <c r="D8732" s="11"/>
      <c r="E8732" s="11"/>
      <c r="F8732" s="11"/>
      <c r="G8732" s="11"/>
      <c r="H8732" s="11"/>
      <c r="I8732" s="15"/>
    </row>
    <row r="8733" spans="1:9" ht="16.5">
      <c r="A8733" s="10" t="b">
        <v>0</v>
      </c>
      <c r="B8733" s="11" t="str">
        <f>IF(D8733&lt;&gt;"",IF(COUNTIF('USPTO TMs'!A:A,D8733)&gt;0,"Yes","No"),"")</f>
        <v/>
      </c>
      <c r="C8733" s="11"/>
      <c r="D8733" s="11"/>
      <c r="E8733" s="11"/>
      <c r="F8733" s="11"/>
      <c r="G8733" s="11"/>
      <c r="H8733" s="11"/>
      <c r="I8733" s="15"/>
    </row>
    <row r="8734" spans="1:9" ht="16.5">
      <c r="A8734" s="10" t="b">
        <v>0</v>
      </c>
      <c r="B8734" s="11" t="str">
        <f>IF(D8734&lt;&gt;"",IF(COUNTIF('USPTO TMs'!A:A,D8734)&gt;0,"Yes","No"),"")</f>
        <v/>
      </c>
      <c r="C8734" s="11"/>
      <c r="D8734" s="11"/>
      <c r="E8734" s="11"/>
      <c r="F8734" s="11"/>
      <c r="G8734" s="11"/>
      <c r="H8734" s="11"/>
      <c r="I8734" s="15"/>
    </row>
    <row r="8735" spans="1:9" ht="16.5">
      <c r="A8735" s="10" t="b">
        <v>0</v>
      </c>
      <c r="B8735" s="11" t="str">
        <f>IF(D8735&lt;&gt;"",IF(COUNTIF('USPTO TMs'!A:A,D8735)&gt;0,"Yes","No"),"")</f>
        <v/>
      </c>
      <c r="C8735" s="11"/>
      <c r="D8735" s="11"/>
      <c r="E8735" s="11"/>
      <c r="F8735" s="11"/>
      <c r="G8735" s="11"/>
      <c r="H8735" s="11"/>
      <c r="I8735" s="15"/>
    </row>
    <row r="8736" spans="1:9" ht="16.5">
      <c r="A8736" s="10" t="b">
        <v>0</v>
      </c>
      <c r="B8736" s="11" t="str">
        <f>IF(D8736&lt;&gt;"",IF(COUNTIF('USPTO TMs'!A:A,D8736)&gt;0,"Yes","No"),"")</f>
        <v/>
      </c>
      <c r="C8736" s="11"/>
      <c r="D8736" s="11"/>
      <c r="E8736" s="11"/>
      <c r="F8736" s="11"/>
      <c r="G8736" s="11"/>
      <c r="H8736" s="11"/>
      <c r="I8736" s="15"/>
    </row>
    <row r="8737" spans="1:9" ht="16.5">
      <c r="A8737" s="10" t="b">
        <v>0</v>
      </c>
      <c r="B8737" s="11" t="str">
        <f>IF(D8737&lt;&gt;"",IF(COUNTIF('USPTO TMs'!A:A,D8737)&gt;0,"Yes","No"),"")</f>
        <v/>
      </c>
      <c r="C8737" s="11"/>
      <c r="D8737" s="11"/>
      <c r="E8737" s="11"/>
      <c r="F8737" s="11"/>
      <c r="G8737" s="11"/>
      <c r="H8737" s="11"/>
      <c r="I8737" s="15"/>
    </row>
    <row r="8738" spans="1:9" ht="16.5">
      <c r="A8738" s="10" t="b">
        <v>0</v>
      </c>
      <c r="B8738" s="11" t="str">
        <f>IF(D8738&lt;&gt;"",IF(COUNTIF('USPTO TMs'!A:A,D8738)&gt;0,"Yes","No"),"")</f>
        <v/>
      </c>
      <c r="C8738" s="11"/>
      <c r="D8738" s="11"/>
      <c r="E8738" s="11"/>
      <c r="F8738" s="11"/>
      <c r="G8738" s="11"/>
      <c r="H8738" s="11"/>
      <c r="I8738" s="15"/>
    </row>
    <row r="8739" spans="1:9" ht="16.5">
      <c r="A8739" s="10" t="b">
        <v>0</v>
      </c>
      <c r="B8739" s="11" t="str">
        <f>IF(D8739&lt;&gt;"",IF(COUNTIF('USPTO TMs'!A:A,D8739)&gt;0,"Yes","No"),"")</f>
        <v/>
      </c>
      <c r="C8739" s="11"/>
      <c r="D8739" s="11"/>
      <c r="E8739" s="11"/>
      <c r="F8739" s="11"/>
      <c r="G8739" s="11"/>
      <c r="H8739" s="11"/>
      <c r="I8739" s="15"/>
    </row>
    <row r="8740" spans="1:9" ht="16.5">
      <c r="A8740" s="10" t="b">
        <v>0</v>
      </c>
      <c r="B8740" s="11" t="str">
        <f>IF(D8740&lt;&gt;"",IF(COUNTIF('USPTO TMs'!A:A,D8740)&gt;0,"Yes","No"),"")</f>
        <v/>
      </c>
      <c r="C8740" s="11"/>
      <c r="D8740" s="11"/>
      <c r="E8740" s="11"/>
      <c r="F8740" s="11"/>
      <c r="G8740" s="11"/>
      <c r="H8740" s="11"/>
      <c r="I8740" s="15"/>
    </row>
    <row r="8741" spans="1:9" ht="16.5">
      <c r="A8741" s="10" t="b">
        <v>0</v>
      </c>
      <c r="B8741" s="11" t="str">
        <f>IF(D8741&lt;&gt;"",IF(COUNTIF('USPTO TMs'!A:A,D8741)&gt;0,"Yes","No"),"")</f>
        <v/>
      </c>
      <c r="C8741" s="11"/>
      <c r="D8741" s="11"/>
      <c r="E8741" s="11"/>
      <c r="F8741" s="11"/>
      <c r="G8741" s="11"/>
      <c r="H8741" s="11"/>
      <c r="I8741" s="15"/>
    </row>
    <row r="8742" spans="1:9" ht="16.5">
      <c r="A8742" s="10" t="b">
        <v>0</v>
      </c>
      <c r="B8742" s="11" t="str">
        <f>IF(D8742&lt;&gt;"",IF(COUNTIF('USPTO TMs'!A:A,D8742)&gt;0,"Yes","No"),"")</f>
        <v/>
      </c>
      <c r="C8742" s="11"/>
      <c r="D8742" s="11"/>
      <c r="E8742" s="11"/>
      <c r="F8742" s="11"/>
      <c r="G8742" s="11"/>
      <c r="H8742" s="11"/>
      <c r="I8742" s="15"/>
    </row>
    <row r="8743" spans="1:9" ht="16.5">
      <c r="A8743" s="10" t="b">
        <v>0</v>
      </c>
      <c r="B8743" s="11" t="str">
        <f>IF(D8743&lt;&gt;"",IF(COUNTIF('USPTO TMs'!A:A,D8743)&gt;0,"Yes","No"),"")</f>
        <v/>
      </c>
      <c r="C8743" s="11"/>
      <c r="D8743" s="11"/>
      <c r="E8743" s="11"/>
      <c r="F8743" s="11"/>
      <c r="G8743" s="11"/>
      <c r="H8743" s="11"/>
      <c r="I8743" s="15"/>
    </row>
    <row r="8744" spans="1:9" ht="16.5">
      <c r="A8744" s="10" t="b">
        <v>0</v>
      </c>
      <c r="B8744" s="11" t="str">
        <f>IF(D8744&lt;&gt;"",IF(COUNTIF('USPTO TMs'!A:A,D8744)&gt;0,"Yes","No"),"")</f>
        <v/>
      </c>
      <c r="C8744" s="11"/>
      <c r="D8744" s="11"/>
      <c r="E8744" s="11"/>
      <c r="F8744" s="11"/>
      <c r="G8744" s="11"/>
      <c r="H8744" s="11"/>
      <c r="I8744" s="15"/>
    </row>
    <row r="8745" spans="1:9" ht="16.5">
      <c r="A8745" s="10" t="b">
        <v>0</v>
      </c>
      <c r="B8745" s="11" t="str">
        <f>IF(D8745&lt;&gt;"",IF(COUNTIF('USPTO TMs'!A:A,D8745)&gt;0,"Yes","No"),"")</f>
        <v/>
      </c>
      <c r="C8745" s="11"/>
      <c r="D8745" s="11"/>
      <c r="E8745" s="11"/>
      <c r="F8745" s="11"/>
      <c r="G8745" s="11"/>
      <c r="H8745" s="11"/>
      <c r="I8745" s="15"/>
    </row>
    <row r="8746" spans="1:9" ht="16.5">
      <c r="A8746" s="10" t="b">
        <v>0</v>
      </c>
      <c r="B8746" s="11" t="str">
        <f>IF(D8746&lt;&gt;"",IF(COUNTIF('USPTO TMs'!A:A,D8746)&gt;0,"Yes","No"),"")</f>
        <v/>
      </c>
      <c r="C8746" s="11"/>
      <c r="D8746" s="11"/>
      <c r="E8746" s="11"/>
      <c r="F8746" s="11"/>
      <c r="G8746" s="11"/>
      <c r="H8746" s="11"/>
      <c r="I8746" s="15"/>
    </row>
    <row r="8747" spans="1:9" ht="16.5">
      <c r="A8747" s="10" t="b">
        <v>0</v>
      </c>
      <c r="B8747" s="11" t="str">
        <f>IF(D8747&lt;&gt;"",IF(COUNTIF('USPTO TMs'!A:A,D8747)&gt;0,"Yes","No"),"")</f>
        <v/>
      </c>
      <c r="C8747" s="11"/>
      <c r="D8747" s="11"/>
      <c r="E8747" s="11"/>
      <c r="F8747" s="11"/>
      <c r="G8747" s="11"/>
      <c r="H8747" s="11"/>
      <c r="I8747" s="15"/>
    </row>
    <row r="8748" spans="1:9" ht="16.5">
      <c r="A8748" s="10" t="b">
        <v>0</v>
      </c>
      <c r="B8748" s="11" t="str">
        <f>IF(D8748&lt;&gt;"",IF(COUNTIF('USPTO TMs'!A:A,D8748)&gt;0,"Yes","No"),"")</f>
        <v/>
      </c>
      <c r="C8748" s="11"/>
      <c r="D8748" s="11"/>
      <c r="E8748" s="11"/>
      <c r="F8748" s="11"/>
      <c r="G8748" s="11"/>
      <c r="H8748" s="11"/>
      <c r="I8748" s="15"/>
    </row>
    <row r="8749" spans="1:9" ht="16.5">
      <c r="A8749" s="10" t="b">
        <v>0</v>
      </c>
      <c r="B8749" s="11" t="str">
        <f>IF(D8749&lt;&gt;"",IF(COUNTIF('USPTO TMs'!A:A,D8749)&gt;0,"Yes","No"),"")</f>
        <v/>
      </c>
      <c r="C8749" s="11"/>
      <c r="D8749" s="11"/>
      <c r="E8749" s="11"/>
      <c r="F8749" s="11"/>
      <c r="G8749" s="11"/>
      <c r="H8749" s="11"/>
      <c r="I8749" s="15"/>
    </row>
    <row r="8750" spans="1:9" ht="16.5">
      <c r="A8750" s="10" t="b">
        <v>0</v>
      </c>
      <c r="B8750" s="11" t="str">
        <f>IF(D8750&lt;&gt;"",IF(COUNTIF('USPTO TMs'!A:A,D8750)&gt;0,"Yes","No"),"")</f>
        <v/>
      </c>
      <c r="C8750" s="11"/>
      <c r="D8750" s="11"/>
      <c r="E8750" s="11"/>
      <c r="F8750" s="11"/>
      <c r="G8750" s="11"/>
      <c r="H8750" s="11"/>
      <c r="I8750" s="15"/>
    </row>
    <row r="8751" spans="1:9" ht="16.5">
      <c r="A8751" s="10" t="b">
        <v>0</v>
      </c>
      <c r="B8751" s="11" t="str">
        <f>IF(D8751&lt;&gt;"",IF(COUNTIF('USPTO TMs'!A:A,D8751)&gt;0,"Yes","No"),"")</f>
        <v/>
      </c>
      <c r="C8751" s="11"/>
      <c r="D8751" s="11"/>
      <c r="E8751" s="11"/>
      <c r="F8751" s="11"/>
      <c r="G8751" s="11"/>
      <c r="H8751" s="11"/>
      <c r="I8751" s="15"/>
    </row>
    <row r="8752" spans="1:9" ht="16.5">
      <c r="A8752" s="10" t="b">
        <v>0</v>
      </c>
      <c r="B8752" s="11" t="str">
        <f>IF(D8752&lt;&gt;"",IF(COUNTIF('USPTO TMs'!A:A,D8752)&gt;0,"Yes","No"),"")</f>
        <v/>
      </c>
      <c r="C8752" s="11"/>
      <c r="D8752" s="11"/>
      <c r="E8752" s="11"/>
      <c r="F8752" s="11"/>
      <c r="G8752" s="11"/>
      <c r="H8752" s="11"/>
      <c r="I8752" s="15"/>
    </row>
    <row r="8753" spans="1:9" ht="16.5">
      <c r="A8753" s="10" t="b">
        <v>0</v>
      </c>
      <c r="B8753" s="11" t="str">
        <f>IF(D8753&lt;&gt;"",IF(COUNTIF('USPTO TMs'!A:A,D8753)&gt;0,"Yes","No"),"")</f>
        <v/>
      </c>
      <c r="C8753" s="11"/>
      <c r="D8753" s="11"/>
      <c r="E8753" s="11"/>
      <c r="F8753" s="11"/>
      <c r="G8753" s="11"/>
      <c r="H8753" s="11"/>
      <c r="I8753" s="15"/>
    </row>
    <row r="8754" spans="1:9" ht="16.5">
      <c r="A8754" s="10" t="b">
        <v>0</v>
      </c>
      <c r="B8754" s="11" t="str">
        <f>IF(D8754&lt;&gt;"",IF(COUNTIF('USPTO TMs'!A:A,D8754)&gt;0,"Yes","No"),"")</f>
        <v/>
      </c>
      <c r="C8754" s="11"/>
      <c r="D8754" s="11"/>
      <c r="E8754" s="11"/>
      <c r="F8754" s="11"/>
      <c r="G8754" s="11"/>
      <c r="H8754" s="11"/>
      <c r="I8754" s="15"/>
    </row>
    <row r="8755" spans="1:9" ht="16.5">
      <c r="A8755" s="10" t="b">
        <v>0</v>
      </c>
      <c r="B8755" s="11" t="str">
        <f>IF(D8755&lt;&gt;"",IF(COUNTIF('USPTO TMs'!A:A,D8755)&gt;0,"Yes","No"),"")</f>
        <v/>
      </c>
      <c r="C8755" s="11"/>
      <c r="D8755" s="11"/>
      <c r="E8755" s="11"/>
      <c r="F8755" s="11"/>
      <c r="G8755" s="11"/>
      <c r="H8755" s="11"/>
      <c r="I8755" s="15"/>
    </row>
    <row r="8756" spans="1:9" ht="16.5">
      <c r="A8756" s="10" t="b">
        <v>0</v>
      </c>
      <c r="B8756" s="11" t="str">
        <f>IF(D8756&lt;&gt;"",IF(COUNTIF('USPTO TMs'!A:A,D8756)&gt;0,"Yes","No"),"")</f>
        <v/>
      </c>
      <c r="C8756" s="11"/>
      <c r="D8756" s="11"/>
      <c r="E8756" s="11"/>
      <c r="F8756" s="11"/>
      <c r="G8756" s="11"/>
      <c r="H8756" s="11"/>
      <c r="I8756" s="15"/>
    </row>
    <row r="8757" spans="1:9" ht="16.5">
      <c r="A8757" s="10" t="b">
        <v>0</v>
      </c>
      <c r="B8757" s="11" t="str">
        <f>IF(D8757&lt;&gt;"",IF(COUNTIF('USPTO TMs'!A:A,D8757)&gt;0,"Yes","No"),"")</f>
        <v/>
      </c>
      <c r="C8757" s="11"/>
      <c r="D8757" s="11"/>
      <c r="E8757" s="11"/>
      <c r="F8757" s="11"/>
      <c r="G8757" s="11"/>
      <c r="H8757" s="11"/>
      <c r="I8757" s="15"/>
    </row>
    <row r="8758" spans="1:9" ht="16.5">
      <c r="A8758" s="10" t="b">
        <v>0</v>
      </c>
      <c r="B8758" s="11" t="str">
        <f>IF(D8758&lt;&gt;"",IF(COUNTIF('USPTO TMs'!A:A,D8758)&gt;0,"Yes","No"),"")</f>
        <v/>
      </c>
      <c r="C8758" s="11"/>
      <c r="D8758" s="11"/>
      <c r="E8758" s="11"/>
      <c r="F8758" s="11"/>
      <c r="G8758" s="11"/>
      <c r="H8758" s="11"/>
      <c r="I8758" s="15"/>
    </row>
    <row r="8759" spans="1:9" ht="16.5">
      <c r="A8759" s="10" t="b">
        <v>0</v>
      </c>
      <c r="B8759" s="11" t="str">
        <f>IF(D8759&lt;&gt;"",IF(COUNTIF('USPTO TMs'!A:A,D8759)&gt;0,"Yes","No"),"")</f>
        <v/>
      </c>
      <c r="C8759" s="11"/>
      <c r="D8759" s="11"/>
      <c r="E8759" s="11"/>
      <c r="F8759" s="11"/>
      <c r="G8759" s="11"/>
      <c r="H8759" s="11"/>
      <c r="I8759" s="15"/>
    </row>
    <row r="8760" spans="1:9" ht="16.5">
      <c r="A8760" s="10" t="b">
        <v>0</v>
      </c>
      <c r="B8760" s="11" t="str">
        <f>IF(D8760&lt;&gt;"",IF(COUNTIF('USPTO TMs'!A:A,D8760)&gt;0,"Yes","No"),"")</f>
        <v/>
      </c>
      <c r="C8760" s="11"/>
      <c r="D8760" s="11"/>
      <c r="E8760" s="11"/>
      <c r="F8760" s="11"/>
      <c r="G8760" s="11"/>
      <c r="H8760" s="11"/>
      <c r="I8760" s="15"/>
    </row>
    <row r="8761" spans="1:9" ht="16.5">
      <c r="A8761" s="10" t="b">
        <v>0</v>
      </c>
      <c r="B8761" s="11" t="str">
        <f>IF(D8761&lt;&gt;"",IF(COUNTIF('USPTO TMs'!A:A,D8761)&gt;0,"Yes","No"),"")</f>
        <v/>
      </c>
      <c r="C8761" s="11"/>
      <c r="D8761" s="11"/>
      <c r="E8761" s="11"/>
      <c r="F8761" s="11"/>
      <c r="G8761" s="11"/>
      <c r="H8761" s="11"/>
      <c r="I8761" s="15"/>
    </row>
    <row r="8762" spans="1:9" ht="16.5">
      <c r="A8762" s="10" t="b">
        <v>0</v>
      </c>
      <c r="B8762" s="11" t="str">
        <f>IF(D8762&lt;&gt;"",IF(COUNTIF('USPTO TMs'!A:A,D8762)&gt;0,"Yes","No"),"")</f>
        <v/>
      </c>
      <c r="C8762" s="11"/>
      <c r="D8762" s="11"/>
      <c r="E8762" s="11"/>
      <c r="F8762" s="11"/>
      <c r="G8762" s="11"/>
      <c r="H8762" s="11"/>
      <c r="I8762" s="15"/>
    </row>
    <row r="8763" spans="1:9" ht="16.5">
      <c r="A8763" s="10" t="b">
        <v>0</v>
      </c>
      <c r="B8763" s="11" t="str">
        <f>IF(D8763&lt;&gt;"",IF(COUNTIF('USPTO TMs'!A:A,D8763)&gt;0,"Yes","No"),"")</f>
        <v/>
      </c>
      <c r="C8763" s="11"/>
      <c r="D8763" s="11"/>
      <c r="E8763" s="11"/>
      <c r="F8763" s="11"/>
      <c r="G8763" s="11"/>
      <c r="H8763" s="11"/>
      <c r="I8763" s="15"/>
    </row>
    <row r="8764" spans="1:9" ht="16.5">
      <c r="A8764" s="10" t="b">
        <v>0</v>
      </c>
      <c r="B8764" s="11" t="str">
        <f>IF(D8764&lt;&gt;"",IF(COUNTIF('USPTO TMs'!A:A,D8764)&gt;0,"Yes","No"),"")</f>
        <v/>
      </c>
      <c r="C8764" s="11"/>
      <c r="D8764" s="11"/>
      <c r="E8764" s="11"/>
      <c r="F8764" s="11"/>
      <c r="G8764" s="11"/>
      <c r="H8764" s="11"/>
      <c r="I8764" s="15"/>
    </row>
    <row r="8765" spans="1:9" ht="16.5">
      <c r="A8765" s="10" t="b">
        <v>0</v>
      </c>
      <c r="B8765" s="11" t="str">
        <f>IF(D8765&lt;&gt;"",IF(COUNTIF('USPTO TMs'!A:A,D8765)&gt;0,"Yes","No"),"")</f>
        <v/>
      </c>
      <c r="C8765" s="11"/>
      <c r="D8765" s="11"/>
      <c r="E8765" s="11"/>
      <c r="F8765" s="11"/>
      <c r="G8765" s="11"/>
      <c r="H8765" s="11"/>
      <c r="I8765" s="15"/>
    </row>
    <row r="8766" spans="1:9" ht="16.5">
      <c r="A8766" s="10" t="b">
        <v>0</v>
      </c>
      <c r="B8766" s="11" t="str">
        <f>IF(D8766&lt;&gt;"",IF(COUNTIF('USPTO TMs'!A:A,D8766)&gt;0,"Yes","No"),"")</f>
        <v/>
      </c>
      <c r="C8766" s="11"/>
      <c r="D8766" s="11"/>
      <c r="E8766" s="11"/>
      <c r="F8766" s="11"/>
      <c r="G8766" s="11"/>
      <c r="H8766" s="11"/>
      <c r="I8766" s="15"/>
    </row>
    <row r="8767" spans="1:9" ht="16.5">
      <c r="A8767" s="10" t="b">
        <v>0</v>
      </c>
      <c r="B8767" s="11" t="str">
        <f>IF(D8767&lt;&gt;"",IF(COUNTIF('USPTO TMs'!A:A,D8767)&gt;0,"Yes","No"),"")</f>
        <v/>
      </c>
      <c r="C8767" s="11"/>
      <c r="D8767" s="11"/>
      <c r="E8767" s="11"/>
      <c r="F8767" s="11"/>
      <c r="G8767" s="11"/>
      <c r="H8767" s="11"/>
      <c r="I8767" s="15"/>
    </row>
    <row r="8768" spans="1:9" ht="16.5">
      <c r="A8768" s="10" t="b">
        <v>0</v>
      </c>
      <c r="B8768" s="11" t="str">
        <f>IF(D8768&lt;&gt;"",IF(COUNTIF('USPTO TMs'!A:A,D8768)&gt;0,"Yes","No"),"")</f>
        <v/>
      </c>
      <c r="C8768" s="11"/>
      <c r="D8768" s="11"/>
      <c r="E8768" s="11"/>
      <c r="F8768" s="11"/>
      <c r="G8768" s="11"/>
      <c r="H8768" s="11"/>
      <c r="I8768" s="15"/>
    </row>
    <row r="8769" spans="1:9" ht="16.5">
      <c r="A8769" s="10" t="b">
        <v>0</v>
      </c>
      <c r="B8769" s="11" t="str">
        <f>IF(D8769&lt;&gt;"",IF(COUNTIF('USPTO TMs'!A:A,D8769)&gt;0,"Yes","No"),"")</f>
        <v/>
      </c>
      <c r="C8769" s="11"/>
      <c r="D8769" s="11"/>
      <c r="E8769" s="11"/>
      <c r="F8769" s="11"/>
      <c r="G8769" s="11"/>
      <c r="H8769" s="11"/>
      <c r="I8769" s="15"/>
    </row>
    <row r="8770" spans="1:9" ht="16.5">
      <c r="A8770" s="10" t="b">
        <v>0</v>
      </c>
      <c r="B8770" s="11" t="str">
        <f>IF(D8770&lt;&gt;"",IF(COUNTIF('USPTO TMs'!A:A,D8770)&gt;0,"Yes","No"),"")</f>
        <v/>
      </c>
      <c r="C8770" s="11"/>
      <c r="D8770" s="11"/>
      <c r="E8770" s="11"/>
      <c r="F8770" s="11"/>
      <c r="G8770" s="11"/>
      <c r="H8770" s="11"/>
      <c r="I8770" s="15"/>
    </row>
    <row r="8771" spans="1:9" ht="16.5">
      <c r="A8771" s="10" t="b">
        <v>0</v>
      </c>
      <c r="B8771" s="11" t="str">
        <f>IF(D8771&lt;&gt;"",IF(COUNTIF('USPTO TMs'!A:A,D8771)&gt;0,"Yes","No"),"")</f>
        <v/>
      </c>
      <c r="C8771" s="11"/>
      <c r="D8771" s="11"/>
      <c r="E8771" s="11"/>
      <c r="F8771" s="11"/>
      <c r="G8771" s="11"/>
      <c r="H8771" s="11"/>
      <c r="I8771" s="15"/>
    </row>
    <row r="8772" spans="1:9" ht="16.5">
      <c r="A8772" s="10" t="b">
        <v>0</v>
      </c>
      <c r="B8772" s="11" t="str">
        <f>IF(D8772&lt;&gt;"",IF(COUNTIF('USPTO TMs'!A:A,D8772)&gt;0,"Yes","No"),"")</f>
        <v/>
      </c>
      <c r="C8772" s="11"/>
      <c r="D8772" s="11"/>
      <c r="E8772" s="11"/>
      <c r="F8772" s="11"/>
      <c r="G8772" s="11"/>
      <c r="H8772" s="11"/>
      <c r="I8772" s="15"/>
    </row>
    <row r="8773" spans="1:9" ht="16.5">
      <c r="A8773" s="10" t="b">
        <v>0</v>
      </c>
      <c r="B8773" s="11" t="str">
        <f>IF(D8773&lt;&gt;"",IF(COUNTIF('USPTO TMs'!A:A,D8773)&gt;0,"Yes","No"),"")</f>
        <v/>
      </c>
      <c r="C8773" s="11"/>
      <c r="D8773" s="11"/>
      <c r="E8773" s="11"/>
      <c r="F8773" s="11"/>
      <c r="G8773" s="11"/>
      <c r="H8773" s="11"/>
      <c r="I8773" s="15"/>
    </row>
    <row r="8774" spans="1:9" ht="16.5">
      <c r="A8774" s="10" t="b">
        <v>0</v>
      </c>
      <c r="B8774" s="11" t="str">
        <f>IF(D8774&lt;&gt;"",IF(COUNTIF('USPTO TMs'!A:A,D8774)&gt;0,"Yes","No"),"")</f>
        <v/>
      </c>
      <c r="C8774" s="11"/>
      <c r="D8774" s="11"/>
      <c r="E8774" s="11"/>
      <c r="F8774" s="11"/>
      <c r="G8774" s="11"/>
      <c r="H8774" s="11"/>
      <c r="I8774" s="15"/>
    </row>
    <row r="8775" spans="1:9" ht="16.5">
      <c r="A8775" s="10" t="b">
        <v>0</v>
      </c>
      <c r="B8775" s="11" t="str">
        <f>IF(D8775&lt;&gt;"",IF(COUNTIF('USPTO TMs'!A:A,D8775)&gt;0,"Yes","No"),"")</f>
        <v/>
      </c>
      <c r="C8775" s="11"/>
      <c r="D8775" s="11"/>
      <c r="E8775" s="11"/>
      <c r="F8775" s="11"/>
      <c r="G8775" s="11"/>
      <c r="H8775" s="11"/>
      <c r="I8775" s="15"/>
    </row>
    <row r="8776" spans="1:9" ht="16.5">
      <c r="A8776" s="10" t="b">
        <v>0</v>
      </c>
      <c r="B8776" s="11" t="str">
        <f>IF(D8776&lt;&gt;"",IF(COUNTIF('USPTO TMs'!A:A,D8776)&gt;0,"Yes","No"),"")</f>
        <v/>
      </c>
      <c r="C8776" s="11"/>
      <c r="D8776" s="11"/>
      <c r="E8776" s="11"/>
      <c r="F8776" s="11"/>
      <c r="G8776" s="11"/>
      <c r="H8776" s="11"/>
      <c r="I8776" s="15"/>
    </row>
    <row r="8777" spans="1:9" ht="16.5">
      <c r="A8777" s="10" t="b">
        <v>0</v>
      </c>
      <c r="B8777" s="11" t="str">
        <f>IF(D8777&lt;&gt;"",IF(COUNTIF('USPTO TMs'!A:A,D8777)&gt;0,"Yes","No"),"")</f>
        <v/>
      </c>
      <c r="C8777" s="11"/>
      <c r="D8777" s="11"/>
      <c r="E8777" s="11"/>
      <c r="F8777" s="11"/>
      <c r="G8777" s="11"/>
      <c r="H8777" s="11"/>
      <c r="I8777" s="15"/>
    </row>
    <row r="8778" spans="1:9" ht="16.5">
      <c r="A8778" s="10" t="b">
        <v>0</v>
      </c>
      <c r="B8778" s="11" t="str">
        <f>IF(D8778&lt;&gt;"",IF(COUNTIF('USPTO TMs'!A:A,D8778)&gt;0,"Yes","No"),"")</f>
        <v/>
      </c>
      <c r="C8778" s="11"/>
      <c r="D8778" s="11"/>
      <c r="E8778" s="11"/>
      <c r="F8778" s="11"/>
      <c r="G8778" s="11"/>
      <c r="H8778" s="11"/>
      <c r="I8778" s="15"/>
    </row>
    <row r="8779" spans="1:9" ht="16.5">
      <c r="A8779" s="10" t="b">
        <v>0</v>
      </c>
      <c r="B8779" s="11" t="str">
        <f>IF(D8779&lt;&gt;"",IF(COUNTIF('USPTO TMs'!A:A,D8779)&gt;0,"Yes","No"),"")</f>
        <v/>
      </c>
      <c r="C8779" s="11"/>
      <c r="D8779" s="11"/>
      <c r="E8779" s="11"/>
      <c r="F8779" s="11"/>
      <c r="G8779" s="11"/>
      <c r="H8779" s="11"/>
      <c r="I8779" s="15"/>
    </row>
    <row r="8780" spans="1:9" ht="16.5">
      <c r="A8780" s="10" t="b">
        <v>0</v>
      </c>
      <c r="B8780" s="11" t="str">
        <f>IF(D8780&lt;&gt;"",IF(COUNTIF('USPTO TMs'!A:A,D8780)&gt;0,"Yes","No"),"")</f>
        <v/>
      </c>
      <c r="C8780" s="11"/>
      <c r="D8780" s="11"/>
      <c r="E8780" s="11"/>
      <c r="F8780" s="11"/>
      <c r="G8780" s="11"/>
      <c r="H8780" s="11"/>
      <c r="I8780" s="15"/>
    </row>
    <row r="8781" spans="1:9" ht="16.5">
      <c r="A8781" s="10" t="b">
        <v>0</v>
      </c>
      <c r="B8781" s="11" t="str">
        <f>IF(D8781&lt;&gt;"",IF(COUNTIF('USPTO TMs'!A:A,D8781)&gt;0,"Yes","No"),"")</f>
        <v/>
      </c>
      <c r="C8781" s="11"/>
      <c r="D8781" s="11"/>
      <c r="E8781" s="11"/>
      <c r="F8781" s="11"/>
      <c r="G8781" s="11"/>
      <c r="H8781" s="11"/>
      <c r="I8781" s="15"/>
    </row>
    <row r="8782" spans="1:9" ht="16.5">
      <c r="A8782" s="10" t="b">
        <v>0</v>
      </c>
      <c r="B8782" s="11" t="str">
        <f>IF(D8782&lt;&gt;"",IF(COUNTIF('USPTO TMs'!A:A,D8782)&gt;0,"Yes","No"),"")</f>
        <v/>
      </c>
      <c r="C8782" s="11"/>
      <c r="D8782" s="11"/>
      <c r="E8782" s="11"/>
      <c r="F8782" s="11"/>
      <c r="G8782" s="11"/>
      <c r="H8782" s="11"/>
      <c r="I8782" s="15"/>
    </row>
    <row r="8783" spans="1:9" ht="16.5">
      <c r="A8783" s="10" t="b">
        <v>0</v>
      </c>
      <c r="B8783" s="11" t="str">
        <f>IF(D8783&lt;&gt;"",IF(COUNTIF('USPTO TMs'!A:A,D8783)&gt;0,"Yes","No"),"")</f>
        <v/>
      </c>
      <c r="C8783" s="11"/>
      <c r="D8783" s="11"/>
      <c r="E8783" s="11"/>
      <c r="F8783" s="11"/>
      <c r="G8783" s="11"/>
      <c r="H8783" s="11"/>
      <c r="I8783" s="15"/>
    </row>
    <row r="8784" spans="1:9" ht="16.5">
      <c r="A8784" s="10" t="b">
        <v>0</v>
      </c>
      <c r="B8784" s="11" t="str">
        <f>IF(D8784&lt;&gt;"",IF(COUNTIF('USPTO TMs'!A:A,D8784)&gt;0,"Yes","No"),"")</f>
        <v/>
      </c>
      <c r="C8784" s="11"/>
      <c r="D8784" s="11"/>
      <c r="E8784" s="11"/>
      <c r="F8784" s="11"/>
      <c r="G8784" s="11"/>
      <c r="H8784" s="11"/>
      <c r="I8784" s="15"/>
    </row>
    <row r="8785" spans="1:9" ht="16.5">
      <c r="A8785" s="10" t="b">
        <v>0</v>
      </c>
      <c r="B8785" s="11" t="str">
        <f>IF(D8785&lt;&gt;"",IF(COUNTIF('USPTO TMs'!A:A,D8785)&gt;0,"Yes","No"),"")</f>
        <v/>
      </c>
      <c r="C8785" s="11"/>
      <c r="D8785" s="11"/>
      <c r="E8785" s="11"/>
      <c r="F8785" s="11"/>
      <c r="G8785" s="11"/>
      <c r="H8785" s="11"/>
      <c r="I8785" s="15"/>
    </row>
    <row r="8786" spans="1:9" ht="16.5">
      <c r="A8786" s="10" t="b">
        <v>0</v>
      </c>
      <c r="B8786" s="11" t="str">
        <f>IF(D8786&lt;&gt;"",IF(COUNTIF('USPTO TMs'!A:A,D8786)&gt;0,"Yes","No"),"")</f>
        <v/>
      </c>
      <c r="C8786" s="11"/>
      <c r="D8786" s="11"/>
      <c r="E8786" s="11"/>
      <c r="F8786" s="11"/>
      <c r="G8786" s="11"/>
      <c r="H8786" s="11"/>
      <c r="I8786" s="15"/>
    </row>
    <row r="8787" spans="1:9" ht="16.5">
      <c r="A8787" s="10" t="b">
        <v>0</v>
      </c>
      <c r="B8787" s="11" t="str">
        <f>IF(D8787&lt;&gt;"",IF(COUNTIF('USPTO TMs'!A:A,D8787)&gt;0,"Yes","No"),"")</f>
        <v/>
      </c>
      <c r="C8787" s="11"/>
      <c r="D8787" s="11"/>
      <c r="E8787" s="11"/>
      <c r="F8787" s="11"/>
      <c r="G8787" s="11"/>
      <c r="H8787" s="11"/>
      <c r="I8787" s="15"/>
    </row>
    <row r="8788" spans="1:9" ht="16.5">
      <c r="A8788" s="10" t="b">
        <v>0</v>
      </c>
      <c r="B8788" s="11" t="str">
        <f>IF(D8788&lt;&gt;"",IF(COUNTIF('USPTO TMs'!A:A,D8788)&gt;0,"Yes","No"),"")</f>
        <v/>
      </c>
      <c r="C8788" s="11"/>
      <c r="D8788" s="11"/>
      <c r="E8788" s="11"/>
      <c r="F8788" s="11"/>
      <c r="G8788" s="11"/>
      <c r="H8788" s="11"/>
      <c r="I8788" s="15"/>
    </row>
    <row r="8789" spans="1:9" ht="16.5">
      <c r="A8789" s="10" t="b">
        <v>0</v>
      </c>
      <c r="B8789" s="11" t="str">
        <f>IF(D8789&lt;&gt;"",IF(COUNTIF('USPTO TMs'!A:A,D8789)&gt;0,"Yes","No"),"")</f>
        <v/>
      </c>
      <c r="C8789" s="11"/>
      <c r="D8789" s="11"/>
      <c r="E8789" s="11"/>
      <c r="F8789" s="11"/>
      <c r="G8789" s="11"/>
      <c r="H8789" s="11"/>
      <c r="I8789" s="15"/>
    </row>
    <row r="8790" spans="1:9" ht="16.5">
      <c r="A8790" s="10" t="b">
        <v>0</v>
      </c>
      <c r="B8790" s="11" t="str">
        <f>IF(D8790&lt;&gt;"",IF(COUNTIF('USPTO TMs'!A:A,D8790)&gt;0,"Yes","No"),"")</f>
        <v/>
      </c>
      <c r="C8790" s="11"/>
      <c r="D8790" s="11"/>
      <c r="E8790" s="11"/>
      <c r="F8790" s="11"/>
      <c r="G8790" s="11"/>
      <c r="H8790" s="11"/>
      <c r="I8790" s="15"/>
    </row>
    <row r="8791" spans="1:9" ht="16.5">
      <c r="A8791" s="10" t="b">
        <v>0</v>
      </c>
      <c r="B8791" s="11" t="str">
        <f>IF(D8791&lt;&gt;"",IF(COUNTIF('USPTO TMs'!A:A,D8791)&gt;0,"Yes","No"),"")</f>
        <v/>
      </c>
      <c r="C8791" s="11"/>
      <c r="D8791" s="11"/>
      <c r="E8791" s="11"/>
      <c r="F8791" s="11"/>
      <c r="G8791" s="11"/>
      <c r="H8791" s="11"/>
      <c r="I8791" s="15"/>
    </row>
    <row r="8792" spans="1:9" ht="16.5">
      <c r="A8792" s="10" t="b">
        <v>0</v>
      </c>
      <c r="B8792" s="11" t="str">
        <f>IF(D8792&lt;&gt;"",IF(COUNTIF('USPTO TMs'!A:A,D8792)&gt;0,"Yes","No"),"")</f>
        <v/>
      </c>
      <c r="C8792" s="11"/>
      <c r="D8792" s="11"/>
      <c r="E8792" s="11"/>
      <c r="F8792" s="11"/>
      <c r="G8792" s="11"/>
      <c r="H8792" s="11"/>
      <c r="I8792" s="15"/>
    </row>
    <row r="8793" spans="1:9" ht="16.5">
      <c r="A8793" s="10" t="b">
        <v>0</v>
      </c>
      <c r="B8793" s="11" t="str">
        <f>IF(D8793&lt;&gt;"",IF(COUNTIF('USPTO TMs'!A:A,D8793)&gt;0,"Yes","No"),"")</f>
        <v/>
      </c>
      <c r="C8793" s="11"/>
      <c r="D8793" s="11"/>
      <c r="E8793" s="11"/>
      <c r="F8793" s="11"/>
      <c r="G8793" s="11"/>
      <c r="H8793" s="11"/>
      <c r="I8793" s="15"/>
    </row>
    <row r="8794" spans="1:9" ht="16.5">
      <c r="A8794" s="10" t="b">
        <v>0</v>
      </c>
      <c r="B8794" s="11" t="str">
        <f>IF(D8794&lt;&gt;"",IF(COUNTIF('USPTO TMs'!A:A,D8794)&gt;0,"Yes","No"),"")</f>
        <v/>
      </c>
      <c r="C8794" s="11"/>
      <c r="D8794" s="11"/>
      <c r="E8794" s="11"/>
      <c r="F8794" s="11"/>
      <c r="G8794" s="11"/>
      <c r="H8794" s="11"/>
      <c r="I8794" s="15"/>
    </row>
    <row r="8795" spans="1:9" ht="16.5">
      <c r="A8795" s="10" t="b">
        <v>0</v>
      </c>
      <c r="B8795" s="11" t="str">
        <f>IF(D8795&lt;&gt;"",IF(COUNTIF('USPTO TMs'!A:A,D8795)&gt;0,"Yes","No"),"")</f>
        <v/>
      </c>
      <c r="C8795" s="11"/>
      <c r="D8795" s="11"/>
      <c r="E8795" s="11"/>
      <c r="F8795" s="11"/>
      <c r="G8795" s="11"/>
      <c r="H8795" s="11"/>
      <c r="I8795" s="15"/>
    </row>
    <row r="8796" spans="1:9" ht="16.5">
      <c r="A8796" s="10" t="b">
        <v>0</v>
      </c>
      <c r="B8796" s="11" t="str">
        <f>IF(D8796&lt;&gt;"",IF(COUNTIF('USPTO TMs'!A:A,D8796)&gt;0,"Yes","No"),"")</f>
        <v/>
      </c>
      <c r="C8796" s="11"/>
      <c r="D8796" s="11"/>
      <c r="E8796" s="11"/>
      <c r="F8796" s="11"/>
      <c r="G8796" s="11"/>
      <c r="H8796" s="11"/>
      <c r="I8796" s="15"/>
    </row>
    <row r="8797" spans="1:9" ht="16.5">
      <c r="A8797" s="10" t="b">
        <v>0</v>
      </c>
      <c r="B8797" s="11" t="str">
        <f>IF(D8797&lt;&gt;"",IF(COUNTIF('USPTO TMs'!A:A,D8797)&gt;0,"Yes","No"),"")</f>
        <v/>
      </c>
      <c r="C8797" s="11"/>
      <c r="D8797" s="11"/>
      <c r="E8797" s="11"/>
      <c r="F8797" s="11"/>
      <c r="G8797" s="11"/>
      <c r="H8797" s="11"/>
      <c r="I8797" s="15"/>
    </row>
    <row r="8798" spans="1:9" ht="16.5">
      <c r="A8798" s="10" t="b">
        <v>0</v>
      </c>
      <c r="B8798" s="11" t="str">
        <f>IF(D8798&lt;&gt;"",IF(COUNTIF('USPTO TMs'!A:A,D8798)&gt;0,"Yes","No"),"")</f>
        <v/>
      </c>
      <c r="C8798" s="11"/>
      <c r="D8798" s="11"/>
      <c r="E8798" s="11"/>
      <c r="F8798" s="11"/>
      <c r="G8798" s="11"/>
      <c r="H8798" s="11"/>
      <c r="I8798" s="15"/>
    </row>
    <row r="8799" spans="1:9" ht="16.5">
      <c r="A8799" s="10" t="b">
        <v>0</v>
      </c>
      <c r="B8799" s="11" t="str">
        <f>IF(D8799&lt;&gt;"",IF(COUNTIF('USPTO TMs'!A:A,D8799)&gt;0,"Yes","No"),"")</f>
        <v/>
      </c>
      <c r="C8799" s="11"/>
      <c r="D8799" s="11"/>
      <c r="E8799" s="11"/>
      <c r="F8799" s="11"/>
      <c r="G8799" s="11"/>
      <c r="H8799" s="11"/>
      <c r="I8799" s="15"/>
    </row>
    <row r="8800" spans="1:9" ht="16.5">
      <c r="A8800" s="10" t="b">
        <v>0</v>
      </c>
      <c r="B8800" s="11" t="str">
        <f>IF(D8800&lt;&gt;"",IF(COUNTIF('USPTO TMs'!A:A,D8800)&gt;0,"Yes","No"),"")</f>
        <v/>
      </c>
      <c r="C8800" s="11"/>
      <c r="D8800" s="11"/>
      <c r="E8800" s="11"/>
      <c r="F8800" s="11"/>
      <c r="G8800" s="11"/>
      <c r="H8800" s="11"/>
      <c r="I8800" s="15"/>
    </row>
    <row r="8801" spans="1:9" ht="16.5">
      <c r="A8801" s="10" t="b">
        <v>0</v>
      </c>
      <c r="B8801" s="11" t="str">
        <f>IF(D8801&lt;&gt;"",IF(COUNTIF('USPTO TMs'!A:A,D8801)&gt;0,"Yes","No"),"")</f>
        <v/>
      </c>
      <c r="C8801" s="11"/>
      <c r="D8801" s="11"/>
      <c r="E8801" s="11"/>
      <c r="F8801" s="11"/>
      <c r="G8801" s="11"/>
      <c r="H8801" s="11"/>
      <c r="I8801" s="15"/>
    </row>
    <row r="8802" spans="1:9" ht="16.5">
      <c r="A8802" s="10" t="b">
        <v>0</v>
      </c>
      <c r="B8802" s="11" t="str">
        <f>IF(D8802&lt;&gt;"",IF(COUNTIF('USPTO TMs'!A:A,D8802)&gt;0,"Yes","No"),"")</f>
        <v/>
      </c>
      <c r="C8802" s="11"/>
      <c r="D8802" s="11"/>
      <c r="E8802" s="11"/>
      <c r="F8802" s="11"/>
      <c r="G8802" s="11"/>
      <c r="H8802" s="11"/>
      <c r="I8802" s="15"/>
    </row>
    <row r="8803" spans="1:9" ht="16.5">
      <c r="A8803" s="10" t="b">
        <v>0</v>
      </c>
      <c r="B8803" s="11" t="str">
        <f>IF(D8803&lt;&gt;"",IF(COUNTIF('USPTO TMs'!A:A,D8803)&gt;0,"Yes","No"),"")</f>
        <v/>
      </c>
      <c r="C8803" s="11"/>
      <c r="D8803" s="11"/>
      <c r="E8803" s="11"/>
      <c r="F8803" s="11"/>
      <c r="G8803" s="11"/>
      <c r="H8803" s="11"/>
      <c r="I8803" s="15"/>
    </row>
    <row r="8804" spans="1:9" ht="16.5">
      <c r="A8804" s="10" t="b">
        <v>0</v>
      </c>
      <c r="B8804" s="11" t="str">
        <f>IF(D8804&lt;&gt;"",IF(COUNTIF('USPTO TMs'!A:A,D8804)&gt;0,"Yes","No"),"")</f>
        <v/>
      </c>
      <c r="C8804" s="11"/>
      <c r="D8804" s="11"/>
      <c r="E8804" s="11"/>
      <c r="F8804" s="11"/>
      <c r="G8804" s="11"/>
      <c r="H8804" s="11"/>
      <c r="I8804" s="15"/>
    </row>
    <row r="8805" spans="1:9" ht="16.5">
      <c r="A8805" s="10" t="b">
        <v>0</v>
      </c>
      <c r="B8805" s="11" t="str">
        <f>IF(D8805&lt;&gt;"",IF(COUNTIF('USPTO TMs'!A:A,D8805)&gt;0,"Yes","No"),"")</f>
        <v/>
      </c>
      <c r="C8805" s="11"/>
      <c r="D8805" s="11"/>
      <c r="E8805" s="11"/>
      <c r="F8805" s="11"/>
      <c r="G8805" s="11"/>
      <c r="H8805" s="11"/>
      <c r="I8805" s="15"/>
    </row>
    <row r="8806" spans="1:9" ht="16.5">
      <c r="A8806" s="10" t="b">
        <v>0</v>
      </c>
      <c r="B8806" s="11" t="str">
        <f>IF(D8806&lt;&gt;"",IF(COUNTIF('USPTO TMs'!A:A,D8806)&gt;0,"Yes","No"),"")</f>
        <v/>
      </c>
      <c r="C8806" s="11"/>
      <c r="D8806" s="11"/>
      <c r="E8806" s="11"/>
      <c r="F8806" s="11"/>
      <c r="G8806" s="11"/>
      <c r="H8806" s="11"/>
      <c r="I8806" s="15"/>
    </row>
    <row r="8807" spans="1:9" ht="16.5">
      <c r="A8807" s="10" t="b">
        <v>0</v>
      </c>
      <c r="B8807" s="11" t="str">
        <f>IF(D8807&lt;&gt;"",IF(COUNTIF('USPTO TMs'!A:A,D8807)&gt;0,"Yes","No"),"")</f>
        <v/>
      </c>
      <c r="C8807" s="11"/>
      <c r="D8807" s="11"/>
      <c r="E8807" s="11"/>
      <c r="F8807" s="11"/>
      <c r="G8807" s="11"/>
      <c r="H8807" s="11"/>
      <c r="I8807" s="15"/>
    </row>
    <row r="8808" spans="1:9" ht="16.5">
      <c r="A8808" s="10" t="b">
        <v>0</v>
      </c>
      <c r="B8808" s="11" t="str">
        <f>IF(D8808&lt;&gt;"",IF(COUNTIF('USPTO TMs'!A:A,D8808)&gt;0,"Yes","No"),"")</f>
        <v/>
      </c>
      <c r="C8808" s="11"/>
      <c r="D8808" s="11"/>
      <c r="E8808" s="11"/>
      <c r="F8808" s="11"/>
      <c r="G8808" s="11"/>
      <c r="H8808" s="11"/>
      <c r="I8808" s="15"/>
    </row>
    <row r="8809" spans="1:9" ht="16.5">
      <c r="A8809" s="10" t="b">
        <v>0</v>
      </c>
      <c r="B8809" s="11" t="str">
        <f>IF(D8809&lt;&gt;"",IF(COUNTIF('USPTO TMs'!A:A,D8809)&gt;0,"Yes","No"),"")</f>
        <v/>
      </c>
      <c r="C8809" s="11"/>
      <c r="D8809" s="11"/>
      <c r="E8809" s="11"/>
      <c r="F8809" s="11"/>
      <c r="G8809" s="11"/>
      <c r="H8809" s="11"/>
      <c r="I8809" s="15"/>
    </row>
    <row r="8810" spans="1:9" ht="16.5">
      <c r="A8810" s="10" t="b">
        <v>0</v>
      </c>
      <c r="B8810" s="11" t="str">
        <f>IF(D8810&lt;&gt;"",IF(COUNTIF('USPTO TMs'!A:A,D8810)&gt;0,"Yes","No"),"")</f>
        <v/>
      </c>
      <c r="C8810" s="11"/>
      <c r="D8810" s="11"/>
      <c r="E8810" s="11"/>
      <c r="F8810" s="11"/>
      <c r="G8810" s="11"/>
      <c r="H8810" s="11"/>
      <c r="I8810" s="15"/>
    </row>
    <row r="8811" spans="1:9" ht="16.5">
      <c r="A8811" s="10" t="b">
        <v>0</v>
      </c>
      <c r="B8811" s="11" t="str">
        <f>IF(D8811&lt;&gt;"",IF(COUNTIF('USPTO TMs'!A:A,D8811)&gt;0,"Yes","No"),"")</f>
        <v/>
      </c>
      <c r="C8811" s="11"/>
      <c r="D8811" s="11"/>
      <c r="E8811" s="11"/>
      <c r="F8811" s="11"/>
      <c r="G8811" s="11"/>
      <c r="H8811" s="11"/>
      <c r="I8811" s="15"/>
    </row>
    <row r="8812" spans="1:9" ht="16.5">
      <c r="A8812" s="10" t="b">
        <v>0</v>
      </c>
      <c r="B8812" s="11" t="str">
        <f>IF(D8812&lt;&gt;"",IF(COUNTIF('USPTO TMs'!A:A,D8812)&gt;0,"Yes","No"),"")</f>
        <v/>
      </c>
      <c r="C8812" s="11"/>
      <c r="D8812" s="11"/>
      <c r="E8812" s="11"/>
      <c r="F8812" s="11"/>
      <c r="G8812" s="11"/>
      <c r="H8812" s="11"/>
      <c r="I8812" s="15"/>
    </row>
    <row r="8813" spans="1:9" ht="16.5">
      <c r="A8813" s="10" t="b">
        <v>0</v>
      </c>
      <c r="B8813" s="11" t="str">
        <f>IF(D8813&lt;&gt;"",IF(COUNTIF('USPTO TMs'!A:A,D8813)&gt;0,"Yes","No"),"")</f>
        <v/>
      </c>
      <c r="C8813" s="11"/>
      <c r="D8813" s="11"/>
      <c r="E8813" s="11"/>
      <c r="F8813" s="11"/>
      <c r="G8813" s="11"/>
      <c r="H8813" s="11"/>
      <c r="I8813" s="15"/>
    </row>
    <row r="8814" spans="1:9" ht="16.5">
      <c r="A8814" s="10" t="b">
        <v>0</v>
      </c>
      <c r="B8814" s="11" t="str">
        <f>IF(D8814&lt;&gt;"",IF(COUNTIF('USPTO TMs'!A:A,D8814)&gt;0,"Yes","No"),"")</f>
        <v/>
      </c>
      <c r="C8814" s="11"/>
      <c r="D8814" s="11"/>
      <c r="E8814" s="11"/>
      <c r="F8814" s="11"/>
      <c r="G8814" s="11"/>
      <c r="H8814" s="11"/>
      <c r="I8814" s="15"/>
    </row>
    <row r="8815" spans="1:9" ht="16.5">
      <c r="A8815" s="10" t="b">
        <v>0</v>
      </c>
      <c r="B8815" s="11" t="str">
        <f>IF(D8815&lt;&gt;"",IF(COUNTIF('USPTO TMs'!A:A,D8815)&gt;0,"Yes","No"),"")</f>
        <v/>
      </c>
      <c r="C8815" s="11"/>
      <c r="D8815" s="11"/>
      <c r="E8815" s="11"/>
      <c r="F8815" s="11"/>
      <c r="G8815" s="11"/>
      <c r="H8815" s="11"/>
      <c r="I8815" s="15"/>
    </row>
    <row r="8816" spans="1:9" ht="16.5">
      <c r="A8816" s="10" t="b">
        <v>0</v>
      </c>
      <c r="B8816" s="11" t="str">
        <f>IF(D8816&lt;&gt;"",IF(COUNTIF('USPTO TMs'!A:A,D8816)&gt;0,"Yes","No"),"")</f>
        <v/>
      </c>
      <c r="C8816" s="11"/>
      <c r="D8816" s="11"/>
      <c r="E8816" s="11"/>
      <c r="F8816" s="11"/>
      <c r="G8816" s="11"/>
      <c r="H8816" s="11"/>
      <c r="I8816" s="15"/>
    </row>
    <row r="8817" spans="1:9" ht="16.5">
      <c r="A8817" s="10" t="b">
        <v>0</v>
      </c>
      <c r="B8817" s="11" t="str">
        <f>IF(D8817&lt;&gt;"",IF(COUNTIF('USPTO TMs'!A:A,D8817)&gt;0,"Yes","No"),"")</f>
        <v/>
      </c>
      <c r="C8817" s="11"/>
      <c r="D8817" s="11"/>
      <c r="E8817" s="11"/>
      <c r="F8817" s="11"/>
      <c r="G8817" s="11"/>
      <c r="H8817" s="11"/>
      <c r="I8817" s="15"/>
    </row>
    <row r="8818" spans="1:9" ht="16.5">
      <c r="A8818" s="10" t="b">
        <v>0</v>
      </c>
      <c r="B8818" s="11" t="str">
        <f>IF(D8818&lt;&gt;"",IF(COUNTIF('USPTO TMs'!A:A,D8818)&gt;0,"Yes","No"),"")</f>
        <v/>
      </c>
      <c r="C8818" s="11"/>
      <c r="D8818" s="11"/>
      <c r="E8818" s="11"/>
      <c r="F8818" s="11"/>
      <c r="G8818" s="11"/>
      <c r="H8818" s="11"/>
      <c r="I8818" s="15"/>
    </row>
    <row r="8819" spans="1:9" ht="16.5">
      <c r="A8819" s="10" t="b">
        <v>0</v>
      </c>
      <c r="B8819" s="11" t="str">
        <f>IF(D8819&lt;&gt;"",IF(COUNTIF('USPTO TMs'!A:A,D8819)&gt;0,"Yes","No"),"")</f>
        <v/>
      </c>
      <c r="C8819" s="11"/>
      <c r="D8819" s="11"/>
      <c r="E8819" s="11"/>
      <c r="F8819" s="11"/>
      <c r="G8819" s="11"/>
      <c r="H8819" s="11"/>
      <c r="I8819" s="15"/>
    </row>
    <row r="8820" spans="1:9" ht="16.5">
      <c r="A8820" s="10" t="b">
        <v>0</v>
      </c>
      <c r="B8820" s="11" t="str">
        <f>IF(D8820&lt;&gt;"",IF(COUNTIF('USPTO TMs'!A:A,D8820)&gt;0,"Yes","No"),"")</f>
        <v/>
      </c>
      <c r="C8820" s="11"/>
      <c r="D8820" s="11"/>
      <c r="E8820" s="11"/>
      <c r="F8820" s="11"/>
      <c r="G8820" s="11"/>
      <c r="H8820" s="11"/>
      <c r="I8820" s="15"/>
    </row>
    <row r="8821" spans="1:9" ht="16.5">
      <c r="A8821" s="10" t="b">
        <v>0</v>
      </c>
      <c r="B8821" s="11" t="str">
        <f>IF(D8821&lt;&gt;"",IF(COUNTIF('USPTO TMs'!A:A,D8821)&gt;0,"Yes","No"),"")</f>
        <v/>
      </c>
      <c r="C8821" s="11"/>
      <c r="D8821" s="11"/>
      <c r="E8821" s="11"/>
      <c r="F8821" s="11"/>
      <c r="G8821" s="11"/>
      <c r="H8821" s="11"/>
      <c r="I8821" s="15"/>
    </row>
    <row r="8822" spans="1:9" ht="16.5">
      <c r="A8822" s="10" t="b">
        <v>0</v>
      </c>
      <c r="B8822" s="11" t="str">
        <f>IF(D8822&lt;&gt;"",IF(COUNTIF('USPTO TMs'!A:A,D8822)&gt;0,"Yes","No"),"")</f>
        <v/>
      </c>
      <c r="C8822" s="11"/>
      <c r="D8822" s="11"/>
      <c r="E8822" s="11"/>
      <c r="F8822" s="11"/>
      <c r="G8822" s="11"/>
      <c r="H8822" s="11"/>
      <c r="I8822" s="15"/>
    </row>
    <row r="8823" spans="1:9" ht="16.5">
      <c r="A8823" s="10" t="b">
        <v>0</v>
      </c>
      <c r="B8823" s="11" t="str">
        <f>IF(D8823&lt;&gt;"",IF(COUNTIF('USPTO TMs'!A:A,D8823)&gt;0,"Yes","No"),"")</f>
        <v/>
      </c>
      <c r="C8823" s="11"/>
      <c r="D8823" s="11"/>
      <c r="E8823" s="11"/>
      <c r="F8823" s="11"/>
      <c r="G8823" s="11"/>
      <c r="H8823" s="11"/>
      <c r="I8823" s="15"/>
    </row>
    <row r="8824" spans="1:9" ht="16.5">
      <c r="A8824" s="10" t="b">
        <v>0</v>
      </c>
      <c r="B8824" s="11" t="str">
        <f>IF(D8824&lt;&gt;"",IF(COUNTIF('USPTO TMs'!A:A,D8824)&gt;0,"Yes","No"),"")</f>
        <v/>
      </c>
      <c r="C8824" s="11"/>
      <c r="D8824" s="11"/>
      <c r="E8824" s="11"/>
      <c r="F8824" s="11"/>
      <c r="G8824" s="11"/>
      <c r="H8824" s="11"/>
      <c r="I8824" s="15"/>
    </row>
    <row r="8825" spans="1:9" ht="16.5">
      <c r="A8825" s="10" t="b">
        <v>0</v>
      </c>
      <c r="B8825" s="11" t="str">
        <f>IF(D8825&lt;&gt;"",IF(COUNTIF('USPTO TMs'!A:A,D8825)&gt;0,"Yes","No"),"")</f>
        <v/>
      </c>
      <c r="C8825" s="11"/>
      <c r="D8825" s="11"/>
      <c r="E8825" s="11"/>
      <c r="F8825" s="11"/>
      <c r="G8825" s="11"/>
      <c r="H8825" s="11"/>
      <c r="I8825" s="15"/>
    </row>
    <row r="8826" spans="1:9" ht="16.5">
      <c r="A8826" s="10" t="b">
        <v>0</v>
      </c>
      <c r="B8826" s="11" t="str">
        <f>IF(D8826&lt;&gt;"",IF(COUNTIF('USPTO TMs'!A:A,D8826)&gt;0,"Yes","No"),"")</f>
        <v/>
      </c>
      <c r="C8826" s="11"/>
      <c r="D8826" s="11"/>
      <c r="E8826" s="11"/>
      <c r="F8826" s="11"/>
      <c r="G8826" s="11"/>
      <c r="H8826" s="11"/>
      <c r="I8826" s="15"/>
    </row>
    <row r="8827" spans="1:9" ht="16.5">
      <c r="A8827" s="10" t="b">
        <v>0</v>
      </c>
      <c r="B8827" s="11" t="str">
        <f>IF(D8827&lt;&gt;"",IF(COUNTIF('USPTO TMs'!A:A,D8827)&gt;0,"Yes","No"),"")</f>
        <v/>
      </c>
      <c r="C8827" s="11"/>
      <c r="D8827" s="11"/>
      <c r="E8827" s="11"/>
      <c r="F8827" s="11"/>
      <c r="G8827" s="11"/>
      <c r="H8827" s="11"/>
      <c r="I8827" s="15"/>
    </row>
    <row r="8828" spans="1:9" ht="16.5">
      <c r="A8828" s="10" t="b">
        <v>0</v>
      </c>
      <c r="B8828" s="11" t="str">
        <f>IF(D8828&lt;&gt;"",IF(COUNTIF('USPTO TMs'!A:A,D8828)&gt;0,"Yes","No"),"")</f>
        <v/>
      </c>
      <c r="C8828" s="11"/>
      <c r="D8828" s="11"/>
      <c r="E8828" s="11"/>
      <c r="F8828" s="11"/>
      <c r="G8828" s="11"/>
      <c r="H8828" s="11"/>
      <c r="I8828" s="15"/>
    </row>
    <row r="8829" spans="1:9" ht="16.5">
      <c r="A8829" s="10" t="b">
        <v>0</v>
      </c>
      <c r="B8829" s="11" t="str">
        <f>IF(D8829&lt;&gt;"",IF(COUNTIF('USPTO TMs'!A:A,D8829)&gt;0,"Yes","No"),"")</f>
        <v/>
      </c>
      <c r="C8829" s="11"/>
      <c r="D8829" s="11"/>
      <c r="E8829" s="11"/>
      <c r="F8829" s="11"/>
      <c r="G8829" s="11"/>
      <c r="H8829" s="11"/>
      <c r="I8829" s="15"/>
    </row>
    <row r="8830" spans="1:9" ht="16.5">
      <c r="A8830" s="10" t="b">
        <v>0</v>
      </c>
      <c r="B8830" s="11" t="str">
        <f>IF(D8830&lt;&gt;"",IF(COUNTIF('USPTO TMs'!A:A,D8830)&gt;0,"Yes","No"),"")</f>
        <v/>
      </c>
      <c r="C8830" s="11"/>
      <c r="D8830" s="11"/>
      <c r="E8830" s="11"/>
      <c r="F8830" s="11"/>
      <c r="G8830" s="11"/>
      <c r="H8830" s="11"/>
      <c r="I8830" s="15"/>
    </row>
    <row r="8831" spans="1:9" ht="16.5">
      <c r="A8831" s="10" t="b">
        <v>0</v>
      </c>
      <c r="B8831" s="11" t="str">
        <f>IF(D8831&lt;&gt;"",IF(COUNTIF('USPTO TMs'!A:A,D8831)&gt;0,"Yes","No"),"")</f>
        <v/>
      </c>
      <c r="C8831" s="11"/>
      <c r="D8831" s="11"/>
      <c r="E8831" s="11"/>
      <c r="F8831" s="11"/>
      <c r="G8831" s="11"/>
      <c r="H8831" s="11"/>
      <c r="I8831" s="15"/>
    </row>
    <row r="8832" spans="1:9" ht="16.5">
      <c r="A8832" s="10" t="b">
        <v>0</v>
      </c>
      <c r="B8832" s="11" t="str">
        <f>IF(D8832&lt;&gt;"",IF(COUNTIF('USPTO TMs'!A:A,D8832)&gt;0,"Yes","No"),"")</f>
        <v/>
      </c>
      <c r="C8832" s="11"/>
      <c r="D8832" s="11"/>
      <c r="E8832" s="11"/>
      <c r="F8832" s="11"/>
      <c r="G8832" s="11"/>
      <c r="H8832" s="11"/>
      <c r="I8832" s="15"/>
    </row>
    <row r="8833" spans="1:9" ht="16.5">
      <c r="A8833" s="10" t="b">
        <v>0</v>
      </c>
      <c r="B8833" s="11" t="str">
        <f>IF(D8833&lt;&gt;"",IF(COUNTIF('USPTO TMs'!A:A,D8833)&gt;0,"Yes","No"),"")</f>
        <v/>
      </c>
      <c r="C8833" s="11"/>
      <c r="D8833" s="11"/>
      <c r="E8833" s="11"/>
      <c r="F8833" s="11"/>
      <c r="G8833" s="11"/>
      <c r="H8833" s="11"/>
      <c r="I8833" s="15"/>
    </row>
    <row r="8834" spans="1:9" ht="16.5">
      <c r="A8834" s="10" t="b">
        <v>0</v>
      </c>
      <c r="B8834" s="11" t="str">
        <f>IF(D8834&lt;&gt;"",IF(COUNTIF('USPTO TMs'!A:A,D8834)&gt;0,"Yes","No"),"")</f>
        <v/>
      </c>
      <c r="C8834" s="11"/>
      <c r="D8834" s="11"/>
      <c r="E8834" s="11"/>
      <c r="F8834" s="11"/>
      <c r="G8834" s="11"/>
      <c r="H8834" s="11"/>
      <c r="I8834" s="15"/>
    </row>
    <row r="8835" spans="1:9" ht="16.5">
      <c r="A8835" s="10" t="b">
        <v>0</v>
      </c>
      <c r="B8835" s="11" t="str">
        <f>IF(D8835&lt;&gt;"",IF(COUNTIF('USPTO TMs'!A:A,D8835)&gt;0,"Yes","No"),"")</f>
        <v/>
      </c>
      <c r="C8835" s="11"/>
      <c r="D8835" s="11"/>
      <c r="E8835" s="11"/>
      <c r="F8835" s="11"/>
      <c r="G8835" s="11"/>
      <c r="H8835" s="11"/>
      <c r="I8835" s="15"/>
    </row>
    <row r="8836" spans="1:9" ht="16.5">
      <c r="A8836" s="10" t="b">
        <v>0</v>
      </c>
      <c r="B8836" s="11" t="str">
        <f>IF(D8836&lt;&gt;"",IF(COUNTIF('USPTO TMs'!A:A,D8836)&gt;0,"Yes","No"),"")</f>
        <v/>
      </c>
      <c r="C8836" s="11"/>
      <c r="D8836" s="11"/>
      <c r="E8836" s="11"/>
      <c r="F8836" s="11"/>
      <c r="G8836" s="11"/>
      <c r="H8836" s="11"/>
      <c r="I8836" s="15"/>
    </row>
    <row r="8837" spans="1:9" ht="16.5">
      <c r="A8837" s="10" t="b">
        <v>0</v>
      </c>
      <c r="B8837" s="11" t="str">
        <f>IF(D8837&lt;&gt;"",IF(COUNTIF('USPTO TMs'!A:A,D8837)&gt;0,"Yes","No"),"")</f>
        <v/>
      </c>
      <c r="C8837" s="11"/>
      <c r="D8837" s="11"/>
      <c r="E8837" s="11"/>
      <c r="F8837" s="11"/>
      <c r="G8837" s="11"/>
      <c r="H8837" s="11"/>
      <c r="I8837" s="15"/>
    </row>
    <row r="8838" spans="1:9" ht="16.5">
      <c r="A8838" s="10" t="b">
        <v>0</v>
      </c>
      <c r="B8838" s="11" t="str">
        <f>IF(D8838&lt;&gt;"",IF(COUNTIF('USPTO TMs'!A:A,D8838)&gt;0,"Yes","No"),"")</f>
        <v/>
      </c>
      <c r="C8838" s="11"/>
      <c r="D8838" s="11"/>
      <c r="E8838" s="11"/>
      <c r="F8838" s="11"/>
      <c r="G8838" s="11"/>
      <c r="H8838" s="11"/>
      <c r="I8838" s="15"/>
    </row>
    <row r="8839" spans="1:9" ht="16.5">
      <c r="A8839" s="10" t="b">
        <v>0</v>
      </c>
      <c r="B8839" s="11" t="str">
        <f>IF(D8839&lt;&gt;"",IF(COUNTIF('USPTO TMs'!A:A,D8839)&gt;0,"Yes","No"),"")</f>
        <v/>
      </c>
      <c r="C8839" s="11"/>
      <c r="D8839" s="11"/>
      <c r="E8839" s="11"/>
      <c r="F8839" s="11"/>
      <c r="G8839" s="11"/>
      <c r="H8839" s="11"/>
      <c r="I8839" s="15"/>
    </row>
    <row r="8840" spans="1:9" ht="16.5">
      <c r="A8840" s="10" t="b">
        <v>0</v>
      </c>
      <c r="B8840" s="11" t="str">
        <f>IF(D8840&lt;&gt;"",IF(COUNTIF('USPTO TMs'!A:A,D8840)&gt;0,"Yes","No"),"")</f>
        <v/>
      </c>
      <c r="C8840" s="11"/>
      <c r="D8840" s="11"/>
      <c r="E8840" s="11"/>
      <c r="F8840" s="11"/>
      <c r="G8840" s="11"/>
      <c r="H8840" s="11"/>
      <c r="I8840" s="15"/>
    </row>
    <row r="8841" spans="1:9" ht="16.5">
      <c r="A8841" s="10" t="b">
        <v>0</v>
      </c>
      <c r="B8841" s="11" t="str">
        <f>IF(D8841&lt;&gt;"",IF(COUNTIF('USPTO TMs'!A:A,D8841)&gt;0,"Yes","No"),"")</f>
        <v/>
      </c>
      <c r="C8841" s="11"/>
      <c r="D8841" s="11"/>
      <c r="E8841" s="11"/>
      <c r="F8841" s="11"/>
      <c r="G8841" s="11"/>
      <c r="H8841" s="11"/>
      <c r="I8841" s="15"/>
    </row>
    <row r="8842" spans="1:9" ht="16.5">
      <c r="A8842" s="10" t="b">
        <v>0</v>
      </c>
      <c r="B8842" s="11" t="str">
        <f>IF(D8842&lt;&gt;"",IF(COUNTIF('USPTO TMs'!A:A,D8842)&gt;0,"Yes","No"),"")</f>
        <v/>
      </c>
      <c r="C8842" s="11"/>
      <c r="D8842" s="11"/>
      <c r="E8842" s="11"/>
      <c r="F8842" s="11"/>
      <c r="G8842" s="11"/>
      <c r="H8842" s="11"/>
      <c r="I8842" s="15"/>
    </row>
    <row r="8843" spans="1:9" ht="16.5">
      <c r="A8843" s="10" t="b">
        <v>0</v>
      </c>
      <c r="B8843" s="11" t="str">
        <f>IF(D8843&lt;&gt;"",IF(COUNTIF('USPTO TMs'!A:A,D8843)&gt;0,"Yes","No"),"")</f>
        <v/>
      </c>
      <c r="C8843" s="11"/>
      <c r="D8843" s="11"/>
      <c r="E8843" s="11"/>
      <c r="F8843" s="11"/>
      <c r="G8843" s="11"/>
      <c r="H8843" s="11"/>
      <c r="I8843" s="15"/>
    </row>
    <row r="8844" spans="1:9" ht="16.5">
      <c r="A8844" s="10" t="b">
        <v>0</v>
      </c>
      <c r="B8844" s="11" t="str">
        <f>IF(D8844&lt;&gt;"",IF(COUNTIF('USPTO TMs'!A:A,D8844)&gt;0,"Yes","No"),"")</f>
        <v/>
      </c>
      <c r="C8844" s="11"/>
      <c r="D8844" s="11"/>
      <c r="E8844" s="11"/>
      <c r="F8844" s="11"/>
      <c r="G8844" s="11"/>
      <c r="H8844" s="11"/>
      <c r="I8844" s="15"/>
    </row>
    <row r="8845" spans="1:9" ht="16.5">
      <c r="A8845" s="10" t="b">
        <v>0</v>
      </c>
      <c r="B8845" s="11" t="str">
        <f>IF(D8845&lt;&gt;"",IF(COUNTIF('USPTO TMs'!A:A,D8845)&gt;0,"Yes","No"),"")</f>
        <v/>
      </c>
      <c r="C8845" s="11"/>
      <c r="D8845" s="11"/>
      <c r="E8845" s="11"/>
      <c r="F8845" s="11"/>
      <c r="G8845" s="11"/>
      <c r="H8845" s="11"/>
      <c r="I8845" s="15"/>
    </row>
    <row r="8846" spans="1:9" ht="16.5">
      <c r="A8846" s="10" t="b">
        <v>0</v>
      </c>
      <c r="B8846" s="11" t="str">
        <f>IF(D8846&lt;&gt;"",IF(COUNTIF('USPTO TMs'!A:A,D8846)&gt;0,"Yes","No"),"")</f>
        <v/>
      </c>
      <c r="C8846" s="11"/>
      <c r="D8846" s="11"/>
      <c r="E8846" s="11"/>
      <c r="F8846" s="11"/>
      <c r="G8846" s="11"/>
      <c r="H8846" s="11"/>
      <c r="I8846" s="15"/>
    </row>
    <row r="8847" spans="1:9" ht="16.5">
      <c r="A8847" s="10" t="b">
        <v>0</v>
      </c>
      <c r="B8847" s="11" t="str">
        <f>IF(D8847&lt;&gt;"",IF(COUNTIF('USPTO TMs'!A:A,D8847)&gt;0,"Yes","No"),"")</f>
        <v/>
      </c>
      <c r="C8847" s="11"/>
      <c r="D8847" s="11"/>
      <c r="E8847" s="11"/>
      <c r="F8847" s="11"/>
      <c r="G8847" s="11"/>
      <c r="H8847" s="11"/>
      <c r="I8847" s="15"/>
    </row>
    <row r="8848" spans="1:9" ht="16.5">
      <c r="A8848" s="10" t="b">
        <v>0</v>
      </c>
      <c r="B8848" s="11" t="str">
        <f>IF(D8848&lt;&gt;"",IF(COUNTIF('USPTO TMs'!A:A,D8848)&gt;0,"Yes","No"),"")</f>
        <v/>
      </c>
      <c r="C8848" s="11"/>
      <c r="D8848" s="11"/>
      <c r="E8848" s="11"/>
      <c r="F8848" s="11"/>
      <c r="G8848" s="11"/>
      <c r="H8848" s="11"/>
      <c r="I8848" s="15"/>
    </row>
    <row r="8849" spans="1:9" ht="16.5">
      <c r="A8849" s="10" t="b">
        <v>0</v>
      </c>
      <c r="B8849" s="11" t="str">
        <f>IF(D8849&lt;&gt;"",IF(COUNTIF('USPTO TMs'!A:A,D8849)&gt;0,"Yes","No"),"")</f>
        <v/>
      </c>
      <c r="C8849" s="11"/>
      <c r="D8849" s="11"/>
      <c r="E8849" s="11"/>
      <c r="F8849" s="11"/>
      <c r="G8849" s="11"/>
      <c r="H8849" s="11"/>
      <c r="I8849" s="15"/>
    </row>
    <row r="8850" spans="1:9" ht="16.5">
      <c r="A8850" s="10" t="b">
        <v>0</v>
      </c>
      <c r="B8850" s="11" t="str">
        <f>IF(D8850&lt;&gt;"",IF(COUNTIF('USPTO TMs'!A:A,D8850)&gt;0,"Yes","No"),"")</f>
        <v/>
      </c>
      <c r="C8850" s="11"/>
      <c r="D8850" s="11"/>
      <c r="E8850" s="11"/>
      <c r="F8850" s="11"/>
      <c r="G8850" s="11"/>
      <c r="H8850" s="11"/>
      <c r="I8850" s="15"/>
    </row>
    <row r="8851" spans="1:9" ht="16.5">
      <c r="A8851" s="10" t="b">
        <v>0</v>
      </c>
      <c r="B8851" s="11" t="str">
        <f>IF(D8851&lt;&gt;"",IF(COUNTIF('USPTO TMs'!A:A,D8851)&gt;0,"Yes","No"),"")</f>
        <v/>
      </c>
      <c r="C8851" s="11"/>
      <c r="D8851" s="11"/>
      <c r="E8851" s="11"/>
      <c r="F8851" s="11"/>
      <c r="G8851" s="11"/>
      <c r="H8851" s="11"/>
      <c r="I8851" s="15"/>
    </row>
    <row r="8852" spans="1:9" ht="16.5">
      <c r="A8852" s="10" t="b">
        <v>0</v>
      </c>
      <c r="B8852" s="11" t="str">
        <f>IF(D8852&lt;&gt;"",IF(COUNTIF('USPTO TMs'!A:A,D8852)&gt;0,"Yes","No"),"")</f>
        <v/>
      </c>
      <c r="C8852" s="11"/>
      <c r="D8852" s="11"/>
      <c r="E8852" s="11"/>
      <c r="F8852" s="11"/>
      <c r="G8852" s="11"/>
      <c r="H8852" s="11"/>
      <c r="I8852" s="15"/>
    </row>
    <row r="8853" spans="1:9" ht="16.5">
      <c r="A8853" s="10" t="b">
        <v>0</v>
      </c>
      <c r="B8853" s="11" t="str">
        <f>IF(D8853&lt;&gt;"",IF(COUNTIF('USPTO TMs'!A:A,D8853)&gt;0,"Yes","No"),"")</f>
        <v/>
      </c>
      <c r="C8853" s="11"/>
      <c r="D8853" s="11"/>
      <c r="E8853" s="11"/>
      <c r="F8853" s="11"/>
      <c r="G8853" s="11"/>
      <c r="H8853" s="11"/>
      <c r="I8853" s="15"/>
    </row>
    <row r="8854" spans="1:9" ht="16.5">
      <c r="A8854" s="10" t="b">
        <v>0</v>
      </c>
      <c r="B8854" s="11" t="str">
        <f>IF(D8854&lt;&gt;"",IF(COUNTIF('USPTO TMs'!A:A,D8854)&gt;0,"Yes","No"),"")</f>
        <v/>
      </c>
      <c r="C8854" s="11"/>
      <c r="D8854" s="11"/>
      <c r="E8854" s="11"/>
      <c r="F8854" s="11"/>
      <c r="G8854" s="11"/>
      <c r="H8854" s="11"/>
      <c r="I8854" s="15"/>
    </row>
    <row r="8855" spans="1:9" ht="16.5">
      <c r="A8855" s="10" t="b">
        <v>0</v>
      </c>
      <c r="B8855" s="11" t="str">
        <f>IF(D8855&lt;&gt;"",IF(COUNTIF('USPTO TMs'!A:A,D8855)&gt;0,"Yes","No"),"")</f>
        <v/>
      </c>
      <c r="C8855" s="11"/>
      <c r="D8855" s="11"/>
      <c r="E8855" s="11"/>
      <c r="F8855" s="11"/>
      <c r="G8855" s="11"/>
      <c r="H8855" s="11"/>
      <c r="I8855" s="15"/>
    </row>
    <row r="8856" spans="1:9" ht="16.5">
      <c r="A8856" s="10" t="b">
        <v>0</v>
      </c>
      <c r="B8856" s="11" t="str">
        <f>IF(D8856&lt;&gt;"",IF(COUNTIF('USPTO TMs'!A:A,D8856)&gt;0,"Yes","No"),"")</f>
        <v/>
      </c>
      <c r="C8856" s="11"/>
      <c r="D8856" s="11"/>
      <c r="E8856" s="11"/>
      <c r="F8856" s="11"/>
      <c r="G8856" s="11"/>
      <c r="H8856" s="11"/>
      <c r="I8856" s="15"/>
    </row>
    <row r="8857" spans="1:9" ht="16.5">
      <c r="A8857" s="10" t="b">
        <v>0</v>
      </c>
      <c r="B8857" s="11" t="str">
        <f>IF(D8857&lt;&gt;"",IF(COUNTIF('USPTO TMs'!A:A,D8857)&gt;0,"Yes","No"),"")</f>
        <v/>
      </c>
      <c r="C8857" s="11"/>
      <c r="D8857" s="11"/>
      <c r="E8857" s="11"/>
      <c r="F8857" s="11"/>
      <c r="G8857" s="11"/>
      <c r="H8857" s="11"/>
      <c r="I8857" s="15"/>
    </row>
    <row r="8858" spans="1:9" ht="16.5">
      <c r="A8858" s="10" t="b">
        <v>0</v>
      </c>
      <c r="B8858" s="11" t="str">
        <f>IF(D8858&lt;&gt;"",IF(COUNTIF('USPTO TMs'!A:A,D8858)&gt;0,"Yes","No"),"")</f>
        <v/>
      </c>
      <c r="C8858" s="11"/>
      <c r="D8858" s="11"/>
      <c r="E8858" s="11"/>
      <c r="F8858" s="11"/>
      <c r="G8858" s="11"/>
      <c r="H8858" s="11"/>
      <c r="I8858" s="15"/>
    </row>
    <row r="8859" spans="1:9" ht="16.5">
      <c r="A8859" s="10" t="b">
        <v>0</v>
      </c>
      <c r="B8859" s="11" t="str">
        <f>IF(D8859&lt;&gt;"",IF(COUNTIF('USPTO TMs'!A:A,D8859)&gt;0,"Yes","No"),"")</f>
        <v/>
      </c>
      <c r="C8859" s="11"/>
      <c r="D8859" s="11"/>
      <c r="E8859" s="11"/>
      <c r="F8859" s="11"/>
      <c r="G8859" s="11"/>
      <c r="H8859" s="11"/>
      <c r="I8859" s="15"/>
    </row>
    <row r="8860" spans="1:9" ht="16.5">
      <c r="A8860" s="10" t="b">
        <v>0</v>
      </c>
      <c r="B8860" s="11" t="str">
        <f>IF(D8860&lt;&gt;"",IF(COUNTIF('USPTO TMs'!A:A,D8860)&gt;0,"Yes","No"),"")</f>
        <v/>
      </c>
      <c r="C8860" s="11"/>
      <c r="D8860" s="11"/>
      <c r="E8860" s="11"/>
      <c r="F8860" s="11"/>
      <c r="G8860" s="11"/>
      <c r="H8860" s="11"/>
      <c r="I8860" s="15"/>
    </row>
    <row r="8861" spans="1:9" ht="16.5">
      <c r="A8861" s="10" t="b">
        <v>0</v>
      </c>
      <c r="B8861" s="11" t="str">
        <f>IF(D8861&lt;&gt;"",IF(COUNTIF('USPTO TMs'!A:A,D8861)&gt;0,"Yes","No"),"")</f>
        <v/>
      </c>
      <c r="C8861" s="11"/>
      <c r="D8861" s="11"/>
      <c r="E8861" s="11"/>
      <c r="F8861" s="11"/>
      <c r="G8861" s="11"/>
      <c r="H8861" s="11"/>
      <c r="I8861" s="15"/>
    </row>
    <row r="8862" spans="1:9" ht="16.5">
      <c r="A8862" s="10" t="b">
        <v>0</v>
      </c>
      <c r="B8862" s="11" t="str">
        <f>IF(D8862&lt;&gt;"",IF(COUNTIF('USPTO TMs'!A:A,D8862)&gt;0,"Yes","No"),"")</f>
        <v/>
      </c>
      <c r="C8862" s="11"/>
      <c r="D8862" s="11"/>
      <c r="E8862" s="11"/>
      <c r="F8862" s="11"/>
      <c r="G8862" s="11"/>
      <c r="H8862" s="11"/>
      <c r="I8862" s="15"/>
    </row>
    <row r="8863" spans="1:9" ht="16.5">
      <c r="A8863" s="10" t="b">
        <v>0</v>
      </c>
      <c r="B8863" s="11" t="str">
        <f>IF(D8863&lt;&gt;"",IF(COUNTIF('USPTO TMs'!A:A,D8863)&gt;0,"Yes","No"),"")</f>
        <v/>
      </c>
      <c r="C8863" s="11"/>
      <c r="D8863" s="11"/>
      <c r="E8863" s="11"/>
      <c r="F8863" s="11"/>
      <c r="G8863" s="11"/>
      <c r="H8863" s="11"/>
      <c r="I8863" s="15"/>
    </row>
    <row r="8864" spans="1:9" ht="16.5">
      <c r="A8864" s="10" t="b">
        <v>0</v>
      </c>
      <c r="B8864" s="11" t="str">
        <f>IF(D8864&lt;&gt;"",IF(COUNTIF('USPTO TMs'!A:A,D8864)&gt;0,"Yes","No"),"")</f>
        <v/>
      </c>
      <c r="C8864" s="11"/>
      <c r="D8864" s="11"/>
      <c r="E8864" s="11"/>
      <c r="F8864" s="11"/>
      <c r="G8864" s="11"/>
      <c r="H8864" s="11"/>
      <c r="I8864" s="15"/>
    </row>
    <row r="8865" spans="1:9" ht="16.5">
      <c r="A8865" s="10" t="b">
        <v>0</v>
      </c>
      <c r="B8865" s="11" t="str">
        <f>IF(D8865&lt;&gt;"",IF(COUNTIF('USPTO TMs'!A:A,D8865)&gt;0,"Yes","No"),"")</f>
        <v/>
      </c>
      <c r="C8865" s="11"/>
      <c r="D8865" s="11"/>
      <c r="E8865" s="11"/>
      <c r="F8865" s="11"/>
      <c r="G8865" s="11"/>
      <c r="H8865" s="11"/>
      <c r="I8865" s="15"/>
    </row>
    <row r="8866" spans="1:9" ht="16.5">
      <c r="A8866" s="10" t="b">
        <v>0</v>
      </c>
      <c r="B8866" s="11" t="str">
        <f>IF(D8866&lt;&gt;"",IF(COUNTIF('USPTO TMs'!A:A,D8866)&gt;0,"Yes","No"),"")</f>
        <v/>
      </c>
      <c r="C8866" s="11"/>
      <c r="D8866" s="11"/>
      <c r="E8866" s="11"/>
      <c r="F8866" s="11"/>
      <c r="G8866" s="11"/>
      <c r="H8866" s="11"/>
      <c r="I8866" s="15"/>
    </row>
    <row r="8867" spans="1:9" ht="16.5">
      <c r="A8867" s="10" t="b">
        <v>0</v>
      </c>
      <c r="B8867" s="11" t="str">
        <f>IF(D8867&lt;&gt;"",IF(COUNTIF('USPTO TMs'!A:A,D8867)&gt;0,"Yes","No"),"")</f>
        <v/>
      </c>
      <c r="C8867" s="11"/>
      <c r="D8867" s="11"/>
      <c r="E8867" s="11"/>
      <c r="F8867" s="11"/>
      <c r="G8867" s="11"/>
      <c r="H8867" s="11"/>
      <c r="I8867" s="15"/>
    </row>
    <row r="8868" spans="1:9" ht="16.5">
      <c r="A8868" s="10" t="b">
        <v>0</v>
      </c>
      <c r="B8868" s="11" t="str">
        <f>IF(D8868&lt;&gt;"",IF(COUNTIF('USPTO TMs'!A:A,D8868)&gt;0,"Yes","No"),"")</f>
        <v/>
      </c>
      <c r="C8868" s="11"/>
      <c r="D8868" s="11"/>
      <c r="E8868" s="11"/>
      <c r="F8868" s="11"/>
      <c r="G8868" s="11"/>
      <c r="H8868" s="11"/>
      <c r="I8868" s="15"/>
    </row>
    <row r="8869" spans="1:9" ht="16.5">
      <c r="A8869" s="10" t="b">
        <v>0</v>
      </c>
      <c r="B8869" s="11" t="str">
        <f>IF(D8869&lt;&gt;"",IF(COUNTIF('USPTO TMs'!A:A,D8869)&gt;0,"Yes","No"),"")</f>
        <v/>
      </c>
      <c r="C8869" s="11"/>
      <c r="D8869" s="11"/>
      <c r="E8869" s="11"/>
      <c r="F8869" s="11"/>
      <c r="G8869" s="11"/>
      <c r="H8869" s="11"/>
      <c r="I8869" s="15"/>
    </row>
    <row r="8870" spans="1:9" ht="16.5">
      <c r="A8870" s="10" t="b">
        <v>0</v>
      </c>
      <c r="B8870" s="11" t="str">
        <f>IF(D8870&lt;&gt;"",IF(COUNTIF('USPTO TMs'!A:A,D8870)&gt;0,"Yes","No"),"")</f>
        <v/>
      </c>
      <c r="C8870" s="11"/>
      <c r="D8870" s="11"/>
      <c r="E8870" s="11"/>
      <c r="F8870" s="11"/>
      <c r="G8870" s="11"/>
      <c r="H8870" s="11"/>
      <c r="I8870" s="15"/>
    </row>
    <row r="8871" spans="1:9" ht="16.5">
      <c r="A8871" s="10" t="b">
        <v>0</v>
      </c>
      <c r="B8871" s="11" t="str">
        <f>IF(D8871&lt;&gt;"",IF(COUNTIF('USPTO TMs'!A:A,D8871)&gt;0,"Yes","No"),"")</f>
        <v/>
      </c>
      <c r="C8871" s="11"/>
      <c r="D8871" s="11"/>
      <c r="E8871" s="11"/>
      <c r="F8871" s="11"/>
      <c r="G8871" s="11"/>
      <c r="H8871" s="11"/>
      <c r="I8871" s="15"/>
    </row>
    <row r="8872" spans="1:9" ht="16.5">
      <c r="A8872" s="10" t="b">
        <v>0</v>
      </c>
      <c r="B8872" s="11" t="str">
        <f>IF(D8872&lt;&gt;"",IF(COUNTIF('USPTO TMs'!A:A,D8872)&gt;0,"Yes","No"),"")</f>
        <v/>
      </c>
      <c r="C8872" s="11"/>
      <c r="D8872" s="11"/>
      <c r="E8872" s="11"/>
      <c r="F8872" s="11"/>
      <c r="G8872" s="11"/>
      <c r="H8872" s="11"/>
      <c r="I8872" s="15"/>
    </row>
    <row r="8873" spans="1:9" ht="16.5">
      <c r="A8873" s="10" t="b">
        <v>0</v>
      </c>
      <c r="B8873" s="11" t="str">
        <f>IF(D8873&lt;&gt;"",IF(COUNTIF('USPTO TMs'!A:A,D8873)&gt;0,"Yes","No"),"")</f>
        <v/>
      </c>
      <c r="C8873" s="11"/>
      <c r="D8873" s="11"/>
      <c r="E8873" s="11"/>
      <c r="F8873" s="11"/>
      <c r="G8873" s="11"/>
      <c r="H8873" s="11"/>
      <c r="I8873" s="15"/>
    </row>
    <row r="8874" spans="1:9" ht="16.5">
      <c r="A8874" s="10" t="b">
        <v>0</v>
      </c>
      <c r="B8874" s="11" t="str">
        <f>IF(D8874&lt;&gt;"",IF(COUNTIF('USPTO TMs'!A:A,D8874)&gt;0,"Yes","No"),"")</f>
        <v/>
      </c>
      <c r="C8874" s="11"/>
      <c r="D8874" s="11"/>
      <c r="E8874" s="11"/>
      <c r="F8874" s="11"/>
      <c r="G8874" s="11"/>
      <c r="H8874" s="11"/>
      <c r="I8874" s="15"/>
    </row>
    <row r="8875" spans="1:9" ht="16.5">
      <c r="A8875" s="10" t="b">
        <v>0</v>
      </c>
      <c r="B8875" s="11" t="str">
        <f>IF(D8875&lt;&gt;"",IF(COUNTIF('USPTO TMs'!A:A,D8875)&gt;0,"Yes","No"),"")</f>
        <v/>
      </c>
      <c r="C8875" s="11"/>
      <c r="D8875" s="11"/>
      <c r="E8875" s="11"/>
      <c r="F8875" s="11"/>
      <c r="G8875" s="11"/>
      <c r="H8875" s="11"/>
      <c r="I8875" s="15"/>
    </row>
    <row r="8876" spans="1:9" ht="16.5">
      <c r="A8876" s="10" t="b">
        <v>0</v>
      </c>
      <c r="B8876" s="11" t="str">
        <f>IF(D8876&lt;&gt;"",IF(COUNTIF('USPTO TMs'!A:A,D8876)&gt;0,"Yes","No"),"")</f>
        <v/>
      </c>
      <c r="C8876" s="11"/>
      <c r="D8876" s="11"/>
      <c r="E8876" s="11"/>
      <c r="F8876" s="11"/>
      <c r="G8876" s="11"/>
      <c r="H8876" s="11"/>
      <c r="I8876" s="15"/>
    </row>
    <row r="8877" spans="1:9" ht="16.5">
      <c r="A8877" s="10" t="b">
        <v>0</v>
      </c>
      <c r="B8877" s="11" t="str">
        <f>IF(D8877&lt;&gt;"",IF(COUNTIF('USPTO TMs'!A:A,D8877)&gt;0,"Yes","No"),"")</f>
        <v/>
      </c>
      <c r="C8877" s="11"/>
      <c r="D8877" s="11"/>
      <c r="E8877" s="11"/>
      <c r="F8877" s="11"/>
      <c r="G8877" s="11"/>
      <c r="H8877" s="11"/>
      <c r="I8877" s="15"/>
    </row>
    <row r="8878" spans="1:9" ht="16.5">
      <c r="A8878" s="10" t="b">
        <v>0</v>
      </c>
      <c r="B8878" s="11" t="str">
        <f>IF(D8878&lt;&gt;"",IF(COUNTIF('USPTO TMs'!A:A,D8878)&gt;0,"Yes","No"),"")</f>
        <v/>
      </c>
      <c r="C8878" s="11"/>
      <c r="D8878" s="11"/>
      <c r="E8878" s="11"/>
      <c r="F8878" s="11"/>
      <c r="G8878" s="11"/>
      <c r="H8878" s="11"/>
      <c r="I8878" s="15"/>
    </row>
    <row r="8879" spans="1:9" ht="16.5">
      <c r="A8879" s="10" t="b">
        <v>0</v>
      </c>
      <c r="B8879" s="11" t="str">
        <f>IF(D8879&lt;&gt;"",IF(COUNTIF('USPTO TMs'!A:A,D8879)&gt;0,"Yes","No"),"")</f>
        <v/>
      </c>
      <c r="C8879" s="11"/>
      <c r="D8879" s="11"/>
      <c r="E8879" s="11"/>
      <c r="F8879" s="11"/>
      <c r="G8879" s="11"/>
      <c r="H8879" s="11"/>
      <c r="I8879" s="15"/>
    </row>
    <row r="8880" spans="1:9" ht="16.5">
      <c r="A8880" s="10" t="b">
        <v>0</v>
      </c>
      <c r="B8880" s="11" t="str">
        <f>IF(D8880&lt;&gt;"",IF(COUNTIF('USPTO TMs'!A:A,D8880)&gt;0,"Yes","No"),"")</f>
        <v/>
      </c>
      <c r="C8880" s="11"/>
      <c r="D8880" s="11"/>
      <c r="E8880" s="11"/>
      <c r="F8880" s="11"/>
      <c r="G8880" s="11"/>
      <c r="H8880" s="11"/>
      <c r="I8880" s="15"/>
    </row>
    <row r="8881" spans="1:9" ht="16.5">
      <c r="A8881" s="10" t="b">
        <v>0</v>
      </c>
      <c r="B8881" s="11" t="str">
        <f>IF(D8881&lt;&gt;"",IF(COUNTIF('USPTO TMs'!A:A,D8881)&gt;0,"Yes","No"),"")</f>
        <v/>
      </c>
      <c r="C8881" s="11"/>
      <c r="D8881" s="11"/>
      <c r="E8881" s="11"/>
      <c r="F8881" s="11"/>
      <c r="G8881" s="11"/>
      <c r="H8881" s="11"/>
      <c r="I8881" s="15"/>
    </row>
    <row r="8882" spans="1:9" ht="16.5">
      <c r="A8882" s="10" t="b">
        <v>0</v>
      </c>
      <c r="B8882" s="11" t="str">
        <f>IF(D8882&lt;&gt;"",IF(COUNTIF('USPTO TMs'!A:A,D8882)&gt;0,"Yes","No"),"")</f>
        <v/>
      </c>
      <c r="C8882" s="11"/>
      <c r="D8882" s="11"/>
      <c r="E8882" s="11"/>
      <c r="F8882" s="11"/>
      <c r="G8882" s="11"/>
      <c r="H8882" s="11"/>
      <c r="I8882" s="15"/>
    </row>
    <row r="8883" spans="1:9" ht="16.5">
      <c r="A8883" s="10" t="b">
        <v>0</v>
      </c>
      <c r="B8883" s="11" t="str">
        <f>IF(D8883&lt;&gt;"",IF(COUNTIF('USPTO TMs'!A:A,D8883)&gt;0,"Yes","No"),"")</f>
        <v/>
      </c>
      <c r="C8883" s="11"/>
      <c r="D8883" s="11"/>
      <c r="E8883" s="11"/>
      <c r="F8883" s="11"/>
      <c r="G8883" s="11"/>
      <c r="H8883" s="11"/>
      <c r="I8883" s="15"/>
    </row>
    <row r="8884" spans="1:9" ht="16.5">
      <c r="A8884" s="10" t="b">
        <v>0</v>
      </c>
      <c r="B8884" s="11" t="str">
        <f>IF(D8884&lt;&gt;"",IF(COUNTIF('USPTO TMs'!A:A,D8884)&gt;0,"Yes","No"),"")</f>
        <v/>
      </c>
      <c r="C8884" s="11"/>
      <c r="D8884" s="11"/>
      <c r="E8884" s="11"/>
      <c r="F8884" s="11"/>
      <c r="G8884" s="11"/>
      <c r="H8884" s="11"/>
      <c r="I8884" s="15"/>
    </row>
    <row r="8885" spans="1:9" ht="16.5">
      <c r="A8885" s="10" t="b">
        <v>0</v>
      </c>
      <c r="B8885" s="11" t="str">
        <f>IF(D8885&lt;&gt;"",IF(COUNTIF('USPTO TMs'!A:A,D8885)&gt;0,"Yes","No"),"")</f>
        <v/>
      </c>
      <c r="C8885" s="11"/>
      <c r="D8885" s="11"/>
      <c r="E8885" s="11"/>
      <c r="F8885" s="11"/>
      <c r="G8885" s="11"/>
      <c r="H8885" s="11"/>
      <c r="I8885" s="15"/>
    </row>
    <row r="8886" spans="1:9" ht="16.5">
      <c r="A8886" s="10" t="b">
        <v>0</v>
      </c>
      <c r="B8886" s="11" t="str">
        <f>IF(D8886&lt;&gt;"",IF(COUNTIF('USPTO TMs'!A:A,D8886)&gt;0,"Yes","No"),"")</f>
        <v/>
      </c>
      <c r="C8886" s="11"/>
      <c r="D8886" s="11"/>
      <c r="E8886" s="11"/>
      <c r="F8886" s="11"/>
      <c r="G8886" s="11"/>
      <c r="H8886" s="11"/>
      <c r="I8886" s="15"/>
    </row>
    <row r="8887" spans="1:9" ht="16.5">
      <c r="A8887" s="10" t="b">
        <v>0</v>
      </c>
      <c r="B8887" s="11" t="str">
        <f>IF(D8887&lt;&gt;"",IF(COUNTIF('USPTO TMs'!A:A,D8887)&gt;0,"Yes","No"),"")</f>
        <v/>
      </c>
      <c r="C8887" s="11"/>
      <c r="D8887" s="11"/>
      <c r="E8887" s="11"/>
      <c r="F8887" s="11"/>
      <c r="G8887" s="11"/>
      <c r="H8887" s="11"/>
      <c r="I8887" s="15"/>
    </row>
    <row r="8888" spans="1:9" ht="16.5">
      <c r="A8888" s="10" t="b">
        <v>0</v>
      </c>
      <c r="B8888" s="11" t="str">
        <f>IF(D8888&lt;&gt;"",IF(COUNTIF('USPTO TMs'!A:A,D8888)&gt;0,"Yes","No"),"")</f>
        <v/>
      </c>
      <c r="C8888" s="11"/>
      <c r="D8888" s="11"/>
      <c r="E8888" s="11"/>
      <c r="F8888" s="11"/>
      <c r="G8888" s="11"/>
      <c r="H8888" s="11"/>
      <c r="I8888" s="15"/>
    </row>
    <row r="8889" spans="1:9" ht="16.5">
      <c r="A8889" s="10" t="b">
        <v>0</v>
      </c>
      <c r="B8889" s="11" t="str">
        <f>IF(D8889&lt;&gt;"",IF(COUNTIF('USPTO TMs'!A:A,D8889)&gt;0,"Yes","No"),"")</f>
        <v/>
      </c>
      <c r="C8889" s="11"/>
      <c r="D8889" s="11"/>
      <c r="E8889" s="11"/>
      <c r="F8889" s="11"/>
      <c r="G8889" s="11"/>
      <c r="H8889" s="11"/>
      <c r="I8889" s="15"/>
    </row>
    <row r="8890" spans="1:9" ht="16.5">
      <c r="A8890" s="10" t="b">
        <v>0</v>
      </c>
      <c r="B8890" s="11" t="str">
        <f>IF(D8890&lt;&gt;"",IF(COUNTIF('USPTO TMs'!A:A,D8890)&gt;0,"Yes","No"),"")</f>
        <v/>
      </c>
      <c r="C8890" s="11"/>
      <c r="D8890" s="11"/>
      <c r="E8890" s="11"/>
      <c r="F8890" s="11"/>
      <c r="G8890" s="11"/>
      <c r="H8890" s="11"/>
      <c r="I8890" s="15"/>
    </row>
    <row r="8891" spans="1:9" ht="16.5">
      <c r="A8891" s="10" t="b">
        <v>0</v>
      </c>
      <c r="B8891" s="11" t="str">
        <f>IF(D8891&lt;&gt;"",IF(COUNTIF('USPTO TMs'!A:A,D8891)&gt;0,"Yes","No"),"")</f>
        <v/>
      </c>
      <c r="C8891" s="11"/>
      <c r="D8891" s="11"/>
      <c r="E8891" s="11"/>
      <c r="F8891" s="11"/>
      <c r="G8891" s="11"/>
      <c r="H8891" s="11"/>
      <c r="I8891" s="15"/>
    </row>
    <row r="8892" spans="1:9" ht="16.5">
      <c r="A8892" s="10" t="b">
        <v>0</v>
      </c>
      <c r="B8892" s="11" t="str">
        <f>IF(D8892&lt;&gt;"",IF(COUNTIF('USPTO TMs'!A:A,D8892)&gt;0,"Yes","No"),"")</f>
        <v/>
      </c>
      <c r="C8892" s="11"/>
      <c r="D8892" s="11"/>
      <c r="E8892" s="11"/>
      <c r="F8892" s="11"/>
      <c r="G8892" s="11"/>
      <c r="H8892" s="11"/>
      <c r="I8892" s="15"/>
    </row>
    <row r="8893" spans="1:9" ht="16.5">
      <c r="A8893" s="10" t="b">
        <v>0</v>
      </c>
      <c r="B8893" s="11" t="str">
        <f>IF(D8893&lt;&gt;"",IF(COUNTIF('USPTO TMs'!A:A,D8893)&gt;0,"Yes","No"),"")</f>
        <v/>
      </c>
      <c r="C8893" s="11"/>
      <c r="D8893" s="11"/>
      <c r="E8893" s="11"/>
      <c r="F8893" s="11"/>
      <c r="G8893" s="11"/>
      <c r="H8893" s="11"/>
      <c r="I8893" s="15"/>
    </row>
    <row r="8894" spans="1:9" ht="16.5">
      <c r="A8894" s="10" t="b">
        <v>0</v>
      </c>
      <c r="B8894" s="11" t="str">
        <f>IF(D8894&lt;&gt;"",IF(COUNTIF('USPTO TMs'!A:A,D8894)&gt;0,"Yes","No"),"")</f>
        <v/>
      </c>
      <c r="C8894" s="11"/>
      <c r="D8894" s="11"/>
      <c r="E8894" s="11"/>
      <c r="F8894" s="11"/>
      <c r="G8894" s="11"/>
      <c r="H8894" s="11"/>
      <c r="I8894" s="15"/>
    </row>
    <row r="8895" spans="1:9" ht="16.5">
      <c r="A8895" s="10" t="b">
        <v>0</v>
      </c>
      <c r="B8895" s="11" t="str">
        <f>IF(D8895&lt;&gt;"",IF(COUNTIF('USPTO TMs'!A:A,D8895)&gt;0,"Yes","No"),"")</f>
        <v/>
      </c>
      <c r="C8895" s="11"/>
      <c r="D8895" s="11"/>
      <c r="E8895" s="11"/>
      <c r="F8895" s="11"/>
      <c r="G8895" s="11"/>
      <c r="H8895" s="11"/>
      <c r="I8895" s="15"/>
    </row>
    <row r="8896" spans="1:9" ht="16.5">
      <c r="A8896" s="10" t="b">
        <v>0</v>
      </c>
      <c r="B8896" s="11" t="str">
        <f>IF(D8896&lt;&gt;"",IF(COUNTIF('USPTO TMs'!A:A,D8896)&gt;0,"Yes","No"),"")</f>
        <v/>
      </c>
      <c r="C8896" s="11"/>
      <c r="D8896" s="11"/>
      <c r="E8896" s="11"/>
      <c r="F8896" s="11"/>
      <c r="G8896" s="11"/>
      <c r="H8896" s="11"/>
      <c r="I8896" s="15"/>
    </row>
    <row r="8897" spans="1:9" ht="16.5">
      <c r="A8897" s="10" t="b">
        <v>0</v>
      </c>
      <c r="B8897" s="11" t="str">
        <f>IF(D8897&lt;&gt;"",IF(COUNTIF('USPTO TMs'!A:A,D8897)&gt;0,"Yes","No"),"")</f>
        <v/>
      </c>
      <c r="C8897" s="11"/>
      <c r="D8897" s="11"/>
      <c r="E8897" s="11"/>
      <c r="F8897" s="11"/>
      <c r="G8897" s="11"/>
      <c r="H8897" s="11"/>
      <c r="I8897" s="15"/>
    </row>
    <row r="8898" spans="1:9" ht="16.5">
      <c r="A8898" s="10" t="b">
        <v>0</v>
      </c>
      <c r="B8898" s="11" t="str">
        <f>IF(D8898&lt;&gt;"",IF(COUNTIF('USPTO TMs'!A:A,D8898)&gt;0,"Yes","No"),"")</f>
        <v/>
      </c>
      <c r="C8898" s="11"/>
      <c r="D8898" s="11"/>
      <c r="E8898" s="11"/>
      <c r="F8898" s="11"/>
      <c r="G8898" s="11"/>
      <c r="H8898" s="11"/>
      <c r="I8898" s="15"/>
    </row>
    <row r="8899" spans="1:9" ht="16.5">
      <c r="A8899" s="10" t="b">
        <v>0</v>
      </c>
      <c r="B8899" s="11" t="str">
        <f>IF(D8899&lt;&gt;"",IF(COUNTIF('USPTO TMs'!A:A,D8899)&gt;0,"Yes","No"),"")</f>
        <v/>
      </c>
      <c r="C8899" s="11"/>
      <c r="D8899" s="11"/>
      <c r="E8899" s="11"/>
      <c r="F8899" s="11"/>
      <c r="G8899" s="11"/>
      <c r="H8899" s="11"/>
      <c r="I8899" s="15"/>
    </row>
    <row r="8900" spans="1:9" ht="16.5">
      <c r="A8900" s="10" t="b">
        <v>0</v>
      </c>
      <c r="B8900" s="11" t="str">
        <f>IF(D8900&lt;&gt;"",IF(COUNTIF('USPTO TMs'!A:A,D8900)&gt;0,"Yes","No"),"")</f>
        <v/>
      </c>
      <c r="C8900" s="11"/>
      <c r="D8900" s="11"/>
      <c r="E8900" s="11"/>
      <c r="F8900" s="11"/>
      <c r="G8900" s="11"/>
      <c r="H8900" s="11"/>
      <c r="I8900" s="15"/>
    </row>
    <row r="8901" spans="1:9" ht="16.5">
      <c r="A8901" s="10" t="b">
        <v>0</v>
      </c>
      <c r="B8901" s="11" t="str">
        <f>IF(D8901&lt;&gt;"",IF(COUNTIF('USPTO TMs'!A:A,D8901)&gt;0,"Yes","No"),"")</f>
        <v/>
      </c>
      <c r="C8901" s="11"/>
      <c r="D8901" s="11"/>
      <c r="E8901" s="11"/>
      <c r="F8901" s="11"/>
      <c r="G8901" s="11"/>
      <c r="H8901" s="11"/>
      <c r="I8901" s="15"/>
    </row>
    <row r="8902" spans="1:9" ht="16.5">
      <c r="A8902" s="10" t="b">
        <v>0</v>
      </c>
      <c r="B8902" s="11" t="str">
        <f>IF(D8902&lt;&gt;"",IF(COUNTIF('USPTO TMs'!A:A,D8902)&gt;0,"Yes","No"),"")</f>
        <v/>
      </c>
      <c r="C8902" s="11"/>
      <c r="D8902" s="11"/>
      <c r="E8902" s="11"/>
      <c r="F8902" s="11"/>
      <c r="G8902" s="11"/>
      <c r="H8902" s="11"/>
      <c r="I8902" s="15"/>
    </row>
    <row r="8903" spans="1:9" ht="16.5">
      <c r="A8903" s="10" t="b">
        <v>0</v>
      </c>
      <c r="B8903" s="11" t="str">
        <f>IF(D8903&lt;&gt;"",IF(COUNTIF('USPTO TMs'!A:A,D8903)&gt;0,"Yes","No"),"")</f>
        <v/>
      </c>
      <c r="C8903" s="11"/>
      <c r="D8903" s="11"/>
      <c r="E8903" s="11"/>
      <c r="F8903" s="11"/>
      <c r="G8903" s="11"/>
      <c r="H8903" s="11"/>
      <c r="I8903" s="15"/>
    </row>
    <row r="8904" spans="1:9" ht="16.5">
      <c r="A8904" s="10" t="b">
        <v>0</v>
      </c>
      <c r="B8904" s="11" t="str">
        <f>IF(D8904&lt;&gt;"",IF(COUNTIF('USPTO TMs'!A:A,D8904)&gt;0,"Yes","No"),"")</f>
        <v/>
      </c>
      <c r="C8904" s="11"/>
      <c r="D8904" s="11"/>
      <c r="E8904" s="11"/>
      <c r="F8904" s="11"/>
      <c r="G8904" s="11"/>
      <c r="H8904" s="11"/>
      <c r="I8904" s="15"/>
    </row>
    <row r="8905" spans="1:9" ht="16.5">
      <c r="A8905" s="10" t="b">
        <v>0</v>
      </c>
      <c r="B8905" s="11" t="str">
        <f>IF(D8905&lt;&gt;"",IF(COUNTIF('USPTO TMs'!A:A,D8905)&gt;0,"Yes","No"),"")</f>
        <v/>
      </c>
      <c r="C8905" s="11"/>
      <c r="D8905" s="11"/>
      <c r="E8905" s="11"/>
      <c r="F8905" s="11"/>
      <c r="G8905" s="11"/>
      <c r="H8905" s="11"/>
      <c r="I8905" s="15"/>
    </row>
    <row r="8906" spans="1:9" ht="16.5">
      <c r="A8906" s="10" t="b">
        <v>0</v>
      </c>
      <c r="B8906" s="11" t="str">
        <f>IF(D8906&lt;&gt;"",IF(COUNTIF('USPTO TMs'!A:A,D8906)&gt;0,"Yes","No"),"")</f>
        <v/>
      </c>
      <c r="C8906" s="11"/>
      <c r="D8906" s="11"/>
      <c r="E8906" s="11"/>
      <c r="F8906" s="11"/>
      <c r="G8906" s="11"/>
      <c r="H8906" s="11"/>
      <c r="I8906" s="15"/>
    </row>
    <row r="8907" spans="1:9" ht="16.5">
      <c r="A8907" s="10" t="b">
        <v>0</v>
      </c>
      <c r="B8907" s="11" t="str">
        <f>IF(D8907&lt;&gt;"",IF(COUNTIF('USPTO TMs'!A:A,D8907)&gt;0,"Yes","No"),"")</f>
        <v/>
      </c>
      <c r="C8907" s="11"/>
      <c r="D8907" s="11"/>
      <c r="E8907" s="11"/>
      <c r="F8907" s="11"/>
      <c r="G8907" s="11"/>
      <c r="H8907" s="11"/>
      <c r="I8907" s="15"/>
    </row>
    <row r="8908" spans="1:9" ht="16.5">
      <c r="A8908" s="10" t="b">
        <v>0</v>
      </c>
      <c r="B8908" s="11" t="str">
        <f>IF(D8908&lt;&gt;"",IF(COUNTIF('USPTO TMs'!A:A,D8908)&gt;0,"Yes","No"),"")</f>
        <v/>
      </c>
      <c r="C8908" s="11"/>
      <c r="D8908" s="11"/>
      <c r="E8908" s="11"/>
      <c r="F8908" s="11"/>
      <c r="G8908" s="11"/>
      <c r="H8908" s="11"/>
      <c r="I8908" s="15"/>
    </row>
    <row r="8909" spans="1:9" ht="16.5">
      <c r="A8909" s="10" t="b">
        <v>0</v>
      </c>
      <c r="B8909" s="11" t="str">
        <f>IF(D8909&lt;&gt;"",IF(COUNTIF('USPTO TMs'!A:A,D8909)&gt;0,"Yes","No"),"")</f>
        <v/>
      </c>
      <c r="C8909" s="11"/>
      <c r="D8909" s="11"/>
      <c r="E8909" s="11"/>
      <c r="F8909" s="11"/>
      <c r="G8909" s="11"/>
      <c r="H8909" s="11"/>
      <c r="I8909" s="15"/>
    </row>
    <row r="8910" spans="1:9" ht="16.5">
      <c r="A8910" s="10" t="b">
        <v>0</v>
      </c>
      <c r="B8910" s="11" t="str">
        <f>IF(D8910&lt;&gt;"",IF(COUNTIF('USPTO TMs'!A:A,D8910)&gt;0,"Yes","No"),"")</f>
        <v/>
      </c>
      <c r="C8910" s="11"/>
      <c r="D8910" s="11"/>
      <c r="E8910" s="11"/>
      <c r="F8910" s="11"/>
      <c r="G8910" s="11"/>
      <c r="H8910" s="11"/>
      <c r="I8910" s="15"/>
    </row>
    <row r="8911" spans="1:9" ht="16.5">
      <c r="A8911" s="10" t="b">
        <v>0</v>
      </c>
      <c r="B8911" s="11" t="str">
        <f>IF(D8911&lt;&gt;"",IF(COUNTIF('USPTO TMs'!A:A,D8911)&gt;0,"Yes","No"),"")</f>
        <v/>
      </c>
      <c r="C8911" s="11"/>
      <c r="D8911" s="11"/>
      <c r="E8911" s="11"/>
      <c r="F8911" s="11"/>
      <c r="G8911" s="11"/>
      <c r="H8911" s="11"/>
      <c r="I8911" s="15"/>
    </row>
    <row r="8912" spans="1:9" ht="16.5">
      <c r="A8912" s="10" t="b">
        <v>0</v>
      </c>
      <c r="B8912" s="11" t="str">
        <f>IF(D8912&lt;&gt;"",IF(COUNTIF('USPTO TMs'!A:A,D8912)&gt;0,"Yes","No"),"")</f>
        <v/>
      </c>
      <c r="C8912" s="11"/>
      <c r="D8912" s="11"/>
      <c r="E8912" s="11"/>
      <c r="F8912" s="11"/>
      <c r="G8912" s="11"/>
      <c r="H8912" s="11"/>
      <c r="I8912" s="15"/>
    </row>
    <row r="8913" spans="1:9" ht="16.5">
      <c r="A8913" s="10" t="b">
        <v>0</v>
      </c>
      <c r="B8913" s="11" t="str">
        <f>IF(D8913&lt;&gt;"",IF(COUNTIF('USPTO TMs'!A:A,D8913)&gt;0,"Yes","No"),"")</f>
        <v/>
      </c>
      <c r="C8913" s="11"/>
      <c r="D8913" s="11"/>
      <c r="E8913" s="11"/>
      <c r="F8913" s="11"/>
      <c r="G8913" s="11"/>
      <c r="H8913" s="11"/>
      <c r="I8913" s="15"/>
    </row>
    <row r="8914" spans="1:9" ht="16.5">
      <c r="A8914" s="10" t="b">
        <v>0</v>
      </c>
      <c r="B8914" s="11" t="str">
        <f>IF(D8914&lt;&gt;"",IF(COUNTIF('USPTO TMs'!A:A,D8914)&gt;0,"Yes","No"),"")</f>
        <v/>
      </c>
      <c r="C8914" s="11"/>
      <c r="D8914" s="11"/>
      <c r="E8914" s="11"/>
      <c r="F8914" s="11"/>
      <c r="G8914" s="11"/>
      <c r="H8914" s="11"/>
      <c r="I8914" s="15"/>
    </row>
    <row r="8915" spans="1:9" ht="16.5">
      <c r="A8915" s="10" t="b">
        <v>0</v>
      </c>
      <c r="B8915" s="11" t="str">
        <f>IF(D8915&lt;&gt;"",IF(COUNTIF('USPTO TMs'!A:A,D8915)&gt;0,"Yes","No"),"")</f>
        <v/>
      </c>
      <c r="C8915" s="11"/>
      <c r="D8915" s="11"/>
      <c r="E8915" s="11"/>
      <c r="F8915" s="11"/>
      <c r="G8915" s="11"/>
      <c r="H8915" s="11"/>
      <c r="I8915" s="15"/>
    </row>
    <row r="8916" spans="1:9" ht="16.5">
      <c r="A8916" s="10" t="b">
        <v>0</v>
      </c>
      <c r="B8916" s="11" t="str">
        <f>IF(D8916&lt;&gt;"",IF(COUNTIF('USPTO TMs'!A:A,D8916)&gt;0,"Yes","No"),"")</f>
        <v/>
      </c>
      <c r="C8916" s="11"/>
      <c r="D8916" s="11"/>
      <c r="E8916" s="11"/>
      <c r="F8916" s="11"/>
      <c r="G8916" s="11"/>
      <c r="H8916" s="11"/>
      <c r="I8916" s="15"/>
    </row>
    <row r="8917" spans="1:9" ht="16.5">
      <c r="A8917" s="10" t="b">
        <v>0</v>
      </c>
      <c r="B8917" s="11" t="str">
        <f>IF(D8917&lt;&gt;"",IF(COUNTIF('USPTO TMs'!A:A,D8917)&gt;0,"Yes","No"),"")</f>
        <v/>
      </c>
      <c r="C8917" s="11"/>
      <c r="D8917" s="11"/>
      <c r="E8917" s="11"/>
      <c r="F8917" s="11"/>
      <c r="G8917" s="11"/>
      <c r="H8917" s="11"/>
      <c r="I8917" s="15"/>
    </row>
    <row r="8918" spans="1:9" ht="16.5">
      <c r="A8918" s="10" t="b">
        <v>0</v>
      </c>
      <c r="B8918" s="11" t="str">
        <f>IF(D8918&lt;&gt;"",IF(COUNTIF('USPTO TMs'!A:A,D8918)&gt;0,"Yes","No"),"")</f>
        <v/>
      </c>
      <c r="C8918" s="11"/>
      <c r="D8918" s="11"/>
      <c r="E8918" s="11"/>
      <c r="F8918" s="11"/>
      <c r="G8918" s="11"/>
      <c r="H8918" s="11"/>
      <c r="I8918" s="15"/>
    </row>
    <row r="8919" spans="1:9" ht="16.5">
      <c r="A8919" s="10" t="b">
        <v>0</v>
      </c>
      <c r="B8919" s="11" t="str">
        <f>IF(D8919&lt;&gt;"",IF(COUNTIF('USPTO TMs'!A:A,D8919)&gt;0,"Yes","No"),"")</f>
        <v/>
      </c>
      <c r="C8919" s="11"/>
      <c r="D8919" s="11"/>
      <c r="E8919" s="11"/>
      <c r="F8919" s="11"/>
      <c r="G8919" s="11"/>
      <c r="H8919" s="11"/>
      <c r="I8919" s="15"/>
    </row>
    <row r="8920" spans="1:9" ht="16.5">
      <c r="A8920" s="10" t="b">
        <v>0</v>
      </c>
      <c r="B8920" s="11" t="str">
        <f>IF(D8920&lt;&gt;"",IF(COUNTIF('USPTO TMs'!A:A,D8920)&gt;0,"Yes","No"),"")</f>
        <v/>
      </c>
      <c r="C8920" s="11"/>
      <c r="D8920" s="11"/>
      <c r="E8920" s="11"/>
      <c r="F8920" s="11"/>
      <c r="G8920" s="11"/>
      <c r="H8920" s="11"/>
      <c r="I8920" s="15"/>
    </row>
    <row r="8921" spans="1:9" ht="16.5">
      <c r="A8921" s="10" t="b">
        <v>0</v>
      </c>
      <c r="B8921" s="11" t="str">
        <f>IF(D8921&lt;&gt;"",IF(COUNTIF('USPTO TMs'!A:A,D8921)&gt;0,"Yes","No"),"")</f>
        <v/>
      </c>
      <c r="C8921" s="11"/>
      <c r="D8921" s="11"/>
      <c r="E8921" s="11"/>
      <c r="F8921" s="11"/>
      <c r="G8921" s="11"/>
      <c r="H8921" s="11"/>
      <c r="I8921" s="15"/>
    </row>
    <row r="8922" spans="1:9" ht="16.5">
      <c r="A8922" s="10" t="b">
        <v>0</v>
      </c>
      <c r="B8922" s="11" t="str">
        <f>IF(D8922&lt;&gt;"",IF(COUNTIF('USPTO TMs'!A:A,D8922)&gt;0,"Yes","No"),"")</f>
        <v/>
      </c>
      <c r="C8922" s="11"/>
      <c r="D8922" s="11"/>
      <c r="E8922" s="11"/>
      <c r="F8922" s="11"/>
      <c r="G8922" s="11"/>
      <c r="H8922" s="11"/>
      <c r="I8922" s="15"/>
    </row>
    <row r="8923" spans="1:9" ht="16.5">
      <c r="A8923" s="10" t="b">
        <v>0</v>
      </c>
      <c r="B8923" s="11" t="str">
        <f>IF(D8923&lt;&gt;"",IF(COUNTIF('USPTO TMs'!A:A,D8923)&gt;0,"Yes","No"),"")</f>
        <v/>
      </c>
      <c r="C8923" s="11"/>
      <c r="D8923" s="11"/>
      <c r="E8923" s="11"/>
      <c r="F8923" s="11"/>
      <c r="G8923" s="11"/>
      <c r="H8923" s="11"/>
      <c r="I8923" s="15"/>
    </row>
    <row r="8924" spans="1:9" ht="16.5">
      <c r="A8924" s="10" t="b">
        <v>0</v>
      </c>
      <c r="B8924" s="11" t="str">
        <f>IF(D8924&lt;&gt;"",IF(COUNTIF('USPTO TMs'!A:A,D8924)&gt;0,"Yes","No"),"")</f>
        <v/>
      </c>
      <c r="C8924" s="11"/>
      <c r="D8924" s="11"/>
      <c r="E8924" s="11"/>
      <c r="F8924" s="11"/>
      <c r="G8924" s="11"/>
      <c r="H8924" s="11"/>
      <c r="I8924" s="15"/>
    </row>
    <row r="8925" spans="1:9" ht="16.5">
      <c r="A8925" s="10" t="b">
        <v>0</v>
      </c>
      <c r="B8925" s="11" t="str">
        <f>IF(D8925&lt;&gt;"",IF(COUNTIF('USPTO TMs'!A:A,D8925)&gt;0,"Yes","No"),"")</f>
        <v/>
      </c>
      <c r="C8925" s="11"/>
      <c r="D8925" s="11"/>
      <c r="E8925" s="11"/>
      <c r="F8925" s="11"/>
      <c r="G8925" s="11"/>
      <c r="H8925" s="11"/>
      <c r="I8925" s="15"/>
    </row>
    <row r="8926" spans="1:9" ht="16.5">
      <c r="A8926" s="10" t="b">
        <v>0</v>
      </c>
      <c r="B8926" s="11" t="str">
        <f>IF(D8926&lt;&gt;"",IF(COUNTIF('USPTO TMs'!A:A,D8926)&gt;0,"Yes","No"),"")</f>
        <v/>
      </c>
      <c r="C8926" s="11"/>
      <c r="D8926" s="11"/>
      <c r="E8926" s="11"/>
      <c r="F8926" s="11"/>
      <c r="G8926" s="11"/>
      <c r="H8926" s="11"/>
      <c r="I8926" s="15"/>
    </row>
    <row r="8927" spans="1:9" ht="16.5">
      <c r="A8927" s="10" t="b">
        <v>0</v>
      </c>
      <c r="B8927" s="11" t="str">
        <f>IF(D8927&lt;&gt;"",IF(COUNTIF('USPTO TMs'!A:A,D8927)&gt;0,"Yes","No"),"")</f>
        <v/>
      </c>
      <c r="C8927" s="11"/>
      <c r="D8927" s="11"/>
      <c r="E8927" s="11"/>
      <c r="F8927" s="11"/>
      <c r="G8927" s="11"/>
      <c r="H8927" s="11"/>
      <c r="I8927" s="15"/>
    </row>
    <row r="8928" spans="1:9" ht="16.5">
      <c r="A8928" s="10" t="b">
        <v>0</v>
      </c>
      <c r="B8928" s="11" t="str">
        <f>IF(D8928&lt;&gt;"",IF(COUNTIF('USPTO TMs'!A:A,D8928)&gt;0,"Yes","No"),"")</f>
        <v/>
      </c>
      <c r="C8928" s="11"/>
      <c r="D8928" s="11"/>
      <c r="E8928" s="11"/>
      <c r="F8928" s="11"/>
      <c r="G8928" s="11"/>
      <c r="H8928" s="11"/>
      <c r="I8928" s="15"/>
    </row>
    <row r="8929" spans="1:9" ht="16.5">
      <c r="A8929" s="10" t="b">
        <v>0</v>
      </c>
      <c r="B8929" s="11" t="str">
        <f>IF(D8929&lt;&gt;"",IF(COUNTIF('USPTO TMs'!A:A,D8929)&gt;0,"Yes","No"),"")</f>
        <v/>
      </c>
      <c r="C8929" s="11"/>
      <c r="D8929" s="11"/>
      <c r="E8929" s="11"/>
      <c r="F8929" s="11"/>
      <c r="G8929" s="11"/>
      <c r="H8929" s="11"/>
      <c r="I8929" s="15"/>
    </row>
    <row r="8930" spans="1:9" ht="16.5">
      <c r="A8930" s="10" t="b">
        <v>0</v>
      </c>
      <c r="B8930" s="11" t="str">
        <f>IF(D8930&lt;&gt;"",IF(COUNTIF('USPTO TMs'!A:A,D8930)&gt;0,"Yes","No"),"")</f>
        <v/>
      </c>
      <c r="C8930" s="11"/>
      <c r="D8930" s="11"/>
      <c r="E8930" s="11"/>
      <c r="F8930" s="11"/>
      <c r="G8930" s="11"/>
      <c r="H8930" s="11"/>
      <c r="I8930" s="15"/>
    </row>
    <row r="8931" spans="1:9" ht="16.5">
      <c r="A8931" s="10" t="b">
        <v>0</v>
      </c>
      <c r="B8931" s="11" t="str">
        <f>IF(D8931&lt;&gt;"",IF(COUNTIF('USPTO TMs'!A:A,D8931)&gt;0,"Yes","No"),"")</f>
        <v/>
      </c>
      <c r="C8931" s="11"/>
      <c r="D8931" s="11"/>
      <c r="E8931" s="11"/>
      <c r="F8931" s="11"/>
      <c r="G8931" s="11"/>
      <c r="H8931" s="11"/>
      <c r="I8931" s="15"/>
    </row>
    <row r="8932" spans="1:9" ht="16.5">
      <c r="A8932" s="10" t="b">
        <v>0</v>
      </c>
      <c r="B8932" s="11" t="str">
        <f>IF(D8932&lt;&gt;"",IF(COUNTIF('USPTO TMs'!A:A,D8932)&gt;0,"Yes","No"),"")</f>
        <v/>
      </c>
      <c r="C8932" s="11"/>
      <c r="D8932" s="11"/>
      <c r="E8932" s="11"/>
      <c r="F8932" s="11"/>
      <c r="G8932" s="11"/>
      <c r="H8932" s="11"/>
      <c r="I8932" s="15"/>
    </row>
    <row r="8933" spans="1:9" ht="16.5">
      <c r="A8933" s="10" t="b">
        <v>0</v>
      </c>
      <c r="B8933" s="11" t="str">
        <f>IF(D8933&lt;&gt;"",IF(COUNTIF('USPTO TMs'!A:A,D8933)&gt;0,"Yes","No"),"")</f>
        <v/>
      </c>
      <c r="C8933" s="11"/>
      <c r="D8933" s="11"/>
      <c r="E8933" s="11"/>
      <c r="F8933" s="11"/>
      <c r="G8933" s="11"/>
      <c r="H8933" s="11"/>
      <c r="I8933" s="15"/>
    </row>
    <row r="8934" spans="1:9" ht="16.5">
      <c r="A8934" s="10" t="b">
        <v>0</v>
      </c>
      <c r="B8934" s="11" t="str">
        <f>IF(D8934&lt;&gt;"",IF(COUNTIF('USPTO TMs'!A:A,D8934)&gt;0,"Yes","No"),"")</f>
        <v/>
      </c>
      <c r="C8934" s="11"/>
      <c r="D8934" s="11"/>
      <c r="E8934" s="11"/>
      <c r="F8934" s="11"/>
      <c r="G8934" s="11"/>
      <c r="H8934" s="11"/>
      <c r="I8934" s="15"/>
    </row>
    <row r="8935" spans="1:9" ht="16.5">
      <c r="A8935" s="10" t="b">
        <v>0</v>
      </c>
      <c r="B8935" s="11" t="str">
        <f>IF(D8935&lt;&gt;"",IF(COUNTIF('USPTO TMs'!A:A,D8935)&gt;0,"Yes","No"),"")</f>
        <v/>
      </c>
      <c r="C8935" s="11"/>
      <c r="D8935" s="11"/>
      <c r="E8935" s="11"/>
      <c r="F8935" s="11"/>
      <c r="G8935" s="11"/>
      <c r="H8935" s="11"/>
      <c r="I8935" s="15"/>
    </row>
    <row r="8936" spans="1:9" ht="16.5">
      <c r="A8936" s="10" t="b">
        <v>0</v>
      </c>
      <c r="B8936" s="11" t="str">
        <f>IF(D8936&lt;&gt;"",IF(COUNTIF('USPTO TMs'!A:A,D8936)&gt;0,"Yes","No"),"")</f>
        <v/>
      </c>
      <c r="C8936" s="11"/>
      <c r="D8936" s="11"/>
      <c r="E8936" s="11"/>
      <c r="F8936" s="11"/>
      <c r="G8936" s="11"/>
      <c r="H8936" s="11"/>
      <c r="I8936" s="15"/>
    </row>
    <row r="8937" spans="1:9" ht="16.5">
      <c r="A8937" s="10" t="b">
        <v>0</v>
      </c>
      <c r="B8937" s="11" t="str">
        <f>IF(D8937&lt;&gt;"",IF(COUNTIF('USPTO TMs'!A:A,D8937)&gt;0,"Yes","No"),"")</f>
        <v/>
      </c>
      <c r="C8937" s="11"/>
      <c r="D8937" s="11"/>
      <c r="E8937" s="11"/>
      <c r="F8937" s="11"/>
      <c r="G8937" s="11"/>
      <c r="H8937" s="11"/>
      <c r="I8937" s="15"/>
    </row>
    <row r="8938" spans="1:9" ht="16.5">
      <c r="A8938" s="10" t="b">
        <v>0</v>
      </c>
      <c r="B8938" s="11" t="str">
        <f>IF(D8938&lt;&gt;"",IF(COUNTIF('USPTO TMs'!A:A,D8938)&gt;0,"Yes","No"),"")</f>
        <v/>
      </c>
      <c r="C8938" s="11"/>
      <c r="D8938" s="11"/>
      <c r="E8938" s="11"/>
      <c r="F8938" s="11"/>
      <c r="G8938" s="11"/>
      <c r="H8938" s="11"/>
      <c r="I8938" s="15"/>
    </row>
    <row r="8939" spans="1:9" ht="16.5">
      <c r="A8939" s="10" t="b">
        <v>0</v>
      </c>
      <c r="B8939" s="11" t="str">
        <f>IF(D8939&lt;&gt;"",IF(COUNTIF('USPTO TMs'!A:A,D8939)&gt;0,"Yes","No"),"")</f>
        <v/>
      </c>
      <c r="C8939" s="11"/>
      <c r="D8939" s="11"/>
      <c r="E8939" s="11"/>
      <c r="F8939" s="11"/>
      <c r="G8939" s="11"/>
      <c r="H8939" s="11"/>
      <c r="I8939" s="15"/>
    </row>
    <row r="8940" spans="1:9" ht="16.5">
      <c r="A8940" s="10" t="b">
        <v>0</v>
      </c>
      <c r="B8940" s="11" t="str">
        <f>IF(D8940&lt;&gt;"",IF(COUNTIF('USPTO TMs'!A:A,D8940)&gt;0,"Yes","No"),"")</f>
        <v/>
      </c>
      <c r="C8940" s="11"/>
      <c r="D8940" s="11"/>
      <c r="E8940" s="11"/>
      <c r="F8940" s="11"/>
      <c r="G8940" s="11"/>
      <c r="H8940" s="11"/>
      <c r="I8940" s="15"/>
    </row>
    <row r="8941" spans="1:9" ht="16.5">
      <c r="A8941" s="10" t="b">
        <v>0</v>
      </c>
      <c r="B8941" s="11" t="str">
        <f>IF(D8941&lt;&gt;"",IF(COUNTIF('USPTO TMs'!A:A,D8941)&gt;0,"Yes","No"),"")</f>
        <v/>
      </c>
      <c r="C8941" s="11"/>
      <c r="D8941" s="11"/>
      <c r="E8941" s="11"/>
      <c r="F8941" s="11"/>
      <c r="G8941" s="11"/>
      <c r="H8941" s="11"/>
      <c r="I8941" s="15"/>
    </row>
    <row r="8942" spans="1:9" ht="16.5">
      <c r="A8942" s="10" t="b">
        <v>0</v>
      </c>
      <c r="B8942" s="11" t="str">
        <f>IF(D8942&lt;&gt;"",IF(COUNTIF('USPTO TMs'!A:A,D8942)&gt;0,"Yes","No"),"")</f>
        <v/>
      </c>
      <c r="C8942" s="11"/>
      <c r="D8942" s="11"/>
      <c r="E8942" s="11"/>
      <c r="F8942" s="11"/>
      <c r="G8942" s="11"/>
      <c r="H8942" s="11"/>
      <c r="I8942" s="15"/>
    </row>
    <row r="8943" spans="1:9" ht="16.5">
      <c r="A8943" s="10" t="b">
        <v>0</v>
      </c>
      <c r="B8943" s="11" t="str">
        <f>IF(D8943&lt;&gt;"",IF(COUNTIF('USPTO TMs'!A:A,D8943)&gt;0,"Yes","No"),"")</f>
        <v/>
      </c>
      <c r="C8943" s="11"/>
      <c r="D8943" s="11"/>
      <c r="E8943" s="11"/>
      <c r="F8943" s="11"/>
      <c r="G8943" s="11"/>
      <c r="H8943" s="11"/>
      <c r="I8943" s="15"/>
    </row>
    <row r="8944" spans="1:9" ht="16.5">
      <c r="A8944" s="10" t="b">
        <v>0</v>
      </c>
      <c r="B8944" s="11" t="str">
        <f>IF(D8944&lt;&gt;"",IF(COUNTIF('USPTO TMs'!A:A,D8944)&gt;0,"Yes","No"),"")</f>
        <v/>
      </c>
      <c r="C8944" s="11"/>
      <c r="D8944" s="11"/>
      <c r="E8944" s="11"/>
      <c r="F8944" s="11"/>
      <c r="G8944" s="11"/>
      <c r="H8944" s="11"/>
      <c r="I8944" s="15"/>
    </row>
    <row r="8945" spans="1:9" ht="16.5">
      <c r="A8945" s="10" t="b">
        <v>0</v>
      </c>
      <c r="B8945" s="11" t="str">
        <f>IF(D8945&lt;&gt;"",IF(COUNTIF('USPTO TMs'!A:A,D8945)&gt;0,"Yes","No"),"")</f>
        <v/>
      </c>
      <c r="C8945" s="11"/>
      <c r="D8945" s="11"/>
      <c r="E8945" s="11"/>
      <c r="F8945" s="11"/>
      <c r="G8945" s="11"/>
      <c r="H8945" s="11"/>
      <c r="I8945" s="15"/>
    </row>
    <row r="8946" spans="1:9" ht="16.5">
      <c r="A8946" s="10" t="b">
        <v>0</v>
      </c>
      <c r="B8946" s="11" t="str">
        <f>IF(D8946&lt;&gt;"",IF(COUNTIF('USPTO TMs'!A:A,D8946)&gt;0,"Yes","No"),"")</f>
        <v/>
      </c>
      <c r="C8946" s="11"/>
      <c r="D8946" s="11"/>
      <c r="E8946" s="11"/>
      <c r="F8946" s="11"/>
      <c r="G8946" s="11"/>
      <c r="H8946" s="11"/>
      <c r="I8946" s="15"/>
    </row>
    <row r="8947" spans="1:9" ht="16.5">
      <c r="A8947" s="10" t="b">
        <v>0</v>
      </c>
      <c r="B8947" s="11" t="str">
        <f>IF(D8947&lt;&gt;"",IF(COUNTIF('USPTO TMs'!A:A,D8947)&gt;0,"Yes","No"),"")</f>
        <v/>
      </c>
      <c r="C8947" s="11"/>
      <c r="D8947" s="11"/>
      <c r="E8947" s="11"/>
      <c r="F8947" s="11"/>
      <c r="G8947" s="11"/>
      <c r="H8947" s="11"/>
      <c r="I8947" s="15"/>
    </row>
    <row r="8948" spans="1:9" ht="16.5">
      <c r="A8948" s="10" t="b">
        <v>0</v>
      </c>
      <c r="B8948" s="11" t="str">
        <f>IF(D8948&lt;&gt;"",IF(COUNTIF('USPTO TMs'!A:A,D8948)&gt;0,"Yes","No"),"")</f>
        <v/>
      </c>
      <c r="C8948" s="11"/>
      <c r="D8948" s="11"/>
      <c r="E8948" s="11"/>
      <c r="F8948" s="11"/>
      <c r="G8948" s="11"/>
      <c r="H8948" s="11"/>
      <c r="I8948" s="15"/>
    </row>
    <row r="8949" spans="1:9" ht="16.5">
      <c r="A8949" s="10" t="b">
        <v>0</v>
      </c>
      <c r="B8949" s="11" t="str">
        <f>IF(D8949&lt;&gt;"",IF(COUNTIF('USPTO TMs'!A:A,D8949)&gt;0,"Yes","No"),"")</f>
        <v/>
      </c>
      <c r="C8949" s="11"/>
      <c r="D8949" s="11"/>
      <c r="E8949" s="11"/>
      <c r="F8949" s="11"/>
      <c r="G8949" s="11"/>
      <c r="H8949" s="11"/>
      <c r="I8949" s="15"/>
    </row>
    <row r="8950" spans="1:9" ht="16.5">
      <c r="A8950" s="10" t="b">
        <v>0</v>
      </c>
      <c r="B8950" s="11" t="str">
        <f>IF(D8950&lt;&gt;"",IF(COUNTIF('USPTO TMs'!A:A,D8950)&gt;0,"Yes","No"),"")</f>
        <v/>
      </c>
      <c r="C8950" s="11"/>
      <c r="D8950" s="11"/>
      <c r="E8950" s="11"/>
      <c r="F8950" s="11"/>
      <c r="G8950" s="11"/>
      <c r="H8950" s="11"/>
      <c r="I8950" s="15"/>
    </row>
    <row r="8951" spans="1:9" ht="16.5">
      <c r="A8951" s="10" t="b">
        <v>0</v>
      </c>
      <c r="B8951" s="11" t="str">
        <f>IF(D8951&lt;&gt;"",IF(COUNTIF('USPTO TMs'!A:A,D8951)&gt;0,"Yes","No"),"")</f>
        <v/>
      </c>
      <c r="C8951" s="11"/>
      <c r="D8951" s="11"/>
      <c r="E8951" s="11"/>
      <c r="F8951" s="11"/>
      <c r="G8951" s="11"/>
      <c r="H8951" s="11"/>
      <c r="I8951" s="15"/>
    </row>
    <row r="8952" spans="1:9" ht="16.5">
      <c r="A8952" s="10" t="b">
        <v>0</v>
      </c>
      <c r="B8952" s="11" t="str">
        <f>IF(D8952&lt;&gt;"",IF(COUNTIF('USPTO TMs'!A:A,D8952)&gt;0,"Yes","No"),"")</f>
        <v/>
      </c>
      <c r="C8952" s="11"/>
      <c r="D8952" s="11"/>
      <c r="E8952" s="11"/>
      <c r="F8952" s="11"/>
      <c r="G8952" s="11"/>
      <c r="H8952" s="11"/>
      <c r="I8952" s="15"/>
    </row>
    <row r="8953" spans="1:9" ht="16.5">
      <c r="A8953" s="10" t="b">
        <v>0</v>
      </c>
      <c r="B8953" s="11" t="str">
        <f>IF(D8953&lt;&gt;"",IF(COUNTIF('USPTO TMs'!A:A,D8953)&gt;0,"Yes","No"),"")</f>
        <v/>
      </c>
      <c r="C8953" s="11"/>
      <c r="D8953" s="11"/>
      <c r="E8953" s="11"/>
      <c r="F8953" s="11"/>
      <c r="G8953" s="11"/>
      <c r="H8953" s="11"/>
      <c r="I8953" s="15"/>
    </row>
    <row r="8954" spans="1:9" ht="16.5">
      <c r="A8954" s="10" t="b">
        <v>0</v>
      </c>
      <c r="B8954" s="11" t="str">
        <f>IF(D8954&lt;&gt;"",IF(COUNTIF('USPTO TMs'!A:A,D8954)&gt;0,"Yes","No"),"")</f>
        <v/>
      </c>
      <c r="C8954" s="11"/>
      <c r="D8954" s="11"/>
      <c r="E8954" s="11"/>
      <c r="F8954" s="11"/>
      <c r="G8954" s="11"/>
      <c r="H8954" s="11"/>
      <c r="I8954" s="15"/>
    </row>
    <row r="8955" spans="1:9" ht="16.5">
      <c r="A8955" s="10" t="b">
        <v>0</v>
      </c>
      <c r="B8955" s="11" t="str">
        <f>IF(D8955&lt;&gt;"",IF(COUNTIF('USPTO TMs'!A:A,D8955)&gt;0,"Yes","No"),"")</f>
        <v/>
      </c>
      <c r="C8955" s="11"/>
      <c r="D8955" s="11"/>
      <c r="E8955" s="11"/>
      <c r="F8955" s="11"/>
      <c r="G8955" s="11"/>
      <c r="H8955" s="11"/>
      <c r="I8955" s="15"/>
    </row>
    <row r="8956" spans="1:9" ht="16.5">
      <c r="A8956" s="10" t="b">
        <v>0</v>
      </c>
      <c r="B8956" s="11" t="str">
        <f>IF(D8956&lt;&gt;"",IF(COUNTIF('USPTO TMs'!A:A,D8956)&gt;0,"Yes","No"),"")</f>
        <v/>
      </c>
      <c r="C8956" s="11"/>
      <c r="D8956" s="11"/>
      <c r="E8956" s="11"/>
      <c r="F8956" s="11"/>
      <c r="G8956" s="11"/>
      <c r="H8956" s="11"/>
      <c r="I8956" s="15"/>
    </row>
    <row r="8957" spans="1:9" ht="16.5">
      <c r="A8957" s="10" t="b">
        <v>0</v>
      </c>
      <c r="B8957" s="11" t="str">
        <f>IF(D8957&lt;&gt;"",IF(COUNTIF('USPTO TMs'!A:A,D8957)&gt;0,"Yes","No"),"")</f>
        <v/>
      </c>
      <c r="C8957" s="11"/>
      <c r="D8957" s="11"/>
      <c r="E8957" s="11"/>
      <c r="F8957" s="11"/>
      <c r="G8957" s="11"/>
      <c r="H8957" s="11"/>
      <c r="I8957" s="15"/>
    </row>
    <row r="8958" spans="1:9" ht="16.5">
      <c r="A8958" s="10" t="b">
        <v>0</v>
      </c>
      <c r="B8958" s="11" t="str">
        <f>IF(D8958&lt;&gt;"",IF(COUNTIF('USPTO TMs'!A:A,D8958)&gt;0,"Yes","No"),"")</f>
        <v/>
      </c>
      <c r="C8958" s="11"/>
      <c r="D8958" s="11"/>
      <c r="E8958" s="11"/>
      <c r="F8958" s="11"/>
      <c r="G8958" s="11"/>
      <c r="H8958" s="11"/>
      <c r="I8958" s="15"/>
    </row>
    <row r="8959" spans="1:9" ht="16.5">
      <c r="A8959" s="10" t="b">
        <v>0</v>
      </c>
      <c r="B8959" s="11" t="str">
        <f>IF(D8959&lt;&gt;"",IF(COUNTIF('USPTO TMs'!A:A,D8959)&gt;0,"Yes","No"),"")</f>
        <v/>
      </c>
      <c r="C8959" s="11"/>
      <c r="D8959" s="11"/>
      <c r="E8959" s="11"/>
      <c r="F8959" s="11"/>
      <c r="G8959" s="11"/>
      <c r="H8959" s="11"/>
      <c r="I8959" s="15"/>
    </row>
    <row r="8960" spans="1:9" ht="16.5">
      <c r="A8960" s="10" t="b">
        <v>0</v>
      </c>
      <c r="B8960" s="11" t="str">
        <f>IF(D8960&lt;&gt;"",IF(COUNTIF('USPTO TMs'!A:A,D8960)&gt;0,"Yes","No"),"")</f>
        <v/>
      </c>
      <c r="C8960" s="11"/>
      <c r="D8960" s="11"/>
      <c r="E8960" s="11"/>
      <c r="F8960" s="11"/>
      <c r="G8960" s="11"/>
      <c r="H8960" s="11"/>
      <c r="I8960" s="15"/>
    </row>
    <row r="8961" spans="1:9" ht="16.5">
      <c r="A8961" s="10" t="b">
        <v>0</v>
      </c>
      <c r="B8961" s="11" t="str">
        <f>IF(D8961&lt;&gt;"",IF(COUNTIF('USPTO TMs'!A:A,D8961)&gt;0,"Yes","No"),"")</f>
        <v/>
      </c>
      <c r="C8961" s="11"/>
      <c r="D8961" s="11"/>
      <c r="E8961" s="11"/>
      <c r="F8961" s="11"/>
      <c r="G8961" s="11"/>
      <c r="H8961" s="11"/>
      <c r="I8961" s="15"/>
    </row>
    <row r="8962" spans="1:9" ht="16.5">
      <c r="A8962" s="10" t="b">
        <v>0</v>
      </c>
      <c r="B8962" s="11" t="str">
        <f>IF(D8962&lt;&gt;"",IF(COUNTIF('USPTO TMs'!A:A,D8962)&gt;0,"Yes","No"),"")</f>
        <v/>
      </c>
      <c r="C8962" s="11"/>
      <c r="D8962" s="11"/>
      <c r="E8962" s="11"/>
      <c r="F8962" s="11"/>
      <c r="G8962" s="11"/>
      <c r="H8962" s="11"/>
      <c r="I8962" s="15"/>
    </row>
    <row r="8963" spans="1:9" ht="16.5">
      <c r="A8963" s="10" t="b">
        <v>0</v>
      </c>
      <c r="B8963" s="11" t="str">
        <f>IF(D8963&lt;&gt;"",IF(COUNTIF('USPTO TMs'!A:A,D8963)&gt;0,"Yes","No"),"")</f>
        <v/>
      </c>
      <c r="C8963" s="11"/>
      <c r="D8963" s="11"/>
      <c r="E8963" s="11"/>
      <c r="F8963" s="11"/>
      <c r="G8963" s="11"/>
      <c r="H8963" s="11"/>
      <c r="I8963" s="15"/>
    </row>
    <row r="8964" spans="1:9" ht="16.5">
      <c r="A8964" s="10" t="b">
        <v>0</v>
      </c>
      <c r="B8964" s="11" t="str">
        <f>IF(D8964&lt;&gt;"",IF(COUNTIF('USPTO TMs'!A:A,D8964)&gt;0,"Yes","No"),"")</f>
        <v/>
      </c>
      <c r="C8964" s="11"/>
      <c r="D8964" s="11"/>
      <c r="E8964" s="11"/>
      <c r="F8964" s="11"/>
      <c r="G8964" s="11"/>
      <c r="H8964" s="11"/>
      <c r="I8964" s="15"/>
    </row>
    <row r="8965" spans="1:9" ht="16.5">
      <c r="A8965" s="10" t="b">
        <v>0</v>
      </c>
      <c r="B8965" s="11" t="str">
        <f>IF(D8965&lt;&gt;"",IF(COUNTIF('USPTO TMs'!A:A,D8965)&gt;0,"Yes","No"),"")</f>
        <v/>
      </c>
      <c r="C8965" s="11"/>
      <c r="D8965" s="11"/>
      <c r="E8965" s="11"/>
      <c r="F8965" s="11"/>
      <c r="G8965" s="11"/>
      <c r="H8965" s="11"/>
      <c r="I8965" s="15"/>
    </row>
    <row r="8966" spans="1:9" ht="16.5">
      <c r="A8966" s="10" t="b">
        <v>0</v>
      </c>
      <c r="B8966" s="11" t="str">
        <f>IF(D8966&lt;&gt;"",IF(COUNTIF('USPTO TMs'!A:A,D8966)&gt;0,"Yes","No"),"")</f>
        <v/>
      </c>
      <c r="C8966" s="11"/>
      <c r="D8966" s="11"/>
      <c r="E8966" s="11"/>
      <c r="F8966" s="11"/>
      <c r="G8966" s="11"/>
      <c r="H8966" s="11"/>
      <c r="I8966" s="15"/>
    </row>
    <row r="8967" spans="1:9" ht="16.5">
      <c r="A8967" s="10" t="b">
        <v>0</v>
      </c>
      <c r="B8967" s="11" t="str">
        <f>IF(D8967&lt;&gt;"",IF(COUNTIF('USPTO TMs'!A:A,D8967)&gt;0,"Yes","No"),"")</f>
        <v/>
      </c>
      <c r="C8967" s="11"/>
      <c r="D8967" s="11"/>
      <c r="E8967" s="11"/>
      <c r="F8967" s="11"/>
      <c r="G8967" s="11"/>
      <c r="H8967" s="11"/>
      <c r="I8967" s="15"/>
    </row>
    <row r="8968" spans="1:9" ht="16.5">
      <c r="A8968" s="10" t="b">
        <v>0</v>
      </c>
      <c r="B8968" s="11" t="str">
        <f>IF(D8968&lt;&gt;"",IF(COUNTIF('USPTO TMs'!A:A,D8968)&gt;0,"Yes","No"),"")</f>
        <v/>
      </c>
      <c r="C8968" s="11"/>
      <c r="D8968" s="11"/>
      <c r="E8968" s="11"/>
      <c r="F8968" s="11"/>
      <c r="G8968" s="11"/>
      <c r="H8968" s="11"/>
      <c r="I8968" s="15"/>
    </row>
    <row r="8969" spans="1:9" ht="16.5">
      <c r="A8969" s="10" t="b">
        <v>0</v>
      </c>
      <c r="B8969" s="11" t="str">
        <f>IF(D8969&lt;&gt;"",IF(COUNTIF('USPTO TMs'!A:A,D8969)&gt;0,"Yes","No"),"")</f>
        <v/>
      </c>
      <c r="C8969" s="11"/>
      <c r="D8969" s="11"/>
      <c r="E8969" s="11"/>
      <c r="F8969" s="11"/>
      <c r="G8969" s="11"/>
      <c r="H8969" s="11"/>
      <c r="I8969" s="15"/>
    </row>
    <row r="8970" spans="1:9" ht="16.5">
      <c r="A8970" s="10" t="b">
        <v>0</v>
      </c>
      <c r="B8970" s="11" t="str">
        <f>IF(D8970&lt;&gt;"",IF(COUNTIF('USPTO TMs'!A:A,D8970)&gt;0,"Yes","No"),"")</f>
        <v/>
      </c>
      <c r="C8970" s="11"/>
      <c r="D8970" s="11"/>
      <c r="E8970" s="11"/>
      <c r="F8970" s="11"/>
      <c r="G8970" s="11"/>
      <c r="H8970" s="11"/>
      <c r="I8970" s="15"/>
    </row>
    <row r="8971" spans="1:9" ht="16.5">
      <c r="A8971" s="10" t="b">
        <v>0</v>
      </c>
      <c r="B8971" s="11" t="str">
        <f>IF(D8971&lt;&gt;"",IF(COUNTIF('USPTO TMs'!A:A,D8971)&gt;0,"Yes","No"),"")</f>
        <v/>
      </c>
      <c r="C8971" s="11"/>
      <c r="D8971" s="11"/>
      <c r="E8971" s="11"/>
      <c r="F8971" s="11"/>
      <c r="G8971" s="11"/>
      <c r="H8971" s="11"/>
      <c r="I8971" s="15"/>
    </row>
    <row r="8972" spans="1:9" ht="16.5">
      <c r="A8972" s="10" t="b">
        <v>0</v>
      </c>
      <c r="B8972" s="11" t="str">
        <f>IF(D8972&lt;&gt;"",IF(COUNTIF('USPTO TMs'!A:A,D8972)&gt;0,"Yes","No"),"")</f>
        <v/>
      </c>
      <c r="C8972" s="11"/>
      <c r="D8972" s="11"/>
      <c r="E8972" s="11"/>
      <c r="F8972" s="11"/>
      <c r="G8972" s="11"/>
      <c r="H8972" s="11"/>
      <c r="I8972" s="15"/>
    </row>
    <row r="8973" spans="1:9" ht="16.5">
      <c r="A8973" s="10" t="b">
        <v>0</v>
      </c>
      <c r="B8973" s="11" t="str">
        <f>IF(D8973&lt;&gt;"",IF(COUNTIF('USPTO TMs'!A:A,D8973)&gt;0,"Yes","No"),"")</f>
        <v/>
      </c>
      <c r="C8973" s="11"/>
      <c r="D8973" s="11"/>
      <c r="E8973" s="11"/>
      <c r="F8973" s="11"/>
      <c r="G8973" s="11"/>
      <c r="H8973" s="11"/>
      <c r="I8973" s="15"/>
    </row>
    <row r="8974" spans="1:9" ht="16.5">
      <c r="A8974" s="10" t="b">
        <v>0</v>
      </c>
      <c r="B8974" s="11" t="str">
        <f>IF(D8974&lt;&gt;"",IF(COUNTIF('USPTO TMs'!A:A,D8974)&gt;0,"Yes","No"),"")</f>
        <v/>
      </c>
      <c r="C8974" s="11"/>
      <c r="D8974" s="11"/>
      <c r="E8974" s="11"/>
      <c r="F8974" s="11"/>
      <c r="G8974" s="11"/>
      <c r="H8974" s="11"/>
      <c r="I8974" s="15"/>
    </row>
    <row r="8975" spans="1:9" ht="16.5">
      <c r="A8975" s="10" t="b">
        <v>0</v>
      </c>
      <c r="B8975" s="11" t="str">
        <f>IF(D8975&lt;&gt;"",IF(COUNTIF('USPTO TMs'!A:A,D8975)&gt;0,"Yes","No"),"")</f>
        <v/>
      </c>
      <c r="C8975" s="11"/>
      <c r="D8975" s="11"/>
      <c r="E8975" s="11"/>
      <c r="F8975" s="11"/>
      <c r="G8975" s="11"/>
      <c r="H8975" s="11"/>
      <c r="I8975" s="15"/>
    </row>
    <row r="8976" spans="1:9" ht="16.5">
      <c r="A8976" s="10" t="b">
        <v>0</v>
      </c>
      <c r="B8976" s="11" t="str">
        <f>IF(D8976&lt;&gt;"",IF(COUNTIF('USPTO TMs'!A:A,D8976)&gt;0,"Yes","No"),"")</f>
        <v/>
      </c>
      <c r="C8976" s="11"/>
      <c r="D8976" s="11"/>
      <c r="E8976" s="11"/>
      <c r="F8976" s="11"/>
      <c r="G8976" s="11"/>
      <c r="H8976" s="11"/>
      <c r="I8976" s="15"/>
    </row>
    <row r="8977" spans="1:9" ht="16.5">
      <c r="A8977" s="10" t="b">
        <v>0</v>
      </c>
      <c r="B8977" s="11" t="str">
        <f>IF(D8977&lt;&gt;"",IF(COUNTIF('USPTO TMs'!A:A,D8977)&gt;0,"Yes","No"),"")</f>
        <v/>
      </c>
      <c r="C8977" s="11"/>
      <c r="D8977" s="11"/>
      <c r="E8977" s="11"/>
      <c r="F8977" s="11"/>
      <c r="G8977" s="11"/>
      <c r="H8977" s="11"/>
      <c r="I8977" s="15"/>
    </row>
    <row r="8978" spans="1:9" ht="16.5">
      <c r="A8978" s="10" t="b">
        <v>0</v>
      </c>
      <c r="B8978" s="11" t="str">
        <f>IF(D8978&lt;&gt;"",IF(COUNTIF('USPTO TMs'!A:A,D8978)&gt;0,"Yes","No"),"")</f>
        <v/>
      </c>
      <c r="C8978" s="11"/>
      <c r="D8978" s="11"/>
      <c r="E8978" s="11"/>
      <c r="F8978" s="11"/>
      <c r="G8978" s="11"/>
      <c r="H8978" s="11"/>
      <c r="I8978" s="15"/>
    </row>
    <row r="8979" spans="1:9" ht="16.5">
      <c r="A8979" s="10" t="b">
        <v>0</v>
      </c>
      <c r="B8979" s="11" t="str">
        <f>IF(D8979&lt;&gt;"",IF(COUNTIF('USPTO TMs'!A:A,D8979)&gt;0,"Yes","No"),"")</f>
        <v/>
      </c>
      <c r="C8979" s="11"/>
      <c r="D8979" s="11"/>
      <c r="E8979" s="11"/>
      <c r="F8979" s="11"/>
      <c r="G8979" s="11"/>
      <c r="H8979" s="11"/>
      <c r="I8979" s="15"/>
    </row>
    <row r="8980" spans="1:9" ht="16.5">
      <c r="A8980" s="10" t="b">
        <v>0</v>
      </c>
      <c r="B8980" s="11" t="str">
        <f>IF(D8980&lt;&gt;"",IF(COUNTIF('USPTO TMs'!A:A,D8980)&gt;0,"Yes","No"),"")</f>
        <v/>
      </c>
      <c r="C8980" s="11"/>
      <c r="D8980" s="11"/>
      <c r="E8980" s="11"/>
      <c r="F8980" s="11"/>
      <c r="G8980" s="11"/>
      <c r="H8980" s="11"/>
      <c r="I8980" s="15"/>
    </row>
    <row r="8981" spans="1:9" ht="16.5">
      <c r="A8981" s="10" t="b">
        <v>0</v>
      </c>
      <c r="B8981" s="11" t="str">
        <f>IF(D8981&lt;&gt;"",IF(COUNTIF('USPTO TMs'!A:A,D8981)&gt;0,"Yes","No"),"")</f>
        <v/>
      </c>
      <c r="C8981" s="11"/>
      <c r="D8981" s="11"/>
      <c r="E8981" s="11"/>
      <c r="F8981" s="11"/>
      <c r="G8981" s="11"/>
      <c r="H8981" s="11"/>
      <c r="I8981" s="15"/>
    </row>
    <row r="8982" spans="1:9" ht="16.5">
      <c r="A8982" s="10" t="b">
        <v>0</v>
      </c>
      <c r="B8982" s="11" t="str">
        <f>IF(D8982&lt;&gt;"",IF(COUNTIF('USPTO TMs'!A:A,D8982)&gt;0,"Yes","No"),"")</f>
        <v/>
      </c>
      <c r="C8982" s="11"/>
      <c r="D8982" s="11"/>
      <c r="E8982" s="11"/>
      <c r="F8982" s="11"/>
      <c r="G8982" s="11"/>
      <c r="H8982" s="11"/>
      <c r="I8982" s="15"/>
    </row>
    <row r="8983" spans="1:9" ht="16.5">
      <c r="A8983" s="10" t="b">
        <v>0</v>
      </c>
      <c r="B8983" s="11" t="str">
        <f>IF(D8983&lt;&gt;"",IF(COUNTIF('USPTO TMs'!A:A,D8983)&gt;0,"Yes","No"),"")</f>
        <v/>
      </c>
      <c r="C8983" s="11"/>
      <c r="D8983" s="11"/>
      <c r="E8983" s="11"/>
      <c r="F8983" s="11"/>
      <c r="G8983" s="11"/>
      <c r="H8983" s="11"/>
      <c r="I8983" s="15"/>
    </row>
    <row r="8984" spans="1:9" ht="16.5">
      <c r="A8984" s="10" t="b">
        <v>0</v>
      </c>
      <c r="B8984" s="11" t="str">
        <f>IF(D8984&lt;&gt;"",IF(COUNTIF('USPTO TMs'!A:A,D8984)&gt;0,"Yes","No"),"")</f>
        <v/>
      </c>
      <c r="C8984" s="11"/>
      <c r="D8984" s="11"/>
      <c r="E8984" s="11"/>
      <c r="F8984" s="11"/>
      <c r="G8984" s="11"/>
      <c r="H8984" s="11"/>
      <c r="I8984" s="15"/>
    </row>
    <row r="8985" spans="1:9" ht="16.5">
      <c r="A8985" s="10" t="b">
        <v>0</v>
      </c>
      <c r="B8985" s="11" t="str">
        <f>IF(D8985&lt;&gt;"",IF(COUNTIF('USPTO TMs'!A:A,D8985)&gt;0,"Yes","No"),"")</f>
        <v/>
      </c>
      <c r="C8985" s="11"/>
      <c r="D8985" s="11"/>
      <c r="E8985" s="11"/>
      <c r="F8985" s="11"/>
      <c r="G8985" s="11"/>
      <c r="H8985" s="11"/>
      <c r="I8985" s="15"/>
    </row>
    <row r="8986" spans="1:9" ht="16.5">
      <c r="A8986" s="10" t="b">
        <v>0</v>
      </c>
      <c r="B8986" s="11" t="str">
        <f>IF(D8986&lt;&gt;"",IF(COUNTIF('USPTO TMs'!A:A,D8986)&gt;0,"Yes","No"),"")</f>
        <v/>
      </c>
      <c r="C8986" s="11"/>
      <c r="D8986" s="11"/>
      <c r="E8986" s="11"/>
      <c r="F8986" s="11"/>
      <c r="G8986" s="11"/>
      <c r="H8986" s="11"/>
      <c r="I8986" s="15"/>
    </row>
    <row r="8987" spans="1:9" ht="16.5">
      <c r="A8987" s="10" t="b">
        <v>0</v>
      </c>
      <c r="B8987" s="11" t="str">
        <f>IF(D8987&lt;&gt;"",IF(COUNTIF('USPTO TMs'!A:A,D8987)&gt;0,"Yes","No"),"")</f>
        <v/>
      </c>
      <c r="C8987" s="11"/>
      <c r="D8987" s="11"/>
      <c r="E8987" s="11"/>
      <c r="F8987" s="11"/>
      <c r="G8987" s="11"/>
      <c r="H8987" s="11"/>
      <c r="I8987" s="15"/>
    </row>
    <row r="8988" spans="1:9" ht="16.5">
      <c r="A8988" s="10" t="b">
        <v>0</v>
      </c>
      <c r="B8988" s="11" t="str">
        <f>IF(D8988&lt;&gt;"",IF(COUNTIF('USPTO TMs'!A:A,D8988)&gt;0,"Yes","No"),"")</f>
        <v/>
      </c>
      <c r="C8988" s="11"/>
      <c r="D8988" s="11"/>
      <c r="E8988" s="11"/>
      <c r="F8988" s="11"/>
      <c r="G8988" s="11"/>
      <c r="H8988" s="11"/>
      <c r="I8988" s="15"/>
    </row>
    <row r="8989" spans="1:9" ht="16.5">
      <c r="A8989" s="10" t="b">
        <v>0</v>
      </c>
      <c r="B8989" s="11" t="str">
        <f>IF(D8989&lt;&gt;"",IF(COUNTIF('USPTO TMs'!A:A,D8989)&gt;0,"Yes","No"),"")</f>
        <v/>
      </c>
      <c r="C8989" s="11"/>
      <c r="D8989" s="11"/>
      <c r="E8989" s="11"/>
      <c r="F8989" s="11"/>
      <c r="G8989" s="11"/>
      <c r="H8989" s="11"/>
      <c r="I8989" s="15"/>
    </row>
    <row r="8990" spans="1:9" ht="16.5">
      <c r="A8990" s="10" t="b">
        <v>0</v>
      </c>
      <c r="B8990" s="11" t="str">
        <f>IF(D8990&lt;&gt;"",IF(COUNTIF('USPTO TMs'!A:A,D8990)&gt;0,"Yes","No"),"")</f>
        <v/>
      </c>
      <c r="C8990" s="11"/>
      <c r="D8990" s="11"/>
      <c r="E8990" s="11"/>
      <c r="F8990" s="11"/>
      <c r="G8990" s="11"/>
      <c r="H8990" s="11"/>
      <c r="I8990" s="15"/>
    </row>
    <row r="8991" spans="1:9" ht="16.5">
      <c r="A8991" s="10" t="b">
        <v>0</v>
      </c>
      <c r="B8991" s="11" t="str">
        <f>IF(D8991&lt;&gt;"",IF(COUNTIF('USPTO TMs'!A:A,D8991)&gt;0,"Yes","No"),"")</f>
        <v/>
      </c>
      <c r="C8991" s="11"/>
      <c r="D8991" s="11"/>
      <c r="E8991" s="11"/>
      <c r="F8991" s="11"/>
      <c r="G8991" s="11"/>
      <c r="H8991" s="11"/>
      <c r="I8991" s="15"/>
    </row>
    <row r="8992" spans="1:9" ht="16.5">
      <c r="A8992" s="10" t="b">
        <v>0</v>
      </c>
      <c r="B8992" s="11" t="str">
        <f>IF(D8992&lt;&gt;"",IF(COUNTIF('USPTO TMs'!A:A,D8992)&gt;0,"Yes","No"),"")</f>
        <v/>
      </c>
      <c r="C8992" s="11"/>
      <c r="D8992" s="11"/>
      <c r="E8992" s="11"/>
      <c r="F8992" s="11"/>
      <c r="G8992" s="11"/>
      <c r="H8992" s="11"/>
      <c r="I8992" s="15"/>
    </row>
    <row r="8993" spans="1:9" ht="16.5">
      <c r="A8993" s="10" t="b">
        <v>0</v>
      </c>
      <c r="B8993" s="11" t="str">
        <f>IF(D8993&lt;&gt;"",IF(COUNTIF('USPTO TMs'!A:A,D8993)&gt;0,"Yes","No"),"")</f>
        <v/>
      </c>
      <c r="C8993" s="11"/>
      <c r="D8993" s="11"/>
      <c r="E8993" s="11"/>
      <c r="F8993" s="11"/>
      <c r="G8993" s="11"/>
      <c r="H8993" s="11"/>
      <c r="I8993" s="15"/>
    </row>
    <row r="8994" spans="1:9" ht="16.5">
      <c r="A8994" s="10" t="b">
        <v>0</v>
      </c>
      <c r="B8994" s="11" t="str">
        <f>IF(D8994&lt;&gt;"",IF(COUNTIF('USPTO TMs'!A:A,D8994)&gt;0,"Yes","No"),"")</f>
        <v/>
      </c>
      <c r="C8994" s="11"/>
      <c r="D8994" s="11"/>
      <c r="E8994" s="11"/>
      <c r="F8994" s="11"/>
      <c r="G8994" s="11"/>
      <c r="H8994" s="11"/>
      <c r="I8994" s="15"/>
    </row>
    <row r="8995" spans="1:9" ht="16.5">
      <c r="A8995" s="10" t="b">
        <v>0</v>
      </c>
      <c r="B8995" s="11" t="str">
        <f>IF(D8995&lt;&gt;"",IF(COUNTIF('USPTO TMs'!A:A,D8995)&gt;0,"Yes","No"),"")</f>
        <v/>
      </c>
      <c r="C8995" s="11"/>
      <c r="D8995" s="11"/>
      <c r="E8995" s="11"/>
      <c r="F8995" s="11"/>
      <c r="G8995" s="11"/>
      <c r="H8995" s="11"/>
      <c r="I8995" s="15"/>
    </row>
    <row r="8996" spans="1:9" ht="16.5">
      <c r="A8996" s="10" t="b">
        <v>0</v>
      </c>
      <c r="B8996" s="11" t="str">
        <f>IF(D8996&lt;&gt;"",IF(COUNTIF('USPTO TMs'!A:A,D8996)&gt;0,"Yes","No"),"")</f>
        <v/>
      </c>
      <c r="C8996" s="11"/>
      <c r="D8996" s="11"/>
      <c r="E8996" s="11"/>
      <c r="F8996" s="11"/>
      <c r="G8996" s="11"/>
      <c r="H8996" s="11"/>
      <c r="I8996" s="15"/>
    </row>
    <row r="8997" spans="1:9" ht="16.5">
      <c r="A8997" s="10" t="b">
        <v>0</v>
      </c>
      <c r="B8997" s="11" t="str">
        <f>IF(D8997&lt;&gt;"",IF(COUNTIF('USPTO TMs'!A:A,D8997)&gt;0,"Yes","No"),"")</f>
        <v/>
      </c>
      <c r="C8997" s="11"/>
      <c r="D8997" s="11"/>
      <c r="E8997" s="11"/>
      <c r="F8997" s="11"/>
      <c r="G8997" s="11"/>
      <c r="H8997" s="11"/>
      <c r="I8997" s="15"/>
    </row>
    <row r="8998" spans="1:9" ht="16.5">
      <c r="A8998" s="10" t="b">
        <v>0</v>
      </c>
      <c r="B8998" s="11" t="str">
        <f>IF(D8998&lt;&gt;"",IF(COUNTIF('USPTO TMs'!A:A,D8998)&gt;0,"Yes","No"),"")</f>
        <v/>
      </c>
      <c r="C8998" s="11"/>
      <c r="D8998" s="11"/>
      <c r="E8998" s="11"/>
      <c r="F8998" s="11"/>
      <c r="G8998" s="11"/>
      <c r="H8998" s="11"/>
      <c r="I8998" s="15"/>
    </row>
    <row r="8999" spans="1:9" ht="16.5">
      <c r="A8999" s="10" t="b">
        <v>0</v>
      </c>
      <c r="B8999" s="11" t="str">
        <f>IF(D8999&lt;&gt;"",IF(COUNTIF('USPTO TMs'!A:A,D8999)&gt;0,"Yes","No"),"")</f>
        <v/>
      </c>
      <c r="C8999" s="11"/>
      <c r="D8999" s="11"/>
      <c r="E8999" s="11"/>
      <c r="F8999" s="11"/>
      <c r="G8999" s="11"/>
      <c r="H8999" s="11"/>
      <c r="I8999" s="15"/>
    </row>
    <row r="9000" spans="1:9" ht="16.5">
      <c r="A9000" s="10" t="b">
        <v>0</v>
      </c>
      <c r="B9000" s="11" t="str">
        <f>IF(D9000&lt;&gt;"",IF(COUNTIF('USPTO TMs'!A:A,D9000)&gt;0,"Yes","No"),"")</f>
        <v/>
      </c>
      <c r="C9000" s="11"/>
      <c r="D9000" s="11"/>
      <c r="E9000" s="11"/>
      <c r="F9000" s="11"/>
      <c r="G9000" s="11"/>
      <c r="H9000" s="11"/>
      <c r="I9000" s="15"/>
    </row>
    <row r="9001" spans="1:9" ht="16.5">
      <c r="A9001" s="10" t="b">
        <v>0</v>
      </c>
      <c r="B9001" s="11" t="str">
        <f>IF(D9001&lt;&gt;"",IF(COUNTIF('USPTO TMs'!A:A,D9001)&gt;0,"Yes","No"),"")</f>
        <v/>
      </c>
      <c r="C9001" s="11"/>
      <c r="D9001" s="11"/>
      <c r="E9001" s="11"/>
      <c r="F9001" s="11"/>
      <c r="G9001" s="11"/>
      <c r="H9001" s="11"/>
      <c r="I9001" s="15"/>
    </row>
    <row r="9002" spans="1:9" ht="16.5">
      <c r="A9002" s="10" t="b">
        <v>0</v>
      </c>
      <c r="B9002" s="11" t="str">
        <f>IF(D9002&lt;&gt;"",IF(COUNTIF('USPTO TMs'!A:A,D9002)&gt;0,"Yes","No"),"")</f>
        <v/>
      </c>
      <c r="C9002" s="11"/>
      <c r="D9002" s="11"/>
      <c r="E9002" s="11"/>
      <c r="F9002" s="11"/>
      <c r="G9002" s="11"/>
      <c r="H9002" s="11"/>
      <c r="I9002" s="15"/>
    </row>
    <row r="9003" spans="1:9" ht="16.5">
      <c r="A9003" s="10" t="b">
        <v>0</v>
      </c>
      <c r="B9003" s="11" t="str">
        <f>IF(D9003&lt;&gt;"",IF(COUNTIF('USPTO TMs'!A:A,D9003)&gt;0,"Yes","No"),"")</f>
        <v/>
      </c>
      <c r="C9003" s="11"/>
      <c r="D9003" s="11"/>
      <c r="E9003" s="11"/>
      <c r="F9003" s="11"/>
      <c r="G9003" s="11"/>
      <c r="H9003" s="11"/>
      <c r="I9003" s="15"/>
    </row>
    <row r="9004" spans="1:9" ht="16.5">
      <c r="A9004" s="10" t="b">
        <v>0</v>
      </c>
      <c r="B9004" s="11" t="str">
        <f>IF(D9004&lt;&gt;"",IF(COUNTIF('USPTO TMs'!A:A,D9004)&gt;0,"Yes","No"),"")</f>
        <v/>
      </c>
      <c r="C9004" s="11"/>
      <c r="D9004" s="11"/>
      <c r="E9004" s="11"/>
      <c r="F9004" s="11"/>
      <c r="G9004" s="11"/>
      <c r="H9004" s="11"/>
      <c r="I9004" s="15"/>
    </row>
    <row r="9005" spans="1:9" ht="16.5">
      <c r="A9005" s="10" t="b">
        <v>0</v>
      </c>
      <c r="B9005" s="11" t="str">
        <f>IF(D9005&lt;&gt;"",IF(COUNTIF('USPTO TMs'!A:A,D9005)&gt;0,"Yes","No"),"")</f>
        <v/>
      </c>
      <c r="C9005" s="11"/>
      <c r="D9005" s="11"/>
      <c r="E9005" s="11"/>
      <c r="F9005" s="11"/>
      <c r="G9005" s="11"/>
      <c r="H9005" s="11"/>
      <c r="I9005" s="15"/>
    </row>
    <row r="9006" spans="1:9" ht="16.5">
      <c r="A9006" s="10" t="b">
        <v>0</v>
      </c>
      <c r="B9006" s="11" t="str">
        <f>IF(D9006&lt;&gt;"",IF(COUNTIF('USPTO TMs'!A:A,D9006)&gt;0,"Yes","No"),"")</f>
        <v/>
      </c>
      <c r="C9006" s="11"/>
      <c r="D9006" s="11"/>
      <c r="E9006" s="11"/>
      <c r="F9006" s="11"/>
      <c r="G9006" s="11"/>
      <c r="H9006" s="11"/>
      <c r="I9006" s="15"/>
    </row>
    <row r="9007" spans="1:9" ht="16.5">
      <c r="A9007" s="10" t="b">
        <v>0</v>
      </c>
      <c r="B9007" s="11" t="str">
        <f>IF(D9007&lt;&gt;"",IF(COUNTIF('USPTO TMs'!A:A,D9007)&gt;0,"Yes","No"),"")</f>
        <v/>
      </c>
      <c r="C9007" s="11"/>
      <c r="D9007" s="11"/>
      <c r="E9007" s="11"/>
      <c r="F9007" s="11"/>
      <c r="G9007" s="11"/>
      <c r="H9007" s="11"/>
      <c r="I9007" s="15"/>
    </row>
    <row r="9008" spans="1:9" ht="16.5">
      <c r="A9008" s="10" t="b">
        <v>0</v>
      </c>
      <c r="B9008" s="11" t="str">
        <f>IF(D9008&lt;&gt;"",IF(COUNTIF('USPTO TMs'!A:A,D9008)&gt;0,"Yes","No"),"")</f>
        <v/>
      </c>
      <c r="C9008" s="11"/>
      <c r="D9008" s="11"/>
      <c r="E9008" s="11"/>
      <c r="F9008" s="11"/>
      <c r="G9008" s="11"/>
      <c r="H9008" s="11"/>
      <c r="I9008" s="15"/>
    </row>
    <row r="9009" spans="1:9" ht="16.5">
      <c r="A9009" s="10" t="b">
        <v>0</v>
      </c>
      <c r="B9009" s="11" t="str">
        <f>IF(D9009&lt;&gt;"",IF(COUNTIF('USPTO TMs'!A:A,D9009)&gt;0,"Yes","No"),"")</f>
        <v/>
      </c>
      <c r="C9009" s="11"/>
      <c r="D9009" s="11"/>
      <c r="E9009" s="11"/>
      <c r="F9009" s="11"/>
      <c r="G9009" s="11"/>
      <c r="H9009" s="11"/>
      <c r="I9009" s="15"/>
    </row>
    <row r="9010" spans="1:9" ht="16.5">
      <c r="A9010" s="10" t="b">
        <v>0</v>
      </c>
      <c r="B9010" s="11" t="str">
        <f>IF(D9010&lt;&gt;"",IF(COUNTIF('USPTO TMs'!A:A,D9010)&gt;0,"Yes","No"),"")</f>
        <v/>
      </c>
      <c r="C9010" s="11"/>
      <c r="D9010" s="11"/>
      <c r="E9010" s="11"/>
      <c r="F9010" s="11"/>
      <c r="G9010" s="11"/>
      <c r="H9010" s="11"/>
      <c r="I9010" s="15"/>
    </row>
    <row r="9011" spans="1:9" ht="16.5">
      <c r="A9011" s="10" t="b">
        <v>0</v>
      </c>
      <c r="B9011" s="11" t="str">
        <f>IF(D9011&lt;&gt;"",IF(COUNTIF('USPTO TMs'!A:A,D9011)&gt;0,"Yes","No"),"")</f>
        <v/>
      </c>
      <c r="C9011" s="11"/>
      <c r="D9011" s="11"/>
      <c r="E9011" s="11"/>
      <c r="F9011" s="11"/>
      <c r="G9011" s="11"/>
      <c r="H9011" s="11"/>
      <c r="I9011" s="15"/>
    </row>
    <row r="9012" spans="1:9" ht="16.5">
      <c r="A9012" s="10" t="b">
        <v>0</v>
      </c>
      <c r="B9012" s="11" t="str">
        <f>IF(D9012&lt;&gt;"",IF(COUNTIF('USPTO TMs'!A:A,D9012)&gt;0,"Yes","No"),"")</f>
        <v/>
      </c>
      <c r="C9012" s="11"/>
      <c r="D9012" s="11"/>
      <c r="E9012" s="11"/>
      <c r="F9012" s="11"/>
      <c r="G9012" s="11"/>
      <c r="H9012" s="11"/>
      <c r="I9012" s="15"/>
    </row>
    <row r="9013" spans="1:9" ht="16.5">
      <c r="A9013" s="10" t="b">
        <v>0</v>
      </c>
      <c r="B9013" s="11" t="str">
        <f>IF(D9013&lt;&gt;"",IF(COUNTIF('USPTO TMs'!A:A,D9013)&gt;0,"Yes","No"),"")</f>
        <v/>
      </c>
      <c r="C9013" s="11"/>
      <c r="D9013" s="11"/>
      <c r="E9013" s="11"/>
      <c r="F9013" s="11"/>
      <c r="G9013" s="11"/>
      <c r="H9013" s="11"/>
      <c r="I9013" s="15"/>
    </row>
    <row r="9014" spans="1:9" ht="16.5">
      <c r="A9014" s="10" t="b">
        <v>0</v>
      </c>
      <c r="B9014" s="11" t="str">
        <f>IF(D9014&lt;&gt;"",IF(COUNTIF('USPTO TMs'!A:A,D9014)&gt;0,"Yes","No"),"")</f>
        <v/>
      </c>
      <c r="C9014" s="11"/>
      <c r="D9014" s="11"/>
      <c r="E9014" s="11"/>
      <c r="F9014" s="11"/>
      <c r="G9014" s="11"/>
      <c r="H9014" s="11"/>
      <c r="I9014" s="15"/>
    </row>
    <row r="9015" spans="1:9" ht="16.5">
      <c r="A9015" s="10" t="b">
        <v>0</v>
      </c>
      <c r="B9015" s="11" t="str">
        <f>IF(D9015&lt;&gt;"",IF(COUNTIF('USPTO TMs'!A:A,D9015)&gt;0,"Yes","No"),"")</f>
        <v/>
      </c>
      <c r="C9015" s="11"/>
      <c r="D9015" s="11"/>
      <c r="E9015" s="11"/>
      <c r="F9015" s="11"/>
      <c r="G9015" s="11"/>
      <c r="H9015" s="11"/>
      <c r="I9015" s="15"/>
    </row>
    <row r="9016" spans="1:9" ht="16.5">
      <c r="A9016" s="10" t="b">
        <v>0</v>
      </c>
      <c r="B9016" s="11" t="str">
        <f>IF(D9016&lt;&gt;"",IF(COUNTIF('USPTO TMs'!A:A,D9016)&gt;0,"Yes","No"),"")</f>
        <v/>
      </c>
      <c r="C9016" s="11"/>
      <c r="D9016" s="11"/>
      <c r="E9016" s="11"/>
      <c r="F9016" s="11"/>
      <c r="G9016" s="11"/>
      <c r="H9016" s="11"/>
      <c r="I9016" s="15"/>
    </row>
    <row r="9017" spans="1:9" ht="16.5">
      <c r="A9017" s="10" t="b">
        <v>0</v>
      </c>
      <c r="B9017" s="11" t="str">
        <f>IF(D9017&lt;&gt;"",IF(COUNTIF('USPTO TMs'!A:A,D9017)&gt;0,"Yes","No"),"")</f>
        <v/>
      </c>
      <c r="C9017" s="11"/>
      <c r="D9017" s="11"/>
      <c r="E9017" s="11"/>
      <c r="F9017" s="11"/>
      <c r="G9017" s="11"/>
      <c r="H9017" s="11"/>
      <c r="I9017" s="15"/>
    </row>
    <row r="9018" spans="1:9" ht="16.5">
      <c r="A9018" s="10" t="b">
        <v>0</v>
      </c>
      <c r="B9018" s="11" t="str">
        <f>IF(D9018&lt;&gt;"",IF(COUNTIF('USPTO TMs'!A:A,D9018)&gt;0,"Yes","No"),"")</f>
        <v/>
      </c>
      <c r="C9018" s="11"/>
      <c r="D9018" s="11"/>
      <c r="E9018" s="11"/>
      <c r="F9018" s="11"/>
      <c r="G9018" s="11"/>
      <c r="H9018" s="11"/>
      <c r="I9018" s="15"/>
    </row>
    <row r="9019" spans="1:9" ht="16.5">
      <c r="A9019" s="10" t="b">
        <v>0</v>
      </c>
      <c r="B9019" s="11" t="str">
        <f>IF(D9019&lt;&gt;"",IF(COUNTIF('USPTO TMs'!A:A,D9019)&gt;0,"Yes","No"),"")</f>
        <v/>
      </c>
      <c r="C9019" s="11"/>
      <c r="D9019" s="11"/>
      <c r="E9019" s="11"/>
      <c r="F9019" s="11"/>
      <c r="G9019" s="11"/>
      <c r="H9019" s="11"/>
      <c r="I9019" s="15"/>
    </row>
    <row r="9020" spans="1:9" ht="16.5">
      <c r="A9020" s="10" t="b">
        <v>0</v>
      </c>
      <c r="B9020" s="11" t="str">
        <f>IF(D9020&lt;&gt;"",IF(COUNTIF('USPTO TMs'!A:A,D9020)&gt;0,"Yes","No"),"")</f>
        <v/>
      </c>
      <c r="C9020" s="11"/>
      <c r="D9020" s="11"/>
      <c r="E9020" s="11"/>
      <c r="F9020" s="11"/>
      <c r="G9020" s="11"/>
      <c r="H9020" s="11"/>
      <c r="I9020" s="15"/>
    </row>
    <row r="9021" spans="1:9" ht="16.5">
      <c r="A9021" s="10" t="b">
        <v>0</v>
      </c>
      <c r="B9021" s="11" t="str">
        <f>IF(D9021&lt;&gt;"",IF(COUNTIF('USPTO TMs'!A:A,D9021)&gt;0,"Yes","No"),"")</f>
        <v/>
      </c>
      <c r="C9021" s="11"/>
      <c r="D9021" s="11"/>
      <c r="E9021" s="11"/>
      <c r="F9021" s="11"/>
      <c r="G9021" s="11"/>
      <c r="H9021" s="11"/>
      <c r="I9021" s="15"/>
    </row>
    <row r="9022" spans="1:9" ht="16.5">
      <c r="A9022" s="10" t="b">
        <v>0</v>
      </c>
      <c r="B9022" s="11" t="str">
        <f>IF(D9022&lt;&gt;"",IF(COUNTIF('USPTO TMs'!A:A,D9022)&gt;0,"Yes","No"),"")</f>
        <v/>
      </c>
      <c r="C9022" s="11"/>
      <c r="D9022" s="11"/>
      <c r="E9022" s="11"/>
      <c r="F9022" s="11"/>
      <c r="G9022" s="11"/>
      <c r="H9022" s="11"/>
      <c r="I9022" s="15"/>
    </row>
    <row r="9023" spans="1:9" ht="16.5">
      <c r="A9023" s="10" t="b">
        <v>0</v>
      </c>
      <c r="B9023" s="11" t="str">
        <f>IF(D9023&lt;&gt;"",IF(COUNTIF('USPTO TMs'!A:A,D9023)&gt;0,"Yes","No"),"")</f>
        <v/>
      </c>
      <c r="C9023" s="11"/>
      <c r="D9023" s="11"/>
      <c r="E9023" s="11"/>
      <c r="F9023" s="11"/>
      <c r="G9023" s="11"/>
      <c r="H9023" s="11"/>
      <c r="I9023" s="15"/>
    </row>
    <row r="9024" spans="1:9" ht="16.5">
      <c r="A9024" s="10" t="b">
        <v>0</v>
      </c>
      <c r="B9024" s="11" t="str">
        <f>IF(D9024&lt;&gt;"",IF(COUNTIF('USPTO TMs'!A:A,D9024)&gt;0,"Yes","No"),"")</f>
        <v/>
      </c>
      <c r="C9024" s="11"/>
      <c r="D9024" s="11"/>
      <c r="E9024" s="11"/>
      <c r="F9024" s="11"/>
      <c r="G9024" s="11"/>
      <c r="H9024" s="11"/>
      <c r="I9024" s="15"/>
    </row>
    <row r="9025" spans="1:9" ht="16.5">
      <c r="A9025" s="10" t="b">
        <v>0</v>
      </c>
      <c r="B9025" s="11" t="str">
        <f>IF(D9025&lt;&gt;"",IF(COUNTIF('USPTO TMs'!A:A,D9025)&gt;0,"Yes","No"),"")</f>
        <v/>
      </c>
      <c r="C9025" s="11"/>
      <c r="D9025" s="11"/>
      <c r="E9025" s="11"/>
      <c r="F9025" s="11"/>
      <c r="G9025" s="11"/>
      <c r="H9025" s="11"/>
      <c r="I9025" s="15"/>
    </row>
    <row r="9026" spans="1:9" ht="16.5">
      <c r="A9026" s="10" t="b">
        <v>0</v>
      </c>
      <c r="B9026" s="11" t="str">
        <f>IF(D9026&lt;&gt;"",IF(COUNTIF('USPTO TMs'!A:A,D9026)&gt;0,"Yes","No"),"")</f>
        <v/>
      </c>
      <c r="C9026" s="11"/>
      <c r="D9026" s="11"/>
      <c r="E9026" s="11"/>
      <c r="F9026" s="11"/>
      <c r="G9026" s="11"/>
      <c r="H9026" s="11"/>
      <c r="I9026" s="15"/>
    </row>
    <row r="9027" spans="1:9" ht="16.5">
      <c r="A9027" s="10" t="b">
        <v>0</v>
      </c>
      <c r="B9027" s="11" t="str">
        <f>IF(D9027&lt;&gt;"",IF(COUNTIF('USPTO TMs'!A:A,D9027)&gt;0,"Yes","No"),"")</f>
        <v/>
      </c>
      <c r="C9027" s="11"/>
      <c r="D9027" s="11"/>
      <c r="E9027" s="11"/>
      <c r="F9027" s="11"/>
      <c r="G9027" s="11"/>
      <c r="H9027" s="11"/>
      <c r="I9027" s="15"/>
    </row>
    <row r="9028" spans="1:9" ht="16.5">
      <c r="A9028" s="10" t="b">
        <v>0</v>
      </c>
      <c r="B9028" s="11" t="str">
        <f>IF(D9028&lt;&gt;"",IF(COUNTIF('USPTO TMs'!A:A,D9028)&gt;0,"Yes","No"),"")</f>
        <v/>
      </c>
      <c r="C9028" s="11"/>
      <c r="D9028" s="11"/>
      <c r="E9028" s="11"/>
      <c r="F9028" s="11"/>
      <c r="G9028" s="11"/>
      <c r="H9028" s="11"/>
      <c r="I9028" s="15"/>
    </row>
    <row r="9029" spans="1:9" ht="16.5">
      <c r="A9029" s="10" t="b">
        <v>0</v>
      </c>
      <c r="B9029" s="11" t="str">
        <f>IF(D9029&lt;&gt;"",IF(COUNTIF('USPTO TMs'!A:A,D9029)&gt;0,"Yes","No"),"")</f>
        <v/>
      </c>
      <c r="C9029" s="11"/>
      <c r="D9029" s="11"/>
      <c r="E9029" s="11"/>
      <c r="F9029" s="11"/>
      <c r="G9029" s="11"/>
      <c r="H9029" s="11"/>
      <c r="I9029" s="15"/>
    </row>
    <row r="9030" spans="1:9" ht="16.5">
      <c r="A9030" s="10" t="b">
        <v>0</v>
      </c>
      <c r="B9030" s="11" t="str">
        <f>IF(D9030&lt;&gt;"",IF(COUNTIF('USPTO TMs'!A:A,D9030)&gt;0,"Yes","No"),"")</f>
        <v/>
      </c>
      <c r="C9030" s="11"/>
      <c r="D9030" s="11"/>
      <c r="E9030" s="11"/>
      <c r="F9030" s="11"/>
      <c r="G9030" s="11"/>
      <c r="H9030" s="11"/>
      <c r="I9030" s="15"/>
    </row>
    <row r="9031" spans="1:9" ht="16.5">
      <c r="A9031" s="10" t="b">
        <v>0</v>
      </c>
      <c r="B9031" s="11" t="str">
        <f>IF(D9031&lt;&gt;"",IF(COUNTIF('USPTO TMs'!A:A,D9031)&gt;0,"Yes","No"),"")</f>
        <v/>
      </c>
      <c r="C9031" s="11"/>
      <c r="D9031" s="11"/>
      <c r="E9031" s="11"/>
      <c r="F9031" s="11"/>
      <c r="G9031" s="11"/>
      <c r="H9031" s="11"/>
      <c r="I9031" s="15"/>
    </row>
    <row r="9032" spans="1:9" ht="16.5">
      <c r="A9032" s="10" t="b">
        <v>0</v>
      </c>
      <c r="B9032" s="11" t="str">
        <f>IF(D9032&lt;&gt;"",IF(COUNTIF('USPTO TMs'!A:A,D9032)&gt;0,"Yes","No"),"")</f>
        <v/>
      </c>
      <c r="C9032" s="11"/>
      <c r="D9032" s="11"/>
      <c r="E9032" s="11"/>
      <c r="F9032" s="11"/>
      <c r="G9032" s="11"/>
      <c r="H9032" s="11"/>
      <c r="I9032" s="15"/>
    </row>
    <row r="9033" spans="1:9" ht="16.5">
      <c r="A9033" s="10" t="b">
        <v>0</v>
      </c>
      <c r="B9033" s="11" t="str">
        <f>IF(D9033&lt;&gt;"",IF(COUNTIF('USPTO TMs'!A:A,D9033)&gt;0,"Yes","No"),"")</f>
        <v/>
      </c>
      <c r="C9033" s="11"/>
      <c r="D9033" s="11"/>
      <c r="E9033" s="11"/>
      <c r="F9033" s="11"/>
      <c r="G9033" s="11"/>
      <c r="H9033" s="11"/>
      <c r="I9033" s="15"/>
    </row>
    <row r="9034" spans="1:9" ht="16.5">
      <c r="A9034" s="10" t="b">
        <v>0</v>
      </c>
      <c r="B9034" s="11" t="str">
        <f>IF(D9034&lt;&gt;"",IF(COUNTIF('USPTO TMs'!A:A,D9034)&gt;0,"Yes","No"),"")</f>
        <v/>
      </c>
      <c r="C9034" s="11"/>
      <c r="D9034" s="11"/>
      <c r="E9034" s="11"/>
      <c r="F9034" s="11"/>
      <c r="G9034" s="11"/>
      <c r="H9034" s="11"/>
      <c r="I9034" s="15"/>
    </row>
    <row r="9035" spans="1:9" ht="16.5">
      <c r="A9035" s="10" t="b">
        <v>0</v>
      </c>
      <c r="B9035" s="11" t="str">
        <f>IF(D9035&lt;&gt;"",IF(COUNTIF('USPTO TMs'!A:A,D9035)&gt;0,"Yes","No"),"")</f>
        <v/>
      </c>
      <c r="C9035" s="11"/>
      <c r="D9035" s="11"/>
      <c r="E9035" s="11"/>
      <c r="F9035" s="11"/>
      <c r="G9035" s="11"/>
      <c r="H9035" s="11"/>
      <c r="I9035" s="15"/>
    </row>
    <row r="9036" spans="1:9" ht="16.5">
      <c r="A9036" s="10" t="b">
        <v>0</v>
      </c>
      <c r="B9036" s="11" t="str">
        <f>IF(D9036&lt;&gt;"",IF(COUNTIF('USPTO TMs'!A:A,D9036)&gt;0,"Yes","No"),"")</f>
        <v/>
      </c>
      <c r="C9036" s="11"/>
      <c r="D9036" s="11"/>
      <c r="E9036" s="11"/>
      <c r="F9036" s="11"/>
      <c r="G9036" s="11"/>
      <c r="H9036" s="11"/>
      <c r="I9036" s="15"/>
    </row>
    <row r="9037" spans="1:9" ht="16.5">
      <c r="A9037" s="10" t="b">
        <v>0</v>
      </c>
      <c r="B9037" s="11" t="str">
        <f>IF(D9037&lt;&gt;"",IF(COUNTIF('USPTO TMs'!A:A,D9037)&gt;0,"Yes","No"),"")</f>
        <v/>
      </c>
      <c r="C9037" s="11"/>
      <c r="D9037" s="11"/>
      <c r="E9037" s="11"/>
      <c r="F9037" s="11"/>
      <c r="G9037" s="11"/>
      <c r="H9037" s="11"/>
      <c r="I9037" s="15"/>
    </row>
    <row r="9038" spans="1:9" ht="16.5">
      <c r="A9038" s="10" t="b">
        <v>0</v>
      </c>
      <c r="B9038" s="11" t="str">
        <f>IF(D9038&lt;&gt;"",IF(COUNTIF('USPTO TMs'!A:A,D9038)&gt;0,"Yes","No"),"")</f>
        <v/>
      </c>
      <c r="C9038" s="11"/>
      <c r="D9038" s="11"/>
      <c r="E9038" s="11"/>
      <c r="F9038" s="11"/>
      <c r="G9038" s="11"/>
      <c r="H9038" s="11"/>
      <c r="I9038" s="15"/>
    </row>
    <row r="9039" spans="1:9" ht="16.5">
      <c r="A9039" s="10" t="b">
        <v>0</v>
      </c>
      <c r="B9039" s="11" t="str">
        <f>IF(D9039&lt;&gt;"",IF(COUNTIF('USPTO TMs'!A:A,D9039)&gt;0,"Yes","No"),"")</f>
        <v/>
      </c>
      <c r="C9039" s="11"/>
      <c r="D9039" s="11"/>
      <c r="E9039" s="11"/>
      <c r="F9039" s="11"/>
      <c r="G9039" s="11"/>
      <c r="H9039" s="11"/>
      <c r="I9039" s="15"/>
    </row>
    <row r="9040" spans="1:9" ht="16.5">
      <c r="A9040" s="10" t="b">
        <v>0</v>
      </c>
      <c r="B9040" s="11" t="str">
        <f>IF(D9040&lt;&gt;"",IF(COUNTIF('USPTO TMs'!A:A,D9040)&gt;0,"Yes","No"),"")</f>
        <v/>
      </c>
      <c r="C9040" s="11"/>
      <c r="D9040" s="11"/>
      <c r="E9040" s="11"/>
      <c r="F9040" s="11"/>
      <c r="G9040" s="11"/>
      <c r="H9040" s="11"/>
      <c r="I9040" s="15"/>
    </row>
    <row r="9041" spans="1:9" ht="16.5">
      <c r="A9041" s="10" t="b">
        <v>0</v>
      </c>
      <c r="B9041" s="11" t="str">
        <f>IF(D9041&lt;&gt;"",IF(COUNTIF('USPTO TMs'!A:A,D9041)&gt;0,"Yes","No"),"")</f>
        <v/>
      </c>
      <c r="C9041" s="11"/>
      <c r="D9041" s="11"/>
      <c r="E9041" s="11"/>
      <c r="F9041" s="11"/>
      <c r="G9041" s="11"/>
      <c r="H9041" s="11"/>
      <c r="I9041" s="15"/>
    </row>
    <row r="9042" spans="1:9" ht="16.5">
      <c r="A9042" s="10" t="b">
        <v>0</v>
      </c>
      <c r="B9042" s="11" t="str">
        <f>IF(D9042&lt;&gt;"",IF(COUNTIF('USPTO TMs'!A:A,D9042)&gt;0,"Yes","No"),"")</f>
        <v/>
      </c>
      <c r="C9042" s="11"/>
      <c r="D9042" s="11"/>
      <c r="E9042" s="11"/>
      <c r="F9042" s="11"/>
      <c r="G9042" s="11"/>
      <c r="H9042" s="11"/>
      <c r="I9042" s="15"/>
    </row>
    <row r="9043" spans="1:9" ht="16.5">
      <c r="A9043" s="10" t="b">
        <v>0</v>
      </c>
      <c r="B9043" s="11" t="str">
        <f>IF(D9043&lt;&gt;"",IF(COUNTIF('USPTO TMs'!A:A,D9043)&gt;0,"Yes","No"),"")</f>
        <v/>
      </c>
      <c r="C9043" s="11"/>
      <c r="D9043" s="11"/>
      <c r="E9043" s="11"/>
      <c r="F9043" s="11"/>
      <c r="G9043" s="11"/>
      <c r="H9043" s="11"/>
      <c r="I9043" s="15"/>
    </row>
    <row r="9044" spans="1:9" ht="16.5">
      <c r="A9044" s="10" t="b">
        <v>0</v>
      </c>
      <c r="B9044" s="11" t="str">
        <f>IF(D9044&lt;&gt;"",IF(COUNTIF('USPTO TMs'!A:A,D9044)&gt;0,"Yes","No"),"")</f>
        <v/>
      </c>
      <c r="C9044" s="11"/>
      <c r="D9044" s="11"/>
      <c r="E9044" s="11"/>
      <c r="F9044" s="11"/>
      <c r="G9044" s="11"/>
      <c r="H9044" s="11"/>
      <c r="I9044" s="15"/>
    </row>
    <row r="9045" spans="1:9" ht="16.5">
      <c r="A9045" s="10" t="b">
        <v>0</v>
      </c>
      <c r="B9045" s="11" t="str">
        <f>IF(D9045&lt;&gt;"",IF(COUNTIF('USPTO TMs'!A:A,D9045)&gt;0,"Yes","No"),"")</f>
        <v/>
      </c>
      <c r="C9045" s="11"/>
      <c r="D9045" s="11"/>
      <c r="E9045" s="11"/>
      <c r="F9045" s="11"/>
      <c r="G9045" s="11"/>
      <c r="H9045" s="11"/>
      <c r="I9045" s="15"/>
    </row>
    <row r="9046" spans="1:9" ht="16.5">
      <c r="A9046" s="10" t="b">
        <v>0</v>
      </c>
      <c r="B9046" s="11" t="str">
        <f>IF(D9046&lt;&gt;"",IF(COUNTIF('USPTO TMs'!A:A,D9046)&gt;0,"Yes","No"),"")</f>
        <v/>
      </c>
      <c r="C9046" s="11"/>
      <c r="D9046" s="11"/>
      <c r="E9046" s="11"/>
      <c r="F9046" s="11"/>
      <c r="G9046" s="11"/>
      <c r="H9046" s="11"/>
      <c r="I9046" s="15"/>
    </row>
    <row r="9047" spans="1:9" ht="16.5">
      <c r="A9047" s="10" t="b">
        <v>0</v>
      </c>
      <c r="B9047" s="11" t="str">
        <f>IF(D9047&lt;&gt;"",IF(COUNTIF('USPTO TMs'!A:A,D9047)&gt;0,"Yes","No"),"")</f>
        <v/>
      </c>
      <c r="C9047" s="11"/>
      <c r="D9047" s="11"/>
      <c r="E9047" s="11"/>
      <c r="F9047" s="11"/>
      <c r="G9047" s="11"/>
      <c r="H9047" s="11"/>
      <c r="I9047" s="15"/>
    </row>
    <row r="9048" spans="1:9" ht="16.5">
      <c r="A9048" s="10" t="b">
        <v>0</v>
      </c>
      <c r="B9048" s="11" t="str">
        <f>IF(D9048&lt;&gt;"",IF(COUNTIF('USPTO TMs'!A:A,D9048)&gt;0,"Yes","No"),"")</f>
        <v/>
      </c>
      <c r="C9048" s="11"/>
      <c r="D9048" s="11"/>
      <c r="E9048" s="11"/>
      <c r="F9048" s="11"/>
      <c r="G9048" s="11"/>
      <c r="H9048" s="11"/>
      <c r="I9048" s="15"/>
    </row>
    <row r="9049" spans="1:9" ht="16.5">
      <c r="A9049" s="10" t="b">
        <v>0</v>
      </c>
      <c r="B9049" s="11" t="str">
        <f>IF(D9049&lt;&gt;"",IF(COUNTIF('USPTO TMs'!A:A,D9049)&gt;0,"Yes","No"),"")</f>
        <v/>
      </c>
      <c r="C9049" s="11"/>
      <c r="D9049" s="11"/>
      <c r="E9049" s="11"/>
      <c r="F9049" s="11"/>
      <c r="G9049" s="11"/>
      <c r="H9049" s="11"/>
      <c r="I9049" s="15"/>
    </row>
    <row r="9050" spans="1:9" ht="16.5">
      <c r="A9050" s="10" t="b">
        <v>0</v>
      </c>
      <c r="B9050" s="11" t="str">
        <f>IF(D9050&lt;&gt;"",IF(COUNTIF('USPTO TMs'!A:A,D9050)&gt;0,"Yes","No"),"")</f>
        <v/>
      </c>
      <c r="C9050" s="11"/>
      <c r="D9050" s="11"/>
      <c r="E9050" s="11"/>
      <c r="F9050" s="11"/>
      <c r="G9050" s="11"/>
      <c r="H9050" s="11"/>
      <c r="I9050" s="15"/>
    </row>
    <row r="9051" spans="1:9" ht="16.5">
      <c r="A9051" s="10" t="b">
        <v>0</v>
      </c>
      <c r="B9051" s="11" t="str">
        <f>IF(D9051&lt;&gt;"",IF(COUNTIF('USPTO TMs'!A:A,D9051)&gt;0,"Yes","No"),"")</f>
        <v/>
      </c>
      <c r="C9051" s="11"/>
      <c r="D9051" s="11"/>
      <c r="E9051" s="11"/>
      <c r="F9051" s="11"/>
      <c r="G9051" s="11"/>
      <c r="H9051" s="11"/>
      <c r="I9051" s="15"/>
    </row>
    <row r="9052" spans="1:9" ht="16.5">
      <c r="A9052" s="10" t="b">
        <v>0</v>
      </c>
      <c r="B9052" s="11" t="str">
        <f>IF(D9052&lt;&gt;"",IF(COUNTIF('USPTO TMs'!A:A,D9052)&gt;0,"Yes","No"),"")</f>
        <v/>
      </c>
      <c r="C9052" s="11"/>
      <c r="D9052" s="11"/>
      <c r="E9052" s="11"/>
      <c r="F9052" s="11"/>
      <c r="G9052" s="11"/>
      <c r="H9052" s="11"/>
      <c r="I9052" s="15"/>
    </row>
    <row r="9053" spans="1:9" ht="16.5">
      <c r="A9053" s="10" t="b">
        <v>0</v>
      </c>
      <c r="B9053" s="11" t="str">
        <f>IF(D9053&lt;&gt;"",IF(COUNTIF('USPTO TMs'!A:A,D9053)&gt;0,"Yes","No"),"")</f>
        <v/>
      </c>
      <c r="C9053" s="11"/>
      <c r="D9053" s="11"/>
      <c r="E9053" s="11"/>
      <c r="F9053" s="11"/>
      <c r="G9053" s="11"/>
      <c r="H9053" s="11"/>
      <c r="I9053" s="15"/>
    </row>
    <row r="9054" spans="1:9" ht="16.5">
      <c r="A9054" s="10" t="b">
        <v>0</v>
      </c>
      <c r="B9054" s="11" t="str">
        <f>IF(D9054&lt;&gt;"",IF(COUNTIF('USPTO TMs'!A:A,D9054)&gt;0,"Yes","No"),"")</f>
        <v/>
      </c>
      <c r="C9054" s="11"/>
      <c r="D9054" s="11"/>
      <c r="E9054" s="11"/>
      <c r="F9054" s="11"/>
      <c r="G9054" s="11"/>
      <c r="H9054" s="11"/>
      <c r="I9054" s="15"/>
    </row>
    <row r="9055" spans="1:9" ht="16.5">
      <c r="A9055" s="10" t="b">
        <v>0</v>
      </c>
      <c r="B9055" s="11" t="str">
        <f>IF(D9055&lt;&gt;"",IF(COUNTIF('USPTO TMs'!A:A,D9055)&gt;0,"Yes","No"),"")</f>
        <v/>
      </c>
      <c r="C9055" s="11"/>
      <c r="D9055" s="11"/>
      <c r="E9055" s="11"/>
      <c r="F9055" s="11"/>
      <c r="G9055" s="11"/>
      <c r="H9055" s="11"/>
      <c r="I9055" s="15"/>
    </row>
    <row r="9056" spans="1:9" ht="16.5">
      <c r="A9056" s="10" t="b">
        <v>0</v>
      </c>
      <c r="B9056" s="11" t="str">
        <f>IF(D9056&lt;&gt;"",IF(COUNTIF('USPTO TMs'!A:A,D9056)&gt;0,"Yes","No"),"")</f>
        <v/>
      </c>
      <c r="C9056" s="11"/>
      <c r="D9056" s="11"/>
      <c r="E9056" s="11"/>
      <c r="F9056" s="11"/>
      <c r="G9056" s="11"/>
      <c r="H9056" s="11"/>
      <c r="I9056" s="15"/>
    </row>
    <row r="9057" spans="1:9" ht="16.5">
      <c r="A9057" s="10" t="b">
        <v>0</v>
      </c>
      <c r="B9057" s="11" t="str">
        <f>IF(D9057&lt;&gt;"",IF(COUNTIF('USPTO TMs'!A:A,D9057)&gt;0,"Yes","No"),"")</f>
        <v/>
      </c>
      <c r="C9057" s="11"/>
      <c r="D9057" s="11"/>
      <c r="E9057" s="11"/>
      <c r="F9057" s="11"/>
      <c r="G9057" s="11"/>
      <c r="H9057" s="11"/>
      <c r="I9057" s="15"/>
    </row>
    <row r="9058" spans="1:9" ht="16.5">
      <c r="A9058" s="10" t="b">
        <v>0</v>
      </c>
      <c r="B9058" s="11" t="str">
        <f>IF(D9058&lt;&gt;"",IF(COUNTIF('USPTO TMs'!A:A,D9058)&gt;0,"Yes","No"),"")</f>
        <v/>
      </c>
      <c r="C9058" s="11"/>
      <c r="D9058" s="11"/>
      <c r="E9058" s="11"/>
      <c r="F9058" s="11"/>
      <c r="G9058" s="11"/>
      <c r="H9058" s="11"/>
      <c r="I9058" s="15"/>
    </row>
    <row r="9059" spans="1:9" ht="16.5">
      <c r="A9059" s="10" t="b">
        <v>0</v>
      </c>
      <c r="B9059" s="11" t="str">
        <f>IF(D9059&lt;&gt;"",IF(COUNTIF('USPTO TMs'!A:A,D9059)&gt;0,"Yes","No"),"")</f>
        <v/>
      </c>
      <c r="C9059" s="11"/>
      <c r="D9059" s="11"/>
      <c r="E9059" s="11"/>
      <c r="F9059" s="11"/>
      <c r="G9059" s="11"/>
      <c r="H9059" s="11"/>
      <c r="I9059" s="15"/>
    </row>
    <row r="9060" spans="1:9" ht="16.5">
      <c r="A9060" s="10" t="b">
        <v>0</v>
      </c>
      <c r="B9060" s="11" t="str">
        <f>IF(D9060&lt;&gt;"",IF(COUNTIF('USPTO TMs'!A:A,D9060)&gt;0,"Yes","No"),"")</f>
        <v/>
      </c>
      <c r="C9060" s="11"/>
      <c r="D9060" s="11"/>
      <c r="E9060" s="11"/>
      <c r="F9060" s="11"/>
      <c r="G9060" s="11"/>
      <c r="H9060" s="11"/>
      <c r="I9060" s="15"/>
    </row>
    <row r="9061" spans="1:9" ht="16.5">
      <c r="A9061" s="10" t="b">
        <v>0</v>
      </c>
      <c r="B9061" s="11" t="str">
        <f>IF(D9061&lt;&gt;"",IF(COUNTIF('USPTO TMs'!A:A,D9061)&gt;0,"Yes","No"),"")</f>
        <v/>
      </c>
      <c r="C9061" s="11"/>
      <c r="D9061" s="11"/>
      <c r="E9061" s="11"/>
      <c r="F9061" s="11"/>
      <c r="G9061" s="11"/>
      <c r="H9061" s="11"/>
      <c r="I9061" s="15"/>
    </row>
    <row r="9062" spans="1:9" ht="16.5">
      <c r="A9062" s="10" t="b">
        <v>0</v>
      </c>
      <c r="B9062" s="11" t="str">
        <f>IF(D9062&lt;&gt;"",IF(COUNTIF('USPTO TMs'!A:A,D9062)&gt;0,"Yes","No"),"")</f>
        <v/>
      </c>
      <c r="C9062" s="11"/>
      <c r="D9062" s="11"/>
      <c r="E9062" s="11"/>
      <c r="F9062" s="11"/>
      <c r="G9062" s="11"/>
      <c r="H9062" s="11"/>
      <c r="I9062" s="15"/>
    </row>
    <row r="9063" spans="1:9" ht="16.5">
      <c r="A9063" s="10" t="b">
        <v>0</v>
      </c>
      <c r="B9063" s="11" t="str">
        <f>IF(D9063&lt;&gt;"",IF(COUNTIF('USPTO TMs'!A:A,D9063)&gt;0,"Yes","No"),"")</f>
        <v/>
      </c>
      <c r="C9063" s="11"/>
      <c r="D9063" s="11"/>
      <c r="E9063" s="11"/>
      <c r="F9063" s="11"/>
      <c r="G9063" s="11"/>
      <c r="H9063" s="11"/>
      <c r="I9063" s="15"/>
    </row>
    <row r="9064" spans="1:9" ht="16.5">
      <c r="A9064" s="10" t="b">
        <v>0</v>
      </c>
      <c r="B9064" s="11" t="str">
        <f>IF(D9064&lt;&gt;"",IF(COUNTIF('USPTO TMs'!A:A,D9064)&gt;0,"Yes","No"),"")</f>
        <v/>
      </c>
      <c r="C9064" s="11"/>
      <c r="D9064" s="11"/>
      <c r="E9064" s="11"/>
      <c r="F9064" s="11"/>
      <c r="G9064" s="11"/>
      <c r="H9064" s="11"/>
      <c r="I9064" s="15"/>
    </row>
    <row r="9065" spans="1:9" ht="16.5">
      <c r="A9065" s="10" t="b">
        <v>0</v>
      </c>
      <c r="B9065" s="11" t="str">
        <f>IF(D9065&lt;&gt;"",IF(COUNTIF('USPTO TMs'!A:A,D9065)&gt;0,"Yes","No"),"")</f>
        <v/>
      </c>
      <c r="C9065" s="11"/>
      <c r="D9065" s="11"/>
      <c r="E9065" s="11"/>
      <c r="F9065" s="11"/>
      <c r="G9065" s="11"/>
      <c r="H9065" s="11"/>
      <c r="I9065" s="15"/>
    </row>
    <row r="9066" spans="1:9" ht="16.5">
      <c r="A9066" s="10" t="b">
        <v>0</v>
      </c>
      <c r="B9066" s="11" t="str">
        <f>IF(D9066&lt;&gt;"",IF(COUNTIF('USPTO TMs'!A:A,D9066)&gt;0,"Yes","No"),"")</f>
        <v/>
      </c>
      <c r="C9066" s="11"/>
      <c r="D9066" s="11"/>
      <c r="E9066" s="11"/>
      <c r="F9066" s="11"/>
      <c r="G9066" s="11"/>
      <c r="H9066" s="11"/>
      <c r="I9066" s="15"/>
    </row>
    <row r="9067" spans="1:9" ht="16.5">
      <c r="A9067" s="10" t="b">
        <v>0</v>
      </c>
      <c r="B9067" s="11" t="str">
        <f>IF(D9067&lt;&gt;"",IF(COUNTIF('USPTO TMs'!A:A,D9067)&gt;0,"Yes","No"),"")</f>
        <v/>
      </c>
      <c r="C9067" s="11"/>
      <c r="D9067" s="11"/>
      <c r="E9067" s="11"/>
      <c r="F9067" s="11"/>
      <c r="G9067" s="11"/>
      <c r="H9067" s="11"/>
      <c r="I9067" s="15"/>
    </row>
    <row r="9068" spans="1:9" ht="16.5">
      <c r="A9068" s="10" t="b">
        <v>0</v>
      </c>
      <c r="B9068" s="11" t="str">
        <f>IF(D9068&lt;&gt;"",IF(COUNTIF('USPTO TMs'!A:A,D9068)&gt;0,"Yes","No"),"")</f>
        <v/>
      </c>
      <c r="C9068" s="11"/>
      <c r="D9068" s="11"/>
      <c r="E9068" s="11"/>
      <c r="F9068" s="11"/>
      <c r="G9068" s="11"/>
      <c r="H9068" s="11"/>
      <c r="I9068" s="15"/>
    </row>
    <row r="9069" spans="1:9" ht="16.5">
      <c r="A9069" s="10" t="b">
        <v>0</v>
      </c>
      <c r="B9069" s="11" t="str">
        <f>IF(D9069&lt;&gt;"",IF(COUNTIF('USPTO TMs'!A:A,D9069)&gt;0,"Yes","No"),"")</f>
        <v/>
      </c>
      <c r="C9069" s="11"/>
      <c r="D9069" s="11"/>
      <c r="E9069" s="11"/>
      <c r="F9069" s="11"/>
      <c r="G9069" s="11"/>
      <c r="H9069" s="11"/>
      <c r="I9069" s="15"/>
    </row>
    <row r="9070" spans="1:9" ht="16.5">
      <c r="A9070" s="10" t="b">
        <v>0</v>
      </c>
      <c r="B9070" s="11" t="str">
        <f>IF(D9070&lt;&gt;"",IF(COUNTIF('USPTO TMs'!A:A,D9070)&gt;0,"Yes","No"),"")</f>
        <v/>
      </c>
      <c r="C9070" s="11"/>
      <c r="D9070" s="11"/>
      <c r="E9070" s="11"/>
      <c r="F9070" s="11"/>
      <c r="G9070" s="11"/>
      <c r="H9070" s="11"/>
      <c r="I9070" s="15"/>
    </row>
    <row r="9071" spans="1:9" ht="16.5">
      <c r="A9071" s="10" t="b">
        <v>0</v>
      </c>
      <c r="B9071" s="11" t="str">
        <f>IF(D9071&lt;&gt;"",IF(COUNTIF('USPTO TMs'!A:A,D9071)&gt;0,"Yes","No"),"")</f>
        <v/>
      </c>
      <c r="C9071" s="11"/>
      <c r="D9071" s="11"/>
      <c r="E9071" s="11"/>
      <c r="F9071" s="11"/>
      <c r="G9071" s="11"/>
      <c r="H9071" s="11"/>
      <c r="I9071" s="15"/>
    </row>
    <row r="9072" spans="1:9" ht="16.5">
      <c r="A9072" s="10" t="b">
        <v>0</v>
      </c>
      <c r="B9072" s="11" t="str">
        <f>IF(D9072&lt;&gt;"",IF(COUNTIF('USPTO TMs'!A:A,D9072)&gt;0,"Yes","No"),"")</f>
        <v/>
      </c>
      <c r="C9072" s="11"/>
      <c r="D9072" s="11"/>
      <c r="E9072" s="11"/>
      <c r="F9072" s="11"/>
      <c r="G9072" s="11"/>
      <c r="H9072" s="11"/>
      <c r="I9072" s="15"/>
    </row>
    <row r="9073" spans="1:9" ht="16.5">
      <c r="A9073" s="10" t="b">
        <v>0</v>
      </c>
      <c r="B9073" s="11" t="str">
        <f>IF(D9073&lt;&gt;"",IF(COUNTIF('USPTO TMs'!A:A,D9073)&gt;0,"Yes","No"),"")</f>
        <v/>
      </c>
      <c r="C9073" s="11"/>
      <c r="D9073" s="11"/>
      <c r="E9073" s="11"/>
      <c r="F9073" s="11"/>
      <c r="G9073" s="11"/>
      <c r="H9073" s="11"/>
      <c r="I9073" s="15"/>
    </row>
    <row r="9074" spans="1:9" ht="16.5">
      <c r="A9074" s="10" t="b">
        <v>0</v>
      </c>
      <c r="B9074" s="11" t="str">
        <f>IF(D9074&lt;&gt;"",IF(COUNTIF('USPTO TMs'!A:A,D9074)&gt;0,"Yes","No"),"")</f>
        <v/>
      </c>
      <c r="C9074" s="11"/>
      <c r="D9074" s="11"/>
      <c r="E9074" s="11"/>
      <c r="F9074" s="11"/>
      <c r="G9074" s="11"/>
      <c r="H9074" s="11"/>
      <c r="I9074" s="15"/>
    </row>
    <row r="9075" spans="1:9" ht="16.5">
      <c r="A9075" s="10" t="b">
        <v>0</v>
      </c>
      <c r="B9075" s="11" t="str">
        <f>IF(D9075&lt;&gt;"",IF(COUNTIF('USPTO TMs'!A:A,D9075)&gt;0,"Yes","No"),"")</f>
        <v/>
      </c>
      <c r="C9075" s="11"/>
      <c r="D9075" s="11"/>
      <c r="E9075" s="11"/>
      <c r="F9075" s="11"/>
      <c r="G9075" s="11"/>
      <c r="H9075" s="11"/>
      <c r="I9075" s="15"/>
    </row>
    <row r="9076" spans="1:9" ht="16.5">
      <c r="A9076" s="10" t="b">
        <v>0</v>
      </c>
      <c r="B9076" s="11" t="str">
        <f>IF(D9076&lt;&gt;"",IF(COUNTIF('USPTO TMs'!A:A,D9076)&gt;0,"Yes","No"),"")</f>
        <v/>
      </c>
      <c r="C9076" s="11"/>
      <c r="D9076" s="11"/>
      <c r="E9076" s="11"/>
      <c r="F9076" s="11"/>
      <c r="G9076" s="11"/>
      <c r="H9076" s="11"/>
      <c r="I9076" s="15"/>
    </row>
    <row r="9077" spans="1:9" ht="16.5">
      <c r="A9077" s="10" t="b">
        <v>0</v>
      </c>
      <c r="B9077" s="11" t="str">
        <f>IF(D9077&lt;&gt;"",IF(COUNTIF('USPTO TMs'!A:A,D9077)&gt;0,"Yes","No"),"")</f>
        <v/>
      </c>
      <c r="C9077" s="11"/>
      <c r="D9077" s="11"/>
      <c r="E9077" s="11"/>
      <c r="F9077" s="11"/>
      <c r="G9077" s="11"/>
      <c r="H9077" s="11"/>
      <c r="I9077" s="15"/>
    </row>
    <row r="9078" spans="1:9" ht="16.5">
      <c r="A9078" s="10" t="b">
        <v>0</v>
      </c>
      <c r="B9078" s="11" t="str">
        <f>IF(D9078&lt;&gt;"",IF(COUNTIF('USPTO TMs'!A:A,D9078)&gt;0,"Yes","No"),"")</f>
        <v/>
      </c>
      <c r="C9078" s="11"/>
      <c r="D9078" s="11"/>
      <c r="E9078" s="11"/>
      <c r="F9078" s="11"/>
      <c r="G9078" s="11"/>
      <c r="H9078" s="11"/>
      <c r="I9078" s="15"/>
    </row>
    <row r="9079" spans="1:9" ht="16.5">
      <c r="A9079" s="10" t="b">
        <v>0</v>
      </c>
      <c r="B9079" s="11" t="str">
        <f>IF(D9079&lt;&gt;"",IF(COUNTIF('USPTO TMs'!A:A,D9079)&gt;0,"Yes","No"),"")</f>
        <v/>
      </c>
      <c r="C9079" s="11"/>
      <c r="D9079" s="11"/>
      <c r="E9079" s="11"/>
      <c r="F9079" s="11"/>
      <c r="G9079" s="11"/>
      <c r="H9079" s="11"/>
      <c r="I9079" s="15"/>
    </row>
    <row r="9080" spans="1:9" ht="16.5">
      <c r="A9080" s="10" t="b">
        <v>0</v>
      </c>
      <c r="B9080" s="11" t="str">
        <f>IF(D9080&lt;&gt;"",IF(COUNTIF('USPTO TMs'!A:A,D9080)&gt;0,"Yes","No"),"")</f>
        <v/>
      </c>
      <c r="C9080" s="11"/>
      <c r="D9080" s="11"/>
      <c r="E9080" s="11"/>
      <c r="F9080" s="11"/>
      <c r="G9080" s="11"/>
      <c r="H9080" s="11"/>
      <c r="I9080" s="15"/>
    </row>
    <row r="9081" spans="1:9" ht="16.5">
      <c r="A9081" s="10" t="b">
        <v>0</v>
      </c>
      <c r="B9081" s="11" t="str">
        <f>IF(D9081&lt;&gt;"",IF(COUNTIF('USPTO TMs'!A:A,D9081)&gt;0,"Yes","No"),"")</f>
        <v/>
      </c>
      <c r="C9081" s="11"/>
      <c r="D9081" s="11"/>
      <c r="E9081" s="11"/>
      <c r="F9081" s="11"/>
      <c r="G9081" s="11"/>
      <c r="H9081" s="11"/>
      <c r="I9081" s="15"/>
    </row>
    <row r="9082" spans="1:9" ht="16.5">
      <c r="A9082" s="10" t="b">
        <v>0</v>
      </c>
      <c r="B9082" s="11" t="str">
        <f>IF(D9082&lt;&gt;"",IF(COUNTIF('USPTO TMs'!A:A,D9082)&gt;0,"Yes","No"),"")</f>
        <v/>
      </c>
      <c r="C9082" s="11"/>
      <c r="D9082" s="11"/>
      <c r="E9082" s="11"/>
      <c r="F9082" s="11"/>
      <c r="G9082" s="11"/>
      <c r="H9082" s="11"/>
      <c r="I9082" s="15"/>
    </row>
    <row r="9083" spans="1:9" ht="16.5">
      <c r="A9083" s="10" t="b">
        <v>0</v>
      </c>
      <c r="B9083" s="11" t="str">
        <f>IF(D9083&lt;&gt;"",IF(COUNTIF('USPTO TMs'!A:A,D9083)&gt;0,"Yes","No"),"")</f>
        <v/>
      </c>
      <c r="C9083" s="11"/>
      <c r="D9083" s="11"/>
      <c r="E9083" s="11"/>
      <c r="F9083" s="11"/>
      <c r="G9083" s="11"/>
      <c r="H9083" s="11"/>
      <c r="I9083" s="15"/>
    </row>
    <row r="9084" spans="1:9" ht="16.5">
      <c r="A9084" s="10" t="b">
        <v>0</v>
      </c>
      <c r="B9084" s="11" t="str">
        <f>IF(D9084&lt;&gt;"",IF(COUNTIF('USPTO TMs'!A:A,D9084)&gt;0,"Yes","No"),"")</f>
        <v/>
      </c>
      <c r="C9084" s="11"/>
      <c r="D9084" s="11"/>
      <c r="E9084" s="11"/>
      <c r="F9084" s="11"/>
      <c r="G9084" s="11"/>
      <c r="H9084" s="11"/>
      <c r="I9084" s="15"/>
    </row>
    <row r="9085" spans="1:9" ht="16.5">
      <c r="A9085" s="10" t="b">
        <v>0</v>
      </c>
      <c r="B9085" s="11" t="str">
        <f>IF(D9085&lt;&gt;"",IF(COUNTIF('USPTO TMs'!A:A,D9085)&gt;0,"Yes","No"),"")</f>
        <v/>
      </c>
      <c r="C9085" s="11"/>
      <c r="D9085" s="11"/>
      <c r="E9085" s="11"/>
      <c r="F9085" s="11"/>
      <c r="G9085" s="11"/>
      <c r="H9085" s="11"/>
      <c r="I9085" s="15"/>
    </row>
    <row r="9086" spans="1:9" ht="16.5">
      <c r="A9086" s="10" t="b">
        <v>0</v>
      </c>
      <c r="B9086" s="11" t="str">
        <f>IF(D9086&lt;&gt;"",IF(COUNTIF('USPTO TMs'!A:A,D9086)&gt;0,"Yes","No"),"")</f>
        <v/>
      </c>
      <c r="C9086" s="11"/>
      <c r="D9086" s="11"/>
      <c r="E9086" s="11"/>
      <c r="F9086" s="11"/>
      <c r="G9086" s="11"/>
      <c r="H9086" s="11"/>
      <c r="I9086" s="15"/>
    </row>
    <row r="9087" spans="1:9" ht="16.5">
      <c r="A9087" s="10" t="b">
        <v>0</v>
      </c>
      <c r="B9087" s="11" t="str">
        <f>IF(D9087&lt;&gt;"",IF(COUNTIF('USPTO TMs'!A:A,D9087)&gt;0,"Yes","No"),"")</f>
        <v/>
      </c>
      <c r="C9087" s="11"/>
      <c r="D9087" s="11"/>
      <c r="E9087" s="11"/>
      <c r="F9087" s="11"/>
      <c r="G9087" s="11"/>
      <c r="H9087" s="11"/>
      <c r="I9087" s="15"/>
    </row>
    <row r="9088" spans="1:9" ht="16.5">
      <c r="A9088" s="10" t="b">
        <v>0</v>
      </c>
      <c r="B9088" s="11" t="str">
        <f>IF(D9088&lt;&gt;"",IF(COUNTIF('USPTO TMs'!A:A,D9088)&gt;0,"Yes","No"),"")</f>
        <v/>
      </c>
      <c r="C9088" s="11"/>
      <c r="D9088" s="11"/>
      <c r="E9088" s="11"/>
      <c r="F9088" s="11"/>
      <c r="G9088" s="11"/>
      <c r="H9088" s="11"/>
      <c r="I9088" s="15"/>
    </row>
    <row r="9089" spans="1:9" ht="16.5">
      <c r="A9089" s="10" t="b">
        <v>0</v>
      </c>
      <c r="B9089" s="11" t="str">
        <f>IF(D9089&lt;&gt;"",IF(COUNTIF('USPTO TMs'!A:A,D9089)&gt;0,"Yes","No"),"")</f>
        <v/>
      </c>
      <c r="C9089" s="11"/>
      <c r="D9089" s="11"/>
      <c r="E9089" s="11"/>
      <c r="F9089" s="11"/>
      <c r="G9089" s="11"/>
      <c r="H9089" s="11"/>
      <c r="I9089" s="15"/>
    </row>
    <row r="9090" spans="1:9" ht="16.5">
      <c r="A9090" s="10" t="b">
        <v>0</v>
      </c>
      <c r="B9090" s="11" t="str">
        <f>IF(D9090&lt;&gt;"",IF(COUNTIF('USPTO TMs'!A:A,D9090)&gt;0,"Yes","No"),"")</f>
        <v/>
      </c>
      <c r="C9090" s="11"/>
      <c r="D9090" s="11"/>
      <c r="E9090" s="11"/>
      <c r="F9090" s="11"/>
      <c r="G9090" s="11"/>
      <c r="H9090" s="11"/>
      <c r="I9090" s="15"/>
    </row>
    <row r="9091" spans="1:9" ht="16.5">
      <c r="A9091" s="10" t="b">
        <v>0</v>
      </c>
      <c r="B9091" s="11" t="str">
        <f>IF(D9091&lt;&gt;"",IF(COUNTIF('USPTO TMs'!A:A,D9091)&gt;0,"Yes","No"),"")</f>
        <v/>
      </c>
      <c r="C9091" s="11"/>
      <c r="D9091" s="11"/>
      <c r="E9091" s="11"/>
      <c r="F9091" s="11"/>
      <c r="G9091" s="11"/>
      <c r="H9091" s="11"/>
      <c r="I9091" s="15"/>
    </row>
    <row r="9092" spans="1:9" ht="16.5">
      <c r="A9092" s="10" t="b">
        <v>0</v>
      </c>
      <c r="B9092" s="11" t="str">
        <f>IF(D9092&lt;&gt;"",IF(COUNTIF('USPTO TMs'!A:A,D9092)&gt;0,"Yes","No"),"")</f>
        <v/>
      </c>
      <c r="C9092" s="11"/>
      <c r="D9092" s="11"/>
      <c r="E9092" s="11"/>
      <c r="F9092" s="11"/>
      <c r="G9092" s="11"/>
      <c r="H9092" s="11"/>
      <c r="I9092" s="15"/>
    </row>
    <row r="9093" spans="1:9" ht="16.5">
      <c r="A9093" s="10" t="b">
        <v>0</v>
      </c>
      <c r="B9093" s="11" t="str">
        <f>IF(D9093&lt;&gt;"",IF(COUNTIF('USPTO TMs'!A:A,D9093)&gt;0,"Yes","No"),"")</f>
        <v/>
      </c>
      <c r="C9093" s="11"/>
      <c r="D9093" s="11"/>
      <c r="E9093" s="11"/>
      <c r="F9093" s="11"/>
      <c r="G9093" s="11"/>
      <c r="H9093" s="11"/>
      <c r="I9093" s="15"/>
    </row>
    <row r="9094" spans="1:9" ht="16.5">
      <c r="A9094" s="10" t="b">
        <v>0</v>
      </c>
      <c r="B9094" s="11" t="str">
        <f>IF(D9094&lt;&gt;"",IF(COUNTIF('USPTO TMs'!A:A,D9094)&gt;0,"Yes","No"),"")</f>
        <v/>
      </c>
      <c r="C9094" s="11"/>
      <c r="D9094" s="11"/>
      <c r="E9094" s="11"/>
      <c r="F9094" s="11"/>
      <c r="G9094" s="11"/>
      <c r="H9094" s="11"/>
      <c r="I9094" s="15"/>
    </row>
    <row r="9095" spans="1:9" ht="16.5">
      <c r="A9095" s="10" t="b">
        <v>0</v>
      </c>
      <c r="B9095" s="11" t="str">
        <f>IF(D9095&lt;&gt;"",IF(COUNTIF('USPTO TMs'!A:A,D9095)&gt;0,"Yes","No"),"")</f>
        <v/>
      </c>
      <c r="C9095" s="11"/>
      <c r="D9095" s="11"/>
      <c r="E9095" s="11"/>
      <c r="F9095" s="11"/>
      <c r="G9095" s="11"/>
      <c r="H9095" s="11"/>
      <c r="I9095" s="15"/>
    </row>
    <row r="9096" spans="1:9" ht="16.5">
      <c r="A9096" s="10" t="b">
        <v>0</v>
      </c>
      <c r="B9096" s="11" t="str">
        <f>IF(D9096&lt;&gt;"",IF(COUNTIF('USPTO TMs'!A:A,D9096)&gt;0,"Yes","No"),"")</f>
        <v/>
      </c>
      <c r="C9096" s="11"/>
      <c r="D9096" s="11"/>
      <c r="E9096" s="11"/>
      <c r="F9096" s="11"/>
      <c r="G9096" s="11"/>
      <c r="H9096" s="11"/>
      <c r="I9096" s="15"/>
    </row>
    <row r="9097" spans="1:9" ht="16.5">
      <c r="A9097" s="10" t="b">
        <v>0</v>
      </c>
      <c r="B9097" s="11" t="str">
        <f>IF(D9097&lt;&gt;"",IF(COUNTIF('USPTO TMs'!A:A,D9097)&gt;0,"Yes","No"),"")</f>
        <v/>
      </c>
      <c r="C9097" s="11"/>
      <c r="D9097" s="11"/>
      <c r="E9097" s="11"/>
      <c r="F9097" s="11"/>
      <c r="G9097" s="11"/>
      <c r="H9097" s="11"/>
      <c r="I9097" s="15"/>
    </row>
    <row r="9098" spans="1:9" ht="16.5">
      <c r="A9098" s="10" t="b">
        <v>0</v>
      </c>
      <c r="B9098" s="11" t="str">
        <f>IF(D9098&lt;&gt;"",IF(COUNTIF('USPTO TMs'!A:A,D9098)&gt;0,"Yes","No"),"")</f>
        <v/>
      </c>
      <c r="C9098" s="11"/>
      <c r="D9098" s="11"/>
      <c r="E9098" s="11"/>
      <c r="F9098" s="11"/>
      <c r="G9098" s="11"/>
      <c r="H9098" s="11"/>
      <c r="I9098" s="15"/>
    </row>
    <row r="9099" spans="1:9" ht="16.5">
      <c r="A9099" s="10" t="b">
        <v>0</v>
      </c>
      <c r="B9099" s="11" t="str">
        <f>IF(D9099&lt;&gt;"",IF(COUNTIF('USPTO TMs'!A:A,D9099)&gt;0,"Yes","No"),"")</f>
        <v/>
      </c>
      <c r="C9099" s="11"/>
      <c r="D9099" s="11"/>
      <c r="E9099" s="11"/>
      <c r="F9099" s="11"/>
      <c r="G9099" s="11"/>
      <c r="H9099" s="11"/>
      <c r="I9099" s="15"/>
    </row>
    <row r="9100" spans="1:9" ht="16.5">
      <c r="A9100" s="10" t="b">
        <v>0</v>
      </c>
      <c r="B9100" s="11" t="str">
        <f>IF(D9100&lt;&gt;"",IF(COUNTIF('USPTO TMs'!A:A,D9100)&gt;0,"Yes","No"),"")</f>
        <v/>
      </c>
      <c r="C9100" s="11"/>
      <c r="D9100" s="11"/>
      <c r="E9100" s="11"/>
      <c r="F9100" s="11"/>
      <c r="G9100" s="11"/>
      <c r="H9100" s="11"/>
      <c r="I9100" s="15"/>
    </row>
    <row r="9101" spans="1:9" ht="16.5">
      <c r="A9101" s="10" t="b">
        <v>0</v>
      </c>
      <c r="B9101" s="11" t="str">
        <f>IF(D9101&lt;&gt;"",IF(COUNTIF('USPTO TMs'!A:A,D9101)&gt;0,"Yes","No"),"")</f>
        <v/>
      </c>
      <c r="C9101" s="11"/>
      <c r="D9101" s="11"/>
      <c r="E9101" s="11"/>
      <c r="F9101" s="11"/>
      <c r="G9101" s="11"/>
      <c r="H9101" s="11"/>
      <c r="I9101" s="15"/>
    </row>
    <row r="9102" spans="1:9" ht="16.5">
      <c r="A9102" s="10" t="b">
        <v>0</v>
      </c>
      <c r="B9102" s="11" t="str">
        <f>IF(D9102&lt;&gt;"",IF(COUNTIF('USPTO TMs'!A:A,D9102)&gt;0,"Yes","No"),"")</f>
        <v/>
      </c>
      <c r="C9102" s="11"/>
      <c r="D9102" s="11"/>
      <c r="E9102" s="11"/>
      <c r="F9102" s="11"/>
      <c r="G9102" s="11"/>
      <c r="H9102" s="11"/>
      <c r="I9102" s="15"/>
    </row>
    <row r="9103" spans="1:9" ht="16.5">
      <c r="A9103" s="10" t="b">
        <v>0</v>
      </c>
      <c r="B9103" s="11" t="str">
        <f>IF(D9103&lt;&gt;"",IF(COUNTIF('USPTO TMs'!A:A,D9103)&gt;0,"Yes","No"),"")</f>
        <v/>
      </c>
      <c r="C9103" s="11"/>
      <c r="D9103" s="11"/>
      <c r="E9103" s="11"/>
      <c r="F9103" s="11"/>
      <c r="G9103" s="11"/>
      <c r="H9103" s="11"/>
      <c r="I9103" s="15"/>
    </row>
    <row r="9104" spans="1:9" ht="16.5">
      <c r="A9104" s="10" t="b">
        <v>0</v>
      </c>
      <c r="B9104" s="11" t="str">
        <f>IF(D9104&lt;&gt;"",IF(COUNTIF('USPTO TMs'!A:A,D9104)&gt;0,"Yes","No"),"")</f>
        <v/>
      </c>
      <c r="C9104" s="11"/>
      <c r="D9104" s="11"/>
      <c r="E9104" s="11"/>
      <c r="F9104" s="11"/>
      <c r="G9104" s="11"/>
      <c r="H9104" s="11"/>
      <c r="I9104" s="15"/>
    </row>
    <row r="9105" spans="1:9" ht="16.5">
      <c r="A9105" s="10" t="b">
        <v>0</v>
      </c>
      <c r="B9105" s="11" t="str">
        <f>IF(D9105&lt;&gt;"",IF(COUNTIF('USPTO TMs'!A:A,D9105)&gt;0,"Yes","No"),"")</f>
        <v/>
      </c>
      <c r="C9105" s="11"/>
      <c r="D9105" s="11"/>
      <c r="E9105" s="11"/>
      <c r="F9105" s="11"/>
      <c r="G9105" s="11"/>
      <c r="H9105" s="11"/>
      <c r="I9105" s="15"/>
    </row>
    <row r="9106" spans="1:9" ht="16.5">
      <c r="A9106" s="10" t="b">
        <v>0</v>
      </c>
      <c r="B9106" s="11" t="str">
        <f>IF(D9106&lt;&gt;"",IF(COUNTIF('USPTO TMs'!A:A,D9106)&gt;0,"Yes","No"),"")</f>
        <v/>
      </c>
      <c r="C9106" s="11"/>
      <c r="D9106" s="11"/>
      <c r="E9106" s="11"/>
      <c r="F9106" s="11"/>
      <c r="G9106" s="11"/>
      <c r="H9106" s="11"/>
      <c r="I9106" s="15"/>
    </row>
    <row r="9107" spans="1:9" ht="16.5">
      <c r="A9107" s="10" t="b">
        <v>0</v>
      </c>
      <c r="B9107" s="11" t="str">
        <f>IF(D9107&lt;&gt;"",IF(COUNTIF('USPTO TMs'!A:A,D9107)&gt;0,"Yes","No"),"")</f>
        <v/>
      </c>
      <c r="C9107" s="11"/>
      <c r="D9107" s="11"/>
      <c r="E9107" s="11"/>
      <c r="F9107" s="11"/>
      <c r="G9107" s="11"/>
      <c r="H9107" s="11"/>
      <c r="I9107" s="15"/>
    </row>
    <row r="9108" spans="1:9" ht="16.5">
      <c r="A9108" s="10" t="b">
        <v>0</v>
      </c>
      <c r="B9108" s="11" t="str">
        <f>IF(D9108&lt;&gt;"",IF(COUNTIF('USPTO TMs'!A:A,D9108)&gt;0,"Yes","No"),"")</f>
        <v/>
      </c>
      <c r="C9108" s="11"/>
      <c r="D9108" s="11"/>
      <c r="E9108" s="11"/>
      <c r="F9108" s="11"/>
      <c r="G9108" s="11"/>
      <c r="H9108" s="11"/>
      <c r="I9108" s="15"/>
    </row>
    <row r="9109" spans="1:9" ht="16.5">
      <c r="A9109" s="10" t="b">
        <v>0</v>
      </c>
      <c r="B9109" s="11" t="str">
        <f>IF(D9109&lt;&gt;"",IF(COUNTIF('USPTO TMs'!A:A,D9109)&gt;0,"Yes","No"),"")</f>
        <v/>
      </c>
      <c r="C9109" s="11"/>
      <c r="D9109" s="11"/>
      <c r="E9109" s="11"/>
      <c r="F9109" s="11"/>
      <c r="G9109" s="11"/>
      <c r="H9109" s="11"/>
      <c r="I9109" s="15"/>
    </row>
    <row r="9110" spans="1:9" ht="16.5">
      <c r="A9110" s="10" t="b">
        <v>0</v>
      </c>
      <c r="B9110" s="11" t="str">
        <f>IF(D9110&lt;&gt;"",IF(COUNTIF('USPTO TMs'!A:A,D9110)&gt;0,"Yes","No"),"")</f>
        <v/>
      </c>
      <c r="C9110" s="11"/>
      <c r="D9110" s="11"/>
      <c r="E9110" s="11"/>
      <c r="F9110" s="11"/>
      <c r="G9110" s="11"/>
      <c r="H9110" s="11"/>
      <c r="I9110" s="15"/>
    </row>
    <row r="9111" spans="1:9" ht="16.5">
      <c r="A9111" s="10" t="b">
        <v>0</v>
      </c>
      <c r="B9111" s="11" t="str">
        <f>IF(D9111&lt;&gt;"",IF(COUNTIF('USPTO TMs'!A:A,D9111)&gt;0,"Yes","No"),"")</f>
        <v/>
      </c>
      <c r="C9111" s="11"/>
      <c r="D9111" s="11"/>
      <c r="E9111" s="11"/>
      <c r="F9111" s="11"/>
      <c r="G9111" s="11"/>
      <c r="H9111" s="11"/>
      <c r="I9111" s="15"/>
    </row>
    <row r="9112" spans="1:9" ht="16.5">
      <c r="A9112" s="10" t="b">
        <v>0</v>
      </c>
      <c r="B9112" s="11" t="str">
        <f>IF(D9112&lt;&gt;"",IF(COUNTIF('USPTO TMs'!A:A,D9112)&gt;0,"Yes","No"),"")</f>
        <v/>
      </c>
      <c r="C9112" s="11"/>
      <c r="D9112" s="11"/>
      <c r="E9112" s="11"/>
      <c r="F9112" s="11"/>
      <c r="G9112" s="11"/>
      <c r="H9112" s="11"/>
      <c r="I9112" s="15"/>
    </row>
    <row r="9113" spans="1:9" ht="16.5">
      <c r="A9113" s="10" t="b">
        <v>0</v>
      </c>
      <c r="B9113" s="11" t="str">
        <f>IF(D9113&lt;&gt;"",IF(COUNTIF('USPTO TMs'!A:A,D9113)&gt;0,"Yes","No"),"")</f>
        <v/>
      </c>
      <c r="C9113" s="11"/>
      <c r="D9113" s="11"/>
      <c r="E9113" s="11"/>
      <c r="F9113" s="11"/>
      <c r="G9113" s="11"/>
      <c r="H9113" s="11"/>
      <c r="I9113" s="15"/>
    </row>
    <row r="9114" spans="1:9" ht="16.5">
      <c r="A9114" s="10" t="b">
        <v>0</v>
      </c>
      <c r="B9114" s="11" t="str">
        <f>IF(D9114&lt;&gt;"",IF(COUNTIF('USPTO TMs'!A:A,D9114)&gt;0,"Yes","No"),"")</f>
        <v/>
      </c>
      <c r="C9114" s="11"/>
      <c r="D9114" s="11"/>
      <c r="E9114" s="11"/>
      <c r="F9114" s="11"/>
      <c r="G9114" s="11"/>
      <c r="H9114" s="11"/>
      <c r="I9114" s="15"/>
    </row>
    <row r="9115" spans="1:9" ht="16.5">
      <c r="A9115" s="10" t="b">
        <v>0</v>
      </c>
      <c r="B9115" s="11" t="str">
        <f>IF(D9115&lt;&gt;"",IF(COUNTIF('USPTO TMs'!A:A,D9115)&gt;0,"Yes","No"),"")</f>
        <v/>
      </c>
      <c r="C9115" s="11"/>
      <c r="D9115" s="11"/>
      <c r="E9115" s="11"/>
      <c r="F9115" s="11"/>
      <c r="G9115" s="11"/>
      <c r="H9115" s="11"/>
      <c r="I9115" s="15"/>
    </row>
    <row r="9116" spans="1:9" ht="16.5">
      <c r="A9116" s="10" t="b">
        <v>0</v>
      </c>
      <c r="B9116" s="11" t="str">
        <f>IF(D9116&lt;&gt;"",IF(COUNTIF('USPTO TMs'!A:A,D9116)&gt;0,"Yes","No"),"")</f>
        <v/>
      </c>
      <c r="C9116" s="11"/>
      <c r="D9116" s="11"/>
      <c r="E9116" s="11"/>
      <c r="F9116" s="11"/>
      <c r="G9116" s="11"/>
      <c r="H9116" s="11"/>
      <c r="I9116" s="15"/>
    </row>
    <row r="9117" spans="1:9" ht="16.5">
      <c r="A9117" s="10" t="b">
        <v>0</v>
      </c>
      <c r="B9117" s="11" t="str">
        <f>IF(D9117&lt;&gt;"",IF(COUNTIF('USPTO TMs'!A:A,D9117)&gt;0,"Yes","No"),"")</f>
        <v/>
      </c>
      <c r="C9117" s="11"/>
      <c r="D9117" s="11"/>
      <c r="E9117" s="11"/>
      <c r="F9117" s="11"/>
      <c r="G9117" s="11"/>
      <c r="H9117" s="11"/>
      <c r="I9117" s="15"/>
    </row>
    <row r="9118" spans="1:9" ht="16.5">
      <c r="A9118" s="10" t="b">
        <v>0</v>
      </c>
      <c r="B9118" s="11" t="str">
        <f>IF(D9118&lt;&gt;"",IF(COUNTIF('USPTO TMs'!A:A,D9118)&gt;0,"Yes","No"),"")</f>
        <v/>
      </c>
      <c r="C9118" s="11"/>
      <c r="D9118" s="11"/>
      <c r="E9118" s="11"/>
      <c r="F9118" s="11"/>
      <c r="G9118" s="11"/>
      <c r="H9118" s="11"/>
      <c r="I9118" s="15"/>
    </row>
    <row r="9119" spans="1:9" ht="16.5">
      <c r="A9119" s="10" t="b">
        <v>0</v>
      </c>
      <c r="B9119" s="11" t="str">
        <f>IF(D9119&lt;&gt;"",IF(COUNTIF('USPTO TMs'!A:A,D9119)&gt;0,"Yes","No"),"")</f>
        <v/>
      </c>
      <c r="C9119" s="11"/>
      <c r="D9119" s="11"/>
      <c r="E9119" s="11"/>
      <c r="F9119" s="11"/>
      <c r="G9119" s="11"/>
      <c r="H9119" s="11"/>
      <c r="I9119" s="15"/>
    </row>
    <row r="9120" spans="1:9" ht="16.5">
      <c r="A9120" s="10" t="b">
        <v>0</v>
      </c>
      <c r="B9120" s="11" t="str">
        <f>IF(D9120&lt;&gt;"",IF(COUNTIF('USPTO TMs'!A:A,D9120)&gt;0,"Yes","No"),"")</f>
        <v/>
      </c>
      <c r="C9120" s="11"/>
      <c r="D9120" s="11"/>
      <c r="E9120" s="11"/>
      <c r="F9120" s="11"/>
      <c r="G9120" s="11"/>
      <c r="H9120" s="11"/>
      <c r="I9120" s="15"/>
    </row>
    <row r="9121" spans="1:9" ht="16.5">
      <c r="A9121" s="10" t="b">
        <v>0</v>
      </c>
      <c r="B9121" s="11" t="str">
        <f>IF(D9121&lt;&gt;"",IF(COUNTIF('USPTO TMs'!A:A,D9121)&gt;0,"Yes","No"),"")</f>
        <v/>
      </c>
      <c r="C9121" s="11"/>
      <c r="D9121" s="11"/>
      <c r="E9121" s="11"/>
      <c r="F9121" s="11"/>
      <c r="G9121" s="11"/>
      <c r="H9121" s="11"/>
      <c r="I9121" s="15"/>
    </row>
    <row r="9122" spans="1:9" ht="16.5">
      <c r="A9122" s="10" t="b">
        <v>0</v>
      </c>
      <c r="B9122" s="11" t="str">
        <f>IF(D9122&lt;&gt;"",IF(COUNTIF('USPTO TMs'!A:A,D9122)&gt;0,"Yes","No"),"")</f>
        <v/>
      </c>
      <c r="C9122" s="11"/>
      <c r="D9122" s="11"/>
      <c r="E9122" s="11"/>
      <c r="F9122" s="11"/>
      <c r="G9122" s="11"/>
      <c r="H9122" s="11"/>
      <c r="I9122" s="15"/>
    </row>
    <row r="9123" spans="1:9" ht="16.5">
      <c r="A9123" s="10" t="b">
        <v>0</v>
      </c>
      <c r="B9123" s="11" t="str">
        <f>IF(D9123&lt;&gt;"",IF(COUNTIF('USPTO TMs'!A:A,D9123)&gt;0,"Yes","No"),"")</f>
        <v/>
      </c>
      <c r="C9123" s="11"/>
      <c r="D9123" s="11"/>
      <c r="E9123" s="11"/>
      <c r="F9123" s="11"/>
      <c r="G9123" s="11"/>
      <c r="H9123" s="11"/>
      <c r="I9123" s="15"/>
    </row>
    <row r="9124" spans="1:9" ht="16.5">
      <c r="A9124" s="10" t="b">
        <v>0</v>
      </c>
      <c r="B9124" s="11" t="str">
        <f>IF(D9124&lt;&gt;"",IF(COUNTIF('USPTO TMs'!A:A,D9124)&gt;0,"Yes","No"),"")</f>
        <v/>
      </c>
      <c r="C9124" s="11"/>
      <c r="D9124" s="11"/>
      <c r="E9124" s="11"/>
      <c r="F9124" s="11"/>
      <c r="G9124" s="11"/>
      <c r="H9124" s="11"/>
      <c r="I9124" s="15"/>
    </row>
    <row r="9125" spans="1:9" ht="16.5">
      <c r="A9125" s="10" t="b">
        <v>0</v>
      </c>
      <c r="B9125" s="11" t="str">
        <f>IF(D9125&lt;&gt;"",IF(COUNTIF('USPTO TMs'!A:A,D9125)&gt;0,"Yes","No"),"")</f>
        <v/>
      </c>
      <c r="C9125" s="11"/>
      <c r="D9125" s="11"/>
      <c r="E9125" s="11"/>
      <c r="F9125" s="11"/>
      <c r="G9125" s="11"/>
      <c r="H9125" s="11"/>
      <c r="I9125" s="15"/>
    </row>
    <row r="9126" spans="1:9" ht="16.5">
      <c r="A9126" s="10" t="b">
        <v>0</v>
      </c>
      <c r="B9126" s="11" t="str">
        <f>IF(D9126&lt;&gt;"",IF(COUNTIF('USPTO TMs'!A:A,D9126)&gt;0,"Yes","No"),"")</f>
        <v/>
      </c>
      <c r="C9126" s="11"/>
      <c r="D9126" s="11"/>
      <c r="E9126" s="11"/>
      <c r="F9126" s="11"/>
      <c r="G9126" s="11"/>
      <c r="H9126" s="11"/>
      <c r="I9126" s="15"/>
    </row>
    <row r="9127" spans="1:9" ht="16.5">
      <c r="A9127" s="10" t="b">
        <v>0</v>
      </c>
      <c r="B9127" s="11" t="str">
        <f>IF(D9127&lt;&gt;"",IF(COUNTIF('USPTO TMs'!A:A,D9127)&gt;0,"Yes","No"),"")</f>
        <v/>
      </c>
      <c r="C9127" s="11"/>
      <c r="D9127" s="11"/>
      <c r="E9127" s="11"/>
      <c r="F9127" s="11"/>
      <c r="G9127" s="11"/>
      <c r="H9127" s="11"/>
      <c r="I9127" s="15"/>
    </row>
    <row r="9128" spans="1:9" ht="16.5">
      <c r="A9128" s="10" t="b">
        <v>0</v>
      </c>
      <c r="B9128" s="11" t="str">
        <f>IF(D9128&lt;&gt;"",IF(COUNTIF('USPTO TMs'!A:A,D9128)&gt;0,"Yes","No"),"")</f>
        <v/>
      </c>
      <c r="C9128" s="11"/>
      <c r="D9128" s="11"/>
      <c r="E9128" s="11"/>
      <c r="F9128" s="11"/>
      <c r="G9128" s="11"/>
      <c r="H9128" s="11"/>
      <c r="I9128" s="15"/>
    </row>
    <row r="9129" spans="1:9" ht="16.5">
      <c r="A9129" s="10" t="b">
        <v>0</v>
      </c>
      <c r="B9129" s="11" t="str">
        <f>IF(D9129&lt;&gt;"",IF(COUNTIF('USPTO TMs'!A:A,D9129)&gt;0,"Yes","No"),"")</f>
        <v/>
      </c>
      <c r="C9129" s="11"/>
      <c r="D9129" s="11"/>
      <c r="E9129" s="11"/>
      <c r="F9129" s="11"/>
      <c r="G9129" s="11"/>
      <c r="H9129" s="11"/>
      <c r="I9129" s="15"/>
    </row>
    <row r="9130" spans="1:9" ht="16.5">
      <c r="A9130" s="10" t="b">
        <v>0</v>
      </c>
      <c r="B9130" s="11" t="str">
        <f>IF(D9130&lt;&gt;"",IF(COUNTIF('USPTO TMs'!A:A,D9130)&gt;0,"Yes","No"),"")</f>
        <v/>
      </c>
      <c r="C9130" s="11"/>
      <c r="D9130" s="11"/>
      <c r="E9130" s="11"/>
      <c r="F9130" s="11"/>
      <c r="G9130" s="11"/>
      <c r="H9130" s="11"/>
      <c r="I9130" s="15"/>
    </row>
    <row r="9131" spans="1:9" ht="16.5">
      <c r="A9131" s="10" t="b">
        <v>0</v>
      </c>
      <c r="B9131" s="11" t="str">
        <f>IF(D9131&lt;&gt;"",IF(COUNTIF('USPTO TMs'!A:A,D9131)&gt;0,"Yes","No"),"")</f>
        <v/>
      </c>
      <c r="C9131" s="11"/>
      <c r="D9131" s="11"/>
      <c r="E9131" s="11"/>
      <c r="F9131" s="11"/>
      <c r="G9131" s="11"/>
      <c r="H9131" s="11"/>
      <c r="I9131" s="15"/>
    </row>
    <row r="9132" spans="1:9" ht="16.5">
      <c r="A9132" s="10" t="b">
        <v>0</v>
      </c>
      <c r="B9132" s="11" t="str">
        <f>IF(D9132&lt;&gt;"",IF(COUNTIF('USPTO TMs'!A:A,D9132)&gt;0,"Yes","No"),"")</f>
        <v/>
      </c>
      <c r="C9132" s="11"/>
      <c r="D9132" s="11"/>
      <c r="E9132" s="11"/>
      <c r="F9132" s="11"/>
      <c r="G9132" s="11"/>
      <c r="H9132" s="11"/>
      <c r="I9132" s="15"/>
    </row>
    <row r="9133" spans="1:9" ht="16.5">
      <c r="A9133" s="10" t="b">
        <v>0</v>
      </c>
      <c r="B9133" s="11" t="str">
        <f>IF(D9133&lt;&gt;"",IF(COUNTIF('USPTO TMs'!A:A,D9133)&gt;0,"Yes","No"),"")</f>
        <v/>
      </c>
      <c r="C9133" s="11"/>
      <c r="D9133" s="11"/>
      <c r="E9133" s="11"/>
      <c r="F9133" s="11"/>
      <c r="G9133" s="11"/>
      <c r="H9133" s="11"/>
      <c r="I9133" s="15"/>
    </row>
    <row r="9134" spans="1:9" ht="16.5">
      <c r="A9134" s="10" t="b">
        <v>0</v>
      </c>
      <c r="B9134" s="11" t="str">
        <f>IF(D9134&lt;&gt;"",IF(COUNTIF('USPTO TMs'!A:A,D9134)&gt;0,"Yes","No"),"")</f>
        <v/>
      </c>
      <c r="C9134" s="11"/>
      <c r="D9134" s="11"/>
      <c r="E9134" s="11"/>
      <c r="F9134" s="11"/>
      <c r="G9134" s="11"/>
      <c r="H9134" s="11"/>
      <c r="I9134" s="15"/>
    </row>
    <row r="9135" spans="1:9" ht="16.5">
      <c r="A9135" s="10" t="b">
        <v>0</v>
      </c>
      <c r="B9135" s="11" t="str">
        <f>IF(D9135&lt;&gt;"",IF(COUNTIF('USPTO TMs'!A:A,D9135)&gt;0,"Yes","No"),"")</f>
        <v/>
      </c>
      <c r="C9135" s="11"/>
      <c r="D9135" s="11"/>
      <c r="E9135" s="11"/>
      <c r="F9135" s="11"/>
      <c r="G9135" s="11"/>
      <c r="H9135" s="11"/>
      <c r="I9135" s="15"/>
    </row>
    <row r="9136" spans="1:9" ht="16.5">
      <c r="A9136" s="10" t="b">
        <v>0</v>
      </c>
      <c r="B9136" s="11" t="str">
        <f>IF(D9136&lt;&gt;"",IF(COUNTIF('USPTO TMs'!A:A,D9136)&gt;0,"Yes","No"),"")</f>
        <v/>
      </c>
      <c r="C9136" s="11"/>
      <c r="D9136" s="11"/>
      <c r="E9136" s="11"/>
      <c r="F9136" s="11"/>
      <c r="G9136" s="11"/>
      <c r="H9136" s="11"/>
      <c r="I9136" s="15"/>
    </row>
    <row r="9137" spans="1:9" ht="16.5">
      <c r="A9137" s="10" t="b">
        <v>0</v>
      </c>
      <c r="B9137" s="11" t="str">
        <f>IF(D9137&lt;&gt;"",IF(COUNTIF('USPTO TMs'!A:A,D9137)&gt;0,"Yes","No"),"")</f>
        <v/>
      </c>
      <c r="C9137" s="11"/>
      <c r="D9137" s="11"/>
      <c r="E9137" s="11"/>
      <c r="F9137" s="11"/>
      <c r="G9137" s="11"/>
      <c r="H9137" s="11"/>
      <c r="I9137" s="15"/>
    </row>
    <row r="9138" spans="1:9" ht="16.5">
      <c r="A9138" s="10" t="b">
        <v>0</v>
      </c>
      <c r="B9138" s="11" t="str">
        <f>IF(D9138&lt;&gt;"",IF(COUNTIF('USPTO TMs'!A:A,D9138)&gt;0,"Yes","No"),"")</f>
        <v/>
      </c>
      <c r="C9138" s="11"/>
      <c r="D9138" s="11"/>
      <c r="E9138" s="11"/>
      <c r="F9138" s="11"/>
      <c r="G9138" s="11"/>
      <c r="H9138" s="11"/>
      <c r="I9138" s="15"/>
    </row>
    <row r="9139" spans="1:9" ht="16.5">
      <c r="A9139" s="10" t="b">
        <v>0</v>
      </c>
      <c r="B9139" s="11" t="str">
        <f>IF(D9139&lt;&gt;"",IF(COUNTIF('USPTO TMs'!A:A,D9139)&gt;0,"Yes","No"),"")</f>
        <v/>
      </c>
      <c r="C9139" s="11"/>
      <c r="D9139" s="11"/>
      <c r="E9139" s="11"/>
      <c r="F9139" s="11"/>
      <c r="G9139" s="11"/>
      <c r="H9139" s="11"/>
      <c r="I9139" s="15"/>
    </row>
    <row r="9140" spans="1:9" ht="16.5">
      <c r="A9140" s="10" t="b">
        <v>0</v>
      </c>
      <c r="B9140" s="11" t="str">
        <f>IF(D9140&lt;&gt;"",IF(COUNTIF('USPTO TMs'!A:A,D9140)&gt;0,"Yes","No"),"")</f>
        <v/>
      </c>
      <c r="C9140" s="11"/>
      <c r="D9140" s="11"/>
      <c r="E9140" s="11"/>
      <c r="F9140" s="11"/>
      <c r="G9140" s="11"/>
      <c r="H9140" s="11"/>
      <c r="I9140" s="15"/>
    </row>
    <row r="9141" spans="1:9" ht="16.5">
      <c r="A9141" s="10" t="b">
        <v>0</v>
      </c>
      <c r="B9141" s="11" t="str">
        <f>IF(D9141&lt;&gt;"",IF(COUNTIF('USPTO TMs'!A:A,D9141)&gt;0,"Yes","No"),"")</f>
        <v/>
      </c>
      <c r="C9141" s="11"/>
      <c r="D9141" s="11"/>
      <c r="E9141" s="11"/>
      <c r="F9141" s="11"/>
      <c r="G9141" s="11"/>
      <c r="H9141" s="11"/>
      <c r="I9141" s="15"/>
    </row>
    <row r="9142" spans="1:9" ht="16.5">
      <c r="A9142" s="10" t="b">
        <v>0</v>
      </c>
      <c r="B9142" s="11" t="str">
        <f>IF(D9142&lt;&gt;"",IF(COUNTIF('USPTO TMs'!A:A,D9142)&gt;0,"Yes","No"),"")</f>
        <v/>
      </c>
      <c r="C9142" s="11"/>
      <c r="D9142" s="11"/>
      <c r="E9142" s="11"/>
      <c r="F9142" s="11"/>
      <c r="G9142" s="11"/>
      <c r="H9142" s="11"/>
      <c r="I9142" s="15"/>
    </row>
    <row r="9143" spans="1:9" ht="16.5">
      <c r="A9143" s="10" t="b">
        <v>0</v>
      </c>
      <c r="B9143" s="11" t="str">
        <f>IF(D9143&lt;&gt;"",IF(COUNTIF('USPTO TMs'!A:A,D9143)&gt;0,"Yes","No"),"")</f>
        <v/>
      </c>
      <c r="C9143" s="11"/>
      <c r="D9143" s="11"/>
      <c r="E9143" s="11"/>
      <c r="F9143" s="11"/>
      <c r="G9143" s="11"/>
      <c r="H9143" s="11"/>
      <c r="I9143" s="15"/>
    </row>
    <row r="9144" spans="1:9" ht="16.5">
      <c r="A9144" s="10" t="b">
        <v>0</v>
      </c>
      <c r="B9144" s="11" t="str">
        <f>IF(D9144&lt;&gt;"",IF(COUNTIF('USPTO TMs'!A:A,D9144)&gt;0,"Yes","No"),"")</f>
        <v/>
      </c>
      <c r="C9144" s="11"/>
      <c r="D9144" s="11"/>
      <c r="E9144" s="11"/>
      <c r="F9144" s="11"/>
      <c r="G9144" s="11"/>
      <c r="H9144" s="11"/>
      <c r="I9144" s="15"/>
    </row>
    <row r="9145" spans="1:9" ht="16.5">
      <c r="A9145" s="10" t="b">
        <v>0</v>
      </c>
      <c r="B9145" s="11" t="str">
        <f>IF(D9145&lt;&gt;"",IF(COUNTIF('USPTO TMs'!A:A,D9145)&gt;0,"Yes","No"),"")</f>
        <v/>
      </c>
      <c r="C9145" s="11"/>
      <c r="D9145" s="11"/>
      <c r="E9145" s="11"/>
      <c r="F9145" s="11"/>
      <c r="G9145" s="11"/>
      <c r="H9145" s="11"/>
      <c r="I9145" s="15"/>
    </row>
    <row r="9146" spans="1:9" ht="16.5">
      <c r="A9146" s="10" t="b">
        <v>0</v>
      </c>
      <c r="B9146" s="11" t="str">
        <f>IF(D9146&lt;&gt;"",IF(COUNTIF('USPTO TMs'!A:A,D9146)&gt;0,"Yes","No"),"")</f>
        <v/>
      </c>
      <c r="C9146" s="11"/>
      <c r="D9146" s="11"/>
      <c r="E9146" s="11"/>
      <c r="F9146" s="11"/>
      <c r="G9146" s="11"/>
      <c r="H9146" s="11"/>
      <c r="I9146" s="15"/>
    </row>
    <row r="9147" spans="1:9" ht="16.5">
      <c r="A9147" s="10" t="b">
        <v>0</v>
      </c>
      <c r="B9147" s="11" t="str">
        <f>IF(D9147&lt;&gt;"",IF(COUNTIF('USPTO TMs'!A:A,D9147)&gt;0,"Yes","No"),"")</f>
        <v/>
      </c>
      <c r="C9147" s="11"/>
      <c r="D9147" s="11"/>
      <c r="E9147" s="11"/>
      <c r="F9147" s="11"/>
      <c r="G9147" s="11"/>
      <c r="H9147" s="11"/>
      <c r="I9147" s="15"/>
    </row>
    <row r="9148" spans="1:9" ht="16.5">
      <c r="A9148" s="10" t="b">
        <v>0</v>
      </c>
      <c r="B9148" s="11" t="str">
        <f>IF(D9148&lt;&gt;"",IF(COUNTIF('USPTO TMs'!A:A,D9148)&gt;0,"Yes","No"),"")</f>
        <v/>
      </c>
      <c r="C9148" s="11"/>
      <c r="D9148" s="11"/>
      <c r="E9148" s="11"/>
      <c r="F9148" s="11"/>
      <c r="G9148" s="11"/>
      <c r="H9148" s="11"/>
      <c r="I9148" s="15"/>
    </row>
    <row r="9149" spans="1:9" ht="16.5">
      <c r="A9149" s="10" t="b">
        <v>0</v>
      </c>
      <c r="B9149" s="11" t="str">
        <f>IF(D9149&lt;&gt;"",IF(COUNTIF('USPTO TMs'!A:A,D9149)&gt;0,"Yes","No"),"")</f>
        <v/>
      </c>
      <c r="C9149" s="11"/>
      <c r="D9149" s="11"/>
      <c r="E9149" s="11"/>
      <c r="F9149" s="11"/>
      <c r="G9149" s="11"/>
      <c r="H9149" s="11"/>
      <c r="I9149" s="15"/>
    </row>
    <row r="9150" spans="1:9" ht="16.5">
      <c r="A9150" s="10" t="b">
        <v>0</v>
      </c>
      <c r="B9150" s="11" t="str">
        <f>IF(D9150&lt;&gt;"",IF(COUNTIF('USPTO TMs'!A:A,D9150)&gt;0,"Yes","No"),"")</f>
        <v/>
      </c>
      <c r="C9150" s="11"/>
      <c r="D9150" s="11"/>
      <c r="E9150" s="11"/>
      <c r="F9150" s="11"/>
      <c r="G9150" s="11"/>
      <c r="H9150" s="11"/>
      <c r="I9150" s="15"/>
    </row>
    <row r="9151" spans="1:9" ht="16.5">
      <c r="A9151" s="10" t="b">
        <v>0</v>
      </c>
      <c r="B9151" s="11" t="str">
        <f>IF(D9151&lt;&gt;"",IF(COUNTIF('USPTO TMs'!A:A,D9151)&gt;0,"Yes","No"),"")</f>
        <v/>
      </c>
      <c r="C9151" s="11"/>
      <c r="D9151" s="11"/>
      <c r="E9151" s="11"/>
      <c r="F9151" s="11"/>
      <c r="G9151" s="11"/>
      <c r="H9151" s="11"/>
      <c r="I9151" s="15"/>
    </row>
    <row r="9152" spans="1:9" ht="16.5">
      <c r="A9152" s="10" t="b">
        <v>0</v>
      </c>
      <c r="B9152" s="11" t="str">
        <f>IF(D9152&lt;&gt;"",IF(COUNTIF('USPTO TMs'!A:A,D9152)&gt;0,"Yes","No"),"")</f>
        <v/>
      </c>
      <c r="C9152" s="11"/>
      <c r="D9152" s="11"/>
      <c r="E9152" s="11"/>
      <c r="F9152" s="11"/>
      <c r="G9152" s="11"/>
      <c r="H9152" s="11"/>
      <c r="I9152" s="15"/>
    </row>
    <row r="9153" spans="1:9" ht="16.5">
      <c r="A9153" s="10" t="b">
        <v>0</v>
      </c>
      <c r="B9153" s="11" t="str">
        <f>IF(D9153&lt;&gt;"",IF(COUNTIF('USPTO TMs'!A:A,D9153)&gt;0,"Yes","No"),"")</f>
        <v/>
      </c>
      <c r="C9153" s="11"/>
      <c r="D9153" s="11"/>
      <c r="E9153" s="11"/>
      <c r="F9153" s="11"/>
      <c r="G9153" s="11"/>
      <c r="H9153" s="11"/>
      <c r="I9153" s="15"/>
    </row>
    <row r="9154" spans="1:9" ht="16.5">
      <c r="A9154" s="10" t="b">
        <v>0</v>
      </c>
      <c r="B9154" s="11" t="str">
        <f>IF(D9154&lt;&gt;"",IF(COUNTIF('USPTO TMs'!A:A,D9154)&gt;0,"Yes","No"),"")</f>
        <v/>
      </c>
      <c r="C9154" s="11"/>
      <c r="D9154" s="11"/>
      <c r="E9154" s="11"/>
      <c r="F9154" s="11"/>
      <c r="G9154" s="11"/>
      <c r="H9154" s="11"/>
      <c r="I9154" s="15"/>
    </row>
    <row r="9155" spans="1:9" ht="16.5">
      <c r="A9155" s="10" t="b">
        <v>0</v>
      </c>
      <c r="B9155" s="11" t="str">
        <f>IF(D9155&lt;&gt;"",IF(COUNTIF('USPTO TMs'!A:A,D9155)&gt;0,"Yes","No"),"")</f>
        <v/>
      </c>
      <c r="C9155" s="11"/>
      <c r="D9155" s="11"/>
      <c r="E9155" s="11"/>
      <c r="F9155" s="11"/>
      <c r="G9155" s="11"/>
      <c r="H9155" s="11"/>
      <c r="I9155" s="15"/>
    </row>
    <row r="9156" spans="1:9" ht="16.5">
      <c r="A9156" s="10" t="b">
        <v>0</v>
      </c>
      <c r="B9156" s="11" t="str">
        <f>IF(D9156&lt;&gt;"",IF(COUNTIF('USPTO TMs'!A:A,D9156)&gt;0,"Yes","No"),"")</f>
        <v/>
      </c>
      <c r="C9156" s="11"/>
      <c r="D9156" s="11"/>
      <c r="E9156" s="11"/>
      <c r="F9156" s="11"/>
      <c r="G9156" s="11"/>
      <c r="H9156" s="11"/>
      <c r="I9156" s="15"/>
    </row>
    <row r="9157" spans="1:9" ht="16.5">
      <c r="A9157" s="10" t="b">
        <v>0</v>
      </c>
      <c r="B9157" s="11" t="str">
        <f>IF(D9157&lt;&gt;"",IF(COUNTIF('USPTO TMs'!A:A,D9157)&gt;0,"Yes","No"),"")</f>
        <v/>
      </c>
      <c r="C9157" s="11"/>
      <c r="D9157" s="11"/>
      <c r="E9157" s="11"/>
      <c r="F9157" s="11"/>
      <c r="G9157" s="11"/>
      <c r="H9157" s="11"/>
      <c r="I9157" s="15"/>
    </row>
    <row r="9158" spans="1:9" ht="16.5">
      <c r="A9158" s="10" t="b">
        <v>0</v>
      </c>
      <c r="B9158" s="11" t="str">
        <f>IF(D9158&lt;&gt;"",IF(COUNTIF('USPTO TMs'!A:A,D9158)&gt;0,"Yes","No"),"")</f>
        <v/>
      </c>
      <c r="C9158" s="11"/>
      <c r="D9158" s="11"/>
      <c r="E9158" s="11"/>
      <c r="F9158" s="11"/>
      <c r="G9158" s="11"/>
      <c r="H9158" s="11"/>
      <c r="I9158" s="15"/>
    </row>
    <row r="9159" spans="1:9" ht="16.5">
      <c r="A9159" s="10" t="b">
        <v>0</v>
      </c>
      <c r="B9159" s="11" t="str">
        <f>IF(D9159&lt;&gt;"",IF(COUNTIF('USPTO TMs'!A:A,D9159)&gt;0,"Yes","No"),"")</f>
        <v/>
      </c>
      <c r="C9159" s="11"/>
      <c r="D9159" s="11"/>
      <c r="E9159" s="11"/>
      <c r="F9159" s="11"/>
      <c r="G9159" s="11"/>
      <c r="H9159" s="11"/>
      <c r="I9159" s="15"/>
    </row>
    <row r="9160" spans="1:9" ht="16.5">
      <c r="A9160" s="10" t="b">
        <v>0</v>
      </c>
      <c r="B9160" s="11" t="str">
        <f>IF(D9160&lt;&gt;"",IF(COUNTIF('USPTO TMs'!A:A,D9160)&gt;0,"Yes","No"),"")</f>
        <v/>
      </c>
      <c r="C9160" s="11"/>
      <c r="D9160" s="11"/>
      <c r="E9160" s="11"/>
      <c r="F9160" s="11"/>
      <c r="G9160" s="11"/>
      <c r="H9160" s="11"/>
      <c r="I9160" s="15"/>
    </row>
    <row r="9161" spans="1:9" ht="16.5">
      <c r="A9161" s="10" t="b">
        <v>0</v>
      </c>
      <c r="B9161" s="11" t="str">
        <f>IF(D9161&lt;&gt;"",IF(COUNTIF('USPTO TMs'!A:A,D9161)&gt;0,"Yes","No"),"")</f>
        <v/>
      </c>
      <c r="C9161" s="11"/>
      <c r="D9161" s="11"/>
      <c r="E9161" s="11"/>
      <c r="F9161" s="11"/>
      <c r="G9161" s="11"/>
      <c r="H9161" s="11"/>
      <c r="I9161" s="15"/>
    </row>
    <row r="9162" spans="1:9" ht="16.5">
      <c r="A9162" s="10" t="b">
        <v>0</v>
      </c>
      <c r="B9162" s="11" t="str">
        <f>IF(D9162&lt;&gt;"",IF(COUNTIF('USPTO TMs'!A:A,D9162)&gt;0,"Yes","No"),"")</f>
        <v/>
      </c>
      <c r="C9162" s="11"/>
      <c r="D9162" s="11"/>
      <c r="E9162" s="11"/>
      <c r="F9162" s="11"/>
      <c r="G9162" s="11"/>
      <c r="H9162" s="11"/>
      <c r="I9162" s="15"/>
    </row>
    <row r="9163" spans="1:9" ht="16.5">
      <c r="A9163" s="10" t="b">
        <v>0</v>
      </c>
      <c r="B9163" s="11" t="str">
        <f>IF(D9163&lt;&gt;"",IF(COUNTIF('USPTO TMs'!A:A,D9163)&gt;0,"Yes","No"),"")</f>
        <v/>
      </c>
      <c r="C9163" s="11"/>
      <c r="D9163" s="11"/>
      <c r="E9163" s="11"/>
      <c r="F9163" s="11"/>
      <c r="G9163" s="11"/>
      <c r="H9163" s="11"/>
      <c r="I9163" s="15"/>
    </row>
    <row r="9164" spans="1:9" ht="16.5">
      <c r="A9164" s="10" t="b">
        <v>0</v>
      </c>
      <c r="B9164" s="11" t="str">
        <f>IF(D9164&lt;&gt;"",IF(COUNTIF('USPTO TMs'!A:A,D9164)&gt;0,"Yes","No"),"")</f>
        <v/>
      </c>
      <c r="C9164" s="11"/>
      <c r="D9164" s="11"/>
      <c r="E9164" s="11"/>
      <c r="F9164" s="11"/>
      <c r="G9164" s="11"/>
      <c r="H9164" s="11"/>
      <c r="I9164" s="15"/>
    </row>
    <row r="9165" spans="1:9" ht="16.5">
      <c r="A9165" s="10" t="b">
        <v>0</v>
      </c>
      <c r="B9165" s="11" t="str">
        <f>IF(D9165&lt;&gt;"",IF(COUNTIF('USPTO TMs'!A:A,D9165)&gt;0,"Yes","No"),"")</f>
        <v/>
      </c>
      <c r="C9165" s="11"/>
      <c r="D9165" s="11"/>
      <c r="E9165" s="11"/>
      <c r="F9165" s="11"/>
      <c r="G9165" s="11"/>
      <c r="H9165" s="11"/>
      <c r="I9165" s="15"/>
    </row>
    <row r="9166" spans="1:9" ht="16.5">
      <c r="A9166" s="10" t="b">
        <v>0</v>
      </c>
      <c r="B9166" s="11" t="str">
        <f>IF(D9166&lt;&gt;"",IF(COUNTIF('USPTO TMs'!A:A,D9166)&gt;0,"Yes","No"),"")</f>
        <v/>
      </c>
      <c r="C9166" s="11"/>
      <c r="D9166" s="11"/>
      <c r="E9166" s="11"/>
      <c r="F9166" s="11"/>
      <c r="G9166" s="11"/>
      <c r="H9166" s="11"/>
      <c r="I9166" s="15"/>
    </row>
    <row r="9167" spans="1:9" ht="16.5">
      <c r="A9167" s="10" t="b">
        <v>0</v>
      </c>
      <c r="B9167" s="11" t="str">
        <f>IF(D9167&lt;&gt;"",IF(COUNTIF('USPTO TMs'!A:A,D9167)&gt;0,"Yes","No"),"")</f>
        <v/>
      </c>
      <c r="C9167" s="11"/>
      <c r="D9167" s="11"/>
      <c r="E9167" s="11"/>
      <c r="F9167" s="11"/>
      <c r="G9167" s="11"/>
      <c r="H9167" s="11"/>
      <c r="I9167" s="15"/>
    </row>
    <row r="9168" spans="1:9" ht="16.5">
      <c r="A9168" s="10" t="b">
        <v>0</v>
      </c>
      <c r="B9168" s="11" t="str">
        <f>IF(D9168&lt;&gt;"",IF(COUNTIF('USPTO TMs'!A:A,D9168)&gt;0,"Yes","No"),"")</f>
        <v/>
      </c>
      <c r="C9168" s="11"/>
      <c r="D9168" s="11"/>
      <c r="E9168" s="11"/>
      <c r="F9168" s="11"/>
      <c r="G9168" s="11"/>
      <c r="H9168" s="11"/>
      <c r="I9168" s="15"/>
    </row>
    <row r="9169" spans="1:9" ht="16.5">
      <c r="A9169" s="10" t="b">
        <v>0</v>
      </c>
      <c r="B9169" s="11" t="str">
        <f>IF(D9169&lt;&gt;"",IF(COUNTIF('USPTO TMs'!A:A,D9169)&gt;0,"Yes","No"),"")</f>
        <v/>
      </c>
      <c r="C9169" s="11"/>
      <c r="D9169" s="11"/>
      <c r="E9169" s="11"/>
      <c r="F9169" s="11"/>
      <c r="G9169" s="11"/>
      <c r="H9169" s="11"/>
      <c r="I9169" s="15"/>
    </row>
    <row r="9170" spans="1:9" ht="16.5">
      <c r="A9170" s="10" t="b">
        <v>0</v>
      </c>
      <c r="B9170" s="11" t="str">
        <f>IF(D9170&lt;&gt;"",IF(COUNTIF('USPTO TMs'!A:A,D9170)&gt;0,"Yes","No"),"")</f>
        <v/>
      </c>
      <c r="C9170" s="11"/>
      <c r="D9170" s="11"/>
      <c r="E9170" s="11"/>
      <c r="F9170" s="11"/>
      <c r="G9170" s="11"/>
      <c r="H9170" s="11"/>
      <c r="I9170" s="15"/>
    </row>
    <row r="9171" spans="1:9" ht="16.5">
      <c r="A9171" s="10" t="b">
        <v>0</v>
      </c>
      <c r="B9171" s="11" t="str">
        <f>IF(D9171&lt;&gt;"",IF(COUNTIF('USPTO TMs'!A:A,D9171)&gt;0,"Yes","No"),"")</f>
        <v/>
      </c>
      <c r="C9171" s="11"/>
      <c r="D9171" s="11"/>
      <c r="E9171" s="11"/>
      <c r="F9171" s="11"/>
      <c r="G9171" s="11"/>
      <c r="H9171" s="11"/>
      <c r="I9171" s="15"/>
    </row>
    <row r="9172" spans="1:9" ht="16.5">
      <c r="A9172" s="10" t="b">
        <v>0</v>
      </c>
      <c r="B9172" s="11" t="str">
        <f>IF(D9172&lt;&gt;"",IF(COUNTIF('USPTO TMs'!A:A,D9172)&gt;0,"Yes","No"),"")</f>
        <v/>
      </c>
      <c r="C9172" s="11"/>
      <c r="D9172" s="11"/>
      <c r="E9172" s="11"/>
      <c r="F9172" s="11"/>
      <c r="G9172" s="11"/>
      <c r="H9172" s="11"/>
      <c r="I9172" s="15"/>
    </row>
    <row r="9173" spans="1:9" ht="16.5">
      <c r="A9173" s="10" t="b">
        <v>0</v>
      </c>
      <c r="B9173" s="11" t="str">
        <f>IF(D9173&lt;&gt;"",IF(COUNTIF('USPTO TMs'!A:A,D9173)&gt;0,"Yes","No"),"")</f>
        <v/>
      </c>
      <c r="C9173" s="11"/>
      <c r="D9173" s="11"/>
      <c r="E9173" s="11"/>
      <c r="F9173" s="11"/>
      <c r="G9173" s="11"/>
      <c r="H9173" s="11"/>
      <c r="I9173" s="15"/>
    </row>
    <row r="9174" spans="1:9" ht="16.5">
      <c r="A9174" s="10" t="b">
        <v>0</v>
      </c>
      <c r="B9174" s="11" t="str">
        <f>IF(D9174&lt;&gt;"",IF(COUNTIF('USPTO TMs'!A:A,D9174)&gt;0,"Yes","No"),"")</f>
        <v/>
      </c>
      <c r="C9174" s="11"/>
      <c r="D9174" s="11"/>
      <c r="E9174" s="11"/>
      <c r="F9174" s="11"/>
      <c r="G9174" s="11"/>
      <c r="H9174" s="11"/>
      <c r="I9174" s="15"/>
    </row>
    <row r="9175" spans="1:9" ht="16.5">
      <c r="A9175" s="10" t="b">
        <v>0</v>
      </c>
      <c r="B9175" s="11" t="str">
        <f>IF(D9175&lt;&gt;"",IF(COUNTIF('USPTO TMs'!A:A,D9175)&gt;0,"Yes","No"),"")</f>
        <v/>
      </c>
      <c r="C9175" s="11"/>
      <c r="D9175" s="11"/>
      <c r="E9175" s="11"/>
      <c r="F9175" s="11"/>
      <c r="G9175" s="11"/>
      <c r="H9175" s="11"/>
      <c r="I9175" s="15"/>
    </row>
    <row r="9176" spans="1:9" ht="16.5">
      <c r="A9176" s="10" t="b">
        <v>0</v>
      </c>
      <c r="B9176" s="11" t="str">
        <f>IF(D9176&lt;&gt;"",IF(COUNTIF('USPTO TMs'!A:A,D9176)&gt;0,"Yes","No"),"")</f>
        <v/>
      </c>
      <c r="C9176" s="11"/>
      <c r="D9176" s="11"/>
      <c r="E9176" s="11"/>
      <c r="F9176" s="11"/>
      <c r="G9176" s="11"/>
      <c r="H9176" s="11"/>
      <c r="I9176" s="15"/>
    </row>
    <row r="9177" spans="1:9" ht="16.5">
      <c r="A9177" s="10" t="b">
        <v>0</v>
      </c>
      <c r="B9177" s="11" t="str">
        <f>IF(D9177&lt;&gt;"",IF(COUNTIF('USPTO TMs'!A:A,D9177)&gt;0,"Yes","No"),"")</f>
        <v/>
      </c>
      <c r="C9177" s="11"/>
      <c r="D9177" s="11"/>
      <c r="E9177" s="11"/>
      <c r="F9177" s="11"/>
      <c r="G9177" s="11"/>
      <c r="H9177" s="11"/>
      <c r="I9177" s="15"/>
    </row>
    <row r="9178" spans="1:9" ht="16.5">
      <c r="A9178" s="10" t="b">
        <v>0</v>
      </c>
      <c r="B9178" s="11" t="str">
        <f>IF(D9178&lt;&gt;"",IF(COUNTIF('USPTO TMs'!A:A,D9178)&gt;0,"Yes","No"),"")</f>
        <v/>
      </c>
      <c r="C9178" s="11"/>
      <c r="D9178" s="11"/>
      <c r="E9178" s="11"/>
      <c r="F9178" s="11"/>
      <c r="G9178" s="11"/>
      <c r="H9178" s="11"/>
      <c r="I9178" s="15"/>
    </row>
    <row r="9179" spans="1:9" ht="16.5">
      <c r="A9179" s="10" t="b">
        <v>0</v>
      </c>
      <c r="B9179" s="11" t="str">
        <f>IF(D9179&lt;&gt;"",IF(COUNTIF('USPTO TMs'!A:A,D9179)&gt;0,"Yes","No"),"")</f>
        <v/>
      </c>
      <c r="C9179" s="11"/>
      <c r="D9179" s="11"/>
      <c r="E9179" s="11"/>
      <c r="F9179" s="11"/>
      <c r="G9179" s="11"/>
      <c r="H9179" s="11"/>
      <c r="I9179" s="15"/>
    </row>
    <row r="9180" spans="1:9" ht="16.5">
      <c r="A9180" s="10" t="b">
        <v>0</v>
      </c>
      <c r="B9180" s="11" t="str">
        <f>IF(D9180&lt;&gt;"",IF(COUNTIF('USPTO TMs'!A:A,D9180)&gt;0,"Yes","No"),"")</f>
        <v/>
      </c>
      <c r="C9180" s="11"/>
      <c r="D9180" s="11"/>
      <c r="E9180" s="11"/>
      <c r="F9180" s="11"/>
      <c r="G9180" s="11"/>
      <c r="H9180" s="11"/>
      <c r="I9180" s="15"/>
    </row>
    <row r="9181" spans="1:9" ht="16.5">
      <c r="A9181" s="10" t="b">
        <v>0</v>
      </c>
      <c r="B9181" s="11" t="str">
        <f>IF(D9181&lt;&gt;"",IF(COUNTIF('USPTO TMs'!A:A,D9181)&gt;0,"Yes","No"),"")</f>
        <v/>
      </c>
      <c r="C9181" s="11"/>
      <c r="D9181" s="11"/>
      <c r="E9181" s="11"/>
      <c r="F9181" s="11"/>
      <c r="G9181" s="11"/>
      <c r="H9181" s="11"/>
      <c r="I9181" s="15"/>
    </row>
    <row r="9182" spans="1:9" ht="16.5">
      <c r="A9182" s="10" t="b">
        <v>0</v>
      </c>
      <c r="B9182" s="11" t="str">
        <f>IF(D9182&lt;&gt;"",IF(COUNTIF('USPTO TMs'!A:A,D9182)&gt;0,"Yes","No"),"")</f>
        <v/>
      </c>
      <c r="C9182" s="11"/>
      <c r="D9182" s="11"/>
      <c r="E9182" s="11"/>
      <c r="F9182" s="11"/>
      <c r="G9182" s="11"/>
      <c r="H9182" s="11"/>
      <c r="I9182" s="15"/>
    </row>
    <row r="9183" spans="1:9" ht="16.5">
      <c r="A9183" s="10" t="b">
        <v>0</v>
      </c>
      <c r="B9183" s="11" t="str">
        <f>IF(D9183&lt;&gt;"",IF(COUNTIF('USPTO TMs'!A:A,D9183)&gt;0,"Yes","No"),"")</f>
        <v/>
      </c>
      <c r="C9183" s="11"/>
      <c r="D9183" s="11"/>
      <c r="E9183" s="11"/>
      <c r="F9183" s="11"/>
      <c r="G9183" s="11"/>
      <c r="H9183" s="11"/>
      <c r="I9183" s="15"/>
    </row>
    <row r="9184" spans="1:9" ht="16.5">
      <c r="A9184" s="10" t="b">
        <v>0</v>
      </c>
      <c r="B9184" s="11" t="str">
        <f>IF(D9184&lt;&gt;"",IF(COUNTIF('USPTO TMs'!A:A,D9184)&gt;0,"Yes","No"),"")</f>
        <v/>
      </c>
      <c r="C9184" s="11"/>
      <c r="D9184" s="11"/>
      <c r="E9184" s="11"/>
      <c r="F9184" s="11"/>
      <c r="G9184" s="11"/>
      <c r="H9184" s="11"/>
      <c r="I9184" s="15"/>
    </row>
    <row r="9185" spans="1:9" ht="16.5">
      <c r="A9185" s="10" t="b">
        <v>0</v>
      </c>
      <c r="B9185" s="11" t="str">
        <f>IF(D9185&lt;&gt;"",IF(COUNTIF('USPTO TMs'!A:A,D9185)&gt;0,"Yes","No"),"")</f>
        <v/>
      </c>
      <c r="C9185" s="11"/>
      <c r="D9185" s="11"/>
      <c r="E9185" s="11"/>
      <c r="F9185" s="11"/>
      <c r="G9185" s="11"/>
      <c r="H9185" s="11"/>
      <c r="I9185" s="15"/>
    </row>
    <row r="9186" spans="1:9" ht="16.5">
      <c r="A9186" s="10" t="b">
        <v>0</v>
      </c>
      <c r="B9186" s="11" t="str">
        <f>IF(D9186&lt;&gt;"",IF(COUNTIF('USPTO TMs'!A:A,D9186)&gt;0,"Yes","No"),"")</f>
        <v/>
      </c>
      <c r="C9186" s="11"/>
      <c r="D9186" s="11"/>
      <c r="E9186" s="11"/>
      <c r="F9186" s="11"/>
      <c r="G9186" s="11"/>
      <c r="H9186" s="11"/>
      <c r="I9186" s="15"/>
    </row>
    <row r="9187" spans="1:9" ht="16.5">
      <c r="A9187" s="10" t="b">
        <v>0</v>
      </c>
      <c r="B9187" s="11" t="str">
        <f>IF(D9187&lt;&gt;"",IF(COUNTIF('USPTO TMs'!A:A,D9187)&gt;0,"Yes","No"),"")</f>
        <v/>
      </c>
      <c r="C9187" s="11"/>
      <c r="D9187" s="11"/>
      <c r="E9187" s="11"/>
      <c r="F9187" s="11"/>
      <c r="G9187" s="11"/>
      <c r="H9187" s="11"/>
      <c r="I9187" s="15"/>
    </row>
    <row r="9188" spans="1:9" ht="16.5">
      <c r="A9188" s="10" t="b">
        <v>0</v>
      </c>
      <c r="B9188" s="11" t="str">
        <f>IF(D9188&lt;&gt;"",IF(COUNTIF('USPTO TMs'!A:A,D9188)&gt;0,"Yes","No"),"")</f>
        <v/>
      </c>
      <c r="C9188" s="11"/>
      <c r="D9188" s="11"/>
      <c r="E9188" s="11"/>
      <c r="F9188" s="11"/>
      <c r="G9188" s="11"/>
      <c r="H9188" s="11"/>
      <c r="I9188" s="15"/>
    </row>
    <row r="9189" spans="1:9" ht="16.5">
      <c r="A9189" s="10" t="b">
        <v>0</v>
      </c>
      <c r="B9189" s="11" t="str">
        <f>IF(D9189&lt;&gt;"",IF(COUNTIF('USPTO TMs'!A:A,D9189)&gt;0,"Yes","No"),"")</f>
        <v/>
      </c>
      <c r="C9189" s="11"/>
      <c r="D9189" s="11"/>
      <c r="E9189" s="11"/>
      <c r="F9189" s="11"/>
      <c r="G9189" s="11"/>
      <c r="H9189" s="11"/>
      <c r="I9189" s="15"/>
    </row>
    <row r="9190" spans="1:9" ht="16.5">
      <c r="A9190" s="10" t="b">
        <v>0</v>
      </c>
      <c r="B9190" s="11" t="str">
        <f>IF(D9190&lt;&gt;"",IF(COUNTIF('USPTO TMs'!A:A,D9190)&gt;0,"Yes","No"),"")</f>
        <v/>
      </c>
      <c r="C9190" s="11"/>
      <c r="D9190" s="11"/>
      <c r="E9190" s="11"/>
      <c r="F9190" s="11"/>
      <c r="G9190" s="11"/>
      <c r="H9190" s="11"/>
      <c r="I9190" s="15"/>
    </row>
    <row r="9191" spans="1:9" ht="16.5">
      <c r="A9191" s="10" t="b">
        <v>0</v>
      </c>
      <c r="B9191" s="11" t="str">
        <f>IF(D9191&lt;&gt;"",IF(COUNTIF('USPTO TMs'!A:A,D9191)&gt;0,"Yes","No"),"")</f>
        <v/>
      </c>
      <c r="C9191" s="11"/>
      <c r="D9191" s="11"/>
      <c r="E9191" s="11"/>
      <c r="F9191" s="11"/>
      <c r="G9191" s="11"/>
      <c r="H9191" s="11"/>
      <c r="I9191" s="15"/>
    </row>
    <row r="9192" spans="1:9" ht="16.5">
      <c r="A9192" s="10" t="b">
        <v>0</v>
      </c>
      <c r="B9192" s="11" t="str">
        <f>IF(D9192&lt;&gt;"",IF(COUNTIF('USPTO TMs'!A:A,D9192)&gt;0,"Yes","No"),"")</f>
        <v/>
      </c>
      <c r="C9192" s="11"/>
      <c r="D9192" s="11"/>
      <c r="E9192" s="11"/>
      <c r="F9192" s="11"/>
      <c r="G9192" s="11"/>
      <c r="H9192" s="11"/>
      <c r="I9192" s="15"/>
    </row>
    <row r="9193" spans="1:9" ht="16.5">
      <c r="A9193" s="10" t="b">
        <v>0</v>
      </c>
      <c r="B9193" s="11" t="str">
        <f>IF(D9193&lt;&gt;"",IF(COUNTIF('USPTO TMs'!A:A,D9193)&gt;0,"Yes","No"),"")</f>
        <v/>
      </c>
      <c r="C9193" s="11"/>
      <c r="D9193" s="11"/>
      <c r="E9193" s="11"/>
      <c r="F9193" s="11"/>
      <c r="G9193" s="11"/>
      <c r="H9193" s="11"/>
      <c r="I9193" s="15"/>
    </row>
    <row r="9194" spans="1:9" ht="16.5">
      <c r="A9194" s="10" t="b">
        <v>0</v>
      </c>
      <c r="B9194" s="11" t="str">
        <f>IF(D9194&lt;&gt;"",IF(COUNTIF('USPTO TMs'!A:A,D9194)&gt;0,"Yes","No"),"")</f>
        <v/>
      </c>
      <c r="C9194" s="11"/>
      <c r="D9194" s="11"/>
      <c r="E9194" s="11"/>
      <c r="F9194" s="11"/>
      <c r="G9194" s="11"/>
      <c r="H9194" s="11"/>
      <c r="I9194" s="15"/>
    </row>
    <row r="9195" spans="1:9" ht="16.5">
      <c r="A9195" s="10" t="b">
        <v>0</v>
      </c>
      <c r="B9195" s="11" t="str">
        <f>IF(D9195&lt;&gt;"",IF(COUNTIF('USPTO TMs'!A:A,D9195)&gt;0,"Yes","No"),"")</f>
        <v/>
      </c>
      <c r="C9195" s="11"/>
      <c r="D9195" s="11"/>
      <c r="E9195" s="11"/>
      <c r="F9195" s="11"/>
      <c r="G9195" s="11"/>
      <c r="H9195" s="11"/>
      <c r="I9195" s="15"/>
    </row>
    <row r="9196" spans="1:9" ht="16.5">
      <c r="A9196" s="10" t="b">
        <v>0</v>
      </c>
      <c r="B9196" s="11" t="str">
        <f>IF(D9196&lt;&gt;"",IF(COUNTIF('USPTO TMs'!A:A,D9196)&gt;0,"Yes","No"),"")</f>
        <v/>
      </c>
      <c r="C9196" s="11"/>
      <c r="D9196" s="11"/>
      <c r="E9196" s="11"/>
      <c r="F9196" s="11"/>
      <c r="G9196" s="11"/>
      <c r="H9196" s="11"/>
      <c r="I9196" s="15"/>
    </row>
    <row r="9197" spans="1:9" ht="16.5">
      <c r="A9197" s="10" t="b">
        <v>0</v>
      </c>
      <c r="B9197" s="11" t="str">
        <f>IF(D9197&lt;&gt;"",IF(COUNTIF('USPTO TMs'!A:A,D9197)&gt;0,"Yes","No"),"")</f>
        <v/>
      </c>
      <c r="C9197" s="11"/>
      <c r="D9197" s="11"/>
      <c r="E9197" s="11"/>
      <c r="F9197" s="11"/>
      <c r="G9197" s="11"/>
      <c r="H9197" s="11"/>
      <c r="I9197" s="15"/>
    </row>
    <row r="9198" spans="1:9" ht="16.5">
      <c r="A9198" s="10" t="b">
        <v>0</v>
      </c>
      <c r="B9198" s="11" t="str">
        <f>IF(D9198&lt;&gt;"",IF(COUNTIF('USPTO TMs'!A:A,D9198)&gt;0,"Yes","No"),"")</f>
        <v/>
      </c>
      <c r="C9198" s="11"/>
      <c r="D9198" s="11"/>
      <c r="E9198" s="11"/>
      <c r="F9198" s="11"/>
      <c r="G9198" s="11"/>
      <c r="H9198" s="11"/>
      <c r="I9198" s="15"/>
    </row>
    <row r="9199" spans="1:9" ht="16.5">
      <c r="A9199" s="10" t="b">
        <v>0</v>
      </c>
      <c r="B9199" s="11" t="str">
        <f>IF(D9199&lt;&gt;"",IF(COUNTIF('USPTO TMs'!A:A,D9199)&gt;0,"Yes","No"),"")</f>
        <v/>
      </c>
      <c r="C9199" s="11"/>
      <c r="D9199" s="11"/>
      <c r="E9199" s="11"/>
      <c r="F9199" s="11"/>
      <c r="G9199" s="11"/>
      <c r="H9199" s="11"/>
      <c r="I9199" s="15"/>
    </row>
    <row r="9200" spans="1:9" ht="16.5">
      <c r="A9200" s="10" t="b">
        <v>0</v>
      </c>
      <c r="B9200" s="11" t="str">
        <f>IF(D9200&lt;&gt;"",IF(COUNTIF('USPTO TMs'!A:A,D9200)&gt;0,"Yes","No"),"")</f>
        <v/>
      </c>
      <c r="C9200" s="11"/>
      <c r="D9200" s="11"/>
      <c r="E9200" s="11"/>
      <c r="F9200" s="11"/>
      <c r="G9200" s="11"/>
      <c r="H9200" s="11"/>
      <c r="I9200" s="15"/>
    </row>
    <row r="9201" spans="1:9" ht="16.5">
      <c r="A9201" s="10" t="b">
        <v>0</v>
      </c>
      <c r="B9201" s="11" t="str">
        <f>IF(D9201&lt;&gt;"",IF(COUNTIF('USPTO TMs'!A:A,D9201)&gt;0,"Yes","No"),"")</f>
        <v/>
      </c>
      <c r="C9201" s="11"/>
      <c r="D9201" s="11"/>
      <c r="E9201" s="11"/>
      <c r="F9201" s="11"/>
      <c r="G9201" s="11"/>
      <c r="H9201" s="11"/>
      <c r="I9201" s="15"/>
    </row>
    <row r="9202" spans="1:9" ht="16.5">
      <c r="A9202" s="10" t="b">
        <v>0</v>
      </c>
      <c r="B9202" s="11" t="str">
        <f>IF(D9202&lt;&gt;"",IF(COUNTIF('USPTO TMs'!A:A,D9202)&gt;0,"Yes","No"),"")</f>
        <v/>
      </c>
      <c r="C9202" s="11"/>
      <c r="D9202" s="11"/>
      <c r="E9202" s="11"/>
      <c r="F9202" s="11"/>
      <c r="G9202" s="11"/>
      <c r="H9202" s="11"/>
      <c r="I9202" s="15"/>
    </row>
    <row r="9203" spans="1:9" ht="16.5">
      <c r="A9203" s="10" t="b">
        <v>0</v>
      </c>
      <c r="B9203" s="11" t="str">
        <f>IF(D9203&lt;&gt;"",IF(COUNTIF('USPTO TMs'!A:A,D9203)&gt;0,"Yes","No"),"")</f>
        <v/>
      </c>
      <c r="C9203" s="11"/>
      <c r="D9203" s="11"/>
      <c r="E9203" s="11"/>
      <c r="F9203" s="11"/>
      <c r="G9203" s="11"/>
      <c r="H9203" s="11"/>
      <c r="I9203" s="15"/>
    </row>
    <row r="9204" spans="1:9" ht="16.5">
      <c r="A9204" s="10" t="b">
        <v>0</v>
      </c>
      <c r="B9204" s="11" t="str">
        <f>IF(D9204&lt;&gt;"",IF(COUNTIF('USPTO TMs'!A:A,D9204)&gt;0,"Yes","No"),"")</f>
        <v/>
      </c>
      <c r="C9204" s="11"/>
      <c r="D9204" s="11"/>
      <c r="E9204" s="11"/>
      <c r="F9204" s="11"/>
      <c r="G9204" s="11"/>
      <c r="H9204" s="11"/>
      <c r="I9204" s="15"/>
    </row>
    <row r="9205" spans="1:9" ht="16.5">
      <c r="A9205" s="10" t="b">
        <v>0</v>
      </c>
      <c r="B9205" s="11" t="str">
        <f>IF(D9205&lt;&gt;"",IF(COUNTIF('USPTO TMs'!A:A,D9205)&gt;0,"Yes","No"),"")</f>
        <v/>
      </c>
      <c r="C9205" s="11"/>
      <c r="D9205" s="11"/>
      <c r="E9205" s="11"/>
      <c r="F9205" s="11"/>
      <c r="G9205" s="11"/>
      <c r="H9205" s="11"/>
      <c r="I9205" s="15"/>
    </row>
    <row r="9206" spans="1:9" ht="16.5">
      <c r="A9206" s="10" t="b">
        <v>0</v>
      </c>
      <c r="B9206" s="11" t="str">
        <f>IF(D9206&lt;&gt;"",IF(COUNTIF('USPTO TMs'!A:A,D9206)&gt;0,"Yes","No"),"")</f>
        <v/>
      </c>
      <c r="C9206" s="11"/>
      <c r="D9206" s="11"/>
      <c r="E9206" s="11"/>
      <c r="F9206" s="11"/>
      <c r="G9206" s="11"/>
      <c r="H9206" s="11"/>
      <c r="I9206" s="15"/>
    </row>
    <row r="9207" spans="1:9" ht="16.5">
      <c r="A9207" s="10" t="b">
        <v>0</v>
      </c>
      <c r="B9207" s="11" t="str">
        <f>IF(D9207&lt;&gt;"",IF(COUNTIF('USPTO TMs'!A:A,D9207)&gt;0,"Yes","No"),"")</f>
        <v/>
      </c>
      <c r="C9207" s="11"/>
      <c r="D9207" s="11"/>
      <c r="E9207" s="11"/>
      <c r="F9207" s="11"/>
      <c r="G9207" s="11"/>
      <c r="H9207" s="11"/>
      <c r="I9207" s="15"/>
    </row>
    <row r="9208" spans="1:9" ht="16.5">
      <c r="A9208" s="10" t="b">
        <v>0</v>
      </c>
      <c r="B9208" s="11" t="str">
        <f>IF(D9208&lt;&gt;"",IF(COUNTIF('USPTO TMs'!A:A,D9208)&gt;0,"Yes","No"),"")</f>
        <v/>
      </c>
      <c r="C9208" s="11"/>
      <c r="D9208" s="11"/>
      <c r="E9208" s="11"/>
      <c r="F9208" s="11"/>
      <c r="G9208" s="11"/>
      <c r="H9208" s="11"/>
      <c r="I9208" s="15"/>
    </row>
    <row r="9209" spans="1:9" ht="16.5">
      <c r="A9209" s="10" t="b">
        <v>0</v>
      </c>
      <c r="B9209" s="11" t="str">
        <f>IF(D9209&lt;&gt;"",IF(COUNTIF('USPTO TMs'!A:A,D9209)&gt;0,"Yes","No"),"")</f>
        <v/>
      </c>
      <c r="C9209" s="11"/>
      <c r="D9209" s="11"/>
      <c r="E9209" s="11"/>
      <c r="F9209" s="11"/>
      <c r="G9209" s="11"/>
      <c r="H9209" s="11"/>
      <c r="I9209" s="15"/>
    </row>
    <row r="9210" spans="1:9" ht="16.5">
      <c r="A9210" s="10" t="b">
        <v>0</v>
      </c>
      <c r="B9210" s="11" t="str">
        <f>IF(D9210&lt;&gt;"",IF(COUNTIF('USPTO TMs'!A:A,D9210)&gt;0,"Yes","No"),"")</f>
        <v/>
      </c>
      <c r="C9210" s="11"/>
      <c r="D9210" s="11"/>
      <c r="E9210" s="11"/>
      <c r="F9210" s="11"/>
      <c r="G9210" s="11"/>
      <c r="H9210" s="11"/>
      <c r="I9210" s="15"/>
    </row>
    <row r="9211" spans="1:9" ht="16.5">
      <c r="A9211" s="10" t="b">
        <v>0</v>
      </c>
      <c r="B9211" s="11" t="str">
        <f>IF(D9211&lt;&gt;"",IF(COUNTIF('USPTO TMs'!A:A,D9211)&gt;0,"Yes","No"),"")</f>
        <v/>
      </c>
      <c r="C9211" s="11"/>
      <c r="D9211" s="11"/>
      <c r="E9211" s="11"/>
      <c r="F9211" s="11"/>
      <c r="G9211" s="11"/>
      <c r="H9211" s="11"/>
      <c r="I9211" s="15"/>
    </row>
    <row r="9212" spans="1:9" ht="16.5">
      <c r="A9212" s="10" t="b">
        <v>0</v>
      </c>
      <c r="B9212" s="11" t="str">
        <f>IF(D9212&lt;&gt;"",IF(COUNTIF('USPTO TMs'!A:A,D9212)&gt;0,"Yes","No"),"")</f>
        <v/>
      </c>
      <c r="C9212" s="11"/>
      <c r="D9212" s="11"/>
      <c r="E9212" s="11"/>
      <c r="F9212" s="11"/>
      <c r="G9212" s="11"/>
      <c r="H9212" s="11"/>
      <c r="I9212" s="15"/>
    </row>
    <row r="9213" spans="1:9" ht="16.5">
      <c r="A9213" s="10" t="b">
        <v>0</v>
      </c>
      <c r="B9213" s="11" t="str">
        <f>IF(D9213&lt;&gt;"",IF(COUNTIF('USPTO TMs'!A:A,D9213)&gt;0,"Yes","No"),"")</f>
        <v/>
      </c>
      <c r="C9213" s="11"/>
      <c r="D9213" s="11"/>
      <c r="E9213" s="11"/>
      <c r="F9213" s="11"/>
      <c r="G9213" s="11"/>
      <c r="H9213" s="11"/>
      <c r="I9213" s="15"/>
    </row>
    <row r="9214" spans="1:9" ht="16.5">
      <c r="A9214" s="10" t="b">
        <v>0</v>
      </c>
      <c r="B9214" s="11" t="str">
        <f>IF(D9214&lt;&gt;"",IF(COUNTIF('USPTO TMs'!A:A,D9214)&gt;0,"Yes","No"),"")</f>
        <v/>
      </c>
      <c r="C9214" s="11"/>
      <c r="D9214" s="11"/>
      <c r="E9214" s="11"/>
      <c r="F9214" s="11"/>
      <c r="G9214" s="11"/>
      <c r="H9214" s="11"/>
      <c r="I9214" s="15"/>
    </row>
    <row r="9215" spans="1:9" ht="16.5">
      <c r="A9215" s="10" t="b">
        <v>0</v>
      </c>
      <c r="B9215" s="11" t="str">
        <f>IF(D9215&lt;&gt;"",IF(COUNTIF('USPTO TMs'!A:A,D9215)&gt;0,"Yes","No"),"")</f>
        <v/>
      </c>
      <c r="C9215" s="11"/>
      <c r="D9215" s="11"/>
      <c r="E9215" s="11"/>
      <c r="F9215" s="11"/>
      <c r="G9215" s="11"/>
      <c r="H9215" s="11"/>
      <c r="I9215" s="15"/>
    </row>
    <row r="9216" spans="1:9" ht="16.5">
      <c r="A9216" s="10" t="b">
        <v>0</v>
      </c>
      <c r="B9216" s="11" t="str">
        <f>IF(D9216&lt;&gt;"",IF(COUNTIF('USPTO TMs'!A:A,D9216)&gt;0,"Yes","No"),"")</f>
        <v/>
      </c>
      <c r="C9216" s="11"/>
      <c r="D9216" s="11"/>
      <c r="E9216" s="11"/>
      <c r="F9216" s="11"/>
      <c r="G9216" s="11"/>
      <c r="H9216" s="11"/>
      <c r="I9216" s="15"/>
    </row>
    <row r="9217" spans="1:9" ht="16.5">
      <c r="A9217" s="10" t="b">
        <v>0</v>
      </c>
      <c r="B9217" s="11" t="str">
        <f>IF(D9217&lt;&gt;"",IF(COUNTIF('USPTO TMs'!A:A,D9217)&gt;0,"Yes","No"),"")</f>
        <v/>
      </c>
      <c r="C9217" s="11"/>
      <c r="D9217" s="11"/>
      <c r="E9217" s="11"/>
      <c r="F9217" s="11"/>
      <c r="G9217" s="11"/>
      <c r="H9217" s="11"/>
      <c r="I9217" s="15"/>
    </row>
    <row r="9218" spans="1:9" ht="16.5">
      <c r="A9218" s="10" t="b">
        <v>0</v>
      </c>
      <c r="B9218" s="11" t="str">
        <f>IF(D9218&lt;&gt;"",IF(COUNTIF('USPTO TMs'!A:A,D9218)&gt;0,"Yes","No"),"")</f>
        <v/>
      </c>
      <c r="C9218" s="11"/>
      <c r="D9218" s="11"/>
      <c r="E9218" s="11"/>
      <c r="F9218" s="11"/>
      <c r="G9218" s="11"/>
      <c r="H9218" s="11"/>
      <c r="I9218" s="15"/>
    </row>
    <row r="9219" spans="1:9" ht="16.5">
      <c r="A9219" s="10" t="b">
        <v>0</v>
      </c>
      <c r="B9219" s="11" t="str">
        <f>IF(D9219&lt;&gt;"",IF(COUNTIF('USPTO TMs'!A:A,D9219)&gt;0,"Yes","No"),"")</f>
        <v/>
      </c>
      <c r="C9219" s="11"/>
      <c r="D9219" s="11"/>
      <c r="E9219" s="11"/>
      <c r="F9219" s="11"/>
      <c r="G9219" s="11"/>
      <c r="H9219" s="11"/>
      <c r="I9219" s="15"/>
    </row>
    <row r="9220" spans="1:9" ht="16.5">
      <c r="A9220" s="10" t="b">
        <v>0</v>
      </c>
      <c r="B9220" s="11" t="str">
        <f>IF(D9220&lt;&gt;"",IF(COUNTIF('USPTO TMs'!A:A,D9220)&gt;0,"Yes","No"),"")</f>
        <v/>
      </c>
      <c r="C9220" s="11"/>
      <c r="D9220" s="11"/>
      <c r="E9220" s="11"/>
      <c r="F9220" s="11"/>
      <c r="G9220" s="11"/>
      <c r="H9220" s="11"/>
      <c r="I9220" s="15"/>
    </row>
    <row r="9221" spans="1:9" ht="16.5">
      <c r="A9221" s="10" t="b">
        <v>0</v>
      </c>
      <c r="B9221" s="11" t="str">
        <f>IF(D9221&lt;&gt;"",IF(COUNTIF('USPTO TMs'!A:A,D9221)&gt;0,"Yes","No"),"")</f>
        <v/>
      </c>
      <c r="C9221" s="11"/>
      <c r="D9221" s="11"/>
      <c r="E9221" s="11"/>
      <c r="F9221" s="11"/>
      <c r="G9221" s="11"/>
      <c r="H9221" s="11"/>
      <c r="I9221" s="15"/>
    </row>
    <row r="9222" spans="1:9" ht="16.5">
      <c r="A9222" s="10" t="b">
        <v>0</v>
      </c>
      <c r="B9222" s="11" t="str">
        <f>IF(D9222&lt;&gt;"",IF(COUNTIF('USPTO TMs'!A:A,D9222)&gt;0,"Yes","No"),"")</f>
        <v/>
      </c>
      <c r="C9222" s="11"/>
      <c r="D9222" s="11"/>
      <c r="E9222" s="11"/>
      <c r="F9222" s="11"/>
      <c r="G9222" s="11"/>
      <c r="H9222" s="11"/>
      <c r="I9222" s="15"/>
    </row>
    <row r="9223" spans="1:9" ht="16.5">
      <c r="A9223" s="10" t="b">
        <v>0</v>
      </c>
      <c r="B9223" s="11" t="str">
        <f>IF(D9223&lt;&gt;"",IF(COUNTIF('USPTO TMs'!A:A,D9223)&gt;0,"Yes","No"),"")</f>
        <v/>
      </c>
      <c r="C9223" s="11"/>
      <c r="D9223" s="11"/>
      <c r="E9223" s="11"/>
      <c r="F9223" s="11"/>
      <c r="G9223" s="11"/>
      <c r="H9223" s="11"/>
      <c r="I9223" s="15"/>
    </row>
    <row r="9224" spans="1:9" ht="16.5">
      <c r="A9224" s="10" t="b">
        <v>0</v>
      </c>
      <c r="B9224" s="11" t="str">
        <f>IF(D9224&lt;&gt;"",IF(COUNTIF('USPTO TMs'!A:A,D9224)&gt;0,"Yes","No"),"")</f>
        <v/>
      </c>
      <c r="C9224" s="11"/>
      <c r="D9224" s="11"/>
      <c r="E9224" s="11"/>
      <c r="F9224" s="11"/>
      <c r="G9224" s="11"/>
      <c r="H9224" s="11"/>
      <c r="I9224" s="15"/>
    </row>
    <row r="9225" spans="1:9" ht="16.5">
      <c r="A9225" s="10" t="b">
        <v>0</v>
      </c>
      <c r="B9225" s="11" t="str">
        <f>IF(D9225&lt;&gt;"",IF(COUNTIF('USPTO TMs'!A:A,D9225)&gt;0,"Yes","No"),"")</f>
        <v/>
      </c>
      <c r="C9225" s="11"/>
      <c r="D9225" s="11"/>
      <c r="E9225" s="11"/>
      <c r="F9225" s="11"/>
      <c r="G9225" s="11"/>
      <c r="H9225" s="11"/>
      <c r="I9225" s="15"/>
    </row>
    <row r="9226" spans="1:9" ht="16.5">
      <c r="A9226" s="10" t="b">
        <v>0</v>
      </c>
      <c r="B9226" s="11" t="str">
        <f>IF(D9226&lt;&gt;"",IF(COUNTIF('USPTO TMs'!A:A,D9226)&gt;0,"Yes","No"),"")</f>
        <v/>
      </c>
      <c r="C9226" s="11"/>
      <c r="D9226" s="11"/>
      <c r="E9226" s="11"/>
      <c r="F9226" s="11"/>
      <c r="G9226" s="11"/>
      <c r="H9226" s="11"/>
      <c r="I9226" s="15"/>
    </row>
    <row r="9227" spans="1:9" ht="16.5">
      <c r="A9227" s="10" t="b">
        <v>0</v>
      </c>
      <c r="B9227" s="11" t="str">
        <f>IF(D9227&lt;&gt;"",IF(COUNTIF('USPTO TMs'!A:A,D9227)&gt;0,"Yes","No"),"")</f>
        <v/>
      </c>
      <c r="C9227" s="11"/>
      <c r="D9227" s="11"/>
      <c r="E9227" s="11"/>
      <c r="F9227" s="11"/>
      <c r="G9227" s="11"/>
      <c r="H9227" s="11"/>
      <c r="I9227" s="15"/>
    </row>
    <row r="9228" spans="1:9" ht="16.5">
      <c r="A9228" s="10" t="b">
        <v>0</v>
      </c>
      <c r="B9228" s="11" t="str">
        <f>IF(D9228&lt;&gt;"",IF(COUNTIF('USPTO TMs'!A:A,D9228)&gt;0,"Yes","No"),"")</f>
        <v/>
      </c>
      <c r="C9228" s="11"/>
      <c r="D9228" s="11"/>
      <c r="E9228" s="11"/>
      <c r="F9228" s="11"/>
      <c r="G9228" s="11"/>
      <c r="H9228" s="11"/>
      <c r="I9228" s="15"/>
    </row>
    <row r="9229" spans="1:9" ht="16.5">
      <c r="A9229" s="10" t="b">
        <v>0</v>
      </c>
      <c r="B9229" s="11" t="str">
        <f>IF(D9229&lt;&gt;"",IF(COUNTIF('USPTO TMs'!A:A,D9229)&gt;0,"Yes","No"),"")</f>
        <v/>
      </c>
      <c r="C9229" s="11"/>
      <c r="D9229" s="11"/>
      <c r="E9229" s="11"/>
      <c r="F9229" s="11"/>
      <c r="G9229" s="11"/>
      <c r="H9229" s="11"/>
      <c r="I9229" s="15"/>
    </row>
    <row r="9230" spans="1:9" ht="16.5">
      <c r="A9230" s="10" t="b">
        <v>0</v>
      </c>
      <c r="B9230" s="11" t="str">
        <f>IF(D9230&lt;&gt;"",IF(COUNTIF('USPTO TMs'!A:A,D9230)&gt;0,"Yes","No"),"")</f>
        <v/>
      </c>
      <c r="C9230" s="11"/>
      <c r="D9230" s="11"/>
      <c r="E9230" s="11"/>
      <c r="F9230" s="11"/>
      <c r="G9230" s="11"/>
      <c r="H9230" s="11"/>
      <c r="I9230" s="15"/>
    </row>
    <row r="9231" spans="1:9" ht="16.5">
      <c r="A9231" s="10" t="b">
        <v>0</v>
      </c>
      <c r="B9231" s="11" t="str">
        <f>IF(D9231&lt;&gt;"",IF(COUNTIF('USPTO TMs'!A:A,D9231)&gt;0,"Yes","No"),"")</f>
        <v/>
      </c>
      <c r="C9231" s="11"/>
      <c r="D9231" s="11"/>
      <c r="E9231" s="11"/>
      <c r="F9231" s="11"/>
      <c r="G9231" s="11"/>
      <c r="H9231" s="11"/>
      <c r="I9231" s="15"/>
    </row>
    <row r="9232" spans="1:9" ht="16.5">
      <c r="A9232" s="10" t="b">
        <v>0</v>
      </c>
      <c r="B9232" s="11" t="str">
        <f>IF(D9232&lt;&gt;"",IF(COUNTIF('USPTO TMs'!A:A,D9232)&gt;0,"Yes","No"),"")</f>
        <v/>
      </c>
      <c r="C9232" s="11"/>
      <c r="D9232" s="11"/>
      <c r="E9232" s="11"/>
      <c r="F9232" s="11"/>
      <c r="G9232" s="11"/>
      <c r="H9232" s="11"/>
      <c r="I9232" s="15"/>
    </row>
    <row r="9233" spans="1:9" ht="16.5">
      <c r="A9233" s="10" t="b">
        <v>0</v>
      </c>
      <c r="B9233" s="11" t="str">
        <f>IF(D9233&lt;&gt;"",IF(COUNTIF('USPTO TMs'!A:A,D9233)&gt;0,"Yes","No"),"")</f>
        <v/>
      </c>
      <c r="C9233" s="11"/>
      <c r="D9233" s="11"/>
      <c r="E9233" s="11"/>
      <c r="F9233" s="11"/>
      <c r="G9233" s="11"/>
      <c r="H9233" s="11"/>
      <c r="I9233" s="15"/>
    </row>
    <row r="9234" spans="1:9" ht="16.5">
      <c r="A9234" s="10" t="b">
        <v>0</v>
      </c>
      <c r="B9234" s="11" t="str">
        <f>IF(D9234&lt;&gt;"",IF(COUNTIF('USPTO TMs'!A:A,D9234)&gt;0,"Yes","No"),"")</f>
        <v/>
      </c>
      <c r="C9234" s="11"/>
      <c r="D9234" s="11"/>
      <c r="E9234" s="11"/>
      <c r="F9234" s="11"/>
      <c r="G9234" s="11"/>
      <c r="H9234" s="11"/>
      <c r="I9234" s="15"/>
    </row>
    <row r="9235" spans="1:9" ht="16.5">
      <c r="A9235" s="10" t="b">
        <v>0</v>
      </c>
      <c r="B9235" s="11" t="str">
        <f>IF(D9235&lt;&gt;"",IF(COUNTIF('USPTO TMs'!A:A,D9235)&gt;0,"Yes","No"),"")</f>
        <v/>
      </c>
      <c r="C9235" s="11"/>
      <c r="D9235" s="11"/>
      <c r="E9235" s="11"/>
      <c r="F9235" s="11"/>
      <c r="G9235" s="11"/>
      <c r="H9235" s="11"/>
      <c r="I9235" s="15"/>
    </row>
    <row r="9236" spans="1:9" ht="16.5">
      <c r="A9236" s="10" t="b">
        <v>0</v>
      </c>
      <c r="B9236" s="11" t="str">
        <f>IF(D9236&lt;&gt;"",IF(COUNTIF('USPTO TMs'!A:A,D9236)&gt;0,"Yes","No"),"")</f>
        <v/>
      </c>
      <c r="C9236" s="11"/>
      <c r="D9236" s="11"/>
      <c r="E9236" s="11"/>
      <c r="F9236" s="11"/>
      <c r="G9236" s="11"/>
      <c r="H9236" s="11"/>
      <c r="I9236" s="15"/>
    </row>
    <row r="9237" spans="1:9" ht="16.5">
      <c r="A9237" s="10" t="b">
        <v>0</v>
      </c>
      <c r="B9237" s="11" t="str">
        <f>IF(D9237&lt;&gt;"",IF(COUNTIF('USPTO TMs'!A:A,D9237)&gt;0,"Yes","No"),"")</f>
        <v/>
      </c>
      <c r="C9237" s="11"/>
      <c r="D9237" s="11"/>
      <c r="E9237" s="11"/>
      <c r="F9237" s="11"/>
      <c r="G9237" s="11"/>
      <c r="H9237" s="11"/>
      <c r="I9237" s="15"/>
    </row>
    <row r="9238" spans="1:9" ht="16.5">
      <c r="A9238" s="10" t="b">
        <v>0</v>
      </c>
      <c r="B9238" s="11" t="str">
        <f>IF(D9238&lt;&gt;"",IF(COUNTIF('USPTO TMs'!A:A,D9238)&gt;0,"Yes","No"),"")</f>
        <v/>
      </c>
      <c r="C9238" s="11"/>
      <c r="D9238" s="11"/>
      <c r="E9238" s="11"/>
      <c r="F9238" s="11"/>
      <c r="G9238" s="11"/>
      <c r="H9238" s="11"/>
      <c r="I9238" s="15"/>
    </row>
    <row r="9239" spans="1:9" ht="16.5">
      <c r="A9239" s="10" t="b">
        <v>0</v>
      </c>
      <c r="B9239" s="11" t="str">
        <f>IF(D9239&lt;&gt;"",IF(COUNTIF('USPTO TMs'!A:A,D9239)&gt;0,"Yes","No"),"")</f>
        <v/>
      </c>
      <c r="C9239" s="11"/>
      <c r="D9239" s="11"/>
      <c r="E9239" s="11"/>
      <c r="F9239" s="11"/>
      <c r="G9239" s="11"/>
      <c r="H9239" s="11"/>
      <c r="I9239" s="15"/>
    </row>
    <row r="9240" spans="1:9" ht="16.5">
      <c r="A9240" s="10" t="b">
        <v>0</v>
      </c>
      <c r="B9240" s="11" t="str">
        <f>IF(D9240&lt;&gt;"",IF(COUNTIF('USPTO TMs'!A:A,D9240)&gt;0,"Yes","No"),"")</f>
        <v/>
      </c>
      <c r="C9240" s="11"/>
      <c r="D9240" s="11"/>
      <c r="E9240" s="11"/>
      <c r="F9240" s="11"/>
      <c r="G9240" s="11"/>
      <c r="H9240" s="11"/>
      <c r="I9240" s="15"/>
    </row>
    <row r="9241" spans="1:9" ht="16.5">
      <c r="A9241" s="10" t="b">
        <v>0</v>
      </c>
      <c r="B9241" s="11" t="str">
        <f>IF(D9241&lt;&gt;"",IF(COUNTIF('USPTO TMs'!A:A,D9241)&gt;0,"Yes","No"),"")</f>
        <v/>
      </c>
      <c r="C9241" s="11"/>
      <c r="D9241" s="11"/>
      <c r="E9241" s="11"/>
      <c r="F9241" s="11"/>
      <c r="G9241" s="11"/>
      <c r="H9241" s="11"/>
      <c r="I9241" s="15"/>
    </row>
    <row r="9242" spans="1:9" ht="16.5">
      <c r="A9242" s="10" t="b">
        <v>0</v>
      </c>
      <c r="B9242" s="11" t="str">
        <f>IF(D9242&lt;&gt;"",IF(COUNTIF('USPTO TMs'!A:A,D9242)&gt;0,"Yes","No"),"")</f>
        <v/>
      </c>
      <c r="C9242" s="11"/>
      <c r="D9242" s="11"/>
      <c r="E9242" s="11"/>
      <c r="F9242" s="11"/>
      <c r="G9242" s="11"/>
      <c r="H9242" s="11"/>
      <c r="I9242" s="15"/>
    </row>
    <row r="9243" spans="1:9" ht="16.5">
      <c r="A9243" s="10" t="b">
        <v>0</v>
      </c>
      <c r="B9243" s="11" t="str">
        <f>IF(D9243&lt;&gt;"",IF(COUNTIF('USPTO TMs'!A:A,D9243)&gt;0,"Yes","No"),"")</f>
        <v/>
      </c>
      <c r="C9243" s="11"/>
      <c r="D9243" s="11"/>
      <c r="E9243" s="11"/>
      <c r="F9243" s="11"/>
      <c r="G9243" s="11"/>
      <c r="H9243" s="11"/>
      <c r="I9243" s="15"/>
    </row>
    <row r="9244" spans="1:9" ht="16.5">
      <c r="A9244" s="10" t="b">
        <v>0</v>
      </c>
      <c r="B9244" s="11" t="str">
        <f>IF(D9244&lt;&gt;"",IF(COUNTIF('USPTO TMs'!A:A,D9244)&gt;0,"Yes","No"),"")</f>
        <v/>
      </c>
      <c r="C9244" s="11"/>
      <c r="D9244" s="11"/>
      <c r="E9244" s="11"/>
      <c r="F9244" s="11"/>
      <c r="G9244" s="11"/>
      <c r="H9244" s="11"/>
      <c r="I9244" s="15"/>
    </row>
    <row r="9245" spans="1:9" ht="16.5">
      <c r="A9245" s="10" t="b">
        <v>0</v>
      </c>
      <c r="B9245" s="11" t="str">
        <f>IF(D9245&lt;&gt;"",IF(COUNTIF('USPTO TMs'!A:A,D9245)&gt;0,"Yes","No"),"")</f>
        <v/>
      </c>
      <c r="C9245" s="11"/>
      <c r="D9245" s="11"/>
      <c r="E9245" s="11"/>
      <c r="F9245" s="11"/>
      <c r="G9245" s="11"/>
      <c r="H9245" s="11"/>
      <c r="I9245" s="15"/>
    </row>
    <row r="9246" spans="1:9" ht="16.5">
      <c r="A9246" s="10" t="b">
        <v>0</v>
      </c>
      <c r="B9246" s="11" t="str">
        <f>IF(D9246&lt;&gt;"",IF(COUNTIF('USPTO TMs'!A:A,D9246)&gt;0,"Yes","No"),"")</f>
        <v/>
      </c>
      <c r="C9246" s="11"/>
      <c r="D9246" s="11"/>
      <c r="E9246" s="11"/>
      <c r="F9246" s="11"/>
      <c r="G9246" s="11"/>
      <c r="H9246" s="11"/>
      <c r="I9246" s="15"/>
    </row>
    <row r="9247" spans="1:9" ht="16.5">
      <c r="A9247" s="10" t="b">
        <v>0</v>
      </c>
      <c r="B9247" s="11" t="str">
        <f>IF(D9247&lt;&gt;"",IF(COUNTIF('USPTO TMs'!A:A,D9247)&gt;0,"Yes","No"),"")</f>
        <v/>
      </c>
      <c r="C9247" s="11"/>
      <c r="D9247" s="11"/>
      <c r="E9247" s="11"/>
      <c r="F9247" s="11"/>
      <c r="G9247" s="11"/>
      <c r="H9247" s="11"/>
      <c r="I9247" s="15"/>
    </row>
    <row r="9248" spans="1:9" ht="16.5">
      <c r="A9248" s="10" t="b">
        <v>0</v>
      </c>
      <c r="B9248" s="11" t="str">
        <f>IF(D9248&lt;&gt;"",IF(COUNTIF('USPTO TMs'!A:A,D9248)&gt;0,"Yes","No"),"")</f>
        <v/>
      </c>
      <c r="C9248" s="11"/>
      <c r="D9248" s="11"/>
      <c r="E9248" s="11"/>
      <c r="F9248" s="11"/>
      <c r="G9248" s="11"/>
      <c r="H9248" s="11"/>
      <c r="I9248" s="15"/>
    </row>
    <row r="9249" spans="1:9" ht="16.5">
      <c r="A9249" s="10" t="b">
        <v>0</v>
      </c>
      <c r="B9249" s="11" t="str">
        <f>IF(D9249&lt;&gt;"",IF(COUNTIF('USPTO TMs'!A:A,D9249)&gt;0,"Yes","No"),"")</f>
        <v/>
      </c>
      <c r="C9249" s="11"/>
      <c r="D9249" s="11"/>
      <c r="E9249" s="11"/>
      <c r="F9249" s="11"/>
      <c r="G9249" s="11"/>
      <c r="H9249" s="11"/>
      <c r="I9249" s="15"/>
    </row>
    <row r="9250" spans="1:9" ht="16.5">
      <c r="A9250" s="10" t="b">
        <v>0</v>
      </c>
      <c r="B9250" s="11" t="str">
        <f>IF(D9250&lt;&gt;"",IF(COUNTIF('USPTO TMs'!A:A,D9250)&gt;0,"Yes","No"),"")</f>
        <v/>
      </c>
      <c r="C9250" s="11"/>
      <c r="D9250" s="11"/>
      <c r="E9250" s="11"/>
      <c r="F9250" s="11"/>
      <c r="G9250" s="11"/>
      <c r="H9250" s="11"/>
      <c r="I9250" s="15"/>
    </row>
    <row r="9251" spans="1:9" ht="16.5">
      <c r="A9251" s="10" t="b">
        <v>0</v>
      </c>
      <c r="B9251" s="11" t="str">
        <f>IF(D9251&lt;&gt;"",IF(COUNTIF('USPTO TMs'!A:A,D9251)&gt;0,"Yes","No"),"")</f>
        <v/>
      </c>
      <c r="C9251" s="11"/>
      <c r="D9251" s="11"/>
      <c r="E9251" s="11"/>
      <c r="F9251" s="11"/>
      <c r="G9251" s="11"/>
      <c r="H9251" s="11"/>
      <c r="I9251" s="15"/>
    </row>
    <row r="9252" spans="1:9" ht="16.5">
      <c r="A9252" s="10" t="b">
        <v>0</v>
      </c>
      <c r="B9252" s="11" t="str">
        <f>IF(D9252&lt;&gt;"",IF(COUNTIF('USPTO TMs'!A:A,D9252)&gt;0,"Yes","No"),"")</f>
        <v/>
      </c>
      <c r="C9252" s="11"/>
      <c r="D9252" s="11"/>
      <c r="E9252" s="11"/>
      <c r="F9252" s="11"/>
      <c r="G9252" s="11"/>
      <c r="H9252" s="11"/>
      <c r="I9252" s="15"/>
    </row>
    <row r="9253" spans="1:9" ht="16.5">
      <c r="A9253" s="10" t="b">
        <v>0</v>
      </c>
      <c r="B9253" s="11" t="str">
        <f>IF(D9253&lt;&gt;"",IF(COUNTIF('USPTO TMs'!A:A,D9253)&gt;0,"Yes","No"),"")</f>
        <v/>
      </c>
      <c r="C9253" s="11"/>
      <c r="D9253" s="11"/>
      <c r="E9253" s="11"/>
      <c r="F9253" s="11"/>
      <c r="G9253" s="11"/>
      <c r="H9253" s="11"/>
      <c r="I9253" s="15"/>
    </row>
    <row r="9254" spans="1:9" ht="16.5">
      <c r="A9254" s="10" t="b">
        <v>0</v>
      </c>
      <c r="B9254" s="11" t="str">
        <f>IF(D9254&lt;&gt;"",IF(COUNTIF('USPTO TMs'!A:A,D9254)&gt;0,"Yes","No"),"")</f>
        <v/>
      </c>
      <c r="C9254" s="11"/>
      <c r="D9254" s="11"/>
      <c r="E9254" s="11"/>
      <c r="F9254" s="11"/>
      <c r="G9254" s="11"/>
      <c r="H9254" s="11"/>
      <c r="I9254" s="15"/>
    </row>
    <row r="9255" spans="1:9" ht="16.5">
      <c r="A9255" s="10" t="b">
        <v>0</v>
      </c>
      <c r="B9255" s="11" t="str">
        <f>IF(D9255&lt;&gt;"",IF(COUNTIF('USPTO TMs'!A:A,D9255)&gt;0,"Yes","No"),"")</f>
        <v/>
      </c>
      <c r="C9255" s="11"/>
      <c r="D9255" s="11"/>
      <c r="E9255" s="11"/>
      <c r="F9255" s="11"/>
      <c r="G9255" s="11"/>
      <c r="H9255" s="11"/>
      <c r="I9255" s="15"/>
    </row>
    <row r="9256" spans="1:9" ht="16.5">
      <c r="A9256" s="10" t="b">
        <v>0</v>
      </c>
      <c r="B9256" s="11" t="str">
        <f>IF(D9256&lt;&gt;"",IF(COUNTIF('USPTO TMs'!A:A,D9256)&gt;0,"Yes","No"),"")</f>
        <v/>
      </c>
      <c r="C9256" s="11"/>
      <c r="D9256" s="11"/>
      <c r="E9256" s="11"/>
      <c r="F9256" s="11"/>
      <c r="G9256" s="11"/>
      <c r="H9256" s="11"/>
      <c r="I9256" s="15"/>
    </row>
    <row r="9257" spans="1:9" ht="16.5">
      <c r="A9257" s="10" t="b">
        <v>0</v>
      </c>
      <c r="B9257" s="11" t="str">
        <f>IF(D9257&lt;&gt;"",IF(COUNTIF('USPTO TMs'!A:A,D9257)&gt;0,"Yes","No"),"")</f>
        <v/>
      </c>
      <c r="C9257" s="11"/>
      <c r="D9257" s="11"/>
      <c r="E9257" s="11"/>
      <c r="F9257" s="11"/>
      <c r="G9257" s="11"/>
      <c r="H9257" s="11"/>
      <c r="I9257" s="15"/>
    </row>
    <row r="9258" spans="1:9" ht="16.5">
      <c r="A9258" s="10" t="b">
        <v>0</v>
      </c>
      <c r="B9258" s="11" t="str">
        <f>IF(D9258&lt;&gt;"",IF(COUNTIF('USPTO TMs'!A:A,D9258)&gt;0,"Yes","No"),"")</f>
        <v/>
      </c>
      <c r="C9258" s="11"/>
      <c r="D9258" s="11"/>
      <c r="E9258" s="11"/>
      <c r="F9258" s="11"/>
      <c r="G9258" s="11"/>
      <c r="H9258" s="11"/>
      <c r="I9258" s="15"/>
    </row>
    <row r="9259" spans="1:9" ht="16.5">
      <c r="A9259" s="10" t="b">
        <v>0</v>
      </c>
      <c r="B9259" s="11" t="str">
        <f>IF(D9259&lt;&gt;"",IF(COUNTIF('USPTO TMs'!A:A,D9259)&gt;0,"Yes","No"),"")</f>
        <v/>
      </c>
      <c r="C9259" s="11"/>
      <c r="D9259" s="11"/>
      <c r="E9259" s="11"/>
      <c r="F9259" s="11"/>
      <c r="G9259" s="11"/>
      <c r="H9259" s="11"/>
      <c r="I9259" s="15"/>
    </row>
    <row r="9260" spans="1:9" ht="16.5">
      <c r="A9260" s="10" t="b">
        <v>0</v>
      </c>
      <c r="B9260" s="11" t="str">
        <f>IF(D9260&lt;&gt;"",IF(COUNTIF('USPTO TMs'!A:A,D9260)&gt;0,"Yes","No"),"")</f>
        <v/>
      </c>
      <c r="C9260" s="11"/>
      <c r="D9260" s="11"/>
      <c r="E9260" s="11"/>
      <c r="F9260" s="11"/>
      <c r="G9260" s="11"/>
      <c r="H9260" s="11"/>
      <c r="I9260" s="15"/>
    </row>
    <row r="9261" spans="1:9" ht="16.5">
      <c r="A9261" s="10" t="b">
        <v>0</v>
      </c>
      <c r="B9261" s="11" t="str">
        <f>IF(D9261&lt;&gt;"",IF(COUNTIF('USPTO TMs'!A:A,D9261)&gt;0,"Yes","No"),"")</f>
        <v/>
      </c>
      <c r="C9261" s="11"/>
      <c r="D9261" s="11"/>
      <c r="E9261" s="11"/>
      <c r="F9261" s="11"/>
      <c r="G9261" s="11"/>
      <c r="H9261" s="11"/>
      <c r="I9261" s="15"/>
    </row>
    <row r="9262" spans="1:9" ht="16.5">
      <c r="A9262" s="10" t="b">
        <v>0</v>
      </c>
      <c r="B9262" s="11" t="str">
        <f>IF(D9262&lt;&gt;"",IF(COUNTIF('USPTO TMs'!A:A,D9262)&gt;0,"Yes","No"),"")</f>
        <v/>
      </c>
      <c r="C9262" s="11"/>
      <c r="D9262" s="11"/>
      <c r="E9262" s="11"/>
      <c r="F9262" s="11"/>
      <c r="G9262" s="11"/>
      <c r="H9262" s="11"/>
      <c r="I9262" s="15"/>
    </row>
    <row r="9263" spans="1:9" ht="16.5">
      <c r="A9263" s="10" t="b">
        <v>0</v>
      </c>
      <c r="B9263" s="11" t="str">
        <f>IF(D9263&lt;&gt;"",IF(COUNTIF('USPTO TMs'!A:A,D9263)&gt;0,"Yes","No"),"")</f>
        <v/>
      </c>
      <c r="C9263" s="11"/>
      <c r="D9263" s="11"/>
      <c r="E9263" s="11"/>
      <c r="F9263" s="11"/>
      <c r="G9263" s="11"/>
      <c r="H9263" s="11"/>
      <c r="I9263" s="15"/>
    </row>
    <row r="9264" spans="1:9" ht="16.5">
      <c r="A9264" s="10" t="b">
        <v>0</v>
      </c>
      <c r="B9264" s="11" t="str">
        <f>IF(D9264&lt;&gt;"",IF(COUNTIF('USPTO TMs'!A:A,D9264)&gt;0,"Yes","No"),"")</f>
        <v/>
      </c>
      <c r="C9264" s="11"/>
      <c r="D9264" s="11"/>
      <c r="E9264" s="11"/>
      <c r="F9264" s="11"/>
      <c r="G9264" s="11"/>
      <c r="H9264" s="11"/>
      <c r="I9264" s="15"/>
    </row>
    <row r="9265" spans="1:9" ht="16.5">
      <c r="A9265" s="10" t="b">
        <v>0</v>
      </c>
      <c r="B9265" s="11" t="str">
        <f>IF(D9265&lt;&gt;"",IF(COUNTIF('USPTO TMs'!A:A,D9265)&gt;0,"Yes","No"),"")</f>
        <v/>
      </c>
      <c r="C9265" s="11"/>
      <c r="D9265" s="11"/>
      <c r="E9265" s="11"/>
      <c r="F9265" s="11"/>
      <c r="G9265" s="11"/>
      <c r="H9265" s="11"/>
      <c r="I9265" s="15"/>
    </row>
    <row r="9266" spans="1:9" ht="16.5">
      <c r="A9266" s="10" t="b">
        <v>0</v>
      </c>
      <c r="B9266" s="11" t="str">
        <f>IF(D9266&lt;&gt;"",IF(COUNTIF('USPTO TMs'!A:A,D9266)&gt;0,"Yes","No"),"")</f>
        <v/>
      </c>
      <c r="C9266" s="11"/>
      <c r="D9266" s="11"/>
      <c r="E9266" s="11"/>
      <c r="F9266" s="11"/>
      <c r="G9266" s="11"/>
      <c r="H9266" s="11"/>
      <c r="I9266" s="15"/>
    </row>
    <row r="9267" spans="1:9" ht="16.5">
      <c r="A9267" s="10" t="b">
        <v>0</v>
      </c>
      <c r="B9267" s="11" t="str">
        <f>IF(D9267&lt;&gt;"",IF(COUNTIF('USPTO TMs'!A:A,D9267)&gt;0,"Yes","No"),"")</f>
        <v/>
      </c>
      <c r="C9267" s="11"/>
      <c r="D9267" s="11"/>
      <c r="E9267" s="11"/>
      <c r="F9267" s="11"/>
      <c r="G9267" s="11"/>
      <c r="H9267" s="11"/>
      <c r="I9267" s="15"/>
    </row>
    <row r="9268" spans="1:9" ht="16.5">
      <c r="A9268" s="10" t="b">
        <v>0</v>
      </c>
      <c r="B9268" s="11" t="str">
        <f>IF(D9268&lt;&gt;"",IF(COUNTIF('USPTO TMs'!A:A,D9268)&gt;0,"Yes","No"),"")</f>
        <v/>
      </c>
      <c r="C9268" s="11"/>
      <c r="D9268" s="11"/>
      <c r="E9268" s="11"/>
      <c r="F9268" s="11"/>
      <c r="G9268" s="11"/>
      <c r="H9268" s="11"/>
      <c r="I9268" s="15"/>
    </row>
    <row r="9269" spans="1:9" ht="16.5">
      <c r="A9269" s="10" t="b">
        <v>0</v>
      </c>
      <c r="B9269" s="11" t="str">
        <f>IF(D9269&lt;&gt;"",IF(COUNTIF('USPTO TMs'!A:A,D9269)&gt;0,"Yes","No"),"")</f>
        <v/>
      </c>
      <c r="C9269" s="11"/>
      <c r="D9269" s="11"/>
      <c r="E9269" s="11"/>
      <c r="F9269" s="11"/>
      <c r="G9269" s="11"/>
      <c r="H9269" s="11"/>
      <c r="I9269" s="15"/>
    </row>
    <row r="9270" spans="1:9" ht="16.5">
      <c r="A9270" s="10" t="b">
        <v>0</v>
      </c>
      <c r="B9270" s="11" t="str">
        <f>IF(D9270&lt;&gt;"",IF(COUNTIF('USPTO TMs'!A:A,D9270)&gt;0,"Yes","No"),"")</f>
        <v/>
      </c>
      <c r="C9270" s="11"/>
      <c r="D9270" s="11"/>
      <c r="E9270" s="11"/>
      <c r="F9270" s="11"/>
      <c r="G9270" s="11"/>
      <c r="H9270" s="11"/>
      <c r="I9270" s="15"/>
    </row>
    <row r="9271" spans="1:9" ht="16.5">
      <c r="A9271" s="10" t="b">
        <v>0</v>
      </c>
      <c r="B9271" s="11" t="str">
        <f>IF(D9271&lt;&gt;"",IF(COUNTIF('USPTO TMs'!A:A,D9271)&gt;0,"Yes","No"),"")</f>
        <v/>
      </c>
      <c r="C9271" s="11"/>
      <c r="D9271" s="11"/>
      <c r="E9271" s="11"/>
      <c r="F9271" s="11"/>
      <c r="G9271" s="11"/>
      <c r="H9271" s="11"/>
      <c r="I9271" s="15"/>
    </row>
    <row r="9272" spans="1:9" ht="16.5">
      <c r="A9272" s="10" t="b">
        <v>0</v>
      </c>
      <c r="B9272" s="11" t="str">
        <f>IF(D9272&lt;&gt;"",IF(COUNTIF('USPTO TMs'!A:A,D9272)&gt;0,"Yes","No"),"")</f>
        <v/>
      </c>
      <c r="C9272" s="11"/>
      <c r="D9272" s="11"/>
      <c r="E9272" s="11"/>
      <c r="F9272" s="11"/>
      <c r="G9272" s="11"/>
      <c r="H9272" s="11"/>
      <c r="I9272" s="15"/>
    </row>
    <row r="9273" spans="1:9" ht="16.5">
      <c r="A9273" s="10" t="b">
        <v>0</v>
      </c>
      <c r="B9273" s="11" t="str">
        <f>IF(D9273&lt;&gt;"",IF(COUNTIF('USPTO TMs'!A:A,D9273)&gt;0,"Yes","No"),"")</f>
        <v/>
      </c>
      <c r="C9273" s="11"/>
      <c r="D9273" s="11"/>
      <c r="E9273" s="11"/>
      <c r="F9273" s="11"/>
      <c r="G9273" s="11"/>
      <c r="H9273" s="11"/>
      <c r="I9273" s="15"/>
    </row>
    <row r="9274" spans="1:9" ht="16.5">
      <c r="A9274" s="10" t="b">
        <v>0</v>
      </c>
      <c r="B9274" s="11" t="str">
        <f>IF(D9274&lt;&gt;"",IF(COUNTIF('USPTO TMs'!A:A,D9274)&gt;0,"Yes","No"),"")</f>
        <v/>
      </c>
      <c r="C9274" s="11"/>
      <c r="D9274" s="11"/>
      <c r="E9274" s="11"/>
      <c r="F9274" s="11"/>
      <c r="G9274" s="11"/>
      <c r="H9274" s="11"/>
      <c r="I9274" s="15"/>
    </row>
    <row r="9275" spans="1:9" ht="16.5">
      <c r="A9275" s="10" t="b">
        <v>0</v>
      </c>
      <c r="B9275" s="11" t="str">
        <f>IF(D9275&lt;&gt;"",IF(COUNTIF('USPTO TMs'!A:A,D9275)&gt;0,"Yes","No"),"")</f>
        <v/>
      </c>
      <c r="C9275" s="11"/>
      <c r="D9275" s="11"/>
      <c r="E9275" s="11"/>
      <c r="F9275" s="11"/>
      <c r="G9275" s="11"/>
      <c r="H9275" s="11"/>
      <c r="I9275" s="15"/>
    </row>
    <row r="9276" spans="1:9" ht="16.5">
      <c r="A9276" s="10" t="b">
        <v>0</v>
      </c>
      <c r="B9276" s="11" t="str">
        <f>IF(D9276&lt;&gt;"",IF(COUNTIF('USPTO TMs'!A:A,D9276)&gt;0,"Yes","No"),"")</f>
        <v/>
      </c>
      <c r="C9276" s="11"/>
      <c r="D9276" s="11"/>
      <c r="E9276" s="11"/>
      <c r="F9276" s="11"/>
      <c r="G9276" s="11"/>
      <c r="H9276" s="11"/>
      <c r="I9276" s="15"/>
    </row>
    <row r="9277" spans="1:9" ht="16.5">
      <c r="A9277" s="10" t="b">
        <v>0</v>
      </c>
      <c r="B9277" s="11" t="str">
        <f>IF(D9277&lt;&gt;"",IF(COUNTIF('USPTO TMs'!A:A,D9277)&gt;0,"Yes","No"),"")</f>
        <v/>
      </c>
      <c r="C9277" s="11"/>
      <c r="D9277" s="11"/>
      <c r="E9277" s="11"/>
      <c r="F9277" s="11"/>
      <c r="G9277" s="11"/>
      <c r="H9277" s="11"/>
      <c r="I9277" s="15"/>
    </row>
    <row r="9278" spans="1:9" ht="16.5">
      <c r="A9278" s="10" t="b">
        <v>0</v>
      </c>
      <c r="B9278" s="11" t="str">
        <f>IF(D9278&lt;&gt;"",IF(COUNTIF('USPTO TMs'!A:A,D9278)&gt;0,"Yes","No"),"")</f>
        <v/>
      </c>
      <c r="C9278" s="11"/>
      <c r="D9278" s="11"/>
      <c r="E9278" s="11"/>
      <c r="F9278" s="11"/>
      <c r="G9278" s="11"/>
      <c r="H9278" s="11"/>
      <c r="I9278" s="15"/>
    </row>
    <row r="9279" spans="1:9" ht="16.5">
      <c r="A9279" s="10" t="b">
        <v>0</v>
      </c>
      <c r="B9279" s="11" t="str">
        <f>IF(D9279&lt;&gt;"",IF(COUNTIF('USPTO TMs'!A:A,D9279)&gt;0,"Yes","No"),"")</f>
        <v/>
      </c>
      <c r="C9279" s="11"/>
      <c r="D9279" s="11"/>
      <c r="E9279" s="11"/>
      <c r="F9279" s="11"/>
      <c r="G9279" s="11"/>
      <c r="H9279" s="11"/>
      <c r="I9279" s="15"/>
    </row>
    <row r="9280" spans="1:9" ht="16.5">
      <c r="A9280" s="10" t="b">
        <v>0</v>
      </c>
      <c r="B9280" s="11" t="str">
        <f>IF(D9280&lt;&gt;"",IF(COUNTIF('USPTO TMs'!A:A,D9280)&gt;0,"Yes","No"),"")</f>
        <v/>
      </c>
      <c r="C9280" s="11"/>
      <c r="D9280" s="11"/>
      <c r="E9280" s="11"/>
      <c r="F9280" s="11"/>
      <c r="G9280" s="11"/>
      <c r="H9280" s="11"/>
      <c r="I9280" s="15"/>
    </row>
    <row r="9281" spans="1:9" ht="16.5">
      <c r="A9281" s="10" t="b">
        <v>0</v>
      </c>
      <c r="B9281" s="11" t="str">
        <f>IF(D9281&lt;&gt;"",IF(COUNTIF('USPTO TMs'!A:A,D9281)&gt;0,"Yes","No"),"")</f>
        <v/>
      </c>
      <c r="C9281" s="11"/>
      <c r="D9281" s="11"/>
      <c r="E9281" s="11"/>
      <c r="F9281" s="11"/>
      <c r="G9281" s="11"/>
      <c r="H9281" s="11"/>
      <c r="I9281" s="15"/>
    </row>
    <row r="9282" spans="1:9" ht="16.5">
      <c r="A9282" s="10" t="b">
        <v>0</v>
      </c>
      <c r="B9282" s="11" t="str">
        <f>IF(D9282&lt;&gt;"",IF(COUNTIF('USPTO TMs'!A:A,D9282)&gt;0,"Yes","No"),"")</f>
        <v/>
      </c>
      <c r="C9282" s="11"/>
      <c r="D9282" s="11"/>
      <c r="E9282" s="11"/>
      <c r="F9282" s="11"/>
      <c r="G9282" s="11"/>
      <c r="H9282" s="11"/>
      <c r="I9282" s="15"/>
    </row>
    <row r="9283" spans="1:9" ht="16.5">
      <c r="A9283" s="10" t="b">
        <v>0</v>
      </c>
      <c r="B9283" s="11" t="str">
        <f>IF(D9283&lt;&gt;"",IF(COUNTIF('USPTO TMs'!A:A,D9283)&gt;0,"Yes","No"),"")</f>
        <v/>
      </c>
      <c r="C9283" s="11"/>
      <c r="D9283" s="11"/>
      <c r="E9283" s="11"/>
      <c r="F9283" s="11"/>
      <c r="G9283" s="11"/>
      <c r="H9283" s="11"/>
      <c r="I9283" s="15"/>
    </row>
    <row r="9284" spans="1:9" ht="16.5">
      <c r="A9284" s="10" t="b">
        <v>0</v>
      </c>
      <c r="B9284" s="11" t="str">
        <f>IF(D9284&lt;&gt;"",IF(COUNTIF('USPTO TMs'!A:A,D9284)&gt;0,"Yes","No"),"")</f>
        <v/>
      </c>
      <c r="C9284" s="11"/>
      <c r="D9284" s="11"/>
      <c r="E9284" s="11"/>
      <c r="F9284" s="11"/>
      <c r="G9284" s="11"/>
      <c r="H9284" s="11"/>
      <c r="I9284" s="15"/>
    </row>
    <row r="9285" spans="1:9" ht="16.5">
      <c r="A9285" s="10" t="b">
        <v>0</v>
      </c>
      <c r="B9285" s="11" t="str">
        <f>IF(D9285&lt;&gt;"",IF(COUNTIF('USPTO TMs'!A:A,D9285)&gt;0,"Yes","No"),"")</f>
        <v/>
      </c>
      <c r="C9285" s="11"/>
      <c r="D9285" s="11"/>
      <c r="E9285" s="11"/>
      <c r="F9285" s="11"/>
      <c r="G9285" s="11"/>
      <c r="H9285" s="11"/>
      <c r="I9285" s="15"/>
    </row>
    <row r="9286" spans="1:9" ht="16.5">
      <c r="A9286" s="10" t="b">
        <v>0</v>
      </c>
      <c r="B9286" s="11" t="str">
        <f>IF(D9286&lt;&gt;"",IF(COUNTIF('USPTO TMs'!A:A,D9286)&gt;0,"Yes","No"),"")</f>
        <v/>
      </c>
      <c r="C9286" s="11"/>
      <c r="D9286" s="11"/>
      <c r="E9286" s="11"/>
      <c r="F9286" s="11"/>
      <c r="G9286" s="11"/>
      <c r="H9286" s="11"/>
      <c r="I9286" s="15"/>
    </row>
    <row r="9287" spans="1:9" ht="16.5">
      <c r="A9287" s="10" t="b">
        <v>0</v>
      </c>
      <c r="B9287" s="11" t="str">
        <f>IF(D9287&lt;&gt;"",IF(COUNTIF('USPTO TMs'!A:A,D9287)&gt;0,"Yes","No"),"")</f>
        <v/>
      </c>
      <c r="C9287" s="11"/>
      <c r="D9287" s="11"/>
      <c r="E9287" s="11"/>
      <c r="F9287" s="11"/>
      <c r="G9287" s="11"/>
      <c r="H9287" s="11"/>
      <c r="I9287" s="15"/>
    </row>
    <row r="9288" spans="1:9" ht="16.5">
      <c r="A9288" s="10" t="b">
        <v>0</v>
      </c>
      <c r="B9288" s="11" t="str">
        <f>IF(D9288&lt;&gt;"",IF(COUNTIF('USPTO TMs'!A:A,D9288)&gt;0,"Yes","No"),"")</f>
        <v/>
      </c>
      <c r="C9288" s="11"/>
      <c r="D9288" s="11"/>
      <c r="E9288" s="11"/>
      <c r="F9288" s="11"/>
      <c r="G9288" s="11"/>
      <c r="H9288" s="11"/>
      <c r="I9288" s="15"/>
    </row>
    <row r="9289" spans="1:9" ht="16.5">
      <c r="A9289" s="10" t="b">
        <v>0</v>
      </c>
      <c r="B9289" s="11" t="str">
        <f>IF(D9289&lt;&gt;"",IF(COUNTIF('USPTO TMs'!A:A,D9289)&gt;0,"Yes","No"),"")</f>
        <v/>
      </c>
      <c r="C9289" s="11"/>
      <c r="D9289" s="11"/>
      <c r="E9289" s="11"/>
      <c r="F9289" s="11"/>
      <c r="G9289" s="11"/>
      <c r="H9289" s="11"/>
      <c r="I9289" s="15"/>
    </row>
    <row r="9290" spans="1:9" ht="16.5">
      <c r="A9290" s="10" t="b">
        <v>0</v>
      </c>
      <c r="B9290" s="11" t="str">
        <f>IF(D9290&lt;&gt;"",IF(COUNTIF('USPTO TMs'!A:A,D9290)&gt;0,"Yes","No"),"")</f>
        <v/>
      </c>
      <c r="C9290" s="11"/>
      <c r="D9290" s="11"/>
      <c r="E9290" s="11"/>
      <c r="F9290" s="11"/>
      <c r="G9290" s="11"/>
      <c r="H9290" s="11"/>
      <c r="I9290" s="15"/>
    </row>
    <row r="9291" spans="1:9" ht="16.5">
      <c r="A9291" s="10" t="b">
        <v>0</v>
      </c>
      <c r="B9291" s="11" t="str">
        <f>IF(D9291&lt;&gt;"",IF(COUNTIF('USPTO TMs'!A:A,D9291)&gt;0,"Yes","No"),"")</f>
        <v/>
      </c>
      <c r="C9291" s="11"/>
      <c r="D9291" s="11"/>
      <c r="E9291" s="11"/>
      <c r="F9291" s="11"/>
      <c r="G9291" s="11"/>
      <c r="H9291" s="11"/>
      <c r="I9291" s="15"/>
    </row>
    <row r="9292" spans="1:9" ht="16.5">
      <c r="A9292" s="10" t="b">
        <v>0</v>
      </c>
      <c r="B9292" s="11" t="str">
        <f>IF(D9292&lt;&gt;"",IF(COUNTIF('USPTO TMs'!A:A,D9292)&gt;0,"Yes","No"),"")</f>
        <v/>
      </c>
      <c r="C9292" s="11"/>
      <c r="D9292" s="11"/>
      <c r="E9292" s="11"/>
      <c r="F9292" s="11"/>
      <c r="G9292" s="11"/>
      <c r="H9292" s="11"/>
      <c r="I9292" s="15"/>
    </row>
    <row r="9293" spans="1:9" ht="16.5">
      <c r="A9293" s="10" t="b">
        <v>0</v>
      </c>
      <c r="B9293" s="11" t="str">
        <f>IF(D9293&lt;&gt;"",IF(COUNTIF('USPTO TMs'!A:A,D9293)&gt;0,"Yes","No"),"")</f>
        <v/>
      </c>
      <c r="C9293" s="11"/>
      <c r="D9293" s="11"/>
      <c r="E9293" s="11"/>
      <c r="F9293" s="11"/>
      <c r="G9293" s="11"/>
      <c r="H9293" s="11"/>
      <c r="I9293" s="15"/>
    </row>
    <row r="9294" spans="1:9" ht="16.5">
      <c r="A9294" s="10" t="b">
        <v>0</v>
      </c>
      <c r="B9294" s="11" t="str">
        <f>IF(D9294&lt;&gt;"",IF(COUNTIF('USPTO TMs'!A:A,D9294)&gt;0,"Yes","No"),"")</f>
        <v/>
      </c>
      <c r="C9294" s="11"/>
      <c r="D9294" s="11"/>
      <c r="E9294" s="11"/>
      <c r="F9294" s="11"/>
      <c r="G9294" s="11"/>
      <c r="H9294" s="11"/>
      <c r="I9294" s="15"/>
    </row>
    <row r="9295" spans="1:9" ht="16.5">
      <c r="A9295" s="10" t="b">
        <v>0</v>
      </c>
      <c r="B9295" s="11" t="str">
        <f>IF(D9295&lt;&gt;"",IF(COUNTIF('USPTO TMs'!A:A,D9295)&gt;0,"Yes","No"),"")</f>
        <v/>
      </c>
      <c r="C9295" s="11"/>
      <c r="D9295" s="11"/>
      <c r="E9295" s="11"/>
      <c r="F9295" s="11"/>
      <c r="G9295" s="11"/>
      <c r="H9295" s="11"/>
      <c r="I9295" s="15"/>
    </row>
    <row r="9296" spans="1:9" ht="16.5">
      <c r="A9296" s="10" t="b">
        <v>0</v>
      </c>
      <c r="B9296" s="11" t="str">
        <f>IF(D9296&lt;&gt;"",IF(COUNTIF('USPTO TMs'!A:A,D9296)&gt;0,"Yes","No"),"")</f>
        <v/>
      </c>
      <c r="C9296" s="11"/>
      <c r="D9296" s="11"/>
      <c r="E9296" s="11"/>
      <c r="F9296" s="11"/>
      <c r="G9296" s="11"/>
      <c r="H9296" s="11"/>
      <c r="I9296" s="15"/>
    </row>
    <row r="9297" spans="1:9" ht="16.5">
      <c r="A9297" s="10" t="b">
        <v>0</v>
      </c>
      <c r="B9297" s="11" t="str">
        <f>IF(D9297&lt;&gt;"",IF(COUNTIF('USPTO TMs'!A:A,D9297)&gt;0,"Yes","No"),"")</f>
        <v/>
      </c>
      <c r="C9297" s="11"/>
      <c r="D9297" s="11"/>
      <c r="E9297" s="11"/>
      <c r="F9297" s="11"/>
      <c r="G9297" s="11"/>
      <c r="H9297" s="11"/>
      <c r="I9297" s="15"/>
    </row>
    <row r="9298" spans="1:9" ht="16.5">
      <c r="A9298" s="10" t="b">
        <v>0</v>
      </c>
      <c r="B9298" s="11" t="str">
        <f>IF(D9298&lt;&gt;"",IF(COUNTIF('USPTO TMs'!A:A,D9298)&gt;0,"Yes","No"),"")</f>
        <v/>
      </c>
      <c r="C9298" s="11"/>
      <c r="D9298" s="11"/>
      <c r="E9298" s="11"/>
      <c r="F9298" s="11"/>
      <c r="G9298" s="11"/>
      <c r="H9298" s="11"/>
      <c r="I9298" s="15"/>
    </row>
    <row r="9299" spans="1:9" ht="16.5">
      <c r="A9299" s="10" t="b">
        <v>0</v>
      </c>
      <c r="B9299" s="11" t="str">
        <f>IF(D9299&lt;&gt;"",IF(COUNTIF('USPTO TMs'!A:A,D9299)&gt;0,"Yes","No"),"")</f>
        <v/>
      </c>
      <c r="C9299" s="11"/>
      <c r="D9299" s="11"/>
      <c r="E9299" s="11"/>
      <c r="F9299" s="11"/>
      <c r="G9299" s="11"/>
      <c r="H9299" s="11"/>
      <c r="I9299" s="15"/>
    </row>
    <row r="9300" spans="1:9" ht="16.5">
      <c r="A9300" s="10" t="b">
        <v>0</v>
      </c>
      <c r="B9300" s="11" t="str">
        <f>IF(D9300&lt;&gt;"",IF(COUNTIF('USPTO TMs'!A:A,D9300)&gt;0,"Yes","No"),"")</f>
        <v/>
      </c>
      <c r="C9300" s="11"/>
      <c r="D9300" s="11"/>
      <c r="E9300" s="11"/>
      <c r="F9300" s="11"/>
      <c r="G9300" s="11"/>
      <c r="H9300" s="11"/>
      <c r="I9300" s="15"/>
    </row>
    <row r="9301" spans="1:9" ht="16.5">
      <c r="A9301" s="10" t="b">
        <v>0</v>
      </c>
      <c r="B9301" s="11" t="str">
        <f>IF(D9301&lt;&gt;"",IF(COUNTIF('USPTO TMs'!A:A,D9301)&gt;0,"Yes","No"),"")</f>
        <v/>
      </c>
      <c r="C9301" s="11"/>
      <c r="D9301" s="11"/>
      <c r="E9301" s="11"/>
      <c r="F9301" s="11"/>
      <c r="G9301" s="11"/>
      <c r="H9301" s="11"/>
      <c r="I9301" s="15"/>
    </row>
    <row r="9302" spans="1:9" ht="16.5">
      <c r="A9302" s="10" t="b">
        <v>0</v>
      </c>
      <c r="B9302" s="11" t="str">
        <f>IF(D9302&lt;&gt;"",IF(COUNTIF('USPTO TMs'!A:A,D9302)&gt;0,"Yes","No"),"")</f>
        <v/>
      </c>
      <c r="C9302" s="11"/>
      <c r="D9302" s="11"/>
      <c r="E9302" s="11"/>
      <c r="F9302" s="11"/>
      <c r="G9302" s="11"/>
      <c r="H9302" s="11"/>
      <c r="I9302" s="15"/>
    </row>
    <row r="9303" spans="1:9" ht="16.5">
      <c r="A9303" s="10" t="b">
        <v>0</v>
      </c>
      <c r="B9303" s="11" t="str">
        <f>IF(D9303&lt;&gt;"",IF(COUNTIF('USPTO TMs'!A:A,D9303)&gt;0,"Yes","No"),"")</f>
        <v/>
      </c>
      <c r="C9303" s="11"/>
      <c r="D9303" s="11"/>
      <c r="E9303" s="11"/>
      <c r="F9303" s="11"/>
      <c r="G9303" s="11"/>
      <c r="H9303" s="11"/>
      <c r="I9303" s="15"/>
    </row>
    <row r="9304" spans="1:9" ht="16.5">
      <c r="A9304" s="10" t="b">
        <v>0</v>
      </c>
      <c r="B9304" s="11" t="str">
        <f>IF(D9304&lt;&gt;"",IF(COUNTIF('USPTO TMs'!A:A,D9304)&gt;0,"Yes","No"),"")</f>
        <v/>
      </c>
      <c r="C9304" s="11"/>
      <c r="D9304" s="11"/>
      <c r="E9304" s="11"/>
      <c r="F9304" s="11"/>
      <c r="G9304" s="11"/>
      <c r="H9304" s="11"/>
      <c r="I9304" s="15"/>
    </row>
    <row r="9305" spans="1:9" ht="16.5">
      <c r="A9305" s="10" t="b">
        <v>0</v>
      </c>
      <c r="B9305" s="11" t="str">
        <f>IF(D9305&lt;&gt;"",IF(COUNTIF('USPTO TMs'!A:A,D9305)&gt;0,"Yes","No"),"")</f>
        <v/>
      </c>
      <c r="C9305" s="11"/>
      <c r="D9305" s="11"/>
      <c r="E9305" s="11"/>
      <c r="F9305" s="11"/>
      <c r="G9305" s="11"/>
      <c r="H9305" s="11"/>
      <c r="I9305" s="15"/>
    </row>
    <row r="9306" spans="1:9" ht="16.5">
      <c r="A9306" s="10" t="b">
        <v>0</v>
      </c>
      <c r="B9306" s="11" t="str">
        <f>IF(D9306&lt;&gt;"",IF(COUNTIF('USPTO TMs'!A:A,D9306)&gt;0,"Yes","No"),"")</f>
        <v/>
      </c>
      <c r="C9306" s="11"/>
      <c r="D9306" s="11"/>
      <c r="E9306" s="11"/>
      <c r="F9306" s="11"/>
      <c r="G9306" s="11"/>
      <c r="H9306" s="11"/>
      <c r="I9306" s="15"/>
    </row>
    <row r="9307" spans="1:9" ht="16.5">
      <c r="A9307" s="10" t="b">
        <v>0</v>
      </c>
      <c r="B9307" s="11" t="str">
        <f>IF(D9307&lt;&gt;"",IF(COUNTIF('USPTO TMs'!A:A,D9307)&gt;0,"Yes","No"),"")</f>
        <v/>
      </c>
      <c r="C9307" s="11"/>
      <c r="D9307" s="11"/>
      <c r="E9307" s="11"/>
      <c r="F9307" s="11"/>
      <c r="G9307" s="11"/>
      <c r="H9307" s="11"/>
      <c r="I9307" s="15"/>
    </row>
    <row r="9308" spans="1:9" ht="16.5">
      <c r="A9308" s="10" t="b">
        <v>0</v>
      </c>
      <c r="B9308" s="11" t="str">
        <f>IF(D9308&lt;&gt;"",IF(COUNTIF('USPTO TMs'!A:A,D9308)&gt;0,"Yes","No"),"")</f>
        <v/>
      </c>
      <c r="C9308" s="11"/>
      <c r="D9308" s="11"/>
      <c r="E9308" s="11"/>
      <c r="F9308" s="11"/>
      <c r="G9308" s="11"/>
      <c r="H9308" s="11"/>
      <c r="I9308" s="15"/>
    </row>
    <row r="9309" spans="1:9" ht="16.5">
      <c r="A9309" s="10" t="b">
        <v>0</v>
      </c>
      <c r="B9309" s="11" t="str">
        <f>IF(D9309&lt;&gt;"",IF(COUNTIF('USPTO TMs'!A:A,D9309)&gt;0,"Yes","No"),"")</f>
        <v/>
      </c>
      <c r="C9309" s="11"/>
      <c r="D9309" s="11"/>
      <c r="E9309" s="11"/>
      <c r="F9309" s="11"/>
      <c r="G9309" s="11"/>
      <c r="H9309" s="11"/>
      <c r="I9309" s="15"/>
    </row>
    <row r="9310" spans="1:9" ht="16.5">
      <c r="A9310" s="10" t="b">
        <v>0</v>
      </c>
      <c r="B9310" s="11" t="str">
        <f>IF(D9310&lt;&gt;"",IF(COUNTIF('USPTO TMs'!A:A,D9310)&gt;0,"Yes","No"),"")</f>
        <v/>
      </c>
      <c r="C9310" s="11"/>
      <c r="D9310" s="11"/>
      <c r="E9310" s="11"/>
      <c r="F9310" s="11"/>
      <c r="G9310" s="11"/>
      <c r="H9310" s="11"/>
      <c r="I9310" s="15"/>
    </row>
    <row r="9311" spans="1:9" ht="16.5">
      <c r="A9311" s="10" t="b">
        <v>0</v>
      </c>
      <c r="B9311" s="11" t="str">
        <f>IF(D9311&lt;&gt;"",IF(COUNTIF('USPTO TMs'!A:A,D9311)&gt;0,"Yes","No"),"")</f>
        <v/>
      </c>
      <c r="C9311" s="11"/>
      <c r="D9311" s="11"/>
      <c r="E9311" s="11"/>
      <c r="F9311" s="11"/>
      <c r="G9311" s="11"/>
      <c r="H9311" s="11"/>
      <c r="I9311" s="15"/>
    </row>
    <row r="9312" spans="1:9" ht="16.5">
      <c r="A9312" s="10" t="b">
        <v>0</v>
      </c>
      <c r="B9312" s="11" t="str">
        <f>IF(D9312&lt;&gt;"",IF(COUNTIF('USPTO TMs'!A:A,D9312)&gt;0,"Yes","No"),"")</f>
        <v/>
      </c>
      <c r="C9312" s="11"/>
      <c r="D9312" s="11"/>
      <c r="E9312" s="11"/>
      <c r="F9312" s="11"/>
      <c r="G9312" s="11"/>
      <c r="H9312" s="11"/>
      <c r="I9312" s="15"/>
    </row>
    <row r="9313" spans="1:9" ht="16.5">
      <c r="A9313" s="10" t="b">
        <v>0</v>
      </c>
      <c r="B9313" s="11" t="str">
        <f>IF(D9313&lt;&gt;"",IF(COUNTIF('USPTO TMs'!A:A,D9313)&gt;0,"Yes","No"),"")</f>
        <v/>
      </c>
      <c r="C9313" s="11"/>
      <c r="D9313" s="11"/>
      <c r="E9313" s="11"/>
      <c r="F9313" s="11"/>
      <c r="G9313" s="11"/>
      <c r="H9313" s="11"/>
      <c r="I9313" s="15"/>
    </row>
    <row r="9314" spans="1:9" ht="16.5">
      <c r="A9314" s="10" t="b">
        <v>0</v>
      </c>
      <c r="B9314" s="11" t="str">
        <f>IF(D9314&lt;&gt;"",IF(COUNTIF('USPTO TMs'!A:A,D9314)&gt;0,"Yes","No"),"")</f>
        <v/>
      </c>
      <c r="C9314" s="11"/>
      <c r="D9314" s="11"/>
      <c r="E9314" s="11"/>
      <c r="F9314" s="11"/>
      <c r="G9314" s="11"/>
      <c r="H9314" s="11"/>
      <c r="I9314" s="15"/>
    </row>
    <row r="9315" spans="1:9" ht="16.5">
      <c r="A9315" s="10" t="b">
        <v>0</v>
      </c>
      <c r="B9315" s="11" t="str">
        <f>IF(D9315&lt;&gt;"",IF(COUNTIF('USPTO TMs'!A:A,D9315)&gt;0,"Yes","No"),"")</f>
        <v/>
      </c>
      <c r="C9315" s="11"/>
      <c r="D9315" s="11"/>
      <c r="E9315" s="11"/>
      <c r="F9315" s="11"/>
      <c r="G9315" s="11"/>
      <c r="H9315" s="11"/>
      <c r="I9315" s="15"/>
    </row>
    <row r="9316" spans="1:9" ht="16.5">
      <c r="A9316" s="10" t="b">
        <v>0</v>
      </c>
      <c r="B9316" s="11" t="str">
        <f>IF(D9316&lt;&gt;"",IF(COUNTIF('USPTO TMs'!A:A,D9316)&gt;0,"Yes","No"),"")</f>
        <v/>
      </c>
      <c r="C9316" s="11"/>
      <c r="D9316" s="11"/>
      <c r="E9316" s="11"/>
      <c r="F9316" s="11"/>
      <c r="G9316" s="11"/>
      <c r="H9316" s="11"/>
      <c r="I9316" s="15"/>
    </row>
    <row r="9317" spans="1:9" ht="16.5">
      <c r="A9317" s="10" t="b">
        <v>0</v>
      </c>
      <c r="B9317" s="11" t="str">
        <f>IF(D9317&lt;&gt;"",IF(COUNTIF('USPTO TMs'!A:A,D9317)&gt;0,"Yes","No"),"")</f>
        <v/>
      </c>
      <c r="C9317" s="11"/>
      <c r="D9317" s="11"/>
      <c r="E9317" s="11"/>
      <c r="F9317" s="11"/>
      <c r="G9317" s="11"/>
      <c r="H9317" s="11"/>
      <c r="I9317" s="15"/>
    </row>
    <row r="9318" spans="1:9" ht="16.5">
      <c r="A9318" s="10" t="b">
        <v>0</v>
      </c>
      <c r="B9318" s="11" t="str">
        <f>IF(D9318&lt;&gt;"",IF(COUNTIF('USPTO TMs'!A:A,D9318)&gt;0,"Yes","No"),"")</f>
        <v/>
      </c>
      <c r="C9318" s="11"/>
      <c r="D9318" s="11"/>
      <c r="E9318" s="11"/>
      <c r="F9318" s="11"/>
      <c r="G9318" s="11"/>
      <c r="H9318" s="11"/>
      <c r="I9318" s="15"/>
    </row>
    <row r="9319" spans="1:9" ht="16.5">
      <c r="A9319" s="10" t="b">
        <v>0</v>
      </c>
      <c r="B9319" s="11" t="str">
        <f>IF(D9319&lt;&gt;"",IF(COUNTIF('USPTO TMs'!A:A,D9319)&gt;0,"Yes","No"),"")</f>
        <v/>
      </c>
      <c r="C9319" s="11"/>
      <c r="D9319" s="11"/>
      <c r="E9319" s="11"/>
      <c r="F9319" s="11"/>
      <c r="G9319" s="11"/>
      <c r="H9319" s="11"/>
      <c r="I9319" s="15"/>
    </row>
    <row r="9320" spans="1:9" ht="16.5">
      <c r="A9320" s="10" t="b">
        <v>0</v>
      </c>
      <c r="B9320" s="11" t="str">
        <f>IF(D9320&lt;&gt;"",IF(COUNTIF('USPTO TMs'!A:A,D9320)&gt;0,"Yes","No"),"")</f>
        <v/>
      </c>
      <c r="C9320" s="11"/>
      <c r="D9320" s="11"/>
      <c r="E9320" s="11"/>
      <c r="F9320" s="11"/>
      <c r="G9320" s="11"/>
      <c r="H9320" s="11"/>
      <c r="I9320" s="15"/>
    </row>
    <row r="9321" spans="1:9" ht="16.5">
      <c r="A9321" s="10" t="b">
        <v>0</v>
      </c>
      <c r="B9321" s="11" t="str">
        <f>IF(D9321&lt;&gt;"",IF(COUNTIF('USPTO TMs'!A:A,D9321)&gt;0,"Yes","No"),"")</f>
        <v/>
      </c>
      <c r="C9321" s="11"/>
      <c r="D9321" s="11"/>
      <c r="E9321" s="11"/>
      <c r="F9321" s="11"/>
      <c r="G9321" s="11"/>
      <c r="H9321" s="11"/>
      <c r="I9321" s="15"/>
    </row>
    <row r="9322" spans="1:9" ht="16.5">
      <c r="A9322" s="10" t="b">
        <v>0</v>
      </c>
      <c r="B9322" s="11" t="str">
        <f>IF(D9322&lt;&gt;"",IF(COUNTIF('USPTO TMs'!A:A,D9322)&gt;0,"Yes","No"),"")</f>
        <v/>
      </c>
      <c r="C9322" s="11"/>
      <c r="D9322" s="11"/>
      <c r="E9322" s="11"/>
      <c r="F9322" s="11"/>
      <c r="G9322" s="11"/>
      <c r="H9322" s="11"/>
      <c r="I9322" s="15"/>
    </row>
    <row r="9323" spans="1:9" ht="16.5">
      <c r="A9323" s="10" t="b">
        <v>0</v>
      </c>
      <c r="B9323" s="11" t="str">
        <f>IF(D9323&lt;&gt;"",IF(COUNTIF('USPTO TMs'!A:A,D9323)&gt;0,"Yes","No"),"")</f>
        <v/>
      </c>
      <c r="C9323" s="11"/>
      <c r="D9323" s="11"/>
      <c r="E9323" s="11"/>
      <c r="F9323" s="11"/>
      <c r="G9323" s="11"/>
      <c r="H9323" s="11"/>
      <c r="I9323" s="15"/>
    </row>
    <row r="9324" spans="1:9" ht="16.5">
      <c r="A9324" s="10" t="b">
        <v>0</v>
      </c>
      <c r="B9324" s="11" t="str">
        <f>IF(D9324&lt;&gt;"",IF(COUNTIF('USPTO TMs'!A:A,D9324)&gt;0,"Yes","No"),"")</f>
        <v/>
      </c>
      <c r="C9324" s="11"/>
      <c r="D9324" s="11"/>
      <c r="E9324" s="11"/>
      <c r="F9324" s="11"/>
      <c r="G9324" s="11"/>
      <c r="H9324" s="11"/>
      <c r="I9324" s="15"/>
    </row>
    <row r="9325" spans="1:9" ht="16.5">
      <c r="A9325" s="10" t="b">
        <v>0</v>
      </c>
      <c r="B9325" s="11" t="str">
        <f>IF(D9325&lt;&gt;"",IF(COUNTIF('USPTO TMs'!A:A,D9325)&gt;0,"Yes","No"),"")</f>
        <v/>
      </c>
      <c r="C9325" s="11"/>
      <c r="D9325" s="11"/>
      <c r="E9325" s="11"/>
      <c r="F9325" s="11"/>
      <c r="G9325" s="11"/>
      <c r="H9325" s="11"/>
      <c r="I9325" s="15"/>
    </row>
    <row r="9326" spans="1:9" ht="16.5">
      <c r="A9326" s="10" t="b">
        <v>0</v>
      </c>
      <c r="B9326" s="11" t="str">
        <f>IF(D9326&lt;&gt;"",IF(COUNTIF('USPTO TMs'!A:A,D9326)&gt;0,"Yes","No"),"")</f>
        <v/>
      </c>
      <c r="C9326" s="11"/>
      <c r="D9326" s="11"/>
      <c r="E9326" s="11"/>
      <c r="F9326" s="11"/>
      <c r="G9326" s="11"/>
      <c r="H9326" s="11"/>
      <c r="I9326" s="15"/>
    </row>
    <row r="9327" spans="1:9" ht="16.5">
      <c r="A9327" s="10" t="b">
        <v>0</v>
      </c>
      <c r="B9327" s="11" t="str">
        <f>IF(D9327&lt;&gt;"",IF(COUNTIF('USPTO TMs'!A:A,D9327)&gt;0,"Yes","No"),"")</f>
        <v/>
      </c>
      <c r="C9327" s="11"/>
      <c r="D9327" s="11"/>
      <c r="E9327" s="11"/>
      <c r="F9327" s="11"/>
      <c r="G9327" s="11"/>
      <c r="H9327" s="11"/>
      <c r="I9327" s="15"/>
    </row>
    <row r="9328" spans="1:9" ht="16.5">
      <c r="A9328" s="10" t="b">
        <v>0</v>
      </c>
      <c r="B9328" s="11" t="str">
        <f>IF(D9328&lt;&gt;"",IF(COUNTIF('USPTO TMs'!A:A,D9328)&gt;0,"Yes","No"),"")</f>
        <v/>
      </c>
      <c r="C9328" s="11"/>
      <c r="D9328" s="11"/>
      <c r="E9328" s="11"/>
      <c r="F9328" s="11"/>
      <c r="G9328" s="11"/>
      <c r="H9328" s="11"/>
      <c r="I9328" s="15"/>
    </row>
    <row r="9329" spans="1:9" ht="16.5">
      <c r="A9329" s="10" t="b">
        <v>0</v>
      </c>
      <c r="B9329" s="11" t="str">
        <f>IF(D9329&lt;&gt;"",IF(COUNTIF('USPTO TMs'!A:A,D9329)&gt;0,"Yes","No"),"")</f>
        <v/>
      </c>
      <c r="C9329" s="11"/>
      <c r="D9329" s="11"/>
      <c r="E9329" s="11"/>
      <c r="F9329" s="11"/>
      <c r="G9329" s="11"/>
      <c r="H9329" s="11"/>
      <c r="I9329" s="15"/>
    </row>
    <row r="9330" spans="1:9" ht="16.5">
      <c r="A9330" s="10" t="b">
        <v>0</v>
      </c>
      <c r="B9330" s="11" t="str">
        <f>IF(D9330&lt;&gt;"",IF(COUNTIF('USPTO TMs'!A:A,D9330)&gt;0,"Yes","No"),"")</f>
        <v/>
      </c>
      <c r="C9330" s="11"/>
      <c r="D9330" s="11"/>
      <c r="E9330" s="11"/>
      <c r="F9330" s="11"/>
      <c r="G9330" s="11"/>
      <c r="H9330" s="11"/>
      <c r="I9330" s="15"/>
    </row>
    <row r="9331" spans="1:9" ht="16.5">
      <c r="A9331" s="10" t="b">
        <v>0</v>
      </c>
      <c r="B9331" s="11" t="str">
        <f>IF(D9331&lt;&gt;"",IF(COUNTIF('USPTO TMs'!A:A,D9331)&gt;0,"Yes","No"),"")</f>
        <v/>
      </c>
      <c r="C9331" s="11"/>
      <c r="D9331" s="11"/>
      <c r="E9331" s="11"/>
      <c r="F9331" s="11"/>
      <c r="G9331" s="11"/>
      <c r="H9331" s="11"/>
      <c r="I9331" s="15"/>
    </row>
    <row r="9332" spans="1:9" ht="16.5">
      <c r="A9332" s="10" t="b">
        <v>0</v>
      </c>
      <c r="B9332" s="11" t="str">
        <f>IF(D9332&lt;&gt;"",IF(COUNTIF('USPTO TMs'!A:A,D9332)&gt;0,"Yes","No"),"")</f>
        <v/>
      </c>
      <c r="C9332" s="11"/>
      <c r="D9332" s="11"/>
      <c r="E9332" s="11"/>
      <c r="F9332" s="11"/>
      <c r="G9332" s="11"/>
      <c r="H9332" s="11"/>
      <c r="I9332" s="15"/>
    </row>
    <row r="9333" spans="1:9" ht="16.5">
      <c r="A9333" s="10" t="b">
        <v>0</v>
      </c>
      <c r="B9333" s="11" t="str">
        <f>IF(D9333&lt;&gt;"",IF(COUNTIF('USPTO TMs'!A:A,D9333)&gt;0,"Yes","No"),"")</f>
        <v/>
      </c>
      <c r="C9333" s="11"/>
      <c r="D9333" s="11"/>
      <c r="E9333" s="11"/>
      <c r="F9333" s="11"/>
      <c r="G9333" s="11"/>
      <c r="H9333" s="11"/>
      <c r="I9333" s="15"/>
    </row>
    <row r="9334" spans="1:9" ht="16.5">
      <c r="A9334" s="10" t="b">
        <v>0</v>
      </c>
      <c r="B9334" s="11" t="str">
        <f>IF(D9334&lt;&gt;"",IF(COUNTIF('USPTO TMs'!A:A,D9334)&gt;0,"Yes","No"),"")</f>
        <v/>
      </c>
      <c r="C9334" s="11"/>
      <c r="D9334" s="11"/>
      <c r="E9334" s="11"/>
      <c r="F9334" s="11"/>
      <c r="G9334" s="11"/>
      <c r="H9334" s="11"/>
      <c r="I9334" s="15"/>
    </row>
    <row r="9335" spans="1:9" ht="16.5">
      <c r="A9335" s="10" t="b">
        <v>0</v>
      </c>
      <c r="B9335" s="11" t="str">
        <f>IF(D9335&lt;&gt;"",IF(COUNTIF('USPTO TMs'!A:A,D9335)&gt;0,"Yes","No"),"")</f>
        <v/>
      </c>
      <c r="C9335" s="11"/>
      <c r="D9335" s="11"/>
      <c r="E9335" s="11"/>
      <c r="F9335" s="11"/>
      <c r="G9335" s="11"/>
      <c r="H9335" s="11"/>
      <c r="I9335" s="15"/>
    </row>
    <row r="9336" spans="1:9" ht="16.5">
      <c r="A9336" s="10" t="b">
        <v>0</v>
      </c>
      <c r="B9336" s="11" t="str">
        <f>IF(D9336&lt;&gt;"",IF(COUNTIF('USPTO TMs'!A:A,D9336)&gt;0,"Yes","No"),"")</f>
        <v/>
      </c>
      <c r="C9336" s="11"/>
      <c r="D9336" s="11"/>
      <c r="E9336" s="11"/>
      <c r="F9336" s="11"/>
      <c r="G9336" s="11"/>
      <c r="H9336" s="11"/>
      <c r="I9336" s="15"/>
    </row>
    <row r="9337" spans="1:9" ht="16.5">
      <c r="A9337" s="10" t="b">
        <v>0</v>
      </c>
      <c r="B9337" s="11" t="str">
        <f>IF(D9337&lt;&gt;"",IF(COUNTIF('USPTO TMs'!A:A,D9337)&gt;0,"Yes","No"),"")</f>
        <v/>
      </c>
      <c r="C9337" s="11"/>
      <c r="D9337" s="11"/>
      <c r="E9337" s="11"/>
      <c r="F9337" s="11"/>
      <c r="G9337" s="11"/>
      <c r="H9337" s="11"/>
      <c r="I9337" s="15"/>
    </row>
    <row r="9338" spans="1:9" ht="16.5">
      <c r="A9338" s="10" t="b">
        <v>0</v>
      </c>
      <c r="B9338" s="11" t="str">
        <f>IF(D9338&lt;&gt;"",IF(COUNTIF('USPTO TMs'!A:A,D9338)&gt;0,"Yes","No"),"")</f>
        <v/>
      </c>
      <c r="C9338" s="11"/>
      <c r="D9338" s="11"/>
      <c r="E9338" s="11"/>
      <c r="F9338" s="11"/>
      <c r="G9338" s="11"/>
      <c r="H9338" s="11"/>
      <c r="I9338" s="15"/>
    </row>
    <row r="9339" spans="1:9" ht="16.5">
      <c r="A9339" s="10" t="b">
        <v>0</v>
      </c>
      <c r="B9339" s="11" t="str">
        <f>IF(D9339&lt;&gt;"",IF(COUNTIF('USPTO TMs'!A:A,D9339)&gt;0,"Yes","No"),"")</f>
        <v/>
      </c>
      <c r="C9339" s="11"/>
      <c r="D9339" s="11"/>
      <c r="E9339" s="11"/>
      <c r="F9339" s="11"/>
      <c r="G9339" s="11"/>
      <c r="H9339" s="11"/>
      <c r="I9339" s="15"/>
    </row>
    <row r="9340" spans="1:9" ht="16.5">
      <c r="A9340" s="10" t="b">
        <v>0</v>
      </c>
      <c r="B9340" s="11" t="str">
        <f>IF(D9340&lt;&gt;"",IF(COUNTIF('USPTO TMs'!A:A,D9340)&gt;0,"Yes","No"),"")</f>
        <v/>
      </c>
      <c r="C9340" s="11"/>
      <c r="D9340" s="11"/>
      <c r="E9340" s="11"/>
      <c r="F9340" s="11"/>
      <c r="G9340" s="11"/>
      <c r="H9340" s="11"/>
      <c r="I9340" s="15"/>
    </row>
    <row r="9341" spans="1:9" ht="16.5">
      <c r="A9341" s="10" t="b">
        <v>0</v>
      </c>
      <c r="B9341" s="11" t="str">
        <f>IF(D9341&lt;&gt;"",IF(COUNTIF('USPTO TMs'!A:A,D9341)&gt;0,"Yes","No"),"")</f>
        <v/>
      </c>
      <c r="C9341" s="11"/>
      <c r="D9341" s="11"/>
      <c r="E9341" s="11"/>
      <c r="F9341" s="11"/>
      <c r="G9341" s="11"/>
      <c r="H9341" s="11"/>
      <c r="I9341" s="15"/>
    </row>
    <row r="9342" spans="1:9" ht="16.5">
      <c r="A9342" s="10" t="b">
        <v>0</v>
      </c>
      <c r="B9342" s="11" t="str">
        <f>IF(D9342&lt;&gt;"",IF(COUNTIF('USPTO TMs'!A:A,D9342)&gt;0,"Yes","No"),"")</f>
        <v/>
      </c>
      <c r="C9342" s="11"/>
      <c r="D9342" s="11"/>
      <c r="E9342" s="11"/>
      <c r="F9342" s="11"/>
      <c r="G9342" s="11"/>
      <c r="H9342" s="11"/>
      <c r="I9342" s="15"/>
    </row>
    <row r="9343" spans="1:9" ht="16.5">
      <c r="A9343" s="10" t="b">
        <v>0</v>
      </c>
      <c r="B9343" s="11" t="str">
        <f>IF(D9343&lt;&gt;"",IF(COUNTIF('USPTO TMs'!A:A,D9343)&gt;0,"Yes","No"),"")</f>
        <v/>
      </c>
      <c r="C9343" s="11"/>
      <c r="D9343" s="11"/>
      <c r="E9343" s="11"/>
      <c r="F9343" s="11"/>
      <c r="G9343" s="11"/>
      <c r="H9343" s="11"/>
      <c r="I9343" s="15"/>
    </row>
    <row r="9344" spans="1:9" ht="16.5">
      <c r="A9344" s="10" t="b">
        <v>0</v>
      </c>
      <c r="B9344" s="11" t="str">
        <f>IF(D9344&lt;&gt;"",IF(COUNTIF('USPTO TMs'!A:A,D9344)&gt;0,"Yes","No"),"")</f>
        <v/>
      </c>
      <c r="C9344" s="11"/>
      <c r="D9344" s="11"/>
      <c r="E9344" s="11"/>
      <c r="F9344" s="11"/>
      <c r="G9344" s="11"/>
      <c r="H9344" s="11"/>
      <c r="I9344" s="15"/>
    </row>
    <row r="9345" spans="1:9" ht="16.5">
      <c r="A9345" s="10" t="b">
        <v>0</v>
      </c>
      <c r="B9345" s="11" t="str">
        <f>IF(D9345&lt;&gt;"",IF(COUNTIF('USPTO TMs'!A:A,D9345)&gt;0,"Yes","No"),"")</f>
        <v/>
      </c>
      <c r="C9345" s="11"/>
      <c r="D9345" s="11"/>
      <c r="E9345" s="11"/>
      <c r="F9345" s="11"/>
      <c r="G9345" s="11"/>
      <c r="H9345" s="11"/>
      <c r="I9345" s="15"/>
    </row>
    <row r="9346" spans="1:9" ht="16.5">
      <c r="A9346" s="10" t="b">
        <v>0</v>
      </c>
      <c r="B9346" s="11" t="str">
        <f>IF(D9346&lt;&gt;"",IF(COUNTIF('USPTO TMs'!A:A,D9346)&gt;0,"Yes","No"),"")</f>
        <v/>
      </c>
      <c r="C9346" s="11"/>
      <c r="D9346" s="11"/>
      <c r="E9346" s="11"/>
      <c r="F9346" s="11"/>
      <c r="G9346" s="11"/>
      <c r="H9346" s="11"/>
      <c r="I9346" s="15"/>
    </row>
    <row r="9347" spans="1:9" ht="16.5">
      <c r="A9347" s="10" t="b">
        <v>0</v>
      </c>
      <c r="B9347" s="11" t="str">
        <f>IF(D9347&lt;&gt;"",IF(COUNTIF('USPTO TMs'!A:A,D9347)&gt;0,"Yes","No"),"")</f>
        <v/>
      </c>
      <c r="C9347" s="11"/>
      <c r="D9347" s="11"/>
      <c r="E9347" s="11"/>
      <c r="F9347" s="11"/>
      <c r="G9347" s="11"/>
      <c r="H9347" s="11"/>
      <c r="I9347" s="15"/>
    </row>
    <row r="9348" spans="1:9" ht="16.5">
      <c r="A9348" s="10" t="b">
        <v>0</v>
      </c>
      <c r="B9348" s="11" t="str">
        <f>IF(D9348&lt;&gt;"",IF(COUNTIF('USPTO TMs'!A:A,D9348)&gt;0,"Yes","No"),"")</f>
        <v/>
      </c>
      <c r="C9348" s="11"/>
      <c r="D9348" s="11"/>
      <c r="E9348" s="11"/>
      <c r="F9348" s="11"/>
      <c r="G9348" s="11"/>
      <c r="H9348" s="11"/>
      <c r="I9348" s="15"/>
    </row>
    <row r="9349" spans="1:9" ht="16.5">
      <c r="A9349" s="10" t="b">
        <v>0</v>
      </c>
      <c r="B9349" s="11" t="str">
        <f>IF(D9349&lt;&gt;"",IF(COUNTIF('USPTO TMs'!A:A,D9349)&gt;0,"Yes","No"),"")</f>
        <v/>
      </c>
      <c r="C9349" s="11"/>
      <c r="D9349" s="11"/>
      <c r="E9349" s="11"/>
      <c r="F9349" s="11"/>
      <c r="G9349" s="11"/>
      <c r="H9349" s="11"/>
      <c r="I9349" s="15"/>
    </row>
    <row r="9350" spans="1:9" ht="16.5">
      <c r="A9350" s="10" t="b">
        <v>0</v>
      </c>
      <c r="B9350" s="11" t="str">
        <f>IF(D9350&lt;&gt;"",IF(COUNTIF('USPTO TMs'!A:A,D9350)&gt;0,"Yes","No"),"")</f>
        <v/>
      </c>
      <c r="C9350" s="11"/>
      <c r="D9350" s="11"/>
      <c r="E9350" s="11"/>
      <c r="F9350" s="11"/>
      <c r="G9350" s="11"/>
      <c r="H9350" s="11"/>
      <c r="I9350" s="15"/>
    </row>
    <row r="9351" spans="1:9" ht="16.5">
      <c r="A9351" s="10" t="b">
        <v>0</v>
      </c>
      <c r="B9351" s="11" t="str">
        <f>IF(D9351&lt;&gt;"",IF(COUNTIF('USPTO TMs'!A:A,D9351)&gt;0,"Yes","No"),"")</f>
        <v/>
      </c>
      <c r="C9351" s="11"/>
      <c r="D9351" s="11"/>
      <c r="E9351" s="11"/>
      <c r="F9351" s="11"/>
      <c r="G9351" s="11"/>
      <c r="H9351" s="11"/>
      <c r="I9351" s="15"/>
    </row>
    <row r="9352" spans="1:9" ht="16.5">
      <c r="A9352" s="10" t="b">
        <v>0</v>
      </c>
      <c r="B9352" s="11" t="str">
        <f>IF(D9352&lt;&gt;"",IF(COUNTIF('USPTO TMs'!A:A,D9352)&gt;0,"Yes","No"),"")</f>
        <v/>
      </c>
      <c r="C9352" s="11"/>
      <c r="D9352" s="11"/>
      <c r="E9352" s="11"/>
      <c r="F9352" s="11"/>
      <c r="G9352" s="11"/>
      <c r="H9352" s="11"/>
      <c r="I9352" s="15"/>
    </row>
    <row r="9353" spans="1:9" ht="16.5">
      <c r="A9353" s="10" t="b">
        <v>0</v>
      </c>
      <c r="B9353" s="11" t="str">
        <f>IF(D9353&lt;&gt;"",IF(COUNTIF('USPTO TMs'!A:A,D9353)&gt;0,"Yes","No"),"")</f>
        <v/>
      </c>
      <c r="C9353" s="11"/>
      <c r="D9353" s="11"/>
      <c r="E9353" s="11"/>
      <c r="F9353" s="11"/>
      <c r="G9353" s="11"/>
      <c r="H9353" s="11"/>
      <c r="I9353" s="15"/>
    </row>
    <row r="9354" spans="1:9" ht="16.5">
      <c r="A9354" s="10" t="b">
        <v>0</v>
      </c>
      <c r="B9354" s="11" t="str">
        <f>IF(D9354&lt;&gt;"",IF(COUNTIF('USPTO TMs'!A:A,D9354)&gt;0,"Yes","No"),"")</f>
        <v/>
      </c>
      <c r="C9354" s="11"/>
      <c r="D9354" s="11"/>
      <c r="E9354" s="11"/>
      <c r="F9354" s="11"/>
      <c r="G9354" s="11"/>
      <c r="H9354" s="11"/>
      <c r="I9354" s="15"/>
    </row>
    <row r="9355" spans="1:9" ht="16.5">
      <c r="A9355" s="10" t="b">
        <v>0</v>
      </c>
      <c r="B9355" s="11" t="str">
        <f>IF(D9355&lt;&gt;"",IF(COUNTIF('USPTO TMs'!A:A,D9355)&gt;0,"Yes","No"),"")</f>
        <v/>
      </c>
      <c r="C9355" s="11"/>
      <c r="D9355" s="11"/>
      <c r="E9355" s="11"/>
      <c r="F9355" s="11"/>
      <c r="G9355" s="11"/>
      <c r="H9355" s="11"/>
      <c r="I9355" s="15"/>
    </row>
    <row r="9356" spans="1:9" ht="16.5">
      <c r="A9356" s="10" t="b">
        <v>0</v>
      </c>
      <c r="B9356" s="11" t="str">
        <f>IF(D9356&lt;&gt;"",IF(COUNTIF('USPTO TMs'!A:A,D9356)&gt;0,"Yes","No"),"")</f>
        <v/>
      </c>
      <c r="C9356" s="11"/>
      <c r="D9356" s="11"/>
      <c r="E9356" s="11"/>
      <c r="F9356" s="11"/>
      <c r="G9356" s="11"/>
      <c r="H9356" s="11"/>
      <c r="I9356" s="15"/>
    </row>
    <row r="9357" spans="1:9" ht="16.5">
      <c r="A9357" s="10" t="b">
        <v>0</v>
      </c>
      <c r="B9357" s="11" t="str">
        <f>IF(D9357&lt;&gt;"",IF(COUNTIF('USPTO TMs'!A:A,D9357)&gt;0,"Yes","No"),"")</f>
        <v/>
      </c>
      <c r="C9357" s="11"/>
      <c r="D9357" s="11"/>
      <c r="E9357" s="11"/>
      <c r="F9357" s="11"/>
      <c r="G9357" s="11"/>
      <c r="H9357" s="11"/>
      <c r="I9357" s="15"/>
    </row>
    <row r="9358" spans="1:9" ht="16.5">
      <c r="A9358" s="10" t="b">
        <v>0</v>
      </c>
      <c r="B9358" s="11" t="str">
        <f>IF(D9358&lt;&gt;"",IF(COUNTIF('USPTO TMs'!A:A,D9358)&gt;0,"Yes","No"),"")</f>
        <v/>
      </c>
      <c r="C9358" s="11"/>
      <c r="D9358" s="11"/>
      <c r="E9358" s="11"/>
      <c r="F9358" s="11"/>
      <c r="G9358" s="11"/>
      <c r="H9358" s="11"/>
      <c r="I9358" s="15"/>
    </row>
    <row r="9359" spans="1:9" ht="16.5">
      <c r="A9359" s="10" t="b">
        <v>0</v>
      </c>
      <c r="B9359" s="11" t="str">
        <f>IF(D9359&lt;&gt;"",IF(COUNTIF('USPTO TMs'!A:A,D9359)&gt;0,"Yes","No"),"")</f>
        <v/>
      </c>
      <c r="C9359" s="11"/>
      <c r="D9359" s="11"/>
      <c r="E9359" s="11"/>
      <c r="F9359" s="11"/>
      <c r="G9359" s="11"/>
      <c r="H9359" s="11"/>
      <c r="I9359" s="15"/>
    </row>
    <row r="9360" spans="1:9" ht="16.5">
      <c r="A9360" s="10" t="b">
        <v>0</v>
      </c>
      <c r="B9360" s="11" t="str">
        <f>IF(D9360&lt;&gt;"",IF(COUNTIF('USPTO TMs'!A:A,D9360)&gt;0,"Yes","No"),"")</f>
        <v/>
      </c>
      <c r="C9360" s="11"/>
      <c r="D9360" s="11"/>
      <c r="E9360" s="11"/>
      <c r="F9360" s="11"/>
      <c r="G9360" s="11"/>
      <c r="H9360" s="11"/>
      <c r="I9360" s="15"/>
    </row>
    <row r="9361" spans="1:9" ht="16.5">
      <c r="A9361" s="10" t="b">
        <v>0</v>
      </c>
      <c r="B9361" s="11" t="str">
        <f>IF(D9361&lt;&gt;"",IF(COUNTIF('USPTO TMs'!A:A,D9361)&gt;0,"Yes","No"),"")</f>
        <v/>
      </c>
      <c r="C9361" s="11"/>
      <c r="D9361" s="11"/>
      <c r="E9361" s="11"/>
      <c r="F9361" s="11"/>
      <c r="G9361" s="11"/>
      <c r="H9361" s="11"/>
      <c r="I9361" s="15"/>
    </row>
    <row r="9362" spans="1:9" ht="16.5">
      <c r="A9362" s="10" t="b">
        <v>0</v>
      </c>
      <c r="B9362" s="11" t="str">
        <f>IF(D9362&lt;&gt;"",IF(COUNTIF('USPTO TMs'!A:A,D9362)&gt;0,"Yes","No"),"")</f>
        <v/>
      </c>
      <c r="C9362" s="11"/>
      <c r="D9362" s="11"/>
      <c r="E9362" s="11"/>
      <c r="F9362" s="11"/>
      <c r="G9362" s="11"/>
      <c r="H9362" s="11"/>
      <c r="I9362" s="15"/>
    </row>
    <row r="9363" spans="1:9" ht="16.5">
      <c r="A9363" s="10" t="b">
        <v>0</v>
      </c>
      <c r="B9363" s="11" t="str">
        <f>IF(D9363&lt;&gt;"",IF(COUNTIF('USPTO TMs'!A:A,D9363)&gt;0,"Yes","No"),"")</f>
        <v/>
      </c>
      <c r="C9363" s="11"/>
      <c r="D9363" s="11"/>
      <c r="E9363" s="11"/>
      <c r="F9363" s="11"/>
      <c r="G9363" s="11"/>
      <c r="H9363" s="11"/>
      <c r="I9363" s="15"/>
    </row>
    <row r="9364" spans="1:9" ht="16.5">
      <c r="A9364" s="10" t="b">
        <v>0</v>
      </c>
      <c r="B9364" s="11" t="str">
        <f>IF(D9364&lt;&gt;"",IF(COUNTIF('USPTO TMs'!A:A,D9364)&gt;0,"Yes","No"),"")</f>
        <v/>
      </c>
      <c r="C9364" s="11"/>
      <c r="D9364" s="11"/>
      <c r="E9364" s="11"/>
      <c r="F9364" s="11"/>
      <c r="G9364" s="11"/>
      <c r="H9364" s="11"/>
      <c r="I9364" s="15"/>
    </row>
    <row r="9365" spans="1:9" ht="16.5">
      <c r="A9365" s="10" t="b">
        <v>0</v>
      </c>
      <c r="B9365" s="11" t="str">
        <f>IF(D9365&lt;&gt;"",IF(COUNTIF('USPTO TMs'!A:A,D9365)&gt;0,"Yes","No"),"")</f>
        <v/>
      </c>
      <c r="C9365" s="11"/>
      <c r="D9365" s="11"/>
      <c r="E9365" s="11"/>
      <c r="F9365" s="11"/>
      <c r="G9365" s="11"/>
      <c r="H9365" s="11"/>
      <c r="I9365" s="15"/>
    </row>
    <row r="9366" spans="1:9" ht="16.5">
      <c r="A9366" s="10" t="b">
        <v>0</v>
      </c>
      <c r="B9366" s="11" t="str">
        <f>IF(D9366&lt;&gt;"",IF(COUNTIF('USPTO TMs'!A:A,D9366)&gt;0,"Yes","No"),"")</f>
        <v/>
      </c>
      <c r="C9366" s="11"/>
      <c r="D9366" s="11"/>
      <c r="E9366" s="11"/>
      <c r="F9366" s="11"/>
      <c r="G9366" s="11"/>
      <c r="H9366" s="11"/>
      <c r="I9366" s="15"/>
    </row>
    <row r="9367" spans="1:9" ht="16.5">
      <c r="A9367" s="10" t="b">
        <v>0</v>
      </c>
      <c r="B9367" s="11" t="str">
        <f>IF(D9367&lt;&gt;"",IF(COUNTIF('USPTO TMs'!A:A,D9367)&gt;0,"Yes","No"),"")</f>
        <v/>
      </c>
      <c r="C9367" s="11"/>
      <c r="D9367" s="11"/>
      <c r="E9367" s="11"/>
      <c r="F9367" s="11"/>
      <c r="G9367" s="11"/>
      <c r="H9367" s="11"/>
      <c r="I9367" s="15"/>
    </row>
    <row r="9368" spans="1:9" ht="16.5">
      <c r="A9368" s="10" t="b">
        <v>0</v>
      </c>
      <c r="B9368" s="11" t="str">
        <f>IF(D9368&lt;&gt;"",IF(COUNTIF('USPTO TMs'!A:A,D9368)&gt;0,"Yes","No"),"")</f>
        <v/>
      </c>
      <c r="C9368" s="11"/>
      <c r="D9368" s="11"/>
      <c r="E9368" s="11"/>
      <c r="F9368" s="11"/>
      <c r="G9368" s="11"/>
      <c r="H9368" s="11"/>
      <c r="I9368" s="15"/>
    </row>
    <row r="9369" spans="1:9" ht="16.5">
      <c r="A9369" s="10" t="b">
        <v>0</v>
      </c>
      <c r="B9369" s="11" t="str">
        <f>IF(D9369&lt;&gt;"",IF(COUNTIF('USPTO TMs'!A:A,D9369)&gt;0,"Yes","No"),"")</f>
        <v/>
      </c>
      <c r="C9369" s="11"/>
      <c r="D9369" s="11"/>
      <c r="E9369" s="11"/>
      <c r="F9369" s="11"/>
      <c r="G9369" s="11"/>
      <c r="H9369" s="11"/>
      <c r="I9369" s="15"/>
    </row>
    <row r="9370" spans="1:9" ht="16.5">
      <c r="A9370" s="10" t="b">
        <v>0</v>
      </c>
      <c r="B9370" s="11" t="str">
        <f>IF(D9370&lt;&gt;"",IF(COUNTIF('USPTO TMs'!A:A,D9370)&gt;0,"Yes","No"),"")</f>
        <v/>
      </c>
      <c r="C9370" s="11"/>
      <c r="D9370" s="11"/>
      <c r="E9370" s="11"/>
      <c r="F9370" s="11"/>
      <c r="G9370" s="11"/>
      <c r="H9370" s="11"/>
      <c r="I9370" s="15"/>
    </row>
    <row r="9371" spans="1:9" ht="16.5">
      <c r="A9371" s="10" t="b">
        <v>0</v>
      </c>
      <c r="B9371" s="11" t="str">
        <f>IF(D9371&lt;&gt;"",IF(COUNTIF('USPTO TMs'!A:A,D9371)&gt;0,"Yes","No"),"")</f>
        <v/>
      </c>
      <c r="C9371" s="11"/>
      <c r="D9371" s="11"/>
      <c r="E9371" s="11"/>
      <c r="F9371" s="11"/>
      <c r="G9371" s="11"/>
      <c r="H9371" s="11"/>
      <c r="I9371" s="15"/>
    </row>
    <row r="9372" spans="1:9" ht="16.5">
      <c r="A9372" s="10" t="b">
        <v>0</v>
      </c>
      <c r="B9372" s="11" t="str">
        <f>IF(D9372&lt;&gt;"",IF(COUNTIF('USPTO TMs'!A:A,D9372)&gt;0,"Yes","No"),"")</f>
        <v/>
      </c>
      <c r="C9372" s="11"/>
      <c r="D9372" s="11"/>
      <c r="E9372" s="11"/>
      <c r="F9372" s="11"/>
      <c r="G9372" s="11"/>
      <c r="H9372" s="11"/>
      <c r="I9372" s="15"/>
    </row>
    <row r="9373" spans="1:9" ht="16.5">
      <c r="A9373" s="10" t="b">
        <v>0</v>
      </c>
      <c r="B9373" s="11" t="str">
        <f>IF(D9373&lt;&gt;"",IF(COUNTIF('USPTO TMs'!A:A,D9373)&gt;0,"Yes","No"),"")</f>
        <v/>
      </c>
      <c r="C9373" s="11"/>
      <c r="D9373" s="11"/>
      <c r="E9373" s="11"/>
      <c r="F9373" s="11"/>
      <c r="G9373" s="11"/>
      <c r="H9373" s="11"/>
      <c r="I9373" s="15"/>
    </row>
    <row r="9374" spans="1:9" ht="16.5">
      <c r="A9374" s="10" t="b">
        <v>0</v>
      </c>
      <c r="B9374" s="11" t="str">
        <f>IF(D9374&lt;&gt;"",IF(COUNTIF('USPTO TMs'!A:A,D9374)&gt;0,"Yes","No"),"")</f>
        <v/>
      </c>
      <c r="C9374" s="11"/>
      <c r="D9374" s="11"/>
      <c r="E9374" s="11"/>
      <c r="F9374" s="11"/>
      <c r="G9374" s="11"/>
      <c r="H9374" s="11"/>
      <c r="I9374" s="15"/>
    </row>
    <row r="9375" spans="1:9" ht="16.5">
      <c r="A9375" s="10" t="b">
        <v>0</v>
      </c>
      <c r="B9375" s="11" t="str">
        <f>IF(D9375&lt;&gt;"",IF(COUNTIF('USPTO TMs'!A:A,D9375)&gt;0,"Yes","No"),"")</f>
        <v/>
      </c>
      <c r="C9375" s="11"/>
      <c r="D9375" s="11"/>
      <c r="E9375" s="11"/>
      <c r="F9375" s="11"/>
      <c r="G9375" s="11"/>
      <c r="H9375" s="11"/>
      <c r="I9375" s="15"/>
    </row>
    <row r="9376" spans="1:9" ht="16.5">
      <c r="A9376" s="10" t="b">
        <v>0</v>
      </c>
      <c r="B9376" s="11" t="str">
        <f>IF(D9376&lt;&gt;"",IF(COUNTIF('USPTO TMs'!A:A,D9376)&gt;0,"Yes","No"),"")</f>
        <v/>
      </c>
      <c r="C9376" s="11"/>
      <c r="D9376" s="11"/>
      <c r="E9376" s="11"/>
      <c r="F9376" s="11"/>
      <c r="G9376" s="11"/>
      <c r="H9376" s="11"/>
      <c r="I9376" s="15"/>
    </row>
    <row r="9377" spans="1:9" ht="16.5">
      <c r="A9377" s="10" t="b">
        <v>0</v>
      </c>
      <c r="B9377" s="11" t="str">
        <f>IF(D9377&lt;&gt;"",IF(COUNTIF('USPTO TMs'!A:A,D9377)&gt;0,"Yes","No"),"")</f>
        <v/>
      </c>
      <c r="C9377" s="11"/>
      <c r="D9377" s="11"/>
      <c r="E9377" s="11"/>
      <c r="F9377" s="11"/>
      <c r="G9377" s="11"/>
      <c r="H9377" s="11"/>
      <c r="I9377" s="15"/>
    </row>
    <row r="9378" spans="1:9" ht="16.5">
      <c r="A9378" s="10" t="b">
        <v>0</v>
      </c>
      <c r="B9378" s="11" t="str">
        <f>IF(D9378&lt;&gt;"",IF(COUNTIF('USPTO TMs'!A:A,D9378)&gt;0,"Yes","No"),"")</f>
        <v/>
      </c>
      <c r="C9378" s="11"/>
      <c r="D9378" s="11"/>
      <c r="E9378" s="11"/>
      <c r="F9378" s="11"/>
      <c r="G9378" s="11"/>
      <c r="H9378" s="11"/>
      <c r="I9378" s="15"/>
    </row>
    <row r="9379" spans="1:9" ht="16.5">
      <c r="A9379" s="10" t="b">
        <v>0</v>
      </c>
      <c r="B9379" s="11" t="str">
        <f>IF(D9379&lt;&gt;"",IF(COUNTIF('USPTO TMs'!A:A,D9379)&gt;0,"Yes","No"),"")</f>
        <v/>
      </c>
      <c r="C9379" s="11"/>
      <c r="D9379" s="11"/>
      <c r="E9379" s="11"/>
      <c r="F9379" s="11"/>
      <c r="G9379" s="11"/>
      <c r="H9379" s="11"/>
      <c r="I9379" s="15"/>
    </row>
    <row r="9380" spans="1:9" ht="16.5">
      <c r="A9380" s="10" t="b">
        <v>0</v>
      </c>
      <c r="B9380" s="11" t="str">
        <f>IF(D9380&lt;&gt;"",IF(COUNTIF('USPTO TMs'!A:A,D9380)&gt;0,"Yes","No"),"")</f>
        <v/>
      </c>
      <c r="C9380" s="11"/>
      <c r="D9380" s="11"/>
      <c r="E9380" s="11"/>
      <c r="F9380" s="11"/>
      <c r="G9380" s="11"/>
      <c r="H9380" s="11"/>
      <c r="I9380" s="15"/>
    </row>
    <row r="9381" spans="1:9" ht="16.5">
      <c r="A9381" s="10" t="b">
        <v>0</v>
      </c>
      <c r="B9381" s="11" t="str">
        <f>IF(D9381&lt;&gt;"",IF(COUNTIF('USPTO TMs'!A:A,D9381)&gt;0,"Yes","No"),"")</f>
        <v/>
      </c>
      <c r="C9381" s="11"/>
      <c r="D9381" s="11"/>
      <c r="E9381" s="11"/>
      <c r="F9381" s="11"/>
      <c r="G9381" s="11"/>
      <c r="H9381" s="11"/>
      <c r="I9381" s="15"/>
    </row>
    <row r="9382" spans="1:9" ht="16.5">
      <c r="A9382" s="10" t="b">
        <v>0</v>
      </c>
      <c r="B9382" s="11" t="str">
        <f>IF(D9382&lt;&gt;"",IF(COUNTIF('USPTO TMs'!A:A,D9382)&gt;0,"Yes","No"),"")</f>
        <v/>
      </c>
      <c r="C9382" s="11"/>
      <c r="D9382" s="11"/>
      <c r="E9382" s="11"/>
      <c r="F9382" s="11"/>
      <c r="G9382" s="11"/>
      <c r="H9382" s="11"/>
      <c r="I9382" s="15"/>
    </row>
    <row r="9383" spans="1:9" ht="16.5">
      <c r="A9383" s="10" t="b">
        <v>0</v>
      </c>
      <c r="B9383" s="11" t="str">
        <f>IF(D9383&lt;&gt;"",IF(COUNTIF('USPTO TMs'!A:A,D9383)&gt;0,"Yes","No"),"")</f>
        <v/>
      </c>
      <c r="C9383" s="11"/>
      <c r="D9383" s="11"/>
      <c r="E9383" s="11"/>
      <c r="F9383" s="11"/>
      <c r="G9383" s="11"/>
      <c r="H9383" s="11"/>
      <c r="I9383" s="15"/>
    </row>
    <row r="9384" spans="1:9" ht="16.5">
      <c r="A9384" s="10" t="b">
        <v>0</v>
      </c>
      <c r="B9384" s="11" t="str">
        <f>IF(D9384&lt;&gt;"",IF(COUNTIF('USPTO TMs'!A:A,D9384)&gt;0,"Yes","No"),"")</f>
        <v/>
      </c>
      <c r="C9384" s="11"/>
      <c r="D9384" s="11"/>
      <c r="E9384" s="11"/>
      <c r="F9384" s="11"/>
      <c r="G9384" s="11"/>
      <c r="H9384" s="11"/>
      <c r="I9384" s="15"/>
    </row>
    <row r="9385" spans="1:9" ht="16.5">
      <c r="A9385" s="10" t="b">
        <v>0</v>
      </c>
      <c r="B9385" s="11" t="str">
        <f>IF(D9385&lt;&gt;"",IF(COUNTIF('USPTO TMs'!A:A,D9385)&gt;0,"Yes","No"),"")</f>
        <v/>
      </c>
      <c r="C9385" s="11"/>
      <c r="D9385" s="11"/>
      <c r="E9385" s="11"/>
      <c r="F9385" s="11"/>
      <c r="G9385" s="11"/>
      <c r="H9385" s="11"/>
      <c r="I9385" s="15"/>
    </row>
    <row r="9386" spans="1:9" ht="16.5">
      <c r="A9386" s="10" t="b">
        <v>0</v>
      </c>
      <c r="B9386" s="11" t="str">
        <f>IF(D9386&lt;&gt;"",IF(COUNTIF('USPTO TMs'!A:A,D9386)&gt;0,"Yes","No"),"")</f>
        <v/>
      </c>
      <c r="C9386" s="11"/>
      <c r="D9386" s="11"/>
      <c r="E9386" s="11"/>
      <c r="F9386" s="11"/>
      <c r="G9386" s="11"/>
      <c r="H9386" s="11"/>
      <c r="I9386" s="15"/>
    </row>
    <row r="9387" spans="1:9" ht="16.5">
      <c r="A9387" s="10" t="b">
        <v>0</v>
      </c>
      <c r="B9387" s="11" t="str">
        <f>IF(D9387&lt;&gt;"",IF(COUNTIF('USPTO TMs'!A:A,D9387)&gt;0,"Yes","No"),"")</f>
        <v/>
      </c>
      <c r="C9387" s="11"/>
      <c r="D9387" s="11"/>
      <c r="E9387" s="11"/>
      <c r="F9387" s="11"/>
      <c r="G9387" s="11"/>
      <c r="H9387" s="11"/>
      <c r="I9387" s="15"/>
    </row>
    <row r="9388" spans="1:9" ht="16.5">
      <c r="A9388" s="10" t="b">
        <v>0</v>
      </c>
      <c r="B9388" s="11" t="str">
        <f>IF(D9388&lt;&gt;"",IF(COUNTIF('USPTO TMs'!A:A,D9388)&gt;0,"Yes","No"),"")</f>
        <v/>
      </c>
      <c r="C9388" s="11"/>
      <c r="D9388" s="11"/>
      <c r="E9388" s="11"/>
      <c r="F9388" s="11"/>
      <c r="G9388" s="11"/>
      <c r="H9388" s="11"/>
      <c r="I9388" s="15"/>
    </row>
    <row r="9389" spans="1:9" ht="16.5">
      <c r="A9389" s="10" t="b">
        <v>0</v>
      </c>
      <c r="B9389" s="11" t="str">
        <f>IF(D9389&lt;&gt;"",IF(COUNTIF('USPTO TMs'!A:A,D9389)&gt;0,"Yes","No"),"")</f>
        <v/>
      </c>
      <c r="C9389" s="11"/>
      <c r="D9389" s="11"/>
      <c r="E9389" s="11"/>
      <c r="F9389" s="11"/>
      <c r="G9389" s="11"/>
      <c r="H9389" s="11"/>
      <c r="I9389" s="15"/>
    </row>
    <row r="9390" spans="1:9" ht="16.5">
      <c r="A9390" s="10" t="b">
        <v>0</v>
      </c>
      <c r="B9390" s="11" t="str">
        <f>IF(D9390&lt;&gt;"",IF(COUNTIF('USPTO TMs'!A:A,D9390)&gt;0,"Yes","No"),"")</f>
        <v/>
      </c>
      <c r="C9390" s="11"/>
      <c r="D9390" s="11"/>
      <c r="E9390" s="11"/>
      <c r="F9390" s="11"/>
      <c r="G9390" s="11"/>
      <c r="H9390" s="11"/>
      <c r="I9390" s="15"/>
    </row>
    <row r="9391" spans="1:9" ht="16.5">
      <c r="A9391" s="10" t="b">
        <v>0</v>
      </c>
      <c r="B9391" s="11" t="str">
        <f>IF(D9391&lt;&gt;"",IF(COUNTIF('USPTO TMs'!A:A,D9391)&gt;0,"Yes","No"),"")</f>
        <v/>
      </c>
      <c r="C9391" s="11"/>
      <c r="D9391" s="11"/>
      <c r="E9391" s="11"/>
      <c r="F9391" s="11"/>
      <c r="G9391" s="11"/>
      <c r="H9391" s="11"/>
      <c r="I9391" s="15"/>
    </row>
    <row r="9392" spans="1:9" ht="16.5">
      <c r="A9392" s="10" t="b">
        <v>0</v>
      </c>
      <c r="B9392" s="11" t="str">
        <f>IF(D9392&lt;&gt;"",IF(COUNTIF('USPTO TMs'!A:A,D9392)&gt;0,"Yes","No"),"")</f>
        <v/>
      </c>
      <c r="C9392" s="11"/>
      <c r="D9392" s="11"/>
      <c r="E9392" s="11"/>
      <c r="F9392" s="11"/>
      <c r="G9392" s="11"/>
      <c r="H9392" s="11"/>
      <c r="I9392" s="15"/>
    </row>
    <row r="9393" spans="1:9" ht="16.5">
      <c r="A9393" s="10" t="b">
        <v>0</v>
      </c>
      <c r="B9393" s="11" t="str">
        <f>IF(D9393&lt;&gt;"",IF(COUNTIF('USPTO TMs'!A:A,D9393)&gt;0,"Yes","No"),"")</f>
        <v/>
      </c>
      <c r="C9393" s="11"/>
      <c r="D9393" s="11"/>
      <c r="E9393" s="11"/>
      <c r="F9393" s="11"/>
      <c r="G9393" s="11"/>
      <c r="H9393" s="11"/>
      <c r="I9393" s="15"/>
    </row>
    <row r="9394" spans="1:9" ht="16.5">
      <c r="A9394" s="10" t="b">
        <v>0</v>
      </c>
      <c r="B9394" s="11" t="str">
        <f>IF(D9394&lt;&gt;"",IF(COUNTIF('USPTO TMs'!A:A,D9394)&gt;0,"Yes","No"),"")</f>
        <v/>
      </c>
      <c r="C9394" s="11"/>
      <c r="D9394" s="11"/>
      <c r="E9394" s="11"/>
      <c r="F9394" s="11"/>
      <c r="G9394" s="11"/>
      <c r="H9394" s="11"/>
      <c r="I9394" s="15"/>
    </row>
    <row r="9395" spans="1:9" ht="16.5">
      <c r="A9395" s="10" t="b">
        <v>0</v>
      </c>
      <c r="B9395" s="11" t="str">
        <f>IF(D9395&lt;&gt;"",IF(COUNTIF('USPTO TMs'!A:A,D9395)&gt;0,"Yes","No"),"")</f>
        <v/>
      </c>
      <c r="C9395" s="11"/>
      <c r="D9395" s="11"/>
      <c r="E9395" s="11"/>
      <c r="F9395" s="11"/>
      <c r="G9395" s="11"/>
      <c r="H9395" s="11"/>
      <c r="I9395" s="15"/>
    </row>
    <row r="9396" spans="1:9" ht="16.5">
      <c r="A9396" s="10" t="b">
        <v>0</v>
      </c>
      <c r="B9396" s="11" t="str">
        <f>IF(D9396&lt;&gt;"",IF(COUNTIF('USPTO TMs'!A:A,D9396)&gt;0,"Yes","No"),"")</f>
        <v/>
      </c>
      <c r="C9396" s="11"/>
      <c r="D9396" s="11"/>
      <c r="E9396" s="11"/>
      <c r="F9396" s="11"/>
      <c r="G9396" s="11"/>
      <c r="H9396" s="11"/>
      <c r="I9396" s="15"/>
    </row>
    <row r="9397" spans="1:9" ht="16.5">
      <c r="A9397" s="10" t="b">
        <v>0</v>
      </c>
      <c r="B9397" s="11" t="str">
        <f>IF(D9397&lt;&gt;"",IF(COUNTIF('USPTO TMs'!A:A,D9397)&gt;0,"Yes","No"),"")</f>
        <v/>
      </c>
      <c r="C9397" s="11"/>
      <c r="D9397" s="11"/>
      <c r="E9397" s="11"/>
      <c r="F9397" s="11"/>
      <c r="G9397" s="11"/>
      <c r="H9397" s="11"/>
      <c r="I9397" s="15"/>
    </row>
    <row r="9398" spans="1:9" ht="16.5">
      <c r="A9398" s="10" t="b">
        <v>0</v>
      </c>
      <c r="B9398" s="11" t="str">
        <f>IF(D9398&lt;&gt;"",IF(COUNTIF('USPTO TMs'!A:A,D9398)&gt;0,"Yes","No"),"")</f>
        <v/>
      </c>
      <c r="C9398" s="11"/>
      <c r="D9398" s="11"/>
      <c r="E9398" s="11"/>
      <c r="F9398" s="11"/>
      <c r="G9398" s="11"/>
      <c r="H9398" s="11"/>
      <c r="I9398" s="15"/>
    </row>
    <row r="9399" spans="1:9" ht="16.5">
      <c r="A9399" s="10" t="b">
        <v>0</v>
      </c>
      <c r="B9399" s="11" t="str">
        <f>IF(D9399&lt;&gt;"",IF(COUNTIF('USPTO TMs'!A:A,D9399)&gt;0,"Yes","No"),"")</f>
        <v/>
      </c>
      <c r="C9399" s="11"/>
      <c r="D9399" s="11"/>
      <c r="E9399" s="11"/>
      <c r="F9399" s="11"/>
      <c r="G9399" s="11"/>
      <c r="H9399" s="11"/>
      <c r="I9399" s="15"/>
    </row>
    <row r="9400" spans="1:9" ht="16.5">
      <c r="A9400" s="10" t="b">
        <v>0</v>
      </c>
      <c r="B9400" s="11" t="str">
        <f>IF(D9400&lt;&gt;"",IF(COUNTIF('USPTO TMs'!A:A,D9400)&gt;0,"Yes","No"),"")</f>
        <v/>
      </c>
      <c r="C9400" s="11"/>
      <c r="D9400" s="11"/>
      <c r="E9400" s="11"/>
      <c r="F9400" s="11"/>
      <c r="G9400" s="11"/>
      <c r="H9400" s="11"/>
      <c r="I9400" s="15"/>
    </row>
    <row r="9401" spans="1:9" ht="16.5">
      <c r="A9401" s="10" t="b">
        <v>0</v>
      </c>
      <c r="B9401" s="11" t="str">
        <f>IF(D9401&lt;&gt;"",IF(COUNTIF('USPTO TMs'!A:A,D9401)&gt;0,"Yes","No"),"")</f>
        <v/>
      </c>
      <c r="C9401" s="11"/>
      <c r="D9401" s="11"/>
      <c r="E9401" s="11"/>
      <c r="F9401" s="11"/>
      <c r="G9401" s="11"/>
      <c r="H9401" s="11"/>
      <c r="I9401" s="15"/>
    </row>
    <row r="9402" spans="1:9" ht="16.5">
      <c r="A9402" s="10" t="b">
        <v>0</v>
      </c>
      <c r="B9402" s="11" t="str">
        <f>IF(D9402&lt;&gt;"",IF(COUNTIF('USPTO TMs'!A:A,D9402)&gt;0,"Yes","No"),"")</f>
        <v/>
      </c>
      <c r="C9402" s="11"/>
      <c r="D9402" s="11"/>
      <c r="E9402" s="11"/>
      <c r="F9402" s="11"/>
      <c r="G9402" s="11"/>
      <c r="H9402" s="11"/>
      <c r="I9402" s="15"/>
    </row>
    <row r="9403" spans="1:9" ht="16.5">
      <c r="A9403" s="10" t="b">
        <v>0</v>
      </c>
      <c r="B9403" s="11" t="str">
        <f>IF(D9403&lt;&gt;"",IF(COUNTIF('USPTO TMs'!A:A,D9403)&gt;0,"Yes","No"),"")</f>
        <v/>
      </c>
      <c r="C9403" s="11"/>
      <c r="D9403" s="11"/>
      <c r="E9403" s="11"/>
      <c r="F9403" s="11"/>
      <c r="G9403" s="11"/>
      <c r="H9403" s="11"/>
      <c r="I9403" s="15"/>
    </row>
    <row r="9404" spans="1:9" ht="16.5">
      <c r="A9404" s="10" t="b">
        <v>0</v>
      </c>
      <c r="B9404" s="11" t="str">
        <f>IF(D9404&lt;&gt;"",IF(COUNTIF('USPTO TMs'!A:A,D9404)&gt;0,"Yes","No"),"")</f>
        <v/>
      </c>
      <c r="C9404" s="11"/>
      <c r="D9404" s="11"/>
      <c r="E9404" s="11"/>
      <c r="F9404" s="11"/>
      <c r="G9404" s="11"/>
      <c r="H9404" s="11"/>
      <c r="I9404" s="15"/>
    </row>
    <row r="9405" spans="1:9" ht="16.5">
      <c r="A9405" s="10" t="b">
        <v>0</v>
      </c>
      <c r="B9405" s="11" t="str">
        <f>IF(D9405&lt;&gt;"",IF(COUNTIF('USPTO TMs'!A:A,D9405)&gt;0,"Yes","No"),"")</f>
        <v/>
      </c>
      <c r="C9405" s="11"/>
      <c r="D9405" s="11"/>
      <c r="E9405" s="11"/>
      <c r="F9405" s="11"/>
      <c r="G9405" s="11"/>
      <c r="H9405" s="11"/>
      <c r="I9405" s="15"/>
    </row>
    <row r="9406" spans="1:9" ht="16.5">
      <c r="A9406" s="10" t="b">
        <v>0</v>
      </c>
      <c r="B9406" s="11" t="str">
        <f>IF(D9406&lt;&gt;"",IF(COUNTIF('USPTO TMs'!A:A,D9406)&gt;0,"Yes","No"),"")</f>
        <v/>
      </c>
      <c r="C9406" s="11"/>
      <c r="D9406" s="11"/>
      <c r="E9406" s="11"/>
      <c r="F9406" s="11"/>
      <c r="G9406" s="11"/>
      <c r="H9406" s="11"/>
      <c r="I9406" s="15"/>
    </row>
    <row r="9407" spans="1:9" ht="16.5">
      <c r="A9407" s="10" t="b">
        <v>0</v>
      </c>
      <c r="B9407" s="11" t="str">
        <f>IF(D9407&lt;&gt;"",IF(COUNTIF('USPTO TMs'!A:A,D9407)&gt;0,"Yes","No"),"")</f>
        <v/>
      </c>
      <c r="C9407" s="11"/>
      <c r="D9407" s="11"/>
      <c r="E9407" s="11"/>
      <c r="F9407" s="11"/>
      <c r="G9407" s="11"/>
      <c r="H9407" s="11"/>
      <c r="I9407" s="15"/>
    </row>
    <row r="9408" spans="1:9" ht="16.5">
      <c r="A9408" s="10" t="b">
        <v>0</v>
      </c>
      <c r="B9408" s="11" t="str">
        <f>IF(D9408&lt;&gt;"",IF(COUNTIF('USPTO TMs'!A:A,D9408)&gt;0,"Yes","No"),"")</f>
        <v/>
      </c>
      <c r="C9408" s="11"/>
      <c r="D9408" s="11"/>
      <c r="E9408" s="11"/>
      <c r="F9408" s="11"/>
      <c r="G9408" s="11"/>
      <c r="H9408" s="11"/>
      <c r="I9408" s="15"/>
    </row>
    <row r="9409" spans="1:9" ht="16.5">
      <c r="A9409" s="10" t="b">
        <v>0</v>
      </c>
      <c r="B9409" s="11" t="str">
        <f>IF(D9409&lt;&gt;"",IF(COUNTIF('USPTO TMs'!A:A,D9409)&gt;0,"Yes","No"),"")</f>
        <v/>
      </c>
      <c r="C9409" s="11"/>
      <c r="D9409" s="11"/>
      <c r="E9409" s="11"/>
      <c r="F9409" s="11"/>
      <c r="G9409" s="11"/>
      <c r="H9409" s="11"/>
      <c r="I9409" s="15"/>
    </row>
    <row r="9410" spans="1:9" ht="16.5">
      <c r="A9410" s="10" t="b">
        <v>0</v>
      </c>
      <c r="B9410" s="11" t="str">
        <f>IF(D9410&lt;&gt;"",IF(COUNTIF('USPTO TMs'!A:A,D9410)&gt;0,"Yes","No"),"")</f>
        <v/>
      </c>
      <c r="C9410" s="11"/>
      <c r="D9410" s="11"/>
      <c r="E9410" s="11"/>
      <c r="F9410" s="11"/>
      <c r="G9410" s="11"/>
      <c r="H9410" s="11"/>
      <c r="I9410" s="15"/>
    </row>
    <row r="9411" spans="1:9" ht="16.5">
      <c r="A9411" s="10" t="b">
        <v>0</v>
      </c>
      <c r="B9411" s="11" t="str">
        <f>IF(D9411&lt;&gt;"",IF(COUNTIF('USPTO TMs'!A:A,D9411)&gt;0,"Yes","No"),"")</f>
        <v/>
      </c>
      <c r="C9411" s="11"/>
      <c r="D9411" s="11"/>
      <c r="E9411" s="11"/>
      <c r="F9411" s="11"/>
      <c r="G9411" s="11"/>
      <c r="H9411" s="11"/>
      <c r="I9411" s="15"/>
    </row>
    <row r="9412" spans="1:9" ht="16.5">
      <c r="A9412" s="10" t="b">
        <v>0</v>
      </c>
      <c r="B9412" s="11" t="str">
        <f>IF(D9412&lt;&gt;"",IF(COUNTIF('USPTO TMs'!A:A,D9412)&gt;0,"Yes","No"),"")</f>
        <v/>
      </c>
      <c r="C9412" s="11"/>
      <c r="D9412" s="11"/>
      <c r="E9412" s="11"/>
      <c r="F9412" s="11"/>
      <c r="G9412" s="11"/>
      <c r="H9412" s="11"/>
      <c r="I9412" s="15"/>
    </row>
    <row r="9413" spans="1:9" ht="16.5">
      <c r="A9413" s="10" t="b">
        <v>0</v>
      </c>
      <c r="B9413" s="11" t="str">
        <f>IF(D9413&lt;&gt;"",IF(COUNTIF('USPTO TMs'!A:A,D9413)&gt;0,"Yes","No"),"")</f>
        <v/>
      </c>
      <c r="C9413" s="11"/>
      <c r="D9413" s="11"/>
      <c r="E9413" s="11"/>
      <c r="F9413" s="11"/>
      <c r="G9413" s="11"/>
      <c r="H9413" s="11"/>
      <c r="I9413" s="15"/>
    </row>
    <row r="9414" spans="1:9" ht="16.5">
      <c r="A9414" s="10" t="b">
        <v>0</v>
      </c>
      <c r="B9414" s="11" t="str">
        <f>IF(D9414&lt;&gt;"",IF(COUNTIF('USPTO TMs'!A:A,D9414)&gt;0,"Yes","No"),"")</f>
        <v/>
      </c>
      <c r="C9414" s="11"/>
      <c r="D9414" s="11"/>
      <c r="E9414" s="11"/>
      <c r="F9414" s="11"/>
      <c r="G9414" s="11"/>
      <c r="H9414" s="11"/>
      <c r="I9414" s="15"/>
    </row>
    <row r="9415" spans="1:9" ht="16.5">
      <c r="A9415" s="10" t="b">
        <v>0</v>
      </c>
      <c r="B9415" s="11" t="str">
        <f>IF(D9415&lt;&gt;"",IF(COUNTIF('USPTO TMs'!A:A,D9415)&gt;0,"Yes","No"),"")</f>
        <v/>
      </c>
      <c r="C9415" s="11"/>
      <c r="D9415" s="11"/>
      <c r="E9415" s="11"/>
      <c r="F9415" s="11"/>
      <c r="G9415" s="11"/>
      <c r="H9415" s="11"/>
      <c r="I9415" s="15"/>
    </row>
    <row r="9416" spans="1:9" ht="16.5">
      <c r="A9416" s="10" t="b">
        <v>0</v>
      </c>
      <c r="B9416" s="11" t="str">
        <f>IF(D9416&lt;&gt;"",IF(COUNTIF('USPTO TMs'!A:A,D9416)&gt;0,"Yes","No"),"")</f>
        <v/>
      </c>
      <c r="C9416" s="11"/>
      <c r="D9416" s="11"/>
      <c r="E9416" s="11"/>
      <c r="F9416" s="11"/>
      <c r="G9416" s="11"/>
      <c r="H9416" s="11"/>
      <c r="I9416" s="15"/>
    </row>
    <row r="9417" spans="1:9" ht="16.5">
      <c r="A9417" s="10" t="b">
        <v>0</v>
      </c>
      <c r="B9417" s="11" t="str">
        <f>IF(D9417&lt;&gt;"",IF(COUNTIF('USPTO TMs'!A:A,D9417)&gt;0,"Yes","No"),"")</f>
        <v/>
      </c>
      <c r="C9417" s="11"/>
      <c r="D9417" s="11"/>
      <c r="E9417" s="11"/>
      <c r="F9417" s="11"/>
      <c r="G9417" s="11"/>
      <c r="H9417" s="11"/>
      <c r="I9417" s="15"/>
    </row>
    <row r="9418" spans="1:9" ht="16.5">
      <c r="A9418" s="10" t="b">
        <v>0</v>
      </c>
      <c r="B9418" s="11" t="str">
        <f>IF(D9418&lt;&gt;"",IF(COUNTIF('USPTO TMs'!A:A,D9418)&gt;0,"Yes","No"),"")</f>
        <v/>
      </c>
      <c r="C9418" s="11"/>
      <c r="D9418" s="11"/>
      <c r="E9418" s="11"/>
      <c r="F9418" s="11"/>
      <c r="G9418" s="11"/>
      <c r="H9418" s="11"/>
      <c r="I9418" s="15"/>
    </row>
    <row r="9419" spans="1:9" ht="16.5">
      <c r="A9419" s="10" t="b">
        <v>0</v>
      </c>
      <c r="B9419" s="11" t="str">
        <f>IF(D9419&lt;&gt;"",IF(COUNTIF('USPTO TMs'!A:A,D9419)&gt;0,"Yes","No"),"")</f>
        <v/>
      </c>
      <c r="C9419" s="11"/>
      <c r="D9419" s="11"/>
      <c r="E9419" s="11"/>
      <c r="F9419" s="11"/>
      <c r="G9419" s="11"/>
      <c r="H9419" s="11"/>
      <c r="I9419" s="15"/>
    </row>
    <row r="9420" spans="1:9" ht="16.5">
      <c r="A9420" s="10" t="b">
        <v>0</v>
      </c>
      <c r="B9420" s="11" t="str">
        <f>IF(D9420&lt;&gt;"",IF(COUNTIF('USPTO TMs'!A:A,D9420)&gt;0,"Yes","No"),"")</f>
        <v/>
      </c>
      <c r="C9420" s="11"/>
      <c r="D9420" s="11"/>
      <c r="E9420" s="11"/>
      <c r="F9420" s="11"/>
      <c r="G9420" s="11"/>
      <c r="H9420" s="11"/>
      <c r="I9420" s="15"/>
    </row>
    <row r="9421" spans="1:9" ht="16.5">
      <c r="A9421" s="10" t="b">
        <v>0</v>
      </c>
      <c r="B9421" s="11" t="str">
        <f>IF(D9421&lt;&gt;"",IF(COUNTIF('USPTO TMs'!A:A,D9421)&gt;0,"Yes","No"),"")</f>
        <v/>
      </c>
      <c r="C9421" s="11"/>
      <c r="D9421" s="11"/>
      <c r="E9421" s="11"/>
      <c r="F9421" s="11"/>
      <c r="G9421" s="11"/>
      <c r="H9421" s="11"/>
      <c r="I9421" s="15"/>
    </row>
    <row r="9422" spans="1:9" ht="16.5">
      <c r="A9422" s="10" t="b">
        <v>0</v>
      </c>
      <c r="B9422" s="11" t="str">
        <f>IF(D9422&lt;&gt;"",IF(COUNTIF('USPTO TMs'!A:A,D9422)&gt;0,"Yes","No"),"")</f>
        <v/>
      </c>
      <c r="C9422" s="11"/>
      <c r="D9422" s="11"/>
      <c r="E9422" s="11"/>
      <c r="F9422" s="11"/>
      <c r="G9422" s="11"/>
      <c r="H9422" s="11"/>
      <c r="I9422" s="15"/>
    </row>
    <row r="9423" spans="1:9" ht="16.5">
      <c r="A9423" s="10" t="b">
        <v>0</v>
      </c>
      <c r="B9423" s="11" t="str">
        <f>IF(D9423&lt;&gt;"",IF(COUNTIF('USPTO TMs'!A:A,D9423)&gt;0,"Yes","No"),"")</f>
        <v/>
      </c>
      <c r="C9423" s="11"/>
      <c r="D9423" s="11"/>
      <c r="E9423" s="11"/>
      <c r="F9423" s="11"/>
      <c r="G9423" s="11"/>
      <c r="H9423" s="11"/>
      <c r="I9423" s="15"/>
    </row>
    <row r="9424" spans="1:9" ht="16.5">
      <c r="A9424" s="10" t="b">
        <v>0</v>
      </c>
      <c r="B9424" s="11" t="str">
        <f>IF(D9424&lt;&gt;"",IF(COUNTIF('USPTO TMs'!A:A,D9424)&gt;0,"Yes","No"),"")</f>
        <v/>
      </c>
      <c r="C9424" s="11"/>
      <c r="D9424" s="11"/>
      <c r="E9424" s="11"/>
      <c r="F9424" s="11"/>
      <c r="G9424" s="11"/>
      <c r="H9424" s="11"/>
      <c r="I9424" s="15"/>
    </row>
    <row r="9425" spans="1:9" ht="16.5">
      <c r="A9425" s="10" t="b">
        <v>0</v>
      </c>
      <c r="B9425" s="11" t="str">
        <f>IF(D9425&lt;&gt;"",IF(COUNTIF('USPTO TMs'!A:A,D9425)&gt;0,"Yes","No"),"")</f>
        <v/>
      </c>
      <c r="C9425" s="11"/>
      <c r="D9425" s="11"/>
      <c r="E9425" s="11"/>
      <c r="F9425" s="11"/>
      <c r="G9425" s="11"/>
      <c r="H9425" s="11"/>
      <c r="I9425" s="15"/>
    </row>
    <row r="9426" spans="1:9" ht="16.5">
      <c r="A9426" s="10" t="b">
        <v>0</v>
      </c>
      <c r="B9426" s="11" t="str">
        <f>IF(D9426&lt;&gt;"",IF(COUNTIF('USPTO TMs'!A:A,D9426)&gt;0,"Yes","No"),"")</f>
        <v/>
      </c>
      <c r="C9426" s="11"/>
      <c r="D9426" s="11"/>
      <c r="E9426" s="11"/>
      <c r="F9426" s="11"/>
      <c r="G9426" s="11"/>
      <c r="H9426" s="11"/>
      <c r="I9426" s="15"/>
    </row>
    <row r="9427" spans="1:9" ht="16.5">
      <c r="A9427" s="10" t="b">
        <v>0</v>
      </c>
      <c r="B9427" s="11" t="str">
        <f>IF(D9427&lt;&gt;"",IF(COUNTIF('USPTO TMs'!A:A,D9427)&gt;0,"Yes","No"),"")</f>
        <v/>
      </c>
      <c r="C9427" s="11"/>
      <c r="D9427" s="11"/>
      <c r="E9427" s="11"/>
      <c r="F9427" s="11"/>
      <c r="G9427" s="11"/>
      <c r="H9427" s="11"/>
      <c r="I9427" s="15"/>
    </row>
    <row r="9428" spans="1:9" ht="16.5">
      <c r="A9428" s="10" t="b">
        <v>0</v>
      </c>
      <c r="B9428" s="11" t="str">
        <f>IF(D9428&lt;&gt;"",IF(COUNTIF('USPTO TMs'!A:A,D9428)&gt;0,"Yes","No"),"")</f>
        <v/>
      </c>
      <c r="C9428" s="11"/>
      <c r="D9428" s="11"/>
      <c r="E9428" s="11"/>
      <c r="F9428" s="11"/>
      <c r="G9428" s="11"/>
      <c r="H9428" s="11"/>
      <c r="I9428" s="15"/>
    </row>
    <row r="9429" spans="1:9" ht="16.5">
      <c r="A9429" s="10" t="b">
        <v>0</v>
      </c>
      <c r="B9429" s="11" t="str">
        <f>IF(D9429&lt;&gt;"",IF(COUNTIF('USPTO TMs'!A:A,D9429)&gt;0,"Yes","No"),"")</f>
        <v/>
      </c>
      <c r="C9429" s="11"/>
      <c r="D9429" s="11"/>
      <c r="E9429" s="11"/>
      <c r="F9429" s="11"/>
      <c r="G9429" s="11"/>
      <c r="H9429" s="11"/>
      <c r="I9429" s="15"/>
    </row>
    <row r="9430" spans="1:9" ht="16.5">
      <c r="A9430" s="10" t="b">
        <v>0</v>
      </c>
      <c r="B9430" s="11" t="str">
        <f>IF(D9430&lt;&gt;"",IF(COUNTIF('USPTO TMs'!A:A,D9430)&gt;0,"Yes","No"),"")</f>
        <v/>
      </c>
      <c r="C9430" s="11"/>
      <c r="D9430" s="11"/>
      <c r="E9430" s="11"/>
      <c r="F9430" s="11"/>
      <c r="G9430" s="11"/>
      <c r="H9430" s="11"/>
      <c r="I9430" s="15"/>
    </row>
    <row r="9431" spans="1:9" ht="16.5">
      <c r="A9431" s="10" t="b">
        <v>0</v>
      </c>
      <c r="B9431" s="11" t="str">
        <f>IF(D9431&lt;&gt;"",IF(COUNTIF('USPTO TMs'!A:A,D9431)&gt;0,"Yes","No"),"")</f>
        <v/>
      </c>
      <c r="C9431" s="11"/>
      <c r="D9431" s="11"/>
      <c r="E9431" s="11"/>
      <c r="F9431" s="11"/>
      <c r="G9431" s="11"/>
      <c r="H9431" s="11"/>
      <c r="I9431" s="15"/>
    </row>
    <row r="9432" spans="1:9" ht="16.5">
      <c r="A9432" s="10" t="b">
        <v>0</v>
      </c>
      <c r="B9432" s="11" t="str">
        <f>IF(D9432&lt;&gt;"",IF(COUNTIF('USPTO TMs'!A:A,D9432)&gt;0,"Yes","No"),"")</f>
        <v/>
      </c>
      <c r="C9432" s="11"/>
      <c r="D9432" s="11"/>
      <c r="E9432" s="11"/>
      <c r="F9432" s="11"/>
      <c r="G9432" s="11"/>
      <c r="H9432" s="11"/>
      <c r="I9432" s="15"/>
    </row>
    <row r="9433" spans="1:9" ht="16.5">
      <c r="A9433" s="10" t="b">
        <v>0</v>
      </c>
      <c r="B9433" s="11" t="str">
        <f>IF(D9433&lt;&gt;"",IF(COUNTIF('USPTO TMs'!A:A,D9433)&gt;0,"Yes","No"),"")</f>
        <v/>
      </c>
      <c r="C9433" s="11"/>
      <c r="D9433" s="11"/>
      <c r="E9433" s="11"/>
      <c r="F9433" s="11"/>
      <c r="G9433" s="11"/>
      <c r="H9433" s="11"/>
      <c r="I9433" s="15"/>
    </row>
    <row r="9434" spans="1:9" ht="16.5">
      <c r="A9434" s="10" t="b">
        <v>0</v>
      </c>
      <c r="B9434" s="11" t="str">
        <f>IF(D9434&lt;&gt;"",IF(COUNTIF('USPTO TMs'!A:A,D9434)&gt;0,"Yes","No"),"")</f>
        <v/>
      </c>
      <c r="C9434" s="11"/>
      <c r="D9434" s="11"/>
      <c r="E9434" s="11"/>
      <c r="F9434" s="11"/>
      <c r="G9434" s="11"/>
      <c r="H9434" s="11"/>
      <c r="I9434" s="15"/>
    </row>
    <row r="9435" spans="1:9" ht="16.5">
      <c r="A9435" s="10" t="b">
        <v>0</v>
      </c>
      <c r="B9435" s="11" t="str">
        <f>IF(D9435&lt;&gt;"",IF(COUNTIF('USPTO TMs'!A:A,D9435)&gt;0,"Yes","No"),"")</f>
        <v/>
      </c>
      <c r="C9435" s="11"/>
      <c r="D9435" s="11"/>
      <c r="E9435" s="11"/>
      <c r="F9435" s="11"/>
      <c r="G9435" s="11"/>
      <c r="H9435" s="11"/>
      <c r="I9435" s="15"/>
    </row>
    <row r="9436" spans="1:9" ht="16.5">
      <c r="A9436" s="10" t="b">
        <v>0</v>
      </c>
      <c r="B9436" s="11" t="str">
        <f>IF(D9436&lt;&gt;"",IF(COUNTIF('USPTO TMs'!A:A,D9436)&gt;0,"Yes","No"),"")</f>
        <v/>
      </c>
      <c r="C9436" s="11"/>
      <c r="D9436" s="11"/>
      <c r="E9436" s="11"/>
      <c r="F9436" s="11"/>
      <c r="G9436" s="11"/>
      <c r="H9436" s="11"/>
      <c r="I9436" s="15"/>
    </row>
    <row r="9437" spans="1:9" ht="16.5">
      <c r="A9437" s="10" t="b">
        <v>0</v>
      </c>
      <c r="B9437" s="11" t="str">
        <f>IF(D9437&lt;&gt;"",IF(COUNTIF('USPTO TMs'!A:A,D9437)&gt;0,"Yes","No"),"")</f>
        <v/>
      </c>
      <c r="C9437" s="11"/>
      <c r="D9437" s="11"/>
      <c r="E9437" s="11"/>
      <c r="F9437" s="11"/>
      <c r="G9437" s="11"/>
      <c r="H9437" s="11"/>
      <c r="I9437" s="15"/>
    </row>
    <row r="9438" spans="1:9" ht="16.5">
      <c r="A9438" s="10" t="b">
        <v>0</v>
      </c>
      <c r="B9438" s="11" t="str">
        <f>IF(D9438&lt;&gt;"",IF(COUNTIF('USPTO TMs'!A:A,D9438)&gt;0,"Yes","No"),"")</f>
        <v/>
      </c>
      <c r="C9438" s="11"/>
      <c r="D9438" s="11"/>
      <c r="E9438" s="11"/>
      <c r="F9438" s="11"/>
      <c r="G9438" s="11"/>
      <c r="H9438" s="11"/>
      <c r="I9438" s="15"/>
    </row>
    <row r="9439" spans="1:9" ht="16.5">
      <c r="A9439" s="10" t="b">
        <v>0</v>
      </c>
      <c r="B9439" s="11" t="str">
        <f>IF(D9439&lt;&gt;"",IF(COUNTIF('USPTO TMs'!A:A,D9439)&gt;0,"Yes","No"),"")</f>
        <v/>
      </c>
      <c r="C9439" s="11"/>
      <c r="D9439" s="11"/>
      <c r="E9439" s="11"/>
      <c r="F9439" s="11"/>
      <c r="G9439" s="11"/>
      <c r="H9439" s="11"/>
      <c r="I9439" s="15"/>
    </row>
    <row r="9440" spans="1:9" ht="16.5">
      <c r="A9440" s="10" t="b">
        <v>0</v>
      </c>
      <c r="B9440" s="11" t="str">
        <f>IF(D9440&lt;&gt;"",IF(COUNTIF('USPTO TMs'!A:A,D9440)&gt;0,"Yes","No"),"")</f>
        <v/>
      </c>
      <c r="C9440" s="11"/>
      <c r="D9440" s="11"/>
      <c r="E9440" s="11"/>
      <c r="F9440" s="11"/>
      <c r="G9440" s="11"/>
      <c r="H9440" s="11"/>
      <c r="I9440" s="15"/>
    </row>
    <row r="9441" spans="1:9" ht="16.5">
      <c r="A9441" s="10" t="b">
        <v>0</v>
      </c>
      <c r="B9441" s="11" t="str">
        <f>IF(D9441&lt;&gt;"",IF(COUNTIF('USPTO TMs'!A:A,D9441)&gt;0,"Yes","No"),"")</f>
        <v/>
      </c>
      <c r="C9441" s="11"/>
      <c r="D9441" s="11"/>
      <c r="E9441" s="11"/>
      <c r="F9441" s="11"/>
      <c r="G9441" s="11"/>
      <c r="H9441" s="11"/>
      <c r="I9441" s="15"/>
    </row>
    <row r="9442" spans="1:9" ht="16.5">
      <c r="A9442" s="10" t="b">
        <v>0</v>
      </c>
      <c r="B9442" s="11" t="str">
        <f>IF(D9442&lt;&gt;"",IF(COUNTIF('USPTO TMs'!A:A,D9442)&gt;0,"Yes","No"),"")</f>
        <v/>
      </c>
      <c r="C9442" s="11"/>
      <c r="D9442" s="11"/>
      <c r="E9442" s="11"/>
      <c r="F9442" s="11"/>
      <c r="G9442" s="11"/>
      <c r="H9442" s="11"/>
      <c r="I9442" s="15"/>
    </row>
    <row r="9443" spans="1:9" ht="16.5">
      <c r="A9443" s="10" t="b">
        <v>0</v>
      </c>
      <c r="B9443" s="11" t="str">
        <f>IF(D9443&lt;&gt;"",IF(COUNTIF('USPTO TMs'!A:A,D9443)&gt;0,"Yes","No"),"")</f>
        <v/>
      </c>
      <c r="C9443" s="11"/>
      <c r="D9443" s="11"/>
      <c r="E9443" s="11"/>
      <c r="F9443" s="11"/>
      <c r="G9443" s="11"/>
      <c r="H9443" s="11"/>
      <c r="I9443" s="15"/>
    </row>
    <row r="9444" spans="1:9" ht="16.5">
      <c r="A9444" s="10" t="b">
        <v>0</v>
      </c>
      <c r="B9444" s="11" t="str">
        <f>IF(D9444&lt;&gt;"",IF(COUNTIF('USPTO TMs'!A:A,D9444)&gt;0,"Yes","No"),"")</f>
        <v/>
      </c>
      <c r="C9444" s="11"/>
      <c r="D9444" s="11"/>
      <c r="E9444" s="11"/>
      <c r="F9444" s="11"/>
      <c r="G9444" s="11"/>
      <c r="H9444" s="11"/>
      <c r="I9444" s="15"/>
    </row>
    <row r="9445" spans="1:9" ht="16.5">
      <c r="A9445" s="10" t="b">
        <v>0</v>
      </c>
      <c r="B9445" s="11" t="str">
        <f>IF(D9445&lt;&gt;"",IF(COUNTIF('USPTO TMs'!A:A,D9445)&gt;0,"Yes","No"),"")</f>
        <v/>
      </c>
      <c r="C9445" s="11"/>
      <c r="D9445" s="11"/>
      <c r="E9445" s="11"/>
      <c r="F9445" s="11"/>
      <c r="G9445" s="11"/>
      <c r="H9445" s="11"/>
      <c r="I9445" s="15"/>
    </row>
    <row r="9446" spans="1:9" ht="16.5">
      <c r="A9446" s="10" t="b">
        <v>0</v>
      </c>
      <c r="B9446" s="11" t="str">
        <f>IF(D9446&lt;&gt;"",IF(COUNTIF('USPTO TMs'!A:A,D9446)&gt;0,"Yes","No"),"")</f>
        <v/>
      </c>
      <c r="C9446" s="11"/>
      <c r="D9446" s="11"/>
      <c r="E9446" s="11"/>
      <c r="F9446" s="11"/>
      <c r="G9446" s="11"/>
      <c r="H9446" s="11"/>
      <c r="I9446" s="15"/>
    </row>
    <row r="9447" spans="1:9" ht="16.5">
      <c r="A9447" s="10" t="b">
        <v>0</v>
      </c>
      <c r="B9447" s="11" t="str">
        <f>IF(D9447&lt;&gt;"",IF(COUNTIF('USPTO TMs'!A:A,D9447)&gt;0,"Yes","No"),"")</f>
        <v/>
      </c>
      <c r="C9447" s="11"/>
      <c r="D9447" s="11"/>
      <c r="E9447" s="11"/>
      <c r="F9447" s="11"/>
      <c r="G9447" s="11"/>
      <c r="H9447" s="11"/>
      <c r="I9447" s="15"/>
    </row>
    <row r="9448" spans="1:9" ht="16.5">
      <c r="A9448" s="10" t="b">
        <v>0</v>
      </c>
      <c r="B9448" s="11" t="str">
        <f>IF(D9448&lt;&gt;"",IF(COUNTIF('USPTO TMs'!A:A,D9448)&gt;0,"Yes","No"),"")</f>
        <v/>
      </c>
      <c r="C9448" s="11"/>
      <c r="D9448" s="11"/>
      <c r="E9448" s="11"/>
      <c r="F9448" s="11"/>
      <c r="G9448" s="11"/>
      <c r="H9448" s="11"/>
      <c r="I9448" s="15"/>
    </row>
    <row r="9449" spans="1:9" ht="16.5">
      <c r="A9449" s="10" t="b">
        <v>0</v>
      </c>
      <c r="B9449" s="11" t="str">
        <f>IF(D9449&lt;&gt;"",IF(COUNTIF('USPTO TMs'!A:A,D9449)&gt;0,"Yes","No"),"")</f>
        <v/>
      </c>
      <c r="C9449" s="11"/>
      <c r="D9449" s="11"/>
      <c r="E9449" s="11"/>
      <c r="F9449" s="11"/>
      <c r="G9449" s="11"/>
      <c r="H9449" s="11"/>
      <c r="I9449" s="15"/>
    </row>
    <row r="9450" spans="1:9" ht="16.5">
      <c r="A9450" s="10" t="b">
        <v>0</v>
      </c>
      <c r="B9450" s="11" t="str">
        <f>IF(D9450&lt;&gt;"",IF(COUNTIF('USPTO TMs'!A:A,D9450)&gt;0,"Yes","No"),"")</f>
        <v/>
      </c>
      <c r="C9450" s="11"/>
      <c r="D9450" s="11"/>
      <c r="E9450" s="11"/>
      <c r="F9450" s="11"/>
      <c r="G9450" s="11"/>
      <c r="H9450" s="11"/>
      <c r="I9450" s="15"/>
    </row>
    <row r="9451" spans="1:9" ht="16.5">
      <c r="A9451" s="10" t="b">
        <v>0</v>
      </c>
      <c r="B9451" s="11" t="str">
        <f>IF(D9451&lt;&gt;"",IF(COUNTIF('USPTO TMs'!A:A,D9451)&gt;0,"Yes","No"),"")</f>
        <v/>
      </c>
      <c r="C9451" s="11"/>
      <c r="D9451" s="11"/>
      <c r="E9451" s="11"/>
      <c r="F9451" s="11"/>
      <c r="G9451" s="11"/>
      <c r="H9451" s="11"/>
      <c r="I9451" s="15"/>
    </row>
    <row r="9452" spans="1:9" ht="16.5">
      <c r="A9452" s="10" t="b">
        <v>0</v>
      </c>
      <c r="B9452" s="11" t="str">
        <f>IF(D9452&lt;&gt;"",IF(COUNTIF('USPTO TMs'!A:A,D9452)&gt;0,"Yes","No"),"")</f>
        <v/>
      </c>
      <c r="C9452" s="11"/>
      <c r="D9452" s="11"/>
      <c r="E9452" s="11"/>
      <c r="F9452" s="11"/>
      <c r="G9452" s="11"/>
      <c r="H9452" s="11"/>
      <c r="I9452" s="15"/>
    </row>
    <row r="9453" spans="1:9" ht="16.5">
      <c r="A9453" s="10" t="b">
        <v>0</v>
      </c>
      <c r="B9453" s="11" t="str">
        <f>IF(D9453&lt;&gt;"",IF(COUNTIF('USPTO TMs'!A:A,D9453)&gt;0,"Yes","No"),"")</f>
        <v/>
      </c>
      <c r="C9453" s="11"/>
      <c r="D9453" s="11"/>
      <c r="E9453" s="11"/>
      <c r="F9453" s="11"/>
      <c r="G9453" s="11"/>
      <c r="H9453" s="11"/>
      <c r="I9453" s="15"/>
    </row>
    <row r="9454" spans="1:9" ht="16.5">
      <c r="A9454" s="10" t="b">
        <v>0</v>
      </c>
      <c r="B9454" s="11" t="str">
        <f>IF(D9454&lt;&gt;"",IF(COUNTIF('USPTO TMs'!A:A,D9454)&gt;0,"Yes","No"),"")</f>
        <v/>
      </c>
      <c r="C9454" s="11"/>
      <c r="D9454" s="11"/>
      <c r="E9454" s="11"/>
      <c r="F9454" s="11"/>
      <c r="G9454" s="11"/>
      <c r="H9454" s="11"/>
      <c r="I9454" s="15"/>
    </row>
    <row r="9455" spans="1:9" ht="16.5">
      <c r="A9455" s="10" t="b">
        <v>0</v>
      </c>
      <c r="B9455" s="11" t="str">
        <f>IF(D9455&lt;&gt;"",IF(COUNTIF('USPTO TMs'!A:A,D9455)&gt;0,"Yes","No"),"")</f>
        <v/>
      </c>
      <c r="C9455" s="11"/>
      <c r="D9455" s="11"/>
      <c r="E9455" s="11"/>
      <c r="F9455" s="11"/>
      <c r="G9455" s="11"/>
      <c r="H9455" s="11"/>
      <c r="I9455" s="15"/>
    </row>
    <row r="9456" spans="1:9" ht="16.5">
      <c r="A9456" s="10" t="b">
        <v>0</v>
      </c>
      <c r="B9456" s="11" t="str">
        <f>IF(D9456&lt;&gt;"",IF(COUNTIF('USPTO TMs'!A:A,D9456)&gt;0,"Yes","No"),"")</f>
        <v/>
      </c>
      <c r="C9456" s="11"/>
      <c r="D9456" s="11"/>
      <c r="E9456" s="11"/>
      <c r="F9456" s="11"/>
      <c r="G9456" s="11"/>
      <c r="H9456" s="11"/>
      <c r="I9456" s="15"/>
    </row>
    <row r="9457" spans="1:9" ht="16.5">
      <c r="A9457" s="10" t="b">
        <v>0</v>
      </c>
      <c r="B9457" s="11" t="str">
        <f>IF(D9457&lt;&gt;"",IF(COUNTIF('USPTO TMs'!A:A,D9457)&gt;0,"Yes","No"),"")</f>
        <v/>
      </c>
      <c r="C9457" s="11"/>
      <c r="D9457" s="11"/>
      <c r="E9457" s="11"/>
      <c r="F9457" s="11"/>
      <c r="G9457" s="11"/>
      <c r="H9457" s="11"/>
      <c r="I9457" s="15"/>
    </row>
    <row r="9458" spans="1:9" ht="16.5">
      <c r="A9458" s="10" t="b">
        <v>0</v>
      </c>
      <c r="B9458" s="11" t="str">
        <f>IF(D9458&lt;&gt;"",IF(COUNTIF('USPTO TMs'!A:A,D9458)&gt;0,"Yes","No"),"")</f>
        <v/>
      </c>
      <c r="C9458" s="11"/>
      <c r="D9458" s="11"/>
      <c r="E9458" s="11"/>
      <c r="F9458" s="11"/>
      <c r="G9458" s="11"/>
      <c r="H9458" s="11"/>
      <c r="I9458" s="15"/>
    </row>
    <row r="9459" spans="1:9" ht="16.5">
      <c r="A9459" s="10" t="b">
        <v>0</v>
      </c>
      <c r="B9459" s="11" t="str">
        <f>IF(D9459&lt;&gt;"",IF(COUNTIF('USPTO TMs'!A:A,D9459)&gt;0,"Yes","No"),"")</f>
        <v/>
      </c>
      <c r="C9459" s="11"/>
      <c r="D9459" s="11"/>
      <c r="E9459" s="11"/>
      <c r="F9459" s="11"/>
      <c r="G9459" s="11"/>
      <c r="H9459" s="11"/>
      <c r="I9459" s="15"/>
    </row>
    <row r="9460" spans="1:9" ht="16.5">
      <c r="A9460" s="10" t="b">
        <v>0</v>
      </c>
      <c r="B9460" s="11" t="str">
        <f>IF(D9460&lt;&gt;"",IF(COUNTIF('USPTO TMs'!A:A,D9460)&gt;0,"Yes","No"),"")</f>
        <v/>
      </c>
      <c r="C9460" s="11"/>
      <c r="D9460" s="11"/>
      <c r="E9460" s="11"/>
      <c r="F9460" s="11"/>
      <c r="G9460" s="11"/>
      <c r="H9460" s="11"/>
      <c r="I9460" s="15"/>
    </row>
    <row r="9461" spans="1:9" ht="16.5">
      <c r="A9461" s="10" t="b">
        <v>0</v>
      </c>
      <c r="B9461" s="11" t="str">
        <f>IF(D9461&lt;&gt;"",IF(COUNTIF('USPTO TMs'!A:A,D9461)&gt;0,"Yes","No"),"")</f>
        <v/>
      </c>
      <c r="C9461" s="11"/>
      <c r="D9461" s="11"/>
      <c r="E9461" s="11"/>
      <c r="F9461" s="11"/>
      <c r="G9461" s="11"/>
      <c r="H9461" s="11"/>
      <c r="I9461" s="15"/>
    </row>
    <row r="9462" spans="1:9" ht="16.5">
      <c r="A9462" s="10" t="b">
        <v>0</v>
      </c>
      <c r="B9462" s="11" t="str">
        <f>IF(D9462&lt;&gt;"",IF(COUNTIF('USPTO TMs'!A:A,D9462)&gt;0,"Yes","No"),"")</f>
        <v/>
      </c>
      <c r="C9462" s="11"/>
      <c r="D9462" s="11"/>
      <c r="E9462" s="11"/>
      <c r="F9462" s="11"/>
      <c r="G9462" s="11"/>
      <c r="H9462" s="11"/>
      <c r="I9462" s="15"/>
    </row>
    <row r="9463" spans="1:9" ht="16.5">
      <c r="A9463" s="10" t="b">
        <v>0</v>
      </c>
      <c r="B9463" s="11" t="str">
        <f>IF(D9463&lt;&gt;"",IF(COUNTIF('USPTO TMs'!A:A,D9463)&gt;0,"Yes","No"),"")</f>
        <v/>
      </c>
      <c r="C9463" s="11"/>
      <c r="D9463" s="11"/>
      <c r="E9463" s="11"/>
      <c r="F9463" s="11"/>
      <c r="G9463" s="11"/>
      <c r="H9463" s="11"/>
      <c r="I9463" s="15"/>
    </row>
    <row r="9464" spans="1:9" ht="16.5">
      <c r="A9464" s="10" t="b">
        <v>0</v>
      </c>
      <c r="B9464" s="11" t="str">
        <f>IF(D9464&lt;&gt;"",IF(COUNTIF('USPTO TMs'!A:A,D9464)&gt;0,"Yes","No"),"")</f>
        <v/>
      </c>
      <c r="C9464" s="11"/>
      <c r="D9464" s="11"/>
      <c r="E9464" s="11"/>
      <c r="F9464" s="11"/>
      <c r="G9464" s="11"/>
      <c r="H9464" s="11"/>
      <c r="I9464" s="15"/>
    </row>
    <row r="9465" spans="1:9" ht="16.5">
      <c r="A9465" s="10" t="b">
        <v>0</v>
      </c>
      <c r="B9465" s="11" t="str">
        <f>IF(D9465&lt;&gt;"",IF(COUNTIF('USPTO TMs'!A:A,D9465)&gt;0,"Yes","No"),"")</f>
        <v/>
      </c>
      <c r="C9465" s="11"/>
      <c r="D9465" s="11"/>
      <c r="E9465" s="11"/>
      <c r="F9465" s="11"/>
      <c r="G9465" s="11"/>
      <c r="H9465" s="11"/>
      <c r="I9465" s="15"/>
    </row>
    <row r="9466" spans="1:9" ht="16.5">
      <c r="A9466" s="10" t="b">
        <v>0</v>
      </c>
      <c r="B9466" s="11" t="str">
        <f>IF(D9466&lt;&gt;"",IF(COUNTIF('USPTO TMs'!A:A,D9466)&gt;0,"Yes","No"),"")</f>
        <v/>
      </c>
      <c r="C9466" s="11"/>
      <c r="D9466" s="11"/>
      <c r="E9466" s="11"/>
      <c r="F9466" s="11"/>
      <c r="G9466" s="11"/>
      <c r="H9466" s="11"/>
      <c r="I9466" s="15"/>
    </row>
    <row r="9467" spans="1:9" ht="16.5">
      <c r="A9467" s="10" t="b">
        <v>0</v>
      </c>
      <c r="B9467" s="11" t="str">
        <f>IF(D9467&lt;&gt;"",IF(COUNTIF('USPTO TMs'!A:A,D9467)&gt;0,"Yes","No"),"")</f>
        <v/>
      </c>
      <c r="C9467" s="11"/>
      <c r="D9467" s="11"/>
      <c r="E9467" s="11"/>
      <c r="F9467" s="11"/>
      <c r="G9467" s="11"/>
      <c r="H9467" s="11"/>
      <c r="I9467" s="15"/>
    </row>
    <row r="9468" spans="1:9" ht="16.5">
      <c r="A9468" s="10" t="b">
        <v>0</v>
      </c>
      <c r="B9468" s="11" t="str">
        <f>IF(D9468&lt;&gt;"",IF(COUNTIF('USPTO TMs'!A:A,D9468)&gt;0,"Yes","No"),"")</f>
        <v/>
      </c>
      <c r="C9468" s="11"/>
      <c r="D9468" s="11"/>
      <c r="E9468" s="11"/>
      <c r="F9468" s="11"/>
      <c r="G9468" s="11"/>
      <c r="H9468" s="11"/>
      <c r="I9468" s="15"/>
    </row>
    <row r="9469" spans="1:9" ht="16.5">
      <c r="A9469" s="10" t="b">
        <v>0</v>
      </c>
      <c r="B9469" s="11" t="str">
        <f>IF(D9469&lt;&gt;"",IF(COUNTIF('USPTO TMs'!A:A,D9469)&gt;0,"Yes","No"),"")</f>
        <v/>
      </c>
      <c r="C9469" s="11"/>
      <c r="D9469" s="11"/>
      <c r="E9469" s="11"/>
      <c r="F9469" s="11"/>
      <c r="G9469" s="11"/>
      <c r="H9469" s="11"/>
      <c r="I9469" s="15"/>
    </row>
    <row r="9470" spans="1:9" ht="16.5">
      <c r="A9470" s="10" t="b">
        <v>0</v>
      </c>
      <c r="B9470" s="11" t="str">
        <f>IF(D9470&lt;&gt;"",IF(COUNTIF('USPTO TMs'!A:A,D9470)&gt;0,"Yes","No"),"")</f>
        <v/>
      </c>
      <c r="C9470" s="11"/>
      <c r="D9470" s="11"/>
      <c r="E9470" s="11"/>
      <c r="F9470" s="11"/>
      <c r="G9470" s="11"/>
      <c r="H9470" s="11"/>
      <c r="I9470" s="15"/>
    </row>
    <row r="9471" spans="1:9" ht="16.5">
      <c r="A9471" s="10" t="b">
        <v>0</v>
      </c>
      <c r="B9471" s="11" t="str">
        <f>IF(D9471&lt;&gt;"",IF(COUNTIF('USPTO TMs'!A:A,D9471)&gt;0,"Yes","No"),"")</f>
        <v/>
      </c>
      <c r="C9471" s="11"/>
      <c r="D9471" s="11"/>
      <c r="E9471" s="11"/>
      <c r="F9471" s="11"/>
      <c r="G9471" s="11"/>
      <c r="H9471" s="11"/>
      <c r="I9471" s="15"/>
    </row>
    <row r="9472" spans="1:9" ht="16.5">
      <c r="A9472" s="10" t="b">
        <v>0</v>
      </c>
      <c r="B9472" s="11" t="str">
        <f>IF(D9472&lt;&gt;"",IF(COUNTIF('USPTO TMs'!A:A,D9472)&gt;0,"Yes","No"),"")</f>
        <v/>
      </c>
      <c r="C9472" s="11"/>
      <c r="D9472" s="11"/>
      <c r="E9472" s="11"/>
      <c r="F9472" s="11"/>
      <c r="G9472" s="11"/>
      <c r="H9472" s="11"/>
      <c r="I9472" s="15"/>
    </row>
    <row r="9473" spans="1:9" ht="16.5">
      <c r="A9473" s="10" t="b">
        <v>0</v>
      </c>
      <c r="B9473" s="11" t="str">
        <f>IF(D9473&lt;&gt;"",IF(COUNTIF('USPTO TMs'!A:A,D9473)&gt;0,"Yes","No"),"")</f>
        <v/>
      </c>
      <c r="C9473" s="11"/>
      <c r="D9473" s="11"/>
      <c r="E9473" s="11"/>
      <c r="F9473" s="11"/>
      <c r="G9473" s="11"/>
      <c r="H9473" s="11"/>
      <c r="I9473" s="15"/>
    </row>
    <row r="9474" spans="1:9" ht="16.5">
      <c r="A9474" s="10" t="b">
        <v>0</v>
      </c>
      <c r="B9474" s="11" t="str">
        <f>IF(D9474&lt;&gt;"",IF(COUNTIF('USPTO TMs'!A:A,D9474)&gt;0,"Yes","No"),"")</f>
        <v/>
      </c>
      <c r="C9474" s="11"/>
      <c r="D9474" s="11"/>
      <c r="E9474" s="11"/>
      <c r="F9474" s="11"/>
      <c r="G9474" s="11"/>
      <c r="H9474" s="11"/>
      <c r="I9474" s="15"/>
    </row>
    <row r="9475" spans="1:9" ht="16.5">
      <c r="A9475" s="10" t="b">
        <v>0</v>
      </c>
      <c r="B9475" s="11" t="str">
        <f>IF(D9475&lt;&gt;"",IF(COUNTIF('USPTO TMs'!A:A,D9475)&gt;0,"Yes","No"),"")</f>
        <v/>
      </c>
      <c r="C9475" s="11"/>
      <c r="D9475" s="11"/>
      <c r="E9475" s="11"/>
      <c r="F9475" s="11"/>
      <c r="G9475" s="11"/>
      <c r="H9475" s="11"/>
      <c r="I9475" s="15"/>
    </row>
    <row r="9476" spans="1:9" ht="16.5">
      <c r="A9476" s="10" t="b">
        <v>0</v>
      </c>
      <c r="B9476" s="11" t="str">
        <f>IF(D9476&lt;&gt;"",IF(COUNTIF('USPTO TMs'!A:A,D9476)&gt;0,"Yes","No"),"")</f>
        <v/>
      </c>
      <c r="C9476" s="11"/>
      <c r="D9476" s="11"/>
      <c r="E9476" s="11"/>
      <c r="F9476" s="11"/>
      <c r="G9476" s="11"/>
      <c r="H9476" s="11"/>
      <c r="I9476" s="15"/>
    </row>
    <row r="9477" spans="1:9" ht="16.5">
      <c r="A9477" s="10" t="b">
        <v>0</v>
      </c>
      <c r="B9477" s="11" t="str">
        <f>IF(D9477&lt;&gt;"",IF(COUNTIF('USPTO TMs'!A:A,D9477)&gt;0,"Yes","No"),"")</f>
        <v/>
      </c>
      <c r="C9477" s="11"/>
      <c r="D9477" s="11"/>
      <c r="E9477" s="11"/>
      <c r="F9477" s="11"/>
      <c r="G9477" s="11"/>
      <c r="H9477" s="11"/>
      <c r="I9477" s="15"/>
    </row>
    <row r="9478" spans="1:9" ht="16.5">
      <c r="A9478" s="10" t="b">
        <v>0</v>
      </c>
      <c r="B9478" s="11" t="str">
        <f>IF(D9478&lt;&gt;"",IF(COUNTIF('USPTO TMs'!A:A,D9478)&gt;0,"Yes","No"),"")</f>
        <v/>
      </c>
      <c r="C9478" s="11"/>
      <c r="D9478" s="11"/>
      <c r="E9478" s="11"/>
      <c r="F9478" s="11"/>
      <c r="G9478" s="11"/>
      <c r="H9478" s="11"/>
      <c r="I9478" s="15"/>
    </row>
    <row r="9479" spans="1:9" ht="16.5">
      <c r="A9479" s="10" t="b">
        <v>0</v>
      </c>
      <c r="B9479" s="11" t="str">
        <f>IF(D9479&lt;&gt;"",IF(COUNTIF('USPTO TMs'!A:A,D9479)&gt;0,"Yes","No"),"")</f>
        <v/>
      </c>
      <c r="C9479" s="11"/>
      <c r="D9479" s="11"/>
      <c r="E9479" s="11"/>
      <c r="F9479" s="11"/>
      <c r="G9479" s="11"/>
      <c r="H9479" s="11"/>
      <c r="I9479" s="15"/>
    </row>
    <row r="9480" spans="1:9" ht="16.5">
      <c r="A9480" s="10" t="b">
        <v>0</v>
      </c>
      <c r="B9480" s="11" t="str">
        <f>IF(D9480&lt;&gt;"",IF(COUNTIF('USPTO TMs'!A:A,D9480)&gt;0,"Yes","No"),"")</f>
        <v/>
      </c>
      <c r="C9480" s="11"/>
      <c r="D9480" s="11"/>
      <c r="E9480" s="11"/>
      <c r="F9480" s="11"/>
      <c r="G9480" s="11"/>
      <c r="H9480" s="11"/>
      <c r="I9480" s="15"/>
    </row>
    <row r="9481" spans="1:9" ht="16.5">
      <c r="A9481" s="10" t="b">
        <v>0</v>
      </c>
      <c r="B9481" s="11" t="str">
        <f>IF(D9481&lt;&gt;"",IF(COUNTIF('USPTO TMs'!A:A,D9481)&gt;0,"Yes","No"),"")</f>
        <v/>
      </c>
      <c r="C9481" s="11"/>
      <c r="D9481" s="11"/>
      <c r="E9481" s="11"/>
      <c r="F9481" s="11"/>
      <c r="G9481" s="11"/>
      <c r="H9481" s="11"/>
      <c r="I9481" s="15"/>
    </row>
    <row r="9482" spans="1:9" ht="16.5">
      <c r="A9482" s="10" t="b">
        <v>0</v>
      </c>
      <c r="B9482" s="11" t="str">
        <f>IF(D9482&lt;&gt;"",IF(COUNTIF('USPTO TMs'!A:A,D9482)&gt;0,"Yes","No"),"")</f>
        <v/>
      </c>
      <c r="C9482" s="11"/>
      <c r="D9482" s="11"/>
      <c r="E9482" s="11"/>
      <c r="F9482" s="11"/>
      <c r="G9482" s="11"/>
      <c r="H9482" s="11"/>
      <c r="I9482" s="15"/>
    </row>
    <row r="9483" spans="1:9" ht="16.5">
      <c r="A9483" s="10" t="b">
        <v>0</v>
      </c>
      <c r="B9483" s="11" t="str">
        <f>IF(D9483&lt;&gt;"",IF(COUNTIF('USPTO TMs'!A:A,D9483)&gt;0,"Yes","No"),"")</f>
        <v/>
      </c>
      <c r="C9483" s="11"/>
      <c r="D9483" s="11"/>
      <c r="E9483" s="11"/>
      <c r="F9483" s="11"/>
      <c r="G9483" s="11"/>
      <c r="H9483" s="11"/>
      <c r="I9483" s="15"/>
    </row>
    <row r="9484" spans="1:9" ht="16.5">
      <c r="A9484" s="10" t="b">
        <v>0</v>
      </c>
      <c r="B9484" s="11" t="str">
        <f>IF(D9484&lt;&gt;"",IF(COUNTIF('USPTO TMs'!A:A,D9484)&gt;0,"Yes","No"),"")</f>
        <v/>
      </c>
      <c r="C9484" s="11"/>
      <c r="D9484" s="11"/>
      <c r="E9484" s="11"/>
      <c r="F9484" s="11"/>
      <c r="G9484" s="11"/>
      <c r="H9484" s="11"/>
      <c r="I9484" s="15"/>
    </row>
    <row r="9485" spans="1:9" ht="16.5">
      <c r="A9485" s="10" t="b">
        <v>0</v>
      </c>
      <c r="B9485" s="11" t="str">
        <f>IF(D9485&lt;&gt;"",IF(COUNTIF('USPTO TMs'!A:A,D9485)&gt;0,"Yes","No"),"")</f>
        <v/>
      </c>
      <c r="C9485" s="11"/>
      <c r="D9485" s="11"/>
      <c r="E9485" s="11"/>
      <c r="F9485" s="11"/>
      <c r="G9485" s="11"/>
      <c r="H9485" s="11"/>
      <c r="I9485" s="15"/>
    </row>
    <row r="9486" spans="1:9" ht="16.5">
      <c r="A9486" s="10" t="b">
        <v>0</v>
      </c>
      <c r="B9486" s="11" t="str">
        <f>IF(D9486&lt;&gt;"",IF(COUNTIF('USPTO TMs'!A:A,D9486)&gt;0,"Yes","No"),"")</f>
        <v/>
      </c>
      <c r="C9486" s="11"/>
      <c r="D9486" s="11"/>
      <c r="E9486" s="11"/>
      <c r="F9486" s="11"/>
      <c r="G9486" s="11"/>
      <c r="H9486" s="11"/>
      <c r="I9486" s="15"/>
    </row>
    <row r="9487" spans="1:9" ht="16.5">
      <c r="A9487" s="10" t="b">
        <v>0</v>
      </c>
      <c r="B9487" s="11" t="str">
        <f>IF(D9487&lt;&gt;"",IF(COUNTIF('USPTO TMs'!A:A,D9487)&gt;0,"Yes","No"),"")</f>
        <v/>
      </c>
      <c r="C9487" s="11"/>
      <c r="D9487" s="11"/>
      <c r="E9487" s="11"/>
      <c r="F9487" s="11"/>
      <c r="G9487" s="11"/>
      <c r="H9487" s="11"/>
      <c r="I9487" s="15"/>
    </row>
    <row r="9488" spans="1:9" ht="16.5">
      <c r="A9488" s="10" t="b">
        <v>0</v>
      </c>
      <c r="B9488" s="11" t="str">
        <f>IF(D9488&lt;&gt;"",IF(COUNTIF('USPTO TMs'!A:A,D9488)&gt;0,"Yes","No"),"")</f>
        <v/>
      </c>
      <c r="C9488" s="11"/>
      <c r="D9488" s="11"/>
      <c r="E9488" s="11"/>
      <c r="F9488" s="11"/>
      <c r="G9488" s="11"/>
      <c r="H9488" s="11"/>
      <c r="I9488" s="15"/>
    </row>
    <row r="9489" spans="1:9" ht="16.5">
      <c r="A9489" s="10" t="b">
        <v>0</v>
      </c>
      <c r="B9489" s="11" t="str">
        <f>IF(D9489&lt;&gt;"",IF(COUNTIF('USPTO TMs'!A:A,D9489)&gt;0,"Yes","No"),"")</f>
        <v/>
      </c>
      <c r="C9489" s="11"/>
      <c r="D9489" s="11"/>
      <c r="E9489" s="11"/>
      <c r="F9489" s="11"/>
      <c r="G9489" s="11"/>
      <c r="H9489" s="11"/>
      <c r="I9489" s="15"/>
    </row>
    <row r="9490" spans="1:9" ht="16.5">
      <c r="A9490" s="10" t="b">
        <v>0</v>
      </c>
      <c r="B9490" s="11" t="str">
        <f>IF(D9490&lt;&gt;"",IF(COUNTIF('USPTO TMs'!A:A,D9490)&gt;0,"Yes","No"),"")</f>
        <v/>
      </c>
      <c r="C9490" s="11"/>
      <c r="D9490" s="11"/>
      <c r="E9490" s="11"/>
      <c r="F9490" s="11"/>
      <c r="G9490" s="11"/>
      <c r="H9490" s="11"/>
      <c r="I9490" s="15"/>
    </row>
    <row r="9491" spans="1:9" ht="16.5">
      <c r="A9491" s="10" t="b">
        <v>0</v>
      </c>
      <c r="B9491" s="11" t="str">
        <f>IF(D9491&lt;&gt;"",IF(COUNTIF('USPTO TMs'!A:A,D9491)&gt;0,"Yes","No"),"")</f>
        <v/>
      </c>
      <c r="C9491" s="11"/>
      <c r="D9491" s="11"/>
      <c r="E9491" s="11"/>
      <c r="F9491" s="11"/>
      <c r="G9491" s="11"/>
      <c r="H9491" s="11"/>
      <c r="I9491" s="15"/>
    </row>
    <row r="9492" spans="1:9" ht="16.5">
      <c r="A9492" s="10" t="b">
        <v>0</v>
      </c>
      <c r="B9492" s="11" t="str">
        <f>IF(D9492&lt;&gt;"",IF(COUNTIF('USPTO TMs'!A:A,D9492)&gt;0,"Yes","No"),"")</f>
        <v/>
      </c>
      <c r="C9492" s="11"/>
      <c r="D9492" s="11"/>
      <c r="E9492" s="11"/>
      <c r="F9492" s="11"/>
      <c r="G9492" s="11"/>
      <c r="H9492" s="11"/>
      <c r="I9492" s="15"/>
    </row>
    <row r="9493" spans="1:9" ht="16.5">
      <c r="A9493" s="10" t="b">
        <v>0</v>
      </c>
      <c r="B9493" s="11" t="str">
        <f>IF(D9493&lt;&gt;"",IF(COUNTIF('USPTO TMs'!A:A,D9493)&gt;0,"Yes","No"),"")</f>
        <v/>
      </c>
      <c r="C9493" s="11"/>
      <c r="D9493" s="11"/>
      <c r="E9493" s="11"/>
      <c r="F9493" s="11"/>
      <c r="G9493" s="11"/>
      <c r="H9493" s="11"/>
      <c r="I9493" s="15"/>
    </row>
    <row r="9494" spans="1:9" ht="16.5">
      <c r="A9494" s="10" t="b">
        <v>0</v>
      </c>
      <c r="B9494" s="11" t="str">
        <f>IF(D9494&lt;&gt;"",IF(COUNTIF('USPTO TMs'!A:A,D9494)&gt;0,"Yes","No"),"")</f>
        <v/>
      </c>
      <c r="C9494" s="11"/>
      <c r="D9494" s="11"/>
      <c r="E9494" s="11"/>
      <c r="F9494" s="11"/>
      <c r="G9494" s="11"/>
      <c r="H9494" s="11"/>
      <c r="I9494" s="15"/>
    </row>
    <row r="9495" spans="1:9" ht="16.5">
      <c r="A9495" s="10" t="b">
        <v>0</v>
      </c>
      <c r="B9495" s="11" t="str">
        <f>IF(D9495&lt;&gt;"",IF(COUNTIF('USPTO TMs'!A:A,D9495)&gt;0,"Yes","No"),"")</f>
        <v/>
      </c>
      <c r="C9495" s="11"/>
      <c r="D9495" s="11"/>
      <c r="E9495" s="11"/>
      <c r="F9495" s="11"/>
      <c r="G9495" s="11"/>
      <c r="H9495" s="11"/>
      <c r="I9495" s="15"/>
    </row>
    <row r="9496" spans="1:9" ht="16.5">
      <c r="A9496" s="10" t="b">
        <v>0</v>
      </c>
      <c r="B9496" s="11" t="str">
        <f>IF(D9496&lt;&gt;"",IF(COUNTIF('USPTO TMs'!A:A,D9496)&gt;0,"Yes","No"),"")</f>
        <v/>
      </c>
      <c r="C9496" s="11"/>
      <c r="D9496" s="11"/>
      <c r="E9496" s="11"/>
      <c r="F9496" s="11"/>
      <c r="G9496" s="11"/>
      <c r="H9496" s="11"/>
      <c r="I9496" s="15"/>
    </row>
    <row r="9497" spans="1:9" ht="16.5">
      <c r="A9497" s="10" t="b">
        <v>0</v>
      </c>
      <c r="B9497" s="11" t="str">
        <f>IF(D9497&lt;&gt;"",IF(COUNTIF('USPTO TMs'!A:A,D9497)&gt;0,"Yes","No"),"")</f>
        <v/>
      </c>
      <c r="C9497" s="11"/>
      <c r="D9497" s="11"/>
      <c r="E9497" s="11"/>
      <c r="F9497" s="11"/>
      <c r="G9497" s="11"/>
      <c r="H9497" s="11"/>
      <c r="I9497" s="15"/>
    </row>
    <row r="9498" spans="1:9" ht="16.5">
      <c r="A9498" s="10" t="b">
        <v>0</v>
      </c>
      <c r="B9498" s="11" t="str">
        <f>IF(D9498&lt;&gt;"",IF(COUNTIF('USPTO TMs'!A:A,D9498)&gt;0,"Yes","No"),"")</f>
        <v/>
      </c>
      <c r="C9498" s="11"/>
      <c r="D9498" s="11"/>
      <c r="E9498" s="11"/>
      <c r="F9498" s="11"/>
      <c r="G9498" s="11"/>
      <c r="H9498" s="11"/>
      <c r="I9498" s="15"/>
    </row>
    <row r="9499" spans="1:9" ht="16.5">
      <c r="A9499" s="10" t="b">
        <v>0</v>
      </c>
      <c r="B9499" s="11" t="str">
        <f>IF(D9499&lt;&gt;"",IF(COUNTIF('USPTO TMs'!A:A,D9499)&gt;0,"Yes","No"),"")</f>
        <v/>
      </c>
      <c r="C9499" s="11"/>
      <c r="D9499" s="11"/>
      <c r="E9499" s="11"/>
      <c r="F9499" s="11"/>
      <c r="G9499" s="11"/>
      <c r="H9499" s="11"/>
      <c r="I9499" s="15"/>
    </row>
    <row r="9500" spans="1:9" ht="16.5">
      <c r="A9500" s="10" t="b">
        <v>0</v>
      </c>
      <c r="B9500" s="11" t="str">
        <f>IF(D9500&lt;&gt;"",IF(COUNTIF('USPTO TMs'!A:A,D9500)&gt;0,"Yes","No"),"")</f>
        <v/>
      </c>
      <c r="C9500" s="11"/>
      <c r="D9500" s="11"/>
      <c r="E9500" s="11"/>
      <c r="F9500" s="11"/>
      <c r="G9500" s="11"/>
      <c r="H9500" s="11"/>
      <c r="I9500" s="15"/>
    </row>
    <row r="9501" spans="1:9" ht="16.5">
      <c r="A9501" s="10" t="b">
        <v>0</v>
      </c>
      <c r="B9501" s="11" t="str">
        <f>IF(D9501&lt;&gt;"",IF(COUNTIF('USPTO TMs'!A:A,D9501)&gt;0,"Yes","No"),"")</f>
        <v/>
      </c>
      <c r="C9501" s="11"/>
      <c r="D9501" s="11"/>
      <c r="E9501" s="11"/>
      <c r="F9501" s="11"/>
      <c r="G9501" s="11"/>
      <c r="H9501" s="11"/>
      <c r="I9501" s="15"/>
    </row>
    <row r="9502" spans="1:9" ht="16.5">
      <c r="A9502" s="10" t="b">
        <v>0</v>
      </c>
      <c r="B9502" s="11" t="str">
        <f>IF(D9502&lt;&gt;"",IF(COUNTIF('USPTO TMs'!A:A,D9502)&gt;0,"Yes","No"),"")</f>
        <v/>
      </c>
      <c r="C9502" s="11"/>
      <c r="D9502" s="11"/>
      <c r="E9502" s="11"/>
      <c r="F9502" s="11"/>
      <c r="G9502" s="11"/>
      <c r="H9502" s="11"/>
      <c r="I9502" s="15"/>
    </row>
    <row r="9503" spans="1:9" ht="16.5">
      <c r="A9503" s="10" t="b">
        <v>0</v>
      </c>
      <c r="B9503" s="11" t="str">
        <f>IF(D9503&lt;&gt;"",IF(COUNTIF('USPTO TMs'!A:A,D9503)&gt;0,"Yes","No"),"")</f>
        <v/>
      </c>
      <c r="C9503" s="11"/>
      <c r="D9503" s="11"/>
      <c r="E9503" s="11"/>
      <c r="F9503" s="11"/>
      <c r="G9503" s="11"/>
      <c r="H9503" s="11"/>
      <c r="I9503" s="15"/>
    </row>
    <row r="9504" spans="1:9" ht="16.5">
      <c r="A9504" s="10" t="b">
        <v>0</v>
      </c>
      <c r="B9504" s="11" t="str">
        <f>IF(D9504&lt;&gt;"",IF(COUNTIF('USPTO TMs'!A:A,D9504)&gt;0,"Yes","No"),"")</f>
        <v/>
      </c>
      <c r="C9504" s="11"/>
      <c r="D9504" s="11"/>
      <c r="E9504" s="11"/>
      <c r="F9504" s="11"/>
      <c r="G9504" s="11"/>
      <c r="H9504" s="11"/>
      <c r="I9504" s="15"/>
    </row>
    <row r="9505" spans="1:9" ht="16.5">
      <c r="A9505" s="10" t="b">
        <v>0</v>
      </c>
      <c r="B9505" s="11" t="str">
        <f>IF(D9505&lt;&gt;"",IF(COUNTIF('USPTO TMs'!A:A,D9505)&gt;0,"Yes","No"),"")</f>
        <v/>
      </c>
      <c r="C9505" s="11"/>
      <c r="D9505" s="11"/>
      <c r="E9505" s="11"/>
      <c r="F9505" s="11"/>
      <c r="G9505" s="11"/>
      <c r="H9505" s="11"/>
      <c r="I9505" s="15"/>
    </row>
    <row r="9506" spans="1:9" ht="16.5">
      <c r="A9506" s="10" t="b">
        <v>0</v>
      </c>
      <c r="B9506" s="11" t="str">
        <f>IF(D9506&lt;&gt;"",IF(COUNTIF('USPTO TMs'!A:A,D9506)&gt;0,"Yes","No"),"")</f>
        <v/>
      </c>
      <c r="C9506" s="11"/>
      <c r="D9506" s="11"/>
      <c r="E9506" s="11"/>
      <c r="F9506" s="11"/>
      <c r="G9506" s="11"/>
      <c r="H9506" s="11"/>
      <c r="I9506" s="15"/>
    </row>
    <row r="9507" spans="1:9" ht="16.5">
      <c r="A9507" s="10" t="b">
        <v>0</v>
      </c>
      <c r="B9507" s="11" t="str">
        <f>IF(D9507&lt;&gt;"",IF(COUNTIF('USPTO TMs'!A:A,D9507)&gt;0,"Yes","No"),"")</f>
        <v/>
      </c>
      <c r="C9507" s="11"/>
      <c r="D9507" s="11"/>
      <c r="E9507" s="11"/>
      <c r="F9507" s="11"/>
      <c r="G9507" s="11"/>
      <c r="H9507" s="11"/>
      <c r="I9507" s="15"/>
    </row>
    <row r="9508" spans="1:9" ht="16.5">
      <c r="A9508" s="10" t="b">
        <v>0</v>
      </c>
      <c r="B9508" s="11" t="str">
        <f>IF(D9508&lt;&gt;"",IF(COUNTIF('USPTO TMs'!A:A,D9508)&gt;0,"Yes","No"),"")</f>
        <v/>
      </c>
      <c r="C9508" s="11"/>
      <c r="D9508" s="11"/>
      <c r="E9508" s="11"/>
      <c r="F9508" s="11"/>
      <c r="G9508" s="11"/>
      <c r="H9508" s="11"/>
      <c r="I9508" s="15"/>
    </row>
    <row r="9509" spans="1:9" ht="16.5">
      <c r="A9509" s="10" t="b">
        <v>0</v>
      </c>
      <c r="B9509" s="11" t="str">
        <f>IF(D9509&lt;&gt;"",IF(COUNTIF('USPTO TMs'!A:A,D9509)&gt;0,"Yes","No"),"")</f>
        <v/>
      </c>
      <c r="C9509" s="11"/>
      <c r="D9509" s="11"/>
      <c r="E9509" s="11"/>
      <c r="F9509" s="11"/>
      <c r="G9509" s="11"/>
      <c r="H9509" s="11"/>
      <c r="I9509" s="15"/>
    </row>
    <row r="9510" spans="1:9" ht="16.5">
      <c r="A9510" s="10" t="b">
        <v>0</v>
      </c>
      <c r="B9510" s="11" t="str">
        <f>IF(D9510&lt;&gt;"",IF(COUNTIF('USPTO TMs'!A:A,D9510)&gt;0,"Yes","No"),"")</f>
        <v/>
      </c>
      <c r="C9510" s="11"/>
      <c r="D9510" s="11"/>
      <c r="E9510" s="11"/>
      <c r="F9510" s="11"/>
      <c r="G9510" s="11"/>
      <c r="H9510" s="11"/>
      <c r="I9510" s="15"/>
    </row>
    <row r="9511" spans="1:9" ht="16.5">
      <c r="A9511" s="10" t="b">
        <v>0</v>
      </c>
      <c r="B9511" s="11" t="str">
        <f>IF(D9511&lt;&gt;"",IF(COUNTIF('USPTO TMs'!A:A,D9511)&gt;0,"Yes","No"),"")</f>
        <v/>
      </c>
      <c r="C9511" s="11"/>
      <c r="D9511" s="11"/>
      <c r="E9511" s="11"/>
      <c r="F9511" s="11"/>
      <c r="G9511" s="11"/>
      <c r="H9511" s="11"/>
      <c r="I9511" s="15"/>
    </row>
    <row r="9512" spans="1:9" ht="16.5">
      <c r="A9512" s="10" t="b">
        <v>0</v>
      </c>
      <c r="B9512" s="11" t="str">
        <f>IF(D9512&lt;&gt;"",IF(COUNTIF('USPTO TMs'!A:A,D9512)&gt;0,"Yes","No"),"")</f>
        <v/>
      </c>
      <c r="C9512" s="11"/>
      <c r="D9512" s="11"/>
      <c r="E9512" s="11"/>
      <c r="F9512" s="11"/>
      <c r="G9512" s="11"/>
      <c r="H9512" s="11"/>
      <c r="I9512" s="15"/>
    </row>
    <row r="9513" spans="1:9" ht="16.5">
      <c r="A9513" s="10" t="b">
        <v>0</v>
      </c>
      <c r="B9513" s="11" t="str">
        <f>IF(D9513&lt;&gt;"",IF(COUNTIF('USPTO TMs'!A:A,D9513)&gt;0,"Yes","No"),"")</f>
        <v/>
      </c>
      <c r="C9513" s="11"/>
      <c r="D9513" s="11"/>
      <c r="E9513" s="11"/>
      <c r="F9513" s="11"/>
      <c r="G9513" s="11"/>
      <c r="H9513" s="11"/>
      <c r="I9513" s="15"/>
    </row>
    <row r="9514" spans="1:9" ht="16.5">
      <c r="A9514" s="10" t="b">
        <v>0</v>
      </c>
      <c r="B9514" s="11" t="str">
        <f>IF(D9514&lt;&gt;"",IF(COUNTIF('USPTO TMs'!A:A,D9514)&gt;0,"Yes","No"),"")</f>
        <v/>
      </c>
      <c r="C9514" s="11"/>
      <c r="D9514" s="11"/>
      <c r="E9514" s="11"/>
      <c r="F9514" s="11"/>
      <c r="G9514" s="11"/>
      <c r="H9514" s="11"/>
      <c r="I9514" s="15"/>
    </row>
    <row r="9515" spans="1:9" ht="16.5">
      <c r="A9515" s="10" t="b">
        <v>0</v>
      </c>
      <c r="B9515" s="11" t="str">
        <f>IF(D9515&lt;&gt;"",IF(COUNTIF('USPTO TMs'!A:A,D9515)&gt;0,"Yes","No"),"")</f>
        <v/>
      </c>
      <c r="C9515" s="11"/>
      <c r="D9515" s="11"/>
      <c r="E9515" s="11"/>
      <c r="F9515" s="11"/>
      <c r="G9515" s="11"/>
      <c r="H9515" s="11"/>
      <c r="I9515" s="15"/>
    </row>
    <row r="9516" spans="1:9" ht="16.5">
      <c r="A9516" s="10" t="b">
        <v>0</v>
      </c>
      <c r="B9516" s="11" t="str">
        <f>IF(D9516&lt;&gt;"",IF(COUNTIF('USPTO TMs'!A:A,D9516)&gt;0,"Yes","No"),"")</f>
        <v/>
      </c>
      <c r="C9516" s="11"/>
      <c r="D9516" s="11"/>
      <c r="E9516" s="11"/>
      <c r="F9516" s="11"/>
      <c r="G9516" s="11"/>
      <c r="H9516" s="11"/>
      <c r="I9516" s="15"/>
    </row>
    <row r="9517" spans="1:9" ht="16.5">
      <c r="A9517" s="10" t="b">
        <v>0</v>
      </c>
      <c r="B9517" s="11" t="str">
        <f>IF(D9517&lt;&gt;"",IF(COUNTIF('USPTO TMs'!A:A,D9517)&gt;0,"Yes","No"),"")</f>
        <v/>
      </c>
      <c r="C9517" s="11"/>
      <c r="D9517" s="11"/>
      <c r="E9517" s="11"/>
      <c r="F9517" s="11"/>
      <c r="G9517" s="11"/>
      <c r="H9517" s="11"/>
      <c r="I9517" s="15"/>
    </row>
    <row r="9518" spans="1:9" ht="16.5">
      <c r="A9518" s="10" t="b">
        <v>0</v>
      </c>
      <c r="B9518" s="11" t="str">
        <f>IF(D9518&lt;&gt;"",IF(COUNTIF('USPTO TMs'!A:A,D9518)&gt;0,"Yes","No"),"")</f>
        <v/>
      </c>
      <c r="C9518" s="11"/>
      <c r="D9518" s="11"/>
      <c r="E9518" s="11"/>
      <c r="F9518" s="11"/>
      <c r="G9518" s="11"/>
      <c r="H9518" s="11"/>
      <c r="I9518" s="15"/>
    </row>
    <row r="9519" spans="1:9" ht="16.5">
      <c r="A9519" s="10" t="b">
        <v>0</v>
      </c>
      <c r="B9519" s="11" t="str">
        <f>IF(D9519&lt;&gt;"",IF(COUNTIF('USPTO TMs'!A:A,D9519)&gt;0,"Yes","No"),"")</f>
        <v/>
      </c>
      <c r="C9519" s="11"/>
      <c r="D9519" s="11"/>
      <c r="E9519" s="11"/>
      <c r="F9519" s="11"/>
      <c r="G9519" s="11"/>
      <c r="H9519" s="11"/>
      <c r="I9519" s="15"/>
    </row>
    <row r="9520" spans="1:9" ht="16.5">
      <c r="A9520" s="10" t="b">
        <v>0</v>
      </c>
      <c r="B9520" s="11" t="str">
        <f>IF(D9520&lt;&gt;"",IF(COUNTIF('USPTO TMs'!A:A,D9520)&gt;0,"Yes","No"),"")</f>
        <v/>
      </c>
      <c r="C9520" s="11"/>
      <c r="D9520" s="11"/>
      <c r="E9520" s="11"/>
      <c r="F9520" s="11"/>
      <c r="G9520" s="11"/>
      <c r="H9520" s="11"/>
      <c r="I9520" s="15"/>
    </row>
    <row r="9521" spans="1:9" ht="16.5">
      <c r="A9521" s="10" t="b">
        <v>0</v>
      </c>
      <c r="B9521" s="11" t="str">
        <f>IF(D9521&lt;&gt;"",IF(COUNTIF('USPTO TMs'!A:A,D9521)&gt;0,"Yes","No"),"")</f>
        <v/>
      </c>
      <c r="C9521" s="11"/>
      <c r="D9521" s="11"/>
      <c r="E9521" s="11"/>
      <c r="F9521" s="11"/>
      <c r="G9521" s="11"/>
      <c r="H9521" s="11"/>
      <c r="I9521" s="15"/>
    </row>
    <row r="9522" spans="1:9" ht="16.5">
      <c r="A9522" s="10" t="b">
        <v>0</v>
      </c>
      <c r="B9522" s="11" t="str">
        <f>IF(D9522&lt;&gt;"",IF(COUNTIF('USPTO TMs'!A:A,D9522)&gt;0,"Yes","No"),"")</f>
        <v/>
      </c>
      <c r="C9522" s="11"/>
      <c r="D9522" s="11"/>
      <c r="E9522" s="11"/>
      <c r="F9522" s="11"/>
      <c r="G9522" s="11"/>
      <c r="H9522" s="11"/>
      <c r="I9522" s="15"/>
    </row>
    <row r="9523" spans="1:9" ht="16.5">
      <c r="A9523" s="10" t="b">
        <v>0</v>
      </c>
      <c r="B9523" s="11" t="str">
        <f>IF(D9523&lt;&gt;"",IF(COUNTIF('USPTO TMs'!A:A,D9523)&gt;0,"Yes","No"),"")</f>
        <v/>
      </c>
      <c r="C9523" s="11"/>
      <c r="D9523" s="11"/>
      <c r="E9523" s="11"/>
      <c r="F9523" s="11"/>
      <c r="G9523" s="11"/>
      <c r="H9523" s="11"/>
      <c r="I9523" s="15"/>
    </row>
    <row r="9524" spans="1:9" ht="16.5">
      <c r="A9524" s="10" t="b">
        <v>0</v>
      </c>
      <c r="B9524" s="11" t="str">
        <f>IF(D9524&lt;&gt;"",IF(COUNTIF('USPTO TMs'!A:A,D9524)&gt;0,"Yes","No"),"")</f>
        <v/>
      </c>
      <c r="C9524" s="11"/>
      <c r="D9524" s="11"/>
      <c r="E9524" s="11"/>
      <c r="F9524" s="11"/>
      <c r="G9524" s="11"/>
      <c r="H9524" s="11"/>
      <c r="I9524" s="15"/>
    </row>
    <row r="9525" spans="1:9" ht="16.5">
      <c r="A9525" s="10" t="b">
        <v>0</v>
      </c>
      <c r="B9525" s="11" t="str">
        <f>IF(D9525&lt;&gt;"",IF(COUNTIF('USPTO TMs'!A:A,D9525)&gt;0,"Yes","No"),"")</f>
        <v/>
      </c>
      <c r="C9525" s="11"/>
      <c r="D9525" s="11"/>
      <c r="E9525" s="11"/>
      <c r="F9525" s="11"/>
      <c r="G9525" s="11"/>
      <c r="H9525" s="11"/>
      <c r="I9525" s="15"/>
    </row>
    <row r="9526" spans="1:9" ht="16.5">
      <c r="A9526" s="10" t="b">
        <v>0</v>
      </c>
      <c r="B9526" s="11" t="str">
        <f>IF(D9526&lt;&gt;"",IF(COUNTIF('USPTO TMs'!A:A,D9526)&gt;0,"Yes","No"),"")</f>
        <v/>
      </c>
      <c r="C9526" s="11"/>
      <c r="D9526" s="11"/>
      <c r="E9526" s="11"/>
      <c r="F9526" s="11"/>
      <c r="G9526" s="11"/>
      <c r="H9526" s="11"/>
      <c r="I9526" s="15"/>
    </row>
    <row r="9527" spans="1:9" ht="16.5">
      <c r="A9527" s="10" t="b">
        <v>0</v>
      </c>
      <c r="B9527" s="11" t="str">
        <f>IF(D9527&lt;&gt;"",IF(COUNTIF('USPTO TMs'!A:A,D9527)&gt;0,"Yes","No"),"")</f>
        <v/>
      </c>
      <c r="C9527" s="11"/>
      <c r="D9527" s="11"/>
      <c r="E9527" s="11"/>
      <c r="F9527" s="11"/>
      <c r="G9527" s="11"/>
      <c r="H9527" s="11"/>
      <c r="I9527" s="15"/>
    </row>
    <row r="9528" spans="1:9" ht="16.5">
      <c r="A9528" s="10" t="b">
        <v>0</v>
      </c>
      <c r="B9528" s="11" t="str">
        <f>IF(D9528&lt;&gt;"",IF(COUNTIF('USPTO TMs'!A:A,D9528)&gt;0,"Yes","No"),"")</f>
        <v/>
      </c>
      <c r="C9528" s="11"/>
      <c r="D9528" s="11"/>
      <c r="E9528" s="11"/>
      <c r="F9528" s="11"/>
      <c r="G9528" s="11"/>
      <c r="H9528" s="11"/>
      <c r="I9528" s="15"/>
    </row>
    <row r="9529" spans="1:9" ht="16.5">
      <c r="A9529" s="10" t="b">
        <v>0</v>
      </c>
      <c r="B9529" s="11" t="str">
        <f>IF(D9529&lt;&gt;"",IF(COUNTIF('USPTO TMs'!A:A,D9529)&gt;0,"Yes","No"),"")</f>
        <v/>
      </c>
      <c r="C9529" s="11"/>
      <c r="D9529" s="11"/>
      <c r="E9529" s="11"/>
      <c r="F9529" s="11"/>
      <c r="G9529" s="11"/>
      <c r="H9529" s="11"/>
      <c r="I9529" s="15"/>
    </row>
    <row r="9530" spans="1:9" ht="16.5">
      <c r="A9530" s="10" t="b">
        <v>0</v>
      </c>
      <c r="B9530" s="11" t="str">
        <f>IF(D9530&lt;&gt;"",IF(COUNTIF('USPTO TMs'!A:A,D9530)&gt;0,"Yes","No"),"")</f>
        <v/>
      </c>
      <c r="C9530" s="11"/>
      <c r="D9530" s="11"/>
      <c r="E9530" s="11"/>
      <c r="F9530" s="11"/>
      <c r="G9530" s="11"/>
      <c r="H9530" s="11"/>
      <c r="I9530" s="15"/>
    </row>
    <row r="9531" spans="1:9" ht="16.5">
      <c r="A9531" s="10" t="b">
        <v>0</v>
      </c>
      <c r="B9531" s="11" t="str">
        <f>IF(D9531&lt;&gt;"",IF(COUNTIF('USPTO TMs'!A:A,D9531)&gt;0,"Yes","No"),"")</f>
        <v/>
      </c>
      <c r="C9531" s="11"/>
      <c r="D9531" s="11"/>
      <c r="E9531" s="11"/>
      <c r="F9531" s="11"/>
      <c r="G9531" s="11"/>
      <c r="H9531" s="11"/>
      <c r="I9531" s="15"/>
    </row>
    <row r="9532" spans="1:9" ht="16.5">
      <c r="A9532" s="10" t="b">
        <v>0</v>
      </c>
      <c r="B9532" s="11" t="str">
        <f>IF(D9532&lt;&gt;"",IF(COUNTIF('USPTO TMs'!A:A,D9532)&gt;0,"Yes","No"),"")</f>
        <v/>
      </c>
      <c r="C9532" s="11"/>
      <c r="D9532" s="11"/>
      <c r="E9532" s="11"/>
      <c r="F9532" s="11"/>
      <c r="G9532" s="11"/>
      <c r="H9532" s="11"/>
      <c r="I9532" s="15"/>
    </row>
    <row r="9533" spans="1:9" ht="16.5">
      <c r="A9533" s="10" t="b">
        <v>0</v>
      </c>
      <c r="B9533" s="11" t="str">
        <f>IF(D9533&lt;&gt;"",IF(COUNTIF('USPTO TMs'!A:A,D9533)&gt;0,"Yes","No"),"")</f>
        <v/>
      </c>
      <c r="C9533" s="11"/>
      <c r="D9533" s="11"/>
      <c r="E9533" s="11"/>
      <c r="F9533" s="11"/>
      <c r="G9533" s="11"/>
      <c r="H9533" s="11"/>
      <c r="I9533" s="15"/>
    </row>
    <row r="9534" spans="1:9" ht="16.5">
      <c r="A9534" s="10" t="b">
        <v>0</v>
      </c>
      <c r="B9534" s="11" t="str">
        <f>IF(D9534&lt;&gt;"",IF(COUNTIF('USPTO TMs'!A:A,D9534)&gt;0,"Yes","No"),"")</f>
        <v/>
      </c>
      <c r="C9534" s="11"/>
      <c r="D9534" s="11"/>
      <c r="E9534" s="11"/>
      <c r="F9534" s="11"/>
      <c r="G9534" s="11"/>
      <c r="H9534" s="11"/>
      <c r="I9534" s="15"/>
    </row>
    <row r="9535" spans="1:9" ht="16.5">
      <c r="A9535" s="10" t="b">
        <v>0</v>
      </c>
      <c r="B9535" s="11" t="str">
        <f>IF(D9535&lt;&gt;"",IF(COUNTIF('USPTO TMs'!A:A,D9535)&gt;0,"Yes","No"),"")</f>
        <v/>
      </c>
      <c r="C9535" s="11"/>
      <c r="D9535" s="11"/>
      <c r="E9535" s="11"/>
      <c r="F9535" s="11"/>
      <c r="G9535" s="11"/>
      <c r="H9535" s="11"/>
      <c r="I9535" s="15"/>
    </row>
    <row r="9536" spans="1:9" ht="16.5">
      <c r="A9536" s="10" t="b">
        <v>0</v>
      </c>
      <c r="B9536" s="11" t="str">
        <f>IF(D9536&lt;&gt;"",IF(COUNTIF('USPTO TMs'!A:A,D9536)&gt;0,"Yes","No"),"")</f>
        <v/>
      </c>
      <c r="C9536" s="11"/>
      <c r="D9536" s="11"/>
      <c r="E9536" s="11"/>
      <c r="F9536" s="11"/>
      <c r="G9536" s="11"/>
      <c r="H9536" s="11"/>
      <c r="I9536" s="15"/>
    </row>
    <row r="9537" spans="1:9" ht="16.5">
      <c r="A9537" s="10" t="b">
        <v>0</v>
      </c>
      <c r="B9537" s="11" t="str">
        <f>IF(D9537&lt;&gt;"",IF(COUNTIF('USPTO TMs'!A:A,D9537)&gt;0,"Yes","No"),"")</f>
        <v/>
      </c>
      <c r="C9537" s="11"/>
      <c r="D9537" s="11"/>
      <c r="E9537" s="11"/>
      <c r="F9537" s="11"/>
      <c r="G9537" s="11"/>
      <c r="H9537" s="11"/>
      <c r="I9537" s="15"/>
    </row>
    <row r="9538" spans="1:9" ht="16.5">
      <c r="A9538" s="10" t="b">
        <v>0</v>
      </c>
      <c r="B9538" s="11" t="str">
        <f>IF(D9538&lt;&gt;"",IF(COUNTIF('USPTO TMs'!A:A,D9538)&gt;0,"Yes","No"),"")</f>
        <v/>
      </c>
      <c r="C9538" s="11"/>
      <c r="D9538" s="11"/>
      <c r="E9538" s="11"/>
      <c r="F9538" s="11"/>
      <c r="G9538" s="11"/>
      <c r="H9538" s="11"/>
      <c r="I9538" s="15"/>
    </row>
    <row r="9539" spans="1:9" ht="16.5">
      <c r="A9539" s="10" t="b">
        <v>0</v>
      </c>
      <c r="B9539" s="11" t="str">
        <f>IF(D9539&lt;&gt;"",IF(COUNTIF('USPTO TMs'!A:A,D9539)&gt;0,"Yes","No"),"")</f>
        <v/>
      </c>
      <c r="C9539" s="11"/>
      <c r="D9539" s="11"/>
      <c r="E9539" s="11"/>
      <c r="F9539" s="11"/>
      <c r="G9539" s="11"/>
      <c r="H9539" s="11"/>
      <c r="I9539" s="15"/>
    </row>
    <row r="9540" spans="1:9" ht="16.5">
      <c r="A9540" s="10" t="b">
        <v>0</v>
      </c>
      <c r="B9540" s="11" t="str">
        <f>IF(D9540&lt;&gt;"",IF(COUNTIF('USPTO TMs'!A:A,D9540)&gt;0,"Yes","No"),"")</f>
        <v/>
      </c>
      <c r="C9540" s="11"/>
      <c r="D9540" s="11"/>
      <c r="E9540" s="11"/>
      <c r="F9540" s="11"/>
      <c r="G9540" s="11"/>
      <c r="H9540" s="11"/>
      <c r="I9540" s="15"/>
    </row>
    <row r="9541" spans="1:9" ht="16.5">
      <c r="A9541" s="10" t="b">
        <v>0</v>
      </c>
      <c r="B9541" s="11" t="str">
        <f>IF(D9541&lt;&gt;"",IF(COUNTIF('USPTO TMs'!A:A,D9541)&gt;0,"Yes","No"),"")</f>
        <v/>
      </c>
      <c r="C9541" s="11"/>
      <c r="D9541" s="11"/>
      <c r="E9541" s="11"/>
      <c r="F9541" s="11"/>
      <c r="G9541" s="11"/>
      <c r="H9541" s="11"/>
      <c r="I9541" s="15"/>
    </row>
    <row r="9542" spans="1:9" ht="16.5">
      <c r="A9542" s="10" t="b">
        <v>0</v>
      </c>
      <c r="B9542" s="11" t="str">
        <f>IF(D9542&lt;&gt;"",IF(COUNTIF('USPTO TMs'!A:A,D9542)&gt;0,"Yes","No"),"")</f>
        <v/>
      </c>
      <c r="C9542" s="11"/>
      <c r="D9542" s="11"/>
      <c r="E9542" s="11"/>
      <c r="F9542" s="11"/>
      <c r="G9542" s="11"/>
      <c r="H9542" s="11"/>
      <c r="I9542" s="15"/>
    </row>
    <row r="9543" spans="1:9" ht="16.5">
      <c r="A9543" s="10" t="b">
        <v>0</v>
      </c>
      <c r="B9543" s="11" t="str">
        <f>IF(D9543&lt;&gt;"",IF(COUNTIF('USPTO TMs'!A:A,D9543)&gt;0,"Yes","No"),"")</f>
        <v/>
      </c>
      <c r="C9543" s="11"/>
      <c r="D9543" s="11"/>
      <c r="E9543" s="11"/>
      <c r="F9543" s="11"/>
      <c r="G9543" s="11"/>
      <c r="H9543" s="11"/>
      <c r="I9543" s="15"/>
    </row>
    <row r="9544" spans="1:9" ht="16.5">
      <c r="A9544" s="10" t="b">
        <v>0</v>
      </c>
      <c r="B9544" s="11" t="str">
        <f>IF(D9544&lt;&gt;"",IF(COUNTIF('USPTO TMs'!A:A,D9544)&gt;0,"Yes","No"),"")</f>
        <v/>
      </c>
      <c r="C9544" s="11"/>
      <c r="D9544" s="11"/>
      <c r="E9544" s="11"/>
      <c r="F9544" s="11"/>
      <c r="G9544" s="11"/>
      <c r="H9544" s="11"/>
      <c r="I9544" s="15"/>
    </row>
    <row r="9545" spans="1:9" ht="16.5">
      <c r="A9545" s="10" t="b">
        <v>0</v>
      </c>
      <c r="B9545" s="11" t="str">
        <f>IF(D9545&lt;&gt;"",IF(COUNTIF('USPTO TMs'!A:A,D9545)&gt;0,"Yes","No"),"")</f>
        <v/>
      </c>
      <c r="C9545" s="11"/>
      <c r="D9545" s="11"/>
      <c r="E9545" s="11"/>
      <c r="F9545" s="11"/>
      <c r="G9545" s="11"/>
      <c r="H9545" s="11"/>
      <c r="I9545" s="15"/>
    </row>
    <row r="9546" spans="1:9" ht="16.5">
      <c r="A9546" s="10" t="b">
        <v>0</v>
      </c>
      <c r="B9546" s="11" t="str">
        <f>IF(D9546&lt;&gt;"",IF(COUNTIF('USPTO TMs'!A:A,D9546)&gt;0,"Yes","No"),"")</f>
        <v/>
      </c>
      <c r="C9546" s="11"/>
      <c r="D9546" s="11"/>
      <c r="E9546" s="11"/>
      <c r="F9546" s="11"/>
      <c r="G9546" s="11"/>
      <c r="H9546" s="11"/>
      <c r="I9546" s="15"/>
    </row>
    <row r="9547" spans="1:9" ht="16.5">
      <c r="A9547" s="10" t="b">
        <v>0</v>
      </c>
      <c r="B9547" s="11" t="str">
        <f>IF(D9547&lt;&gt;"",IF(COUNTIF('USPTO TMs'!A:A,D9547)&gt;0,"Yes","No"),"")</f>
        <v/>
      </c>
      <c r="C9547" s="11"/>
      <c r="D9547" s="11"/>
      <c r="E9547" s="11"/>
      <c r="F9547" s="11"/>
      <c r="G9547" s="11"/>
      <c r="H9547" s="11"/>
      <c r="I9547" s="15"/>
    </row>
    <row r="9548" spans="1:9" ht="16.5">
      <c r="A9548" s="10" t="b">
        <v>0</v>
      </c>
      <c r="B9548" s="11" t="str">
        <f>IF(D9548&lt;&gt;"",IF(COUNTIF('USPTO TMs'!A:A,D9548)&gt;0,"Yes","No"),"")</f>
        <v/>
      </c>
      <c r="C9548" s="11"/>
      <c r="D9548" s="11"/>
      <c r="E9548" s="11"/>
      <c r="F9548" s="11"/>
      <c r="G9548" s="11"/>
      <c r="H9548" s="11"/>
      <c r="I9548" s="15"/>
    </row>
    <row r="9549" spans="1:9" ht="16.5">
      <c r="A9549" s="10" t="b">
        <v>0</v>
      </c>
      <c r="B9549" s="11" t="str">
        <f>IF(D9549&lt;&gt;"",IF(COUNTIF('USPTO TMs'!A:A,D9549)&gt;0,"Yes","No"),"")</f>
        <v/>
      </c>
      <c r="C9549" s="11"/>
      <c r="D9549" s="11"/>
      <c r="E9549" s="11"/>
      <c r="F9549" s="11"/>
      <c r="G9549" s="11"/>
      <c r="H9549" s="11"/>
      <c r="I9549" s="15"/>
    </row>
    <row r="9550" spans="1:9" ht="16.5">
      <c r="A9550" s="10" t="b">
        <v>0</v>
      </c>
      <c r="B9550" s="11" t="str">
        <f>IF(D9550&lt;&gt;"",IF(COUNTIF('USPTO TMs'!A:A,D9550)&gt;0,"Yes","No"),"")</f>
        <v/>
      </c>
      <c r="C9550" s="11"/>
      <c r="D9550" s="11"/>
      <c r="E9550" s="11"/>
      <c r="F9550" s="11"/>
      <c r="G9550" s="11"/>
      <c r="H9550" s="11"/>
      <c r="I9550" s="15"/>
    </row>
    <row r="9551" spans="1:9" ht="16.5">
      <c r="A9551" s="10" t="b">
        <v>0</v>
      </c>
      <c r="B9551" s="11" t="str">
        <f>IF(D9551&lt;&gt;"",IF(COUNTIF('USPTO TMs'!A:A,D9551)&gt;0,"Yes","No"),"")</f>
        <v/>
      </c>
      <c r="C9551" s="11"/>
      <c r="D9551" s="11"/>
      <c r="E9551" s="11"/>
      <c r="F9551" s="11"/>
      <c r="G9551" s="11"/>
      <c r="H9551" s="11"/>
      <c r="I9551" s="15"/>
    </row>
    <row r="9552" spans="1:9" ht="16.5">
      <c r="A9552" s="10" t="b">
        <v>0</v>
      </c>
      <c r="B9552" s="11" t="str">
        <f>IF(D9552&lt;&gt;"",IF(COUNTIF('USPTO TMs'!A:A,D9552)&gt;0,"Yes","No"),"")</f>
        <v/>
      </c>
      <c r="C9552" s="11"/>
      <c r="D9552" s="11"/>
      <c r="E9552" s="11"/>
      <c r="F9552" s="11"/>
      <c r="G9552" s="11"/>
      <c r="H9552" s="11"/>
      <c r="I9552" s="15"/>
    </row>
    <row r="9553" spans="1:9" ht="16.5">
      <c r="A9553" s="10" t="b">
        <v>0</v>
      </c>
      <c r="B9553" s="11" t="str">
        <f>IF(D9553&lt;&gt;"",IF(COUNTIF('USPTO TMs'!A:A,D9553)&gt;0,"Yes","No"),"")</f>
        <v/>
      </c>
      <c r="C9553" s="11"/>
      <c r="D9553" s="11"/>
      <c r="E9553" s="11"/>
      <c r="F9553" s="11"/>
      <c r="G9553" s="11"/>
      <c r="H9553" s="11"/>
      <c r="I9553" s="15"/>
    </row>
    <row r="9554" spans="1:9" ht="16.5">
      <c r="A9554" s="10" t="b">
        <v>0</v>
      </c>
      <c r="B9554" s="11" t="str">
        <f>IF(D9554&lt;&gt;"",IF(COUNTIF('USPTO TMs'!A:A,D9554)&gt;0,"Yes","No"),"")</f>
        <v/>
      </c>
      <c r="C9554" s="11"/>
      <c r="D9554" s="11"/>
      <c r="E9554" s="11"/>
      <c r="F9554" s="11"/>
      <c r="G9554" s="11"/>
      <c r="H9554" s="11"/>
      <c r="I9554" s="15"/>
    </row>
    <row r="9555" spans="1:9" ht="16.5">
      <c r="A9555" s="10" t="b">
        <v>0</v>
      </c>
      <c r="B9555" s="11" t="str">
        <f>IF(D9555&lt;&gt;"",IF(COUNTIF('USPTO TMs'!A:A,D9555)&gt;0,"Yes","No"),"")</f>
        <v/>
      </c>
      <c r="C9555" s="11"/>
      <c r="D9555" s="11"/>
      <c r="E9555" s="11"/>
      <c r="F9555" s="11"/>
      <c r="G9555" s="11"/>
      <c r="H9555" s="11"/>
      <c r="I9555" s="15"/>
    </row>
    <row r="9556" spans="1:9" ht="16.5">
      <c r="A9556" s="10" t="b">
        <v>0</v>
      </c>
      <c r="B9556" s="11" t="str">
        <f>IF(D9556&lt;&gt;"",IF(COUNTIF('USPTO TMs'!A:A,D9556)&gt;0,"Yes","No"),"")</f>
        <v/>
      </c>
      <c r="C9556" s="11"/>
      <c r="D9556" s="11"/>
      <c r="E9556" s="11"/>
      <c r="F9556" s="11"/>
      <c r="G9556" s="11"/>
      <c r="H9556" s="11"/>
      <c r="I9556" s="15"/>
    </row>
    <row r="9557" spans="1:9" ht="16.5">
      <c r="A9557" s="10" t="b">
        <v>0</v>
      </c>
      <c r="B9557" s="11" t="str">
        <f>IF(D9557&lt;&gt;"",IF(COUNTIF('USPTO TMs'!A:A,D9557)&gt;0,"Yes","No"),"")</f>
        <v/>
      </c>
      <c r="C9557" s="11"/>
      <c r="D9557" s="11"/>
      <c r="E9557" s="11"/>
      <c r="F9557" s="11"/>
      <c r="G9557" s="11"/>
      <c r="H9557" s="11"/>
      <c r="I9557" s="15"/>
    </row>
    <row r="9558" spans="1:9" ht="16.5">
      <c r="A9558" s="10" t="b">
        <v>0</v>
      </c>
      <c r="B9558" s="11" t="str">
        <f>IF(D9558&lt;&gt;"",IF(COUNTIF('USPTO TMs'!A:A,D9558)&gt;0,"Yes","No"),"")</f>
        <v/>
      </c>
      <c r="C9558" s="11"/>
      <c r="D9558" s="11"/>
      <c r="E9558" s="11"/>
      <c r="F9558" s="11"/>
      <c r="G9558" s="11"/>
      <c r="H9558" s="11"/>
      <c r="I9558" s="15"/>
    </row>
    <row r="9559" spans="1:9" ht="16.5">
      <c r="A9559" s="10" t="b">
        <v>0</v>
      </c>
      <c r="B9559" s="11" t="str">
        <f>IF(D9559&lt;&gt;"",IF(COUNTIF('USPTO TMs'!A:A,D9559)&gt;0,"Yes","No"),"")</f>
        <v/>
      </c>
      <c r="C9559" s="11"/>
      <c r="D9559" s="11"/>
      <c r="E9559" s="11"/>
      <c r="F9559" s="11"/>
      <c r="G9559" s="11"/>
      <c r="H9559" s="11"/>
      <c r="I9559" s="15"/>
    </row>
    <row r="9560" spans="1:9" ht="16.5">
      <c r="A9560" s="10" t="b">
        <v>0</v>
      </c>
      <c r="B9560" s="11" t="str">
        <f>IF(D9560&lt;&gt;"",IF(COUNTIF('USPTO TMs'!A:A,D9560)&gt;0,"Yes","No"),"")</f>
        <v/>
      </c>
      <c r="C9560" s="11"/>
      <c r="D9560" s="11"/>
      <c r="E9560" s="11"/>
      <c r="F9560" s="11"/>
      <c r="G9560" s="11"/>
      <c r="H9560" s="11"/>
      <c r="I9560" s="15"/>
    </row>
    <row r="9561" spans="1:9" ht="16.5">
      <c r="A9561" s="10" t="b">
        <v>0</v>
      </c>
      <c r="B9561" s="11" t="str">
        <f>IF(D9561&lt;&gt;"",IF(COUNTIF('USPTO TMs'!A:A,D9561)&gt;0,"Yes","No"),"")</f>
        <v/>
      </c>
      <c r="C9561" s="11"/>
      <c r="D9561" s="11"/>
      <c r="E9561" s="11"/>
      <c r="F9561" s="11"/>
      <c r="G9561" s="11"/>
      <c r="H9561" s="11"/>
      <c r="I9561" s="15"/>
    </row>
    <row r="9562" spans="1:9" ht="16.5">
      <c r="A9562" s="10" t="b">
        <v>0</v>
      </c>
      <c r="B9562" s="11" t="str">
        <f>IF(D9562&lt;&gt;"",IF(COUNTIF('USPTO TMs'!A:A,D9562)&gt;0,"Yes","No"),"")</f>
        <v/>
      </c>
      <c r="C9562" s="11"/>
      <c r="D9562" s="11"/>
      <c r="E9562" s="11"/>
      <c r="F9562" s="11"/>
      <c r="G9562" s="11"/>
      <c r="H9562" s="11"/>
      <c r="I9562" s="15"/>
    </row>
    <row r="9563" spans="1:9" ht="16.5">
      <c r="A9563" s="10" t="b">
        <v>0</v>
      </c>
      <c r="B9563" s="11" t="str">
        <f>IF(D9563&lt;&gt;"",IF(COUNTIF('USPTO TMs'!A:A,D9563)&gt;0,"Yes","No"),"")</f>
        <v/>
      </c>
      <c r="C9563" s="11"/>
      <c r="D9563" s="11"/>
      <c r="E9563" s="11"/>
      <c r="F9563" s="11"/>
      <c r="G9563" s="11"/>
      <c r="H9563" s="11"/>
      <c r="I9563" s="15"/>
    </row>
    <row r="9564" spans="1:9" ht="16.5">
      <c r="A9564" s="10" t="b">
        <v>0</v>
      </c>
      <c r="B9564" s="11" t="str">
        <f>IF(D9564&lt;&gt;"",IF(COUNTIF('USPTO TMs'!A:A,D9564)&gt;0,"Yes","No"),"")</f>
        <v/>
      </c>
      <c r="C9564" s="11"/>
      <c r="D9564" s="11"/>
      <c r="E9564" s="11"/>
      <c r="F9564" s="11"/>
      <c r="G9564" s="11"/>
      <c r="H9564" s="11"/>
      <c r="I9564" s="15"/>
    </row>
    <row r="9565" spans="1:9" ht="16.5">
      <c r="A9565" s="10" t="b">
        <v>0</v>
      </c>
      <c r="B9565" s="11" t="str">
        <f>IF(D9565&lt;&gt;"",IF(COUNTIF('USPTO TMs'!A:A,D9565)&gt;0,"Yes","No"),"")</f>
        <v/>
      </c>
      <c r="C9565" s="11"/>
      <c r="D9565" s="11"/>
      <c r="E9565" s="11"/>
      <c r="F9565" s="11"/>
      <c r="G9565" s="11"/>
      <c r="H9565" s="11"/>
      <c r="I9565" s="15"/>
    </row>
    <row r="9566" spans="1:9" ht="16.5">
      <c r="A9566" s="10" t="b">
        <v>0</v>
      </c>
      <c r="B9566" s="11" t="str">
        <f>IF(D9566&lt;&gt;"",IF(COUNTIF('USPTO TMs'!A:A,D9566)&gt;0,"Yes","No"),"")</f>
        <v/>
      </c>
      <c r="C9566" s="11"/>
      <c r="D9566" s="11"/>
      <c r="E9566" s="11"/>
      <c r="F9566" s="11"/>
      <c r="G9566" s="11"/>
      <c r="H9566" s="11"/>
      <c r="I9566" s="15"/>
    </row>
    <row r="9567" spans="1:9" ht="16.5">
      <c r="A9567" s="10" t="b">
        <v>0</v>
      </c>
      <c r="B9567" s="11" t="str">
        <f>IF(D9567&lt;&gt;"",IF(COUNTIF('USPTO TMs'!A:A,D9567)&gt;0,"Yes","No"),"")</f>
        <v/>
      </c>
      <c r="C9567" s="11"/>
      <c r="D9567" s="11"/>
      <c r="E9567" s="11"/>
      <c r="F9567" s="11"/>
      <c r="G9567" s="11"/>
      <c r="H9567" s="11"/>
      <c r="I9567" s="15"/>
    </row>
    <row r="9568" spans="1:9" ht="16.5">
      <c r="A9568" s="10" t="b">
        <v>0</v>
      </c>
      <c r="B9568" s="11" t="str">
        <f>IF(D9568&lt;&gt;"",IF(COUNTIF('USPTO TMs'!A:A,D9568)&gt;0,"Yes","No"),"")</f>
        <v/>
      </c>
      <c r="C9568" s="11"/>
      <c r="D9568" s="11"/>
      <c r="E9568" s="11"/>
      <c r="F9568" s="11"/>
      <c r="G9568" s="11"/>
      <c r="H9568" s="11"/>
      <c r="I9568" s="15"/>
    </row>
    <row r="9569" spans="1:9" ht="16.5">
      <c r="A9569" s="10" t="b">
        <v>0</v>
      </c>
      <c r="B9569" s="11" t="str">
        <f>IF(D9569&lt;&gt;"",IF(COUNTIF('USPTO TMs'!A:A,D9569)&gt;0,"Yes","No"),"")</f>
        <v/>
      </c>
      <c r="C9569" s="11"/>
      <c r="D9569" s="11"/>
      <c r="E9569" s="11"/>
      <c r="F9569" s="11"/>
      <c r="G9569" s="11"/>
      <c r="H9569" s="11"/>
      <c r="I9569" s="15"/>
    </row>
    <row r="9570" spans="1:9" ht="16.5">
      <c r="A9570" s="10" t="b">
        <v>0</v>
      </c>
      <c r="B9570" s="11" t="str">
        <f>IF(D9570&lt;&gt;"",IF(COUNTIF('USPTO TMs'!A:A,D9570)&gt;0,"Yes","No"),"")</f>
        <v/>
      </c>
      <c r="C9570" s="11"/>
      <c r="D9570" s="11"/>
      <c r="E9570" s="11"/>
      <c r="F9570" s="11"/>
      <c r="G9570" s="11"/>
      <c r="H9570" s="11"/>
      <c r="I9570" s="15"/>
    </row>
    <row r="9571" spans="1:9" ht="16.5">
      <c r="A9571" s="10" t="b">
        <v>0</v>
      </c>
      <c r="B9571" s="11" t="str">
        <f>IF(D9571&lt;&gt;"",IF(COUNTIF('USPTO TMs'!A:A,D9571)&gt;0,"Yes","No"),"")</f>
        <v/>
      </c>
      <c r="C9571" s="11"/>
      <c r="D9571" s="11"/>
      <c r="E9571" s="11"/>
      <c r="F9571" s="11"/>
      <c r="G9571" s="11"/>
      <c r="H9571" s="11"/>
      <c r="I9571" s="15"/>
    </row>
    <row r="9572" spans="1:9" ht="16.5">
      <c r="A9572" s="10" t="b">
        <v>0</v>
      </c>
      <c r="B9572" s="11" t="str">
        <f>IF(D9572&lt;&gt;"",IF(COUNTIF('USPTO TMs'!A:A,D9572)&gt;0,"Yes","No"),"")</f>
        <v/>
      </c>
      <c r="C9572" s="11"/>
      <c r="D9572" s="11"/>
      <c r="E9572" s="11"/>
      <c r="F9572" s="11"/>
      <c r="G9572" s="11"/>
      <c r="H9572" s="11"/>
      <c r="I9572" s="15"/>
    </row>
    <row r="9573" spans="1:9" ht="16.5">
      <c r="A9573" s="10" t="b">
        <v>0</v>
      </c>
      <c r="B9573" s="11" t="str">
        <f>IF(D9573&lt;&gt;"",IF(COUNTIF('USPTO TMs'!A:A,D9573)&gt;0,"Yes","No"),"")</f>
        <v/>
      </c>
      <c r="C9573" s="11"/>
      <c r="D9573" s="11"/>
      <c r="E9573" s="11"/>
      <c r="F9573" s="11"/>
      <c r="G9573" s="11"/>
      <c r="H9573" s="11"/>
      <c r="I9573" s="15"/>
    </row>
    <row r="9574" spans="1:9" ht="16.5">
      <c r="A9574" s="10" t="b">
        <v>0</v>
      </c>
      <c r="B9574" s="11" t="str">
        <f>IF(D9574&lt;&gt;"",IF(COUNTIF('USPTO TMs'!A:A,D9574)&gt;0,"Yes","No"),"")</f>
        <v/>
      </c>
      <c r="C9574" s="11"/>
      <c r="D9574" s="11"/>
      <c r="E9574" s="11"/>
      <c r="F9574" s="11"/>
      <c r="G9574" s="11"/>
      <c r="H9574" s="11"/>
      <c r="I9574" s="15"/>
    </row>
    <row r="9575" spans="1:9" ht="16.5">
      <c r="A9575" s="10" t="b">
        <v>0</v>
      </c>
      <c r="B9575" s="11" t="str">
        <f>IF(D9575&lt;&gt;"",IF(COUNTIF('USPTO TMs'!A:A,D9575)&gt;0,"Yes","No"),"")</f>
        <v/>
      </c>
      <c r="C9575" s="11"/>
      <c r="D9575" s="11"/>
      <c r="E9575" s="11"/>
      <c r="F9575" s="11"/>
      <c r="G9575" s="11"/>
      <c r="H9575" s="11"/>
      <c r="I9575" s="15"/>
    </row>
    <row r="9576" spans="1:9" ht="16.5">
      <c r="A9576" s="10" t="b">
        <v>0</v>
      </c>
      <c r="B9576" s="11" t="str">
        <f>IF(D9576&lt;&gt;"",IF(COUNTIF('USPTO TMs'!A:A,D9576)&gt;0,"Yes","No"),"")</f>
        <v/>
      </c>
      <c r="C9576" s="11"/>
      <c r="D9576" s="11"/>
      <c r="E9576" s="11"/>
      <c r="F9576" s="11"/>
      <c r="G9576" s="11"/>
      <c r="H9576" s="11"/>
      <c r="I9576" s="15"/>
    </row>
    <row r="9577" spans="1:9" ht="16.5">
      <c r="A9577" s="10" t="b">
        <v>0</v>
      </c>
      <c r="B9577" s="11" t="str">
        <f>IF(D9577&lt;&gt;"",IF(COUNTIF('USPTO TMs'!A:A,D9577)&gt;0,"Yes","No"),"")</f>
        <v/>
      </c>
      <c r="C9577" s="11"/>
      <c r="D9577" s="11"/>
      <c r="E9577" s="11"/>
      <c r="F9577" s="11"/>
      <c r="G9577" s="11"/>
      <c r="H9577" s="11"/>
      <c r="I9577" s="15"/>
    </row>
    <row r="9578" spans="1:9" ht="16.5">
      <c r="A9578" s="10" t="b">
        <v>0</v>
      </c>
      <c r="B9578" s="11" t="str">
        <f>IF(D9578&lt;&gt;"",IF(COUNTIF('USPTO TMs'!A:A,D9578)&gt;0,"Yes","No"),"")</f>
        <v/>
      </c>
      <c r="C9578" s="11"/>
      <c r="D9578" s="11"/>
      <c r="E9578" s="11"/>
      <c r="F9578" s="11"/>
      <c r="G9578" s="11"/>
      <c r="H9578" s="11"/>
      <c r="I9578" s="15"/>
    </row>
    <row r="9579" spans="1:9" ht="16.5">
      <c r="A9579" s="10" t="b">
        <v>0</v>
      </c>
      <c r="B9579" s="11" t="str">
        <f>IF(D9579&lt;&gt;"",IF(COUNTIF('USPTO TMs'!A:A,D9579)&gt;0,"Yes","No"),"")</f>
        <v/>
      </c>
      <c r="C9579" s="11"/>
      <c r="D9579" s="11"/>
      <c r="E9579" s="11"/>
      <c r="F9579" s="11"/>
      <c r="G9579" s="11"/>
      <c r="H9579" s="11"/>
      <c r="I9579" s="15"/>
    </row>
    <row r="9580" spans="1:9" ht="16.5">
      <c r="A9580" s="10" t="b">
        <v>0</v>
      </c>
      <c r="B9580" s="11" t="str">
        <f>IF(D9580&lt;&gt;"",IF(COUNTIF('USPTO TMs'!A:A,D9580)&gt;0,"Yes","No"),"")</f>
        <v/>
      </c>
      <c r="C9580" s="11"/>
      <c r="D9580" s="11"/>
      <c r="E9580" s="11"/>
      <c r="F9580" s="11"/>
      <c r="G9580" s="11"/>
      <c r="H9580" s="11"/>
      <c r="I9580" s="15"/>
    </row>
    <row r="9581" spans="1:9" ht="16.5">
      <c r="A9581" s="10" t="b">
        <v>0</v>
      </c>
      <c r="B9581" s="11" t="str">
        <f>IF(D9581&lt;&gt;"",IF(COUNTIF('USPTO TMs'!A:A,D9581)&gt;0,"Yes","No"),"")</f>
        <v/>
      </c>
      <c r="C9581" s="11"/>
      <c r="D9581" s="11"/>
      <c r="E9581" s="11"/>
      <c r="F9581" s="11"/>
      <c r="G9581" s="11"/>
      <c r="H9581" s="11"/>
      <c r="I9581" s="15"/>
    </row>
    <row r="9582" spans="1:9" ht="16.5">
      <c r="A9582" s="10" t="b">
        <v>0</v>
      </c>
      <c r="B9582" s="11" t="str">
        <f>IF(D9582&lt;&gt;"",IF(COUNTIF('USPTO TMs'!A:A,D9582)&gt;0,"Yes","No"),"")</f>
        <v/>
      </c>
      <c r="C9582" s="11"/>
      <c r="D9582" s="11"/>
      <c r="E9582" s="11"/>
      <c r="F9582" s="11"/>
      <c r="G9582" s="11"/>
      <c r="H9582" s="11"/>
      <c r="I9582" s="15"/>
    </row>
    <row r="9583" spans="1:9" ht="16.5">
      <c r="A9583" s="10" t="b">
        <v>0</v>
      </c>
      <c r="B9583" s="11" t="str">
        <f>IF(D9583&lt;&gt;"",IF(COUNTIF('USPTO TMs'!A:A,D9583)&gt;0,"Yes","No"),"")</f>
        <v/>
      </c>
      <c r="C9583" s="11"/>
      <c r="D9583" s="11"/>
      <c r="E9583" s="11"/>
      <c r="F9583" s="11"/>
      <c r="G9583" s="11"/>
      <c r="H9583" s="11"/>
      <c r="I9583" s="15"/>
    </row>
    <row r="9584" spans="1:9" ht="16.5">
      <c r="A9584" s="10" t="b">
        <v>0</v>
      </c>
      <c r="B9584" s="11" t="str">
        <f>IF(D9584&lt;&gt;"",IF(COUNTIF('USPTO TMs'!A:A,D9584)&gt;0,"Yes","No"),"")</f>
        <v/>
      </c>
      <c r="C9584" s="11"/>
      <c r="D9584" s="11"/>
      <c r="E9584" s="11"/>
      <c r="F9584" s="11"/>
      <c r="G9584" s="11"/>
      <c r="H9584" s="11"/>
      <c r="I9584" s="15"/>
    </row>
    <row r="9585" spans="1:9" ht="16.5">
      <c r="A9585" s="10" t="b">
        <v>0</v>
      </c>
      <c r="B9585" s="11" t="str">
        <f>IF(D9585&lt;&gt;"",IF(COUNTIF('USPTO TMs'!A:A,D9585)&gt;0,"Yes","No"),"")</f>
        <v/>
      </c>
      <c r="C9585" s="11"/>
      <c r="D9585" s="11"/>
      <c r="E9585" s="11"/>
      <c r="F9585" s="11"/>
      <c r="G9585" s="11"/>
      <c r="H9585" s="11"/>
      <c r="I9585" s="15"/>
    </row>
    <row r="9586" spans="1:9" ht="16.5">
      <c r="A9586" s="10" t="b">
        <v>0</v>
      </c>
      <c r="B9586" s="11" t="str">
        <f>IF(D9586&lt;&gt;"",IF(COUNTIF('USPTO TMs'!A:A,D9586)&gt;0,"Yes","No"),"")</f>
        <v/>
      </c>
      <c r="C9586" s="11"/>
      <c r="D9586" s="11"/>
      <c r="E9586" s="11"/>
      <c r="F9586" s="11"/>
      <c r="G9586" s="11"/>
      <c r="H9586" s="11"/>
      <c r="I9586" s="15"/>
    </row>
    <row r="9587" spans="1:9" ht="16.5">
      <c r="A9587" s="10" t="b">
        <v>0</v>
      </c>
      <c r="B9587" s="11" t="str">
        <f>IF(D9587&lt;&gt;"",IF(COUNTIF('USPTO TMs'!A:A,D9587)&gt;0,"Yes","No"),"")</f>
        <v/>
      </c>
      <c r="C9587" s="11"/>
      <c r="D9587" s="11"/>
      <c r="E9587" s="11"/>
      <c r="F9587" s="11"/>
      <c r="G9587" s="11"/>
      <c r="H9587" s="11"/>
      <c r="I9587" s="15"/>
    </row>
    <row r="9588" spans="1:9" ht="16.5">
      <c r="A9588" s="10" t="b">
        <v>0</v>
      </c>
      <c r="B9588" s="11" t="str">
        <f>IF(D9588&lt;&gt;"",IF(COUNTIF('USPTO TMs'!A:A,D9588)&gt;0,"Yes","No"),"")</f>
        <v/>
      </c>
      <c r="C9588" s="11"/>
      <c r="D9588" s="11"/>
      <c r="E9588" s="11"/>
      <c r="F9588" s="11"/>
      <c r="G9588" s="11"/>
      <c r="H9588" s="11"/>
      <c r="I9588" s="15"/>
    </row>
    <row r="9589" spans="1:9" ht="16.5">
      <c r="A9589" s="10" t="b">
        <v>0</v>
      </c>
      <c r="B9589" s="11" t="str">
        <f>IF(D9589&lt;&gt;"",IF(COUNTIF('USPTO TMs'!A:A,D9589)&gt;0,"Yes","No"),"")</f>
        <v/>
      </c>
      <c r="C9589" s="11"/>
      <c r="D9589" s="11"/>
      <c r="E9589" s="11"/>
      <c r="F9589" s="11"/>
      <c r="G9589" s="11"/>
      <c r="H9589" s="11"/>
      <c r="I9589" s="15"/>
    </row>
    <row r="9590" spans="1:9" ht="16.5">
      <c r="A9590" s="10" t="b">
        <v>0</v>
      </c>
      <c r="B9590" s="11" t="str">
        <f>IF(D9590&lt;&gt;"",IF(COUNTIF('USPTO TMs'!A:A,D9590)&gt;0,"Yes","No"),"")</f>
        <v/>
      </c>
      <c r="C9590" s="11"/>
      <c r="D9590" s="11"/>
      <c r="E9590" s="11"/>
      <c r="F9590" s="11"/>
      <c r="G9590" s="11"/>
      <c r="H9590" s="11"/>
      <c r="I9590" s="15"/>
    </row>
    <row r="9591" spans="1:9" ht="16.5">
      <c r="A9591" s="10" t="b">
        <v>0</v>
      </c>
      <c r="B9591" s="11" t="str">
        <f>IF(D9591&lt;&gt;"",IF(COUNTIF('USPTO TMs'!A:A,D9591)&gt;0,"Yes","No"),"")</f>
        <v/>
      </c>
      <c r="C9591" s="11"/>
      <c r="D9591" s="11"/>
      <c r="E9591" s="11"/>
      <c r="F9591" s="11"/>
      <c r="G9591" s="11"/>
      <c r="H9591" s="11"/>
      <c r="I9591" s="15"/>
    </row>
    <row r="9592" spans="1:9" ht="16.5">
      <c r="A9592" s="10" t="b">
        <v>0</v>
      </c>
      <c r="B9592" s="11" t="str">
        <f>IF(D9592&lt;&gt;"",IF(COUNTIF('USPTO TMs'!A:A,D9592)&gt;0,"Yes","No"),"")</f>
        <v/>
      </c>
      <c r="C9592" s="11"/>
      <c r="D9592" s="11"/>
      <c r="E9592" s="11"/>
      <c r="F9592" s="11"/>
      <c r="G9592" s="11"/>
      <c r="H9592" s="11"/>
      <c r="I9592" s="15"/>
    </row>
    <row r="9593" spans="1:9" ht="16.5">
      <c r="A9593" s="10" t="b">
        <v>0</v>
      </c>
      <c r="B9593" s="11" t="str">
        <f>IF(D9593&lt;&gt;"",IF(COUNTIF('USPTO TMs'!A:A,D9593)&gt;0,"Yes","No"),"")</f>
        <v/>
      </c>
      <c r="C9593" s="11"/>
      <c r="D9593" s="11"/>
      <c r="E9593" s="11"/>
      <c r="F9593" s="11"/>
      <c r="G9593" s="11"/>
      <c r="H9593" s="11"/>
      <c r="I9593" s="15"/>
    </row>
    <row r="9594" spans="1:9" ht="16.5">
      <c r="A9594" s="10" t="b">
        <v>0</v>
      </c>
      <c r="B9594" s="11" t="str">
        <f>IF(D9594&lt;&gt;"",IF(COUNTIF('USPTO TMs'!A:A,D9594)&gt;0,"Yes","No"),"")</f>
        <v/>
      </c>
      <c r="C9594" s="11"/>
      <c r="D9594" s="11"/>
      <c r="E9594" s="11"/>
      <c r="F9594" s="11"/>
      <c r="G9594" s="11"/>
      <c r="H9594" s="11"/>
      <c r="I9594" s="15"/>
    </row>
    <row r="9595" spans="1:9" ht="16.5">
      <c r="A9595" s="10" t="b">
        <v>0</v>
      </c>
      <c r="B9595" s="11" t="str">
        <f>IF(D9595&lt;&gt;"",IF(COUNTIF('USPTO TMs'!A:A,D9595)&gt;0,"Yes","No"),"")</f>
        <v/>
      </c>
      <c r="C9595" s="11"/>
      <c r="D9595" s="11"/>
      <c r="E9595" s="11"/>
      <c r="F9595" s="11"/>
      <c r="G9595" s="11"/>
      <c r="H9595" s="11"/>
      <c r="I9595" s="15"/>
    </row>
    <row r="9596" spans="1:9" ht="16.5">
      <c r="A9596" s="10" t="b">
        <v>0</v>
      </c>
      <c r="B9596" s="11" t="str">
        <f>IF(D9596&lt;&gt;"",IF(COUNTIF('USPTO TMs'!A:A,D9596)&gt;0,"Yes","No"),"")</f>
        <v/>
      </c>
      <c r="C9596" s="11"/>
      <c r="D9596" s="11"/>
      <c r="E9596" s="11"/>
      <c r="F9596" s="11"/>
      <c r="G9596" s="11"/>
      <c r="H9596" s="11"/>
      <c r="I9596" s="15"/>
    </row>
    <row r="9597" spans="1:9" ht="16.5">
      <c r="A9597" s="10" t="b">
        <v>0</v>
      </c>
      <c r="B9597" s="11" t="str">
        <f>IF(D9597&lt;&gt;"",IF(COUNTIF('USPTO TMs'!A:A,D9597)&gt;0,"Yes","No"),"")</f>
        <v/>
      </c>
      <c r="C9597" s="11"/>
      <c r="D9597" s="11"/>
      <c r="E9597" s="11"/>
      <c r="F9597" s="11"/>
      <c r="G9597" s="11"/>
      <c r="H9597" s="11"/>
      <c r="I9597" s="15"/>
    </row>
    <row r="9598" spans="1:9" ht="16.5">
      <c r="A9598" s="10" t="b">
        <v>0</v>
      </c>
      <c r="B9598" s="11" t="str">
        <f>IF(D9598&lt;&gt;"",IF(COUNTIF('USPTO TMs'!A:A,D9598)&gt;0,"Yes","No"),"")</f>
        <v/>
      </c>
      <c r="C9598" s="11"/>
      <c r="D9598" s="11"/>
      <c r="E9598" s="11"/>
      <c r="F9598" s="11"/>
      <c r="G9598" s="11"/>
      <c r="H9598" s="11"/>
      <c r="I9598" s="15"/>
    </row>
    <row r="9599" spans="1:9" ht="16.5">
      <c r="A9599" s="10" t="b">
        <v>0</v>
      </c>
      <c r="B9599" s="11" t="str">
        <f>IF(D9599&lt;&gt;"",IF(COUNTIF('USPTO TMs'!A:A,D9599)&gt;0,"Yes","No"),"")</f>
        <v/>
      </c>
      <c r="C9599" s="11"/>
      <c r="D9599" s="11"/>
      <c r="E9599" s="11"/>
      <c r="F9599" s="11"/>
      <c r="G9599" s="11"/>
      <c r="H9599" s="11"/>
      <c r="I9599" s="15"/>
    </row>
    <row r="9600" spans="1:9" ht="16.5">
      <c r="A9600" s="10" t="b">
        <v>0</v>
      </c>
      <c r="B9600" s="11" t="str">
        <f>IF(D9600&lt;&gt;"",IF(COUNTIF('USPTO TMs'!A:A,D9600)&gt;0,"Yes","No"),"")</f>
        <v/>
      </c>
      <c r="C9600" s="11"/>
      <c r="D9600" s="11"/>
      <c r="E9600" s="11"/>
      <c r="F9600" s="11"/>
      <c r="G9600" s="11"/>
      <c r="H9600" s="11"/>
      <c r="I9600" s="15"/>
    </row>
    <row r="9601" spans="1:9" ht="16.5">
      <c r="A9601" s="10" t="b">
        <v>0</v>
      </c>
      <c r="B9601" s="11" t="str">
        <f>IF(D9601&lt;&gt;"",IF(COUNTIF('USPTO TMs'!A:A,D9601)&gt;0,"Yes","No"),"")</f>
        <v/>
      </c>
      <c r="C9601" s="11"/>
      <c r="D9601" s="11"/>
      <c r="E9601" s="11"/>
      <c r="F9601" s="11"/>
      <c r="G9601" s="11"/>
      <c r="H9601" s="11"/>
      <c r="I9601" s="15"/>
    </row>
    <row r="9602" spans="1:9" ht="16.5">
      <c r="A9602" s="10" t="b">
        <v>0</v>
      </c>
      <c r="B9602" s="11" t="str">
        <f>IF(D9602&lt;&gt;"",IF(COUNTIF('USPTO TMs'!A:A,D9602)&gt;0,"Yes","No"),"")</f>
        <v/>
      </c>
      <c r="C9602" s="11"/>
      <c r="D9602" s="11"/>
      <c r="E9602" s="11"/>
      <c r="F9602" s="11"/>
      <c r="G9602" s="11"/>
      <c r="H9602" s="11"/>
      <c r="I9602" s="15"/>
    </row>
    <row r="9603" spans="1:9" ht="16.5">
      <c r="A9603" s="10" t="b">
        <v>0</v>
      </c>
      <c r="B9603" s="11" t="str">
        <f>IF(D9603&lt;&gt;"",IF(COUNTIF('USPTO TMs'!A:A,D9603)&gt;0,"Yes","No"),"")</f>
        <v/>
      </c>
      <c r="C9603" s="11"/>
      <c r="D9603" s="11"/>
      <c r="E9603" s="11"/>
      <c r="F9603" s="11"/>
      <c r="G9603" s="11"/>
      <c r="H9603" s="11"/>
      <c r="I9603" s="15"/>
    </row>
    <row r="9604" spans="1:9" ht="16.5">
      <c r="A9604" s="10" t="b">
        <v>0</v>
      </c>
      <c r="B9604" s="11" t="str">
        <f>IF(D9604&lt;&gt;"",IF(COUNTIF('USPTO TMs'!A:A,D9604)&gt;0,"Yes","No"),"")</f>
        <v/>
      </c>
      <c r="C9604" s="11"/>
      <c r="D9604" s="11"/>
      <c r="E9604" s="11"/>
      <c r="F9604" s="11"/>
      <c r="G9604" s="11"/>
      <c r="H9604" s="11"/>
      <c r="I9604" s="15"/>
    </row>
    <row r="9605" spans="1:9" ht="16.5">
      <c r="A9605" s="10" t="b">
        <v>0</v>
      </c>
      <c r="B9605" s="11" t="str">
        <f>IF(D9605&lt;&gt;"",IF(COUNTIF('USPTO TMs'!A:A,D9605)&gt;0,"Yes","No"),"")</f>
        <v/>
      </c>
      <c r="C9605" s="11"/>
      <c r="D9605" s="11"/>
      <c r="E9605" s="11"/>
      <c r="F9605" s="11"/>
      <c r="G9605" s="11"/>
      <c r="H9605" s="11"/>
      <c r="I9605" s="15"/>
    </row>
    <row r="9606" spans="1:9" ht="16.5">
      <c r="A9606" s="10" t="b">
        <v>0</v>
      </c>
      <c r="B9606" s="11" t="str">
        <f>IF(D9606&lt;&gt;"",IF(COUNTIF('USPTO TMs'!A:A,D9606)&gt;0,"Yes","No"),"")</f>
        <v/>
      </c>
      <c r="C9606" s="11"/>
      <c r="D9606" s="11"/>
      <c r="E9606" s="11"/>
      <c r="F9606" s="11"/>
      <c r="G9606" s="11"/>
      <c r="H9606" s="11"/>
      <c r="I9606" s="15"/>
    </row>
    <row r="9607" spans="1:9" ht="16.5">
      <c r="A9607" s="10" t="b">
        <v>0</v>
      </c>
      <c r="B9607" s="11" t="str">
        <f>IF(D9607&lt;&gt;"",IF(COUNTIF('USPTO TMs'!A:A,D9607)&gt;0,"Yes","No"),"")</f>
        <v/>
      </c>
      <c r="C9607" s="11"/>
      <c r="D9607" s="11"/>
      <c r="E9607" s="11"/>
      <c r="F9607" s="11"/>
      <c r="G9607" s="11"/>
      <c r="H9607" s="11"/>
      <c r="I9607" s="15"/>
    </row>
    <row r="9608" spans="1:9" ht="16.5">
      <c r="A9608" s="10" t="b">
        <v>0</v>
      </c>
      <c r="B9608" s="11" t="str">
        <f>IF(D9608&lt;&gt;"",IF(COUNTIF('USPTO TMs'!A:A,D9608)&gt;0,"Yes","No"),"")</f>
        <v/>
      </c>
      <c r="C9608" s="11"/>
      <c r="D9608" s="11"/>
      <c r="E9608" s="11"/>
      <c r="F9608" s="11"/>
      <c r="G9608" s="11"/>
      <c r="H9608" s="11"/>
      <c r="I9608" s="15"/>
    </row>
    <row r="9609" spans="1:9" ht="16.5">
      <c r="A9609" s="10" t="b">
        <v>0</v>
      </c>
      <c r="B9609" s="11" t="str">
        <f>IF(D9609&lt;&gt;"",IF(COUNTIF('USPTO TMs'!A:A,D9609)&gt;0,"Yes","No"),"")</f>
        <v/>
      </c>
      <c r="C9609" s="11"/>
      <c r="D9609" s="11"/>
      <c r="E9609" s="11"/>
      <c r="F9609" s="11"/>
      <c r="G9609" s="11"/>
      <c r="H9609" s="11"/>
      <c r="I9609" s="15"/>
    </row>
    <row r="9610" spans="1:9" ht="16.5">
      <c r="A9610" s="10" t="b">
        <v>0</v>
      </c>
      <c r="B9610" s="11" t="str">
        <f>IF(D9610&lt;&gt;"",IF(COUNTIF('USPTO TMs'!A:A,D9610)&gt;0,"Yes","No"),"")</f>
        <v/>
      </c>
      <c r="C9610" s="11"/>
      <c r="D9610" s="11"/>
      <c r="E9610" s="11"/>
      <c r="F9610" s="11"/>
      <c r="G9610" s="11"/>
      <c r="H9610" s="11"/>
      <c r="I9610" s="15"/>
    </row>
    <row r="9611" spans="1:9" ht="16.5">
      <c r="A9611" s="10" t="b">
        <v>0</v>
      </c>
      <c r="B9611" s="11" t="str">
        <f>IF(D9611&lt;&gt;"",IF(COUNTIF('USPTO TMs'!A:A,D9611)&gt;0,"Yes","No"),"")</f>
        <v/>
      </c>
      <c r="C9611" s="11"/>
      <c r="D9611" s="11"/>
      <c r="E9611" s="11"/>
      <c r="F9611" s="11"/>
      <c r="G9611" s="11"/>
      <c r="H9611" s="11"/>
      <c r="I9611" s="15"/>
    </row>
    <row r="9612" spans="1:9" ht="16.5">
      <c r="A9612" s="10" t="b">
        <v>0</v>
      </c>
      <c r="B9612" s="11" t="str">
        <f>IF(D9612&lt;&gt;"",IF(COUNTIF('USPTO TMs'!A:A,D9612)&gt;0,"Yes","No"),"")</f>
        <v/>
      </c>
      <c r="C9612" s="11"/>
      <c r="D9612" s="11"/>
      <c r="E9612" s="11"/>
      <c r="F9612" s="11"/>
      <c r="G9612" s="11"/>
      <c r="H9612" s="11"/>
      <c r="I9612" s="15"/>
    </row>
    <row r="9613" spans="1:9" ht="16.5">
      <c r="A9613" s="10" t="b">
        <v>0</v>
      </c>
      <c r="B9613" s="11" t="str">
        <f>IF(D9613&lt;&gt;"",IF(COUNTIF('USPTO TMs'!A:A,D9613)&gt;0,"Yes","No"),"")</f>
        <v/>
      </c>
      <c r="C9613" s="11"/>
      <c r="D9613" s="11"/>
      <c r="E9613" s="11"/>
      <c r="F9613" s="11"/>
      <c r="G9613" s="11"/>
      <c r="H9613" s="11"/>
      <c r="I9613" s="15"/>
    </row>
    <row r="9614" spans="1:9" ht="16.5">
      <c r="A9614" s="10" t="b">
        <v>0</v>
      </c>
      <c r="B9614" s="11" t="str">
        <f>IF(D9614&lt;&gt;"",IF(COUNTIF('USPTO TMs'!A:A,D9614)&gt;0,"Yes","No"),"")</f>
        <v/>
      </c>
      <c r="C9614" s="11"/>
      <c r="D9614" s="11"/>
      <c r="E9614" s="11"/>
      <c r="F9614" s="11"/>
      <c r="G9614" s="11"/>
      <c r="H9614" s="11"/>
      <c r="I9614" s="15"/>
    </row>
    <row r="9615" spans="1:9" ht="16.5">
      <c r="A9615" s="10" t="b">
        <v>0</v>
      </c>
      <c r="B9615" s="11" t="str">
        <f>IF(D9615&lt;&gt;"",IF(COUNTIF('USPTO TMs'!A:A,D9615)&gt;0,"Yes","No"),"")</f>
        <v/>
      </c>
      <c r="C9615" s="11"/>
      <c r="D9615" s="11"/>
      <c r="E9615" s="11"/>
      <c r="F9615" s="11"/>
      <c r="G9615" s="11"/>
      <c r="H9615" s="11"/>
      <c r="I9615" s="15"/>
    </row>
    <row r="9616" spans="1:9" ht="16.5">
      <c r="A9616" s="10" t="b">
        <v>0</v>
      </c>
      <c r="B9616" s="11" t="str">
        <f>IF(D9616&lt;&gt;"",IF(COUNTIF('USPTO TMs'!A:A,D9616)&gt;0,"Yes","No"),"")</f>
        <v/>
      </c>
      <c r="C9616" s="11"/>
      <c r="D9616" s="11"/>
      <c r="E9616" s="11"/>
      <c r="F9616" s="11"/>
      <c r="G9616" s="11"/>
      <c r="H9616" s="11"/>
      <c r="I9616" s="15"/>
    </row>
    <row r="9617" spans="1:9" ht="16.5">
      <c r="A9617" s="10" t="b">
        <v>0</v>
      </c>
      <c r="B9617" s="11" t="str">
        <f>IF(D9617&lt;&gt;"",IF(COUNTIF('USPTO TMs'!A:A,D9617)&gt;0,"Yes","No"),"")</f>
        <v/>
      </c>
      <c r="C9617" s="11"/>
      <c r="D9617" s="11"/>
      <c r="E9617" s="11"/>
      <c r="F9617" s="11"/>
      <c r="G9617" s="11"/>
      <c r="H9617" s="11"/>
      <c r="I9617" s="15"/>
    </row>
    <row r="9618" spans="1:9" ht="16.5">
      <c r="A9618" s="10" t="b">
        <v>0</v>
      </c>
      <c r="B9618" s="11" t="str">
        <f>IF(D9618&lt;&gt;"",IF(COUNTIF('USPTO TMs'!A:A,D9618)&gt;0,"Yes","No"),"")</f>
        <v/>
      </c>
      <c r="C9618" s="11"/>
      <c r="D9618" s="11"/>
      <c r="E9618" s="11"/>
      <c r="F9618" s="11"/>
      <c r="G9618" s="11"/>
      <c r="H9618" s="11"/>
      <c r="I9618" s="15"/>
    </row>
    <row r="9619" spans="1:9" ht="16.5">
      <c r="A9619" s="10" t="b">
        <v>0</v>
      </c>
      <c r="B9619" s="11" t="str">
        <f>IF(D9619&lt;&gt;"",IF(COUNTIF('USPTO TMs'!A:A,D9619)&gt;0,"Yes","No"),"")</f>
        <v/>
      </c>
      <c r="C9619" s="11"/>
      <c r="D9619" s="11"/>
      <c r="E9619" s="11"/>
      <c r="F9619" s="11"/>
      <c r="G9619" s="11"/>
      <c r="H9619" s="11"/>
      <c r="I9619" s="15"/>
    </row>
    <row r="9620" spans="1:9" ht="16.5">
      <c r="A9620" s="10" t="b">
        <v>0</v>
      </c>
      <c r="B9620" s="11" t="str">
        <f>IF(D9620&lt;&gt;"",IF(COUNTIF('USPTO TMs'!A:A,D9620)&gt;0,"Yes","No"),"")</f>
        <v/>
      </c>
      <c r="C9620" s="11"/>
      <c r="D9620" s="11"/>
      <c r="E9620" s="11"/>
      <c r="F9620" s="11"/>
      <c r="G9620" s="11"/>
      <c r="H9620" s="11"/>
      <c r="I9620" s="15"/>
    </row>
    <row r="9621" spans="1:9" ht="16.5">
      <c r="A9621" s="10" t="b">
        <v>0</v>
      </c>
      <c r="B9621" s="11" t="str">
        <f>IF(D9621&lt;&gt;"",IF(COUNTIF('USPTO TMs'!A:A,D9621)&gt;0,"Yes","No"),"")</f>
        <v/>
      </c>
      <c r="C9621" s="11"/>
      <c r="D9621" s="11"/>
      <c r="E9621" s="11"/>
      <c r="F9621" s="11"/>
      <c r="G9621" s="11"/>
      <c r="H9621" s="11"/>
      <c r="I9621" s="15"/>
    </row>
    <row r="9622" spans="1:9" ht="16.5">
      <c r="A9622" s="10" t="b">
        <v>0</v>
      </c>
      <c r="B9622" s="11" t="str">
        <f>IF(D9622&lt;&gt;"",IF(COUNTIF('USPTO TMs'!A:A,D9622)&gt;0,"Yes","No"),"")</f>
        <v/>
      </c>
      <c r="C9622" s="11"/>
      <c r="D9622" s="11"/>
      <c r="E9622" s="11"/>
      <c r="F9622" s="11"/>
      <c r="G9622" s="11"/>
      <c r="H9622" s="11"/>
      <c r="I9622" s="15"/>
    </row>
    <row r="9623" spans="1:9" ht="16.5">
      <c r="A9623" s="10" t="b">
        <v>0</v>
      </c>
      <c r="B9623" s="11" t="str">
        <f>IF(D9623&lt;&gt;"",IF(COUNTIF('USPTO TMs'!A:A,D9623)&gt;0,"Yes","No"),"")</f>
        <v/>
      </c>
      <c r="C9623" s="11"/>
      <c r="D9623" s="11"/>
      <c r="E9623" s="11"/>
      <c r="F9623" s="11"/>
      <c r="G9623" s="11"/>
      <c r="H9623" s="11"/>
      <c r="I9623" s="15"/>
    </row>
    <row r="9624" spans="1:9" ht="16.5">
      <c r="A9624" s="10" t="b">
        <v>0</v>
      </c>
      <c r="B9624" s="11" t="str">
        <f>IF(D9624&lt;&gt;"",IF(COUNTIF('USPTO TMs'!A:A,D9624)&gt;0,"Yes","No"),"")</f>
        <v/>
      </c>
      <c r="C9624" s="11"/>
      <c r="D9624" s="11"/>
      <c r="E9624" s="11"/>
      <c r="F9624" s="11"/>
      <c r="G9624" s="11"/>
      <c r="H9624" s="11"/>
      <c r="I9624" s="15"/>
    </row>
    <row r="9625" spans="1:9" ht="16.5">
      <c r="A9625" s="10" t="b">
        <v>0</v>
      </c>
      <c r="B9625" s="11" t="str">
        <f>IF(D9625&lt;&gt;"",IF(COUNTIF('USPTO TMs'!A:A,D9625)&gt;0,"Yes","No"),"")</f>
        <v/>
      </c>
      <c r="C9625" s="11"/>
      <c r="D9625" s="11"/>
      <c r="E9625" s="11"/>
      <c r="F9625" s="11"/>
      <c r="G9625" s="11"/>
      <c r="H9625" s="11"/>
      <c r="I9625" s="15"/>
    </row>
    <row r="9626" spans="1:9" ht="16.5">
      <c r="A9626" s="10" t="b">
        <v>0</v>
      </c>
      <c r="B9626" s="11" t="str">
        <f>IF(D9626&lt;&gt;"",IF(COUNTIF('USPTO TMs'!A:A,D9626)&gt;0,"Yes","No"),"")</f>
        <v/>
      </c>
      <c r="C9626" s="11"/>
      <c r="D9626" s="11"/>
      <c r="E9626" s="11"/>
      <c r="F9626" s="11"/>
      <c r="G9626" s="11"/>
      <c r="H9626" s="11"/>
      <c r="I9626" s="15"/>
    </row>
    <row r="9627" spans="1:9" ht="16.5">
      <c r="A9627" s="10" t="b">
        <v>0</v>
      </c>
      <c r="B9627" s="11" t="str">
        <f>IF(D9627&lt;&gt;"",IF(COUNTIF('USPTO TMs'!A:A,D9627)&gt;0,"Yes","No"),"")</f>
        <v/>
      </c>
      <c r="C9627" s="11"/>
      <c r="D9627" s="11"/>
      <c r="E9627" s="11"/>
      <c r="F9627" s="11"/>
      <c r="G9627" s="11"/>
      <c r="H9627" s="11"/>
      <c r="I9627" s="15"/>
    </row>
    <row r="9628" spans="1:9" ht="16.5">
      <c r="A9628" s="10" t="b">
        <v>0</v>
      </c>
      <c r="B9628" s="11" t="str">
        <f>IF(D9628&lt;&gt;"",IF(COUNTIF('USPTO TMs'!A:A,D9628)&gt;0,"Yes","No"),"")</f>
        <v/>
      </c>
      <c r="C9628" s="11"/>
      <c r="D9628" s="11"/>
      <c r="E9628" s="11"/>
      <c r="F9628" s="11"/>
      <c r="G9628" s="11"/>
      <c r="H9628" s="11"/>
      <c r="I9628" s="15"/>
    </row>
    <row r="9629" spans="1:9" ht="16.5">
      <c r="A9629" s="10" t="b">
        <v>0</v>
      </c>
      <c r="B9629" s="11" t="str">
        <f>IF(D9629&lt;&gt;"",IF(COUNTIF('USPTO TMs'!A:A,D9629)&gt;0,"Yes","No"),"")</f>
        <v/>
      </c>
      <c r="C9629" s="11"/>
      <c r="D9629" s="11"/>
      <c r="E9629" s="11"/>
      <c r="F9629" s="11"/>
      <c r="G9629" s="11"/>
      <c r="H9629" s="11"/>
      <c r="I9629" s="15"/>
    </row>
    <row r="9630" spans="1:9" ht="16.5">
      <c r="A9630" s="10" t="b">
        <v>0</v>
      </c>
      <c r="B9630" s="11" t="str">
        <f>IF(D9630&lt;&gt;"",IF(COUNTIF('USPTO TMs'!A:A,D9630)&gt;0,"Yes","No"),"")</f>
        <v/>
      </c>
      <c r="C9630" s="11"/>
      <c r="D9630" s="11"/>
      <c r="E9630" s="11"/>
      <c r="F9630" s="11"/>
      <c r="G9630" s="11"/>
      <c r="H9630" s="11"/>
      <c r="I9630" s="15"/>
    </row>
    <row r="9631" spans="1:9" ht="16.5">
      <c r="A9631" s="10" t="b">
        <v>0</v>
      </c>
      <c r="B9631" s="11" t="str">
        <f>IF(D9631&lt;&gt;"",IF(COUNTIF('USPTO TMs'!A:A,D9631)&gt;0,"Yes","No"),"")</f>
        <v/>
      </c>
      <c r="C9631" s="11"/>
      <c r="D9631" s="11"/>
      <c r="E9631" s="11"/>
      <c r="F9631" s="11"/>
      <c r="G9631" s="11"/>
      <c r="H9631" s="11"/>
      <c r="I9631" s="15"/>
    </row>
    <row r="9632" spans="1:9" ht="16.5">
      <c r="A9632" s="10" t="b">
        <v>0</v>
      </c>
      <c r="B9632" s="11" t="str">
        <f>IF(D9632&lt;&gt;"",IF(COUNTIF('USPTO TMs'!A:A,D9632)&gt;0,"Yes","No"),"")</f>
        <v/>
      </c>
      <c r="C9632" s="11"/>
      <c r="D9632" s="11"/>
      <c r="E9632" s="11"/>
      <c r="F9632" s="11"/>
      <c r="G9632" s="11"/>
      <c r="H9632" s="11"/>
      <c r="I9632" s="15"/>
    </row>
    <row r="9633" spans="1:9" ht="16.5">
      <c r="A9633" s="10" t="b">
        <v>0</v>
      </c>
      <c r="B9633" s="11" t="str">
        <f>IF(D9633&lt;&gt;"",IF(COUNTIF('USPTO TMs'!A:A,D9633)&gt;0,"Yes","No"),"")</f>
        <v/>
      </c>
      <c r="C9633" s="11"/>
      <c r="D9633" s="11"/>
      <c r="E9633" s="11"/>
      <c r="F9633" s="11"/>
      <c r="G9633" s="11"/>
      <c r="H9633" s="11"/>
      <c r="I9633" s="15"/>
    </row>
    <row r="9634" spans="1:9" ht="16.5">
      <c r="A9634" s="10" t="b">
        <v>0</v>
      </c>
      <c r="B9634" s="11" t="str">
        <f>IF(D9634&lt;&gt;"",IF(COUNTIF('USPTO TMs'!A:A,D9634)&gt;0,"Yes","No"),"")</f>
        <v/>
      </c>
      <c r="C9634" s="11"/>
      <c r="D9634" s="11"/>
      <c r="E9634" s="11"/>
      <c r="F9634" s="11"/>
      <c r="G9634" s="11"/>
      <c r="H9634" s="11"/>
      <c r="I9634" s="15"/>
    </row>
    <row r="9635" spans="1:9" ht="16.5">
      <c r="A9635" s="10" t="b">
        <v>0</v>
      </c>
      <c r="B9635" s="11" t="str">
        <f>IF(D9635&lt;&gt;"",IF(COUNTIF('USPTO TMs'!A:A,D9635)&gt;0,"Yes","No"),"")</f>
        <v/>
      </c>
      <c r="C9635" s="11"/>
      <c r="D9635" s="11"/>
      <c r="E9635" s="11"/>
      <c r="F9635" s="11"/>
      <c r="G9635" s="11"/>
      <c r="H9635" s="11"/>
      <c r="I9635" s="15"/>
    </row>
    <row r="9636" spans="1:9" ht="16.5">
      <c r="A9636" s="10" t="b">
        <v>0</v>
      </c>
      <c r="B9636" s="11" t="str">
        <f>IF(D9636&lt;&gt;"",IF(COUNTIF('USPTO TMs'!A:A,D9636)&gt;0,"Yes","No"),"")</f>
        <v/>
      </c>
      <c r="C9636" s="11"/>
      <c r="D9636" s="11"/>
      <c r="E9636" s="11"/>
      <c r="F9636" s="11"/>
      <c r="G9636" s="11"/>
      <c r="H9636" s="11"/>
      <c r="I9636" s="15"/>
    </row>
    <row r="9637" spans="1:9" ht="16.5">
      <c r="A9637" s="10" t="b">
        <v>0</v>
      </c>
      <c r="B9637" s="11" t="str">
        <f>IF(D9637&lt;&gt;"",IF(COUNTIF('USPTO TMs'!A:A,D9637)&gt;0,"Yes","No"),"")</f>
        <v/>
      </c>
      <c r="C9637" s="11"/>
      <c r="D9637" s="11"/>
      <c r="E9637" s="11"/>
      <c r="F9637" s="11"/>
      <c r="G9637" s="11"/>
      <c r="H9637" s="11"/>
      <c r="I9637" s="15"/>
    </row>
    <row r="9638" spans="1:9" ht="16.5">
      <c r="A9638" s="10" t="b">
        <v>0</v>
      </c>
      <c r="B9638" s="11" t="str">
        <f>IF(D9638&lt;&gt;"",IF(COUNTIF('USPTO TMs'!A:A,D9638)&gt;0,"Yes","No"),"")</f>
        <v/>
      </c>
      <c r="C9638" s="11"/>
      <c r="D9638" s="11"/>
      <c r="E9638" s="11"/>
      <c r="F9638" s="11"/>
      <c r="G9638" s="11"/>
      <c r="H9638" s="11"/>
      <c r="I9638" s="15"/>
    </row>
    <row r="9639" spans="1:9" ht="16.5">
      <c r="A9639" s="10" t="b">
        <v>0</v>
      </c>
      <c r="B9639" s="11" t="str">
        <f>IF(D9639&lt;&gt;"",IF(COUNTIF('USPTO TMs'!A:A,D9639)&gt;0,"Yes","No"),"")</f>
        <v/>
      </c>
      <c r="C9639" s="11"/>
      <c r="D9639" s="11"/>
      <c r="E9639" s="11"/>
      <c r="F9639" s="11"/>
      <c r="G9639" s="11"/>
      <c r="H9639" s="11"/>
      <c r="I9639" s="15"/>
    </row>
    <row r="9640" spans="1:9" ht="16.5">
      <c r="A9640" s="10" t="b">
        <v>0</v>
      </c>
      <c r="B9640" s="11" t="str">
        <f>IF(D9640&lt;&gt;"",IF(COUNTIF('USPTO TMs'!A:A,D9640)&gt;0,"Yes","No"),"")</f>
        <v/>
      </c>
      <c r="C9640" s="11"/>
      <c r="D9640" s="11"/>
      <c r="E9640" s="11"/>
      <c r="F9640" s="11"/>
      <c r="G9640" s="11"/>
      <c r="H9640" s="11"/>
      <c r="I9640" s="15"/>
    </row>
    <row r="9641" spans="1:9" ht="16.5">
      <c r="A9641" s="10" t="b">
        <v>0</v>
      </c>
      <c r="B9641" s="11" t="str">
        <f>IF(D9641&lt;&gt;"",IF(COUNTIF('USPTO TMs'!A:A,D9641)&gt;0,"Yes","No"),"")</f>
        <v/>
      </c>
      <c r="C9641" s="11"/>
      <c r="D9641" s="11"/>
      <c r="E9641" s="11"/>
      <c r="F9641" s="11"/>
      <c r="G9641" s="11"/>
      <c r="H9641" s="11"/>
      <c r="I9641" s="15"/>
    </row>
    <row r="9642" spans="1:9" ht="16.5">
      <c r="A9642" s="10" t="b">
        <v>0</v>
      </c>
      <c r="B9642" s="11" t="str">
        <f>IF(D9642&lt;&gt;"",IF(COUNTIF('USPTO TMs'!A:A,D9642)&gt;0,"Yes","No"),"")</f>
        <v/>
      </c>
      <c r="C9642" s="11"/>
      <c r="D9642" s="11"/>
      <c r="E9642" s="11"/>
      <c r="F9642" s="11"/>
      <c r="G9642" s="11"/>
      <c r="H9642" s="11"/>
      <c r="I9642" s="15"/>
    </row>
    <row r="9643" spans="1:9" ht="16.5">
      <c r="A9643" s="10" t="b">
        <v>0</v>
      </c>
      <c r="B9643" s="11" t="str">
        <f>IF(D9643&lt;&gt;"",IF(COUNTIF('USPTO TMs'!A:A,D9643)&gt;0,"Yes","No"),"")</f>
        <v/>
      </c>
      <c r="C9643" s="11"/>
      <c r="D9643" s="11"/>
      <c r="E9643" s="11"/>
      <c r="F9643" s="11"/>
      <c r="G9643" s="11"/>
      <c r="H9643" s="11"/>
      <c r="I9643" s="15"/>
    </row>
    <row r="9644" spans="1:9" ht="16.5">
      <c r="A9644" s="10" t="b">
        <v>0</v>
      </c>
      <c r="B9644" s="11" t="str">
        <f>IF(D9644&lt;&gt;"",IF(COUNTIF('USPTO TMs'!A:A,D9644)&gt;0,"Yes","No"),"")</f>
        <v/>
      </c>
      <c r="C9644" s="11"/>
      <c r="D9644" s="11"/>
      <c r="E9644" s="11"/>
      <c r="F9644" s="11"/>
      <c r="G9644" s="11"/>
      <c r="H9644" s="11"/>
      <c r="I9644" s="15"/>
    </row>
    <row r="9645" spans="1:9" ht="16.5">
      <c r="A9645" s="10" t="b">
        <v>0</v>
      </c>
      <c r="B9645" s="11" t="str">
        <f>IF(D9645&lt;&gt;"",IF(COUNTIF('USPTO TMs'!A:A,D9645)&gt;0,"Yes","No"),"")</f>
        <v/>
      </c>
      <c r="C9645" s="11"/>
      <c r="D9645" s="11"/>
      <c r="E9645" s="11"/>
      <c r="F9645" s="11"/>
      <c r="G9645" s="11"/>
      <c r="H9645" s="11"/>
      <c r="I9645" s="15"/>
    </row>
    <row r="9646" spans="1:9" ht="16.5">
      <c r="A9646" s="10" t="b">
        <v>0</v>
      </c>
      <c r="B9646" s="11" t="str">
        <f>IF(D9646&lt;&gt;"",IF(COUNTIF('USPTO TMs'!A:A,D9646)&gt;0,"Yes","No"),"")</f>
        <v/>
      </c>
      <c r="C9646" s="11"/>
      <c r="D9646" s="11"/>
      <c r="E9646" s="11"/>
      <c r="F9646" s="11"/>
      <c r="G9646" s="11"/>
      <c r="H9646" s="11"/>
      <c r="I9646" s="15"/>
    </row>
    <row r="9647" spans="1:9" ht="16.5">
      <c r="A9647" s="10" t="b">
        <v>0</v>
      </c>
      <c r="B9647" s="11" t="str">
        <f>IF(D9647&lt;&gt;"",IF(COUNTIF('USPTO TMs'!A:A,D9647)&gt;0,"Yes","No"),"")</f>
        <v/>
      </c>
      <c r="C9647" s="11"/>
      <c r="D9647" s="11"/>
      <c r="E9647" s="11"/>
      <c r="F9647" s="11"/>
      <c r="G9647" s="11"/>
      <c r="H9647" s="11"/>
      <c r="I9647" s="15"/>
    </row>
    <row r="9648" spans="1:9" ht="16.5">
      <c r="A9648" s="10" t="b">
        <v>0</v>
      </c>
      <c r="B9648" s="11" t="str">
        <f>IF(D9648&lt;&gt;"",IF(COUNTIF('USPTO TMs'!A:A,D9648)&gt;0,"Yes","No"),"")</f>
        <v/>
      </c>
      <c r="C9648" s="11"/>
      <c r="D9648" s="11"/>
      <c r="E9648" s="11"/>
      <c r="F9648" s="11"/>
      <c r="G9648" s="11"/>
      <c r="H9648" s="11"/>
      <c r="I9648" s="15"/>
    </row>
    <row r="9649" spans="1:9" ht="16.5">
      <c r="A9649" s="10" t="b">
        <v>0</v>
      </c>
      <c r="B9649" s="11" t="str">
        <f>IF(D9649&lt;&gt;"",IF(COUNTIF('USPTO TMs'!A:A,D9649)&gt;0,"Yes","No"),"")</f>
        <v/>
      </c>
      <c r="C9649" s="11"/>
      <c r="D9649" s="11"/>
      <c r="E9649" s="11"/>
      <c r="F9649" s="11"/>
      <c r="G9649" s="11"/>
      <c r="H9649" s="11"/>
      <c r="I9649" s="15"/>
    </row>
    <row r="9650" spans="1:9" ht="16.5">
      <c r="A9650" s="10" t="b">
        <v>0</v>
      </c>
      <c r="B9650" s="11" t="str">
        <f>IF(D9650&lt;&gt;"",IF(COUNTIF('USPTO TMs'!A:A,D9650)&gt;0,"Yes","No"),"")</f>
        <v/>
      </c>
      <c r="C9650" s="11"/>
      <c r="D9650" s="11"/>
      <c r="E9650" s="11"/>
      <c r="F9650" s="11"/>
      <c r="G9650" s="11"/>
      <c r="H9650" s="11"/>
      <c r="I9650" s="15"/>
    </row>
    <row r="9651" spans="1:9" ht="16.5">
      <c r="A9651" s="10" t="b">
        <v>0</v>
      </c>
      <c r="B9651" s="11" t="str">
        <f>IF(D9651&lt;&gt;"",IF(COUNTIF('USPTO TMs'!A:A,D9651)&gt;0,"Yes","No"),"")</f>
        <v/>
      </c>
      <c r="C9651" s="11"/>
      <c r="D9651" s="11"/>
      <c r="E9651" s="11"/>
      <c r="F9651" s="11"/>
      <c r="G9651" s="11"/>
      <c r="H9651" s="11"/>
      <c r="I9651" s="15"/>
    </row>
    <row r="9652" spans="1:9" ht="16.5">
      <c r="A9652" s="10" t="b">
        <v>0</v>
      </c>
      <c r="B9652" s="11" t="str">
        <f>IF(D9652&lt;&gt;"",IF(COUNTIF('USPTO TMs'!A:A,D9652)&gt;0,"Yes","No"),"")</f>
        <v/>
      </c>
      <c r="C9652" s="11"/>
      <c r="D9652" s="11"/>
      <c r="E9652" s="11"/>
      <c r="F9652" s="11"/>
      <c r="G9652" s="11"/>
      <c r="H9652" s="11"/>
      <c r="I9652" s="15"/>
    </row>
    <row r="9653" spans="1:9" ht="16.5">
      <c r="A9653" s="10" t="b">
        <v>0</v>
      </c>
      <c r="B9653" s="11" t="str">
        <f>IF(D9653&lt;&gt;"",IF(COUNTIF('USPTO TMs'!A:A,D9653)&gt;0,"Yes","No"),"")</f>
        <v/>
      </c>
      <c r="C9653" s="11"/>
      <c r="D9653" s="11"/>
      <c r="E9653" s="11"/>
      <c r="F9653" s="11"/>
      <c r="G9653" s="11"/>
      <c r="H9653" s="11"/>
      <c r="I9653" s="15"/>
    </row>
    <row r="9654" spans="1:9" ht="16.5">
      <c r="A9654" s="10" t="b">
        <v>0</v>
      </c>
      <c r="B9654" s="11" t="str">
        <f>IF(D9654&lt;&gt;"",IF(COUNTIF('USPTO TMs'!A:A,D9654)&gt;0,"Yes","No"),"")</f>
        <v/>
      </c>
      <c r="C9654" s="11"/>
      <c r="D9654" s="11"/>
      <c r="E9654" s="11"/>
      <c r="F9654" s="11"/>
      <c r="G9654" s="11"/>
      <c r="H9654" s="11"/>
      <c r="I9654" s="15"/>
    </row>
    <row r="9655" spans="1:9" ht="16.5">
      <c r="A9655" s="10" t="b">
        <v>0</v>
      </c>
      <c r="B9655" s="11" t="str">
        <f>IF(D9655&lt;&gt;"",IF(COUNTIF('USPTO TMs'!A:A,D9655)&gt;0,"Yes","No"),"")</f>
        <v/>
      </c>
      <c r="C9655" s="11"/>
      <c r="D9655" s="11"/>
      <c r="E9655" s="11"/>
      <c r="F9655" s="11"/>
      <c r="G9655" s="11"/>
      <c r="H9655" s="11"/>
      <c r="I9655" s="15"/>
    </row>
    <row r="9656" spans="1:9" ht="16.5">
      <c r="A9656" s="10" t="b">
        <v>0</v>
      </c>
      <c r="B9656" s="11" t="str">
        <f>IF(D9656&lt;&gt;"",IF(COUNTIF('USPTO TMs'!A:A,D9656)&gt;0,"Yes","No"),"")</f>
        <v/>
      </c>
      <c r="C9656" s="11"/>
      <c r="D9656" s="11"/>
      <c r="E9656" s="11"/>
      <c r="F9656" s="11"/>
      <c r="G9656" s="11"/>
      <c r="H9656" s="11"/>
      <c r="I9656" s="15"/>
    </row>
    <row r="9657" spans="1:9" ht="16.5">
      <c r="A9657" s="10" t="b">
        <v>0</v>
      </c>
      <c r="B9657" s="11" t="str">
        <f>IF(D9657&lt;&gt;"",IF(COUNTIF('USPTO TMs'!A:A,D9657)&gt;0,"Yes","No"),"")</f>
        <v/>
      </c>
      <c r="C9657" s="11"/>
      <c r="D9657" s="11"/>
      <c r="E9657" s="11"/>
      <c r="F9657" s="11"/>
      <c r="G9657" s="11"/>
      <c r="H9657" s="11"/>
      <c r="I9657" s="15"/>
    </row>
    <row r="9658" spans="1:9" ht="16.5">
      <c r="A9658" s="10" t="b">
        <v>0</v>
      </c>
      <c r="B9658" s="11" t="str">
        <f>IF(D9658&lt;&gt;"",IF(COUNTIF('USPTO TMs'!A:A,D9658)&gt;0,"Yes","No"),"")</f>
        <v/>
      </c>
      <c r="C9658" s="11"/>
      <c r="D9658" s="11"/>
      <c r="E9658" s="11"/>
      <c r="F9658" s="11"/>
      <c r="G9658" s="11"/>
      <c r="H9658" s="11"/>
      <c r="I9658" s="15"/>
    </row>
    <row r="9659" spans="1:9" ht="16.5">
      <c r="A9659" s="10" t="b">
        <v>0</v>
      </c>
      <c r="B9659" s="11" t="str">
        <f>IF(D9659&lt;&gt;"",IF(COUNTIF('USPTO TMs'!A:A,D9659)&gt;0,"Yes","No"),"")</f>
        <v/>
      </c>
      <c r="C9659" s="11"/>
      <c r="D9659" s="11"/>
      <c r="E9659" s="11"/>
      <c r="F9659" s="11"/>
      <c r="G9659" s="11"/>
      <c r="H9659" s="11"/>
      <c r="I9659" s="15"/>
    </row>
    <row r="9660" spans="1:9" ht="16.5">
      <c r="A9660" s="10" t="b">
        <v>0</v>
      </c>
      <c r="B9660" s="11" t="str">
        <f>IF(D9660&lt;&gt;"",IF(COUNTIF('USPTO TMs'!A:A,D9660)&gt;0,"Yes","No"),"")</f>
        <v/>
      </c>
      <c r="C9660" s="11"/>
      <c r="D9660" s="11"/>
      <c r="E9660" s="11"/>
      <c r="F9660" s="11"/>
      <c r="G9660" s="11"/>
      <c r="H9660" s="11"/>
      <c r="I9660" s="15"/>
    </row>
    <row r="9661" spans="1:9" ht="16.5">
      <c r="A9661" s="10" t="b">
        <v>0</v>
      </c>
      <c r="B9661" s="11" t="str">
        <f>IF(D9661&lt;&gt;"",IF(COUNTIF('USPTO TMs'!A:A,D9661)&gt;0,"Yes","No"),"")</f>
        <v/>
      </c>
      <c r="C9661" s="11"/>
      <c r="D9661" s="11"/>
      <c r="E9661" s="11"/>
      <c r="F9661" s="11"/>
      <c r="G9661" s="11"/>
      <c r="H9661" s="11"/>
      <c r="I9661" s="15"/>
    </row>
    <row r="9662" spans="1:9" ht="16.5">
      <c r="A9662" s="10" t="b">
        <v>0</v>
      </c>
      <c r="B9662" s="11" t="str">
        <f>IF(D9662&lt;&gt;"",IF(COUNTIF('USPTO TMs'!A:A,D9662)&gt;0,"Yes","No"),"")</f>
        <v/>
      </c>
      <c r="C9662" s="11"/>
      <c r="D9662" s="11"/>
      <c r="E9662" s="11"/>
      <c r="F9662" s="11"/>
      <c r="G9662" s="11"/>
      <c r="H9662" s="11"/>
      <c r="I9662" s="15"/>
    </row>
    <row r="9663" spans="1:9" ht="16.5">
      <c r="A9663" s="10" t="b">
        <v>0</v>
      </c>
      <c r="B9663" s="11" t="str">
        <f>IF(D9663&lt;&gt;"",IF(COUNTIF('USPTO TMs'!A:A,D9663)&gt;0,"Yes","No"),"")</f>
        <v/>
      </c>
      <c r="C9663" s="11"/>
      <c r="D9663" s="11"/>
      <c r="E9663" s="11"/>
      <c r="F9663" s="11"/>
      <c r="G9663" s="11"/>
      <c r="H9663" s="11"/>
      <c r="I9663" s="15"/>
    </row>
    <row r="9664" spans="1:9" ht="16.5">
      <c r="A9664" s="10" t="b">
        <v>0</v>
      </c>
      <c r="B9664" s="11" t="str">
        <f>IF(D9664&lt;&gt;"",IF(COUNTIF('USPTO TMs'!A:A,D9664)&gt;0,"Yes","No"),"")</f>
        <v/>
      </c>
      <c r="C9664" s="11"/>
      <c r="D9664" s="11"/>
      <c r="E9664" s="11"/>
      <c r="F9664" s="11"/>
      <c r="G9664" s="11"/>
      <c r="H9664" s="11"/>
      <c r="I9664" s="15"/>
    </row>
    <row r="9665" spans="1:9" ht="16.5">
      <c r="A9665" s="10" t="b">
        <v>0</v>
      </c>
      <c r="B9665" s="11" t="str">
        <f>IF(D9665&lt;&gt;"",IF(COUNTIF('USPTO TMs'!A:A,D9665)&gt;0,"Yes","No"),"")</f>
        <v/>
      </c>
      <c r="C9665" s="11"/>
      <c r="D9665" s="11"/>
      <c r="E9665" s="11"/>
      <c r="F9665" s="11"/>
      <c r="G9665" s="11"/>
      <c r="H9665" s="11"/>
      <c r="I9665" s="15"/>
    </row>
    <row r="9666" spans="1:9" ht="16.5">
      <c r="A9666" s="10" t="b">
        <v>0</v>
      </c>
      <c r="B9666" s="11" t="str">
        <f>IF(D9666&lt;&gt;"",IF(COUNTIF('USPTO TMs'!A:A,D9666)&gt;0,"Yes","No"),"")</f>
        <v/>
      </c>
      <c r="C9666" s="11"/>
      <c r="D9666" s="11"/>
      <c r="E9666" s="11"/>
      <c r="F9666" s="11"/>
      <c r="G9666" s="11"/>
      <c r="H9666" s="11"/>
      <c r="I9666" s="15"/>
    </row>
    <row r="9667" spans="1:9" ht="16.5">
      <c r="A9667" s="10" t="b">
        <v>0</v>
      </c>
      <c r="B9667" s="11" t="str">
        <f>IF(D9667&lt;&gt;"",IF(COUNTIF('USPTO TMs'!A:A,D9667)&gt;0,"Yes","No"),"")</f>
        <v/>
      </c>
      <c r="C9667" s="11"/>
      <c r="D9667" s="11"/>
      <c r="E9667" s="11"/>
      <c r="F9667" s="11"/>
      <c r="G9667" s="11"/>
      <c r="H9667" s="11"/>
      <c r="I9667" s="15"/>
    </row>
    <row r="9668" spans="1:9" ht="16.5">
      <c r="A9668" s="10" t="b">
        <v>0</v>
      </c>
      <c r="B9668" s="11" t="str">
        <f>IF(D9668&lt;&gt;"",IF(COUNTIF('USPTO TMs'!A:A,D9668)&gt;0,"Yes","No"),"")</f>
        <v/>
      </c>
      <c r="C9668" s="11"/>
      <c r="D9668" s="11"/>
      <c r="E9668" s="11"/>
      <c r="F9668" s="11"/>
      <c r="G9668" s="11"/>
      <c r="H9668" s="11"/>
      <c r="I9668" s="15"/>
    </row>
    <row r="9669" spans="1:9" ht="16.5">
      <c r="A9669" s="10" t="b">
        <v>0</v>
      </c>
      <c r="B9669" s="11" t="str">
        <f>IF(D9669&lt;&gt;"",IF(COUNTIF('USPTO TMs'!A:A,D9669)&gt;0,"Yes","No"),"")</f>
        <v/>
      </c>
      <c r="C9669" s="11"/>
      <c r="D9669" s="11"/>
      <c r="E9669" s="11"/>
      <c r="F9669" s="11"/>
      <c r="G9669" s="11"/>
      <c r="H9669" s="11"/>
      <c r="I9669" s="15"/>
    </row>
    <row r="9670" spans="1:9" ht="16.5">
      <c r="A9670" s="10" t="b">
        <v>0</v>
      </c>
      <c r="B9670" s="11" t="str">
        <f>IF(D9670&lt;&gt;"",IF(COUNTIF('USPTO TMs'!A:A,D9670)&gt;0,"Yes","No"),"")</f>
        <v/>
      </c>
      <c r="C9670" s="11"/>
      <c r="D9670" s="11"/>
      <c r="E9670" s="11"/>
      <c r="F9670" s="11"/>
      <c r="G9670" s="11"/>
      <c r="H9670" s="11"/>
      <c r="I9670" s="15"/>
    </row>
    <row r="9671" spans="1:9" ht="16.5">
      <c r="A9671" s="10" t="b">
        <v>0</v>
      </c>
      <c r="B9671" s="11" t="str">
        <f>IF(D9671&lt;&gt;"",IF(COUNTIF('USPTO TMs'!A:A,D9671)&gt;0,"Yes","No"),"")</f>
        <v/>
      </c>
      <c r="C9671" s="11"/>
      <c r="D9671" s="11"/>
      <c r="E9671" s="11"/>
      <c r="F9671" s="11"/>
      <c r="G9671" s="11"/>
      <c r="H9671" s="11"/>
      <c r="I9671" s="15"/>
    </row>
    <row r="9672" spans="1:9" ht="16.5">
      <c r="A9672" s="10" t="b">
        <v>0</v>
      </c>
      <c r="B9672" s="11" t="str">
        <f>IF(D9672&lt;&gt;"",IF(COUNTIF('USPTO TMs'!A:A,D9672)&gt;0,"Yes","No"),"")</f>
        <v/>
      </c>
      <c r="C9672" s="11"/>
      <c r="D9672" s="11"/>
      <c r="E9672" s="11"/>
      <c r="F9672" s="11"/>
      <c r="G9672" s="11"/>
      <c r="H9672" s="11"/>
      <c r="I9672" s="15"/>
    </row>
    <row r="9673" spans="1:9" ht="16.5">
      <c r="A9673" s="10" t="b">
        <v>0</v>
      </c>
      <c r="B9673" s="11" t="str">
        <f>IF(D9673&lt;&gt;"",IF(COUNTIF('USPTO TMs'!A:A,D9673)&gt;0,"Yes","No"),"")</f>
        <v/>
      </c>
      <c r="C9673" s="11"/>
      <c r="D9673" s="11"/>
      <c r="E9673" s="11"/>
      <c r="F9673" s="11"/>
      <c r="G9673" s="11"/>
      <c r="H9673" s="11"/>
      <c r="I9673" s="15"/>
    </row>
    <row r="9674" spans="1:9" ht="16.5">
      <c r="A9674" s="10" t="b">
        <v>0</v>
      </c>
      <c r="B9674" s="11" t="str">
        <f>IF(D9674&lt;&gt;"",IF(COUNTIF('USPTO TMs'!A:A,D9674)&gt;0,"Yes","No"),"")</f>
        <v/>
      </c>
      <c r="C9674" s="11"/>
      <c r="D9674" s="11"/>
      <c r="E9674" s="11"/>
      <c r="F9674" s="11"/>
      <c r="G9674" s="11"/>
      <c r="H9674" s="11"/>
      <c r="I9674" s="15"/>
    </row>
    <row r="9675" spans="1:9" ht="16.5">
      <c r="A9675" s="10" t="b">
        <v>0</v>
      </c>
      <c r="B9675" s="11" t="str">
        <f>IF(D9675&lt;&gt;"",IF(COUNTIF('USPTO TMs'!A:A,D9675)&gt;0,"Yes","No"),"")</f>
        <v/>
      </c>
      <c r="C9675" s="11"/>
      <c r="D9675" s="11"/>
      <c r="E9675" s="11"/>
      <c r="F9675" s="11"/>
      <c r="G9675" s="11"/>
      <c r="H9675" s="11"/>
      <c r="I9675" s="15"/>
    </row>
    <row r="9676" spans="1:9" ht="16.5">
      <c r="A9676" s="10" t="b">
        <v>0</v>
      </c>
      <c r="B9676" s="11" t="str">
        <f>IF(D9676&lt;&gt;"",IF(COUNTIF('USPTO TMs'!A:A,D9676)&gt;0,"Yes","No"),"")</f>
        <v/>
      </c>
      <c r="C9676" s="11"/>
      <c r="D9676" s="11"/>
      <c r="E9676" s="11"/>
      <c r="F9676" s="11"/>
      <c r="G9676" s="11"/>
      <c r="H9676" s="11"/>
      <c r="I9676" s="15"/>
    </row>
    <row r="9677" spans="1:9" ht="16.5">
      <c r="A9677" s="10" t="b">
        <v>0</v>
      </c>
      <c r="B9677" s="11" t="str">
        <f>IF(D9677&lt;&gt;"",IF(COUNTIF('USPTO TMs'!A:A,D9677)&gt;0,"Yes","No"),"")</f>
        <v/>
      </c>
      <c r="C9677" s="11"/>
      <c r="D9677" s="11"/>
      <c r="E9677" s="11"/>
      <c r="F9677" s="11"/>
      <c r="G9677" s="11"/>
      <c r="H9677" s="11"/>
      <c r="I9677" s="15"/>
    </row>
    <row r="9678" spans="1:9" ht="16.5">
      <c r="A9678" s="10" t="b">
        <v>0</v>
      </c>
      <c r="B9678" s="11" t="str">
        <f>IF(D9678&lt;&gt;"",IF(COUNTIF('USPTO TMs'!A:A,D9678)&gt;0,"Yes","No"),"")</f>
        <v/>
      </c>
      <c r="C9678" s="11"/>
      <c r="D9678" s="11"/>
      <c r="E9678" s="11"/>
      <c r="F9678" s="11"/>
      <c r="G9678" s="11"/>
      <c r="H9678" s="11"/>
      <c r="I9678" s="15"/>
    </row>
    <row r="9679" spans="1:9" ht="16.5">
      <c r="A9679" s="10" t="b">
        <v>0</v>
      </c>
      <c r="B9679" s="11" t="str">
        <f>IF(D9679&lt;&gt;"",IF(COUNTIF('USPTO TMs'!A:A,D9679)&gt;0,"Yes","No"),"")</f>
        <v/>
      </c>
      <c r="C9679" s="11"/>
      <c r="D9679" s="11"/>
      <c r="E9679" s="11"/>
      <c r="F9679" s="11"/>
      <c r="G9679" s="11"/>
      <c r="H9679" s="11"/>
      <c r="I9679" s="15"/>
    </row>
    <row r="9680" spans="1:9" ht="16.5">
      <c r="A9680" s="10" t="b">
        <v>0</v>
      </c>
      <c r="B9680" s="11" t="str">
        <f>IF(D9680&lt;&gt;"",IF(COUNTIF('USPTO TMs'!A:A,D9680)&gt;0,"Yes","No"),"")</f>
        <v/>
      </c>
      <c r="C9680" s="11"/>
      <c r="D9680" s="11"/>
      <c r="E9680" s="11"/>
      <c r="F9680" s="11"/>
      <c r="G9680" s="11"/>
      <c r="H9680" s="11"/>
      <c r="I9680" s="15"/>
    </row>
    <row r="9681" spans="1:9" ht="16.5">
      <c r="A9681" s="10" t="b">
        <v>0</v>
      </c>
      <c r="B9681" s="11" t="str">
        <f>IF(D9681&lt;&gt;"",IF(COUNTIF('USPTO TMs'!A:A,D9681)&gt;0,"Yes","No"),"")</f>
        <v/>
      </c>
      <c r="C9681" s="11"/>
      <c r="D9681" s="11"/>
      <c r="E9681" s="11"/>
      <c r="F9681" s="11"/>
      <c r="G9681" s="11"/>
      <c r="H9681" s="11"/>
      <c r="I9681" s="15"/>
    </row>
    <row r="9682" spans="1:9" ht="16.5">
      <c r="A9682" s="10" t="b">
        <v>0</v>
      </c>
      <c r="B9682" s="11" t="str">
        <f>IF(D9682&lt;&gt;"",IF(COUNTIF('USPTO TMs'!A:A,D9682)&gt;0,"Yes","No"),"")</f>
        <v/>
      </c>
      <c r="C9682" s="11"/>
      <c r="D9682" s="11"/>
      <c r="E9682" s="11"/>
      <c r="F9682" s="11"/>
      <c r="G9682" s="11"/>
      <c r="H9682" s="11"/>
      <c r="I9682" s="15"/>
    </row>
    <row r="9683" spans="1:9" ht="16.5">
      <c r="A9683" s="10" t="b">
        <v>0</v>
      </c>
      <c r="B9683" s="11" t="str">
        <f>IF(D9683&lt;&gt;"",IF(COUNTIF('USPTO TMs'!A:A,D9683)&gt;0,"Yes","No"),"")</f>
        <v/>
      </c>
      <c r="C9683" s="11"/>
      <c r="D9683" s="11"/>
      <c r="E9683" s="11"/>
      <c r="F9683" s="11"/>
      <c r="G9683" s="11"/>
      <c r="H9683" s="11"/>
      <c r="I9683" s="15"/>
    </row>
    <row r="9684" spans="1:9" ht="16.5">
      <c r="A9684" s="10" t="b">
        <v>0</v>
      </c>
      <c r="B9684" s="11" t="str">
        <f>IF(D9684&lt;&gt;"",IF(COUNTIF('USPTO TMs'!A:A,D9684)&gt;0,"Yes","No"),"")</f>
        <v/>
      </c>
      <c r="C9684" s="11"/>
      <c r="D9684" s="11"/>
      <c r="E9684" s="11"/>
      <c r="F9684" s="11"/>
      <c r="G9684" s="11"/>
      <c r="H9684" s="11"/>
      <c r="I9684" s="15"/>
    </row>
    <row r="9685" spans="1:9" ht="16.5">
      <c r="A9685" s="10" t="b">
        <v>0</v>
      </c>
      <c r="B9685" s="11" t="str">
        <f>IF(D9685&lt;&gt;"",IF(COUNTIF('USPTO TMs'!A:A,D9685)&gt;0,"Yes","No"),"")</f>
        <v/>
      </c>
      <c r="C9685" s="11"/>
      <c r="D9685" s="11"/>
      <c r="E9685" s="11"/>
      <c r="F9685" s="11"/>
      <c r="G9685" s="11"/>
      <c r="H9685" s="11"/>
      <c r="I9685" s="15"/>
    </row>
    <row r="9686" spans="1:9" ht="16.5">
      <c r="A9686" s="10" t="b">
        <v>0</v>
      </c>
      <c r="B9686" s="11" t="str">
        <f>IF(D9686&lt;&gt;"",IF(COUNTIF('USPTO TMs'!A:A,D9686)&gt;0,"Yes","No"),"")</f>
        <v/>
      </c>
      <c r="C9686" s="11"/>
      <c r="D9686" s="11"/>
      <c r="E9686" s="11"/>
      <c r="F9686" s="11"/>
      <c r="G9686" s="11"/>
      <c r="H9686" s="11"/>
      <c r="I9686" s="15"/>
    </row>
    <row r="9687" spans="1:9" ht="16.5">
      <c r="A9687" s="10" t="b">
        <v>0</v>
      </c>
      <c r="B9687" s="11" t="str">
        <f>IF(D9687&lt;&gt;"",IF(COUNTIF('USPTO TMs'!A:A,D9687)&gt;0,"Yes","No"),"")</f>
        <v/>
      </c>
      <c r="C9687" s="11"/>
      <c r="D9687" s="11"/>
      <c r="E9687" s="11"/>
      <c r="F9687" s="11"/>
      <c r="G9687" s="11"/>
      <c r="H9687" s="11"/>
      <c r="I9687" s="15"/>
    </row>
    <row r="9688" spans="1:9" ht="16.5">
      <c r="A9688" s="10" t="b">
        <v>0</v>
      </c>
      <c r="B9688" s="11" t="str">
        <f>IF(D9688&lt;&gt;"",IF(COUNTIF('USPTO TMs'!A:A,D9688)&gt;0,"Yes","No"),"")</f>
        <v/>
      </c>
      <c r="C9688" s="11"/>
      <c r="D9688" s="11"/>
      <c r="E9688" s="11"/>
      <c r="F9688" s="11"/>
      <c r="G9688" s="11"/>
      <c r="H9688" s="11"/>
      <c r="I9688" s="15"/>
    </row>
    <row r="9689" spans="1:9" ht="16.5">
      <c r="A9689" s="10" t="b">
        <v>0</v>
      </c>
      <c r="B9689" s="11" t="str">
        <f>IF(D9689&lt;&gt;"",IF(COUNTIF('USPTO TMs'!A:A,D9689)&gt;0,"Yes","No"),"")</f>
        <v/>
      </c>
      <c r="C9689" s="11"/>
      <c r="D9689" s="11"/>
      <c r="E9689" s="11"/>
      <c r="F9689" s="11"/>
      <c r="G9689" s="11"/>
      <c r="H9689" s="11"/>
      <c r="I9689" s="15"/>
    </row>
    <row r="9690" spans="1:9" ht="16.5">
      <c r="A9690" s="10" t="b">
        <v>0</v>
      </c>
      <c r="B9690" s="11" t="str">
        <f>IF(D9690&lt;&gt;"",IF(COUNTIF('USPTO TMs'!A:A,D9690)&gt;0,"Yes","No"),"")</f>
        <v/>
      </c>
      <c r="C9690" s="11"/>
      <c r="D9690" s="11"/>
      <c r="E9690" s="11"/>
      <c r="F9690" s="11"/>
      <c r="G9690" s="11"/>
      <c r="H9690" s="11"/>
      <c r="I9690" s="15"/>
    </row>
    <row r="9691" spans="1:9" ht="16.5">
      <c r="A9691" s="10" t="b">
        <v>0</v>
      </c>
      <c r="B9691" s="11" t="str">
        <f>IF(D9691&lt;&gt;"",IF(COUNTIF('USPTO TMs'!A:A,D9691)&gt;0,"Yes","No"),"")</f>
        <v/>
      </c>
      <c r="C9691" s="11"/>
      <c r="D9691" s="11"/>
      <c r="E9691" s="11"/>
      <c r="F9691" s="11"/>
      <c r="G9691" s="11"/>
      <c r="H9691" s="11"/>
      <c r="I9691" s="15"/>
    </row>
    <row r="9692" spans="1:9" ht="16.5">
      <c r="A9692" s="10" t="b">
        <v>0</v>
      </c>
      <c r="B9692" s="11" t="str">
        <f>IF(D9692&lt;&gt;"",IF(COUNTIF('USPTO TMs'!A:A,D9692)&gt;0,"Yes","No"),"")</f>
        <v/>
      </c>
      <c r="C9692" s="11"/>
      <c r="D9692" s="11"/>
      <c r="E9692" s="11"/>
      <c r="F9692" s="11"/>
      <c r="G9692" s="11"/>
      <c r="H9692" s="11"/>
      <c r="I9692" s="15"/>
    </row>
    <row r="9693" spans="1:9" ht="16.5">
      <c r="A9693" s="10" t="b">
        <v>0</v>
      </c>
      <c r="B9693" s="11" t="str">
        <f>IF(D9693&lt;&gt;"",IF(COUNTIF('USPTO TMs'!A:A,D9693)&gt;0,"Yes","No"),"")</f>
        <v/>
      </c>
      <c r="C9693" s="11"/>
      <c r="D9693" s="11"/>
      <c r="E9693" s="11"/>
      <c r="F9693" s="11"/>
      <c r="G9693" s="11"/>
      <c r="H9693" s="11"/>
      <c r="I9693" s="15"/>
    </row>
    <row r="9694" spans="1:9" ht="16.5">
      <c r="A9694" s="10" t="b">
        <v>0</v>
      </c>
      <c r="B9694" s="11" t="str">
        <f>IF(D9694&lt;&gt;"",IF(COUNTIF('USPTO TMs'!A:A,D9694)&gt;0,"Yes","No"),"")</f>
        <v/>
      </c>
      <c r="C9694" s="11"/>
      <c r="D9694" s="11"/>
      <c r="E9694" s="11"/>
      <c r="F9694" s="11"/>
      <c r="G9694" s="11"/>
      <c r="H9694" s="11"/>
      <c r="I9694" s="15"/>
    </row>
    <row r="9695" spans="1:9" ht="16.5">
      <c r="A9695" s="10" t="b">
        <v>0</v>
      </c>
      <c r="B9695" s="11" t="str">
        <f>IF(D9695&lt;&gt;"",IF(COUNTIF('USPTO TMs'!A:A,D9695)&gt;0,"Yes","No"),"")</f>
        <v/>
      </c>
      <c r="C9695" s="11"/>
      <c r="D9695" s="11"/>
      <c r="E9695" s="11"/>
      <c r="F9695" s="11"/>
      <c r="G9695" s="11"/>
      <c r="H9695" s="11"/>
      <c r="I9695" s="15"/>
    </row>
    <row r="9696" spans="1:9" ht="16.5">
      <c r="A9696" s="10" t="b">
        <v>0</v>
      </c>
      <c r="B9696" s="11" t="str">
        <f>IF(D9696&lt;&gt;"",IF(COUNTIF('USPTO TMs'!A:A,D9696)&gt;0,"Yes","No"),"")</f>
        <v/>
      </c>
      <c r="C9696" s="11"/>
      <c r="D9696" s="11"/>
      <c r="E9696" s="11"/>
      <c r="F9696" s="11"/>
      <c r="G9696" s="11"/>
      <c r="H9696" s="11"/>
      <c r="I9696" s="15"/>
    </row>
    <row r="9697" spans="1:9" ht="16.5">
      <c r="A9697" s="10" t="b">
        <v>0</v>
      </c>
      <c r="B9697" s="11" t="str">
        <f>IF(D9697&lt;&gt;"",IF(COUNTIF('USPTO TMs'!A:A,D9697)&gt;0,"Yes","No"),"")</f>
        <v/>
      </c>
      <c r="C9697" s="11"/>
      <c r="D9697" s="11"/>
      <c r="E9697" s="11"/>
      <c r="F9697" s="11"/>
      <c r="G9697" s="11"/>
      <c r="H9697" s="11"/>
      <c r="I9697" s="15"/>
    </row>
    <row r="9698" spans="1:9" ht="16.5">
      <c r="A9698" s="10" t="b">
        <v>0</v>
      </c>
      <c r="B9698" s="11" t="str">
        <f>IF(D9698&lt;&gt;"",IF(COUNTIF('USPTO TMs'!A:A,D9698)&gt;0,"Yes","No"),"")</f>
        <v/>
      </c>
      <c r="C9698" s="11"/>
      <c r="D9698" s="11"/>
      <c r="E9698" s="11"/>
      <c r="F9698" s="11"/>
      <c r="G9698" s="11"/>
      <c r="H9698" s="11"/>
      <c r="I9698" s="15"/>
    </row>
    <row r="9699" spans="1:9" ht="16.5">
      <c r="A9699" s="10" t="b">
        <v>0</v>
      </c>
      <c r="B9699" s="11" t="str">
        <f>IF(D9699&lt;&gt;"",IF(COUNTIF('USPTO TMs'!A:A,D9699)&gt;0,"Yes","No"),"")</f>
        <v/>
      </c>
      <c r="C9699" s="11"/>
      <c r="D9699" s="11"/>
      <c r="E9699" s="11"/>
      <c r="F9699" s="11"/>
      <c r="G9699" s="11"/>
      <c r="H9699" s="11"/>
      <c r="I9699" s="15"/>
    </row>
    <row r="9700" spans="1:9" ht="16.5">
      <c r="A9700" s="10" t="b">
        <v>0</v>
      </c>
      <c r="B9700" s="11" t="str">
        <f>IF(D9700&lt;&gt;"",IF(COUNTIF('USPTO TMs'!A:A,D9700)&gt;0,"Yes","No"),"")</f>
        <v/>
      </c>
      <c r="C9700" s="11"/>
      <c r="D9700" s="11"/>
      <c r="E9700" s="11"/>
      <c r="F9700" s="11"/>
      <c r="G9700" s="11"/>
      <c r="H9700" s="11"/>
      <c r="I9700" s="15"/>
    </row>
    <row r="9701" spans="1:9" ht="16.5">
      <c r="A9701" s="10" t="b">
        <v>0</v>
      </c>
      <c r="B9701" s="11" t="str">
        <f>IF(D9701&lt;&gt;"",IF(COUNTIF('USPTO TMs'!A:A,D9701)&gt;0,"Yes","No"),"")</f>
        <v/>
      </c>
      <c r="C9701" s="11"/>
      <c r="D9701" s="11"/>
      <c r="E9701" s="11"/>
      <c r="F9701" s="11"/>
      <c r="G9701" s="11"/>
      <c r="H9701" s="11"/>
      <c r="I9701" s="15"/>
    </row>
    <row r="9702" spans="1:9" ht="16.5">
      <c r="A9702" s="10" t="b">
        <v>0</v>
      </c>
      <c r="B9702" s="11" t="str">
        <f>IF(D9702&lt;&gt;"",IF(COUNTIF('USPTO TMs'!A:A,D9702)&gt;0,"Yes","No"),"")</f>
        <v/>
      </c>
      <c r="C9702" s="11"/>
      <c r="D9702" s="11"/>
      <c r="E9702" s="11"/>
      <c r="F9702" s="11"/>
      <c r="G9702" s="11"/>
      <c r="H9702" s="11"/>
      <c r="I9702" s="15"/>
    </row>
    <row r="9703" spans="1:9" ht="16.5">
      <c r="A9703" s="10" t="b">
        <v>0</v>
      </c>
      <c r="B9703" s="11" t="str">
        <f>IF(D9703&lt;&gt;"",IF(COUNTIF('USPTO TMs'!A:A,D9703)&gt;0,"Yes","No"),"")</f>
        <v/>
      </c>
      <c r="C9703" s="11"/>
      <c r="D9703" s="11"/>
      <c r="E9703" s="11"/>
      <c r="F9703" s="11"/>
      <c r="G9703" s="11"/>
      <c r="H9703" s="11"/>
      <c r="I9703" s="15"/>
    </row>
    <row r="9704" spans="1:9" ht="16.5">
      <c r="A9704" s="10" t="b">
        <v>0</v>
      </c>
      <c r="B9704" s="11" t="str">
        <f>IF(D9704&lt;&gt;"",IF(COUNTIF('USPTO TMs'!A:A,D9704)&gt;0,"Yes","No"),"")</f>
        <v/>
      </c>
      <c r="C9704" s="11"/>
      <c r="D9704" s="11"/>
      <c r="E9704" s="11"/>
      <c r="F9704" s="11"/>
      <c r="G9704" s="11"/>
      <c r="H9704" s="11"/>
      <c r="I9704" s="15"/>
    </row>
    <row r="9705" spans="1:9" ht="16.5">
      <c r="A9705" s="10" t="b">
        <v>0</v>
      </c>
      <c r="B9705" s="11" t="str">
        <f>IF(D9705&lt;&gt;"",IF(COUNTIF('USPTO TMs'!A:A,D9705)&gt;0,"Yes","No"),"")</f>
        <v/>
      </c>
      <c r="C9705" s="11"/>
      <c r="D9705" s="11"/>
      <c r="E9705" s="11"/>
      <c r="F9705" s="11"/>
      <c r="G9705" s="11"/>
      <c r="H9705" s="11"/>
      <c r="I9705" s="15"/>
    </row>
    <row r="9706" spans="1:9" ht="16.5">
      <c r="A9706" s="10" t="b">
        <v>0</v>
      </c>
      <c r="B9706" s="11" t="str">
        <f>IF(D9706&lt;&gt;"",IF(COUNTIF('USPTO TMs'!A:A,D9706)&gt;0,"Yes","No"),"")</f>
        <v/>
      </c>
      <c r="C9706" s="11"/>
      <c r="D9706" s="11"/>
      <c r="E9706" s="11"/>
      <c r="F9706" s="11"/>
      <c r="G9706" s="11"/>
      <c r="H9706" s="11"/>
      <c r="I9706" s="15"/>
    </row>
    <row r="9707" spans="1:9" ht="16.5">
      <c r="A9707" s="10" t="b">
        <v>0</v>
      </c>
      <c r="B9707" s="11" t="str">
        <f>IF(D9707&lt;&gt;"",IF(COUNTIF('USPTO TMs'!A:A,D9707)&gt;0,"Yes","No"),"")</f>
        <v/>
      </c>
      <c r="C9707" s="11"/>
      <c r="D9707" s="11"/>
      <c r="E9707" s="11"/>
      <c r="F9707" s="11"/>
      <c r="G9707" s="11"/>
      <c r="H9707" s="11"/>
      <c r="I9707" s="15"/>
    </row>
    <row r="9708" spans="1:9" ht="16.5">
      <c r="A9708" s="10" t="b">
        <v>0</v>
      </c>
      <c r="B9708" s="11" t="str">
        <f>IF(D9708&lt;&gt;"",IF(COUNTIF('USPTO TMs'!A:A,D9708)&gt;0,"Yes","No"),"")</f>
        <v/>
      </c>
      <c r="C9708" s="11"/>
      <c r="D9708" s="11"/>
      <c r="E9708" s="11"/>
      <c r="F9708" s="11"/>
      <c r="G9708" s="11"/>
      <c r="H9708" s="11"/>
      <c r="I9708" s="15"/>
    </row>
    <row r="9709" spans="1:9" ht="16.5">
      <c r="A9709" s="10" t="b">
        <v>0</v>
      </c>
      <c r="B9709" s="11" t="str">
        <f>IF(D9709&lt;&gt;"",IF(COUNTIF('USPTO TMs'!A:A,D9709)&gt;0,"Yes","No"),"")</f>
        <v/>
      </c>
      <c r="C9709" s="11"/>
      <c r="D9709" s="11"/>
      <c r="E9709" s="11"/>
      <c r="F9709" s="11"/>
      <c r="G9709" s="11"/>
      <c r="H9709" s="11"/>
      <c r="I9709" s="15"/>
    </row>
    <row r="9710" spans="1:9" ht="16.5">
      <c r="A9710" s="10" t="b">
        <v>0</v>
      </c>
      <c r="B9710" s="11" t="str">
        <f>IF(D9710&lt;&gt;"",IF(COUNTIF('USPTO TMs'!A:A,D9710)&gt;0,"Yes","No"),"")</f>
        <v/>
      </c>
      <c r="C9710" s="11"/>
      <c r="D9710" s="11"/>
      <c r="E9710" s="11"/>
      <c r="F9710" s="11"/>
      <c r="G9710" s="11"/>
      <c r="H9710" s="11"/>
      <c r="I9710" s="15"/>
    </row>
    <row r="9711" spans="1:9" ht="16.5">
      <c r="A9711" s="10" t="b">
        <v>0</v>
      </c>
      <c r="B9711" s="11" t="str">
        <f>IF(D9711&lt;&gt;"",IF(COUNTIF('USPTO TMs'!A:A,D9711)&gt;0,"Yes","No"),"")</f>
        <v/>
      </c>
      <c r="C9711" s="11"/>
      <c r="D9711" s="11"/>
      <c r="E9711" s="11"/>
      <c r="F9711" s="11"/>
      <c r="G9711" s="11"/>
      <c r="H9711" s="11"/>
      <c r="I9711" s="15"/>
    </row>
    <row r="9712" spans="1:9" ht="16.5">
      <c r="A9712" s="10" t="b">
        <v>0</v>
      </c>
      <c r="B9712" s="11" t="str">
        <f>IF(D9712&lt;&gt;"",IF(COUNTIF('USPTO TMs'!A:A,D9712)&gt;0,"Yes","No"),"")</f>
        <v/>
      </c>
      <c r="C9712" s="11"/>
      <c r="D9712" s="11"/>
      <c r="E9712" s="11"/>
      <c r="F9712" s="11"/>
      <c r="G9712" s="11"/>
      <c r="H9712" s="11"/>
      <c r="I9712" s="15"/>
    </row>
    <row r="9713" spans="1:9" ht="16.5">
      <c r="A9713" s="10" t="b">
        <v>0</v>
      </c>
      <c r="B9713" s="11" t="str">
        <f>IF(D9713&lt;&gt;"",IF(COUNTIF('USPTO TMs'!A:A,D9713)&gt;0,"Yes","No"),"")</f>
        <v/>
      </c>
      <c r="C9713" s="11"/>
      <c r="D9713" s="11"/>
      <c r="E9713" s="11"/>
      <c r="F9713" s="11"/>
      <c r="G9713" s="11"/>
      <c r="H9713" s="11"/>
      <c r="I9713" s="15"/>
    </row>
    <row r="9714" spans="1:9" ht="16.5">
      <c r="A9714" s="10" t="b">
        <v>0</v>
      </c>
      <c r="B9714" s="11" t="str">
        <f>IF(D9714&lt;&gt;"",IF(COUNTIF('USPTO TMs'!A:A,D9714)&gt;0,"Yes","No"),"")</f>
        <v/>
      </c>
      <c r="C9714" s="11"/>
      <c r="D9714" s="11"/>
      <c r="E9714" s="11"/>
      <c r="F9714" s="11"/>
      <c r="G9714" s="11"/>
      <c r="H9714" s="11"/>
      <c r="I9714" s="15"/>
    </row>
    <row r="9715" spans="1:9" ht="16.5">
      <c r="A9715" s="10" t="b">
        <v>0</v>
      </c>
      <c r="B9715" s="11" t="str">
        <f>IF(D9715&lt;&gt;"",IF(COUNTIF('USPTO TMs'!A:A,D9715)&gt;0,"Yes","No"),"")</f>
        <v/>
      </c>
      <c r="C9715" s="11"/>
      <c r="D9715" s="11"/>
      <c r="E9715" s="11"/>
      <c r="F9715" s="11"/>
      <c r="G9715" s="11"/>
      <c r="H9715" s="11"/>
      <c r="I9715" s="15"/>
    </row>
    <row r="9716" spans="1:9" ht="16.5">
      <c r="A9716" s="10" t="b">
        <v>0</v>
      </c>
      <c r="B9716" s="11" t="str">
        <f>IF(D9716&lt;&gt;"",IF(COUNTIF('USPTO TMs'!A:A,D9716)&gt;0,"Yes","No"),"")</f>
        <v/>
      </c>
      <c r="C9716" s="11"/>
      <c r="D9716" s="11"/>
      <c r="E9716" s="11"/>
      <c r="F9716" s="11"/>
      <c r="G9716" s="11"/>
      <c r="H9716" s="11"/>
      <c r="I9716" s="15"/>
    </row>
    <row r="9717" spans="1:9" ht="16.5">
      <c r="A9717" s="10" t="b">
        <v>0</v>
      </c>
      <c r="B9717" s="11" t="str">
        <f>IF(D9717&lt;&gt;"",IF(COUNTIF('USPTO TMs'!A:A,D9717)&gt;0,"Yes","No"),"")</f>
        <v/>
      </c>
      <c r="C9717" s="11"/>
      <c r="D9717" s="11"/>
      <c r="E9717" s="11"/>
      <c r="F9717" s="11"/>
      <c r="G9717" s="11"/>
      <c r="H9717" s="11"/>
      <c r="I9717" s="15"/>
    </row>
    <row r="9718" spans="1:9" ht="16.5">
      <c r="A9718" s="10" t="b">
        <v>0</v>
      </c>
      <c r="B9718" s="11" t="str">
        <f>IF(D9718&lt;&gt;"",IF(COUNTIF('USPTO TMs'!A:A,D9718)&gt;0,"Yes","No"),"")</f>
        <v/>
      </c>
      <c r="C9718" s="11"/>
      <c r="D9718" s="11"/>
      <c r="E9718" s="11"/>
      <c r="F9718" s="11"/>
      <c r="G9718" s="11"/>
      <c r="H9718" s="11"/>
      <c r="I9718" s="15"/>
    </row>
    <row r="9719" spans="1:9" ht="16.5">
      <c r="A9719" s="10" t="b">
        <v>0</v>
      </c>
      <c r="B9719" s="11" t="str">
        <f>IF(D9719&lt;&gt;"",IF(COUNTIF('USPTO TMs'!A:A,D9719)&gt;0,"Yes","No"),"")</f>
        <v/>
      </c>
      <c r="C9719" s="11"/>
      <c r="D9719" s="11"/>
      <c r="E9719" s="11"/>
      <c r="F9719" s="11"/>
      <c r="G9719" s="11"/>
      <c r="H9719" s="11"/>
      <c r="I9719" s="15"/>
    </row>
    <row r="9720" spans="1:9" ht="16.5">
      <c r="A9720" s="10" t="b">
        <v>0</v>
      </c>
      <c r="B9720" s="11" t="str">
        <f>IF(D9720&lt;&gt;"",IF(COUNTIF('USPTO TMs'!A:A,D9720)&gt;0,"Yes","No"),"")</f>
        <v/>
      </c>
      <c r="C9720" s="11"/>
      <c r="D9720" s="11"/>
      <c r="E9720" s="11"/>
      <c r="F9720" s="11"/>
      <c r="G9720" s="11"/>
      <c r="H9720" s="11"/>
      <c r="I9720" s="15"/>
    </row>
    <row r="9721" spans="1:9" ht="16.5">
      <c r="A9721" s="10" t="b">
        <v>0</v>
      </c>
      <c r="B9721" s="11" t="str">
        <f>IF(D9721&lt;&gt;"",IF(COUNTIF('USPTO TMs'!A:A,D9721)&gt;0,"Yes","No"),"")</f>
        <v/>
      </c>
      <c r="C9721" s="11"/>
      <c r="D9721" s="11"/>
      <c r="E9721" s="11"/>
      <c r="F9721" s="11"/>
      <c r="G9721" s="11"/>
      <c r="H9721" s="11"/>
      <c r="I9721" s="15"/>
    </row>
    <row r="9722" spans="1:9" ht="16.5">
      <c r="A9722" s="10" t="b">
        <v>0</v>
      </c>
      <c r="B9722" s="11" t="str">
        <f>IF(D9722&lt;&gt;"",IF(COUNTIF('USPTO TMs'!A:A,D9722)&gt;0,"Yes","No"),"")</f>
        <v/>
      </c>
      <c r="C9722" s="11"/>
      <c r="D9722" s="11"/>
      <c r="E9722" s="11"/>
      <c r="F9722" s="11"/>
      <c r="G9722" s="11"/>
      <c r="H9722" s="11"/>
      <c r="I9722" s="15"/>
    </row>
    <row r="9723" spans="1:9" ht="16.5">
      <c r="A9723" s="10" t="b">
        <v>0</v>
      </c>
      <c r="B9723" s="11" t="str">
        <f>IF(D9723&lt;&gt;"",IF(COUNTIF('USPTO TMs'!A:A,D9723)&gt;0,"Yes","No"),"")</f>
        <v/>
      </c>
      <c r="C9723" s="11"/>
      <c r="D9723" s="11"/>
      <c r="E9723" s="11"/>
      <c r="F9723" s="11"/>
      <c r="G9723" s="11"/>
      <c r="H9723" s="11"/>
      <c r="I9723" s="15"/>
    </row>
    <row r="9724" spans="1:9" ht="16.5">
      <c r="A9724" s="10" t="b">
        <v>0</v>
      </c>
      <c r="B9724" s="11" t="str">
        <f>IF(D9724&lt;&gt;"",IF(COUNTIF('USPTO TMs'!A:A,D9724)&gt;0,"Yes","No"),"")</f>
        <v/>
      </c>
      <c r="C9724" s="11"/>
      <c r="D9724" s="11"/>
      <c r="E9724" s="11"/>
      <c r="F9724" s="11"/>
      <c r="G9724" s="11"/>
      <c r="H9724" s="11"/>
      <c r="I9724" s="15"/>
    </row>
    <row r="9725" spans="1:9" ht="16.5">
      <c r="A9725" s="10" t="b">
        <v>0</v>
      </c>
      <c r="B9725" s="11" t="str">
        <f>IF(D9725&lt;&gt;"",IF(COUNTIF('USPTO TMs'!A:A,D9725)&gt;0,"Yes","No"),"")</f>
        <v/>
      </c>
      <c r="C9725" s="11"/>
      <c r="D9725" s="11"/>
      <c r="E9725" s="11"/>
      <c r="F9725" s="11"/>
      <c r="G9725" s="11"/>
      <c r="H9725" s="11"/>
      <c r="I9725" s="15"/>
    </row>
    <row r="9726" spans="1:9" ht="16.5">
      <c r="A9726" s="10" t="b">
        <v>0</v>
      </c>
      <c r="B9726" s="11" t="str">
        <f>IF(D9726&lt;&gt;"",IF(COUNTIF('USPTO TMs'!A:A,D9726)&gt;0,"Yes","No"),"")</f>
        <v/>
      </c>
      <c r="C9726" s="11"/>
      <c r="D9726" s="11"/>
      <c r="E9726" s="11"/>
      <c r="F9726" s="11"/>
      <c r="G9726" s="11"/>
      <c r="H9726" s="11"/>
      <c r="I9726" s="15"/>
    </row>
    <row r="9727" spans="1:9" ht="16.5">
      <c r="A9727" s="10" t="b">
        <v>0</v>
      </c>
      <c r="B9727" s="11" t="str">
        <f>IF(D9727&lt;&gt;"",IF(COUNTIF('USPTO TMs'!A:A,D9727)&gt;0,"Yes","No"),"")</f>
        <v/>
      </c>
      <c r="C9727" s="11"/>
      <c r="D9727" s="11"/>
      <c r="E9727" s="11"/>
      <c r="F9727" s="11"/>
      <c r="G9727" s="11"/>
      <c r="H9727" s="11"/>
      <c r="I9727" s="15"/>
    </row>
    <row r="9728" spans="1:9" ht="16.5">
      <c r="A9728" s="10" t="b">
        <v>0</v>
      </c>
      <c r="B9728" s="11" t="str">
        <f>IF(D9728&lt;&gt;"",IF(COUNTIF('USPTO TMs'!A:A,D9728)&gt;0,"Yes","No"),"")</f>
        <v/>
      </c>
      <c r="C9728" s="11"/>
      <c r="D9728" s="11"/>
      <c r="E9728" s="11"/>
      <c r="F9728" s="11"/>
      <c r="G9728" s="11"/>
      <c r="H9728" s="11"/>
      <c r="I9728" s="15"/>
    </row>
    <row r="9729" spans="1:9" ht="16.5">
      <c r="A9729" s="10" t="b">
        <v>0</v>
      </c>
      <c r="B9729" s="11" t="str">
        <f>IF(D9729&lt;&gt;"",IF(COUNTIF('USPTO TMs'!A:A,D9729)&gt;0,"Yes","No"),"")</f>
        <v/>
      </c>
      <c r="C9729" s="11"/>
      <c r="D9729" s="11"/>
      <c r="E9729" s="11"/>
      <c r="F9729" s="11"/>
      <c r="G9729" s="11"/>
      <c r="H9729" s="11"/>
      <c r="I9729" s="15"/>
    </row>
    <row r="9730" spans="1:9" ht="16.5">
      <c r="A9730" s="10" t="b">
        <v>0</v>
      </c>
      <c r="B9730" s="11" t="str">
        <f>IF(D9730&lt;&gt;"",IF(COUNTIF('USPTO TMs'!A:A,D9730)&gt;0,"Yes","No"),"")</f>
        <v/>
      </c>
      <c r="C9730" s="11"/>
      <c r="D9730" s="11"/>
      <c r="E9730" s="11"/>
      <c r="F9730" s="11"/>
      <c r="G9730" s="11"/>
      <c r="H9730" s="11"/>
      <c r="I9730" s="15"/>
    </row>
    <row r="9731" spans="1:9" ht="16.5">
      <c r="A9731" s="10" t="b">
        <v>0</v>
      </c>
      <c r="B9731" s="11" t="str">
        <f>IF(D9731&lt;&gt;"",IF(COUNTIF('USPTO TMs'!A:A,D9731)&gt;0,"Yes","No"),"")</f>
        <v/>
      </c>
      <c r="C9731" s="11"/>
      <c r="D9731" s="11"/>
      <c r="E9731" s="11"/>
      <c r="F9731" s="11"/>
      <c r="G9731" s="11"/>
      <c r="H9731" s="11"/>
      <c r="I9731" s="15"/>
    </row>
    <row r="9732" spans="1:9" ht="16.5">
      <c r="A9732" s="10" t="b">
        <v>0</v>
      </c>
      <c r="B9732" s="11" t="str">
        <f>IF(D9732&lt;&gt;"",IF(COUNTIF('USPTO TMs'!A:A,D9732)&gt;0,"Yes","No"),"")</f>
        <v/>
      </c>
      <c r="C9732" s="11"/>
      <c r="D9732" s="11"/>
      <c r="E9732" s="11"/>
      <c r="F9732" s="11"/>
      <c r="G9732" s="11"/>
      <c r="H9732" s="11"/>
      <c r="I9732" s="15"/>
    </row>
    <row r="9733" spans="1:9" ht="16.5">
      <c r="A9733" s="10" t="b">
        <v>0</v>
      </c>
      <c r="B9733" s="11" t="str">
        <f>IF(D9733&lt;&gt;"",IF(COUNTIF('USPTO TMs'!A:A,D9733)&gt;0,"Yes","No"),"")</f>
        <v/>
      </c>
      <c r="C9733" s="11"/>
      <c r="D9733" s="11"/>
      <c r="E9733" s="11"/>
      <c r="F9733" s="11"/>
      <c r="G9733" s="11"/>
      <c r="H9733" s="11"/>
      <c r="I9733" s="15"/>
    </row>
    <row r="9734" spans="1:9" ht="16.5">
      <c r="A9734" s="10" t="b">
        <v>0</v>
      </c>
      <c r="B9734" s="11" t="str">
        <f>IF(D9734&lt;&gt;"",IF(COUNTIF('USPTO TMs'!A:A,D9734)&gt;0,"Yes","No"),"")</f>
        <v/>
      </c>
      <c r="C9734" s="11"/>
      <c r="D9734" s="11"/>
      <c r="E9734" s="11"/>
      <c r="F9734" s="11"/>
      <c r="G9734" s="11"/>
      <c r="H9734" s="11"/>
      <c r="I9734" s="15"/>
    </row>
    <row r="9735" spans="1:9" ht="16.5">
      <c r="A9735" s="10" t="b">
        <v>0</v>
      </c>
      <c r="B9735" s="11" t="str">
        <f>IF(D9735&lt;&gt;"",IF(COUNTIF('USPTO TMs'!A:A,D9735)&gt;0,"Yes","No"),"")</f>
        <v/>
      </c>
      <c r="C9735" s="11"/>
      <c r="D9735" s="11"/>
      <c r="E9735" s="11"/>
      <c r="F9735" s="11"/>
      <c r="G9735" s="11"/>
      <c r="H9735" s="11"/>
      <c r="I9735" s="15"/>
    </row>
    <row r="9736" spans="1:9" ht="16.5">
      <c r="A9736" s="10" t="b">
        <v>0</v>
      </c>
      <c r="B9736" s="11" t="str">
        <f>IF(D9736&lt;&gt;"",IF(COUNTIF('USPTO TMs'!A:A,D9736)&gt;0,"Yes","No"),"")</f>
        <v/>
      </c>
      <c r="C9736" s="11"/>
      <c r="D9736" s="11"/>
      <c r="E9736" s="11"/>
      <c r="F9736" s="11"/>
      <c r="G9736" s="11"/>
      <c r="H9736" s="11"/>
      <c r="I9736" s="15"/>
    </row>
    <row r="9737" spans="1:9" ht="16.5">
      <c r="A9737" s="10" t="b">
        <v>0</v>
      </c>
      <c r="B9737" s="11" t="str">
        <f>IF(D9737&lt;&gt;"",IF(COUNTIF('USPTO TMs'!A:A,D9737)&gt;0,"Yes","No"),"")</f>
        <v/>
      </c>
      <c r="C9737" s="11"/>
      <c r="D9737" s="11"/>
      <c r="E9737" s="11"/>
      <c r="F9737" s="11"/>
      <c r="G9737" s="11"/>
      <c r="H9737" s="11"/>
      <c r="I9737" s="15"/>
    </row>
    <row r="9738" spans="1:9" ht="16.5">
      <c r="A9738" s="10" t="b">
        <v>0</v>
      </c>
      <c r="B9738" s="11" t="str">
        <f>IF(D9738&lt;&gt;"",IF(COUNTIF('USPTO TMs'!A:A,D9738)&gt;0,"Yes","No"),"")</f>
        <v/>
      </c>
      <c r="C9738" s="11"/>
      <c r="D9738" s="11"/>
      <c r="E9738" s="11"/>
      <c r="F9738" s="11"/>
      <c r="G9738" s="11"/>
      <c r="H9738" s="11"/>
      <c r="I9738" s="15"/>
    </row>
    <row r="9739" spans="1:9" ht="16.5">
      <c r="A9739" s="10" t="b">
        <v>0</v>
      </c>
      <c r="B9739" s="11" t="str">
        <f>IF(D9739&lt;&gt;"",IF(COUNTIF('USPTO TMs'!A:A,D9739)&gt;0,"Yes","No"),"")</f>
        <v/>
      </c>
      <c r="C9739" s="11"/>
      <c r="D9739" s="11"/>
      <c r="E9739" s="11"/>
      <c r="F9739" s="11"/>
      <c r="G9739" s="11"/>
      <c r="H9739" s="11"/>
      <c r="I9739" s="15"/>
    </row>
    <row r="9740" spans="1:9" ht="16.5">
      <c r="A9740" s="10" t="b">
        <v>0</v>
      </c>
      <c r="B9740" s="11" t="str">
        <f>IF(D9740&lt;&gt;"",IF(COUNTIF('USPTO TMs'!A:A,D9740)&gt;0,"Yes","No"),"")</f>
        <v/>
      </c>
      <c r="C9740" s="11"/>
      <c r="D9740" s="11"/>
      <c r="E9740" s="11"/>
      <c r="F9740" s="11"/>
      <c r="G9740" s="11"/>
      <c r="H9740" s="11"/>
      <c r="I9740" s="15"/>
    </row>
    <row r="9741" spans="1:9" ht="16.5">
      <c r="A9741" s="10" t="b">
        <v>0</v>
      </c>
      <c r="B9741" s="11" t="str">
        <f>IF(D9741&lt;&gt;"",IF(COUNTIF('USPTO TMs'!A:A,D9741)&gt;0,"Yes","No"),"")</f>
        <v/>
      </c>
      <c r="C9741" s="11"/>
      <c r="D9741" s="11"/>
      <c r="E9741" s="11"/>
      <c r="F9741" s="11"/>
      <c r="G9741" s="11"/>
      <c r="H9741" s="11"/>
      <c r="I9741" s="15"/>
    </row>
    <row r="9742" spans="1:9" ht="16.5">
      <c r="A9742" s="10" t="b">
        <v>0</v>
      </c>
      <c r="B9742" s="11" t="str">
        <f>IF(D9742&lt;&gt;"",IF(COUNTIF('USPTO TMs'!A:A,D9742)&gt;0,"Yes","No"),"")</f>
        <v/>
      </c>
      <c r="C9742" s="11"/>
      <c r="D9742" s="11"/>
      <c r="E9742" s="11"/>
      <c r="F9742" s="11"/>
      <c r="G9742" s="11"/>
      <c r="H9742" s="11"/>
      <c r="I9742" s="15"/>
    </row>
    <row r="9743" spans="1:9" ht="16.5">
      <c r="A9743" s="10" t="b">
        <v>0</v>
      </c>
      <c r="B9743" s="11" t="str">
        <f>IF(D9743&lt;&gt;"",IF(COUNTIF('USPTO TMs'!A:A,D9743)&gt;0,"Yes","No"),"")</f>
        <v/>
      </c>
      <c r="C9743" s="11"/>
      <c r="D9743" s="11"/>
      <c r="E9743" s="11"/>
      <c r="F9743" s="11"/>
      <c r="G9743" s="11"/>
      <c r="H9743" s="11"/>
      <c r="I9743" s="15"/>
    </row>
    <row r="9744" spans="1:9" ht="16.5">
      <c r="A9744" s="10" t="b">
        <v>0</v>
      </c>
      <c r="B9744" s="11" t="str">
        <f>IF(D9744&lt;&gt;"",IF(COUNTIF('USPTO TMs'!A:A,D9744)&gt;0,"Yes","No"),"")</f>
        <v/>
      </c>
      <c r="C9744" s="11"/>
      <c r="D9744" s="11"/>
      <c r="E9744" s="11"/>
      <c r="F9744" s="11"/>
      <c r="G9744" s="11"/>
      <c r="H9744" s="11"/>
      <c r="I9744" s="15"/>
    </row>
    <row r="9745" spans="1:9" ht="16.5">
      <c r="A9745" s="10" t="b">
        <v>0</v>
      </c>
      <c r="B9745" s="11" t="str">
        <f>IF(D9745&lt;&gt;"",IF(COUNTIF('USPTO TMs'!A:A,D9745)&gt;0,"Yes","No"),"")</f>
        <v/>
      </c>
      <c r="C9745" s="11"/>
      <c r="D9745" s="11"/>
      <c r="E9745" s="11"/>
      <c r="F9745" s="11"/>
      <c r="G9745" s="11"/>
      <c r="H9745" s="11"/>
      <c r="I9745" s="15"/>
    </row>
    <row r="9746" spans="1:9" ht="16.5">
      <c r="A9746" s="10" t="b">
        <v>0</v>
      </c>
      <c r="B9746" s="11" t="str">
        <f>IF(D9746&lt;&gt;"",IF(COUNTIF('USPTO TMs'!A:A,D9746)&gt;0,"Yes","No"),"")</f>
        <v/>
      </c>
      <c r="C9746" s="11"/>
      <c r="D9746" s="11"/>
      <c r="E9746" s="11"/>
      <c r="F9746" s="11"/>
      <c r="G9746" s="11"/>
      <c r="H9746" s="11"/>
      <c r="I9746" s="15"/>
    </row>
    <row r="9747" spans="1:9" ht="16.5">
      <c r="A9747" s="10" t="b">
        <v>0</v>
      </c>
      <c r="B9747" s="11" t="str">
        <f>IF(D9747&lt;&gt;"",IF(COUNTIF('USPTO TMs'!A:A,D9747)&gt;0,"Yes","No"),"")</f>
        <v/>
      </c>
      <c r="C9747" s="11"/>
      <c r="D9747" s="11"/>
      <c r="E9747" s="11"/>
      <c r="F9747" s="11"/>
      <c r="G9747" s="11"/>
      <c r="H9747" s="11"/>
      <c r="I9747" s="15"/>
    </row>
    <row r="9748" spans="1:9" ht="16.5">
      <c r="A9748" s="10" t="b">
        <v>0</v>
      </c>
      <c r="B9748" s="11" t="str">
        <f>IF(D9748&lt;&gt;"",IF(COUNTIF('USPTO TMs'!A:A,D9748)&gt;0,"Yes","No"),"")</f>
        <v/>
      </c>
      <c r="C9748" s="11"/>
      <c r="D9748" s="11"/>
      <c r="E9748" s="11"/>
      <c r="F9748" s="11"/>
      <c r="G9748" s="11"/>
      <c r="H9748" s="11"/>
      <c r="I9748" s="15"/>
    </row>
    <row r="9749" spans="1:9" ht="16.5">
      <c r="A9749" s="10" t="b">
        <v>0</v>
      </c>
      <c r="B9749" s="11" t="str">
        <f>IF(D9749&lt;&gt;"",IF(COUNTIF('USPTO TMs'!A:A,D9749)&gt;0,"Yes","No"),"")</f>
        <v/>
      </c>
      <c r="C9749" s="11"/>
      <c r="D9749" s="11"/>
      <c r="E9749" s="11"/>
      <c r="F9749" s="11"/>
      <c r="G9749" s="11"/>
      <c r="H9749" s="11"/>
      <c r="I9749" s="15"/>
    </row>
    <row r="9750" spans="1:9" ht="16.5">
      <c r="A9750" s="10" t="b">
        <v>0</v>
      </c>
      <c r="B9750" s="11" t="str">
        <f>IF(D9750&lt;&gt;"",IF(COUNTIF('USPTO TMs'!A:A,D9750)&gt;0,"Yes","No"),"")</f>
        <v/>
      </c>
      <c r="C9750" s="11"/>
      <c r="D9750" s="11"/>
      <c r="E9750" s="11"/>
      <c r="F9750" s="11"/>
      <c r="G9750" s="11"/>
      <c r="H9750" s="11"/>
      <c r="I9750" s="15"/>
    </row>
    <row r="9751" spans="1:9" ht="16.5">
      <c r="A9751" s="10" t="b">
        <v>0</v>
      </c>
      <c r="B9751" s="11" t="str">
        <f>IF(D9751&lt;&gt;"",IF(COUNTIF('USPTO TMs'!A:A,D9751)&gt;0,"Yes","No"),"")</f>
        <v/>
      </c>
      <c r="C9751" s="11"/>
      <c r="D9751" s="11"/>
      <c r="E9751" s="11"/>
      <c r="F9751" s="11"/>
      <c r="G9751" s="11"/>
      <c r="H9751" s="11"/>
      <c r="I9751" s="15"/>
    </row>
    <row r="9752" spans="1:9" ht="16.5">
      <c r="A9752" s="10" t="b">
        <v>0</v>
      </c>
      <c r="B9752" s="11" t="str">
        <f>IF(D9752&lt;&gt;"",IF(COUNTIF('USPTO TMs'!A:A,D9752)&gt;0,"Yes","No"),"")</f>
        <v/>
      </c>
      <c r="C9752" s="11"/>
      <c r="D9752" s="11"/>
      <c r="E9752" s="11"/>
      <c r="F9752" s="11"/>
      <c r="G9752" s="11"/>
      <c r="H9752" s="11"/>
      <c r="I9752" s="15"/>
    </row>
    <row r="9753" spans="1:9" ht="16.5">
      <c r="A9753" s="10" t="b">
        <v>0</v>
      </c>
      <c r="B9753" s="11" t="str">
        <f>IF(D9753&lt;&gt;"",IF(COUNTIF('USPTO TMs'!A:A,D9753)&gt;0,"Yes","No"),"")</f>
        <v/>
      </c>
      <c r="C9753" s="11"/>
      <c r="D9753" s="11"/>
      <c r="E9753" s="11"/>
      <c r="F9753" s="11"/>
      <c r="G9753" s="11"/>
      <c r="H9753" s="11"/>
      <c r="I9753" s="15"/>
    </row>
    <row r="9754" spans="1:9" ht="16.5">
      <c r="A9754" s="10" t="b">
        <v>0</v>
      </c>
      <c r="B9754" s="11" t="str">
        <f>IF(D9754&lt;&gt;"",IF(COUNTIF('USPTO TMs'!A:A,D9754)&gt;0,"Yes","No"),"")</f>
        <v/>
      </c>
      <c r="C9754" s="11"/>
      <c r="D9754" s="11"/>
      <c r="E9754" s="11"/>
      <c r="F9754" s="11"/>
      <c r="G9754" s="11"/>
      <c r="H9754" s="11"/>
      <c r="I9754" s="15"/>
    </row>
    <row r="9755" spans="1:9" ht="16.5">
      <c r="A9755" s="10" t="b">
        <v>0</v>
      </c>
      <c r="B9755" s="11" t="str">
        <f>IF(D9755&lt;&gt;"",IF(COUNTIF('USPTO TMs'!A:A,D9755)&gt;0,"Yes","No"),"")</f>
        <v/>
      </c>
      <c r="C9755" s="11"/>
      <c r="D9755" s="11"/>
      <c r="E9755" s="11"/>
      <c r="F9755" s="11"/>
      <c r="G9755" s="11"/>
      <c r="H9755" s="11"/>
      <c r="I9755" s="15"/>
    </row>
    <row r="9756" spans="1:9" ht="16.5">
      <c r="A9756" s="10" t="b">
        <v>0</v>
      </c>
      <c r="B9756" s="11" t="str">
        <f>IF(D9756&lt;&gt;"",IF(COUNTIF('USPTO TMs'!A:A,D9756)&gt;0,"Yes","No"),"")</f>
        <v/>
      </c>
      <c r="C9756" s="11"/>
      <c r="D9756" s="11"/>
      <c r="E9756" s="11"/>
      <c r="F9756" s="11"/>
      <c r="G9756" s="11"/>
      <c r="H9756" s="11"/>
      <c r="I9756" s="15"/>
    </row>
    <row r="9757" spans="1:9" ht="16.5">
      <c r="A9757" s="10" t="b">
        <v>0</v>
      </c>
      <c r="B9757" s="11" t="str">
        <f>IF(D9757&lt;&gt;"",IF(COUNTIF('USPTO TMs'!A:A,D9757)&gt;0,"Yes","No"),"")</f>
        <v/>
      </c>
      <c r="C9757" s="11"/>
      <c r="D9757" s="11"/>
      <c r="E9757" s="11"/>
      <c r="F9757" s="11"/>
      <c r="G9757" s="11"/>
      <c r="H9757" s="11"/>
      <c r="I9757" s="15"/>
    </row>
    <row r="9758" spans="1:9" ht="16.5">
      <c r="A9758" s="10" t="b">
        <v>0</v>
      </c>
      <c r="B9758" s="11" t="str">
        <f>IF(D9758&lt;&gt;"",IF(COUNTIF('USPTO TMs'!A:A,D9758)&gt;0,"Yes","No"),"")</f>
        <v/>
      </c>
      <c r="C9758" s="11"/>
      <c r="D9758" s="11"/>
      <c r="E9758" s="11"/>
      <c r="F9758" s="11"/>
      <c r="G9758" s="11"/>
      <c r="H9758" s="11"/>
      <c r="I9758" s="15"/>
    </row>
    <row r="9759" spans="1:9" ht="16.5">
      <c r="A9759" s="10" t="b">
        <v>0</v>
      </c>
      <c r="B9759" s="11" t="str">
        <f>IF(D9759&lt;&gt;"",IF(COUNTIF('USPTO TMs'!A:A,D9759)&gt;0,"Yes","No"),"")</f>
        <v/>
      </c>
      <c r="C9759" s="11"/>
      <c r="D9759" s="11"/>
      <c r="E9759" s="11"/>
      <c r="F9759" s="11"/>
      <c r="G9759" s="11"/>
      <c r="H9759" s="11"/>
      <c r="I9759" s="15"/>
    </row>
    <row r="9760" spans="1:9" ht="16.5">
      <c r="A9760" s="10" t="b">
        <v>0</v>
      </c>
      <c r="B9760" s="11" t="str">
        <f>IF(D9760&lt;&gt;"",IF(COUNTIF('USPTO TMs'!A:A,D9760)&gt;0,"Yes","No"),"")</f>
        <v/>
      </c>
      <c r="C9760" s="11"/>
      <c r="D9760" s="11"/>
      <c r="E9760" s="11"/>
      <c r="F9760" s="11"/>
      <c r="G9760" s="11"/>
      <c r="H9760" s="11"/>
      <c r="I9760" s="15"/>
    </row>
    <row r="9761" spans="1:9" ht="16.5">
      <c r="A9761" s="10" t="b">
        <v>0</v>
      </c>
      <c r="B9761" s="11" t="str">
        <f>IF(D9761&lt;&gt;"",IF(COUNTIF('USPTO TMs'!A:A,D9761)&gt;0,"Yes","No"),"")</f>
        <v/>
      </c>
      <c r="C9761" s="11"/>
      <c r="D9761" s="11"/>
      <c r="E9761" s="11"/>
      <c r="F9761" s="11"/>
      <c r="G9761" s="11"/>
      <c r="H9761" s="11"/>
      <c r="I9761" s="15"/>
    </row>
    <row r="9762" spans="1:9" ht="16.5">
      <c r="A9762" s="10" t="b">
        <v>0</v>
      </c>
      <c r="B9762" s="11" t="str">
        <f>IF(D9762&lt;&gt;"",IF(COUNTIF('USPTO TMs'!A:A,D9762)&gt;0,"Yes","No"),"")</f>
        <v/>
      </c>
      <c r="C9762" s="11"/>
      <c r="D9762" s="11"/>
      <c r="E9762" s="11"/>
      <c r="F9762" s="11"/>
      <c r="G9762" s="11"/>
      <c r="H9762" s="11"/>
      <c r="I9762" s="15"/>
    </row>
    <row r="9763" spans="1:9" ht="16.5">
      <c r="A9763" s="10" t="b">
        <v>0</v>
      </c>
      <c r="B9763" s="11" t="str">
        <f>IF(D9763&lt;&gt;"",IF(COUNTIF('USPTO TMs'!A:A,D9763)&gt;0,"Yes","No"),"")</f>
        <v/>
      </c>
      <c r="C9763" s="11"/>
      <c r="D9763" s="11"/>
      <c r="E9763" s="11"/>
      <c r="F9763" s="11"/>
      <c r="G9763" s="11"/>
      <c r="H9763" s="11"/>
      <c r="I9763" s="15"/>
    </row>
    <row r="9764" spans="1:9" ht="16.5">
      <c r="A9764" s="10" t="b">
        <v>0</v>
      </c>
      <c r="B9764" s="11" t="str">
        <f>IF(D9764&lt;&gt;"",IF(COUNTIF('USPTO TMs'!A:A,D9764)&gt;0,"Yes","No"),"")</f>
        <v/>
      </c>
      <c r="C9764" s="11"/>
      <c r="D9764" s="11"/>
      <c r="E9764" s="11"/>
      <c r="F9764" s="11"/>
      <c r="G9764" s="11"/>
      <c r="H9764" s="11"/>
      <c r="I9764" s="15"/>
    </row>
    <row r="9765" spans="1:9" ht="16.5">
      <c r="A9765" s="10" t="b">
        <v>0</v>
      </c>
      <c r="B9765" s="11" t="str">
        <f>IF(D9765&lt;&gt;"",IF(COUNTIF('USPTO TMs'!A:A,D9765)&gt;0,"Yes","No"),"")</f>
        <v/>
      </c>
      <c r="C9765" s="11"/>
      <c r="D9765" s="11"/>
      <c r="E9765" s="11"/>
      <c r="F9765" s="11"/>
      <c r="G9765" s="11"/>
      <c r="H9765" s="11"/>
      <c r="I9765" s="15"/>
    </row>
    <row r="9766" spans="1:9" ht="16.5">
      <c r="A9766" s="10" t="b">
        <v>0</v>
      </c>
      <c r="B9766" s="11" t="str">
        <f>IF(D9766&lt;&gt;"",IF(COUNTIF('USPTO TMs'!A:A,D9766)&gt;0,"Yes","No"),"")</f>
        <v/>
      </c>
      <c r="C9766" s="11"/>
      <c r="D9766" s="11"/>
      <c r="E9766" s="11"/>
      <c r="F9766" s="11"/>
      <c r="G9766" s="11"/>
      <c r="H9766" s="11"/>
      <c r="I9766" s="15"/>
    </row>
    <row r="9767" spans="1:9" ht="16.5">
      <c r="A9767" s="10" t="b">
        <v>0</v>
      </c>
      <c r="B9767" s="11" t="str">
        <f>IF(D9767&lt;&gt;"",IF(COUNTIF('USPTO TMs'!A:A,D9767)&gt;0,"Yes","No"),"")</f>
        <v/>
      </c>
      <c r="C9767" s="11"/>
      <c r="D9767" s="11"/>
      <c r="E9767" s="11"/>
      <c r="F9767" s="11"/>
      <c r="G9767" s="11"/>
      <c r="H9767" s="11"/>
      <c r="I9767" s="15"/>
    </row>
    <row r="9768" spans="1:9" ht="16.5">
      <c r="A9768" s="10" t="b">
        <v>0</v>
      </c>
      <c r="B9768" s="11" t="str">
        <f>IF(D9768&lt;&gt;"",IF(COUNTIF('USPTO TMs'!A:A,D9768)&gt;0,"Yes","No"),"")</f>
        <v/>
      </c>
      <c r="C9768" s="11"/>
      <c r="D9768" s="11"/>
      <c r="E9768" s="11"/>
      <c r="F9768" s="11"/>
      <c r="G9768" s="11"/>
      <c r="H9768" s="11"/>
      <c r="I9768" s="15"/>
    </row>
    <row r="9769" spans="1:9" ht="16.5">
      <c r="A9769" s="10" t="b">
        <v>0</v>
      </c>
      <c r="B9769" s="11" t="str">
        <f>IF(D9769&lt;&gt;"",IF(COUNTIF('USPTO TMs'!A:A,D9769)&gt;0,"Yes","No"),"")</f>
        <v/>
      </c>
      <c r="C9769" s="11"/>
      <c r="D9769" s="11"/>
      <c r="E9769" s="11"/>
      <c r="F9769" s="11"/>
      <c r="G9769" s="11"/>
      <c r="H9769" s="11"/>
      <c r="I9769" s="15"/>
    </row>
    <row r="9770" spans="1:9" ht="16.5">
      <c r="A9770" s="10" t="b">
        <v>0</v>
      </c>
      <c r="B9770" s="11" t="str">
        <f>IF(D9770&lt;&gt;"",IF(COUNTIF('USPTO TMs'!A:A,D9770)&gt;0,"Yes","No"),"")</f>
        <v/>
      </c>
      <c r="C9770" s="11"/>
      <c r="D9770" s="11"/>
      <c r="E9770" s="11"/>
      <c r="F9770" s="11"/>
      <c r="G9770" s="11"/>
      <c r="H9770" s="11"/>
      <c r="I9770" s="15"/>
    </row>
    <row r="9771" spans="1:9" ht="16.5">
      <c r="A9771" s="10" t="b">
        <v>0</v>
      </c>
      <c r="B9771" s="11" t="str">
        <f>IF(D9771&lt;&gt;"",IF(COUNTIF('USPTO TMs'!A:A,D9771)&gt;0,"Yes","No"),"")</f>
        <v/>
      </c>
      <c r="C9771" s="11"/>
      <c r="D9771" s="11"/>
      <c r="E9771" s="11"/>
      <c r="F9771" s="11"/>
      <c r="G9771" s="11"/>
      <c r="H9771" s="11"/>
      <c r="I9771" s="15"/>
    </row>
    <row r="9772" spans="1:9" ht="16.5">
      <c r="A9772" s="10" t="b">
        <v>0</v>
      </c>
      <c r="B9772" s="11" t="str">
        <f>IF(D9772&lt;&gt;"",IF(COUNTIF('USPTO TMs'!A:A,D9772)&gt;0,"Yes","No"),"")</f>
        <v/>
      </c>
      <c r="C9772" s="11"/>
      <c r="D9772" s="11"/>
      <c r="E9772" s="11"/>
      <c r="F9772" s="11"/>
      <c r="G9772" s="11"/>
      <c r="H9772" s="11"/>
      <c r="I9772" s="15"/>
    </row>
    <row r="9773" spans="1:9" ht="16.5">
      <c r="A9773" s="10" t="b">
        <v>0</v>
      </c>
      <c r="B9773" s="11" t="str">
        <f>IF(D9773&lt;&gt;"",IF(COUNTIF('USPTO TMs'!A:A,D9773)&gt;0,"Yes","No"),"")</f>
        <v/>
      </c>
      <c r="C9773" s="11"/>
      <c r="D9773" s="11"/>
      <c r="E9773" s="11"/>
      <c r="F9773" s="11"/>
      <c r="G9773" s="11"/>
      <c r="H9773" s="11"/>
      <c r="I9773" s="15"/>
    </row>
    <row r="9774" spans="1:9" ht="16.5">
      <c r="A9774" s="10" t="b">
        <v>0</v>
      </c>
      <c r="B9774" s="11" t="str">
        <f>IF(D9774&lt;&gt;"",IF(COUNTIF('USPTO TMs'!A:A,D9774)&gt;0,"Yes","No"),"")</f>
        <v/>
      </c>
      <c r="C9774" s="11"/>
      <c r="D9774" s="11"/>
      <c r="E9774" s="11"/>
      <c r="F9774" s="11"/>
      <c r="G9774" s="11"/>
      <c r="H9774" s="11"/>
      <c r="I9774" s="15"/>
    </row>
    <row r="9775" spans="1:9" ht="16.5">
      <c r="A9775" s="10" t="b">
        <v>0</v>
      </c>
      <c r="B9775" s="11" t="str">
        <f>IF(D9775&lt;&gt;"",IF(COUNTIF('USPTO TMs'!A:A,D9775)&gt;0,"Yes","No"),"")</f>
        <v/>
      </c>
      <c r="C9775" s="11"/>
      <c r="D9775" s="11"/>
      <c r="E9775" s="11"/>
      <c r="F9775" s="11"/>
      <c r="G9775" s="11"/>
      <c r="H9775" s="11"/>
      <c r="I9775" s="15"/>
    </row>
    <row r="9776" spans="1:9" ht="16.5">
      <c r="A9776" s="10" t="b">
        <v>0</v>
      </c>
      <c r="B9776" s="11" t="str">
        <f>IF(D9776&lt;&gt;"",IF(COUNTIF('USPTO TMs'!A:A,D9776)&gt;0,"Yes","No"),"")</f>
        <v/>
      </c>
      <c r="C9776" s="11"/>
      <c r="D9776" s="11"/>
      <c r="E9776" s="11"/>
      <c r="F9776" s="11"/>
      <c r="G9776" s="11"/>
      <c r="H9776" s="11"/>
      <c r="I9776" s="15"/>
    </row>
    <row r="9777" spans="1:9" ht="16.5">
      <c r="A9777" s="10" t="b">
        <v>0</v>
      </c>
      <c r="B9777" s="11" t="str">
        <f>IF(D9777&lt;&gt;"",IF(COUNTIF('USPTO TMs'!A:A,D9777)&gt;0,"Yes","No"),"")</f>
        <v/>
      </c>
      <c r="C9777" s="11"/>
      <c r="D9777" s="11"/>
      <c r="E9777" s="11"/>
      <c r="F9777" s="11"/>
      <c r="G9777" s="11"/>
      <c r="H9777" s="11"/>
      <c r="I9777" s="15"/>
    </row>
    <row r="9778" spans="1:9" ht="16.5">
      <c r="A9778" s="10" t="b">
        <v>0</v>
      </c>
      <c r="B9778" s="11" t="str">
        <f>IF(D9778&lt;&gt;"",IF(COUNTIF('USPTO TMs'!A:A,D9778)&gt;0,"Yes","No"),"")</f>
        <v/>
      </c>
      <c r="C9778" s="11"/>
      <c r="D9778" s="11"/>
      <c r="E9778" s="11"/>
      <c r="F9778" s="11"/>
      <c r="G9778" s="11"/>
      <c r="H9778" s="11"/>
      <c r="I9778" s="15"/>
    </row>
    <row r="9779" spans="1:9" ht="16.5">
      <c r="A9779" s="10" t="b">
        <v>0</v>
      </c>
      <c r="B9779" s="11" t="str">
        <f>IF(D9779&lt;&gt;"",IF(COUNTIF('USPTO TMs'!A:A,D9779)&gt;0,"Yes","No"),"")</f>
        <v/>
      </c>
      <c r="C9779" s="11"/>
      <c r="D9779" s="11"/>
      <c r="E9779" s="11"/>
      <c r="F9779" s="11"/>
      <c r="G9779" s="11"/>
      <c r="H9779" s="11"/>
      <c r="I9779" s="15"/>
    </row>
    <row r="9780" spans="1:9" ht="16.5">
      <c r="A9780" s="10" t="b">
        <v>0</v>
      </c>
      <c r="B9780" s="11" t="str">
        <f>IF(D9780&lt;&gt;"",IF(COUNTIF('USPTO TMs'!A:A,D9780)&gt;0,"Yes","No"),"")</f>
        <v/>
      </c>
      <c r="C9780" s="11"/>
      <c r="D9780" s="11"/>
      <c r="E9780" s="11"/>
      <c r="F9780" s="11"/>
      <c r="G9780" s="11"/>
      <c r="H9780" s="11"/>
      <c r="I9780" s="15"/>
    </row>
    <row r="9781" spans="1:9" ht="16.5">
      <c r="A9781" s="10" t="b">
        <v>0</v>
      </c>
      <c r="B9781" s="11" t="str">
        <f>IF(D9781&lt;&gt;"",IF(COUNTIF('USPTO TMs'!A:A,D9781)&gt;0,"Yes","No"),"")</f>
        <v/>
      </c>
      <c r="C9781" s="11"/>
      <c r="D9781" s="11"/>
      <c r="E9781" s="11"/>
      <c r="F9781" s="11"/>
      <c r="G9781" s="11"/>
      <c r="H9781" s="11"/>
      <c r="I9781" s="15"/>
    </row>
    <row r="9782" spans="1:9" ht="16.5">
      <c r="A9782" s="10" t="b">
        <v>0</v>
      </c>
      <c r="B9782" s="11" t="str">
        <f>IF(D9782&lt;&gt;"",IF(COUNTIF('USPTO TMs'!A:A,D9782)&gt;0,"Yes","No"),"")</f>
        <v/>
      </c>
      <c r="C9782" s="11"/>
      <c r="D9782" s="11"/>
      <c r="E9782" s="11"/>
      <c r="F9782" s="11"/>
      <c r="G9782" s="11"/>
      <c r="H9782" s="11"/>
      <c r="I9782" s="15"/>
    </row>
    <row r="9783" spans="1:9" ht="16.5">
      <c r="A9783" s="10" t="b">
        <v>0</v>
      </c>
      <c r="B9783" s="11" t="str">
        <f>IF(D9783&lt;&gt;"",IF(COUNTIF('USPTO TMs'!A:A,D9783)&gt;0,"Yes","No"),"")</f>
        <v/>
      </c>
      <c r="C9783" s="11"/>
      <c r="D9783" s="11"/>
      <c r="E9783" s="11"/>
      <c r="F9783" s="11"/>
      <c r="G9783" s="11"/>
      <c r="H9783" s="11"/>
      <c r="I9783" s="15"/>
    </row>
    <row r="9784" spans="1:9" ht="16.5">
      <c r="A9784" s="10" t="b">
        <v>0</v>
      </c>
      <c r="B9784" s="11" t="str">
        <f>IF(D9784&lt;&gt;"",IF(COUNTIF('USPTO TMs'!A:A,D9784)&gt;0,"Yes","No"),"")</f>
        <v/>
      </c>
      <c r="C9784" s="11"/>
      <c r="D9784" s="11"/>
      <c r="E9784" s="11"/>
      <c r="F9784" s="11"/>
      <c r="G9784" s="11"/>
      <c r="H9784" s="11"/>
      <c r="I9784" s="15"/>
    </row>
    <row r="9785" spans="1:9" ht="16.5">
      <c r="A9785" s="10" t="b">
        <v>0</v>
      </c>
      <c r="B9785" s="11" t="str">
        <f>IF(D9785&lt;&gt;"",IF(COUNTIF('USPTO TMs'!A:A,D9785)&gt;0,"Yes","No"),"")</f>
        <v/>
      </c>
      <c r="C9785" s="11"/>
      <c r="D9785" s="11"/>
      <c r="E9785" s="11"/>
      <c r="F9785" s="11"/>
      <c r="G9785" s="11"/>
      <c r="H9785" s="11"/>
      <c r="I9785" s="15"/>
    </row>
    <row r="9786" spans="1:9" ht="16.5">
      <c r="A9786" s="10" t="b">
        <v>0</v>
      </c>
      <c r="B9786" s="11" t="str">
        <f>IF(D9786&lt;&gt;"",IF(COUNTIF('USPTO TMs'!A:A,D9786)&gt;0,"Yes","No"),"")</f>
        <v/>
      </c>
      <c r="C9786" s="11"/>
      <c r="D9786" s="11"/>
      <c r="E9786" s="11"/>
      <c r="F9786" s="11"/>
      <c r="G9786" s="11"/>
      <c r="H9786" s="11"/>
      <c r="I9786" s="15"/>
    </row>
    <row r="9787" spans="1:9" ht="16.5">
      <c r="A9787" s="10" t="b">
        <v>0</v>
      </c>
      <c r="B9787" s="11" t="str">
        <f>IF(D9787&lt;&gt;"",IF(COUNTIF('USPTO TMs'!A:A,D9787)&gt;0,"Yes","No"),"")</f>
        <v/>
      </c>
      <c r="C9787" s="11"/>
      <c r="D9787" s="11"/>
      <c r="E9787" s="11"/>
      <c r="F9787" s="11"/>
      <c r="G9787" s="11"/>
      <c r="H9787" s="11"/>
      <c r="I9787" s="15"/>
    </row>
    <row r="9788" spans="1:9" ht="16.5">
      <c r="A9788" s="10" t="b">
        <v>0</v>
      </c>
      <c r="B9788" s="11" t="str">
        <f>IF(D9788&lt;&gt;"",IF(COUNTIF('USPTO TMs'!A:A,D9788)&gt;0,"Yes","No"),"")</f>
        <v/>
      </c>
      <c r="C9788" s="11"/>
      <c r="D9788" s="11"/>
      <c r="E9788" s="11"/>
      <c r="F9788" s="11"/>
      <c r="G9788" s="11"/>
      <c r="H9788" s="11"/>
      <c r="I9788" s="15"/>
    </row>
    <row r="9789" spans="1:9" ht="16.5">
      <c r="A9789" s="10" t="b">
        <v>0</v>
      </c>
      <c r="B9789" s="11" t="str">
        <f>IF(D9789&lt;&gt;"",IF(COUNTIF('USPTO TMs'!A:A,D9789)&gt;0,"Yes","No"),"")</f>
        <v/>
      </c>
      <c r="C9789" s="11"/>
      <c r="D9789" s="11"/>
      <c r="E9789" s="11"/>
      <c r="F9789" s="11"/>
      <c r="G9789" s="11"/>
      <c r="H9789" s="11"/>
      <c r="I9789" s="15"/>
    </row>
    <row r="9790" spans="1:9" ht="16.5">
      <c r="A9790" s="10" t="b">
        <v>0</v>
      </c>
      <c r="B9790" s="11" t="str">
        <f>IF(D9790&lt;&gt;"",IF(COUNTIF('USPTO TMs'!A:A,D9790)&gt;0,"Yes","No"),"")</f>
        <v/>
      </c>
      <c r="C9790" s="11"/>
      <c r="D9790" s="11"/>
      <c r="E9790" s="11"/>
      <c r="F9790" s="11"/>
      <c r="G9790" s="11"/>
      <c r="H9790" s="11"/>
      <c r="I9790" s="15"/>
    </row>
    <row r="9791" spans="1:9" ht="16.5">
      <c r="A9791" s="10" t="b">
        <v>0</v>
      </c>
      <c r="B9791" s="11" t="str">
        <f>IF(D9791&lt;&gt;"",IF(COUNTIF('USPTO TMs'!A:A,D9791)&gt;0,"Yes","No"),"")</f>
        <v/>
      </c>
      <c r="C9791" s="11"/>
      <c r="D9791" s="11"/>
      <c r="E9791" s="11"/>
      <c r="F9791" s="11"/>
      <c r="G9791" s="11"/>
      <c r="H9791" s="11"/>
      <c r="I9791" s="15"/>
    </row>
    <row r="9792" spans="1:9" ht="16.5">
      <c r="A9792" s="10" t="b">
        <v>0</v>
      </c>
      <c r="B9792" s="11" t="str">
        <f>IF(D9792&lt;&gt;"",IF(COUNTIF('USPTO TMs'!A:A,D9792)&gt;0,"Yes","No"),"")</f>
        <v/>
      </c>
      <c r="C9792" s="11"/>
      <c r="D9792" s="11"/>
      <c r="E9792" s="11"/>
      <c r="F9792" s="11"/>
      <c r="G9792" s="11"/>
      <c r="H9792" s="11"/>
      <c r="I9792" s="15"/>
    </row>
    <row r="9793" spans="1:9" ht="16.5">
      <c r="A9793" s="10" t="b">
        <v>0</v>
      </c>
      <c r="B9793" s="11" t="str">
        <f>IF(D9793&lt;&gt;"",IF(COUNTIF('USPTO TMs'!A:A,D9793)&gt;0,"Yes","No"),"")</f>
        <v/>
      </c>
      <c r="C9793" s="11"/>
      <c r="D9793" s="11"/>
      <c r="E9793" s="11"/>
      <c r="F9793" s="11"/>
      <c r="G9793" s="11"/>
      <c r="H9793" s="11"/>
      <c r="I9793" s="15"/>
    </row>
    <row r="9794" spans="1:9" ht="16.5">
      <c r="A9794" s="10" t="b">
        <v>0</v>
      </c>
      <c r="B9794" s="11" t="str">
        <f>IF(D9794&lt;&gt;"",IF(COUNTIF('USPTO TMs'!A:A,D9794)&gt;0,"Yes","No"),"")</f>
        <v/>
      </c>
      <c r="C9794" s="11"/>
      <c r="D9794" s="11"/>
      <c r="E9794" s="11"/>
      <c r="F9794" s="11"/>
      <c r="G9794" s="11"/>
      <c r="H9794" s="11"/>
      <c r="I9794" s="15"/>
    </row>
    <row r="9795" spans="1:9" ht="16.5">
      <c r="A9795" s="10" t="b">
        <v>0</v>
      </c>
      <c r="B9795" s="11" t="str">
        <f>IF(D9795&lt;&gt;"",IF(COUNTIF('USPTO TMs'!A:A,D9795)&gt;0,"Yes","No"),"")</f>
        <v/>
      </c>
      <c r="C9795" s="11"/>
      <c r="D9795" s="11"/>
      <c r="E9795" s="11"/>
      <c r="F9795" s="11"/>
      <c r="G9795" s="11"/>
      <c r="H9795" s="11"/>
      <c r="I9795" s="15"/>
    </row>
    <row r="9796" spans="1:9" ht="16.5">
      <c r="A9796" s="10" t="b">
        <v>0</v>
      </c>
      <c r="B9796" s="11" t="str">
        <f>IF(D9796&lt;&gt;"",IF(COUNTIF('USPTO TMs'!A:A,D9796)&gt;0,"Yes","No"),"")</f>
        <v/>
      </c>
      <c r="C9796" s="11"/>
      <c r="D9796" s="11"/>
      <c r="E9796" s="11"/>
      <c r="F9796" s="11"/>
      <c r="G9796" s="11"/>
      <c r="H9796" s="11"/>
      <c r="I9796" s="15"/>
    </row>
    <row r="9797" spans="1:9" ht="16.5">
      <c r="A9797" s="10" t="b">
        <v>0</v>
      </c>
      <c r="B9797" s="11" t="str">
        <f>IF(D9797&lt;&gt;"",IF(COUNTIF('USPTO TMs'!A:A,D9797)&gt;0,"Yes","No"),"")</f>
        <v/>
      </c>
      <c r="C9797" s="11"/>
      <c r="D9797" s="11"/>
      <c r="E9797" s="11"/>
      <c r="F9797" s="11"/>
      <c r="G9797" s="11"/>
      <c r="H9797" s="11"/>
      <c r="I9797" s="15"/>
    </row>
    <row r="9798" spans="1:9" ht="16.5">
      <c r="A9798" s="10" t="b">
        <v>0</v>
      </c>
      <c r="B9798" s="11" t="str">
        <f>IF(D9798&lt;&gt;"",IF(COUNTIF('USPTO TMs'!A:A,D9798)&gt;0,"Yes","No"),"")</f>
        <v/>
      </c>
      <c r="C9798" s="11"/>
      <c r="D9798" s="11"/>
      <c r="E9798" s="11"/>
      <c r="F9798" s="11"/>
      <c r="G9798" s="11"/>
      <c r="H9798" s="11"/>
      <c r="I9798" s="15"/>
    </row>
    <row r="9799" spans="1:9" ht="16.5">
      <c r="A9799" s="10" t="b">
        <v>0</v>
      </c>
      <c r="B9799" s="11" t="str">
        <f>IF(D9799&lt;&gt;"",IF(COUNTIF('USPTO TMs'!A:A,D9799)&gt;0,"Yes","No"),"")</f>
        <v/>
      </c>
      <c r="C9799" s="11"/>
      <c r="D9799" s="11"/>
      <c r="E9799" s="11"/>
      <c r="F9799" s="11"/>
      <c r="G9799" s="11"/>
      <c r="H9799" s="11"/>
      <c r="I9799" s="15"/>
    </row>
    <row r="9800" spans="1:9" ht="16.5">
      <c r="A9800" s="10" t="b">
        <v>0</v>
      </c>
      <c r="B9800" s="11" t="str">
        <f>IF(D9800&lt;&gt;"",IF(COUNTIF('USPTO TMs'!A:A,D9800)&gt;0,"Yes","No"),"")</f>
        <v/>
      </c>
      <c r="C9800" s="11"/>
      <c r="D9800" s="11"/>
      <c r="E9800" s="11"/>
      <c r="F9800" s="11"/>
      <c r="G9800" s="11"/>
      <c r="H9800" s="11"/>
      <c r="I9800" s="15"/>
    </row>
    <row r="9801" spans="1:9" ht="16.5">
      <c r="A9801" s="10" t="b">
        <v>0</v>
      </c>
      <c r="B9801" s="11" t="str">
        <f>IF(D9801&lt;&gt;"",IF(COUNTIF('USPTO TMs'!A:A,D9801)&gt;0,"Yes","No"),"")</f>
        <v/>
      </c>
      <c r="C9801" s="11"/>
      <c r="D9801" s="11"/>
      <c r="E9801" s="11"/>
      <c r="F9801" s="11"/>
      <c r="G9801" s="11"/>
      <c r="H9801" s="11"/>
      <c r="I9801" s="15"/>
    </row>
    <row r="9802" spans="1:9" ht="16.5">
      <c r="A9802" s="10" t="b">
        <v>0</v>
      </c>
      <c r="B9802" s="11" t="str">
        <f>IF(D9802&lt;&gt;"",IF(COUNTIF('USPTO TMs'!A:A,D9802)&gt;0,"Yes","No"),"")</f>
        <v/>
      </c>
      <c r="C9802" s="11"/>
      <c r="D9802" s="11"/>
      <c r="E9802" s="11"/>
      <c r="F9802" s="11"/>
      <c r="G9802" s="11"/>
      <c r="H9802" s="11"/>
      <c r="I9802" s="15"/>
    </row>
    <row r="9803" spans="1:9" ht="16.5">
      <c r="A9803" s="10" t="b">
        <v>0</v>
      </c>
      <c r="B9803" s="11" t="str">
        <f>IF(D9803&lt;&gt;"",IF(COUNTIF('USPTO TMs'!A:A,D9803)&gt;0,"Yes","No"),"")</f>
        <v/>
      </c>
      <c r="C9803" s="11"/>
      <c r="D9803" s="11"/>
      <c r="E9803" s="11"/>
      <c r="F9803" s="11"/>
      <c r="G9803" s="11"/>
      <c r="H9803" s="11"/>
      <c r="I9803" s="15"/>
    </row>
    <row r="9804" spans="1:9" ht="16.5">
      <c r="A9804" s="10" t="b">
        <v>0</v>
      </c>
      <c r="B9804" s="11" t="str">
        <f>IF(D9804&lt;&gt;"",IF(COUNTIF('USPTO TMs'!A:A,D9804)&gt;0,"Yes","No"),"")</f>
        <v/>
      </c>
      <c r="C9804" s="11"/>
      <c r="D9804" s="11"/>
      <c r="E9804" s="11"/>
      <c r="F9804" s="11"/>
      <c r="G9804" s="11"/>
      <c r="H9804" s="11"/>
      <c r="I9804" s="15"/>
    </row>
    <row r="9805" spans="1:9" ht="16.5">
      <c r="A9805" s="10" t="b">
        <v>0</v>
      </c>
      <c r="B9805" s="11" t="str">
        <f>IF(D9805&lt;&gt;"",IF(COUNTIF('USPTO TMs'!A:A,D9805)&gt;0,"Yes","No"),"")</f>
        <v/>
      </c>
      <c r="C9805" s="11"/>
      <c r="D9805" s="11"/>
      <c r="E9805" s="11"/>
      <c r="F9805" s="11"/>
      <c r="G9805" s="11"/>
      <c r="H9805" s="11"/>
      <c r="I9805" s="15"/>
    </row>
    <row r="9806" spans="1:9" ht="16.5">
      <c r="A9806" s="10" t="b">
        <v>0</v>
      </c>
      <c r="B9806" s="11" t="str">
        <f>IF(D9806&lt;&gt;"",IF(COUNTIF('USPTO TMs'!A:A,D9806)&gt;0,"Yes","No"),"")</f>
        <v/>
      </c>
      <c r="C9806" s="11"/>
      <c r="D9806" s="11"/>
      <c r="E9806" s="11"/>
      <c r="F9806" s="11"/>
      <c r="G9806" s="11"/>
      <c r="H9806" s="11"/>
      <c r="I9806" s="15"/>
    </row>
    <row r="9807" spans="1:9" ht="16.5">
      <c r="A9807" s="10" t="b">
        <v>0</v>
      </c>
      <c r="B9807" s="11" t="str">
        <f>IF(D9807&lt;&gt;"",IF(COUNTIF('USPTO TMs'!A:A,D9807)&gt;0,"Yes","No"),"")</f>
        <v/>
      </c>
      <c r="C9807" s="11"/>
      <c r="D9807" s="11"/>
      <c r="E9807" s="11"/>
      <c r="F9807" s="11"/>
      <c r="G9807" s="11"/>
      <c r="H9807" s="11"/>
      <c r="I9807" s="15"/>
    </row>
    <row r="9808" spans="1:9" ht="16.5">
      <c r="A9808" s="10" t="b">
        <v>0</v>
      </c>
      <c r="B9808" s="11" t="str">
        <f>IF(D9808&lt;&gt;"",IF(COUNTIF('USPTO TMs'!A:A,D9808)&gt;0,"Yes","No"),"")</f>
        <v/>
      </c>
      <c r="C9808" s="11"/>
      <c r="D9808" s="11"/>
      <c r="E9808" s="11"/>
      <c r="F9808" s="11"/>
      <c r="G9808" s="11"/>
      <c r="H9808" s="11"/>
      <c r="I9808" s="15"/>
    </row>
    <row r="9809" spans="1:9" ht="16.5">
      <c r="A9809" s="10" t="b">
        <v>0</v>
      </c>
      <c r="B9809" s="11" t="str">
        <f>IF(D9809&lt;&gt;"",IF(COUNTIF('USPTO TMs'!A:A,D9809)&gt;0,"Yes","No"),"")</f>
        <v/>
      </c>
      <c r="C9809" s="11"/>
      <c r="D9809" s="11"/>
      <c r="E9809" s="11"/>
      <c r="F9809" s="11"/>
      <c r="G9809" s="11"/>
      <c r="H9809" s="11"/>
      <c r="I9809" s="15"/>
    </row>
    <row r="9810" spans="1:9" ht="16.5">
      <c r="A9810" s="10" t="b">
        <v>0</v>
      </c>
      <c r="B9810" s="11" t="str">
        <f>IF(D9810&lt;&gt;"",IF(COUNTIF('USPTO TMs'!A:A,D9810)&gt;0,"Yes","No"),"")</f>
        <v/>
      </c>
      <c r="C9810" s="11"/>
      <c r="D9810" s="11"/>
      <c r="E9810" s="11"/>
      <c r="F9810" s="11"/>
      <c r="G9810" s="11"/>
      <c r="H9810" s="11"/>
      <c r="I9810" s="15"/>
    </row>
    <row r="9811" spans="1:9" ht="16.5">
      <c r="A9811" s="10" t="b">
        <v>0</v>
      </c>
      <c r="B9811" s="11" t="str">
        <f>IF(D9811&lt;&gt;"",IF(COUNTIF('USPTO TMs'!A:A,D9811)&gt;0,"Yes","No"),"")</f>
        <v/>
      </c>
      <c r="C9811" s="11"/>
      <c r="D9811" s="11"/>
      <c r="E9811" s="11"/>
      <c r="F9811" s="11"/>
      <c r="G9811" s="11"/>
      <c r="H9811" s="11"/>
      <c r="I9811" s="15"/>
    </row>
    <row r="9812" spans="1:9" ht="16.5">
      <c r="A9812" s="10" t="b">
        <v>0</v>
      </c>
      <c r="B9812" s="11" t="str">
        <f>IF(D9812&lt;&gt;"",IF(COUNTIF('USPTO TMs'!A:A,D9812)&gt;0,"Yes","No"),"")</f>
        <v/>
      </c>
      <c r="C9812" s="11"/>
      <c r="D9812" s="11"/>
      <c r="E9812" s="11"/>
      <c r="F9812" s="11"/>
      <c r="G9812" s="11"/>
      <c r="H9812" s="11"/>
      <c r="I9812" s="15"/>
    </row>
    <row r="9813" spans="1:9" ht="16.5">
      <c r="A9813" s="10" t="b">
        <v>0</v>
      </c>
      <c r="B9813" s="11" t="str">
        <f>IF(D9813&lt;&gt;"",IF(COUNTIF('USPTO TMs'!A:A,D9813)&gt;0,"Yes","No"),"")</f>
        <v/>
      </c>
      <c r="C9813" s="11"/>
      <c r="D9813" s="11"/>
      <c r="E9813" s="11"/>
      <c r="F9813" s="11"/>
      <c r="G9813" s="11"/>
      <c r="H9813" s="11"/>
      <c r="I9813" s="15"/>
    </row>
    <row r="9814" spans="1:9" ht="16.5">
      <c r="A9814" s="10" t="b">
        <v>0</v>
      </c>
      <c r="B9814" s="11" t="str">
        <f>IF(D9814&lt;&gt;"",IF(COUNTIF('USPTO TMs'!A:A,D9814)&gt;0,"Yes","No"),"")</f>
        <v/>
      </c>
      <c r="C9814" s="11"/>
      <c r="D9814" s="11"/>
      <c r="E9814" s="11"/>
      <c r="F9814" s="11"/>
      <c r="G9814" s="11"/>
      <c r="H9814" s="11"/>
      <c r="I9814" s="15"/>
    </row>
    <row r="9815" spans="1:9" ht="16.5">
      <c r="A9815" s="10" t="b">
        <v>0</v>
      </c>
      <c r="B9815" s="11" t="str">
        <f>IF(D9815&lt;&gt;"",IF(COUNTIF('USPTO TMs'!A:A,D9815)&gt;0,"Yes","No"),"")</f>
        <v/>
      </c>
      <c r="C9815" s="11"/>
      <c r="D9815" s="11"/>
      <c r="E9815" s="11"/>
      <c r="F9815" s="11"/>
      <c r="G9815" s="11"/>
      <c r="H9815" s="11"/>
      <c r="I9815" s="15"/>
    </row>
    <row r="9816" spans="1:9" ht="16.5">
      <c r="A9816" s="10" t="b">
        <v>0</v>
      </c>
      <c r="B9816" s="11" t="str">
        <f>IF(D9816&lt;&gt;"",IF(COUNTIF('USPTO TMs'!A:A,D9816)&gt;0,"Yes","No"),"")</f>
        <v/>
      </c>
      <c r="C9816" s="11"/>
      <c r="D9816" s="11"/>
      <c r="E9816" s="11"/>
      <c r="F9816" s="11"/>
      <c r="G9816" s="11"/>
      <c r="H9816" s="11"/>
      <c r="I9816" s="15"/>
    </row>
    <row r="9817" spans="1:9" ht="16.5">
      <c r="A9817" s="10" t="b">
        <v>0</v>
      </c>
      <c r="B9817" s="11" t="str">
        <f>IF(D9817&lt;&gt;"",IF(COUNTIF('USPTO TMs'!A:A,D9817)&gt;0,"Yes","No"),"")</f>
        <v/>
      </c>
      <c r="C9817" s="11"/>
      <c r="D9817" s="11"/>
      <c r="E9817" s="11"/>
      <c r="F9817" s="11"/>
      <c r="G9817" s="11"/>
      <c r="H9817" s="11"/>
      <c r="I9817" s="15"/>
    </row>
    <row r="9818" spans="1:9" ht="16.5">
      <c r="A9818" s="10" t="b">
        <v>0</v>
      </c>
      <c r="B9818" s="11" t="str">
        <f>IF(D9818&lt;&gt;"",IF(COUNTIF('USPTO TMs'!A:A,D9818)&gt;0,"Yes","No"),"")</f>
        <v/>
      </c>
      <c r="C9818" s="11"/>
      <c r="D9818" s="11"/>
      <c r="E9818" s="11"/>
      <c r="F9818" s="11"/>
      <c r="G9818" s="11"/>
      <c r="H9818" s="11"/>
      <c r="I9818" s="15"/>
    </row>
    <row r="9819" spans="1:9" ht="16.5">
      <c r="A9819" s="10" t="b">
        <v>0</v>
      </c>
      <c r="B9819" s="11" t="str">
        <f>IF(D9819&lt;&gt;"",IF(COUNTIF('USPTO TMs'!A:A,D9819)&gt;0,"Yes","No"),"")</f>
        <v/>
      </c>
      <c r="C9819" s="11"/>
      <c r="D9819" s="11"/>
      <c r="E9819" s="11"/>
      <c r="F9819" s="11"/>
      <c r="G9819" s="11"/>
      <c r="H9819" s="11"/>
      <c r="I9819" s="15"/>
    </row>
    <row r="9820" spans="1:9" ht="16.5">
      <c r="A9820" s="10" t="b">
        <v>0</v>
      </c>
      <c r="B9820" s="11" t="str">
        <f>IF(D9820&lt;&gt;"",IF(COUNTIF('USPTO TMs'!A:A,D9820)&gt;0,"Yes","No"),"")</f>
        <v/>
      </c>
      <c r="C9820" s="11"/>
      <c r="D9820" s="11"/>
      <c r="E9820" s="11"/>
      <c r="F9820" s="11"/>
      <c r="G9820" s="11"/>
      <c r="H9820" s="11"/>
      <c r="I9820" s="15"/>
    </row>
    <row r="9821" spans="1:9" ht="16.5">
      <c r="A9821" s="10" t="b">
        <v>0</v>
      </c>
      <c r="B9821" s="11" t="str">
        <f>IF(D9821&lt;&gt;"",IF(COUNTIF('USPTO TMs'!A:A,D9821)&gt;0,"Yes","No"),"")</f>
        <v/>
      </c>
      <c r="C9821" s="11"/>
      <c r="D9821" s="11"/>
      <c r="E9821" s="11"/>
      <c r="F9821" s="11"/>
      <c r="G9821" s="11"/>
      <c r="H9821" s="11"/>
      <c r="I9821" s="15"/>
    </row>
    <row r="9822" spans="1:9" ht="16.5">
      <c r="A9822" s="10" t="b">
        <v>0</v>
      </c>
      <c r="B9822" s="11" t="str">
        <f>IF(D9822&lt;&gt;"",IF(COUNTIF('USPTO TMs'!A:A,D9822)&gt;0,"Yes","No"),"")</f>
        <v/>
      </c>
      <c r="C9822" s="11"/>
      <c r="D9822" s="11"/>
      <c r="E9822" s="11"/>
      <c r="F9822" s="11"/>
      <c r="G9822" s="11"/>
      <c r="H9822" s="11"/>
      <c r="I9822" s="15"/>
    </row>
    <row r="9823" spans="1:9" ht="16.5">
      <c r="A9823" s="10" t="b">
        <v>0</v>
      </c>
      <c r="B9823" s="11" t="str">
        <f>IF(D9823&lt;&gt;"",IF(COUNTIF('USPTO TMs'!A:A,D9823)&gt;0,"Yes","No"),"")</f>
        <v/>
      </c>
      <c r="C9823" s="11"/>
      <c r="D9823" s="11"/>
      <c r="E9823" s="11"/>
      <c r="F9823" s="11"/>
      <c r="G9823" s="11"/>
      <c r="H9823" s="11"/>
      <c r="I9823" s="15"/>
    </row>
    <row r="9824" spans="1:9" ht="16.5">
      <c r="A9824" s="10" t="b">
        <v>0</v>
      </c>
      <c r="B9824" s="11" t="str">
        <f>IF(D9824&lt;&gt;"",IF(COUNTIF('USPTO TMs'!A:A,D9824)&gt;0,"Yes","No"),"")</f>
        <v/>
      </c>
      <c r="C9824" s="11"/>
      <c r="D9824" s="11"/>
      <c r="E9824" s="11"/>
      <c r="F9824" s="11"/>
      <c r="G9824" s="11"/>
      <c r="H9824" s="11"/>
      <c r="I9824" s="15"/>
    </row>
    <row r="9825" spans="1:9" ht="16.5">
      <c r="A9825" s="10" t="b">
        <v>0</v>
      </c>
      <c r="B9825" s="11" t="str">
        <f>IF(D9825&lt;&gt;"",IF(COUNTIF('USPTO TMs'!A:A,D9825)&gt;0,"Yes","No"),"")</f>
        <v/>
      </c>
      <c r="C9825" s="11"/>
      <c r="D9825" s="11"/>
      <c r="E9825" s="11"/>
      <c r="F9825" s="11"/>
      <c r="G9825" s="11"/>
      <c r="H9825" s="11"/>
      <c r="I9825" s="15"/>
    </row>
    <row r="9826" spans="1:9" ht="16.5">
      <c r="A9826" s="10" t="b">
        <v>0</v>
      </c>
      <c r="B9826" s="11" t="str">
        <f>IF(D9826&lt;&gt;"",IF(COUNTIF('USPTO TMs'!A:A,D9826)&gt;0,"Yes","No"),"")</f>
        <v/>
      </c>
      <c r="C9826" s="11"/>
      <c r="D9826" s="11"/>
      <c r="E9826" s="11"/>
      <c r="F9826" s="11"/>
      <c r="G9826" s="11"/>
      <c r="H9826" s="11"/>
      <c r="I9826" s="15"/>
    </row>
    <row r="9827" spans="1:9" ht="16.5">
      <c r="A9827" s="10" t="b">
        <v>0</v>
      </c>
      <c r="B9827" s="11" t="str">
        <f>IF(D9827&lt;&gt;"",IF(COUNTIF('USPTO TMs'!A:A,D9827)&gt;0,"Yes","No"),"")</f>
        <v/>
      </c>
      <c r="C9827" s="11"/>
      <c r="D9827" s="11"/>
      <c r="E9827" s="11"/>
      <c r="F9827" s="11"/>
      <c r="G9827" s="11"/>
      <c r="H9827" s="11"/>
      <c r="I9827" s="15"/>
    </row>
    <row r="9828" spans="1:9" ht="16.5">
      <c r="A9828" s="10" t="b">
        <v>0</v>
      </c>
      <c r="B9828" s="11" t="str">
        <f>IF(D9828&lt;&gt;"",IF(COUNTIF('USPTO TMs'!A:A,D9828)&gt;0,"Yes","No"),"")</f>
        <v/>
      </c>
      <c r="C9828" s="11"/>
      <c r="D9828" s="11"/>
      <c r="E9828" s="11"/>
      <c r="F9828" s="11"/>
      <c r="G9828" s="11"/>
      <c r="H9828" s="11"/>
      <c r="I9828" s="15"/>
    </row>
    <row r="9829" spans="1:9" ht="16.5">
      <c r="A9829" s="10" t="b">
        <v>0</v>
      </c>
      <c r="B9829" s="11" t="str">
        <f>IF(D9829&lt;&gt;"",IF(COUNTIF('USPTO TMs'!A:A,D9829)&gt;0,"Yes","No"),"")</f>
        <v/>
      </c>
      <c r="C9829" s="11"/>
      <c r="D9829" s="11"/>
      <c r="E9829" s="11"/>
      <c r="F9829" s="11"/>
      <c r="G9829" s="11"/>
      <c r="H9829" s="11"/>
      <c r="I9829" s="15"/>
    </row>
    <row r="9830" spans="1:9" ht="16.5">
      <c r="A9830" s="10" t="b">
        <v>0</v>
      </c>
      <c r="B9830" s="11" t="str">
        <f>IF(D9830&lt;&gt;"",IF(COUNTIF('USPTO TMs'!A:A,D9830)&gt;0,"Yes","No"),"")</f>
        <v/>
      </c>
      <c r="C9830" s="11"/>
      <c r="D9830" s="11"/>
      <c r="E9830" s="11"/>
      <c r="F9830" s="11"/>
      <c r="G9830" s="11"/>
      <c r="H9830" s="11"/>
      <c r="I9830" s="15"/>
    </row>
    <row r="9831" spans="1:9" ht="16.5">
      <c r="A9831" s="10" t="b">
        <v>0</v>
      </c>
      <c r="B9831" s="11" t="str">
        <f>IF(D9831&lt;&gt;"",IF(COUNTIF('USPTO TMs'!A:A,D9831)&gt;0,"Yes","No"),"")</f>
        <v/>
      </c>
      <c r="C9831" s="11"/>
      <c r="D9831" s="11"/>
      <c r="E9831" s="11"/>
      <c r="F9831" s="11"/>
      <c r="G9831" s="11"/>
      <c r="H9831" s="11"/>
      <c r="I9831" s="15"/>
    </row>
    <row r="9832" spans="1:9" ht="16.5">
      <c r="A9832" s="10" t="b">
        <v>0</v>
      </c>
      <c r="B9832" s="11" t="str">
        <f>IF(D9832&lt;&gt;"",IF(COUNTIF('USPTO TMs'!A:A,D9832)&gt;0,"Yes","No"),"")</f>
        <v/>
      </c>
      <c r="C9832" s="11"/>
      <c r="D9832" s="11"/>
      <c r="E9832" s="11"/>
      <c r="F9832" s="11"/>
      <c r="G9832" s="11"/>
      <c r="H9832" s="11"/>
      <c r="I9832" s="15"/>
    </row>
    <row r="9833" spans="1:9" ht="16.5">
      <c r="A9833" s="10" t="b">
        <v>0</v>
      </c>
      <c r="B9833" s="11" t="str">
        <f>IF(D9833&lt;&gt;"",IF(COUNTIF('USPTO TMs'!A:A,D9833)&gt;0,"Yes","No"),"")</f>
        <v/>
      </c>
      <c r="C9833" s="11"/>
      <c r="D9833" s="11"/>
      <c r="E9833" s="11"/>
      <c r="F9833" s="11"/>
      <c r="G9833" s="11"/>
      <c r="H9833" s="11"/>
      <c r="I9833" s="15"/>
    </row>
    <row r="9834" spans="1:9" ht="16.5">
      <c r="A9834" s="10" t="b">
        <v>0</v>
      </c>
      <c r="B9834" s="11" t="str">
        <f>IF(D9834&lt;&gt;"",IF(COUNTIF('USPTO TMs'!A:A,D9834)&gt;0,"Yes","No"),"")</f>
        <v/>
      </c>
      <c r="C9834" s="11"/>
      <c r="D9834" s="11"/>
      <c r="E9834" s="11"/>
      <c r="F9834" s="11"/>
      <c r="G9834" s="11"/>
      <c r="H9834" s="11"/>
      <c r="I9834" s="15"/>
    </row>
    <row r="9835" spans="1:9" ht="16.5">
      <c r="A9835" s="10" t="b">
        <v>0</v>
      </c>
      <c r="B9835" s="11" t="str">
        <f>IF(D9835&lt;&gt;"",IF(COUNTIF('USPTO TMs'!A:A,D9835)&gt;0,"Yes","No"),"")</f>
        <v/>
      </c>
      <c r="C9835" s="11"/>
      <c r="D9835" s="11"/>
      <c r="E9835" s="11"/>
      <c r="F9835" s="11"/>
      <c r="G9835" s="11"/>
      <c r="H9835" s="11"/>
      <c r="I9835" s="15"/>
    </row>
    <row r="9836" spans="1:9" ht="16.5">
      <c r="A9836" s="10" t="b">
        <v>0</v>
      </c>
      <c r="B9836" s="11" t="str">
        <f>IF(D9836&lt;&gt;"",IF(COUNTIF('USPTO TMs'!A:A,D9836)&gt;0,"Yes","No"),"")</f>
        <v/>
      </c>
      <c r="C9836" s="11"/>
      <c r="D9836" s="11"/>
      <c r="E9836" s="11"/>
      <c r="F9836" s="11"/>
      <c r="G9836" s="11"/>
      <c r="H9836" s="11"/>
      <c r="I9836" s="15"/>
    </row>
    <row r="9837" spans="1:9" ht="16.5">
      <c r="A9837" s="10" t="b">
        <v>0</v>
      </c>
      <c r="B9837" s="11" t="str">
        <f>IF(D9837&lt;&gt;"",IF(COUNTIF('USPTO TMs'!A:A,D9837)&gt;0,"Yes","No"),"")</f>
        <v/>
      </c>
      <c r="C9837" s="11"/>
      <c r="D9837" s="11"/>
      <c r="E9837" s="11"/>
      <c r="F9837" s="11"/>
      <c r="G9837" s="11"/>
      <c r="H9837" s="11"/>
      <c r="I9837" s="15"/>
    </row>
    <row r="9838" spans="1:9" ht="16.5">
      <c r="A9838" s="10" t="b">
        <v>0</v>
      </c>
      <c r="B9838" s="11" t="str">
        <f>IF(D9838&lt;&gt;"",IF(COUNTIF('USPTO TMs'!A:A,D9838)&gt;0,"Yes","No"),"")</f>
        <v/>
      </c>
      <c r="C9838" s="11"/>
      <c r="D9838" s="11"/>
      <c r="E9838" s="11"/>
      <c r="F9838" s="11"/>
      <c r="G9838" s="11"/>
      <c r="H9838" s="11"/>
      <c r="I9838" s="15"/>
    </row>
    <row r="9839" spans="1:9" ht="16.5">
      <c r="A9839" s="10" t="b">
        <v>0</v>
      </c>
      <c r="B9839" s="11" t="str">
        <f>IF(D9839&lt;&gt;"",IF(COUNTIF('USPTO TMs'!A:A,D9839)&gt;0,"Yes","No"),"")</f>
        <v/>
      </c>
      <c r="C9839" s="11"/>
      <c r="D9839" s="11"/>
      <c r="E9839" s="11"/>
      <c r="F9839" s="11"/>
      <c r="G9839" s="11"/>
      <c r="H9839" s="11"/>
      <c r="I9839" s="15"/>
    </row>
    <row r="9840" spans="1:9" ht="16.5">
      <c r="A9840" s="10" t="b">
        <v>0</v>
      </c>
      <c r="B9840" s="11" t="str">
        <f>IF(D9840&lt;&gt;"",IF(COUNTIF('USPTO TMs'!A:A,D9840)&gt;0,"Yes","No"),"")</f>
        <v/>
      </c>
      <c r="C9840" s="11"/>
      <c r="D9840" s="11"/>
      <c r="E9840" s="11"/>
      <c r="F9840" s="11"/>
      <c r="G9840" s="11"/>
      <c r="H9840" s="11"/>
      <c r="I9840" s="15"/>
    </row>
    <row r="9841" spans="1:9" ht="16.5">
      <c r="A9841" s="10" t="b">
        <v>0</v>
      </c>
      <c r="B9841" s="11" t="str">
        <f>IF(D9841&lt;&gt;"",IF(COUNTIF('USPTO TMs'!A:A,D9841)&gt;0,"Yes","No"),"")</f>
        <v/>
      </c>
      <c r="C9841" s="11"/>
      <c r="D9841" s="11"/>
      <c r="E9841" s="11"/>
      <c r="F9841" s="11"/>
      <c r="G9841" s="11"/>
      <c r="H9841" s="11"/>
      <c r="I9841" s="15"/>
    </row>
    <row r="9842" spans="1:9" ht="16.5">
      <c r="A9842" s="10" t="b">
        <v>0</v>
      </c>
      <c r="B9842" s="11" t="str">
        <f>IF(D9842&lt;&gt;"",IF(COUNTIF('USPTO TMs'!A:A,D9842)&gt;0,"Yes","No"),"")</f>
        <v/>
      </c>
      <c r="C9842" s="11"/>
      <c r="D9842" s="11"/>
      <c r="E9842" s="11"/>
      <c r="F9842" s="11"/>
      <c r="G9842" s="11"/>
      <c r="H9842" s="11"/>
      <c r="I9842" s="15"/>
    </row>
    <row r="9843" spans="1:9" ht="16.5">
      <c r="A9843" s="10" t="b">
        <v>0</v>
      </c>
      <c r="B9843" s="11" t="str">
        <f>IF(D9843&lt;&gt;"",IF(COUNTIF('USPTO TMs'!A:A,D9843)&gt;0,"Yes","No"),"")</f>
        <v/>
      </c>
      <c r="C9843" s="11"/>
      <c r="D9843" s="11"/>
      <c r="E9843" s="11"/>
      <c r="F9843" s="11"/>
      <c r="G9843" s="11"/>
      <c r="H9843" s="11"/>
      <c r="I9843" s="15"/>
    </row>
    <row r="9844" spans="1:9" ht="16.5">
      <c r="A9844" s="10" t="b">
        <v>0</v>
      </c>
      <c r="B9844" s="11" t="str">
        <f>IF(D9844&lt;&gt;"",IF(COUNTIF('USPTO TMs'!A:A,D9844)&gt;0,"Yes","No"),"")</f>
        <v/>
      </c>
      <c r="C9844" s="11"/>
      <c r="D9844" s="11"/>
      <c r="E9844" s="11"/>
      <c r="F9844" s="11"/>
      <c r="G9844" s="11"/>
      <c r="H9844" s="11"/>
      <c r="I9844" s="15"/>
    </row>
    <row r="9845" spans="1:9" ht="16.5">
      <c r="A9845" s="10" t="b">
        <v>0</v>
      </c>
      <c r="B9845" s="11" t="str">
        <f>IF(D9845&lt;&gt;"",IF(COUNTIF('USPTO TMs'!A:A,D9845)&gt;0,"Yes","No"),"")</f>
        <v/>
      </c>
      <c r="C9845" s="11"/>
      <c r="D9845" s="11"/>
      <c r="E9845" s="11"/>
      <c r="F9845" s="11"/>
      <c r="G9845" s="11"/>
      <c r="H9845" s="11"/>
      <c r="I9845" s="15"/>
    </row>
    <row r="9846" spans="1:9" ht="16.5">
      <c r="A9846" s="10" t="b">
        <v>0</v>
      </c>
      <c r="B9846" s="11" t="str">
        <f>IF(D9846&lt;&gt;"",IF(COUNTIF('USPTO TMs'!A:A,D9846)&gt;0,"Yes","No"),"")</f>
        <v/>
      </c>
      <c r="C9846" s="11"/>
      <c r="D9846" s="11"/>
      <c r="E9846" s="11"/>
      <c r="F9846" s="11"/>
      <c r="G9846" s="11"/>
      <c r="H9846" s="11"/>
      <c r="I9846" s="15"/>
    </row>
    <row r="9847" spans="1:9" ht="16.5">
      <c r="A9847" s="10" t="b">
        <v>0</v>
      </c>
      <c r="B9847" s="11" t="str">
        <f>IF(D9847&lt;&gt;"",IF(COUNTIF('USPTO TMs'!A:A,D9847)&gt;0,"Yes","No"),"")</f>
        <v/>
      </c>
      <c r="C9847" s="11"/>
      <c r="D9847" s="11"/>
      <c r="E9847" s="11"/>
      <c r="F9847" s="11"/>
      <c r="G9847" s="11"/>
      <c r="H9847" s="11"/>
      <c r="I9847" s="15"/>
    </row>
    <row r="9848" spans="1:9" ht="16.5">
      <c r="A9848" s="10" t="b">
        <v>0</v>
      </c>
      <c r="B9848" s="11" t="str">
        <f>IF(D9848&lt;&gt;"",IF(COUNTIF('USPTO TMs'!A:A,D9848)&gt;0,"Yes","No"),"")</f>
        <v/>
      </c>
      <c r="C9848" s="11"/>
      <c r="D9848" s="11"/>
      <c r="E9848" s="11"/>
      <c r="F9848" s="11"/>
      <c r="G9848" s="11"/>
      <c r="H9848" s="11"/>
      <c r="I9848" s="15"/>
    </row>
    <row r="9849" spans="1:9" ht="16.5">
      <c r="A9849" s="10" t="b">
        <v>0</v>
      </c>
      <c r="B9849" s="11" t="str">
        <f>IF(D9849&lt;&gt;"",IF(COUNTIF('USPTO TMs'!A:A,D9849)&gt;0,"Yes","No"),"")</f>
        <v/>
      </c>
      <c r="C9849" s="11"/>
      <c r="D9849" s="11"/>
      <c r="E9849" s="11"/>
      <c r="F9849" s="11"/>
      <c r="G9849" s="11"/>
      <c r="H9849" s="11"/>
      <c r="I9849" s="15"/>
    </row>
    <row r="9850" spans="1:9" ht="16.5">
      <c r="A9850" s="10" t="b">
        <v>0</v>
      </c>
      <c r="B9850" s="11" t="str">
        <f>IF(D9850&lt;&gt;"",IF(COUNTIF('USPTO TMs'!A:A,D9850)&gt;0,"Yes","No"),"")</f>
        <v/>
      </c>
      <c r="C9850" s="11"/>
      <c r="D9850" s="11"/>
      <c r="E9850" s="11"/>
      <c r="F9850" s="11"/>
      <c r="G9850" s="11"/>
      <c r="H9850" s="11"/>
      <c r="I9850" s="15"/>
    </row>
    <row r="9851" spans="1:9" ht="16.5">
      <c r="A9851" s="10" t="b">
        <v>0</v>
      </c>
      <c r="B9851" s="11" t="str">
        <f>IF(D9851&lt;&gt;"",IF(COUNTIF('USPTO TMs'!A:A,D9851)&gt;0,"Yes","No"),"")</f>
        <v/>
      </c>
      <c r="C9851" s="11"/>
      <c r="D9851" s="11"/>
      <c r="E9851" s="11"/>
      <c r="F9851" s="11"/>
      <c r="G9851" s="11"/>
      <c r="H9851" s="11"/>
      <c r="I9851" s="15"/>
    </row>
    <row r="9852" spans="1:9" ht="16.5">
      <c r="A9852" s="10" t="b">
        <v>0</v>
      </c>
      <c r="B9852" s="11" t="str">
        <f>IF(D9852&lt;&gt;"",IF(COUNTIF('USPTO TMs'!A:A,D9852)&gt;0,"Yes","No"),"")</f>
        <v/>
      </c>
      <c r="C9852" s="11"/>
      <c r="D9852" s="11"/>
      <c r="E9852" s="11"/>
      <c r="F9852" s="11"/>
      <c r="G9852" s="11"/>
      <c r="H9852" s="11"/>
      <c r="I9852" s="15"/>
    </row>
    <row r="9853" spans="1:9" ht="16.5">
      <c r="A9853" s="10" t="b">
        <v>0</v>
      </c>
      <c r="B9853" s="11" t="str">
        <f>IF(D9853&lt;&gt;"",IF(COUNTIF('USPTO TMs'!A:A,D9853)&gt;0,"Yes","No"),"")</f>
        <v/>
      </c>
      <c r="C9853" s="11"/>
      <c r="D9853" s="11"/>
      <c r="E9853" s="11"/>
      <c r="F9853" s="11"/>
      <c r="G9853" s="11"/>
      <c r="H9853" s="11"/>
      <c r="I9853" s="15"/>
    </row>
    <row r="9854" spans="1:9" ht="16.5">
      <c r="A9854" s="10" t="b">
        <v>0</v>
      </c>
      <c r="B9854" s="11" t="str">
        <f>IF(D9854&lt;&gt;"",IF(COUNTIF('USPTO TMs'!A:A,D9854)&gt;0,"Yes","No"),"")</f>
        <v/>
      </c>
      <c r="C9854" s="11"/>
      <c r="D9854" s="11"/>
      <c r="E9854" s="11"/>
      <c r="F9854" s="11"/>
      <c r="G9854" s="11"/>
      <c r="H9854" s="11"/>
      <c r="I9854" s="15"/>
    </row>
    <row r="9855" spans="1:9" ht="16.5">
      <c r="A9855" s="10" t="b">
        <v>0</v>
      </c>
      <c r="B9855" s="11" t="str">
        <f>IF(D9855&lt;&gt;"",IF(COUNTIF('USPTO TMs'!A:A,D9855)&gt;0,"Yes","No"),"")</f>
        <v/>
      </c>
      <c r="C9855" s="11"/>
      <c r="D9855" s="11"/>
      <c r="E9855" s="11"/>
      <c r="F9855" s="11"/>
      <c r="G9855" s="11"/>
      <c r="H9855" s="11"/>
      <c r="I9855" s="15"/>
    </row>
    <row r="9856" spans="1:9" ht="16.5">
      <c r="A9856" s="10" t="b">
        <v>0</v>
      </c>
      <c r="B9856" s="11" t="str">
        <f>IF(D9856&lt;&gt;"",IF(COUNTIF('USPTO TMs'!A:A,D9856)&gt;0,"Yes","No"),"")</f>
        <v/>
      </c>
      <c r="C9856" s="11"/>
      <c r="D9856" s="11"/>
      <c r="E9856" s="11"/>
      <c r="F9856" s="11"/>
      <c r="G9856" s="11"/>
      <c r="H9856" s="11"/>
      <c r="I9856" s="15"/>
    </row>
    <row r="9857" spans="1:9" ht="16.5">
      <c r="A9857" s="10" t="b">
        <v>0</v>
      </c>
      <c r="B9857" s="11" t="str">
        <f>IF(D9857&lt;&gt;"",IF(COUNTIF('USPTO TMs'!A:A,D9857)&gt;0,"Yes","No"),"")</f>
        <v/>
      </c>
      <c r="C9857" s="11"/>
      <c r="D9857" s="11"/>
      <c r="E9857" s="11"/>
      <c r="F9857" s="11"/>
      <c r="G9857" s="11"/>
      <c r="H9857" s="11"/>
      <c r="I9857" s="15"/>
    </row>
    <row r="9858" spans="1:9" ht="16.5">
      <c r="A9858" s="10" t="b">
        <v>0</v>
      </c>
      <c r="B9858" s="11" t="str">
        <f>IF(D9858&lt;&gt;"",IF(COUNTIF('USPTO TMs'!A:A,D9858)&gt;0,"Yes","No"),"")</f>
        <v/>
      </c>
      <c r="C9858" s="11"/>
      <c r="D9858" s="11"/>
      <c r="E9858" s="11"/>
      <c r="F9858" s="11"/>
      <c r="G9858" s="11"/>
      <c r="H9858" s="11"/>
      <c r="I9858" s="15"/>
    </row>
    <row r="9859" spans="1:9" ht="16.5">
      <c r="A9859" s="10" t="b">
        <v>0</v>
      </c>
      <c r="B9859" s="11" t="str">
        <f>IF(D9859&lt;&gt;"",IF(COUNTIF('USPTO TMs'!A:A,D9859)&gt;0,"Yes","No"),"")</f>
        <v/>
      </c>
      <c r="C9859" s="11"/>
      <c r="D9859" s="11"/>
      <c r="E9859" s="11"/>
      <c r="F9859" s="11"/>
      <c r="G9859" s="11"/>
      <c r="H9859" s="11"/>
      <c r="I9859" s="15"/>
    </row>
    <row r="9860" spans="1:9" ht="16.5">
      <c r="A9860" s="10" t="b">
        <v>0</v>
      </c>
      <c r="B9860" s="11" t="str">
        <f>IF(D9860&lt;&gt;"",IF(COUNTIF('USPTO TMs'!A:A,D9860)&gt;0,"Yes","No"),"")</f>
        <v/>
      </c>
      <c r="C9860" s="11"/>
      <c r="D9860" s="11"/>
      <c r="E9860" s="11"/>
      <c r="F9860" s="11"/>
      <c r="G9860" s="11"/>
      <c r="H9860" s="11"/>
      <c r="I9860" s="15"/>
    </row>
    <row r="9861" spans="1:9" ht="16.5">
      <c r="A9861" s="10" t="b">
        <v>0</v>
      </c>
      <c r="B9861" s="11" t="str">
        <f>IF(D9861&lt;&gt;"",IF(COUNTIF('USPTO TMs'!A:A,D9861)&gt;0,"Yes","No"),"")</f>
        <v/>
      </c>
      <c r="C9861" s="11"/>
      <c r="D9861" s="11"/>
      <c r="E9861" s="11"/>
      <c r="F9861" s="11"/>
      <c r="G9861" s="11"/>
      <c r="H9861" s="11"/>
      <c r="I9861" s="15"/>
    </row>
    <row r="9862" spans="1:9" ht="16.5">
      <c r="A9862" s="10" t="b">
        <v>0</v>
      </c>
      <c r="B9862" s="11" t="str">
        <f>IF(D9862&lt;&gt;"",IF(COUNTIF('USPTO TMs'!A:A,D9862)&gt;0,"Yes","No"),"")</f>
        <v/>
      </c>
      <c r="C9862" s="11"/>
      <c r="D9862" s="11"/>
      <c r="E9862" s="11"/>
      <c r="F9862" s="11"/>
      <c r="G9862" s="11"/>
      <c r="H9862" s="11"/>
      <c r="I9862" s="15"/>
    </row>
    <row r="9863" spans="1:9" ht="16.5">
      <c r="A9863" s="10" t="b">
        <v>0</v>
      </c>
      <c r="B9863" s="11" t="str">
        <f>IF(D9863&lt;&gt;"",IF(COUNTIF('USPTO TMs'!A:A,D9863)&gt;0,"Yes","No"),"")</f>
        <v/>
      </c>
      <c r="C9863" s="11"/>
      <c r="D9863" s="11"/>
      <c r="E9863" s="11"/>
      <c r="F9863" s="11"/>
      <c r="G9863" s="11"/>
      <c r="H9863" s="11"/>
      <c r="I9863" s="15"/>
    </row>
    <row r="9864" spans="1:9" ht="16.5">
      <c r="A9864" s="10" t="b">
        <v>0</v>
      </c>
      <c r="B9864" s="11" t="str">
        <f>IF(D9864&lt;&gt;"",IF(COUNTIF('USPTO TMs'!A:A,D9864)&gt;0,"Yes","No"),"")</f>
        <v/>
      </c>
      <c r="C9864" s="11"/>
      <c r="D9864" s="11"/>
      <c r="E9864" s="11"/>
      <c r="F9864" s="11"/>
      <c r="G9864" s="11"/>
      <c r="H9864" s="11"/>
      <c r="I9864" s="15"/>
    </row>
    <row r="9865" spans="1:9" ht="16.5">
      <c r="A9865" s="10" t="b">
        <v>0</v>
      </c>
      <c r="B9865" s="11" t="str">
        <f>IF(D9865&lt;&gt;"",IF(COUNTIF('USPTO TMs'!A:A,D9865)&gt;0,"Yes","No"),"")</f>
        <v/>
      </c>
      <c r="C9865" s="11"/>
      <c r="D9865" s="11"/>
      <c r="E9865" s="11"/>
      <c r="F9865" s="11"/>
      <c r="G9865" s="11"/>
      <c r="H9865" s="11"/>
      <c r="I9865" s="15"/>
    </row>
    <row r="9866" spans="1:9" ht="16.5">
      <c r="A9866" s="10" t="b">
        <v>0</v>
      </c>
      <c r="B9866" s="11" t="str">
        <f>IF(D9866&lt;&gt;"",IF(COUNTIF('USPTO TMs'!A:A,D9866)&gt;0,"Yes","No"),"")</f>
        <v/>
      </c>
      <c r="C9866" s="11"/>
      <c r="D9866" s="11"/>
      <c r="E9866" s="11"/>
      <c r="F9866" s="11"/>
      <c r="G9866" s="11"/>
      <c r="H9866" s="11"/>
      <c r="I9866" s="15"/>
    </row>
    <row r="9867" spans="1:9" ht="16.5">
      <c r="A9867" s="10" t="b">
        <v>0</v>
      </c>
      <c r="B9867" s="11" t="str">
        <f>IF(D9867&lt;&gt;"",IF(COUNTIF('USPTO TMs'!A:A,D9867)&gt;0,"Yes","No"),"")</f>
        <v/>
      </c>
      <c r="C9867" s="11"/>
      <c r="D9867" s="11"/>
      <c r="E9867" s="11"/>
      <c r="F9867" s="11"/>
      <c r="G9867" s="11"/>
      <c r="H9867" s="11"/>
      <c r="I9867" s="15"/>
    </row>
    <row r="9868" spans="1:9" ht="16.5">
      <c r="A9868" s="10" t="b">
        <v>0</v>
      </c>
      <c r="B9868" s="11" t="str">
        <f>IF(D9868&lt;&gt;"",IF(COUNTIF('USPTO TMs'!A:A,D9868)&gt;0,"Yes","No"),"")</f>
        <v/>
      </c>
      <c r="C9868" s="11"/>
      <c r="D9868" s="11"/>
      <c r="E9868" s="11"/>
      <c r="F9868" s="11"/>
      <c r="G9868" s="11"/>
      <c r="H9868" s="11"/>
      <c r="I9868" s="15"/>
    </row>
    <row r="9869" spans="1:9" ht="16.5">
      <c r="A9869" s="10" t="b">
        <v>0</v>
      </c>
      <c r="B9869" s="11" t="str">
        <f>IF(D9869&lt;&gt;"",IF(COUNTIF('USPTO TMs'!A:A,D9869)&gt;0,"Yes","No"),"")</f>
        <v/>
      </c>
      <c r="C9869" s="11"/>
      <c r="D9869" s="11"/>
      <c r="E9869" s="11"/>
      <c r="F9869" s="11"/>
      <c r="G9869" s="11"/>
      <c r="H9869" s="11"/>
      <c r="I9869" s="15"/>
    </row>
    <row r="9870" spans="1:9" ht="16.5">
      <c r="A9870" s="10" t="b">
        <v>0</v>
      </c>
      <c r="B9870" s="11" t="str">
        <f>IF(D9870&lt;&gt;"",IF(COUNTIF('USPTO TMs'!A:A,D9870)&gt;0,"Yes","No"),"")</f>
        <v/>
      </c>
      <c r="C9870" s="11"/>
      <c r="D9870" s="11"/>
      <c r="E9870" s="11"/>
      <c r="F9870" s="11"/>
      <c r="G9870" s="11"/>
      <c r="H9870" s="11"/>
      <c r="I9870" s="15"/>
    </row>
    <row r="9871" spans="1:9" ht="16.5">
      <c r="A9871" s="10" t="b">
        <v>0</v>
      </c>
      <c r="B9871" s="11" t="str">
        <f>IF(D9871&lt;&gt;"",IF(COUNTIF('USPTO TMs'!A:A,D9871)&gt;0,"Yes","No"),"")</f>
        <v/>
      </c>
      <c r="C9871" s="11"/>
      <c r="D9871" s="11"/>
      <c r="E9871" s="11"/>
      <c r="F9871" s="11"/>
      <c r="G9871" s="11"/>
      <c r="H9871" s="11"/>
      <c r="I9871" s="15"/>
    </row>
    <row r="9872" spans="1:9" ht="16.5">
      <c r="A9872" s="10" t="b">
        <v>0</v>
      </c>
      <c r="B9872" s="11" t="str">
        <f>IF(D9872&lt;&gt;"",IF(COUNTIF('USPTO TMs'!A:A,D9872)&gt;0,"Yes","No"),"")</f>
        <v/>
      </c>
      <c r="C9872" s="11"/>
      <c r="D9872" s="11"/>
      <c r="E9872" s="11"/>
      <c r="F9872" s="11"/>
      <c r="G9872" s="11"/>
      <c r="H9872" s="11"/>
      <c r="I9872" s="15"/>
    </row>
    <row r="9873" spans="1:9" ht="16.5">
      <c r="A9873" s="10" t="b">
        <v>0</v>
      </c>
      <c r="B9873" s="11" t="str">
        <f>IF(D9873&lt;&gt;"",IF(COUNTIF('USPTO TMs'!A:A,D9873)&gt;0,"Yes","No"),"")</f>
        <v/>
      </c>
      <c r="C9873" s="11"/>
      <c r="D9873" s="11"/>
      <c r="E9873" s="11"/>
      <c r="F9873" s="11"/>
      <c r="G9873" s="11"/>
      <c r="H9873" s="11"/>
      <c r="I9873" s="15"/>
    </row>
    <row r="9874" spans="1:9" ht="16.5">
      <c r="A9874" s="10" t="b">
        <v>0</v>
      </c>
      <c r="B9874" s="11" t="str">
        <f>IF(D9874&lt;&gt;"",IF(COUNTIF('USPTO TMs'!A:A,D9874)&gt;0,"Yes","No"),"")</f>
        <v/>
      </c>
      <c r="C9874" s="11"/>
      <c r="D9874" s="11"/>
      <c r="E9874" s="11"/>
      <c r="F9874" s="11"/>
      <c r="G9874" s="11"/>
      <c r="H9874" s="11"/>
      <c r="I9874" s="15"/>
    </row>
    <row r="9875" spans="1:9" ht="16.5">
      <c r="A9875" s="10" t="b">
        <v>0</v>
      </c>
      <c r="B9875" s="11" t="str">
        <f>IF(D9875&lt;&gt;"",IF(COUNTIF('USPTO TMs'!A:A,D9875)&gt;0,"Yes","No"),"")</f>
        <v/>
      </c>
      <c r="C9875" s="11"/>
      <c r="D9875" s="11"/>
      <c r="E9875" s="11"/>
      <c r="F9875" s="11"/>
      <c r="G9875" s="11"/>
      <c r="H9875" s="11"/>
      <c r="I9875" s="15"/>
    </row>
    <row r="9876" spans="1:9" ht="16.5">
      <c r="A9876" s="10" t="b">
        <v>0</v>
      </c>
      <c r="B9876" s="11" t="str">
        <f>IF(D9876&lt;&gt;"",IF(COUNTIF('USPTO TMs'!A:A,D9876)&gt;0,"Yes","No"),"")</f>
        <v/>
      </c>
      <c r="C9876" s="11"/>
      <c r="D9876" s="11"/>
      <c r="E9876" s="11"/>
      <c r="F9876" s="11"/>
      <c r="G9876" s="11"/>
      <c r="H9876" s="11"/>
      <c r="I9876" s="15"/>
    </row>
    <row r="9877" spans="1:9" ht="16.5">
      <c r="A9877" s="10" t="b">
        <v>0</v>
      </c>
      <c r="B9877" s="11" t="str">
        <f>IF(D9877&lt;&gt;"",IF(COUNTIF('USPTO TMs'!A:A,D9877)&gt;0,"Yes","No"),"")</f>
        <v/>
      </c>
      <c r="C9877" s="11"/>
      <c r="D9877" s="11"/>
      <c r="E9877" s="11"/>
      <c r="F9877" s="11"/>
      <c r="G9877" s="11"/>
      <c r="H9877" s="11"/>
      <c r="I9877" s="15"/>
    </row>
    <row r="9878" spans="1:9" ht="16.5">
      <c r="A9878" s="10" t="b">
        <v>0</v>
      </c>
      <c r="B9878" s="11" t="str">
        <f>IF(D9878&lt;&gt;"",IF(COUNTIF('USPTO TMs'!A:A,D9878)&gt;0,"Yes","No"),"")</f>
        <v/>
      </c>
      <c r="C9878" s="11"/>
      <c r="D9878" s="11"/>
      <c r="E9878" s="11"/>
      <c r="F9878" s="11"/>
      <c r="G9878" s="11"/>
      <c r="H9878" s="11"/>
      <c r="I9878" s="15"/>
    </row>
    <row r="9879" spans="1:9" ht="16.5">
      <c r="A9879" s="10" t="b">
        <v>0</v>
      </c>
      <c r="B9879" s="11" t="str">
        <f>IF(D9879&lt;&gt;"",IF(COUNTIF('USPTO TMs'!A:A,D9879)&gt;0,"Yes","No"),"")</f>
        <v/>
      </c>
      <c r="C9879" s="11"/>
      <c r="D9879" s="11"/>
      <c r="E9879" s="11"/>
      <c r="F9879" s="11"/>
      <c r="G9879" s="11"/>
      <c r="H9879" s="11"/>
      <c r="I9879" s="15"/>
    </row>
    <row r="9880" spans="1:9" ht="16.5">
      <c r="A9880" s="10" t="b">
        <v>0</v>
      </c>
      <c r="B9880" s="11" t="str">
        <f>IF(D9880&lt;&gt;"",IF(COUNTIF('USPTO TMs'!A:A,D9880)&gt;0,"Yes","No"),"")</f>
        <v/>
      </c>
      <c r="C9880" s="11"/>
      <c r="D9880" s="11"/>
      <c r="E9880" s="11"/>
      <c r="F9880" s="11"/>
      <c r="G9880" s="11"/>
      <c r="H9880" s="11"/>
      <c r="I9880" s="15"/>
    </row>
    <row r="9881" spans="1:9" ht="16.5">
      <c r="A9881" s="10" t="b">
        <v>0</v>
      </c>
      <c r="B9881" s="11" t="str">
        <f>IF(D9881&lt;&gt;"",IF(COUNTIF('USPTO TMs'!A:A,D9881)&gt;0,"Yes","No"),"")</f>
        <v/>
      </c>
      <c r="C9881" s="11"/>
      <c r="D9881" s="11"/>
      <c r="E9881" s="11"/>
      <c r="F9881" s="11"/>
      <c r="G9881" s="11"/>
      <c r="H9881" s="11"/>
      <c r="I9881" s="15"/>
    </row>
    <row r="9882" spans="1:9" ht="16.5">
      <c r="A9882" s="10" t="b">
        <v>0</v>
      </c>
      <c r="B9882" s="11" t="str">
        <f>IF(D9882&lt;&gt;"",IF(COUNTIF('USPTO TMs'!A:A,D9882)&gt;0,"Yes","No"),"")</f>
        <v/>
      </c>
      <c r="C9882" s="11"/>
      <c r="D9882" s="11"/>
      <c r="E9882" s="11"/>
      <c r="F9882" s="11"/>
      <c r="G9882" s="11"/>
      <c r="H9882" s="11"/>
      <c r="I9882" s="15"/>
    </row>
    <row r="9883" spans="1:9" ht="16.5">
      <c r="A9883" s="10" t="b">
        <v>0</v>
      </c>
      <c r="B9883" s="11" t="str">
        <f>IF(D9883&lt;&gt;"",IF(COUNTIF('USPTO TMs'!A:A,D9883)&gt;0,"Yes","No"),"")</f>
        <v/>
      </c>
      <c r="C9883" s="11"/>
      <c r="D9883" s="11"/>
      <c r="E9883" s="11"/>
      <c r="F9883" s="11"/>
      <c r="G9883" s="11"/>
      <c r="H9883" s="11"/>
      <c r="I9883" s="15"/>
    </row>
    <row r="9884" spans="1:9" ht="16.5">
      <c r="A9884" s="10" t="b">
        <v>0</v>
      </c>
      <c r="B9884" s="11" t="str">
        <f>IF(D9884&lt;&gt;"",IF(COUNTIF('USPTO TMs'!A:A,D9884)&gt;0,"Yes","No"),"")</f>
        <v/>
      </c>
      <c r="C9884" s="11"/>
      <c r="D9884" s="11"/>
      <c r="E9884" s="11"/>
      <c r="F9884" s="11"/>
      <c r="G9884" s="11"/>
      <c r="H9884" s="11"/>
      <c r="I9884" s="15"/>
    </row>
    <row r="9885" spans="1:9" ht="16.5">
      <c r="A9885" s="10" t="b">
        <v>0</v>
      </c>
      <c r="B9885" s="11" t="str">
        <f>IF(D9885&lt;&gt;"",IF(COUNTIF('USPTO TMs'!A:A,D9885)&gt;0,"Yes","No"),"")</f>
        <v/>
      </c>
      <c r="C9885" s="11"/>
      <c r="D9885" s="11"/>
      <c r="E9885" s="11"/>
      <c r="F9885" s="11"/>
      <c r="G9885" s="11"/>
      <c r="H9885" s="11"/>
      <c r="I9885" s="15"/>
    </row>
    <row r="9886" spans="1:9" ht="16.5">
      <c r="A9886" s="10" t="b">
        <v>0</v>
      </c>
      <c r="B9886" s="11" t="str">
        <f>IF(D9886&lt;&gt;"",IF(COUNTIF('USPTO TMs'!A:A,D9886)&gt;0,"Yes","No"),"")</f>
        <v/>
      </c>
      <c r="C9886" s="11"/>
      <c r="D9886" s="11"/>
      <c r="E9886" s="11"/>
      <c r="F9886" s="11"/>
      <c r="G9886" s="11"/>
      <c r="H9886" s="11"/>
      <c r="I9886" s="15"/>
    </row>
    <row r="9887" spans="1:9" ht="16.5">
      <c r="A9887" s="10" t="b">
        <v>0</v>
      </c>
      <c r="B9887" s="11" t="str">
        <f>IF(D9887&lt;&gt;"",IF(COUNTIF('USPTO TMs'!A:A,D9887)&gt;0,"Yes","No"),"")</f>
        <v/>
      </c>
      <c r="C9887" s="11"/>
      <c r="D9887" s="11"/>
      <c r="E9887" s="11"/>
      <c r="F9887" s="11"/>
      <c r="G9887" s="11"/>
      <c r="H9887" s="11"/>
      <c r="I9887" s="15"/>
    </row>
    <row r="9888" spans="1:9" ht="16.5">
      <c r="A9888" s="10" t="b">
        <v>0</v>
      </c>
      <c r="B9888" s="11" t="str">
        <f>IF(D9888&lt;&gt;"",IF(COUNTIF('USPTO TMs'!A:A,D9888)&gt;0,"Yes","No"),"")</f>
        <v/>
      </c>
      <c r="C9888" s="11"/>
      <c r="D9888" s="11"/>
      <c r="E9888" s="11"/>
      <c r="F9888" s="11"/>
      <c r="G9888" s="11"/>
      <c r="H9888" s="11"/>
      <c r="I9888" s="15"/>
    </row>
    <row r="9889" spans="1:9" ht="16.5">
      <c r="A9889" s="10" t="b">
        <v>0</v>
      </c>
      <c r="B9889" s="11" t="str">
        <f>IF(D9889&lt;&gt;"",IF(COUNTIF('USPTO TMs'!A:A,D9889)&gt;0,"Yes","No"),"")</f>
        <v/>
      </c>
      <c r="C9889" s="11"/>
      <c r="D9889" s="11"/>
      <c r="E9889" s="11"/>
      <c r="F9889" s="11"/>
      <c r="G9889" s="11"/>
      <c r="H9889" s="11"/>
      <c r="I9889" s="15"/>
    </row>
    <row r="9890" spans="1:9" ht="16.5">
      <c r="A9890" s="10" t="b">
        <v>0</v>
      </c>
      <c r="B9890" s="11" t="str">
        <f>IF(D9890&lt;&gt;"",IF(COUNTIF('USPTO TMs'!A:A,D9890)&gt;0,"Yes","No"),"")</f>
        <v/>
      </c>
      <c r="C9890" s="11"/>
      <c r="D9890" s="11"/>
      <c r="E9890" s="11"/>
      <c r="F9890" s="11"/>
      <c r="G9890" s="11"/>
      <c r="H9890" s="11"/>
      <c r="I9890" s="15"/>
    </row>
    <row r="9891" spans="1:9" ht="16.5">
      <c r="A9891" s="10" t="b">
        <v>0</v>
      </c>
      <c r="B9891" s="11" t="str">
        <f>IF(D9891&lt;&gt;"",IF(COUNTIF('USPTO TMs'!A:A,D9891)&gt;0,"Yes","No"),"")</f>
        <v/>
      </c>
      <c r="C9891" s="11"/>
      <c r="D9891" s="11"/>
      <c r="E9891" s="11"/>
      <c r="F9891" s="11"/>
      <c r="G9891" s="11"/>
      <c r="H9891" s="11"/>
      <c r="I9891" s="15"/>
    </row>
    <row r="9892" spans="1:9" ht="16.5">
      <c r="A9892" s="10" t="b">
        <v>0</v>
      </c>
      <c r="B9892" s="11" t="str">
        <f>IF(D9892&lt;&gt;"",IF(COUNTIF('USPTO TMs'!A:A,D9892)&gt;0,"Yes","No"),"")</f>
        <v/>
      </c>
      <c r="C9892" s="11"/>
      <c r="D9892" s="11"/>
      <c r="E9892" s="11"/>
      <c r="F9892" s="11"/>
      <c r="G9892" s="11"/>
      <c r="H9892" s="11"/>
      <c r="I9892" s="15"/>
    </row>
    <row r="9893" spans="1:9" ht="16.5">
      <c r="A9893" s="10" t="b">
        <v>0</v>
      </c>
      <c r="B9893" s="11" t="str">
        <f>IF(D9893&lt;&gt;"",IF(COUNTIF('USPTO TMs'!A:A,D9893)&gt;0,"Yes","No"),"")</f>
        <v/>
      </c>
      <c r="C9893" s="11"/>
      <c r="D9893" s="11"/>
      <c r="E9893" s="11"/>
      <c r="F9893" s="11"/>
      <c r="G9893" s="11"/>
      <c r="H9893" s="11"/>
      <c r="I9893" s="15"/>
    </row>
    <row r="9894" spans="1:9" ht="16.5">
      <c r="A9894" s="10" t="b">
        <v>0</v>
      </c>
      <c r="B9894" s="11" t="str">
        <f>IF(D9894&lt;&gt;"",IF(COUNTIF('USPTO TMs'!A:A,D9894)&gt;0,"Yes","No"),"")</f>
        <v/>
      </c>
      <c r="C9894" s="11"/>
      <c r="D9894" s="11"/>
      <c r="E9894" s="11"/>
      <c r="F9894" s="11"/>
      <c r="G9894" s="11"/>
      <c r="H9894" s="11"/>
      <c r="I9894" s="15"/>
    </row>
    <row r="9895" spans="1:9" ht="16.5">
      <c r="A9895" s="10" t="b">
        <v>0</v>
      </c>
      <c r="B9895" s="11" t="str">
        <f>IF(D9895&lt;&gt;"",IF(COUNTIF('USPTO TMs'!A:A,D9895)&gt;0,"Yes","No"),"")</f>
        <v/>
      </c>
      <c r="C9895" s="11"/>
      <c r="D9895" s="11"/>
      <c r="E9895" s="11"/>
      <c r="F9895" s="11"/>
      <c r="G9895" s="11"/>
      <c r="H9895" s="11"/>
      <c r="I9895" s="15"/>
    </row>
    <row r="9896" spans="1:9" ht="16.5">
      <c r="A9896" s="10" t="b">
        <v>0</v>
      </c>
      <c r="B9896" s="11" t="str">
        <f>IF(D9896&lt;&gt;"",IF(COUNTIF('USPTO TMs'!A:A,D9896)&gt;0,"Yes","No"),"")</f>
        <v/>
      </c>
      <c r="C9896" s="11"/>
      <c r="D9896" s="11"/>
      <c r="E9896" s="11"/>
      <c r="F9896" s="11"/>
      <c r="G9896" s="11"/>
      <c r="H9896" s="11"/>
      <c r="I9896" s="15"/>
    </row>
    <row r="9897" spans="1:9" ht="16.5">
      <c r="A9897" s="10" t="b">
        <v>0</v>
      </c>
      <c r="B9897" s="11" t="str">
        <f>IF(D9897&lt;&gt;"",IF(COUNTIF('USPTO TMs'!A:A,D9897)&gt;0,"Yes","No"),"")</f>
        <v/>
      </c>
      <c r="C9897" s="11"/>
      <c r="D9897" s="11"/>
      <c r="E9897" s="11"/>
      <c r="F9897" s="11"/>
      <c r="G9897" s="11"/>
      <c r="H9897" s="11"/>
      <c r="I9897" s="15"/>
    </row>
    <row r="9898" spans="1:9" ht="16.5">
      <c r="A9898" s="10" t="b">
        <v>0</v>
      </c>
      <c r="B9898" s="11" t="str">
        <f>IF(D9898&lt;&gt;"",IF(COUNTIF('USPTO TMs'!A:A,D9898)&gt;0,"Yes","No"),"")</f>
        <v/>
      </c>
      <c r="C9898" s="11"/>
      <c r="D9898" s="11"/>
      <c r="E9898" s="11"/>
      <c r="F9898" s="11"/>
      <c r="G9898" s="11"/>
      <c r="H9898" s="11"/>
      <c r="I9898" s="15"/>
    </row>
    <row r="9899" spans="1:9" ht="16.5">
      <c r="A9899" s="10" t="b">
        <v>0</v>
      </c>
      <c r="B9899" s="11" t="str">
        <f>IF(D9899&lt;&gt;"",IF(COUNTIF('USPTO TMs'!A:A,D9899)&gt;0,"Yes","No"),"")</f>
        <v/>
      </c>
      <c r="C9899" s="11"/>
      <c r="D9899" s="11"/>
      <c r="E9899" s="11"/>
      <c r="F9899" s="11"/>
      <c r="G9899" s="11"/>
      <c r="H9899" s="11"/>
      <c r="I9899" s="15"/>
    </row>
    <row r="9900" spans="1:9" ht="16.5">
      <c r="A9900" s="10" t="b">
        <v>0</v>
      </c>
      <c r="B9900" s="11" t="str">
        <f>IF(D9900&lt;&gt;"",IF(COUNTIF('USPTO TMs'!A:A,D9900)&gt;0,"Yes","No"),"")</f>
        <v/>
      </c>
      <c r="C9900" s="11"/>
      <c r="D9900" s="11"/>
      <c r="E9900" s="11"/>
      <c r="F9900" s="11"/>
      <c r="G9900" s="11"/>
      <c r="H9900" s="11"/>
      <c r="I9900" s="15"/>
    </row>
    <row r="9901" spans="1:9" ht="16.5">
      <c r="A9901" s="10" t="b">
        <v>0</v>
      </c>
      <c r="B9901" s="11" t="str">
        <f>IF(D9901&lt;&gt;"",IF(COUNTIF('USPTO TMs'!A:A,D9901)&gt;0,"Yes","No"),"")</f>
        <v/>
      </c>
      <c r="C9901" s="11"/>
      <c r="D9901" s="11"/>
      <c r="E9901" s="11"/>
      <c r="F9901" s="11"/>
      <c r="G9901" s="11"/>
      <c r="H9901" s="11"/>
      <c r="I9901" s="15"/>
    </row>
    <row r="9902" spans="1:9" ht="16.5">
      <c r="A9902" s="10" t="b">
        <v>0</v>
      </c>
      <c r="B9902" s="11" t="str">
        <f>IF(D9902&lt;&gt;"",IF(COUNTIF('USPTO TMs'!A:A,D9902)&gt;0,"Yes","No"),"")</f>
        <v/>
      </c>
      <c r="C9902" s="11"/>
      <c r="D9902" s="11"/>
      <c r="E9902" s="11"/>
      <c r="F9902" s="11"/>
      <c r="G9902" s="11"/>
      <c r="H9902" s="11"/>
      <c r="I9902" s="15"/>
    </row>
    <row r="9903" spans="1:9" ht="16.5">
      <c r="A9903" s="10" t="b">
        <v>0</v>
      </c>
      <c r="B9903" s="11" t="str">
        <f>IF(D9903&lt;&gt;"",IF(COUNTIF('USPTO TMs'!A:A,D9903)&gt;0,"Yes","No"),"")</f>
        <v/>
      </c>
      <c r="C9903" s="11"/>
      <c r="D9903" s="11"/>
      <c r="E9903" s="11"/>
      <c r="F9903" s="11"/>
      <c r="G9903" s="11"/>
      <c r="H9903" s="11"/>
      <c r="I9903" s="15"/>
    </row>
    <row r="9904" spans="1:9" ht="16.5">
      <c r="A9904" s="10" t="b">
        <v>0</v>
      </c>
      <c r="B9904" s="11" t="str">
        <f>IF(D9904&lt;&gt;"",IF(COUNTIF('USPTO TMs'!A:A,D9904)&gt;0,"Yes","No"),"")</f>
        <v/>
      </c>
      <c r="C9904" s="11"/>
      <c r="D9904" s="11"/>
      <c r="E9904" s="11"/>
      <c r="F9904" s="11"/>
      <c r="G9904" s="11"/>
      <c r="H9904" s="11"/>
      <c r="I9904" s="15"/>
    </row>
    <row r="9905" spans="1:9" ht="16.5">
      <c r="A9905" s="10" t="b">
        <v>0</v>
      </c>
      <c r="B9905" s="11" t="str">
        <f>IF(D9905&lt;&gt;"",IF(COUNTIF('USPTO TMs'!A:A,D9905)&gt;0,"Yes","No"),"")</f>
        <v/>
      </c>
      <c r="C9905" s="11"/>
      <c r="D9905" s="11"/>
      <c r="E9905" s="11"/>
      <c r="F9905" s="11"/>
      <c r="G9905" s="11"/>
      <c r="H9905" s="11"/>
      <c r="I9905" s="15"/>
    </row>
    <row r="9906" spans="1:9" ht="16.5">
      <c r="A9906" s="10" t="b">
        <v>0</v>
      </c>
      <c r="B9906" s="11" t="str">
        <f>IF(D9906&lt;&gt;"",IF(COUNTIF('USPTO TMs'!A:A,D9906)&gt;0,"Yes","No"),"")</f>
        <v/>
      </c>
      <c r="C9906" s="11"/>
      <c r="D9906" s="11"/>
      <c r="E9906" s="11"/>
      <c r="F9906" s="11"/>
      <c r="G9906" s="11"/>
      <c r="H9906" s="11"/>
      <c r="I9906" s="15"/>
    </row>
    <row r="9907" spans="1:9" ht="16.5">
      <c r="A9907" s="10" t="b">
        <v>0</v>
      </c>
      <c r="B9907" s="11" t="str">
        <f>IF(D9907&lt;&gt;"",IF(COUNTIF('USPTO TMs'!A:A,D9907)&gt;0,"Yes","No"),"")</f>
        <v/>
      </c>
      <c r="C9907" s="11"/>
      <c r="D9907" s="11"/>
      <c r="E9907" s="11"/>
      <c r="F9907" s="11"/>
      <c r="G9907" s="11"/>
      <c r="H9907" s="11"/>
      <c r="I9907" s="15"/>
    </row>
    <row r="9908" spans="1:9" ht="16.5">
      <c r="A9908" s="10" t="b">
        <v>0</v>
      </c>
      <c r="B9908" s="11" t="str">
        <f>IF(D9908&lt;&gt;"",IF(COUNTIF('USPTO TMs'!A:A,D9908)&gt;0,"Yes","No"),"")</f>
        <v/>
      </c>
      <c r="C9908" s="11"/>
      <c r="D9908" s="11"/>
      <c r="E9908" s="11"/>
      <c r="F9908" s="11"/>
      <c r="G9908" s="11"/>
      <c r="H9908" s="11"/>
      <c r="I9908" s="15"/>
    </row>
    <row r="9909" spans="1:9" ht="16.5">
      <c r="A9909" s="10" t="b">
        <v>0</v>
      </c>
      <c r="B9909" s="11" t="str">
        <f>IF(D9909&lt;&gt;"",IF(COUNTIF('USPTO TMs'!A:A,D9909)&gt;0,"Yes","No"),"")</f>
        <v/>
      </c>
      <c r="C9909" s="11"/>
      <c r="D9909" s="11"/>
      <c r="E9909" s="11"/>
      <c r="F9909" s="11"/>
      <c r="G9909" s="11"/>
      <c r="H9909" s="11"/>
      <c r="I9909" s="15"/>
    </row>
    <row r="9910" spans="1:9" ht="16.5">
      <c r="A9910" s="10" t="b">
        <v>0</v>
      </c>
      <c r="B9910" s="11" t="str">
        <f>IF(D9910&lt;&gt;"",IF(COUNTIF('USPTO TMs'!A:A,D9910)&gt;0,"Yes","No"),"")</f>
        <v/>
      </c>
      <c r="C9910" s="11"/>
      <c r="D9910" s="11"/>
      <c r="E9910" s="11"/>
      <c r="F9910" s="11"/>
      <c r="G9910" s="11"/>
      <c r="H9910" s="11"/>
      <c r="I9910" s="15"/>
    </row>
    <row r="9911" spans="1:9" ht="16.5">
      <c r="A9911" s="10" t="b">
        <v>0</v>
      </c>
      <c r="B9911" s="11" t="str">
        <f>IF(D9911&lt;&gt;"",IF(COUNTIF('USPTO TMs'!A:A,D9911)&gt;0,"Yes","No"),"")</f>
        <v/>
      </c>
      <c r="C9911" s="11"/>
      <c r="D9911" s="11"/>
      <c r="E9911" s="11"/>
      <c r="F9911" s="11"/>
      <c r="G9911" s="11"/>
      <c r="H9911" s="11"/>
      <c r="I9911" s="15"/>
    </row>
    <row r="9912" spans="1:9" ht="16.5">
      <c r="A9912" s="10" t="b">
        <v>0</v>
      </c>
      <c r="B9912" s="11" t="str">
        <f>IF(D9912&lt;&gt;"",IF(COUNTIF('USPTO TMs'!A:A,D9912)&gt;0,"Yes","No"),"")</f>
        <v/>
      </c>
      <c r="C9912" s="11"/>
      <c r="D9912" s="11"/>
      <c r="E9912" s="11"/>
      <c r="F9912" s="11"/>
      <c r="G9912" s="11"/>
      <c r="H9912" s="11"/>
      <c r="I9912" s="15"/>
    </row>
    <row r="9913" spans="1:9" ht="16.5">
      <c r="A9913" s="10" t="b">
        <v>0</v>
      </c>
      <c r="B9913" s="11" t="str">
        <f>IF(D9913&lt;&gt;"",IF(COUNTIF('USPTO TMs'!A:A,D9913)&gt;0,"Yes","No"),"")</f>
        <v/>
      </c>
      <c r="C9913" s="11"/>
      <c r="D9913" s="11"/>
      <c r="E9913" s="11"/>
      <c r="F9913" s="11"/>
      <c r="G9913" s="11"/>
      <c r="H9913" s="11"/>
      <c r="I9913" s="15"/>
    </row>
    <row r="9914" spans="1:9" ht="16.5">
      <c r="A9914" s="10" t="b">
        <v>0</v>
      </c>
      <c r="B9914" s="11" t="str">
        <f>IF(D9914&lt;&gt;"",IF(COUNTIF('USPTO TMs'!A:A,D9914)&gt;0,"Yes","No"),"")</f>
        <v/>
      </c>
      <c r="C9914" s="11"/>
      <c r="D9914" s="11"/>
      <c r="E9914" s="11"/>
      <c r="F9914" s="11"/>
      <c r="G9914" s="11"/>
      <c r="H9914" s="11"/>
      <c r="I9914" s="15"/>
    </row>
    <row r="9915" spans="1:9" ht="16.5">
      <c r="A9915" s="10" t="b">
        <v>0</v>
      </c>
      <c r="B9915" s="11" t="str">
        <f>IF(D9915&lt;&gt;"",IF(COUNTIF('USPTO TMs'!A:A,D9915)&gt;0,"Yes","No"),"")</f>
        <v/>
      </c>
      <c r="C9915" s="11"/>
      <c r="D9915" s="11"/>
      <c r="E9915" s="11"/>
      <c r="F9915" s="11"/>
      <c r="G9915" s="11"/>
      <c r="H9915" s="11"/>
      <c r="I9915" s="15"/>
    </row>
    <row r="9916" spans="1:9" ht="16.5">
      <c r="A9916" s="10" t="b">
        <v>0</v>
      </c>
      <c r="B9916" s="11" t="str">
        <f>IF(D9916&lt;&gt;"",IF(COUNTIF('USPTO TMs'!A:A,D9916)&gt;0,"Yes","No"),"")</f>
        <v/>
      </c>
      <c r="C9916" s="11"/>
      <c r="D9916" s="11"/>
      <c r="E9916" s="11"/>
      <c r="F9916" s="11"/>
      <c r="G9916" s="11"/>
      <c r="H9916" s="11"/>
      <c r="I9916" s="15"/>
    </row>
    <row r="9917" spans="1:9" ht="16.5">
      <c r="A9917" s="10" t="b">
        <v>0</v>
      </c>
      <c r="B9917" s="11" t="str">
        <f>IF(D9917&lt;&gt;"",IF(COUNTIF('USPTO TMs'!A:A,D9917)&gt;0,"Yes","No"),"")</f>
        <v/>
      </c>
      <c r="C9917" s="11"/>
      <c r="D9917" s="11"/>
      <c r="E9917" s="11"/>
      <c r="F9917" s="11"/>
      <c r="G9917" s="11"/>
      <c r="H9917" s="11"/>
      <c r="I9917" s="15"/>
    </row>
    <row r="9918" spans="1:9" ht="16.5">
      <c r="A9918" s="10" t="b">
        <v>0</v>
      </c>
      <c r="B9918" s="11" t="str">
        <f>IF(D9918&lt;&gt;"",IF(COUNTIF('USPTO TMs'!A:A,D9918)&gt;0,"Yes","No"),"")</f>
        <v/>
      </c>
      <c r="C9918" s="11"/>
      <c r="D9918" s="11"/>
      <c r="E9918" s="11"/>
      <c r="F9918" s="11"/>
      <c r="G9918" s="11"/>
      <c r="H9918" s="11"/>
      <c r="I9918" s="15"/>
    </row>
    <row r="9919" spans="1:9" ht="16.5">
      <c r="A9919" s="10" t="b">
        <v>0</v>
      </c>
      <c r="B9919" s="11" t="str">
        <f>IF(D9919&lt;&gt;"",IF(COUNTIF('USPTO TMs'!A:A,D9919)&gt;0,"Yes","No"),"")</f>
        <v/>
      </c>
      <c r="C9919" s="11"/>
      <c r="D9919" s="11"/>
      <c r="E9919" s="11"/>
      <c r="F9919" s="11"/>
      <c r="G9919" s="11"/>
      <c r="H9919" s="11"/>
      <c r="I9919" s="15"/>
    </row>
    <row r="9920" spans="1:9" ht="16.5">
      <c r="A9920" s="10" t="b">
        <v>0</v>
      </c>
      <c r="B9920" s="11" t="str">
        <f>IF(D9920&lt;&gt;"",IF(COUNTIF('USPTO TMs'!A:A,D9920)&gt;0,"Yes","No"),"")</f>
        <v/>
      </c>
      <c r="C9920" s="11"/>
      <c r="D9920" s="11"/>
      <c r="E9920" s="11"/>
      <c r="F9920" s="11"/>
      <c r="G9920" s="11"/>
      <c r="H9920" s="11"/>
      <c r="I9920" s="15"/>
    </row>
    <row r="9921" spans="1:9" ht="16.5">
      <c r="A9921" s="10" t="b">
        <v>0</v>
      </c>
      <c r="B9921" s="11" t="str">
        <f>IF(D9921&lt;&gt;"",IF(COUNTIF('USPTO TMs'!A:A,D9921)&gt;0,"Yes","No"),"")</f>
        <v/>
      </c>
      <c r="C9921" s="11"/>
      <c r="D9921" s="11"/>
      <c r="E9921" s="11"/>
      <c r="F9921" s="11"/>
      <c r="G9921" s="11"/>
      <c r="H9921" s="11"/>
      <c r="I9921" s="15"/>
    </row>
    <row r="9922" spans="1:9" ht="16.5">
      <c r="A9922" s="10" t="b">
        <v>0</v>
      </c>
      <c r="B9922" s="11" t="str">
        <f>IF(D9922&lt;&gt;"",IF(COUNTIF('USPTO TMs'!A:A,D9922)&gt;0,"Yes","No"),"")</f>
        <v/>
      </c>
      <c r="C9922" s="11"/>
      <c r="D9922" s="11"/>
      <c r="E9922" s="11"/>
      <c r="F9922" s="11"/>
      <c r="G9922" s="11"/>
      <c r="H9922" s="11"/>
      <c r="I9922" s="15"/>
    </row>
    <row r="9923" spans="1:9" ht="16.5">
      <c r="A9923" s="10" t="b">
        <v>0</v>
      </c>
      <c r="B9923" s="11" t="str">
        <f>IF(D9923&lt;&gt;"",IF(COUNTIF('USPTO TMs'!A:A,D9923)&gt;0,"Yes","No"),"")</f>
        <v/>
      </c>
      <c r="C9923" s="11"/>
      <c r="D9923" s="11"/>
      <c r="E9923" s="11"/>
      <c r="F9923" s="11"/>
      <c r="G9923" s="11"/>
      <c r="H9923" s="11"/>
      <c r="I9923" s="15"/>
    </row>
    <row r="9924" spans="1:9" ht="16.5">
      <c r="A9924" s="10" t="b">
        <v>0</v>
      </c>
      <c r="B9924" s="11" t="str">
        <f>IF(D9924&lt;&gt;"",IF(COUNTIF('USPTO TMs'!A:A,D9924)&gt;0,"Yes","No"),"")</f>
        <v/>
      </c>
      <c r="C9924" s="11"/>
      <c r="D9924" s="11"/>
      <c r="E9924" s="11"/>
      <c r="F9924" s="11"/>
      <c r="G9924" s="11"/>
      <c r="H9924" s="11"/>
      <c r="I9924" s="15"/>
    </row>
    <row r="9925" spans="1:9" ht="16.5">
      <c r="A9925" s="10" t="b">
        <v>0</v>
      </c>
      <c r="B9925" s="11" t="str">
        <f>IF(D9925&lt;&gt;"",IF(COUNTIF('USPTO TMs'!A:A,D9925)&gt;0,"Yes","No"),"")</f>
        <v/>
      </c>
      <c r="C9925" s="11"/>
      <c r="D9925" s="11"/>
      <c r="E9925" s="11"/>
      <c r="F9925" s="11"/>
      <c r="G9925" s="11"/>
      <c r="H9925" s="11"/>
      <c r="I9925" s="15"/>
    </row>
    <row r="9926" spans="1:9" ht="16.5">
      <c r="A9926" s="10" t="b">
        <v>0</v>
      </c>
      <c r="B9926" s="11" t="str">
        <f>IF(D9926&lt;&gt;"",IF(COUNTIF('USPTO TMs'!A:A,D9926)&gt;0,"Yes","No"),"")</f>
        <v/>
      </c>
      <c r="C9926" s="11"/>
      <c r="D9926" s="11"/>
      <c r="E9926" s="11"/>
      <c r="F9926" s="11"/>
      <c r="G9926" s="11"/>
      <c r="H9926" s="11"/>
      <c r="I9926" s="15"/>
    </row>
    <row r="9927" spans="1:9" ht="16.5">
      <c r="A9927" s="10" t="b">
        <v>0</v>
      </c>
      <c r="B9927" s="11" t="str">
        <f>IF(D9927&lt;&gt;"",IF(COUNTIF('USPTO TMs'!A:A,D9927)&gt;0,"Yes","No"),"")</f>
        <v/>
      </c>
      <c r="C9927" s="11"/>
      <c r="D9927" s="11"/>
      <c r="E9927" s="11"/>
      <c r="F9927" s="11"/>
      <c r="G9927" s="11"/>
      <c r="H9927" s="11"/>
      <c r="I9927" s="15"/>
    </row>
    <row r="9928" spans="1:9" ht="16.5">
      <c r="A9928" s="10" t="b">
        <v>0</v>
      </c>
      <c r="B9928" s="11" t="str">
        <f>IF(D9928&lt;&gt;"",IF(COUNTIF('USPTO TMs'!A:A,D9928)&gt;0,"Yes","No"),"")</f>
        <v/>
      </c>
      <c r="C9928" s="11"/>
      <c r="D9928" s="11"/>
      <c r="E9928" s="11"/>
      <c r="F9928" s="11"/>
      <c r="G9928" s="11"/>
      <c r="H9928" s="11"/>
      <c r="I9928" s="15"/>
    </row>
    <row r="9929" spans="1:9" ht="16.5">
      <c r="A9929" s="10" t="b">
        <v>0</v>
      </c>
      <c r="B9929" s="11" t="str">
        <f>IF(D9929&lt;&gt;"",IF(COUNTIF('USPTO TMs'!A:A,D9929)&gt;0,"Yes","No"),"")</f>
        <v/>
      </c>
      <c r="C9929" s="11"/>
      <c r="D9929" s="11"/>
      <c r="E9929" s="11"/>
      <c r="F9929" s="11"/>
      <c r="G9929" s="11"/>
      <c r="H9929" s="11"/>
      <c r="I9929" s="15"/>
    </row>
    <row r="9930" spans="1:9" ht="16.5">
      <c r="A9930" s="10" t="b">
        <v>0</v>
      </c>
      <c r="B9930" s="11" t="str">
        <f>IF(D9930&lt;&gt;"",IF(COUNTIF('USPTO TMs'!A:A,D9930)&gt;0,"Yes","No"),"")</f>
        <v/>
      </c>
      <c r="C9930" s="11"/>
      <c r="D9930" s="11"/>
      <c r="E9930" s="11"/>
      <c r="F9930" s="11"/>
      <c r="G9930" s="11"/>
      <c r="H9930" s="11"/>
      <c r="I9930" s="15"/>
    </row>
    <row r="9931" spans="1:9" ht="16.5">
      <c r="A9931" s="10" t="b">
        <v>0</v>
      </c>
      <c r="B9931" s="11" t="str">
        <f>IF(D9931&lt;&gt;"",IF(COUNTIF('USPTO TMs'!A:A,D9931)&gt;0,"Yes","No"),"")</f>
        <v/>
      </c>
      <c r="C9931" s="11"/>
      <c r="D9931" s="11"/>
      <c r="E9931" s="11"/>
      <c r="F9931" s="11"/>
      <c r="G9931" s="11"/>
      <c r="H9931" s="11"/>
      <c r="I9931" s="15"/>
    </row>
    <row r="9932" spans="1:9" ht="16.5">
      <c r="A9932" s="10" t="b">
        <v>0</v>
      </c>
      <c r="B9932" s="11" t="str">
        <f>IF(D9932&lt;&gt;"",IF(COUNTIF('USPTO TMs'!A:A,D9932)&gt;0,"Yes","No"),"")</f>
        <v/>
      </c>
      <c r="C9932" s="11"/>
      <c r="D9932" s="11"/>
      <c r="E9932" s="11"/>
      <c r="F9932" s="11"/>
      <c r="G9932" s="11"/>
      <c r="H9932" s="11"/>
      <c r="I9932" s="15"/>
    </row>
    <row r="9933" spans="1:9" ht="16.5">
      <c r="A9933" s="10" t="b">
        <v>0</v>
      </c>
      <c r="B9933" s="11" t="str">
        <f>IF(D9933&lt;&gt;"",IF(COUNTIF('USPTO TMs'!A:A,D9933)&gt;0,"Yes","No"),"")</f>
        <v/>
      </c>
      <c r="C9933" s="11"/>
      <c r="D9933" s="11"/>
      <c r="E9933" s="11"/>
      <c r="F9933" s="11"/>
      <c r="G9933" s="11"/>
      <c r="H9933" s="11"/>
      <c r="I9933" s="15"/>
    </row>
    <row r="9934" spans="1:9" ht="16.5">
      <c r="A9934" s="10" t="b">
        <v>0</v>
      </c>
      <c r="B9934" s="11" t="str">
        <f>IF(D9934&lt;&gt;"",IF(COUNTIF('USPTO TMs'!A:A,D9934)&gt;0,"Yes","No"),"")</f>
        <v/>
      </c>
      <c r="C9934" s="11"/>
      <c r="D9934" s="11"/>
      <c r="E9934" s="11"/>
      <c r="F9934" s="11"/>
      <c r="G9934" s="11"/>
      <c r="H9934" s="11"/>
      <c r="I9934" s="15"/>
    </row>
    <row r="9935" spans="1:9" ht="16.5">
      <c r="A9935" s="10" t="b">
        <v>0</v>
      </c>
      <c r="B9935" s="11" t="str">
        <f>IF(D9935&lt;&gt;"",IF(COUNTIF('USPTO TMs'!A:A,D9935)&gt;0,"Yes","No"),"")</f>
        <v/>
      </c>
      <c r="C9935" s="11"/>
      <c r="D9935" s="11"/>
      <c r="E9935" s="11"/>
      <c r="F9935" s="11"/>
      <c r="G9935" s="11"/>
      <c r="H9935" s="11"/>
      <c r="I9935" s="15"/>
    </row>
    <row r="9936" spans="1:9" ht="16.5">
      <c r="A9936" s="10" t="b">
        <v>0</v>
      </c>
      <c r="B9936" s="11" t="str">
        <f>IF(D9936&lt;&gt;"",IF(COUNTIF('USPTO TMs'!A:A,D9936)&gt;0,"Yes","No"),"")</f>
        <v/>
      </c>
      <c r="C9936" s="11"/>
      <c r="D9936" s="11"/>
      <c r="E9936" s="11"/>
      <c r="F9936" s="11"/>
      <c r="G9936" s="11"/>
      <c r="H9936" s="11"/>
      <c r="I9936" s="15"/>
    </row>
    <row r="9937" spans="1:9" ht="16.5">
      <c r="A9937" s="10" t="b">
        <v>0</v>
      </c>
      <c r="B9937" s="11" t="str">
        <f>IF(D9937&lt;&gt;"",IF(COUNTIF('USPTO TMs'!A:A,D9937)&gt;0,"Yes","No"),"")</f>
        <v/>
      </c>
      <c r="C9937" s="11"/>
      <c r="D9937" s="11"/>
      <c r="E9937" s="11"/>
      <c r="F9937" s="11"/>
      <c r="G9937" s="11"/>
      <c r="H9937" s="11"/>
      <c r="I9937" s="15"/>
    </row>
    <row r="9938" spans="1:9" ht="16.5">
      <c r="A9938" s="10" t="b">
        <v>0</v>
      </c>
      <c r="B9938" s="11" t="str">
        <f>IF(D9938&lt;&gt;"",IF(COUNTIF('USPTO TMs'!A:A,D9938)&gt;0,"Yes","No"),"")</f>
        <v/>
      </c>
      <c r="C9938" s="11"/>
      <c r="D9938" s="11"/>
      <c r="E9938" s="11"/>
      <c r="F9938" s="11"/>
      <c r="G9938" s="11"/>
      <c r="H9938" s="11"/>
      <c r="I9938" s="15"/>
    </row>
    <row r="9939" spans="1:9" ht="16.5">
      <c r="A9939" s="10" t="b">
        <v>0</v>
      </c>
      <c r="B9939" s="11" t="str">
        <f>IF(D9939&lt;&gt;"",IF(COUNTIF('USPTO TMs'!A:A,D9939)&gt;0,"Yes","No"),"")</f>
        <v/>
      </c>
      <c r="C9939" s="11"/>
      <c r="D9939" s="11"/>
      <c r="E9939" s="11"/>
      <c r="F9939" s="11"/>
      <c r="G9939" s="11"/>
      <c r="H9939" s="11"/>
      <c r="I9939" s="15"/>
    </row>
    <row r="9940" spans="1:9" ht="16.5">
      <c r="A9940" s="10" t="b">
        <v>0</v>
      </c>
      <c r="B9940" s="11" t="str">
        <f>IF(D9940&lt;&gt;"",IF(COUNTIF('USPTO TMs'!A:A,D9940)&gt;0,"Yes","No"),"")</f>
        <v/>
      </c>
      <c r="C9940" s="11"/>
      <c r="D9940" s="11"/>
      <c r="E9940" s="11"/>
      <c r="F9940" s="11"/>
      <c r="G9940" s="11"/>
      <c r="H9940" s="11"/>
      <c r="I9940" s="15"/>
    </row>
    <row r="9941" spans="1:9" ht="16.5">
      <c r="A9941" s="10" t="b">
        <v>0</v>
      </c>
      <c r="B9941" s="11" t="str">
        <f>IF(D9941&lt;&gt;"",IF(COUNTIF('USPTO TMs'!A:A,D9941)&gt;0,"Yes","No"),"")</f>
        <v/>
      </c>
      <c r="C9941" s="11"/>
      <c r="D9941" s="11"/>
      <c r="E9941" s="11"/>
      <c r="F9941" s="11"/>
      <c r="G9941" s="11"/>
      <c r="H9941" s="11"/>
      <c r="I9941" s="15"/>
    </row>
    <row r="9942" spans="1:9" ht="16.5">
      <c r="A9942" s="10" t="b">
        <v>0</v>
      </c>
      <c r="B9942" s="11" t="str">
        <f>IF(D9942&lt;&gt;"",IF(COUNTIF('USPTO TMs'!A:A,D9942)&gt;0,"Yes","No"),"")</f>
        <v/>
      </c>
      <c r="C9942" s="11"/>
      <c r="D9942" s="11"/>
      <c r="E9942" s="11"/>
      <c r="F9942" s="11"/>
      <c r="G9942" s="11"/>
      <c r="H9942" s="11"/>
      <c r="I9942" s="15"/>
    </row>
    <row r="9943" spans="1:9" ht="16.5">
      <c r="A9943" s="10" t="b">
        <v>0</v>
      </c>
      <c r="B9943" s="11" t="str">
        <f>IF(D9943&lt;&gt;"",IF(COUNTIF('USPTO TMs'!A:A,D9943)&gt;0,"Yes","No"),"")</f>
        <v/>
      </c>
      <c r="C9943" s="11"/>
      <c r="D9943" s="11"/>
      <c r="E9943" s="11"/>
      <c r="F9943" s="11"/>
      <c r="G9943" s="11"/>
      <c r="H9943" s="11"/>
      <c r="I9943" s="15"/>
    </row>
    <row r="9944" spans="1:9" ht="16.5">
      <c r="A9944" s="10" t="b">
        <v>0</v>
      </c>
      <c r="B9944" s="11" t="str">
        <f>IF(D9944&lt;&gt;"",IF(COUNTIF('USPTO TMs'!A:A,D9944)&gt;0,"Yes","No"),"")</f>
        <v/>
      </c>
      <c r="C9944" s="11"/>
      <c r="D9944" s="11"/>
      <c r="E9944" s="11"/>
      <c r="F9944" s="11"/>
      <c r="G9944" s="11"/>
      <c r="H9944" s="11"/>
      <c r="I9944" s="15"/>
    </row>
    <row r="9945" spans="1:9" ht="16.5">
      <c r="A9945" s="10" t="b">
        <v>0</v>
      </c>
      <c r="B9945" s="11" t="str">
        <f>IF(D9945&lt;&gt;"",IF(COUNTIF('USPTO TMs'!A:A,D9945)&gt;0,"Yes","No"),"")</f>
        <v/>
      </c>
      <c r="C9945" s="11"/>
      <c r="D9945" s="11"/>
      <c r="E9945" s="11"/>
      <c r="F9945" s="11"/>
      <c r="G9945" s="11"/>
      <c r="H9945" s="11"/>
      <c r="I9945" s="15"/>
    </row>
    <row r="9946" spans="1:9" ht="16.5">
      <c r="A9946" s="10" t="b">
        <v>0</v>
      </c>
      <c r="B9946" s="11" t="str">
        <f>IF(D9946&lt;&gt;"",IF(COUNTIF('USPTO TMs'!A:A,D9946)&gt;0,"Yes","No"),"")</f>
        <v/>
      </c>
      <c r="C9946" s="11"/>
      <c r="D9946" s="11"/>
      <c r="E9946" s="11"/>
      <c r="F9946" s="11"/>
      <c r="G9946" s="11"/>
      <c r="H9946" s="11"/>
      <c r="I9946" s="15"/>
    </row>
    <row r="9947" spans="1:9" ht="16.5">
      <c r="A9947" s="10" t="b">
        <v>0</v>
      </c>
      <c r="B9947" s="11" t="str">
        <f>IF(D9947&lt;&gt;"",IF(COUNTIF('USPTO TMs'!A:A,D9947)&gt;0,"Yes","No"),"")</f>
        <v/>
      </c>
      <c r="C9947" s="11"/>
      <c r="D9947" s="11"/>
      <c r="E9947" s="11"/>
      <c r="F9947" s="11"/>
      <c r="G9947" s="11"/>
      <c r="H9947" s="11"/>
      <c r="I9947" s="15"/>
    </row>
    <row r="9948" spans="1:9" ht="16.5">
      <c r="A9948" s="10" t="b">
        <v>0</v>
      </c>
      <c r="B9948" s="11" t="str">
        <f>IF(D9948&lt;&gt;"",IF(COUNTIF('USPTO TMs'!A:A,D9948)&gt;0,"Yes","No"),"")</f>
        <v/>
      </c>
      <c r="C9948" s="11"/>
      <c r="D9948" s="11"/>
      <c r="E9948" s="11"/>
      <c r="F9948" s="11"/>
      <c r="G9948" s="11"/>
      <c r="H9948" s="11"/>
      <c r="I9948" s="15"/>
    </row>
    <row r="9949" spans="1:9" ht="16.5">
      <c r="A9949" s="10" t="b">
        <v>0</v>
      </c>
      <c r="B9949" s="11" t="str">
        <f>IF(D9949&lt;&gt;"",IF(COUNTIF('USPTO TMs'!A:A,D9949)&gt;0,"Yes","No"),"")</f>
        <v/>
      </c>
      <c r="C9949" s="11"/>
      <c r="D9949" s="11"/>
      <c r="E9949" s="11"/>
      <c r="F9949" s="11"/>
      <c r="G9949" s="11"/>
      <c r="H9949" s="11"/>
      <c r="I9949" s="15"/>
    </row>
    <row r="9950" spans="1:9" ht="16.5">
      <c r="A9950" s="10" t="b">
        <v>0</v>
      </c>
      <c r="B9950" s="11" t="str">
        <f>IF(D9950&lt;&gt;"",IF(COUNTIF('USPTO TMs'!A:A,D9950)&gt;0,"Yes","No"),"")</f>
        <v/>
      </c>
      <c r="C9950" s="11"/>
      <c r="D9950" s="11"/>
      <c r="E9950" s="11"/>
      <c r="F9950" s="11"/>
      <c r="G9950" s="11"/>
      <c r="H9950" s="11"/>
      <c r="I9950" s="15"/>
    </row>
    <row r="9951" spans="1:9" ht="16.5">
      <c r="A9951" s="10" t="b">
        <v>0</v>
      </c>
      <c r="B9951" s="11" t="str">
        <f>IF(D9951&lt;&gt;"",IF(COUNTIF('USPTO TMs'!A:A,D9951)&gt;0,"Yes","No"),"")</f>
        <v/>
      </c>
      <c r="C9951" s="11"/>
      <c r="D9951" s="11"/>
      <c r="E9951" s="11"/>
      <c r="F9951" s="11"/>
      <c r="G9951" s="11"/>
      <c r="H9951" s="11"/>
      <c r="I9951" s="15"/>
    </row>
    <row r="9952" spans="1:9" ht="16.5">
      <c r="A9952" s="10" t="b">
        <v>0</v>
      </c>
      <c r="B9952" s="11" t="str">
        <f>IF(D9952&lt;&gt;"",IF(COUNTIF('USPTO TMs'!A:A,D9952)&gt;0,"Yes","No"),"")</f>
        <v/>
      </c>
      <c r="C9952" s="11"/>
      <c r="D9952" s="11"/>
      <c r="E9952" s="11"/>
      <c r="F9952" s="11"/>
      <c r="G9952" s="11"/>
      <c r="H9952" s="11"/>
      <c r="I9952" s="15"/>
    </row>
    <row r="9953" spans="1:9" ht="16.5">
      <c r="A9953" s="10" t="b">
        <v>0</v>
      </c>
      <c r="B9953" s="11" t="str">
        <f>IF(D9953&lt;&gt;"",IF(COUNTIF('USPTO TMs'!A:A,D9953)&gt;0,"Yes","No"),"")</f>
        <v/>
      </c>
      <c r="C9953" s="11"/>
      <c r="D9953" s="11"/>
      <c r="E9953" s="11"/>
      <c r="F9953" s="11"/>
      <c r="G9953" s="11"/>
      <c r="H9953" s="11"/>
      <c r="I9953" s="15"/>
    </row>
    <row r="9954" spans="1:9" ht="16.5">
      <c r="A9954" s="10" t="b">
        <v>0</v>
      </c>
      <c r="B9954" s="11" t="str">
        <f>IF(D9954&lt;&gt;"",IF(COUNTIF('USPTO TMs'!A:A,D9954)&gt;0,"Yes","No"),"")</f>
        <v/>
      </c>
      <c r="C9954" s="11"/>
      <c r="D9954" s="11"/>
      <c r="E9954" s="11"/>
      <c r="F9954" s="11"/>
      <c r="G9954" s="11"/>
      <c r="H9954" s="11"/>
      <c r="I9954" s="15"/>
    </row>
    <row r="9955" spans="1:9" ht="16.5">
      <c r="A9955" s="10" t="b">
        <v>0</v>
      </c>
      <c r="B9955" s="11" t="str">
        <f>IF(D9955&lt;&gt;"",IF(COUNTIF('USPTO TMs'!A:A,D9955)&gt;0,"Yes","No"),"")</f>
        <v/>
      </c>
      <c r="C9955" s="11"/>
      <c r="D9955" s="11"/>
      <c r="E9955" s="11"/>
      <c r="F9955" s="11"/>
      <c r="G9955" s="11"/>
      <c r="H9955" s="11"/>
      <c r="I9955" s="15"/>
    </row>
    <row r="9956" spans="1:9" ht="16.5">
      <c r="A9956" s="10" t="b">
        <v>0</v>
      </c>
      <c r="B9956" s="11" t="str">
        <f>IF(D9956&lt;&gt;"",IF(COUNTIF('USPTO TMs'!A:A,D9956)&gt;0,"Yes","No"),"")</f>
        <v/>
      </c>
      <c r="C9956" s="11"/>
      <c r="D9956" s="11"/>
      <c r="E9956" s="11"/>
      <c r="F9956" s="11"/>
      <c r="G9956" s="11"/>
      <c r="H9956" s="11"/>
      <c r="I9956" s="15"/>
    </row>
    <row r="9957" spans="1:9" ht="16.5">
      <c r="A9957" s="10" t="b">
        <v>0</v>
      </c>
      <c r="B9957" s="11" t="str">
        <f>IF(D9957&lt;&gt;"",IF(COUNTIF('USPTO TMs'!A:A,D9957)&gt;0,"Yes","No"),"")</f>
        <v/>
      </c>
      <c r="C9957" s="11"/>
      <c r="D9957" s="11"/>
      <c r="E9957" s="11"/>
      <c r="F9957" s="11"/>
      <c r="G9957" s="11"/>
      <c r="H9957" s="11"/>
      <c r="I9957" s="15"/>
    </row>
    <row r="9958" spans="1:9" ht="16.5">
      <c r="A9958" s="10" t="b">
        <v>0</v>
      </c>
      <c r="B9958" s="11" t="str">
        <f>IF(D9958&lt;&gt;"",IF(COUNTIF('USPTO TMs'!A:A,D9958)&gt;0,"Yes","No"),"")</f>
        <v/>
      </c>
      <c r="C9958" s="11"/>
      <c r="D9958" s="11"/>
      <c r="E9958" s="11"/>
      <c r="F9958" s="11"/>
      <c r="G9958" s="11"/>
      <c r="H9958" s="11"/>
      <c r="I9958" s="15"/>
    </row>
    <row r="9959" spans="1:9" ht="16.5">
      <c r="A9959" s="10" t="b">
        <v>0</v>
      </c>
      <c r="B9959" s="11" t="str">
        <f>IF(D9959&lt;&gt;"",IF(COUNTIF('USPTO TMs'!A:A,D9959)&gt;0,"Yes","No"),"")</f>
        <v/>
      </c>
      <c r="C9959" s="11"/>
      <c r="D9959" s="11"/>
      <c r="E9959" s="11"/>
      <c r="F9959" s="11"/>
      <c r="G9959" s="11"/>
      <c r="H9959" s="11"/>
      <c r="I9959" s="15"/>
    </row>
    <row r="9960" spans="1:9" ht="16.5">
      <c r="A9960" s="10" t="b">
        <v>0</v>
      </c>
      <c r="B9960" s="11" t="str">
        <f>IF(D9960&lt;&gt;"",IF(COUNTIF('USPTO TMs'!A:A,D9960)&gt;0,"Yes","No"),"")</f>
        <v/>
      </c>
      <c r="C9960" s="11"/>
      <c r="D9960" s="11"/>
      <c r="E9960" s="11"/>
      <c r="F9960" s="11"/>
      <c r="G9960" s="11"/>
      <c r="H9960" s="11"/>
      <c r="I9960" s="15"/>
    </row>
    <row r="9961" spans="1:9" ht="16.5">
      <c r="A9961" s="10" t="b">
        <v>0</v>
      </c>
      <c r="B9961" s="11" t="str">
        <f>IF(D9961&lt;&gt;"",IF(COUNTIF('USPTO TMs'!A:A,D9961)&gt;0,"Yes","No"),"")</f>
        <v/>
      </c>
      <c r="C9961" s="11"/>
      <c r="D9961" s="11"/>
      <c r="E9961" s="11"/>
      <c r="F9961" s="11"/>
      <c r="G9961" s="11"/>
      <c r="H9961" s="11"/>
      <c r="I9961" s="15"/>
    </row>
    <row r="9962" spans="1:9" ht="16.5">
      <c r="A9962" s="10" t="b">
        <v>0</v>
      </c>
      <c r="B9962" s="11" t="str">
        <f>IF(D9962&lt;&gt;"",IF(COUNTIF('USPTO TMs'!A:A,D9962)&gt;0,"Yes","No"),"")</f>
        <v/>
      </c>
      <c r="C9962" s="11"/>
      <c r="D9962" s="11"/>
      <c r="E9962" s="11"/>
      <c r="F9962" s="11"/>
      <c r="G9962" s="11"/>
      <c r="H9962" s="11"/>
      <c r="I9962" s="15"/>
    </row>
    <row r="9963" spans="1:9" ht="16.5">
      <c r="A9963" s="10" t="b">
        <v>0</v>
      </c>
      <c r="B9963" s="11" t="str">
        <f>IF(D9963&lt;&gt;"",IF(COUNTIF('USPTO TMs'!A:A,D9963)&gt;0,"Yes","No"),"")</f>
        <v/>
      </c>
      <c r="C9963" s="11"/>
      <c r="D9963" s="11"/>
      <c r="E9963" s="11"/>
      <c r="F9963" s="11"/>
      <c r="G9963" s="11"/>
      <c r="H9963" s="11"/>
      <c r="I9963" s="15"/>
    </row>
    <row r="9964" spans="1:9" ht="16.5">
      <c r="A9964" s="10" t="b">
        <v>0</v>
      </c>
      <c r="B9964" s="11" t="str">
        <f>IF(D9964&lt;&gt;"",IF(COUNTIF('USPTO TMs'!A:A,D9964)&gt;0,"Yes","No"),"")</f>
        <v/>
      </c>
      <c r="C9964" s="11"/>
      <c r="D9964" s="11"/>
      <c r="E9964" s="11"/>
      <c r="F9964" s="11"/>
      <c r="G9964" s="11"/>
      <c r="H9964" s="11"/>
      <c r="I9964" s="15"/>
    </row>
    <row r="9965" spans="1:9" ht="16.5">
      <c r="A9965" s="10" t="b">
        <v>0</v>
      </c>
      <c r="B9965" s="11" t="str">
        <f>IF(D9965&lt;&gt;"",IF(COUNTIF('USPTO TMs'!A:A,D9965)&gt;0,"Yes","No"),"")</f>
        <v/>
      </c>
      <c r="C9965" s="11"/>
      <c r="D9965" s="11"/>
      <c r="E9965" s="11"/>
      <c r="F9965" s="11"/>
      <c r="G9965" s="11"/>
      <c r="H9965" s="11"/>
      <c r="I9965" s="15"/>
    </row>
    <row r="9966" spans="1:9" ht="16.5">
      <c r="A9966" s="10" t="b">
        <v>0</v>
      </c>
      <c r="B9966" s="11" t="str">
        <f>IF(D9966&lt;&gt;"",IF(COUNTIF('USPTO TMs'!A:A,D9966)&gt;0,"Yes","No"),"")</f>
        <v/>
      </c>
      <c r="C9966" s="11"/>
      <c r="D9966" s="11"/>
      <c r="E9966" s="11"/>
      <c r="F9966" s="11"/>
      <c r="G9966" s="11"/>
      <c r="H9966" s="11"/>
      <c r="I9966" s="15"/>
    </row>
    <row r="9967" spans="1:9" ht="16.5">
      <c r="A9967" s="10" t="b">
        <v>0</v>
      </c>
      <c r="B9967" s="11" t="str">
        <f>IF(D9967&lt;&gt;"",IF(COUNTIF('USPTO TMs'!A:A,D9967)&gt;0,"Yes","No"),"")</f>
        <v/>
      </c>
      <c r="C9967" s="11"/>
      <c r="D9967" s="11"/>
      <c r="E9967" s="11"/>
      <c r="F9967" s="11"/>
      <c r="G9967" s="11"/>
      <c r="H9967" s="11"/>
      <c r="I9967" s="15"/>
    </row>
    <row r="9968" spans="1:9" ht="16.5">
      <c r="A9968" s="10" t="b">
        <v>0</v>
      </c>
      <c r="B9968" s="11" t="str">
        <f>IF(D9968&lt;&gt;"",IF(COUNTIF('USPTO TMs'!A:A,D9968)&gt;0,"Yes","No"),"")</f>
        <v/>
      </c>
      <c r="C9968" s="11"/>
      <c r="D9968" s="11"/>
      <c r="E9968" s="11"/>
      <c r="F9968" s="11"/>
      <c r="G9968" s="11"/>
      <c r="H9968" s="11"/>
      <c r="I9968" s="15"/>
    </row>
    <row r="9969" spans="1:9" ht="16.5">
      <c r="A9969" s="10" t="b">
        <v>0</v>
      </c>
      <c r="B9969" s="11" t="str">
        <f>IF(D9969&lt;&gt;"",IF(COUNTIF('USPTO TMs'!A:A,D9969)&gt;0,"Yes","No"),"")</f>
        <v/>
      </c>
      <c r="C9969" s="11"/>
      <c r="D9969" s="11"/>
      <c r="E9969" s="11"/>
      <c r="F9969" s="11"/>
      <c r="G9969" s="11"/>
      <c r="H9969" s="11"/>
      <c r="I9969" s="15"/>
    </row>
    <row r="9970" spans="1:9" ht="16.5">
      <c r="A9970" s="10" t="b">
        <v>0</v>
      </c>
      <c r="B9970" s="11" t="str">
        <f>IF(D9970&lt;&gt;"",IF(COUNTIF('USPTO TMs'!A:A,D9970)&gt;0,"Yes","No"),"")</f>
        <v/>
      </c>
      <c r="C9970" s="11"/>
      <c r="D9970" s="11"/>
      <c r="E9970" s="11"/>
      <c r="F9970" s="11"/>
      <c r="G9970" s="11"/>
      <c r="H9970" s="11"/>
      <c r="I9970" s="15"/>
    </row>
    <row r="9971" spans="1:9" ht="16.5">
      <c r="A9971" s="10" t="b">
        <v>0</v>
      </c>
      <c r="B9971" s="11" t="str">
        <f>IF(D9971&lt;&gt;"",IF(COUNTIF('USPTO TMs'!A:A,D9971)&gt;0,"Yes","No"),"")</f>
        <v/>
      </c>
      <c r="C9971" s="11"/>
      <c r="D9971" s="11"/>
      <c r="E9971" s="11"/>
      <c r="F9971" s="11"/>
      <c r="G9971" s="11"/>
      <c r="H9971" s="11"/>
      <c r="I9971" s="15"/>
    </row>
    <row r="9972" spans="1:9" ht="16.5">
      <c r="A9972" s="10" t="b">
        <v>0</v>
      </c>
      <c r="B9972" s="11" t="str">
        <f>IF(D9972&lt;&gt;"",IF(COUNTIF('USPTO TMs'!A:A,D9972)&gt;0,"Yes","No"),"")</f>
        <v/>
      </c>
      <c r="C9972" s="11"/>
      <c r="D9972" s="11"/>
      <c r="E9972" s="11"/>
      <c r="F9972" s="11"/>
      <c r="G9972" s="11"/>
      <c r="H9972" s="11"/>
      <c r="I9972" s="15"/>
    </row>
    <row r="9973" spans="1:9" ht="16.5">
      <c r="A9973" s="10" t="b">
        <v>0</v>
      </c>
      <c r="B9973" s="11" t="str">
        <f>IF(D9973&lt;&gt;"",IF(COUNTIF('USPTO TMs'!A:A,D9973)&gt;0,"Yes","No"),"")</f>
        <v/>
      </c>
      <c r="C9973" s="11"/>
      <c r="D9973" s="11"/>
      <c r="E9973" s="11"/>
      <c r="F9973" s="11"/>
      <c r="G9973" s="11"/>
      <c r="H9973" s="11"/>
      <c r="I9973" s="15"/>
    </row>
    <row r="9974" spans="1:9" ht="16.5">
      <c r="A9974" s="10" t="b">
        <v>0</v>
      </c>
      <c r="B9974" s="11" t="str">
        <f>IF(D9974&lt;&gt;"",IF(COUNTIF('USPTO TMs'!A:A,D9974)&gt;0,"Yes","No"),"")</f>
        <v/>
      </c>
      <c r="C9974" s="11"/>
      <c r="D9974" s="11"/>
      <c r="E9974" s="11"/>
      <c r="F9974" s="11"/>
      <c r="G9974" s="11"/>
      <c r="H9974" s="11"/>
      <c r="I9974" s="15"/>
    </row>
    <row r="9975" spans="1:9" ht="16.5">
      <c r="A9975" s="10" t="b">
        <v>0</v>
      </c>
      <c r="B9975" s="11" t="str">
        <f>IF(D9975&lt;&gt;"",IF(COUNTIF('USPTO TMs'!A:A,D9975)&gt;0,"Yes","No"),"")</f>
        <v/>
      </c>
      <c r="C9975" s="11"/>
      <c r="D9975" s="11"/>
      <c r="E9975" s="11"/>
      <c r="F9975" s="11"/>
      <c r="G9975" s="11"/>
      <c r="H9975" s="11"/>
      <c r="I9975" s="15"/>
    </row>
    <row r="9976" spans="1:9" ht="16.5">
      <c r="A9976" s="10" t="b">
        <v>0</v>
      </c>
      <c r="B9976" s="11" t="str">
        <f>IF(D9976&lt;&gt;"",IF(COUNTIF('USPTO TMs'!A:A,D9976)&gt;0,"Yes","No"),"")</f>
        <v/>
      </c>
      <c r="C9976" s="11"/>
      <c r="D9976" s="11"/>
      <c r="E9976" s="11"/>
      <c r="F9976" s="11"/>
      <c r="G9976" s="11"/>
      <c r="H9976" s="11"/>
      <c r="I9976" s="15"/>
    </row>
    <row r="9977" spans="1:9" ht="16.5">
      <c r="A9977" s="10" t="b">
        <v>0</v>
      </c>
      <c r="B9977" s="11" t="str">
        <f>IF(D9977&lt;&gt;"",IF(COUNTIF('USPTO TMs'!A:A,D9977)&gt;0,"Yes","No"),"")</f>
        <v/>
      </c>
      <c r="C9977" s="11"/>
      <c r="D9977" s="11"/>
      <c r="E9977" s="11"/>
      <c r="F9977" s="11"/>
      <c r="G9977" s="11"/>
      <c r="H9977" s="11"/>
      <c r="I9977" s="15"/>
    </row>
    <row r="9978" spans="1:9" ht="16.5">
      <c r="A9978" s="10" t="b">
        <v>0</v>
      </c>
      <c r="B9978" s="11" t="str">
        <f>IF(D9978&lt;&gt;"",IF(COUNTIF('USPTO TMs'!A:A,D9978)&gt;0,"Yes","No"),"")</f>
        <v/>
      </c>
      <c r="C9978" s="11"/>
      <c r="D9978" s="11"/>
      <c r="E9978" s="11"/>
      <c r="F9978" s="11"/>
      <c r="G9978" s="11"/>
      <c r="H9978" s="11"/>
      <c r="I9978" s="15"/>
    </row>
    <row r="9979" spans="1:9" ht="16.5">
      <c r="A9979" s="10" t="b">
        <v>0</v>
      </c>
      <c r="B9979" s="11" t="str">
        <f>IF(D9979&lt;&gt;"",IF(COUNTIF('USPTO TMs'!A:A,D9979)&gt;0,"Yes","No"),"")</f>
        <v/>
      </c>
      <c r="C9979" s="11"/>
      <c r="D9979" s="11"/>
      <c r="E9979" s="11"/>
      <c r="F9979" s="11"/>
      <c r="G9979" s="11"/>
      <c r="H9979" s="11"/>
      <c r="I9979" s="15"/>
    </row>
    <row r="9980" spans="1:9" ht="16.5">
      <c r="A9980" s="10" t="b">
        <v>0</v>
      </c>
      <c r="B9980" s="11" t="str">
        <f>IF(D9980&lt;&gt;"",IF(COUNTIF('USPTO TMs'!A:A,D9980)&gt;0,"Yes","No"),"")</f>
        <v/>
      </c>
      <c r="C9980" s="11"/>
      <c r="D9980" s="11"/>
      <c r="E9980" s="11"/>
      <c r="F9980" s="11"/>
      <c r="G9980" s="11"/>
      <c r="H9980" s="11"/>
      <c r="I9980" s="15"/>
    </row>
    <row r="9981" spans="1:9" ht="16.5">
      <c r="A9981" s="10" t="b">
        <v>0</v>
      </c>
      <c r="B9981" s="11" t="str">
        <f>IF(D9981&lt;&gt;"",IF(COUNTIF('USPTO TMs'!A:A,D9981)&gt;0,"Yes","No"),"")</f>
        <v/>
      </c>
      <c r="C9981" s="11"/>
      <c r="D9981" s="11"/>
      <c r="E9981" s="11"/>
      <c r="F9981" s="11"/>
      <c r="G9981" s="11"/>
      <c r="H9981" s="11"/>
      <c r="I9981" s="15"/>
    </row>
    <row r="9982" spans="1:9" ht="16.5">
      <c r="A9982" s="10" t="b">
        <v>0</v>
      </c>
      <c r="B9982" s="11" t="str">
        <f>IF(D9982&lt;&gt;"",IF(COUNTIF('USPTO TMs'!A:A,D9982)&gt;0,"Yes","No"),"")</f>
        <v/>
      </c>
      <c r="C9982" s="11"/>
      <c r="D9982" s="11"/>
      <c r="E9982" s="11"/>
      <c r="F9982" s="11"/>
      <c r="G9982" s="11"/>
      <c r="H9982" s="11"/>
      <c r="I9982" s="15"/>
    </row>
    <row r="9983" spans="1:9" ht="16.5">
      <c r="A9983" s="10" t="b">
        <v>0</v>
      </c>
      <c r="B9983" s="11" t="str">
        <f>IF(D9983&lt;&gt;"",IF(COUNTIF('USPTO TMs'!A:A,D9983)&gt;0,"Yes","No"),"")</f>
        <v/>
      </c>
      <c r="C9983" s="11"/>
      <c r="D9983" s="11"/>
      <c r="E9983" s="11"/>
      <c r="F9983" s="11"/>
      <c r="G9983" s="11"/>
      <c r="H9983" s="11"/>
      <c r="I9983" s="15"/>
    </row>
    <row r="9984" spans="1:9" ht="16.5">
      <c r="A9984" s="10" t="b">
        <v>0</v>
      </c>
      <c r="B9984" s="11" t="str">
        <f>IF(D9984&lt;&gt;"",IF(COUNTIF('USPTO TMs'!A:A,D9984)&gt;0,"Yes","No"),"")</f>
        <v/>
      </c>
      <c r="C9984" s="11"/>
      <c r="D9984" s="11"/>
      <c r="E9984" s="11"/>
      <c r="F9984" s="11"/>
      <c r="G9984" s="11"/>
      <c r="H9984" s="11"/>
      <c r="I9984" s="15"/>
    </row>
    <row r="9985" spans="1:9" ht="16.5">
      <c r="A9985" s="10" t="b">
        <v>0</v>
      </c>
      <c r="B9985" s="11" t="str">
        <f>IF(D9985&lt;&gt;"",IF(COUNTIF('USPTO TMs'!A:A,D9985)&gt;0,"Yes","No"),"")</f>
        <v/>
      </c>
      <c r="C9985" s="11"/>
      <c r="D9985" s="11"/>
      <c r="E9985" s="11"/>
      <c r="F9985" s="11"/>
      <c r="G9985" s="11"/>
      <c r="H9985" s="11"/>
      <c r="I9985" s="15"/>
    </row>
    <row r="9986" spans="1:9" ht="16.5">
      <c r="A9986" s="10" t="b">
        <v>0</v>
      </c>
      <c r="B9986" s="11" t="str">
        <f>IF(D9986&lt;&gt;"",IF(COUNTIF('USPTO TMs'!A:A,D9986)&gt;0,"Yes","No"),"")</f>
        <v/>
      </c>
      <c r="C9986" s="11"/>
      <c r="D9986" s="11"/>
      <c r="E9986" s="11"/>
      <c r="F9986" s="11"/>
      <c r="G9986" s="11"/>
      <c r="H9986" s="11"/>
      <c r="I9986" s="15"/>
    </row>
    <row r="9987" spans="1:9" ht="16.5">
      <c r="A9987" s="10" t="b">
        <v>0</v>
      </c>
      <c r="B9987" s="11" t="str">
        <f>IF(D9987&lt;&gt;"",IF(COUNTIF('USPTO TMs'!A:A,D9987)&gt;0,"Yes","No"),"")</f>
        <v/>
      </c>
      <c r="C9987" s="11"/>
      <c r="D9987" s="11"/>
      <c r="E9987" s="11"/>
      <c r="F9987" s="11"/>
      <c r="G9987" s="11"/>
      <c r="H9987" s="11"/>
      <c r="I9987" s="15"/>
    </row>
    <row r="9988" spans="1:9" ht="16.5">
      <c r="A9988" s="10" t="b">
        <v>0</v>
      </c>
      <c r="B9988" s="11" t="str">
        <f>IF(D9988&lt;&gt;"",IF(COUNTIF('USPTO TMs'!A:A,D9988)&gt;0,"Yes","No"),"")</f>
        <v/>
      </c>
      <c r="C9988" s="11"/>
      <c r="D9988" s="11"/>
      <c r="E9988" s="11"/>
      <c r="F9988" s="11"/>
      <c r="G9988" s="11"/>
      <c r="H9988" s="11"/>
      <c r="I9988" s="15"/>
    </row>
    <row r="9989" spans="1:9" ht="16.5">
      <c r="A9989" s="10" t="b">
        <v>0</v>
      </c>
      <c r="B9989" s="11" t="str">
        <f>IF(D9989&lt;&gt;"",IF(COUNTIF('USPTO TMs'!A:A,D9989)&gt;0,"Yes","No"),"")</f>
        <v/>
      </c>
      <c r="C9989" s="11"/>
      <c r="D9989" s="11"/>
      <c r="E9989" s="11"/>
      <c r="F9989" s="11"/>
      <c r="G9989" s="11"/>
      <c r="H9989" s="11"/>
      <c r="I9989" s="15"/>
    </row>
    <row r="9990" spans="1:9" ht="16.5">
      <c r="A9990" s="10" t="b">
        <v>0</v>
      </c>
      <c r="B9990" s="11" t="str">
        <f>IF(D9990&lt;&gt;"",IF(COUNTIF('USPTO TMs'!A:A,D9990)&gt;0,"Yes","No"),"")</f>
        <v/>
      </c>
      <c r="C9990" s="11"/>
      <c r="D9990" s="11"/>
      <c r="E9990" s="11"/>
      <c r="F9990" s="11"/>
      <c r="G9990" s="11"/>
      <c r="H9990" s="11"/>
      <c r="I9990" s="15"/>
    </row>
    <row r="9991" spans="1:9" ht="16.5">
      <c r="A9991" s="10" t="b">
        <v>0</v>
      </c>
      <c r="B9991" s="11" t="str">
        <f>IF(D9991&lt;&gt;"",IF(COUNTIF('USPTO TMs'!A:A,D9991)&gt;0,"Yes","No"),"")</f>
        <v/>
      </c>
      <c r="C9991" s="11"/>
      <c r="D9991" s="11"/>
      <c r="E9991" s="11"/>
      <c r="F9991" s="11"/>
      <c r="G9991" s="11"/>
      <c r="H9991" s="11"/>
      <c r="I9991" s="15"/>
    </row>
    <row r="9992" spans="1:9" ht="16.5">
      <c r="A9992" s="10" t="b">
        <v>0</v>
      </c>
      <c r="B9992" s="11" t="str">
        <f>IF(D9992&lt;&gt;"",IF(COUNTIF('USPTO TMs'!A:A,D9992)&gt;0,"Yes","No"),"")</f>
        <v/>
      </c>
      <c r="C9992" s="11"/>
      <c r="D9992" s="11"/>
      <c r="E9992" s="11"/>
      <c r="F9992" s="11"/>
      <c r="G9992" s="11"/>
      <c r="H9992" s="11"/>
      <c r="I9992" s="15"/>
    </row>
    <row r="9993" spans="1:9" ht="16.5">
      <c r="A9993" s="10" t="b">
        <v>0</v>
      </c>
      <c r="B9993" s="11" t="str">
        <f>IF(D9993&lt;&gt;"",IF(COUNTIF('USPTO TMs'!A:A,D9993)&gt;0,"Yes","No"),"")</f>
        <v/>
      </c>
      <c r="C9993" s="11"/>
      <c r="D9993" s="11"/>
      <c r="E9993" s="11"/>
      <c r="F9993" s="11"/>
      <c r="G9993" s="11"/>
      <c r="H9993" s="11"/>
      <c r="I9993" s="15"/>
    </row>
    <row r="9994" spans="1:9" ht="16.5">
      <c r="A9994" s="10" t="b">
        <v>0</v>
      </c>
      <c r="B9994" s="11" t="str">
        <f>IF(D9994&lt;&gt;"",IF(COUNTIF('USPTO TMs'!A:A,D9994)&gt;0,"Yes","No"),"")</f>
        <v/>
      </c>
      <c r="C9994" s="11"/>
      <c r="D9994" s="11"/>
      <c r="E9994" s="11"/>
      <c r="F9994" s="11"/>
      <c r="G9994" s="11"/>
      <c r="H9994" s="11"/>
      <c r="I9994" s="15"/>
    </row>
    <row r="9995" spans="1:9" ht="16.5">
      <c r="A9995" s="10" t="b">
        <v>0</v>
      </c>
      <c r="B9995" s="11" t="str">
        <f>IF(D9995&lt;&gt;"",IF(COUNTIF('USPTO TMs'!A:A,D9995)&gt;0,"Yes","No"),"")</f>
        <v/>
      </c>
      <c r="C9995" s="11"/>
      <c r="D9995" s="11"/>
      <c r="E9995" s="11"/>
      <c r="F9995" s="11"/>
      <c r="G9995" s="11"/>
      <c r="H9995" s="11"/>
      <c r="I9995" s="15"/>
    </row>
    <row r="9996" spans="1:9" ht="16.5">
      <c r="A9996" s="10" t="b">
        <v>0</v>
      </c>
      <c r="B9996" s="11" t="str">
        <f>IF(D9996&lt;&gt;"",IF(COUNTIF('USPTO TMs'!A:A,D9996)&gt;0,"Yes","No"),"")</f>
        <v/>
      </c>
      <c r="C9996" s="11"/>
      <c r="D9996" s="11"/>
      <c r="E9996" s="11"/>
      <c r="F9996" s="11"/>
      <c r="G9996" s="11"/>
      <c r="H9996" s="11"/>
      <c r="I9996" s="15"/>
    </row>
    <row r="9997" spans="1:9" ht="16.5">
      <c r="A9997" s="10" t="b">
        <v>0</v>
      </c>
      <c r="B9997" s="11" t="str">
        <f>IF(D9997&lt;&gt;"",IF(COUNTIF('USPTO TMs'!A:A,D9997)&gt;0,"Yes","No"),"")</f>
        <v/>
      </c>
      <c r="C9997" s="11"/>
      <c r="D9997" s="11"/>
      <c r="E9997" s="11"/>
      <c r="F9997" s="11"/>
      <c r="G9997" s="11"/>
      <c r="H9997" s="11"/>
      <c r="I9997" s="15"/>
    </row>
    <row r="9998" spans="1:9" ht="16.5">
      <c r="A9998" s="10" t="b">
        <v>0</v>
      </c>
      <c r="B9998" s="11" t="str">
        <f>IF(D9998&lt;&gt;"",IF(COUNTIF('USPTO TMs'!A:A,D9998)&gt;0,"Yes","No"),"")</f>
        <v/>
      </c>
      <c r="C9998" s="11"/>
      <c r="D9998" s="11"/>
      <c r="E9998" s="11"/>
      <c r="F9998" s="11"/>
      <c r="G9998" s="11"/>
      <c r="H9998" s="11"/>
      <c r="I9998" s="15"/>
    </row>
    <row r="9999" spans="1:9" ht="16.5">
      <c r="A9999" s="10" t="b">
        <v>0</v>
      </c>
      <c r="B9999" s="11" t="str">
        <f>IF(D9999&lt;&gt;"",IF(COUNTIF('USPTO TMs'!A:A,D9999)&gt;0,"Yes","No"),"")</f>
        <v/>
      </c>
      <c r="C9999" s="11"/>
      <c r="D9999" s="11"/>
      <c r="E9999" s="11"/>
      <c r="F9999" s="11"/>
      <c r="G9999" s="11"/>
      <c r="H9999" s="11"/>
      <c r="I9999" s="15"/>
    </row>
    <row r="10000" spans="1:9" ht="16.5">
      <c r="A10000" s="10" t="b">
        <v>0</v>
      </c>
      <c r="B10000" s="11" t="str">
        <f>IF(D10000&lt;&gt;"",IF(COUNTIF('USPTO TMs'!A:A,D10000)&gt;0,"Yes","No"),"")</f>
        <v/>
      </c>
      <c r="C10000" s="11"/>
      <c r="D10000" s="11"/>
      <c r="E10000" s="11"/>
      <c r="F10000" s="11"/>
      <c r="G10000" s="11"/>
      <c r="H10000" s="11"/>
      <c r="I10000" s="15"/>
    </row>
    <row r="10001" spans="1:9" ht="16.5">
      <c r="A10001" s="10" t="b">
        <v>0</v>
      </c>
      <c r="B10001" s="11" t="str">
        <f>IF(D10001&lt;&gt;"",IF(COUNTIF('USPTO TMs'!A:A,D10001)&gt;0,"Yes","No"),"")</f>
        <v/>
      </c>
      <c r="C10001" s="11"/>
      <c r="D10001" s="11"/>
      <c r="E10001" s="11"/>
      <c r="F10001" s="11"/>
      <c r="G10001" s="11"/>
      <c r="H10001" s="11"/>
      <c r="I10001" s="15"/>
    </row>
    <row r="10002" spans="1:9" ht="16.5">
      <c r="A10002" s="10" t="b">
        <v>0</v>
      </c>
      <c r="B10002" s="11" t="str">
        <f>IF(D10002&lt;&gt;"",IF(COUNTIF('USPTO TMs'!A:A,D10002)&gt;0,"Yes","No"),"")</f>
        <v/>
      </c>
      <c r="C10002" s="11"/>
      <c r="D10002" s="11"/>
      <c r="E10002" s="11"/>
      <c r="F10002" s="11"/>
      <c r="G10002" s="11"/>
      <c r="H10002" s="11"/>
      <c r="I10002" s="15"/>
    </row>
    <row r="10003" spans="1:9" ht="16.5">
      <c r="A10003" s="10" t="b">
        <v>0</v>
      </c>
      <c r="B10003" s="11" t="str">
        <f>IF(D10003&lt;&gt;"",IF(COUNTIF('USPTO TMs'!A:A,D10003)&gt;0,"Yes","No"),"")</f>
        <v/>
      </c>
      <c r="C10003" s="11"/>
      <c r="D10003" s="11"/>
      <c r="E10003" s="11"/>
      <c r="F10003" s="11"/>
      <c r="G10003" s="11"/>
      <c r="H10003" s="11"/>
      <c r="I10003" s="15"/>
    </row>
    <row r="10004" spans="1:9" ht="16.5">
      <c r="A10004" s="10" t="b">
        <v>0</v>
      </c>
      <c r="B10004" s="11" t="str">
        <f>IF(D10004&lt;&gt;"",IF(COUNTIF('USPTO TMs'!A:A,D10004)&gt;0,"Yes","No"),"")</f>
        <v/>
      </c>
      <c r="C10004" s="11"/>
      <c r="D10004" s="11"/>
      <c r="E10004" s="11"/>
      <c r="F10004" s="11"/>
      <c r="G10004" s="11"/>
      <c r="H10004" s="11"/>
      <c r="I10004" s="15"/>
    </row>
    <row r="10005" spans="1:9" ht="16.5">
      <c r="A10005" s="10" t="b">
        <v>0</v>
      </c>
      <c r="B10005" s="11" t="str">
        <f>IF(D10005&lt;&gt;"",IF(COUNTIF('USPTO TMs'!A:A,D10005)&gt;0,"Yes","No"),"")</f>
        <v/>
      </c>
      <c r="C10005" s="11"/>
      <c r="D10005" s="11"/>
      <c r="E10005" s="11"/>
      <c r="F10005" s="11"/>
      <c r="G10005" s="11"/>
      <c r="H10005" s="11"/>
      <c r="I10005" s="15"/>
    </row>
    <row r="10006" spans="1:9" ht="16.5">
      <c r="A10006" s="10" t="b">
        <v>0</v>
      </c>
      <c r="B10006" s="11" t="str">
        <f>IF(D10006&lt;&gt;"",IF(COUNTIF('USPTO TMs'!A:A,D10006)&gt;0,"Yes","No"),"")</f>
        <v/>
      </c>
      <c r="C10006" s="11"/>
      <c r="D10006" s="11"/>
      <c r="E10006" s="11"/>
      <c r="F10006" s="11"/>
      <c r="G10006" s="11"/>
      <c r="H10006" s="11"/>
      <c r="I10006" s="15"/>
    </row>
    <row r="10007" spans="1:9" ht="16.5">
      <c r="A10007" s="10" t="b">
        <v>0</v>
      </c>
      <c r="B10007" s="11" t="str">
        <f>IF(D10007&lt;&gt;"",IF(COUNTIF('USPTO TMs'!A:A,D10007)&gt;0,"Yes","No"),"")</f>
        <v/>
      </c>
      <c r="C10007" s="11"/>
      <c r="D10007" s="11"/>
      <c r="E10007" s="11"/>
      <c r="F10007" s="11"/>
      <c r="G10007" s="11"/>
      <c r="H10007" s="11"/>
      <c r="I10007" s="15"/>
    </row>
    <row r="10008" spans="1:9" ht="16.5">
      <c r="A10008" s="10" t="b">
        <v>0</v>
      </c>
      <c r="B10008" s="11" t="str">
        <f>IF(D10008&lt;&gt;"",IF(COUNTIF('USPTO TMs'!A:A,D10008)&gt;0,"Yes","No"),"")</f>
        <v/>
      </c>
      <c r="C10008" s="11"/>
      <c r="D10008" s="11"/>
      <c r="E10008" s="11"/>
      <c r="F10008" s="11"/>
      <c r="G10008" s="11"/>
      <c r="H10008" s="11"/>
      <c r="I10008" s="15"/>
    </row>
    <row r="10009" spans="1:9" ht="16.5">
      <c r="A10009" s="10" t="b">
        <v>0</v>
      </c>
      <c r="B10009" s="11" t="str">
        <f>IF(D10009&lt;&gt;"",IF(COUNTIF('USPTO TMs'!A:A,D10009)&gt;0,"Yes","No"),"")</f>
        <v/>
      </c>
      <c r="C10009" s="11"/>
      <c r="D10009" s="11"/>
      <c r="E10009" s="11"/>
      <c r="F10009" s="11"/>
      <c r="G10009" s="11"/>
      <c r="H10009" s="11"/>
      <c r="I10009" s="15"/>
    </row>
    <row r="10010" spans="1:9" ht="16.5">
      <c r="A10010" s="10" t="b">
        <v>0</v>
      </c>
      <c r="B10010" s="11" t="str">
        <f>IF(D10010&lt;&gt;"",IF(COUNTIF('USPTO TMs'!A:A,D10010)&gt;0,"Yes","No"),"")</f>
        <v/>
      </c>
      <c r="C10010" s="11"/>
      <c r="D10010" s="11"/>
      <c r="E10010" s="11"/>
      <c r="F10010" s="11"/>
      <c r="G10010" s="11"/>
      <c r="H10010" s="11"/>
      <c r="I10010" s="15"/>
    </row>
    <row r="10011" spans="1:9" ht="16.5">
      <c r="A10011" s="10" t="b">
        <v>0</v>
      </c>
      <c r="B10011" s="11" t="str">
        <f>IF(D10011&lt;&gt;"",IF(COUNTIF('USPTO TMs'!A:A,D10011)&gt;0,"Yes","No"),"")</f>
        <v/>
      </c>
      <c r="C10011" s="11"/>
      <c r="D10011" s="11"/>
      <c r="E10011" s="11"/>
      <c r="F10011" s="11"/>
      <c r="G10011" s="11"/>
      <c r="H10011" s="11"/>
      <c r="I10011" s="15"/>
    </row>
    <row r="10012" spans="1:9" ht="16.5">
      <c r="A10012" s="10" t="b">
        <v>0</v>
      </c>
      <c r="B10012" s="11" t="str">
        <f>IF(D10012&lt;&gt;"",IF(COUNTIF('USPTO TMs'!A:A,D10012)&gt;0,"Yes","No"),"")</f>
        <v/>
      </c>
      <c r="C10012" s="11"/>
      <c r="D10012" s="11"/>
      <c r="E10012" s="11"/>
      <c r="F10012" s="11"/>
      <c r="G10012" s="11"/>
      <c r="H10012" s="11"/>
      <c r="I10012" s="15"/>
    </row>
    <row r="10013" spans="1:9" ht="16.5">
      <c r="A10013" s="10" t="b">
        <v>0</v>
      </c>
      <c r="B10013" s="11" t="str">
        <f>IF(D10013&lt;&gt;"",IF(COUNTIF('USPTO TMs'!A:A,D10013)&gt;0,"Yes","No"),"")</f>
        <v/>
      </c>
      <c r="C10013" s="11"/>
      <c r="D10013" s="11"/>
      <c r="E10013" s="11"/>
      <c r="F10013" s="11"/>
      <c r="G10013" s="11"/>
      <c r="H10013" s="11"/>
      <c r="I10013" s="15"/>
    </row>
    <row r="10014" spans="1:9" ht="16.5">
      <c r="A10014" s="10" t="b">
        <v>0</v>
      </c>
      <c r="B10014" s="11" t="str">
        <f>IF(D10014&lt;&gt;"",IF(COUNTIF('USPTO TMs'!A:A,D10014)&gt;0,"Yes","No"),"")</f>
        <v/>
      </c>
      <c r="C10014" s="11"/>
      <c r="D10014" s="11"/>
      <c r="E10014" s="11"/>
      <c r="F10014" s="11"/>
      <c r="G10014" s="11"/>
      <c r="H10014" s="11"/>
      <c r="I10014" s="15"/>
    </row>
    <row r="10015" spans="1:9" ht="16.5">
      <c r="A10015" s="10" t="b">
        <v>0</v>
      </c>
      <c r="B10015" s="11" t="str">
        <f>IF(D10015&lt;&gt;"",IF(COUNTIF('USPTO TMs'!A:A,D10015)&gt;0,"Yes","No"),"")</f>
        <v/>
      </c>
      <c r="C10015" s="11"/>
      <c r="D10015" s="11"/>
      <c r="E10015" s="11"/>
      <c r="F10015" s="11"/>
      <c r="G10015" s="11"/>
      <c r="H10015" s="11"/>
      <c r="I10015" s="15"/>
    </row>
    <row r="10016" spans="1:9" ht="16.5">
      <c r="A10016" s="10" t="b">
        <v>0</v>
      </c>
      <c r="B10016" s="11" t="str">
        <f>IF(D10016&lt;&gt;"",IF(COUNTIF('USPTO TMs'!A:A,D10016)&gt;0,"Yes","No"),"")</f>
        <v/>
      </c>
      <c r="C10016" s="11"/>
      <c r="D10016" s="11"/>
      <c r="E10016" s="11"/>
      <c r="F10016" s="11"/>
      <c r="G10016" s="11"/>
      <c r="H10016" s="11"/>
      <c r="I10016" s="15"/>
    </row>
    <row r="10017" spans="1:9" ht="16.5">
      <c r="A10017" s="10" t="b">
        <v>0</v>
      </c>
      <c r="B10017" s="11" t="str">
        <f>IF(D10017&lt;&gt;"",IF(COUNTIF('USPTO TMs'!A:A,D10017)&gt;0,"Yes","No"),"")</f>
        <v/>
      </c>
      <c r="C10017" s="11"/>
      <c r="D10017" s="11"/>
      <c r="E10017" s="11"/>
      <c r="F10017" s="11"/>
      <c r="G10017" s="11"/>
      <c r="H10017" s="11"/>
      <c r="I10017" s="15"/>
    </row>
    <row r="10018" spans="1:9" ht="16.5">
      <c r="A10018" s="10" t="b">
        <v>0</v>
      </c>
      <c r="B10018" s="11" t="str">
        <f>IF(D10018&lt;&gt;"",IF(COUNTIF('USPTO TMs'!A:A,D10018)&gt;0,"Yes","No"),"")</f>
        <v/>
      </c>
      <c r="C10018" s="11"/>
      <c r="D10018" s="11"/>
      <c r="E10018" s="11"/>
      <c r="F10018" s="11"/>
      <c r="G10018" s="11"/>
      <c r="H10018" s="11"/>
      <c r="I10018" s="15"/>
    </row>
    <row r="10019" spans="1:9" ht="16.5">
      <c r="A10019" s="10" t="b">
        <v>0</v>
      </c>
      <c r="B10019" s="11" t="str">
        <f>IF(D10019&lt;&gt;"",IF(COUNTIF('USPTO TMs'!A:A,D10019)&gt;0,"Yes","No"),"")</f>
        <v/>
      </c>
      <c r="C10019" s="11"/>
      <c r="D10019" s="11"/>
      <c r="E10019" s="11"/>
      <c r="F10019" s="11"/>
      <c r="G10019" s="11"/>
      <c r="H10019" s="11"/>
      <c r="I10019" s="15"/>
    </row>
    <row r="10020" spans="1:9" ht="16.5">
      <c r="A10020" s="10" t="b">
        <v>0</v>
      </c>
      <c r="B10020" s="11" t="str">
        <f>IF(D10020&lt;&gt;"",IF(COUNTIF('USPTO TMs'!A:A,D10020)&gt;0,"Yes","No"),"")</f>
        <v/>
      </c>
      <c r="C10020" s="11"/>
      <c r="D10020" s="11"/>
      <c r="E10020" s="11"/>
      <c r="F10020" s="11"/>
      <c r="G10020" s="11"/>
      <c r="H10020" s="11"/>
      <c r="I10020" s="15"/>
    </row>
    <row r="10021" spans="1:9" ht="16.5">
      <c r="A10021" s="10" t="b">
        <v>0</v>
      </c>
      <c r="B10021" s="11" t="str">
        <f>IF(D10021&lt;&gt;"",IF(COUNTIF('USPTO TMs'!A:A,D10021)&gt;0,"Yes","No"),"")</f>
        <v/>
      </c>
      <c r="C10021" s="11"/>
      <c r="D10021" s="11"/>
      <c r="E10021" s="11"/>
      <c r="F10021" s="11"/>
      <c r="G10021" s="11"/>
      <c r="H10021" s="11"/>
      <c r="I10021" s="15"/>
    </row>
    <row r="10022" spans="1:9" ht="16.5">
      <c r="A10022" s="10" t="b">
        <v>0</v>
      </c>
      <c r="B10022" s="11" t="str">
        <f>IF(D10022&lt;&gt;"",IF(COUNTIF('USPTO TMs'!A:A,D10022)&gt;0,"Yes","No"),"")</f>
        <v/>
      </c>
      <c r="C10022" s="11"/>
      <c r="D10022" s="11"/>
      <c r="E10022" s="11"/>
      <c r="F10022" s="11"/>
      <c r="G10022" s="11"/>
      <c r="H10022" s="11"/>
      <c r="I10022" s="15"/>
    </row>
    <row r="10023" spans="1:9" ht="16.5">
      <c r="A10023" s="10" t="b">
        <v>0</v>
      </c>
      <c r="B10023" s="11" t="str">
        <f>IF(D10023&lt;&gt;"",IF(COUNTIF('USPTO TMs'!A:A,D10023)&gt;0,"Yes","No"),"")</f>
        <v/>
      </c>
      <c r="C10023" s="11"/>
      <c r="D10023" s="11"/>
      <c r="E10023" s="11"/>
      <c r="F10023" s="11"/>
      <c r="G10023" s="11"/>
      <c r="H10023" s="11"/>
      <c r="I10023" s="15"/>
    </row>
    <row r="10024" spans="1:9" ht="16.5">
      <c r="A10024" s="10" t="b">
        <v>0</v>
      </c>
      <c r="B10024" s="11" t="str">
        <f>IF(D10024&lt;&gt;"",IF(COUNTIF('USPTO TMs'!A:A,D10024)&gt;0,"Yes","No"),"")</f>
        <v/>
      </c>
      <c r="C10024" s="11"/>
      <c r="D10024" s="11"/>
      <c r="E10024" s="11"/>
      <c r="F10024" s="11"/>
      <c r="G10024" s="11"/>
      <c r="H10024" s="11"/>
      <c r="I10024" s="15"/>
    </row>
    <row r="10025" spans="1:9" ht="16.5">
      <c r="A10025" s="10" t="b">
        <v>0</v>
      </c>
      <c r="B10025" s="11" t="str">
        <f>IF(D10025&lt;&gt;"",IF(COUNTIF('USPTO TMs'!A:A,D10025)&gt;0,"Yes","No"),"")</f>
        <v/>
      </c>
      <c r="C10025" s="11"/>
      <c r="D10025" s="11"/>
      <c r="E10025" s="11"/>
      <c r="F10025" s="11"/>
      <c r="G10025" s="11"/>
      <c r="H10025" s="11"/>
      <c r="I10025" s="15"/>
    </row>
    <row r="10026" spans="1:9" ht="16.5">
      <c r="A10026" s="10" t="b">
        <v>0</v>
      </c>
      <c r="B10026" s="11" t="str">
        <f>IF(D10026&lt;&gt;"",IF(COUNTIF('USPTO TMs'!A:A,D10026)&gt;0,"Yes","No"),"")</f>
        <v/>
      </c>
      <c r="C10026" s="11"/>
      <c r="D10026" s="11"/>
      <c r="E10026" s="11"/>
      <c r="F10026" s="11"/>
      <c r="G10026" s="11"/>
      <c r="H10026" s="11"/>
      <c r="I10026" s="15"/>
    </row>
    <row r="10027" spans="1:9" ht="16.5">
      <c r="A10027" s="10" t="b">
        <v>0</v>
      </c>
      <c r="B10027" s="11" t="str">
        <f>IF(D10027&lt;&gt;"",IF(COUNTIF('USPTO TMs'!A:A,D10027)&gt;0,"Yes","No"),"")</f>
        <v/>
      </c>
      <c r="C10027" s="11"/>
      <c r="D10027" s="11"/>
      <c r="E10027" s="11"/>
      <c r="F10027" s="11"/>
      <c r="G10027" s="11"/>
      <c r="H10027" s="11"/>
      <c r="I10027" s="15"/>
    </row>
    <row r="10028" spans="1:9" ht="16.5">
      <c r="A10028" s="10" t="b">
        <v>0</v>
      </c>
      <c r="B10028" s="11" t="str">
        <f>IF(D10028&lt;&gt;"",IF(COUNTIF('USPTO TMs'!A:A,D10028)&gt;0,"Yes","No"),"")</f>
        <v/>
      </c>
      <c r="C10028" s="11"/>
      <c r="D10028" s="11"/>
      <c r="E10028" s="11"/>
      <c r="F10028" s="11"/>
      <c r="G10028" s="11"/>
      <c r="H10028" s="11"/>
      <c r="I10028" s="15"/>
    </row>
    <row r="10029" spans="1:9" ht="16.5">
      <c r="A10029" s="10" t="b">
        <v>0</v>
      </c>
      <c r="B10029" s="11" t="str">
        <f>IF(D10029&lt;&gt;"",IF(COUNTIF('USPTO TMs'!A:A,D10029)&gt;0,"Yes","No"),"")</f>
        <v/>
      </c>
      <c r="C10029" s="11"/>
      <c r="D10029" s="11"/>
      <c r="E10029" s="11"/>
      <c r="F10029" s="11"/>
      <c r="G10029" s="11"/>
      <c r="H10029" s="11"/>
      <c r="I10029" s="15"/>
    </row>
    <row r="10030" spans="1:9" ht="16.5">
      <c r="A10030" s="10" t="b">
        <v>0</v>
      </c>
      <c r="B10030" s="11" t="str">
        <f>IF(D10030&lt;&gt;"",IF(COUNTIF('USPTO TMs'!A:A,D10030)&gt;0,"Yes","No"),"")</f>
        <v/>
      </c>
      <c r="C10030" s="11"/>
      <c r="D10030" s="11"/>
      <c r="E10030" s="11"/>
      <c r="F10030" s="11"/>
      <c r="G10030" s="11"/>
      <c r="H10030" s="11"/>
      <c r="I10030" s="15"/>
    </row>
    <row r="10031" spans="1:9" ht="16.5">
      <c r="A10031" s="10" t="b">
        <v>0</v>
      </c>
      <c r="B10031" s="11" t="str">
        <f>IF(D10031&lt;&gt;"",IF(COUNTIF('USPTO TMs'!A:A,D10031)&gt;0,"Yes","No"),"")</f>
        <v/>
      </c>
      <c r="C10031" s="11"/>
      <c r="D10031" s="11"/>
      <c r="E10031" s="11"/>
      <c r="F10031" s="11"/>
      <c r="G10031" s="11"/>
      <c r="H10031" s="11"/>
      <c r="I10031" s="15"/>
    </row>
    <row r="10032" spans="1:9" ht="16.5">
      <c r="A10032" s="10" t="b">
        <v>0</v>
      </c>
      <c r="B10032" s="11" t="str">
        <f>IF(D10032&lt;&gt;"",IF(COUNTIF('USPTO TMs'!A:A,D10032)&gt;0,"Yes","No"),"")</f>
        <v/>
      </c>
      <c r="C10032" s="11"/>
      <c r="D10032" s="11"/>
      <c r="E10032" s="11"/>
      <c r="F10032" s="11"/>
      <c r="G10032" s="11"/>
      <c r="H10032" s="11"/>
      <c r="I10032" s="15"/>
    </row>
    <row r="10033" spans="1:9" ht="16.5">
      <c r="A10033" s="10" t="b">
        <v>0</v>
      </c>
      <c r="B10033" s="11" t="str">
        <f>IF(D10033&lt;&gt;"",IF(COUNTIF('USPTO TMs'!A:A,D10033)&gt;0,"Yes","No"),"")</f>
        <v/>
      </c>
      <c r="C10033" s="11"/>
      <c r="D10033" s="11"/>
      <c r="E10033" s="11"/>
      <c r="F10033" s="11"/>
      <c r="G10033" s="11"/>
      <c r="H10033" s="11"/>
      <c r="I10033" s="15"/>
    </row>
    <row r="10034" spans="1:9" ht="16.5">
      <c r="A10034" s="10" t="b">
        <v>0</v>
      </c>
      <c r="B10034" s="11" t="str">
        <f>IF(D10034&lt;&gt;"",IF(COUNTIF('USPTO TMs'!A:A,D10034)&gt;0,"Yes","No"),"")</f>
        <v/>
      </c>
      <c r="C10034" s="11"/>
      <c r="D10034" s="11"/>
      <c r="E10034" s="11"/>
      <c r="F10034" s="11"/>
      <c r="G10034" s="11"/>
      <c r="H10034" s="11"/>
      <c r="I10034" s="15"/>
    </row>
    <row r="10035" spans="1:9" ht="16.5">
      <c r="A10035" s="10" t="b">
        <v>0</v>
      </c>
      <c r="B10035" s="11" t="str">
        <f>IF(D10035&lt;&gt;"",IF(COUNTIF('USPTO TMs'!A:A,D10035)&gt;0,"Yes","No"),"")</f>
        <v/>
      </c>
      <c r="C10035" s="11"/>
      <c r="D10035" s="11"/>
      <c r="E10035" s="11"/>
      <c r="F10035" s="11"/>
      <c r="G10035" s="11"/>
      <c r="H10035" s="11"/>
      <c r="I10035" s="15"/>
    </row>
    <row r="10036" spans="1:9" ht="16.5">
      <c r="A10036" s="10" t="b">
        <v>0</v>
      </c>
      <c r="B10036" s="11" t="str">
        <f>IF(D10036&lt;&gt;"",IF(COUNTIF('USPTO TMs'!A:A,D10036)&gt;0,"Yes","No"),"")</f>
        <v/>
      </c>
      <c r="C10036" s="11"/>
      <c r="D10036" s="11"/>
      <c r="E10036" s="11"/>
      <c r="F10036" s="11"/>
      <c r="G10036" s="11"/>
      <c r="H10036" s="11"/>
      <c r="I10036" s="15"/>
    </row>
    <row r="10037" spans="1:9" ht="16.5">
      <c r="A10037" s="10" t="b">
        <v>0</v>
      </c>
      <c r="B10037" s="11" t="str">
        <f>IF(D10037&lt;&gt;"",IF(COUNTIF('USPTO TMs'!A:A,D10037)&gt;0,"Yes","No"),"")</f>
        <v/>
      </c>
      <c r="C10037" s="11"/>
      <c r="D10037" s="11"/>
      <c r="E10037" s="11"/>
      <c r="F10037" s="11"/>
      <c r="G10037" s="11"/>
      <c r="H10037" s="11"/>
      <c r="I10037" s="15"/>
    </row>
    <row r="10038" spans="1:9" ht="16.5">
      <c r="A10038" s="10" t="b">
        <v>0</v>
      </c>
      <c r="B10038" s="11" t="str">
        <f>IF(D10038&lt;&gt;"",IF(COUNTIF('USPTO TMs'!A:A,D10038)&gt;0,"Yes","No"),"")</f>
        <v/>
      </c>
      <c r="C10038" s="11"/>
      <c r="D10038" s="11"/>
      <c r="E10038" s="11"/>
      <c r="F10038" s="11"/>
      <c r="G10038" s="11"/>
      <c r="H10038" s="11"/>
      <c r="I10038" s="15"/>
    </row>
    <row r="10039" spans="1:9" ht="16.5">
      <c r="A10039" s="10" t="b">
        <v>0</v>
      </c>
      <c r="B10039" s="11" t="str">
        <f>IF(D10039&lt;&gt;"",IF(COUNTIF('USPTO TMs'!A:A,D10039)&gt;0,"Yes","No"),"")</f>
        <v/>
      </c>
      <c r="C10039" s="11"/>
      <c r="D10039" s="11"/>
      <c r="E10039" s="11"/>
      <c r="F10039" s="11"/>
      <c r="G10039" s="11"/>
      <c r="H10039" s="11"/>
      <c r="I10039" s="15"/>
    </row>
    <row r="10040" spans="1:9" ht="16.5">
      <c r="A10040" s="10" t="b">
        <v>0</v>
      </c>
      <c r="B10040" s="11" t="str">
        <f>IF(D10040&lt;&gt;"",IF(COUNTIF('USPTO TMs'!A:A,D10040)&gt;0,"Yes","No"),"")</f>
        <v/>
      </c>
      <c r="C10040" s="11"/>
      <c r="D10040" s="11"/>
      <c r="E10040" s="11"/>
      <c r="F10040" s="11"/>
      <c r="G10040" s="11"/>
      <c r="H10040" s="11"/>
      <c r="I10040" s="15"/>
    </row>
    <row r="10041" spans="1:9" ht="16.5">
      <c r="A10041" s="10" t="b">
        <v>0</v>
      </c>
      <c r="B10041" s="11" t="str">
        <f>IF(D10041&lt;&gt;"",IF(COUNTIF('USPTO TMs'!A:A,D10041)&gt;0,"Yes","No"),"")</f>
        <v/>
      </c>
      <c r="C10041" s="11"/>
      <c r="D10041" s="11"/>
      <c r="E10041" s="11"/>
      <c r="F10041" s="11"/>
      <c r="G10041" s="11"/>
      <c r="H10041" s="11"/>
      <c r="I10041" s="15"/>
    </row>
    <row r="10042" spans="1:9" ht="16.5">
      <c r="A10042" s="10" t="b">
        <v>0</v>
      </c>
      <c r="B10042" s="11" t="str">
        <f>IF(D10042&lt;&gt;"",IF(COUNTIF('USPTO TMs'!A:A,D10042)&gt;0,"Yes","No"),"")</f>
        <v/>
      </c>
      <c r="C10042" s="11"/>
      <c r="D10042" s="11"/>
      <c r="E10042" s="11"/>
      <c r="F10042" s="11"/>
      <c r="G10042" s="11"/>
      <c r="H10042" s="11"/>
      <c r="I10042" s="15"/>
    </row>
    <row r="10043" spans="1:9" ht="16.5">
      <c r="A10043" s="10" t="b">
        <v>0</v>
      </c>
      <c r="B10043" s="11" t="str">
        <f>IF(D10043&lt;&gt;"",IF(COUNTIF('USPTO TMs'!A:A,D10043)&gt;0,"Yes","No"),"")</f>
        <v/>
      </c>
      <c r="C10043" s="11"/>
      <c r="D10043" s="11"/>
      <c r="E10043" s="11"/>
      <c r="F10043" s="11"/>
      <c r="G10043" s="11"/>
      <c r="H10043" s="11"/>
      <c r="I10043" s="15"/>
    </row>
    <row r="10044" spans="1:9" ht="16.5">
      <c r="A10044" s="10" t="b">
        <v>0</v>
      </c>
      <c r="B10044" s="11" t="str">
        <f>IF(D10044&lt;&gt;"",IF(COUNTIF('USPTO TMs'!A:A,D10044)&gt;0,"Yes","No"),"")</f>
        <v/>
      </c>
      <c r="C10044" s="11"/>
      <c r="D10044" s="11"/>
      <c r="E10044" s="11"/>
      <c r="F10044" s="11"/>
      <c r="G10044" s="11"/>
      <c r="H10044" s="11"/>
      <c r="I10044" s="15"/>
    </row>
    <row r="10045" spans="1:9" ht="16.5">
      <c r="A10045" s="10" t="b">
        <v>0</v>
      </c>
      <c r="B10045" s="11" t="str">
        <f>IF(D10045&lt;&gt;"",IF(COUNTIF('USPTO TMs'!A:A,D10045)&gt;0,"Yes","No"),"")</f>
        <v/>
      </c>
      <c r="C10045" s="11"/>
      <c r="D10045" s="11"/>
      <c r="E10045" s="11"/>
      <c r="F10045" s="11"/>
      <c r="G10045" s="11"/>
      <c r="H10045" s="11"/>
      <c r="I10045" s="15"/>
    </row>
    <row r="10046" spans="1:9" ht="16.5">
      <c r="A10046" s="10" t="b">
        <v>0</v>
      </c>
      <c r="B10046" s="11" t="str">
        <f>IF(D10046&lt;&gt;"",IF(COUNTIF('USPTO TMs'!A:A,D10046)&gt;0,"Yes","No"),"")</f>
        <v/>
      </c>
      <c r="C10046" s="11"/>
      <c r="D10046" s="11"/>
      <c r="E10046" s="11"/>
      <c r="F10046" s="11"/>
      <c r="G10046" s="11"/>
      <c r="H10046" s="11"/>
      <c r="I10046" s="15"/>
    </row>
    <row r="10047" spans="1:9" ht="16.5">
      <c r="A10047" s="10" t="b">
        <v>0</v>
      </c>
      <c r="B10047" s="11" t="str">
        <f>IF(D10047&lt;&gt;"",IF(COUNTIF('USPTO TMs'!A:A,D10047)&gt;0,"Yes","No"),"")</f>
        <v/>
      </c>
      <c r="C10047" s="11"/>
      <c r="D10047" s="11"/>
      <c r="E10047" s="11"/>
      <c r="F10047" s="11"/>
      <c r="G10047" s="11"/>
      <c r="H10047" s="11"/>
      <c r="I10047" s="15"/>
    </row>
    <row r="10048" spans="1:9" ht="16.5">
      <c r="A10048" s="10" t="b">
        <v>0</v>
      </c>
      <c r="B10048" s="11" t="str">
        <f>IF(D10048&lt;&gt;"",IF(COUNTIF('USPTO TMs'!A:A,D10048)&gt;0,"Yes","No"),"")</f>
        <v/>
      </c>
      <c r="C10048" s="11"/>
      <c r="D10048" s="11"/>
      <c r="E10048" s="11"/>
      <c r="F10048" s="11"/>
      <c r="G10048" s="11"/>
      <c r="H10048" s="11"/>
      <c r="I10048" s="15"/>
    </row>
    <row r="10049" spans="1:9" ht="16.5">
      <c r="A10049" s="10" t="b">
        <v>0</v>
      </c>
      <c r="B10049" s="11" t="str">
        <f>IF(D10049&lt;&gt;"",IF(COUNTIF('USPTO TMs'!A:A,D10049)&gt;0,"Yes","No"),"")</f>
        <v/>
      </c>
      <c r="C10049" s="11"/>
      <c r="D10049" s="11"/>
      <c r="E10049" s="11"/>
      <c r="F10049" s="11"/>
      <c r="G10049" s="11"/>
      <c r="H10049" s="11"/>
      <c r="I10049" s="15"/>
    </row>
    <row r="10050" spans="1:9" ht="16.5">
      <c r="A10050" s="10" t="b">
        <v>0</v>
      </c>
      <c r="B10050" s="11" t="str">
        <f>IF(D10050&lt;&gt;"",IF(COUNTIF('USPTO TMs'!A:A,D10050)&gt;0,"Yes","No"),"")</f>
        <v/>
      </c>
      <c r="C10050" s="11"/>
      <c r="D10050" s="11"/>
      <c r="E10050" s="11"/>
      <c r="F10050" s="11"/>
      <c r="G10050" s="11"/>
      <c r="H10050" s="11"/>
      <c r="I10050" s="15"/>
    </row>
    <row r="10051" spans="1:9" ht="16.5">
      <c r="A10051" s="10" t="b">
        <v>0</v>
      </c>
      <c r="B10051" s="11" t="str">
        <f>IF(D10051&lt;&gt;"",IF(COUNTIF('USPTO TMs'!A:A,D10051)&gt;0,"Yes","No"),"")</f>
        <v/>
      </c>
      <c r="C10051" s="11"/>
      <c r="D10051" s="11"/>
      <c r="E10051" s="11"/>
      <c r="F10051" s="11"/>
      <c r="G10051" s="11"/>
      <c r="H10051" s="11"/>
      <c r="I10051" s="15"/>
    </row>
    <row r="10052" spans="1:9" ht="16.5">
      <c r="A10052" s="10" t="b">
        <v>0</v>
      </c>
      <c r="B10052" s="11" t="str">
        <f>IF(D10052&lt;&gt;"",IF(COUNTIF('USPTO TMs'!A:A,D10052)&gt;0,"Yes","No"),"")</f>
        <v/>
      </c>
      <c r="C10052" s="11"/>
      <c r="D10052" s="11"/>
      <c r="E10052" s="11"/>
      <c r="F10052" s="11"/>
      <c r="G10052" s="11"/>
      <c r="H10052" s="11"/>
      <c r="I10052" s="15"/>
    </row>
    <row r="10053" spans="1:9" ht="16.5">
      <c r="A10053" s="10" t="b">
        <v>0</v>
      </c>
      <c r="B10053" s="11" t="str">
        <f>IF(D10053&lt;&gt;"",IF(COUNTIF('USPTO TMs'!A:A,D10053)&gt;0,"Yes","No"),"")</f>
        <v/>
      </c>
      <c r="C10053" s="11"/>
      <c r="D10053" s="11"/>
      <c r="E10053" s="11"/>
      <c r="F10053" s="11"/>
      <c r="G10053" s="11"/>
      <c r="H10053" s="11"/>
      <c r="I10053" s="15"/>
    </row>
    <row r="10054" spans="1:9" ht="16.5">
      <c r="A10054" s="10" t="b">
        <v>0</v>
      </c>
      <c r="B10054" s="11" t="str">
        <f>IF(D10054&lt;&gt;"",IF(COUNTIF('USPTO TMs'!A:A,D10054)&gt;0,"Yes","No"),"")</f>
        <v/>
      </c>
      <c r="C10054" s="11"/>
      <c r="D10054" s="11"/>
      <c r="E10054" s="11"/>
      <c r="F10054" s="11"/>
      <c r="G10054" s="11"/>
      <c r="H10054" s="11"/>
      <c r="I10054" s="15"/>
    </row>
    <row r="10055" spans="1:9" ht="16.5">
      <c r="A10055" s="10" t="b">
        <v>0</v>
      </c>
      <c r="B10055" s="11" t="str">
        <f>IF(D10055&lt;&gt;"",IF(COUNTIF('USPTO TMs'!A:A,D10055)&gt;0,"Yes","No"),"")</f>
        <v/>
      </c>
      <c r="C10055" s="11"/>
      <c r="D10055" s="11"/>
      <c r="E10055" s="11"/>
      <c r="F10055" s="11"/>
      <c r="G10055" s="11"/>
      <c r="H10055" s="11"/>
      <c r="I10055" s="15"/>
    </row>
    <row r="10056" spans="1:9" ht="16.5">
      <c r="A10056" s="10" t="b">
        <v>0</v>
      </c>
      <c r="B10056" s="11" t="str">
        <f>IF(D10056&lt;&gt;"",IF(COUNTIF('USPTO TMs'!A:A,D10056)&gt;0,"Yes","No"),"")</f>
        <v/>
      </c>
      <c r="C10056" s="11"/>
      <c r="D10056" s="11"/>
      <c r="E10056" s="11"/>
      <c r="F10056" s="11"/>
      <c r="G10056" s="11"/>
      <c r="H10056" s="11"/>
      <c r="I10056" s="15"/>
    </row>
    <row r="10057" spans="1:9" ht="16.5">
      <c r="A10057" s="10" t="b">
        <v>0</v>
      </c>
      <c r="B10057" s="11" t="str">
        <f>IF(D10057&lt;&gt;"",IF(COUNTIF('USPTO TMs'!A:A,D10057)&gt;0,"Yes","No"),"")</f>
        <v/>
      </c>
      <c r="C10057" s="11"/>
      <c r="D10057" s="11"/>
      <c r="E10057" s="11"/>
      <c r="F10057" s="11"/>
      <c r="G10057" s="11"/>
      <c r="H10057" s="11"/>
      <c r="I10057" s="15"/>
    </row>
    <row r="10058" spans="1:9" ht="16.5">
      <c r="A10058" s="10" t="b">
        <v>0</v>
      </c>
      <c r="B10058" s="11" t="str">
        <f>IF(D10058&lt;&gt;"",IF(COUNTIF('USPTO TMs'!A:A,D10058)&gt;0,"Yes","No"),"")</f>
        <v/>
      </c>
      <c r="C10058" s="11"/>
      <c r="D10058" s="11"/>
      <c r="E10058" s="11"/>
      <c r="F10058" s="11"/>
      <c r="G10058" s="11"/>
      <c r="H10058" s="11"/>
      <c r="I10058" s="15"/>
    </row>
    <row r="10059" spans="1:9" ht="16.5">
      <c r="A10059" s="10" t="b">
        <v>0</v>
      </c>
      <c r="B10059" s="11" t="str">
        <f>IF(D10059&lt;&gt;"",IF(COUNTIF('USPTO TMs'!A:A,D10059)&gt;0,"Yes","No"),"")</f>
        <v/>
      </c>
      <c r="C10059" s="11"/>
      <c r="D10059" s="11"/>
      <c r="E10059" s="11"/>
      <c r="F10059" s="11"/>
      <c r="G10059" s="11"/>
      <c r="H10059" s="11"/>
      <c r="I10059" s="15"/>
    </row>
    <row r="10060" spans="1:9" ht="16.5">
      <c r="A10060" s="10" t="b">
        <v>0</v>
      </c>
      <c r="B10060" s="11" t="str">
        <f>IF(D10060&lt;&gt;"",IF(COUNTIF('USPTO TMs'!A:A,D10060)&gt;0,"Yes","No"),"")</f>
        <v/>
      </c>
      <c r="C10060" s="11"/>
      <c r="D10060" s="11"/>
      <c r="E10060" s="11"/>
      <c r="F10060" s="11"/>
      <c r="G10060" s="11"/>
      <c r="H10060" s="11"/>
      <c r="I10060" s="15"/>
    </row>
    <row r="10061" spans="1:9" ht="16.5">
      <c r="A10061" s="10" t="b">
        <v>0</v>
      </c>
      <c r="B10061" s="11" t="str">
        <f>IF(D10061&lt;&gt;"",IF(COUNTIF('USPTO TMs'!A:A,D10061)&gt;0,"Yes","No"),"")</f>
        <v/>
      </c>
      <c r="C10061" s="11"/>
      <c r="D10061" s="11"/>
      <c r="E10061" s="11"/>
      <c r="F10061" s="11"/>
      <c r="G10061" s="11"/>
      <c r="H10061" s="11"/>
      <c r="I10061" s="15"/>
    </row>
    <row r="10062" spans="1:9" ht="16.5">
      <c r="A10062" s="10" t="b">
        <v>0</v>
      </c>
      <c r="B10062" s="11" t="str">
        <f>IF(D10062&lt;&gt;"",IF(COUNTIF('USPTO TMs'!A:A,D10062)&gt;0,"Yes","No"),"")</f>
        <v/>
      </c>
      <c r="C10062" s="11"/>
      <c r="D10062" s="11"/>
      <c r="E10062" s="11"/>
      <c r="F10062" s="11"/>
      <c r="G10062" s="11"/>
      <c r="H10062" s="11"/>
      <c r="I10062" s="15"/>
    </row>
    <row r="10063" spans="1:9" ht="16.5">
      <c r="A10063" s="10" t="b">
        <v>0</v>
      </c>
      <c r="B10063" s="11" t="str">
        <f>IF(D10063&lt;&gt;"",IF(COUNTIF('USPTO TMs'!A:A,D10063)&gt;0,"Yes","No"),"")</f>
        <v/>
      </c>
      <c r="C10063" s="11"/>
      <c r="D10063" s="11"/>
      <c r="E10063" s="11"/>
      <c r="F10063" s="11"/>
      <c r="G10063" s="11"/>
      <c r="H10063" s="11"/>
      <c r="I10063" s="15"/>
    </row>
    <row r="10064" spans="1:9" ht="16.5">
      <c r="A10064" s="10" t="b">
        <v>0</v>
      </c>
      <c r="B10064" s="11" t="str">
        <f>IF(D10064&lt;&gt;"",IF(COUNTIF('USPTO TMs'!A:A,D10064)&gt;0,"Yes","No"),"")</f>
        <v/>
      </c>
      <c r="C10064" s="11"/>
      <c r="D10064" s="11"/>
      <c r="E10064" s="11"/>
      <c r="F10064" s="11"/>
      <c r="G10064" s="11"/>
      <c r="H10064" s="11"/>
      <c r="I10064" s="15"/>
    </row>
    <row r="10065" spans="1:9" ht="16.5">
      <c r="A10065" s="10" t="b">
        <v>0</v>
      </c>
      <c r="B10065" s="11" t="str">
        <f>IF(D10065&lt;&gt;"",IF(COUNTIF('USPTO TMs'!A:A,D10065)&gt;0,"Yes","No"),"")</f>
        <v/>
      </c>
      <c r="C10065" s="11"/>
      <c r="D10065" s="11"/>
      <c r="E10065" s="11"/>
      <c r="F10065" s="11"/>
      <c r="G10065" s="11"/>
      <c r="H10065" s="11"/>
      <c r="I10065" s="15"/>
    </row>
    <row r="10066" spans="1:9" ht="16.5">
      <c r="A10066" s="10" t="b">
        <v>0</v>
      </c>
      <c r="B10066" s="11" t="str">
        <f>IF(D10066&lt;&gt;"",IF(COUNTIF('USPTO TMs'!A:A,D10066)&gt;0,"Yes","No"),"")</f>
        <v/>
      </c>
      <c r="C10066" s="11"/>
      <c r="D10066" s="11"/>
      <c r="E10066" s="11"/>
      <c r="F10066" s="11"/>
      <c r="G10066" s="11"/>
      <c r="H10066" s="11"/>
      <c r="I10066" s="15"/>
    </row>
    <row r="10067" spans="1:9" ht="16.5">
      <c r="A10067" s="10" t="b">
        <v>0</v>
      </c>
      <c r="B10067" s="11" t="str">
        <f>IF(D10067&lt;&gt;"",IF(COUNTIF('USPTO TMs'!A:A,D10067)&gt;0,"Yes","No"),"")</f>
        <v/>
      </c>
      <c r="C10067" s="11"/>
      <c r="D10067" s="11"/>
      <c r="E10067" s="11"/>
      <c r="F10067" s="11"/>
      <c r="G10067" s="11"/>
      <c r="H10067" s="11"/>
      <c r="I10067" s="15"/>
    </row>
    <row r="10068" spans="1:9" ht="16.5">
      <c r="A10068" s="10" t="b">
        <v>0</v>
      </c>
      <c r="B10068" s="11" t="str">
        <f>IF(D10068&lt;&gt;"",IF(COUNTIF('USPTO TMs'!A:A,D10068)&gt;0,"Yes","No"),"")</f>
        <v/>
      </c>
      <c r="C10068" s="11"/>
      <c r="D10068" s="11"/>
      <c r="E10068" s="11"/>
      <c r="F10068" s="11"/>
      <c r="G10068" s="11"/>
      <c r="H10068" s="11"/>
      <c r="I10068" s="15"/>
    </row>
    <row r="10069" spans="1:9" ht="16.5">
      <c r="A10069" s="10" t="b">
        <v>0</v>
      </c>
      <c r="B10069" s="11" t="str">
        <f>IF(D10069&lt;&gt;"",IF(COUNTIF('USPTO TMs'!A:A,D10069)&gt;0,"Yes","No"),"")</f>
        <v/>
      </c>
      <c r="C10069" s="11"/>
      <c r="D10069" s="11"/>
      <c r="E10069" s="11"/>
      <c r="F10069" s="11"/>
      <c r="G10069" s="11"/>
      <c r="H10069" s="11"/>
      <c r="I10069" s="15"/>
    </row>
    <row r="10070" spans="1:9" ht="16.5">
      <c r="A10070" s="10" t="b">
        <v>0</v>
      </c>
      <c r="B10070" s="11" t="str">
        <f>IF(D10070&lt;&gt;"",IF(COUNTIF('USPTO TMs'!A:A,D10070)&gt;0,"Yes","No"),"")</f>
        <v/>
      </c>
      <c r="C10070" s="11"/>
      <c r="D10070" s="11"/>
      <c r="E10070" s="11"/>
      <c r="F10070" s="11"/>
      <c r="G10070" s="11"/>
      <c r="H10070" s="11"/>
      <c r="I10070" s="15"/>
    </row>
    <row r="10071" spans="1:9" ht="16.5">
      <c r="A10071" s="10" t="b">
        <v>0</v>
      </c>
      <c r="B10071" s="11" t="str">
        <f>IF(D10071&lt;&gt;"",IF(COUNTIF('USPTO TMs'!A:A,D10071)&gt;0,"Yes","No"),"")</f>
        <v/>
      </c>
      <c r="C10071" s="11"/>
      <c r="D10071" s="11"/>
      <c r="E10071" s="11"/>
      <c r="F10071" s="11"/>
      <c r="G10071" s="11"/>
      <c r="H10071" s="11"/>
      <c r="I10071" s="15"/>
    </row>
    <row r="10072" spans="1:9" ht="16.5">
      <c r="A10072" s="10" t="b">
        <v>0</v>
      </c>
      <c r="B10072" s="11" t="str">
        <f>IF(D10072&lt;&gt;"",IF(COUNTIF('USPTO TMs'!A:A,D10072)&gt;0,"Yes","No"),"")</f>
        <v/>
      </c>
      <c r="C10072" s="11"/>
      <c r="D10072" s="11"/>
      <c r="E10072" s="11"/>
      <c r="F10072" s="11"/>
      <c r="G10072" s="11"/>
      <c r="H10072" s="11"/>
      <c r="I10072" s="15"/>
    </row>
    <row r="10073" spans="1:9" ht="16.5">
      <c r="A10073" s="10" t="b">
        <v>0</v>
      </c>
      <c r="B10073" s="11" t="str">
        <f>IF(D10073&lt;&gt;"",IF(COUNTIF('USPTO TMs'!A:A,D10073)&gt;0,"Yes","No"),"")</f>
        <v/>
      </c>
      <c r="C10073" s="11"/>
      <c r="D10073" s="11"/>
      <c r="E10073" s="11"/>
      <c r="F10073" s="11"/>
      <c r="G10073" s="11"/>
      <c r="H10073" s="11"/>
      <c r="I10073" s="15"/>
    </row>
    <row r="10074" spans="1:9" ht="16.5">
      <c r="A10074" s="10" t="b">
        <v>0</v>
      </c>
      <c r="B10074" s="11" t="str">
        <f>IF(D10074&lt;&gt;"",IF(COUNTIF('USPTO TMs'!A:A,D10074)&gt;0,"Yes","No"),"")</f>
        <v/>
      </c>
      <c r="C10074" s="11"/>
      <c r="D10074" s="11"/>
      <c r="E10074" s="11"/>
      <c r="F10074" s="11"/>
      <c r="G10074" s="11"/>
      <c r="H10074" s="11"/>
      <c r="I10074" s="15"/>
    </row>
    <row r="10075" spans="1:9" ht="16.5">
      <c r="A10075" s="10" t="b">
        <v>0</v>
      </c>
      <c r="B10075" s="11" t="str">
        <f>IF(D10075&lt;&gt;"",IF(COUNTIF('USPTO TMs'!A:A,D10075)&gt;0,"Yes","No"),"")</f>
        <v/>
      </c>
      <c r="C10075" s="11"/>
      <c r="D10075" s="11"/>
      <c r="E10075" s="11"/>
      <c r="F10075" s="11"/>
      <c r="G10075" s="11"/>
      <c r="H10075" s="11"/>
      <c r="I10075" s="15"/>
    </row>
    <row r="10076" spans="1:9" ht="16.5">
      <c r="A10076" s="10" t="b">
        <v>0</v>
      </c>
      <c r="B10076" s="11" t="str">
        <f>IF(D10076&lt;&gt;"",IF(COUNTIF('USPTO TMs'!A:A,D10076)&gt;0,"Yes","No"),"")</f>
        <v/>
      </c>
      <c r="C10076" s="11"/>
      <c r="D10076" s="11"/>
      <c r="E10076" s="11"/>
      <c r="F10076" s="11"/>
      <c r="G10076" s="11"/>
      <c r="H10076" s="11"/>
      <c r="I10076" s="15"/>
    </row>
    <row r="10077" spans="1:9" ht="16.5">
      <c r="A10077" s="10" t="b">
        <v>0</v>
      </c>
      <c r="B10077" s="11" t="str">
        <f>IF(D10077&lt;&gt;"",IF(COUNTIF('USPTO TMs'!A:A,D10077)&gt;0,"Yes","No"),"")</f>
        <v/>
      </c>
      <c r="C10077" s="11"/>
      <c r="D10077" s="11"/>
      <c r="E10077" s="11"/>
      <c r="F10077" s="11"/>
      <c r="G10077" s="11"/>
      <c r="H10077" s="11"/>
      <c r="I10077" s="15"/>
    </row>
    <row r="10078" spans="1:9" ht="16.5">
      <c r="A10078" s="10" t="b">
        <v>0</v>
      </c>
      <c r="B10078" s="11" t="str">
        <f>IF(D10078&lt;&gt;"",IF(COUNTIF('USPTO TMs'!A:A,D10078)&gt;0,"Yes","No"),"")</f>
        <v/>
      </c>
      <c r="C10078" s="11"/>
      <c r="D10078" s="11"/>
      <c r="E10078" s="11"/>
      <c r="F10078" s="11"/>
      <c r="G10078" s="11"/>
      <c r="H10078" s="11"/>
      <c r="I10078" s="15"/>
    </row>
    <row r="10079" spans="1:9" ht="16.5">
      <c r="A10079" s="10" t="b">
        <v>0</v>
      </c>
      <c r="B10079" s="11" t="str">
        <f>IF(D10079&lt;&gt;"",IF(COUNTIF('USPTO TMs'!A:A,D10079)&gt;0,"Yes","No"),"")</f>
        <v/>
      </c>
      <c r="C10079" s="11"/>
      <c r="D10079" s="11"/>
      <c r="E10079" s="11"/>
      <c r="F10079" s="11"/>
      <c r="G10079" s="11"/>
      <c r="H10079" s="11"/>
      <c r="I10079" s="15"/>
    </row>
    <row r="10080" spans="1:9" ht="16.5">
      <c r="A10080" s="10" t="b">
        <v>0</v>
      </c>
      <c r="B10080" s="11" t="str">
        <f>IF(D10080&lt;&gt;"",IF(COUNTIF('USPTO TMs'!A:A,D10080)&gt;0,"Yes","No"),"")</f>
        <v/>
      </c>
      <c r="C10080" s="11"/>
      <c r="D10080" s="11"/>
      <c r="E10080" s="11"/>
      <c r="F10080" s="11"/>
      <c r="G10080" s="11"/>
      <c r="H10080" s="11"/>
      <c r="I10080" s="15"/>
    </row>
    <row r="10081" spans="1:9" ht="16.5">
      <c r="A10081" s="10" t="b">
        <v>0</v>
      </c>
      <c r="B10081" s="11" t="str">
        <f>IF(D10081&lt;&gt;"",IF(COUNTIF('USPTO TMs'!A:A,D10081)&gt;0,"Yes","No"),"")</f>
        <v/>
      </c>
      <c r="C10081" s="11"/>
      <c r="D10081" s="11"/>
      <c r="E10081" s="11"/>
      <c r="F10081" s="11"/>
      <c r="G10081" s="11"/>
      <c r="H10081" s="11"/>
      <c r="I10081" s="15"/>
    </row>
    <row r="10082" spans="1:9" ht="16.5">
      <c r="A10082" s="10" t="b">
        <v>0</v>
      </c>
      <c r="B10082" s="11" t="str">
        <f>IF(D10082&lt;&gt;"",IF(COUNTIF('USPTO TMs'!A:A,D10082)&gt;0,"Yes","No"),"")</f>
        <v/>
      </c>
      <c r="C10082" s="11"/>
      <c r="D10082" s="11"/>
      <c r="E10082" s="11"/>
      <c r="F10082" s="11"/>
      <c r="G10082" s="11"/>
      <c r="H10082" s="11"/>
      <c r="I10082" s="15"/>
    </row>
    <row r="10083" spans="1:9" ht="16.5">
      <c r="A10083" s="10" t="b">
        <v>0</v>
      </c>
      <c r="B10083" s="11" t="str">
        <f>IF(D10083&lt;&gt;"",IF(COUNTIF('USPTO TMs'!A:A,D10083)&gt;0,"Yes","No"),"")</f>
        <v/>
      </c>
      <c r="C10083" s="11"/>
      <c r="D10083" s="11"/>
      <c r="E10083" s="11"/>
      <c r="F10083" s="11"/>
      <c r="G10083" s="11"/>
      <c r="H10083" s="11"/>
      <c r="I10083" s="15"/>
    </row>
    <row r="10084" spans="1:9" ht="16.5">
      <c r="A10084" s="10" t="b">
        <v>0</v>
      </c>
      <c r="B10084" s="11" t="str">
        <f>IF(D10084&lt;&gt;"",IF(COUNTIF('USPTO TMs'!A:A,D10084)&gt;0,"Yes","No"),"")</f>
        <v/>
      </c>
      <c r="C10084" s="11"/>
      <c r="D10084" s="11"/>
      <c r="E10084" s="11"/>
      <c r="F10084" s="11"/>
      <c r="G10084" s="11"/>
      <c r="H10084" s="11"/>
      <c r="I10084" s="15"/>
    </row>
    <row r="10085" spans="1:9" ht="16.5">
      <c r="A10085" s="10" t="b">
        <v>0</v>
      </c>
      <c r="B10085" s="11" t="str">
        <f>IF(D10085&lt;&gt;"",IF(COUNTIF('USPTO TMs'!A:A,D10085)&gt;0,"Yes","No"),"")</f>
        <v/>
      </c>
      <c r="C10085" s="11"/>
      <c r="D10085" s="11"/>
      <c r="E10085" s="11"/>
      <c r="F10085" s="11"/>
      <c r="G10085" s="11"/>
      <c r="H10085" s="11"/>
      <c r="I10085" s="15"/>
    </row>
    <row r="10086" spans="1:9" ht="16.5">
      <c r="A10086" s="10" t="b">
        <v>0</v>
      </c>
      <c r="B10086" s="11" t="str">
        <f>IF(D10086&lt;&gt;"",IF(COUNTIF('USPTO TMs'!A:A,D10086)&gt;0,"Yes","No"),"")</f>
        <v/>
      </c>
      <c r="C10086" s="11"/>
      <c r="D10086" s="11"/>
      <c r="E10086" s="11"/>
      <c r="F10086" s="11"/>
      <c r="G10086" s="11"/>
      <c r="H10086" s="11"/>
      <c r="I10086" s="15"/>
    </row>
    <row r="10087" spans="1:9" ht="16.5">
      <c r="A10087" s="10" t="b">
        <v>0</v>
      </c>
      <c r="B10087" s="11" t="str">
        <f>IF(D10087&lt;&gt;"",IF(COUNTIF('USPTO TMs'!A:A,D10087)&gt;0,"Yes","No"),"")</f>
        <v/>
      </c>
      <c r="C10087" s="11"/>
      <c r="D10087" s="11"/>
      <c r="E10087" s="11"/>
      <c r="F10087" s="11"/>
      <c r="G10087" s="11"/>
      <c r="H10087" s="11"/>
      <c r="I10087" s="15"/>
    </row>
    <row r="10088" spans="1:9" ht="16.5">
      <c r="A10088" s="10" t="b">
        <v>0</v>
      </c>
      <c r="B10088" s="11" t="str">
        <f>IF(D10088&lt;&gt;"",IF(COUNTIF('USPTO TMs'!A:A,D10088)&gt;0,"Yes","No"),"")</f>
        <v/>
      </c>
      <c r="C10088" s="11"/>
      <c r="D10088" s="11"/>
      <c r="E10088" s="11"/>
      <c r="F10088" s="11"/>
      <c r="G10088" s="11"/>
      <c r="H10088" s="11"/>
      <c r="I10088" s="15"/>
    </row>
    <row r="10089" spans="1:9" ht="16.5">
      <c r="A10089" s="10" t="b">
        <v>0</v>
      </c>
      <c r="B10089" s="11" t="str">
        <f>IF(D10089&lt;&gt;"",IF(COUNTIF('USPTO TMs'!A:A,D10089)&gt;0,"Yes","No"),"")</f>
        <v/>
      </c>
      <c r="C10089" s="11"/>
      <c r="D10089" s="11"/>
      <c r="E10089" s="11"/>
      <c r="F10089" s="11"/>
      <c r="G10089" s="11"/>
      <c r="H10089" s="11"/>
      <c r="I10089" s="15"/>
    </row>
    <row r="10090" spans="1:9" ht="16.5">
      <c r="A10090" s="10" t="b">
        <v>0</v>
      </c>
      <c r="B10090" s="11" t="str">
        <f>IF(D10090&lt;&gt;"",IF(COUNTIF('USPTO TMs'!A:A,D10090)&gt;0,"Yes","No"),"")</f>
        <v/>
      </c>
      <c r="C10090" s="11"/>
      <c r="D10090" s="11"/>
      <c r="E10090" s="11"/>
      <c r="F10090" s="11"/>
      <c r="G10090" s="11"/>
      <c r="H10090" s="11"/>
      <c r="I10090" s="15"/>
    </row>
    <row r="10091" spans="1:9" ht="16.5">
      <c r="A10091" s="10" t="b">
        <v>0</v>
      </c>
      <c r="B10091" s="11" t="str">
        <f>IF(D10091&lt;&gt;"",IF(COUNTIF('USPTO TMs'!A:A,D10091)&gt;0,"Yes","No"),"")</f>
        <v/>
      </c>
      <c r="C10091" s="11"/>
      <c r="D10091" s="11"/>
      <c r="E10091" s="11"/>
      <c r="F10091" s="11"/>
      <c r="G10091" s="11"/>
      <c r="H10091" s="11"/>
      <c r="I10091" s="15"/>
    </row>
    <row r="10092" spans="1:9" ht="16.5">
      <c r="A10092" s="10" t="b">
        <v>0</v>
      </c>
      <c r="B10092" s="11" t="str">
        <f>IF(D10092&lt;&gt;"",IF(COUNTIF('USPTO TMs'!A:A,D10092)&gt;0,"Yes","No"),"")</f>
        <v/>
      </c>
      <c r="C10092" s="11"/>
      <c r="D10092" s="11"/>
      <c r="E10092" s="11"/>
      <c r="F10092" s="11"/>
      <c r="G10092" s="11"/>
      <c r="H10092" s="11"/>
      <c r="I10092" s="15"/>
    </row>
    <row r="10093" spans="1:9" ht="16.5">
      <c r="A10093" s="10" t="b">
        <v>0</v>
      </c>
      <c r="B10093" s="11" t="str">
        <f>IF(D10093&lt;&gt;"",IF(COUNTIF('USPTO TMs'!A:A,D10093)&gt;0,"Yes","No"),"")</f>
        <v/>
      </c>
      <c r="C10093" s="11"/>
      <c r="D10093" s="11"/>
      <c r="E10093" s="11"/>
      <c r="F10093" s="11"/>
      <c r="G10093" s="11"/>
      <c r="H10093" s="11"/>
      <c r="I10093" s="15"/>
    </row>
    <row r="10094" spans="1:9" ht="16.5">
      <c r="A10094" s="10" t="b">
        <v>0</v>
      </c>
      <c r="B10094" s="11" t="str">
        <f>IF(D10094&lt;&gt;"",IF(COUNTIF('USPTO TMs'!A:A,D10094)&gt;0,"Yes","No"),"")</f>
        <v/>
      </c>
      <c r="C10094" s="11"/>
      <c r="D10094" s="11"/>
      <c r="E10094" s="11"/>
      <c r="F10094" s="11"/>
      <c r="G10094" s="11"/>
      <c r="H10094" s="11"/>
      <c r="I10094" s="15"/>
    </row>
    <row r="10095" spans="1:9" ht="16.5">
      <c r="A10095" s="10" t="b">
        <v>0</v>
      </c>
      <c r="B10095" s="11" t="str">
        <f>IF(D10095&lt;&gt;"",IF(COUNTIF('USPTO TMs'!A:A,D10095)&gt;0,"Yes","No"),"")</f>
        <v/>
      </c>
      <c r="C10095" s="11"/>
      <c r="D10095" s="11"/>
      <c r="E10095" s="11"/>
      <c r="F10095" s="11"/>
      <c r="G10095" s="11"/>
      <c r="H10095" s="11"/>
      <c r="I10095" s="15"/>
    </row>
    <row r="10096" spans="1:9" ht="16.5">
      <c r="A10096" s="10" t="b">
        <v>0</v>
      </c>
      <c r="B10096" s="11" t="str">
        <f>IF(D10096&lt;&gt;"",IF(COUNTIF('USPTO TMs'!A:A,D10096)&gt;0,"Yes","No"),"")</f>
        <v/>
      </c>
      <c r="C10096" s="11"/>
      <c r="D10096" s="11"/>
      <c r="E10096" s="11"/>
      <c r="F10096" s="11"/>
      <c r="G10096" s="11"/>
      <c r="H10096" s="11"/>
      <c r="I10096" s="15"/>
    </row>
    <row r="10097" spans="1:9" ht="16.5">
      <c r="A10097" s="10" t="b">
        <v>0</v>
      </c>
      <c r="B10097" s="11" t="str">
        <f>IF(D10097&lt;&gt;"",IF(COUNTIF('USPTO TMs'!A:A,D10097)&gt;0,"Yes","No"),"")</f>
        <v/>
      </c>
      <c r="C10097" s="11"/>
      <c r="D10097" s="11"/>
      <c r="E10097" s="11"/>
      <c r="F10097" s="11"/>
      <c r="G10097" s="11"/>
      <c r="H10097" s="11"/>
      <c r="I10097" s="15"/>
    </row>
    <row r="10098" spans="1:9" ht="16.5">
      <c r="A10098" s="10" t="b">
        <v>0</v>
      </c>
      <c r="B10098" s="11" t="str">
        <f>IF(D10098&lt;&gt;"",IF(COUNTIF('USPTO TMs'!A:A,D10098)&gt;0,"Yes","No"),"")</f>
        <v/>
      </c>
      <c r="C10098" s="11"/>
      <c r="D10098" s="11"/>
      <c r="E10098" s="11"/>
      <c r="F10098" s="11"/>
      <c r="G10098" s="11"/>
      <c r="H10098" s="11"/>
      <c r="I10098" s="15"/>
    </row>
    <row r="10099" spans="1:9" ht="16.5">
      <c r="A10099" s="10" t="b">
        <v>0</v>
      </c>
      <c r="B10099" s="11" t="str">
        <f>IF(D10099&lt;&gt;"",IF(COUNTIF('USPTO TMs'!A:A,D10099)&gt;0,"Yes","No"),"")</f>
        <v/>
      </c>
      <c r="C10099" s="11"/>
      <c r="D10099" s="11"/>
      <c r="E10099" s="11"/>
      <c r="F10099" s="11"/>
      <c r="G10099" s="11"/>
      <c r="H10099" s="11"/>
      <c r="I10099" s="15"/>
    </row>
    <row r="10100" spans="1:9" ht="16.5">
      <c r="A10100" s="10" t="b">
        <v>0</v>
      </c>
      <c r="B10100" s="11" t="str">
        <f>IF(D10100&lt;&gt;"",IF(COUNTIF('USPTO TMs'!A:A,D10100)&gt;0,"Yes","No"),"")</f>
        <v/>
      </c>
      <c r="C10100" s="11"/>
      <c r="D10100" s="11"/>
      <c r="E10100" s="11"/>
      <c r="F10100" s="11"/>
      <c r="G10100" s="11"/>
      <c r="H10100" s="11"/>
      <c r="I10100" s="15"/>
    </row>
    <row r="10101" spans="1:9" ht="16.5">
      <c r="A10101" s="10" t="b">
        <v>0</v>
      </c>
      <c r="B10101" s="11" t="str">
        <f>IF(D10101&lt;&gt;"",IF(COUNTIF('USPTO TMs'!A:A,D10101)&gt;0,"Yes","No"),"")</f>
        <v/>
      </c>
      <c r="C10101" s="11"/>
      <c r="D10101" s="11"/>
      <c r="E10101" s="11"/>
      <c r="F10101" s="11"/>
      <c r="G10101" s="11"/>
      <c r="H10101" s="11"/>
      <c r="I10101" s="15"/>
    </row>
    <row r="10102" spans="1:9" ht="16.5">
      <c r="A10102" s="10" t="b">
        <v>0</v>
      </c>
      <c r="B10102" s="11" t="str">
        <f>IF(D10102&lt;&gt;"",IF(COUNTIF('USPTO TMs'!A:A,D10102)&gt;0,"Yes","No"),"")</f>
        <v/>
      </c>
      <c r="C10102" s="11"/>
      <c r="D10102" s="11"/>
      <c r="E10102" s="11"/>
      <c r="F10102" s="11"/>
      <c r="G10102" s="11"/>
      <c r="H10102" s="11"/>
      <c r="I10102" s="15"/>
    </row>
    <row r="10103" spans="1:9" ht="16.5">
      <c r="A10103" s="10" t="b">
        <v>0</v>
      </c>
      <c r="B10103" s="11" t="str">
        <f>IF(D10103&lt;&gt;"",IF(COUNTIF('USPTO TMs'!A:A,D10103)&gt;0,"Yes","No"),"")</f>
        <v/>
      </c>
      <c r="C10103" s="11"/>
      <c r="D10103" s="11"/>
      <c r="E10103" s="11"/>
      <c r="F10103" s="11"/>
      <c r="G10103" s="11"/>
      <c r="H10103" s="11"/>
      <c r="I10103" s="15"/>
    </row>
    <row r="10104" spans="1:9" ht="16.5">
      <c r="A10104" s="10" t="b">
        <v>0</v>
      </c>
      <c r="B10104" s="11" t="str">
        <f>IF(D10104&lt;&gt;"",IF(COUNTIF('USPTO TMs'!A:A,D10104)&gt;0,"Yes","No"),"")</f>
        <v/>
      </c>
      <c r="C10104" s="11"/>
      <c r="D10104" s="11"/>
      <c r="E10104" s="11"/>
      <c r="F10104" s="11"/>
      <c r="G10104" s="11"/>
      <c r="H10104" s="11"/>
      <c r="I10104" s="15"/>
    </row>
    <row r="10105" spans="1:9" ht="16.5">
      <c r="A10105" s="10" t="b">
        <v>0</v>
      </c>
      <c r="B10105" s="11" t="str">
        <f>IF(D10105&lt;&gt;"",IF(COUNTIF('USPTO TMs'!A:A,D10105)&gt;0,"Yes","No"),"")</f>
        <v/>
      </c>
      <c r="C10105" s="11"/>
      <c r="D10105" s="11"/>
      <c r="E10105" s="11"/>
      <c r="F10105" s="11"/>
      <c r="G10105" s="11"/>
      <c r="H10105" s="11"/>
      <c r="I10105" s="15"/>
    </row>
    <row r="10106" spans="1:9" ht="16.5">
      <c r="A10106" s="10" t="b">
        <v>0</v>
      </c>
      <c r="B10106" s="11" t="str">
        <f>IF(D10106&lt;&gt;"",IF(COUNTIF('USPTO TMs'!A:A,D10106)&gt;0,"Yes","No"),"")</f>
        <v/>
      </c>
      <c r="C10106" s="11"/>
      <c r="D10106" s="11"/>
      <c r="E10106" s="11"/>
      <c r="F10106" s="11"/>
      <c r="G10106" s="11"/>
      <c r="H10106" s="11"/>
      <c r="I10106" s="15"/>
    </row>
    <row r="10107" spans="1:9" ht="16.5">
      <c r="A10107" s="10" t="b">
        <v>0</v>
      </c>
      <c r="B10107" s="11" t="str">
        <f>IF(D10107&lt;&gt;"",IF(COUNTIF('USPTO TMs'!A:A,D10107)&gt;0,"Yes","No"),"")</f>
        <v/>
      </c>
      <c r="C10107" s="11"/>
      <c r="D10107" s="11"/>
      <c r="E10107" s="11"/>
      <c r="F10107" s="11"/>
      <c r="G10107" s="11"/>
      <c r="H10107" s="11"/>
      <c r="I10107" s="15"/>
    </row>
    <row r="10108" spans="1:9" ht="16.5">
      <c r="A10108" s="10" t="b">
        <v>0</v>
      </c>
      <c r="B10108" s="11" t="str">
        <f>IF(D10108&lt;&gt;"",IF(COUNTIF('USPTO TMs'!A:A,D10108)&gt;0,"Yes","No"),"")</f>
        <v/>
      </c>
      <c r="C10108" s="11"/>
      <c r="D10108" s="11"/>
      <c r="E10108" s="11"/>
      <c r="F10108" s="11"/>
      <c r="G10108" s="11"/>
      <c r="H10108" s="11"/>
      <c r="I10108" s="15"/>
    </row>
    <row r="10109" spans="1:9" ht="16.5">
      <c r="A10109" s="10" t="b">
        <v>0</v>
      </c>
      <c r="B10109" s="11" t="str">
        <f>IF(D10109&lt;&gt;"",IF(COUNTIF('USPTO TMs'!A:A,D10109)&gt;0,"Yes","No"),"")</f>
        <v/>
      </c>
      <c r="C10109" s="11"/>
      <c r="D10109" s="11"/>
      <c r="E10109" s="11"/>
      <c r="F10109" s="11"/>
      <c r="G10109" s="11"/>
      <c r="H10109" s="11"/>
      <c r="I10109" s="15"/>
    </row>
    <row r="10110" spans="1:9" ht="16.5">
      <c r="A10110" s="10" t="b">
        <v>0</v>
      </c>
      <c r="B10110" s="11" t="str">
        <f>IF(D10110&lt;&gt;"",IF(COUNTIF('USPTO TMs'!A:A,D10110)&gt;0,"Yes","No"),"")</f>
        <v/>
      </c>
      <c r="C10110" s="11"/>
      <c r="D10110" s="11"/>
      <c r="E10110" s="11"/>
      <c r="F10110" s="11"/>
      <c r="G10110" s="11"/>
      <c r="H10110" s="11"/>
      <c r="I10110" s="15"/>
    </row>
    <row r="10111" spans="1:9" ht="16.5">
      <c r="A10111" s="10" t="b">
        <v>0</v>
      </c>
      <c r="B10111" s="11" t="str">
        <f>IF(D10111&lt;&gt;"",IF(COUNTIF('USPTO TMs'!A:A,D10111)&gt;0,"Yes","No"),"")</f>
        <v/>
      </c>
      <c r="C10111" s="11"/>
      <c r="D10111" s="11"/>
      <c r="E10111" s="11"/>
      <c r="F10111" s="11"/>
      <c r="G10111" s="11"/>
      <c r="H10111" s="11"/>
      <c r="I10111" s="15"/>
    </row>
    <row r="10112" spans="1:9" ht="16.5">
      <c r="A10112" s="10" t="b">
        <v>0</v>
      </c>
      <c r="B10112" s="11" t="str">
        <f>IF(D10112&lt;&gt;"",IF(COUNTIF('USPTO TMs'!A:A,D10112)&gt;0,"Yes","No"),"")</f>
        <v/>
      </c>
      <c r="C10112" s="11"/>
      <c r="D10112" s="11"/>
      <c r="E10112" s="11"/>
      <c r="F10112" s="11"/>
      <c r="G10112" s="11"/>
      <c r="H10112" s="11"/>
      <c r="I10112" s="15"/>
    </row>
    <row r="10113" spans="1:9" ht="16.5">
      <c r="A10113" s="10" t="b">
        <v>0</v>
      </c>
      <c r="B10113" s="11" t="str">
        <f>IF(D10113&lt;&gt;"",IF(COUNTIF('USPTO TMs'!A:A,D10113)&gt;0,"Yes","No"),"")</f>
        <v/>
      </c>
      <c r="C10113" s="11"/>
      <c r="D10113" s="11"/>
      <c r="E10113" s="11"/>
      <c r="F10113" s="11"/>
      <c r="G10113" s="11"/>
      <c r="H10113" s="11"/>
      <c r="I10113" s="15"/>
    </row>
    <row r="10114" spans="1:9" ht="16.5">
      <c r="A10114" s="10" t="b">
        <v>0</v>
      </c>
      <c r="B10114" s="11" t="str">
        <f>IF(D10114&lt;&gt;"",IF(COUNTIF('USPTO TMs'!A:A,D10114)&gt;0,"Yes","No"),"")</f>
        <v/>
      </c>
      <c r="C10114" s="11"/>
      <c r="D10114" s="11"/>
      <c r="E10114" s="11"/>
      <c r="F10114" s="11"/>
      <c r="G10114" s="11"/>
      <c r="H10114" s="11"/>
      <c r="I10114" s="15"/>
    </row>
    <row r="10115" spans="1:9" ht="16.5">
      <c r="A10115" s="10" t="b">
        <v>0</v>
      </c>
      <c r="B10115" s="11" t="str">
        <f>IF(D10115&lt;&gt;"",IF(COUNTIF('USPTO TMs'!A:A,D10115)&gt;0,"Yes","No"),"")</f>
        <v/>
      </c>
      <c r="C10115" s="11"/>
      <c r="D10115" s="11"/>
      <c r="E10115" s="11"/>
      <c r="F10115" s="11"/>
      <c r="G10115" s="11"/>
      <c r="H10115" s="11"/>
      <c r="I10115" s="15"/>
    </row>
    <row r="10116" spans="1:9" ht="16.5">
      <c r="A10116" s="10" t="b">
        <v>0</v>
      </c>
      <c r="B10116" s="11" t="str">
        <f>IF(D10116&lt;&gt;"",IF(COUNTIF('USPTO TMs'!A:A,D10116)&gt;0,"Yes","No"),"")</f>
        <v/>
      </c>
      <c r="C10116" s="11"/>
      <c r="D10116" s="11"/>
      <c r="E10116" s="11"/>
      <c r="F10116" s="11"/>
      <c r="G10116" s="11"/>
      <c r="H10116" s="11"/>
      <c r="I10116" s="15"/>
    </row>
    <row r="10117" spans="1:9" ht="16.5">
      <c r="A10117" s="10" t="b">
        <v>0</v>
      </c>
      <c r="B10117" s="11" t="str">
        <f>IF(D10117&lt;&gt;"",IF(COUNTIF('USPTO TMs'!A:A,D10117)&gt;0,"Yes","No"),"")</f>
        <v/>
      </c>
      <c r="C10117" s="11"/>
      <c r="D10117" s="11"/>
      <c r="E10117" s="11"/>
      <c r="F10117" s="11"/>
      <c r="G10117" s="11"/>
      <c r="H10117" s="11"/>
      <c r="I10117" s="15"/>
    </row>
    <row r="10118" spans="1:9" ht="16.5">
      <c r="A10118" s="10" t="b">
        <v>0</v>
      </c>
      <c r="B10118" s="11" t="str">
        <f>IF(D10118&lt;&gt;"",IF(COUNTIF('USPTO TMs'!A:A,D10118)&gt;0,"Yes","No"),"")</f>
        <v/>
      </c>
      <c r="C10118" s="11"/>
      <c r="D10118" s="11"/>
      <c r="E10118" s="11"/>
      <c r="F10118" s="11"/>
      <c r="G10118" s="11"/>
      <c r="H10118" s="11"/>
      <c r="I10118" s="15"/>
    </row>
    <row r="10119" spans="1:9" ht="16.5">
      <c r="A10119" s="10" t="b">
        <v>0</v>
      </c>
      <c r="B10119" s="11" t="str">
        <f>IF(D10119&lt;&gt;"",IF(COUNTIF('USPTO TMs'!A:A,D10119)&gt;0,"Yes","No"),"")</f>
        <v/>
      </c>
      <c r="C10119" s="11"/>
      <c r="D10119" s="11"/>
      <c r="E10119" s="11"/>
      <c r="F10119" s="11"/>
      <c r="G10119" s="11"/>
      <c r="H10119" s="11"/>
      <c r="I10119" s="15"/>
    </row>
    <row r="10120" spans="1:9" ht="16.5">
      <c r="A10120" s="10" t="b">
        <v>0</v>
      </c>
      <c r="B10120" s="11" t="str">
        <f>IF(D10120&lt;&gt;"",IF(COUNTIF('USPTO TMs'!A:A,D10120)&gt;0,"Yes","No"),"")</f>
        <v/>
      </c>
      <c r="C10120" s="11"/>
      <c r="D10120" s="11"/>
      <c r="E10120" s="11"/>
      <c r="F10120" s="11"/>
      <c r="G10120" s="11"/>
      <c r="H10120" s="11"/>
      <c r="I10120" s="15"/>
    </row>
    <row r="10121" spans="1:9" ht="16.5">
      <c r="A10121" s="10" t="b">
        <v>0</v>
      </c>
      <c r="B10121" s="11" t="str">
        <f>IF(D10121&lt;&gt;"",IF(COUNTIF('USPTO TMs'!A:A,D10121)&gt;0,"Yes","No"),"")</f>
        <v/>
      </c>
      <c r="C10121" s="11"/>
      <c r="D10121" s="11"/>
      <c r="E10121" s="11"/>
      <c r="F10121" s="11"/>
      <c r="G10121" s="11"/>
      <c r="H10121" s="11"/>
      <c r="I10121" s="15"/>
    </row>
    <row r="10122" spans="1:9" ht="16.5">
      <c r="A10122" s="10" t="b">
        <v>0</v>
      </c>
      <c r="B10122" s="11" t="str">
        <f>IF(D10122&lt;&gt;"",IF(COUNTIF('USPTO TMs'!A:A,D10122)&gt;0,"Yes","No"),"")</f>
        <v/>
      </c>
      <c r="C10122" s="11"/>
      <c r="D10122" s="11"/>
      <c r="E10122" s="11"/>
      <c r="F10122" s="11"/>
      <c r="G10122" s="11"/>
      <c r="H10122" s="11"/>
      <c r="I10122" s="15"/>
    </row>
    <row r="10123" spans="1:9" ht="16.5">
      <c r="A10123" s="10" t="b">
        <v>0</v>
      </c>
      <c r="B10123" s="11" t="str">
        <f>IF(D10123&lt;&gt;"",IF(COUNTIF('USPTO TMs'!A:A,D10123)&gt;0,"Yes","No"),"")</f>
        <v/>
      </c>
      <c r="C10123" s="11"/>
      <c r="D10123" s="11"/>
      <c r="E10123" s="11"/>
      <c r="F10123" s="11"/>
      <c r="G10123" s="11"/>
      <c r="H10123" s="11"/>
      <c r="I10123" s="15"/>
    </row>
    <row r="10124" spans="1:9" ht="16.5">
      <c r="A10124" s="10" t="b">
        <v>0</v>
      </c>
      <c r="B10124" s="11" t="str">
        <f>IF(D10124&lt;&gt;"",IF(COUNTIF('USPTO TMs'!A:A,D10124)&gt;0,"Yes","No"),"")</f>
        <v/>
      </c>
      <c r="C10124" s="11"/>
      <c r="D10124" s="11"/>
      <c r="E10124" s="11"/>
      <c r="F10124" s="11"/>
      <c r="G10124" s="11"/>
      <c r="H10124" s="11"/>
      <c r="I10124" s="15"/>
    </row>
    <row r="10125" spans="1:9" ht="16.5">
      <c r="A10125" s="10" t="b">
        <v>0</v>
      </c>
      <c r="B10125" s="11" t="str">
        <f>IF(D10125&lt;&gt;"",IF(COUNTIF('USPTO TMs'!A:A,D10125)&gt;0,"Yes","No"),"")</f>
        <v/>
      </c>
      <c r="C10125" s="11"/>
      <c r="D10125" s="11"/>
      <c r="E10125" s="11"/>
      <c r="F10125" s="11"/>
      <c r="G10125" s="11"/>
      <c r="H10125" s="11"/>
      <c r="I10125" s="15"/>
    </row>
    <row r="10126" spans="1:9" ht="16.5">
      <c r="A10126" s="10" t="b">
        <v>0</v>
      </c>
      <c r="B10126" s="11" t="str">
        <f>IF(D10126&lt;&gt;"",IF(COUNTIF('USPTO TMs'!A:A,D10126)&gt;0,"Yes","No"),"")</f>
        <v/>
      </c>
      <c r="C10126" s="11"/>
      <c r="D10126" s="11"/>
      <c r="E10126" s="11"/>
      <c r="F10126" s="11"/>
      <c r="G10126" s="11"/>
      <c r="H10126" s="11"/>
      <c r="I10126" s="15"/>
    </row>
    <row r="10127" spans="1:9" ht="16.5">
      <c r="A10127" s="10" t="b">
        <v>0</v>
      </c>
      <c r="B10127" s="11" t="str">
        <f>IF(D10127&lt;&gt;"",IF(COUNTIF('USPTO TMs'!A:A,D10127)&gt;0,"Yes","No"),"")</f>
        <v/>
      </c>
      <c r="C10127" s="11"/>
      <c r="D10127" s="11"/>
      <c r="E10127" s="11"/>
      <c r="F10127" s="11"/>
      <c r="G10127" s="11"/>
      <c r="H10127" s="11"/>
      <c r="I10127" s="15"/>
    </row>
    <row r="10128" spans="1:9" ht="16.5">
      <c r="A10128" s="10" t="b">
        <v>0</v>
      </c>
      <c r="B10128" s="11" t="str">
        <f>IF(D10128&lt;&gt;"",IF(COUNTIF('USPTO TMs'!A:A,D10128)&gt;0,"Yes","No"),"")</f>
        <v/>
      </c>
      <c r="C10128" s="11"/>
      <c r="D10128" s="11"/>
      <c r="E10128" s="11"/>
      <c r="F10128" s="11"/>
      <c r="G10128" s="11"/>
      <c r="H10128" s="11"/>
      <c r="I10128" s="15"/>
    </row>
    <row r="10129" spans="1:9" ht="16.5">
      <c r="A10129" s="10" t="b">
        <v>0</v>
      </c>
      <c r="B10129" s="11" t="str">
        <f>IF(D10129&lt;&gt;"",IF(COUNTIF('USPTO TMs'!A:A,D10129)&gt;0,"Yes","No"),"")</f>
        <v/>
      </c>
      <c r="C10129" s="11"/>
      <c r="D10129" s="11"/>
      <c r="E10129" s="11"/>
      <c r="F10129" s="11"/>
      <c r="G10129" s="11"/>
      <c r="H10129" s="11"/>
      <c r="I10129" s="15"/>
    </row>
    <row r="10130" spans="1:9" ht="16.5">
      <c r="A10130" s="10" t="b">
        <v>0</v>
      </c>
      <c r="B10130" s="11" t="str">
        <f>IF(D10130&lt;&gt;"",IF(COUNTIF('USPTO TMs'!A:A,D10130)&gt;0,"Yes","No"),"")</f>
        <v/>
      </c>
      <c r="C10130" s="11"/>
      <c r="D10130" s="11"/>
      <c r="E10130" s="11"/>
      <c r="F10130" s="11"/>
      <c r="G10130" s="11"/>
      <c r="H10130" s="11"/>
      <c r="I10130" s="15"/>
    </row>
    <row r="10131" spans="1:9" ht="16.5">
      <c r="A10131" s="10" t="b">
        <v>0</v>
      </c>
      <c r="B10131" s="11" t="str">
        <f>IF(D10131&lt;&gt;"",IF(COUNTIF('USPTO TMs'!A:A,D10131)&gt;0,"Yes","No"),"")</f>
        <v/>
      </c>
      <c r="C10131" s="11"/>
      <c r="D10131" s="11"/>
      <c r="E10131" s="11"/>
      <c r="F10131" s="11"/>
      <c r="G10131" s="11"/>
      <c r="H10131" s="11"/>
      <c r="I10131" s="15"/>
    </row>
    <row r="10132" spans="1:9" ht="16.5">
      <c r="A10132" s="10" t="b">
        <v>0</v>
      </c>
      <c r="B10132" s="11" t="str">
        <f>IF(D10132&lt;&gt;"",IF(COUNTIF('USPTO TMs'!A:A,D10132)&gt;0,"Yes","No"),"")</f>
        <v/>
      </c>
      <c r="C10132" s="11"/>
      <c r="D10132" s="11"/>
      <c r="E10132" s="11"/>
      <c r="F10132" s="11"/>
      <c r="G10132" s="11"/>
      <c r="H10132" s="11"/>
      <c r="I10132" s="15"/>
    </row>
    <row r="10133" spans="1:9" ht="16.5">
      <c r="A10133" s="10" t="b">
        <v>0</v>
      </c>
      <c r="B10133" s="11" t="str">
        <f>IF(D10133&lt;&gt;"",IF(COUNTIF('USPTO TMs'!A:A,D10133)&gt;0,"Yes","No"),"")</f>
        <v/>
      </c>
      <c r="C10133" s="11"/>
      <c r="D10133" s="11"/>
      <c r="E10133" s="11"/>
      <c r="F10133" s="11"/>
      <c r="G10133" s="11"/>
      <c r="H10133" s="11"/>
      <c r="I10133" s="15"/>
    </row>
    <row r="10134" spans="1:9" ht="16.5">
      <c r="A10134" s="10" t="b">
        <v>0</v>
      </c>
      <c r="B10134" s="11" t="str">
        <f>IF(D10134&lt;&gt;"",IF(COUNTIF('USPTO TMs'!A:A,D10134)&gt;0,"Yes","No"),"")</f>
        <v/>
      </c>
      <c r="C10134" s="11"/>
      <c r="D10134" s="11"/>
      <c r="E10134" s="11"/>
      <c r="F10134" s="11"/>
      <c r="G10134" s="11"/>
      <c r="H10134" s="11"/>
      <c r="I10134" s="15"/>
    </row>
    <row r="10135" spans="1:9" ht="16.5">
      <c r="A10135" s="10" t="b">
        <v>0</v>
      </c>
      <c r="B10135" s="11" t="str">
        <f>IF(D10135&lt;&gt;"",IF(COUNTIF('USPTO TMs'!A:A,D10135)&gt;0,"Yes","No"),"")</f>
        <v/>
      </c>
      <c r="C10135" s="11"/>
      <c r="D10135" s="11"/>
      <c r="E10135" s="11"/>
      <c r="F10135" s="11"/>
      <c r="G10135" s="11"/>
      <c r="H10135" s="11"/>
      <c r="I10135" s="15"/>
    </row>
    <row r="10136" spans="1:9" ht="16.5">
      <c r="A10136" s="10" t="b">
        <v>0</v>
      </c>
      <c r="B10136" s="11" t="str">
        <f>IF(D10136&lt;&gt;"",IF(COUNTIF('USPTO TMs'!A:A,D10136)&gt;0,"Yes","No"),"")</f>
        <v/>
      </c>
      <c r="C10136" s="11"/>
      <c r="D10136" s="11"/>
      <c r="E10136" s="11"/>
      <c r="F10136" s="11"/>
      <c r="G10136" s="11"/>
      <c r="H10136" s="11"/>
      <c r="I10136" s="15"/>
    </row>
    <row r="10137" spans="1:9" ht="16.5">
      <c r="A10137" s="10" t="b">
        <v>0</v>
      </c>
      <c r="B10137" s="11" t="str">
        <f>IF(D10137&lt;&gt;"",IF(COUNTIF('USPTO TMs'!A:A,D10137)&gt;0,"Yes","No"),"")</f>
        <v/>
      </c>
      <c r="C10137" s="11"/>
      <c r="D10137" s="11"/>
      <c r="E10137" s="11"/>
      <c r="F10137" s="11"/>
      <c r="G10137" s="11"/>
      <c r="H10137" s="11"/>
      <c r="I10137" s="15"/>
    </row>
    <row r="10138" spans="1:9" ht="16.5">
      <c r="A10138" s="10" t="b">
        <v>0</v>
      </c>
      <c r="B10138" s="11" t="str">
        <f>IF(D10138&lt;&gt;"",IF(COUNTIF('USPTO TMs'!A:A,D10138)&gt;0,"Yes","No"),"")</f>
        <v/>
      </c>
      <c r="C10138" s="11"/>
      <c r="D10138" s="11"/>
      <c r="E10138" s="11"/>
      <c r="F10138" s="11"/>
      <c r="G10138" s="11"/>
      <c r="H10138" s="11"/>
      <c r="I10138" s="15"/>
    </row>
    <row r="10139" spans="1:9" ht="16.5">
      <c r="A10139" s="10" t="b">
        <v>0</v>
      </c>
      <c r="B10139" s="11" t="str">
        <f>IF(D10139&lt;&gt;"",IF(COUNTIF('USPTO TMs'!A:A,D10139)&gt;0,"Yes","No"),"")</f>
        <v/>
      </c>
      <c r="C10139" s="11"/>
      <c r="D10139" s="11"/>
      <c r="E10139" s="11"/>
      <c r="F10139" s="11"/>
      <c r="G10139" s="11"/>
      <c r="H10139" s="11"/>
      <c r="I10139" s="15"/>
    </row>
    <row r="10140" spans="1:9" ht="16.5">
      <c r="A10140" s="10" t="b">
        <v>0</v>
      </c>
      <c r="B10140" s="11" t="str">
        <f>IF(D10140&lt;&gt;"",IF(COUNTIF('USPTO TMs'!A:A,D10140)&gt;0,"Yes","No"),"")</f>
        <v/>
      </c>
      <c r="C10140" s="11"/>
      <c r="D10140" s="11"/>
      <c r="E10140" s="11"/>
      <c r="F10140" s="11"/>
      <c r="G10140" s="11"/>
      <c r="H10140" s="11"/>
      <c r="I10140" s="15"/>
    </row>
    <row r="10141" spans="1:9" ht="16.5">
      <c r="A10141" s="10" t="b">
        <v>0</v>
      </c>
      <c r="B10141" s="11" t="str">
        <f>IF(D10141&lt;&gt;"",IF(COUNTIF('USPTO TMs'!A:A,D10141)&gt;0,"Yes","No"),"")</f>
        <v/>
      </c>
      <c r="C10141" s="11"/>
      <c r="D10141" s="11"/>
      <c r="E10141" s="11"/>
      <c r="F10141" s="11"/>
      <c r="G10141" s="11"/>
      <c r="H10141" s="11"/>
      <c r="I10141" s="15"/>
    </row>
    <row r="10142" spans="1:9" ht="16.5">
      <c r="A10142" s="10" t="b">
        <v>0</v>
      </c>
      <c r="B10142" s="11" t="str">
        <f>IF(D10142&lt;&gt;"",IF(COUNTIF('USPTO TMs'!A:A,D10142)&gt;0,"Yes","No"),"")</f>
        <v/>
      </c>
      <c r="C10142" s="11"/>
      <c r="D10142" s="11"/>
      <c r="E10142" s="11"/>
      <c r="F10142" s="11"/>
      <c r="G10142" s="11"/>
      <c r="H10142" s="11"/>
      <c r="I10142" s="15"/>
    </row>
    <row r="10143" spans="1:9" ht="16.5">
      <c r="A10143" s="10" t="b">
        <v>0</v>
      </c>
      <c r="B10143" s="11" t="str">
        <f>IF(D10143&lt;&gt;"",IF(COUNTIF('USPTO TMs'!A:A,D10143)&gt;0,"Yes","No"),"")</f>
        <v/>
      </c>
      <c r="C10143" s="11"/>
      <c r="D10143" s="11"/>
      <c r="E10143" s="11"/>
      <c r="F10143" s="11"/>
      <c r="G10143" s="11"/>
      <c r="H10143" s="11"/>
      <c r="I10143" s="15"/>
    </row>
    <row r="10144" spans="1:9" ht="16.5">
      <c r="A10144" s="10" t="b">
        <v>0</v>
      </c>
      <c r="B10144" s="11" t="str">
        <f>IF(D10144&lt;&gt;"",IF(COUNTIF('USPTO TMs'!A:A,D10144)&gt;0,"Yes","No"),"")</f>
        <v/>
      </c>
      <c r="C10144" s="11"/>
      <c r="D10144" s="11"/>
      <c r="E10144" s="11"/>
      <c r="F10144" s="11"/>
      <c r="G10144" s="11"/>
      <c r="H10144" s="11"/>
      <c r="I10144" s="15"/>
    </row>
    <row r="10145" spans="1:9" ht="16.5">
      <c r="A10145" s="10" t="b">
        <v>0</v>
      </c>
      <c r="B10145" s="11" t="str">
        <f>IF(D10145&lt;&gt;"",IF(COUNTIF('USPTO TMs'!A:A,D10145)&gt;0,"Yes","No"),"")</f>
        <v/>
      </c>
      <c r="C10145" s="11"/>
      <c r="D10145" s="11"/>
      <c r="E10145" s="11"/>
      <c r="F10145" s="11"/>
      <c r="G10145" s="11"/>
      <c r="H10145" s="11"/>
      <c r="I10145" s="15"/>
    </row>
    <row r="10146" spans="1:9" ht="16.5">
      <c r="A10146" s="10" t="b">
        <v>0</v>
      </c>
      <c r="B10146" s="11" t="str">
        <f>IF(D10146&lt;&gt;"",IF(COUNTIF('USPTO TMs'!A:A,D10146)&gt;0,"Yes","No"),"")</f>
        <v/>
      </c>
      <c r="C10146" s="11"/>
      <c r="D10146" s="11"/>
      <c r="E10146" s="11"/>
      <c r="F10146" s="11"/>
      <c r="G10146" s="11"/>
      <c r="H10146" s="11"/>
      <c r="I10146" s="15"/>
    </row>
    <row r="10147" spans="1:9" ht="16.5">
      <c r="A10147" s="10" t="b">
        <v>0</v>
      </c>
      <c r="B10147" s="11" t="str">
        <f>IF(D10147&lt;&gt;"",IF(COUNTIF('USPTO TMs'!A:A,D10147)&gt;0,"Yes","No"),"")</f>
        <v/>
      </c>
      <c r="C10147" s="11"/>
      <c r="D10147" s="11"/>
      <c r="E10147" s="11"/>
      <c r="F10147" s="11"/>
      <c r="G10147" s="11"/>
      <c r="H10147" s="11"/>
      <c r="I10147" s="15"/>
    </row>
    <row r="10148" spans="1:9" ht="16.5">
      <c r="A10148" s="10" t="b">
        <v>0</v>
      </c>
      <c r="B10148" s="11" t="str">
        <f>IF(D10148&lt;&gt;"",IF(COUNTIF('USPTO TMs'!A:A,D10148)&gt;0,"Yes","No"),"")</f>
        <v/>
      </c>
      <c r="C10148" s="11"/>
      <c r="D10148" s="11"/>
      <c r="E10148" s="11"/>
      <c r="F10148" s="11"/>
      <c r="G10148" s="11"/>
      <c r="H10148" s="11"/>
      <c r="I10148" s="15"/>
    </row>
    <row r="10149" spans="1:9" ht="16.5">
      <c r="A10149" s="10" t="b">
        <v>0</v>
      </c>
      <c r="B10149" s="11" t="str">
        <f>IF(D10149&lt;&gt;"",IF(COUNTIF('USPTO TMs'!A:A,D10149)&gt;0,"Yes","No"),"")</f>
        <v/>
      </c>
      <c r="C10149" s="11"/>
      <c r="D10149" s="11"/>
      <c r="E10149" s="11"/>
      <c r="F10149" s="11"/>
      <c r="G10149" s="11"/>
      <c r="H10149" s="11"/>
      <c r="I10149" s="15"/>
    </row>
    <row r="10150" spans="1:9" ht="16.5">
      <c r="A10150" s="10" t="b">
        <v>0</v>
      </c>
      <c r="B10150" s="11" t="str">
        <f>IF(D10150&lt;&gt;"",IF(COUNTIF('USPTO TMs'!A:A,D10150)&gt;0,"Yes","No"),"")</f>
        <v/>
      </c>
      <c r="C10150" s="11"/>
      <c r="D10150" s="11"/>
      <c r="E10150" s="11"/>
      <c r="F10150" s="11"/>
      <c r="G10150" s="11"/>
      <c r="H10150" s="11"/>
      <c r="I10150" s="15"/>
    </row>
    <row r="10151" spans="1:9" ht="16.5">
      <c r="A10151" s="10" t="b">
        <v>0</v>
      </c>
      <c r="B10151" s="11" t="str">
        <f>IF(D10151&lt;&gt;"",IF(COUNTIF('USPTO TMs'!A:A,D10151)&gt;0,"Yes","No"),"")</f>
        <v/>
      </c>
      <c r="C10151" s="11"/>
      <c r="D10151" s="11"/>
      <c r="E10151" s="11"/>
      <c r="F10151" s="11"/>
      <c r="G10151" s="11"/>
      <c r="H10151" s="11"/>
      <c r="I10151" s="15"/>
    </row>
    <row r="10152" spans="1:9" ht="16.5">
      <c r="A10152" s="10" t="b">
        <v>0</v>
      </c>
      <c r="B10152" s="11" t="str">
        <f>IF(D10152&lt;&gt;"",IF(COUNTIF('USPTO TMs'!A:A,D10152)&gt;0,"Yes","No"),"")</f>
        <v/>
      </c>
      <c r="C10152" s="11"/>
      <c r="D10152" s="11"/>
      <c r="E10152" s="11"/>
      <c r="F10152" s="11"/>
      <c r="G10152" s="11"/>
      <c r="H10152" s="11"/>
      <c r="I10152" s="15"/>
    </row>
    <row r="10153" spans="1:9" ht="16.5">
      <c r="A10153" s="10" t="b">
        <v>0</v>
      </c>
      <c r="B10153" s="11" t="str">
        <f>IF(D10153&lt;&gt;"",IF(COUNTIF('USPTO TMs'!A:A,D10153)&gt;0,"Yes","No"),"")</f>
        <v/>
      </c>
      <c r="C10153" s="11"/>
      <c r="D10153" s="11"/>
      <c r="E10153" s="11"/>
      <c r="F10153" s="11"/>
      <c r="G10153" s="11"/>
      <c r="H10153" s="11"/>
      <c r="I10153" s="15"/>
    </row>
    <row r="10154" spans="1:9" ht="16.5">
      <c r="A10154" s="10" t="b">
        <v>0</v>
      </c>
      <c r="B10154" s="11" t="str">
        <f>IF(D10154&lt;&gt;"",IF(COUNTIF('USPTO TMs'!A:A,D10154)&gt;0,"Yes","No"),"")</f>
        <v/>
      </c>
      <c r="C10154" s="11"/>
      <c r="D10154" s="11"/>
      <c r="E10154" s="11"/>
      <c r="F10154" s="11"/>
      <c r="G10154" s="11"/>
      <c r="H10154" s="11"/>
      <c r="I10154" s="15"/>
    </row>
    <row r="10155" spans="1:9" ht="16.5">
      <c r="A10155" s="10" t="b">
        <v>0</v>
      </c>
      <c r="B10155" s="11" t="str">
        <f>IF(D10155&lt;&gt;"",IF(COUNTIF('USPTO TMs'!A:A,D10155)&gt;0,"Yes","No"),"")</f>
        <v/>
      </c>
      <c r="C10155" s="11"/>
      <c r="D10155" s="11"/>
      <c r="E10155" s="11"/>
      <c r="F10155" s="11"/>
      <c r="G10155" s="11"/>
      <c r="H10155" s="11"/>
      <c r="I10155" s="15"/>
    </row>
    <row r="10156" spans="1:9" ht="16.5">
      <c r="A10156" s="10" t="b">
        <v>0</v>
      </c>
      <c r="B10156" s="11" t="str">
        <f>IF(D10156&lt;&gt;"",IF(COUNTIF('USPTO TMs'!A:A,D10156)&gt;0,"Yes","No"),"")</f>
        <v/>
      </c>
      <c r="C10156" s="11"/>
      <c r="D10156" s="11"/>
      <c r="E10156" s="11"/>
      <c r="F10156" s="11"/>
      <c r="G10156" s="11"/>
      <c r="H10156" s="11"/>
      <c r="I10156" s="15"/>
    </row>
    <row r="10157" spans="1:9" ht="16.5">
      <c r="A10157" s="10" t="b">
        <v>0</v>
      </c>
      <c r="B10157" s="11" t="str">
        <f>IF(D10157&lt;&gt;"",IF(COUNTIF('USPTO TMs'!A:A,D10157)&gt;0,"Yes","No"),"")</f>
        <v/>
      </c>
      <c r="C10157" s="11"/>
      <c r="D10157" s="11"/>
      <c r="E10157" s="11"/>
      <c r="F10157" s="11"/>
      <c r="G10157" s="11"/>
      <c r="H10157" s="11"/>
      <c r="I10157" s="15"/>
    </row>
    <row r="10158" spans="1:9" ht="16.5">
      <c r="A10158" s="10" t="b">
        <v>0</v>
      </c>
      <c r="B10158" s="11" t="str">
        <f>IF(D10158&lt;&gt;"",IF(COUNTIF('USPTO TMs'!A:A,D10158)&gt;0,"Yes","No"),"")</f>
        <v/>
      </c>
      <c r="C10158" s="11"/>
      <c r="D10158" s="11"/>
      <c r="E10158" s="11"/>
      <c r="F10158" s="11"/>
      <c r="G10158" s="11"/>
      <c r="H10158" s="11"/>
      <c r="I10158" s="15"/>
    </row>
    <row r="10159" spans="1:9" ht="16.5">
      <c r="A10159" s="10" t="b">
        <v>0</v>
      </c>
      <c r="B10159" s="11" t="str">
        <f>IF(D10159&lt;&gt;"",IF(COUNTIF('USPTO TMs'!A:A,D10159)&gt;0,"Yes","No"),"")</f>
        <v/>
      </c>
      <c r="C10159" s="11"/>
      <c r="D10159" s="11"/>
      <c r="E10159" s="11"/>
      <c r="F10159" s="11"/>
      <c r="G10159" s="11"/>
      <c r="H10159" s="11"/>
      <c r="I10159" s="15"/>
    </row>
    <row r="10160" spans="1:9" ht="16.5">
      <c r="A10160" s="10" t="b">
        <v>0</v>
      </c>
      <c r="B10160" s="11" t="str">
        <f>IF(D10160&lt;&gt;"",IF(COUNTIF('USPTO TMs'!A:A,D10160)&gt;0,"Yes","No"),"")</f>
        <v/>
      </c>
      <c r="C10160" s="11"/>
      <c r="D10160" s="11"/>
      <c r="E10160" s="11"/>
      <c r="F10160" s="11"/>
      <c r="G10160" s="11"/>
      <c r="H10160" s="11"/>
      <c r="I10160" s="15"/>
    </row>
    <row r="10161" spans="1:9" ht="16.5">
      <c r="A10161" s="10" t="b">
        <v>0</v>
      </c>
      <c r="B10161" s="11" t="str">
        <f>IF(D10161&lt;&gt;"",IF(COUNTIF('USPTO TMs'!A:A,D10161)&gt;0,"Yes","No"),"")</f>
        <v/>
      </c>
      <c r="C10161" s="11"/>
      <c r="D10161" s="11"/>
      <c r="E10161" s="11"/>
      <c r="F10161" s="11"/>
      <c r="G10161" s="11"/>
      <c r="H10161" s="11"/>
      <c r="I10161" s="15"/>
    </row>
    <row r="10162" spans="1:9" ht="16.5">
      <c r="A10162" s="10" t="b">
        <v>0</v>
      </c>
      <c r="B10162" s="11" t="str">
        <f>IF(D10162&lt;&gt;"",IF(COUNTIF('USPTO TMs'!A:A,D10162)&gt;0,"Yes","No"),"")</f>
        <v/>
      </c>
      <c r="C10162" s="11"/>
      <c r="D10162" s="11"/>
      <c r="E10162" s="11"/>
      <c r="F10162" s="11"/>
      <c r="G10162" s="11"/>
      <c r="H10162" s="11"/>
      <c r="I10162" s="15"/>
    </row>
    <row r="10163" spans="1:9" ht="16.5">
      <c r="A10163" s="10" t="b">
        <v>0</v>
      </c>
      <c r="B10163" s="11" t="str">
        <f>IF(D10163&lt;&gt;"",IF(COUNTIF('USPTO TMs'!A:A,D10163)&gt;0,"Yes","No"),"")</f>
        <v/>
      </c>
      <c r="C10163" s="11"/>
      <c r="D10163" s="11"/>
      <c r="E10163" s="11"/>
      <c r="F10163" s="11"/>
      <c r="G10163" s="11"/>
      <c r="H10163" s="11"/>
      <c r="I10163" s="15"/>
    </row>
    <row r="10164" spans="1:9" ht="16.5">
      <c r="A10164" s="10" t="b">
        <v>0</v>
      </c>
      <c r="B10164" s="11" t="str">
        <f>IF(D10164&lt;&gt;"",IF(COUNTIF('USPTO TMs'!A:A,D10164)&gt;0,"Yes","No"),"")</f>
        <v/>
      </c>
      <c r="C10164" s="11"/>
      <c r="D10164" s="11"/>
      <c r="E10164" s="11"/>
      <c r="F10164" s="11"/>
      <c r="G10164" s="11"/>
      <c r="H10164" s="11"/>
      <c r="I10164" s="15"/>
    </row>
    <row r="10165" spans="1:9" ht="16.5">
      <c r="A10165" s="10" t="b">
        <v>0</v>
      </c>
      <c r="B10165" s="11" t="str">
        <f>IF(D10165&lt;&gt;"",IF(COUNTIF('USPTO TMs'!A:A,D10165)&gt;0,"Yes","No"),"")</f>
        <v/>
      </c>
      <c r="C10165" s="11"/>
      <c r="D10165" s="11"/>
      <c r="E10165" s="11"/>
      <c r="F10165" s="11"/>
      <c r="G10165" s="11"/>
      <c r="H10165" s="11"/>
      <c r="I10165" s="15"/>
    </row>
    <row r="10166" spans="1:9" ht="16.5">
      <c r="A10166" s="10" t="b">
        <v>0</v>
      </c>
      <c r="B10166" s="11" t="str">
        <f>IF(D10166&lt;&gt;"",IF(COUNTIF('USPTO TMs'!A:A,D10166)&gt;0,"Yes","No"),"")</f>
        <v/>
      </c>
      <c r="C10166" s="11"/>
      <c r="D10166" s="11"/>
      <c r="E10166" s="11"/>
      <c r="F10166" s="11"/>
      <c r="G10166" s="11"/>
      <c r="H10166" s="11"/>
      <c r="I10166" s="15"/>
    </row>
    <row r="10167" spans="1:9" ht="16.5">
      <c r="A10167" s="10" t="b">
        <v>0</v>
      </c>
      <c r="B10167" s="11" t="str">
        <f>IF(D10167&lt;&gt;"",IF(COUNTIF('USPTO TMs'!A:A,D10167)&gt;0,"Yes","No"),"")</f>
        <v/>
      </c>
      <c r="C10167" s="11"/>
      <c r="D10167" s="11"/>
      <c r="E10167" s="11"/>
      <c r="F10167" s="11"/>
      <c r="G10167" s="11"/>
      <c r="H10167" s="11"/>
      <c r="I10167" s="15"/>
    </row>
    <row r="10168" spans="1:9" ht="16.5">
      <c r="A10168" s="10" t="b">
        <v>0</v>
      </c>
      <c r="B10168" s="11" t="str">
        <f>IF(D10168&lt;&gt;"",IF(COUNTIF('USPTO TMs'!A:A,D10168)&gt;0,"Yes","No"),"")</f>
        <v/>
      </c>
      <c r="C10168" s="11"/>
      <c r="D10168" s="11"/>
      <c r="E10168" s="11"/>
      <c r="F10168" s="11"/>
      <c r="G10168" s="11"/>
      <c r="H10168" s="11"/>
      <c r="I10168" s="15"/>
    </row>
    <row r="10169" spans="1:9" ht="16.5">
      <c r="A10169" s="10" t="b">
        <v>0</v>
      </c>
      <c r="B10169" s="11" t="str">
        <f>IF(D10169&lt;&gt;"",IF(COUNTIF('USPTO TMs'!A:A,D10169)&gt;0,"Yes","No"),"")</f>
        <v/>
      </c>
      <c r="C10169" s="11"/>
      <c r="D10169" s="11"/>
      <c r="E10169" s="11"/>
      <c r="F10169" s="11"/>
      <c r="G10169" s="11"/>
      <c r="H10169" s="11"/>
      <c r="I10169" s="15"/>
    </row>
    <row r="10170" spans="1:9" ht="16.5">
      <c r="A10170" s="10" t="b">
        <v>0</v>
      </c>
      <c r="B10170" s="11" t="str">
        <f>IF(D10170&lt;&gt;"",IF(COUNTIF('USPTO TMs'!A:A,D10170)&gt;0,"Yes","No"),"")</f>
        <v/>
      </c>
      <c r="C10170" s="11"/>
      <c r="D10170" s="11"/>
      <c r="E10170" s="11"/>
      <c r="F10170" s="11"/>
      <c r="G10170" s="11"/>
      <c r="H10170" s="11"/>
      <c r="I10170" s="15"/>
    </row>
    <row r="10171" spans="1:9" ht="16.5">
      <c r="A10171" s="10" t="b">
        <v>0</v>
      </c>
      <c r="B10171" s="11" t="str">
        <f>IF(D10171&lt;&gt;"",IF(COUNTIF('USPTO TMs'!A:A,D10171)&gt;0,"Yes","No"),"")</f>
        <v/>
      </c>
      <c r="C10171" s="11"/>
      <c r="D10171" s="11"/>
      <c r="E10171" s="11"/>
      <c r="F10171" s="11"/>
      <c r="G10171" s="11"/>
      <c r="H10171" s="11"/>
      <c r="I10171" s="15"/>
    </row>
    <row r="10172" spans="1:9" ht="16.5">
      <c r="A10172" s="10" t="b">
        <v>0</v>
      </c>
      <c r="B10172" s="11" t="str">
        <f>IF(D10172&lt;&gt;"",IF(COUNTIF('USPTO TMs'!A:A,D10172)&gt;0,"Yes","No"),"")</f>
        <v/>
      </c>
      <c r="C10172" s="11"/>
      <c r="D10172" s="11"/>
      <c r="E10172" s="11"/>
      <c r="F10172" s="11"/>
      <c r="G10172" s="11"/>
      <c r="H10172" s="11"/>
      <c r="I10172" s="15"/>
    </row>
    <row r="10173" spans="1:9" ht="16.5">
      <c r="A10173" s="10" t="b">
        <v>0</v>
      </c>
      <c r="B10173" s="11" t="str">
        <f>IF(D10173&lt;&gt;"",IF(COUNTIF('USPTO TMs'!A:A,D10173)&gt;0,"Yes","No"),"")</f>
        <v/>
      </c>
      <c r="C10173" s="11"/>
      <c r="D10173" s="11"/>
      <c r="E10173" s="11"/>
      <c r="F10173" s="11"/>
      <c r="G10173" s="11"/>
      <c r="H10173" s="11"/>
      <c r="I10173" s="15"/>
    </row>
    <row r="10174" spans="1:9" ht="16.5">
      <c r="A10174" s="10" t="b">
        <v>0</v>
      </c>
      <c r="B10174" s="11" t="str">
        <f>IF(D10174&lt;&gt;"",IF(COUNTIF('USPTO TMs'!A:A,D10174)&gt;0,"Yes","No"),"")</f>
        <v/>
      </c>
      <c r="C10174" s="11"/>
      <c r="D10174" s="11"/>
      <c r="E10174" s="11"/>
      <c r="F10174" s="11"/>
      <c r="G10174" s="11"/>
      <c r="H10174" s="11"/>
      <c r="I10174" s="15"/>
    </row>
    <row r="10175" spans="1:9" ht="16.5">
      <c r="A10175" s="10" t="b">
        <v>0</v>
      </c>
      <c r="B10175" s="11" t="str">
        <f>IF(D10175&lt;&gt;"",IF(COUNTIF('USPTO TMs'!A:A,D10175)&gt;0,"Yes","No"),"")</f>
        <v/>
      </c>
      <c r="C10175" s="11"/>
      <c r="D10175" s="11"/>
      <c r="E10175" s="11"/>
      <c r="F10175" s="11"/>
      <c r="G10175" s="11"/>
      <c r="H10175" s="11"/>
      <c r="I10175" s="15"/>
    </row>
    <row r="10176" spans="1:9" ht="16.5">
      <c r="A10176" s="10" t="b">
        <v>0</v>
      </c>
      <c r="B10176" s="11" t="str">
        <f>IF(D10176&lt;&gt;"",IF(COUNTIF('USPTO TMs'!A:A,D10176)&gt;0,"Yes","No"),"")</f>
        <v/>
      </c>
      <c r="C10176" s="11"/>
      <c r="D10176" s="11"/>
      <c r="E10176" s="11"/>
      <c r="F10176" s="11"/>
      <c r="G10176" s="11"/>
      <c r="H10176" s="11"/>
      <c r="I10176" s="15"/>
    </row>
    <row r="10177" spans="1:9" ht="16.5">
      <c r="A10177" s="10" t="b">
        <v>0</v>
      </c>
      <c r="B10177" s="11" t="str">
        <f>IF(D10177&lt;&gt;"",IF(COUNTIF('USPTO TMs'!A:A,D10177)&gt;0,"Yes","No"),"")</f>
        <v/>
      </c>
      <c r="C10177" s="11"/>
      <c r="D10177" s="11"/>
      <c r="E10177" s="11"/>
      <c r="F10177" s="11"/>
      <c r="G10177" s="11"/>
      <c r="H10177" s="11"/>
      <c r="I10177" s="15"/>
    </row>
    <row r="10178" spans="1:9" ht="16.5">
      <c r="A10178" s="10" t="b">
        <v>0</v>
      </c>
      <c r="B10178" s="11" t="str">
        <f>IF(D10178&lt;&gt;"",IF(COUNTIF('USPTO TMs'!A:A,D10178)&gt;0,"Yes","No"),"")</f>
        <v/>
      </c>
      <c r="C10178" s="11"/>
      <c r="D10178" s="11"/>
      <c r="E10178" s="11"/>
      <c r="F10178" s="11"/>
      <c r="G10178" s="11"/>
      <c r="H10178" s="11"/>
      <c r="I10178" s="15"/>
    </row>
    <row r="10179" spans="1:9" ht="16.5">
      <c r="A10179" s="10" t="b">
        <v>0</v>
      </c>
      <c r="B10179" s="11" t="str">
        <f>IF(D10179&lt;&gt;"",IF(COUNTIF('USPTO TMs'!A:A,D10179)&gt;0,"Yes","No"),"")</f>
        <v/>
      </c>
      <c r="C10179" s="11"/>
      <c r="D10179" s="11"/>
      <c r="E10179" s="11"/>
      <c r="F10179" s="11"/>
      <c r="G10179" s="11"/>
      <c r="H10179" s="11"/>
      <c r="I10179" s="15"/>
    </row>
    <row r="10180" spans="1:9" ht="16.5">
      <c r="A10180" s="10" t="b">
        <v>0</v>
      </c>
      <c r="B10180" s="11" t="str">
        <f>IF(D10180&lt;&gt;"",IF(COUNTIF('USPTO TMs'!A:A,D10180)&gt;0,"Yes","No"),"")</f>
        <v/>
      </c>
      <c r="C10180" s="11"/>
      <c r="D10180" s="11"/>
      <c r="E10180" s="11"/>
      <c r="F10180" s="11"/>
      <c r="G10180" s="11"/>
      <c r="H10180" s="11"/>
      <c r="I10180" s="15"/>
    </row>
    <row r="10181" spans="1:9" ht="16.5">
      <c r="A10181" s="10" t="b">
        <v>0</v>
      </c>
      <c r="B10181" s="11" t="str">
        <f>IF(D10181&lt;&gt;"",IF(COUNTIF('USPTO TMs'!A:A,D10181)&gt;0,"Yes","No"),"")</f>
        <v/>
      </c>
      <c r="C10181" s="11"/>
      <c r="D10181" s="11"/>
      <c r="E10181" s="11"/>
      <c r="F10181" s="11"/>
      <c r="G10181" s="11"/>
      <c r="H10181" s="11"/>
      <c r="I10181" s="15"/>
    </row>
    <row r="10182" spans="1:9" ht="16.5">
      <c r="A10182" s="10" t="b">
        <v>0</v>
      </c>
      <c r="B10182" s="11" t="str">
        <f>IF(D10182&lt;&gt;"",IF(COUNTIF('USPTO TMs'!A:A,D10182)&gt;0,"Yes","No"),"")</f>
        <v/>
      </c>
      <c r="C10182" s="11"/>
      <c r="D10182" s="11"/>
      <c r="E10182" s="11"/>
      <c r="F10182" s="11"/>
      <c r="G10182" s="11"/>
      <c r="H10182" s="11"/>
      <c r="I10182" s="15"/>
    </row>
    <row r="10183" spans="1:9" ht="16.5">
      <c r="A10183" s="10" t="b">
        <v>0</v>
      </c>
      <c r="B10183" s="11" t="str">
        <f>IF(D10183&lt;&gt;"",IF(COUNTIF('USPTO TMs'!A:A,D10183)&gt;0,"Yes","No"),"")</f>
        <v/>
      </c>
      <c r="C10183" s="11"/>
      <c r="D10183" s="11"/>
      <c r="E10183" s="11"/>
      <c r="F10183" s="11"/>
      <c r="G10183" s="11"/>
      <c r="H10183" s="11"/>
      <c r="I10183" s="15"/>
    </row>
    <row r="10184" spans="1:9" ht="16.5">
      <c r="A10184" s="10" t="b">
        <v>0</v>
      </c>
      <c r="B10184" s="11" t="str">
        <f>IF(D10184&lt;&gt;"",IF(COUNTIF('USPTO TMs'!A:A,D10184)&gt;0,"Yes","No"),"")</f>
        <v/>
      </c>
      <c r="C10184" s="11"/>
      <c r="D10184" s="11"/>
      <c r="E10184" s="11"/>
      <c r="F10184" s="11"/>
      <c r="G10184" s="11"/>
      <c r="H10184" s="11"/>
      <c r="I10184" s="15"/>
    </row>
    <row r="10185" spans="1:9" ht="16.5">
      <c r="A10185" s="10" t="b">
        <v>0</v>
      </c>
      <c r="B10185" s="11" t="str">
        <f>IF(D10185&lt;&gt;"",IF(COUNTIF('USPTO TMs'!A:A,D10185)&gt;0,"Yes","No"),"")</f>
        <v/>
      </c>
      <c r="C10185" s="11"/>
      <c r="D10185" s="11"/>
      <c r="E10185" s="11"/>
      <c r="F10185" s="11"/>
      <c r="G10185" s="11"/>
      <c r="H10185" s="11"/>
      <c r="I10185" s="15"/>
    </row>
    <row r="10186" spans="1:9" ht="16.5">
      <c r="A10186" s="10" t="b">
        <v>0</v>
      </c>
      <c r="B10186" s="11" t="str">
        <f>IF(D10186&lt;&gt;"",IF(COUNTIF('USPTO TMs'!A:A,D10186)&gt;0,"Yes","No"),"")</f>
        <v/>
      </c>
      <c r="C10186" s="11"/>
      <c r="D10186" s="11"/>
      <c r="E10186" s="11"/>
      <c r="F10186" s="11"/>
      <c r="G10186" s="11"/>
      <c r="H10186" s="11"/>
      <c r="I10186" s="15"/>
    </row>
    <row r="10187" spans="1:9" ht="16.5">
      <c r="A10187" s="10" t="b">
        <v>0</v>
      </c>
      <c r="B10187" s="11" t="str">
        <f>IF(D10187&lt;&gt;"",IF(COUNTIF('USPTO TMs'!A:A,D10187)&gt;0,"Yes","No"),"")</f>
        <v/>
      </c>
      <c r="C10187" s="11"/>
      <c r="D10187" s="11"/>
      <c r="E10187" s="11"/>
      <c r="F10187" s="11"/>
      <c r="G10187" s="11"/>
      <c r="H10187" s="11"/>
      <c r="I10187" s="15"/>
    </row>
    <row r="10188" spans="1:9" ht="16.5">
      <c r="A10188" s="10" t="b">
        <v>0</v>
      </c>
      <c r="B10188" s="11" t="str">
        <f>IF(D10188&lt;&gt;"",IF(COUNTIF('USPTO TMs'!A:A,D10188)&gt;0,"Yes","No"),"")</f>
        <v/>
      </c>
      <c r="C10188" s="11"/>
      <c r="D10188" s="11"/>
      <c r="E10188" s="11"/>
      <c r="F10188" s="11"/>
      <c r="G10188" s="11"/>
      <c r="H10188" s="11"/>
      <c r="I10188" s="15"/>
    </row>
    <row r="10189" spans="1:9" ht="16.5">
      <c r="A10189" s="10" t="b">
        <v>0</v>
      </c>
      <c r="B10189" s="11" t="str">
        <f>IF(D10189&lt;&gt;"",IF(COUNTIF('USPTO TMs'!A:A,D10189)&gt;0,"Yes","No"),"")</f>
        <v/>
      </c>
      <c r="C10189" s="11"/>
      <c r="D10189" s="11"/>
      <c r="E10189" s="11"/>
      <c r="F10189" s="11"/>
      <c r="G10189" s="11"/>
      <c r="H10189" s="11"/>
      <c r="I10189" s="15"/>
    </row>
    <row r="10190" spans="1:9" ht="16.5">
      <c r="A10190" s="10" t="b">
        <v>0</v>
      </c>
      <c r="B10190" s="11" t="str">
        <f>IF(D10190&lt;&gt;"",IF(COUNTIF('USPTO TMs'!A:A,D10190)&gt;0,"Yes","No"),"")</f>
        <v/>
      </c>
      <c r="C10190" s="11"/>
      <c r="D10190" s="11"/>
      <c r="E10190" s="11"/>
      <c r="F10190" s="11"/>
      <c r="G10190" s="11"/>
      <c r="H10190" s="11"/>
      <c r="I10190" s="15"/>
    </row>
    <row r="10191" spans="1:9" ht="16.5">
      <c r="A10191" s="10" t="b">
        <v>0</v>
      </c>
      <c r="B10191" s="11" t="str">
        <f>IF(D10191&lt;&gt;"",IF(COUNTIF('USPTO TMs'!A:A,D10191)&gt;0,"Yes","No"),"")</f>
        <v/>
      </c>
      <c r="C10191" s="11"/>
      <c r="D10191" s="11"/>
      <c r="E10191" s="11"/>
      <c r="F10191" s="11"/>
      <c r="G10191" s="11"/>
      <c r="H10191" s="11"/>
      <c r="I10191" s="15"/>
    </row>
    <row r="10192" spans="1:9" ht="16.5">
      <c r="A10192" s="10" t="b">
        <v>0</v>
      </c>
      <c r="B10192" s="11" t="str">
        <f>IF(D10192&lt;&gt;"",IF(COUNTIF('USPTO TMs'!A:A,D10192)&gt;0,"Yes","No"),"")</f>
        <v/>
      </c>
      <c r="C10192" s="11"/>
      <c r="D10192" s="11"/>
      <c r="E10192" s="11"/>
      <c r="F10192" s="11"/>
      <c r="G10192" s="11"/>
      <c r="H10192" s="11"/>
      <c r="I10192" s="15"/>
    </row>
    <row r="10193" spans="1:9" ht="16.5">
      <c r="A10193" s="10" t="b">
        <v>0</v>
      </c>
      <c r="B10193" s="11" t="str">
        <f>IF(D10193&lt;&gt;"",IF(COUNTIF('USPTO TMs'!A:A,D10193)&gt;0,"Yes","No"),"")</f>
        <v/>
      </c>
      <c r="C10193" s="11"/>
      <c r="D10193" s="11"/>
      <c r="E10193" s="11"/>
      <c r="F10193" s="11"/>
      <c r="G10193" s="11"/>
      <c r="H10193" s="11"/>
      <c r="I10193" s="15"/>
    </row>
    <row r="10194" spans="1:9" ht="16.5">
      <c r="A10194" s="10" t="b">
        <v>0</v>
      </c>
      <c r="B10194" s="11" t="str">
        <f>IF(D10194&lt;&gt;"",IF(COUNTIF('USPTO TMs'!A:A,D10194)&gt;0,"Yes","No"),"")</f>
        <v/>
      </c>
      <c r="C10194" s="11"/>
      <c r="D10194" s="11"/>
      <c r="E10194" s="11"/>
      <c r="F10194" s="11"/>
      <c r="G10194" s="11"/>
      <c r="H10194" s="11"/>
      <c r="I10194" s="15"/>
    </row>
    <row r="10195" spans="1:9" ht="16.5">
      <c r="A10195" s="10" t="b">
        <v>0</v>
      </c>
      <c r="B10195" s="11" t="str">
        <f>IF(D10195&lt;&gt;"",IF(COUNTIF('USPTO TMs'!A:A,D10195)&gt;0,"Yes","No"),"")</f>
        <v/>
      </c>
      <c r="C10195" s="11"/>
      <c r="D10195" s="11"/>
      <c r="E10195" s="11"/>
      <c r="F10195" s="11"/>
      <c r="G10195" s="11"/>
      <c r="H10195" s="11"/>
      <c r="I10195" s="15"/>
    </row>
    <row r="10196" spans="1:9" ht="16.5">
      <c r="A10196" s="10" t="b">
        <v>0</v>
      </c>
      <c r="B10196" s="11" t="str">
        <f>IF(D10196&lt;&gt;"",IF(COUNTIF('USPTO TMs'!A:A,D10196)&gt;0,"Yes","No"),"")</f>
        <v/>
      </c>
      <c r="C10196" s="11"/>
      <c r="D10196" s="11"/>
      <c r="E10196" s="11"/>
      <c r="F10196" s="11"/>
      <c r="G10196" s="11"/>
      <c r="H10196" s="11"/>
      <c r="I10196" s="15"/>
    </row>
    <row r="10197" spans="1:9" ht="16.5">
      <c r="A10197" s="10" t="b">
        <v>0</v>
      </c>
      <c r="B10197" s="11" t="str">
        <f>IF(D10197&lt;&gt;"",IF(COUNTIF('USPTO TMs'!A:A,D10197)&gt;0,"Yes","No"),"")</f>
        <v/>
      </c>
      <c r="C10197" s="11"/>
      <c r="D10197" s="11"/>
      <c r="E10197" s="11"/>
      <c r="F10197" s="11"/>
      <c r="G10197" s="11"/>
      <c r="H10197" s="11"/>
      <c r="I10197" s="15"/>
    </row>
    <row r="10198" spans="1:9" ht="16.5">
      <c r="A10198" s="10" t="b">
        <v>0</v>
      </c>
      <c r="B10198" s="11" t="str">
        <f>IF(D10198&lt;&gt;"",IF(COUNTIF('USPTO TMs'!A:A,D10198)&gt;0,"Yes","No"),"")</f>
        <v/>
      </c>
      <c r="C10198" s="11"/>
      <c r="D10198" s="11"/>
      <c r="E10198" s="11"/>
      <c r="F10198" s="11"/>
      <c r="G10198" s="11"/>
      <c r="H10198" s="11"/>
      <c r="I10198" s="15"/>
    </row>
    <row r="10199" spans="1:9" ht="16.5">
      <c r="A10199" s="10" t="b">
        <v>0</v>
      </c>
      <c r="B10199" s="11" t="str">
        <f>IF(D10199&lt;&gt;"",IF(COUNTIF('USPTO TMs'!A:A,D10199)&gt;0,"Yes","No"),"")</f>
        <v/>
      </c>
      <c r="C10199" s="11"/>
      <c r="D10199" s="11"/>
      <c r="E10199" s="11"/>
      <c r="F10199" s="11"/>
      <c r="G10199" s="11"/>
      <c r="H10199" s="11"/>
      <c r="I10199" s="15"/>
    </row>
    <row r="10200" spans="1:9" ht="16.5">
      <c r="A10200" s="10" t="b">
        <v>0</v>
      </c>
      <c r="B10200" s="11" t="str">
        <f>IF(D10200&lt;&gt;"",IF(COUNTIF('USPTO TMs'!A:A,D10200)&gt;0,"Yes","No"),"")</f>
        <v/>
      </c>
      <c r="C10200" s="11"/>
      <c r="D10200" s="11"/>
      <c r="E10200" s="11"/>
      <c r="F10200" s="11"/>
      <c r="G10200" s="11"/>
      <c r="H10200" s="11"/>
      <c r="I10200" s="15"/>
    </row>
    <row r="10201" spans="1:9" ht="16.5">
      <c r="A10201" s="10" t="b">
        <v>0</v>
      </c>
      <c r="B10201" s="11" t="str">
        <f>IF(D10201&lt;&gt;"",IF(COUNTIF('USPTO TMs'!A:A,D10201)&gt;0,"Yes","No"),"")</f>
        <v/>
      </c>
      <c r="C10201" s="11"/>
      <c r="D10201" s="11"/>
      <c r="E10201" s="11"/>
      <c r="F10201" s="11"/>
      <c r="G10201" s="11"/>
      <c r="H10201" s="11"/>
      <c r="I10201" s="15"/>
    </row>
    <row r="10202" spans="1:9" ht="16.5">
      <c r="A10202" s="10" t="b">
        <v>0</v>
      </c>
      <c r="B10202" s="11" t="str">
        <f>IF(D10202&lt;&gt;"",IF(COUNTIF('USPTO TMs'!A:A,D10202)&gt;0,"Yes","No"),"")</f>
        <v/>
      </c>
      <c r="C10202" s="11"/>
      <c r="D10202" s="11"/>
      <c r="E10202" s="11"/>
      <c r="F10202" s="11"/>
      <c r="G10202" s="11"/>
      <c r="H10202" s="11"/>
      <c r="I10202" s="15"/>
    </row>
    <row r="10203" spans="1:9" ht="16.5">
      <c r="A10203" s="10" t="b">
        <v>0</v>
      </c>
      <c r="B10203" s="11" t="str">
        <f>IF(D10203&lt;&gt;"",IF(COUNTIF('USPTO TMs'!A:A,D10203)&gt;0,"Yes","No"),"")</f>
        <v/>
      </c>
      <c r="C10203" s="11"/>
      <c r="D10203" s="11"/>
      <c r="E10203" s="11"/>
      <c r="F10203" s="11"/>
      <c r="G10203" s="11"/>
      <c r="H10203" s="11"/>
      <c r="I10203" s="15"/>
    </row>
    <row r="10204" spans="1:9" ht="16.5">
      <c r="A10204" s="10" t="b">
        <v>0</v>
      </c>
      <c r="B10204" s="11" t="str">
        <f>IF(D10204&lt;&gt;"",IF(COUNTIF('USPTO TMs'!A:A,D10204)&gt;0,"Yes","No"),"")</f>
        <v/>
      </c>
      <c r="C10204" s="11"/>
      <c r="D10204" s="11"/>
      <c r="E10204" s="11"/>
      <c r="F10204" s="11"/>
      <c r="G10204" s="11"/>
      <c r="H10204" s="11"/>
      <c r="I10204" s="15"/>
    </row>
    <row r="10205" spans="1:9" ht="16.5">
      <c r="A10205" s="10" t="b">
        <v>0</v>
      </c>
      <c r="B10205" s="11" t="str">
        <f>IF(D10205&lt;&gt;"",IF(COUNTIF('USPTO TMs'!A:A,D10205)&gt;0,"Yes","No"),"")</f>
        <v/>
      </c>
      <c r="C10205" s="11"/>
      <c r="D10205" s="11"/>
      <c r="E10205" s="11"/>
      <c r="F10205" s="11"/>
      <c r="G10205" s="11"/>
      <c r="H10205" s="11"/>
      <c r="I10205" s="15"/>
    </row>
    <row r="10206" spans="1:9" ht="16.5">
      <c r="A10206" s="10" t="b">
        <v>0</v>
      </c>
      <c r="B10206" s="11" t="str">
        <f>IF(D10206&lt;&gt;"",IF(COUNTIF('USPTO TMs'!A:A,D10206)&gt;0,"Yes","No"),"")</f>
        <v/>
      </c>
      <c r="C10206" s="11"/>
      <c r="D10206" s="11"/>
      <c r="E10206" s="11"/>
      <c r="F10206" s="11"/>
      <c r="G10206" s="11"/>
      <c r="H10206" s="11"/>
      <c r="I10206" s="15"/>
    </row>
    <row r="10207" spans="1:9" ht="16.5">
      <c r="A10207" s="10" t="b">
        <v>0</v>
      </c>
      <c r="B10207" s="11" t="str">
        <f>IF(D10207&lt;&gt;"",IF(COUNTIF('USPTO TMs'!A:A,D10207)&gt;0,"Yes","No"),"")</f>
        <v/>
      </c>
      <c r="C10207" s="11"/>
      <c r="D10207" s="11"/>
      <c r="E10207" s="11"/>
      <c r="F10207" s="11"/>
      <c r="G10207" s="11"/>
      <c r="H10207" s="11"/>
      <c r="I10207" s="15"/>
    </row>
    <row r="10208" spans="1:9" ht="16.5">
      <c r="A10208" s="10" t="b">
        <v>0</v>
      </c>
      <c r="B10208" s="11" t="str">
        <f>IF(D10208&lt;&gt;"",IF(COUNTIF('USPTO TMs'!A:A,D10208)&gt;0,"Yes","No"),"")</f>
        <v/>
      </c>
      <c r="C10208" s="11"/>
      <c r="D10208" s="11"/>
      <c r="E10208" s="11"/>
      <c r="F10208" s="11"/>
      <c r="G10208" s="11"/>
      <c r="H10208" s="11"/>
      <c r="I10208" s="15"/>
    </row>
    <row r="10209" spans="1:9" ht="16.5">
      <c r="A10209" s="10" t="b">
        <v>0</v>
      </c>
      <c r="B10209" s="11" t="str">
        <f>IF(D10209&lt;&gt;"",IF(COUNTIF('USPTO TMs'!A:A,D10209)&gt;0,"Yes","No"),"")</f>
        <v/>
      </c>
      <c r="C10209" s="11"/>
      <c r="D10209" s="11"/>
      <c r="E10209" s="11"/>
      <c r="F10209" s="11"/>
      <c r="G10209" s="11"/>
      <c r="H10209" s="11"/>
      <c r="I10209" s="15"/>
    </row>
    <row r="10210" spans="1:9" ht="16.5">
      <c r="A10210" s="10" t="b">
        <v>0</v>
      </c>
      <c r="B10210" s="11" t="str">
        <f>IF(D10210&lt;&gt;"",IF(COUNTIF('USPTO TMs'!A:A,D10210)&gt;0,"Yes","No"),"")</f>
        <v/>
      </c>
      <c r="C10210" s="11"/>
      <c r="D10210" s="11"/>
      <c r="E10210" s="11"/>
      <c r="F10210" s="11"/>
      <c r="G10210" s="11"/>
      <c r="H10210" s="11"/>
      <c r="I10210" s="15"/>
    </row>
    <row r="10211" spans="1:9" ht="16.5">
      <c r="A10211" s="10" t="b">
        <v>0</v>
      </c>
      <c r="B10211" s="11" t="str">
        <f>IF(D10211&lt;&gt;"",IF(COUNTIF('USPTO TMs'!A:A,D10211)&gt;0,"Yes","No"),"")</f>
        <v/>
      </c>
      <c r="C10211" s="11"/>
      <c r="D10211" s="11"/>
      <c r="E10211" s="11"/>
      <c r="F10211" s="11"/>
      <c r="G10211" s="11"/>
      <c r="H10211" s="11"/>
      <c r="I10211" s="15"/>
    </row>
    <row r="10212" spans="1:9" ht="16.5">
      <c r="A10212" s="10" t="b">
        <v>0</v>
      </c>
      <c r="B10212" s="11" t="str">
        <f>IF(D10212&lt;&gt;"",IF(COUNTIF('USPTO TMs'!A:A,D10212)&gt;0,"Yes","No"),"")</f>
        <v/>
      </c>
      <c r="C10212" s="11"/>
      <c r="D10212" s="11"/>
      <c r="E10212" s="11"/>
      <c r="F10212" s="11"/>
      <c r="G10212" s="11"/>
      <c r="H10212" s="11"/>
      <c r="I10212" s="15"/>
    </row>
    <row r="10213" spans="1:9" ht="16.5">
      <c r="A10213" s="10" t="b">
        <v>0</v>
      </c>
      <c r="B10213" s="11" t="str">
        <f>IF(D10213&lt;&gt;"",IF(COUNTIF('USPTO TMs'!A:A,D10213)&gt;0,"Yes","No"),"")</f>
        <v/>
      </c>
      <c r="C10213" s="11"/>
      <c r="D10213" s="11"/>
      <c r="E10213" s="11"/>
      <c r="F10213" s="11"/>
      <c r="G10213" s="11"/>
      <c r="H10213" s="11"/>
      <c r="I10213" s="15"/>
    </row>
    <row r="10214" spans="1:9" ht="16.5">
      <c r="A10214" s="10" t="b">
        <v>0</v>
      </c>
      <c r="B10214" s="11" t="str">
        <f>IF(D10214&lt;&gt;"",IF(COUNTIF('USPTO TMs'!A:A,D10214)&gt;0,"Yes","No"),"")</f>
        <v/>
      </c>
      <c r="C10214" s="11"/>
      <c r="D10214" s="11"/>
      <c r="E10214" s="11"/>
      <c r="F10214" s="11"/>
      <c r="G10214" s="11"/>
      <c r="H10214" s="11"/>
      <c r="I10214" s="15"/>
    </row>
    <row r="10215" spans="1:9" ht="16.5">
      <c r="A10215" s="10" t="b">
        <v>0</v>
      </c>
      <c r="B10215" s="11" t="str">
        <f>IF(D10215&lt;&gt;"",IF(COUNTIF('USPTO TMs'!A:A,D10215)&gt;0,"Yes","No"),"")</f>
        <v/>
      </c>
      <c r="C10215" s="11"/>
      <c r="D10215" s="11"/>
      <c r="E10215" s="11"/>
      <c r="F10215" s="11"/>
      <c r="G10215" s="11"/>
      <c r="H10215" s="11"/>
      <c r="I10215" s="15"/>
    </row>
    <row r="10216" spans="1:9" ht="16.5">
      <c r="A10216" s="10" t="b">
        <v>0</v>
      </c>
      <c r="B10216" s="11" t="str">
        <f>IF(D10216&lt;&gt;"",IF(COUNTIF('USPTO TMs'!A:A,D10216)&gt;0,"Yes","No"),"")</f>
        <v/>
      </c>
      <c r="C10216" s="11"/>
      <c r="D10216" s="11"/>
      <c r="E10216" s="11"/>
      <c r="F10216" s="11"/>
      <c r="G10216" s="11"/>
      <c r="H10216" s="11"/>
      <c r="I10216" s="15"/>
    </row>
    <row r="10217" spans="1:9" ht="16.5">
      <c r="A10217" s="10" t="b">
        <v>0</v>
      </c>
      <c r="B10217" s="11" t="str">
        <f>IF(D10217&lt;&gt;"",IF(COUNTIF('USPTO TMs'!A:A,D10217)&gt;0,"Yes","No"),"")</f>
        <v/>
      </c>
      <c r="C10217" s="11"/>
      <c r="D10217" s="11"/>
      <c r="E10217" s="11"/>
      <c r="F10217" s="11"/>
      <c r="G10217" s="11"/>
      <c r="H10217" s="11"/>
      <c r="I10217" s="15"/>
    </row>
    <row r="10218" spans="1:9" ht="16.5">
      <c r="A10218" s="10" t="b">
        <v>0</v>
      </c>
      <c r="B10218" s="11" t="str">
        <f>IF(D10218&lt;&gt;"",IF(COUNTIF('USPTO TMs'!A:A,D10218)&gt;0,"Yes","No"),"")</f>
        <v/>
      </c>
      <c r="C10218" s="11"/>
      <c r="D10218" s="11"/>
      <c r="E10218" s="11"/>
      <c r="F10218" s="11"/>
      <c r="G10218" s="11"/>
      <c r="H10218" s="11"/>
      <c r="I10218" s="15"/>
    </row>
    <row r="10219" spans="1:9" ht="16.5">
      <c r="A10219" s="10" t="b">
        <v>0</v>
      </c>
      <c r="B10219" s="11" t="str">
        <f>IF(D10219&lt;&gt;"",IF(COUNTIF('USPTO TMs'!A:A,D10219)&gt;0,"Yes","No"),"")</f>
        <v/>
      </c>
      <c r="C10219" s="11"/>
      <c r="D10219" s="11"/>
      <c r="E10219" s="11"/>
      <c r="F10219" s="11"/>
      <c r="G10219" s="11"/>
      <c r="H10219" s="11"/>
      <c r="I10219" s="15"/>
    </row>
    <row r="10220" spans="1:9" ht="16.5">
      <c r="A10220" s="10" t="b">
        <v>0</v>
      </c>
      <c r="B10220" s="11" t="str">
        <f>IF(D10220&lt;&gt;"",IF(COUNTIF('USPTO TMs'!A:A,D10220)&gt;0,"Yes","No"),"")</f>
        <v/>
      </c>
      <c r="C10220" s="11"/>
      <c r="D10220" s="11"/>
      <c r="E10220" s="11"/>
      <c r="F10220" s="11"/>
      <c r="G10220" s="11"/>
      <c r="H10220" s="11"/>
      <c r="I10220" s="15"/>
    </row>
    <row r="10221" spans="1:9" ht="16.5">
      <c r="A10221" s="10" t="b">
        <v>0</v>
      </c>
      <c r="B10221" s="11" t="str">
        <f>IF(D10221&lt;&gt;"",IF(COUNTIF('USPTO TMs'!A:A,D10221)&gt;0,"Yes","No"),"")</f>
        <v/>
      </c>
      <c r="C10221" s="11"/>
      <c r="D10221" s="11"/>
      <c r="E10221" s="11"/>
      <c r="F10221" s="11"/>
      <c r="G10221" s="11"/>
      <c r="H10221" s="11"/>
      <c r="I10221" s="15"/>
    </row>
    <row r="10222" spans="1:9" ht="16.5">
      <c r="A10222" s="10" t="b">
        <v>0</v>
      </c>
      <c r="B10222" s="11" t="str">
        <f>IF(D10222&lt;&gt;"",IF(COUNTIF('USPTO TMs'!A:A,D10222)&gt;0,"Yes","No"),"")</f>
        <v/>
      </c>
      <c r="C10222" s="11"/>
      <c r="D10222" s="11"/>
      <c r="E10222" s="11"/>
      <c r="F10222" s="11"/>
      <c r="G10222" s="11"/>
      <c r="H10222" s="11"/>
      <c r="I10222" s="15"/>
    </row>
    <row r="10223" spans="1:9" ht="16.5">
      <c r="A10223" s="10" t="b">
        <v>0</v>
      </c>
      <c r="B10223" s="11" t="str">
        <f>IF(D10223&lt;&gt;"",IF(COUNTIF('USPTO TMs'!A:A,D10223)&gt;0,"Yes","No"),"")</f>
        <v/>
      </c>
      <c r="C10223" s="11"/>
      <c r="D10223" s="11"/>
      <c r="E10223" s="11"/>
      <c r="F10223" s="11"/>
      <c r="G10223" s="11"/>
      <c r="H10223" s="11"/>
      <c r="I10223" s="15"/>
    </row>
    <row r="10224" spans="1:9" ht="16.5">
      <c r="A10224" s="10" t="b">
        <v>0</v>
      </c>
      <c r="B10224" s="11" t="str">
        <f>IF(D10224&lt;&gt;"",IF(COUNTIF('USPTO TMs'!A:A,D10224)&gt;0,"Yes","No"),"")</f>
        <v/>
      </c>
      <c r="C10224" s="11"/>
      <c r="D10224" s="11"/>
      <c r="E10224" s="11"/>
      <c r="F10224" s="11"/>
      <c r="G10224" s="11"/>
      <c r="H10224" s="11"/>
      <c r="I10224" s="15"/>
    </row>
    <row r="10225" spans="1:9" ht="16.5">
      <c r="A10225" s="10" t="b">
        <v>0</v>
      </c>
      <c r="B10225" s="11" t="str">
        <f>IF(D10225&lt;&gt;"",IF(COUNTIF('USPTO TMs'!A:A,D10225)&gt;0,"Yes","No"),"")</f>
        <v/>
      </c>
      <c r="C10225" s="11"/>
      <c r="D10225" s="11"/>
      <c r="E10225" s="11"/>
      <c r="F10225" s="11"/>
      <c r="G10225" s="11"/>
      <c r="H10225" s="11"/>
      <c r="I10225" s="15"/>
    </row>
    <row r="10226" spans="1:9" ht="16.5">
      <c r="A10226" s="10" t="b">
        <v>0</v>
      </c>
      <c r="B10226" s="11" t="str">
        <f>IF(D10226&lt;&gt;"",IF(COUNTIF('USPTO TMs'!A:A,D10226)&gt;0,"Yes","No"),"")</f>
        <v/>
      </c>
      <c r="C10226" s="11"/>
      <c r="D10226" s="11"/>
      <c r="E10226" s="11"/>
      <c r="F10226" s="11"/>
      <c r="G10226" s="11"/>
      <c r="H10226" s="11"/>
      <c r="I10226" s="15"/>
    </row>
    <row r="10227" spans="1:9" ht="16.5">
      <c r="A10227" s="10" t="b">
        <v>0</v>
      </c>
      <c r="B10227" s="11" t="str">
        <f>IF(D10227&lt;&gt;"",IF(COUNTIF('USPTO TMs'!A:A,D10227)&gt;0,"Yes","No"),"")</f>
        <v/>
      </c>
      <c r="C10227" s="11"/>
      <c r="D10227" s="11"/>
      <c r="E10227" s="11"/>
      <c r="F10227" s="11"/>
      <c r="G10227" s="11"/>
      <c r="H10227" s="11"/>
      <c r="I10227" s="15"/>
    </row>
    <row r="10228" spans="1:9" ht="16.5">
      <c r="A10228" s="10" t="b">
        <v>0</v>
      </c>
      <c r="B10228" s="11" t="str">
        <f>IF(D10228&lt;&gt;"",IF(COUNTIF('USPTO TMs'!A:A,D10228)&gt;0,"Yes","No"),"")</f>
        <v/>
      </c>
      <c r="C10228" s="11"/>
      <c r="D10228" s="11"/>
      <c r="E10228" s="11"/>
      <c r="F10228" s="11"/>
      <c r="G10228" s="11"/>
      <c r="H10228" s="11"/>
      <c r="I10228" s="15"/>
    </row>
    <row r="10229" spans="1:9" ht="16.5">
      <c r="A10229" s="10" t="b">
        <v>0</v>
      </c>
      <c r="B10229" s="11" t="str">
        <f>IF(D10229&lt;&gt;"",IF(COUNTIF('USPTO TMs'!A:A,D10229)&gt;0,"Yes","No"),"")</f>
        <v/>
      </c>
      <c r="C10229" s="11"/>
      <c r="D10229" s="11"/>
      <c r="E10229" s="11"/>
      <c r="F10229" s="11"/>
      <c r="G10229" s="11"/>
      <c r="H10229" s="11"/>
      <c r="I10229" s="15"/>
    </row>
    <row r="10230" spans="1:9" ht="16.5">
      <c r="A10230" s="10" t="b">
        <v>0</v>
      </c>
      <c r="B10230" s="11" t="str">
        <f>IF(D10230&lt;&gt;"",IF(COUNTIF('USPTO TMs'!A:A,D10230)&gt;0,"Yes","No"),"")</f>
        <v/>
      </c>
      <c r="C10230" s="11"/>
      <c r="D10230" s="11"/>
      <c r="E10230" s="11"/>
      <c r="F10230" s="11"/>
      <c r="G10230" s="11"/>
      <c r="H10230" s="11"/>
      <c r="I10230" s="15"/>
    </row>
    <row r="10231" spans="1:9" ht="16.5">
      <c r="A10231" s="10" t="b">
        <v>0</v>
      </c>
      <c r="B10231" s="11" t="str">
        <f>IF(D10231&lt;&gt;"",IF(COUNTIF('USPTO TMs'!A:A,D10231)&gt;0,"Yes","No"),"")</f>
        <v/>
      </c>
      <c r="C10231" s="11"/>
      <c r="D10231" s="11"/>
      <c r="E10231" s="11"/>
      <c r="F10231" s="11"/>
      <c r="G10231" s="11"/>
      <c r="H10231" s="11"/>
      <c r="I10231" s="15"/>
    </row>
    <row r="10232" spans="1:9" ht="16.5">
      <c r="A10232" s="10" t="b">
        <v>0</v>
      </c>
      <c r="B10232" s="11" t="str">
        <f>IF(D10232&lt;&gt;"",IF(COUNTIF('USPTO TMs'!A:A,D10232)&gt;0,"Yes","No"),"")</f>
        <v/>
      </c>
      <c r="C10232" s="11"/>
      <c r="D10232" s="11"/>
      <c r="E10232" s="11"/>
      <c r="F10232" s="11"/>
      <c r="G10232" s="11"/>
      <c r="H10232" s="11"/>
      <c r="I10232" s="15"/>
    </row>
    <row r="10233" spans="1:9" ht="16.5">
      <c r="A10233" s="10" t="b">
        <v>0</v>
      </c>
      <c r="B10233" s="11" t="str">
        <f>IF(D10233&lt;&gt;"",IF(COUNTIF('USPTO TMs'!A:A,D10233)&gt;0,"Yes","No"),"")</f>
        <v/>
      </c>
      <c r="C10233" s="11"/>
      <c r="D10233" s="11"/>
      <c r="E10233" s="11"/>
      <c r="F10233" s="11"/>
      <c r="G10233" s="11"/>
      <c r="H10233" s="11"/>
      <c r="I10233" s="15"/>
    </row>
    <row r="10234" spans="1:9" ht="16.5">
      <c r="A10234" s="10" t="b">
        <v>0</v>
      </c>
      <c r="B10234" s="11" t="str">
        <f>IF(D10234&lt;&gt;"",IF(COUNTIF('USPTO TMs'!A:A,D10234)&gt;0,"Yes","No"),"")</f>
        <v/>
      </c>
      <c r="C10234" s="11"/>
      <c r="D10234" s="11"/>
      <c r="E10234" s="11"/>
      <c r="F10234" s="11"/>
      <c r="G10234" s="11"/>
      <c r="H10234" s="11"/>
      <c r="I10234" s="15"/>
    </row>
    <row r="10235" spans="1:9" ht="16.5">
      <c r="A10235" s="10" t="b">
        <v>0</v>
      </c>
      <c r="B10235" s="11" t="str">
        <f>IF(D10235&lt;&gt;"",IF(COUNTIF('USPTO TMs'!A:A,D10235)&gt;0,"Yes","No"),"")</f>
        <v/>
      </c>
      <c r="C10235" s="11"/>
      <c r="D10235" s="11"/>
      <c r="E10235" s="11"/>
      <c r="F10235" s="11"/>
      <c r="G10235" s="11"/>
      <c r="H10235" s="11"/>
      <c r="I10235" s="15"/>
    </row>
    <row r="10236" spans="1:9" ht="16.5">
      <c r="A10236" s="10" t="b">
        <v>0</v>
      </c>
      <c r="B10236" s="11" t="str">
        <f>IF(D10236&lt;&gt;"",IF(COUNTIF('USPTO TMs'!A:A,D10236)&gt;0,"Yes","No"),"")</f>
        <v/>
      </c>
      <c r="C10236" s="11"/>
      <c r="D10236" s="11"/>
      <c r="E10236" s="11"/>
      <c r="F10236" s="11"/>
      <c r="G10236" s="11"/>
      <c r="H10236" s="11"/>
      <c r="I10236" s="15"/>
    </row>
    <row r="10237" spans="1:9" ht="16.5">
      <c r="A10237" s="10" t="b">
        <v>0</v>
      </c>
      <c r="B10237" s="11" t="str">
        <f>IF(D10237&lt;&gt;"",IF(COUNTIF('USPTO TMs'!A:A,D10237)&gt;0,"Yes","No"),"")</f>
        <v/>
      </c>
      <c r="C10237" s="11"/>
      <c r="D10237" s="11"/>
      <c r="E10237" s="11"/>
      <c r="F10237" s="11"/>
      <c r="G10237" s="11"/>
      <c r="H10237" s="11"/>
      <c r="I10237" s="15"/>
    </row>
    <row r="10238" spans="1:9" ht="16.5">
      <c r="A10238" s="10" t="b">
        <v>0</v>
      </c>
      <c r="B10238" s="11" t="str">
        <f>IF(D10238&lt;&gt;"",IF(COUNTIF('USPTO TMs'!A:A,D10238)&gt;0,"Yes","No"),"")</f>
        <v/>
      </c>
      <c r="C10238" s="11"/>
      <c r="D10238" s="11"/>
      <c r="E10238" s="11"/>
      <c r="F10238" s="11"/>
      <c r="G10238" s="11"/>
      <c r="H10238" s="11"/>
      <c r="I10238" s="15"/>
    </row>
    <row r="10239" spans="1:9" ht="16.5">
      <c r="A10239" s="10" t="b">
        <v>0</v>
      </c>
      <c r="B10239" s="11" t="str">
        <f>IF(D10239&lt;&gt;"",IF(COUNTIF('USPTO TMs'!A:A,D10239)&gt;0,"Yes","No"),"")</f>
        <v/>
      </c>
      <c r="C10239" s="11"/>
      <c r="D10239" s="11"/>
      <c r="E10239" s="11"/>
      <c r="F10239" s="11"/>
      <c r="G10239" s="11"/>
      <c r="H10239" s="11"/>
      <c r="I10239" s="15"/>
    </row>
    <row r="10240" spans="1:9" ht="16.5">
      <c r="A10240" s="10" t="b">
        <v>0</v>
      </c>
      <c r="B10240" s="11" t="str">
        <f>IF(D10240&lt;&gt;"",IF(COUNTIF('USPTO TMs'!A:A,D10240)&gt;0,"Yes","No"),"")</f>
        <v/>
      </c>
      <c r="C10240" s="11"/>
      <c r="D10240" s="11"/>
      <c r="E10240" s="11"/>
      <c r="F10240" s="11"/>
      <c r="G10240" s="11"/>
      <c r="H10240" s="11"/>
      <c r="I10240" s="15"/>
    </row>
    <row r="10241" spans="1:9" ht="16.5">
      <c r="A10241" s="10" t="b">
        <v>0</v>
      </c>
      <c r="B10241" s="11" t="str">
        <f>IF(D10241&lt;&gt;"",IF(COUNTIF('USPTO TMs'!A:A,D10241)&gt;0,"Yes","No"),"")</f>
        <v/>
      </c>
      <c r="C10241" s="11"/>
      <c r="D10241" s="11"/>
      <c r="E10241" s="11"/>
      <c r="F10241" s="11"/>
      <c r="G10241" s="11"/>
      <c r="H10241" s="11"/>
      <c r="I10241" s="15"/>
    </row>
    <row r="10242" spans="1:9" ht="16.5">
      <c r="A10242" s="10" t="b">
        <v>0</v>
      </c>
      <c r="B10242" s="11" t="str">
        <f>IF(D10242&lt;&gt;"",IF(COUNTIF('USPTO TMs'!A:A,D10242)&gt;0,"Yes","No"),"")</f>
        <v/>
      </c>
      <c r="C10242" s="11"/>
      <c r="D10242" s="11"/>
      <c r="E10242" s="11"/>
      <c r="F10242" s="11"/>
      <c r="G10242" s="11"/>
      <c r="H10242" s="11"/>
      <c r="I10242" s="15"/>
    </row>
    <row r="10243" spans="1:9" ht="16.5">
      <c r="A10243" s="10" t="b">
        <v>0</v>
      </c>
      <c r="B10243" s="11" t="str">
        <f>IF(D10243&lt;&gt;"",IF(COUNTIF('USPTO TMs'!A:A,D10243)&gt;0,"Yes","No"),"")</f>
        <v/>
      </c>
      <c r="C10243" s="11"/>
      <c r="D10243" s="11"/>
      <c r="E10243" s="11"/>
      <c r="F10243" s="11"/>
      <c r="G10243" s="11"/>
      <c r="H10243" s="11"/>
      <c r="I10243" s="15"/>
    </row>
    <row r="10244" spans="1:9" ht="16.5">
      <c r="A10244" s="10" t="b">
        <v>0</v>
      </c>
      <c r="B10244" s="11" t="str">
        <f>IF(D10244&lt;&gt;"",IF(COUNTIF('USPTO TMs'!A:A,D10244)&gt;0,"Yes","No"),"")</f>
        <v/>
      </c>
      <c r="C10244" s="11"/>
      <c r="D10244" s="11"/>
      <c r="E10244" s="11"/>
      <c r="F10244" s="11"/>
      <c r="G10244" s="11"/>
      <c r="H10244" s="11"/>
      <c r="I10244" s="15"/>
    </row>
    <row r="10245" spans="1:9" ht="16.5">
      <c r="A10245" s="10" t="b">
        <v>0</v>
      </c>
      <c r="B10245" s="11" t="str">
        <f>IF(D10245&lt;&gt;"",IF(COUNTIF('USPTO TMs'!A:A,D10245)&gt;0,"Yes","No"),"")</f>
        <v/>
      </c>
      <c r="C10245" s="11"/>
      <c r="D10245" s="11"/>
      <c r="E10245" s="11"/>
      <c r="F10245" s="11"/>
      <c r="G10245" s="11"/>
      <c r="H10245" s="11"/>
      <c r="I10245" s="15"/>
    </row>
    <row r="10246" spans="1:9" ht="16.5">
      <c r="A10246" s="10" t="b">
        <v>0</v>
      </c>
      <c r="B10246" s="11" t="str">
        <f>IF(D10246&lt;&gt;"",IF(COUNTIF('USPTO TMs'!A:A,D10246)&gt;0,"Yes","No"),"")</f>
        <v/>
      </c>
      <c r="C10246" s="11"/>
      <c r="D10246" s="11"/>
      <c r="E10246" s="11"/>
      <c r="F10246" s="11"/>
      <c r="G10246" s="11"/>
      <c r="H10246" s="11"/>
      <c r="I10246" s="15"/>
    </row>
    <row r="10247" spans="1:9" ht="16.5">
      <c r="A10247" s="10" t="b">
        <v>0</v>
      </c>
      <c r="B10247" s="11" t="str">
        <f>IF(D10247&lt;&gt;"",IF(COUNTIF('USPTO TMs'!A:A,D10247)&gt;0,"Yes","No"),"")</f>
        <v/>
      </c>
      <c r="C10247" s="11"/>
      <c r="D10247" s="11"/>
      <c r="E10247" s="11"/>
      <c r="F10247" s="11"/>
      <c r="G10247" s="11"/>
      <c r="H10247" s="11"/>
      <c r="I10247" s="15"/>
    </row>
    <row r="10248" spans="1:9" ht="16.5">
      <c r="A10248" s="10" t="b">
        <v>0</v>
      </c>
      <c r="B10248" s="11" t="str">
        <f>IF(D10248&lt;&gt;"",IF(COUNTIF('USPTO TMs'!A:A,D10248)&gt;0,"Yes","No"),"")</f>
        <v/>
      </c>
      <c r="C10248" s="11"/>
      <c r="D10248" s="11"/>
      <c r="E10248" s="11"/>
      <c r="F10248" s="11"/>
      <c r="G10248" s="11"/>
      <c r="H10248" s="11"/>
      <c r="I10248" s="15"/>
    </row>
    <row r="10249" spans="1:9" ht="16.5">
      <c r="A10249" s="10" t="b">
        <v>0</v>
      </c>
      <c r="B10249" s="11" t="str">
        <f>IF(D10249&lt;&gt;"",IF(COUNTIF('USPTO TMs'!A:A,D10249)&gt;0,"Yes","No"),"")</f>
        <v/>
      </c>
      <c r="C10249" s="11"/>
      <c r="D10249" s="11"/>
      <c r="E10249" s="11"/>
      <c r="F10249" s="11"/>
      <c r="G10249" s="11"/>
      <c r="H10249" s="11"/>
      <c r="I10249" s="15"/>
    </row>
    <row r="10250" spans="1:9" ht="16.5">
      <c r="A10250" s="10" t="b">
        <v>0</v>
      </c>
      <c r="B10250" s="11" t="str">
        <f>IF(D10250&lt;&gt;"",IF(COUNTIF('USPTO TMs'!A:A,D10250)&gt;0,"Yes","No"),"")</f>
        <v/>
      </c>
      <c r="C10250" s="11"/>
      <c r="D10250" s="11"/>
      <c r="E10250" s="11"/>
      <c r="F10250" s="11"/>
      <c r="G10250" s="11"/>
      <c r="H10250" s="11"/>
      <c r="I10250" s="15"/>
    </row>
    <row r="10251" spans="1:9" ht="16.5">
      <c r="A10251" s="10" t="b">
        <v>0</v>
      </c>
      <c r="B10251" s="11" t="str">
        <f>IF(D10251&lt;&gt;"",IF(COUNTIF('USPTO TMs'!A:A,D10251)&gt;0,"Yes","No"),"")</f>
        <v/>
      </c>
      <c r="C10251" s="11"/>
      <c r="D10251" s="11"/>
      <c r="E10251" s="11"/>
      <c r="F10251" s="11"/>
      <c r="G10251" s="11"/>
      <c r="H10251" s="11"/>
      <c r="I10251" s="15"/>
    </row>
    <row r="10252" spans="1:9" ht="16.5">
      <c r="A10252" s="10" t="b">
        <v>0</v>
      </c>
      <c r="B10252" s="11" t="str">
        <f>IF(D10252&lt;&gt;"",IF(COUNTIF('USPTO TMs'!A:A,D10252)&gt;0,"Yes","No"),"")</f>
        <v/>
      </c>
      <c r="C10252" s="11"/>
      <c r="D10252" s="11"/>
      <c r="E10252" s="11"/>
      <c r="F10252" s="11"/>
      <c r="G10252" s="11"/>
      <c r="H10252" s="11"/>
      <c r="I10252" s="15"/>
    </row>
    <row r="10253" spans="1:9" ht="16.5">
      <c r="A10253" s="10" t="b">
        <v>0</v>
      </c>
      <c r="B10253" s="11" t="str">
        <f>IF(D10253&lt;&gt;"",IF(COUNTIF('USPTO TMs'!A:A,D10253)&gt;0,"Yes","No"),"")</f>
        <v/>
      </c>
      <c r="C10253" s="11"/>
      <c r="D10253" s="11"/>
      <c r="E10253" s="11"/>
      <c r="F10253" s="11"/>
      <c r="G10253" s="11"/>
      <c r="H10253" s="11"/>
      <c r="I10253" s="15"/>
    </row>
    <row r="10254" spans="1:9" ht="16.5">
      <c r="A10254" s="10" t="b">
        <v>0</v>
      </c>
      <c r="B10254" s="11" t="str">
        <f>IF(D10254&lt;&gt;"",IF(COUNTIF('USPTO TMs'!A:A,D10254)&gt;0,"Yes","No"),"")</f>
        <v/>
      </c>
      <c r="C10254" s="11"/>
      <c r="D10254" s="11"/>
      <c r="E10254" s="11"/>
      <c r="F10254" s="11"/>
      <c r="G10254" s="11"/>
      <c r="H10254" s="11"/>
      <c r="I10254" s="15"/>
    </row>
    <row r="10255" spans="1:9" ht="16.5">
      <c r="A10255" s="10" t="b">
        <v>0</v>
      </c>
      <c r="B10255" s="11" t="str">
        <f>IF(D10255&lt;&gt;"",IF(COUNTIF('USPTO TMs'!A:A,D10255)&gt;0,"Yes","No"),"")</f>
        <v/>
      </c>
      <c r="C10255" s="11"/>
      <c r="D10255" s="11"/>
      <c r="E10255" s="11"/>
      <c r="F10255" s="11"/>
      <c r="G10255" s="11"/>
      <c r="H10255" s="11"/>
      <c r="I10255" s="15"/>
    </row>
    <row r="10256" spans="1:9" ht="16.5">
      <c r="A10256" s="10" t="b">
        <v>0</v>
      </c>
      <c r="B10256" s="11" t="str">
        <f>IF(D10256&lt;&gt;"",IF(COUNTIF('USPTO TMs'!A:A,D10256)&gt;0,"Yes","No"),"")</f>
        <v/>
      </c>
      <c r="C10256" s="11"/>
      <c r="D10256" s="11"/>
      <c r="E10256" s="11"/>
      <c r="F10256" s="11"/>
      <c r="G10256" s="11"/>
      <c r="H10256" s="11"/>
      <c r="I10256" s="15"/>
    </row>
    <row r="10257" spans="1:9" ht="16.5">
      <c r="A10257" s="10" t="b">
        <v>0</v>
      </c>
      <c r="B10257" s="11" t="str">
        <f>IF(D10257&lt;&gt;"",IF(COUNTIF('USPTO TMs'!A:A,D10257)&gt;0,"Yes","No"),"")</f>
        <v/>
      </c>
      <c r="C10257" s="11"/>
      <c r="D10257" s="11"/>
      <c r="E10257" s="11"/>
      <c r="F10257" s="11"/>
      <c r="G10257" s="11"/>
      <c r="H10257" s="11"/>
      <c r="I10257" s="15"/>
    </row>
    <row r="10258" spans="1:9" ht="16.5">
      <c r="A10258" s="10" t="b">
        <v>0</v>
      </c>
      <c r="B10258" s="11" t="str">
        <f>IF(D10258&lt;&gt;"",IF(COUNTIF('USPTO TMs'!A:A,D10258)&gt;0,"Yes","No"),"")</f>
        <v/>
      </c>
      <c r="C10258" s="11"/>
      <c r="D10258" s="11"/>
      <c r="E10258" s="11"/>
      <c r="F10258" s="11"/>
      <c r="G10258" s="11"/>
      <c r="H10258" s="11"/>
      <c r="I10258" s="15"/>
    </row>
    <row r="10259" spans="1:9" ht="16.5">
      <c r="A10259" s="10" t="b">
        <v>0</v>
      </c>
      <c r="B10259" s="11" t="str">
        <f>IF(D10259&lt;&gt;"",IF(COUNTIF('USPTO TMs'!A:A,D10259)&gt;0,"Yes","No"),"")</f>
        <v/>
      </c>
      <c r="C10259" s="11"/>
      <c r="D10259" s="11"/>
      <c r="E10259" s="11"/>
      <c r="F10259" s="11"/>
      <c r="G10259" s="11"/>
      <c r="H10259" s="11"/>
      <c r="I10259" s="15"/>
    </row>
    <row r="10260" spans="1:9" ht="16.5">
      <c r="A10260" s="10" t="b">
        <v>0</v>
      </c>
      <c r="B10260" s="11" t="str">
        <f>IF(D10260&lt;&gt;"",IF(COUNTIF('USPTO TMs'!A:A,D10260)&gt;0,"Yes","No"),"")</f>
        <v/>
      </c>
      <c r="C10260" s="11"/>
      <c r="D10260" s="11"/>
      <c r="E10260" s="11"/>
      <c r="F10260" s="11"/>
      <c r="G10260" s="11"/>
      <c r="H10260" s="11"/>
      <c r="I10260" s="15"/>
    </row>
    <row r="10261" spans="1:9" ht="16.5">
      <c r="A10261" s="10" t="b">
        <v>0</v>
      </c>
      <c r="B10261" s="11" t="str">
        <f>IF(D10261&lt;&gt;"",IF(COUNTIF('USPTO TMs'!A:A,D10261)&gt;0,"Yes","No"),"")</f>
        <v/>
      </c>
      <c r="C10261" s="11"/>
      <c r="D10261" s="11"/>
      <c r="E10261" s="11"/>
      <c r="F10261" s="11"/>
      <c r="G10261" s="11"/>
      <c r="H10261" s="11"/>
      <c r="I10261" s="15"/>
    </row>
    <row r="10262" spans="1:9" ht="16.5">
      <c r="A10262" s="10" t="b">
        <v>0</v>
      </c>
      <c r="B10262" s="11" t="str">
        <f>IF(D10262&lt;&gt;"",IF(COUNTIF('USPTO TMs'!A:A,D10262)&gt;0,"Yes","No"),"")</f>
        <v/>
      </c>
      <c r="C10262" s="11"/>
      <c r="D10262" s="11"/>
      <c r="E10262" s="11"/>
      <c r="F10262" s="11"/>
      <c r="G10262" s="11"/>
      <c r="H10262" s="11"/>
      <c r="I10262" s="15"/>
    </row>
    <row r="10263" spans="1:9" ht="16.5">
      <c r="A10263" s="10" t="b">
        <v>0</v>
      </c>
      <c r="B10263" s="11" t="str">
        <f>IF(D10263&lt;&gt;"",IF(COUNTIF('USPTO TMs'!A:A,D10263)&gt;0,"Yes","No"),"")</f>
        <v/>
      </c>
      <c r="C10263" s="11"/>
      <c r="D10263" s="11"/>
      <c r="E10263" s="11"/>
      <c r="F10263" s="11"/>
      <c r="G10263" s="11"/>
      <c r="H10263" s="11"/>
      <c r="I10263" s="15"/>
    </row>
    <row r="10264" spans="1:9" ht="16.5">
      <c r="A10264" s="10" t="b">
        <v>0</v>
      </c>
      <c r="B10264" s="11" t="str">
        <f>IF(D10264&lt;&gt;"",IF(COUNTIF('USPTO TMs'!A:A,D10264)&gt;0,"Yes","No"),"")</f>
        <v/>
      </c>
      <c r="C10264" s="11"/>
      <c r="D10264" s="11"/>
      <c r="E10264" s="11"/>
      <c r="F10264" s="11"/>
      <c r="G10264" s="11"/>
      <c r="H10264" s="11"/>
      <c r="I10264" s="15"/>
    </row>
    <row r="10265" spans="1:9" ht="16.5">
      <c r="A10265" s="10" t="b">
        <v>0</v>
      </c>
      <c r="B10265" s="11" t="str">
        <f>IF(D10265&lt;&gt;"",IF(COUNTIF('USPTO TMs'!A:A,D10265)&gt;0,"Yes","No"),"")</f>
        <v/>
      </c>
      <c r="C10265" s="11"/>
      <c r="D10265" s="11"/>
      <c r="E10265" s="11"/>
      <c r="F10265" s="11"/>
      <c r="G10265" s="11"/>
      <c r="H10265" s="11"/>
      <c r="I10265" s="15"/>
    </row>
    <row r="10266" spans="1:9" ht="16.5">
      <c r="A10266" s="10" t="b">
        <v>0</v>
      </c>
      <c r="B10266" s="11" t="str">
        <f>IF(D10266&lt;&gt;"",IF(COUNTIF('USPTO TMs'!A:A,D10266)&gt;0,"Yes","No"),"")</f>
        <v/>
      </c>
      <c r="C10266" s="11"/>
      <c r="D10266" s="11"/>
      <c r="E10266" s="11"/>
      <c r="F10266" s="11"/>
      <c r="G10266" s="11"/>
      <c r="H10266" s="11"/>
      <c r="I10266" s="15"/>
    </row>
    <row r="10267" spans="1:9" ht="16.5">
      <c r="A10267" s="10" t="b">
        <v>0</v>
      </c>
      <c r="B10267" s="11" t="str">
        <f>IF(D10267&lt;&gt;"",IF(COUNTIF('USPTO TMs'!A:A,D10267)&gt;0,"Yes","No"),"")</f>
        <v/>
      </c>
      <c r="C10267" s="11"/>
      <c r="D10267" s="11"/>
      <c r="E10267" s="11"/>
      <c r="F10267" s="11"/>
      <c r="G10267" s="11"/>
      <c r="H10267" s="11"/>
      <c r="I10267" s="15"/>
    </row>
    <row r="10268" spans="1:9" ht="16.5">
      <c r="A10268" s="10" t="b">
        <v>0</v>
      </c>
      <c r="B10268" s="11" t="str">
        <f>IF(D10268&lt;&gt;"",IF(COUNTIF('USPTO TMs'!A:A,D10268)&gt;0,"Yes","No"),"")</f>
        <v/>
      </c>
      <c r="C10268" s="11"/>
      <c r="D10268" s="11"/>
      <c r="E10268" s="11"/>
      <c r="F10268" s="11"/>
      <c r="G10268" s="11"/>
      <c r="H10268" s="11"/>
      <c r="I10268" s="15"/>
    </row>
    <row r="10269" spans="1:9" ht="16.5">
      <c r="A10269" s="10" t="b">
        <v>0</v>
      </c>
      <c r="B10269" s="11" t="str">
        <f>IF(D10269&lt;&gt;"",IF(COUNTIF('USPTO TMs'!A:A,D10269)&gt;0,"Yes","No"),"")</f>
        <v/>
      </c>
      <c r="C10269" s="11"/>
      <c r="D10269" s="11"/>
      <c r="E10269" s="11"/>
      <c r="F10269" s="11"/>
      <c r="G10269" s="11"/>
      <c r="H10269" s="11"/>
      <c r="I10269" s="15"/>
    </row>
    <row r="10270" spans="1:9" ht="16.5">
      <c r="A10270" s="10" t="b">
        <v>0</v>
      </c>
      <c r="B10270" s="11" t="str">
        <f>IF(D10270&lt;&gt;"",IF(COUNTIF('USPTO TMs'!A:A,D10270)&gt;0,"Yes","No"),"")</f>
        <v/>
      </c>
      <c r="C10270" s="11"/>
      <c r="D10270" s="11"/>
      <c r="E10270" s="11"/>
      <c r="F10270" s="11"/>
      <c r="G10270" s="11"/>
      <c r="H10270" s="11"/>
      <c r="I10270" s="15"/>
    </row>
    <row r="10271" spans="1:9" ht="16.5">
      <c r="A10271" s="10" t="b">
        <v>0</v>
      </c>
      <c r="B10271" s="11" t="str">
        <f>IF(D10271&lt;&gt;"",IF(COUNTIF('USPTO TMs'!A:A,D10271)&gt;0,"Yes","No"),"")</f>
        <v/>
      </c>
      <c r="C10271" s="11"/>
      <c r="D10271" s="11"/>
      <c r="E10271" s="11"/>
      <c r="F10271" s="11"/>
      <c r="G10271" s="11"/>
      <c r="H10271" s="11"/>
      <c r="I10271" s="15"/>
    </row>
    <row r="10272" spans="1:9" ht="16.5">
      <c r="A10272" s="10" t="b">
        <v>0</v>
      </c>
      <c r="B10272" s="11" t="str">
        <f>IF(D10272&lt;&gt;"",IF(COUNTIF('USPTO TMs'!A:A,D10272)&gt;0,"Yes","No"),"")</f>
        <v/>
      </c>
      <c r="C10272" s="11"/>
      <c r="D10272" s="11"/>
      <c r="E10272" s="11"/>
      <c r="F10272" s="11"/>
      <c r="G10272" s="11"/>
      <c r="H10272" s="11"/>
      <c r="I10272" s="15"/>
    </row>
    <row r="10273" spans="1:9" ht="16.5">
      <c r="A10273" s="10" t="b">
        <v>0</v>
      </c>
      <c r="B10273" s="11" t="str">
        <f>IF(D10273&lt;&gt;"",IF(COUNTIF('USPTO TMs'!A:A,D10273)&gt;0,"Yes","No"),"")</f>
        <v/>
      </c>
      <c r="C10273" s="11"/>
      <c r="D10273" s="11"/>
      <c r="E10273" s="11"/>
      <c r="F10273" s="11"/>
      <c r="G10273" s="11"/>
      <c r="H10273" s="11"/>
      <c r="I10273" s="15"/>
    </row>
    <row r="10274" spans="1:9" ht="16.5">
      <c r="A10274" s="10" t="b">
        <v>0</v>
      </c>
      <c r="B10274" s="11" t="str">
        <f>IF(D10274&lt;&gt;"",IF(COUNTIF('USPTO TMs'!A:A,D10274)&gt;0,"Yes","No"),"")</f>
        <v/>
      </c>
      <c r="C10274" s="11"/>
      <c r="D10274" s="11"/>
      <c r="E10274" s="11"/>
      <c r="F10274" s="11"/>
      <c r="G10274" s="11"/>
      <c r="H10274" s="11"/>
      <c r="I10274" s="15"/>
    </row>
    <row r="10275" spans="1:9" ht="16.5">
      <c r="A10275" s="10" t="b">
        <v>0</v>
      </c>
      <c r="B10275" s="11" t="str">
        <f>IF(D10275&lt;&gt;"",IF(COUNTIF('USPTO TMs'!A:A,D10275)&gt;0,"Yes","No"),"")</f>
        <v/>
      </c>
      <c r="C10275" s="11"/>
      <c r="D10275" s="11"/>
      <c r="E10275" s="11"/>
      <c r="F10275" s="11"/>
      <c r="G10275" s="11"/>
      <c r="H10275" s="11"/>
      <c r="I10275" s="15"/>
    </row>
    <row r="10276" spans="1:9" ht="16.5">
      <c r="A10276" s="10" t="b">
        <v>0</v>
      </c>
      <c r="B10276" s="11" t="str">
        <f>IF(D10276&lt;&gt;"",IF(COUNTIF('USPTO TMs'!A:A,D10276)&gt;0,"Yes","No"),"")</f>
        <v/>
      </c>
      <c r="C10276" s="11"/>
      <c r="D10276" s="11"/>
      <c r="E10276" s="11"/>
      <c r="F10276" s="11"/>
      <c r="G10276" s="11"/>
      <c r="H10276" s="11"/>
      <c r="I10276" s="15"/>
    </row>
    <row r="10277" spans="1:9" ht="16.5">
      <c r="A10277" s="10" t="b">
        <v>0</v>
      </c>
      <c r="B10277" s="11" t="str">
        <f>IF(D10277&lt;&gt;"",IF(COUNTIF('USPTO TMs'!A:A,D10277)&gt;0,"Yes","No"),"")</f>
        <v/>
      </c>
      <c r="C10277" s="11"/>
      <c r="D10277" s="11"/>
      <c r="E10277" s="11"/>
      <c r="F10277" s="11"/>
      <c r="G10277" s="11"/>
      <c r="H10277" s="11"/>
      <c r="I10277" s="15"/>
    </row>
    <row r="10278" spans="1:9" ht="16.5">
      <c r="A10278" s="10" t="b">
        <v>0</v>
      </c>
      <c r="B10278" s="11" t="str">
        <f>IF(D10278&lt;&gt;"",IF(COUNTIF('USPTO TMs'!A:A,D10278)&gt;0,"Yes","No"),"")</f>
        <v/>
      </c>
      <c r="C10278" s="11"/>
      <c r="D10278" s="11"/>
      <c r="E10278" s="11"/>
      <c r="F10278" s="11"/>
      <c r="G10278" s="11"/>
      <c r="H10278" s="11"/>
      <c r="I10278" s="15"/>
    </row>
    <row r="10279" spans="1:9" ht="16.5">
      <c r="A10279" s="10" t="b">
        <v>0</v>
      </c>
      <c r="B10279" s="11" t="str">
        <f>IF(D10279&lt;&gt;"",IF(COUNTIF('USPTO TMs'!A:A,D10279)&gt;0,"Yes","No"),"")</f>
        <v/>
      </c>
      <c r="C10279" s="11"/>
      <c r="D10279" s="11"/>
      <c r="E10279" s="11"/>
      <c r="F10279" s="11"/>
      <c r="G10279" s="11"/>
      <c r="H10279" s="11"/>
      <c r="I10279" s="15"/>
    </row>
    <row r="10280" spans="1:9" ht="16.5">
      <c r="A10280" s="10" t="b">
        <v>0</v>
      </c>
      <c r="B10280" s="11" t="str">
        <f>IF(D10280&lt;&gt;"",IF(COUNTIF('USPTO TMs'!A:A,D10280)&gt;0,"Yes","No"),"")</f>
        <v/>
      </c>
      <c r="C10280" s="11"/>
      <c r="D10280" s="11"/>
      <c r="E10280" s="11"/>
      <c r="F10280" s="11"/>
      <c r="G10280" s="11"/>
      <c r="H10280" s="11"/>
      <c r="I10280" s="15"/>
    </row>
    <row r="10281" spans="1:9" ht="16.5">
      <c r="A10281" s="10" t="b">
        <v>0</v>
      </c>
      <c r="B10281" s="11" t="str">
        <f>IF(D10281&lt;&gt;"",IF(COUNTIF('USPTO TMs'!A:A,D10281)&gt;0,"Yes","No"),"")</f>
        <v/>
      </c>
      <c r="C10281" s="11"/>
      <c r="D10281" s="11"/>
      <c r="E10281" s="11"/>
      <c r="F10281" s="11"/>
      <c r="G10281" s="11"/>
      <c r="H10281" s="11"/>
      <c r="I10281" s="15"/>
    </row>
    <row r="10282" spans="1:9" ht="16.5">
      <c r="A10282" s="10" t="b">
        <v>0</v>
      </c>
      <c r="B10282" s="11" t="str">
        <f>IF(D10282&lt;&gt;"",IF(COUNTIF('USPTO TMs'!A:A,D10282)&gt;0,"Yes","No"),"")</f>
        <v/>
      </c>
      <c r="C10282" s="11"/>
      <c r="D10282" s="11"/>
      <c r="E10282" s="11"/>
      <c r="F10282" s="11"/>
      <c r="G10282" s="11"/>
      <c r="H10282" s="11"/>
      <c r="I10282" s="15"/>
    </row>
    <row r="10283" spans="1:9" ht="16.5">
      <c r="A10283" s="10" t="b">
        <v>0</v>
      </c>
      <c r="B10283" s="11" t="str">
        <f>IF(D10283&lt;&gt;"",IF(COUNTIF('USPTO TMs'!A:A,D10283)&gt;0,"Yes","No"),"")</f>
        <v/>
      </c>
      <c r="C10283" s="11"/>
      <c r="D10283" s="11"/>
      <c r="E10283" s="11"/>
      <c r="F10283" s="11"/>
      <c r="G10283" s="11"/>
      <c r="H10283" s="11"/>
      <c r="I10283" s="15"/>
    </row>
    <row r="10284" spans="1:9" ht="16.5">
      <c r="A10284" s="10" t="b">
        <v>0</v>
      </c>
      <c r="B10284" s="11" t="str">
        <f>IF(D10284&lt;&gt;"",IF(COUNTIF('USPTO TMs'!A:A,D10284)&gt;0,"Yes","No"),"")</f>
        <v/>
      </c>
      <c r="C10284" s="11"/>
      <c r="D10284" s="11"/>
      <c r="E10284" s="11"/>
      <c r="F10284" s="11"/>
      <c r="G10284" s="11"/>
      <c r="H10284" s="11"/>
      <c r="I10284" s="15"/>
    </row>
    <row r="10285" spans="1:9" ht="16.5">
      <c r="A10285" s="10" t="b">
        <v>0</v>
      </c>
      <c r="B10285" s="11" t="str">
        <f>IF(D10285&lt;&gt;"",IF(COUNTIF('USPTO TMs'!A:A,D10285)&gt;0,"Yes","No"),"")</f>
        <v/>
      </c>
      <c r="C10285" s="11"/>
      <c r="D10285" s="11"/>
      <c r="E10285" s="11"/>
      <c r="F10285" s="11"/>
      <c r="G10285" s="11"/>
      <c r="H10285" s="11"/>
      <c r="I10285" s="15"/>
    </row>
    <row r="10286" spans="1:9" ht="16.5">
      <c r="A10286" s="10" t="b">
        <v>0</v>
      </c>
      <c r="B10286" s="11" t="str">
        <f>IF(D10286&lt;&gt;"",IF(COUNTIF('USPTO TMs'!A:A,D10286)&gt;0,"Yes","No"),"")</f>
        <v/>
      </c>
      <c r="C10286" s="11"/>
      <c r="D10286" s="11"/>
      <c r="E10286" s="11"/>
      <c r="F10286" s="11"/>
      <c r="G10286" s="11"/>
      <c r="H10286" s="11"/>
      <c r="I10286" s="15"/>
    </row>
    <row r="10287" spans="1:9" ht="16.5">
      <c r="A10287" s="10" t="b">
        <v>0</v>
      </c>
      <c r="B10287" s="11" t="str">
        <f>IF(D10287&lt;&gt;"",IF(COUNTIF('USPTO TMs'!A:A,D10287)&gt;0,"Yes","No"),"")</f>
        <v/>
      </c>
      <c r="C10287" s="11"/>
      <c r="D10287" s="11"/>
      <c r="E10287" s="11"/>
      <c r="F10287" s="11"/>
      <c r="G10287" s="11"/>
      <c r="H10287" s="11"/>
      <c r="I10287" s="15"/>
    </row>
    <row r="10288" spans="1:9" ht="16.5">
      <c r="A10288" s="10" t="b">
        <v>0</v>
      </c>
      <c r="B10288" s="11" t="str">
        <f>IF(D10288&lt;&gt;"",IF(COUNTIF('USPTO TMs'!A:A,D10288)&gt;0,"Yes","No"),"")</f>
        <v/>
      </c>
      <c r="C10288" s="11"/>
      <c r="D10288" s="11"/>
      <c r="E10288" s="11"/>
      <c r="F10288" s="11"/>
      <c r="G10288" s="11"/>
      <c r="H10288" s="11"/>
      <c r="I10288" s="15"/>
    </row>
    <row r="10289" spans="1:9" ht="16.5">
      <c r="A10289" s="10" t="b">
        <v>0</v>
      </c>
      <c r="B10289" s="11" t="str">
        <f>IF(D10289&lt;&gt;"",IF(COUNTIF('USPTO TMs'!A:A,D10289)&gt;0,"Yes","No"),"")</f>
        <v/>
      </c>
      <c r="C10289" s="11"/>
      <c r="D10289" s="11"/>
      <c r="E10289" s="11"/>
      <c r="F10289" s="11"/>
      <c r="G10289" s="11"/>
      <c r="H10289" s="11"/>
      <c r="I10289" s="15"/>
    </row>
    <row r="10290" spans="1:9" ht="16.5">
      <c r="A10290" s="10" t="b">
        <v>0</v>
      </c>
      <c r="B10290" s="11" t="str">
        <f>IF(D10290&lt;&gt;"",IF(COUNTIF('USPTO TMs'!A:A,D10290)&gt;0,"Yes","No"),"")</f>
        <v/>
      </c>
      <c r="C10290" s="11"/>
      <c r="D10290" s="11"/>
      <c r="E10290" s="11"/>
      <c r="F10290" s="11"/>
      <c r="G10290" s="11"/>
      <c r="H10290" s="11"/>
      <c r="I10290" s="15"/>
    </row>
    <row r="10291" spans="1:9" ht="16.5">
      <c r="A10291" s="10" t="b">
        <v>0</v>
      </c>
      <c r="B10291" s="11" t="str">
        <f>IF(D10291&lt;&gt;"",IF(COUNTIF('USPTO TMs'!A:A,D10291)&gt;0,"Yes","No"),"")</f>
        <v/>
      </c>
      <c r="C10291" s="11"/>
      <c r="D10291" s="11"/>
      <c r="E10291" s="11"/>
      <c r="F10291" s="11"/>
      <c r="G10291" s="11"/>
      <c r="H10291" s="11"/>
      <c r="I10291" s="15"/>
    </row>
    <row r="10292" spans="1:9" ht="16.5">
      <c r="A10292" s="10" t="b">
        <v>0</v>
      </c>
      <c r="B10292" s="11" t="str">
        <f>IF(D10292&lt;&gt;"",IF(COUNTIF('USPTO TMs'!A:A,D10292)&gt;0,"Yes","No"),"")</f>
        <v/>
      </c>
      <c r="C10292" s="11"/>
      <c r="D10292" s="11"/>
      <c r="E10292" s="11"/>
      <c r="F10292" s="11"/>
      <c r="G10292" s="11"/>
      <c r="H10292" s="11"/>
      <c r="I10292" s="15"/>
    </row>
    <row r="10293" spans="1:9" ht="16.5">
      <c r="A10293" s="10" t="b">
        <v>0</v>
      </c>
      <c r="B10293" s="11" t="str">
        <f>IF(D10293&lt;&gt;"",IF(COUNTIF('USPTO TMs'!A:A,D10293)&gt;0,"Yes","No"),"")</f>
        <v/>
      </c>
      <c r="C10293" s="11"/>
      <c r="D10293" s="11"/>
      <c r="E10293" s="11"/>
      <c r="F10293" s="11"/>
      <c r="G10293" s="11"/>
      <c r="H10293" s="11"/>
      <c r="I10293" s="15"/>
    </row>
    <row r="10294" spans="1:9" ht="16.5">
      <c r="A10294" s="10" t="b">
        <v>0</v>
      </c>
      <c r="B10294" s="11" t="str">
        <f>IF(D10294&lt;&gt;"",IF(COUNTIF('USPTO TMs'!A:A,D10294)&gt;0,"Yes","No"),"")</f>
        <v/>
      </c>
      <c r="C10294" s="11"/>
      <c r="D10294" s="11"/>
      <c r="E10294" s="11"/>
      <c r="F10294" s="11"/>
      <c r="G10294" s="11"/>
      <c r="H10294" s="11"/>
      <c r="I10294" s="15"/>
    </row>
    <row r="10295" spans="1:9" ht="16.5">
      <c r="A10295" s="10" t="b">
        <v>0</v>
      </c>
      <c r="B10295" s="11" t="str">
        <f>IF(D10295&lt;&gt;"",IF(COUNTIF('USPTO TMs'!A:A,D10295)&gt;0,"Yes","No"),"")</f>
        <v/>
      </c>
      <c r="C10295" s="11"/>
      <c r="D10295" s="11"/>
      <c r="E10295" s="11"/>
      <c r="F10295" s="11"/>
      <c r="G10295" s="11"/>
      <c r="H10295" s="11"/>
      <c r="I10295" s="15"/>
    </row>
    <row r="10296" spans="1:9" ht="16.5">
      <c r="A10296" s="10" t="b">
        <v>0</v>
      </c>
      <c r="B10296" s="11" t="str">
        <f>IF(D10296&lt;&gt;"",IF(COUNTIF('USPTO TMs'!A:A,D10296)&gt;0,"Yes","No"),"")</f>
        <v/>
      </c>
      <c r="C10296" s="11"/>
      <c r="D10296" s="11"/>
      <c r="E10296" s="11"/>
      <c r="F10296" s="11"/>
      <c r="G10296" s="11"/>
      <c r="H10296" s="11"/>
      <c r="I10296" s="15"/>
    </row>
    <row r="10297" spans="1:9" ht="16.5">
      <c r="A10297" s="10" t="b">
        <v>0</v>
      </c>
      <c r="B10297" s="11" t="str">
        <f>IF(D10297&lt;&gt;"",IF(COUNTIF('USPTO TMs'!A:A,D10297)&gt;0,"Yes","No"),"")</f>
        <v/>
      </c>
      <c r="C10297" s="11"/>
      <c r="D10297" s="11"/>
      <c r="E10297" s="11"/>
      <c r="F10297" s="11"/>
      <c r="G10297" s="11"/>
      <c r="H10297" s="11"/>
      <c r="I10297" s="15"/>
    </row>
    <row r="10298" spans="1:9" ht="16.5">
      <c r="A10298" s="10" t="b">
        <v>0</v>
      </c>
      <c r="B10298" s="11" t="str">
        <f>IF(D10298&lt;&gt;"",IF(COUNTIF('USPTO TMs'!A:A,D10298)&gt;0,"Yes","No"),"")</f>
        <v/>
      </c>
      <c r="C10298" s="11"/>
      <c r="D10298" s="11"/>
      <c r="E10298" s="11"/>
      <c r="F10298" s="11"/>
      <c r="G10298" s="11"/>
      <c r="H10298" s="11"/>
      <c r="I10298" s="15"/>
    </row>
    <row r="10299" spans="1:9" ht="16.5">
      <c r="A10299" s="10" t="b">
        <v>0</v>
      </c>
      <c r="B10299" s="11" t="str">
        <f>IF(D10299&lt;&gt;"",IF(COUNTIF('USPTO TMs'!A:A,D10299)&gt;0,"Yes","No"),"")</f>
        <v/>
      </c>
      <c r="C10299" s="11"/>
      <c r="D10299" s="11"/>
      <c r="E10299" s="11"/>
      <c r="F10299" s="11"/>
      <c r="G10299" s="11"/>
      <c r="H10299" s="11"/>
      <c r="I10299" s="15"/>
    </row>
    <row r="10300" spans="1:9" ht="16.5">
      <c r="A10300" s="10" t="b">
        <v>0</v>
      </c>
      <c r="B10300" s="11" t="str">
        <f>IF(D10300&lt;&gt;"",IF(COUNTIF('USPTO TMs'!A:A,D10300)&gt;0,"Yes","No"),"")</f>
        <v/>
      </c>
      <c r="C10300" s="11"/>
      <c r="D10300" s="11"/>
      <c r="E10300" s="11"/>
      <c r="F10300" s="11"/>
      <c r="G10300" s="11"/>
      <c r="H10300" s="11"/>
      <c r="I10300" s="15"/>
    </row>
    <row r="10301" spans="1:9" ht="16.5">
      <c r="A10301" s="10" t="b">
        <v>0</v>
      </c>
      <c r="B10301" s="11" t="str">
        <f>IF(D10301&lt;&gt;"",IF(COUNTIF('USPTO TMs'!A:A,D10301)&gt;0,"Yes","No"),"")</f>
        <v/>
      </c>
      <c r="C10301" s="11"/>
      <c r="D10301" s="11"/>
      <c r="E10301" s="11"/>
      <c r="F10301" s="11"/>
      <c r="G10301" s="11"/>
      <c r="H10301" s="11"/>
      <c r="I10301" s="15"/>
    </row>
    <row r="10302" spans="1:9" ht="16.5">
      <c r="A10302" s="10" t="b">
        <v>0</v>
      </c>
      <c r="B10302" s="11" t="str">
        <f>IF(D10302&lt;&gt;"",IF(COUNTIF('USPTO TMs'!A:A,D10302)&gt;0,"Yes","No"),"")</f>
        <v/>
      </c>
      <c r="C10302" s="11"/>
      <c r="D10302" s="11"/>
      <c r="E10302" s="11"/>
      <c r="F10302" s="11"/>
      <c r="G10302" s="11"/>
      <c r="H10302" s="11"/>
      <c r="I10302" s="15"/>
    </row>
    <row r="10303" spans="1:9" ht="16.5">
      <c r="A10303" s="10" t="b">
        <v>0</v>
      </c>
      <c r="B10303" s="11" t="str">
        <f>IF(D10303&lt;&gt;"",IF(COUNTIF('USPTO TMs'!A:A,D10303)&gt;0,"Yes","No"),"")</f>
        <v/>
      </c>
      <c r="C10303" s="11"/>
      <c r="D10303" s="11"/>
      <c r="E10303" s="11"/>
      <c r="F10303" s="11"/>
      <c r="G10303" s="11"/>
      <c r="H10303" s="11"/>
      <c r="I10303" s="15"/>
    </row>
    <row r="10304" spans="1:9" ht="16.5">
      <c r="A10304" s="10" t="b">
        <v>0</v>
      </c>
      <c r="B10304" s="11" t="str">
        <f>IF(D10304&lt;&gt;"",IF(COUNTIF('USPTO TMs'!A:A,D10304)&gt;0,"Yes","No"),"")</f>
        <v/>
      </c>
      <c r="C10304" s="11"/>
      <c r="D10304" s="11"/>
      <c r="E10304" s="11"/>
      <c r="F10304" s="11"/>
      <c r="G10304" s="11"/>
      <c r="H10304" s="11"/>
      <c r="I10304" s="15"/>
    </row>
    <row r="10305" spans="1:9" ht="16.5">
      <c r="A10305" s="10" t="b">
        <v>0</v>
      </c>
      <c r="B10305" s="11" t="str">
        <f>IF(D10305&lt;&gt;"",IF(COUNTIF('USPTO TMs'!A:A,D10305)&gt;0,"Yes","No"),"")</f>
        <v/>
      </c>
      <c r="C10305" s="11"/>
      <c r="D10305" s="11"/>
      <c r="E10305" s="11"/>
      <c r="F10305" s="11"/>
      <c r="G10305" s="11"/>
      <c r="H10305" s="11"/>
      <c r="I10305" s="15"/>
    </row>
    <row r="10306" spans="1:9" ht="16.5">
      <c r="A10306" s="10" t="b">
        <v>0</v>
      </c>
      <c r="B10306" s="11" t="str">
        <f>IF(D10306&lt;&gt;"",IF(COUNTIF('USPTO TMs'!A:A,D10306)&gt;0,"Yes","No"),"")</f>
        <v/>
      </c>
      <c r="C10306" s="11"/>
      <c r="D10306" s="11"/>
      <c r="E10306" s="11"/>
      <c r="F10306" s="11"/>
      <c r="G10306" s="11"/>
      <c r="H10306" s="11"/>
      <c r="I10306" s="15"/>
    </row>
    <row r="10307" spans="1:9" ht="16.5">
      <c r="A10307" s="10" t="b">
        <v>0</v>
      </c>
      <c r="B10307" s="11" t="str">
        <f>IF(D10307&lt;&gt;"",IF(COUNTIF('USPTO TMs'!A:A,D10307)&gt;0,"Yes","No"),"")</f>
        <v/>
      </c>
      <c r="C10307" s="11"/>
      <c r="D10307" s="11"/>
      <c r="E10307" s="11"/>
      <c r="F10307" s="11"/>
      <c r="G10307" s="11"/>
      <c r="H10307" s="11"/>
      <c r="I10307" s="15"/>
    </row>
    <row r="10308" spans="1:9" ht="16.5">
      <c r="A10308" s="10" t="b">
        <v>0</v>
      </c>
      <c r="B10308" s="11" t="str">
        <f>IF(D10308&lt;&gt;"",IF(COUNTIF('USPTO TMs'!A:A,D10308)&gt;0,"Yes","No"),"")</f>
        <v/>
      </c>
      <c r="C10308" s="11"/>
      <c r="D10308" s="11"/>
      <c r="E10308" s="11"/>
      <c r="F10308" s="11"/>
      <c r="G10308" s="11"/>
      <c r="H10308" s="11"/>
      <c r="I10308" s="15"/>
    </row>
    <row r="10309" spans="1:9" ht="16.5">
      <c r="A10309" s="10" t="b">
        <v>0</v>
      </c>
      <c r="B10309" s="11" t="str">
        <f>IF(D10309&lt;&gt;"",IF(COUNTIF('USPTO TMs'!A:A,D10309)&gt;0,"Yes","No"),"")</f>
        <v/>
      </c>
      <c r="C10309" s="11"/>
      <c r="D10309" s="11"/>
      <c r="E10309" s="11"/>
      <c r="F10309" s="11"/>
      <c r="G10309" s="11"/>
      <c r="H10309" s="11"/>
      <c r="I10309" s="15"/>
    </row>
    <row r="10310" spans="1:9" ht="16.5">
      <c r="A10310" s="10" t="b">
        <v>0</v>
      </c>
      <c r="B10310" s="11" t="str">
        <f>IF(D10310&lt;&gt;"",IF(COUNTIF('USPTO TMs'!A:A,D10310)&gt;0,"Yes","No"),"")</f>
        <v/>
      </c>
      <c r="C10310" s="11"/>
      <c r="D10310" s="11"/>
      <c r="E10310" s="11"/>
      <c r="F10310" s="11"/>
      <c r="G10310" s="11"/>
      <c r="H10310" s="11"/>
      <c r="I10310" s="15"/>
    </row>
    <row r="10311" spans="1:9" ht="16.5">
      <c r="A10311" s="10" t="b">
        <v>0</v>
      </c>
      <c r="B10311" s="11" t="str">
        <f>IF(D10311&lt;&gt;"",IF(COUNTIF('USPTO TMs'!A:A,D10311)&gt;0,"Yes","No"),"")</f>
        <v/>
      </c>
      <c r="C10311" s="11"/>
      <c r="D10311" s="11"/>
      <c r="E10311" s="11"/>
      <c r="F10311" s="11"/>
      <c r="G10311" s="11"/>
      <c r="H10311" s="11"/>
      <c r="I10311" s="15"/>
    </row>
    <row r="10312" spans="1:9" ht="16.5">
      <c r="A10312" s="10" t="b">
        <v>0</v>
      </c>
      <c r="B10312" s="11" t="str">
        <f>IF(D10312&lt;&gt;"",IF(COUNTIF('USPTO TMs'!A:A,D10312)&gt;0,"Yes","No"),"")</f>
        <v/>
      </c>
      <c r="C10312" s="11"/>
      <c r="D10312" s="11"/>
      <c r="E10312" s="11"/>
      <c r="F10312" s="11"/>
      <c r="G10312" s="11"/>
      <c r="H10312" s="11"/>
      <c r="I10312" s="15"/>
    </row>
    <row r="10313" spans="1:9" ht="16.5">
      <c r="A10313" s="10" t="b">
        <v>0</v>
      </c>
      <c r="B10313" s="11" t="str">
        <f>IF(D10313&lt;&gt;"",IF(COUNTIF('USPTO TMs'!A:A,D10313)&gt;0,"Yes","No"),"")</f>
        <v/>
      </c>
      <c r="C10313" s="11"/>
      <c r="D10313" s="11"/>
      <c r="E10313" s="11"/>
      <c r="F10313" s="11"/>
      <c r="G10313" s="11"/>
      <c r="H10313" s="11"/>
      <c r="I10313" s="15"/>
    </row>
    <row r="10314" spans="1:9" ht="16.5">
      <c r="A10314" s="10" t="b">
        <v>0</v>
      </c>
      <c r="B10314" s="11" t="str">
        <f>IF(D10314&lt;&gt;"",IF(COUNTIF('USPTO TMs'!A:A,D10314)&gt;0,"Yes","No"),"")</f>
        <v/>
      </c>
      <c r="C10314" s="11"/>
      <c r="D10314" s="11"/>
      <c r="E10314" s="11"/>
      <c r="F10314" s="11"/>
      <c r="G10314" s="11"/>
      <c r="H10314" s="11"/>
      <c r="I10314" s="15"/>
    </row>
    <row r="10315" spans="1:9" ht="16.5">
      <c r="A10315" s="10" t="b">
        <v>0</v>
      </c>
      <c r="B10315" s="11" t="str">
        <f>IF(D10315&lt;&gt;"",IF(COUNTIF('USPTO TMs'!A:A,D10315)&gt;0,"Yes","No"),"")</f>
        <v/>
      </c>
      <c r="C10315" s="11"/>
      <c r="D10315" s="11"/>
      <c r="E10315" s="11"/>
      <c r="F10315" s="11"/>
      <c r="G10315" s="11"/>
      <c r="H10315" s="11"/>
      <c r="I10315" s="15"/>
    </row>
    <row r="10316" spans="1:9" ht="16.5">
      <c r="A10316" s="10" t="b">
        <v>0</v>
      </c>
      <c r="B10316" s="11" t="str">
        <f>IF(D10316&lt;&gt;"",IF(COUNTIF('USPTO TMs'!A:A,D10316)&gt;0,"Yes","No"),"")</f>
        <v/>
      </c>
      <c r="C10316" s="11"/>
      <c r="D10316" s="11"/>
      <c r="E10316" s="11"/>
      <c r="F10316" s="11"/>
      <c r="G10316" s="11"/>
      <c r="H10316" s="11"/>
      <c r="I10316" s="15"/>
    </row>
    <row r="10317" spans="1:9" ht="16.5">
      <c r="A10317" s="10" t="b">
        <v>0</v>
      </c>
      <c r="B10317" s="11" t="str">
        <f>IF(D10317&lt;&gt;"",IF(COUNTIF('USPTO TMs'!A:A,D10317)&gt;0,"Yes","No"),"")</f>
        <v/>
      </c>
      <c r="C10317" s="11"/>
      <c r="D10317" s="11"/>
      <c r="E10317" s="11"/>
      <c r="F10317" s="11"/>
      <c r="G10317" s="11"/>
      <c r="H10317" s="11"/>
      <c r="I10317" s="15"/>
    </row>
    <row r="10318" spans="1:9" ht="16.5">
      <c r="A10318" s="10" t="b">
        <v>0</v>
      </c>
      <c r="B10318" s="11" t="str">
        <f>IF(D10318&lt;&gt;"",IF(COUNTIF('USPTO TMs'!A:A,D10318)&gt;0,"Yes","No"),"")</f>
        <v/>
      </c>
      <c r="C10318" s="11"/>
      <c r="D10318" s="11"/>
      <c r="E10318" s="11"/>
      <c r="F10318" s="11"/>
      <c r="G10318" s="11"/>
      <c r="H10318" s="11"/>
      <c r="I10318" s="15"/>
    </row>
    <row r="10319" spans="1:9" ht="16.5">
      <c r="A10319" s="10" t="b">
        <v>0</v>
      </c>
      <c r="B10319" s="11" t="str">
        <f>IF(D10319&lt;&gt;"",IF(COUNTIF('USPTO TMs'!A:A,D10319)&gt;0,"Yes","No"),"")</f>
        <v/>
      </c>
      <c r="C10319" s="11"/>
      <c r="D10319" s="11"/>
      <c r="E10319" s="11"/>
      <c r="F10319" s="11"/>
      <c r="G10319" s="11"/>
      <c r="H10319" s="11"/>
      <c r="I10319" s="15"/>
    </row>
    <row r="10320" spans="1:9" ht="16.5">
      <c r="A10320" s="10" t="b">
        <v>0</v>
      </c>
      <c r="B10320" s="11" t="str">
        <f>IF(D10320&lt;&gt;"",IF(COUNTIF('USPTO TMs'!A:A,D10320)&gt;0,"Yes","No"),"")</f>
        <v/>
      </c>
      <c r="C10320" s="11"/>
      <c r="D10320" s="11"/>
      <c r="E10320" s="11"/>
      <c r="F10320" s="11"/>
      <c r="G10320" s="11"/>
      <c r="H10320" s="11"/>
      <c r="I10320" s="15"/>
    </row>
    <row r="10321" spans="1:9" ht="16.5">
      <c r="A10321" s="10" t="b">
        <v>0</v>
      </c>
      <c r="B10321" s="11" t="str">
        <f>IF(D10321&lt;&gt;"",IF(COUNTIF('USPTO TMs'!A:A,D10321)&gt;0,"Yes","No"),"")</f>
        <v/>
      </c>
      <c r="C10321" s="11"/>
      <c r="D10321" s="11"/>
      <c r="E10321" s="11"/>
      <c r="F10321" s="11"/>
      <c r="G10321" s="11"/>
      <c r="H10321" s="11"/>
      <c r="I10321" s="15"/>
    </row>
    <row r="10322" spans="1:9" ht="16.5">
      <c r="A10322" s="10" t="b">
        <v>0</v>
      </c>
      <c r="B10322" s="11" t="str">
        <f>IF(D10322&lt;&gt;"",IF(COUNTIF('USPTO TMs'!A:A,D10322)&gt;0,"Yes","No"),"")</f>
        <v/>
      </c>
      <c r="C10322" s="11"/>
      <c r="D10322" s="11"/>
      <c r="E10322" s="11"/>
      <c r="F10322" s="11"/>
      <c r="G10322" s="11"/>
      <c r="H10322" s="11"/>
      <c r="I10322" s="15"/>
    </row>
    <row r="10323" spans="1:9" ht="16.5">
      <c r="A10323" s="10" t="b">
        <v>0</v>
      </c>
      <c r="B10323" s="11" t="str">
        <f>IF(D10323&lt;&gt;"",IF(COUNTIF('USPTO TMs'!A:A,D10323)&gt;0,"Yes","No"),"")</f>
        <v/>
      </c>
      <c r="C10323" s="11"/>
      <c r="D10323" s="11"/>
      <c r="E10323" s="11"/>
      <c r="F10323" s="11"/>
      <c r="G10323" s="11"/>
      <c r="H10323" s="11"/>
      <c r="I10323" s="15"/>
    </row>
    <row r="10324" spans="1:9" ht="16.5">
      <c r="A10324" s="10" t="b">
        <v>0</v>
      </c>
      <c r="B10324" s="11" t="str">
        <f>IF(D10324&lt;&gt;"",IF(COUNTIF('USPTO TMs'!A:A,D10324)&gt;0,"Yes","No"),"")</f>
        <v/>
      </c>
      <c r="C10324" s="11"/>
      <c r="D10324" s="11"/>
      <c r="E10324" s="11"/>
      <c r="F10324" s="11"/>
      <c r="G10324" s="11"/>
      <c r="H10324" s="11"/>
      <c r="I10324" s="15"/>
    </row>
    <row r="10325" spans="1:9" ht="16.5">
      <c r="A10325" s="10" t="b">
        <v>0</v>
      </c>
      <c r="B10325" s="11" t="str">
        <f>IF(D10325&lt;&gt;"",IF(COUNTIF('USPTO TMs'!A:A,D10325)&gt;0,"Yes","No"),"")</f>
        <v/>
      </c>
      <c r="C10325" s="11"/>
      <c r="D10325" s="11"/>
      <c r="E10325" s="11"/>
      <c r="F10325" s="11"/>
      <c r="G10325" s="11"/>
      <c r="H10325" s="11"/>
      <c r="I10325" s="15"/>
    </row>
    <row r="10326" spans="1:9" ht="16.5">
      <c r="A10326" s="10" t="b">
        <v>0</v>
      </c>
      <c r="B10326" s="11" t="str">
        <f>IF(D10326&lt;&gt;"",IF(COUNTIF('USPTO TMs'!A:A,D10326)&gt;0,"Yes","No"),"")</f>
        <v/>
      </c>
      <c r="C10326" s="11"/>
      <c r="D10326" s="11"/>
      <c r="E10326" s="11"/>
      <c r="F10326" s="11"/>
      <c r="G10326" s="11"/>
      <c r="H10326" s="11"/>
      <c r="I10326" s="15"/>
    </row>
    <row r="10327" spans="1:9" ht="16.5">
      <c r="A10327" s="10" t="b">
        <v>0</v>
      </c>
      <c r="B10327" s="11" t="str">
        <f>IF(D10327&lt;&gt;"",IF(COUNTIF('USPTO TMs'!A:A,D10327)&gt;0,"Yes","No"),"")</f>
        <v/>
      </c>
      <c r="C10327" s="11"/>
      <c r="D10327" s="11"/>
      <c r="E10327" s="11"/>
      <c r="F10327" s="11"/>
      <c r="G10327" s="11"/>
      <c r="H10327" s="11"/>
      <c r="I10327" s="15"/>
    </row>
    <row r="10328" spans="1:9" ht="16.5">
      <c r="A10328" s="10" t="b">
        <v>0</v>
      </c>
      <c r="B10328" s="11" t="str">
        <f>IF(D10328&lt;&gt;"",IF(COUNTIF('USPTO TMs'!A:A,D10328)&gt;0,"Yes","No"),"")</f>
        <v/>
      </c>
      <c r="C10328" s="11"/>
      <c r="D10328" s="11"/>
      <c r="E10328" s="11"/>
      <c r="F10328" s="11"/>
      <c r="G10328" s="11"/>
      <c r="H10328" s="11"/>
      <c r="I10328" s="15"/>
    </row>
    <row r="10329" spans="1:9" ht="16.5">
      <c r="A10329" s="10" t="b">
        <v>0</v>
      </c>
      <c r="B10329" s="11" t="str">
        <f>IF(D10329&lt;&gt;"",IF(COUNTIF('USPTO TMs'!A:A,D10329)&gt;0,"Yes","No"),"")</f>
        <v/>
      </c>
      <c r="C10329" s="11"/>
      <c r="D10329" s="11"/>
      <c r="E10329" s="11"/>
      <c r="F10329" s="11"/>
      <c r="G10329" s="11"/>
      <c r="H10329" s="11"/>
      <c r="I10329" s="15"/>
    </row>
    <row r="10330" spans="1:9" ht="16.5">
      <c r="A10330" s="10" t="b">
        <v>0</v>
      </c>
      <c r="B10330" s="11" t="str">
        <f>IF(D10330&lt;&gt;"",IF(COUNTIF('USPTO TMs'!A:A,D10330)&gt;0,"Yes","No"),"")</f>
        <v/>
      </c>
      <c r="C10330" s="11"/>
      <c r="D10330" s="11"/>
      <c r="E10330" s="11"/>
      <c r="F10330" s="11"/>
      <c r="G10330" s="11"/>
      <c r="H10330" s="11"/>
      <c r="I10330" s="15"/>
    </row>
    <row r="10331" spans="1:9" ht="16.5">
      <c r="A10331" s="10" t="b">
        <v>0</v>
      </c>
      <c r="B10331" s="11" t="str">
        <f>IF(D10331&lt;&gt;"",IF(COUNTIF('USPTO TMs'!A:A,D10331)&gt;0,"Yes","No"),"")</f>
        <v/>
      </c>
      <c r="C10331" s="11"/>
      <c r="D10331" s="11"/>
      <c r="E10331" s="11"/>
      <c r="F10331" s="11"/>
      <c r="G10331" s="11"/>
      <c r="H10331" s="11"/>
      <c r="I10331" s="15"/>
    </row>
    <row r="10332" spans="1:9" ht="16.5">
      <c r="A10332" s="10" t="b">
        <v>0</v>
      </c>
      <c r="B10332" s="11" t="str">
        <f>IF(D10332&lt;&gt;"",IF(COUNTIF('USPTO TMs'!A:A,D10332)&gt;0,"Yes","No"),"")</f>
        <v/>
      </c>
      <c r="C10332" s="11"/>
      <c r="D10332" s="11"/>
      <c r="E10332" s="11"/>
      <c r="F10332" s="11"/>
      <c r="G10332" s="11"/>
      <c r="H10332" s="11"/>
      <c r="I10332" s="15"/>
    </row>
    <row r="10333" spans="1:9" ht="16.5">
      <c r="A10333" s="10" t="b">
        <v>0</v>
      </c>
      <c r="B10333" s="11" t="str">
        <f>IF(D10333&lt;&gt;"",IF(COUNTIF('USPTO TMs'!A:A,D10333)&gt;0,"Yes","No"),"")</f>
        <v/>
      </c>
      <c r="C10333" s="11"/>
      <c r="D10333" s="11"/>
      <c r="E10333" s="11"/>
      <c r="F10333" s="11"/>
      <c r="G10333" s="11"/>
      <c r="H10333" s="11"/>
      <c r="I10333" s="15"/>
    </row>
    <row r="10334" spans="1:9" ht="16.5">
      <c r="A10334" s="10" t="b">
        <v>0</v>
      </c>
      <c r="B10334" s="11" t="str">
        <f>IF(D10334&lt;&gt;"",IF(COUNTIF('USPTO TMs'!A:A,D10334)&gt;0,"Yes","No"),"")</f>
        <v/>
      </c>
      <c r="C10334" s="11"/>
      <c r="D10334" s="11"/>
      <c r="E10334" s="11"/>
      <c r="F10334" s="11"/>
      <c r="G10334" s="11"/>
      <c r="H10334" s="11"/>
      <c r="I10334" s="15"/>
    </row>
    <row r="10335" spans="1:9" ht="16.5">
      <c r="A10335" s="10" t="b">
        <v>0</v>
      </c>
      <c r="B10335" s="11" t="str">
        <f>IF(D10335&lt;&gt;"",IF(COUNTIF('USPTO TMs'!A:A,D10335)&gt;0,"Yes","No"),"")</f>
        <v/>
      </c>
      <c r="C10335" s="11"/>
      <c r="D10335" s="11"/>
      <c r="E10335" s="11"/>
      <c r="F10335" s="11"/>
      <c r="G10335" s="11"/>
      <c r="H10335" s="11"/>
      <c r="I10335" s="15"/>
    </row>
    <row r="10336" spans="1:9" ht="16.5">
      <c r="A10336" s="10" t="b">
        <v>0</v>
      </c>
      <c r="B10336" s="11" t="str">
        <f>IF(D10336&lt;&gt;"",IF(COUNTIF('USPTO TMs'!A:A,D10336)&gt;0,"Yes","No"),"")</f>
        <v/>
      </c>
      <c r="C10336" s="11"/>
      <c r="D10336" s="11"/>
      <c r="E10336" s="11"/>
      <c r="F10336" s="11"/>
      <c r="G10336" s="11"/>
      <c r="H10336" s="11"/>
      <c r="I10336" s="15"/>
    </row>
    <row r="10337" spans="1:9" ht="16.5">
      <c r="A10337" s="10" t="b">
        <v>0</v>
      </c>
      <c r="B10337" s="11" t="str">
        <f>IF(D10337&lt;&gt;"",IF(COUNTIF('USPTO TMs'!A:A,D10337)&gt;0,"Yes","No"),"")</f>
        <v/>
      </c>
      <c r="C10337" s="11"/>
      <c r="D10337" s="11"/>
      <c r="E10337" s="11"/>
      <c r="F10337" s="11"/>
      <c r="G10337" s="11"/>
      <c r="H10337" s="11"/>
      <c r="I10337" s="15"/>
    </row>
    <row r="10338" spans="1:9" ht="16.5">
      <c r="A10338" s="10" t="b">
        <v>0</v>
      </c>
      <c r="B10338" s="11" t="str">
        <f>IF(D10338&lt;&gt;"",IF(COUNTIF('USPTO TMs'!A:A,D10338)&gt;0,"Yes","No"),"")</f>
        <v/>
      </c>
      <c r="C10338" s="11"/>
      <c r="D10338" s="11"/>
      <c r="E10338" s="11"/>
      <c r="F10338" s="11"/>
      <c r="G10338" s="11"/>
      <c r="H10338" s="11"/>
      <c r="I10338" s="15"/>
    </row>
    <row r="10339" spans="1:9" ht="16.5">
      <c r="A10339" s="10" t="b">
        <v>0</v>
      </c>
      <c r="B10339" s="11" t="str">
        <f>IF(D10339&lt;&gt;"",IF(COUNTIF('USPTO TMs'!A:A,D10339)&gt;0,"Yes","No"),"")</f>
        <v/>
      </c>
      <c r="C10339" s="11"/>
      <c r="D10339" s="11"/>
      <c r="E10339" s="11"/>
      <c r="F10339" s="11"/>
      <c r="G10339" s="11"/>
      <c r="H10339" s="11"/>
      <c r="I10339" s="15"/>
    </row>
    <row r="10340" spans="1:9" ht="16.5">
      <c r="A10340" s="10" t="b">
        <v>0</v>
      </c>
      <c r="B10340" s="11" t="str">
        <f>IF(D10340&lt;&gt;"",IF(COUNTIF('USPTO TMs'!A:A,D10340)&gt;0,"Yes","No"),"")</f>
        <v/>
      </c>
      <c r="C10340" s="11"/>
      <c r="D10340" s="11"/>
      <c r="E10340" s="11"/>
      <c r="F10340" s="11"/>
      <c r="G10340" s="11"/>
      <c r="H10340" s="11"/>
      <c r="I10340" s="15"/>
    </row>
    <row r="10341" spans="1:9" ht="16.5">
      <c r="A10341" s="10" t="b">
        <v>0</v>
      </c>
      <c r="B10341" s="11" t="str">
        <f>IF(D10341&lt;&gt;"",IF(COUNTIF('USPTO TMs'!A:A,D10341)&gt;0,"Yes","No"),"")</f>
        <v/>
      </c>
      <c r="C10341" s="11"/>
      <c r="D10341" s="11"/>
      <c r="E10341" s="11"/>
      <c r="F10341" s="11"/>
      <c r="G10341" s="11"/>
      <c r="H10341" s="11"/>
      <c r="I10341" s="15"/>
    </row>
    <row r="10342" spans="1:9" ht="16.5">
      <c r="A10342" s="10" t="b">
        <v>0</v>
      </c>
      <c r="B10342" s="11" t="str">
        <f>IF(D10342&lt;&gt;"",IF(COUNTIF('USPTO TMs'!A:A,D10342)&gt;0,"Yes","No"),"")</f>
        <v/>
      </c>
      <c r="C10342" s="11"/>
      <c r="D10342" s="11"/>
      <c r="E10342" s="11"/>
      <c r="F10342" s="11"/>
      <c r="G10342" s="11"/>
      <c r="H10342" s="11"/>
      <c r="I10342" s="15"/>
    </row>
    <row r="10343" spans="1:9" ht="16.5">
      <c r="A10343" s="10" t="b">
        <v>0</v>
      </c>
      <c r="B10343" s="11" t="str">
        <f>IF(D10343&lt;&gt;"",IF(COUNTIF('USPTO TMs'!A:A,D10343)&gt;0,"Yes","No"),"")</f>
        <v/>
      </c>
      <c r="C10343" s="11"/>
      <c r="D10343" s="11"/>
      <c r="E10343" s="11"/>
      <c r="F10343" s="11"/>
      <c r="G10343" s="11"/>
      <c r="H10343" s="11"/>
      <c r="I10343" s="15"/>
    </row>
    <row r="10344" spans="1:9" ht="16.5">
      <c r="A10344" s="10" t="b">
        <v>0</v>
      </c>
      <c r="B10344" s="11" t="str">
        <f>IF(D10344&lt;&gt;"",IF(COUNTIF('USPTO TMs'!A:A,D10344)&gt;0,"Yes","No"),"")</f>
        <v/>
      </c>
      <c r="C10344" s="11"/>
      <c r="D10344" s="11"/>
      <c r="E10344" s="11"/>
      <c r="F10344" s="11"/>
      <c r="G10344" s="11"/>
      <c r="H10344" s="11"/>
      <c r="I10344" s="15"/>
    </row>
    <row r="10345" spans="1:9" ht="16.5">
      <c r="A10345" s="10" t="b">
        <v>0</v>
      </c>
      <c r="B10345" s="11" t="str">
        <f>IF(D10345&lt;&gt;"",IF(COUNTIF('USPTO TMs'!A:A,D10345)&gt;0,"Yes","No"),"")</f>
        <v/>
      </c>
      <c r="C10345" s="11"/>
      <c r="D10345" s="11"/>
      <c r="E10345" s="11"/>
      <c r="F10345" s="11"/>
      <c r="G10345" s="11"/>
      <c r="H10345" s="11"/>
      <c r="I10345" s="15"/>
    </row>
    <row r="10346" spans="1:9" ht="16.5">
      <c r="A10346" s="10" t="b">
        <v>0</v>
      </c>
      <c r="B10346" s="11" t="str">
        <f>IF(D10346&lt;&gt;"",IF(COUNTIF('USPTO TMs'!A:A,D10346)&gt;0,"Yes","No"),"")</f>
        <v/>
      </c>
      <c r="C10346" s="11"/>
      <c r="D10346" s="11"/>
      <c r="E10346" s="11"/>
      <c r="F10346" s="11"/>
      <c r="G10346" s="11"/>
      <c r="H10346" s="11"/>
      <c r="I10346" s="15"/>
    </row>
    <row r="10347" spans="1:9" ht="16.5">
      <c r="A10347" s="10" t="b">
        <v>0</v>
      </c>
      <c r="B10347" s="11" t="str">
        <f>IF(D10347&lt;&gt;"",IF(COUNTIF('USPTO TMs'!A:A,D10347)&gt;0,"Yes","No"),"")</f>
        <v/>
      </c>
      <c r="C10347" s="11"/>
      <c r="D10347" s="11"/>
      <c r="E10347" s="11"/>
      <c r="F10347" s="11"/>
      <c r="G10347" s="11"/>
      <c r="H10347" s="11"/>
      <c r="I10347" s="15"/>
    </row>
    <row r="10348" spans="1:9" ht="16.5">
      <c r="A10348" s="10" t="b">
        <v>0</v>
      </c>
      <c r="B10348" s="11" t="str">
        <f>IF(D10348&lt;&gt;"",IF(COUNTIF('USPTO TMs'!A:A,D10348)&gt;0,"Yes","No"),"")</f>
        <v/>
      </c>
      <c r="C10348" s="11"/>
      <c r="D10348" s="11"/>
      <c r="E10348" s="11"/>
      <c r="F10348" s="11"/>
      <c r="G10348" s="11"/>
      <c r="H10348" s="11"/>
      <c r="I10348" s="15"/>
    </row>
    <row r="10349" spans="1:9" ht="16.5">
      <c r="A10349" s="10" t="b">
        <v>0</v>
      </c>
      <c r="B10349" s="11" t="str">
        <f>IF(D10349&lt;&gt;"",IF(COUNTIF('USPTO TMs'!A:A,D10349)&gt;0,"Yes","No"),"")</f>
        <v/>
      </c>
      <c r="C10349" s="11"/>
      <c r="D10349" s="11"/>
      <c r="E10349" s="11"/>
      <c r="F10349" s="11"/>
      <c r="G10349" s="11"/>
      <c r="H10349" s="11"/>
      <c r="I10349" s="15"/>
    </row>
    <row r="10350" spans="1:9" ht="16.5">
      <c r="A10350" s="10" t="b">
        <v>0</v>
      </c>
      <c r="B10350" s="11" t="str">
        <f>IF(D10350&lt;&gt;"",IF(COUNTIF('USPTO TMs'!A:A,D10350)&gt;0,"Yes","No"),"")</f>
        <v/>
      </c>
      <c r="C10350" s="11"/>
      <c r="D10350" s="11"/>
      <c r="E10350" s="11"/>
      <c r="F10350" s="11"/>
      <c r="G10350" s="11"/>
      <c r="H10350" s="11"/>
      <c r="I10350" s="15"/>
    </row>
    <row r="10351" spans="1:9" ht="16.5">
      <c r="A10351" s="10" t="b">
        <v>0</v>
      </c>
      <c r="B10351" s="11" t="str">
        <f>IF(D10351&lt;&gt;"",IF(COUNTIF('USPTO TMs'!A:A,D10351)&gt;0,"Yes","No"),"")</f>
        <v/>
      </c>
      <c r="C10351" s="11"/>
      <c r="D10351" s="11"/>
      <c r="E10351" s="11"/>
      <c r="F10351" s="11"/>
      <c r="G10351" s="11"/>
      <c r="H10351" s="11"/>
      <c r="I10351" s="15"/>
    </row>
    <row r="10352" spans="1:9" ht="16.5">
      <c r="A10352" s="10" t="b">
        <v>0</v>
      </c>
      <c r="B10352" s="11" t="str">
        <f>IF(D10352&lt;&gt;"",IF(COUNTIF('USPTO TMs'!A:A,D10352)&gt;0,"Yes","No"),"")</f>
        <v/>
      </c>
      <c r="C10352" s="11"/>
      <c r="D10352" s="11"/>
      <c r="E10352" s="11"/>
      <c r="F10352" s="11"/>
      <c r="G10352" s="11"/>
      <c r="H10352" s="11"/>
      <c r="I10352" s="15"/>
    </row>
    <row r="10353" spans="1:9" ht="16.5">
      <c r="A10353" s="10" t="b">
        <v>0</v>
      </c>
      <c r="B10353" s="11" t="str">
        <f>IF(D10353&lt;&gt;"",IF(COUNTIF('USPTO TMs'!A:A,D10353)&gt;0,"Yes","No"),"")</f>
        <v/>
      </c>
      <c r="C10353" s="11"/>
      <c r="D10353" s="11"/>
      <c r="E10353" s="11"/>
      <c r="F10353" s="11"/>
      <c r="G10353" s="11"/>
      <c r="H10353" s="11"/>
      <c r="I10353" s="15"/>
    </row>
    <row r="10354" spans="1:9" ht="16.5">
      <c r="A10354" s="10" t="b">
        <v>0</v>
      </c>
      <c r="B10354" s="11" t="str">
        <f>IF(D10354&lt;&gt;"",IF(COUNTIF('USPTO TMs'!A:A,D10354)&gt;0,"Yes","No"),"")</f>
        <v/>
      </c>
      <c r="C10354" s="11"/>
      <c r="D10354" s="11"/>
      <c r="E10354" s="11"/>
      <c r="F10354" s="11"/>
      <c r="G10354" s="11"/>
      <c r="H10354" s="11"/>
      <c r="I10354" s="15"/>
    </row>
    <row r="10355" spans="1:9" ht="16.5">
      <c r="A10355" s="10" t="b">
        <v>0</v>
      </c>
      <c r="B10355" s="11" t="str">
        <f>IF(D10355&lt;&gt;"",IF(COUNTIF('USPTO TMs'!A:A,D10355)&gt;0,"Yes","No"),"")</f>
        <v/>
      </c>
      <c r="C10355" s="11"/>
      <c r="D10355" s="11"/>
      <c r="E10355" s="11"/>
      <c r="F10355" s="11"/>
      <c r="G10355" s="11"/>
      <c r="H10355" s="11"/>
      <c r="I10355" s="15"/>
    </row>
    <row r="10356" spans="1:9" ht="16.5">
      <c r="A10356" s="10" t="b">
        <v>0</v>
      </c>
      <c r="B10356" s="11" t="str">
        <f>IF(D10356&lt;&gt;"",IF(COUNTIF('USPTO TMs'!A:A,D10356)&gt;0,"Yes","No"),"")</f>
        <v/>
      </c>
      <c r="C10356" s="11"/>
      <c r="D10356" s="11"/>
      <c r="E10356" s="11"/>
      <c r="F10356" s="11"/>
      <c r="G10356" s="11"/>
      <c r="H10356" s="11"/>
      <c r="I10356" s="15"/>
    </row>
    <row r="10357" spans="1:9" ht="16.5">
      <c r="A10357" s="10" t="b">
        <v>0</v>
      </c>
      <c r="B10357" s="11" t="str">
        <f>IF(D10357&lt;&gt;"",IF(COUNTIF('USPTO TMs'!A:A,D10357)&gt;0,"Yes","No"),"")</f>
        <v/>
      </c>
      <c r="C10357" s="11"/>
      <c r="D10357" s="11"/>
      <c r="E10357" s="11"/>
      <c r="F10357" s="11"/>
      <c r="G10357" s="11"/>
      <c r="H10357" s="11"/>
      <c r="I10357" s="15"/>
    </row>
    <row r="10358" spans="1:9" ht="16.5">
      <c r="A10358" s="10" t="b">
        <v>0</v>
      </c>
      <c r="B10358" s="11" t="str">
        <f>IF(D10358&lt;&gt;"",IF(COUNTIF('USPTO TMs'!A:A,D10358)&gt;0,"Yes","No"),"")</f>
        <v/>
      </c>
      <c r="C10358" s="11"/>
      <c r="D10358" s="11"/>
      <c r="E10358" s="11"/>
      <c r="F10358" s="11"/>
      <c r="G10358" s="11"/>
      <c r="H10358" s="11"/>
      <c r="I10358" s="15"/>
    </row>
    <row r="10359" spans="1:9" ht="16.5">
      <c r="A10359" s="10" t="b">
        <v>0</v>
      </c>
      <c r="B10359" s="11" t="str">
        <f>IF(D10359&lt;&gt;"",IF(COUNTIF('USPTO TMs'!A:A,D10359)&gt;0,"Yes","No"),"")</f>
        <v/>
      </c>
      <c r="C10359" s="11"/>
      <c r="D10359" s="11"/>
      <c r="E10359" s="11"/>
      <c r="F10359" s="11"/>
      <c r="G10359" s="11"/>
      <c r="H10359" s="11"/>
      <c r="I10359" s="15"/>
    </row>
    <row r="10360" spans="1:9" ht="16.5">
      <c r="A10360" s="10" t="b">
        <v>0</v>
      </c>
      <c r="B10360" s="11" t="str">
        <f>IF(D10360&lt;&gt;"",IF(COUNTIF('USPTO TMs'!A:A,D10360)&gt;0,"Yes","No"),"")</f>
        <v/>
      </c>
      <c r="C10360" s="11"/>
      <c r="D10360" s="11"/>
      <c r="E10360" s="11"/>
      <c r="F10360" s="11"/>
      <c r="G10360" s="11"/>
      <c r="H10360" s="11"/>
      <c r="I10360" s="15"/>
    </row>
    <row r="10361" spans="1:9" ht="16.5">
      <c r="A10361" s="10" t="b">
        <v>0</v>
      </c>
      <c r="B10361" s="11" t="str">
        <f>IF(D10361&lt;&gt;"",IF(COUNTIF('USPTO TMs'!A:A,D10361)&gt;0,"Yes","No"),"")</f>
        <v/>
      </c>
      <c r="C10361" s="11"/>
      <c r="D10361" s="11"/>
      <c r="E10361" s="11"/>
      <c r="F10361" s="11"/>
      <c r="G10361" s="11"/>
      <c r="H10361" s="11"/>
      <c r="I10361" s="15"/>
    </row>
    <row r="10362" spans="1:9" ht="16.5">
      <c r="A10362" s="10" t="b">
        <v>0</v>
      </c>
      <c r="B10362" s="11" t="str">
        <f>IF(D10362&lt;&gt;"",IF(COUNTIF('USPTO TMs'!A:A,D10362)&gt;0,"Yes","No"),"")</f>
        <v/>
      </c>
      <c r="C10362" s="11"/>
      <c r="D10362" s="11"/>
      <c r="E10362" s="11"/>
      <c r="F10362" s="11"/>
      <c r="G10362" s="11"/>
      <c r="H10362" s="11"/>
      <c r="I10362" s="15"/>
    </row>
    <row r="10363" spans="1:9" ht="16.5">
      <c r="A10363" s="10" t="b">
        <v>0</v>
      </c>
      <c r="B10363" s="11" t="str">
        <f>IF(D10363&lt;&gt;"",IF(COUNTIF('USPTO TMs'!A:A,D10363)&gt;0,"Yes","No"),"")</f>
        <v/>
      </c>
      <c r="C10363" s="11"/>
      <c r="D10363" s="11"/>
      <c r="E10363" s="11"/>
      <c r="F10363" s="11"/>
      <c r="G10363" s="11"/>
      <c r="H10363" s="11"/>
      <c r="I10363" s="15"/>
    </row>
    <row r="10364" spans="1:9" ht="16.5">
      <c r="A10364" s="10" t="b">
        <v>0</v>
      </c>
      <c r="B10364" s="11" t="str">
        <f>IF(D10364&lt;&gt;"",IF(COUNTIF('USPTO TMs'!A:A,D10364)&gt;0,"Yes","No"),"")</f>
        <v/>
      </c>
      <c r="C10364" s="11"/>
      <c r="D10364" s="11"/>
      <c r="E10364" s="11"/>
      <c r="F10364" s="11"/>
      <c r="G10364" s="11"/>
      <c r="H10364" s="11"/>
      <c r="I10364" s="15"/>
    </row>
    <row r="10365" spans="1:9" ht="16.5">
      <c r="A10365" s="10" t="b">
        <v>0</v>
      </c>
      <c r="B10365" s="11" t="str">
        <f>IF(D10365&lt;&gt;"",IF(COUNTIF('USPTO TMs'!A:A,D10365)&gt;0,"Yes","No"),"")</f>
        <v/>
      </c>
      <c r="C10365" s="11"/>
      <c r="D10365" s="11"/>
      <c r="E10365" s="11"/>
      <c r="F10365" s="11"/>
      <c r="G10365" s="11"/>
      <c r="H10365" s="11"/>
      <c r="I10365" s="15"/>
    </row>
    <row r="10366" spans="1:9" ht="16.5">
      <c r="A10366" s="10" t="b">
        <v>0</v>
      </c>
      <c r="B10366" s="11" t="str">
        <f>IF(D10366&lt;&gt;"",IF(COUNTIF('USPTO TMs'!A:A,D10366)&gt;0,"Yes","No"),"")</f>
        <v/>
      </c>
      <c r="C10366" s="11"/>
      <c r="D10366" s="11"/>
      <c r="E10366" s="11"/>
      <c r="F10366" s="11"/>
      <c r="G10366" s="11"/>
      <c r="H10366" s="11"/>
      <c r="I10366" s="15"/>
    </row>
    <row r="10367" spans="1:9" ht="16.5">
      <c r="A10367" s="10" t="b">
        <v>0</v>
      </c>
      <c r="B10367" s="11" t="str">
        <f>IF(D10367&lt;&gt;"",IF(COUNTIF('USPTO TMs'!A:A,D10367)&gt;0,"Yes","No"),"")</f>
        <v/>
      </c>
      <c r="C10367" s="11"/>
      <c r="D10367" s="11"/>
      <c r="E10367" s="11"/>
      <c r="F10367" s="11"/>
      <c r="G10367" s="11"/>
      <c r="H10367" s="11"/>
      <c r="I10367" s="15"/>
    </row>
    <row r="10368" spans="1:9" ht="16.5">
      <c r="A10368" s="10" t="b">
        <v>0</v>
      </c>
      <c r="B10368" s="11" t="str">
        <f>IF(D10368&lt;&gt;"",IF(COUNTIF('USPTO TMs'!A:A,D10368)&gt;0,"Yes","No"),"")</f>
        <v/>
      </c>
      <c r="C10368" s="11"/>
      <c r="D10368" s="11"/>
      <c r="E10368" s="11"/>
      <c r="F10368" s="11"/>
      <c r="G10368" s="11"/>
      <c r="H10368" s="11"/>
      <c r="I10368" s="15"/>
    </row>
    <row r="10369" spans="1:9" ht="16.5">
      <c r="A10369" s="10" t="b">
        <v>0</v>
      </c>
      <c r="B10369" s="11" t="str">
        <f>IF(D10369&lt;&gt;"",IF(COUNTIF('USPTO TMs'!A:A,D10369)&gt;0,"Yes","No"),"")</f>
        <v/>
      </c>
      <c r="C10369" s="11"/>
      <c r="D10369" s="11"/>
      <c r="E10369" s="11"/>
      <c r="F10369" s="11"/>
      <c r="G10369" s="11"/>
      <c r="H10369" s="11"/>
      <c r="I10369" s="15"/>
    </row>
    <row r="10370" spans="1:9" ht="16.5">
      <c r="A10370" s="10" t="b">
        <v>0</v>
      </c>
      <c r="B10370" s="11" t="str">
        <f>IF(D10370&lt;&gt;"",IF(COUNTIF('USPTO TMs'!A:A,D10370)&gt;0,"Yes","No"),"")</f>
        <v/>
      </c>
      <c r="C10370" s="11"/>
      <c r="D10370" s="11"/>
      <c r="E10370" s="11"/>
      <c r="F10370" s="11"/>
      <c r="G10370" s="11"/>
      <c r="H10370" s="11"/>
      <c r="I10370" s="15"/>
    </row>
    <row r="10371" spans="1:9" ht="16.5">
      <c r="A10371" s="10" t="b">
        <v>0</v>
      </c>
      <c r="B10371" s="11" t="str">
        <f>IF(D10371&lt;&gt;"",IF(COUNTIF('USPTO TMs'!A:A,D10371)&gt;0,"Yes","No"),"")</f>
        <v/>
      </c>
      <c r="C10371" s="11"/>
      <c r="D10371" s="11"/>
      <c r="E10371" s="11"/>
      <c r="F10371" s="11"/>
      <c r="G10371" s="11"/>
      <c r="H10371" s="11"/>
      <c r="I10371" s="15"/>
    </row>
    <row r="10372" spans="1:9" ht="16.5">
      <c r="A10372" s="10" t="b">
        <v>0</v>
      </c>
      <c r="B10372" s="11" t="str">
        <f>IF(D10372&lt;&gt;"",IF(COUNTIF('USPTO TMs'!A:A,D10372)&gt;0,"Yes","No"),"")</f>
        <v/>
      </c>
      <c r="C10372" s="11"/>
      <c r="D10372" s="11"/>
      <c r="E10372" s="11"/>
      <c r="F10372" s="11"/>
      <c r="G10372" s="11"/>
      <c r="H10372" s="11"/>
      <c r="I10372" s="15"/>
    </row>
    <row r="10373" spans="1:9" ht="16.5">
      <c r="A10373" s="10" t="b">
        <v>0</v>
      </c>
      <c r="B10373" s="11" t="str">
        <f>IF(D10373&lt;&gt;"",IF(COUNTIF('USPTO TMs'!A:A,D10373)&gt;0,"Yes","No"),"")</f>
        <v/>
      </c>
      <c r="C10373" s="11"/>
      <c r="D10373" s="11"/>
      <c r="E10373" s="11"/>
      <c r="F10373" s="11"/>
      <c r="G10373" s="11"/>
      <c r="H10373" s="11"/>
      <c r="I10373" s="15"/>
    </row>
    <row r="10374" spans="1:9" ht="16.5">
      <c r="A10374" s="10" t="b">
        <v>0</v>
      </c>
      <c r="B10374" s="11" t="str">
        <f>IF(D10374&lt;&gt;"",IF(COUNTIF('USPTO TMs'!A:A,D10374)&gt;0,"Yes","No"),"")</f>
        <v/>
      </c>
      <c r="C10374" s="11"/>
      <c r="D10374" s="11"/>
      <c r="E10374" s="11"/>
      <c r="F10374" s="11"/>
      <c r="G10374" s="11"/>
      <c r="H10374" s="11"/>
      <c r="I10374" s="15"/>
    </row>
    <row r="10375" spans="1:9" ht="16.5">
      <c r="A10375" s="10" t="b">
        <v>0</v>
      </c>
      <c r="B10375" s="11" t="str">
        <f>IF(D10375&lt;&gt;"",IF(COUNTIF('USPTO TMs'!A:A,D10375)&gt;0,"Yes","No"),"")</f>
        <v/>
      </c>
      <c r="C10375" s="11"/>
      <c r="D10375" s="11"/>
      <c r="E10375" s="11"/>
      <c r="F10375" s="11"/>
      <c r="G10375" s="11"/>
      <c r="H10375" s="11"/>
      <c r="I10375" s="15"/>
    </row>
    <row r="10376" spans="1:9" ht="16.5">
      <c r="A10376" s="10" t="b">
        <v>0</v>
      </c>
      <c r="B10376" s="11" t="str">
        <f>IF(D10376&lt;&gt;"",IF(COUNTIF('USPTO TMs'!A:A,D10376)&gt;0,"Yes","No"),"")</f>
        <v/>
      </c>
      <c r="C10376" s="11"/>
      <c r="D10376" s="11"/>
      <c r="E10376" s="11"/>
      <c r="F10376" s="11"/>
      <c r="G10376" s="11"/>
      <c r="H10376" s="11"/>
      <c r="I10376" s="15"/>
    </row>
    <row r="10377" spans="1:9" ht="16.5">
      <c r="A10377" s="10" t="b">
        <v>0</v>
      </c>
      <c r="B10377" s="11" t="str">
        <f>IF(D10377&lt;&gt;"",IF(COUNTIF('USPTO TMs'!A:A,D10377)&gt;0,"Yes","No"),"")</f>
        <v/>
      </c>
      <c r="C10377" s="11"/>
      <c r="D10377" s="11"/>
      <c r="E10377" s="11"/>
      <c r="F10377" s="11"/>
      <c r="G10377" s="11"/>
      <c r="H10377" s="11"/>
      <c r="I10377" s="15"/>
    </row>
    <row r="10378" spans="1:9" ht="16.5">
      <c r="A10378" s="10" t="b">
        <v>0</v>
      </c>
      <c r="B10378" s="11" t="str">
        <f>IF(D10378&lt;&gt;"",IF(COUNTIF('USPTO TMs'!A:A,D10378)&gt;0,"Yes","No"),"")</f>
        <v/>
      </c>
      <c r="C10378" s="11"/>
      <c r="D10378" s="11"/>
      <c r="E10378" s="11"/>
      <c r="F10378" s="11"/>
      <c r="G10378" s="11"/>
      <c r="H10378" s="11"/>
      <c r="I10378" s="15"/>
    </row>
    <row r="10379" spans="1:9" ht="16.5">
      <c r="A10379" s="10" t="b">
        <v>0</v>
      </c>
      <c r="B10379" s="11" t="str">
        <f>IF(D10379&lt;&gt;"",IF(COUNTIF('USPTO TMs'!A:A,D10379)&gt;0,"Yes","No"),"")</f>
        <v/>
      </c>
      <c r="C10379" s="11"/>
      <c r="D10379" s="11"/>
      <c r="E10379" s="11"/>
      <c r="F10379" s="11"/>
      <c r="G10379" s="11"/>
      <c r="H10379" s="11"/>
      <c r="I10379" s="15"/>
    </row>
    <row r="10380" spans="1:9" ht="16.5">
      <c r="A10380" s="10" t="b">
        <v>0</v>
      </c>
      <c r="B10380" s="11" t="str">
        <f>IF(D10380&lt;&gt;"",IF(COUNTIF('USPTO TMs'!A:A,D10380)&gt;0,"Yes","No"),"")</f>
        <v/>
      </c>
      <c r="C10380" s="11"/>
      <c r="D10380" s="11"/>
      <c r="E10380" s="11"/>
      <c r="F10380" s="11"/>
      <c r="G10380" s="11"/>
      <c r="H10380" s="11"/>
      <c r="I10380" s="15"/>
    </row>
    <row r="10381" spans="1:9" ht="16.5">
      <c r="A10381" s="10" t="b">
        <v>0</v>
      </c>
      <c r="B10381" s="11" t="str">
        <f>IF(D10381&lt;&gt;"",IF(COUNTIF('USPTO TMs'!A:A,D10381)&gt;0,"Yes","No"),"")</f>
        <v/>
      </c>
      <c r="C10381" s="11"/>
      <c r="D10381" s="11"/>
      <c r="E10381" s="11"/>
      <c r="F10381" s="11"/>
      <c r="G10381" s="11"/>
      <c r="H10381" s="11"/>
      <c r="I10381" s="15"/>
    </row>
    <row r="10382" spans="1:9" ht="16.5">
      <c r="A10382" s="10" t="b">
        <v>0</v>
      </c>
      <c r="B10382" s="11" t="str">
        <f>IF(D10382&lt;&gt;"",IF(COUNTIF('USPTO TMs'!A:A,D10382)&gt;0,"Yes","No"),"")</f>
        <v/>
      </c>
      <c r="C10382" s="11"/>
      <c r="D10382" s="11"/>
      <c r="E10382" s="11"/>
      <c r="F10382" s="11"/>
      <c r="G10382" s="11"/>
      <c r="H10382" s="11"/>
      <c r="I10382" s="15"/>
    </row>
    <row r="10383" spans="1:9" ht="16.5">
      <c r="A10383" s="10" t="b">
        <v>0</v>
      </c>
      <c r="B10383" s="11" t="str">
        <f>IF(D10383&lt;&gt;"",IF(COUNTIF('USPTO TMs'!A:A,D10383)&gt;0,"Yes","No"),"")</f>
        <v/>
      </c>
      <c r="C10383" s="11"/>
      <c r="D10383" s="11"/>
      <c r="E10383" s="11"/>
      <c r="F10383" s="11"/>
      <c r="G10383" s="11"/>
      <c r="H10383" s="11"/>
      <c r="I10383" s="15"/>
    </row>
    <row r="10384" spans="1:9" ht="16.5">
      <c r="A10384" s="10" t="b">
        <v>0</v>
      </c>
      <c r="B10384" s="11" t="str">
        <f>IF(D10384&lt;&gt;"",IF(COUNTIF('USPTO TMs'!A:A,D10384)&gt;0,"Yes","No"),"")</f>
        <v/>
      </c>
      <c r="C10384" s="11"/>
      <c r="D10384" s="11"/>
      <c r="E10384" s="11"/>
      <c r="F10384" s="11"/>
      <c r="G10384" s="11"/>
      <c r="H10384" s="11"/>
      <c r="I10384" s="15"/>
    </row>
    <row r="10385" spans="1:9" ht="16.5">
      <c r="A10385" s="10" t="b">
        <v>0</v>
      </c>
      <c r="B10385" s="11" t="str">
        <f>IF(D10385&lt;&gt;"",IF(COUNTIF('USPTO TMs'!A:A,D10385)&gt;0,"Yes","No"),"")</f>
        <v/>
      </c>
      <c r="C10385" s="11"/>
      <c r="D10385" s="11"/>
      <c r="E10385" s="11"/>
      <c r="F10385" s="11"/>
      <c r="G10385" s="11"/>
      <c r="H10385" s="11"/>
      <c r="I10385" s="15"/>
    </row>
    <row r="10386" spans="1:9" ht="16.5">
      <c r="A10386" s="10" t="b">
        <v>0</v>
      </c>
      <c r="B10386" s="11" t="str">
        <f>IF(D10386&lt;&gt;"",IF(COUNTIF('USPTO TMs'!A:A,D10386)&gt;0,"Yes","No"),"")</f>
        <v/>
      </c>
      <c r="C10386" s="11"/>
      <c r="D10386" s="11"/>
      <c r="E10386" s="11"/>
      <c r="F10386" s="11"/>
      <c r="G10386" s="11"/>
      <c r="H10386" s="11"/>
      <c r="I10386" s="15"/>
    </row>
    <row r="10387" spans="1:9" ht="16.5">
      <c r="A10387" s="10" t="b">
        <v>0</v>
      </c>
      <c r="B10387" s="11" t="str">
        <f>IF(D10387&lt;&gt;"",IF(COUNTIF('USPTO TMs'!A:A,D10387)&gt;0,"Yes","No"),"")</f>
        <v/>
      </c>
      <c r="C10387" s="11"/>
      <c r="D10387" s="11"/>
      <c r="E10387" s="11"/>
      <c r="F10387" s="11"/>
      <c r="G10387" s="11"/>
      <c r="H10387" s="11"/>
      <c r="I10387" s="15"/>
    </row>
    <row r="10388" spans="1:9" ht="16.5">
      <c r="A10388" s="10" t="b">
        <v>0</v>
      </c>
      <c r="B10388" s="11" t="str">
        <f>IF(D10388&lt;&gt;"",IF(COUNTIF('USPTO TMs'!A:A,D10388)&gt;0,"Yes","No"),"")</f>
        <v/>
      </c>
      <c r="C10388" s="11"/>
      <c r="D10388" s="11"/>
      <c r="E10388" s="11"/>
      <c r="F10388" s="11"/>
      <c r="G10388" s="11"/>
      <c r="H10388" s="11"/>
      <c r="I10388" s="15"/>
    </row>
    <row r="10389" spans="1:9" ht="16.5">
      <c r="A10389" s="10" t="b">
        <v>0</v>
      </c>
      <c r="B10389" s="11" t="str">
        <f>IF(D10389&lt;&gt;"",IF(COUNTIF('USPTO TMs'!A:A,D10389)&gt;0,"Yes","No"),"")</f>
        <v/>
      </c>
      <c r="C10389" s="11"/>
      <c r="D10389" s="11"/>
      <c r="E10389" s="11"/>
      <c r="F10389" s="11"/>
      <c r="G10389" s="11"/>
      <c r="H10389" s="11"/>
      <c r="I10389" s="15"/>
    </row>
    <row r="10390" spans="1:9" ht="16.5">
      <c r="A10390" s="10" t="b">
        <v>0</v>
      </c>
      <c r="B10390" s="11" t="str">
        <f>IF(D10390&lt;&gt;"",IF(COUNTIF('USPTO TMs'!A:A,D10390)&gt;0,"Yes","No"),"")</f>
        <v/>
      </c>
      <c r="C10390" s="11"/>
      <c r="D10390" s="11"/>
      <c r="E10390" s="11"/>
      <c r="F10390" s="11"/>
      <c r="G10390" s="11"/>
      <c r="H10390" s="11"/>
      <c r="I10390" s="15"/>
    </row>
    <row r="10391" spans="1:9" ht="16.5">
      <c r="A10391" s="10" t="b">
        <v>0</v>
      </c>
      <c r="B10391" s="11" t="str">
        <f>IF(D10391&lt;&gt;"",IF(COUNTIF('USPTO TMs'!A:A,D10391)&gt;0,"Yes","No"),"")</f>
        <v/>
      </c>
      <c r="C10391" s="11"/>
      <c r="D10391" s="11"/>
      <c r="E10391" s="11"/>
      <c r="F10391" s="11"/>
      <c r="G10391" s="11"/>
      <c r="H10391" s="11"/>
      <c r="I10391" s="15"/>
    </row>
    <row r="10392" spans="1:9" ht="16.5">
      <c r="A10392" s="10" t="b">
        <v>0</v>
      </c>
      <c r="B10392" s="11" t="str">
        <f>IF(D10392&lt;&gt;"",IF(COUNTIF('USPTO TMs'!A:A,D10392)&gt;0,"Yes","No"),"")</f>
        <v/>
      </c>
      <c r="C10392" s="11"/>
      <c r="D10392" s="11"/>
      <c r="E10392" s="11"/>
      <c r="F10392" s="11"/>
      <c r="G10392" s="11"/>
      <c r="H10392" s="11"/>
      <c r="I10392" s="15"/>
    </row>
    <row r="10393" spans="1:9" ht="16.5">
      <c r="A10393" s="10" t="b">
        <v>0</v>
      </c>
      <c r="B10393" s="11" t="str">
        <f>IF(D10393&lt;&gt;"",IF(COUNTIF('USPTO TMs'!A:A,D10393)&gt;0,"Yes","No"),"")</f>
        <v/>
      </c>
      <c r="C10393" s="11"/>
      <c r="D10393" s="11"/>
      <c r="E10393" s="11"/>
      <c r="F10393" s="11"/>
      <c r="G10393" s="11"/>
      <c r="H10393" s="11"/>
      <c r="I10393" s="15"/>
    </row>
    <row r="10394" spans="1:9" ht="16.5">
      <c r="A10394" s="10" t="b">
        <v>0</v>
      </c>
      <c r="B10394" s="11" t="str">
        <f>IF(D10394&lt;&gt;"",IF(COUNTIF('USPTO TMs'!A:A,D10394)&gt;0,"Yes","No"),"")</f>
        <v/>
      </c>
      <c r="C10394" s="11"/>
      <c r="D10394" s="11"/>
      <c r="E10394" s="11"/>
      <c r="F10394" s="11"/>
      <c r="G10394" s="11"/>
      <c r="H10394" s="11"/>
      <c r="I10394" s="15"/>
    </row>
    <row r="10395" spans="1:9" ht="16.5">
      <c r="A10395" s="10" t="b">
        <v>0</v>
      </c>
      <c r="B10395" s="11" t="str">
        <f>IF(D10395&lt;&gt;"",IF(COUNTIF('USPTO TMs'!A:A,D10395)&gt;0,"Yes","No"),"")</f>
        <v/>
      </c>
      <c r="C10395" s="11"/>
      <c r="D10395" s="11"/>
      <c r="E10395" s="11"/>
      <c r="F10395" s="11"/>
      <c r="G10395" s="11"/>
      <c r="H10395" s="11"/>
      <c r="I10395" s="15"/>
    </row>
    <row r="10396" spans="1:9" ht="16.5">
      <c r="A10396" s="10" t="b">
        <v>0</v>
      </c>
      <c r="B10396" s="11" t="str">
        <f>IF(D10396&lt;&gt;"",IF(COUNTIF('USPTO TMs'!A:A,D10396)&gt;0,"Yes","No"),"")</f>
        <v/>
      </c>
      <c r="C10396" s="11"/>
      <c r="D10396" s="11"/>
      <c r="E10396" s="11"/>
      <c r="F10396" s="11"/>
      <c r="G10396" s="11"/>
      <c r="H10396" s="11"/>
      <c r="I10396" s="15"/>
    </row>
    <row r="10397" spans="1:9" ht="16.5">
      <c r="A10397" s="10" t="b">
        <v>0</v>
      </c>
      <c r="B10397" s="11" t="str">
        <f>IF(D10397&lt;&gt;"",IF(COUNTIF('USPTO TMs'!A:A,D10397)&gt;0,"Yes","No"),"")</f>
        <v/>
      </c>
      <c r="C10397" s="11"/>
      <c r="D10397" s="11"/>
      <c r="E10397" s="11"/>
      <c r="F10397" s="11"/>
      <c r="G10397" s="11"/>
      <c r="H10397" s="11"/>
      <c r="I10397" s="15"/>
    </row>
    <row r="10398" spans="1:9" ht="16.5">
      <c r="A10398" s="10" t="b">
        <v>0</v>
      </c>
      <c r="B10398" s="11" t="str">
        <f>IF(D10398&lt;&gt;"",IF(COUNTIF('USPTO TMs'!A:A,D10398)&gt;0,"Yes","No"),"")</f>
        <v/>
      </c>
      <c r="C10398" s="11"/>
      <c r="D10398" s="11"/>
      <c r="E10398" s="11"/>
      <c r="F10398" s="11"/>
      <c r="G10398" s="11"/>
      <c r="H10398" s="11"/>
      <c r="I10398" s="15"/>
    </row>
    <row r="10399" spans="1:9" ht="16.5">
      <c r="A10399" s="10" t="b">
        <v>0</v>
      </c>
      <c r="B10399" s="11" t="str">
        <f>IF(D10399&lt;&gt;"",IF(COUNTIF('USPTO TMs'!A:A,D10399)&gt;0,"Yes","No"),"")</f>
        <v/>
      </c>
      <c r="C10399" s="11"/>
      <c r="D10399" s="11"/>
      <c r="E10399" s="11"/>
      <c r="F10399" s="11"/>
      <c r="G10399" s="11"/>
      <c r="H10399" s="11"/>
      <c r="I10399" s="15"/>
    </row>
    <row r="10400" spans="1:9" ht="16.5">
      <c r="A10400" s="10" t="b">
        <v>0</v>
      </c>
      <c r="B10400" s="11" t="str">
        <f>IF(D10400&lt;&gt;"",IF(COUNTIF('USPTO TMs'!A:A,D10400)&gt;0,"Yes","No"),"")</f>
        <v/>
      </c>
      <c r="C10400" s="11"/>
      <c r="D10400" s="11"/>
      <c r="E10400" s="11"/>
      <c r="F10400" s="11"/>
      <c r="G10400" s="11"/>
      <c r="H10400" s="11"/>
      <c r="I10400" s="15"/>
    </row>
    <row r="10401" spans="1:9" ht="16.5">
      <c r="A10401" s="10" t="b">
        <v>0</v>
      </c>
      <c r="B10401" s="11" t="str">
        <f>IF(D10401&lt;&gt;"",IF(COUNTIF('USPTO TMs'!A:A,D10401)&gt;0,"Yes","No"),"")</f>
        <v/>
      </c>
      <c r="C10401" s="11"/>
      <c r="D10401" s="11"/>
      <c r="E10401" s="11"/>
      <c r="F10401" s="11"/>
      <c r="G10401" s="11"/>
      <c r="H10401" s="11"/>
      <c r="I10401" s="15"/>
    </row>
    <row r="10402" spans="1:9" ht="16.5">
      <c r="A10402" s="10" t="b">
        <v>0</v>
      </c>
      <c r="B10402" s="11" t="str">
        <f>IF(D10402&lt;&gt;"",IF(COUNTIF('USPTO TMs'!A:A,D10402)&gt;0,"Yes","No"),"")</f>
        <v/>
      </c>
      <c r="C10402" s="11"/>
      <c r="D10402" s="11"/>
      <c r="E10402" s="11"/>
      <c r="F10402" s="11"/>
      <c r="G10402" s="11"/>
      <c r="H10402" s="11"/>
      <c r="I10402" s="15"/>
    </row>
    <row r="10403" spans="1:9" ht="16.5">
      <c r="A10403" s="10" t="b">
        <v>0</v>
      </c>
      <c r="B10403" s="11" t="str">
        <f>IF(D10403&lt;&gt;"",IF(COUNTIF('USPTO TMs'!A:A,D10403)&gt;0,"Yes","No"),"")</f>
        <v/>
      </c>
      <c r="C10403" s="11"/>
      <c r="D10403" s="11"/>
      <c r="E10403" s="11"/>
      <c r="F10403" s="11"/>
      <c r="G10403" s="11"/>
      <c r="H10403" s="11"/>
      <c r="I10403" s="15"/>
    </row>
    <row r="10404" spans="1:9" ht="16.5">
      <c r="A10404" s="10" t="b">
        <v>0</v>
      </c>
      <c r="B10404" s="11" t="str">
        <f>IF(D10404&lt;&gt;"",IF(COUNTIF('USPTO TMs'!A:A,D10404)&gt;0,"Yes","No"),"")</f>
        <v/>
      </c>
      <c r="C10404" s="11"/>
      <c r="D10404" s="11"/>
      <c r="E10404" s="11"/>
      <c r="F10404" s="11"/>
      <c r="G10404" s="11"/>
      <c r="H10404" s="11"/>
      <c r="I10404" s="15"/>
    </row>
    <row r="10405" spans="1:9" ht="16.5">
      <c r="A10405" s="10" t="b">
        <v>0</v>
      </c>
      <c r="B10405" s="11" t="str">
        <f>IF(D10405&lt;&gt;"",IF(COUNTIF('USPTO TMs'!A:A,D10405)&gt;0,"Yes","No"),"")</f>
        <v/>
      </c>
      <c r="C10405" s="11"/>
      <c r="D10405" s="11"/>
      <c r="E10405" s="11"/>
      <c r="F10405" s="11"/>
      <c r="G10405" s="11"/>
      <c r="H10405" s="11"/>
      <c r="I10405" s="15"/>
    </row>
    <row r="10406" spans="1:9" ht="16.5">
      <c r="A10406" s="10" t="b">
        <v>0</v>
      </c>
      <c r="B10406" s="11" t="str">
        <f>IF(D10406&lt;&gt;"",IF(COUNTIF('USPTO TMs'!A:A,D10406)&gt;0,"Yes","No"),"")</f>
        <v/>
      </c>
      <c r="C10406" s="11"/>
      <c r="D10406" s="11"/>
      <c r="E10406" s="11"/>
      <c r="F10406" s="11"/>
      <c r="G10406" s="11"/>
      <c r="H10406" s="11"/>
      <c r="I10406" s="15"/>
    </row>
    <row r="10407" spans="1:9" ht="16.5">
      <c r="A10407" s="10" t="b">
        <v>0</v>
      </c>
      <c r="B10407" s="11" t="str">
        <f>IF(D10407&lt;&gt;"",IF(COUNTIF('USPTO TMs'!A:A,D10407)&gt;0,"Yes","No"),"")</f>
        <v/>
      </c>
      <c r="C10407" s="11"/>
      <c r="D10407" s="11"/>
      <c r="E10407" s="11"/>
      <c r="F10407" s="11"/>
      <c r="G10407" s="11"/>
      <c r="H10407" s="11"/>
      <c r="I10407" s="15"/>
    </row>
    <row r="10408" spans="1:9" ht="16.5">
      <c r="A10408" s="10" t="b">
        <v>0</v>
      </c>
      <c r="B10408" s="11" t="str">
        <f>IF(D10408&lt;&gt;"",IF(COUNTIF('USPTO TMs'!A:A,D10408)&gt;0,"Yes","No"),"")</f>
        <v/>
      </c>
      <c r="C10408" s="11"/>
      <c r="D10408" s="11"/>
      <c r="E10408" s="11"/>
      <c r="F10408" s="11"/>
      <c r="G10408" s="11"/>
      <c r="H10408" s="11"/>
      <c r="I10408" s="15"/>
    </row>
    <row r="10409" spans="1:9" ht="16.5">
      <c r="A10409" s="10" t="b">
        <v>0</v>
      </c>
      <c r="B10409" s="11" t="str">
        <f>IF(D10409&lt;&gt;"",IF(COUNTIF('USPTO TMs'!A:A,D10409)&gt;0,"Yes","No"),"")</f>
        <v/>
      </c>
      <c r="C10409" s="11"/>
      <c r="D10409" s="11"/>
      <c r="E10409" s="11"/>
      <c r="F10409" s="11"/>
      <c r="G10409" s="11"/>
      <c r="H10409" s="11"/>
      <c r="I10409" s="15"/>
    </row>
    <row r="10410" spans="1:9" ht="16.5">
      <c r="A10410" s="10" t="b">
        <v>0</v>
      </c>
      <c r="B10410" s="11" t="str">
        <f>IF(D10410&lt;&gt;"",IF(COUNTIF('USPTO TMs'!A:A,D10410)&gt;0,"Yes","No"),"")</f>
        <v/>
      </c>
      <c r="C10410" s="11"/>
      <c r="D10410" s="11"/>
      <c r="E10410" s="11"/>
      <c r="F10410" s="11"/>
      <c r="G10410" s="11"/>
      <c r="H10410" s="11"/>
      <c r="I10410" s="15"/>
    </row>
    <row r="10411" spans="1:9" ht="16.5">
      <c r="A10411" s="10" t="b">
        <v>0</v>
      </c>
      <c r="B10411" s="11" t="str">
        <f>IF(D10411&lt;&gt;"",IF(COUNTIF('USPTO TMs'!A:A,D10411)&gt;0,"Yes","No"),"")</f>
        <v/>
      </c>
      <c r="C10411" s="11"/>
      <c r="D10411" s="11"/>
      <c r="E10411" s="11"/>
      <c r="F10411" s="11"/>
      <c r="G10411" s="11"/>
      <c r="H10411" s="11"/>
      <c r="I10411" s="15"/>
    </row>
    <row r="10412" spans="1:9" ht="16.5">
      <c r="A10412" s="10" t="b">
        <v>0</v>
      </c>
      <c r="B10412" s="11" t="str">
        <f>IF(D10412&lt;&gt;"",IF(COUNTIF('USPTO TMs'!A:A,D10412)&gt;0,"Yes","No"),"")</f>
        <v/>
      </c>
      <c r="C10412" s="11"/>
      <c r="D10412" s="11"/>
      <c r="E10412" s="11"/>
      <c r="F10412" s="11"/>
      <c r="G10412" s="11"/>
      <c r="H10412" s="11"/>
      <c r="I10412" s="15"/>
    </row>
    <row r="10413" spans="1:9" ht="16.5">
      <c r="A10413" s="10" t="b">
        <v>0</v>
      </c>
      <c r="B10413" s="11" t="str">
        <f>IF(D10413&lt;&gt;"",IF(COUNTIF('USPTO TMs'!A:A,D10413)&gt;0,"Yes","No"),"")</f>
        <v/>
      </c>
      <c r="C10413" s="11"/>
      <c r="D10413" s="11"/>
      <c r="E10413" s="11"/>
      <c r="F10413" s="11"/>
      <c r="G10413" s="11"/>
      <c r="H10413" s="11"/>
      <c r="I10413" s="15"/>
    </row>
    <row r="10414" spans="1:9" ht="16.5">
      <c r="A10414" s="10" t="b">
        <v>0</v>
      </c>
      <c r="B10414" s="11" t="str">
        <f>IF(D10414&lt;&gt;"",IF(COUNTIF('USPTO TMs'!A:A,D10414)&gt;0,"Yes","No"),"")</f>
        <v/>
      </c>
      <c r="C10414" s="11"/>
      <c r="D10414" s="11"/>
      <c r="E10414" s="11"/>
      <c r="F10414" s="11"/>
      <c r="G10414" s="11"/>
      <c r="H10414" s="11"/>
      <c r="I10414" s="15"/>
    </row>
    <row r="10415" spans="1:9" ht="16.5">
      <c r="A10415" s="10" t="b">
        <v>0</v>
      </c>
      <c r="B10415" s="11" t="str">
        <f>IF(D10415&lt;&gt;"",IF(COUNTIF('USPTO TMs'!A:A,D10415)&gt;0,"Yes","No"),"")</f>
        <v/>
      </c>
      <c r="C10415" s="11"/>
      <c r="D10415" s="11"/>
      <c r="E10415" s="11"/>
      <c r="F10415" s="11"/>
      <c r="G10415" s="11"/>
      <c r="H10415" s="11"/>
      <c r="I10415" s="15"/>
    </row>
    <row r="10416" spans="1:9" ht="16.5">
      <c r="A10416" s="10" t="b">
        <v>0</v>
      </c>
      <c r="B10416" s="11" t="str">
        <f>IF(D10416&lt;&gt;"",IF(COUNTIF('USPTO TMs'!A:A,D10416)&gt;0,"Yes","No"),"")</f>
        <v/>
      </c>
      <c r="C10416" s="11"/>
      <c r="D10416" s="11"/>
      <c r="E10416" s="11"/>
      <c r="F10416" s="11"/>
      <c r="G10416" s="11"/>
      <c r="H10416" s="11"/>
      <c r="I10416" s="15"/>
    </row>
    <row r="10417" spans="1:9" ht="16.5">
      <c r="A10417" s="10" t="b">
        <v>0</v>
      </c>
      <c r="B10417" s="11" t="str">
        <f>IF(D10417&lt;&gt;"",IF(COUNTIF('USPTO TMs'!A:A,D10417)&gt;0,"Yes","No"),"")</f>
        <v/>
      </c>
      <c r="C10417" s="11"/>
      <c r="D10417" s="11"/>
      <c r="E10417" s="11"/>
      <c r="F10417" s="11"/>
      <c r="G10417" s="11"/>
      <c r="H10417" s="11"/>
      <c r="I10417" s="15"/>
    </row>
    <row r="10418" spans="1:9" ht="16.5">
      <c r="A10418" s="10" t="b">
        <v>0</v>
      </c>
      <c r="B10418" s="11" t="str">
        <f>IF(D10418&lt;&gt;"",IF(COUNTIF('USPTO TMs'!A:A,D10418)&gt;0,"Yes","No"),"")</f>
        <v/>
      </c>
      <c r="C10418" s="11"/>
      <c r="D10418" s="11"/>
      <c r="E10418" s="11"/>
      <c r="F10418" s="11"/>
      <c r="G10418" s="11"/>
      <c r="H10418" s="11"/>
      <c r="I10418" s="15"/>
    </row>
    <row r="10419" spans="1:9" ht="16.5">
      <c r="A10419" s="10" t="b">
        <v>0</v>
      </c>
      <c r="B10419" s="11" t="str">
        <f>IF(D10419&lt;&gt;"",IF(COUNTIF('USPTO TMs'!A:A,D10419)&gt;0,"Yes","No"),"")</f>
        <v/>
      </c>
      <c r="C10419" s="11"/>
      <c r="D10419" s="11"/>
      <c r="E10419" s="11"/>
      <c r="F10419" s="11"/>
      <c r="G10419" s="11"/>
      <c r="H10419" s="11"/>
      <c r="I10419" s="15"/>
    </row>
    <row r="10420" spans="1:9" ht="16.5">
      <c r="A10420" s="10" t="b">
        <v>0</v>
      </c>
      <c r="B10420" s="11" t="str">
        <f>IF(D10420&lt;&gt;"",IF(COUNTIF('USPTO TMs'!A:A,D10420)&gt;0,"Yes","No"),"")</f>
        <v/>
      </c>
      <c r="C10420" s="11"/>
      <c r="D10420" s="11"/>
      <c r="E10420" s="11"/>
      <c r="F10420" s="11"/>
      <c r="G10420" s="11"/>
      <c r="H10420" s="11"/>
      <c r="I10420" s="15"/>
    </row>
    <row r="10421" spans="1:9" ht="16.5">
      <c r="A10421" s="10" t="b">
        <v>0</v>
      </c>
      <c r="B10421" s="11" t="str">
        <f>IF(D10421&lt;&gt;"",IF(COUNTIF('USPTO TMs'!A:A,D10421)&gt;0,"Yes","No"),"")</f>
        <v/>
      </c>
      <c r="C10421" s="11"/>
      <c r="D10421" s="11"/>
      <c r="E10421" s="11"/>
      <c r="F10421" s="11"/>
      <c r="G10421" s="11"/>
      <c r="H10421" s="11"/>
      <c r="I10421" s="15"/>
    </row>
    <row r="10422" spans="1:9" ht="16.5">
      <c r="A10422" s="10" t="b">
        <v>0</v>
      </c>
      <c r="B10422" s="11" t="str">
        <f>IF(D10422&lt;&gt;"",IF(COUNTIF('USPTO TMs'!A:A,D10422)&gt;0,"Yes","No"),"")</f>
        <v/>
      </c>
      <c r="C10422" s="11"/>
      <c r="D10422" s="11"/>
      <c r="E10422" s="11"/>
      <c r="F10422" s="11"/>
      <c r="G10422" s="11"/>
      <c r="H10422" s="11"/>
      <c r="I10422" s="15"/>
    </row>
    <row r="10423" spans="1:9" ht="16.5">
      <c r="A10423" s="10" t="b">
        <v>0</v>
      </c>
      <c r="B10423" s="11" t="str">
        <f>IF(D10423&lt;&gt;"",IF(COUNTIF('USPTO TMs'!A:A,D10423)&gt;0,"Yes","No"),"")</f>
        <v/>
      </c>
      <c r="C10423" s="11"/>
      <c r="D10423" s="11"/>
      <c r="E10423" s="11"/>
      <c r="F10423" s="11"/>
      <c r="G10423" s="11"/>
      <c r="H10423" s="11"/>
      <c r="I10423" s="15"/>
    </row>
    <row r="10424" spans="1:9" ht="16.5">
      <c r="A10424" s="10" t="b">
        <v>0</v>
      </c>
      <c r="B10424" s="11" t="str">
        <f>IF(D10424&lt;&gt;"",IF(COUNTIF('USPTO TMs'!A:A,D10424)&gt;0,"Yes","No"),"")</f>
        <v/>
      </c>
      <c r="C10424" s="11"/>
      <c r="D10424" s="11"/>
      <c r="E10424" s="11"/>
      <c r="F10424" s="11"/>
      <c r="G10424" s="11"/>
      <c r="H10424" s="11"/>
      <c r="I10424" s="15"/>
    </row>
    <row r="10425" spans="1:9" ht="16.5">
      <c r="A10425" s="10" t="b">
        <v>0</v>
      </c>
      <c r="B10425" s="11" t="str">
        <f>IF(D10425&lt;&gt;"",IF(COUNTIF('USPTO TMs'!A:A,D10425)&gt;0,"Yes","No"),"")</f>
        <v/>
      </c>
      <c r="C10425" s="11"/>
      <c r="D10425" s="11"/>
      <c r="E10425" s="11"/>
      <c r="F10425" s="11"/>
      <c r="G10425" s="11"/>
      <c r="H10425" s="11"/>
      <c r="I10425" s="15"/>
    </row>
    <row r="10426" spans="1:9" ht="16.5">
      <c r="A10426" s="10" t="b">
        <v>0</v>
      </c>
      <c r="B10426" s="11" t="str">
        <f>IF(D10426&lt;&gt;"",IF(COUNTIF('USPTO TMs'!A:A,D10426)&gt;0,"Yes","No"),"")</f>
        <v/>
      </c>
      <c r="C10426" s="11"/>
      <c r="D10426" s="11"/>
      <c r="E10426" s="11"/>
      <c r="F10426" s="11"/>
      <c r="G10426" s="11"/>
      <c r="H10426" s="11"/>
      <c r="I10426" s="15"/>
    </row>
    <row r="10427" spans="1:9" ht="16.5">
      <c r="A10427" s="10" t="b">
        <v>0</v>
      </c>
      <c r="B10427" s="11" t="str">
        <f>IF(D10427&lt;&gt;"",IF(COUNTIF('USPTO TMs'!A:A,D10427)&gt;0,"Yes","No"),"")</f>
        <v/>
      </c>
      <c r="C10427" s="11"/>
      <c r="D10427" s="11"/>
      <c r="E10427" s="11"/>
      <c r="F10427" s="11"/>
      <c r="G10427" s="11"/>
      <c r="H10427" s="11"/>
      <c r="I10427" s="15"/>
    </row>
    <row r="10428" spans="1:9" ht="16.5">
      <c r="A10428" s="10" t="b">
        <v>0</v>
      </c>
      <c r="B10428" s="11" t="str">
        <f>IF(D10428&lt;&gt;"",IF(COUNTIF('USPTO TMs'!A:A,D10428)&gt;0,"Yes","No"),"")</f>
        <v/>
      </c>
      <c r="C10428" s="11"/>
      <c r="D10428" s="11"/>
      <c r="E10428" s="11"/>
      <c r="F10428" s="11"/>
      <c r="G10428" s="11"/>
      <c r="H10428" s="11"/>
      <c r="I10428" s="15"/>
    </row>
    <row r="10429" spans="1:9" ht="16.5">
      <c r="A10429" s="10" t="b">
        <v>0</v>
      </c>
      <c r="B10429" s="11" t="str">
        <f>IF(D10429&lt;&gt;"",IF(COUNTIF('USPTO TMs'!A:A,D10429)&gt;0,"Yes","No"),"")</f>
        <v/>
      </c>
      <c r="C10429" s="11"/>
      <c r="D10429" s="11"/>
      <c r="E10429" s="11"/>
      <c r="F10429" s="11"/>
      <c r="G10429" s="11"/>
      <c r="H10429" s="11"/>
      <c r="I10429" s="15"/>
    </row>
    <row r="10430" spans="1:9" ht="16.5">
      <c r="A10430" s="10" t="b">
        <v>0</v>
      </c>
      <c r="B10430" s="11" t="str">
        <f>IF(D10430&lt;&gt;"",IF(COUNTIF('USPTO TMs'!A:A,D10430)&gt;0,"Yes","No"),"")</f>
        <v/>
      </c>
      <c r="C10430" s="11"/>
      <c r="D10430" s="11"/>
      <c r="E10430" s="11"/>
      <c r="F10430" s="11"/>
      <c r="G10430" s="11"/>
      <c r="H10430" s="11"/>
      <c r="I10430" s="15"/>
    </row>
    <row r="10431" spans="1:9" ht="16.5">
      <c r="A10431" s="10" t="b">
        <v>0</v>
      </c>
      <c r="B10431" s="11" t="str">
        <f>IF(D10431&lt;&gt;"",IF(COUNTIF('USPTO TMs'!A:A,D10431)&gt;0,"Yes","No"),"")</f>
        <v/>
      </c>
      <c r="C10431" s="11"/>
      <c r="D10431" s="11"/>
      <c r="E10431" s="11"/>
      <c r="F10431" s="11"/>
      <c r="G10431" s="11"/>
      <c r="H10431" s="11"/>
      <c r="I10431" s="15"/>
    </row>
    <row r="10432" spans="1:9" ht="16.5">
      <c r="A10432" s="10" t="b">
        <v>0</v>
      </c>
      <c r="B10432" s="11" t="str">
        <f>IF(D10432&lt;&gt;"",IF(COUNTIF('USPTO TMs'!A:A,D10432)&gt;0,"Yes","No"),"")</f>
        <v/>
      </c>
      <c r="C10432" s="11"/>
      <c r="D10432" s="11"/>
      <c r="E10432" s="11"/>
      <c r="F10432" s="11"/>
      <c r="G10432" s="11"/>
      <c r="H10432" s="11"/>
      <c r="I10432" s="15"/>
    </row>
    <row r="10433" spans="1:9" ht="16.5">
      <c r="A10433" s="10" t="b">
        <v>0</v>
      </c>
      <c r="B10433" s="11" t="str">
        <f>IF(D10433&lt;&gt;"",IF(COUNTIF('USPTO TMs'!A:A,D10433)&gt;0,"Yes","No"),"")</f>
        <v/>
      </c>
      <c r="C10433" s="11"/>
      <c r="D10433" s="11"/>
      <c r="E10433" s="11"/>
      <c r="F10433" s="11"/>
      <c r="G10433" s="11"/>
      <c r="H10433" s="11"/>
      <c r="I10433" s="15"/>
    </row>
    <row r="10434" spans="1:9" ht="16.5">
      <c r="A10434" s="10" t="b">
        <v>0</v>
      </c>
      <c r="B10434" s="11" t="str">
        <f>IF(D10434&lt;&gt;"",IF(COUNTIF('USPTO TMs'!A:A,D10434)&gt;0,"Yes","No"),"")</f>
        <v/>
      </c>
      <c r="C10434" s="11"/>
      <c r="D10434" s="11"/>
      <c r="E10434" s="11"/>
      <c r="F10434" s="11"/>
      <c r="G10434" s="11"/>
      <c r="H10434" s="11"/>
      <c r="I10434" s="15"/>
    </row>
    <row r="10435" spans="1:9" ht="16.5">
      <c r="A10435" s="10" t="b">
        <v>0</v>
      </c>
      <c r="B10435" s="11" t="str">
        <f>IF(D10435&lt;&gt;"",IF(COUNTIF('USPTO TMs'!A:A,D10435)&gt;0,"Yes","No"),"")</f>
        <v/>
      </c>
      <c r="C10435" s="11"/>
      <c r="D10435" s="11"/>
      <c r="E10435" s="11"/>
      <c r="F10435" s="11"/>
      <c r="G10435" s="11"/>
      <c r="H10435" s="11"/>
      <c r="I10435" s="15"/>
    </row>
    <row r="10436" spans="1:9" ht="16.5">
      <c r="A10436" s="10" t="b">
        <v>0</v>
      </c>
      <c r="B10436" s="11" t="str">
        <f>IF(D10436&lt;&gt;"",IF(COUNTIF('USPTO TMs'!A:A,D10436)&gt;0,"Yes","No"),"")</f>
        <v/>
      </c>
      <c r="C10436" s="11"/>
      <c r="D10436" s="11"/>
      <c r="E10436" s="11"/>
      <c r="F10436" s="11"/>
      <c r="G10436" s="11"/>
      <c r="H10436" s="11"/>
      <c r="I10436" s="15"/>
    </row>
    <row r="10437" spans="1:9" ht="16.5">
      <c r="A10437" s="10" t="b">
        <v>0</v>
      </c>
      <c r="B10437" s="11" t="str">
        <f>IF(D10437&lt;&gt;"",IF(COUNTIF('USPTO TMs'!A:A,D10437)&gt;0,"Yes","No"),"")</f>
        <v/>
      </c>
      <c r="C10437" s="11"/>
      <c r="D10437" s="11"/>
      <c r="E10437" s="11"/>
      <c r="F10437" s="11"/>
      <c r="G10437" s="11"/>
      <c r="H10437" s="11"/>
      <c r="I10437" s="15"/>
    </row>
    <row r="10438" spans="1:9" ht="16.5">
      <c r="A10438" s="10" t="b">
        <v>0</v>
      </c>
      <c r="B10438" s="11" t="str">
        <f>IF(D10438&lt;&gt;"",IF(COUNTIF('USPTO TMs'!A:A,D10438)&gt;0,"Yes","No"),"")</f>
        <v/>
      </c>
      <c r="C10438" s="11"/>
      <c r="D10438" s="11"/>
      <c r="E10438" s="11"/>
      <c r="F10438" s="11"/>
      <c r="G10438" s="11"/>
      <c r="H10438" s="11"/>
      <c r="I10438" s="15"/>
    </row>
    <row r="10439" spans="1:9" ht="16.5">
      <c r="A10439" s="10" t="b">
        <v>0</v>
      </c>
      <c r="B10439" s="11" t="str">
        <f>IF(D10439&lt;&gt;"",IF(COUNTIF('USPTO TMs'!A:A,D10439)&gt;0,"Yes","No"),"")</f>
        <v/>
      </c>
      <c r="C10439" s="11"/>
      <c r="D10439" s="11"/>
      <c r="E10439" s="11"/>
      <c r="F10439" s="11"/>
      <c r="G10439" s="11"/>
      <c r="H10439" s="11"/>
      <c r="I10439" s="15"/>
    </row>
    <row r="10440" spans="1:9" ht="16.5">
      <c r="A10440" s="10" t="b">
        <v>0</v>
      </c>
      <c r="B10440" s="11" t="str">
        <f>IF(D10440&lt;&gt;"",IF(COUNTIF('USPTO TMs'!A:A,D10440)&gt;0,"Yes","No"),"")</f>
        <v/>
      </c>
      <c r="C10440" s="11"/>
      <c r="D10440" s="11"/>
      <c r="E10440" s="11"/>
      <c r="F10440" s="11"/>
      <c r="G10440" s="11"/>
      <c r="H10440" s="11"/>
      <c r="I10440" s="15"/>
    </row>
    <row r="10441" spans="1:9" ht="16.5">
      <c r="A10441" s="10" t="b">
        <v>0</v>
      </c>
      <c r="B10441" s="11" t="str">
        <f>IF(D10441&lt;&gt;"",IF(COUNTIF('USPTO TMs'!A:A,D10441)&gt;0,"Yes","No"),"")</f>
        <v/>
      </c>
      <c r="C10441" s="11"/>
      <c r="D10441" s="11"/>
      <c r="E10441" s="11"/>
      <c r="F10441" s="11"/>
      <c r="G10441" s="11"/>
      <c r="H10441" s="11"/>
      <c r="I10441" s="15"/>
    </row>
    <row r="10442" spans="1:9" ht="16.5">
      <c r="A10442" s="10" t="b">
        <v>0</v>
      </c>
      <c r="B10442" s="11" t="str">
        <f>IF(D10442&lt;&gt;"",IF(COUNTIF('USPTO TMs'!A:A,D10442)&gt;0,"Yes","No"),"")</f>
        <v/>
      </c>
      <c r="C10442" s="11"/>
      <c r="D10442" s="11"/>
      <c r="E10442" s="11"/>
      <c r="F10442" s="11"/>
      <c r="G10442" s="11"/>
      <c r="H10442" s="11"/>
      <c r="I10442" s="15"/>
    </row>
    <row r="10443" spans="1:9" ht="16.5">
      <c r="A10443" s="10" t="b">
        <v>0</v>
      </c>
      <c r="B10443" s="11" t="str">
        <f>IF(D10443&lt;&gt;"",IF(COUNTIF('USPTO TMs'!A:A,D10443)&gt;0,"Yes","No"),"")</f>
        <v/>
      </c>
      <c r="C10443" s="11"/>
      <c r="D10443" s="11"/>
      <c r="E10443" s="11"/>
      <c r="F10443" s="11"/>
      <c r="G10443" s="11"/>
      <c r="H10443" s="11"/>
      <c r="I10443" s="15"/>
    </row>
    <row r="10444" spans="1:9" ht="16.5">
      <c r="A10444" s="10" t="b">
        <v>0</v>
      </c>
      <c r="B10444" s="11" t="str">
        <f>IF(D10444&lt;&gt;"",IF(COUNTIF('USPTO TMs'!A:A,D10444)&gt;0,"Yes","No"),"")</f>
        <v/>
      </c>
      <c r="C10444" s="11"/>
      <c r="D10444" s="11"/>
      <c r="E10444" s="11"/>
      <c r="F10444" s="11"/>
      <c r="G10444" s="11"/>
      <c r="H10444" s="11"/>
      <c r="I10444" s="15"/>
    </row>
    <row r="10445" spans="1:9" ht="16.5">
      <c r="A10445" s="10" t="b">
        <v>0</v>
      </c>
      <c r="B10445" s="11" t="str">
        <f>IF(D10445&lt;&gt;"",IF(COUNTIF('USPTO TMs'!A:A,D10445)&gt;0,"Yes","No"),"")</f>
        <v/>
      </c>
      <c r="C10445" s="11"/>
      <c r="D10445" s="11"/>
      <c r="E10445" s="11"/>
      <c r="F10445" s="11"/>
      <c r="G10445" s="11"/>
      <c r="H10445" s="11"/>
      <c r="I10445" s="15"/>
    </row>
    <row r="10446" spans="1:9" ht="16.5">
      <c r="A10446" s="10" t="b">
        <v>0</v>
      </c>
      <c r="B10446" s="11" t="str">
        <f>IF(D10446&lt;&gt;"",IF(COUNTIF('USPTO TMs'!A:A,D10446)&gt;0,"Yes","No"),"")</f>
        <v/>
      </c>
      <c r="C10446" s="11"/>
      <c r="D10446" s="11"/>
      <c r="E10446" s="11"/>
      <c r="F10446" s="11"/>
      <c r="G10446" s="11"/>
      <c r="H10446" s="11"/>
      <c r="I10446" s="15"/>
    </row>
    <row r="10447" spans="1:9" ht="16.5">
      <c r="A10447" s="10" t="b">
        <v>0</v>
      </c>
      <c r="B10447" s="11" t="str">
        <f>IF(D10447&lt;&gt;"",IF(COUNTIF('USPTO TMs'!A:A,D10447)&gt;0,"Yes","No"),"")</f>
        <v/>
      </c>
      <c r="C10447" s="11"/>
      <c r="D10447" s="11"/>
      <c r="E10447" s="11"/>
      <c r="F10447" s="11"/>
      <c r="G10447" s="11"/>
      <c r="H10447" s="11"/>
      <c r="I10447" s="15"/>
    </row>
    <row r="10448" spans="1:9" ht="16.5">
      <c r="A10448" s="10" t="b">
        <v>0</v>
      </c>
      <c r="B10448" s="11" t="str">
        <f>IF(D10448&lt;&gt;"",IF(COUNTIF('USPTO TMs'!A:A,D10448)&gt;0,"Yes","No"),"")</f>
        <v/>
      </c>
      <c r="C10448" s="11"/>
      <c r="D10448" s="11"/>
      <c r="E10448" s="11"/>
      <c r="F10448" s="11"/>
      <c r="G10448" s="11"/>
      <c r="H10448" s="11"/>
      <c r="I10448" s="15"/>
    </row>
    <row r="10449" spans="1:9" ht="16.5">
      <c r="A10449" s="10" t="b">
        <v>0</v>
      </c>
      <c r="B10449" s="11" t="str">
        <f>IF(D10449&lt;&gt;"",IF(COUNTIF('USPTO TMs'!A:A,D10449)&gt;0,"Yes","No"),"")</f>
        <v/>
      </c>
      <c r="C10449" s="11"/>
      <c r="D10449" s="11"/>
      <c r="E10449" s="11"/>
      <c r="F10449" s="11"/>
      <c r="G10449" s="11"/>
      <c r="H10449" s="11"/>
      <c r="I10449" s="15"/>
    </row>
    <row r="10450" spans="1:9" ht="16.5">
      <c r="A10450" s="10" t="b">
        <v>0</v>
      </c>
      <c r="B10450" s="11" t="str">
        <f>IF(D10450&lt;&gt;"",IF(COUNTIF('USPTO TMs'!A:A,D10450)&gt;0,"Yes","No"),"")</f>
        <v/>
      </c>
      <c r="C10450" s="11"/>
      <c r="D10450" s="11"/>
      <c r="E10450" s="11"/>
      <c r="F10450" s="11"/>
      <c r="G10450" s="11"/>
      <c r="H10450" s="11"/>
      <c r="I10450" s="15"/>
    </row>
    <row r="10451" spans="1:9" ht="16.5">
      <c r="A10451" s="10" t="b">
        <v>0</v>
      </c>
      <c r="B10451" s="11" t="str">
        <f>IF(D10451&lt;&gt;"",IF(COUNTIF('USPTO TMs'!A:A,D10451)&gt;0,"Yes","No"),"")</f>
        <v/>
      </c>
      <c r="C10451" s="11"/>
      <c r="D10451" s="11"/>
      <c r="E10451" s="11"/>
      <c r="F10451" s="11"/>
      <c r="G10451" s="11"/>
      <c r="H10451" s="11"/>
      <c r="I10451" s="15"/>
    </row>
    <row r="10452" spans="1:9" ht="16.5">
      <c r="A10452" s="10" t="b">
        <v>0</v>
      </c>
      <c r="B10452" s="11" t="str">
        <f>IF(D10452&lt;&gt;"",IF(COUNTIF('USPTO TMs'!A:A,D10452)&gt;0,"Yes","No"),"")</f>
        <v/>
      </c>
      <c r="C10452" s="11"/>
      <c r="D10452" s="11"/>
      <c r="E10452" s="11"/>
      <c r="F10452" s="11"/>
      <c r="G10452" s="11"/>
      <c r="H10452" s="11"/>
      <c r="I10452" s="15"/>
    </row>
    <row r="10453" spans="1:9" ht="16.5">
      <c r="A10453" s="10" t="b">
        <v>0</v>
      </c>
      <c r="B10453" s="11" t="str">
        <f>IF(D10453&lt;&gt;"",IF(COUNTIF('USPTO TMs'!A:A,D10453)&gt;0,"Yes","No"),"")</f>
        <v/>
      </c>
      <c r="C10453" s="11"/>
      <c r="D10453" s="11"/>
      <c r="E10453" s="11"/>
      <c r="F10453" s="11"/>
      <c r="G10453" s="11"/>
      <c r="H10453" s="11"/>
      <c r="I10453" s="15"/>
    </row>
    <row r="10454" spans="1:9" ht="16.5">
      <c r="A10454" s="10" t="b">
        <v>0</v>
      </c>
      <c r="B10454" s="11" t="str">
        <f>IF(D10454&lt;&gt;"",IF(COUNTIF('USPTO TMs'!A:A,D10454)&gt;0,"Yes","No"),"")</f>
        <v/>
      </c>
      <c r="C10454" s="11"/>
      <c r="D10454" s="11"/>
      <c r="E10454" s="11"/>
      <c r="F10454" s="11"/>
      <c r="G10454" s="11"/>
      <c r="H10454" s="11"/>
      <c r="I10454" s="15"/>
    </row>
    <row r="10455" spans="1:9" ht="16.5">
      <c r="A10455" s="10" t="b">
        <v>0</v>
      </c>
      <c r="B10455" s="11" t="str">
        <f>IF(D10455&lt;&gt;"",IF(COUNTIF('USPTO TMs'!A:A,D10455)&gt;0,"Yes","No"),"")</f>
        <v/>
      </c>
      <c r="C10455" s="11"/>
      <c r="D10455" s="11"/>
      <c r="E10455" s="11"/>
      <c r="F10455" s="11"/>
      <c r="G10455" s="11"/>
      <c r="H10455" s="11"/>
      <c r="I10455" s="15"/>
    </row>
    <row r="10456" spans="1:9" ht="16.5">
      <c r="A10456" s="10" t="b">
        <v>0</v>
      </c>
      <c r="B10456" s="11" t="str">
        <f>IF(D10456&lt;&gt;"",IF(COUNTIF('USPTO TMs'!A:A,D10456)&gt;0,"Yes","No"),"")</f>
        <v/>
      </c>
      <c r="C10456" s="11"/>
      <c r="D10456" s="11"/>
      <c r="E10456" s="11"/>
      <c r="F10456" s="11"/>
      <c r="G10456" s="11"/>
      <c r="H10456" s="11"/>
      <c r="I10456" s="15"/>
    </row>
    <row r="10457" spans="1:9" ht="16.5">
      <c r="A10457" s="10" t="b">
        <v>0</v>
      </c>
      <c r="B10457" s="11" t="str">
        <f>IF(D10457&lt;&gt;"",IF(COUNTIF('USPTO TMs'!A:A,D10457)&gt;0,"Yes","No"),"")</f>
        <v/>
      </c>
      <c r="C10457" s="11"/>
      <c r="D10457" s="11"/>
      <c r="E10457" s="11"/>
      <c r="F10457" s="11"/>
      <c r="G10457" s="11"/>
      <c r="H10457" s="11"/>
      <c r="I10457" s="15"/>
    </row>
    <row r="10458" spans="1:9" ht="16.5">
      <c r="A10458" s="10" t="b">
        <v>0</v>
      </c>
      <c r="B10458" s="11" t="str">
        <f>IF(D10458&lt;&gt;"",IF(COUNTIF('USPTO TMs'!A:A,D10458)&gt;0,"Yes","No"),"")</f>
        <v/>
      </c>
      <c r="C10458" s="11"/>
      <c r="D10458" s="11"/>
      <c r="E10458" s="11"/>
      <c r="F10458" s="11"/>
      <c r="G10458" s="11"/>
      <c r="H10458" s="11"/>
      <c r="I10458" s="15"/>
    </row>
    <row r="10459" spans="1:9" ht="16.5">
      <c r="A10459" s="10" t="b">
        <v>0</v>
      </c>
      <c r="B10459" s="11" t="str">
        <f>IF(D10459&lt;&gt;"",IF(COUNTIF('USPTO TMs'!A:A,D10459)&gt;0,"Yes","No"),"")</f>
        <v/>
      </c>
      <c r="C10459" s="11"/>
      <c r="D10459" s="11"/>
      <c r="E10459" s="11"/>
      <c r="F10459" s="11"/>
      <c r="G10459" s="11"/>
      <c r="H10459" s="11"/>
      <c r="I10459" s="15"/>
    </row>
    <row r="10460" spans="1:9" ht="16.5">
      <c r="A10460" s="10" t="b">
        <v>0</v>
      </c>
      <c r="B10460" s="11" t="str">
        <f>IF(D10460&lt;&gt;"",IF(COUNTIF('USPTO TMs'!A:A,D10460)&gt;0,"Yes","No"),"")</f>
        <v/>
      </c>
      <c r="C10460" s="11"/>
      <c r="D10460" s="11"/>
      <c r="E10460" s="11"/>
      <c r="F10460" s="11"/>
      <c r="G10460" s="11"/>
      <c r="H10460" s="11"/>
      <c r="I10460" s="15"/>
    </row>
    <row r="10461" spans="1:9" ht="16.5">
      <c r="A10461" s="10" t="b">
        <v>0</v>
      </c>
      <c r="B10461" s="11" t="str">
        <f>IF(D10461&lt;&gt;"",IF(COUNTIF('USPTO TMs'!A:A,D10461)&gt;0,"Yes","No"),"")</f>
        <v/>
      </c>
      <c r="C10461" s="11"/>
      <c r="D10461" s="11"/>
      <c r="E10461" s="11"/>
      <c r="F10461" s="11"/>
      <c r="G10461" s="11"/>
      <c r="H10461" s="11"/>
      <c r="I10461" s="15"/>
    </row>
    <row r="10462" spans="1:9" ht="16.5">
      <c r="A10462" s="10" t="b">
        <v>0</v>
      </c>
      <c r="B10462" s="11" t="str">
        <f>IF(D10462&lt;&gt;"",IF(COUNTIF('USPTO TMs'!A:A,D10462)&gt;0,"Yes","No"),"")</f>
        <v/>
      </c>
      <c r="C10462" s="11"/>
      <c r="D10462" s="11"/>
      <c r="E10462" s="11"/>
      <c r="F10462" s="11"/>
      <c r="G10462" s="11"/>
      <c r="H10462" s="11"/>
      <c r="I10462" s="15"/>
    </row>
    <row r="10463" spans="1:9" ht="16.5">
      <c r="A10463" s="10" t="b">
        <v>0</v>
      </c>
      <c r="B10463" s="11" t="str">
        <f>IF(D10463&lt;&gt;"",IF(COUNTIF('USPTO TMs'!A:A,D10463)&gt;0,"Yes","No"),"")</f>
        <v/>
      </c>
      <c r="C10463" s="11"/>
      <c r="D10463" s="11"/>
      <c r="E10463" s="11"/>
      <c r="F10463" s="11"/>
      <c r="G10463" s="11"/>
      <c r="H10463" s="11"/>
      <c r="I10463" s="15"/>
    </row>
    <row r="10464" spans="1:9" ht="16.5">
      <c r="A10464" s="10" t="b">
        <v>0</v>
      </c>
      <c r="B10464" s="11" t="str">
        <f>IF(D10464&lt;&gt;"",IF(COUNTIF('USPTO TMs'!A:A,D10464)&gt;0,"Yes","No"),"")</f>
        <v/>
      </c>
      <c r="C10464" s="11"/>
      <c r="D10464" s="11"/>
      <c r="E10464" s="11"/>
      <c r="F10464" s="11"/>
      <c r="G10464" s="11"/>
      <c r="H10464" s="11"/>
      <c r="I10464" s="15"/>
    </row>
    <row r="10465" spans="1:9" ht="16.5">
      <c r="A10465" s="10" t="b">
        <v>0</v>
      </c>
      <c r="B10465" s="11" t="str">
        <f>IF(D10465&lt;&gt;"",IF(COUNTIF('USPTO TMs'!A:A,D10465)&gt;0,"Yes","No"),"")</f>
        <v/>
      </c>
      <c r="C10465" s="11"/>
      <c r="D10465" s="11"/>
      <c r="E10465" s="11"/>
      <c r="F10465" s="11"/>
      <c r="G10465" s="11"/>
      <c r="H10465" s="11"/>
      <c r="I10465" s="15"/>
    </row>
    <row r="10466" spans="1:9" ht="16.5">
      <c r="A10466" s="10" t="b">
        <v>0</v>
      </c>
      <c r="B10466" s="11" t="str">
        <f>IF(D10466&lt;&gt;"",IF(COUNTIF('USPTO TMs'!A:A,D10466)&gt;0,"Yes","No"),"")</f>
        <v/>
      </c>
      <c r="C10466" s="11"/>
      <c r="D10466" s="11"/>
      <c r="E10466" s="11"/>
      <c r="F10466" s="11"/>
      <c r="G10466" s="11"/>
      <c r="H10466" s="11"/>
      <c r="I10466" s="15"/>
    </row>
    <row r="10467" spans="1:9" ht="16.5">
      <c r="A10467" s="10" t="b">
        <v>0</v>
      </c>
      <c r="B10467" s="11" t="str">
        <f>IF(D10467&lt;&gt;"",IF(COUNTIF('USPTO TMs'!A:A,D10467)&gt;0,"Yes","No"),"")</f>
        <v/>
      </c>
      <c r="C10467" s="11"/>
      <c r="D10467" s="11"/>
      <c r="E10467" s="11"/>
      <c r="F10467" s="11"/>
      <c r="G10467" s="11"/>
      <c r="H10467" s="11"/>
      <c r="I10467" s="15"/>
    </row>
    <row r="10468" spans="1:9" ht="16.5">
      <c r="A10468" s="10" t="b">
        <v>0</v>
      </c>
      <c r="B10468" s="11" t="str">
        <f>IF(D10468&lt;&gt;"",IF(COUNTIF('USPTO TMs'!A:A,D10468)&gt;0,"Yes","No"),"")</f>
        <v/>
      </c>
      <c r="C10468" s="11"/>
      <c r="D10468" s="11"/>
      <c r="E10468" s="11"/>
      <c r="F10468" s="11"/>
      <c r="G10468" s="11"/>
      <c r="H10468" s="11"/>
      <c r="I10468" s="15"/>
    </row>
    <row r="10469" spans="1:9" ht="16.5">
      <c r="A10469" s="10" t="b">
        <v>0</v>
      </c>
      <c r="B10469" s="11" t="str">
        <f>IF(D10469&lt;&gt;"",IF(COUNTIF('USPTO TMs'!A:A,D10469)&gt;0,"Yes","No"),"")</f>
        <v/>
      </c>
      <c r="C10469" s="11"/>
      <c r="D10469" s="11"/>
      <c r="E10469" s="11"/>
      <c r="F10469" s="11"/>
      <c r="G10469" s="11"/>
      <c r="H10469" s="11"/>
      <c r="I10469" s="15"/>
    </row>
    <row r="10470" spans="1:9" ht="16.5">
      <c r="A10470" s="10" t="b">
        <v>0</v>
      </c>
      <c r="B10470" s="11" t="str">
        <f>IF(D10470&lt;&gt;"",IF(COUNTIF('USPTO TMs'!A:A,D10470)&gt;0,"Yes","No"),"")</f>
        <v/>
      </c>
      <c r="C10470" s="11"/>
      <c r="D10470" s="11"/>
      <c r="E10470" s="11"/>
      <c r="F10470" s="11"/>
      <c r="G10470" s="11"/>
      <c r="H10470" s="11"/>
      <c r="I10470" s="15"/>
    </row>
    <row r="10471" spans="1:9" ht="16.5">
      <c r="A10471" s="10" t="b">
        <v>0</v>
      </c>
      <c r="B10471" s="11" t="str">
        <f>IF(D10471&lt;&gt;"",IF(COUNTIF('USPTO TMs'!A:A,D10471)&gt;0,"Yes","No"),"")</f>
        <v/>
      </c>
      <c r="C10471" s="11"/>
      <c r="D10471" s="11"/>
      <c r="E10471" s="11"/>
      <c r="F10471" s="11"/>
      <c r="G10471" s="11"/>
      <c r="H10471" s="11"/>
      <c r="I10471" s="15"/>
    </row>
    <row r="10472" spans="1:9" ht="16.5">
      <c r="A10472" s="10" t="b">
        <v>0</v>
      </c>
      <c r="B10472" s="11" t="str">
        <f>IF(D10472&lt;&gt;"",IF(COUNTIF('USPTO TMs'!A:A,D10472)&gt;0,"Yes","No"),"")</f>
        <v/>
      </c>
      <c r="C10472" s="11"/>
      <c r="D10472" s="11"/>
      <c r="E10472" s="11"/>
      <c r="F10472" s="11"/>
      <c r="G10472" s="11"/>
      <c r="H10472" s="11"/>
      <c r="I10472" s="15"/>
    </row>
    <row r="10473" spans="1:9" ht="16.5">
      <c r="A10473" s="10" t="b">
        <v>0</v>
      </c>
      <c r="B10473" s="11" t="str">
        <f>IF(D10473&lt;&gt;"",IF(COUNTIF('USPTO TMs'!A:A,D10473)&gt;0,"Yes","No"),"")</f>
        <v/>
      </c>
      <c r="C10473" s="11"/>
      <c r="D10473" s="11"/>
      <c r="E10473" s="11"/>
      <c r="F10473" s="11"/>
      <c r="G10473" s="11"/>
      <c r="H10473" s="11"/>
      <c r="I10473" s="15"/>
    </row>
    <row r="10474" spans="1:9" ht="16.5">
      <c r="A10474" s="10" t="b">
        <v>0</v>
      </c>
      <c r="B10474" s="11" t="str">
        <f>IF(D10474&lt;&gt;"",IF(COUNTIF('USPTO TMs'!A:A,D10474)&gt;0,"Yes","No"),"")</f>
        <v/>
      </c>
      <c r="C10474" s="11"/>
      <c r="D10474" s="11"/>
      <c r="E10474" s="11"/>
      <c r="F10474" s="11"/>
      <c r="G10474" s="11"/>
      <c r="H10474" s="11"/>
      <c r="I10474" s="15"/>
    </row>
    <row r="10475" spans="1:9" ht="16.5">
      <c r="A10475" s="10" t="b">
        <v>0</v>
      </c>
      <c r="B10475" s="11" t="str">
        <f>IF(D10475&lt;&gt;"",IF(COUNTIF('USPTO TMs'!A:A,D10475)&gt;0,"Yes","No"),"")</f>
        <v/>
      </c>
      <c r="C10475" s="11"/>
      <c r="D10475" s="11"/>
      <c r="E10475" s="11"/>
      <c r="F10475" s="11"/>
      <c r="G10475" s="11"/>
      <c r="H10475" s="11"/>
      <c r="I10475" s="15"/>
    </row>
    <row r="10476" spans="1:9" ht="16.5">
      <c r="A10476" s="10" t="b">
        <v>0</v>
      </c>
      <c r="B10476" s="11" t="str">
        <f>IF(D10476&lt;&gt;"",IF(COUNTIF('USPTO TMs'!A:A,D10476)&gt;0,"Yes","No"),"")</f>
        <v/>
      </c>
      <c r="C10476" s="11"/>
      <c r="D10476" s="11"/>
      <c r="E10476" s="11"/>
      <c r="F10476" s="11"/>
      <c r="G10476" s="11"/>
      <c r="H10476" s="11"/>
      <c r="I10476" s="15"/>
    </row>
    <row r="10477" spans="1:9" ht="16.5">
      <c r="A10477" s="10" t="b">
        <v>0</v>
      </c>
      <c r="B10477" s="11" t="str">
        <f>IF(D10477&lt;&gt;"",IF(COUNTIF('USPTO TMs'!A:A,D10477)&gt;0,"Yes","No"),"")</f>
        <v/>
      </c>
      <c r="C10477" s="11"/>
      <c r="D10477" s="11"/>
      <c r="E10477" s="11"/>
      <c r="F10477" s="11"/>
      <c r="G10477" s="11"/>
      <c r="H10477" s="11"/>
      <c r="I10477" s="15"/>
    </row>
    <row r="10478" spans="1:9" ht="16.5">
      <c r="A10478" s="10" t="b">
        <v>0</v>
      </c>
      <c r="B10478" s="11" t="str">
        <f>IF(D10478&lt;&gt;"",IF(COUNTIF('USPTO TMs'!A:A,D10478)&gt;0,"Yes","No"),"")</f>
        <v/>
      </c>
      <c r="C10478" s="11"/>
      <c r="D10478" s="11"/>
      <c r="E10478" s="11"/>
      <c r="F10478" s="11"/>
      <c r="G10478" s="11"/>
      <c r="H10478" s="11"/>
      <c r="I10478" s="15"/>
    </row>
    <row r="10479" spans="1:9" ht="16.5">
      <c r="A10479" s="10" t="b">
        <v>0</v>
      </c>
      <c r="B10479" s="11" t="str">
        <f>IF(D10479&lt;&gt;"",IF(COUNTIF('USPTO TMs'!A:A,D10479)&gt;0,"Yes","No"),"")</f>
        <v/>
      </c>
      <c r="C10479" s="11"/>
      <c r="D10479" s="11"/>
      <c r="E10479" s="11"/>
      <c r="F10479" s="11"/>
      <c r="G10479" s="11"/>
      <c r="H10479" s="11"/>
      <c r="I10479" s="15"/>
    </row>
    <row r="10480" spans="1:9" ht="16.5">
      <c r="A10480" s="10" t="b">
        <v>0</v>
      </c>
      <c r="B10480" s="11" t="str">
        <f>IF(D10480&lt;&gt;"",IF(COUNTIF('USPTO TMs'!A:A,D10480)&gt;0,"Yes","No"),"")</f>
        <v/>
      </c>
      <c r="C10480" s="11"/>
      <c r="D10480" s="11"/>
      <c r="E10480" s="11"/>
      <c r="F10480" s="11"/>
      <c r="G10480" s="11"/>
      <c r="H10480" s="11"/>
      <c r="I10480" s="15"/>
    </row>
    <row r="10481" spans="1:9" ht="16.5">
      <c r="A10481" s="10" t="b">
        <v>0</v>
      </c>
      <c r="B10481" s="11" t="str">
        <f>IF(D10481&lt;&gt;"",IF(COUNTIF('USPTO TMs'!A:A,D10481)&gt;0,"Yes","No"),"")</f>
        <v/>
      </c>
      <c r="C10481" s="11"/>
      <c r="D10481" s="11"/>
      <c r="E10481" s="11"/>
      <c r="F10481" s="11"/>
      <c r="G10481" s="11"/>
      <c r="H10481" s="11"/>
      <c r="I10481" s="15"/>
    </row>
    <row r="10482" spans="1:9" ht="16.5">
      <c r="A10482" s="10" t="b">
        <v>0</v>
      </c>
      <c r="B10482" s="11" t="str">
        <f>IF(D10482&lt;&gt;"",IF(COUNTIF('USPTO TMs'!A:A,D10482)&gt;0,"Yes","No"),"")</f>
        <v/>
      </c>
      <c r="C10482" s="11"/>
      <c r="D10482" s="11"/>
      <c r="E10482" s="11"/>
      <c r="F10482" s="11"/>
      <c r="G10482" s="11"/>
      <c r="H10482" s="11"/>
      <c r="I10482" s="15"/>
    </row>
    <row r="10483" spans="1:9" ht="16.5">
      <c r="A10483" s="10" t="b">
        <v>0</v>
      </c>
      <c r="B10483" s="11" t="str">
        <f>IF(D10483&lt;&gt;"",IF(COUNTIF('USPTO TMs'!A:A,D10483)&gt;0,"Yes","No"),"")</f>
        <v/>
      </c>
      <c r="C10483" s="11"/>
      <c r="D10483" s="11"/>
      <c r="E10483" s="11"/>
      <c r="F10483" s="11"/>
      <c r="G10483" s="11"/>
      <c r="H10483" s="11"/>
      <c r="I10483" s="15"/>
    </row>
    <row r="10484" spans="1:9" ht="16.5">
      <c r="A10484" s="10" t="b">
        <v>0</v>
      </c>
      <c r="B10484" s="11" t="str">
        <f>IF(D10484&lt;&gt;"",IF(COUNTIF('USPTO TMs'!A:A,D10484)&gt;0,"Yes","No"),"")</f>
        <v/>
      </c>
      <c r="C10484" s="11"/>
      <c r="D10484" s="11"/>
      <c r="E10484" s="11"/>
      <c r="F10484" s="11"/>
      <c r="G10484" s="11"/>
      <c r="H10484" s="11"/>
      <c r="I10484" s="15"/>
    </row>
    <row r="10485" spans="1:9" ht="16.5">
      <c r="A10485" s="10" t="b">
        <v>0</v>
      </c>
      <c r="B10485" s="11" t="str">
        <f>IF(D10485&lt;&gt;"",IF(COUNTIF('USPTO TMs'!A:A,D10485)&gt;0,"Yes","No"),"")</f>
        <v/>
      </c>
      <c r="C10485" s="11"/>
      <c r="D10485" s="11"/>
      <c r="E10485" s="11"/>
      <c r="F10485" s="11"/>
      <c r="G10485" s="11"/>
      <c r="H10485" s="11"/>
      <c r="I10485" s="15"/>
    </row>
    <row r="10486" spans="1:9" ht="16.5">
      <c r="A10486" s="10" t="b">
        <v>0</v>
      </c>
      <c r="B10486" s="11" t="str">
        <f>IF(D10486&lt;&gt;"",IF(COUNTIF('USPTO TMs'!A:A,D10486)&gt;0,"Yes","No"),"")</f>
        <v/>
      </c>
      <c r="C10486" s="11"/>
      <c r="D10486" s="11"/>
      <c r="E10486" s="11"/>
      <c r="F10486" s="11"/>
      <c r="G10486" s="11"/>
      <c r="H10486" s="11"/>
      <c r="I10486" s="15"/>
    </row>
    <row r="10487" spans="1:9" ht="16.5">
      <c r="A10487" s="10" t="b">
        <v>0</v>
      </c>
      <c r="B10487" s="11" t="str">
        <f>IF(D10487&lt;&gt;"",IF(COUNTIF('USPTO TMs'!A:A,D10487)&gt;0,"Yes","No"),"")</f>
        <v/>
      </c>
      <c r="C10487" s="11"/>
      <c r="D10487" s="11"/>
      <c r="E10487" s="11"/>
      <c r="F10487" s="11"/>
      <c r="G10487" s="11"/>
      <c r="H10487" s="11"/>
      <c r="I10487" s="15"/>
    </row>
    <row r="10488" spans="1:9" ht="16.5">
      <c r="A10488" s="10" t="b">
        <v>0</v>
      </c>
      <c r="B10488" s="11" t="str">
        <f>IF(D10488&lt;&gt;"",IF(COUNTIF('USPTO TMs'!A:A,D10488)&gt;0,"Yes","No"),"")</f>
        <v/>
      </c>
      <c r="C10488" s="11"/>
      <c r="D10488" s="11"/>
      <c r="E10488" s="11"/>
      <c r="F10488" s="11"/>
      <c r="G10488" s="11"/>
      <c r="H10488" s="11"/>
      <c r="I10488" s="15"/>
    </row>
    <row r="10489" spans="1:9" ht="16.5">
      <c r="A10489" s="10" t="b">
        <v>0</v>
      </c>
      <c r="B10489" s="11" t="str">
        <f>IF(D10489&lt;&gt;"",IF(COUNTIF('USPTO TMs'!A:A,D10489)&gt;0,"Yes","No"),"")</f>
        <v/>
      </c>
      <c r="C10489" s="11"/>
      <c r="D10489" s="11"/>
      <c r="E10489" s="11"/>
      <c r="F10489" s="11"/>
      <c r="G10489" s="11"/>
      <c r="H10489" s="11"/>
      <c r="I10489" s="15"/>
    </row>
    <row r="10490" spans="1:9" ht="16.5">
      <c r="A10490" s="10" t="b">
        <v>0</v>
      </c>
      <c r="B10490" s="11" t="str">
        <f>IF(D10490&lt;&gt;"",IF(COUNTIF('USPTO TMs'!A:A,D10490)&gt;0,"Yes","No"),"")</f>
        <v/>
      </c>
      <c r="C10490" s="11"/>
      <c r="D10490" s="11"/>
      <c r="E10490" s="11"/>
      <c r="F10490" s="11"/>
      <c r="G10490" s="11"/>
      <c r="H10490" s="11"/>
      <c r="I10490" s="15"/>
    </row>
    <row r="10491" spans="1:9" ht="16.5">
      <c r="A10491" s="10" t="b">
        <v>0</v>
      </c>
      <c r="B10491" s="11" t="str">
        <f>IF(D10491&lt;&gt;"",IF(COUNTIF('USPTO TMs'!A:A,D10491)&gt;0,"Yes","No"),"")</f>
        <v/>
      </c>
      <c r="C10491" s="11"/>
      <c r="D10491" s="11"/>
      <c r="E10491" s="11"/>
      <c r="F10491" s="11"/>
      <c r="G10491" s="11"/>
      <c r="H10491" s="11"/>
      <c r="I10491" s="15"/>
    </row>
    <row r="10492" spans="1:9" ht="16.5">
      <c r="A10492" s="10" t="b">
        <v>0</v>
      </c>
      <c r="B10492" s="11" t="str">
        <f>IF(D10492&lt;&gt;"",IF(COUNTIF('USPTO TMs'!A:A,D10492)&gt;0,"Yes","No"),"")</f>
        <v/>
      </c>
      <c r="C10492" s="11"/>
      <c r="D10492" s="11"/>
      <c r="E10492" s="11"/>
      <c r="F10492" s="11"/>
      <c r="G10492" s="11"/>
      <c r="H10492" s="11"/>
      <c r="I10492" s="15"/>
    </row>
    <row r="10493" spans="1:9" ht="16.5">
      <c r="A10493" s="10" t="b">
        <v>0</v>
      </c>
      <c r="B10493" s="11" t="str">
        <f>IF(D10493&lt;&gt;"",IF(COUNTIF('USPTO TMs'!A:A,D10493)&gt;0,"Yes","No"),"")</f>
        <v/>
      </c>
      <c r="C10493" s="11"/>
      <c r="D10493" s="11"/>
      <c r="E10493" s="11"/>
      <c r="F10493" s="11"/>
      <c r="G10493" s="11"/>
      <c r="H10493" s="11"/>
      <c r="I10493" s="15"/>
    </row>
    <row r="10494" spans="1:9" ht="16.5">
      <c r="A10494" s="10" t="b">
        <v>0</v>
      </c>
      <c r="B10494" s="11" t="str">
        <f>IF(D10494&lt;&gt;"",IF(COUNTIF('USPTO TMs'!A:A,D10494)&gt;0,"Yes","No"),"")</f>
        <v/>
      </c>
      <c r="C10494" s="11"/>
      <c r="D10494" s="11"/>
      <c r="E10494" s="11"/>
      <c r="F10494" s="11"/>
      <c r="G10494" s="11"/>
      <c r="H10494" s="11"/>
      <c r="I10494" s="15"/>
    </row>
    <row r="10495" spans="1:9" ht="16.5">
      <c r="A10495" s="10" t="b">
        <v>0</v>
      </c>
      <c r="B10495" s="11" t="str">
        <f>IF(D10495&lt;&gt;"",IF(COUNTIF('USPTO TMs'!A:A,D10495)&gt;0,"Yes","No"),"")</f>
        <v/>
      </c>
      <c r="C10495" s="11"/>
      <c r="D10495" s="11"/>
      <c r="E10495" s="11"/>
      <c r="F10495" s="11"/>
      <c r="G10495" s="11"/>
      <c r="H10495" s="11"/>
      <c r="I10495" s="15"/>
    </row>
    <row r="10496" spans="1:9" ht="16.5">
      <c r="A10496" s="10" t="b">
        <v>0</v>
      </c>
      <c r="B10496" s="11" t="str">
        <f>IF(D10496&lt;&gt;"",IF(COUNTIF('USPTO TMs'!A:A,D10496)&gt;0,"Yes","No"),"")</f>
        <v/>
      </c>
      <c r="C10496" s="11"/>
      <c r="D10496" s="11"/>
      <c r="E10496" s="11"/>
      <c r="F10496" s="11"/>
      <c r="G10496" s="11"/>
      <c r="H10496" s="11"/>
      <c r="I10496" s="15"/>
    </row>
    <row r="10497" spans="1:9" ht="16.5">
      <c r="A10497" s="10" t="b">
        <v>0</v>
      </c>
      <c r="B10497" s="11" t="str">
        <f>IF(D10497&lt;&gt;"",IF(COUNTIF('USPTO TMs'!A:A,D10497)&gt;0,"Yes","No"),"")</f>
        <v/>
      </c>
      <c r="C10497" s="11"/>
      <c r="D10497" s="11"/>
      <c r="E10497" s="11"/>
      <c r="F10497" s="11"/>
      <c r="G10497" s="11"/>
      <c r="H10497" s="11"/>
      <c r="I10497" s="15"/>
    </row>
    <row r="10498" spans="1:9" ht="16.5">
      <c r="A10498" s="10" t="b">
        <v>0</v>
      </c>
      <c r="B10498" s="11" t="str">
        <f>IF(D10498&lt;&gt;"",IF(COUNTIF('USPTO TMs'!A:A,D10498)&gt;0,"Yes","No"),"")</f>
        <v/>
      </c>
      <c r="C10498" s="11"/>
      <c r="D10498" s="11"/>
      <c r="E10498" s="11"/>
      <c r="F10498" s="11"/>
      <c r="G10498" s="11"/>
      <c r="H10498" s="11"/>
      <c r="I10498" s="15"/>
    </row>
    <row r="10499" spans="1:9" ht="16.5">
      <c r="A10499" s="10" t="b">
        <v>0</v>
      </c>
      <c r="B10499" s="11" t="str">
        <f>IF(D10499&lt;&gt;"",IF(COUNTIF('USPTO TMs'!A:A,D10499)&gt;0,"Yes","No"),"")</f>
        <v/>
      </c>
      <c r="C10499" s="11"/>
      <c r="D10499" s="11"/>
      <c r="E10499" s="11"/>
      <c r="F10499" s="11"/>
      <c r="G10499" s="11"/>
      <c r="H10499" s="11"/>
      <c r="I10499" s="15"/>
    </row>
    <row r="10500" spans="1:9" ht="16.5">
      <c r="A10500" s="10" t="b">
        <v>0</v>
      </c>
      <c r="B10500" s="11" t="str">
        <f>IF(D10500&lt;&gt;"",IF(COUNTIF('USPTO TMs'!A:A,D10500)&gt;0,"Yes","No"),"")</f>
        <v/>
      </c>
      <c r="C10500" s="11"/>
      <c r="D10500" s="11"/>
      <c r="E10500" s="11"/>
      <c r="F10500" s="11"/>
      <c r="G10500" s="11"/>
      <c r="H10500" s="11"/>
      <c r="I10500" s="15"/>
    </row>
    <row r="10501" spans="1:9" ht="16.5">
      <c r="A10501" s="10" t="b">
        <v>0</v>
      </c>
      <c r="B10501" s="11" t="str">
        <f>IF(D10501&lt;&gt;"",IF(COUNTIF('USPTO TMs'!A:A,D10501)&gt;0,"Yes","No"),"")</f>
        <v/>
      </c>
      <c r="C10501" s="11"/>
      <c r="D10501" s="11"/>
      <c r="E10501" s="11"/>
      <c r="F10501" s="11"/>
      <c r="G10501" s="11"/>
      <c r="H10501" s="11"/>
      <c r="I10501" s="15"/>
    </row>
    <row r="10502" spans="1:9" ht="16.5">
      <c r="A10502" s="10" t="b">
        <v>0</v>
      </c>
      <c r="B10502" s="11" t="str">
        <f>IF(D10502&lt;&gt;"",IF(COUNTIF('USPTO TMs'!A:A,D10502)&gt;0,"Yes","No"),"")</f>
        <v/>
      </c>
      <c r="C10502" s="11"/>
      <c r="D10502" s="11"/>
      <c r="E10502" s="11"/>
      <c r="F10502" s="11"/>
      <c r="G10502" s="11"/>
      <c r="H10502" s="11"/>
      <c r="I10502" s="15"/>
    </row>
    <row r="10503" spans="1:9" ht="16.5">
      <c r="A10503" s="10" t="b">
        <v>0</v>
      </c>
      <c r="B10503" s="11" t="str">
        <f>IF(D10503&lt;&gt;"",IF(COUNTIF('USPTO TMs'!A:A,D10503)&gt;0,"Yes","No"),"")</f>
        <v/>
      </c>
      <c r="C10503" s="11"/>
      <c r="D10503" s="11"/>
      <c r="E10503" s="11"/>
      <c r="F10503" s="11"/>
      <c r="G10503" s="11"/>
      <c r="H10503" s="11"/>
      <c r="I10503" s="15"/>
    </row>
    <row r="10504" spans="1:9" ht="16.5">
      <c r="A10504" s="10" t="b">
        <v>0</v>
      </c>
      <c r="B10504" s="11" t="str">
        <f>IF(D10504&lt;&gt;"",IF(COUNTIF('USPTO TMs'!A:A,D10504)&gt;0,"Yes","No"),"")</f>
        <v/>
      </c>
      <c r="C10504" s="11"/>
      <c r="D10504" s="11"/>
      <c r="E10504" s="11"/>
      <c r="F10504" s="11"/>
      <c r="G10504" s="11"/>
      <c r="H10504" s="11"/>
      <c r="I10504" s="15"/>
    </row>
    <row r="10505" spans="1:9" ht="16.5">
      <c r="A10505" s="10" t="b">
        <v>0</v>
      </c>
      <c r="B10505" s="11" t="str">
        <f>IF(D10505&lt;&gt;"",IF(COUNTIF('USPTO TMs'!A:A,D10505)&gt;0,"Yes","No"),"")</f>
        <v/>
      </c>
      <c r="C10505" s="11"/>
      <c r="D10505" s="11"/>
      <c r="E10505" s="11"/>
      <c r="F10505" s="11"/>
      <c r="G10505" s="11"/>
      <c r="H10505" s="11"/>
      <c r="I10505" s="15"/>
    </row>
    <row r="10506" spans="1:9" ht="16.5">
      <c r="A10506" s="10" t="b">
        <v>0</v>
      </c>
      <c r="B10506" s="11" t="str">
        <f>IF(D10506&lt;&gt;"",IF(COUNTIF('USPTO TMs'!A:A,D10506)&gt;0,"Yes","No"),"")</f>
        <v/>
      </c>
      <c r="C10506" s="11"/>
      <c r="D10506" s="11"/>
      <c r="E10506" s="11"/>
      <c r="F10506" s="11"/>
      <c r="G10506" s="11"/>
      <c r="H10506" s="11"/>
      <c r="I10506" s="15"/>
    </row>
    <row r="10507" spans="1:9" ht="16.5">
      <c r="A10507" s="10" t="b">
        <v>0</v>
      </c>
      <c r="B10507" s="11" t="str">
        <f>IF(D10507&lt;&gt;"",IF(COUNTIF('USPTO TMs'!A:A,D10507)&gt;0,"Yes","No"),"")</f>
        <v/>
      </c>
      <c r="C10507" s="11"/>
      <c r="D10507" s="11"/>
      <c r="E10507" s="11"/>
      <c r="F10507" s="11"/>
      <c r="G10507" s="11"/>
      <c r="H10507" s="11"/>
      <c r="I10507" s="15"/>
    </row>
    <row r="10508" spans="1:9" ht="16.5">
      <c r="A10508" s="10" t="b">
        <v>0</v>
      </c>
      <c r="B10508" s="11" t="str">
        <f>IF(D10508&lt;&gt;"",IF(COUNTIF('USPTO TMs'!A:A,D10508)&gt;0,"Yes","No"),"")</f>
        <v/>
      </c>
      <c r="C10508" s="11"/>
      <c r="D10508" s="11"/>
      <c r="E10508" s="11"/>
      <c r="F10508" s="11"/>
      <c r="G10508" s="11"/>
      <c r="H10508" s="11"/>
      <c r="I10508" s="15"/>
    </row>
    <row r="10509" spans="1:9" ht="16.5">
      <c r="A10509" s="10" t="b">
        <v>0</v>
      </c>
      <c r="B10509" s="11" t="str">
        <f>IF(D10509&lt;&gt;"",IF(COUNTIF('USPTO TMs'!A:A,D10509)&gt;0,"Yes","No"),"")</f>
        <v/>
      </c>
      <c r="C10509" s="11"/>
      <c r="D10509" s="11"/>
      <c r="E10509" s="11"/>
      <c r="F10509" s="11"/>
      <c r="G10509" s="11"/>
      <c r="H10509" s="11"/>
      <c r="I10509" s="15"/>
    </row>
    <row r="10510" spans="1:9" ht="16.5">
      <c r="A10510" s="10" t="b">
        <v>0</v>
      </c>
      <c r="B10510" s="11" t="str">
        <f>IF(D10510&lt;&gt;"",IF(COUNTIF('USPTO TMs'!A:A,D10510)&gt;0,"Yes","No"),"")</f>
        <v/>
      </c>
      <c r="C10510" s="11"/>
      <c r="D10510" s="11"/>
      <c r="E10510" s="11"/>
      <c r="F10510" s="11"/>
      <c r="G10510" s="11"/>
      <c r="H10510" s="11"/>
      <c r="I10510" s="15"/>
    </row>
    <row r="10511" spans="1:9" ht="16.5">
      <c r="A10511" s="10" t="b">
        <v>0</v>
      </c>
      <c r="B10511" s="11" t="str">
        <f>IF(D10511&lt;&gt;"",IF(COUNTIF('USPTO TMs'!A:A,D10511)&gt;0,"Yes","No"),"")</f>
        <v/>
      </c>
      <c r="C10511" s="11"/>
      <c r="D10511" s="11"/>
      <c r="E10511" s="11"/>
      <c r="F10511" s="11"/>
      <c r="G10511" s="11"/>
      <c r="H10511" s="11"/>
      <c r="I10511" s="15"/>
    </row>
    <row r="10512" spans="1:9" ht="16.5">
      <c r="A10512" s="10" t="b">
        <v>0</v>
      </c>
      <c r="B10512" s="11" t="str">
        <f>IF(D10512&lt;&gt;"",IF(COUNTIF('USPTO TMs'!A:A,D10512)&gt;0,"Yes","No"),"")</f>
        <v/>
      </c>
      <c r="C10512" s="11"/>
      <c r="D10512" s="11"/>
      <c r="E10512" s="11"/>
      <c r="F10512" s="11"/>
      <c r="G10512" s="11"/>
      <c r="H10512" s="11"/>
      <c r="I10512" s="15"/>
    </row>
    <row r="10513" spans="1:9" ht="16.5">
      <c r="A10513" s="10" t="b">
        <v>0</v>
      </c>
      <c r="B10513" s="11" t="str">
        <f>IF(D10513&lt;&gt;"",IF(COUNTIF('USPTO TMs'!A:A,D10513)&gt;0,"Yes","No"),"")</f>
        <v/>
      </c>
      <c r="C10513" s="11"/>
      <c r="D10513" s="11"/>
      <c r="E10513" s="11"/>
      <c r="F10513" s="11"/>
      <c r="G10513" s="11"/>
      <c r="H10513" s="11"/>
      <c r="I10513" s="15"/>
    </row>
    <row r="10514" spans="1:9" ht="16.5">
      <c r="A10514" s="10" t="b">
        <v>0</v>
      </c>
      <c r="B10514" s="11" t="str">
        <f>IF(D10514&lt;&gt;"",IF(COUNTIF('USPTO TMs'!A:A,D10514)&gt;0,"Yes","No"),"")</f>
        <v/>
      </c>
      <c r="C10514" s="11"/>
      <c r="D10514" s="11"/>
      <c r="E10514" s="11"/>
      <c r="F10514" s="11"/>
      <c r="G10514" s="11"/>
      <c r="H10514" s="11"/>
      <c r="I10514" s="15"/>
    </row>
    <row r="10515" spans="1:9" ht="16.5">
      <c r="A10515" s="10" t="b">
        <v>0</v>
      </c>
      <c r="B10515" s="11" t="str">
        <f>IF(D10515&lt;&gt;"",IF(COUNTIF('USPTO TMs'!A:A,D10515)&gt;0,"Yes","No"),"")</f>
        <v/>
      </c>
      <c r="C10515" s="11"/>
      <c r="D10515" s="11"/>
      <c r="E10515" s="11"/>
      <c r="F10515" s="11"/>
      <c r="G10515" s="11"/>
      <c r="H10515" s="11"/>
      <c r="I10515" s="15"/>
    </row>
    <row r="10516" spans="1:9" ht="16.5">
      <c r="A10516" s="10" t="b">
        <v>0</v>
      </c>
      <c r="B10516" s="11" t="str">
        <f>IF(D10516&lt;&gt;"",IF(COUNTIF('USPTO TMs'!A:A,D10516)&gt;0,"Yes","No"),"")</f>
        <v/>
      </c>
      <c r="C10516" s="11"/>
      <c r="D10516" s="11"/>
      <c r="E10516" s="11"/>
      <c r="F10516" s="11"/>
      <c r="G10516" s="11"/>
      <c r="H10516" s="11"/>
      <c r="I10516" s="15"/>
    </row>
    <row r="10517" spans="1:9" ht="16.5">
      <c r="A10517" s="10" t="b">
        <v>0</v>
      </c>
      <c r="B10517" s="11" t="str">
        <f>IF(D10517&lt;&gt;"",IF(COUNTIF('USPTO TMs'!A:A,D10517)&gt;0,"Yes","No"),"")</f>
        <v/>
      </c>
      <c r="C10517" s="11"/>
      <c r="D10517" s="11"/>
      <c r="E10517" s="11"/>
      <c r="F10517" s="11"/>
      <c r="G10517" s="11"/>
      <c r="H10517" s="11"/>
      <c r="I10517" s="15"/>
    </row>
    <row r="10518" spans="1:9" ht="16.5">
      <c r="A10518" s="10" t="b">
        <v>0</v>
      </c>
      <c r="B10518" s="11" t="str">
        <f>IF(D10518&lt;&gt;"",IF(COUNTIF('USPTO TMs'!A:A,D10518)&gt;0,"Yes","No"),"")</f>
        <v/>
      </c>
      <c r="C10518" s="11"/>
      <c r="D10518" s="11"/>
      <c r="E10518" s="11"/>
      <c r="F10518" s="11"/>
      <c r="G10518" s="11"/>
      <c r="H10518" s="11"/>
      <c r="I10518" s="15"/>
    </row>
    <row r="10519" spans="1:9" ht="16.5">
      <c r="A10519" s="10" t="b">
        <v>0</v>
      </c>
      <c r="B10519" s="11" t="str">
        <f>IF(D10519&lt;&gt;"",IF(COUNTIF('USPTO TMs'!A:A,D10519)&gt;0,"Yes","No"),"")</f>
        <v/>
      </c>
      <c r="C10519" s="11"/>
      <c r="D10519" s="11"/>
      <c r="E10519" s="11"/>
      <c r="F10519" s="11"/>
      <c r="G10519" s="11"/>
      <c r="H10519" s="11"/>
      <c r="I10519" s="15"/>
    </row>
    <row r="10520" spans="1:9" ht="16.5">
      <c r="A10520" s="10" t="b">
        <v>0</v>
      </c>
      <c r="B10520" s="11" t="str">
        <f>IF(D10520&lt;&gt;"",IF(COUNTIF('USPTO TMs'!A:A,D10520)&gt;0,"Yes","No"),"")</f>
        <v/>
      </c>
      <c r="C10520" s="11"/>
      <c r="D10520" s="11"/>
      <c r="E10520" s="11"/>
      <c r="F10520" s="11"/>
      <c r="G10520" s="11"/>
      <c r="H10520" s="11"/>
      <c r="I10520" s="15"/>
    </row>
    <row r="10521" spans="1:9" ht="16.5">
      <c r="A10521" s="10" t="b">
        <v>0</v>
      </c>
      <c r="B10521" s="11" t="str">
        <f>IF(D10521&lt;&gt;"",IF(COUNTIF('USPTO TMs'!A:A,D10521)&gt;0,"Yes","No"),"")</f>
        <v/>
      </c>
      <c r="C10521" s="11"/>
      <c r="D10521" s="11"/>
      <c r="E10521" s="11"/>
      <c r="F10521" s="11"/>
      <c r="G10521" s="11"/>
      <c r="H10521" s="11"/>
      <c r="I10521" s="15"/>
    </row>
    <row r="10522" spans="1:9" ht="16.5">
      <c r="A10522" s="10" t="b">
        <v>0</v>
      </c>
      <c r="B10522" s="11" t="str">
        <f>IF(D10522&lt;&gt;"",IF(COUNTIF('USPTO TMs'!A:A,D10522)&gt;0,"Yes","No"),"")</f>
        <v/>
      </c>
      <c r="C10522" s="11"/>
      <c r="D10522" s="11"/>
      <c r="E10522" s="11"/>
      <c r="F10522" s="11"/>
      <c r="G10522" s="11"/>
      <c r="H10522" s="11"/>
      <c r="I10522" s="15"/>
    </row>
    <row r="10523" spans="1:9" ht="16.5">
      <c r="A10523" s="10" t="b">
        <v>0</v>
      </c>
      <c r="B10523" s="11" t="str">
        <f>IF(D10523&lt;&gt;"",IF(COUNTIF('USPTO TMs'!A:A,D10523)&gt;0,"Yes","No"),"")</f>
        <v/>
      </c>
      <c r="C10523" s="11"/>
      <c r="D10523" s="11"/>
      <c r="E10523" s="11"/>
      <c r="F10523" s="11"/>
      <c r="G10523" s="11"/>
      <c r="H10523" s="11"/>
      <c r="I10523" s="15"/>
    </row>
    <row r="10524" spans="1:9" ht="16.5">
      <c r="A10524" s="10" t="b">
        <v>0</v>
      </c>
      <c r="B10524" s="11" t="str">
        <f>IF(D10524&lt;&gt;"",IF(COUNTIF('USPTO TMs'!A:A,D10524)&gt;0,"Yes","No"),"")</f>
        <v/>
      </c>
      <c r="C10524" s="11"/>
      <c r="D10524" s="11"/>
      <c r="E10524" s="11"/>
      <c r="F10524" s="11"/>
      <c r="G10524" s="11"/>
      <c r="H10524" s="11"/>
      <c r="I10524" s="15"/>
    </row>
    <row r="10525" spans="1:9" ht="16.5">
      <c r="A10525" s="10" t="b">
        <v>0</v>
      </c>
      <c r="B10525" s="11" t="str">
        <f>IF(D10525&lt;&gt;"",IF(COUNTIF('USPTO TMs'!A:A,D10525)&gt;0,"Yes","No"),"")</f>
        <v/>
      </c>
      <c r="C10525" s="11"/>
      <c r="D10525" s="11"/>
      <c r="E10525" s="11"/>
      <c r="F10525" s="11"/>
      <c r="G10525" s="11"/>
      <c r="H10525" s="11"/>
      <c r="I10525" s="15"/>
    </row>
    <row r="10526" spans="1:9" ht="16.5">
      <c r="A10526" s="10" t="b">
        <v>0</v>
      </c>
      <c r="B10526" s="11" t="str">
        <f>IF(D10526&lt;&gt;"",IF(COUNTIF('USPTO TMs'!A:A,D10526)&gt;0,"Yes","No"),"")</f>
        <v/>
      </c>
      <c r="C10526" s="11"/>
      <c r="D10526" s="11"/>
      <c r="E10526" s="11"/>
      <c r="F10526" s="11"/>
      <c r="G10526" s="11"/>
      <c r="H10526" s="11"/>
      <c r="I10526" s="15"/>
    </row>
    <row r="10527" spans="1:9" ht="16.5">
      <c r="A10527" s="10" t="b">
        <v>0</v>
      </c>
      <c r="B10527" s="11" t="str">
        <f>IF(D10527&lt;&gt;"",IF(COUNTIF('USPTO TMs'!A:A,D10527)&gt;0,"Yes","No"),"")</f>
        <v/>
      </c>
      <c r="C10527" s="11"/>
      <c r="D10527" s="11"/>
      <c r="E10527" s="11"/>
      <c r="F10527" s="11"/>
      <c r="G10527" s="11"/>
      <c r="H10527" s="11"/>
      <c r="I10527" s="15"/>
    </row>
    <row r="10528" spans="1:9" ht="16.5">
      <c r="A10528" s="10" t="b">
        <v>0</v>
      </c>
      <c r="B10528" s="11" t="str">
        <f>IF(D10528&lt;&gt;"",IF(COUNTIF('USPTO TMs'!A:A,D10528)&gt;0,"Yes","No"),"")</f>
        <v/>
      </c>
      <c r="C10528" s="11"/>
      <c r="D10528" s="11"/>
      <c r="E10528" s="11"/>
      <c r="F10528" s="11"/>
      <c r="G10528" s="11"/>
      <c r="H10528" s="11"/>
      <c r="I10528" s="15"/>
    </row>
    <row r="10529" spans="1:9" ht="16.5">
      <c r="A10529" s="10" t="b">
        <v>0</v>
      </c>
      <c r="B10529" s="11" t="str">
        <f>IF(D10529&lt;&gt;"",IF(COUNTIF('USPTO TMs'!A:A,D10529)&gt;0,"Yes","No"),"")</f>
        <v/>
      </c>
      <c r="C10529" s="11"/>
      <c r="D10529" s="11"/>
      <c r="E10529" s="11"/>
      <c r="F10529" s="11"/>
      <c r="G10529" s="11"/>
      <c r="H10529" s="11"/>
      <c r="I10529" s="15"/>
    </row>
    <row r="10530" spans="1:9" ht="16.5">
      <c r="A10530" s="10" t="b">
        <v>0</v>
      </c>
      <c r="B10530" s="11" t="str">
        <f>IF(D10530&lt;&gt;"",IF(COUNTIF('USPTO TMs'!A:A,D10530)&gt;0,"Yes","No"),"")</f>
        <v/>
      </c>
      <c r="C10530" s="11"/>
      <c r="D10530" s="11"/>
      <c r="E10530" s="11"/>
      <c r="F10530" s="11"/>
      <c r="G10530" s="11"/>
      <c r="H10530" s="11"/>
      <c r="I10530" s="15"/>
    </row>
    <row r="10531" spans="1:9" ht="16.5">
      <c r="A10531" s="10" t="b">
        <v>0</v>
      </c>
      <c r="B10531" s="11" t="str">
        <f>IF(D10531&lt;&gt;"",IF(COUNTIF('USPTO TMs'!A:A,D10531)&gt;0,"Yes","No"),"")</f>
        <v/>
      </c>
      <c r="C10531" s="11"/>
      <c r="D10531" s="11"/>
      <c r="E10531" s="11"/>
      <c r="F10531" s="11"/>
      <c r="G10531" s="11"/>
      <c r="H10531" s="11"/>
      <c r="I10531" s="15"/>
    </row>
    <row r="10532" spans="1:9" ht="16.5">
      <c r="A10532" s="10" t="b">
        <v>0</v>
      </c>
      <c r="B10532" s="11" t="str">
        <f>IF(D10532&lt;&gt;"",IF(COUNTIF('USPTO TMs'!A:A,D10532)&gt;0,"Yes","No"),"")</f>
        <v/>
      </c>
      <c r="C10532" s="11"/>
      <c r="D10532" s="11"/>
      <c r="E10532" s="11"/>
      <c r="F10532" s="11"/>
      <c r="G10532" s="11"/>
      <c r="H10532" s="11"/>
      <c r="I10532" s="15"/>
    </row>
    <row r="10533" spans="1:9" ht="16.5">
      <c r="A10533" s="10" t="b">
        <v>0</v>
      </c>
      <c r="B10533" s="11" t="str">
        <f>IF(D10533&lt;&gt;"",IF(COUNTIF('USPTO TMs'!A:A,D10533)&gt;0,"Yes","No"),"")</f>
        <v/>
      </c>
      <c r="C10533" s="11"/>
      <c r="D10533" s="11"/>
      <c r="E10533" s="11"/>
      <c r="F10533" s="11"/>
      <c r="G10533" s="11"/>
      <c r="H10533" s="11"/>
      <c r="I10533" s="15"/>
    </row>
    <row r="10534" spans="1:9" ht="16.5">
      <c r="A10534" s="10" t="b">
        <v>0</v>
      </c>
      <c r="B10534" s="11" t="str">
        <f>IF(D10534&lt;&gt;"",IF(COUNTIF('USPTO TMs'!A:A,D10534)&gt;0,"Yes","No"),"")</f>
        <v/>
      </c>
      <c r="C10534" s="11"/>
      <c r="D10534" s="11"/>
      <c r="E10534" s="11"/>
      <c r="F10534" s="11"/>
      <c r="G10534" s="11"/>
      <c r="H10534" s="11"/>
      <c r="I10534" s="15"/>
    </row>
    <row r="10535" spans="1:9" ht="16.5">
      <c r="A10535" s="10" t="b">
        <v>0</v>
      </c>
      <c r="B10535" s="11" t="str">
        <f>IF(D10535&lt;&gt;"",IF(COUNTIF('USPTO TMs'!A:A,D10535)&gt;0,"Yes","No"),"")</f>
        <v/>
      </c>
      <c r="C10535" s="11"/>
      <c r="D10535" s="11"/>
      <c r="E10535" s="11"/>
      <c r="F10535" s="11"/>
      <c r="G10535" s="11"/>
      <c r="H10535" s="11"/>
      <c r="I10535" s="15"/>
    </row>
    <row r="10536" spans="1:9" ht="16.5">
      <c r="A10536" s="10" t="b">
        <v>0</v>
      </c>
      <c r="B10536" s="11" t="str">
        <f>IF(D10536&lt;&gt;"",IF(COUNTIF('USPTO TMs'!A:A,D10536)&gt;0,"Yes","No"),"")</f>
        <v/>
      </c>
      <c r="C10536" s="11"/>
      <c r="D10536" s="11"/>
      <c r="E10536" s="11"/>
      <c r="F10536" s="11"/>
      <c r="G10536" s="11"/>
      <c r="H10536" s="11"/>
      <c r="I10536" s="15"/>
    </row>
    <row r="10537" spans="1:9" ht="16.5">
      <c r="A10537" s="10" t="b">
        <v>0</v>
      </c>
      <c r="B10537" s="11" t="str">
        <f>IF(D10537&lt;&gt;"",IF(COUNTIF('USPTO TMs'!A:A,D10537)&gt;0,"Yes","No"),"")</f>
        <v/>
      </c>
      <c r="C10537" s="11"/>
      <c r="D10537" s="11"/>
      <c r="E10537" s="11"/>
      <c r="F10537" s="11"/>
      <c r="G10537" s="11"/>
      <c r="H10537" s="11"/>
      <c r="I10537" s="15"/>
    </row>
    <row r="10538" spans="1:9" ht="16.5">
      <c r="A10538" s="10" t="b">
        <v>0</v>
      </c>
      <c r="B10538" s="11" t="str">
        <f>IF(D10538&lt;&gt;"",IF(COUNTIF('USPTO TMs'!A:A,D10538)&gt;0,"Yes","No"),"")</f>
        <v/>
      </c>
      <c r="C10538" s="11"/>
      <c r="D10538" s="11"/>
      <c r="E10538" s="11"/>
      <c r="F10538" s="11"/>
      <c r="G10538" s="11"/>
      <c r="H10538" s="11"/>
      <c r="I10538" s="15"/>
    </row>
    <row r="10539" spans="1:9" ht="16.5">
      <c r="A10539" s="10" t="b">
        <v>0</v>
      </c>
      <c r="B10539" s="11" t="str">
        <f>IF(D10539&lt;&gt;"",IF(COUNTIF('USPTO TMs'!A:A,D10539)&gt;0,"Yes","No"),"")</f>
        <v/>
      </c>
      <c r="C10539" s="11"/>
      <c r="D10539" s="11"/>
      <c r="E10539" s="11"/>
      <c r="F10539" s="11"/>
      <c r="G10539" s="11"/>
      <c r="H10539" s="11"/>
      <c r="I10539" s="15"/>
    </row>
    <row r="10540" spans="1:9" ht="16.5">
      <c r="A10540" s="10" t="b">
        <v>0</v>
      </c>
      <c r="B10540" s="11" t="str">
        <f>IF(D10540&lt;&gt;"",IF(COUNTIF('USPTO TMs'!A:A,D10540)&gt;0,"Yes","No"),"")</f>
        <v/>
      </c>
      <c r="C10540" s="11"/>
      <c r="D10540" s="11"/>
      <c r="E10540" s="11"/>
      <c r="F10540" s="11"/>
      <c r="G10540" s="11"/>
      <c r="H10540" s="11"/>
      <c r="I10540" s="15"/>
    </row>
    <row r="10541" spans="1:9" ht="16.5">
      <c r="A10541" s="10" t="b">
        <v>0</v>
      </c>
      <c r="B10541" s="11" t="str">
        <f>IF(D10541&lt;&gt;"",IF(COUNTIF('USPTO TMs'!A:A,D10541)&gt;0,"Yes","No"),"")</f>
        <v/>
      </c>
      <c r="C10541" s="11"/>
      <c r="D10541" s="11"/>
      <c r="E10541" s="11"/>
      <c r="F10541" s="11"/>
      <c r="G10541" s="11"/>
      <c r="H10541" s="11"/>
      <c r="I10541" s="15"/>
    </row>
    <row r="10542" spans="1:9" ht="16.5">
      <c r="A10542" s="10" t="b">
        <v>0</v>
      </c>
      <c r="B10542" s="11" t="str">
        <f>IF(D10542&lt;&gt;"",IF(COUNTIF('USPTO TMs'!A:A,D10542)&gt;0,"Yes","No"),"")</f>
        <v/>
      </c>
      <c r="C10542" s="11"/>
      <c r="D10542" s="11"/>
      <c r="E10542" s="11"/>
      <c r="F10542" s="11"/>
      <c r="G10542" s="11"/>
      <c r="H10542" s="11"/>
      <c r="I10542" s="15"/>
    </row>
    <row r="10543" spans="1:9" ht="16.5">
      <c r="A10543" s="10" t="b">
        <v>0</v>
      </c>
      <c r="B10543" s="11" t="str">
        <f>IF(D10543&lt;&gt;"",IF(COUNTIF('USPTO TMs'!A:A,D10543)&gt;0,"Yes","No"),"")</f>
        <v/>
      </c>
      <c r="C10543" s="11"/>
      <c r="D10543" s="11"/>
      <c r="E10543" s="11"/>
      <c r="F10543" s="11"/>
      <c r="G10543" s="11"/>
      <c r="H10543" s="11"/>
      <c r="I10543" s="15"/>
    </row>
    <row r="10544" spans="1:9" ht="16.5">
      <c r="A10544" s="10" t="b">
        <v>0</v>
      </c>
      <c r="B10544" s="11" t="str">
        <f>IF(D10544&lt;&gt;"",IF(COUNTIF('USPTO TMs'!A:A,D10544)&gt;0,"Yes","No"),"")</f>
        <v/>
      </c>
      <c r="C10544" s="11"/>
      <c r="D10544" s="11"/>
      <c r="E10544" s="11"/>
      <c r="F10544" s="11"/>
      <c r="G10544" s="11"/>
      <c r="H10544" s="11"/>
      <c r="I10544" s="15"/>
    </row>
    <row r="10545" spans="1:9" ht="16.5">
      <c r="A10545" s="10" t="b">
        <v>0</v>
      </c>
      <c r="B10545" s="11" t="str">
        <f>IF(D10545&lt;&gt;"",IF(COUNTIF('USPTO TMs'!A:A,D10545)&gt;0,"Yes","No"),"")</f>
        <v/>
      </c>
      <c r="C10545" s="11"/>
      <c r="D10545" s="11"/>
      <c r="E10545" s="11"/>
      <c r="F10545" s="11"/>
      <c r="G10545" s="11"/>
      <c r="H10545" s="11"/>
      <c r="I10545" s="15"/>
    </row>
    <row r="10546" spans="1:9" ht="16.5">
      <c r="A10546" s="10" t="b">
        <v>0</v>
      </c>
      <c r="B10546" s="11" t="str">
        <f>IF(D10546&lt;&gt;"",IF(COUNTIF('USPTO TMs'!A:A,D10546)&gt;0,"Yes","No"),"")</f>
        <v/>
      </c>
      <c r="C10546" s="11"/>
      <c r="D10546" s="11"/>
      <c r="E10546" s="11"/>
      <c r="F10546" s="11"/>
      <c r="G10546" s="11"/>
      <c r="H10546" s="11"/>
      <c r="I10546" s="15"/>
    </row>
    <row r="10547" spans="1:9" ht="16.5">
      <c r="A10547" s="10" t="b">
        <v>0</v>
      </c>
      <c r="B10547" s="11" t="str">
        <f>IF(D10547&lt;&gt;"",IF(COUNTIF('USPTO TMs'!A:A,D10547)&gt;0,"Yes","No"),"")</f>
        <v/>
      </c>
      <c r="C10547" s="11"/>
      <c r="D10547" s="11"/>
      <c r="E10547" s="11"/>
      <c r="F10547" s="11"/>
      <c r="G10547" s="11"/>
      <c r="H10547" s="11"/>
      <c r="I10547" s="15"/>
    </row>
    <row r="10548" spans="1:9" ht="16.5">
      <c r="A10548" s="10" t="b">
        <v>0</v>
      </c>
      <c r="B10548" s="11" t="str">
        <f>IF(D10548&lt;&gt;"",IF(COUNTIF('USPTO TMs'!A:A,D10548)&gt;0,"Yes","No"),"")</f>
        <v/>
      </c>
      <c r="C10548" s="11"/>
      <c r="D10548" s="11"/>
      <c r="E10548" s="11"/>
      <c r="F10548" s="11"/>
      <c r="G10548" s="11"/>
      <c r="H10548" s="11"/>
      <c r="I10548" s="15"/>
    </row>
    <row r="10549" spans="1:9" ht="16.5">
      <c r="A10549" s="10" t="b">
        <v>0</v>
      </c>
      <c r="B10549" s="11" t="str">
        <f>IF(D10549&lt;&gt;"",IF(COUNTIF('USPTO TMs'!A:A,D10549)&gt;0,"Yes","No"),"")</f>
        <v/>
      </c>
      <c r="C10549" s="11"/>
      <c r="D10549" s="11"/>
      <c r="E10549" s="11"/>
      <c r="F10549" s="11"/>
      <c r="G10549" s="11"/>
      <c r="H10549" s="11"/>
      <c r="I10549" s="15"/>
    </row>
    <row r="10550" spans="1:9" ht="16.5">
      <c r="A10550" s="10" t="b">
        <v>0</v>
      </c>
      <c r="B10550" s="11" t="str">
        <f>IF(D10550&lt;&gt;"",IF(COUNTIF('USPTO TMs'!A:A,D10550)&gt;0,"Yes","No"),"")</f>
        <v/>
      </c>
      <c r="C10550" s="11"/>
      <c r="D10550" s="11"/>
      <c r="E10550" s="11"/>
      <c r="F10550" s="11"/>
      <c r="G10550" s="11"/>
      <c r="H10550" s="11"/>
      <c r="I10550" s="15"/>
    </row>
    <row r="10551" spans="1:9" ht="16.5">
      <c r="A10551" s="10" t="b">
        <v>0</v>
      </c>
      <c r="B10551" s="11" t="str">
        <f>IF(D10551&lt;&gt;"",IF(COUNTIF('USPTO TMs'!A:A,D10551)&gt;0,"Yes","No"),"")</f>
        <v/>
      </c>
      <c r="C10551" s="11"/>
      <c r="D10551" s="11"/>
      <c r="E10551" s="11"/>
      <c r="F10551" s="11"/>
      <c r="G10551" s="11"/>
      <c r="H10551" s="11"/>
      <c r="I10551" s="15"/>
    </row>
    <row r="10552" spans="1:9" ht="16.5">
      <c r="A10552" s="10" t="b">
        <v>0</v>
      </c>
      <c r="B10552" s="11" t="str">
        <f>IF(D10552&lt;&gt;"",IF(COUNTIF('USPTO TMs'!A:A,D10552)&gt;0,"Yes","No"),"")</f>
        <v/>
      </c>
      <c r="C10552" s="11"/>
      <c r="D10552" s="11"/>
      <c r="E10552" s="11"/>
      <c r="F10552" s="11"/>
      <c r="G10552" s="11"/>
      <c r="H10552" s="11"/>
      <c r="I10552" s="15"/>
    </row>
    <row r="10553" spans="1:9" ht="16.5">
      <c r="A10553" s="10" t="b">
        <v>0</v>
      </c>
      <c r="B10553" s="11" t="str">
        <f>IF(D10553&lt;&gt;"",IF(COUNTIF('USPTO TMs'!A:A,D10553)&gt;0,"Yes","No"),"")</f>
        <v/>
      </c>
      <c r="C10553" s="11"/>
      <c r="D10553" s="11"/>
      <c r="E10553" s="11"/>
      <c r="F10553" s="11"/>
      <c r="G10553" s="11"/>
      <c r="H10553" s="11"/>
      <c r="I10553" s="15"/>
    </row>
    <row r="10554" spans="1:9" ht="16.5">
      <c r="A10554" s="10" t="b">
        <v>0</v>
      </c>
      <c r="B10554" s="11" t="str">
        <f>IF(D10554&lt;&gt;"",IF(COUNTIF('USPTO TMs'!A:A,D10554)&gt;0,"Yes","No"),"")</f>
        <v/>
      </c>
      <c r="C10554" s="11"/>
      <c r="D10554" s="11"/>
      <c r="E10554" s="11"/>
      <c r="F10554" s="11"/>
      <c r="G10554" s="11"/>
      <c r="H10554" s="11"/>
      <c r="I10554" s="15"/>
    </row>
    <row r="10555" spans="1:9" ht="16.5">
      <c r="A10555" s="10" t="b">
        <v>0</v>
      </c>
      <c r="B10555" s="11" t="str">
        <f>IF(D10555&lt;&gt;"",IF(COUNTIF('USPTO TMs'!A:A,D10555)&gt;0,"Yes","No"),"")</f>
        <v/>
      </c>
      <c r="C10555" s="11"/>
      <c r="D10555" s="11"/>
      <c r="E10555" s="11"/>
      <c r="F10555" s="11"/>
      <c r="G10555" s="11"/>
      <c r="H10555" s="11"/>
      <c r="I10555" s="15"/>
    </row>
    <row r="10556" spans="1:9" ht="16.5">
      <c r="A10556" s="10" t="b">
        <v>0</v>
      </c>
      <c r="B10556" s="11" t="str">
        <f>IF(D10556&lt;&gt;"",IF(COUNTIF('USPTO TMs'!A:A,D10556)&gt;0,"Yes","No"),"")</f>
        <v/>
      </c>
      <c r="C10556" s="11"/>
      <c r="D10556" s="11"/>
      <c r="E10556" s="11"/>
      <c r="F10556" s="11"/>
      <c r="G10556" s="11"/>
      <c r="H10556" s="11"/>
      <c r="I10556" s="15"/>
    </row>
    <row r="10557" spans="1:9" ht="16.5">
      <c r="A10557" s="10" t="b">
        <v>0</v>
      </c>
      <c r="B10557" s="11" t="str">
        <f>IF(D10557&lt;&gt;"",IF(COUNTIF('USPTO TMs'!A:A,D10557)&gt;0,"Yes","No"),"")</f>
        <v/>
      </c>
      <c r="C10557" s="11"/>
      <c r="D10557" s="11"/>
      <c r="E10557" s="11"/>
      <c r="F10557" s="11"/>
      <c r="G10557" s="11"/>
      <c r="H10557" s="11"/>
      <c r="I10557" s="15"/>
    </row>
    <row r="10558" spans="1:9" ht="16.5">
      <c r="A10558" s="10" t="b">
        <v>0</v>
      </c>
      <c r="B10558" s="11" t="str">
        <f>IF(D10558&lt;&gt;"",IF(COUNTIF('USPTO TMs'!A:A,D10558)&gt;0,"Yes","No"),"")</f>
        <v/>
      </c>
      <c r="C10558" s="11"/>
      <c r="D10558" s="11"/>
      <c r="E10558" s="11"/>
      <c r="F10558" s="11"/>
      <c r="G10558" s="11"/>
      <c r="H10558" s="11"/>
      <c r="I10558" s="15"/>
    </row>
    <row r="10559" spans="1:9" ht="16.5">
      <c r="A10559" s="10" t="b">
        <v>0</v>
      </c>
      <c r="B10559" s="11" t="str">
        <f>IF(D10559&lt;&gt;"",IF(COUNTIF('USPTO TMs'!A:A,D10559)&gt;0,"Yes","No"),"")</f>
        <v/>
      </c>
      <c r="C10559" s="11"/>
      <c r="D10559" s="11"/>
      <c r="E10559" s="11"/>
      <c r="F10559" s="11"/>
      <c r="G10559" s="11"/>
      <c r="H10559" s="11"/>
      <c r="I10559" s="15"/>
    </row>
    <row r="10560" spans="1:9" ht="16.5">
      <c r="A10560" s="10" t="b">
        <v>0</v>
      </c>
      <c r="B10560" s="11" t="str">
        <f>IF(D10560&lt;&gt;"",IF(COUNTIF('USPTO TMs'!A:A,D10560)&gt;0,"Yes","No"),"")</f>
        <v/>
      </c>
      <c r="C10560" s="11"/>
      <c r="D10560" s="11"/>
      <c r="E10560" s="11"/>
      <c r="F10560" s="11"/>
      <c r="G10560" s="11"/>
      <c r="H10560" s="11"/>
      <c r="I10560" s="15"/>
    </row>
    <row r="10561" spans="1:9" ht="16.5">
      <c r="A10561" s="10" t="b">
        <v>0</v>
      </c>
      <c r="B10561" s="11" t="str">
        <f>IF(D10561&lt;&gt;"",IF(COUNTIF('USPTO TMs'!A:A,D10561)&gt;0,"Yes","No"),"")</f>
        <v/>
      </c>
      <c r="C10561" s="11"/>
      <c r="D10561" s="11"/>
      <c r="E10561" s="11"/>
      <c r="F10561" s="11"/>
      <c r="G10561" s="11"/>
      <c r="H10561" s="11"/>
      <c r="I10561" s="15"/>
    </row>
    <row r="10562" spans="1:9" ht="16.5">
      <c r="A10562" s="10" t="b">
        <v>0</v>
      </c>
      <c r="B10562" s="11" t="str">
        <f>IF(D10562&lt;&gt;"",IF(COUNTIF('USPTO TMs'!A:A,D10562)&gt;0,"Yes","No"),"")</f>
        <v/>
      </c>
      <c r="C10562" s="11"/>
      <c r="D10562" s="11"/>
      <c r="E10562" s="11"/>
      <c r="F10562" s="11"/>
      <c r="G10562" s="11"/>
      <c r="H10562" s="11"/>
      <c r="I10562" s="15"/>
    </row>
    <row r="10563" spans="1:9" ht="16.5">
      <c r="A10563" s="10" t="b">
        <v>0</v>
      </c>
      <c r="B10563" s="11" t="str">
        <f>IF(D10563&lt;&gt;"",IF(COUNTIF('USPTO TMs'!A:A,D10563)&gt;0,"Yes","No"),"")</f>
        <v/>
      </c>
      <c r="C10563" s="11"/>
      <c r="D10563" s="11"/>
      <c r="E10563" s="11"/>
      <c r="F10563" s="11"/>
      <c r="G10563" s="11"/>
      <c r="H10563" s="11"/>
      <c r="I10563" s="15"/>
    </row>
    <row r="10564" spans="1:9" ht="16.5">
      <c r="A10564" s="10" t="b">
        <v>0</v>
      </c>
      <c r="B10564" s="11" t="str">
        <f>IF(D10564&lt;&gt;"",IF(COUNTIF('USPTO TMs'!A:A,D10564)&gt;0,"Yes","No"),"")</f>
        <v/>
      </c>
      <c r="C10564" s="11"/>
      <c r="D10564" s="11"/>
      <c r="E10564" s="11"/>
      <c r="F10564" s="11"/>
      <c r="G10564" s="11"/>
      <c r="H10564" s="11"/>
      <c r="I10564" s="15"/>
    </row>
    <row r="10565" spans="1:9" ht="16.5">
      <c r="A10565" s="10" t="b">
        <v>0</v>
      </c>
      <c r="B10565" s="11" t="str">
        <f>IF(D10565&lt;&gt;"",IF(COUNTIF('USPTO TMs'!A:A,D10565)&gt;0,"Yes","No"),"")</f>
        <v/>
      </c>
      <c r="C10565" s="11"/>
      <c r="D10565" s="11"/>
      <c r="E10565" s="11"/>
      <c r="F10565" s="11"/>
      <c r="G10565" s="11"/>
      <c r="H10565" s="11"/>
      <c r="I10565" s="15"/>
    </row>
    <row r="10566" spans="1:9" ht="16.5">
      <c r="A10566" s="10" t="b">
        <v>0</v>
      </c>
      <c r="B10566" s="11" t="str">
        <f>IF(D10566&lt;&gt;"",IF(COUNTIF('USPTO TMs'!A:A,D10566)&gt;0,"Yes","No"),"")</f>
        <v/>
      </c>
      <c r="C10566" s="11"/>
      <c r="D10566" s="11"/>
      <c r="E10566" s="11"/>
      <c r="F10566" s="11"/>
      <c r="G10566" s="11"/>
      <c r="H10566" s="11"/>
      <c r="I10566" s="15"/>
    </row>
    <row r="10567" spans="1:9" ht="16.5">
      <c r="A10567" s="10" t="b">
        <v>0</v>
      </c>
      <c r="B10567" s="11" t="str">
        <f>IF(D10567&lt;&gt;"",IF(COUNTIF('USPTO TMs'!A:A,D10567)&gt;0,"Yes","No"),"")</f>
        <v/>
      </c>
      <c r="C10567" s="11"/>
      <c r="D10567" s="11"/>
      <c r="E10567" s="11"/>
      <c r="F10567" s="11"/>
      <c r="G10567" s="11"/>
      <c r="H10567" s="11"/>
      <c r="I10567" s="15"/>
    </row>
    <row r="10568" spans="1:9" ht="16.5">
      <c r="A10568" s="10" t="b">
        <v>0</v>
      </c>
      <c r="B10568" s="11" t="str">
        <f>IF(D10568&lt;&gt;"",IF(COUNTIF('USPTO TMs'!A:A,D10568)&gt;0,"Yes","No"),"")</f>
        <v/>
      </c>
      <c r="C10568" s="11"/>
      <c r="D10568" s="11"/>
      <c r="E10568" s="11"/>
      <c r="F10568" s="11"/>
      <c r="G10568" s="11"/>
      <c r="H10568" s="11"/>
      <c r="I10568" s="15"/>
    </row>
    <row r="10569" spans="1:9" ht="16.5">
      <c r="A10569" s="10" t="b">
        <v>0</v>
      </c>
      <c r="B10569" s="11" t="str">
        <f>IF(D10569&lt;&gt;"",IF(COUNTIF('USPTO TMs'!A:A,D10569)&gt;0,"Yes","No"),"")</f>
        <v/>
      </c>
      <c r="C10569" s="11"/>
      <c r="D10569" s="11"/>
      <c r="E10569" s="11"/>
      <c r="F10569" s="11"/>
      <c r="G10569" s="11"/>
      <c r="H10569" s="11"/>
      <c r="I10569" s="15"/>
    </row>
    <row r="10570" spans="1:9" ht="16.5">
      <c r="A10570" s="10" t="b">
        <v>0</v>
      </c>
      <c r="B10570" s="11" t="str">
        <f>IF(D10570&lt;&gt;"",IF(COUNTIF('USPTO TMs'!A:A,D10570)&gt;0,"Yes","No"),"")</f>
        <v/>
      </c>
      <c r="C10570" s="11"/>
      <c r="D10570" s="11"/>
      <c r="E10570" s="11"/>
      <c r="F10570" s="11"/>
      <c r="G10570" s="11"/>
      <c r="H10570" s="11"/>
      <c r="I10570" s="15"/>
    </row>
    <row r="10571" spans="1:9" ht="16.5">
      <c r="A10571" s="10" t="b">
        <v>0</v>
      </c>
      <c r="B10571" s="11" t="str">
        <f>IF(D10571&lt;&gt;"",IF(COUNTIF('USPTO TMs'!A:A,D10571)&gt;0,"Yes","No"),"")</f>
        <v/>
      </c>
      <c r="C10571" s="11"/>
      <c r="D10571" s="11"/>
      <c r="E10571" s="11"/>
      <c r="F10571" s="11"/>
      <c r="G10571" s="11"/>
      <c r="H10571" s="11"/>
      <c r="I10571" s="15"/>
    </row>
    <row r="10572" spans="1:9" ht="16.5">
      <c r="A10572" s="10" t="b">
        <v>0</v>
      </c>
      <c r="B10572" s="11" t="str">
        <f>IF(D10572&lt;&gt;"",IF(COUNTIF('USPTO TMs'!A:A,D10572)&gt;0,"Yes","No"),"")</f>
        <v/>
      </c>
      <c r="C10572" s="11"/>
      <c r="D10572" s="11"/>
      <c r="E10572" s="11"/>
      <c r="F10572" s="11"/>
      <c r="G10572" s="11"/>
      <c r="H10572" s="11"/>
      <c r="I10572" s="15"/>
    </row>
    <row r="10573" spans="1:9" ht="16.5">
      <c r="A10573" s="10" t="b">
        <v>0</v>
      </c>
      <c r="B10573" s="11" t="str">
        <f>IF(D10573&lt;&gt;"",IF(COUNTIF('USPTO TMs'!A:A,D10573)&gt;0,"Yes","No"),"")</f>
        <v/>
      </c>
      <c r="C10573" s="11"/>
      <c r="D10573" s="11"/>
      <c r="E10573" s="11"/>
      <c r="F10573" s="11"/>
      <c r="G10573" s="11"/>
      <c r="H10573" s="11"/>
      <c r="I10573" s="15"/>
    </row>
    <row r="10574" spans="1:9" ht="16.5">
      <c r="A10574" s="10" t="b">
        <v>0</v>
      </c>
      <c r="B10574" s="11" t="str">
        <f>IF(D10574&lt;&gt;"",IF(COUNTIF('USPTO TMs'!A:A,D10574)&gt;0,"Yes","No"),"")</f>
        <v/>
      </c>
      <c r="C10574" s="11"/>
      <c r="D10574" s="11"/>
      <c r="E10574" s="11"/>
      <c r="F10574" s="11"/>
      <c r="G10574" s="11"/>
      <c r="H10574" s="11"/>
      <c r="I10574" s="15"/>
    </row>
    <row r="10575" spans="1:9" ht="16.5">
      <c r="A10575" s="10" t="b">
        <v>0</v>
      </c>
      <c r="B10575" s="11" t="str">
        <f>IF(D10575&lt;&gt;"",IF(COUNTIF('USPTO TMs'!A:A,D10575)&gt;0,"Yes","No"),"")</f>
        <v/>
      </c>
      <c r="C10575" s="11"/>
      <c r="D10575" s="11"/>
      <c r="E10575" s="11"/>
      <c r="F10575" s="11"/>
      <c r="G10575" s="11"/>
      <c r="H10575" s="11"/>
      <c r="I10575" s="15"/>
    </row>
    <row r="10576" spans="1:9" ht="16.5">
      <c r="A10576" s="10" t="b">
        <v>0</v>
      </c>
      <c r="B10576" s="11" t="str">
        <f>IF(D10576&lt;&gt;"",IF(COUNTIF('USPTO TMs'!A:A,D10576)&gt;0,"Yes","No"),"")</f>
        <v/>
      </c>
      <c r="C10576" s="11"/>
      <c r="D10576" s="11"/>
      <c r="E10576" s="11"/>
      <c r="F10576" s="11"/>
      <c r="G10576" s="11"/>
      <c r="H10576" s="11"/>
      <c r="I10576" s="15"/>
    </row>
    <row r="10577" spans="1:9" ht="16.5">
      <c r="A10577" s="10" t="b">
        <v>0</v>
      </c>
      <c r="B10577" s="11" t="str">
        <f>IF(D10577&lt;&gt;"",IF(COUNTIF('USPTO TMs'!A:A,D10577)&gt;0,"Yes","No"),"")</f>
        <v/>
      </c>
      <c r="C10577" s="11"/>
      <c r="D10577" s="11"/>
      <c r="E10577" s="11"/>
      <c r="F10577" s="11"/>
      <c r="G10577" s="11"/>
      <c r="H10577" s="11"/>
      <c r="I10577" s="15"/>
    </row>
    <row r="10578" spans="1:9" ht="16.5">
      <c r="A10578" s="10" t="b">
        <v>0</v>
      </c>
      <c r="B10578" s="11" t="str">
        <f>IF(D10578&lt;&gt;"",IF(COUNTIF('USPTO TMs'!A:A,D10578)&gt;0,"Yes","No"),"")</f>
        <v/>
      </c>
      <c r="C10578" s="11"/>
      <c r="D10578" s="11"/>
      <c r="E10578" s="11"/>
      <c r="F10578" s="11"/>
      <c r="G10578" s="11"/>
      <c r="H10578" s="11"/>
      <c r="I10578" s="15"/>
    </row>
    <row r="10579" spans="1:9" ht="16.5">
      <c r="A10579" s="10" t="b">
        <v>0</v>
      </c>
      <c r="B10579" s="11" t="str">
        <f>IF(D10579&lt;&gt;"",IF(COUNTIF('USPTO TMs'!A:A,D10579)&gt;0,"Yes","No"),"")</f>
        <v/>
      </c>
      <c r="C10579" s="11"/>
      <c r="D10579" s="11"/>
      <c r="E10579" s="11"/>
      <c r="F10579" s="11"/>
      <c r="G10579" s="11"/>
      <c r="H10579" s="11"/>
      <c r="I10579" s="15"/>
    </row>
    <row r="10580" spans="1:9" ht="16.5">
      <c r="A10580" s="10" t="b">
        <v>0</v>
      </c>
      <c r="B10580" s="11" t="str">
        <f>IF(D10580&lt;&gt;"",IF(COUNTIF('USPTO TMs'!A:A,D10580)&gt;0,"Yes","No"),"")</f>
        <v/>
      </c>
      <c r="C10580" s="11"/>
      <c r="D10580" s="11"/>
      <c r="E10580" s="11"/>
      <c r="F10580" s="11"/>
      <c r="G10580" s="11"/>
      <c r="H10580" s="11"/>
      <c r="I10580" s="15"/>
    </row>
    <row r="10581" spans="1:9" ht="16.5">
      <c r="A10581" s="10" t="b">
        <v>0</v>
      </c>
      <c r="B10581" s="11" t="str">
        <f>IF(D10581&lt;&gt;"",IF(COUNTIF('USPTO TMs'!A:A,D10581)&gt;0,"Yes","No"),"")</f>
        <v/>
      </c>
      <c r="C10581" s="11"/>
      <c r="D10581" s="11"/>
      <c r="E10581" s="11"/>
      <c r="F10581" s="11"/>
      <c r="G10581" s="11"/>
      <c r="H10581" s="11"/>
      <c r="I10581" s="15"/>
    </row>
    <row r="10582" spans="1:9" ht="16.5">
      <c r="A10582" s="10" t="b">
        <v>0</v>
      </c>
      <c r="B10582" s="11" t="str">
        <f>IF(D10582&lt;&gt;"",IF(COUNTIF('USPTO TMs'!A:A,D10582)&gt;0,"Yes","No"),"")</f>
        <v/>
      </c>
      <c r="C10582" s="11"/>
      <c r="D10582" s="11"/>
      <c r="E10582" s="11"/>
      <c r="F10582" s="11"/>
      <c r="G10582" s="11"/>
      <c r="H10582" s="11"/>
      <c r="I10582" s="15"/>
    </row>
    <row r="10583" spans="1:9" ht="16.5">
      <c r="A10583" s="10" t="b">
        <v>0</v>
      </c>
      <c r="B10583" s="11" t="str">
        <f>IF(D10583&lt;&gt;"",IF(COUNTIF('USPTO TMs'!A:A,D10583)&gt;0,"Yes","No"),"")</f>
        <v/>
      </c>
      <c r="C10583" s="11"/>
      <c r="D10583" s="11"/>
      <c r="E10583" s="11"/>
      <c r="F10583" s="11"/>
      <c r="G10583" s="11"/>
      <c r="H10583" s="11"/>
      <c r="I10583" s="15"/>
    </row>
    <row r="10584" spans="1:9" ht="16.5">
      <c r="A10584" s="10" t="b">
        <v>0</v>
      </c>
      <c r="B10584" s="11" t="str">
        <f>IF(D10584&lt;&gt;"",IF(COUNTIF('USPTO TMs'!A:A,D10584)&gt;0,"Yes","No"),"")</f>
        <v/>
      </c>
      <c r="C10584" s="11"/>
      <c r="D10584" s="11"/>
      <c r="E10584" s="11"/>
      <c r="F10584" s="11"/>
      <c r="G10584" s="11"/>
      <c r="H10584" s="11"/>
      <c r="I10584" s="15"/>
    </row>
    <row r="10585" spans="1:9" ht="16.5">
      <c r="A10585" s="10" t="b">
        <v>0</v>
      </c>
      <c r="B10585" s="11" t="str">
        <f>IF(D10585&lt;&gt;"",IF(COUNTIF('USPTO TMs'!A:A,D10585)&gt;0,"Yes","No"),"")</f>
        <v/>
      </c>
      <c r="C10585" s="11"/>
      <c r="D10585" s="11"/>
      <c r="E10585" s="11"/>
      <c r="F10585" s="11"/>
      <c r="G10585" s="11"/>
      <c r="H10585" s="11"/>
      <c r="I10585" s="15"/>
    </row>
    <row r="10586" spans="1:9" ht="16.5">
      <c r="A10586" s="10" t="b">
        <v>0</v>
      </c>
      <c r="B10586" s="11" t="str">
        <f>IF(D10586&lt;&gt;"",IF(COUNTIF('USPTO TMs'!A:A,D10586)&gt;0,"Yes","No"),"")</f>
        <v/>
      </c>
      <c r="C10586" s="11"/>
      <c r="D10586" s="11"/>
      <c r="E10586" s="11"/>
      <c r="F10586" s="11"/>
      <c r="G10586" s="11"/>
      <c r="H10586" s="11"/>
      <c r="I10586" s="15"/>
    </row>
    <row r="10587" spans="1:9" ht="16.5">
      <c r="A10587" s="10" t="b">
        <v>0</v>
      </c>
      <c r="B10587" s="11" t="str">
        <f>IF(D10587&lt;&gt;"",IF(COUNTIF('USPTO TMs'!A:A,D10587)&gt;0,"Yes","No"),"")</f>
        <v/>
      </c>
      <c r="C10587" s="11"/>
      <c r="D10587" s="11"/>
      <c r="E10587" s="11"/>
      <c r="F10587" s="11"/>
      <c r="G10587" s="11"/>
      <c r="H10587" s="11"/>
      <c r="I10587" s="15"/>
    </row>
    <row r="10588" spans="1:9" ht="16.5">
      <c r="A10588" s="10" t="b">
        <v>0</v>
      </c>
      <c r="B10588" s="11" t="str">
        <f>IF(D10588&lt;&gt;"",IF(COUNTIF('USPTO TMs'!A:A,D10588)&gt;0,"Yes","No"),"")</f>
        <v/>
      </c>
      <c r="C10588" s="11"/>
      <c r="D10588" s="11"/>
      <c r="E10588" s="11"/>
      <c r="F10588" s="11"/>
      <c r="G10588" s="11"/>
      <c r="H10588" s="11"/>
      <c r="I10588" s="15"/>
    </row>
    <row r="10589" spans="1:9" ht="16.5">
      <c r="A10589" s="10" t="b">
        <v>0</v>
      </c>
      <c r="B10589" s="11" t="str">
        <f>IF(D10589&lt;&gt;"",IF(COUNTIF('USPTO TMs'!A:A,D10589)&gt;0,"Yes","No"),"")</f>
        <v/>
      </c>
      <c r="C10589" s="11"/>
      <c r="D10589" s="11"/>
      <c r="E10589" s="11"/>
      <c r="F10589" s="11"/>
      <c r="G10589" s="11"/>
      <c r="H10589" s="11"/>
      <c r="I10589" s="15"/>
    </row>
    <row r="10590" spans="1:9" ht="16.5">
      <c r="A10590" s="10" t="b">
        <v>0</v>
      </c>
      <c r="B10590" s="11" t="str">
        <f>IF(D10590&lt;&gt;"",IF(COUNTIF('USPTO TMs'!A:A,D10590)&gt;0,"Yes","No"),"")</f>
        <v/>
      </c>
      <c r="C10590" s="11"/>
      <c r="D10590" s="11"/>
      <c r="E10590" s="11"/>
      <c r="F10590" s="11"/>
      <c r="G10590" s="11"/>
      <c r="H10590" s="11"/>
      <c r="I10590" s="15"/>
    </row>
    <row r="10591" spans="1:9" ht="16.5">
      <c r="A10591" s="10" t="b">
        <v>0</v>
      </c>
      <c r="B10591" s="11" t="str">
        <f>IF(D10591&lt;&gt;"",IF(COUNTIF('USPTO TMs'!A:A,D10591)&gt;0,"Yes","No"),"")</f>
        <v/>
      </c>
      <c r="C10591" s="11"/>
      <c r="D10591" s="11"/>
      <c r="E10591" s="11"/>
      <c r="F10591" s="11"/>
      <c r="G10591" s="11"/>
      <c r="H10591" s="11"/>
      <c r="I10591" s="15"/>
    </row>
    <row r="10592" spans="1:9" ht="16.5">
      <c r="A10592" s="10" t="b">
        <v>0</v>
      </c>
      <c r="B10592" s="11" t="str">
        <f>IF(D10592&lt;&gt;"",IF(COUNTIF('USPTO TMs'!A:A,D10592)&gt;0,"Yes","No"),"")</f>
        <v/>
      </c>
      <c r="C10592" s="11"/>
      <c r="D10592" s="11"/>
      <c r="E10592" s="11"/>
      <c r="F10592" s="11"/>
      <c r="G10592" s="11"/>
      <c r="H10592" s="11"/>
      <c r="I10592" s="15"/>
    </row>
    <row r="10593" spans="1:9" ht="16.5">
      <c r="A10593" s="10" t="b">
        <v>0</v>
      </c>
      <c r="B10593" s="11" t="str">
        <f>IF(D10593&lt;&gt;"",IF(COUNTIF('USPTO TMs'!A:A,D10593)&gt;0,"Yes","No"),"")</f>
        <v/>
      </c>
      <c r="C10593" s="11"/>
      <c r="D10593" s="11"/>
      <c r="E10593" s="11"/>
      <c r="F10593" s="11"/>
      <c r="G10593" s="11"/>
      <c r="H10593" s="11"/>
      <c r="I10593" s="15"/>
    </row>
    <row r="10594" spans="1:9" ht="16.5">
      <c r="A10594" s="10" t="b">
        <v>0</v>
      </c>
      <c r="B10594" s="11" t="str">
        <f>IF(D10594&lt;&gt;"",IF(COUNTIF('USPTO TMs'!A:A,D10594)&gt;0,"Yes","No"),"")</f>
        <v/>
      </c>
      <c r="C10594" s="11"/>
      <c r="D10594" s="11"/>
      <c r="E10594" s="11"/>
      <c r="F10594" s="11"/>
      <c r="G10594" s="11"/>
      <c r="H10594" s="11"/>
      <c r="I10594" s="15"/>
    </row>
    <row r="10595" spans="1:9" ht="16.5">
      <c r="A10595" s="10" t="b">
        <v>0</v>
      </c>
      <c r="B10595" s="11" t="str">
        <f>IF(D10595&lt;&gt;"",IF(COUNTIF('USPTO TMs'!A:A,D10595)&gt;0,"Yes","No"),"")</f>
        <v/>
      </c>
      <c r="C10595" s="11"/>
      <c r="D10595" s="11"/>
      <c r="E10595" s="11"/>
      <c r="F10595" s="11"/>
      <c r="G10595" s="11"/>
      <c r="H10595" s="11"/>
      <c r="I10595" s="15"/>
    </row>
    <row r="10596" spans="1:9" ht="16.5">
      <c r="A10596" s="10" t="b">
        <v>0</v>
      </c>
      <c r="B10596" s="11" t="str">
        <f>IF(D10596&lt;&gt;"",IF(COUNTIF('USPTO TMs'!A:A,D10596)&gt;0,"Yes","No"),"")</f>
        <v/>
      </c>
      <c r="C10596" s="11"/>
      <c r="D10596" s="11"/>
      <c r="E10596" s="11"/>
      <c r="F10596" s="11"/>
      <c r="G10596" s="11"/>
      <c r="H10596" s="11"/>
      <c r="I10596" s="15"/>
    </row>
    <row r="10597" spans="1:9" ht="16.5">
      <c r="A10597" s="10" t="b">
        <v>0</v>
      </c>
      <c r="B10597" s="11" t="str">
        <f>IF(D10597&lt;&gt;"",IF(COUNTIF('USPTO TMs'!A:A,D10597)&gt;0,"Yes","No"),"")</f>
        <v/>
      </c>
      <c r="C10597" s="11"/>
      <c r="D10597" s="11"/>
      <c r="E10597" s="11"/>
      <c r="F10597" s="11"/>
      <c r="G10597" s="11"/>
      <c r="H10597" s="11"/>
      <c r="I10597" s="15"/>
    </row>
    <row r="10598" spans="1:9" ht="16.5">
      <c r="A10598" s="10" t="b">
        <v>0</v>
      </c>
      <c r="B10598" s="11" t="str">
        <f>IF(D10598&lt;&gt;"",IF(COUNTIF('USPTO TMs'!A:A,D10598)&gt;0,"Yes","No"),"")</f>
        <v/>
      </c>
      <c r="C10598" s="11"/>
      <c r="D10598" s="11"/>
      <c r="E10598" s="11"/>
      <c r="F10598" s="11"/>
      <c r="G10598" s="11"/>
      <c r="H10598" s="11"/>
      <c r="I10598" s="15"/>
    </row>
    <row r="10599" spans="1:9" ht="16.5">
      <c r="A10599" s="10" t="b">
        <v>0</v>
      </c>
      <c r="B10599" s="11" t="str">
        <f>IF(D10599&lt;&gt;"",IF(COUNTIF('USPTO TMs'!A:A,D10599)&gt;0,"Yes","No"),"")</f>
        <v/>
      </c>
      <c r="C10599" s="11"/>
      <c r="D10599" s="11"/>
      <c r="E10599" s="11"/>
      <c r="F10599" s="11"/>
      <c r="G10599" s="11"/>
      <c r="H10599" s="11"/>
      <c r="I10599" s="15"/>
    </row>
    <row r="10600" spans="1:9" ht="16.5">
      <c r="A10600" s="10" t="b">
        <v>0</v>
      </c>
      <c r="B10600" s="11" t="str">
        <f>IF(D10600&lt;&gt;"",IF(COUNTIF('USPTO TMs'!A:A,D10600)&gt;0,"Yes","No"),"")</f>
        <v/>
      </c>
      <c r="C10600" s="11"/>
      <c r="D10600" s="11"/>
      <c r="E10600" s="11"/>
      <c r="F10600" s="11"/>
      <c r="G10600" s="11"/>
      <c r="H10600" s="11"/>
      <c r="I10600" s="15"/>
    </row>
    <row r="10601" spans="1:9" ht="16.5">
      <c r="A10601" s="10" t="b">
        <v>0</v>
      </c>
      <c r="B10601" s="11" t="str">
        <f>IF(D10601&lt;&gt;"",IF(COUNTIF('USPTO TMs'!A:A,D10601)&gt;0,"Yes","No"),"")</f>
        <v/>
      </c>
      <c r="C10601" s="11"/>
      <c r="D10601" s="11"/>
      <c r="E10601" s="11"/>
      <c r="F10601" s="11"/>
      <c r="G10601" s="11"/>
      <c r="H10601" s="11"/>
      <c r="I10601" s="15"/>
    </row>
    <row r="10602" spans="1:9" ht="16.5">
      <c r="A10602" s="10" t="b">
        <v>0</v>
      </c>
      <c r="B10602" s="11" t="str">
        <f>IF(D10602&lt;&gt;"",IF(COUNTIF('USPTO TMs'!A:A,D10602)&gt;0,"Yes","No"),"")</f>
        <v/>
      </c>
      <c r="C10602" s="11"/>
      <c r="D10602" s="11"/>
      <c r="E10602" s="11"/>
      <c r="F10602" s="11"/>
      <c r="G10602" s="11"/>
      <c r="H10602" s="11"/>
      <c r="I10602" s="15"/>
    </row>
    <row r="10603" spans="1:9" ht="16.5">
      <c r="A10603" s="10" t="b">
        <v>0</v>
      </c>
      <c r="B10603" s="11" t="str">
        <f>IF(D10603&lt;&gt;"",IF(COUNTIF('USPTO TMs'!A:A,D10603)&gt;0,"Yes","No"),"")</f>
        <v/>
      </c>
      <c r="C10603" s="11"/>
      <c r="D10603" s="11"/>
      <c r="E10603" s="11"/>
      <c r="F10603" s="11"/>
      <c r="G10603" s="11"/>
      <c r="H10603" s="11"/>
      <c r="I10603" s="15"/>
    </row>
    <row r="10604" spans="1:9" ht="16.5">
      <c r="A10604" s="10" t="b">
        <v>0</v>
      </c>
      <c r="B10604" s="11" t="str">
        <f>IF(D10604&lt;&gt;"",IF(COUNTIF('USPTO TMs'!A:A,D10604)&gt;0,"Yes","No"),"")</f>
        <v/>
      </c>
      <c r="C10604" s="11"/>
      <c r="D10604" s="11"/>
      <c r="E10604" s="11"/>
      <c r="F10604" s="11"/>
      <c r="G10604" s="11"/>
      <c r="H10604" s="11"/>
      <c r="I10604" s="15"/>
    </row>
    <row r="10605" spans="1:9" ht="16.5">
      <c r="A10605" s="10" t="b">
        <v>0</v>
      </c>
      <c r="B10605" s="11" t="str">
        <f>IF(D10605&lt;&gt;"",IF(COUNTIF('USPTO TMs'!A:A,D10605)&gt;0,"Yes","No"),"")</f>
        <v/>
      </c>
      <c r="C10605" s="11"/>
      <c r="D10605" s="11"/>
      <c r="E10605" s="11"/>
      <c r="F10605" s="11"/>
      <c r="G10605" s="11"/>
      <c r="H10605" s="11"/>
      <c r="I10605" s="15"/>
    </row>
    <row r="10606" spans="1:9" ht="16.5">
      <c r="A10606" s="10" t="b">
        <v>0</v>
      </c>
      <c r="B10606" s="11" t="str">
        <f>IF(D10606&lt;&gt;"",IF(COUNTIF('USPTO TMs'!A:A,D10606)&gt;0,"Yes","No"),"")</f>
        <v/>
      </c>
      <c r="C10606" s="11"/>
      <c r="D10606" s="11"/>
      <c r="E10606" s="11"/>
      <c r="F10606" s="11"/>
      <c r="G10606" s="11"/>
      <c r="H10606" s="11"/>
      <c r="I10606" s="15"/>
    </row>
    <row r="10607" spans="1:9" ht="16.5">
      <c r="A10607" s="10" t="b">
        <v>0</v>
      </c>
      <c r="B10607" s="11" t="str">
        <f>IF(D10607&lt;&gt;"",IF(COUNTIF('USPTO TMs'!A:A,D10607)&gt;0,"Yes","No"),"")</f>
        <v/>
      </c>
      <c r="C10607" s="11"/>
      <c r="D10607" s="11"/>
      <c r="E10607" s="11"/>
      <c r="F10607" s="11"/>
      <c r="G10607" s="11"/>
      <c r="H10607" s="11"/>
      <c r="I10607" s="15"/>
    </row>
    <row r="10608" spans="1:9" ht="16.5">
      <c r="A10608" s="10" t="b">
        <v>0</v>
      </c>
      <c r="B10608" s="11" t="str">
        <f>IF(D10608&lt;&gt;"",IF(COUNTIF('USPTO TMs'!A:A,D10608)&gt;0,"Yes","No"),"")</f>
        <v/>
      </c>
      <c r="C10608" s="11"/>
      <c r="D10608" s="11"/>
      <c r="E10608" s="11"/>
      <c r="F10608" s="11"/>
      <c r="G10608" s="11"/>
      <c r="H10608" s="11"/>
      <c r="I10608" s="15"/>
    </row>
    <row r="10609" spans="1:9" ht="16.5">
      <c r="A10609" s="10" t="b">
        <v>0</v>
      </c>
      <c r="B10609" s="11" t="str">
        <f>IF(D10609&lt;&gt;"",IF(COUNTIF('USPTO TMs'!A:A,D10609)&gt;0,"Yes","No"),"")</f>
        <v/>
      </c>
      <c r="C10609" s="11"/>
      <c r="D10609" s="11"/>
      <c r="E10609" s="11"/>
      <c r="F10609" s="11"/>
      <c r="G10609" s="11"/>
      <c r="H10609" s="11"/>
      <c r="I10609" s="15"/>
    </row>
    <row r="10610" spans="1:9" ht="16.5">
      <c r="A10610" s="10" t="b">
        <v>0</v>
      </c>
      <c r="B10610" s="11" t="str">
        <f>IF(D10610&lt;&gt;"",IF(COUNTIF('USPTO TMs'!A:A,D10610)&gt;0,"Yes","No"),"")</f>
        <v/>
      </c>
      <c r="C10610" s="11"/>
      <c r="D10610" s="11"/>
      <c r="E10610" s="11"/>
      <c r="F10610" s="11"/>
      <c r="G10610" s="11"/>
      <c r="H10610" s="11"/>
      <c r="I10610" s="15"/>
    </row>
    <row r="10611" spans="1:9" ht="16.5">
      <c r="A10611" s="10" t="b">
        <v>0</v>
      </c>
      <c r="B10611" s="11" t="str">
        <f>IF(D10611&lt;&gt;"",IF(COUNTIF('USPTO TMs'!A:A,D10611)&gt;0,"Yes","No"),"")</f>
        <v/>
      </c>
      <c r="C10611" s="11"/>
      <c r="D10611" s="11"/>
      <c r="E10611" s="11"/>
      <c r="F10611" s="11"/>
      <c r="G10611" s="11"/>
      <c r="H10611" s="11"/>
      <c r="I10611" s="15"/>
    </row>
    <row r="10612" spans="1:9" ht="16.5">
      <c r="A10612" s="10" t="b">
        <v>0</v>
      </c>
      <c r="B10612" s="11" t="str">
        <f>IF(D10612&lt;&gt;"",IF(COUNTIF('USPTO TMs'!A:A,D10612)&gt;0,"Yes","No"),"")</f>
        <v/>
      </c>
      <c r="C10612" s="11"/>
      <c r="D10612" s="11"/>
      <c r="E10612" s="11"/>
      <c r="F10612" s="11"/>
      <c r="G10612" s="11"/>
      <c r="H10612" s="11"/>
      <c r="I10612" s="15"/>
    </row>
    <row r="10613" spans="1:9" ht="16.5">
      <c r="A10613" s="10" t="b">
        <v>0</v>
      </c>
      <c r="B10613" s="11" t="str">
        <f>IF(D10613&lt;&gt;"",IF(COUNTIF('USPTO TMs'!A:A,D10613)&gt;0,"Yes","No"),"")</f>
        <v/>
      </c>
      <c r="C10613" s="11"/>
      <c r="D10613" s="11"/>
      <c r="E10613" s="11"/>
      <c r="F10613" s="11"/>
      <c r="G10613" s="11"/>
      <c r="H10613" s="11"/>
      <c r="I10613" s="15"/>
    </row>
    <row r="10614" spans="1:9" ht="16.5">
      <c r="A10614" s="10" t="b">
        <v>0</v>
      </c>
      <c r="B10614" s="11" t="str">
        <f>IF(D10614&lt;&gt;"",IF(COUNTIF('USPTO TMs'!A:A,D10614)&gt;0,"Yes","No"),"")</f>
        <v/>
      </c>
      <c r="C10614" s="11"/>
      <c r="D10614" s="11"/>
      <c r="E10614" s="11"/>
      <c r="F10614" s="11"/>
      <c r="G10614" s="11"/>
      <c r="H10614" s="11"/>
      <c r="I10614" s="15"/>
    </row>
    <row r="10615" spans="1:9" ht="16.5">
      <c r="A10615" s="10" t="b">
        <v>0</v>
      </c>
      <c r="B10615" s="11" t="str">
        <f>IF(D10615&lt;&gt;"",IF(COUNTIF('USPTO TMs'!A:A,D10615)&gt;0,"Yes","No"),"")</f>
        <v/>
      </c>
      <c r="C10615" s="11"/>
      <c r="D10615" s="11"/>
      <c r="E10615" s="11"/>
      <c r="F10615" s="11"/>
      <c r="G10615" s="11"/>
      <c r="H10615" s="11"/>
      <c r="I10615" s="15"/>
    </row>
    <row r="10616" spans="1:9" ht="16.5">
      <c r="A10616" s="10" t="b">
        <v>0</v>
      </c>
      <c r="B10616" s="11" t="str">
        <f>IF(D10616&lt;&gt;"",IF(COUNTIF('USPTO TMs'!A:A,D10616)&gt;0,"Yes","No"),"")</f>
        <v/>
      </c>
      <c r="C10616" s="11"/>
      <c r="D10616" s="11"/>
      <c r="E10616" s="11"/>
      <c r="F10616" s="11"/>
      <c r="G10616" s="11"/>
      <c r="H10616" s="11"/>
      <c r="I10616" s="15"/>
    </row>
    <row r="10617" spans="1:9" ht="16.5">
      <c r="A10617" s="10" t="b">
        <v>0</v>
      </c>
      <c r="B10617" s="11" t="str">
        <f>IF(D10617&lt;&gt;"",IF(COUNTIF('USPTO TMs'!A:A,D10617)&gt;0,"Yes","No"),"")</f>
        <v/>
      </c>
      <c r="C10617" s="11"/>
      <c r="D10617" s="11"/>
      <c r="E10617" s="11"/>
      <c r="F10617" s="11"/>
      <c r="G10617" s="11"/>
      <c r="H10617" s="11"/>
      <c r="I10617" s="15"/>
    </row>
    <row r="10618" spans="1:9" ht="16.5">
      <c r="A10618" s="10" t="b">
        <v>0</v>
      </c>
      <c r="B10618" s="11" t="str">
        <f>IF(D10618&lt;&gt;"",IF(COUNTIF('USPTO TMs'!A:A,D10618)&gt;0,"Yes","No"),"")</f>
        <v/>
      </c>
      <c r="C10618" s="11"/>
      <c r="D10618" s="11"/>
      <c r="E10618" s="11"/>
      <c r="F10618" s="11"/>
      <c r="G10618" s="11"/>
      <c r="H10618" s="11"/>
      <c r="I10618" s="15"/>
    </row>
    <row r="10619" spans="1:9" ht="16.5">
      <c r="A10619" s="10" t="b">
        <v>0</v>
      </c>
      <c r="B10619" s="11" t="str">
        <f>IF(D10619&lt;&gt;"",IF(COUNTIF('USPTO TMs'!A:A,D10619)&gt;0,"Yes","No"),"")</f>
        <v/>
      </c>
      <c r="C10619" s="11"/>
      <c r="D10619" s="11"/>
      <c r="E10619" s="11"/>
      <c r="F10619" s="11"/>
      <c r="G10619" s="11"/>
      <c r="H10619" s="11"/>
      <c r="I10619" s="15"/>
    </row>
    <row r="10620" spans="1:9" ht="16.5">
      <c r="A10620" s="10" t="b">
        <v>0</v>
      </c>
      <c r="B10620" s="11" t="str">
        <f>IF(D10620&lt;&gt;"",IF(COUNTIF('USPTO TMs'!A:A,D10620)&gt;0,"Yes","No"),"")</f>
        <v/>
      </c>
      <c r="C10620" s="11"/>
      <c r="D10620" s="11"/>
      <c r="E10620" s="11"/>
      <c r="F10620" s="11"/>
      <c r="G10620" s="11"/>
      <c r="H10620" s="11"/>
      <c r="I10620" s="15"/>
    </row>
    <row r="10621" spans="1:9" ht="16.5">
      <c r="A10621" s="10" t="b">
        <v>0</v>
      </c>
      <c r="B10621" s="11" t="str">
        <f>IF(D10621&lt;&gt;"",IF(COUNTIF('USPTO TMs'!A:A,D10621)&gt;0,"Yes","No"),"")</f>
        <v/>
      </c>
      <c r="C10621" s="11"/>
      <c r="D10621" s="11"/>
      <c r="E10621" s="11"/>
      <c r="F10621" s="11"/>
      <c r="G10621" s="11"/>
      <c r="H10621" s="11"/>
      <c r="I10621" s="15"/>
    </row>
    <row r="10622" spans="1:9" ht="16.5">
      <c r="A10622" s="10" t="b">
        <v>0</v>
      </c>
      <c r="B10622" s="11" t="str">
        <f>IF(D10622&lt;&gt;"",IF(COUNTIF('USPTO TMs'!A:A,D10622)&gt;0,"Yes","No"),"")</f>
        <v/>
      </c>
      <c r="C10622" s="11"/>
      <c r="D10622" s="11"/>
      <c r="E10622" s="11"/>
      <c r="F10622" s="11"/>
      <c r="G10622" s="11"/>
      <c r="H10622" s="11"/>
      <c r="I10622" s="15"/>
    </row>
    <row r="10623" spans="1:9" ht="16.5">
      <c r="A10623" s="10" t="b">
        <v>0</v>
      </c>
      <c r="B10623" s="11" t="str">
        <f>IF(D10623&lt;&gt;"",IF(COUNTIF('USPTO TMs'!A:A,D10623)&gt;0,"Yes","No"),"")</f>
        <v/>
      </c>
      <c r="C10623" s="11"/>
      <c r="D10623" s="11"/>
      <c r="E10623" s="11"/>
      <c r="F10623" s="11"/>
      <c r="G10623" s="11"/>
      <c r="H10623" s="11"/>
      <c r="I10623" s="15"/>
    </row>
    <row r="10624" spans="1:9" ht="16.5">
      <c r="A10624" s="10" t="b">
        <v>0</v>
      </c>
      <c r="B10624" s="11" t="str">
        <f>IF(D10624&lt;&gt;"",IF(COUNTIF('USPTO TMs'!A:A,D10624)&gt;0,"Yes","No"),"")</f>
        <v/>
      </c>
      <c r="C10624" s="11"/>
      <c r="D10624" s="11"/>
      <c r="E10624" s="11"/>
      <c r="F10624" s="11"/>
      <c r="G10624" s="11"/>
      <c r="H10624" s="11"/>
      <c r="I10624" s="15"/>
    </row>
    <row r="10625" spans="1:9" ht="16.5">
      <c r="A10625" s="10" t="b">
        <v>0</v>
      </c>
      <c r="B10625" s="11" t="str">
        <f>IF(D10625&lt;&gt;"",IF(COUNTIF('USPTO TMs'!A:A,D10625)&gt;0,"Yes","No"),"")</f>
        <v/>
      </c>
      <c r="C10625" s="11"/>
      <c r="D10625" s="11"/>
      <c r="E10625" s="11"/>
      <c r="F10625" s="11"/>
      <c r="G10625" s="11"/>
      <c r="H10625" s="11"/>
      <c r="I10625" s="15"/>
    </row>
    <row r="10626" spans="1:9" ht="16.5">
      <c r="A10626" s="10" t="b">
        <v>0</v>
      </c>
      <c r="B10626" s="11" t="str">
        <f>IF(D10626&lt;&gt;"",IF(COUNTIF('USPTO TMs'!A:A,D10626)&gt;0,"Yes","No"),"")</f>
        <v/>
      </c>
      <c r="C10626" s="11"/>
      <c r="D10626" s="11"/>
      <c r="E10626" s="11"/>
      <c r="F10626" s="11"/>
      <c r="G10626" s="11"/>
      <c r="H10626" s="11"/>
      <c r="I10626" s="15"/>
    </row>
    <row r="10627" spans="1:9" ht="16.5">
      <c r="A10627" s="10" t="b">
        <v>0</v>
      </c>
      <c r="B10627" s="11" t="str">
        <f>IF(D10627&lt;&gt;"",IF(COUNTIF('USPTO TMs'!A:A,D10627)&gt;0,"Yes","No"),"")</f>
        <v/>
      </c>
      <c r="C10627" s="11"/>
      <c r="D10627" s="11"/>
      <c r="E10627" s="11"/>
      <c r="F10627" s="11"/>
      <c r="G10627" s="11"/>
      <c r="H10627" s="11"/>
      <c r="I10627" s="15"/>
    </row>
    <row r="10628" spans="1:9" ht="16.5">
      <c r="A10628" s="10" t="b">
        <v>0</v>
      </c>
      <c r="B10628" s="11" t="str">
        <f>IF(D10628&lt;&gt;"",IF(COUNTIF('USPTO TMs'!A:A,D10628)&gt;0,"Yes","No"),"")</f>
        <v/>
      </c>
      <c r="C10628" s="11"/>
      <c r="D10628" s="11"/>
      <c r="E10628" s="11"/>
      <c r="F10628" s="11"/>
      <c r="G10628" s="11"/>
      <c r="H10628" s="11"/>
      <c r="I10628" s="15"/>
    </row>
    <row r="10629" spans="1:9" ht="16.5">
      <c r="A10629" s="10" t="b">
        <v>0</v>
      </c>
      <c r="B10629" s="11" t="str">
        <f>IF(D10629&lt;&gt;"",IF(COUNTIF('USPTO TMs'!A:A,D10629)&gt;0,"Yes","No"),"")</f>
        <v/>
      </c>
      <c r="C10629" s="11"/>
      <c r="D10629" s="11"/>
      <c r="E10629" s="11"/>
      <c r="F10629" s="11"/>
      <c r="G10629" s="11"/>
      <c r="H10629" s="11"/>
      <c r="I10629" s="15"/>
    </row>
    <row r="10630" spans="1:9" ht="16.5">
      <c r="A10630" s="10" t="b">
        <v>0</v>
      </c>
      <c r="B10630" s="11" t="str">
        <f>IF(D10630&lt;&gt;"",IF(COUNTIF('USPTO TMs'!A:A,D10630)&gt;0,"Yes","No"),"")</f>
        <v/>
      </c>
      <c r="C10630" s="11"/>
      <c r="D10630" s="11"/>
      <c r="E10630" s="11"/>
      <c r="F10630" s="11"/>
      <c r="G10630" s="11"/>
      <c r="H10630" s="11"/>
      <c r="I10630" s="15"/>
    </row>
    <row r="10631" spans="1:9" ht="16.5">
      <c r="A10631" s="10" t="b">
        <v>0</v>
      </c>
      <c r="B10631" s="11" t="str">
        <f>IF(D10631&lt;&gt;"",IF(COUNTIF('USPTO TMs'!A:A,D10631)&gt;0,"Yes","No"),"")</f>
        <v/>
      </c>
      <c r="C10631" s="11"/>
      <c r="D10631" s="11"/>
      <c r="E10631" s="11"/>
      <c r="F10631" s="11"/>
      <c r="G10631" s="11"/>
      <c r="H10631" s="11"/>
      <c r="I10631" s="15"/>
    </row>
    <row r="10632" spans="1:9" ht="16.5">
      <c r="A10632" s="10" t="b">
        <v>0</v>
      </c>
      <c r="B10632" s="11" t="str">
        <f>IF(D10632&lt;&gt;"",IF(COUNTIF('USPTO TMs'!A:A,D10632)&gt;0,"Yes","No"),"")</f>
        <v/>
      </c>
      <c r="C10632" s="11"/>
      <c r="D10632" s="11"/>
      <c r="E10632" s="11"/>
      <c r="F10632" s="11"/>
      <c r="G10632" s="11"/>
      <c r="H10632" s="11"/>
      <c r="I10632" s="15"/>
    </row>
    <row r="10633" spans="1:9" ht="16.5">
      <c r="A10633" s="10" t="b">
        <v>0</v>
      </c>
      <c r="B10633" s="11" t="str">
        <f>IF(D10633&lt;&gt;"",IF(COUNTIF('USPTO TMs'!A:A,D10633)&gt;0,"Yes","No"),"")</f>
        <v/>
      </c>
      <c r="C10633" s="11"/>
      <c r="D10633" s="11"/>
      <c r="E10633" s="11"/>
      <c r="F10633" s="11"/>
      <c r="G10633" s="11"/>
      <c r="H10633" s="11"/>
      <c r="I10633" s="15"/>
    </row>
    <row r="10634" spans="1:9" ht="16.5">
      <c r="A10634" s="10" t="b">
        <v>0</v>
      </c>
      <c r="B10634" s="11" t="str">
        <f>IF(D10634&lt;&gt;"",IF(COUNTIF('USPTO TMs'!A:A,D10634)&gt;0,"Yes","No"),"")</f>
        <v/>
      </c>
      <c r="C10634" s="11"/>
      <c r="D10634" s="11"/>
      <c r="E10634" s="11"/>
      <c r="F10634" s="11"/>
      <c r="G10634" s="11"/>
      <c r="H10634" s="11"/>
      <c r="I10634" s="15"/>
    </row>
    <row r="10635" spans="1:9" ht="16.5">
      <c r="A10635" s="10" t="b">
        <v>0</v>
      </c>
      <c r="B10635" s="11" t="str">
        <f>IF(D10635&lt;&gt;"",IF(COUNTIF('USPTO TMs'!A:A,D10635)&gt;0,"Yes","No"),"")</f>
        <v/>
      </c>
      <c r="C10635" s="11"/>
      <c r="D10635" s="11"/>
      <c r="E10635" s="11"/>
      <c r="F10635" s="11"/>
      <c r="G10635" s="11"/>
      <c r="H10635" s="11"/>
      <c r="I10635" s="15"/>
    </row>
    <row r="10636" spans="1:9" ht="16.5">
      <c r="A10636" s="10" t="b">
        <v>0</v>
      </c>
      <c r="B10636" s="11" t="str">
        <f>IF(D10636&lt;&gt;"",IF(COUNTIF('USPTO TMs'!A:A,D10636)&gt;0,"Yes","No"),"")</f>
        <v/>
      </c>
      <c r="C10636" s="11"/>
      <c r="D10636" s="11"/>
      <c r="E10636" s="11"/>
      <c r="F10636" s="11"/>
      <c r="G10636" s="11"/>
      <c r="H10636" s="11"/>
      <c r="I10636" s="15"/>
    </row>
    <row r="10637" spans="1:9" ht="16.5">
      <c r="A10637" s="10" t="b">
        <v>0</v>
      </c>
      <c r="B10637" s="11" t="str">
        <f>IF(D10637&lt;&gt;"",IF(COUNTIF('USPTO TMs'!A:A,D10637)&gt;0,"Yes","No"),"")</f>
        <v/>
      </c>
      <c r="C10637" s="11"/>
      <c r="D10637" s="11"/>
      <c r="E10637" s="11"/>
      <c r="F10637" s="11"/>
      <c r="G10637" s="11"/>
      <c r="H10637" s="11"/>
      <c r="I10637" s="15"/>
    </row>
    <row r="10638" spans="1:9" ht="16.5">
      <c r="A10638" s="10" t="b">
        <v>0</v>
      </c>
      <c r="B10638" s="11" t="str">
        <f>IF(D10638&lt;&gt;"",IF(COUNTIF('USPTO TMs'!A:A,D10638)&gt;0,"Yes","No"),"")</f>
        <v/>
      </c>
      <c r="C10638" s="11"/>
      <c r="D10638" s="11"/>
      <c r="E10638" s="11"/>
      <c r="F10638" s="11"/>
      <c r="G10638" s="11"/>
      <c r="H10638" s="11"/>
      <c r="I10638" s="15"/>
    </row>
    <row r="10639" spans="1:9" ht="16.5">
      <c r="A10639" s="10" t="b">
        <v>0</v>
      </c>
      <c r="B10639" s="11" t="str">
        <f>IF(D10639&lt;&gt;"",IF(COUNTIF('USPTO TMs'!A:A,D10639)&gt;0,"Yes","No"),"")</f>
        <v/>
      </c>
      <c r="C10639" s="11"/>
      <c r="D10639" s="11"/>
      <c r="E10639" s="11"/>
      <c r="F10639" s="11"/>
      <c r="G10639" s="11"/>
      <c r="H10639" s="11"/>
      <c r="I10639" s="15"/>
    </row>
    <row r="10640" spans="1:9" ht="16.5">
      <c r="A10640" s="10" t="b">
        <v>0</v>
      </c>
      <c r="B10640" s="11" t="str">
        <f>IF(D10640&lt;&gt;"",IF(COUNTIF('USPTO TMs'!A:A,D10640)&gt;0,"Yes","No"),"")</f>
        <v/>
      </c>
      <c r="C10640" s="11"/>
      <c r="D10640" s="11"/>
      <c r="E10640" s="11"/>
      <c r="F10640" s="11"/>
      <c r="G10640" s="11"/>
      <c r="H10640" s="11"/>
      <c r="I10640" s="15"/>
    </row>
    <row r="10641" spans="1:9" ht="16.5">
      <c r="A10641" s="10" t="b">
        <v>0</v>
      </c>
      <c r="B10641" s="11" t="str">
        <f>IF(D10641&lt;&gt;"",IF(COUNTIF('USPTO TMs'!A:A,D10641)&gt;0,"Yes","No"),"")</f>
        <v/>
      </c>
      <c r="C10641" s="11"/>
      <c r="D10641" s="11"/>
      <c r="E10641" s="11"/>
      <c r="F10641" s="11"/>
      <c r="G10641" s="11"/>
      <c r="H10641" s="11"/>
      <c r="I10641" s="15"/>
    </row>
    <row r="10642" spans="1:9" ht="16.5">
      <c r="A10642" s="10" t="b">
        <v>0</v>
      </c>
      <c r="B10642" s="11" t="str">
        <f>IF(D10642&lt;&gt;"",IF(COUNTIF('USPTO TMs'!A:A,D10642)&gt;0,"Yes","No"),"")</f>
        <v/>
      </c>
      <c r="C10642" s="11"/>
      <c r="D10642" s="11"/>
      <c r="E10642" s="11"/>
      <c r="F10642" s="11"/>
      <c r="G10642" s="11"/>
      <c r="H10642" s="11"/>
      <c r="I10642" s="15"/>
    </row>
    <row r="10643" spans="1:9" ht="16.5">
      <c r="A10643" s="10" t="b">
        <v>0</v>
      </c>
      <c r="B10643" s="11" t="str">
        <f>IF(D10643&lt;&gt;"",IF(COUNTIF('USPTO TMs'!A:A,D10643)&gt;0,"Yes","No"),"")</f>
        <v/>
      </c>
      <c r="C10643" s="11"/>
      <c r="D10643" s="11"/>
      <c r="E10643" s="11"/>
      <c r="F10643" s="11"/>
      <c r="G10643" s="11"/>
      <c r="H10643" s="11"/>
      <c r="I10643" s="15"/>
    </row>
    <row r="10644" spans="1:9" ht="16.5">
      <c r="A10644" s="10" t="b">
        <v>0</v>
      </c>
      <c r="B10644" s="11" t="str">
        <f>IF(D10644&lt;&gt;"",IF(COUNTIF('USPTO TMs'!A:A,D10644)&gt;0,"Yes","No"),"")</f>
        <v/>
      </c>
      <c r="C10644" s="11"/>
      <c r="D10644" s="11"/>
      <c r="E10644" s="11"/>
      <c r="F10644" s="11"/>
      <c r="G10644" s="11"/>
      <c r="H10644" s="11"/>
      <c r="I10644" s="15"/>
    </row>
    <row r="10645" spans="1:9" ht="16.5">
      <c r="A10645" s="10" t="b">
        <v>0</v>
      </c>
      <c r="B10645" s="11" t="str">
        <f>IF(D10645&lt;&gt;"",IF(COUNTIF('USPTO TMs'!A:A,D10645)&gt;0,"Yes","No"),"")</f>
        <v/>
      </c>
      <c r="C10645" s="11"/>
      <c r="D10645" s="11"/>
      <c r="E10645" s="11"/>
      <c r="F10645" s="11"/>
      <c r="G10645" s="11"/>
      <c r="H10645" s="11"/>
      <c r="I10645" s="15"/>
    </row>
    <row r="10646" spans="1:9" ht="16.5">
      <c r="A10646" s="10" t="b">
        <v>0</v>
      </c>
      <c r="B10646" s="11" t="str">
        <f>IF(D10646&lt;&gt;"",IF(COUNTIF('USPTO TMs'!A:A,D10646)&gt;0,"Yes","No"),"")</f>
        <v/>
      </c>
      <c r="C10646" s="11"/>
      <c r="D10646" s="11"/>
      <c r="E10646" s="11"/>
      <c r="F10646" s="11"/>
      <c r="G10646" s="11"/>
      <c r="H10646" s="11"/>
      <c r="I10646" s="15"/>
    </row>
    <row r="10647" spans="1:9" ht="16.5">
      <c r="A10647" s="10" t="b">
        <v>0</v>
      </c>
      <c r="B10647" s="11" t="str">
        <f>IF(D10647&lt;&gt;"",IF(COUNTIF('USPTO TMs'!A:A,D10647)&gt;0,"Yes","No"),"")</f>
        <v/>
      </c>
      <c r="C10647" s="11"/>
      <c r="D10647" s="11"/>
      <c r="E10647" s="11"/>
      <c r="F10647" s="11"/>
      <c r="G10647" s="11"/>
      <c r="H10647" s="11"/>
      <c r="I10647" s="15"/>
    </row>
    <row r="10648" spans="1:9" ht="16.5">
      <c r="A10648" s="10" t="b">
        <v>0</v>
      </c>
      <c r="B10648" s="11" t="str">
        <f>IF(D10648&lt;&gt;"",IF(COUNTIF('USPTO TMs'!A:A,D10648)&gt;0,"Yes","No"),"")</f>
        <v/>
      </c>
      <c r="C10648" s="11"/>
      <c r="D10648" s="11"/>
      <c r="E10648" s="11"/>
      <c r="F10648" s="11"/>
      <c r="G10648" s="11"/>
      <c r="H10648" s="11"/>
      <c r="I10648" s="15"/>
    </row>
    <row r="10649" spans="1:9" ht="16.5">
      <c r="A10649" s="10" t="b">
        <v>0</v>
      </c>
      <c r="B10649" s="11" t="str">
        <f>IF(D10649&lt;&gt;"",IF(COUNTIF('USPTO TMs'!A:A,D10649)&gt;0,"Yes","No"),"")</f>
        <v/>
      </c>
      <c r="C10649" s="11"/>
      <c r="D10649" s="11"/>
      <c r="E10649" s="11"/>
      <c r="F10649" s="11"/>
      <c r="G10649" s="11"/>
      <c r="H10649" s="11"/>
      <c r="I10649" s="15"/>
    </row>
    <row r="10650" spans="1:9" ht="16.5">
      <c r="A10650" s="10" t="b">
        <v>0</v>
      </c>
      <c r="B10650" s="11" t="str">
        <f>IF(D10650&lt;&gt;"",IF(COUNTIF('USPTO TMs'!A:A,D10650)&gt;0,"Yes","No"),"")</f>
        <v/>
      </c>
      <c r="C10650" s="11"/>
      <c r="D10650" s="11"/>
      <c r="E10650" s="11"/>
      <c r="F10650" s="11"/>
      <c r="G10650" s="11"/>
      <c r="H10650" s="11"/>
      <c r="I10650" s="15"/>
    </row>
    <row r="10651" spans="1:9" ht="16.5">
      <c r="A10651" s="10" t="b">
        <v>0</v>
      </c>
      <c r="B10651" s="11" t="str">
        <f>IF(D10651&lt;&gt;"",IF(COUNTIF('USPTO TMs'!A:A,D10651)&gt;0,"Yes","No"),"")</f>
        <v/>
      </c>
      <c r="C10651" s="11"/>
      <c r="D10651" s="11"/>
      <c r="E10651" s="11"/>
      <c r="F10651" s="11"/>
      <c r="G10651" s="11"/>
      <c r="H10651" s="11"/>
      <c r="I10651" s="15"/>
    </row>
    <row r="10652" spans="1:9" ht="16.5">
      <c r="A10652" s="10" t="b">
        <v>0</v>
      </c>
      <c r="B10652" s="11" t="str">
        <f>IF(D10652&lt;&gt;"",IF(COUNTIF('USPTO TMs'!A:A,D10652)&gt;0,"Yes","No"),"")</f>
        <v/>
      </c>
      <c r="C10652" s="11"/>
      <c r="D10652" s="11"/>
      <c r="E10652" s="11"/>
      <c r="F10652" s="11"/>
      <c r="G10652" s="11"/>
      <c r="H10652" s="11"/>
      <c r="I10652" s="15"/>
    </row>
    <row r="10653" spans="1:9" ht="16.5">
      <c r="A10653" s="10" t="b">
        <v>0</v>
      </c>
      <c r="B10653" s="11" t="str">
        <f>IF(D10653&lt;&gt;"",IF(COUNTIF('USPTO TMs'!A:A,D10653)&gt;0,"Yes","No"),"")</f>
        <v/>
      </c>
      <c r="C10653" s="11"/>
      <c r="D10653" s="11"/>
      <c r="E10653" s="11"/>
      <c r="F10653" s="11"/>
      <c r="G10653" s="11"/>
      <c r="H10653" s="11"/>
      <c r="I10653" s="15"/>
    </row>
    <row r="10654" spans="1:9" ht="16.5">
      <c r="A10654" s="10" t="b">
        <v>0</v>
      </c>
      <c r="B10654" s="11" t="str">
        <f>IF(D10654&lt;&gt;"",IF(COUNTIF('USPTO TMs'!A:A,D10654)&gt;0,"Yes","No"),"")</f>
        <v/>
      </c>
      <c r="C10654" s="11"/>
      <c r="D10654" s="11"/>
      <c r="E10654" s="11"/>
      <c r="F10654" s="11"/>
      <c r="G10654" s="11"/>
      <c r="H10654" s="11"/>
      <c r="I10654" s="15"/>
    </row>
    <row r="10655" spans="1:9" ht="16.5">
      <c r="A10655" s="10" t="b">
        <v>0</v>
      </c>
      <c r="B10655" s="11" t="str">
        <f>IF(D10655&lt;&gt;"",IF(COUNTIF('USPTO TMs'!A:A,D10655)&gt;0,"Yes","No"),"")</f>
        <v/>
      </c>
      <c r="C10655" s="11"/>
      <c r="D10655" s="11"/>
      <c r="E10655" s="11"/>
      <c r="F10655" s="11"/>
      <c r="G10655" s="11"/>
      <c r="H10655" s="11"/>
      <c r="I10655" s="15"/>
    </row>
    <row r="10656" spans="1:9" ht="16.5">
      <c r="A10656" s="10" t="b">
        <v>0</v>
      </c>
      <c r="B10656" s="11" t="str">
        <f>IF(D10656&lt;&gt;"",IF(COUNTIF('USPTO TMs'!A:A,D10656)&gt;0,"Yes","No"),"")</f>
        <v/>
      </c>
      <c r="C10656" s="11"/>
      <c r="D10656" s="11"/>
      <c r="E10656" s="11"/>
      <c r="F10656" s="11"/>
      <c r="G10656" s="11"/>
      <c r="H10656" s="11"/>
      <c r="I10656" s="15"/>
    </row>
    <row r="10657" spans="1:9" ht="16.5">
      <c r="A10657" s="10" t="b">
        <v>0</v>
      </c>
      <c r="B10657" s="11" t="str">
        <f>IF(D10657&lt;&gt;"",IF(COUNTIF('USPTO TMs'!A:A,D10657)&gt;0,"Yes","No"),"")</f>
        <v/>
      </c>
      <c r="C10657" s="11"/>
      <c r="D10657" s="11"/>
      <c r="E10657" s="11"/>
      <c r="F10657" s="11"/>
      <c r="G10657" s="11"/>
      <c r="H10657" s="11"/>
      <c r="I10657" s="15"/>
    </row>
    <row r="10658" spans="1:9" ht="16.5">
      <c r="A10658" s="10" t="b">
        <v>0</v>
      </c>
      <c r="B10658" s="11" t="str">
        <f>IF(D10658&lt;&gt;"",IF(COUNTIF('USPTO TMs'!A:A,D10658)&gt;0,"Yes","No"),"")</f>
        <v/>
      </c>
      <c r="C10658" s="11"/>
      <c r="D10658" s="11"/>
      <c r="E10658" s="11"/>
      <c r="F10658" s="11"/>
      <c r="G10658" s="11"/>
      <c r="H10658" s="11"/>
      <c r="I10658" s="15"/>
    </row>
    <row r="10659" spans="1:9" ht="16.5">
      <c r="A10659" s="10" t="b">
        <v>0</v>
      </c>
      <c r="B10659" s="11" t="str">
        <f>IF(D10659&lt;&gt;"",IF(COUNTIF('USPTO TMs'!A:A,D10659)&gt;0,"Yes","No"),"")</f>
        <v/>
      </c>
      <c r="C10659" s="11"/>
      <c r="D10659" s="11"/>
      <c r="E10659" s="11"/>
      <c r="F10659" s="11"/>
      <c r="G10659" s="11"/>
      <c r="H10659" s="11"/>
      <c r="I10659" s="15"/>
    </row>
    <row r="10660" spans="1:9" ht="16.5">
      <c r="A10660" s="10" t="b">
        <v>0</v>
      </c>
      <c r="B10660" s="11" t="str">
        <f>IF(D10660&lt;&gt;"",IF(COUNTIF('USPTO TMs'!A:A,D10660)&gt;0,"Yes","No"),"")</f>
        <v/>
      </c>
      <c r="C10660" s="11"/>
      <c r="D10660" s="11"/>
      <c r="E10660" s="11"/>
      <c r="F10660" s="11"/>
      <c r="G10660" s="11"/>
      <c r="H10660" s="11"/>
      <c r="I10660" s="15"/>
    </row>
    <row r="10661" spans="1:9" ht="16.5">
      <c r="A10661" s="10" t="b">
        <v>0</v>
      </c>
      <c r="B10661" s="11" t="str">
        <f>IF(D10661&lt;&gt;"",IF(COUNTIF('USPTO TMs'!A:A,D10661)&gt;0,"Yes","No"),"")</f>
        <v/>
      </c>
      <c r="C10661" s="11"/>
      <c r="D10661" s="11"/>
      <c r="E10661" s="11"/>
      <c r="F10661" s="11"/>
      <c r="G10661" s="11"/>
      <c r="H10661" s="11"/>
      <c r="I10661" s="15"/>
    </row>
    <row r="10662" spans="1:9" ht="16.5">
      <c r="A10662" s="10" t="b">
        <v>0</v>
      </c>
      <c r="B10662" s="11" t="str">
        <f>IF(D10662&lt;&gt;"",IF(COUNTIF('USPTO TMs'!A:A,D10662)&gt;0,"Yes","No"),"")</f>
        <v/>
      </c>
      <c r="C10662" s="11"/>
      <c r="D10662" s="11"/>
      <c r="E10662" s="11"/>
      <c r="F10662" s="11"/>
      <c r="G10662" s="11"/>
      <c r="H10662" s="11"/>
      <c r="I10662" s="15"/>
    </row>
    <row r="10663" spans="1:9" ht="16.5">
      <c r="A10663" s="10" t="b">
        <v>0</v>
      </c>
      <c r="B10663" s="11" t="str">
        <f>IF(D10663&lt;&gt;"",IF(COUNTIF('USPTO TMs'!A:A,D10663)&gt;0,"Yes","No"),"")</f>
        <v/>
      </c>
      <c r="C10663" s="11"/>
      <c r="D10663" s="11"/>
      <c r="E10663" s="11"/>
      <c r="F10663" s="11"/>
      <c r="G10663" s="11"/>
      <c r="H10663" s="11"/>
      <c r="I10663" s="15"/>
    </row>
    <row r="10664" spans="1:9" ht="16.5">
      <c r="A10664" s="10" t="b">
        <v>0</v>
      </c>
      <c r="B10664" s="11" t="str">
        <f>IF(D10664&lt;&gt;"",IF(COUNTIF('USPTO TMs'!A:A,D10664)&gt;0,"Yes","No"),"")</f>
        <v/>
      </c>
      <c r="C10664" s="11"/>
      <c r="D10664" s="11"/>
      <c r="E10664" s="11"/>
      <c r="F10664" s="11"/>
      <c r="G10664" s="11"/>
      <c r="H10664" s="11"/>
      <c r="I10664" s="15"/>
    </row>
    <row r="10665" spans="1:9" ht="16.5">
      <c r="A10665" s="10" t="b">
        <v>0</v>
      </c>
      <c r="B10665" s="11" t="str">
        <f>IF(D10665&lt;&gt;"",IF(COUNTIF('USPTO TMs'!A:A,D10665)&gt;0,"Yes","No"),"")</f>
        <v/>
      </c>
      <c r="C10665" s="11"/>
      <c r="D10665" s="11"/>
      <c r="E10665" s="11"/>
      <c r="F10665" s="11"/>
      <c r="G10665" s="11"/>
      <c r="H10665" s="11"/>
      <c r="I10665" s="15"/>
    </row>
    <row r="10666" spans="1:9" ht="16.5">
      <c r="A10666" s="10" t="b">
        <v>0</v>
      </c>
      <c r="B10666" s="11" t="str">
        <f>IF(D10666&lt;&gt;"",IF(COUNTIF('USPTO TMs'!A:A,D10666)&gt;0,"Yes","No"),"")</f>
        <v/>
      </c>
      <c r="C10666" s="11"/>
      <c r="D10666" s="11"/>
      <c r="E10666" s="11"/>
      <c r="F10666" s="11"/>
      <c r="G10666" s="11"/>
      <c r="H10666" s="11"/>
      <c r="I10666" s="15"/>
    </row>
    <row r="10667" spans="1:9" ht="16.5">
      <c r="A10667" s="10" t="b">
        <v>0</v>
      </c>
      <c r="B10667" s="11" t="str">
        <f>IF(D10667&lt;&gt;"",IF(COUNTIF('USPTO TMs'!A:A,D10667)&gt;0,"Yes","No"),"")</f>
        <v/>
      </c>
      <c r="C10667" s="11"/>
      <c r="D10667" s="11"/>
      <c r="E10667" s="11"/>
      <c r="F10667" s="11"/>
      <c r="G10667" s="11"/>
      <c r="H10667" s="11"/>
      <c r="I10667" s="15"/>
    </row>
    <row r="10668" spans="1:9" ht="16.5">
      <c r="A10668" s="10" t="b">
        <v>0</v>
      </c>
      <c r="B10668" s="11" t="str">
        <f>IF(D10668&lt;&gt;"",IF(COUNTIF('USPTO TMs'!A:A,D10668)&gt;0,"Yes","No"),"")</f>
        <v/>
      </c>
      <c r="C10668" s="11"/>
      <c r="D10668" s="11"/>
      <c r="E10668" s="11"/>
      <c r="F10668" s="11"/>
      <c r="G10668" s="11"/>
      <c r="H10668" s="11"/>
      <c r="I10668" s="15"/>
    </row>
    <row r="10669" spans="1:9" ht="16.5">
      <c r="A10669" s="10" t="b">
        <v>0</v>
      </c>
      <c r="B10669" s="11" t="str">
        <f>IF(D10669&lt;&gt;"",IF(COUNTIF('USPTO TMs'!A:A,D10669)&gt;0,"Yes","No"),"")</f>
        <v/>
      </c>
      <c r="C10669" s="11"/>
      <c r="D10669" s="11"/>
      <c r="E10669" s="11"/>
      <c r="F10669" s="11"/>
      <c r="G10669" s="11"/>
      <c r="H10669" s="11"/>
      <c r="I10669" s="15"/>
    </row>
    <row r="10670" spans="1:9" ht="16.5">
      <c r="A10670" s="10" t="b">
        <v>0</v>
      </c>
      <c r="B10670" s="11" t="str">
        <f>IF(D10670&lt;&gt;"",IF(COUNTIF('USPTO TMs'!A:A,D10670)&gt;0,"Yes","No"),"")</f>
        <v/>
      </c>
      <c r="C10670" s="11"/>
      <c r="D10670" s="11"/>
      <c r="E10670" s="11"/>
      <c r="F10670" s="11"/>
      <c r="G10670" s="11"/>
      <c r="H10670" s="11"/>
      <c r="I10670" s="15"/>
    </row>
    <row r="10671" spans="1:9" ht="16.5">
      <c r="A10671" s="10" t="b">
        <v>0</v>
      </c>
      <c r="B10671" s="11" t="str">
        <f>IF(D10671&lt;&gt;"",IF(COUNTIF('USPTO TMs'!A:A,D10671)&gt;0,"Yes","No"),"")</f>
        <v/>
      </c>
      <c r="C10671" s="11"/>
      <c r="D10671" s="11"/>
      <c r="E10671" s="11"/>
      <c r="F10671" s="11"/>
      <c r="G10671" s="11"/>
      <c r="H10671" s="11"/>
      <c r="I10671" s="15"/>
    </row>
    <row r="10672" spans="1:9" ht="16.5">
      <c r="A10672" s="10" t="b">
        <v>0</v>
      </c>
      <c r="B10672" s="11" t="str">
        <f>IF(D10672&lt;&gt;"",IF(COUNTIF('USPTO TMs'!A:A,D10672)&gt;0,"Yes","No"),"")</f>
        <v/>
      </c>
      <c r="C10672" s="11"/>
      <c r="D10672" s="11"/>
      <c r="E10672" s="11"/>
      <c r="F10672" s="11"/>
      <c r="G10672" s="11"/>
      <c r="H10672" s="11"/>
      <c r="I10672" s="15"/>
    </row>
    <row r="10673" spans="1:9" ht="16.5">
      <c r="A10673" s="10" t="b">
        <v>0</v>
      </c>
      <c r="B10673" s="11" t="str">
        <f>IF(D10673&lt;&gt;"",IF(COUNTIF('USPTO TMs'!A:A,D10673)&gt;0,"Yes","No"),"")</f>
        <v/>
      </c>
      <c r="C10673" s="11"/>
      <c r="D10673" s="11"/>
      <c r="E10673" s="11"/>
      <c r="F10673" s="11"/>
      <c r="G10673" s="11"/>
      <c r="H10673" s="11"/>
      <c r="I10673" s="15"/>
    </row>
    <row r="10674" spans="1:9" ht="16.5">
      <c r="A10674" s="10" t="b">
        <v>0</v>
      </c>
      <c r="B10674" s="11" t="str">
        <f>IF(D10674&lt;&gt;"",IF(COUNTIF('USPTO TMs'!A:A,D10674)&gt;0,"Yes","No"),"")</f>
        <v/>
      </c>
      <c r="C10674" s="11"/>
      <c r="D10674" s="11"/>
      <c r="E10674" s="11"/>
      <c r="F10674" s="11"/>
      <c r="G10674" s="11"/>
      <c r="H10674" s="11"/>
      <c r="I10674" s="15"/>
    </row>
    <row r="10675" spans="1:9" ht="16.5">
      <c r="A10675" s="10" t="b">
        <v>0</v>
      </c>
      <c r="B10675" s="11" t="str">
        <f>IF(D10675&lt;&gt;"",IF(COUNTIF('USPTO TMs'!A:A,D10675)&gt;0,"Yes","No"),"")</f>
        <v/>
      </c>
      <c r="C10675" s="11"/>
      <c r="D10675" s="11"/>
      <c r="E10675" s="11"/>
      <c r="F10675" s="11"/>
      <c r="G10675" s="11"/>
      <c r="H10675" s="11"/>
      <c r="I10675" s="15"/>
    </row>
    <row r="10676" spans="1:9" ht="16.5">
      <c r="A10676" s="10" t="b">
        <v>0</v>
      </c>
      <c r="B10676" s="11" t="str">
        <f>IF(D10676&lt;&gt;"",IF(COUNTIF('USPTO TMs'!A:A,D10676)&gt;0,"Yes","No"),"")</f>
        <v/>
      </c>
      <c r="C10676" s="11"/>
      <c r="D10676" s="11"/>
      <c r="E10676" s="11"/>
      <c r="F10676" s="11"/>
      <c r="G10676" s="11"/>
      <c r="H10676" s="11"/>
      <c r="I10676" s="15"/>
    </row>
    <row r="10677" spans="1:9" ht="16.5">
      <c r="A10677" s="10" t="b">
        <v>0</v>
      </c>
      <c r="B10677" s="11" t="str">
        <f>IF(D10677&lt;&gt;"",IF(COUNTIF('USPTO TMs'!A:A,D10677)&gt;0,"Yes","No"),"")</f>
        <v/>
      </c>
      <c r="C10677" s="11"/>
      <c r="D10677" s="11"/>
      <c r="E10677" s="11"/>
      <c r="F10677" s="11"/>
      <c r="G10677" s="11"/>
      <c r="H10677" s="11"/>
      <c r="I10677" s="15"/>
    </row>
    <row r="10678" spans="1:9" ht="16.5">
      <c r="A10678" s="10" t="b">
        <v>0</v>
      </c>
      <c r="B10678" s="11" t="str">
        <f>IF(D10678&lt;&gt;"",IF(COUNTIF('USPTO TMs'!A:A,D10678)&gt;0,"Yes","No"),"")</f>
        <v/>
      </c>
      <c r="C10678" s="11"/>
      <c r="D10678" s="11"/>
      <c r="E10678" s="11"/>
      <c r="F10678" s="11"/>
      <c r="G10678" s="11"/>
      <c r="H10678" s="11"/>
      <c r="I10678" s="15"/>
    </row>
    <row r="10679" spans="1:9" ht="16.5">
      <c r="A10679" s="10" t="b">
        <v>0</v>
      </c>
      <c r="B10679" s="11" t="str">
        <f>IF(D10679&lt;&gt;"",IF(COUNTIF('USPTO TMs'!A:A,D10679)&gt;0,"Yes","No"),"")</f>
        <v/>
      </c>
      <c r="C10679" s="11"/>
      <c r="D10679" s="11"/>
      <c r="E10679" s="11"/>
      <c r="F10679" s="11"/>
      <c r="G10679" s="11"/>
      <c r="H10679" s="11"/>
      <c r="I10679" s="15"/>
    </row>
    <row r="10680" spans="1:9" ht="16.5">
      <c r="A10680" s="10" t="b">
        <v>0</v>
      </c>
      <c r="B10680" s="11" t="str">
        <f>IF(D10680&lt;&gt;"",IF(COUNTIF('USPTO TMs'!A:A,D10680)&gt;0,"Yes","No"),"")</f>
        <v/>
      </c>
      <c r="C10680" s="11"/>
      <c r="D10680" s="11"/>
      <c r="E10680" s="11"/>
      <c r="F10680" s="11"/>
      <c r="G10680" s="11"/>
      <c r="H10680" s="11"/>
      <c r="I10680" s="15"/>
    </row>
    <row r="10681" spans="1:9" ht="16.5">
      <c r="A10681" s="10" t="b">
        <v>0</v>
      </c>
      <c r="B10681" s="11" t="str">
        <f>IF(D10681&lt;&gt;"",IF(COUNTIF('USPTO TMs'!A:A,D10681)&gt;0,"Yes","No"),"")</f>
        <v/>
      </c>
      <c r="C10681" s="11"/>
      <c r="D10681" s="11"/>
      <c r="E10681" s="11"/>
      <c r="F10681" s="11"/>
      <c r="G10681" s="11"/>
      <c r="H10681" s="11"/>
      <c r="I10681" s="15"/>
    </row>
    <row r="10682" spans="1:9" ht="16.5">
      <c r="A10682" s="10" t="b">
        <v>0</v>
      </c>
      <c r="B10682" s="11" t="str">
        <f>IF(D10682&lt;&gt;"",IF(COUNTIF('USPTO TMs'!A:A,D10682)&gt;0,"Yes","No"),"")</f>
        <v/>
      </c>
      <c r="C10682" s="11"/>
      <c r="D10682" s="11"/>
      <c r="E10682" s="11"/>
      <c r="F10682" s="11"/>
      <c r="G10682" s="11"/>
      <c r="H10682" s="11"/>
      <c r="I10682" s="15"/>
    </row>
    <row r="10683" spans="1:9" ht="16.5">
      <c r="A10683" s="10" t="b">
        <v>0</v>
      </c>
      <c r="B10683" s="11" t="str">
        <f>IF(D10683&lt;&gt;"",IF(COUNTIF('USPTO TMs'!A:A,D10683)&gt;0,"Yes","No"),"")</f>
        <v/>
      </c>
      <c r="C10683" s="11"/>
      <c r="D10683" s="11"/>
      <c r="E10683" s="11"/>
      <c r="F10683" s="11"/>
      <c r="G10683" s="11"/>
      <c r="H10683" s="11"/>
      <c r="I10683" s="15"/>
    </row>
    <row r="10684" spans="1:9" ht="16.5">
      <c r="A10684" s="10" t="b">
        <v>0</v>
      </c>
      <c r="B10684" s="11" t="str">
        <f>IF(D10684&lt;&gt;"",IF(COUNTIF('USPTO TMs'!A:A,D10684)&gt;0,"Yes","No"),"")</f>
        <v/>
      </c>
      <c r="C10684" s="11"/>
      <c r="D10684" s="11"/>
      <c r="E10684" s="11"/>
      <c r="F10684" s="11"/>
      <c r="G10684" s="11"/>
      <c r="H10684" s="11"/>
      <c r="I10684" s="15"/>
    </row>
    <row r="10685" spans="1:9" ht="16.5">
      <c r="A10685" s="10" t="b">
        <v>0</v>
      </c>
      <c r="B10685" s="11" t="str">
        <f>IF(D10685&lt;&gt;"",IF(COUNTIF('USPTO TMs'!A:A,D10685)&gt;0,"Yes","No"),"")</f>
        <v/>
      </c>
      <c r="C10685" s="11"/>
      <c r="D10685" s="11"/>
      <c r="E10685" s="11"/>
      <c r="F10685" s="11"/>
      <c r="G10685" s="11"/>
      <c r="H10685" s="11"/>
      <c r="I10685" s="15"/>
    </row>
    <row r="10686" spans="1:9" ht="16.5">
      <c r="A10686" s="10" t="b">
        <v>0</v>
      </c>
      <c r="B10686" s="11" t="str">
        <f>IF(D10686&lt;&gt;"",IF(COUNTIF('USPTO TMs'!A:A,D10686)&gt;0,"Yes","No"),"")</f>
        <v/>
      </c>
      <c r="C10686" s="11"/>
      <c r="D10686" s="11"/>
      <c r="E10686" s="11"/>
      <c r="F10686" s="11"/>
      <c r="G10686" s="11"/>
      <c r="H10686" s="11"/>
      <c r="I10686" s="15"/>
    </row>
    <row r="10687" spans="1:9" ht="16.5">
      <c r="A10687" s="10" t="b">
        <v>0</v>
      </c>
      <c r="B10687" s="11" t="str">
        <f>IF(D10687&lt;&gt;"",IF(COUNTIF('USPTO TMs'!A:A,D10687)&gt;0,"Yes","No"),"")</f>
        <v/>
      </c>
      <c r="C10687" s="11"/>
      <c r="D10687" s="11"/>
      <c r="E10687" s="11"/>
      <c r="F10687" s="11"/>
      <c r="G10687" s="11"/>
      <c r="H10687" s="11"/>
      <c r="I10687" s="15"/>
    </row>
    <row r="10688" spans="1:9" ht="16.5">
      <c r="A10688" s="10" t="b">
        <v>0</v>
      </c>
      <c r="B10688" s="11" t="str">
        <f>IF(D10688&lt;&gt;"",IF(COUNTIF('USPTO TMs'!A:A,D10688)&gt;0,"Yes","No"),"")</f>
        <v/>
      </c>
      <c r="C10688" s="11"/>
      <c r="D10688" s="11"/>
      <c r="E10688" s="11"/>
      <c r="F10688" s="11"/>
      <c r="G10688" s="11"/>
      <c r="H10688" s="11"/>
      <c r="I10688" s="15"/>
    </row>
    <row r="10689" spans="1:9" ht="16.5">
      <c r="A10689" s="10" t="b">
        <v>0</v>
      </c>
      <c r="B10689" s="11" t="str">
        <f>IF(D10689&lt;&gt;"",IF(COUNTIF('USPTO TMs'!A:A,D10689)&gt;0,"Yes","No"),"")</f>
        <v/>
      </c>
      <c r="C10689" s="11"/>
      <c r="D10689" s="11"/>
      <c r="E10689" s="11"/>
      <c r="F10689" s="11"/>
      <c r="G10689" s="11"/>
      <c r="H10689" s="11"/>
      <c r="I10689" s="15"/>
    </row>
    <row r="10690" spans="1:9" ht="16.5">
      <c r="A10690" s="10" t="b">
        <v>0</v>
      </c>
      <c r="B10690" s="11" t="str">
        <f>IF(D10690&lt;&gt;"",IF(COUNTIF('USPTO TMs'!A:A,D10690)&gt;0,"Yes","No"),"")</f>
        <v/>
      </c>
      <c r="C10690" s="11"/>
      <c r="D10690" s="11"/>
      <c r="E10690" s="11"/>
      <c r="F10690" s="11"/>
      <c r="G10690" s="11"/>
      <c r="H10690" s="11"/>
      <c r="I10690" s="15"/>
    </row>
    <row r="10691" spans="1:9" ht="16.5">
      <c r="A10691" s="10" t="b">
        <v>0</v>
      </c>
      <c r="B10691" s="11" t="str">
        <f>IF(D10691&lt;&gt;"",IF(COUNTIF('USPTO TMs'!A:A,D10691)&gt;0,"Yes","No"),"")</f>
        <v/>
      </c>
      <c r="C10691" s="11"/>
      <c r="D10691" s="11"/>
      <c r="E10691" s="11"/>
      <c r="F10691" s="11"/>
      <c r="G10691" s="11"/>
      <c r="H10691" s="11"/>
      <c r="I10691" s="15"/>
    </row>
    <row r="10692" spans="1:9" ht="16.5">
      <c r="A10692" s="10" t="b">
        <v>0</v>
      </c>
      <c r="B10692" s="11" t="str">
        <f>IF(D10692&lt;&gt;"",IF(COUNTIF('USPTO TMs'!A:A,D10692)&gt;0,"Yes","No"),"")</f>
        <v/>
      </c>
      <c r="C10692" s="11"/>
      <c r="D10692" s="11"/>
      <c r="E10692" s="11"/>
      <c r="F10692" s="11"/>
      <c r="G10692" s="11"/>
      <c r="H10692" s="11"/>
      <c r="I10692" s="15"/>
    </row>
    <row r="10693" spans="1:9" ht="16.5">
      <c r="A10693" s="10" t="b">
        <v>0</v>
      </c>
      <c r="B10693" s="11" t="str">
        <f>IF(D10693&lt;&gt;"",IF(COUNTIF('USPTO TMs'!A:A,D10693)&gt;0,"Yes","No"),"")</f>
        <v/>
      </c>
      <c r="C10693" s="11"/>
      <c r="D10693" s="11"/>
      <c r="E10693" s="11"/>
      <c r="F10693" s="11"/>
      <c r="G10693" s="11"/>
      <c r="H10693" s="11"/>
      <c r="I10693" s="15"/>
    </row>
    <row r="10694" spans="1:9" ht="16.5">
      <c r="A10694" s="10" t="b">
        <v>0</v>
      </c>
      <c r="B10694" s="11" t="str">
        <f>IF(D10694&lt;&gt;"",IF(COUNTIF('USPTO TMs'!A:A,D10694)&gt;0,"Yes","No"),"")</f>
        <v/>
      </c>
      <c r="C10694" s="11"/>
      <c r="D10694" s="11"/>
      <c r="E10694" s="11"/>
      <c r="F10694" s="11"/>
      <c r="G10694" s="11"/>
      <c r="H10694" s="11"/>
      <c r="I10694" s="15"/>
    </row>
    <row r="10695" spans="1:9" ht="16.5">
      <c r="A10695" s="10" t="b">
        <v>0</v>
      </c>
      <c r="B10695" s="11" t="str">
        <f>IF(D10695&lt;&gt;"",IF(COUNTIF('USPTO TMs'!A:A,D10695)&gt;0,"Yes","No"),"")</f>
        <v/>
      </c>
      <c r="C10695" s="11"/>
      <c r="D10695" s="11"/>
      <c r="E10695" s="11"/>
      <c r="F10695" s="11"/>
      <c r="G10695" s="11"/>
      <c r="H10695" s="11"/>
      <c r="I10695" s="15"/>
    </row>
    <row r="10696" spans="1:9" ht="16.5">
      <c r="A10696" s="10" t="b">
        <v>0</v>
      </c>
      <c r="B10696" s="11" t="str">
        <f>IF(D10696&lt;&gt;"",IF(COUNTIF('USPTO TMs'!A:A,D10696)&gt;0,"Yes","No"),"")</f>
        <v/>
      </c>
      <c r="C10696" s="11"/>
      <c r="D10696" s="11"/>
      <c r="E10696" s="11"/>
      <c r="F10696" s="11"/>
      <c r="G10696" s="11"/>
      <c r="H10696" s="11"/>
      <c r="I10696" s="15"/>
    </row>
    <row r="10697" spans="1:9" ht="16.5">
      <c r="A10697" s="10" t="b">
        <v>0</v>
      </c>
      <c r="B10697" s="11" t="str">
        <f>IF(D10697&lt;&gt;"",IF(COUNTIF('USPTO TMs'!A:A,D10697)&gt;0,"Yes","No"),"")</f>
        <v/>
      </c>
      <c r="C10697" s="11"/>
      <c r="D10697" s="11"/>
      <c r="E10697" s="11"/>
      <c r="F10697" s="11"/>
      <c r="G10697" s="11"/>
      <c r="H10697" s="11"/>
      <c r="I10697" s="15"/>
    </row>
    <row r="10698" spans="1:9" ht="16.5">
      <c r="A10698" s="10" t="b">
        <v>0</v>
      </c>
      <c r="B10698" s="11" t="str">
        <f>IF(D10698&lt;&gt;"",IF(COUNTIF('USPTO TMs'!A:A,D10698)&gt;0,"Yes","No"),"")</f>
        <v/>
      </c>
      <c r="C10698" s="11"/>
      <c r="D10698" s="11"/>
      <c r="E10698" s="11"/>
      <c r="F10698" s="11"/>
      <c r="G10698" s="11"/>
      <c r="H10698" s="11"/>
      <c r="I10698" s="15"/>
    </row>
    <row r="10699" spans="1:9" ht="16.5">
      <c r="A10699" s="10" t="b">
        <v>0</v>
      </c>
      <c r="B10699" s="11" t="str">
        <f>IF(D10699&lt;&gt;"",IF(COUNTIF('USPTO TMs'!A:A,D10699)&gt;0,"Yes","No"),"")</f>
        <v/>
      </c>
      <c r="C10699" s="11"/>
      <c r="D10699" s="11"/>
      <c r="E10699" s="11"/>
      <c r="F10699" s="11"/>
      <c r="G10699" s="11"/>
      <c r="H10699" s="11"/>
      <c r="I10699" s="15"/>
    </row>
    <row r="10700" spans="1:9" ht="16.5">
      <c r="A10700" s="10" t="b">
        <v>0</v>
      </c>
      <c r="B10700" s="11" t="str">
        <f>IF(D10700&lt;&gt;"",IF(COUNTIF('USPTO TMs'!A:A,D10700)&gt;0,"Yes","No"),"")</f>
        <v/>
      </c>
      <c r="C10700" s="11"/>
      <c r="D10700" s="11"/>
      <c r="E10700" s="11"/>
      <c r="F10700" s="11"/>
      <c r="G10700" s="11"/>
      <c r="H10700" s="11"/>
      <c r="I10700" s="15"/>
    </row>
    <row r="10701" spans="1:9" ht="16.5">
      <c r="A10701" s="10" t="b">
        <v>0</v>
      </c>
      <c r="B10701" s="11" t="str">
        <f>IF(D10701&lt;&gt;"",IF(COUNTIF('USPTO TMs'!A:A,D10701)&gt;0,"Yes","No"),"")</f>
        <v/>
      </c>
      <c r="C10701" s="11"/>
      <c r="D10701" s="11"/>
      <c r="E10701" s="11"/>
      <c r="F10701" s="11"/>
      <c r="G10701" s="11"/>
      <c r="H10701" s="11"/>
      <c r="I10701" s="15"/>
    </row>
    <row r="10702" spans="1:9" ht="16.5">
      <c r="A10702" s="10" t="b">
        <v>0</v>
      </c>
      <c r="B10702" s="11" t="str">
        <f>IF(D10702&lt;&gt;"",IF(COUNTIF('USPTO TMs'!A:A,D10702)&gt;0,"Yes","No"),"")</f>
        <v/>
      </c>
      <c r="C10702" s="11"/>
      <c r="D10702" s="11"/>
      <c r="E10702" s="11"/>
      <c r="F10702" s="11"/>
      <c r="G10702" s="11"/>
      <c r="H10702" s="11"/>
      <c r="I10702" s="15"/>
    </row>
    <row r="10703" spans="1:9" ht="16.5">
      <c r="A10703" s="10" t="b">
        <v>0</v>
      </c>
      <c r="B10703" s="11" t="str">
        <f>IF(D10703&lt;&gt;"",IF(COUNTIF('USPTO TMs'!A:A,D10703)&gt;0,"Yes","No"),"")</f>
        <v/>
      </c>
      <c r="C10703" s="11"/>
      <c r="D10703" s="11"/>
      <c r="E10703" s="11"/>
      <c r="F10703" s="11"/>
      <c r="G10703" s="11"/>
      <c r="H10703" s="11"/>
      <c r="I10703" s="15"/>
    </row>
    <row r="10704" spans="1:9" ht="16.5">
      <c r="A10704" s="10" t="b">
        <v>0</v>
      </c>
      <c r="B10704" s="11" t="str">
        <f>IF(D10704&lt;&gt;"",IF(COUNTIF('USPTO TMs'!A:A,D10704)&gt;0,"Yes","No"),"")</f>
        <v/>
      </c>
      <c r="C10704" s="11"/>
      <c r="D10704" s="11"/>
      <c r="E10704" s="11"/>
      <c r="F10704" s="11"/>
      <c r="G10704" s="11"/>
      <c r="H10704" s="11"/>
      <c r="I10704" s="15"/>
    </row>
    <row r="10705" spans="1:9" ht="16.5">
      <c r="A10705" s="10" t="b">
        <v>0</v>
      </c>
      <c r="B10705" s="11" t="str">
        <f>IF(D10705&lt;&gt;"",IF(COUNTIF('USPTO TMs'!A:A,D10705)&gt;0,"Yes","No"),"")</f>
        <v/>
      </c>
      <c r="C10705" s="11"/>
      <c r="D10705" s="11"/>
      <c r="E10705" s="11"/>
      <c r="F10705" s="11"/>
      <c r="G10705" s="11"/>
      <c r="H10705" s="11"/>
      <c r="I10705" s="15"/>
    </row>
    <row r="10706" spans="1:9" ht="16.5">
      <c r="A10706" s="10" t="b">
        <v>0</v>
      </c>
      <c r="B10706" s="11" t="str">
        <f>IF(D10706&lt;&gt;"",IF(COUNTIF('USPTO TMs'!A:A,D10706)&gt;0,"Yes","No"),"")</f>
        <v/>
      </c>
      <c r="C10706" s="11"/>
      <c r="D10706" s="11"/>
      <c r="E10706" s="11"/>
      <c r="F10706" s="11"/>
      <c r="G10706" s="11"/>
      <c r="H10706" s="11"/>
      <c r="I10706" s="15"/>
    </row>
    <row r="10707" spans="1:9" ht="16.5">
      <c r="A10707" s="10" t="b">
        <v>0</v>
      </c>
      <c r="B10707" s="11" t="str">
        <f>IF(D10707&lt;&gt;"",IF(COUNTIF('USPTO TMs'!A:A,D10707)&gt;0,"Yes","No"),"")</f>
        <v/>
      </c>
      <c r="C10707" s="11"/>
      <c r="D10707" s="11"/>
      <c r="E10707" s="11"/>
      <c r="F10707" s="11"/>
      <c r="G10707" s="11"/>
      <c r="H10707" s="11"/>
      <c r="I10707" s="15"/>
    </row>
    <row r="10708" spans="1:9" ht="16.5">
      <c r="A10708" s="10" t="b">
        <v>0</v>
      </c>
      <c r="B10708" s="11" t="str">
        <f>IF(D10708&lt;&gt;"",IF(COUNTIF('USPTO TMs'!A:A,D10708)&gt;0,"Yes","No"),"")</f>
        <v/>
      </c>
      <c r="C10708" s="11"/>
      <c r="D10708" s="11"/>
      <c r="E10708" s="11"/>
      <c r="F10708" s="11"/>
      <c r="G10708" s="11"/>
      <c r="H10708" s="11"/>
      <c r="I10708" s="15"/>
    </row>
    <row r="10709" spans="1:9" ht="16.5">
      <c r="A10709" s="10" t="b">
        <v>0</v>
      </c>
      <c r="B10709" s="11" t="str">
        <f>IF(D10709&lt;&gt;"",IF(COUNTIF('USPTO TMs'!A:A,D10709)&gt;0,"Yes","No"),"")</f>
        <v/>
      </c>
      <c r="C10709" s="11"/>
      <c r="D10709" s="11"/>
      <c r="E10709" s="11"/>
      <c r="F10709" s="11"/>
      <c r="G10709" s="11"/>
      <c r="H10709" s="11"/>
      <c r="I10709" s="15"/>
    </row>
    <row r="10710" spans="1:9" ht="16.5">
      <c r="A10710" s="10" t="b">
        <v>0</v>
      </c>
      <c r="B10710" s="11" t="str">
        <f>IF(D10710&lt;&gt;"",IF(COUNTIF('USPTO TMs'!A:A,D10710)&gt;0,"Yes","No"),"")</f>
        <v/>
      </c>
      <c r="C10710" s="11"/>
      <c r="D10710" s="11"/>
      <c r="E10710" s="11"/>
      <c r="F10710" s="11"/>
      <c r="G10710" s="11"/>
      <c r="H10710" s="11"/>
      <c r="I10710" s="15"/>
    </row>
    <row r="10711" spans="1:9" ht="16.5">
      <c r="A10711" s="10" t="b">
        <v>0</v>
      </c>
      <c r="B10711" s="11" t="str">
        <f>IF(D10711&lt;&gt;"",IF(COUNTIF('USPTO TMs'!A:A,D10711)&gt;0,"Yes","No"),"")</f>
        <v/>
      </c>
      <c r="C10711" s="11"/>
      <c r="D10711" s="11"/>
      <c r="E10711" s="11"/>
      <c r="F10711" s="11"/>
      <c r="G10711" s="11"/>
      <c r="H10711" s="11"/>
      <c r="I10711" s="15"/>
    </row>
    <row r="10712" spans="1:9" ht="16.5">
      <c r="A10712" s="10" t="b">
        <v>0</v>
      </c>
      <c r="B10712" s="11" t="str">
        <f>IF(D10712&lt;&gt;"",IF(COUNTIF('USPTO TMs'!A:A,D10712)&gt;0,"Yes","No"),"")</f>
        <v/>
      </c>
      <c r="C10712" s="11"/>
      <c r="D10712" s="11"/>
      <c r="E10712" s="11"/>
      <c r="F10712" s="11"/>
      <c r="G10712" s="11"/>
      <c r="H10712" s="11"/>
      <c r="I10712" s="15"/>
    </row>
    <row r="10713" spans="1:9" ht="16.5">
      <c r="A10713" s="10" t="b">
        <v>0</v>
      </c>
      <c r="B10713" s="11" t="str">
        <f>IF(D10713&lt;&gt;"",IF(COUNTIF('USPTO TMs'!A:A,D10713)&gt;0,"Yes","No"),"")</f>
        <v/>
      </c>
      <c r="C10713" s="11"/>
      <c r="D10713" s="11"/>
      <c r="E10713" s="11"/>
      <c r="F10713" s="11"/>
      <c r="G10713" s="11"/>
      <c r="H10713" s="11"/>
      <c r="I10713" s="15"/>
    </row>
    <row r="10714" spans="1:9" ht="16.5">
      <c r="A10714" s="10" t="b">
        <v>0</v>
      </c>
      <c r="B10714" s="11" t="str">
        <f>IF(D10714&lt;&gt;"",IF(COUNTIF('USPTO TMs'!A:A,D10714)&gt;0,"Yes","No"),"")</f>
        <v/>
      </c>
      <c r="C10714" s="11"/>
      <c r="D10714" s="11"/>
      <c r="E10714" s="11"/>
      <c r="F10714" s="11"/>
      <c r="G10714" s="11"/>
      <c r="H10714" s="11"/>
      <c r="I10714" s="15"/>
    </row>
    <row r="10715" spans="1:9" ht="16.5">
      <c r="A10715" s="10" t="b">
        <v>0</v>
      </c>
      <c r="B10715" s="11" t="str">
        <f>IF(D10715&lt;&gt;"",IF(COUNTIF('USPTO TMs'!A:A,D10715)&gt;0,"Yes","No"),"")</f>
        <v/>
      </c>
      <c r="C10715" s="11"/>
      <c r="D10715" s="11"/>
      <c r="E10715" s="11"/>
      <c r="F10715" s="11"/>
      <c r="G10715" s="11"/>
      <c r="H10715" s="11"/>
      <c r="I10715" s="15"/>
    </row>
    <row r="10716" spans="1:9" ht="16.5">
      <c r="A10716" s="10" t="b">
        <v>0</v>
      </c>
      <c r="B10716" s="11" t="str">
        <f>IF(D10716&lt;&gt;"",IF(COUNTIF('USPTO TMs'!A:A,D10716)&gt;0,"Yes","No"),"")</f>
        <v/>
      </c>
      <c r="C10716" s="11"/>
      <c r="D10716" s="11"/>
      <c r="E10716" s="11"/>
      <c r="F10716" s="11"/>
      <c r="G10716" s="11"/>
      <c r="H10716" s="11"/>
      <c r="I10716" s="15"/>
    </row>
    <row r="10717" spans="1:9" ht="16.5">
      <c r="A10717" s="10" t="b">
        <v>0</v>
      </c>
      <c r="B10717" s="11" t="str">
        <f>IF(D10717&lt;&gt;"",IF(COUNTIF('USPTO TMs'!A:A,D10717)&gt;0,"Yes","No"),"")</f>
        <v/>
      </c>
      <c r="C10717" s="11"/>
      <c r="D10717" s="11"/>
      <c r="E10717" s="11"/>
      <c r="F10717" s="11"/>
      <c r="G10717" s="11"/>
      <c r="H10717" s="11"/>
      <c r="I10717" s="15"/>
    </row>
    <row r="10718" spans="1:9" ht="16.5">
      <c r="A10718" s="10" t="b">
        <v>0</v>
      </c>
      <c r="B10718" s="11" t="str">
        <f>IF(D10718&lt;&gt;"",IF(COUNTIF('USPTO TMs'!A:A,D10718)&gt;0,"Yes","No"),"")</f>
        <v/>
      </c>
      <c r="C10718" s="11"/>
      <c r="D10718" s="11"/>
      <c r="E10718" s="11"/>
      <c r="F10718" s="11"/>
      <c r="G10718" s="11"/>
      <c r="H10718" s="11"/>
      <c r="I10718" s="15"/>
    </row>
    <row r="10719" spans="1:9" ht="16.5">
      <c r="A10719" s="10" t="b">
        <v>0</v>
      </c>
      <c r="B10719" s="11" t="str">
        <f>IF(D10719&lt;&gt;"",IF(COUNTIF('USPTO TMs'!A:A,D10719)&gt;0,"Yes","No"),"")</f>
        <v/>
      </c>
      <c r="C10719" s="11"/>
      <c r="D10719" s="11"/>
      <c r="E10719" s="11"/>
      <c r="F10719" s="11"/>
      <c r="G10719" s="11"/>
      <c r="H10719" s="11"/>
      <c r="I10719" s="15"/>
    </row>
    <row r="10720" spans="1:9" ht="16.5">
      <c r="A10720" s="10" t="b">
        <v>0</v>
      </c>
      <c r="B10720" s="11" t="str">
        <f>IF(D10720&lt;&gt;"",IF(COUNTIF('USPTO TMs'!A:A,D10720)&gt;0,"Yes","No"),"")</f>
        <v/>
      </c>
      <c r="C10720" s="11"/>
      <c r="D10720" s="11"/>
      <c r="E10720" s="11"/>
      <c r="F10720" s="11"/>
      <c r="G10720" s="11"/>
      <c r="H10720" s="11"/>
      <c r="I10720" s="15"/>
    </row>
    <row r="10721" spans="1:9" ht="16.5">
      <c r="A10721" s="10" t="b">
        <v>0</v>
      </c>
      <c r="B10721" s="11" t="str">
        <f>IF(D10721&lt;&gt;"",IF(COUNTIF('USPTO TMs'!A:A,D10721)&gt;0,"Yes","No"),"")</f>
        <v/>
      </c>
      <c r="C10721" s="11"/>
      <c r="D10721" s="11"/>
      <c r="E10721" s="11"/>
      <c r="F10721" s="11"/>
      <c r="G10721" s="11"/>
      <c r="H10721" s="11"/>
      <c r="I10721" s="15"/>
    </row>
    <row r="10722" spans="1:9" ht="16.5">
      <c r="A10722" s="10" t="b">
        <v>0</v>
      </c>
      <c r="B10722" s="11" t="str">
        <f>IF(D10722&lt;&gt;"",IF(COUNTIF('USPTO TMs'!A:A,D10722)&gt;0,"Yes","No"),"")</f>
        <v/>
      </c>
      <c r="C10722" s="11"/>
      <c r="D10722" s="11"/>
      <c r="E10722" s="11"/>
      <c r="F10722" s="11"/>
      <c r="G10722" s="11"/>
      <c r="H10722" s="11"/>
      <c r="I10722" s="15"/>
    </row>
    <row r="10723" spans="1:9" ht="16.5">
      <c r="A10723" s="10" t="b">
        <v>0</v>
      </c>
      <c r="B10723" s="11" t="str">
        <f>IF(D10723&lt;&gt;"",IF(COUNTIF('USPTO TMs'!A:A,D10723)&gt;0,"Yes","No"),"")</f>
        <v/>
      </c>
      <c r="C10723" s="11"/>
      <c r="D10723" s="11"/>
      <c r="E10723" s="11"/>
      <c r="F10723" s="11"/>
      <c r="G10723" s="11"/>
      <c r="H10723" s="11"/>
      <c r="I10723" s="15"/>
    </row>
    <row r="10724" spans="1:9" ht="16.5">
      <c r="A10724" s="10" t="b">
        <v>0</v>
      </c>
      <c r="B10724" s="11" t="str">
        <f>IF(D10724&lt;&gt;"",IF(COUNTIF('USPTO TMs'!A:A,D10724)&gt;0,"Yes","No"),"")</f>
        <v/>
      </c>
      <c r="C10724" s="11"/>
      <c r="D10724" s="11"/>
      <c r="E10724" s="11"/>
      <c r="F10724" s="11"/>
      <c r="G10724" s="11"/>
      <c r="H10724" s="11"/>
      <c r="I10724" s="15"/>
    </row>
    <row r="10725" spans="1:9" ht="16.5">
      <c r="A10725" s="10" t="b">
        <v>0</v>
      </c>
      <c r="B10725" s="11" t="str">
        <f>IF(D10725&lt;&gt;"",IF(COUNTIF('USPTO TMs'!A:A,D10725)&gt;0,"Yes","No"),"")</f>
        <v/>
      </c>
      <c r="C10725" s="11"/>
      <c r="D10725" s="11"/>
      <c r="E10725" s="11"/>
      <c r="F10725" s="11"/>
      <c r="G10725" s="11"/>
      <c r="H10725" s="11"/>
      <c r="I10725" s="15"/>
    </row>
    <row r="10726" spans="1:9" ht="16.5">
      <c r="A10726" s="10" t="b">
        <v>0</v>
      </c>
      <c r="B10726" s="11" t="str">
        <f>IF(D10726&lt;&gt;"",IF(COUNTIF('USPTO TMs'!A:A,D10726)&gt;0,"Yes","No"),"")</f>
        <v/>
      </c>
      <c r="C10726" s="11"/>
      <c r="D10726" s="11"/>
      <c r="E10726" s="11"/>
      <c r="F10726" s="11"/>
      <c r="G10726" s="11"/>
      <c r="H10726" s="11"/>
      <c r="I10726" s="15"/>
    </row>
    <row r="10727" spans="1:9" ht="16.5">
      <c r="A10727" s="10" t="b">
        <v>0</v>
      </c>
      <c r="B10727" s="11" t="str">
        <f>IF(D10727&lt;&gt;"",IF(COUNTIF('USPTO TMs'!A:A,D10727)&gt;0,"Yes","No"),"")</f>
        <v/>
      </c>
      <c r="C10727" s="11"/>
      <c r="D10727" s="11"/>
      <c r="E10727" s="11"/>
      <c r="F10727" s="11"/>
      <c r="G10727" s="11"/>
      <c r="H10727" s="11"/>
      <c r="I10727" s="15"/>
    </row>
    <row r="10728" spans="1:9" ht="16.5">
      <c r="A10728" s="10" t="b">
        <v>0</v>
      </c>
      <c r="B10728" s="11" t="str">
        <f>IF(D10728&lt;&gt;"",IF(COUNTIF('USPTO TMs'!A:A,D10728)&gt;0,"Yes","No"),"")</f>
        <v/>
      </c>
      <c r="C10728" s="11"/>
      <c r="D10728" s="11"/>
      <c r="E10728" s="11"/>
      <c r="F10728" s="11"/>
      <c r="G10728" s="11"/>
      <c r="H10728" s="11"/>
      <c r="I10728" s="15"/>
    </row>
    <row r="10729" spans="1:9" ht="16.5">
      <c r="A10729" s="10" t="b">
        <v>0</v>
      </c>
      <c r="B10729" s="11" t="str">
        <f>IF(D10729&lt;&gt;"",IF(COUNTIF('USPTO TMs'!A:A,D10729)&gt;0,"Yes","No"),"")</f>
        <v/>
      </c>
      <c r="C10729" s="11"/>
      <c r="D10729" s="11"/>
      <c r="E10729" s="11"/>
      <c r="F10729" s="11"/>
      <c r="G10729" s="11"/>
      <c r="H10729" s="11"/>
      <c r="I10729" s="15"/>
    </row>
    <row r="10730" spans="1:9" ht="16.5">
      <c r="A10730" s="10" t="b">
        <v>0</v>
      </c>
      <c r="B10730" s="11" t="str">
        <f>IF(D10730&lt;&gt;"",IF(COUNTIF('USPTO TMs'!A:A,D10730)&gt;0,"Yes","No"),"")</f>
        <v/>
      </c>
      <c r="C10730" s="11"/>
      <c r="D10730" s="11"/>
      <c r="E10730" s="11"/>
      <c r="F10730" s="11"/>
      <c r="G10730" s="11"/>
      <c r="H10730" s="11"/>
      <c r="I10730" s="15"/>
    </row>
    <row r="10731" spans="1:9" ht="16.5">
      <c r="A10731" s="10" t="b">
        <v>0</v>
      </c>
      <c r="B10731" s="11" t="str">
        <f>IF(D10731&lt;&gt;"",IF(COUNTIF('USPTO TMs'!A:A,D10731)&gt;0,"Yes","No"),"")</f>
        <v/>
      </c>
      <c r="C10731" s="11"/>
      <c r="D10731" s="11"/>
      <c r="E10731" s="11"/>
      <c r="F10731" s="11"/>
      <c r="G10731" s="11"/>
      <c r="H10731" s="11"/>
      <c r="I10731" s="15"/>
    </row>
    <row r="10732" spans="1:9" ht="16.5">
      <c r="A10732" s="10" t="b">
        <v>0</v>
      </c>
      <c r="B10732" s="11" t="str">
        <f>IF(D10732&lt;&gt;"",IF(COUNTIF('USPTO TMs'!A:A,D10732)&gt;0,"Yes","No"),"")</f>
        <v/>
      </c>
      <c r="C10732" s="11"/>
      <c r="D10732" s="11"/>
      <c r="E10732" s="11"/>
      <c r="F10732" s="11"/>
      <c r="G10732" s="11"/>
      <c r="H10732" s="11"/>
      <c r="I10732" s="15"/>
    </row>
    <row r="10733" spans="1:9" ht="16.5">
      <c r="A10733" s="10" t="b">
        <v>0</v>
      </c>
      <c r="B10733" s="11" t="str">
        <f>IF(D10733&lt;&gt;"",IF(COUNTIF('USPTO TMs'!A:A,D10733)&gt;0,"Yes","No"),"")</f>
        <v/>
      </c>
      <c r="C10733" s="11"/>
      <c r="D10733" s="11"/>
      <c r="E10733" s="11"/>
      <c r="F10733" s="11"/>
      <c r="G10733" s="11"/>
      <c r="H10733" s="11"/>
      <c r="I10733" s="15"/>
    </row>
    <row r="10734" spans="1:9" ht="16.5">
      <c r="A10734" s="10" t="b">
        <v>0</v>
      </c>
      <c r="B10734" s="11" t="str">
        <f>IF(D10734&lt;&gt;"",IF(COUNTIF('USPTO TMs'!A:A,D10734)&gt;0,"Yes","No"),"")</f>
        <v/>
      </c>
      <c r="C10734" s="11"/>
      <c r="D10734" s="11"/>
      <c r="E10734" s="11"/>
      <c r="F10734" s="11"/>
      <c r="G10734" s="11"/>
      <c r="H10734" s="11"/>
      <c r="I10734" s="15"/>
    </row>
    <row r="10735" spans="1:9" ht="16.5">
      <c r="A10735" s="10" t="b">
        <v>0</v>
      </c>
      <c r="B10735" s="11" t="str">
        <f>IF(D10735&lt;&gt;"",IF(COUNTIF('USPTO TMs'!A:A,D10735)&gt;0,"Yes","No"),"")</f>
        <v/>
      </c>
      <c r="C10735" s="11"/>
      <c r="D10735" s="11"/>
      <c r="E10735" s="11"/>
      <c r="F10735" s="11"/>
      <c r="G10735" s="11"/>
      <c r="H10735" s="11"/>
      <c r="I10735" s="15"/>
    </row>
    <row r="10736" spans="1:9" ht="16.5">
      <c r="A10736" s="10" t="b">
        <v>0</v>
      </c>
      <c r="B10736" s="11" t="str">
        <f>IF(D10736&lt;&gt;"",IF(COUNTIF('USPTO TMs'!A:A,D10736)&gt;0,"Yes","No"),"")</f>
        <v/>
      </c>
      <c r="C10736" s="11"/>
      <c r="D10736" s="11"/>
      <c r="E10736" s="11"/>
      <c r="F10736" s="11"/>
      <c r="G10736" s="11"/>
      <c r="H10736" s="11"/>
      <c r="I10736" s="15"/>
    </row>
    <row r="10737" spans="1:9" ht="16.5">
      <c r="A10737" s="10" t="b">
        <v>0</v>
      </c>
      <c r="B10737" s="11" t="str">
        <f>IF(D10737&lt;&gt;"",IF(COUNTIF('USPTO TMs'!A:A,D10737)&gt;0,"Yes","No"),"")</f>
        <v/>
      </c>
      <c r="C10737" s="11"/>
      <c r="D10737" s="11"/>
      <c r="E10737" s="11"/>
      <c r="F10737" s="11"/>
      <c r="G10737" s="11"/>
      <c r="H10737" s="11"/>
      <c r="I10737" s="15"/>
    </row>
    <row r="10738" spans="1:9" ht="16.5">
      <c r="A10738" s="10" t="b">
        <v>0</v>
      </c>
      <c r="B10738" s="11" t="str">
        <f>IF(D10738&lt;&gt;"",IF(COUNTIF('USPTO TMs'!A:A,D10738)&gt;0,"Yes","No"),"")</f>
        <v/>
      </c>
      <c r="C10738" s="11"/>
      <c r="D10738" s="11"/>
      <c r="E10738" s="11"/>
      <c r="F10738" s="11"/>
      <c r="G10738" s="11"/>
      <c r="H10738" s="11"/>
      <c r="I10738" s="15"/>
    </row>
    <row r="10739" spans="1:9" ht="16.5">
      <c r="A10739" s="10" t="b">
        <v>0</v>
      </c>
      <c r="B10739" s="11" t="str">
        <f>IF(D10739&lt;&gt;"",IF(COUNTIF('USPTO TMs'!A:A,D10739)&gt;0,"Yes","No"),"")</f>
        <v/>
      </c>
      <c r="C10739" s="11"/>
      <c r="D10739" s="11"/>
      <c r="E10739" s="11"/>
      <c r="F10739" s="11"/>
      <c r="G10739" s="11"/>
      <c r="H10739" s="11"/>
      <c r="I10739" s="15"/>
    </row>
    <row r="10740" spans="1:9" ht="16.5">
      <c r="A10740" s="10" t="b">
        <v>0</v>
      </c>
      <c r="B10740" s="11" t="str">
        <f>IF(D10740&lt;&gt;"",IF(COUNTIF('USPTO TMs'!A:A,D10740)&gt;0,"Yes","No"),"")</f>
        <v/>
      </c>
      <c r="C10740" s="11"/>
      <c r="D10740" s="11"/>
      <c r="E10740" s="11"/>
      <c r="F10740" s="11"/>
      <c r="G10740" s="11"/>
      <c r="H10740" s="11"/>
      <c r="I10740" s="15"/>
    </row>
    <row r="10741" spans="1:9" ht="16.5">
      <c r="A10741" s="10" t="b">
        <v>0</v>
      </c>
      <c r="B10741" s="11" t="str">
        <f>IF(D10741&lt;&gt;"",IF(COUNTIF('USPTO TMs'!A:A,D10741)&gt;0,"Yes","No"),"")</f>
        <v/>
      </c>
      <c r="C10741" s="11"/>
      <c r="D10741" s="11"/>
      <c r="E10741" s="11"/>
      <c r="F10741" s="11"/>
      <c r="G10741" s="11"/>
      <c r="H10741" s="11"/>
      <c r="I10741" s="15"/>
    </row>
    <row r="10742" spans="1:9" ht="16.5">
      <c r="A10742" s="10" t="b">
        <v>0</v>
      </c>
      <c r="B10742" s="11" t="str">
        <f>IF(D10742&lt;&gt;"",IF(COUNTIF('USPTO TMs'!A:A,D10742)&gt;0,"Yes","No"),"")</f>
        <v/>
      </c>
      <c r="C10742" s="11"/>
      <c r="D10742" s="11"/>
      <c r="E10742" s="11"/>
      <c r="F10742" s="11"/>
      <c r="G10742" s="11"/>
      <c r="H10742" s="11"/>
      <c r="I10742" s="15"/>
    </row>
    <row r="10743" spans="1:9" ht="16.5">
      <c r="A10743" s="10" t="b">
        <v>0</v>
      </c>
      <c r="B10743" s="11" t="str">
        <f>IF(D10743&lt;&gt;"",IF(COUNTIF('USPTO TMs'!A:A,D10743)&gt;0,"Yes","No"),"")</f>
        <v/>
      </c>
      <c r="C10743" s="11"/>
      <c r="D10743" s="11"/>
      <c r="E10743" s="11"/>
      <c r="F10743" s="11"/>
      <c r="G10743" s="11"/>
      <c r="H10743" s="11"/>
      <c r="I10743" s="15"/>
    </row>
    <row r="10744" spans="1:9" ht="16.5">
      <c r="A10744" s="10" t="b">
        <v>0</v>
      </c>
      <c r="B10744" s="11" t="str">
        <f>IF(D10744&lt;&gt;"",IF(COUNTIF('USPTO TMs'!A:A,D10744)&gt;0,"Yes","No"),"")</f>
        <v/>
      </c>
      <c r="C10744" s="11"/>
      <c r="D10744" s="11"/>
      <c r="E10744" s="11"/>
      <c r="F10744" s="11"/>
      <c r="G10744" s="11"/>
      <c r="H10744" s="11"/>
      <c r="I10744" s="15"/>
    </row>
    <row r="10745" spans="1:9" ht="16.5">
      <c r="A10745" s="10" t="b">
        <v>0</v>
      </c>
      <c r="B10745" s="11" t="str">
        <f>IF(D10745&lt;&gt;"",IF(COUNTIF('USPTO TMs'!A:A,D10745)&gt;0,"Yes","No"),"")</f>
        <v/>
      </c>
      <c r="C10745" s="11"/>
      <c r="D10745" s="11"/>
      <c r="E10745" s="11"/>
      <c r="F10745" s="11"/>
      <c r="G10745" s="11"/>
      <c r="H10745" s="11"/>
      <c r="I10745" s="15"/>
    </row>
    <row r="10746" spans="1:9" ht="16.5">
      <c r="A10746" s="10" t="b">
        <v>0</v>
      </c>
      <c r="B10746" s="11" t="str">
        <f>IF(D10746&lt;&gt;"",IF(COUNTIF('USPTO TMs'!A:A,D10746)&gt;0,"Yes","No"),"")</f>
        <v/>
      </c>
      <c r="C10746" s="11"/>
      <c r="D10746" s="11"/>
      <c r="E10746" s="11"/>
      <c r="F10746" s="11"/>
      <c r="G10746" s="11"/>
      <c r="H10746" s="11"/>
      <c r="I10746" s="15"/>
    </row>
    <row r="10747" spans="1:9" ht="16.5">
      <c r="A10747" s="10" t="b">
        <v>0</v>
      </c>
      <c r="B10747" s="11" t="str">
        <f>IF(D10747&lt;&gt;"",IF(COUNTIF('USPTO TMs'!A:A,D10747)&gt;0,"Yes","No"),"")</f>
        <v/>
      </c>
      <c r="C10747" s="11"/>
      <c r="D10747" s="11"/>
      <c r="E10747" s="11"/>
      <c r="F10747" s="11"/>
      <c r="G10747" s="11"/>
      <c r="H10747" s="11"/>
      <c r="I10747" s="15"/>
    </row>
    <row r="10748" spans="1:9" ht="16.5">
      <c r="A10748" s="10" t="b">
        <v>0</v>
      </c>
      <c r="B10748" s="11" t="str">
        <f>IF(D10748&lt;&gt;"",IF(COUNTIF('USPTO TMs'!A:A,D10748)&gt;0,"Yes","No"),"")</f>
        <v/>
      </c>
      <c r="C10748" s="11"/>
      <c r="D10748" s="11"/>
      <c r="E10748" s="11"/>
      <c r="F10748" s="11"/>
      <c r="G10748" s="11"/>
      <c r="H10748" s="11"/>
      <c r="I10748" s="15"/>
    </row>
    <row r="10749" spans="1:9" ht="16.5">
      <c r="A10749" s="10" t="b">
        <v>0</v>
      </c>
      <c r="B10749" s="11" t="str">
        <f>IF(D10749&lt;&gt;"",IF(COUNTIF('USPTO TMs'!A:A,D10749)&gt;0,"Yes","No"),"")</f>
        <v/>
      </c>
      <c r="C10749" s="11"/>
      <c r="D10749" s="11"/>
      <c r="E10749" s="11"/>
      <c r="F10749" s="11"/>
      <c r="G10749" s="11"/>
      <c r="H10749" s="11"/>
      <c r="I10749" s="15"/>
    </row>
    <row r="10750" spans="1:9" ht="16.5">
      <c r="A10750" s="10" t="b">
        <v>0</v>
      </c>
      <c r="B10750" s="11" t="str">
        <f>IF(D10750&lt;&gt;"",IF(COUNTIF('USPTO TMs'!A:A,D10750)&gt;0,"Yes","No"),"")</f>
        <v/>
      </c>
      <c r="C10750" s="11"/>
      <c r="D10750" s="11"/>
      <c r="E10750" s="11"/>
      <c r="F10750" s="11"/>
      <c r="G10750" s="11"/>
      <c r="H10750" s="11"/>
      <c r="I10750" s="15"/>
    </row>
    <row r="10751" spans="1:9" ht="16.5">
      <c r="A10751" s="10" t="b">
        <v>0</v>
      </c>
      <c r="B10751" s="11" t="str">
        <f>IF(D10751&lt;&gt;"",IF(COUNTIF('USPTO TMs'!A:A,D10751)&gt;0,"Yes","No"),"")</f>
        <v/>
      </c>
      <c r="C10751" s="11"/>
      <c r="D10751" s="11"/>
      <c r="E10751" s="11"/>
      <c r="F10751" s="11"/>
      <c r="G10751" s="11"/>
      <c r="H10751" s="11"/>
      <c r="I10751" s="15"/>
    </row>
    <row r="10752" spans="1:9" ht="16.5">
      <c r="A10752" s="10" t="b">
        <v>0</v>
      </c>
      <c r="B10752" s="11" t="str">
        <f>IF(D10752&lt;&gt;"",IF(COUNTIF('USPTO TMs'!A:A,D10752)&gt;0,"Yes","No"),"")</f>
        <v/>
      </c>
      <c r="C10752" s="11"/>
      <c r="D10752" s="11"/>
      <c r="E10752" s="11"/>
      <c r="F10752" s="11"/>
      <c r="G10752" s="11"/>
      <c r="H10752" s="11"/>
      <c r="I10752" s="15"/>
    </row>
    <row r="10753" spans="1:9" ht="16.5">
      <c r="A10753" s="10" t="b">
        <v>0</v>
      </c>
      <c r="B10753" s="11" t="str">
        <f>IF(D10753&lt;&gt;"",IF(COUNTIF('USPTO TMs'!A:A,D10753)&gt;0,"Yes","No"),"")</f>
        <v/>
      </c>
      <c r="C10753" s="11"/>
      <c r="D10753" s="11"/>
      <c r="E10753" s="11"/>
      <c r="F10753" s="11"/>
      <c r="G10753" s="11"/>
      <c r="H10753" s="11"/>
      <c r="I10753" s="15"/>
    </row>
    <row r="10754" spans="1:9" ht="16.5">
      <c r="A10754" s="10" t="b">
        <v>0</v>
      </c>
      <c r="B10754" s="11" t="str">
        <f>IF(D10754&lt;&gt;"",IF(COUNTIF('USPTO TMs'!A:A,D10754)&gt;0,"Yes","No"),"")</f>
        <v/>
      </c>
      <c r="C10754" s="11"/>
      <c r="D10754" s="11"/>
      <c r="E10754" s="11"/>
      <c r="F10754" s="11"/>
      <c r="G10754" s="11"/>
      <c r="H10754" s="11"/>
      <c r="I10754" s="15"/>
    </row>
    <row r="10755" spans="1:9" ht="16.5">
      <c r="A10755" s="10" t="b">
        <v>0</v>
      </c>
      <c r="B10755" s="11" t="str">
        <f>IF(D10755&lt;&gt;"",IF(COUNTIF('USPTO TMs'!A:A,D10755)&gt;0,"Yes","No"),"")</f>
        <v/>
      </c>
      <c r="C10755" s="11"/>
      <c r="D10755" s="11"/>
      <c r="E10755" s="11"/>
      <c r="F10755" s="11"/>
      <c r="G10755" s="11"/>
      <c r="H10755" s="11"/>
      <c r="I10755" s="15"/>
    </row>
    <row r="10756" spans="1:9" ht="16.5">
      <c r="A10756" s="10" t="b">
        <v>0</v>
      </c>
      <c r="B10756" s="11" t="str">
        <f>IF(D10756&lt;&gt;"",IF(COUNTIF('USPTO TMs'!A:A,D10756)&gt;0,"Yes","No"),"")</f>
        <v/>
      </c>
      <c r="C10756" s="11"/>
      <c r="D10756" s="11"/>
      <c r="E10756" s="11"/>
      <c r="F10756" s="11"/>
      <c r="G10756" s="11"/>
      <c r="H10756" s="11"/>
      <c r="I10756" s="15"/>
    </row>
    <row r="10757" spans="1:9" ht="16.5">
      <c r="A10757" s="10" t="b">
        <v>0</v>
      </c>
      <c r="B10757" s="11" t="str">
        <f>IF(D10757&lt;&gt;"",IF(COUNTIF('USPTO TMs'!A:A,D10757)&gt;0,"Yes","No"),"")</f>
        <v/>
      </c>
      <c r="C10757" s="11"/>
      <c r="D10757" s="11"/>
      <c r="E10757" s="11"/>
      <c r="F10757" s="11"/>
      <c r="G10757" s="11"/>
      <c r="H10757" s="11"/>
      <c r="I10757" s="15"/>
    </row>
    <row r="10758" spans="1:9" ht="16.5">
      <c r="A10758" s="10" t="b">
        <v>0</v>
      </c>
      <c r="B10758" s="11" t="str">
        <f>IF(D10758&lt;&gt;"",IF(COUNTIF('USPTO TMs'!A:A,D10758)&gt;0,"Yes","No"),"")</f>
        <v/>
      </c>
      <c r="C10758" s="11"/>
      <c r="D10758" s="11"/>
      <c r="E10758" s="11"/>
      <c r="F10758" s="11"/>
      <c r="G10758" s="11"/>
      <c r="H10758" s="11"/>
      <c r="I10758" s="15"/>
    </row>
    <row r="10759" spans="1:9" ht="16.5">
      <c r="A10759" s="10" t="b">
        <v>0</v>
      </c>
      <c r="B10759" s="11" t="str">
        <f>IF(D10759&lt;&gt;"",IF(COUNTIF('USPTO TMs'!A:A,D10759)&gt;0,"Yes","No"),"")</f>
        <v/>
      </c>
      <c r="C10759" s="11"/>
      <c r="D10759" s="11"/>
      <c r="E10759" s="11"/>
      <c r="F10759" s="11"/>
      <c r="G10759" s="11"/>
      <c r="H10759" s="11"/>
      <c r="I10759" s="15"/>
    </row>
    <row r="10760" spans="1:9" ht="16.5">
      <c r="A10760" s="10" t="b">
        <v>0</v>
      </c>
      <c r="B10760" s="11" t="str">
        <f>IF(D10760&lt;&gt;"",IF(COUNTIF('USPTO TMs'!A:A,D10760)&gt;0,"Yes","No"),"")</f>
        <v/>
      </c>
      <c r="C10760" s="11"/>
      <c r="D10760" s="11"/>
      <c r="E10760" s="11"/>
      <c r="F10760" s="11"/>
      <c r="G10760" s="11"/>
      <c r="H10760" s="11"/>
      <c r="I10760" s="15"/>
    </row>
    <row r="10761" spans="1:9" ht="16.5">
      <c r="A10761" s="10" t="b">
        <v>0</v>
      </c>
      <c r="B10761" s="11" t="str">
        <f>IF(D10761&lt;&gt;"",IF(COUNTIF('USPTO TMs'!A:A,D10761)&gt;0,"Yes","No"),"")</f>
        <v/>
      </c>
      <c r="C10761" s="11"/>
      <c r="D10761" s="11"/>
      <c r="E10761" s="11"/>
      <c r="F10761" s="11"/>
      <c r="G10761" s="11"/>
      <c r="H10761" s="11"/>
      <c r="I10761" s="15"/>
    </row>
    <row r="10762" spans="1:9" ht="16.5">
      <c r="A10762" s="10" t="b">
        <v>0</v>
      </c>
      <c r="B10762" s="11" t="str">
        <f>IF(D10762&lt;&gt;"",IF(COUNTIF('USPTO TMs'!A:A,D10762)&gt;0,"Yes","No"),"")</f>
        <v/>
      </c>
      <c r="C10762" s="11"/>
      <c r="D10762" s="11"/>
      <c r="E10762" s="11"/>
      <c r="F10762" s="11"/>
      <c r="G10762" s="11"/>
      <c r="H10762" s="11"/>
      <c r="I10762" s="15"/>
    </row>
    <row r="10763" spans="1:9" ht="16.5">
      <c r="A10763" s="10" t="b">
        <v>0</v>
      </c>
      <c r="B10763" s="11" t="str">
        <f>IF(D10763&lt;&gt;"",IF(COUNTIF('USPTO TMs'!A:A,D10763)&gt;0,"Yes","No"),"")</f>
        <v/>
      </c>
      <c r="C10763" s="11"/>
      <c r="D10763" s="11"/>
      <c r="E10763" s="11"/>
      <c r="F10763" s="11"/>
      <c r="G10763" s="11"/>
      <c r="H10763" s="11"/>
      <c r="I10763" s="15"/>
    </row>
    <row r="10764" spans="1:9" ht="16.5">
      <c r="A10764" s="10" t="b">
        <v>0</v>
      </c>
      <c r="B10764" s="11" t="str">
        <f>IF(D10764&lt;&gt;"",IF(COUNTIF('USPTO TMs'!A:A,D10764)&gt;0,"Yes","No"),"")</f>
        <v/>
      </c>
      <c r="C10764" s="11"/>
      <c r="D10764" s="11"/>
      <c r="E10764" s="11"/>
      <c r="F10764" s="11"/>
      <c r="G10764" s="11"/>
      <c r="H10764" s="11"/>
      <c r="I10764" s="15"/>
    </row>
    <row r="10765" spans="1:9" ht="16.5">
      <c r="A10765" s="10" t="b">
        <v>0</v>
      </c>
      <c r="B10765" s="11" t="str">
        <f>IF(D10765&lt;&gt;"",IF(COUNTIF('USPTO TMs'!A:A,D10765)&gt;0,"Yes","No"),"")</f>
        <v/>
      </c>
      <c r="C10765" s="11"/>
      <c r="D10765" s="11"/>
      <c r="E10765" s="11"/>
      <c r="F10765" s="11"/>
      <c r="G10765" s="11"/>
      <c r="H10765" s="11"/>
      <c r="I10765" s="15"/>
    </row>
    <row r="10766" spans="1:9" ht="16.5">
      <c r="A10766" s="10" t="b">
        <v>0</v>
      </c>
      <c r="B10766" s="11" t="str">
        <f>IF(D10766&lt;&gt;"",IF(COUNTIF('USPTO TMs'!A:A,D10766)&gt;0,"Yes","No"),"")</f>
        <v/>
      </c>
      <c r="C10766" s="11"/>
      <c r="D10766" s="11"/>
      <c r="E10766" s="11"/>
      <c r="F10766" s="11"/>
      <c r="G10766" s="11"/>
      <c r="H10766" s="11"/>
      <c r="I10766" s="15"/>
    </row>
    <row r="10767" spans="1:9" ht="16.5">
      <c r="A10767" s="10" t="b">
        <v>0</v>
      </c>
      <c r="B10767" s="11" t="str">
        <f>IF(D10767&lt;&gt;"",IF(COUNTIF('USPTO TMs'!A:A,D10767)&gt;0,"Yes","No"),"")</f>
        <v/>
      </c>
      <c r="C10767" s="11"/>
      <c r="D10767" s="11"/>
      <c r="E10767" s="11"/>
      <c r="F10767" s="11"/>
      <c r="G10767" s="11"/>
      <c r="H10767" s="11"/>
      <c r="I10767" s="15"/>
    </row>
    <row r="10768" spans="1:9" ht="16.5">
      <c r="A10768" s="10" t="b">
        <v>0</v>
      </c>
      <c r="B10768" s="11" t="str">
        <f>IF(D10768&lt;&gt;"",IF(COUNTIF('USPTO TMs'!A:A,D10768)&gt;0,"Yes","No"),"")</f>
        <v/>
      </c>
      <c r="C10768" s="11"/>
      <c r="D10768" s="11"/>
      <c r="E10768" s="11"/>
      <c r="F10768" s="11"/>
      <c r="G10768" s="11"/>
      <c r="H10768" s="11"/>
      <c r="I10768" s="15"/>
    </row>
    <row r="10769" spans="1:9" ht="16.5">
      <c r="A10769" s="10" t="b">
        <v>0</v>
      </c>
      <c r="B10769" s="11" t="str">
        <f>IF(D10769&lt;&gt;"",IF(COUNTIF('USPTO TMs'!A:A,D10769)&gt;0,"Yes","No"),"")</f>
        <v/>
      </c>
      <c r="C10769" s="11"/>
      <c r="D10769" s="11"/>
      <c r="E10769" s="11"/>
      <c r="F10769" s="11"/>
      <c r="G10769" s="11"/>
      <c r="H10769" s="11"/>
      <c r="I10769" s="15"/>
    </row>
    <row r="10770" spans="1:9" ht="16.5">
      <c r="A10770" s="10" t="b">
        <v>0</v>
      </c>
      <c r="B10770" s="11" t="str">
        <f>IF(D10770&lt;&gt;"",IF(COUNTIF('USPTO TMs'!A:A,D10770)&gt;0,"Yes","No"),"")</f>
        <v/>
      </c>
      <c r="C10770" s="11"/>
      <c r="D10770" s="11"/>
      <c r="E10770" s="11"/>
      <c r="F10770" s="11"/>
      <c r="G10770" s="11"/>
      <c r="H10770" s="11"/>
      <c r="I10770" s="15"/>
    </row>
    <row r="10771" spans="1:9" ht="16.5">
      <c r="A10771" s="10" t="b">
        <v>0</v>
      </c>
      <c r="B10771" s="11" t="str">
        <f>IF(D10771&lt;&gt;"",IF(COUNTIF('USPTO TMs'!A:A,D10771)&gt;0,"Yes","No"),"")</f>
        <v/>
      </c>
      <c r="C10771" s="11"/>
      <c r="D10771" s="11"/>
      <c r="E10771" s="11"/>
      <c r="F10771" s="11"/>
      <c r="G10771" s="11"/>
      <c r="H10771" s="11"/>
      <c r="I10771" s="15"/>
    </row>
    <row r="10772" spans="1:9" ht="16.5">
      <c r="A10772" s="10" t="b">
        <v>0</v>
      </c>
      <c r="B10772" s="11" t="str">
        <f>IF(D10772&lt;&gt;"",IF(COUNTIF('USPTO TMs'!A:A,D10772)&gt;0,"Yes","No"),"")</f>
        <v/>
      </c>
      <c r="C10772" s="11"/>
      <c r="D10772" s="11"/>
      <c r="E10772" s="11"/>
      <c r="F10772" s="11"/>
      <c r="G10772" s="11"/>
      <c r="H10772" s="11"/>
      <c r="I10772" s="15"/>
    </row>
    <row r="10773" spans="1:9" ht="16.5">
      <c r="A10773" s="10" t="b">
        <v>0</v>
      </c>
      <c r="B10773" s="11" t="str">
        <f>IF(D10773&lt;&gt;"",IF(COUNTIF('USPTO TMs'!A:A,D10773)&gt;0,"Yes","No"),"")</f>
        <v/>
      </c>
      <c r="C10773" s="11"/>
      <c r="D10773" s="11"/>
      <c r="E10773" s="11"/>
      <c r="F10773" s="11"/>
      <c r="G10773" s="11"/>
      <c r="H10773" s="11"/>
      <c r="I10773" s="15"/>
    </row>
    <row r="10774" spans="1:9" ht="16.5">
      <c r="A10774" s="10" t="b">
        <v>0</v>
      </c>
      <c r="B10774" s="11" t="str">
        <f>IF(D10774&lt;&gt;"",IF(COUNTIF('USPTO TMs'!A:A,D10774)&gt;0,"Yes","No"),"")</f>
        <v/>
      </c>
      <c r="C10774" s="11"/>
      <c r="D10774" s="11"/>
      <c r="E10774" s="11"/>
      <c r="F10774" s="11"/>
      <c r="G10774" s="11"/>
      <c r="H10774" s="11"/>
      <c r="I10774" s="15"/>
    </row>
    <row r="10775" spans="1:9" ht="16.5">
      <c r="A10775" s="10" t="b">
        <v>0</v>
      </c>
      <c r="B10775" s="11" t="str">
        <f>IF(D10775&lt;&gt;"",IF(COUNTIF('USPTO TMs'!A:A,D10775)&gt;0,"Yes","No"),"")</f>
        <v/>
      </c>
      <c r="C10775" s="11"/>
      <c r="D10775" s="11"/>
      <c r="E10775" s="11"/>
      <c r="F10775" s="11"/>
      <c r="G10775" s="11"/>
      <c r="H10775" s="11"/>
      <c r="I10775" s="15"/>
    </row>
    <row r="10776" spans="1:9" ht="16.5">
      <c r="A10776" s="10" t="b">
        <v>0</v>
      </c>
      <c r="B10776" s="11" t="str">
        <f>IF(D10776&lt;&gt;"",IF(COUNTIF('USPTO TMs'!A:A,D10776)&gt;0,"Yes","No"),"")</f>
        <v/>
      </c>
      <c r="C10776" s="11"/>
      <c r="D10776" s="11"/>
      <c r="E10776" s="11"/>
      <c r="F10776" s="11"/>
      <c r="G10776" s="11"/>
      <c r="H10776" s="11"/>
      <c r="I10776" s="15"/>
    </row>
    <row r="10777" spans="1:9" ht="16.5">
      <c r="A10777" s="10" t="b">
        <v>0</v>
      </c>
      <c r="B10777" s="11" t="str">
        <f>IF(D10777&lt;&gt;"",IF(COUNTIF('USPTO TMs'!A:A,D10777)&gt;0,"Yes","No"),"")</f>
        <v/>
      </c>
      <c r="C10777" s="11"/>
      <c r="D10777" s="11"/>
      <c r="E10777" s="11"/>
      <c r="F10777" s="11"/>
      <c r="G10777" s="11"/>
      <c r="H10777" s="11"/>
      <c r="I10777" s="15"/>
    </row>
    <row r="10778" spans="1:9" ht="16.5">
      <c r="A10778" s="10" t="b">
        <v>0</v>
      </c>
      <c r="B10778" s="11" t="str">
        <f>IF(D10778&lt;&gt;"",IF(COUNTIF('USPTO TMs'!A:A,D10778)&gt;0,"Yes","No"),"")</f>
        <v/>
      </c>
      <c r="C10778" s="11"/>
      <c r="D10778" s="11"/>
      <c r="E10778" s="11"/>
      <c r="F10778" s="11"/>
      <c r="G10778" s="11"/>
      <c r="H10778" s="11"/>
      <c r="I10778" s="15"/>
    </row>
    <row r="10779" spans="1:9" ht="16.5">
      <c r="A10779" s="10" t="b">
        <v>0</v>
      </c>
      <c r="B10779" s="11" t="str">
        <f>IF(D10779&lt;&gt;"",IF(COUNTIF('USPTO TMs'!A:A,D10779)&gt;0,"Yes","No"),"")</f>
        <v/>
      </c>
      <c r="C10779" s="11"/>
      <c r="D10779" s="11"/>
      <c r="E10779" s="11"/>
      <c r="F10779" s="11"/>
      <c r="G10779" s="11"/>
      <c r="H10779" s="11"/>
      <c r="I10779" s="15"/>
    </row>
    <row r="10780" spans="1:9" ht="16.5">
      <c r="A10780" s="10" t="b">
        <v>0</v>
      </c>
      <c r="B10780" s="11" t="str">
        <f>IF(D10780&lt;&gt;"",IF(COUNTIF('USPTO TMs'!A:A,D10780)&gt;0,"Yes","No"),"")</f>
        <v/>
      </c>
      <c r="C10780" s="11"/>
      <c r="D10780" s="11"/>
      <c r="E10780" s="11"/>
      <c r="F10780" s="11"/>
      <c r="G10780" s="11"/>
      <c r="H10780" s="11"/>
      <c r="I10780" s="15"/>
    </row>
    <row r="10781" spans="1:9" ht="16.5">
      <c r="A10781" s="10" t="b">
        <v>0</v>
      </c>
      <c r="B10781" s="11" t="str">
        <f>IF(D10781&lt;&gt;"",IF(COUNTIF('USPTO TMs'!A:A,D10781)&gt;0,"Yes","No"),"")</f>
        <v/>
      </c>
      <c r="C10781" s="11"/>
      <c r="D10781" s="11"/>
      <c r="E10781" s="11"/>
      <c r="F10781" s="11"/>
      <c r="G10781" s="11"/>
      <c r="H10781" s="11"/>
      <c r="I10781" s="15"/>
    </row>
    <row r="10782" spans="1:9" ht="16.5">
      <c r="A10782" s="10" t="b">
        <v>0</v>
      </c>
      <c r="B10782" s="11" t="str">
        <f>IF(D10782&lt;&gt;"",IF(COUNTIF('USPTO TMs'!A:A,D10782)&gt;0,"Yes","No"),"")</f>
        <v/>
      </c>
      <c r="C10782" s="11"/>
      <c r="D10782" s="11"/>
      <c r="E10782" s="11"/>
      <c r="F10782" s="11"/>
      <c r="G10782" s="11"/>
      <c r="H10782" s="11"/>
      <c r="I10782" s="15"/>
    </row>
    <row r="10783" spans="1:9" ht="16.5">
      <c r="A10783" s="10" t="b">
        <v>0</v>
      </c>
      <c r="B10783" s="11" t="str">
        <f>IF(D10783&lt;&gt;"",IF(COUNTIF('USPTO TMs'!A:A,D10783)&gt;0,"Yes","No"),"")</f>
        <v/>
      </c>
      <c r="C10783" s="11"/>
      <c r="D10783" s="11"/>
      <c r="E10783" s="11"/>
      <c r="F10783" s="11"/>
      <c r="G10783" s="11"/>
      <c r="H10783" s="11"/>
      <c r="I10783" s="15"/>
    </row>
    <row r="10784" spans="1:9" ht="16.5">
      <c r="A10784" s="10" t="b">
        <v>0</v>
      </c>
      <c r="B10784" s="11" t="str">
        <f>IF(D10784&lt;&gt;"",IF(COUNTIF('USPTO TMs'!A:A,D10784)&gt;0,"Yes","No"),"")</f>
        <v/>
      </c>
      <c r="C10784" s="11"/>
      <c r="D10784" s="11"/>
      <c r="E10784" s="11"/>
      <c r="F10784" s="11"/>
      <c r="G10784" s="11"/>
      <c r="H10784" s="11"/>
      <c r="I10784" s="15"/>
    </row>
    <row r="10785" spans="1:9" ht="16.5">
      <c r="A10785" s="10" t="b">
        <v>0</v>
      </c>
      <c r="B10785" s="11" t="str">
        <f>IF(D10785&lt;&gt;"",IF(COUNTIF('USPTO TMs'!A:A,D10785)&gt;0,"Yes","No"),"")</f>
        <v/>
      </c>
      <c r="C10785" s="11"/>
      <c r="D10785" s="11"/>
      <c r="E10785" s="11"/>
      <c r="F10785" s="11"/>
      <c r="G10785" s="11"/>
      <c r="H10785" s="11"/>
      <c r="I10785" s="15"/>
    </row>
    <row r="10786" spans="1:9" ht="16.5">
      <c r="A10786" s="10" t="b">
        <v>0</v>
      </c>
      <c r="B10786" s="11" t="str">
        <f>IF(D10786&lt;&gt;"",IF(COUNTIF('USPTO TMs'!A:A,D10786)&gt;0,"Yes","No"),"")</f>
        <v/>
      </c>
      <c r="C10786" s="11"/>
      <c r="D10786" s="11"/>
      <c r="E10786" s="11"/>
      <c r="F10786" s="11"/>
      <c r="G10786" s="11"/>
      <c r="H10786" s="11"/>
      <c r="I10786" s="15"/>
    </row>
    <row r="10787" spans="1:9" ht="16.5">
      <c r="A10787" s="10" t="b">
        <v>0</v>
      </c>
      <c r="B10787" s="11" t="str">
        <f>IF(D10787&lt;&gt;"",IF(COUNTIF('USPTO TMs'!A:A,D10787)&gt;0,"Yes","No"),"")</f>
        <v/>
      </c>
      <c r="C10787" s="11"/>
      <c r="D10787" s="11"/>
      <c r="E10787" s="11"/>
      <c r="F10787" s="11"/>
      <c r="G10787" s="11"/>
      <c r="H10787" s="11"/>
      <c r="I10787" s="15"/>
    </row>
    <row r="10788" spans="1:9" ht="16.5">
      <c r="A10788" s="10" t="b">
        <v>0</v>
      </c>
      <c r="B10788" s="11" t="str">
        <f>IF(D10788&lt;&gt;"",IF(COUNTIF('USPTO TMs'!A:A,D10788)&gt;0,"Yes","No"),"")</f>
        <v/>
      </c>
      <c r="C10788" s="11"/>
      <c r="D10788" s="11"/>
      <c r="E10788" s="11"/>
      <c r="F10788" s="11"/>
      <c r="G10788" s="11"/>
      <c r="H10788" s="11"/>
      <c r="I10788" s="15"/>
    </row>
    <row r="10789" spans="1:9" ht="16.5">
      <c r="A10789" s="10" t="b">
        <v>0</v>
      </c>
      <c r="B10789" s="11" t="str">
        <f>IF(D10789&lt;&gt;"",IF(COUNTIF('USPTO TMs'!A:A,D10789)&gt;0,"Yes","No"),"")</f>
        <v/>
      </c>
      <c r="C10789" s="11"/>
      <c r="D10789" s="11"/>
      <c r="E10789" s="11"/>
      <c r="F10789" s="11"/>
      <c r="G10789" s="11"/>
      <c r="H10789" s="11"/>
      <c r="I10789" s="15"/>
    </row>
    <row r="10790" spans="1:9" ht="16.5">
      <c r="A10790" s="10" t="b">
        <v>0</v>
      </c>
      <c r="B10790" s="11" t="str">
        <f>IF(D10790&lt;&gt;"",IF(COUNTIF('USPTO TMs'!A:A,D10790)&gt;0,"Yes","No"),"")</f>
        <v/>
      </c>
      <c r="C10790" s="11"/>
      <c r="D10790" s="11"/>
      <c r="E10790" s="11"/>
      <c r="F10790" s="11"/>
      <c r="G10790" s="11"/>
      <c r="H10790" s="11"/>
      <c r="I10790" s="15"/>
    </row>
    <row r="10791" spans="1:9" ht="16.5">
      <c r="A10791" s="10" t="b">
        <v>0</v>
      </c>
      <c r="B10791" s="11" t="str">
        <f>IF(D10791&lt;&gt;"",IF(COUNTIF('USPTO TMs'!A:A,D10791)&gt;0,"Yes","No"),"")</f>
        <v/>
      </c>
      <c r="C10791" s="11"/>
      <c r="D10791" s="11"/>
      <c r="E10791" s="11"/>
      <c r="F10791" s="11"/>
      <c r="G10791" s="11"/>
      <c r="H10791" s="11"/>
      <c r="I10791" s="15"/>
    </row>
    <row r="10792" spans="1:9" ht="16.5">
      <c r="A10792" s="10" t="b">
        <v>0</v>
      </c>
      <c r="B10792" s="11" t="str">
        <f>IF(D10792&lt;&gt;"",IF(COUNTIF('USPTO TMs'!A:A,D10792)&gt;0,"Yes","No"),"")</f>
        <v/>
      </c>
      <c r="C10792" s="11"/>
      <c r="D10792" s="11"/>
      <c r="E10792" s="11"/>
      <c r="F10792" s="11"/>
      <c r="G10792" s="11"/>
      <c r="H10792" s="11"/>
      <c r="I10792" s="15"/>
    </row>
    <row r="10793" spans="1:9" ht="16.5">
      <c r="A10793" s="10" t="b">
        <v>0</v>
      </c>
      <c r="B10793" s="11" t="str">
        <f>IF(D10793&lt;&gt;"",IF(COUNTIF('USPTO TMs'!A:A,D10793)&gt;0,"Yes","No"),"")</f>
        <v/>
      </c>
      <c r="C10793" s="11"/>
      <c r="D10793" s="11"/>
      <c r="E10793" s="11"/>
      <c r="F10793" s="11"/>
      <c r="G10793" s="11"/>
      <c r="H10793" s="11"/>
      <c r="I10793" s="15"/>
    </row>
    <row r="10794" spans="1:9" ht="16.5">
      <c r="A10794" s="10" t="b">
        <v>0</v>
      </c>
      <c r="B10794" s="11" t="str">
        <f>IF(D10794&lt;&gt;"",IF(COUNTIF('USPTO TMs'!A:A,D10794)&gt;0,"Yes","No"),"")</f>
        <v/>
      </c>
      <c r="C10794" s="11"/>
      <c r="D10794" s="11"/>
      <c r="E10794" s="11"/>
      <c r="F10794" s="11"/>
      <c r="G10794" s="11"/>
      <c r="H10794" s="11"/>
      <c r="I10794" s="15"/>
    </row>
    <row r="10795" spans="1:9" ht="16.5">
      <c r="A10795" s="10" t="b">
        <v>0</v>
      </c>
      <c r="B10795" s="11" t="str">
        <f>IF(D10795&lt;&gt;"",IF(COUNTIF('USPTO TMs'!A:A,D10795)&gt;0,"Yes","No"),"")</f>
        <v/>
      </c>
      <c r="C10795" s="11"/>
      <c r="D10795" s="11"/>
      <c r="E10795" s="11"/>
      <c r="F10795" s="11"/>
      <c r="G10795" s="11"/>
      <c r="H10795" s="11"/>
      <c r="I10795" s="15"/>
    </row>
    <row r="10796" spans="1:9" ht="16.5">
      <c r="A10796" s="10" t="b">
        <v>0</v>
      </c>
      <c r="B10796" s="11" t="str">
        <f>IF(D10796&lt;&gt;"",IF(COUNTIF('USPTO TMs'!A:A,D10796)&gt;0,"Yes","No"),"")</f>
        <v/>
      </c>
      <c r="C10796" s="11"/>
      <c r="D10796" s="11"/>
      <c r="E10796" s="11"/>
      <c r="F10796" s="11"/>
      <c r="G10796" s="11"/>
      <c r="H10796" s="11"/>
      <c r="I10796" s="15"/>
    </row>
    <row r="10797" spans="1:9" ht="16.5">
      <c r="A10797" s="10" t="b">
        <v>0</v>
      </c>
      <c r="B10797" s="11" t="str">
        <f>IF(D10797&lt;&gt;"",IF(COUNTIF('USPTO TMs'!A:A,D10797)&gt;0,"Yes","No"),"")</f>
        <v/>
      </c>
      <c r="C10797" s="11"/>
      <c r="D10797" s="11"/>
      <c r="E10797" s="11"/>
      <c r="F10797" s="11"/>
      <c r="G10797" s="11"/>
      <c r="H10797" s="11"/>
      <c r="I10797" s="15"/>
    </row>
    <row r="10798" spans="1:9" ht="16.5">
      <c r="A10798" s="10" t="b">
        <v>0</v>
      </c>
      <c r="B10798" s="11" t="str">
        <f>IF(D10798&lt;&gt;"",IF(COUNTIF('USPTO TMs'!A:A,D10798)&gt;0,"Yes","No"),"")</f>
        <v/>
      </c>
      <c r="C10798" s="11"/>
      <c r="D10798" s="11"/>
      <c r="E10798" s="11"/>
      <c r="F10798" s="11"/>
      <c r="G10798" s="11"/>
      <c r="H10798" s="11"/>
      <c r="I10798" s="15"/>
    </row>
    <row r="10799" spans="1:9" ht="16.5">
      <c r="A10799" s="10" t="b">
        <v>0</v>
      </c>
      <c r="B10799" s="11" t="str">
        <f>IF(D10799&lt;&gt;"",IF(COUNTIF('USPTO TMs'!A:A,D10799)&gt;0,"Yes","No"),"")</f>
        <v/>
      </c>
      <c r="C10799" s="11"/>
      <c r="D10799" s="11"/>
      <c r="E10799" s="11"/>
      <c r="F10799" s="11"/>
      <c r="G10799" s="11"/>
      <c r="H10799" s="11"/>
      <c r="I10799" s="15"/>
    </row>
    <row r="10800" spans="1:9" ht="16.5">
      <c r="A10800" s="10" t="b">
        <v>0</v>
      </c>
      <c r="B10800" s="11" t="str">
        <f>IF(D10800&lt;&gt;"",IF(COUNTIF('USPTO TMs'!A:A,D10800)&gt;0,"Yes","No"),"")</f>
        <v/>
      </c>
      <c r="C10800" s="11"/>
      <c r="D10800" s="11"/>
      <c r="E10800" s="11"/>
      <c r="F10800" s="11"/>
      <c r="G10800" s="11"/>
      <c r="H10800" s="11"/>
      <c r="I10800" s="15"/>
    </row>
    <row r="10801" spans="1:9" ht="16.5">
      <c r="A10801" s="10" t="b">
        <v>0</v>
      </c>
      <c r="B10801" s="11" t="str">
        <f>IF(D10801&lt;&gt;"",IF(COUNTIF('USPTO TMs'!A:A,D10801)&gt;0,"Yes","No"),"")</f>
        <v/>
      </c>
      <c r="C10801" s="11"/>
      <c r="D10801" s="11"/>
      <c r="E10801" s="11"/>
      <c r="F10801" s="11"/>
      <c r="G10801" s="11"/>
      <c r="H10801" s="11"/>
      <c r="I10801" s="15"/>
    </row>
    <row r="10802" spans="1:9" ht="16.5">
      <c r="A10802" s="10" t="b">
        <v>0</v>
      </c>
      <c r="B10802" s="11" t="str">
        <f>IF(D10802&lt;&gt;"",IF(COUNTIF('USPTO TMs'!A:A,D10802)&gt;0,"Yes","No"),"")</f>
        <v/>
      </c>
      <c r="C10802" s="11"/>
      <c r="D10802" s="11"/>
      <c r="E10802" s="11"/>
      <c r="F10802" s="11"/>
      <c r="G10802" s="11"/>
      <c r="H10802" s="11"/>
      <c r="I10802" s="15"/>
    </row>
    <row r="10803" spans="1:9" ht="16.5">
      <c r="A10803" s="10" t="b">
        <v>0</v>
      </c>
      <c r="B10803" s="11" t="str">
        <f>IF(D10803&lt;&gt;"",IF(COUNTIF('USPTO TMs'!A:A,D10803)&gt;0,"Yes","No"),"")</f>
        <v/>
      </c>
      <c r="C10803" s="11"/>
      <c r="D10803" s="11"/>
      <c r="E10803" s="11"/>
      <c r="F10803" s="11"/>
      <c r="G10803" s="11"/>
      <c r="H10803" s="11"/>
      <c r="I10803" s="15"/>
    </row>
    <row r="10804" spans="1:9" ht="16.5">
      <c r="A10804" s="10" t="b">
        <v>0</v>
      </c>
      <c r="B10804" s="11" t="str">
        <f>IF(D10804&lt;&gt;"",IF(COUNTIF('USPTO TMs'!A:A,D10804)&gt;0,"Yes","No"),"")</f>
        <v/>
      </c>
      <c r="C10804" s="11"/>
      <c r="D10804" s="11"/>
      <c r="E10804" s="11"/>
      <c r="F10804" s="11"/>
      <c r="G10804" s="11"/>
      <c r="H10804" s="11"/>
      <c r="I10804" s="15"/>
    </row>
    <row r="10805" spans="1:9" ht="16.5">
      <c r="A10805" s="10" t="b">
        <v>0</v>
      </c>
      <c r="B10805" s="11" t="str">
        <f>IF(D10805&lt;&gt;"",IF(COUNTIF('USPTO TMs'!A:A,D10805)&gt;0,"Yes","No"),"")</f>
        <v/>
      </c>
      <c r="C10805" s="11"/>
      <c r="D10805" s="11"/>
      <c r="E10805" s="11"/>
      <c r="F10805" s="11"/>
      <c r="G10805" s="11"/>
      <c r="H10805" s="11"/>
      <c r="I10805" s="15"/>
    </row>
    <row r="10806" spans="1:9" ht="16.5">
      <c r="A10806" s="10" t="b">
        <v>0</v>
      </c>
      <c r="B10806" s="11" t="str">
        <f>IF(D10806&lt;&gt;"",IF(COUNTIF('USPTO TMs'!A:A,D10806)&gt;0,"Yes","No"),"")</f>
        <v/>
      </c>
      <c r="C10806" s="11"/>
      <c r="D10806" s="11"/>
      <c r="E10806" s="11"/>
      <c r="F10806" s="11"/>
      <c r="G10806" s="11"/>
      <c r="H10806" s="11"/>
      <c r="I10806" s="15"/>
    </row>
    <row r="10807" spans="1:9" ht="16.5">
      <c r="A10807" s="10" t="b">
        <v>0</v>
      </c>
      <c r="B10807" s="11" t="str">
        <f>IF(D10807&lt;&gt;"",IF(COUNTIF('USPTO TMs'!A:A,D10807)&gt;0,"Yes","No"),"")</f>
        <v/>
      </c>
      <c r="C10807" s="11"/>
      <c r="D10807" s="11"/>
      <c r="E10807" s="11"/>
      <c r="F10807" s="11"/>
      <c r="G10807" s="11"/>
      <c r="H10807" s="11"/>
      <c r="I10807" s="15"/>
    </row>
    <row r="10808" spans="1:9" ht="16.5">
      <c r="A10808" s="10" t="b">
        <v>0</v>
      </c>
      <c r="B10808" s="11" t="str">
        <f>IF(D10808&lt;&gt;"",IF(COUNTIF('USPTO TMs'!A:A,D10808)&gt;0,"Yes","No"),"")</f>
        <v/>
      </c>
      <c r="C10808" s="11"/>
      <c r="D10808" s="11"/>
      <c r="E10808" s="11"/>
      <c r="F10808" s="11"/>
      <c r="G10808" s="11"/>
      <c r="H10808" s="11"/>
      <c r="I10808" s="15"/>
    </row>
    <row r="10809" spans="1:9" ht="16.5">
      <c r="A10809" s="10" t="b">
        <v>0</v>
      </c>
      <c r="B10809" s="11" t="str">
        <f>IF(D10809&lt;&gt;"",IF(COUNTIF('USPTO TMs'!A:A,D10809)&gt;0,"Yes","No"),"")</f>
        <v/>
      </c>
      <c r="C10809" s="11"/>
      <c r="D10809" s="11"/>
      <c r="E10809" s="11"/>
      <c r="F10809" s="11"/>
      <c r="G10809" s="11"/>
      <c r="H10809" s="11"/>
      <c r="I10809" s="15"/>
    </row>
    <row r="10810" spans="1:9" ht="16.5">
      <c r="A10810" s="10" t="b">
        <v>0</v>
      </c>
      <c r="B10810" s="11" t="str">
        <f>IF(D10810&lt;&gt;"",IF(COUNTIF('USPTO TMs'!A:A,D10810)&gt;0,"Yes","No"),"")</f>
        <v/>
      </c>
      <c r="C10810" s="11"/>
      <c r="D10810" s="11"/>
      <c r="E10810" s="11"/>
      <c r="F10810" s="11"/>
      <c r="G10810" s="11"/>
      <c r="H10810" s="11"/>
      <c r="I10810" s="15"/>
    </row>
    <row r="10811" spans="1:9" ht="16.5">
      <c r="A10811" s="10" t="b">
        <v>0</v>
      </c>
      <c r="B10811" s="11" t="str">
        <f>IF(D10811&lt;&gt;"",IF(COUNTIF('USPTO TMs'!A:A,D10811)&gt;0,"Yes","No"),"")</f>
        <v/>
      </c>
      <c r="C10811" s="11"/>
      <c r="D10811" s="11"/>
      <c r="E10811" s="11"/>
      <c r="F10811" s="11"/>
      <c r="G10811" s="11"/>
      <c r="H10811" s="11"/>
      <c r="I10811" s="15"/>
    </row>
    <row r="10812" spans="1:9" ht="16.5">
      <c r="A10812" s="10" t="b">
        <v>0</v>
      </c>
      <c r="B10812" s="11" t="str">
        <f>IF(D10812&lt;&gt;"",IF(COUNTIF('USPTO TMs'!A:A,D10812)&gt;0,"Yes","No"),"")</f>
        <v/>
      </c>
      <c r="C10812" s="11"/>
      <c r="D10812" s="11"/>
      <c r="E10812" s="11"/>
      <c r="F10812" s="11"/>
      <c r="G10812" s="11"/>
      <c r="H10812" s="11"/>
      <c r="I10812" s="15"/>
    </row>
    <row r="10813" spans="1:9" ht="16.5">
      <c r="A10813" s="10" t="b">
        <v>0</v>
      </c>
      <c r="B10813" s="11" t="str">
        <f>IF(D10813&lt;&gt;"",IF(COUNTIF('USPTO TMs'!A:A,D10813)&gt;0,"Yes","No"),"")</f>
        <v/>
      </c>
      <c r="C10813" s="11"/>
      <c r="D10813" s="11"/>
      <c r="E10813" s="11"/>
      <c r="F10813" s="11"/>
      <c r="G10813" s="11"/>
      <c r="H10813" s="11"/>
      <c r="I10813" s="15"/>
    </row>
    <row r="10814" spans="1:9" ht="16.5">
      <c r="A10814" s="10" t="b">
        <v>0</v>
      </c>
      <c r="B10814" s="11" t="str">
        <f>IF(D10814&lt;&gt;"",IF(COUNTIF('USPTO TMs'!A:A,D10814)&gt;0,"Yes","No"),"")</f>
        <v/>
      </c>
      <c r="C10814" s="11"/>
      <c r="D10814" s="11"/>
      <c r="E10814" s="11"/>
      <c r="F10814" s="11"/>
      <c r="G10814" s="11"/>
      <c r="H10814" s="11"/>
      <c r="I10814" s="15"/>
    </row>
    <row r="10815" spans="1:9" ht="16.5">
      <c r="A10815" s="10" t="b">
        <v>0</v>
      </c>
      <c r="B10815" s="11" t="str">
        <f>IF(D10815&lt;&gt;"",IF(COUNTIF('USPTO TMs'!A:A,D10815)&gt;0,"Yes","No"),"")</f>
        <v/>
      </c>
      <c r="C10815" s="11"/>
      <c r="D10815" s="11"/>
      <c r="E10815" s="11"/>
      <c r="F10815" s="11"/>
      <c r="G10815" s="11"/>
      <c r="H10815" s="11"/>
      <c r="I10815" s="15"/>
    </row>
    <row r="10816" spans="1:9" ht="16.5">
      <c r="A10816" s="10" t="b">
        <v>0</v>
      </c>
      <c r="B10816" s="11" t="str">
        <f>IF(D10816&lt;&gt;"",IF(COUNTIF('USPTO TMs'!A:A,D10816)&gt;0,"Yes","No"),"")</f>
        <v/>
      </c>
      <c r="C10816" s="11"/>
      <c r="D10816" s="11"/>
      <c r="E10816" s="11"/>
      <c r="F10816" s="11"/>
      <c r="G10816" s="11"/>
      <c r="H10816" s="11"/>
      <c r="I10816" s="15"/>
    </row>
    <row r="10817" spans="1:9" ht="16.5">
      <c r="A10817" s="10" t="b">
        <v>0</v>
      </c>
      <c r="B10817" s="11" t="str">
        <f>IF(D10817&lt;&gt;"",IF(COUNTIF('USPTO TMs'!A:A,D10817)&gt;0,"Yes","No"),"")</f>
        <v/>
      </c>
      <c r="C10817" s="11"/>
      <c r="D10817" s="11"/>
      <c r="E10817" s="11"/>
      <c r="F10817" s="11"/>
      <c r="G10817" s="11"/>
      <c r="H10817" s="11"/>
      <c r="I10817" s="15"/>
    </row>
    <row r="10818" spans="1:9" ht="16.5">
      <c r="A10818" s="10" t="b">
        <v>0</v>
      </c>
      <c r="B10818" s="11" t="str">
        <f>IF(D10818&lt;&gt;"",IF(COUNTIF('USPTO TMs'!A:A,D10818)&gt;0,"Yes","No"),"")</f>
        <v/>
      </c>
      <c r="C10818" s="11"/>
      <c r="D10818" s="11"/>
      <c r="E10818" s="11"/>
      <c r="F10818" s="11"/>
      <c r="G10818" s="11"/>
      <c r="H10818" s="11"/>
      <c r="I10818" s="15"/>
    </row>
    <row r="10819" spans="1:9" ht="16.5">
      <c r="A10819" s="10" t="b">
        <v>0</v>
      </c>
      <c r="B10819" s="11" t="str">
        <f>IF(D10819&lt;&gt;"",IF(COUNTIF('USPTO TMs'!A:A,D10819)&gt;0,"Yes","No"),"")</f>
        <v/>
      </c>
      <c r="C10819" s="11"/>
      <c r="D10819" s="11"/>
      <c r="E10819" s="11"/>
      <c r="F10819" s="11"/>
      <c r="G10819" s="11"/>
      <c r="H10819" s="11"/>
      <c r="I10819" s="15"/>
    </row>
    <row r="10820" spans="1:9" ht="16.5">
      <c r="A10820" s="10" t="b">
        <v>0</v>
      </c>
      <c r="B10820" s="11" t="str">
        <f>IF(D10820&lt;&gt;"",IF(COUNTIF('USPTO TMs'!A:A,D10820)&gt;0,"Yes","No"),"")</f>
        <v/>
      </c>
      <c r="C10820" s="11"/>
      <c r="D10820" s="11"/>
      <c r="E10820" s="11"/>
      <c r="F10820" s="11"/>
      <c r="G10820" s="11"/>
      <c r="H10820" s="11"/>
      <c r="I10820" s="15"/>
    </row>
    <row r="10821" spans="1:9" ht="16.5">
      <c r="A10821" s="10" t="b">
        <v>0</v>
      </c>
      <c r="B10821" s="11" t="str">
        <f>IF(D10821&lt;&gt;"",IF(COUNTIF('USPTO TMs'!A:A,D10821)&gt;0,"Yes","No"),"")</f>
        <v/>
      </c>
      <c r="C10821" s="11"/>
      <c r="D10821" s="11"/>
      <c r="E10821" s="11"/>
      <c r="F10821" s="11"/>
      <c r="G10821" s="11"/>
      <c r="H10821" s="11"/>
      <c r="I10821" s="15"/>
    </row>
    <row r="10822" spans="1:9" ht="16.5">
      <c r="A10822" s="10" t="b">
        <v>0</v>
      </c>
      <c r="B10822" s="11" t="str">
        <f>IF(D10822&lt;&gt;"",IF(COUNTIF('USPTO TMs'!A:A,D10822)&gt;0,"Yes","No"),"")</f>
        <v/>
      </c>
      <c r="C10822" s="11"/>
      <c r="D10822" s="11"/>
      <c r="E10822" s="11"/>
      <c r="F10822" s="11"/>
      <c r="G10822" s="11"/>
      <c r="H10822" s="11"/>
      <c r="I10822" s="15"/>
    </row>
    <row r="10823" spans="1:9" ht="16.5">
      <c r="A10823" s="10" t="b">
        <v>0</v>
      </c>
      <c r="B10823" s="11" t="str">
        <f>IF(D10823&lt;&gt;"",IF(COUNTIF('USPTO TMs'!A:A,D10823)&gt;0,"Yes","No"),"")</f>
        <v/>
      </c>
      <c r="C10823" s="11"/>
      <c r="D10823" s="11"/>
      <c r="E10823" s="11"/>
      <c r="F10823" s="11"/>
      <c r="G10823" s="11"/>
      <c r="H10823" s="11"/>
      <c r="I10823" s="15"/>
    </row>
    <row r="10824" spans="1:9" ht="16.5">
      <c r="A10824" s="10" t="b">
        <v>0</v>
      </c>
      <c r="B10824" s="11" t="str">
        <f>IF(D10824&lt;&gt;"",IF(COUNTIF('USPTO TMs'!A:A,D10824)&gt;0,"Yes","No"),"")</f>
        <v/>
      </c>
      <c r="C10824" s="11"/>
      <c r="D10824" s="11"/>
      <c r="E10824" s="11"/>
      <c r="F10824" s="11"/>
      <c r="G10824" s="11"/>
      <c r="H10824" s="11"/>
      <c r="I10824" s="15"/>
    </row>
    <row r="10825" spans="1:9" ht="16.5">
      <c r="A10825" s="10" t="b">
        <v>0</v>
      </c>
      <c r="B10825" s="11" t="str">
        <f>IF(D10825&lt;&gt;"",IF(COUNTIF('USPTO TMs'!A:A,D10825)&gt;0,"Yes","No"),"")</f>
        <v/>
      </c>
      <c r="C10825" s="11"/>
      <c r="D10825" s="11"/>
      <c r="E10825" s="11"/>
      <c r="F10825" s="11"/>
      <c r="G10825" s="11"/>
      <c r="H10825" s="11"/>
      <c r="I10825" s="15"/>
    </row>
    <row r="10826" spans="1:9" ht="16.5">
      <c r="A10826" s="10" t="b">
        <v>0</v>
      </c>
      <c r="B10826" s="11" t="str">
        <f>IF(D10826&lt;&gt;"",IF(COUNTIF('USPTO TMs'!A:A,D10826)&gt;0,"Yes","No"),"")</f>
        <v/>
      </c>
      <c r="C10826" s="11"/>
      <c r="D10826" s="11"/>
      <c r="E10826" s="11"/>
      <c r="F10826" s="11"/>
      <c r="G10826" s="11"/>
      <c r="H10826" s="11"/>
      <c r="I10826" s="15"/>
    </row>
    <row r="10827" spans="1:9" ht="16.5">
      <c r="A10827" s="10" t="b">
        <v>0</v>
      </c>
      <c r="B10827" s="11" t="str">
        <f>IF(D10827&lt;&gt;"",IF(COUNTIF('USPTO TMs'!A:A,D10827)&gt;0,"Yes","No"),"")</f>
        <v/>
      </c>
      <c r="C10827" s="11"/>
      <c r="D10827" s="11"/>
      <c r="E10827" s="11"/>
      <c r="F10827" s="11"/>
      <c r="G10827" s="11"/>
      <c r="H10827" s="11"/>
      <c r="I10827" s="15"/>
    </row>
    <row r="10828" spans="1:9" ht="16.5">
      <c r="A10828" s="10" t="b">
        <v>0</v>
      </c>
      <c r="B10828" s="11" t="str">
        <f>IF(D10828&lt;&gt;"",IF(COUNTIF('USPTO TMs'!A:A,D10828)&gt;0,"Yes","No"),"")</f>
        <v/>
      </c>
      <c r="C10828" s="11"/>
      <c r="D10828" s="11"/>
      <c r="E10828" s="11"/>
      <c r="F10828" s="11"/>
      <c r="G10828" s="11"/>
      <c r="H10828" s="11"/>
      <c r="I10828" s="15"/>
    </row>
    <row r="10829" spans="1:9" ht="16.5">
      <c r="A10829" s="10" t="b">
        <v>0</v>
      </c>
      <c r="B10829" s="11" t="str">
        <f>IF(D10829&lt;&gt;"",IF(COUNTIF('USPTO TMs'!A:A,D10829)&gt;0,"Yes","No"),"")</f>
        <v/>
      </c>
      <c r="C10829" s="11"/>
      <c r="D10829" s="11"/>
      <c r="E10829" s="11"/>
      <c r="F10829" s="11"/>
      <c r="G10829" s="11"/>
      <c r="H10829" s="11"/>
      <c r="I10829" s="15"/>
    </row>
    <row r="10830" spans="1:9" ht="16.5">
      <c r="A10830" s="10" t="b">
        <v>0</v>
      </c>
      <c r="B10830" s="11" t="str">
        <f>IF(D10830&lt;&gt;"",IF(COUNTIF('USPTO TMs'!A:A,D10830)&gt;0,"Yes","No"),"")</f>
        <v/>
      </c>
      <c r="C10830" s="11"/>
      <c r="D10830" s="11"/>
      <c r="E10830" s="11"/>
      <c r="F10830" s="11"/>
      <c r="G10830" s="11"/>
      <c r="H10830" s="11"/>
      <c r="I10830" s="15"/>
    </row>
    <row r="10831" spans="1:9" ht="16.5">
      <c r="A10831" s="10" t="b">
        <v>0</v>
      </c>
      <c r="B10831" s="11" t="str">
        <f>IF(D10831&lt;&gt;"",IF(COUNTIF('USPTO TMs'!A:A,D10831)&gt;0,"Yes","No"),"")</f>
        <v/>
      </c>
      <c r="C10831" s="11"/>
      <c r="D10831" s="11"/>
      <c r="E10831" s="11"/>
      <c r="F10831" s="11"/>
      <c r="G10831" s="11"/>
      <c r="H10831" s="11"/>
      <c r="I10831" s="15"/>
    </row>
    <row r="10832" spans="1:9" ht="16.5">
      <c r="A10832" s="10" t="b">
        <v>0</v>
      </c>
      <c r="B10832" s="11" t="str">
        <f>IF(D10832&lt;&gt;"",IF(COUNTIF('USPTO TMs'!A:A,D10832)&gt;0,"Yes","No"),"")</f>
        <v/>
      </c>
      <c r="C10832" s="11"/>
      <c r="D10832" s="11"/>
      <c r="E10832" s="11"/>
      <c r="F10832" s="11"/>
      <c r="G10832" s="11"/>
      <c r="H10832" s="11"/>
      <c r="I10832" s="15"/>
    </row>
    <row r="10833" spans="1:9" ht="16.5">
      <c r="A10833" s="10" t="b">
        <v>0</v>
      </c>
      <c r="B10833" s="11" t="str">
        <f>IF(D10833&lt;&gt;"",IF(COUNTIF('USPTO TMs'!A:A,D10833)&gt;0,"Yes","No"),"")</f>
        <v/>
      </c>
      <c r="C10833" s="11"/>
      <c r="D10833" s="11"/>
      <c r="E10833" s="11"/>
      <c r="F10833" s="11"/>
      <c r="G10833" s="11"/>
      <c r="H10833" s="11"/>
      <c r="I10833" s="15"/>
    </row>
    <row r="10834" spans="1:9" ht="16.5">
      <c r="A10834" s="10" t="b">
        <v>0</v>
      </c>
      <c r="B10834" s="11" t="str">
        <f>IF(D10834&lt;&gt;"",IF(COUNTIF('USPTO TMs'!A:A,D10834)&gt;0,"Yes","No"),"")</f>
        <v/>
      </c>
      <c r="C10834" s="11"/>
      <c r="D10834" s="11"/>
      <c r="E10834" s="11"/>
      <c r="F10834" s="11"/>
      <c r="G10834" s="11"/>
      <c r="H10834" s="11"/>
      <c r="I10834" s="15"/>
    </row>
    <row r="10835" spans="1:9" ht="16.5">
      <c r="A10835" s="10" t="b">
        <v>0</v>
      </c>
      <c r="B10835" s="11" t="str">
        <f>IF(D10835&lt;&gt;"",IF(COUNTIF('USPTO TMs'!A:A,D10835)&gt;0,"Yes","No"),"")</f>
        <v/>
      </c>
      <c r="C10835" s="11"/>
      <c r="D10835" s="11"/>
      <c r="E10835" s="11"/>
      <c r="F10835" s="11"/>
      <c r="G10835" s="11"/>
      <c r="H10835" s="11"/>
      <c r="I10835" s="15"/>
    </row>
    <row r="10836" spans="1:9" ht="16.5">
      <c r="A10836" s="10" t="b">
        <v>0</v>
      </c>
      <c r="B10836" s="11" t="str">
        <f>IF(D10836&lt;&gt;"",IF(COUNTIF('USPTO TMs'!A:A,D10836)&gt;0,"Yes","No"),"")</f>
        <v/>
      </c>
      <c r="C10836" s="11"/>
      <c r="D10836" s="11"/>
      <c r="E10836" s="11"/>
      <c r="F10836" s="11"/>
      <c r="G10836" s="11"/>
      <c r="H10836" s="11"/>
      <c r="I10836" s="15"/>
    </row>
    <row r="10837" spans="1:9" ht="16.5">
      <c r="A10837" s="10" t="b">
        <v>0</v>
      </c>
      <c r="B10837" s="11" t="str">
        <f>IF(D10837&lt;&gt;"",IF(COUNTIF('USPTO TMs'!A:A,D10837)&gt;0,"Yes","No"),"")</f>
        <v/>
      </c>
      <c r="C10837" s="11"/>
      <c r="D10837" s="11"/>
      <c r="E10837" s="11"/>
      <c r="F10837" s="11"/>
      <c r="G10837" s="11"/>
      <c r="H10837" s="11"/>
      <c r="I10837" s="15"/>
    </row>
    <row r="10838" spans="1:9" ht="16.5">
      <c r="A10838" s="10" t="b">
        <v>0</v>
      </c>
      <c r="B10838" s="11" t="str">
        <f>IF(D10838&lt;&gt;"",IF(COUNTIF('USPTO TMs'!A:A,D10838)&gt;0,"Yes","No"),"")</f>
        <v/>
      </c>
      <c r="C10838" s="11"/>
      <c r="D10838" s="11"/>
      <c r="E10838" s="11"/>
      <c r="F10838" s="11"/>
      <c r="G10838" s="11"/>
      <c r="H10838" s="11"/>
      <c r="I10838" s="15"/>
    </row>
    <row r="10839" spans="1:9" ht="16.5">
      <c r="A10839" s="10" t="b">
        <v>0</v>
      </c>
      <c r="B10839" s="11" t="str">
        <f>IF(D10839&lt;&gt;"",IF(COUNTIF('USPTO TMs'!A:A,D10839)&gt;0,"Yes","No"),"")</f>
        <v/>
      </c>
      <c r="C10839" s="11"/>
      <c r="D10839" s="11"/>
      <c r="E10839" s="11"/>
      <c r="F10839" s="11"/>
      <c r="G10839" s="11"/>
      <c r="H10839" s="11"/>
      <c r="I10839" s="15"/>
    </row>
    <row r="10840" spans="1:9" ht="16.5">
      <c r="A10840" s="10" t="b">
        <v>0</v>
      </c>
      <c r="B10840" s="11" t="str">
        <f>IF(D10840&lt;&gt;"",IF(COUNTIF('USPTO TMs'!A:A,D10840)&gt;0,"Yes","No"),"")</f>
        <v/>
      </c>
      <c r="C10840" s="11"/>
      <c r="D10840" s="11"/>
      <c r="E10840" s="11"/>
      <c r="F10840" s="11"/>
      <c r="G10840" s="11"/>
      <c r="H10840" s="11"/>
      <c r="I10840" s="15"/>
    </row>
    <row r="10841" spans="1:9" ht="16.5">
      <c r="A10841" s="10" t="b">
        <v>0</v>
      </c>
      <c r="B10841" s="11" t="str">
        <f>IF(D10841&lt;&gt;"",IF(COUNTIF('USPTO TMs'!A:A,D10841)&gt;0,"Yes","No"),"")</f>
        <v/>
      </c>
      <c r="C10841" s="11"/>
      <c r="D10841" s="11"/>
      <c r="E10841" s="11"/>
      <c r="F10841" s="11"/>
      <c r="G10841" s="11"/>
      <c r="H10841" s="11"/>
      <c r="I10841" s="15"/>
    </row>
    <row r="10842" spans="1:9" ht="16.5">
      <c r="A10842" s="10" t="b">
        <v>0</v>
      </c>
      <c r="B10842" s="11" t="str">
        <f>IF(D10842&lt;&gt;"",IF(COUNTIF('USPTO TMs'!A:A,D10842)&gt;0,"Yes","No"),"")</f>
        <v/>
      </c>
      <c r="C10842" s="11"/>
      <c r="D10842" s="11"/>
      <c r="E10842" s="11"/>
      <c r="F10842" s="11"/>
      <c r="G10842" s="11"/>
      <c r="H10842" s="11"/>
      <c r="I10842" s="15"/>
    </row>
    <row r="10843" spans="1:9" ht="16.5">
      <c r="A10843" s="10" t="b">
        <v>0</v>
      </c>
      <c r="B10843" s="11" t="str">
        <f>IF(D10843&lt;&gt;"",IF(COUNTIF('USPTO TMs'!A:A,D10843)&gt;0,"Yes","No"),"")</f>
        <v/>
      </c>
      <c r="C10843" s="11"/>
      <c r="D10843" s="11"/>
      <c r="E10843" s="11"/>
      <c r="F10843" s="11"/>
      <c r="G10843" s="11"/>
      <c r="H10843" s="11"/>
      <c r="I10843" s="15"/>
    </row>
    <row r="10844" spans="1:9" ht="16.5">
      <c r="A10844" s="10" t="b">
        <v>0</v>
      </c>
      <c r="B10844" s="11" t="str">
        <f>IF(D10844&lt;&gt;"",IF(COUNTIF('USPTO TMs'!A:A,D10844)&gt;0,"Yes","No"),"")</f>
        <v/>
      </c>
      <c r="C10844" s="11"/>
      <c r="D10844" s="11"/>
      <c r="E10844" s="11"/>
      <c r="F10844" s="11"/>
      <c r="G10844" s="11"/>
      <c r="H10844" s="11"/>
      <c r="I10844" s="15"/>
    </row>
    <row r="10845" spans="1:9" ht="16.5">
      <c r="A10845" s="10" t="b">
        <v>0</v>
      </c>
      <c r="B10845" s="11" t="str">
        <f>IF(D10845&lt;&gt;"",IF(COUNTIF('USPTO TMs'!A:A,D10845)&gt;0,"Yes","No"),"")</f>
        <v/>
      </c>
      <c r="C10845" s="11"/>
      <c r="D10845" s="11"/>
      <c r="E10845" s="11"/>
      <c r="F10845" s="11"/>
      <c r="G10845" s="11"/>
      <c r="H10845" s="11"/>
      <c r="I10845" s="15"/>
    </row>
    <row r="10846" spans="1:9" ht="16.5">
      <c r="A10846" s="10" t="b">
        <v>0</v>
      </c>
      <c r="B10846" s="11" t="str">
        <f>IF(D10846&lt;&gt;"",IF(COUNTIF('USPTO TMs'!A:A,D10846)&gt;0,"Yes","No"),"")</f>
        <v/>
      </c>
      <c r="C10846" s="11"/>
      <c r="D10846" s="11"/>
      <c r="E10846" s="11"/>
      <c r="F10846" s="11"/>
      <c r="G10846" s="11"/>
      <c r="H10846" s="11"/>
      <c r="I10846" s="15"/>
    </row>
    <row r="10847" spans="1:9" ht="16.5">
      <c r="A10847" s="10" t="b">
        <v>0</v>
      </c>
      <c r="B10847" s="11" t="str">
        <f>IF(D10847&lt;&gt;"",IF(COUNTIF('USPTO TMs'!A:A,D10847)&gt;0,"Yes","No"),"")</f>
        <v/>
      </c>
      <c r="C10847" s="11"/>
      <c r="D10847" s="11"/>
      <c r="E10847" s="11"/>
      <c r="F10847" s="11"/>
      <c r="G10847" s="11"/>
      <c r="H10847" s="11"/>
      <c r="I10847" s="15"/>
    </row>
    <row r="10848" spans="1:9" ht="16.5">
      <c r="A10848" s="10" t="b">
        <v>0</v>
      </c>
      <c r="B10848" s="11" t="str">
        <f>IF(D10848&lt;&gt;"",IF(COUNTIF('USPTO TMs'!A:A,D10848)&gt;0,"Yes","No"),"")</f>
        <v/>
      </c>
      <c r="C10848" s="11"/>
      <c r="D10848" s="11"/>
      <c r="E10848" s="11"/>
      <c r="F10848" s="11"/>
      <c r="G10848" s="11"/>
      <c r="H10848" s="11"/>
      <c r="I10848" s="15"/>
    </row>
    <row r="10849" spans="1:9" ht="16.5">
      <c r="A10849" s="10" t="b">
        <v>0</v>
      </c>
      <c r="B10849" s="11" t="str">
        <f>IF(D10849&lt;&gt;"",IF(COUNTIF('USPTO TMs'!A:A,D10849)&gt;0,"Yes","No"),"")</f>
        <v/>
      </c>
      <c r="C10849" s="11"/>
      <c r="D10849" s="11"/>
      <c r="E10849" s="11"/>
      <c r="F10849" s="11"/>
      <c r="G10849" s="11"/>
      <c r="H10849" s="11"/>
      <c r="I10849" s="15"/>
    </row>
    <row r="10850" spans="1:9" ht="16.5">
      <c r="A10850" s="10" t="b">
        <v>0</v>
      </c>
      <c r="B10850" s="11" t="str">
        <f>IF(D10850&lt;&gt;"",IF(COUNTIF('USPTO TMs'!A:A,D10850)&gt;0,"Yes","No"),"")</f>
        <v/>
      </c>
      <c r="C10850" s="11"/>
      <c r="D10850" s="11"/>
      <c r="E10850" s="11"/>
      <c r="F10850" s="11"/>
      <c r="G10850" s="11"/>
      <c r="H10850" s="11"/>
      <c r="I10850" s="15"/>
    </row>
    <row r="10851" spans="1:9" ht="16.5">
      <c r="A10851" s="10" t="b">
        <v>0</v>
      </c>
      <c r="B10851" s="11" t="str">
        <f>IF(D10851&lt;&gt;"",IF(COUNTIF('USPTO TMs'!A:A,D10851)&gt;0,"Yes","No"),"")</f>
        <v/>
      </c>
      <c r="C10851" s="11"/>
      <c r="D10851" s="11"/>
      <c r="E10851" s="11"/>
      <c r="F10851" s="11"/>
      <c r="G10851" s="11"/>
      <c r="H10851" s="11"/>
      <c r="I10851" s="15"/>
    </row>
    <row r="10852" spans="1:9" ht="16.5">
      <c r="A10852" s="10" t="b">
        <v>0</v>
      </c>
      <c r="B10852" s="11" t="str">
        <f>IF(D10852&lt;&gt;"",IF(COUNTIF('USPTO TMs'!A:A,D10852)&gt;0,"Yes","No"),"")</f>
        <v/>
      </c>
      <c r="C10852" s="11"/>
      <c r="D10852" s="11"/>
      <c r="E10852" s="11"/>
      <c r="F10852" s="11"/>
      <c r="G10852" s="11"/>
      <c r="H10852" s="11"/>
      <c r="I10852" s="15"/>
    </row>
    <row r="10853" spans="1:9" ht="16.5">
      <c r="A10853" s="10" t="b">
        <v>0</v>
      </c>
      <c r="B10853" s="11" t="str">
        <f>IF(D10853&lt;&gt;"",IF(COUNTIF('USPTO TMs'!A:A,D10853)&gt;0,"Yes","No"),"")</f>
        <v/>
      </c>
      <c r="C10853" s="11"/>
      <c r="D10853" s="11"/>
      <c r="E10853" s="11"/>
      <c r="F10853" s="11"/>
      <c r="G10853" s="11"/>
      <c r="H10853" s="11"/>
      <c r="I10853" s="15"/>
    </row>
    <row r="10854" spans="1:9" ht="16.5">
      <c r="A10854" s="10" t="b">
        <v>0</v>
      </c>
      <c r="B10854" s="11" t="str">
        <f>IF(D10854&lt;&gt;"",IF(COUNTIF('USPTO TMs'!A:A,D10854)&gt;0,"Yes","No"),"")</f>
        <v/>
      </c>
      <c r="C10854" s="11"/>
      <c r="D10854" s="11"/>
      <c r="E10854" s="11"/>
      <c r="F10854" s="11"/>
      <c r="G10854" s="11"/>
      <c r="H10854" s="11"/>
      <c r="I10854" s="15"/>
    </row>
    <row r="10855" spans="1:9" ht="16.5">
      <c r="A10855" s="10" t="b">
        <v>0</v>
      </c>
      <c r="B10855" s="11" t="str">
        <f>IF(D10855&lt;&gt;"",IF(COUNTIF('USPTO TMs'!A:A,D10855)&gt;0,"Yes","No"),"")</f>
        <v/>
      </c>
      <c r="C10855" s="11"/>
      <c r="D10855" s="11"/>
      <c r="E10855" s="11"/>
      <c r="F10855" s="11"/>
      <c r="G10855" s="11"/>
      <c r="H10855" s="11"/>
      <c r="I10855" s="15"/>
    </row>
    <row r="10856" spans="1:9" ht="16.5">
      <c r="A10856" s="10" t="b">
        <v>0</v>
      </c>
      <c r="B10856" s="11" t="str">
        <f>IF(D10856&lt;&gt;"",IF(COUNTIF('USPTO TMs'!A:A,D10856)&gt;0,"Yes","No"),"")</f>
        <v/>
      </c>
      <c r="C10856" s="11"/>
      <c r="D10856" s="11"/>
      <c r="E10856" s="11"/>
      <c r="F10856" s="11"/>
      <c r="G10856" s="11"/>
      <c r="H10856" s="11"/>
      <c r="I10856" s="15"/>
    </row>
    <row r="10857" spans="1:9" ht="16.5">
      <c r="A10857" s="10" t="b">
        <v>0</v>
      </c>
      <c r="B10857" s="11" t="str">
        <f>IF(D10857&lt;&gt;"",IF(COUNTIF('USPTO TMs'!A:A,D10857)&gt;0,"Yes","No"),"")</f>
        <v/>
      </c>
      <c r="C10857" s="11"/>
      <c r="D10857" s="11"/>
      <c r="E10857" s="11"/>
      <c r="F10857" s="11"/>
      <c r="G10857" s="11"/>
      <c r="H10857" s="11"/>
      <c r="I10857" s="15"/>
    </row>
    <row r="10858" spans="1:9" ht="16.5">
      <c r="A10858" s="10" t="b">
        <v>0</v>
      </c>
      <c r="B10858" s="11" t="str">
        <f>IF(D10858&lt;&gt;"",IF(COUNTIF('USPTO TMs'!A:A,D10858)&gt;0,"Yes","No"),"")</f>
        <v/>
      </c>
      <c r="C10858" s="11"/>
      <c r="D10858" s="11"/>
      <c r="E10858" s="11"/>
      <c r="F10858" s="11"/>
      <c r="G10858" s="11"/>
      <c r="H10858" s="11"/>
      <c r="I10858" s="15"/>
    </row>
    <row r="10859" spans="1:9" ht="16.5">
      <c r="A10859" s="10" t="b">
        <v>0</v>
      </c>
      <c r="B10859" s="11" t="str">
        <f>IF(D10859&lt;&gt;"",IF(COUNTIF('USPTO TMs'!A:A,D10859)&gt;0,"Yes","No"),"")</f>
        <v/>
      </c>
      <c r="C10859" s="11"/>
      <c r="D10859" s="11"/>
      <c r="E10859" s="11"/>
      <c r="F10859" s="11"/>
      <c r="G10859" s="11"/>
      <c r="H10859" s="11"/>
      <c r="I10859" s="15"/>
    </row>
    <row r="10860" spans="1:9" ht="16.5">
      <c r="A10860" s="10" t="b">
        <v>0</v>
      </c>
      <c r="B10860" s="11" t="str">
        <f>IF(D10860&lt;&gt;"",IF(COUNTIF('USPTO TMs'!A:A,D10860)&gt;0,"Yes","No"),"")</f>
        <v/>
      </c>
      <c r="C10860" s="11"/>
      <c r="D10860" s="11"/>
      <c r="E10860" s="11"/>
      <c r="F10860" s="11"/>
      <c r="G10860" s="11"/>
      <c r="H10860" s="11"/>
      <c r="I10860" s="15"/>
    </row>
    <row r="10861" spans="1:9" ht="16.5">
      <c r="A10861" s="10" t="b">
        <v>0</v>
      </c>
      <c r="B10861" s="11" t="str">
        <f>IF(D10861&lt;&gt;"",IF(COUNTIF('USPTO TMs'!A:A,D10861)&gt;0,"Yes","No"),"")</f>
        <v/>
      </c>
      <c r="C10861" s="11"/>
      <c r="D10861" s="11"/>
      <c r="E10861" s="11"/>
      <c r="F10861" s="11"/>
      <c r="G10861" s="11"/>
      <c r="H10861" s="11"/>
      <c r="I10861" s="15"/>
    </row>
    <row r="10862" spans="1:9" ht="16.5">
      <c r="A10862" s="10" t="b">
        <v>0</v>
      </c>
      <c r="B10862" s="11" t="str">
        <f>IF(D10862&lt;&gt;"",IF(COUNTIF('USPTO TMs'!A:A,D10862)&gt;0,"Yes","No"),"")</f>
        <v/>
      </c>
      <c r="C10862" s="11"/>
      <c r="D10862" s="11"/>
      <c r="E10862" s="11"/>
      <c r="F10862" s="11"/>
      <c r="G10862" s="11"/>
      <c r="H10862" s="11"/>
      <c r="I10862" s="15"/>
    </row>
    <row r="10863" spans="1:9" ht="16.5">
      <c r="A10863" s="10" t="b">
        <v>0</v>
      </c>
      <c r="B10863" s="11" t="str">
        <f>IF(D10863&lt;&gt;"",IF(COUNTIF('USPTO TMs'!A:A,D10863)&gt;0,"Yes","No"),"")</f>
        <v/>
      </c>
      <c r="C10863" s="11"/>
      <c r="D10863" s="11"/>
      <c r="E10863" s="11"/>
      <c r="F10863" s="11"/>
      <c r="G10863" s="11"/>
      <c r="H10863" s="11"/>
      <c r="I10863" s="15"/>
    </row>
    <row r="10864" spans="1:9" ht="16.5">
      <c r="A10864" s="10" t="b">
        <v>0</v>
      </c>
      <c r="B10864" s="11" t="str">
        <f>IF(D10864&lt;&gt;"",IF(COUNTIF('USPTO TMs'!A:A,D10864)&gt;0,"Yes","No"),"")</f>
        <v/>
      </c>
      <c r="C10864" s="11"/>
      <c r="D10864" s="11"/>
      <c r="E10864" s="11"/>
      <c r="F10864" s="11"/>
      <c r="G10864" s="11"/>
      <c r="H10864" s="11"/>
      <c r="I10864" s="15"/>
    </row>
    <row r="10865" spans="1:9" ht="16.5">
      <c r="A10865" s="10" t="b">
        <v>0</v>
      </c>
      <c r="B10865" s="11" t="str">
        <f>IF(D10865&lt;&gt;"",IF(COUNTIF('USPTO TMs'!A:A,D10865)&gt;0,"Yes","No"),"")</f>
        <v/>
      </c>
      <c r="C10865" s="11"/>
      <c r="D10865" s="11"/>
      <c r="E10865" s="11"/>
      <c r="F10865" s="11"/>
      <c r="G10865" s="11"/>
      <c r="H10865" s="11"/>
      <c r="I10865" s="15"/>
    </row>
    <row r="10866" spans="1:9" ht="16.5">
      <c r="A10866" s="10" t="b">
        <v>0</v>
      </c>
      <c r="B10866" s="11" t="str">
        <f>IF(D10866&lt;&gt;"",IF(COUNTIF('USPTO TMs'!A:A,D10866)&gt;0,"Yes","No"),"")</f>
        <v/>
      </c>
      <c r="C10866" s="11"/>
      <c r="D10866" s="11"/>
      <c r="E10866" s="11"/>
      <c r="F10866" s="11"/>
      <c r="G10866" s="11"/>
      <c r="H10866" s="11"/>
      <c r="I10866" s="15"/>
    </row>
    <row r="10867" spans="1:9" ht="16.5">
      <c r="A10867" s="10" t="b">
        <v>0</v>
      </c>
      <c r="B10867" s="11" t="str">
        <f>IF(D10867&lt;&gt;"",IF(COUNTIF('USPTO TMs'!A:A,D10867)&gt;0,"Yes","No"),"")</f>
        <v/>
      </c>
      <c r="C10867" s="11"/>
      <c r="D10867" s="11"/>
      <c r="E10867" s="11"/>
      <c r="F10867" s="11"/>
      <c r="G10867" s="11"/>
      <c r="H10867" s="11"/>
      <c r="I10867" s="15"/>
    </row>
    <row r="10868" spans="1:9" ht="16.5">
      <c r="A10868" s="10" t="b">
        <v>0</v>
      </c>
      <c r="B10868" s="11" t="str">
        <f>IF(D10868&lt;&gt;"",IF(COUNTIF('USPTO TMs'!A:A,D10868)&gt;0,"Yes","No"),"")</f>
        <v/>
      </c>
      <c r="C10868" s="11"/>
      <c r="D10868" s="11"/>
      <c r="E10868" s="11"/>
      <c r="F10868" s="11"/>
      <c r="G10868" s="11"/>
      <c r="H10868" s="11"/>
      <c r="I10868" s="15"/>
    </row>
    <row r="10869" spans="1:9" ht="16.5">
      <c r="A10869" s="10" t="b">
        <v>0</v>
      </c>
      <c r="B10869" s="11" t="str">
        <f>IF(D10869&lt;&gt;"",IF(COUNTIF('USPTO TMs'!A:A,D10869)&gt;0,"Yes","No"),"")</f>
        <v/>
      </c>
      <c r="C10869" s="11"/>
      <c r="D10869" s="11"/>
      <c r="E10869" s="11"/>
      <c r="F10869" s="11"/>
      <c r="G10869" s="11"/>
      <c r="H10869" s="11"/>
      <c r="I10869" s="15"/>
    </row>
    <row r="10870" spans="1:9" ht="16.5">
      <c r="A10870" s="10" t="b">
        <v>0</v>
      </c>
      <c r="B10870" s="11" t="str">
        <f>IF(D10870&lt;&gt;"",IF(COUNTIF('USPTO TMs'!A:A,D10870)&gt;0,"Yes","No"),"")</f>
        <v/>
      </c>
      <c r="C10870" s="11"/>
      <c r="D10870" s="11"/>
      <c r="E10870" s="11"/>
      <c r="F10870" s="11"/>
      <c r="G10870" s="11"/>
      <c r="H10870" s="11"/>
      <c r="I10870" s="15"/>
    </row>
    <row r="10871" spans="1:9" ht="16.5">
      <c r="A10871" s="10" t="b">
        <v>0</v>
      </c>
      <c r="B10871" s="11" t="str">
        <f>IF(D10871&lt;&gt;"",IF(COUNTIF('USPTO TMs'!A:A,D10871)&gt;0,"Yes","No"),"")</f>
        <v/>
      </c>
      <c r="C10871" s="11"/>
      <c r="D10871" s="11"/>
      <c r="E10871" s="11"/>
      <c r="F10871" s="11"/>
      <c r="G10871" s="11"/>
      <c r="H10871" s="11"/>
      <c r="I10871" s="15"/>
    </row>
    <row r="10872" spans="1:9" ht="16.5">
      <c r="A10872" s="10" t="b">
        <v>0</v>
      </c>
      <c r="B10872" s="11" t="str">
        <f>IF(D10872&lt;&gt;"",IF(COUNTIF('USPTO TMs'!A:A,D10872)&gt;0,"Yes","No"),"")</f>
        <v/>
      </c>
      <c r="C10872" s="11"/>
      <c r="D10872" s="11"/>
      <c r="E10872" s="11"/>
      <c r="F10872" s="11"/>
      <c r="G10872" s="11"/>
      <c r="H10872" s="11"/>
      <c r="I10872" s="15"/>
    </row>
    <row r="10873" spans="1:9" ht="16.5">
      <c r="A10873" s="10" t="b">
        <v>0</v>
      </c>
      <c r="B10873" s="11" t="str">
        <f>IF(D10873&lt;&gt;"",IF(COUNTIF('USPTO TMs'!A:A,D10873)&gt;0,"Yes","No"),"")</f>
        <v/>
      </c>
      <c r="C10873" s="11"/>
      <c r="D10873" s="11"/>
      <c r="E10873" s="11"/>
      <c r="F10873" s="11"/>
      <c r="G10873" s="11"/>
      <c r="H10873" s="11"/>
      <c r="I10873" s="15"/>
    </row>
    <row r="10874" spans="1:9" ht="16.5">
      <c r="A10874" s="10" t="b">
        <v>0</v>
      </c>
      <c r="B10874" s="11" t="str">
        <f>IF(D10874&lt;&gt;"",IF(COUNTIF('USPTO TMs'!A:A,D10874)&gt;0,"Yes","No"),"")</f>
        <v/>
      </c>
      <c r="C10874" s="11"/>
      <c r="D10874" s="11"/>
      <c r="E10874" s="11"/>
      <c r="F10874" s="11"/>
      <c r="G10874" s="11"/>
      <c r="H10874" s="11"/>
      <c r="I10874" s="15"/>
    </row>
    <row r="10875" spans="1:9" ht="16.5">
      <c r="A10875" s="10" t="b">
        <v>0</v>
      </c>
      <c r="B10875" s="11" t="str">
        <f>IF(D10875&lt;&gt;"",IF(COUNTIF('USPTO TMs'!A:A,D10875)&gt;0,"Yes","No"),"")</f>
        <v/>
      </c>
      <c r="C10875" s="11"/>
      <c r="D10875" s="11"/>
      <c r="E10875" s="11"/>
      <c r="F10875" s="11"/>
      <c r="G10875" s="11"/>
      <c r="H10875" s="11"/>
      <c r="I10875" s="15"/>
    </row>
    <row r="10876" spans="1:9" ht="16.5">
      <c r="A10876" s="10" t="b">
        <v>0</v>
      </c>
      <c r="B10876" s="11" t="str">
        <f>IF(D10876&lt;&gt;"",IF(COUNTIF('USPTO TMs'!A:A,D10876)&gt;0,"Yes","No"),"")</f>
        <v/>
      </c>
      <c r="C10876" s="11"/>
      <c r="D10876" s="11"/>
      <c r="E10876" s="11"/>
      <c r="F10876" s="11"/>
      <c r="G10876" s="11"/>
      <c r="H10876" s="11"/>
      <c r="I10876" s="15"/>
    </row>
    <row r="10877" spans="1:9" ht="16.5">
      <c r="A10877" s="10" t="b">
        <v>0</v>
      </c>
      <c r="B10877" s="11" t="str">
        <f>IF(D10877&lt;&gt;"",IF(COUNTIF('USPTO TMs'!A:A,D10877)&gt;0,"Yes","No"),"")</f>
        <v/>
      </c>
      <c r="C10877" s="11"/>
      <c r="D10877" s="11"/>
      <c r="E10877" s="11"/>
      <c r="F10877" s="11"/>
      <c r="G10877" s="11"/>
      <c r="H10877" s="11"/>
      <c r="I10877" s="15"/>
    </row>
    <row r="10878" spans="1:9" ht="16.5">
      <c r="A10878" s="10" t="b">
        <v>0</v>
      </c>
      <c r="B10878" s="11" t="str">
        <f>IF(D10878&lt;&gt;"",IF(COUNTIF('USPTO TMs'!A:A,D10878)&gt;0,"Yes","No"),"")</f>
        <v/>
      </c>
      <c r="C10878" s="11"/>
      <c r="D10878" s="11"/>
      <c r="E10878" s="11"/>
      <c r="F10878" s="11"/>
      <c r="G10878" s="11"/>
      <c r="H10878" s="11"/>
      <c r="I10878" s="15"/>
    </row>
    <row r="10879" spans="1:9" ht="16.5">
      <c r="A10879" s="10" t="b">
        <v>0</v>
      </c>
      <c r="B10879" s="11" t="str">
        <f>IF(D10879&lt;&gt;"",IF(COUNTIF('USPTO TMs'!A:A,D10879)&gt;0,"Yes","No"),"")</f>
        <v/>
      </c>
      <c r="C10879" s="11"/>
      <c r="D10879" s="11"/>
      <c r="E10879" s="11"/>
      <c r="F10879" s="11"/>
      <c r="G10879" s="11"/>
      <c r="H10879" s="11"/>
      <c r="I10879" s="15"/>
    </row>
    <row r="10880" spans="1:9" ht="16.5">
      <c r="A10880" s="10" t="b">
        <v>0</v>
      </c>
      <c r="B10880" s="11" t="str">
        <f>IF(D10880&lt;&gt;"",IF(COUNTIF('USPTO TMs'!A:A,D10880)&gt;0,"Yes","No"),"")</f>
        <v/>
      </c>
      <c r="C10880" s="11"/>
      <c r="D10880" s="11"/>
      <c r="E10880" s="11"/>
      <c r="F10880" s="11"/>
      <c r="G10880" s="11"/>
      <c r="H10880" s="11"/>
      <c r="I10880" s="15"/>
    </row>
    <row r="10881" spans="1:9" ht="16.5">
      <c r="A10881" s="10" t="b">
        <v>0</v>
      </c>
      <c r="B10881" s="11" t="str">
        <f>IF(D10881&lt;&gt;"",IF(COUNTIF('USPTO TMs'!A:A,D10881)&gt;0,"Yes","No"),"")</f>
        <v/>
      </c>
      <c r="C10881" s="11"/>
      <c r="D10881" s="11"/>
      <c r="E10881" s="11"/>
      <c r="F10881" s="11"/>
      <c r="G10881" s="11"/>
      <c r="H10881" s="11"/>
      <c r="I10881" s="15"/>
    </row>
    <row r="10882" spans="1:9" ht="16.5">
      <c r="A10882" s="10" t="b">
        <v>0</v>
      </c>
      <c r="B10882" s="11" t="str">
        <f>IF(D10882&lt;&gt;"",IF(COUNTIF('USPTO TMs'!A:A,D10882)&gt;0,"Yes","No"),"")</f>
        <v/>
      </c>
      <c r="C10882" s="11"/>
      <c r="D10882" s="11"/>
      <c r="E10882" s="11"/>
      <c r="F10882" s="11"/>
      <c r="G10882" s="11"/>
      <c r="H10882" s="11"/>
      <c r="I10882" s="15"/>
    </row>
    <row r="10883" spans="1:9" ht="16.5">
      <c r="A10883" s="10" t="b">
        <v>0</v>
      </c>
      <c r="B10883" s="11" t="str">
        <f>IF(D10883&lt;&gt;"",IF(COUNTIF('USPTO TMs'!A:A,D10883)&gt;0,"Yes","No"),"")</f>
        <v/>
      </c>
      <c r="C10883" s="11"/>
      <c r="D10883" s="11"/>
      <c r="E10883" s="11"/>
      <c r="F10883" s="11"/>
      <c r="G10883" s="11"/>
      <c r="H10883" s="11"/>
      <c r="I10883" s="15"/>
    </row>
    <row r="10884" spans="1:9" ht="16.5">
      <c r="A10884" s="10" t="b">
        <v>0</v>
      </c>
      <c r="B10884" s="11" t="str">
        <f>IF(D10884&lt;&gt;"",IF(COUNTIF('USPTO TMs'!A:A,D10884)&gt;0,"Yes","No"),"")</f>
        <v/>
      </c>
      <c r="C10884" s="11"/>
      <c r="D10884" s="11"/>
      <c r="E10884" s="11"/>
      <c r="F10884" s="11"/>
      <c r="G10884" s="11"/>
      <c r="H10884" s="11"/>
      <c r="I10884" s="15"/>
    </row>
    <row r="10885" spans="1:9" ht="16.5">
      <c r="A10885" s="10" t="b">
        <v>0</v>
      </c>
      <c r="B10885" s="11" t="str">
        <f>IF(D10885&lt;&gt;"",IF(COUNTIF('USPTO TMs'!A:A,D10885)&gt;0,"Yes","No"),"")</f>
        <v/>
      </c>
      <c r="C10885" s="11"/>
      <c r="D10885" s="11"/>
      <c r="E10885" s="11"/>
      <c r="F10885" s="11"/>
      <c r="G10885" s="11"/>
      <c r="H10885" s="11"/>
      <c r="I10885" s="15"/>
    </row>
    <row r="10886" spans="1:9" ht="16.5">
      <c r="A10886" s="10" t="b">
        <v>0</v>
      </c>
      <c r="B10886" s="11" t="str">
        <f>IF(D10886&lt;&gt;"",IF(COUNTIF('USPTO TMs'!A:A,D10886)&gt;0,"Yes","No"),"")</f>
        <v/>
      </c>
      <c r="C10886" s="11"/>
      <c r="D10886" s="11"/>
      <c r="E10886" s="11"/>
      <c r="F10886" s="11"/>
      <c r="G10886" s="11"/>
      <c r="H10886" s="11"/>
      <c r="I10886" s="15"/>
    </row>
    <row r="10887" spans="1:9" ht="16.5">
      <c r="A10887" s="10" t="b">
        <v>0</v>
      </c>
      <c r="B10887" s="11" t="str">
        <f>IF(D10887&lt;&gt;"",IF(COUNTIF('USPTO TMs'!A:A,D10887)&gt;0,"Yes","No"),"")</f>
        <v/>
      </c>
      <c r="C10887" s="11"/>
      <c r="D10887" s="11"/>
      <c r="E10887" s="11"/>
      <c r="F10887" s="11"/>
      <c r="G10887" s="11"/>
      <c r="H10887" s="11"/>
      <c r="I10887" s="15"/>
    </row>
    <row r="10888" spans="1:9" ht="16.5">
      <c r="A10888" s="10" t="b">
        <v>0</v>
      </c>
      <c r="B10888" s="11" t="str">
        <f>IF(D10888&lt;&gt;"",IF(COUNTIF('USPTO TMs'!A:A,D10888)&gt;0,"Yes","No"),"")</f>
        <v/>
      </c>
      <c r="C10888" s="11"/>
      <c r="D10888" s="11"/>
      <c r="E10888" s="11"/>
      <c r="F10888" s="11"/>
      <c r="G10888" s="11"/>
      <c r="H10888" s="11"/>
      <c r="I10888" s="15"/>
    </row>
    <row r="10889" spans="1:9" ht="16.5">
      <c r="A10889" s="10" t="b">
        <v>0</v>
      </c>
      <c r="B10889" s="11" t="str">
        <f>IF(D10889&lt;&gt;"",IF(COUNTIF('USPTO TMs'!A:A,D10889)&gt;0,"Yes","No"),"")</f>
        <v/>
      </c>
      <c r="C10889" s="11"/>
      <c r="D10889" s="11"/>
      <c r="E10889" s="11"/>
      <c r="F10889" s="11"/>
      <c r="G10889" s="11"/>
      <c r="H10889" s="11"/>
      <c r="I10889" s="15"/>
    </row>
    <row r="10890" spans="1:9" ht="16.5">
      <c r="A10890" s="10" t="b">
        <v>0</v>
      </c>
      <c r="B10890" s="11" t="str">
        <f>IF(D10890&lt;&gt;"",IF(COUNTIF('USPTO TMs'!A:A,D10890)&gt;0,"Yes","No"),"")</f>
        <v/>
      </c>
      <c r="C10890" s="11"/>
      <c r="D10890" s="11"/>
      <c r="E10890" s="11"/>
      <c r="F10890" s="11"/>
      <c r="G10890" s="11"/>
      <c r="H10890" s="11"/>
      <c r="I10890" s="15"/>
    </row>
    <row r="10891" spans="1:9" ht="16.5">
      <c r="A10891" s="10" t="b">
        <v>0</v>
      </c>
      <c r="B10891" s="11" t="str">
        <f>IF(D10891&lt;&gt;"",IF(COUNTIF('USPTO TMs'!A:A,D10891)&gt;0,"Yes","No"),"")</f>
        <v/>
      </c>
      <c r="C10891" s="11"/>
      <c r="D10891" s="11"/>
      <c r="E10891" s="11"/>
      <c r="F10891" s="11"/>
      <c r="G10891" s="11"/>
      <c r="H10891" s="11"/>
      <c r="I10891" s="15"/>
    </row>
    <row r="10892" spans="1:9" ht="16.5">
      <c r="A10892" s="10" t="b">
        <v>0</v>
      </c>
      <c r="B10892" s="11" t="str">
        <f>IF(D10892&lt;&gt;"",IF(COUNTIF('USPTO TMs'!A:A,D10892)&gt;0,"Yes","No"),"")</f>
        <v/>
      </c>
      <c r="C10892" s="11"/>
      <c r="D10892" s="11"/>
      <c r="E10892" s="11"/>
      <c r="F10892" s="11"/>
      <c r="G10892" s="11"/>
      <c r="H10892" s="11"/>
      <c r="I10892" s="15"/>
    </row>
    <row r="10893" spans="1:9" ht="16.5">
      <c r="A10893" s="10" t="b">
        <v>0</v>
      </c>
      <c r="B10893" s="11" t="str">
        <f>IF(D10893&lt;&gt;"",IF(COUNTIF('USPTO TMs'!A:A,D10893)&gt;0,"Yes","No"),"")</f>
        <v/>
      </c>
      <c r="C10893" s="11"/>
      <c r="D10893" s="11"/>
      <c r="E10893" s="11"/>
      <c r="F10893" s="11"/>
      <c r="G10893" s="11"/>
      <c r="H10893" s="11"/>
      <c r="I10893" s="15"/>
    </row>
    <row r="10894" spans="1:9" ht="16.5">
      <c r="A10894" s="10" t="b">
        <v>0</v>
      </c>
      <c r="B10894" s="11" t="str">
        <f>IF(D10894&lt;&gt;"",IF(COUNTIF('USPTO TMs'!A:A,D10894)&gt;0,"Yes","No"),"")</f>
        <v/>
      </c>
      <c r="C10894" s="11"/>
      <c r="D10894" s="11"/>
      <c r="E10894" s="11"/>
      <c r="F10894" s="11"/>
      <c r="G10894" s="11"/>
      <c r="H10894" s="11"/>
      <c r="I10894" s="15"/>
    </row>
    <row r="10895" spans="1:9" ht="16.5">
      <c r="A10895" s="10" t="b">
        <v>0</v>
      </c>
      <c r="B10895" s="11" t="str">
        <f>IF(D10895&lt;&gt;"",IF(COUNTIF('USPTO TMs'!A:A,D10895)&gt;0,"Yes","No"),"")</f>
        <v/>
      </c>
      <c r="C10895" s="11"/>
      <c r="D10895" s="11"/>
      <c r="E10895" s="11"/>
      <c r="F10895" s="11"/>
      <c r="G10895" s="11"/>
      <c r="H10895" s="11"/>
      <c r="I10895" s="15"/>
    </row>
    <row r="10896" spans="1:9" ht="16.5">
      <c r="A10896" s="10" t="b">
        <v>0</v>
      </c>
      <c r="B10896" s="11" t="str">
        <f>IF(D10896&lt;&gt;"",IF(COUNTIF('USPTO TMs'!A:A,D10896)&gt;0,"Yes","No"),"")</f>
        <v/>
      </c>
      <c r="C10896" s="11"/>
      <c r="D10896" s="11"/>
      <c r="E10896" s="11"/>
      <c r="F10896" s="11"/>
      <c r="G10896" s="11"/>
      <c r="H10896" s="11"/>
      <c r="I10896" s="15"/>
    </row>
    <row r="10897" spans="1:9" ht="16.5">
      <c r="A10897" s="10" t="b">
        <v>0</v>
      </c>
      <c r="B10897" s="11" t="str">
        <f>IF(D10897&lt;&gt;"",IF(COUNTIF('USPTO TMs'!A:A,D10897)&gt;0,"Yes","No"),"")</f>
        <v/>
      </c>
      <c r="C10897" s="11"/>
      <c r="D10897" s="11"/>
      <c r="E10897" s="11"/>
      <c r="F10897" s="11"/>
      <c r="G10897" s="11"/>
      <c r="H10897" s="11"/>
      <c r="I10897" s="15"/>
    </row>
    <row r="10898" spans="1:9" ht="16.5">
      <c r="A10898" s="10" t="b">
        <v>0</v>
      </c>
      <c r="B10898" s="11" t="str">
        <f>IF(D10898&lt;&gt;"",IF(COUNTIF('USPTO TMs'!A:A,D10898)&gt;0,"Yes","No"),"")</f>
        <v/>
      </c>
      <c r="C10898" s="11"/>
      <c r="D10898" s="11"/>
      <c r="E10898" s="11"/>
      <c r="F10898" s="11"/>
      <c r="G10898" s="11"/>
      <c r="H10898" s="11"/>
      <c r="I10898" s="15"/>
    </row>
    <row r="10899" spans="1:9" ht="16.5">
      <c r="A10899" s="10" t="b">
        <v>0</v>
      </c>
      <c r="B10899" s="11" t="str">
        <f>IF(D10899&lt;&gt;"",IF(COUNTIF('USPTO TMs'!A:A,D10899)&gt;0,"Yes","No"),"")</f>
        <v/>
      </c>
      <c r="C10899" s="11"/>
      <c r="D10899" s="11"/>
      <c r="E10899" s="11"/>
      <c r="F10899" s="11"/>
      <c r="G10899" s="11"/>
      <c r="H10899" s="11"/>
      <c r="I10899" s="15"/>
    </row>
    <row r="10900" spans="1:9" ht="16.5">
      <c r="A10900" s="10" t="b">
        <v>0</v>
      </c>
      <c r="B10900" s="11" t="str">
        <f>IF(D10900&lt;&gt;"",IF(COUNTIF('USPTO TMs'!A:A,D10900)&gt;0,"Yes","No"),"")</f>
        <v/>
      </c>
      <c r="C10900" s="11"/>
      <c r="D10900" s="11"/>
      <c r="E10900" s="11"/>
      <c r="F10900" s="11"/>
      <c r="G10900" s="11"/>
      <c r="H10900" s="11"/>
      <c r="I10900" s="15"/>
    </row>
    <row r="10901" spans="1:9" ht="16.5">
      <c r="A10901" s="10" t="b">
        <v>0</v>
      </c>
      <c r="B10901" s="11" t="str">
        <f>IF(D10901&lt;&gt;"",IF(COUNTIF('USPTO TMs'!A:A,D10901)&gt;0,"Yes","No"),"")</f>
        <v/>
      </c>
      <c r="C10901" s="11"/>
      <c r="D10901" s="11"/>
      <c r="E10901" s="11"/>
      <c r="F10901" s="11"/>
      <c r="G10901" s="11"/>
      <c r="H10901" s="11"/>
      <c r="I10901" s="15"/>
    </row>
    <row r="10902" spans="1:9" ht="16.5">
      <c r="A10902" s="10" t="b">
        <v>0</v>
      </c>
      <c r="B10902" s="11" t="str">
        <f>IF(D10902&lt;&gt;"",IF(COUNTIF('USPTO TMs'!A:A,D10902)&gt;0,"Yes","No"),"")</f>
        <v/>
      </c>
      <c r="C10902" s="11"/>
      <c r="D10902" s="11"/>
      <c r="E10902" s="11"/>
      <c r="F10902" s="11"/>
      <c r="G10902" s="11"/>
      <c r="H10902" s="11"/>
      <c r="I10902" s="15"/>
    </row>
    <row r="10903" spans="1:9" ht="16.5">
      <c r="A10903" s="10" t="b">
        <v>0</v>
      </c>
      <c r="B10903" s="11" t="str">
        <f>IF(D10903&lt;&gt;"",IF(COUNTIF('USPTO TMs'!A:A,D10903)&gt;0,"Yes","No"),"")</f>
        <v/>
      </c>
      <c r="C10903" s="11"/>
      <c r="D10903" s="11"/>
      <c r="E10903" s="11"/>
      <c r="F10903" s="11"/>
      <c r="G10903" s="11"/>
      <c r="H10903" s="11"/>
      <c r="I10903" s="15"/>
    </row>
    <row r="10904" spans="1:9" ht="16.5">
      <c r="A10904" s="10" t="b">
        <v>0</v>
      </c>
      <c r="B10904" s="11" t="str">
        <f>IF(D10904&lt;&gt;"",IF(COUNTIF('USPTO TMs'!A:A,D10904)&gt;0,"Yes","No"),"")</f>
        <v/>
      </c>
      <c r="C10904" s="11"/>
      <c r="D10904" s="11"/>
      <c r="E10904" s="11"/>
      <c r="F10904" s="11"/>
      <c r="G10904" s="11"/>
      <c r="H10904" s="11"/>
      <c r="I10904" s="15"/>
    </row>
    <row r="10905" spans="1:9" ht="16.5">
      <c r="A10905" s="10" t="b">
        <v>0</v>
      </c>
      <c r="B10905" s="11" t="str">
        <f>IF(D10905&lt;&gt;"",IF(COUNTIF('USPTO TMs'!A:A,D10905)&gt;0,"Yes","No"),"")</f>
        <v/>
      </c>
      <c r="C10905" s="11"/>
      <c r="D10905" s="11"/>
      <c r="E10905" s="11"/>
      <c r="F10905" s="11"/>
      <c r="G10905" s="11"/>
      <c r="H10905" s="11"/>
      <c r="I10905" s="15"/>
    </row>
    <row r="10906" spans="1:9" ht="16.5">
      <c r="A10906" s="10" t="b">
        <v>0</v>
      </c>
      <c r="B10906" s="11" t="str">
        <f>IF(D10906&lt;&gt;"",IF(COUNTIF('USPTO TMs'!A:A,D10906)&gt;0,"Yes","No"),"")</f>
        <v/>
      </c>
      <c r="C10906" s="11"/>
      <c r="D10906" s="11"/>
      <c r="E10906" s="11"/>
      <c r="F10906" s="11"/>
      <c r="G10906" s="11"/>
      <c r="H10906" s="11"/>
      <c r="I10906" s="15"/>
    </row>
    <row r="10907" spans="1:9" ht="16.5">
      <c r="A10907" s="10" t="b">
        <v>0</v>
      </c>
      <c r="B10907" s="11" t="str">
        <f>IF(D10907&lt;&gt;"",IF(COUNTIF('USPTO TMs'!A:A,D10907)&gt;0,"Yes","No"),"")</f>
        <v/>
      </c>
      <c r="C10907" s="11"/>
      <c r="D10907" s="11"/>
      <c r="E10907" s="11"/>
      <c r="F10907" s="11"/>
      <c r="G10907" s="11"/>
      <c r="H10907" s="11"/>
      <c r="I10907" s="15"/>
    </row>
    <row r="10908" spans="1:9" ht="16.5">
      <c r="A10908" s="10" t="b">
        <v>0</v>
      </c>
      <c r="B10908" s="11" t="str">
        <f>IF(D10908&lt;&gt;"",IF(COUNTIF('USPTO TMs'!A:A,D10908)&gt;0,"Yes","No"),"")</f>
        <v/>
      </c>
      <c r="C10908" s="11"/>
      <c r="D10908" s="11"/>
      <c r="E10908" s="11"/>
      <c r="F10908" s="11"/>
      <c r="G10908" s="11"/>
      <c r="H10908" s="11"/>
      <c r="I10908" s="15"/>
    </row>
    <row r="10909" spans="1:9" ht="16.5">
      <c r="A10909" s="10" t="b">
        <v>0</v>
      </c>
      <c r="B10909" s="11" t="str">
        <f>IF(D10909&lt;&gt;"",IF(COUNTIF('USPTO TMs'!A:A,D10909)&gt;0,"Yes","No"),"")</f>
        <v/>
      </c>
      <c r="C10909" s="11"/>
      <c r="D10909" s="11"/>
      <c r="E10909" s="11"/>
      <c r="F10909" s="11"/>
      <c r="G10909" s="11"/>
      <c r="H10909" s="11"/>
      <c r="I10909" s="15"/>
    </row>
    <row r="10910" spans="1:9" ht="16.5">
      <c r="A10910" s="10" t="b">
        <v>0</v>
      </c>
      <c r="B10910" s="11" t="str">
        <f>IF(D10910&lt;&gt;"",IF(COUNTIF('USPTO TMs'!A:A,D10910)&gt;0,"Yes","No"),"")</f>
        <v/>
      </c>
      <c r="C10910" s="11"/>
      <c r="D10910" s="11"/>
      <c r="E10910" s="11"/>
      <c r="F10910" s="11"/>
      <c r="G10910" s="11"/>
      <c r="H10910" s="11"/>
      <c r="I10910" s="15"/>
    </row>
    <row r="10911" spans="1:9" ht="16.5">
      <c r="A10911" s="10" t="b">
        <v>0</v>
      </c>
      <c r="B10911" s="11" t="str">
        <f>IF(D10911&lt;&gt;"",IF(COUNTIF('USPTO TMs'!A:A,D10911)&gt;0,"Yes","No"),"")</f>
        <v/>
      </c>
      <c r="C10911" s="11"/>
      <c r="D10911" s="11"/>
      <c r="E10911" s="11"/>
      <c r="F10911" s="11"/>
      <c r="G10911" s="11"/>
      <c r="H10911" s="11"/>
      <c r="I10911" s="15"/>
    </row>
    <row r="10912" spans="1:9" ht="16.5">
      <c r="A10912" s="10" t="b">
        <v>0</v>
      </c>
      <c r="B10912" s="11" t="str">
        <f>IF(D10912&lt;&gt;"",IF(COUNTIF('USPTO TMs'!A:A,D10912)&gt;0,"Yes","No"),"")</f>
        <v/>
      </c>
      <c r="C10912" s="11"/>
      <c r="D10912" s="11"/>
      <c r="E10912" s="11"/>
      <c r="F10912" s="11"/>
      <c r="G10912" s="11"/>
      <c r="H10912" s="11"/>
      <c r="I10912" s="15"/>
    </row>
    <row r="10913" spans="1:9" ht="16.5">
      <c r="A10913" s="10" t="b">
        <v>0</v>
      </c>
      <c r="B10913" s="11" t="str">
        <f>IF(D10913&lt;&gt;"",IF(COUNTIF('USPTO TMs'!A:A,D10913)&gt;0,"Yes","No"),"")</f>
        <v/>
      </c>
      <c r="C10913" s="11"/>
      <c r="D10913" s="11"/>
      <c r="E10913" s="11"/>
      <c r="F10913" s="11"/>
      <c r="G10913" s="11"/>
      <c r="H10913" s="11"/>
      <c r="I10913" s="15"/>
    </row>
    <row r="10914" spans="1:9" ht="16.5">
      <c r="A10914" s="10" t="b">
        <v>0</v>
      </c>
      <c r="B10914" s="11" t="str">
        <f>IF(D10914&lt;&gt;"",IF(COUNTIF('USPTO TMs'!A:A,D10914)&gt;0,"Yes","No"),"")</f>
        <v/>
      </c>
      <c r="C10914" s="11"/>
      <c r="D10914" s="11"/>
      <c r="E10914" s="11"/>
      <c r="F10914" s="11"/>
      <c r="G10914" s="11"/>
      <c r="H10914" s="11"/>
      <c r="I10914" s="15"/>
    </row>
    <row r="10915" spans="1:9" ht="16.5">
      <c r="A10915" s="10" t="b">
        <v>0</v>
      </c>
      <c r="B10915" s="11" t="str">
        <f>IF(D10915&lt;&gt;"",IF(COUNTIF('USPTO TMs'!A:A,D10915)&gt;0,"Yes","No"),"")</f>
        <v/>
      </c>
      <c r="C10915" s="11"/>
      <c r="D10915" s="11"/>
      <c r="E10915" s="11"/>
      <c r="F10915" s="11"/>
      <c r="G10915" s="11"/>
      <c r="H10915" s="11"/>
      <c r="I10915" s="15"/>
    </row>
    <row r="10916" spans="1:9" ht="16.5">
      <c r="A10916" s="10" t="b">
        <v>0</v>
      </c>
      <c r="B10916" s="11" t="str">
        <f>IF(D10916&lt;&gt;"",IF(COUNTIF('USPTO TMs'!A:A,D10916)&gt;0,"Yes","No"),"")</f>
        <v/>
      </c>
      <c r="C10916" s="11"/>
      <c r="D10916" s="11"/>
      <c r="E10916" s="11"/>
      <c r="F10916" s="11"/>
      <c r="G10916" s="11"/>
      <c r="H10916" s="11"/>
      <c r="I10916" s="15"/>
    </row>
    <row r="10917" spans="1:9" ht="16.5">
      <c r="A10917" s="10" t="b">
        <v>0</v>
      </c>
      <c r="B10917" s="11" t="str">
        <f>IF(D10917&lt;&gt;"",IF(COUNTIF('USPTO TMs'!A:A,D10917)&gt;0,"Yes","No"),"")</f>
        <v/>
      </c>
      <c r="C10917" s="11"/>
      <c r="D10917" s="11"/>
      <c r="E10917" s="11"/>
      <c r="F10917" s="11"/>
      <c r="G10917" s="11"/>
      <c r="H10917" s="11"/>
      <c r="I10917" s="15"/>
    </row>
    <row r="10918" spans="1:9" ht="16.5">
      <c r="A10918" s="10" t="b">
        <v>0</v>
      </c>
      <c r="B10918" s="11" t="str">
        <f>IF(D10918&lt;&gt;"",IF(COUNTIF('USPTO TMs'!A:A,D10918)&gt;0,"Yes","No"),"")</f>
        <v/>
      </c>
      <c r="C10918" s="11"/>
      <c r="D10918" s="11"/>
      <c r="E10918" s="11"/>
      <c r="F10918" s="11"/>
      <c r="G10918" s="11"/>
      <c r="H10918" s="11"/>
      <c r="I10918" s="15"/>
    </row>
    <row r="10919" spans="1:9" ht="16.5">
      <c r="A10919" s="10" t="b">
        <v>0</v>
      </c>
      <c r="B10919" s="11" t="str">
        <f>IF(D10919&lt;&gt;"",IF(COUNTIF('USPTO TMs'!A:A,D10919)&gt;0,"Yes","No"),"")</f>
        <v/>
      </c>
      <c r="C10919" s="11"/>
      <c r="D10919" s="11"/>
      <c r="E10919" s="11"/>
      <c r="F10919" s="11"/>
      <c r="G10919" s="11"/>
      <c r="H10919" s="11"/>
      <c r="I10919" s="15"/>
    </row>
    <row r="10920" spans="1:9" ht="16.5">
      <c r="A10920" s="10" t="b">
        <v>0</v>
      </c>
      <c r="B10920" s="11" t="str">
        <f>IF(D10920&lt;&gt;"",IF(COUNTIF('USPTO TMs'!A:A,D10920)&gt;0,"Yes","No"),"")</f>
        <v/>
      </c>
      <c r="C10920" s="11"/>
      <c r="D10920" s="11"/>
      <c r="E10920" s="11"/>
      <c r="F10920" s="11"/>
      <c r="G10920" s="11"/>
      <c r="H10920" s="11"/>
      <c r="I10920" s="15"/>
    </row>
    <row r="10921" spans="1:9" ht="16.5">
      <c r="A10921" s="10" t="b">
        <v>0</v>
      </c>
      <c r="B10921" s="11" t="str">
        <f>IF(D10921&lt;&gt;"",IF(COUNTIF('USPTO TMs'!A:A,D10921)&gt;0,"Yes","No"),"")</f>
        <v/>
      </c>
      <c r="C10921" s="11"/>
      <c r="D10921" s="11"/>
      <c r="E10921" s="11"/>
      <c r="F10921" s="11"/>
      <c r="G10921" s="11"/>
      <c r="H10921" s="11"/>
      <c r="I10921" s="15"/>
    </row>
    <row r="10922" spans="1:9" ht="16.5">
      <c r="A10922" s="10" t="b">
        <v>0</v>
      </c>
      <c r="B10922" s="11" t="str">
        <f>IF(D10922&lt;&gt;"",IF(COUNTIF('USPTO TMs'!A:A,D10922)&gt;0,"Yes","No"),"")</f>
        <v/>
      </c>
      <c r="C10922" s="11"/>
      <c r="D10922" s="11"/>
      <c r="E10922" s="11"/>
      <c r="F10922" s="11"/>
      <c r="G10922" s="11"/>
      <c r="H10922" s="11"/>
      <c r="I10922" s="15"/>
    </row>
    <row r="10923" spans="1:9" ht="16.5">
      <c r="A10923" s="10" t="b">
        <v>0</v>
      </c>
      <c r="B10923" s="11" t="str">
        <f>IF(D10923&lt;&gt;"",IF(COUNTIF('USPTO TMs'!A:A,D10923)&gt;0,"Yes","No"),"")</f>
        <v/>
      </c>
      <c r="C10923" s="11"/>
      <c r="D10923" s="11"/>
      <c r="E10923" s="11"/>
      <c r="F10923" s="11"/>
      <c r="G10923" s="11"/>
      <c r="H10923" s="11"/>
      <c r="I10923" s="15"/>
    </row>
    <row r="10924" spans="1:9" ht="16.5">
      <c r="A10924" s="10" t="b">
        <v>0</v>
      </c>
      <c r="B10924" s="11" t="str">
        <f>IF(D10924&lt;&gt;"",IF(COUNTIF('USPTO TMs'!A:A,D10924)&gt;0,"Yes","No"),"")</f>
        <v/>
      </c>
      <c r="C10924" s="11"/>
      <c r="D10924" s="11"/>
      <c r="E10924" s="11"/>
      <c r="F10924" s="11"/>
      <c r="G10924" s="11"/>
      <c r="H10924" s="11"/>
      <c r="I10924" s="15"/>
    </row>
    <row r="10925" spans="1:9" ht="16.5">
      <c r="A10925" s="10" t="b">
        <v>0</v>
      </c>
      <c r="B10925" s="11" t="str">
        <f>IF(D10925&lt;&gt;"",IF(COUNTIF('USPTO TMs'!A:A,D10925)&gt;0,"Yes","No"),"")</f>
        <v/>
      </c>
      <c r="C10925" s="11"/>
      <c r="D10925" s="11"/>
      <c r="E10925" s="11"/>
      <c r="F10925" s="11"/>
      <c r="G10925" s="11"/>
      <c r="H10925" s="11"/>
      <c r="I10925" s="15"/>
    </row>
    <row r="10926" spans="1:9" ht="16.5">
      <c r="A10926" s="10" t="b">
        <v>0</v>
      </c>
      <c r="B10926" s="11" t="str">
        <f>IF(D10926&lt;&gt;"",IF(COUNTIF('USPTO TMs'!A:A,D10926)&gt;0,"Yes","No"),"")</f>
        <v/>
      </c>
      <c r="C10926" s="11"/>
      <c r="D10926" s="11"/>
      <c r="E10926" s="11"/>
      <c r="F10926" s="11"/>
      <c r="G10926" s="11"/>
      <c r="H10926" s="11"/>
      <c r="I10926" s="15"/>
    </row>
    <row r="10927" spans="1:9" ht="16.5">
      <c r="A10927" s="10" t="b">
        <v>0</v>
      </c>
      <c r="B10927" s="11" t="str">
        <f>IF(D10927&lt;&gt;"",IF(COUNTIF('USPTO TMs'!A:A,D10927)&gt;0,"Yes","No"),"")</f>
        <v/>
      </c>
      <c r="C10927" s="11"/>
      <c r="D10927" s="11"/>
      <c r="E10927" s="11"/>
      <c r="F10927" s="11"/>
      <c r="G10927" s="11"/>
      <c r="H10927" s="11"/>
      <c r="I10927" s="15"/>
    </row>
    <row r="10928" spans="1:9" ht="16.5">
      <c r="A10928" s="10" t="b">
        <v>0</v>
      </c>
      <c r="B10928" s="11" t="str">
        <f>IF(D10928&lt;&gt;"",IF(COUNTIF('USPTO TMs'!A:A,D10928)&gt;0,"Yes","No"),"")</f>
        <v/>
      </c>
      <c r="C10928" s="11"/>
      <c r="D10928" s="11"/>
      <c r="E10928" s="11"/>
      <c r="F10928" s="11"/>
      <c r="G10928" s="11"/>
      <c r="H10928" s="11"/>
      <c r="I10928" s="15"/>
    </row>
    <row r="10929" spans="1:9" ht="16.5">
      <c r="A10929" s="10" t="b">
        <v>0</v>
      </c>
      <c r="B10929" s="11" t="str">
        <f>IF(D10929&lt;&gt;"",IF(COUNTIF('USPTO TMs'!A:A,D10929)&gt;0,"Yes","No"),"")</f>
        <v/>
      </c>
      <c r="C10929" s="11"/>
      <c r="D10929" s="11"/>
      <c r="E10929" s="11"/>
      <c r="F10929" s="11"/>
      <c r="G10929" s="11"/>
      <c r="H10929" s="11"/>
      <c r="I10929" s="15"/>
    </row>
    <row r="10930" spans="1:9" ht="16.5">
      <c r="A10930" s="10" t="b">
        <v>0</v>
      </c>
      <c r="B10930" s="11" t="str">
        <f>IF(D10930&lt;&gt;"",IF(COUNTIF('USPTO TMs'!A:A,D10930)&gt;0,"Yes","No"),"")</f>
        <v/>
      </c>
      <c r="C10930" s="11"/>
      <c r="D10930" s="11"/>
      <c r="E10930" s="11"/>
      <c r="F10930" s="11"/>
      <c r="G10930" s="11"/>
      <c r="H10930" s="11"/>
      <c r="I10930" s="15"/>
    </row>
    <row r="10931" spans="1:9" ht="16.5">
      <c r="A10931" s="10" t="b">
        <v>0</v>
      </c>
      <c r="B10931" s="11" t="str">
        <f>IF(D10931&lt;&gt;"",IF(COUNTIF('USPTO TMs'!A:A,D10931)&gt;0,"Yes","No"),"")</f>
        <v/>
      </c>
      <c r="C10931" s="11"/>
      <c r="D10931" s="11"/>
      <c r="E10931" s="11"/>
      <c r="F10931" s="11"/>
      <c r="G10931" s="11"/>
      <c r="H10931" s="11"/>
      <c r="I10931" s="15"/>
    </row>
    <row r="10932" spans="1:9" ht="16.5">
      <c r="A10932" s="10" t="b">
        <v>0</v>
      </c>
      <c r="B10932" s="11" t="str">
        <f>IF(D10932&lt;&gt;"",IF(COUNTIF('USPTO TMs'!A:A,D10932)&gt;0,"Yes","No"),"")</f>
        <v/>
      </c>
      <c r="C10932" s="11"/>
      <c r="D10932" s="11"/>
      <c r="E10932" s="11"/>
      <c r="F10932" s="11"/>
      <c r="G10932" s="11"/>
      <c r="H10932" s="11"/>
      <c r="I10932" s="15"/>
    </row>
    <row r="10933" spans="1:9" ht="16.5">
      <c r="A10933" s="10" t="b">
        <v>0</v>
      </c>
      <c r="B10933" s="11" t="str">
        <f>IF(D10933&lt;&gt;"",IF(COUNTIF('USPTO TMs'!A:A,D10933)&gt;0,"Yes","No"),"")</f>
        <v/>
      </c>
      <c r="C10933" s="11"/>
      <c r="D10933" s="11"/>
      <c r="E10933" s="11"/>
      <c r="F10933" s="11"/>
      <c r="G10933" s="11"/>
      <c r="H10933" s="11"/>
      <c r="I10933" s="15"/>
    </row>
    <row r="10934" spans="1:9" ht="16.5">
      <c r="A10934" s="10" t="b">
        <v>0</v>
      </c>
      <c r="B10934" s="11" t="str">
        <f>IF(D10934&lt;&gt;"",IF(COUNTIF('USPTO TMs'!A:A,D10934)&gt;0,"Yes","No"),"")</f>
        <v/>
      </c>
      <c r="C10934" s="11"/>
      <c r="D10934" s="11"/>
      <c r="E10934" s="11"/>
      <c r="F10934" s="11"/>
      <c r="G10934" s="11"/>
      <c r="H10934" s="11"/>
      <c r="I10934" s="15"/>
    </row>
    <row r="10935" spans="1:9" ht="16.5">
      <c r="A10935" s="10" t="b">
        <v>0</v>
      </c>
      <c r="B10935" s="11" t="str">
        <f>IF(D10935&lt;&gt;"",IF(COUNTIF('USPTO TMs'!A:A,D10935)&gt;0,"Yes","No"),"")</f>
        <v/>
      </c>
      <c r="C10935" s="11"/>
      <c r="D10935" s="11"/>
      <c r="E10935" s="11"/>
      <c r="F10935" s="11"/>
      <c r="G10935" s="11"/>
      <c r="H10935" s="11"/>
      <c r="I10935" s="15"/>
    </row>
    <row r="10936" spans="1:9" ht="16.5">
      <c r="A10936" s="10" t="b">
        <v>0</v>
      </c>
      <c r="B10936" s="11" t="str">
        <f>IF(D10936&lt;&gt;"",IF(COUNTIF('USPTO TMs'!A:A,D10936)&gt;0,"Yes","No"),"")</f>
        <v/>
      </c>
      <c r="C10936" s="11"/>
      <c r="D10936" s="11"/>
      <c r="E10936" s="11"/>
      <c r="F10936" s="11"/>
      <c r="G10936" s="11"/>
      <c r="H10936" s="11"/>
      <c r="I10936" s="15"/>
    </row>
    <row r="10937" spans="1:9" ht="16.5">
      <c r="A10937" s="10" t="b">
        <v>0</v>
      </c>
      <c r="B10937" s="11" t="str">
        <f>IF(D10937&lt;&gt;"",IF(COUNTIF('USPTO TMs'!A:A,D10937)&gt;0,"Yes","No"),"")</f>
        <v/>
      </c>
      <c r="C10937" s="11"/>
      <c r="D10937" s="11"/>
      <c r="E10937" s="11"/>
      <c r="F10937" s="11"/>
      <c r="G10937" s="11"/>
      <c r="H10937" s="11"/>
      <c r="I10937" s="15"/>
    </row>
    <row r="10938" spans="1:9" ht="16.5">
      <c r="A10938" s="10" t="b">
        <v>0</v>
      </c>
      <c r="B10938" s="11" t="str">
        <f>IF(D10938&lt;&gt;"",IF(COUNTIF('USPTO TMs'!A:A,D10938)&gt;0,"Yes","No"),"")</f>
        <v/>
      </c>
      <c r="C10938" s="11"/>
      <c r="D10938" s="11"/>
      <c r="E10938" s="11"/>
      <c r="F10938" s="11"/>
      <c r="G10938" s="11"/>
      <c r="H10938" s="11"/>
      <c r="I10938" s="15"/>
    </row>
    <row r="10939" spans="1:9" ht="16.5">
      <c r="A10939" s="10" t="b">
        <v>0</v>
      </c>
      <c r="B10939" s="11" t="str">
        <f>IF(D10939&lt;&gt;"",IF(COUNTIF('USPTO TMs'!A:A,D10939)&gt;0,"Yes","No"),"")</f>
        <v/>
      </c>
      <c r="C10939" s="11"/>
      <c r="D10939" s="11"/>
      <c r="E10939" s="11"/>
      <c r="F10939" s="11"/>
      <c r="G10939" s="11"/>
      <c r="H10939" s="11"/>
      <c r="I10939" s="15"/>
    </row>
    <row r="10940" spans="1:9" ht="16.5">
      <c r="A10940" s="10" t="b">
        <v>0</v>
      </c>
      <c r="B10940" s="11" t="str">
        <f>IF(D10940&lt;&gt;"",IF(COUNTIF('USPTO TMs'!A:A,D10940)&gt;0,"Yes","No"),"")</f>
        <v/>
      </c>
      <c r="C10940" s="11"/>
      <c r="D10940" s="11"/>
      <c r="E10940" s="11"/>
      <c r="F10940" s="11"/>
      <c r="G10940" s="11"/>
      <c r="H10940" s="11"/>
      <c r="I10940" s="15"/>
    </row>
    <row r="10941" spans="1:9" ht="16.5">
      <c r="A10941" s="10" t="b">
        <v>0</v>
      </c>
      <c r="B10941" s="11" t="str">
        <f>IF(D10941&lt;&gt;"",IF(COUNTIF('USPTO TMs'!A:A,D10941)&gt;0,"Yes","No"),"")</f>
        <v/>
      </c>
      <c r="C10941" s="11"/>
      <c r="D10941" s="11"/>
      <c r="E10941" s="11"/>
      <c r="F10941" s="11"/>
      <c r="G10941" s="11"/>
      <c r="H10941" s="11"/>
      <c r="I10941" s="15"/>
    </row>
    <row r="10942" spans="1:9" ht="16.5">
      <c r="A10942" s="10" t="b">
        <v>0</v>
      </c>
      <c r="B10942" s="11" t="str">
        <f>IF(D10942&lt;&gt;"",IF(COUNTIF('USPTO TMs'!A:A,D10942)&gt;0,"Yes","No"),"")</f>
        <v/>
      </c>
      <c r="C10942" s="11"/>
      <c r="D10942" s="11"/>
      <c r="E10942" s="11"/>
      <c r="F10942" s="11"/>
      <c r="G10942" s="11"/>
      <c r="H10942" s="11"/>
      <c r="I10942" s="15"/>
    </row>
    <row r="10943" spans="1:9" ht="16.5">
      <c r="A10943" s="10" t="b">
        <v>0</v>
      </c>
      <c r="B10943" s="11" t="str">
        <f>IF(D10943&lt;&gt;"",IF(COUNTIF('USPTO TMs'!A:A,D10943)&gt;0,"Yes","No"),"")</f>
        <v/>
      </c>
      <c r="C10943" s="11"/>
      <c r="D10943" s="11"/>
      <c r="E10943" s="11"/>
      <c r="F10943" s="11"/>
      <c r="G10943" s="11"/>
      <c r="H10943" s="11"/>
      <c r="I10943" s="15"/>
    </row>
    <row r="10944" spans="1:9" ht="16.5">
      <c r="A10944" s="10" t="b">
        <v>0</v>
      </c>
      <c r="B10944" s="11" t="str">
        <f>IF(D10944&lt;&gt;"",IF(COUNTIF('USPTO TMs'!A:A,D10944)&gt;0,"Yes","No"),"")</f>
        <v/>
      </c>
      <c r="C10944" s="11"/>
      <c r="D10944" s="11"/>
      <c r="E10944" s="11"/>
      <c r="F10944" s="11"/>
      <c r="G10944" s="11"/>
      <c r="H10944" s="11"/>
      <c r="I10944" s="15"/>
    </row>
    <row r="10945" spans="1:9" ht="16.5">
      <c r="A10945" s="10" t="b">
        <v>0</v>
      </c>
      <c r="B10945" s="11" t="str">
        <f>IF(D10945&lt;&gt;"",IF(COUNTIF('USPTO TMs'!A:A,D10945)&gt;0,"Yes","No"),"")</f>
        <v/>
      </c>
      <c r="C10945" s="11"/>
      <c r="D10945" s="11"/>
      <c r="E10945" s="11"/>
      <c r="F10945" s="11"/>
      <c r="G10945" s="11"/>
      <c r="H10945" s="11"/>
      <c r="I10945" s="15"/>
    </row>
    <row r="10946" spans="1:9" ht="16.5">
      <c r="A10946" s="10" t="b">
        <v>0</v>
      </c>
      <c r="B10946" s="11" t="str">
        <f>IF(D10946&lt;&gt;"",IF(COUNTIF('USPTO TMs'!A:A,D10946)&gt;0,"Yes","No"),"")</f>
        <v/>
      </c>
      <c r="C10946" s="11"/>
      <c r="D10946" s="11"/>
      <c r="E10946" s="11"/>
      <c r="F10946" s="11"/>
      <c r="G10946" s="11"/>
      <c r="H10946" s="11"/>
      <c r="I10946" s="15"/>
    </row>
    <row r="10947" spans="1:9" ht="16.5">
      <c r="A10947" s="10" t="b">
        <v>0</v>
      </c>
      <c r="B10947" s="11" t="str">
        <f>IF(D10947&lt;&gt;"",IF(COUNTIF('USPTO TMs'!A:A,D10947)&gt;0,"Yes","No"),"")</f>
        <v/>
      </c>
      <c r="C10947" s="11"/>
      <c r="D10947" s="11"/>
      <c r="E10947" s="11"/>
      <c r="F10947" s="11"/>
      <c r="G10947" s="11"/>
      <c r="H10947" s="11"/>
      <c r="I10947" s="15"/>
    </row>
    <row r="10948" spans="1:9" ht="16.5">
      <c r="A10948" s="10" t="b">
        <v>0</v>
      </c>
      <c r="B10948" s="11" t="str">
        <f>IF(D10948&lt;&gt;"",IF(COUNTIF('USPTO TMs'!A:A,D10948)&gt;0,"Yes","No"),"")</f>
        <v/>
      </c>
      <c r="C10948" s="11"/>
      <c r="D10948" s="11"/>
      <c r="E10948" s="11"/>
      <c r="F10948" s="11"/>
      <c r="G10948" s="11"/>
      <c r="H10948" s="11"/>
      <c r="I10948" s="15"/>
    </row>
    <row r="10949" spans="1:9" ht="16.5">
      <c r="A10949" s="10" t="b">
        <v>0</v>
      </c>
      <c r="B10949" s="11" t="str">
        <f>IF(D10949&lt;&gt;"",IF(COUNTIF('USPTO TMs'!A:A,D10949)&gt;0,"Yes","No"),"")</f>
        <v/>
      </c>
      <c r="C10949" s="11"/>
      <c r="D10949" s="11"/>
      <c r="E10949" s="11"/>
      <c r="F10949" s="11"/>
      <c r="G10949" s="11"/>
      <c r="H10949" s="11"/>
      <c r="I10949" s="15"/>
    </row>
    <row r="10950" spans="1:9" ht="16.5">
      <c r="A10950" s="10" t="b">
        <v>0</v>
      </c>
      <c r="B10950" s="11" t="str">
        <f>IF(D10950&lt;&gt;"",IF(COUNTIF('USPTO TMs'!A:A,D10950)&gt;0,"Yes","No"),"")</f>
        <v/>
      </c>
      <c r="C10950" s="11"/>
      <c r="D10950" s="11"/>
      <c r="E10950" s="11"/>
      <c r="F10950" s="11"/>
      <c r="G10950" s="11"/>
      <c r="H10950" s="11"/>
      <c r="I10950" s="15"/>
    </row>
    <row r="10951" spans="1:9" ht="16.5">
      <c r="A10951" s="10" t="b">
        <v>0</v>
      </c>
      <c r="B10951" s="11" t="str">
        <f>IF(D10951&lt;&gt;"",IF(COUNTIF('USPTO TMs'!A:A,D10951)&gt;0,"Yes","No"),"")</f>
        <v/>
      </c>
      <c r="C10951" s="11"/>
      <c r="D10951" s="11"/>
      <c r="E10951" s="11"/>
      <c r="F10951" s="11"/>
      <c r="G10951" s="11"/>
      <c r="H10951" s="11"/>
      <c r="I10951" s="15"/>
    </row>
    <row r="10952" spans="1:9" ht="16.5">
      <c r="A10952" s="10" t="b">
        <v>0</v>
      </c>
      <c r="B10952" s="11" t="str">
        <f>IF(D10952&lt;&gt;"",IF(COUNTIF('USPTO TMs'!A:A,D10952)&gt;0,"Yes","No"),"")</f>
        <v/>
      </c>
      <c r="C10952" s="11"/>
      <c r="D10952" s="11"/>
      <c r="E10952" s="11"/>
      <c r="F10952" s="11"/>
      <c r="G10952" s="11"/>
      <c r="H10952" s="11"/>
      <c r="I10952" s="15"/>
    </row>
    <row r="10953" spans="1:9" ht="16.5">
      <c r="A10953" s="10" t="b">
        <v>0</v>
      </c>
      <c r="B10953" s="11" t="str">
        <f>IF(D10953&lt;&gt;"",IF(COUNTIF('USPTO TMs'!A:A,D10953)&gt;0,"Yes","No"),"")</f>
        <v/>
      </c>
      <c r="C10953" s="11"/>
      <c r="D10953" s="11"/>
      <c r="E10953" s="11"/>
      <c r="F10953" s="11"/>
      <c r="G10953" s="11"/>
      <c r="H10953" s="11"/>
      <c r="I10953" s="15"/>
    </row>
    <row r="10954" spans="1:9" ht="16.5">
      <c r="A10954" s="10" t="b">
        <v>0</v>
      </c>
      <c r="B10954" s="11" t="str">
        <f>IF(D10954&lt;&gt;"",IF(COUNTIF('USPTO TMs'!A:A,D10954)&gt;0,"Yes","No"),"")</f>
        <v/>
      </c>
      <c r="C10954" s="11"/>
      <c r="D10954" s="11"/>
      <c r="E10954" s="11"/>
      <c r="F10954" s="11"/>
      <c r="G10954" s="11"/>
      <c r="H10954" s="11"/>
      <c r="I10954" s="15"/>
    </row>
    <row r="10955" spans="1:9" ht="16.5">
      <c r="A10955" s="10" t="b">
        <v>0</v>
      </c>
      <c r="B10955" s="11" t="str">
        <f>IF(D10955&lt;&gt;"",IF(COUNTIF('USPTO TMs'!A:A,D10955)&gt;0,"Yes","No"),"")</f>
        <v/>
      </c>
      <c r="C10955" s="11"/>
      <c r="D10955" s="11"/>
      <c r="E10955" s="11"/>
      <c r="F10955" s="11"/>
      <c r="G10955" s="11"/>
      <c r="H10955" s="11"/>
      <c r="I10955" s="15"/>
    </row>
    <row r="10956" spans="1:9" ht="16.5">
      <c r="A10956" s="10" t="b">
        <v>0</v>
      </c>
      <c r="B10956" s="11" t="str">
        <f>IF(D10956&lt;&gt;"",IF(COUNTIF('USPTO TMs'!A:A,D10956)&gt;0,"Yes","No"),"")</f>
        <v/>
      </c>
      <c r="C10956" s="11"/>
      <c r="D10956" s="11"/>
      <c r="E10956" s="11"/>
      <c r="F10956" s="11"/>
      <c r="G10956" s="11"/>
      <c r="H10956" s="11"/>
      <c r="I10956" s="15"/>
    </row>
    <row r="10957" spans="1:9" ht="16.5">
      <c r="A10957" s="10" t="b">
        <v>0</v>
      </c>
      <c r="B10957" s="11" t="str">
        <f>IF(D10957&lt;&gt;"",IF(COUNTIF('USPTO TMs'!A:A,D10957)&gt;0,"Yes","No"),"")</f>
        <v/>
      </c>
      <c r="C10957" s="11"/>
      <c r="D10957" s="11"/>
      <c r="E10957" s="11"/>
      <c r="F10957" s="11"/>
      <c r="G10957" s="11"/>
      <c r="H10957" s="11"/>
      <c r="I10957" s="15"/>
    </row>
    <row r="10958" spans="1:9" ht="16.5">
      <c r="A10958" s="10" t="b">
        <v>0</v>
      </c>
      <c r="B10958" s="11" t="str">
        <f>IF(D10958&lt;&gt;"",IF(COUNTIF('USPTO TMs'!A:A,D10958)&gt;0,"Yes","No"),"")</f>
        <v/>
      </c>
      <c r="C10958" s="11"/>
      <c r="D10958" s="11"/>
      <c r="E10958" s="11"/>
      <c r="F10958" s="11"/>
      <c r="G10958" s="11"/>
      <c r="H10958" s="11"/>
      <c r="I10958" s="15"/>
    </row>
    <row r="10959" spans="1:9" ht="16.5">
      <c r="A10959" s="10" t="b">
        <v>0</v>
      </c>
      <c r="B10959" s="11" t="str">
        <f>IF(D10959&lt;&gt;"",IF(COUNTIF('USPTO TMs'!A:A,D10959)&gt;0,"Yes","No"),"")</f>
        <v/>
      </c>
      <c r="C10959" s="11"/>
      <c r="D10959" s="11"/>
      <c r="E10959" s="11"/>
      <c r="F10959" s="11"/>
      <c r="G10959" s="11"/>
      <c r="H10959" s="11"/>
      <c r="I10959" s="15"/>
    </row>
    <row r="10960" spans="1:9" ht="16.5">
      <c r="A10960" s="10" t="b">
        <v>0</v>
      </c>
      <c r="B10960" s="11" t="str">
        <f>IF(D10960&lt;&gt;"",IF(COUNTIF('USPTO TMs'!A:A,D10960)&gt;0,"Yes","No"),"")</f>
        <v/>
      </c>
      <c r="C10960" s="11"/>
      <c r="D10960" s="11"/>
      <c r="E10960" s="11"/>
      <c r="F10960" s="11"/>
      <c r="G10960" s="11"/>
      <c r="H10960" s="11"/>
      <c r="I10960" s="15"/>
    </row>
    <row r="10961" spans="1:9" ht="16.5">
      <c r="A10961" s="10" t="b">
        <v>0</v>
      </c>
      <c r="B10961" s="11" t="str">
        <f>IF(D10961&lt;&gt;"",IF(COUNTIF('USPTO TMs'!A:A,D10961)&gt;0,"Yes","No"),"")</f>
        <v/>
      </c>
      <c r="C10961" s="11"/>
      <c r="D10961" s="11"/>
      <c r="E10961" s="11"/>
      <c r="F10961" s="11"/>
      <c r="G10961" s="11"/>
      <c r="H10961" s="11"/>
      <c r="I10961" s="15"/>
    </row>
    <row r="10962" spans="1:9" ht="16.5">
      <c r="A10962" s="10" t="b">
        <v>0</v>
      </c>
      <c r="B10962" s="11" t="str">
        <f>IF(D10962&lt;&gt;"",IF(COUNTIF('USPTO TMs'!A:A,D10962)&gt;0,"Yes","No"),"")</f>
        <v/>
      </c>
      <c r="C10962" s="11"/>
      <c r="D10962" s="11"/>
      <c r="E10962" s="11"/>
      <c r="F10962" s="11"/>
      <c r="G10962" s="11"/>
      <c r="H10962" s="11"/>
      <c r="I10962" s="15"/>
    </row>
    <row r="10963" spans="1:9" ht="16.5">
      <c r="A10963" s="10" t="b">
        <v>0</v>
      </c>
      <c r="B10963" s="11" t="str">
        <f>IF(D10963&lt;&gt;"",IF(COUNTIF('USPTO TMs'!A:A,D10963)&gt;0,"Yes","No"),"")</f>
        <v/>
      </c>
      <c r="C10963" s="11"/>
      <c r="D10963" s="11"/>
      <c r="E10963" s="11"/>
      <c r="F10963" s="11"/>
      <c r="G10963" s="11"/>
      <c r="H10963" s="11"/>
      <c r="I10963" s="15"/>
    </row>
    <row r="10964" spans="1:9" ht="16.5">
      <c r="A10964" s="10" t="b">
        <v>0</v>
      </c>
      <c r="B10964" s="11" t="str">
        <f>IF(D10964&lt;&gt;"",IF(COUNTIF('USPTO TMs'!A:A,D10964)&gt;0,"Yes","No"),"")</f>
        <v/>
      </c>
      <c r="C10964" s="11"/>
      <c r="D10964" s="11"/>
      <c r="E10964" s="11"/>
      <c r="F10964" s="11"/>
      <c r="G10964" s="11"/>
      <c r="H10964" s="11"/>
      <c r="I10964" s="15"/>
    </row>
    <row r="10965" spans="1:9" ht="16.5">
      <c r="A10965" s="10" t="b">
        <v>0</v>
      </c>
      <c r="B10965" s="11" t="str">
        <f>IF(D10965&lt;&gt;"",IF(COUNTIF('USPTO TMs'!A:A,D10965)&gt;0,"Yes","No"),"")</f>
        <v/>
      </c>
      <c r="C10965" s="11"/>
      <c r="D10965" s="11"/>
      <c r="E10965" s="11"/>
      <c r="F10965" s="11"/>
      <c r="G10965" s="11"/>
      <c r="H10965" s="11"/>
      <c r="I10965" s="15"/>
    </row>
    <row r="10966" spans="1:9" ht="16.5">
      <c r="A10966" s="10" t="b">
        <v>0</v>
      </c>
      <c r="B10966" s="11" t="str">
        <f>IF(D10966&lt;&gt;"",IF(COUNTIF('USPTO TMs'!A:A,D10966)&gt;0,"Yes","No"),"")</f>
        <v/>
      </c>
      <c r="C10966" s="11"/>
      <c r="D10966" s="11"/>
      <c r="E10966" s="11"/>
      <c r="F10966" s="11"/>
      <c r="G10966" s="11"/>
      <c r="H10966" s="11"/>
      <c r="I10966" s="15"/>
    </row>
    <row r="10967" spans="1:9" ht="16.5">
      <c r="A10967" s="10" t="b">
        <v>0</v>
      </c>
      <c r="B10967" s="11" t="str">
        <f>IF(D10967&lt;&gt;"",IF(COUNTIF('USPTO TMs'!A:A,D10967)&gt;0,"Yes","No"),"")</f>
        <v/>
      </c>
      <c r="C10967" s="11"/>
      <c r="D10967" s="11"/>
      <c r="E10967" s="11"/>
      <c r="F10967" s="11"/>
      <c r="G10967" s="11"/>
      <c r="H10967" s="11"/>
      <c r="I10967" s="15"/>
    </row>
    <row r="10968" spans="1:9" ht="16.5">
      <c r="A10968" s="10" t="b">
        <v>0</v>
      </c>
      <c r="B10968" s="11" t="str">
        <f>IF(D10968&lt;&gt;"",IF(COUNTIF('USPTO TMs'!A:A,D10968)&gt;0,"Yes","No"),"")</f>
        <v/>
      </c>
      <c r="C10968" s="11"/>
      <c r="D10968" s="11"/>
      <c r="E10968" s="11"/>
      <c r="F10968" s="11"/>
      <c r="G10968" s="11"/>
      <c r="H10968" s="11"/>
      <c r="I10968" s="15"/>
    </row>
    <row r="10969" spans="1:9" ht="16.5">
      <c r="A10969" s="10" t="b">
        <v>0</v>
      </c>
      <c r="B10969" s="11" t="str">
        <f>IF(D10969&lt;&gt;"",IF(COUNTIF('USPTO TMs'!A:A,D10969)&gt;0,"Yes","No"),"")</f>
        <v/>
      </c>
      <c r="C10969" s="11"/>
      <c r="D10969" s="11"/>
      <c r="E10969" s="11"/>
      <c r="F10969" s="11"/>
      <c r="G10969" s="11"/>
      <c r="H10969" s="11"/>
      <c r="I10969" s="15"/>
    </row>
    <row r="10970" spans="1:9" ht="16.5">
      <c r="A10970" s="10" t="b">
        <v>0</v>
      </c>
      <c r="B10970" s="11" t="str">
        <f>IF(D10970&lt;&gt;"",IF(COUNTIF('USPTO TMs'!A:A,D10970)&gt;0,"Yes","No"),"")</f>
        <v/>
      </c>
      <c r="C10970" s="11"/>
      <c r="D10970" s="11"/>
      <c r="E10970" s="11"/>
      <c r="F10970" s="11"/>
      <c r="G10970" s="11"/>
      <c r="H10970" s="11"/>
      <c r="I10970" s="15"/>
    </row>
    <row r="10971" spans="1:9" ht="16.5">
      <c r="A10971" s="10" t="b">
        <v>0</v>
      </c>
      <c r="B10971" s="11" t="str">
        <f>IF(D10971&lt;&gt;"",IF(COUNTIF('USPTO TMs'!A:A,D10971)&gt;0,"Yes","No"),"")</f>
        <v/>
      </c>
      <c r="C10971" s="11"/>
      <c r="D10971" s="11"/>
      <c r="E10971" s="11"/>
      <c r="F10971" s="11"/>
      <c r="G10971" s="11"/>
      <c r="H10971" s="11"/>
      <c r="I10971" s="15"/>
    </row>
    <row r="10972" spans="1:9" ht="16.5">
      <c r="A10972" s="10" t="b">
        <v>0</v>
      </c>
      <c r="B10972" s="11" t="str">
        <f>IF(D10972&lt;&gt;"",IF(COUNTIF('USPTO TMs'!A:A,D10972)&gt;0,"Yes","No"),"")</f>
        <v/>
      </c>
      <c r="C10972" s="11"/>
      <c r="D10972" s="11"/>
      <c r="E10972" s="11"/>
      <c r="F10972" s="11"/>
      <c r="G10972" s="11"/>
      <c r="H10972" s="11"/>
      <c r="I10972" s="15"/>
    </row>
    <row r="10973" spans="1:9" ht="16.5">
      <c r="A10973" s="10" t="b">
        <v>0</v>
      </c>
      <c r="B10973" s="11" t="str">
        <f>IF(D10973&lt;&gt;"",IF(COUNTIF('USPTO TMs'!A:A,D10973)&gt;0,"Yes","No"),"")</f>
        <v/>
      </c>
      <c r="C10973" s="11"/>
      <c r="D10973" s="11"/>
      <c r="E10973" s="11"/>
      <c r="F10973" s="11"/>
      <c r="G10973" s="11"/>
      <c r="H10973" s="11"/>
      <c r="I10973" s="15"/>
    </row>
    <row r="10974" spans="1:9" ht="16.5">
      <c r="A10974" s="10" t="b">
        <v>0</v>
      </c>
      <c r="B10974" s="11" t="str">
        <f>IF(D10974&lt;&gt;"",IF(COUNTIF('USPTO TMs'!A:A,D10974)&gt;0,"Yes","No"),"")</f>
        <v/>
      </c>
      <c r="C10974" s="11"/>
      <c r="D10974" s="11"/>
      <c r="E10974" s="11"/>
      <c r="F10974" s="11"/>
      <c r="G10974" s="11"/>
      <c r="H10974" s="11"/>
      <c r="I10974" s="15"/>
    </row>
    <row r="10975" spans="1:9" ht="16.5">
      <c r="A10975" s="10" t="b">
        <v>0</v>
      </c>
      <c r="B10975" s="11" t="str">
        <f>IF(D10975&lt;&gt;"",IF(COUNTIF('USPTO TMs'!A:A,D10975)&gt;0,"Yes","No"),"")</f>
        <v/>
      </c>
      <c r="C10975" s="11"/>
      <c r="D10975" s="11"/>
      <c r="E10975" s="11"/>
      <c r="F10975" s="11"/>
      <c r="G10975" s="11"/>
      <c r="H10975" s="11"/>
      <c r="I10975" s="15"/>
    </row>
    <row r="10976" spans="1:9" ht="16.5">
      <c r="A10976" s="10" t="b">
        <v>0</v>
      </c>
      <c r="B10976" s="11" t="str">
        <f>IF(D10976&lt;&gt;"",IF(COUNTIF('USPTO TMs'!A:A,D10976)&gt;0,"Yes","No"),"")</f>
        <v/>
      </c>
      <c r="C10976" s="11"/>
      <c r="D10976" s="11"/>
      <c r="E10976" s="11"/>
      <c r="F10976" s="11"/>
      <c r="G10976" s="11"/>
      <c r="H10976" s="11"/>
      <c r="I10976" s="15"/>
    </row>
    <row r="10977" spans="1:9" ht="16.5">
      <c r="A10977" s="10" t="b">
        <v>0</v>
      </c>
      <c r="B10977" s="11" t="str">
        <f>IF(D10977&lt;&gt;"",IF(COUNTIF('USPTO TMs'!A:A,D10977)&gt;0,"Yes","No"),"")</f>
        <v/>
      </c>
      <c r="C10977" s="11"/>
      <c r="D10977" s="11"/>
      <c r="E10977" s="11"/>
      <c r="F10977" s="11"/>
      <c r="G10977" s="11"/>
      <c r="H10977" s="11"/>
      <c r="I10977" s="15"/>
    </row>
    <row r="10978" spans="1:9" ht="16.5">
      <c r="A10978" s="10" t="b">
        <v>0</v>
      </c>
      <c r="B10978" s="11" t="str">
        <f>IF(D10978&lt;&gt;"",IF(COUNTIF('USPTO TMs'!A:A,D10978)&gt;0,"Yes","No"),"")</f>
        <v/>
      </c>
      <c r="C10978" s="11"/>
      <c r="D10978" s="11"/>
      <c r="E10978" s="11"/>
      <c r="F10978" s="11"/>
      <c r="G10978" s="11"/>
      <c r="H10978" s="11"/>
      <c r="I10978" s="15"/>
    </row>
    <row r="10979" spans="1:9" ht="16.5">
      <c r="A10979" s="10" t="b">
        <v>0</v>
      </c>
      <c r="B10979" s="11" t="str">
        <f>IF(D10979&lt;&gt;"",IF(COUNTIF('USPTO TMs'!A:A,D10979)&gt;0,"Yes","No"),"")</f>
        <v/>
      </c>
      <c r="C10979" s="11"/>
      <c r="D10979" s="11"/>
      <c r="E10979" s="11"/>
      <c r="F10979" s="11"/>
      <c r="G10979" s="11"/>
      <c r="H10979" s="11"/>
      <c r="I10979" s="15"/>
    </row>
    <row r="10980" spans="1:9" ht="16.5">
      <c r="A10980" s="10" t="b">
        <v>0</v>
      </c>
      <c r="B10980" s="11" t="str">
        <f>IF(D10980&lt;&gt;"",IF(COUNTIF('USPTO TMs'!A:A,D10980)&gt;0,"Yes","No"),"")</f>
        <v/>
      </c>
      <c r="C10980" s="11"/>
      <c r="D10980" s="11"/>
      <c r="E10980" s="11"/>
      <c r="F10980" s="11"/>
      <c r="G10980" s="11"/>
      <c r="H10980" s="11"/>
      <c r="I10980" s="15"/>
    </row>
    <row r="10981" spans="1:9" ht="16.5">
      <c r="A10981" s="10" t="b">
        <v>0</v>
      </c>
      <c r="B10981" s="11" t="str">
        <f>IF(D10981&lt;&gt;"",IF(COUNTIF('USPTO TMs'!A:A,D10981)&gt;0,"Yes","No"),"")</f>
        <v/>
      </c>
      <c r="C10981" s="11"/>
      <c r="D10981" s="11"/>
      <c r="E10981" s="11"/>
      <c r="F10981" s="11"/>
      <c r="G10981" s="11"/>
      <c r="H10981" s="11"/>
      <c r="I10981" s="15"/>
    </row>
    <row r="10982" spans="1:9" ht="16.5">
      <c r="A10982" s="10" t="b">
        <v>0</v>
      </c>
      <c r="B10982" s="11" t="str">
        <f>IF(D10982&lt;&gt;"",IF(COUNTIF('USPTO TMs'!A:A,D10982)&gt;0,"Yes","No"),"")</f>
        <v/>
      </c>
      <c r="C10982" s="11"/>
      <c r="D10982" s="11"/>
      <c r="E10982" s="11"/>
      <c r="F10982" s="11"/>
      <c r="G10982" s="11"/>
      <c r="H10982" s="11"/>
      <c r="I10982" s="15"/>
    </row>
    <row r="10983" spans="1:9" ht="16.5">
      <c r="A10983" s="10" t="b">
        <v>0</v>
      </c>
      <c r="B10983" s="11" t="str">
        <f>IF(D10983&lt;&gt;"",IF(COUNTIF('USPTO TMs'!A:A,D10983)&gt;0,"Yes","No"),"")</f>
        <v/>
      </c>
      <c r="C10983" s="11"/>
      <c r="D10983" s="11"/>
      <c r="E10983" s="11"/>
      <c r="F10983" s="11"/>
      <c r="G10983" s="11"/>
      <c r="H10983" s="11"/>
      <c r="I10983" s="15"/>
    </row>
    <row r="10984" spans="1:9" ht="16.5">
      <c r="A10984" s="10" t="b">
        <v>0</v>
      </c>
      <c r="B10984" s="11" t="str">
        <f>IF(D10984&lt;&gt;"",IF(COUNTIF('USPTO TMs'!A:A,D10984)&gt;0,"Yes","No"),"")</f>
        <v/>
      </c>
      <c r="C10984" s="11"/>
      <c r="D10984" s="11"/>
      <c r="E10984" s="11"/>
      <c r="F10984" s="11"/>
      <c r="G10984" s="11"/>
      <c r="H10984" s="11"/>
      <c r="I10984" s="15"/>
    </row>
    <row r="10985" spans="1:9" ht="16.5">
      <c r="A10985" s="10" t="b">
        <v>0</v>
      </c>
      <c r="B10985" s="11" t="str">
        <f>IF(D10985&lt;&gt;"",IF(COUNTIF('USPTO TMs'!A:A,D10985)&gt;0,"Yes","No"),"")</f>
        <v/>
      </c>
      <c r="C10985" s="11"/>
      <c r="D10985" s="11"/>
      <c r="E10985" s="11"/>
      <c r="F10985" s="11"/>
      <c r="G10985" s="11"/>
      <c r="H10985" s="11"/>
      <c r="I10985" s="15"/>
    </row>
    <row r="10986" spans="1:9" ht="16.5">
      <c r="A10986" s="10" t="b">
        <v>0</v>
      </c>
      <c r="B10986" s="11" t="str">
        <f>IF(D10986&lt;&gt;"",IF(COUNTIF('USPTO TMs'!A:A,D10986)&gt;0,"Yes","No"),"")</f>
        <v/>
      </c>
      <c r="C10986" s="11"/>
      <c r="D10986" s="11"/>
      <c r="E10986" s="11"/>
      <c r="F10986" s="11"/>
      <c r="G10986" s="11"/>
      <c r="H10986" s="11"/>
      <c r="I10986" s="15"/>
    </row>
    <row r="10987" spans="1:9" ht="16.5">
      <c r="A10987" s="10" t="b">
        <v>0</v>
      </c>
      <c r="B10987" s="11" t="str">
        <f>IF(D10987&lt;&gt;"",IF(COUNTIF('USPTO TMs'!A:A,D10987)&gt;0,"Yes","No"),"")</f>
        <v/>
      </c>
      <c r="C10987" s="11"/>
      <c r="D10987" s="11"/>
      <c r="E10987" s="11"/>
      <c r="F10987" s="11"/>
      <c r="G10987" s="11"/>
      <c r="H10987" s="11"/>
      <c r="I10987" s="15"/>
    </row>
    <row r="10988" spans="1:9" ht="16.5">
      <c r="A10988" s="10" t="b">
        <v>0</v>
      </c>
      <c r="B10988" s="11" t="str">
        <f>IF(D10988&lt;&gt;"",IF(COUNTIF('USPTO TMs'!A:A,D10988)&gt;0,"Yes","No"),"")</f>
        <v/>
      </c>
      <c r="C10988" s="11"/>
      <c r="D10988" s="11"/>
      <c r="E10988" s="11"/>
      <c r="F10988" s="11"/>
      <c r="G10988" s="11"/>
      <c r="H10988" s="11"/>
      <c r="I10988" s="15"/>
    </row>
    <row r="10989" spans="1:9" ht="16.5">
      <c r="A10989" s="10" t="b">
        <v>0</v>
      </c>
      <c r="B10989" s="11" t="str">
        <f>IF(D10989&lt;&gt;"",IF(COUNTIF('USPTO TMs'!A:A,D10989)&gt;0,"Yes","No"),"")</f>
        <v/>
      </c>
      <c r="C10989" s="11"/>
      <c r="D10989" s="11"/>
      <c r="E10989" s="11"/>
      <c r="F10989" s="11"/>
      <c r="G10989" s="11"/>
      <c r="H10989" s="11"/>
      <c r="I10989" s="15"/>
    </row>
    <row r="10990" spans="1:9" ht="16.5">
      <c r="A10990" s="10" t="b">
        <v>0</v>
      </c>
      <c r="B10990" s="11" t="str">
        <f>IF(D10990&lt;&gt;"",IF(COUNTIF('USPTO TMs'!A:A,D10990)&gt;0,"Yes","No"),"")</f>
        <v/>
      </c>
      <c r="C10990" s="11"/>
      <c r="D10990" s="11"/>
      <c r="E10990" s="11"/>
      <c r="F10990" s="11"/>
      <c r="G10990" s="11"/>
      <c r="H10990" s="11"/>
      <c r="I10990" s="15"/>
    </row>
    <row r="10991" spans="1:9" ht="16.5">
      <c r="A10991" s="10" t="b">
        <v>0</v>
      </c>
      <c r="B10991" s="11" t="str">
        <f>IF(D10991&lt;&gt;"",IF(COUNTIF('USPTO TMs'!A:A,D10991)&gt;0,"Yes","No"),"")</f>
        <v/>
      </c>
      <c r="C10991" s="11"/>
      <c r="D10991" s="11"/>
      <c r="E10991" s="11"/>
      <c r="F10991" s="11"/>
      <c r="G10991" s="11"/>
      <c r="H10991" s="11"/>
      <c r="I10991" s="15"/>
    </row>
    <row r="10992" spans="1:9" ht="16.5">
      <c r="A10992" s="10" t="b">
        <v>0</v>
      </c>
      <c r="B10992" s="11" t="str">
        <f>IF(D10992&lt;&gt;"",IF(COUNTIF('USPTO TMs'!A:A,D10992)&gt;0,"Yes","No"),"")</f>
        <v/>
      </c>
      <c r="C10992" s="11"/>
      <c r="D10992" s="11"/>
      <c r="E10992" s="11"/>
      <c r="F10992" s="11"/>
      <c r="G10992" s="11"/>
      <c r="H10992" s="11"/>
      <c r="I10992" s="15"/>
    </row>
    <row r="10993" spans="1:9" ht="16.5">
      <c r="A10993" s="10" t="b">
        <v>0</v>
      </c>
      <c r="B10993" s="11" t="str">
        <f>IF(D10993&lt;&gt;"",IF(COUNTIF('USPTO TMs'!A:A,D10993)&gt;0,"Yes","No"),"")</f>
        <v/>
      </c>
      <c r="C10993" s="11"/>
      <c r="D10993" s="11"/>
      <c r="E10993" s="11"/>
      <c r="F10993" s="11"/>
      <c r="G10993" s="11"/>
      <c r="H10993" s="11"/>
      <c r="I10993" s="15"/>
    </row>
    <row r="10994" spans="1:9" ht="16.5">
      <c r="A10994" s="10" t="b">
        <v>0</v>
      </c>
      <c r="B10994" s="11" t="str">
        <f>IF(D10994&lt;&gt;"",IF(COUNTIF('USPTO TMs'!A:A,D10994)&gt;0,"Yes","No"),"")</f>
        <v/>
      </c>
      <c r="C10994" s="11"/>
      <c r="D10994" s="11"/>
      <c r="E10994" s="11"/>
      <c r="F10994" s="11"/>
      <c r="G10994" s="11"/>
      <c r="H10994" s="11"/>
      <c r="I10994" s="15"/>
    </row>
    <row r="10995" spans="1:9" ht="16.5">
      <c r="A10995" s="10" t="b">
        <v>0</v>
      </c>
      <c r="B10995" s="11" t="str">
        <f>IF(D10995&lt;&gt;"",IF(COUNTIF('USPTO TMs'!A:A,D10995)&gt;0,"Yes","No"),"")</f>
        <v/>
      </c>
      <c r="C10995" s="11"/>
      <c r="D10995" s="11"/>
      <c r="E10995" s="11"/>
      <c r="F10995" s="11"/>
      <c r="G10995" s="11"/>
      <c r="H10995" s="11"/>
      <c r="I10995" s="15"/>
    </row>
    <row r="10996" spans="1:9" ht="16.5">
      <c r="A10996" s="10" t="b">
        <v>0</v>
      </c>
      <c r="B10996" s="11" t="str">
        <f>IF(D10996&lt;&gt;"",IF(COUNTIF('USPTO TMs'!A:A,D10996)&gt;0,"Yes","No"),"")</f>
        <v/>
      </c>
      <c r="C10996" s="11"/>
      <c r="D10996" s="11"/>
      <c r="E10996" s="11"/>
      <c r="F10996" s="11"/>
      <c r="G10996" s="11"/>
      <c r="H10996" s="11"/>
      <c r="I10996" s="15"/>
    </row>
    <row r="10997" spans="1:9" ht="16.5">
      <c r="A10997" s="10" t="b">
        <v>0</v>
      </c>
      <c r="B10997" s="11" t="str">
        <f>IF(D10997&lt;&gt;"",IF(COUNTIF('USPTO TMs'!A:A,D10997)&gt;0,"Yes","No"),"")</f>
        <v/>
      </c>
      <c r="C10997" s="11"/>
      <c r="D10997" s="11"/>
      <c r="E10997" s="11"/>
      <c r="F10997" s="11"/>
      <c r="G10997" s="11"/>
      <c r="H10997" s="11"/>
      <c r="I10997" s="15"/>
    </row>
    <row r="10998" spans="1:9" ht="16.5">
      <c r="A10998" s="10" t="b">
        <v>0</v>
      </c>
      <c r="B10998" s="11" t="str">
        <f>IF(D10998&lt;&gt;"",IF(COUNTIF('USPTO TMs'!A:A,D10998)&gt;0,"Yes","No"),"")</f>
        <v/>
      </c>
      <c r="C10998" s="11"/>
      <c r="D10998" s="11"/>
      <c r="E10998" s="11"/>
      <c r="F10998" s="11"/>
      <c r="G10998" s="11"/>
      <c r="H10998" s="11"/>
      <c r="I10998" s="15"/>
    </row>
    <row r="10999" spans="1:9" ht="16.5">
      <c r="A10999" s="10" t="b">
        <v>0</v>
      </c>
      <c r="B10999" s="11" t="str">
        <f>IF(D10999&lt;&gt;"",IF(COUNTIF('USPTO TMs'!A:A,D10999)&gt;0,"Yes","No"),"")</f>
        <v/>
      </c>
      <c r="C10999" s="11"/>
      <c r="D10999" s="11"/>
      <c r="E10999" s="11"/>
      <c r="F10999" s="11"/>
      <c r="G10999" s="11"/>
      <c r="H10999" s="11"/>
      <c r="I10999" s="15"/>
    </row>
    <row r="11000" spans="1:9" ht="16.5">
      <c r="A11000" s="10" t="b">
        <v>0</v>
      </c>
      <c r="B11000" s="11" t="str">
        <f>IF(D11000&lt;&gt;"",IF(COUNTIF('USPTO TMs'!A:A,D11000)&gt;0,"Yes","No"),"")</f>
        <v/>
      </c>
      <c r="C11000" s="11"/>
      <c r="D11000" s="11"/>
      <c r="E11000" s="11"/>
      <c r="F11000" s="11"/>
      <c r="G11000" s="11"/>
      <c r="H11000" s="11"/>
      <c r="I11000" s="15"/>
    </row>
    <row r="11001" spans="1:9" ht="16.5">
      <c r="A11001" s="10" t="b">
        <v>0</v>
      </c>
      <c r="B11001" s="11" t="str">
        <f>IF(D11001&lt;&gt;"",IF(COUNTIF('USPTO TMs'!A:A,D11001)&gt;0,"Yes","No"),"")</f>
        <v/>
      </c>
      <c r="C11001" s="11"/>
      <c r="D11001" s="11"/>
      <c r="E11001" s="11"/>
      <c r="F11001" s="11"/>
      <c r="G11001" s="11"/>
      <c r="H11001" s="11"/>
      <c r="I11001" s="15"/>
    </row>
    <row r="11002" spans="1:9" ht="16.5">
      <c r="A11002" s="10" t="b">
        <v>0</v>
      </c>
      <c r="B11002" s="11" t="str">
        <f>IF(D11002&lt;&gt;"",IF(COUNTIF('USPTO TMs'!A:A,D11002)&gt;0,"Yes","No"),"")</f>
        <v/>
      </c>
      <c r="C11002" s="11"/>
      <c r="D11002" s="11"/>
      <c r="E11002" s="11"/>
      <c r="F11002" s="11"/>
      <c r="G11002" s="11"/>
      <c r="H11002" s="11"/>
      <c r="I11002" s="15"/>
    </row>
    <row r="11003" spans="1:9" ht="16.5">
      <c r="A11003" s="10" t="b">
        <v>0</v>
      </c>
      <c r="B11003" s="11" t="str">
        <f>IF(D11003&lt;&gt;"",IF(COUNTIF('USPTO TMs'!A:A,D11003)&gt;0,"Yes","No"),"")</f>
        <v/>
      </c>
      <c r="C11003" s="11"/>
      <c r="D11003" s="11"/>
      <c r="E11003" s="11"/>
      <c r="F11003" s="11"/>
      <c r="G11003" s="11"/>
      <c r="H11003" s="11"/>
      <c r="I11003" s="15"/>
    </row>
    <row r="11004" spans="1:9" ht="16.5">
      <c r="A11004" s="10" t="b">
        <v>0</v>
      </c>
      <c r="B11004" s="11" t="str">
        <f>IF(D11004&lt;&gt;"",IF(COUNTIF('USPTO TMs'!A:A,D11004)&gt;0,"Yes","No"),"")</f>
        <v/>
      </c>
      <c r="C11004" s="11"/>
      <c r="D11004" s="11"/>
      <c r="E11004" s="11"/>
      <c r="F11004" s="11"/>
      <c r="G11004" s="11"/>
      <c r="H11004" s="11"/>
      <c r="I11004" s="15"/>
    </row>
    <row r="11005" spans="1:9" ht="16.5">
      <c r="A11005" s="10" t="b">
        <v>0</v>
      </c>
      <c r="B11005" s="11" t="str">
        <f>IF(D11005&lt;&gt;"",IF(COUNTIF('USPTO TMs'!A:A,D11005)&gt;0,"Yes","No"),"")</f>
        <v/>
      </c>
      <c r="C11005" s="11"/>
      <c r="D11005" s="11"/>
      <c r="E11005" s="11"/>
      <c r="F11005" s="11"/>
      <c r="G11005" s="11"/>
      <c r="H11005" s="11"/>
      <c r="I11005" s="15"/>
    </row>
    <row r="11006" spans="1:9" ht="16.5">
      <c r="A11006" s="10" t="b">
        <v>0</v>
      </c>
      <c r="B11006" s="11" t="str">
        <f>IF(D11006&lt;&gt;"",IF(COUNTIF('USPTO TMs'!A:A,D11006)&gt;0,"Yes","No"),"")</f>
        <v/>
      </c>
      <c r="C11006" s="11"/>
      <c r="D11006" s="11"/>
      <c r="E11006" s="11"/>
      <c r="F11006" s="11"/>
      <c r="G11006" s="11"/>
      <c r="H11006" s="11"/>
      <c r="I11006" s="15"/>
    </row>
    <row r="11007" spans="1:9" ht="16.5">
      <c r="A11007" s="10" t="b">
        <v>0</v>
      </c>
      <c r="B11007" s="11" t="str">
        <f>IF(D11007&lt;&gt;"",IF(COUNTIF('USPTO TMs'!A:A,D11007)&gt;0,"Yes","No"),"")</f>
        <v/>
      </c>
      <c r="C11007" s="11"/>
      <c r="D11007" s="11"/>
      <c r="E11007" s="11"/>
      <c r="F11007" s="11"/>
      <c r="G11007" s="11"/>
      <c r="H11007" s="11"/>
      <c r="I11007" s="15"/>
    </row>
    <row r="11008" spans="1:9" ht="16.5">
      <c r="A11008" s="10" t="b">
        <v>0</v>
      </c>
      <c r="B11008" s="11" t="str">
        <f>IF(D11008&lt;&gt;"",IF(COUNTIF('USPTO TMs'!A:A,D11008)&gt;0,"Yes","No"),"")</f>
        <v/>
      </c>
      <c r="C11008" s="11"/>
      <c r="D11008" s="11"/>
      <c r="E11008" s="11"/>
      <c r="F11008" s="11"/>
      <c r="G11008" s="11"/>
      <c r="H11008" s="11"/>
      <c r="I11008" s="15"/>
    </row>
    <row r="11009" spans="1:9" ht="16.5">
      <c r="A11009" s="10" t="b">
        <v>0</v>
      </c>
      <c r="B11009" s="11" t="str">
        <f>IF(D11009&lt;&gt;"",IF(COUNTIF('USPTO TMs'!A:A,D11009)&gt;0,"Yes","No"),"")</f>
        <v/>
      </c>
      <c r="C11009" s="11"/>
      <c r="D11009" s="11"/>
      <c r="E11009" s="11"/>
      <c r="F11009" s="11"/>
      <c r="G11009" s="11"/>
      <c r="H11009" s="11"/>
      <c r="I11009" s="15"/>
    </row>
    <row r="11010" spans="1:9" ht="16.5">
      <c r="A11010" s="10" t="b">
        <v>0</v>
      </c>
      <c r="B11010" s="11" t="str">
        <f>IF(D11010&lt;&gt;"",IF(COUNTIF('USPTO TMs'!A:A,D11010)&gt;0,"Yes","No"),"")</f>
        <v/>
      </c>
      <c r="C11010" s="11"/>
      <c r="D11010" s="11"/>
      <c r="E11010" s="11"/>
      <c r="F11010" s="11"/>
      <c r="G11010" s="11"/>
      <c r="H11010" s="11"/>
      <c r="I11010" s="15"/>
    </row>
    <row r="11011" spans="1:9" ht="16.5">
      <c r="A11011" s="10" t="b">
        <v>0</v>
      </c>
      <c r="B11011" s="11" t="str">
        <f>IF(D11011&lt;&gt;"",IF(COUNTIF('USPTO TMs'!A:A,D11011)&gt;0,"Yes","No"),"")</f>
        <v/>
      </c>
      <c r="C11011" s="11"/>
      <c r="D11011" s="11"/>
      <c r="E11011" s="11"/>
      <c r="F11011" s="11"/>
      <c r="G11011" s="11"/>
      <c r="H11011" s="11"/>
      <c r="I11011" s="15"/>
    </row>
    <row r="11012" spans="1:9" ht="16.5">
      <c r="A11012" s="10" t="b">
        <v>0</v>
      </c>
      <c r="B11012" s="11" t="str">
        <f>IF(D11012&lt;&gt;"",IF(COUNTIF('USPTO TMs'!A:A,D11012)&gt;0,"Yes","No"),"")</f>
        <v/>
      </c>
      <c r="C11012" s="11"/>
      <c r="D11012" s="11"/>
      <c r="E11012" s="11"/>
      <c r="F11012" s="11"/>
      <c r="G11012" s="11"/>
      <c r="H11012" s="11"/>
      <c r="I11012" s="15"/>
    </row>
    <row r="11013" spans="1:9" ht="16.5">
      <c r="A11013" s="10" t="b">
        <v>0</v>
      </c>
      <c r="B11013" s="11" t="str">
        <f>IF(D11013&lt;&gt;"",IF(COUNTIF('USPTO TMs'!A:A,D11013)&gt;0,"Yes","No"),"")</f>
        <v/>
      </c>
      <c r="C11013" s="11"/>
      <c r="D11013" s="11"/>
      <c r="E11013" s="11"/>
      <c r="F11013" s="11"/>
      <c r="G11013" s="11"/>
      <c r="H11013" s="11"/>
      <c r="I11013" s="15"/>
    </row>
    <row r="11014" spans="1:9" ht="16.5">
      <c r="A11014" s="10" t="b">
        <v>0</v>
      </c>
      <c r="B11014" s="11" t="str">
        <f>IF(D11014&lt;&gt;"",IF(COUNTIF('USPTO TMs'!A:A,D11014)&gt;0,"Yes","No"),"")</f>
        <v/>
      </c>
      <c r="C11014" s="11"/>
      <c r="D11014" s="11"/>
      <c r="E11014" s="11"/>
      <c r="F11014" s="11"/>
      <c r="G11014" s="11"/>
      <c r="H11014" s="11"/>
      <c r="I11014" s="15"/>
    </row>
    <row r="11015" spans="1:9" ht="16.5">
      <c r="A11015" s="10" t="b">
        <v>0</v>
      </c>
      <c r="B11015" s="11" t="str">
        <f>IF(D11015&lt;&gt;"",IF(COUNTIF('USPTO TMs'!A:A,D11015)&gt;0,"Yes","No"),"")</f>
        <v/>
      </c>
      <c r="C11015" s="11"/>
      <c r="D11015" s="11"/>
      <c r="E11015" s="11"/>
      <c r="F11015" s="11"/>
      <c r="G11015" s="11"/>
      <c r="H11015" s="11"/>
      <c r="I11015" s="15"/>
    </row>
    <row r="11016" spans="1:9" ht="16.5">
      <c r="A11016" s="10" t="b">
        <v>0</v>
      </c>
      <c r="B11016" s="11" t="str">
        <f>IF(D11016&lt;&gt;"",IF(COUNTIF('USPTO TMs'!A:A,D11016)&gt;0,"Yes","No"),"")</f>
        <v/>
      </c>
      <c r="C11016" s="11"/>
      <c r="D11016" s="11"/>
      <c r="E11016" s="11"/>
      <c r="F11016" s="11"/>
      <c r="G11016" s="11"/>
      <c r="H11016" s="11"/>
      <c r="I11016" s="15"/>
    </row>
    <row r="11017" spans="1:9" ht="16.5">
      <c r="A11017" s="10" t="b">
        <v>0</v>
      </c>
      <c r="B11017" s="11" t="str">
        <f>IF(D11017&lt;&gt;"",IF(COUNTIF('USPTO TMs'!A:A,D11017)&gt;0,"Yes","No"),"")</f>
        <v/>
      </c>
      <c r="C11017" s="11"/>
      <c r="D11017" s="11"/>
      <c r="E11017" s="11"/>
      <c r="F11017" s="11"/>
      <c r="G11017" s="11"/>
      <c r="H11017" s="11"/>
      <c r="I11017" s="15"/>
    </row>
    <row r="11018" spans="1:9" ht="16.5">
      <c r="A11018" s="10" t="b">
        <v>0</v>
      </c>
      <c r="B11018" s="11" t="str">
        <f>IF(D11018&lt;&gt;"",IF(COUNTIF('USPTO TMs'!A:A,D11018)&gt;0,"Yes","No"),"")</f>
        <v/>
      </c>
      <c r="C11018" s="11"/>
      <c r="D11018" s="11"/>
      <c r="E11018" s="11"/>
      <c r="F11018" s="11"/>
      <c r="G11018" s="11"/>
      <c r="H11018" s="11"/>
      <c r="I11018" s="15"/>
    </row>
    <row r="11019" spans="1:9" ht="16.5">
      <c r="A11019" s="10" t="b">
        <v>0</v>
      </c>
      <c r="B11019" s="11" t="str">
        <f>IF(D11019&lt;&gt;"",IF(COUNTIF('USPTO TMs'!A:A,D11019)&gt;0,"Yes","No"),"")</f>
        <v/>
      </c>
      <c r="C11019" s="11"/>
      <c r="D11019" s="11"/>
      <c r="E11019" s="11"/>
      <c r="F11019" s="11"/>
      <c r="G11019" s="11"/>
      <c r="H11019" s="11"/>
      <c r="I11019" s="15"/>
    </row>
    <row r="11020" spans="1:9" ht="16.5">
      <c r="A11020" s="10" t="b">
        <v>0</v>
      </c>
      <c r="B11020" s="11" t="str">
        <f>IF(D11020&lt;&gt;"",IF(COUNTIF('USPTO TMs'!A:A,D11020)&gt;0,"Yes","No"),"")</f>
        <v/>
      </c>
      <c r="C11020" s="11"/>
      <c r="D11020" s="11"/>
      <c r="E11020" s="11"/>
      <c r="F11020" s="11"/>
      <c r="G11020" s="11"/>
      <c r="H11020" s="11"/>
      <c r="I11020" s="15"/>
    </row>
    <row r="11021" spans="1:9" ht="16.5">
      <c r="A11021" s="10" t="b">
        <v>0</v>
      </c>
      <c r="B11021" s="11" t="str">
        <f>IF(D11021&lt;&gt;"",IF(COUNTIF('USPTO TMs'!A:A,D11021)&gt;0,"Yes","No"),"")</f>
        <v/>
      </c>
      <c r="C11021" s="11"/>
      <c r="D11021" s="11"/>
      <c r="E11021" s="11"/>
      <c r="F11021" s="11"/>
      <c r="G11021" s="11"/>
      <c r="H11021" s="11"/>
      <c r="I11021" s="15"/>
    </row>
    <row r="11022" spans="1:9" ht="16.5">
      <c r="A11022" s="10" t="b">
        <v>0</v>
      </c>
      <c r="B11022" s="11" t="str">
        <f>IF(D11022&lt;&gt;"",IF(COUNTIF('USPTO TMs'!A:A,D11022)&gt;0,"Yes","No"),"")</f>
        <v/>
      </c>
      <c r="C11022" s="11"/>
      <c r="D11022" s="11"/>
      <c r="E11022" s="11"/>
      <c r="F11022" s="11"/>
      <c r="G11022" s="11"/>
      <c r="H11022" s="11"/>
      <c r="I11022" s="15"/>
    </row>
    <row r="11023" spans="1:9" ht="16.5">
      <c r="A11023" s="10" t="b">
        <v>0</v>
      </c>
      <c r="B11023" s="11" t="str">
        <f>IF(D11023&lt;&gt;"",IF(COUNTIF('USPTO TMs'!A:A,D11023)&gt;0,"Yes","No"),"")</f>
        <v/>
      </c>
      <c r="C11023" s="11"/>
      <c r="D11023" s="11"/>
      <c r="E11023" s="11"/>
      <c r="F11023" s="11"/>
      <c r="G11023" s="11"/>
      <c r="H11023" s="11"/>
      <c r="I11023" s="15"/>
    </row>
    <row r="11024" spans="1:9" ht="16.5">
      <c r="A11024" s="10" t="b">
        <v>0</v>
      </c>
      <c r="B11024" s="11" t="str">
        <f>IF(D11024&lt;&gt;"",IF(COUNTIF('USPTO TMs'!A:A,D11024)&gt;0,"Yes","No"),"")</f>
        <v/>
      </c>
      <c r="C11024" s="11"/>
      <c r="D11024" s="11"/>
      <c r="E11024" s="11"/>
      <c r="F11024" s="11"/>
      <c r="G11024" s="11"/>
      <c r="H11024" s="11"/>
      <c r="I11024" s="15"/>
    </row>
    <row r="11025" spans="1:9" ht="16.5">
      <c r="A11025" s="10" t="b">
        <v>0</v>
      </c>
      <c r="B11025" s="11" t="str">
        <f>IF(D11025&lt;&gt;"",IF(COUNTIF('USPTO TMs'!A:A,D11025)&gt;0,"Yes","No"),"")</f>
        <v/>
      </c>
      <c r="C11025" s="11"/>
      <c r="D11025" s="11"/>
      <c r="E11025" s="11"/>
      <c r="F11025" s="11"/>
      <c r="G11025" s="11"/>
      <c r="H11025" s="11"/>
      <c r="I11025" s="15"/>
    </row>
    <row r="11026" spans="1:9" ht="16.5">
      <c r="A11026" s="10" t="b">
        <v>0</v>
      </c>
      <c r="B11026" s="11" t="str">
        <f>IF(D11026&lt;&gt;"",IF(COUNTIF('USPTO TMs'!A:A,D11026)&gt;0,"Yes","No"),"")</f>
        <v/>
      </c>
      <c r="C11026" s="11"/>
      <c r="D11026" s="11"/>
      <c r="E11026" s="11"/>
      <c r="F11026" s="11"/>
      <c r="G11026" s="11"/>
      <c r="H11026" s="11"/>
      <c r="I11026" s="15"/>
    </row>
    <row r="11027" spans="1:9" ht="16.5">
      <c r="A11027" s="10" t="b">
        <v>0</v>
      </c>
      <c r="B11027" s="11" t="str">
        <f>IF(D11027&lt;&gt;"",IF(COUNTIF('USPTO TMs'!A:A,D11027)&gt;0,"Yes","No"),"")</f>
        <v/>
      </c>
      <c r="C11027" s="11"/>
      <c r="D11027" s="11"/>
      <c r="E11027" s="11"/>
      <c r="F11027" s="11"/>
      <c r="G11027" s="11"/>
      <c r="H11027" s="11"/>
      <c r="I11027" s="15"/>
    </row>
    <row r="11028" spans="1:9" ht="16.5">
      <c r="A11028" s="10" t="b">
        <v>0</v>
      </c>
      <c r="B11028" s="11" t="str">
        <f>IF(D11028&lt;&gt;"",IF(COUNTIF('USPTO TMs'!A:A,D11028)&gt;0,"Yes","No"),"")</f>
        <v/>
      </c>
      <c r="C11028" s="11"/>
      <c r="D11028" s="11"/>
      <c r="E11028" s="11"/>
      <c r="F11028" s="11"/>
      <c r="G11028" s="11"/>
      <c r="H11028" s="11"/>
      <c r="I11028" s="15"/>
    </row>
    <row r="11029" spans="1:9" ht="16.5">
      <c r="A11029" s="10" t="b">
        <v>0</v>
      </c>
      <c r="B11029" s="11" t="str">
        <f>IF(D11029&lt;&gt;"",IF(COUNTIF('USPTO TMs'!A:A,D11029)&gt;0,"Yes","No"),"")</f>
        <v/>
      </c>
      <c r="C11029" s="11"/>
      <c r="D11029" s="11"/>
      <c r="E11029" s="11"/>
      <c r="F11029" s="11"/>
      <c r="G11029" s="11"/>
      <c r="H11029" s="11"/>
      <c r="I11029" s="15"/>
    </row>
    <row r="11030" spans="1:9" ht="16.5">
      <c r="A11030" s="10" t="b">
        <v>0</v>
      </c>
      <c r="B11030" s="11" t="str">
        <f>IF(D11030&lt;&gt;"",IF(COUNTIF('USPTO TMs'!A:A,D11030)&gt;0,"Yes","No"),"")</f>
        <v/>
      </c>
      <c r="C11030" s="11"/>
      <c r="D11030" s="11"/>
      <c r="E11030" s="11"/>
      <c r="F11030" s="11"/>
      <c r="G11030" s="11"/>
      <c r="H11030" s="11"/>
      <c r="I11030" s="15"/>
    </row>
    <row r="11031" spans="1:9" ht="16.5">
      <c r="A11031" s="10" t="b">
        <v>0</v>
      </c>
      <c r="B11031" s="11" t="str">
        <f>IF(D11031&lt;&gt;"",IF(COUNTIF('USPTO TMs'!A:A,D11031)&gt;0,"Yes","No"),"")</f>
        <v/>
      </c>
      <c r="C11031" s="11"/>
      <c r="D11031" s="11"/>
      <c r="E11031" s="11"/>
      <c r="F11031" s="11"/>
      <c r="G11031" s="11"/>
      <c r="H11031" s="11"/>
      <c r="I11031" s="15"/>
    </row>
    <row r="11032" spans="1:9" ht="16.5">
      <c r="A11032" s="10" t="b">
        <v>0</v>
      </c>
      <c r="B11032" s="11" t="str">
        <f>IF(D11032&lt;&gt;"",IF(COUNTIF('USPTO TMs'!A:A,D11032)&gt;0,"Yes","No"),"")</f>
        <v/>
      </c>
      <c r="C11032" s="11"/>
      <c r="D11032" s="11"/>
      <c r="E11032" s="11"/>
      <c r="F11032" s="11"/>
      <c r="G11032" s="11"/>
      <c r="H11032" s="11"/>
      <c r="I11032" s="15"/>
    </row>
    <row r="11033" spans="1:9" ht="16.5">
      <c r="A11033" s="10" t="b">
        <v>0</v>
      </c>
      <c r="B11033" s="11" t="str">
        <f>IF(D11033&lt;&gt;"",IF(COUNTIF('USPTO TMs'!A:A,D11033)&gt;0,"Yes","No"),"")</f>
        <v/>
      </c>
      <c r="C11033" s="11"/>
      <c r="D11033" s="11"/>
      <c r="E11033" s="11"/>
      <c r="F11033" s="11"/>
      <c r="G11033" s="11"/>
      <c r="H11033" s="11"/>
      <c r="I11033" s="15"/>
    </row>
    <row r="11034" spans="1:9" ht="16.5">
      <c r="A11034" s="10" t="b">
        <v>0</v>
      </c>
      <c r="B11034" s="11" t="str">
        <f>IF(D11034&lt;&gt;"",IF(COUNTIF('USPTO TMs'!A:A,D11034)&gt;0,"Yes","No"),"")</f>
        <v/>
      </c>
      <c r="C11034" s="11"/>
      <c r="D11034" s="11"/>
      <c r="E11034" s="11"/>
      <c r="F11034" s="11"/>
      <c r="G11034" s="11"/>
      <c r="H11034" s="11"/>
      <c r="I11034" s="15"/>
    </row>
    <row r="11035" spans="1:9" ht="16.5">
      <c r="A11035" s="10" t="b">
        <v>0</v>
      </c>
      <c r="B11035" s="11" t="str">
        <f>IF(D11035&lt;&gt;"",IF(COUNTIF('USPTO TMs'!A:A,D11035)&gt;0,"Yes","No"),"")</f>
        <v/>
      </c>
      <c r="C11035" s="11"/>
      <c r="D11035" s="11"/>
      <c r="E11035" s="11"/>
      <c r="F11035" s="11"/>
      <c r="G11035" s="11"/>
      <c r="H11035" s="11"/>
      <c r="I11035" s="15"/>
    </row>
    <row r="11036" spans="1:9" ht="16.5">
      <c r="A11036" s="10" t="b">
        <v>0</v>
      </c>
      <c r="B11036" s="11" t="str">
        <f>IF(D11036&lt;&gt;"",IF(COUNTIF('USPTO TMs'!A:A,D11036)&gt;0,"Yes","No"),"")</f>
        <v/>
      </c>
      <c r="C11036" s="11"/>
      <c r="D11036" s="11"/>
      <c r="E11036" s="11"/>
      <c r="F11036" s="11"/>
      <c r="G11036" s="11"/>
      <c r="H11036" s="11"/>
      <c r="I11036" s="15"/>
    </row>
    <row r="11037" spans="1:9" ht="16.5">
      <c r="A11037" s="10" t="b">
        <v>0</v>
      </c>
      <c r="B11037" s="11" t="str">
        <f>IF(D11037&lt;&gt;"",IF(COUNTIF('USPTO TMs'!A:A,D11037)&gt;0,"Yes","No"),"")</f>
        <v/>
      </c>
      <c r="C11037" s="11"/>
      <c r="D11037" s="11"/>
      <c r="E11037" s="11"/>
      <c r="F11037" s="11"/>
      <c r="G11037" s="11"/>
      <c r="H11037" s="11"/>
      <c r="I11037" s="15"/>
    </row>
    <row r="11038" spans="1:9" ht="16.5">
      <c r="A11038" s="10" t="b">
        <v>0</v>
      </c>
      <c r="B11038" s="11" t="str">
        <f>IF(D11038&lt;&gt;"",IF(COUNTIF('USPTO TMs'!A:A,D11038)&gt;0,"Yes","No"),"")</f>
        <v/>
      </c>
      <c r="C11038" s="11"/>
      <c r="D11038" s="11"/>
      <c r="E11038" s="11"/>
      <c r="F11038" s="11"/>
      <c r="G11038" s="11"/>
      <c r="H11038" s="11"/>
      <c r="I11038" s="15"/>
    </row>
    <row r="11039" spans="1:9" ht="16.5">
      <c r="A11039" s="10" t="b">
        <v>0</v>
      </c>
      <c r="B11039" s="11" t="str">
        <f>IF(D11039&lt;&gt;"",IF(COUNTIF('USPTO TMs'!A:A,D11039)&gt;0,"Yes","No"),"")</f>
        <v/>
      </c>
      <c r="C11039" s="11"/>
      <c r="D11039" s="11"/>
      <c r="E11039" s="11"/>
      <c r="F11039" s="11"/>
      <c r="G11039" s="11"/>
      <c r="H11039" s="11"/>
      <c r="I11039" s="15"/>
    </row>
    <row r="11040" spans="1:9" ht="16.5">
      <c r="A11040" s="10" t="b">
        <v>0</v>
      </c>
      <c r="B11040" s="11" t="str">
        <f>IF(D11040&lt;&gt;"",IF(COUNTIF('USPTO TMs'!A:A,D11040)&gt;0,"Yes","No"),"")</f>
        <v/>
      </c>
      <c r="C11040" s="11"/>
      <c r="D11040" s="11"/>
      <c r="E11040" s="11"/>
      <c r="F11040" s="11"/>
      <c r="G11040" s="11"/>
      <c r="H11040" s="11"/>
      <c r="I11040" s="15"/>
    </row>
    <row r="11041" spans="1:9" ht="16.5">
      <c r="A11041" s="10" t="b">
        <v>0</v>
      </c>
      <c r="B11041" s="11" t="str">
        <f>IF(D11041&lt;&gt;"",IF(COUNTIF('USPTO TMs'!A:A,D11041)&gt;0,"Yes","No"),"")</f>
        <v/>
      </c>
      <c r="C11041" s="11"/>
      <c r="D11041" s="11"/>
      <c r="E11041" s="11"/>
      <c r="F11041" s="11"/>
      <c r="G11041" s="11"/>
      <c r="H11041" s="11"/>
      <c r="I11041" s="15"/>
    </row>
    <row r="11042" spans="1:9" ht="16.5">
      <c r="A11042" s="10" t="b">
        <v>0</v>
      </c>
      <c r="B11042" s="11" t="str">
        <f>IF(D11042&lt;&gt;"",IF(COUNTIF('USPTO TMs'!A:A,D11042)&gt;0,"Yes","No"),"")</f>
        <v/>
      </c>
      <c r="C11042" s="11"/>
      <c r="D11042" s="11"/>
      <c r="E11042" s="11"/>
      <c r="F11042" s="11"/>
      <c r="G11042" s="11"/>
      <c r="H11042" s="11"/>
      <c r="I11042" s="15"/>
    </row>
    <row r="11043" spans="1:9" ht="16.5">
      <c r="A11043" s="10" t="b">
        <v>0</v>
      </c>
      <c r="B11043" s="11" t="str">
        <f>IF(D11043&lt;&gt;"",IF(COUNTIF('USPTO TMs'!A:A,D11043)&gt;0,"Yes","No"),"")</f>
        <v/>
      </c>
      <c r="C11043" s="11"/>
      <c r="D11043" s="11"/>
      <c r="E11043" s="11"/>
      <c r="F11043" s="11"/>
      <c r="G11043" s="11"/>
      <c r="H11043" s="11"/>
      <c r="I11043" s="15"/>
    </row>
    <row r="11044" spans="1:9" ht="16.5">
      <c r="A11044" s="10" t="b">
        <v>0</v>
      </c>
      <c r="B11044" s="11" t="str">
        <f>IF(D11044&lt;&gt;"",IF(COUNTIF('USPTO TMs'!A:A,D11044)&gt;0,"Yes","No"),"")</f>
        <v/>
      </c>
      <c r="C11044" s="11"/>
      <c r="D11044" s="11"/>
      <c r="E11044" s="11"/>
      <c r="F11044" s="11"/>
      <c r="G11044" s="11"/>
      <c r="H11044" s="11"/>
      <c r="I11044" s="15"/>
    </row>
    <row r="11045" spans="1:9" ht="16.5">
      <c r="A11045" s="10" t="b">
        <v>0</v>
      </c>
      <c r="B11045" s="11" t="str">
        <f>IF(D11045&lt;&gt;"",IF(COUNTIF('USPTO TMs'!A:A,D11045)&gt;0,"Yes","No"),"")</f>
        <v/>
      </c>
      <c r="C11045" s="11"/>
      <c r="D11045" s="11"/>
      <c r="E11045" s="11"/>
      <c r="F11045" s="11"/>
      <c r="G11045" s="11"/>
      <c r="H11045" s="11"/>
      <c r="I11045" s="15"/>
    </row>
    <row r="11046" spans="1:9" ht="16.5">
      <c r="A11046" s="10" t="b">
        <v>0</v>
      </c>
      <c r="B11046" s="11" t="str">
        <f>IF(D11046&lt;&gt;"",IF(COUNTIF('USPTO TMs'!A:A,D11046)&gt;0,"Yes","No"),"")</f>
        <v/>
      </c>
      <c r="C11046" s="11"/>
      <c r="D11046" s="11"/>
      <c r="E11046" s="11"/>
      <c r="F11046" s="11"/>
      <c r="G11046" s="11"/>
      <c r="H11046" s="11"/>
      <c r="I11046" s="15"/>
    </row>
    <row r="11047" spans="1:9" ht="16.5">
      <c r="A11047" s="10" t="b">
        <v>0</v>
      </c>
      <c r="B11047" s="11" t="str">
        <f>IF(D11047&lt;&gt;"",IF(COUNTIF('USPTO TMs'!A:A,D11047)&gt;0,"Yes","No"),"")</f>
        <v/>
      </c>
      <c r="C11047" s="11"/>
      <c r="D11047" s="11"/>
      <c r="E11047" s="11"/>
      <c r="F11047" s="11"/>
      <c r="G11047" s="11"/>
      <c r="H11047" s="11"/>
      <c r="I11047" s="15"/>
    </row>
    <row r="11048" spans="1:9" ht="16.5">
      <c r="A11048" s="10" t="b">
        <v>0</v>
      </c>
      <c r="B11048" s="11" t="str">
        <f>IF(D11048&lt;&gt;"",IF(COUNTIF('USPTO TMs'!A:A,D11048)&gt;0,"Yes","No"),"")</f>
        <v/>
      </c>
      <c r="C11048" s="11"/>
      <c r="D11048" s="11"/>
      <c r="E11048" s="11"/>
      <c r="F11048" s="11"/>
      <c r="G11048" s="11"/>
      <c r="H11048" s="11"/>
      <c r="I11048" s="15"/>
    </row>
    <row r="11049" spans="1:9" ht="16.5">
      <c r="A11049" s="10" t="b">
        <v>0</v>
      </c>
      <c r="B11049" s="11" t="str">
        <f>IF(D11049&lt;&gt;"",IF(COUNTIF('USPTO TMs'!A:A,D11049)&gt;0,"Yes","No"),"")</f>
        <v/>
      </c>
      <c r="C11049" s="11"/>
      <c r="D11049" s="11"/>
      <c r="E11049" s="11"/>
      <c r="F11049" s="11"/>
      <c r="G11049" s="11"/>
      <c r="H11049" s="11"/>
      <c r="I11049" s="15"/>
    </row>
    <row r="11050" spans="1:9" ht="16.5">
      <c r="A11050" s="10" t="b">
        <v>0</v>
      </c>
      <c r="B11050" s="11" t="str">
        <f>IF(D11050&lt;&gt;"",IF(COUNTIF('USPTO TMs'!A:A,D11050)&gt;0,"Yes","No"),"")</f>
        <v/>
      </c>
      <c r="C11050" s="11"/>
      <c r="D11050" s="11"/>
      <c r="E11050" s="11"/>
      <c r="F11050" s="11"/>
      <c r="G11050" s="11"/>
      <c r="H11050" s="11"/>
      <c r="I11050" s="15"/>
    </row>
    <row r="11051" spans="1:9" ht="16.5">
      <c r="A11051" s="10" t="b">
        <v>0</v>
      </c>
      <c r="B11051" s="11" t="str">
        <f>IF(D11051&lt;&gt;"",IF(COUNTIF('USPTO TMs'!A:A,D11051)&gt;0,"Yes","No"),"")</f>
        <v/>
      </c>
      <c r="C11051" s="11"/>
      <c r="D11051" s="11"/>
      <c r="E11051" s="11"/>
      <c r="F11051" s="11"/>
      <c r="G11051" s="11"/>
      <c r="H11051" s="11"/>
      <c r="I11051" s="15"/>
    </row>
    <row r="11052" spans="1:9" ht="16.5">
      <c r="A11052" s="10" t="b">
        <v>0</v>
      </c>
      <c r="B11052" s="11" t="str">
        <f>IF(D11052&lt;&gt;"",IF(COUNTIF('USPTO TMs'!A:A,D11052)&gt;0,"Yes","No"),"")</f>
        <v/>
      </c>
      <c r="C11052" s="11"/>
      <c r="D11052" s="11"/>
      <c r="E11052" s="11"/>
      <c r="F11052" s="11"/>
      <c r="G11052" s="11"/>
      <c r="H11052" s="11"/>
      <c r="I11052" s="15"/>
    </row>
    <row r="11053" spans="1:9" ht="16.5">
      <c r="A11053" s="10" t="b">
        <v>0</v>
      </c>
      <c r="B11053" s="11" t="str">
        <f>IF(D11053&lt;&gt;"",IF(COUNTIF('USPTO TMs'!A:A,D11053)&gt;0,"Yes","No"),"")</f>
        <v/>
      </c>
      <c r="C11053" s="11"/>
      <c r="D11053" s="11"/>
      <c r="E11053" s="11"/>
      <c r="F11053" s="11"/>
      <c r="G11053" s="11"/>
      <c r="H11053" s="11"/>
      <c r="I11053" s="15"/>
    </row>
    <row r="11054" spans="1:9" ht="16.5">
      <c r="A11054" s="10" t="b">
        <v>0</v>
      </c>
      <c r="B11054" s="11" t="str">
        <f>IF(D11054&lt;&gt;"",IF(COUNTIF('USPTO TMs'!A:A,D11054)&gt;0,"Yes","No"),"")</f>
        <v/>
      </c>
      <c r="C11054" s="11"/>
      <c r="D11054" s="11"/>
      <c r="E11054" s="11"/>
      <c r="F11054" s="11"/>
      <c r="G11054" s="11"/>
      <c r="H11054" s="11"/>
      <c r="I11054" s="15"/>
    </row>
    <row r="11055" spans="1:9" ht="16.5">
      <c r="A11055" s="10" t="b">
        <v>0</v>
      </c>
      <c r="B11055" s="11" t="str">
        <f>IF(D11055&lt;&gt;"",IF(COUNTIF('USPTO TMs'!A:A,D11055)&gt;0,"Yes","No"),"")</f>
        <v/>
      </c>
      <c r="C11055" s="11"/>
      <c r="D11055" s="11"/>
      <c r="E11055" s="11"/>
      <c r="F11055" s="11"/>
      <c r="G11055" s="11"/>
      <c r="H11055" s="11"/>
      <c r="I11055" s="15"/>
    </row>
    <row r="11056" spans="1:9" ht="16.5">
      <c r="A11056" s="10" t="b">
        <v>0</v>
      </c>
      <c r="B11056" s="11" t="str">
        <f>IF(D11056&lt;&gt;"",IF(COUNTIF('USPTO TMs'!A:A,D11056)&gt;0,"Yes","No"),"")</f>
        <v/>
      </c>
      <c r="C11056" s="11"/>
      <c r="D11056" s="11"/>
      <c r="E11056" s="11"/>
      <c r="F11056" s="11"/>
      <c r="G11056" s="11"/>
      <c r="H11056" s="11"/>
      <c r="I11056" s="15"/>
    </row>
    <row r="11057" spans="1:9" ht="16.5">
      <c r="A11057" s="10" t="b">
        <v>0</v>
      </c>
      <c r="B11057" s="11" t="str">
        <f>IF(D11057&lt;&gt;"",IF(COUNTIF('USPTO TMs'!A:A,D11057)&gt;0,"Yes","No"),"")</f>
        <v/>
      </c>
      <c r="C11057" s="11"/>
      <c r="D11057" s="11"/>
      <c r="E11057" s="11"/>
      <c r="F11057" s="11"/>
      <c r="G11057" s="11"/>
      <c r="H11057" s="11"/>
      <c r="I11057" s="15"/>
    </row>
    <row r="11058" spans="1:9" ht="16.5">
      <c r="A11058" s="10" t="b">
        <v>0</v>
      </c>
      <c r="B11058" s="11" t="str">
        <f>IF(D11058&lt;&gt;"",IF(COUNTIF('USPTO TMs'!A:A,D11058)&gt;0,"Yes","No"),"")</f>
        <v/>
      </c>
      <c r="C11058" s="11"/>
      <c r="D11058" s="11"/>
      <c r="E11058" s="11"/>
      <c r="F11058" s="11"/>
      <c r="G11058" s="11"/>
      <c r="H11058" s="11"/>
      <c r="I11058" s="15"/>
    </row>
    <row r="11059" spans="1:9" ht="16.5">
      <c r="A11059" s="10" t="b">
        <v>0</v>
      </c>
      <c r="B11059" s="11" t="str">
        <f>IF(D11059&lt;&gt;"",IF(COUNTIF('USPTO TMs'!A:A,D11059)&gt;0,"Yes","No"),"")</f>
        <v/>
      </c>
      <c r="C11059" s="11"/>
      <c r="D11059" s="11"/>
      <c r="E11059" s="11"/>
      <c r="F11059" s="11"/>
      <c r="G11059" s="11"/>
      <c r="H11059" s="11"/>
      <c r="I11059" s="15"/>
    </row>
    <row r="11060" spans="1:9" ht="16.5">
      <c r="A11060" s="10" t="b">
        <v>0</v>
      </c>
      <c r="B11060" s="11" t="str">
        <f>IF(D11060&lt;&gt;"",IF(COUNTIF('USPTO TMs'!A:A,D11060)&gt;0,"Yes","No"),"")</f>
        <v/>
      </c>
      <c r="C11060" s="11"/>
      <c r="D11060" s="11"/>
      <c r="E11060" s="11"/>
      <c r="F11060" s="11"/>
      <c r="G11060" s="11"/>
      <c r="H11060" s="11"/>
      <c r="I11060" s="15"/>
    </row>
    <row r="11061" spans="1:9" ht="16.5">
      <c r="A11061" s="10" t="b">
        <v>0</v>
      </c>
      <c r="B11061" s="11" t="str">
        <f>IF(D11061&lt;&gt;"",IF(COUNTIF('USPTO TMs'!A:A,D11061)&gt;0,"Yes","No"),"")</f>
        <v/>
      </c>
      <c r="C11061" s="11"/>
      <c r="D11061" s="11"/>
      <c r="E11061" s="11"/>
      <c r="F11061" s="11"/>
      <c r="G11061" s="11"/>
      <c r="H11061" s="11"/>
      <c r="I11061" s="15"/>
    </row>
    <row r="11062" spans="1:9" ht="16.5">
      <c r="A11062" s="10" t="b">
        <v>0</v>
      </c>
      <c r="B11062" s="11" t="str">
        <f>IF(D11062&lt;&gt;"",IF(COUNTIF('USPTO TMs'!A:A,D11062)&gt;0,"Yes","No"),"")</f>
        <v/>
      </c>
      <c r="C11062" s="11"/>
      <c r="D11062" s="11"/>
      <c r="E11062" s="11"/>
      <c r="F11062" s="11"/>
      <c r="G11062" s="11"/>
      <c r="H11062" s="11"/>
      <c r="I11062" s="15"/>
    </row>
    <row r="11063" spans="1:9" ht="16.5">
      <c r="A11063" s="10" t="b">
        <v>0</v>
      </c>
      <c r="B11063" s="11" t="str">
        <f>IF(D11063&lt;&gt;"",IF(COUNTIF('USPTO TMs'!A:A,D11063)&gt;0,"Yes","No"),"")</f>
        <v/>
      </c>
      <c r="C11063" s="11"/>
      <c r="D11063" s="11"/>
      <c r="E11063" s="11"/>
      <c r="F11063" s="11"/>
      <c r="G11063" s="11"/>
      <c r="H11063" s="11"/>
      <c r="I11063" s="15"/>
    </row>
    <row r="11064" spans="1:9" ht="16.5">
      <c r="A11064" s="10" t="b">
        <v>0</v>
      </c>
      <c r="B11064" s="11" t="str">
        <f>IF(D11064&lt;&gt;"",IF(COUNTIF('USPTO TMs'!A:A,D11064)&gt;0,"Yes","No"),"")</f>
        <v/>
      </c>
      <c r="C11064" s="11"/>
      <c r="D11064" s="11"/>
      <c r="E11064" s="11"/>
      <c r="F11064" s="11"/>
      <c r="G11064" s="11"/>
      <c r="H11064" s="11"/>
      <c r="I11064" s="15"/>
    </row>
    <row r="11065" spans="1:9" ht="16.5">
      <c r="A11065" s="10" t="b">
        <v>0</v>
      </c>
      <c r="B11065" s="11" t="str">
        <f>IF(D11065&lt;&gt;"",IF(COUNTIF('USPTO TMs'!A:A,D11065)&gt;0,"Yes","No"),"")</f>
        <v/>
      </c>
      <c r="C11065" s="11"/>
      <c r="D11065" s="11"/>
      <c r="E11065" s="11"/>
      <c r="F11065" s="11"/>
      <c r="G11065" s="11"/>
      <c r="H11065" s="11"/>
      <c r="I11065" s="15"/>
    </row>
    <row r="11066" spans="1:9" ht="16.5">
      <c r="A11066" s="10" t="b">
        <v>0</v>
      </c>
      <c r="B11066" s="11" t="str">
        <f>IF(D11066&lt;&gt;"",IF(COUNTIF('USPTO TMs'!A:A,D11066)&gt;0,"Yes","No"),"")</f>
        <v/>
      </c>
      <c r="C11066" s="11"/>
      <c r="D11066" s="11"/>
      <c r="E11066" s="11"/>
      <c r="F11066" s="11"/>
      <c r="G11066" s="11"/>
      <c r="H11066" s="11"/>
      <c r="I11066" s="15"/>
    </row>
    <row r="11067" spans="1:9" ht="16.5">
      <c r="A11067" s="10" t="b">
        <v>0</v>
      </c>
      <c r="B11067" s="11" t="str">
        <f>IF(D11067&lt;&gt;"",IF(COUNTIF('USPTO TMs'!A:A,D11067)&gt;0,"Yes","No"),"")</f>
        <v/>
      </c>
      <c r="C11067" s="11"/>
      <c r="D11067" s="11"/>
      <c r="E11067" s="11"/>
      <c r="F11067" s="11"/>
      <c r="G11067" s="11"/>
      <c r="H11067" s="11"/>
      <c r="I11067" s="15"/>
    </row>
    <row r="11068" spans="1:9" ht="16.5">
      <c r="A11068" s="10" t="b">
        <v>0</v>
      </c>
      <c r="B11068" s="11" t="str">
        <f>IF(D11068&lt;&gt;"",IF(COUNTIF('USPTO TMs'!A:A,D11068)&gt;0,"Yes","No"),"")</f>
        <v/>
      </c>
      <c r="C11068" s="11"/>
      <c r="D11068" s="11"/>
      <c r="E11068" s="11"/>
      <c r="F11068" s="11"/>
      <c r="G11068" s="11"/>
      <c r="H11068" s="11"/>
      <c r="I11068" s="15"/>
    </row>
    <row r="11069" spans="1:9" ht="16.5">
      <c r="A11069" s="10" t="b">
        <v>0</v>
      </c>
      <c r="B11069" s="11" t="str">
        <f>IF(D11069&lt;&gt;"",IF(COUNTIF('USPTO TMs'!A:A,D11069)&gt;0,"Yes","No"),"")</f>
        <v/>
      </c>
      <c r="C11069" s="11"/>
      <c r="D11069" s="11"/>
      <c r="E11069" s="11"/>
      <c r="F11069" s="11"/>
      <c r="G11069" s="11"/>
      <c r="H11069" s="11"/>
      <c r="I11069" s="15"/>
    </row>
    <row r="11070" spans="1:9" ht="16.5">
      <c r="A11070" s="10" t="b">
        <v>0</v>
      </c>
      <c r="B11070" s="11" t="str">
        <f>IF(D11070&lt;&gt;"",IF(COUNTIF('USPTO TMs'!A:A,D11070)&gt;0,"Yes","No"),"")</f>
        <v/>
      </c>
      <c r="C11070" s="11"/>
      <c r="D11070" s="11"/>
      <c r="E11070" s="11"/>
      <c r="F11070" s="11"/>
      <c r="G11070" s="11"/>
      <c r="H11070" s="11"/>
      <c r="I11070" s="15"/>
    </row>
    <row r="11071" spans="1:9" ht="16.5">
      <c r="A11071" s="10" t="b">
        <v>0</v>
      </c>
      <c r="B11071" s="11" t="str">
        <f>IF(D11071&lt;&gt;"",IF(COUNTIF('USPTO TMs'!A:A,D11071)&gt;0,"Yes","No"),"")</f>
        <v/>
      </c>
      <c r="C11071" s="11"/>
      <c r="D11071" s="11"/>
      <c r="E11071" s="11"/>
      <c r="F11071" s="11"/>
      <c r="G11071" s="11"/>
      <c r="H11071" s="11"/>
      <c r="I11071" s="15"/>
    </row>
    <row r="11072" spans="1:9" ht="16.5">
      <c r="A11072" s="10" t="b">
        <v>0</v>
      </c>
      <c r="B11072" s="11" t="str">
        <f>IF(D11072&lt;&gt;"",IF(COUNTIF('USPTO TMs'!A:A,D11072)&gt;0,"Yes","No"),"")</f>
        <v/>
      </c>
      <c r="C11072" s="11"/>
      <c r="D11072" s="11"/>
      <c r="E11072" s="11"/>
      <c r="F11072" s="11"/>
      <c r="G11072" s="11"/>
      <c r="H11072" s="11"/>
      <c r="I11072" s="15"/>
    </row>
    <row r="11073" spans="1:9" ht="16.5">
      <c r="A11073" s="10" t="b">
        <v>0</v>
      </c>
      <c r="B11073" s="11" t="str">
        <f>IF(D11073&lt;&gt;"",IF(COUNTIF('USPTO TMs'!A:A,D11073)&gt;0,"Yes","No"),"")</f>
        <v/>
      </c>
      <c r="C11073" s="11"/>
      <c r="D11073" s="11"/>
      <c r="E11073" s="11"/>
      <c r="F11073" s="11"/>
      <c r="G11073" s="11"/>
      <c r="H11073" s="11"/>
      <c r="I11073" s="15"/>
    </row>
    <row r="11074" spans="1:9" ht="16.5">
      <c r="A11074" s="10" t="b">
        <v>0</v>
      </c>
      <c r="B11074" s="11" t="str">
        <f>IF(D11074&lt;&gt;"",IF(COUNTIF('USPTO TMs'!A:A,D11074)&gt;0,"Yes","No"),"")</f>
        <v/>
      </c>
      <c r="C11074" s="11"/>
      <c r="D11074" s="11"/>
      <c r="E11074" s="11"/>
      <c r="F11074" s="11"/>
      <c r="G11074" s="11"/>
      <c r="H11074" s="11"/>
      <c r="I11074" s="15"/>
    </row>
    <row r="11075" spans="1:9" ht="16.5">
      <c r="A11075" s="10" t="b">
        <v>0</v>
      </c>
      <c r="B11075" s="11" t="str">
        <f>IF(D11075&lt;&gt;"",IF(COUNTIF('USPTO TMs'!A:A,D11075)&gt;0,"Yes","No"),"")</f>
        <v/>
      </c>
      <c r="C11075" s="11"/>
      <c r="D11075" s="11"/>
      <c r="E11075" s="11"/>
      <c r="F11075" s="11"/>
      <c r="G11075" s="11"/>
      <c r="H11075" s="11"/>
      <c r="I11075" s="15"/>
    </row>
    <row r="11076" spans="1:9" ht="16.5">
      <c r="A11076" s="10" t="b">
        <v>0</v>
      </c>
      <c r="B11076" s="11" t="str">
        <f>IF(D11076&lt;&gt;"",IF(COUNTIF('USPTO TMs'!A:A,D11076)&gt;0,"Yes","No"),"")</f>
        <v/>
      </c>
      <c r="C11076" s="11"/>
      <c r="D11076" s="11"/>
      <c r="E11076" s="11"/>
      <c r="F11076" s="11"/>
      <c r="G11076" s="11"/>
      <c r="H11076" s="11"/>
      <c r="I11076" s="15"/>
    </row>
    <row r="11077" spans="1:9" ht="16.5">
      <c r="A11077" s="10" t="b">
        <v>0</v>
      </c>
      <c r="B11077" s="11" t="str">
        <f>IF(D11077&lt;&gt;"",IF(COUNTIF('USPTO TMs'!A:A,D11077)&gt;0,"Yes","No"),"")</f>
        <v/>
      </c>
      <c r="C11077" s="11"/>
      <c r="D11077" s="11"/>
      <c r="E11077" s="11"/>
      <c r="F11077" s="11"/>
      <c r="G11077" s="11"/>
      <c r="H11077" s="11"/>
      <c r="I11077" s="15"/>
    </row>
    <row r="11078" spans="1:9" ht="16.5">
      <c r="A11078" s="10" t="b">
        <v>0</v>
      </c>
      <c r="B11078" s="11" t="str">
        <f>IF(D11078&lt;&gt;"",IF(COUNTIF('USPTO TMs'!A:A,D11078)&gt;0,"Yes","No"),"")</f>
        <v/>
      </c>
      <c r="C11078" s="11"/>
      <c r="D11078" s="11"/>
      <c r="E11078" s="11"/>
      <c r="F11078" s="11"/>
      <c r="G11078" s="11"/>
      <c r="H11078" s="11"/>
      <c r="I11078" s="15"/>
    </row>
    <row r="11079" spans="1:9" ht="16.5">
      <c r="A11079" s="10" t="b">
        <v>0</v>
      </c>
      <c r="B11079" s="11" t="str">
        <f>IF(D11079&lt;&gt;"",IF(COUNTIF('USPTO TMs'!A:A,D11079)&gt;0,"Yes","No"),"")</f>
        <v/>
      </c>
      <c r="C11079" s="11"/>
      <c r="D11079" s="11"/>
      <c r="E11079" s="11"/>
      <c r="F11079" s="11"/>
      <c r="G11079" s="11"/>
      <c r="H11079" s="11"/>
      <c r="I11079" s="15"/>
    </row>
    <row r="11080" spans="1:9" ht="16.5">
      <c r="A11080" s="10" t="b">
        <v>0</v>
      </c>
      <c r="B11080" s="11" t="str">
        <f>IF(D11080&lt;&gt;"",IF(COUNTIF('USPTO TMs'!A:A,D11080)&gt;0,"Yes","No"),"")</f>
        <v/>
      </c>
      <c r="C11080" s="11"/>
      <c r="D11080" s="11"/>
      <c r="E11080" s="11"/>
      <c r="F11080" s="11"/>
      <c r="G11080" s="11"/>
      <c r="H11080" s="11"/>
      <c r="I11080" s="15"/>
    </row>
    <row r="11081" spans="1:9" ht="16.5">
      <c r="A11081" s="10" t="b">
        <v>0</v>
      </c>
      <c r="B11081" s="11" t="str">
        <f>IF(D11081&lt;&gt;"",IF(COUNTIF('USPTO TMs'!A:A,D11081)&gt;0,"Yes","No"),"")</f>
        <v/>
      </c>
      <c r="C11081" s="11"/>
      <c r="D11081" s="11"/>
      <c r="E11081" s="11"/>
      <c r="F11081" s="11"/>
      <c r="G11081" s="11"/>
      <c r="H11081" s="11"/>
      <c r="I11081" s="15"/>
    </row>
    <row r="11082" spans="1:9" ht="16.5">
      <c r="A11082" s="10" t="b">
        <v>0</v>
      </c>
      <c r="B11082" s="11" t="str">
        <f>IF(D11082&lt;&gt;"",IF(COUNTIF('USPTO TMs'!A:A,D11082)&gt;0,"Yes","No"),"")</f>
        <v/>
      </c>
      <c r="C11082" s="11"/>
      <c r="D11082" s="11"/>
      <c r="E11082" s="11"/>
      <c r="F11082" s="11"/>
      <c r="G11082" s="11"/>
      <c r="H11082" s="11"/>
      <c r="I11082" s="15"/>
    </row>
    <row r="11083" spans="1:9" ht="16.5">
      <c r="A11083" s="10" t="b">
        <v>0</v>
      </c>
      <c r="B11083" s="11" t="str">
        <f>IF(D11083&lt;&gt;"",IF(COUNTIF('USPTO TMs'!A:A,D11083)&gt;0,"Yes","No"),"")</f>
        <v/>
      </c>
      <c r="C11083" s="11"/>
      <c r="D11083" s="11"/>
      <c r="E11083" s="11"/>
      <c r="F11083" s="11"/>
      <c r="G11083" s="11"/>
      <c r="H11083" s="11"/>
      <c r="I11083" s="15"/>
    </row>
    <row r="11084" spans="1:9" ht="16.5">
      <c r="A11084" s="10" t="b">
        <v>0</v>
      </c>
      <c r="B11084" s="11" t="str">
        <f>IF(D11084&lt;&gt;"",IF(COUNTIF('USPTO TMs'!A:A,D11084)&gt;0,"Yes","No"),"")</f>
        <v/>
      </c>
      <c r="C11084" s="11"/>
      <c r="D11084" s="11"/>
      <c r="E11084" s="11"/>
      <c r="F11084" s="11"/>
      <c r="G11084" s="11"/>
      <c r="H11084" s="11"/>
      <c r="I11084" s="15"/>
    </row>
    <row r="11085" spans="1:9" ht="16.5">
      <c r="A11085" s="10" t="b">
        <v>0</v>
      </c>
      <c r="B11085" s="11" t="str">
        <f>IF(D11085&lt;&gt;"",IF(COUNTIF('USPTO TMs'!A:A,D11085)&gt;0,"Yes","No"),"")</f>
        <v/>
      </c>
      <c r="C11085" s="11"/>
      <c r="D11085" s="11"/>
      <c r="E11085" s="11"/>
      <c r="F11085" s="11"/>
      <c r="G11085" s="11"/>
      <c r="H11085" s="11"/>
      <c r="I11085" s="15"/>
    </row>
    <row r="11086" spans="1:9" ht="16.5">
      <c r="A11086" s="10" t="b">
        <v>0</v>
      </c>
      <c r="B11086" s="11" t="str">
        <f>IF(D11086&lt;&gt;"",IF(COUNTIF('USPTO TMs'!A:A,D11086)&gt;0,"Yes","No"),"")</f>
        <v/>
      </c>
      <c r="C11086" s="11"/>
      <c r="D11086" s="11"/>
      <c r="E11086" s="11"/>
      <c r="F11086" s="11"/>
      <c r="G11086" s="11"/>
      <c r="H11086" s="11"/>
      <c r="I11086" s="15"/>
    </row>
    <row r="11087" spans="1:9" ht="16.5">
      <c r="A11087" s="10" t="b">
        <v>0</v>
      </c>
      <c r="B11087" s="11" t="str">
        <f>IF(D11087&lt;&gt;"",IF(COUNTIF('USPTO TMs'!A:A,D11087)&gt;0,"Yes","No"),"")</f>
        <v/>
      </c>
      <c r="C11087" s="11"/>
      <c r="D11087" s="11"/>
      <c r="E11087" s="11"/>
      <c r="F11087" s="11"/>
      <c r="G11087" s="11"/>
      <c r="H11087" s="11"/>
      <c r="I11087" s="15"/>
    </row>
    <row r="11088" spans="1:9" ht="16.5">
      <c r="A11088" s="10" t="b">
        <v>0</v>
      </c>
      <c r="B11088" s="11" t="str">
        <f>IF(D11088&lt;&gt;"",IF(COUNTIF('USPTO TMs'!A:A,D11088)&gt;0,"Yes","No"),"")</f>
        <v/>
      </c>
      <c r="C11088" s="11"/>
      <c r="D11088" s="11"/>
      <c r="E11088" s="11"/>
      <c r="F11088" s="11"/>
      <c r="G11088" s="11"/>
      <c r="H11088" s="11"/>
      <c r="I11088" s="15"/>
    </row>
    <row r="11089" spans="1:9" ht="16.5">
      <c r="A11089" s="10" t="b">
        <v>0</v>
      </c>
      <c r="B11089" s="11" t="str">
        <f>IF(D11089&lt;&gt;"",IF(COUNTIF('USPTO TMs'!A:A,D11089)&gt;0,"Yes","No"),"")</f>
        <v/>
      </c>
      <c r="C11089" s="11"/>
      <c r="D11089" s="11"/>
      <c r="E11089" s="11"/>
      <c r="F11089" s="11"/>
      <c r="G11089" s="11"/>
      <c r="H11089" s="11"/>
      <c r="I11089" s="15"/>
    </row>
    <row r="11090" spans="1:9" ht="16.5">
      <c r="A11090" s="10" t="b">
        <v>0</v>
      </c>
      <c r="B11090" s="11" t="str">
        <f>IF(D11090&lt;&gt;"",IF(COUNTIF('USPTO TMs'!A:A,D11090)&gt;0,"Yes","No"),"")</f>
        <v/>
      </c>
      <c r="C11090" s="11"/>
      <c r="D11090" s="11"/>
      <c r="E11090" s="11"/>
      <c r="F11090" s="11"/>
      <c r="G11090" s="11"/>
      <c r="H11090" s="11"/>
      <c r="I11090" s="15"/>
    </row>
    <row r="11091" spans="1:9" ht="16.5">
      <c r="A11091" s="10" t="b">
        <v>0</v>
      </c>
      <c r="B11091" s="11" t="str">
        <f>IF(D11091&lt;&gt;"",IF(COUNTIF('USPTO TMs'!A:A,D11091)&gt;0,"Yes","No"),"")</f>
        <v/>
      </c>
      <c r="C11091" s="11"/>
      <c r="D11091" s="11"/>
      <c r="E11091" s="11"/>
      <c r="F11091" s="11"/>
      <c r="G11091" s="11"/>
      <c r="H11091" s="11"/>
      <c r="I11091" s="15"/>
    </row>
    <row r="11092" spans="1:9" ht="16.5">
      <c r="A11092" s="10" t="b">
        <v>0</v>
      </c>
      <c r="B11092" s="11" t="str">
        <f>IF(D11092&lt;&gt;"",IF(COUNTIF('USPTO TMs'!A:A,D11092)&gt;0,"Yes","No"),"")</f>
        <v/>
      </c>
      <c r="C11092" s="11"/>
      <c r="D11092" s="11"/>
      <c r="E11092" s="11"/>
      <c r="F11092" s="11"/>
      <c r="G11092" s="11"/>
      <c r="H11092" s="11"/>
      <c r="I11092" s="15"/>
    </row>
    <row r="11093" spans="1:9" ht="16.5">
      <c r="A11093" s="10" t="b">
        <v>0</v>
      </c>
      <c r="B11093" s="11" t="str">
        <f>IF(D11093&lt;&gt;"",IF(COUNTIF('USPTO TMs'!A:A,D11093)&gt;0,"Yes","No"),"")</f>
        <v/>
      </c>
      <c r="C11093" s="11"/>
      <c r="D11093" s="11"/>
      <c r="E11093" s="11"/>
      <c r="F11093" s="11"/>
      <c r="G11093" s="11"/>
      <c r="H11093" s="11"/>
      <c r="I11093" s="15"/>
    </row>
    <row r="11094" spans="1:9" ht="16.5">
      <c r="A11094" s="10" t="b">
        <v>0</v>
      </c>
      <c r="B11094" s="11" t="str">
        <f>IF(D11094&lt;&gt;"",IF(COUNTIF('USPTO TMs'!A:A,D11094)&gt;0,"Yes","No"),"")</f>
        <v/>
      </c>
      <c r="C11094" s="11"/>
      <c r="D11094" s="11"/>
      <c r="E11094" s="11"/>
      <c r="F11094" s="11"/>
      <c r="G11094" s="11"/>
      <c r="H11094" s="11"/>
      <c r="I11094" s="15"/>
    </row>
    <row r="11095" spans="1:9" ht="16.5">
      <c r="A11095" s="10" t="b">
        <v>0</v>
      </c>
      <c r="B11095" s="11" t="str">
        <f>IF(D11095&lt;&gt;"",IF(COUNTIF('USPTO TMs'!A:A,D11095)&gt;0,"Yes","No"),"")</f>
        <v/>
      </c>
      <c r="C11095" s="11"/>
      <c r="D11095" s="11"/>
      <c r="E11095" s="11"/>
      <c r="F11095" s="11"/>
      <c r="G11095" s="11"/>
      <c r="H11095" s="11"/>
      <c r="I11095" s="15"/>
    </row>
    <row r="11096" spans="1:9" ht="16.5">
      <c r="A11096" s="10" t="b">
        <v>0</v>
      </c>
      <c r="B11096" s="11" t="str">
        <f>IF(D11096&lt;&gt;"",IF(COUNTIF('USPTO TMs'!A:A,D11096)&gt;0,"Yes","No"),"")</f>
        <v/>
      </c>
      <c r="C11096" s="11"/>
      <c r="D11096" s="11"/>
      <c r="E11096" s="11"/>
      <c r="F11096" s="11"/>
      <c r="G11096" s="11"/>
      <c r="H11096" s="11"/>
      <c r="I11096" s="15"/>
    </row>
    <row r="11097" spans="1:9" ht="16.5">
      <c r="A11097" s="10" t="b">
        <v>0</v>
      </c>
      <c r="B11097" s="11" t="str">
        <f>IF(D11097&lt;&gt;"",IF(COUNTIF('USPTO TMs'!A:A,D11097)&gt;0,"Yes","No"),"")</f>
        <v/>
      </c>
      <c r="C11097" s="11"/>
      <c r="D11097" s="11"/>
      <c r="E11097" s="11"/>
      <c r="F11097" s="11"/>
      <c r="G11097" s="11"/>
      <c r="H11097" s="11"/>
      <c r="I11097" s="15"/>
    </row>
    <row r="11098" spans="1:9" ht="16.5">
      <c r="A11098" s="10" t="b">
        <v>0</v>
      </c>
      <c r="B11098" s="11" t="str">
        <f>IF(D11098&lt;&gt;"",IF(COUNTIF('USPTO TMs'!A:A,D11098)&gt;0,"Yes","No"),"")</f>
        <v/>
      </c>
      <c r="C11098" s="11"/>
      <c r="D11098" s="11"/>
      <c r="E11098" s="11"/>
      <c r="F11098" s="11"/>
      <c r="G11098" s="11"/>
      <c r="H11098" s="11"/>
      <c r="I11098" s="15"/>
    </row>
    <row r="11099" spans="1:9" ht="16.5">
      <c r="A11099" s="10" t="b">
        <v>0</v>
      </c>
      <c r="B11099" s="11" t="str">
        <f>IF(D11099&lt;&gt;"",IF(COUNTIF('USPTO TMs'!A:A,D11099)&gt;0,"Yes","No"),"")</f>
        <v/>
      </c>
      <c r="C11099" s="11"/>
      <c r="D11099" s="11"/>
      <c r="E11099" s="11"/>
      <c r="F11099" s="11"/>
      <c r="G11099" s="11"/>
      <c r="H11099" s="11"/>
      <c r="I11099" s="15"/>
    </row>
    <row r="11100" spans="1:9" ht="16.5">
      <c r="A11100" s="10" t="b">
        <v>0</v>
      </c>
      <c r="B11100" s="11" t="str">
        <f>IF(D11100&lt;&gt;"",IF(COUNTIF('USPTO TMs'!A:A,D11100)&gt;0,"Yes","No"),"")</f>
        <v/>
      </c>
      <c r="C11100" s="11"/>
      <c r="D11100" s="11"/>
      <c r="E11100" s="11"/>
      <c r="F11100" s="11"/>
      <c r="G11100" s="11"/>
      <c r="H11100" s="11"/>
      <c r="I11100" s="15"/>
    </row>
    <row r="11101" spans="1:9" ht="16.5">
      <c r="A11101" s="10" t="b">
        <v>0</v>
      </c>
      <c r="B11101" s="11" t="str">
        <f>IF(D11101&lt;&gt;"",IF(COUNTIF('USPTO TMs'!A:A,D11101)&gt;0,"Yes","No"),"")</f>
        <v/>
      </c>
      <c r="C11101" s="11"/>
      <c r="D11101" s="11"/>
      <c r="E11101" s="11"/>
      <c r="F11101" s="11"/>
      <c r="G11101" s="11"/>
      <c r="H11101" s="11"/>
      <c r="I11101" s="15"/>
    </row>
    <row r="11102" spans="1:9" ht="16.5">
      <c r="A11102" s="10" t="b">
        <v>0</v>
      </c>
      <c r="B11102" s="11" t="str">
        <f>IF(D11102&lt;&gt;"",IF(COUNTIF('USPTO TMs'!A:A,D11102)&gt;0,"Yes","No"),"")</f>
        <v/>
      </c>
      <c r="C11102" s="11"/>
      <c r="D11102" s="11"/>
      <c r="E11102" s="11"/>
      <c r="F11102" s="11"/>
      <c r="G11102" s="11"/>
      <c r="H11102" s="11"/>
      <c r="I11102" s="15"/>
    </row>
    <row r="11103" spans="1:9" ht="16.5">
      <c r="A11103" s="10" t="b">
        <v>0</v>
      </c>
      <c r="B11103" s="11" t="str">
        <f>IF(D11103&lt;&gt;"",IF(COUNTIF('USPTO TMs'!A:A,D11103)&gt;0,"Yes","No"),"")</f>
        <v/>
      </c>
      <c r="C11103" s="11"/>
      <c r="D11103" s="11"/>
      <c r="E11103" s="11"/>
      <c r="F11103" s="11"/>
      <c r="G11103" s="11"/>
      <c r="H11103" s="11"/>
      <c r="I11103" s="15"/>
    </row>
    <row r="11104" spans="1:9" ht="16.5">
      <c r="A11104" s="10" t="b">
        <v>0</v>
      </c>
      <c r="B11104" s="11" t="str">
        <f>IF(D11104&lt;&gt;"",IF(COUNTIF('USPTO TMs'!A:A,D11104)&gt;0,"Yes","No"),"")</f>
        <v/>
      </c>
      <c r="C11104" s="11"/>
      <c r="D11104" s="11"/>
      <c r="E11104" s="11"/>
      <c r="F11104" s="11"/>
      <c r="G11104" s="11"/>
      <c r="H11104" s="11"/>
      <c r="I11104" s="15"/>
    </row>
    <row r="11105" spans="1:9" ht="16.5">
      <c r="A11105" s="10" t="b">
        <v>0</v>
      </c>
      <c r="B11105" s="11" t="str">
        <f>IF(D11105&lt;&gt;"",IF(COUNTIF('USPTO TMs'!A:A,D11105)&gt;0,"Yes","No"),"")</f>
        <v/>
      </c>
      <c r="C11105" s="11"/>
      <c r="D11105" s="11"/>
      <c r="E11105" s="11"/>
      <c r="F11105" s="11"/>
      <c r="G11105" s="11"/>
      <c r="H11105" s="11"/>
      <c r="I11105" s="15"/>
    </row>
    <row r="11106" spans="1:9" ht="16.5">
      <c r="A11106" s="10" t="b">
        <v>0</v>
      </c>
      <c r="B11106" s="11" t="str">
        <f>IF(D11106&lt;&gt;"",IF(COUNTIF('USPTO TMs'!A:A,D11106)&gt;0,"Yes","No"),"")</f>
        <v/>
      </c>
      <c r="C11106" s="11"/>
      <c r="D11106" s="11"/>
      <c r="E11106" s="11"/>
      <c r="F11106" s="11"/>
      <c r="G11106" s="11"/>
      <c r="H11106" s="11"/>
      <c r="I11106" s="15"/>
    </row>
    <row r="11107" spans="1:9" ht="16.5">
      <c r="A11107" s="10" t="b">
        <v>0</v>
      </c>
      <c r="B11107" s="11" t="str">
        <f>IF(D11107&lt;&gt;"",IF(COUNTIF('USPTO TMs'!A:A,D11107)&gt;0,"Yes","No"),"")</f>
        <v/>
      </c>
      <c r="C11107" s="11"/>
      <c r="D11107" s="11"/>
      <c r="E11107" s="11"/>
      <c r="F11107" s="11"/>
      <c r="G11107" s="11"/>
      <c r="H11107" s="11"/>
      <c r="I11107" s="15"/>
    </row>
    <row r="11108" spans="1:9" ht="16.5">
      <c r="A11108" s="10" t="b">
        <v>0</v>
      </c>
      <c r="B11108" s="11" t="str">
        <f>IF(D11108&lt;&gt;"",IF(COUNTIF('USPTO TMs'!A:A,D11108)&gt;0,"Yes","No"),"")</f>
        <v/>
      </c>
      <c r="C11108" s="11"/>
      <c r="D11108" s="11"/>
      <c r="E11108" s="11"/>
      <c r="F11108" s="11"/>
      <c r="G11108" s="11"/>
      <c r="H11108" s="11"/>
      <c r="I11108" s="15"/>
    </row>
    <row r="11109" spans="1:9" ht="16.5">
      <c r="A11109" s="10" t="b">
        <v>0</v>
      </c>
      <c r="B11109" s="11" t="str">
        <f>IF(D11109&lt;&gt;"",IF(COUNTIF('USPTO TMs'!A:A,D11109)&gt;0,"Yes","No"),"")</f>
        <v/>
      </c>
      <c r="C11109" s="11"/>
      <c r="D11109" s="11"/>
      <c r="E11109" s="11"/>
      <c r="F11109" s="11"/>
      <c r="G11109" s="11"/>
      <c r="H11109" s="11"/>
      <c r="I11109" s="15"/>
    </row>
    <row r="11110" spans="1:9" ht="16.5">
      <c r="A11110" s="10" t="b">
        <v>0</v>
      </c>
      <c r="B11110" s="11" t="str">
        <f>IF(D11110&lt;&gt;"",IF(COUNTIF('USPTO TMs'!A:A,D11110)&gt;0,"Yes","No"),"")</f>
        <v/>
      </c>
      <c r="C11110" s="11"/>
      <c r="D11110" s="11"/>
      <c r="E11110" s="11"/>
      <c r="F11110" s="11"/>
      <c r="G11110" s="11"/>
      <c r="H11110" s="11"/>
      <c r="I11110" s="15"/>
    </row>
    <row r="11111" spans="1:9" ht="16.5">
      <c r="A11111" s="10" t="b">
        <v>0</v>
      </c>
      <c r="B11111" s="11" t="str">
        <f>IF(D11111&lt;&gt;"",IF(COUNTIF('USPTO TMs'!A:A,D11111)&gt;0,"Yes","No"),"")</f>
        <v/>
      </c>
      <c r="C11111" s="11"/>
      <c r="D11111" s="11"/>
      <c r="E11111" s="11"/>
      <c r="F11111" s="11"/>
      <c r="G11111" s="11"/>
      <c r="H11111" s="11"/>
      <c r="I11111" s="15"/>
    </row>
    <row r="11112" spans="1:9" ht="16.5">
      <c r="A11112" s="10" t="b">
        <v>0</v>
      </c>
      <c r="B11112" s="11" t="str">
        <f>IF(D11112&lt;&gt;"",IF(COUNTIF('USPTO TMs'!A:A,D11112)&gt;0,"Yes","No"),"")</f>
        <v/>
      </c>
      <c r="C11112" s="11"/>
      <c r="D11112" s="11"/>
      <c r="E11112" s="11"/>
      <c r="F11112" s="11"/>
      <c r="G11112" s="11"/>
      <c r="H11112" s="11"/>
      <c r="I11112" s="15"/>
    </row>
    <row r="11113" spans="1:9" ht="16.5">
      <c r="A11113" s="10" t="b">
        <v>0</v>
      </c>
      <c r="B11113" s="11" t="str">
        <f>IF(D11113&lt;&gt;"",IF(COUNTIF('USPTO TMs'!A:A,D11113)&gt;0,"Yes","No"),"")</f>
        <v/>
      </c>
      <c r="C11113" s="11"/>
      <c r="D11113" s="11"/>
      <c r="E11113" s="11"/>
      <c r="F11113" s="11"/>
      <c r="G11113" s="11"/>
      <c r="H11113" s="11"/>
      <c r="I11113" s="15"/>
    </row>
    <row r="11114" spans="1:9" ht="16.5">
      <c r="A11114" s="10" t="b">
        <v>0</v>
      </c>
      <c r="B11114" s="11" t="str">
        <f>IF(D11114&lt;&gt;"",IF(COUNTIF('USPTO TMs'!A:A,D11114)&gt;0,"Yes","No"),"")</f>
        <v/>
      </c>
      <c r="C11114" s="11"/>
      <c r="D11114" s="11"/>
      <c r="E11114" s="11"/>
      <c r="F11114" s="11"/>
      <c r="G11114" s="11"/>
      <c r="H11114" s="11"/>
      <c r="I11114" s="15"/>
    </row>
    <row r="11115" spans="1:9" ht="16.5">
      <c r="A11115" s="10" t="b">
        <v>0</v>
      </c>
      <c r="B11115" s="11" t="str">
        <f>IF(D11115&lt;&gt;"",IF(COUNTIF('USPTO TMs'!A:A,D11115)&gt;0,"Yes","No"),"")</f>
        <v/>
      </c>
      <c r="C11115" s="11"/>
      <c r="D11115" s="11"/>
      <c r="E11115" s="11"/>
      <c r="F11115" s="11"/>
      <c r="G11115" s="11"/>
      <c r="H11115" s="11"/>
      <c r="I11115" s="15"/>
    </row>
    <row r="11116" spans="1:9" ht="16.5">
      <c r="A11116" s="10" t="b">
        <v>0</v>
      </c>
      <c r="B11116" s="11" t="str">
        <f>IF(D11116&lt;&gt;"",IF(COUNTIF('USPTO TMs'!A:A,D11116)&gt;0,"Yes","No"),"")</f>
        <v/>
      </c>
      <c r="C11116" s="11"/>
      <c r="D11116" s="11"/>
      <c r="E11116" s="11"/>
      <c r="F11116" s="11"/>
      <c r="G11116" s="11"/>
      <c r="H11116" s="11"/>
      <c r="I11116" s="15"/>
    </row>
    <row r="11117" spans="1:9" ht="16.5">
      <c r="A11117" s="10" t="b">
        <v>0</v>
      </c>
      <c r="B11117" s="11" t="str">
        <f>IF(D11117&lt;&gt;"",IF(COUNTIF('USPTO TMs'!A:A,D11117)&gt;0,"Yes","No"),"")</f>
        <v/>
      </c>
      <c r="C11117" s="11"/>
      <c r="D11117" s="11"/>
      <c r="E11117" s="11"/>
      <c r="F11117" s="11"/>
      <c r="G11117" s="11"/>
      <c r="H11117" s="11"/>
      <c r="I11117" s="15"/>
    </row>
    <row r="11118" spans="1:9" ht="16.5">
      <c r="A11118" s="10" t="b">
        <v>0</v>
      </c>
      <c r="B11118" s="11" t="str">
        <f>IF(D11118&lt;&gt;"",IF(COUNTIF('USPTO TMs'!A:A,D11118)&gt;0,"Yes","No"),"")</f>
        <v/>
      </c>
      <c r="C11118" s="11"/>
      <c r="D11118" s="11"/>
      <c r="E11118" s="11"/>
      <c r="F11118" s="11"/>
      <c r="G11118" s="11"/>
      <c r="H11118" s="11"/>
      <c r="I11118" s="15"/>
    </row>
    <row r="11119" spans="1:9" ht="16.5">
      <c r="A11119" s="10" t="b">
        <v>0</v>
      </c>
      <c r="B11119" s="11" t="str">
        <f>IF(D11119&lt;&gt;"",IF(COUNTIF('USPTO TMs'!A:A,D11119)&gt;0,"Yes","No"),"")</f>
        <v/>
      </c>
      <c r="C11119" s="11"/>
      <c r="D11119" s="11"/>
      <c r="E11119" s="11"/>
      <c r="F11119" s="11"/>
      <c r="G11119" s="11"/>
      <c r="H11119" s="11"/>
      <c r="I11119" s="15"/>
    </row>
    <row r="11120" spans="1:9" ht="16.5">
      <c r="A11120" s="10" t="b">
        <v>0</v>
      </c>
      <c r="B11120" s="11" t="str">
        <f>IF(D11120&lt;&gt;"",IF(COUNTIF('USPTO TMs'!A:A,D11120)&gt;0,"Yes","No"),"")</f>
        <v/>
      </c>
      <c r="C11120" s="11"/>
      <c r="D11120" s="11"/>
      <c r="E11120" s="11"/>
      <c r="F11120" s="11"/>
      <c r="G11120" s="11"/>
      <c r="H11120" s="11"/>
      <c r="I11120" s="15"/>
    </row>
    <row r="11121" spans="1:9" ht="16.5">
      <c r="A11121" s="10" t="b">
        <v>0</v>
      </c>
      <c r="B11121" s="11" t="str">
        <f>IF(D11121&lt;&gt;"",IF(COUNTIF('USPTO TMs'!A:A,D11121)&gt;0,"Yes","No"),"")</f>
        <v/>
      </c>
      <c r="C11121" s="11"/>
      <c r="D11121" s="11"/>
      <c r="E11121" s="11"/>
      <c r="F11121" s="11"/>
      <c r="G11121" s="11"/>
      <c r="H11121" s="11"/>
      <c r="I11121" s="15"/>
    </row>
    <row r="11122" spans="1:9" ht="16.5">
      <c r="A11122" s="10" t="b">
        <v>0</v>
      </c>
      <c r="B11122" s="11" t="str">
        <f>IF(D11122&lt;&gt;"",IF(COUNTIF('USPTO TMs'!A:A,D11122)&gt;0,"Yes","No"),"")</f>
        <v/>
      </c>
      <c r="C11122" s="11"/>
      <c r="D11122" s="11"/>
      <c r="E11122" s="11"/>
      <c r="F11122" s="11"/>
      <c r="G11122" s="11"/>
      <c r="H11122" s="11"/>
      <c r="I11122" s="15"/>
    </row>
    <row r="11123" spans="1:9" ht="16.5">
      <c r="A11123" s="10" t="b">
        <v>0</v>
      </c>
      <c r="B11123" s="11" t="str">
        <f>IF(D11123&lt;&gt;"",IF(COUNTIF('USPTO TMs'!A:A,D11123)&gt;0,"Yes","No"),"")</f>
        <v/>
      </c>
      <c r="C11123" s="11"/>
      <c r="D11123" s="11"/>
      <c r="E11123" s="11"/>
      <c r="F11123" s="11"/>
      <c r="G11123" s="11"/>
      <c r="H11123" s="11"/>
      <c r="I11123" s="15"/>
    </row>
    <row r="11124" spans="1:9" ht="16.5">
      <c r="A11124" s="10" t="b">
        <v>0</v>
      </c>
      <c r="B11124" s="11" t="str">
        <f>IF(D11124&lt;&gt;"",IF(COUNTIF('USPTO TMs'!A:A,D11124)&gt;0,"Yes","No"),"")</f>
        <v/>
      </c>
      <c r="C11124" s="11"/>
      <c r="D11124" s="11"/>
      <c r="E11124" s="11"/>
      <c r="F11124" s="11"/>
      <c r="G11124" s="11"/>
      <c r="H11124" s="11"/>
      <c r="I11124" s="15"/>
    </row>
    <row r="11125" spans="1:9" ht="16.5">
      <c r="A11125" s="10" t="b">
        <v>0</v>
      </c>
      <c r="B11125" s="11" t="str">
        <f>IF(D11125&lt;&gt;"",IF(COUNTIF('USPTO TMs'!A:A,D11125)&gt;0,"Yes","No"),"")</f>
        <v/>
      </c>
      <c r="C11125" s="11"/>
      <c r="D11125" s="11"/>
      <c r="E11125" s="11"/>
      <c r="F11125" s="11"/>
      <c r="G11125" s="11"/>
      <c r="H11125" s="11"/>
      <c r="I11125" s="15"/>
    </row>
    <row r="11126" spans="1:9" ht="16.5">
      <c r="A11126" s="10" t="b">
        <v>0</v>
      </c>
      <c r="B11126" s="11" t="str">
        <f>IF(D11126&lt;&gt;"",IF(COUNTIF('USPTO TMs'!A:A,D11126)&gt;0,"Yes","No"),"")</f>
        <v/>
      </c>
      <c r="C11126" s="11"/>
      <c r="D11126" s="11"/>
      <c r="E11126" s="11"/>
      <c r="F11126" s="11"/>
      <c r="G11126" s="11"/>
      <c r="H11126" s="11"/>
      <c r="I11126" s="15"/>
    </row>
    <row r="11127" spans="1:9" ht="16.5">
      <c r="A11127" s="10" t="b">
        <v>0</v>
      </c>
      <c r="B11127" s="11" t="str">
        <f>IF(D11127&lt;&gt;"",IF(COUNTIF('USPTO TMs'!A:A,D11127)&gt;0,"Yes","No"),"")</f>
        <v/>
      </c>
      <c r="C11127" s="11"/>
      <c r="D11127" s="11"/>
      <c r="E11127" s="11"/>
      <c r="F11127" s="11"/>
      <c r="G11127" s="11"/>
      <c r="H11127" s="11"/>
      <c r="I11127" s="15"/>
    </row>
    <row r="11128" spans="1:9" ht="16.5">
      <c r="A11128" s="10" t="b">
        <v>0</v>
      </c>
      <c r="B11128" s="11" t="str">
        <f>IF(D11128&lt;&gt;"",IF(COUNTIF('USPTO TMs'!A:A,D11128)&gt;0,"Yes","No"),"")</f>
        <v/>
      </c>
      <c r="C11128" s="11"/>
      <c r="D11128" s="11"/>
      <c r="E11128" s="11"/>
      <c r="F11128" s="11"/>
      <c r="G11128" s="11"/>
      <c r="H11128" s="11"/>
      <c r="I11128" s="15"/>
    </row>
    <row r="11129" spans="1:9" ht="16.5">
      <c r="A11129" s="10" t="b">
        <v>0</v>
      </c>
      <c r="B11129" s="11" t="str">
        <f>IF(D11129&lt;&gt;"",IF(COUNTIF('USPTO TMs'!A:A,D11129)&gt;0,"Yes","No"),"")</f>
        <v/>
      </c>
      <c r="C11129" s="11"/>
      <c r="D11129" s="11"/>
      <c r="E11129" s="11"/>
      <c r="F11129" s="11"/>
      <c r="G11129" s="11"/>
      <c r="H11129" s="11"/>
      <c r="I11129" s="15"/>
    </row>
    <row r="11130" spans="1:9" ht="16.5">
      <c r="A11130" s="10" t="b">
        <v>0</v>
      </c>
      <c r="B11130" s="11" t="str">
        <f>IF(D11130&lt;&gt;"",IF(COUNTIF('USPTO TMs'!A:A,D11130)&gt;0,"Yes","No"),"")</f>
        <v/>
      </c>
      <c r="C11130" s="11"/>
      <c r="D11130" s="11"/>
      <c r="E11130" s="11"/>
      <c r="F11130" s="11"/>
      <c r="G11130" s="11"/>
      <c r="H11130" s="11"/>
      <c r="I11130" s="15"/>
    </row>
    <row r="11131" spans="1:9" ht="16.5">
      <c r="A11131" s="10" t="b">
        <v>0</v>
      </c>
      <c r="B11131" s="11" t="str">
        <f>IF(D11131&lt;&gt;"",IF(COUNTIF('USPTO TMs'!A:A,D11131)&gt;0,"Yes","No"),"")</f>
        <v/>
      </c>
      <c r="C11131" s="11"/>
      <c r="D11131" s="11"/>
      <c r="E11131" s="11"/>
      <c r="F11131" s="11"/>
      <c r="G11131" s="11"/>
      <c r="H11131" s="11"/>
      <c r="I11131" s="15"/>
    </row>
    <row r="11132" spans="1:9" ht="16.5">
      <c r="A11132" s="10" t="b">
        <v>0</v>
      </c>
      <c r="B11132" s="11" t="str">
        <f>IF(D11132&lt;&gt;"",IF(COUNTIF('USPTO TMs'!A:A,D11132)&gt;0,"Yes","No"),"")</f>
        <v/>
      </c>
      <c r="C11132" s="11"/>
      <c r="D11132" s="11"/>
      <c r="E11132" s="11"/>
      <c r="F11132" s="11"/>
      <c r="G11132" s="11"/>
      <c r="H11132" s="11"/>
      <c r="I11132" s="15"/>
    </row>
    <row r="11133" spans="1:9" ht="16.5">
      <c r="A11133" s="10" t="b">
        <v>0</v>
      </c>
      <c r="B11133" s="11" t="str">
        <f>IF(D11133&lt;&gt;"",IF(COUNTIF('USPTO TMs'!A:A,D11133)&gt;0,"Yes","No"),"")</f>
        <v/>
      </c>
      <c r="C11133" s="11"/>
      <c r="D11133" s="11"/>
      <c r="E11133" s="11"/>
      <c r="F11133" s="11"/>
      <c r="G11133" s="11"/>
      <c r="H11133" s="11"/>
      <c r="I11133" s="15"/>
    </row>
    <row r="11134" spans="1:9" ht="16.5">
      <c r="A11134" s="10" t="b">
        <v>0</v>
      </c>
      <c r="B11134" s="11" t="str">
        <f>IF(D11134&lt;&gt;"",IF(COUNTIF('USPTO TMs'!A:A,D11134)&gt;0,"Yes","No"),"")</f>
        <v/>
      </c>
      <c r="C11134" s="11"/>
      <c r="D11134" s="11"/>
      <c r="E11134" s="11"/>
      <c r="F11134" s="11"/>
      <c r="G11134" s="11"/>
      <c r="H11134" s="11"/>
      <c r="I11134" s="15"/>
    </row>
    <row r="11135" spans="1:9" ht="16.5">
      <c r="A11135" s="10" t="b">
        <v>0</v>
      </c>
      <c r="B11135" s="11" t="str">
        <f>IF(D11135&lt;&gt;"",IF(COUNTIF('USPTO TMs'!A:A,D11135)&gt;0,"Yes","No"),"")</f>
        <v/>
      </c>
      <c r="C11135" s="11"/>
      <c r="D11135" s="11"/>
      <c r="E11135" s="11"/>
      <c r="F11135" s="11"/>
      <c r="G11135" s="11"/>
      <c r="H11135" s="11"/>
      <c r="I11135" s="15"/>
    </row>
    <row r="11136" spans="1:9" ht="16.5">
      <c r="A11136" s="10" t="b">
        <v>0</v>
      </c>
      <c r="B11136" s="11" t="str">
        <f>IF(D11136&lt;&gt;"",IF(COUNTIF('USPTO TMs'!A:A,D11136)&gt;0,"Yes","No"),"")</f>
        <v/>
      </c>
      <c r="C11136" s="11"/>
      <c r="D11136" s="11"/>
      <c r="E11136" s="11"/>
      <c r="F11136" s="11"/>
      <c r="G11136" s="11"/>
      <c r="H11136" s="11"/>
      <c r="I11136" s="15"/>
    </row>
    <row r="11137" spans="1:9" ht="16.5">
      <c r="A11137" s="10" t="b">
        <v>0</v>
      </c>
      <c r="B11137" s="11" t="str">
        <f>IF(D11137&lt;&gt;"",IF(COUNTIF('USPTO TMs'!A:A,D11137)&gt;0,"Yes","No"),"")</f>
        <v/>
      </c>
      <c r="C11137" s="11"/>
      <c r="D11137" s="11"/>
      <c r="E11137" s="11"/>
      <c r="F11137" s="11"/>
      <c r="G11137" s="11"/>
      <c r="H11137" s="11"/>
      <c r="I11137" s="15"/>
    </row>
    <row r="11138" spans="1:9" ht="16.5">
      <c r="A11138" s="10" t="b">
        <v>0</v>
      </c>
      <c r="B11138" s="11" t="str">
        <f>IF(D11138&lt;&gt;"",IF(COUNTIF('USPTO TMs'!A:A,D11138)&gt;0,"Yes","No"),"")</f>
        <v/>
      </c>
      <c r="C11138" s="11"/>
      <c r="D11138" s="11"/>
      <c r="E11138" s="11"/>
      <c r="F11138" s="11"/>
      <c r="G11138" s="11"/>
      <c r="H11138" s="11"/>
      <c r="I11138" s="15"/>
    </row>
    <row r="11139" spans="1:9" ht="16.5">
      <c r="A11139" s="10" t="b">
        <v>0</v>
      </c>
      <c r="B11139" s="11" t="str">
        <f>IF(D11139&lt;&gt;"",IF(COUNTIF('USPTO TMs'!A:A,D11139)&gt;0,"Yes","No"),"")</f>
        <v/>
      </c>
      <c r="C11139" s="11"/>
      <c r="D11139" s="11"/>
      <c r="E11139" s="11"/>
      <c r="F11139" s="11"/>
      <c r="G11139" s="11"/>
      <c r="H11139" s="11"/>
      <c r="I11139" s="15"/>
    </row>
    <row r="11140" spans="1:9" ht="16.5">
      <c r="A11140" s="10" t="b">
        <v>0</v>
      </c>
      <c r="B11140" s="11" t="str">
        <f>IF(D11140&lt;&gt;"",IF(COUNTIF('USPTO TMs'!A:A,D11140)&gt;0,"Yes","No"),"")</f>
        <v/>
      </c>
      <c r="C11140" s="11"/>
      <c r="D11140" s="11"/>
      <c r="E11140" s="11"/>
      <c r="F11140" s="11"/>
      <c r="G11140" s="11"/>
      <c r="H11140" s="11"/>
      <c r="I11140" s="15"/>
    </row>
    <row r="11141" spans="1:9" ht="16.5">
      <c r="A11141" s="10" t="b">
        <v>0</v>
      </c>
      <c r="B11141" s="11" t="str">
        <f>IF(D11141&lt;&gt;"",IF(COUNTIF('USPTO TMs'!A:A,D11141)&gt;0,"Yes","No"),"")</f>
        <v/>
      </c>
      <c r="C11141" s="11"/>
      <c r="D11141" s="11"/>
      <c r="E11141" s="11"/>
      <c r="F11141" s="11"/>
      <c r="G11141" s="11"/>
      <c r="H11141" s="11"/>
      <c r="I11141" s="15"/>
    </row>
    <row r="11142" spans="1:9" ht="16.5">
      <c r="A11142" s="10" t="b">
        <v>0</v>
      </c>
      <c r="B11142" s="11" t="str">
        <f>IF(D11142&lt;&gt;"",IF(COUNTIF('USPTO TMs'!A:A,D11142)&gt;0,"Yes","No"),"")</f>
        <v/>
      </c>
      <c r="C11142" s="11"/>
      <c r="D11142" s="11"/>
      <c r="E11142" s="11"/>
      <c r="F11142" s="11"/>
      <c r="G11142" s="11"/>
      <c r="H11142" s="11"/>
      <c r="I11142" s="15"/>
    </row>
    <row r="11143" spans="1:9" ht="16.5">
      <c r="A11143" s="10" t="b">
        <v>0</v>
      </c>
      <c r="B11143" s="11" t="str">
        <f>IF(D11143&lt;&gt;"",IF(COUNTIF('USPTO TMs'!A:A,D11143)&gt;0,"Yes","No"),"")</f>
        <v/>
      </c>
      <c r="C11143" s="11"/>
      <c r="D11143" s="11"/>
      <c r="E11143" s="11"/>
      <c r="F11143" s="11"/>
      <c r="G11143" s="11"/>
      <c r="H11143" s="11"/>
      <c r="I11143" s="15"/>
    </row>
    <row r="11144" spans="1:9" ht="16.5">
      <c r="A11144" s="10" t="b">
        <v>0</v>
      </c>
      <c r="B11144" s="11" t="str">
        <f>IF(D11144&lt;&gt;"",IF(COUNTIF('USPTO TMs'!A:A,D11144)&gt;0,"Yes","No"),"")</f>
        <v/>
      </c>
      <c r="C11144" s="11"/>
      <c r="D11144" s="11"/>
      <c r="E11144" s="11"/>
      <c r="F11144" s="11"/>
      <c r="G11144" s="11"/>
      <c r="H11144" s="11"/>
      <c r="I11144" s="15"/>
    </row>
    <row r="11145" spans="1:9" ht="16.5">
      <c r="A11145" s="10" t="b">
        <v>0</v>
      </c>
      <c r="B11145" s="11" t="str">
        <f>IF(D11145&lt;&gt;"",IF(COUNTIF('USPTO TMs'!A:A,D11145)&gt;0,"Yes","No"),"")</f>
        <v/>
      </c>
      <c r="C11145" s="11"/>
      <c r="D11145" s="11"/>
      <c r="E11145" s="11"/>
      <c r="F11145" s="11"/>
      <c r="G11145" s="11"/>
      <c r="H11145" s="11"/>
      <c r="I11145" s="15"/>
    </row>
    <row r="11146" spans="1:9" ht="16.5">
      <c r="A11146" s="10" t="b">
        <v>0</v>
      </c>
      <c r="B11146" s="11" t="str">
        <f>IF(D11146&lt;&gt;"",IF(COUNTIF('USPTO TMs'!A:A,D11146)&gt;0,"Yes","No"),"")</f>
        <v/>
      </c>
      <c r="C11146" s="11"/>
      <c r="D11146" s="11"/>
      <c r="E11146" s="11"/>
      <c r="F11146" s="11"/>
      <c r="G11146" s="11"/>
      <c r="H11146" s="11"/>
      <c r="I11146" s="15"/>
    </row>
    <row r="11147" spans="1:9" ht="16.5">
      <c r="A11147" s="10" t="b">
        <v>0</v>
      </c>
      <c r="B11147" s="11" t="str">
        <f>IF(D11147&lt;&gt;"",IF(COUNTIF('USPTO TMs'!A:A,D11147)&gt;0,"Yes","No"),"")</f>
        <v/>
      </c>
      <c r="C11147" s="11"/>
      <c r="D11147" s="11"/>
      <c r="E11147" s="11"/>
      <c r="F11147" s="11"/>
      <c r="G11147" s="11"/>
      <c r="H11147" s="11"/>
      <c r="I11147" s="15"/>
    </row>
    <row r="11148" spans="1:9" ht="16.5">
      <c r="A11148" s="10" t="b">
        <v>0</v>
      </c>
      <c r="B11148" s="11" t="str">
        <f>IF(D11148&lt;&gt;"",IF(COUNTIF('USPTO TMs'!A:A,D11148)&gt;0,"Yes","No"),"")</f>
        <v/>
      </c>
      <c r="C11148" s="11"/>
      <c r="D11148" s="11"/>
      <c r="E11148" s="11"/>
      <c r="F11148" s="11"/>
      <c r="G11148" s="11"/>
      <c r="H11148" s="11"/>
      <c r="I11148" s="15"/>
    </row>
    <row r="11149" spans="1:9" ht="16.5">
      <c r="A11149" s="10" t="b">
        <v>0</v>
      </c>
      <c r="B11149" s="11" t="str">
        <f>IF(D11149&lt;&gt;"",IF(COUNTIF('USPTO TMs'!A:A,D11149)&gt;0,"Yes","No"),"")</f>
        <v/>
      </c>
      <c r="C11149" s="11"/>
      <c r="D11149" s="11"/>
      <c r="E11149" s="11"/>
      <c r="F11149" s="11"/>
      <c r="G11149" s="11"/>
      <c r="H11149" s="11"/>
      <c r="I11149" s="15"/>
    </row>
    <row r="11150" spans="1:9" ht="16.5">
      <c r="A11150" s="10" t="b">
        <v>0</v>
      </c>
      <c r="B11150" s="11" t="str">
        <f>IF(D11150&lt;&gt;"",IF(COUNTIF('USPTO TMs'!A:A,D11150)&gt;0,"Yes","No"),"")</f>
        <v/>
      </c>
      <c r="C11150" s="11"/>
      <c r="D11150" s="11"/>
      <c r="E11150" s="11"/>
      <c r="F11150" s="11"/>
      <c r="G11150" s="11"/>
      <c r="H11150" s="11"/>
      <c r="I11150" s="15"/>
    </row>
    <row r="11151" spans="1:9" ht="16.5">
      <c r="A11151" s="10" t="b">
        <v>0</v>
      </c>
      <c r="B11151" s="11" t="str">
        <f>IF(D11151&lt;&gt;"",IF(COUNTIF('USPTO TMs'!A:A,D11151)&gt;0,"Yes","No"),"")</f>
        <v/>
      </c>
      <c r="C11151" s="11"/>
      <c r="D11151" s="11"/>
      <c r="E11151" s="11"/>
      <c r="F11151" s="11"/>
      <c r="G11151" s="11"/>
      <c r="H11151" s="11"/>
      <c r="I11151" s="15"/>
    </row>
    <row r="11152" spans="1:9" ht="16.5">
      <c r="A11152" s="10" t="b">
        <v>0</v>
      </c>
      <c r="B11152" s="11" t="str">
        <f>IF(D11152&lt;&gt;"",IF(COUNTIF('USPTO TMs'!A:A,D11152)&gt;0,"Yes","No"),"")</f>
        <v/>
      </c>
      <c r="C11152" s="11"/>
      <c r="D11152" s="11"/>
      <c r="E11152" s="11"/>
      <c r="F11152" s="11"/>
      <c r="G11152" s="11"/>
      <c r="H11152" s="11"/>
      <c r="I11152" s="15"/>
    </row>
    <row r="11153" spans="1:9" ht="16.5">
      <c r="A11153" s="10" t="b">
        <v>0</v>
      </c>
      <c r="B11153" s="11" t="str">
        <f>IF(D11153&lt;&gt;"",IF(COUNTIF('USPTO TMs'!A:A,D11153)&gt;0,"Yes","No"),"")</f>
        <v/>
      </c>
      <c r="C11153" s="11"/>
      <c r="D11153" s="11"/>
      <c r="E11153" s="11"/>
      <c r="F11153" s="11"/>
      <c r="G11153" s="11"/>
      <c r="H11153" s="11"/>
      <c r="I11153" s="15"/>
    </row>
    <row r="11154" spans="1:9" ht="16.5">
      <c r="A11154" s="10" t="b">
        <v>0</v>
      </c>
      <c r="B11154" s="11" t="str">
        <f>IF(D11154&lt;&gt;"",IF(COUNTIF('USPTO TMs'!A:A,D11154)&gt;0,"Yes","No"),"")</f>
        <v/>
      </c>
      <c r="C11154" s="11"/>
      <c r="D11154" s="11"/>
      <c r="E11154" s="11"/>
      <c r="F11154" s="11"/>
      <c r="G11154" s="11"/>
      <c r="H11154" s="11"/>
      <c r="I11154" s="15"/>
    </row>
    <row r="11155" spans="1:9" ht="16.5">
      <c r="A11155" s="10" t="b">
        <v>0</v>
      </c>
      <c r="B11155" s="11" t="str">
        <f>IF(D11155&lt;&gt;"",IF(COUNTIF('USPTO TMs'!A:A,D11155)&gt;0,"Yes","No"),"")</f>
        <v/>
      </c>
      <c r="C11155" s="11"/>
      <c r="D11155" s="11"/>
      <c r="E11155" s="11"/>
      <c r="F11155" s="11"/>
      <c r="G11155" s="11"/>
      <c r="H11155" s="11"/>
      <c r="I11155" s="15"/>
    </row>
    <row r="11156" spans="1:9" ht="16.5">
      <c r="A11156" s="10" t="b">
        <v>0</v>
      </c>
      <c r="B11156" s="11" t="str">
        <f>IF(D11156&lt;&gt;"",IF(COUNTIF('USPTO TMs'!A:A,D11156)&gt;0,"Yes","No"),"")</f>
        <v/>
      </c>
      <c r="C11156" s="11"/>
      <c r="D11156" s="11"/>
      <c r="E11156" s="11"/>
      <c r="F11156" s="11"/>
      <c r="G11156" s="11"/>
      <c r="H11156" s="11"/>
      <c r="I11156" s="15"/>
    </row>
    <row r="11157" spans="1:9" ht="16.5">
      <c r="A11157" s="10" t="b">
        <v>0</v>
      </c>
      <c r="B11157" s="11" t="str">
        <f>IF(D11157&lt;&gt;"",IF(COUNTIF('USPTO TMs'!A:A,D11157)&gt;0,"Yes","No"),"")</f>
        <v/>
      </c>
      <c r="C11157" s="11"/>
      <c r="D11157" s="11"/>
      <c r="E11157" s="11"/>
      <c r="F11157" s="11"/>
      <c r="G11157" s="11"/>
      <c r="H11157" s="11"/>
      <c r="I11157" s="15"/>
    </row>
    <row r="11158" spans="1:9" ht="16.5">
      <c r="A11158" s="10" t="b">
        <v>0</v>
      </c>
      <c r="B11158" s="11" t="str">
        <f>IF(D11158&lt;&gt;"",IF(COUNTIF('USPTO TMs'!A:A,D11158)&gt;0,"Yes","No"),"")</f>
        <v/>
      </c>
      <c r="C11158" s="11"/>
      <c r="D11158" s="11"/>
      <c r="E11158" s="11"/>
      <c r="F11158" s="11"/>
      <c r="G11158" s="11"/>
      <c r="H11158" s="11"/>
      <c r="I11158" s="15"/>
    </row>
    <row r="11159" spans="1:9" ht="16.5">
      <c r="A11159" s="10" t="b">
        <v>0</v>
      </c>
      <c r="B11159" s="11" t="str">
        <f>IF(D11159&lt;&gt;"",IF(COUNTIF('USPTO TMs'!A:A,D11159)&gt;0,"Yes","No"),"")</f>
        <v/>
      </c>
      <c r="C11159" s="11"/>
      <c r="D11159" s="11"/>
      <c r="E11159" s="11"/>
      <c r="F11159" s="11"/>
      <c r="G11159" s="11"/>
      <c r="H11159" s="11"/>
      <c r="I11159" s="15"/>
    </row>
    <row r="11160" spans="1:9" ht="16.5">
      <c r="A11160" s="10" t="b">
        <v>0</v>
      </c>
      <c r="B11160" s="11" t="str">
        <f>IF(D11160&lt;&gt;"",IF(COUNTIF('USPTO TMs'!A:A,D11160)&gt;0,"Yes","No"),"")</f>
        <v/>
      </c>
      <c r="C11160" s="11"/>
      <c r="D11160" s="11"/>
      <c r="E11160" s="11"/>
      <c r="F11160" s="11"/>
      <c r="G11160" s="11"/>
      <c r="H11160" s="11"/>
      <c r="I11160" s="15"/>
    </row>
    <row r="11161" spans="1:9" ht="16.5">
      <c r="A11161" s="10" t="b">
        <v>0</v>
      </c>
      <c r="B11161" s="11" t="str">
        <f>IF(D11161&lt;&gt;"",IF(COUNTIF('USPTO TMs'!A:A,D11161)&gt;0,"Yes","No"),"")</f>
        <v/>
      </c>
      <c r="C11161" s="11"/>
      <c r="D11161" s="11"/>
      <c r="E11161" s="11"/>
      <c r="F11161" s="11"/>
      <c r="G11161" s="11"/>
      <c r="H11161" s="11"/>
      <c r="I11161" s="15"/>
    </row>
    <row r="11162" spans="1:9" ht="16.5">
      <c r="A11162" s="10" t="b">
        <v>0</v>
      </c>
      <c r="B11162" s="11" t="str">
        <f>IF(D11162&lt;&gt;"",IF(COUNTIF('USPTO TMs'!A:A,D11162)&gt;0,"Yes","No"),"")</f>
        <v/>
      </c>
      <c r="C11162" s="11"/>
      <c r="D11162" s="11"/>
      <c r="E11162" s="11"/>
      <c r="F11162" s="11"/>
      <c r="G11162" s="11"/>
      <c r="H11162" s="11"/>
      <c r="I11162" s="15"/>
    </row>
    <row r="11163" spans="1:9" ht="16.5">
      <c r="A11163" s="10" t="b">
        <v>0</v>
      </c>
      <c r="B11163" s="11" t="str">
        <f>IF(D11163&lt;&gt;"",IF(COUNTIF('USPTO TMs'!A:A,D11163)&gt;0,"Yes","No"),"")</f>
        <v/>
      </c>
      <c r="C11163" s="11"/>
      <c r="D11163" s="11"/>
      <c r="E11163" s="11"/>
      <c r="F11163" s="11"/>
      <c r="G11163" s="11"/>
      <c r="H11163" s="11"/>
      <c r="I11163" s="15"/>
    </row>
    <row r="11164" spans="1:9" ht="16.5">
      <c r="A11164" s="10" t="b">
        <v>0</v>
      </c>
      <c r="B11164" s="11" t="str">
        <f>IF(D11164&lt;&gt;"",IF(COUNTIF('USPTO TMs'!A:A,D11164)&gt;0,"Yes","No"),"")</f>
        <v/>
      </c>
      <c r="C11164" s="11"/>
      <c r="D11164" s="11"/>
      <c r="E11164" s="11"/>
      <c r="F11164" s="11"/>
      <c r="G11164" s="11"/>
      <c r="H11164" s="11"/>
      <c r="I11164" s="15"/>
    </row>
    <row r="11165" spans="1:9" ht="16.5">
      <c r="A11165" s="10" t="b">
        <v>0</v>
      </c>
      <c r="B11165" s="11" t="str">
        <f>IF(D11165&lt;&gt;"",IF(COUNTIF('USPTO TMs'!A:A,D11165)&gt;0,"Yes","No"),"")</f>
        <v/>
      </c>
      <c r="C11165" s="11"/>
      <c r="D11165" s="11"/>
      <c r="E11165" s="11"/>
      <c r="F11165" s="11"/>
      <c r="G11165" s="11"/>
      <c r="H11165" s="11"/>
      <c r="I11165" s="15"/>
    </row>
    <row r="11166" spans="1:9" ht="16.5">
      <c r="A11166" s="10" t="b">
        <v>0</v>
      </c>
      <c r="B11166" s="11" t="str">
        <f>IF(D11166&lt;&gt;"",IF(COUNTIF('USPTO TMs'!A:A,D11166)&gt;0,"Yes","No"),"")</f>
        <v/>
      </c>
      <c r="C11166" s="11"/>
      <c r="D11166" s="11"/>
      <c r="E11166" s="11"/>
      <c r="F11166" s="11"/>
      <c r="G11166" s="11"/>
      <c r="H11166" s="11"/>
      <c r="I11166" s="15"/>
    </row>
    <row r="11167" spans="1:9" ht="16.5">
      <c r="A11167" s="10" t="b">
        <v>0</v>
      </c>
      <c r="B11167" s="11" t="str">
        <f>IF(D11167&lt;&gt;"",IF(COUNTIF('USPTO TMs'!A:A,D11167)&gt;0,"Yes","No"),"")</f>
        <v/>
      </c>
      <c r="C11167" s="11"/>
      <c r="D11167" s="11"/>
      <c r="E11167" s="11"/>
      <c r="F11167" s="11"/>
      <c r="G11167" s="11"/>
      <c r="H11167" s="11"/>
      <c r="I11167" s="15"/>
    </row>
    <row r="11168" spans="1:9" ht="16.5">
      <c r="A11168" s="10" t="b">
        <v>0</v>
      </c>
      <c r="B11168" s="11" t="str">
        <f>IF(D11168&lt;&gt;"",IF(COUNTIF('USPTO TMs'!A:A,D11168)&gt;0,"Yes","No"),"")</f>
        <v/>
      </c>
      <c r="C11168" s="11"/>
      <c r="D11168" s="11"/>
      <c r="E11168" s="11"/>
      <c r="F11168" s="11"/>
      <c r="G11168" s="11"/>
      <c r="H11168" s="11"/>
      <c r="I11168" s="15"/>
    </row>
    <row r="11169" spans="1:9" ht="16.5">
      <c r="A11169" s="10" t="b">
        <v>0</v>
      </c>
      <c r="B11169" s="11" t="str">
        <f>IF(D11169&lt;&gt;"",IF(COUNTIF('USPTO TMs'!A:A,D11169)&gt;0,"Yes","No"),"")</f>
        <v/>
      </c>
      <c r="C11169" s="11"/>
      <c r="D11169" s="11"/>
      <c r="E11169" s="11"/>
      <c r="F11169" s="11"/>
      <c r="G11169" s="11"/>
      <c r="H11169" s="11"/>
      <c r="I11169" s="15"/>
    </row>
    <row r="11170" spans="1:9" ht="16.5">
      <c r="A11170" s="10" t="b">
        <v>0</v>
      </c>
      <c r="B11170" s="11" t="str">
        <f>IF(D11170&lt;&gt;"",IF(COUNTIF('USPTO TMs'!A:A,D11170)&gt;0,"Yes","No"),"")</f>
        <v/>
      </c>
      <c r="C11170" s="11"/>
      <c r="D11170" s="11"/>
      <c r="E11170" s="11"/>
      <c r="F11170" s="11"/>
      <c r="G11170" s="11"/>
      <c r="H11170" s="11"/>
      <c r="I11170" s="15"/>
    </row>
    <row r="11171" spans="1:9" ht="16.5">
      <c r="A11171" s="10" t="b">
        <v>0</v>
      </c>
      <c r="B11171" s="11" t="str">
        <f>IF(D11171&lt;&gt;"",IF(COUNTIF('USPTO TMs'!A:A,D11171)&gt;0,"Yes","No"),"")</f>
        <v/>
      </c>
      <c r="C11171" s="11"/>
      <c r="D11171" s="11"/>
      <c r="E11171" s="11"/>
      <c r="F11171" s="11"/>
      <c r="G11171" s="11"/>
      <c r="H11171" s="11"/>
      <c r="I11171" s="15"/>
    </row>
    <row r="11172" spans="1:9" ht="16.5">
      <c r="A11172" s="10" t="b">
        <v>0</v>
      </c>
      <c r="B11172" s="11" t="str">
        <f>IF(D11172&lt;&gt;"",IF(COUNTIF('USPTO TMs'!A:A,D11172)&gt;0,"Yes","No"),"")</f>
        <v/>
      </c>
      <c r="C11172" s="11"/>
      <c r="D11172" s="11"/>
      <c r="E11172" s="11"/>
      <c r="F11172" s="11"/>
      <c r="G11172" s="11"/>
      <c r="H11172" s="11"/>
      <c r="I11172" s="15"/>
    </row>
    <row r="11173" spans="1:9" ht="16.5">
      <c r="A11173" s="10" t="b">
        <v>0</v>
      </c>
      <c r="B11173" s="11" t="str">
        <f>IF(D11173&lt;&gt;"",IF(COUNTIF('USPTO TMs'!A:A,D11173)&gt;0,"Yes","No"),"")</f>
        <v/>
      </c>
      <c r="C11173" s="11"/>
      <c r="D11173" s="11"/>
      <c r="E11173" s="11"/>
      <c r="F11173" s="11"/>
      <c r="G11173" s="11"/>
      <c r="H11173" s="11"/>
      <c r="I11173" s="15"/>
    </row>
    <row r="11174" spans="1:9" ht="16.5">
      <c r="A11174" s="10" t="b">
        <v>0</v>
      </c>
      <c r="B11174" s="11" t="str">
        <f>IF(D11174&lt;&gt;"",IF(COUNTIF('USPTO TMs'!A:A,D11174)&gt;0,"Yes","No"),"")</f>
        <v/>
      </c>
      <c r="C11174" s="11"/>
      <c r="D11174" s="11"/>
      <c r="E11174" s="11"/>
      <c r="F11174" s="11"/>
      <c r="G11174" s="11"/>
      <c r="H11174" s="11"/>
      <c r="I11174" s="15"/>
    </row>
    <row r="11175" spans="1:9" ht="16.5">
      <c r="A11175" s="10" t="b">
        <v>0</v>
      </c>
      <c r="B11175" s="11" t="str">
        <f>IF(D11175&lt;&gt;"",IF(COUNTIF('USPTO TMs'!A:A,D11175)&gt;0,"Yes","No"),"")</f>
        <v/>
      </c>
      <c r="C11175" s="11"/>
      <c r="D11175" s="11"/>
      <c r="E11175" s="11"/>
      <c r="F11175" s="11"/>
      <c r="G11175" s="11"/>
      <c r="H11175" s="11"/>
      <c r="I11175" s="15"/>
    </row>
    <row r="11176" spans="1:9" ht="16.5">
      <c r="A11176" s="10" t="b">
        <v>0</v>
      </c>
      <c r="B11176" s="11" t="str">
        <f>IF(D11176&lt;&gt;"",IF(COUNTIF('USPTO TMs'!A:A,D11176)&gt;0,"Yes","No"),"")</f>
        <v/>
      </c>
      <c r="C11176" s="11"/>
      <c r="D11176" s="11"/>
      <c r="E11176" s="11"/>
      <c r="F11176" s="11"/>
      <c r="G11176" s="11"/>
      <c r="H11176" s="11"/>
      <c r="I11176" s="15"/>
    </row>
    <row r="11177" spans="1:9" ht="16.5">
      <c r="A11177" s="10" t="b">
        <v>0</v>
      </c>
      <c r="B11177" s="11" t="str">
        <f>IF(D11177&lt;&gt;"",IF(COUNTIF('USPTO TMs'!A:A,D11177)&gt;0,"Yes","No"),"")</f>
        <v/>
      </c>
      <c r="C11177" s="11"/>
      <c r="D11177" s="11"/>
      <c r="E11177" s="11"/>
      <c r="F11177" s="11"/>
      <c r="G11177" s="11"/>
      <c r="H11177" s="11"/>
      <c r="I11177" s="15"/>
    </row>
    <row r="11178" spans="1:9" ht="16.5">
      <c r="A11178" s="10" t="b">
        <v>0</v>
      </c>
      <c r="B11178" s="11" t="str">
        <f>IF(D11178&lt;&gt;"",IF(COUNTIF('USPTO TMs'!A:A,D11178)&gt;0,"Yes","No"),"")</f>
        <v/>
      </c>
      <c r="C11178" s="11"/>
      <c r="D11178" s="11"/>
      <c r="E11178" s="11"/>
      <c r="F11178" s="11"/>
      <c r="G11178" s="11"/>
      <c r="H11178" s="11"/>
      <c r="I11178" s="15"/>
    </row>
    <row r="11179" spans="1:9" ht="16.5">
      <c r="A11179" s="10" t="b">
        <v>0</v>
      </c>
      <c r="B11179" s="11" t="str">
        <f>IF(D11179&lt;&gt;"",IF(COUNTIF('USPTO TMs'!A:A,D11179)&gt;0,"Yes","No"),"")</f>
        <v/>
      </c>
      <c r="C11179" s="11"/>
      <c r="D11179" s="11"/>
      <c r="E11179" s="11"/>
      <c r="F11179" s="11"/>
      <c r="G11179" s="11"/>
      <c r="H11179" s="11"/>
      <c r="I11179" s="15"/>
    </row>
    <row r="11180" spans="1:9" ht="16.5">
      <c r="A11180" s="10" t="b">
        <v>0</v>
      </c>
      <c r="B11180" s="11" t="str">
        <f>IF(D11180&lt;&gt;"",IF(COUNTIF('USPTO TMs'!A:A,D11180)&gt;0,"Yes","No"),"")</f>
        <v/>
      </c>
      <c r="C11180" s="11"/>
      <c r="D11180" s="11"/>
      <c r="E11180" s="11"/>
      <c r="F11180" s="11"/>
      <c r="G11180" s="11"/>
      <c r="H11180" s="11"/>
      <c r="I11180" s="15"/>
    </row>
    <row r="11181" spans="1:9" ht="16.5">
      <c r="A11181" s="10" t="b">
        <v>0</v>
      </c>
      <c r="B11181" s="11" t="str">
        <f>IF(D11181&lt;&gt;"",IF(COUNTIF('USPTO TMs'!A:A,D11181)&gt;0,"Yes","No"),"")</f>
        <v/>
      </c>
      <c r="C11181" s="11"/>
      <c r="D11181" s="11"/>
      <c r="E11181" s="11"/>
      <c r="F11181" s="11"/>
      <c r="G11181" s="11"/>
      <c r="H11181" s="11"/>
      <c r="I11181" s="15"/>
    </row>
    <row r="11182" spans="1:9" ht="16.5">
      <c r="A11182" s="10" t="b">
        <v>0</v>
      </c>
      <c r="B11182" s="11" t="str">
        <f>IF(D11182&lt;&gt;"",IF(COUNTIF('USPTO TMs'!A:A,D11182)&gt;0,"Yes","No"),"")</f>
        <v/>
      </c>
      <c r="C11182" s="11"/>
      <c r="D11182" s="11"/>
      <c r="E11182" s="11"/>
      <c r="F11182" s="11"/>
      <c r="G11182" s="11"/>
      <c r="H11182" s="11"/>
      <c r="I11182" s="15"/>
    </row>
    <row r="11183" spans="1:9" ht="16.5">
      <c r="A11183" s="10" t="b">
        <v>0</v>
      </c>
      <c r="B11183" s="11" t="str">
        <f>IF(D11183&lt;&gt;"",IF(COUNTIF('USPTO TMs'!A:A,D11183)&gt;0,"Yes","No"),"")</f>
        <v/>
      </c>
      <c r="C11183" s="11"/>
      <c r="D11183" s="11"/>
      <c r="E11183" s="11"/>
      <c r="F11183" s="11"/>
      <c r="G11183" s="11"/>
      <c r="H11183" s="11"/>
      <c r="I11183" s="15"/>
    </row>
    <row r="11184" spans="1:9" ht="16.5">
      <c r="A11184" s="10" t="b">
        <v>0</v>
      </c>
      <c r="B11184" s="11" t="str">
        <f>IF(D11184&lt;&gt;"",IF(COUNTIF('USPTO TMs'!A:A,D11184)&gt;0,"Yes","No"),"")</f>
        <v/>
      </c>
      <c r="C11184" s="11"/>
      <c r="D11184" s="11"/>
      <c r="E11184" s="11"/>
      <c r="F11184" s="11"/>
      <c r="G11184" s="11"/>
      <c r="H11184" s="11"/>
      <c r="I11184" s="15"/>
    </row>
    <row r="11185" spans="1:9" ht="16.5">
      <c r="A11185" s="10" t="b">
        <v>0</v>
      </c>
      <c r="B11185" s="11" t="str">
        <f>IF(D11185&lt;&gt;"",IF(COUNTIF('USPTO TMs'!A:A,D11185)&gt;0,"Yes","No"),"")</f>
        <v/>
      </c>
      <c r="C11185" s="11"/>
      <c r="D11185" s="11"/>
      <c r="E11185" s="11"/>
      <c r="F11185" s="11"/>
      <c r="G11185" s="11"/>
      <c r="H11185" s="11"/>
      <c r="I11185" s="15"/>
    </row>
    <row r="11186" spans="1:9" ht="16.5">
      <c r="A11186" s="10" t="b">
        <v>0</v>
      </c>
      <c r="B11186" s="11" t="str">
        <f>IF(D11186&lt;&gt;"",IF(COUNTIF('USPTO TMs'!A:A,D11186)&gt;0,"Yes","No"),"")</f>
        <v/>
      </c>
      <c r="C11186" s="11"/>
      <c r="D11186" s="11"/>
      <c r="E11186" s="11"/>
      <c r="F11186" s="11"/>
      <c r="G11186" s="11"/>
      <c r="H11186" s="11"/>
      <c r="I11186" s="15"/>
    </row>
    <row r="11187" spans="1:9" ht="16.5">
      <c r="A11187" s="10" t="b">
        <v>0</v>
      </c>
      <c r="B11187" s="11" t="str">
        <f>IF(D11187&lt;&gt;"",IF(COUNTIF('USPTO TMs'!A:A,D11187)&gt;0,"Yes","No"),"")</f>
        <v/>
      </c>
      <c r="C11187" s="11"/>
      <c r="D11187" s="11"/>
      <c r="E11187" s="11"/>
      <c r="F11187" s="11"/>
      <c r="G11187" s="11"/>
      <c r="H11187" s="11"/>
      <c r="I11187" s="15"/>
    </row>
    <row r="11188" spans="1:9" ht="16.5">
      <c r="A11188" s="10" t="b">
        <v>0</v>
      </c>
      <c r="B11188" s="11" t="str">
        <f>IF(D11188&lt;&gt;"",IF(COUNTIF('USPTO TMs'!A:A,D11188)&gt;0,"Yes","No"),"")</f>
        <v/>
      </c>
      <c r="C11188" s="11"/>
      <c r="D11188" s="11"/>
      <c r="E11188" s="11"/>
      <c r="F11188" s="11"/>
      <c r="G11188" s="11"/>
      <c r="H11188" s="11"/>
      <c r="I11188" s="15"/>
    </row>
    <row r="11189" spans="1:9" ht="16.5">
      <c r="A11189" s="10" t="b">
        <v>0</v>
      </c>
      <c r="B11189" s="11" t="str">
        <f>IF(D11189&lt;&gt;"",IF(COUNTIF('USPTO TMs'!A:A,D11189)&gt;0,"Yes","No"),"")</f>
        <v/>
      </c>
      <c r="C11189" s="11"/>
      <c r="D11189" s="11"/>
      <c r="E11189" s="11"/>
      <c r="F11189" s="11"/>
      <c r="G11189" s="11"/>
      <c r="H11189" s="11"/>
      <c r="I11189" s="15"/>
    </row>
    <row r="11190" spans="1:9" ht="16.5">
      <c r="A11190" s="10" t="b">
        <v>0</v>
      </c>
      <c r="B11190" s="11" t="str">
        <f>IF(D11190&lt;&gt;"",IF(COUNTIF('USPTO TMs'!A:A,D11190)&gt;0,"Yes","No"),"")</f>
        <v/>
      </c>
      <c r="C11190" s="11"/>
      <c r="D11190" s="11"/>
      <c r="E11190" s="11"/>
      <c r="F11190" s="11"/>
      <c r="G11190" s="11"/>
      <c r="H11190" s="11"/>
      <c r="I11190" s="15"/>
    </row>
    <row r="11191" spans="1:9" ht="16.5">
      <c r="A11191" s="10" t="b">
        <v>0</v>
      </c>
      <c r="B11191" s="11" t="str">
        <f>IF(D11191&lt;&gt;"",IF(COUNTIF('USPTO TMs'!A:A,D11191)&gt;0,"Yes","No"),"")</f>
        <v/>
      </c>
      <c r="C11191" s="11"/>
      <c r="D11191" s="11"/>
      <c r="E11191" s="11"/>
      <c r="F11191" s="11"/>
      <c r="G11191" s="11"/>
      <c r="H11191" s="11"/>
      <c r="I11191" s="15"/>
    </row>
    <row r="11192" spans="1:9" ht="16.5">
      <c r="A11192" s="10" t="b">
        <v>0</v>
      </c>
      <c r="B11192" s="11" t="str">
        <f>IF(D11192&lt;&gt;"",IF(COUNTIF('USPTO TMs'!A:A,D11192)&gt;0,"Yes","No"),"")</f>
        <v/>
      </c>
      <c r="C11192" s="11"/>
      <c r="D11192" s="11"/>
      <c r="E11192" s="11"/>
      <c r="F11192" s="11"/>
      <c r="G11192" s="11"/>
      <c r="H11192" s="11"/>
      <c r="I11192" s="15"/>
    </row>
    <row r="11193" spans="1:9" ht="16.5">
      <c r="A11193" s="10" t="b">
        <v>0</v>
      </c>
      <c r="B11193" s="11" t="str">
        <f>IF(D11193&lt;&gt;"",IF(COUNTIF('USPTO TMs'!A:A,D11193)&gt;0,"Yes","No"),"")</f>
        <v/>
      </c>
      <c r="C11193" s="11"/>
      <c r="D11193" s="11"/>
      <c r="E11193" s="11"/>
      <c r="F11193" s="11"/>
      <c r="G11193" s="11"/>
      <c r="H11193" s="11"/>
      <c r="I11193" s="15"/>
    </row>
    <row r="11194" spans="1:9" ht="16.5">
      <c r="A11194" s="10" t="b">
        <v>0</v>
      </c>
      <c r="B11194" s="11" t="str">
        <f>IF(D11194&lt;&gt;"",IF(COUNTIF('USPTO TMs'!A:A,D11194)&gt;0,"Yes","No"),"")</f>
        <v/>
      </c>
      <c r="C11194" s="11"/>
      <c r="D11194" s="11"/>
      <c r="E11194" s="11"/>
      <c r="F11194" s="11"/>
      <c r="G11194" s="11"/>
      <c r="H11194" s="11"/>
      <c r="I11194" s="15"/>
    </row>
    <row r="11195" spans="1:9" ht="16.5">
      <c r="A11195" s="10" t="b">
        <v>0</v>
      </c>
      <c r="B11195" s="11" t="str">
        <f>IF(D11195&lt;&gt;"",IF(COUNTIF('USPTO TMs'!A:A,D11195)&gt;0,"Yes","No"),"")</f>
        <v/>
      </c>
      <c r="C11195" s="11"/>
      <c r="D11195" s="11"/>
      <c r="E11195" s="11"/>
      <c r="F11195" s="11"/>
      <c r="G11195" s="11"/>
      <c r="H11195" s="11"/>
      <c r="I11195" s="15"/>
    </row>
    <row r="11196" spans="1:9" ht="16.5">
      <c r="A11196" s="10" t="b">
        <v>0</v>
      </c>
      <c r="B11196" s="11" t="str">
        <f>IF(D11196&lt;&gt;"",IF(COUNTIF('USPTO TMs'!A:A,D11196)&gt;0,"Yes","No"),"")</f>
        <v/>
      </c>
      <c r="C11196" s="11"/>
      <c r="D11196" s="11"/>
      <c r="E11196" s="11"/>
      <c r="F11196" s="11"/>
      <c r="G11196" s="11"/>
      <c r="H11196" s="11"/>
      <c r="I11196" s="15"/>
    </row>
    <row r="11197" spans="1:9" ht="16.5">
      <c r="A11197" s="10" t="b">
        <v>0</v>
      </c>
      <c r="B11197" s="11" t="str">
        <f>IF(D11197&lt;&gt;"",IF(COUNTIF('USPTO TMs'!A:A,D11197)&gt;0,"Yes","No"),"")</f>
        <v/>
      </c>
      <c r="C11197" s="11"/>
      <c r="D11197" s="11"/>
      <c r="E11197" s="11"/>
      <c r="F11197" s="11"/>
      <c r="G11197" s="11"/>
      <c r="H11197" s="11"/>
      <c r="I11197" s="15"/>
    </row>
    <row r="11198" spans="1:9" ht="16.5">
      <c r="A11198" s="10" t="b">
        <v>0</v>
      </c>
      <c r="B11198" s="11" t="str">
        <f>IF(D11198&lt;&gt;"",IF(COUNTIF('USPTO TMs'!A:A,D11198)&gt;0,"Yes","No"),"")</f>
        <v/>
      </c>
      <c r="C11198" s="11"/>
      <c r="D11198" s="11"/>
      <c r="E11198" s="11"/>
      <c r="F11198" s="11"/>
      <c r="G11198" s="11"/>
      <c r="H11198" s="11"/>
      <c r="I11198" s="15"/>
    </row>
    <row r="11199" spans="1:9" ht="16.5">
      <c r="A11199" s="10" t="b">
        <v>0</v>
      </c>
      <c r="B11199" s="11" t="str">
        <f>IF(D11199&lt;&gt;"",IF(COUNTIF('USPTO TMs'!A:A,D11199)&gt;0,"Yes","No"),"")</f>
        <v/>
      </c>
      <c r="C11199" s="11"/>
      <c r="D11199" s="11"/>
      <c r="E11199" s="11"/>
      <c r="F11199" s="11"/>
      <c r="G11199" s="11"/>
      <c r="H11199" s="11"/>
      <c r="I11199" s="15"/>
    </row>
    <row r="11200" spans="1:9" ht="16.5">
      <c r="A11200" s="10" t="b">
        <v>0</v>
      </c>
      <c r="B11200" s="11" t="str">
        <f>IF(D11200&lt;&gt;"",IF(COUNTIF('USPTO TMs'!A:A,D11200)&gt;0,"Yes","No"),"")</f>
        <v/>
      </c>
      <c r="C11200" s="11"/>
      <c r="D11200" s="11"/>
      <c r="E11200" s="11"/>
      <c r="F11200" s="11"/>
      <c r="G11200" s="11"/>
      <c r="H11200" s="11"/>
      <c r="I11200" s="15"/>
    </row>
    <row r="11201" spans="1:9" ht="16.5">
      <c r="A11201" s="10" t="b">
        <v>0</v>
      </c>
      <c r="B11201" s="11" t="str">
        <f>IF(D11201&lt;&gt;"",IF(COUNTIF('USPTO TMs'!A:A,D11201)&gt;0,"Yes","No"),"")</f>
        <v/>
      </c>
      <c r="C11201" s="11"/>
      <c r="D11201" s="11"/>
      <c r="E11201" s="11"/>
      <c r="F11201" s="11"/>
      <c r="G11201" s="11"/>
      <c r="H11201" s="11"/>
      <c r="I11201" s="15"/>
    </row>
    <row r="11202" spans="1:9" ht="16.5">
      <c r="A11202" s="10" t="b">
        <v>0</v>
      </c>
      <c r="B11202" s="11" t="str">
        <f>IF(D11202&lt;&gt;"",IF(COUNTIF('USPTO TMs'!A:A,D11202)&gt;0,"Yes","No"),"")</f>
        <v/>
      </c>
      <c r="C11202" s="11"/>
      <c r="D11202" s="11"/>
      <c r="E11202" s="11"/>
      <c r="F11202" s="11"/>
      <c r="G11202" s="11"/>
      <c r="H11202" s="11"/>
      <c r="I11202" s="15"/>
    </row>
    <row r="11203" spans="1:9" ht="16.5">
      <c r="A11203" s="10" t="b">
        <v>0</v>
      </c>
      <c r="B11203" s="11" t="str">
        <f>IF(D11203&lt;&gt;"",IF(COUNTIF('USPTO TMs'!A:A,D11203)&gt;0,"Yes","No"),"")</f>
        <v/>
      </c>
      <c r="C11203" s="11"/>
      <c r="D11203" s="11"/>
      <c r="E11203" s="11"/>
      <c r="F11203" s="11"/>
      <c r="G11203" s="11"/>
      <c r="H11203" s="11"/>
      <c r="I11203" s="15"/>
    </row>
    <row r="11204" spans="1:9" ht="16.5">
      <c r="A11204" s="10" t="b">
        <v>0</v>
      </c>
      <c r="B11204" s="11" t="str">
        <f>IF(D11204&lt;&gt;"",IF(COUNTIF('USPTO TMs'!A:A,D11204)&gt;0,"Yes","No"),"")</f>
        <v/>
      </c>
      <c r="C11204" s="11"/>
      <c r="D11204" s="11"/>
      <c r="E11204" s="11"/>
      <c r="F11204" s="11"/>
      <c r="G11204" s="11"/>
      <c r="H11204" s="11"/>
      <c r="I11204" s="15"/>
    </row>
    <row r="11205" spans="1:9" ht="16.5">
      <c r="A11205" s="10" t="b">
        <v>0</v>
      </c>
      <c r="B11205" s="11" t="str">
        <f>IF(D11205&lt;&gt;"",IF(COUNTIF('USPTO TMs'!A:A,D11205)&gt;0,"Yes","No"),"")</f>
        <v/>
      </c>
      <c r="C11205" s="11"/>
      <c r="D11205" s="11"/>
      <c r="E11205" s="11"/>
      <c r="F11205" s="11"/>
      <c r="G11205" s="11"/>
      <c r="H11205" s="11"/>
      <c r="I11205" s="15"/>
    </row>
    <row r="11206" spans="1:9" ht="16.5">
      <c r="A11206" s="10" t="b">
        <v>0</v>
      </c>
      <c r="B11206" s="11" t="str">
        <f>IF(D11206&lt;&gt;"",IF(COUNTIF('USPTO TMs'!A:A,D11206)&gt;0,"Yes","No"),"")</f>
        <v/>
      </c>
      <c r="C11206" s="11"/>
      <c r="D11206" s="11"/>
      <c r="E11206" s="11"/>
      <c r="F11206" s="11"/>
      <c r="G11206" s="11"/>
      <c r="H11206" s="11"/>
      <c r="I11206" s="15"/>
    </row>
    <row r="11207" spans="1:9" ht="16.5">
      <c r="A11207" s="10" t="b">
        <v>0</v>
      </c>
      <c r="B11207" s="11" t="str">
        <f>IF(D11207&lt;&gt;"",IF(COUNTIF('USPTO TMs'!A:A,D11207)&gt;0,"Yes","No"),"")</f>
        <v/>
      </c>
      <c r="C11207" s="11"/>
      <c r="D11207" s="11"/>
      <c r="E11207" s="11"/>
      <c r="F11207" s="11"/>
      <c r="G11207" s="11"/>
      <c r="H11207" s="11"/>
      <c r="I11207" s="15"/>
    </row>
    <row r="11208" spans="1:9" ht="16.5">
      <c r="A11208" s="10" t="b">
        <v>0</v>
      </c>
      <c r="B11208" s="11" t="str">
        <f>IF(D11208&lt;&gt;"",IF(COUNTIF('USPTO TMs'!A:A,D11208)&gt;0,"Yes","No"),"")</f>
        <v/>
      </c>
      <c r="C11208" s="11"/>
      <c r="D11208" s="11"/>
      <c r="E11208" s="11"/>
      <c r="F11208" s="11"/>
      <c r="G11208" s="11"/>
      <c r="H11208" s="11"/>
      <c r="I11208" s="15"/>
    </row>
    <row r="11209" spans="1:9" ht="16.5">
      <c r="A11209" s="10" t="b">
        <v>0</v>
      </c>
      <c r="B11209" s="11" t="str">
        <f>IF(D11209&lt;&gt;"",IF(COUNTIF('USPTO TMs'!A:A,D11209)&gt;0,"Yes","No"),"")</f>
        <v/>
      </c>
      <c r="C11209" s="11"/>
      <c r="D11209" s="11"/>
      <c r="E11209" s="11"/>
      <c r="F11209" s="11"/>
      <c r="G11209" s="11"/>
      <c r="H11209" s="11"/>
      <c r="I11209" s="15"/>
    </row>
    <row r="11210" spans="1:9" ht="16.5">
      <c r="A11210" s="10" t="b">
        <v>0</v>
      </c>
      <c r="B11210" s="11" t="str">
        <f>IF(D11210&lt;&gt;"",IF(COUNTIF('USPTO TMs'!A:A,D11210)&gt;0,"Yes","No"),"")</f>
        <v/>
      </c>
      <c r="C11210" s="11"/>
      <c r="D11210" s="11"/>
      <c r="E11210" s="11"/>
      <c r="F11210" s="11"/>
      <c r="G11210" s="11"/>
      <c r="H11210" s="11"/>
      <c r="I11210" s="15"/>
    </row>
    <row r="11211" spans="1:9" ht="16.5">
      <c r="A11211" s="10" t="b">
        <v>0</v>
      </c>
      <c r="B11211" s="11" t="str">
        <f>IF(D11211&lt;&gt;"",IF(COUNTIF('USPTO TMs'!A:A,D11211)&gt;0,"Yes","No"),"")</f>
        <v/>
      </c>
      <c r="C11211" s="11"/>
      <c r="D11211" s="11"/>
      <c r="E11211" s="11"/>
      <c r="F11211" s="11"/>
      <c r="G11211" s="11"/>
      <c r="H11211" s="11"/>
      <c r="I11211" s="15"/>
    </row>
    <row r="11212" spans="1:9" ht="16.5">
      <c r="A11212" s="10" t="b">
        <v>0</v>
      </c>
      <c r="B11212" s="11" t="str">
        <f>IF(D11212&lt;&gt;"",IF(COUNTIF('USPTO TMs'!A:A,D11212)&gt;0,"Yes","No"),"")</f>
        <v/>
      </c>
      <c r="C11212" s="11"/>
      <c r="D11212" s="11"/>
      <c r="E11212" s="11"/>
      <c r="F11212" s="11"/>
      <c r="G11212" s="11"/>
      <c r="H11212" s="11"/>
      <c r="I11212" s="15"/>
    </row>
    <row r="11213" spans="1:9" ht="16.5">
      <c r="A11213" s="10" t="b">
        <v>0</v>
      </c>
      <c r="B11213" s="11" t="str">
        <f>IF(D11213&lt;&gt;"",IF(COUNTIF('USPTO TMs'!A:A,D11213)&gt;0,"Yes","No"),"")</f>
        <v/>
      </c>
      <c r="C11213" s="11"/>
      <c r="D11213" s="11"/>
      <c r="E11213" s="11"/>
      <c r="F11213" s="11"/>
      <c r="G11213" s="11"/>
      <c r="H11213" s="11"/>
      <c r="I11213" s="15"/>
    </row>
    <row r="11214" spans="1:9" ht="16.5">
      <c r="A11214" s="10" t="b">
        <v>0</v>
      </c>
      <c r="B11214" s="11" t="str">
        <f>IF(D11214&lt;&gt;"",IF(COUNTIF('USPTO TMs'!A:A,D11214)&gt;0,"Yes","No"),"")</f>
        <v/>
      </c>
      <c r="C11214" s="11"/>
      <c r="D11214" s="11"/>
      <c r="E11214" s="11"/>
      <c r="F11214" s="11"/>
      <c r="G11214" s="11"/>
      <c r="H11214" s="11"/>
      <c r="I11214" s="15"/>
    </row>
    <row r="11215" spans="1:9" ht="16.5">
      <c r="A11215" s="10" t="b">
        <v>0</v>
      </c>
      <c r="B11215" s="11" t="str">
        <f>IF(D11215&lt;&gt;"",IF(COUNTIF('USPTO TMs'!A:A,D11215)&gt;0,"Yes","No"),"")</f>
        <v/>
      </c>
      <c r="C11215" s="11"/>
      <c r="D11215" s="11"/>
      <c r="E11215" s="11"/>
      <c r="F11215" s="11"/>
      <c r="G11215" s="11"/>
      <c r="H11215" s="11"/>
      <c r="I11215" s="15"/>
    </row>
    <row r="11216" spans="1:9" ht="16.5">
      <c r="A11216" s="10" t="b">
        <v>0</v>
      </c>
      <c r="B11216" s="11" t="str">
        <f>IF(D11216&lt;&gt;"",IF(COUNTIF('USPTO TMs'!A:A,D11216)&gt;0,"Yes","No"),"")</f>
        <v/>
      </c>
      <c r="C11216" s="11"/>
      <c r="D11216" s="11"/>
      <c r="E11216" s="11"/>
      <c r="F11216" s="11"/>
      <c r="G11216" s="11"/>
      <c r="H11216" s="11"/>
      <c r="I11216" s="15"/>
    </row>
    <row r="11217" spans="1:9" ht="16.5">
      <c r="A11217" s="10" t="b">
        <v>0</v>
      </c>
      <c r="B11217" s="11" t="str">
        <f>IF(D11217&lt;&gt;"",IF(COUNTIF('USPTO TMs'!A:A,D11217)&gt;0,"Yes","No"),"")</f>
        <v/>
      </c>
      <c r="C11217" s="11"/>
      <c r="D11217" s="11"/>
      <c r="E11217" s="11"/>
      <c r="F11217" s="11"/>
      <c r="G11217" s="11"/>
      <c r="H11217" s="11"/>
      <c r="I11217" s="15"/>
    </row>
    <row r="11218" spans="1:9" ht="16.5">
      <c r="A11218" s="10" t="b">
        <v>0</v>
      </c>
      <c r="B11218" s="11" t="str">
        <f>IF(D11218&lt;&gt;"",IF(COUNTIF('USPTO TMs'!A:A,D11218)&gt;0,"Yes","No"),"")</f>
        <v/>
      </c>
      <c r="C11218" s="11"/>
      <c r="D11218" s="11"/>
      <c r="E11218" s="11"/>
      <c r="F11218" s="11"/>
      <c r="G11218" s="11"/>
      <c r="H11218" s="11"/>
      <c r="I11218" s="15"/>
    </row>
    <row r="11219" spans="1:9" ht="16.5">
      <c r="A11219" s="10" t="b">
        <v>0</v>
      </c>
      <c r="B11219" s="11" t="str">
        <f>IF(D11219&lt;&gt;"",IF(COUNTIF('USPTO TMs'!A:A,D11219)&gt;0,"Yes","No"),"")</f>
        <v/>
      </c>
      <c r="C11219" s="11"/>
      <c r="D11219" s="11"/>
      <c r="E11219" s="11"/>
      <c r="F11219" s="11"/>
      <c r="G11219" s="11"/>
      <c r="H11219" s="11"/>
      <c r="I11219" s="15"/>
    </row>
    <row r="11220" spans="1:9" ht="16.5">
      <c r="A11220" s="10" t="b">
        <v>0</v>
      </c>
      <c r="B11220" s="11" t="str">
        <f>IF(D11220&lt;&gt;"",IF(COUNTIF('USPTO TMs'!A:A,D11220)&gt;0,"Yes","No"),"")</f>
        <v/>
      </c>
      <c r="C11220" s="11"/>
      <c r="D11220" s="11"/>
      <c r="E11220" s="11"/>
      <c r="F11220" s="11"/>
      <c r="G11220" s="11"/>
      <c r="H11220" s="11"/>
      <c r="I11220" s="15"/>
    </row>
    <row r="11221" spans="1:9" ht="16.5">
      <c r="A11221" s="10" t="b">
        <v>0</v>
      </c>
      <c r="B11221" s="11" t="str">
        <f>IF(D11221&lt;&gt;"",IF(COUNTIF('USPTO TMs'!A:A,D11221)&gt;0,"Yes","No"),"")</f>
        <v/>
      </c>
      <c r="C11221" s="11"/>
      <c r="D11221" s="11"/>
      <c r="E11221" s="11"/>
      <c r="F11221" s="11"/>
      <c r="G11221" s="11"/>
      <c r="H11221" s="11"/>
      <c r="I11221" s="15"/>
    </row>
    <row r="11222" spans="1:9" ht="16.5">
      <c r="A11222" s="10" t="b">
        <v>0</v>
      </c>
      <c r="B11222" s="11" t="str">
        <f>IF(D11222&lt;&gt;"",IF(COUNTIF('USPTO TMs'!A:A,D11222)&gt;0,"Yes","No"),"")</f>
        <v/>
      </c>
      <c r="C11222" s="11"/>
      <c r="D11222" s="11"/>
      <c r="E11222" s="11"/>
      <c r="F11222" s="11"/>
      <c r="G11222" s="11"/>
      <c r="H11222" s="11"/>
      <c r="I11222" s="15"/>
    </row>
    <row r="11223" spans="1:9" ht="16.5">
      <c r="A11223" s="10" t="b">
        <v>0</v>
      </c>
      <c r="B11223" s="11" t="str">
        <f>IF(D11223&lt;&gt;"",IF(COUNTIF('USPTO TMs'!A:A,D11223)&gt;0,"Yes","No"),"")</f>
        <v/>
      </c>
      <c r="C11223" s="11"/>
      <c r="D11223" s="11"/>
      <c r="E11223" s="11"/>
      <c r="F11223" s="11"/>
      <c r="G11223" s="11"/>
      <c r="H11223" s="11"/>
      <c r="I11223" s="15"/>
    </row>
    <row r="11224" spans="1:9" ht="16.5">
      <c r="A11224" s="10" t="b">
        <v>0</v>
      </c>
      <c r="B11224" s="11" t="str">
        <f>IF(D11224&lt;&gt;"",IF(COUNTIF('USPTO TMs'!A:A,D11224)&gt;0,"Yes","No"),"")</f>
        <v/>
      </c>
      <c r="C11224" s="11"/>
      <c r="D11224" s="11"/>
      <c r="E11224" s="11"/>
      <c r="F11224" s="11"/>
      <c r="G11224" s="11"/>
      <c r="H11224" s="11"/>
      <c r="I11224" s="15"/>
    </row>
    <row r="11225" spans="1:9" ht="16.5">
      <c r="A11225" s="10" t="b">
        <v>0</v>
      </c>
      <c r="B11225" s="11" t="str">
        <f>IF(D11225&lt;&gt;"",IF(COUNTIF('USPTO TMs'!A:A,D11225)&gt;0,"Yes","No"),"")</f>
        <v/>
      </c>
      <c r="C11225" s="11"/>
      <c r="D11225" s="11"/>
      <c r="E11225" s="11"/>
      <c r="F11225" s="11"/>
      <c r="G11225" s="11"/>
      <c r="H11225" s="11"/>
      <c r="I11225" s="15"/>
    </row>
    <row r="11226" spans="1:9" ht="16.5">
      <c r="A11226" s="10" t="b">
        <v>0</v>
      </c>
      <c r="B11226" s="11" t="str">
        <f>IF(D11226&lt;&gt;"",IF(COUNTIF('USPTO TMs'!A:A,D11226)&gt;0,"Yes","No"),"")</f>
        <v/>
      </c>
      <c r="C11226" s="11"/>
      <c r="D11226" s="11"/>
      <c r="E11226" s="11"/>
      <c r="F11226" s="11"/>
      <c r="G11226" s="11"/>
      <c r="H11226" s="11"/>
      <c r="I11226" s="15"/>
    </row>
    <row r="11227" spans="1:9" ht="16.5">
      <c r="A11227" s="10" t="b">
        <v>0</v>
      </c>
      <c r="B11227" s="11" t="str">
        <f>IF(D11227&lt;&gt;"",IF(COUNTIF('USPTO TMs'!A:A,D11227)&gt;0,"Yes","No"),"")</f>
        <v/>
      </c>
      <c r="C11227" s="11"/>
      <c r="D11227" s="11"/>
      <c r="E11227" s="11"/>
      <c r="F11227" s="11"/>
      <c r="G11227" s="11"/>
      <c r="H11227" s="11"/>
      <c r="I11227" s="15"/>
    </row>
    <row r="11228" spans="1:9" ht="16.5">
      <c r="A11228" s="10" t="b">
        <v>0</v>
      </c>
      <c r="B11228" s="11" t="str">
        <f>IF(D11228&lt;&gt;"",IF(COUNTIF('USPTO TMs'!A:A,D11228)&gt;0,"Yes","No"),"")</f>
        <v/>
      </c>
      <c r="C11228" s="11"/>
      <c r="D11228" s="11"/>
      <c r="E11228" s="11"/>
      <c r="F11228" s="11"/>
      <c r="G11228" s="11"/>
      <c r="H11228" s="11"/>
      <c r="I11228" s="15"/>
    </row>
    <row r="11229" spans="1:9" ht="16.5">
      <c r="A11229" s="10" t="b">
        <v>0</v>
      </c>
      <c r="B11229" s="11" t="str">
        <f>IF(D11229&lt;&gt;"",IF(COUNTIF('USPTO TMs'!A:A,D11229)&gt;0,"Yes","No"),"")</f>
        <v/>
      </c>
      <c r="C11229" s="11"/>
      <c r="D11229" s="11"/>
      <c r="E11229" s="11"/>
      <c r="F11229" s="11"/>
      <c r="G11229" s="11"/>
      <c r="H11229" s="11"/>
      <c r="I11229" s="15"/>
    </row>
    <row r="11230" spans="1:9" ht="16.5">
      <c r="A11230" s="10" t="b">
        <v>0</v>
      </c>
      <c r="B11230" s="11" t="str">
        <f>IF(D11230&lt;&gt;"",IF(COUNTIF('USPTO TMs'!A:A,D11230)&gt;0,"Yes","No"),"")</f>
        <v/>
      </c>
      <c r="C11230" s="11"/>
      <c r="D11230" s="11"/>
      <c r="E11230" s="11"/>
      <c r="F11230" s="11"/>
      <c r="G11230" s="11"/>
      <c r="H11230" s="11"/>
      <c r="I11230" s="15"/>
    </row>
    <row r="11231" spans="1:9" ht="16.5">
      <c r="A11231" s="10" t="b">
        <v>0</v>
      </c>
      <c r="B11231" s="11" t="str">
        <f>IF(D11231&lt;&gt;"",IF(COUNTIF('USPTO TMs'!A:A,D11231)&gt;0,"Yes","No"),"")</f>
        <v/>
      </c>
      <c r="C11231" s="11"/>
      <c r="D11231" s="11"/>
      <c r="E11231" s="11"/>
      <c r="F11231" s="11"/>
      <c r="G11231" s="11"/>
      <c r="H11231" s="11"/>
      <c r="I11231" s="15"/>
    </row>
    <row r="11232" spans="1:9" ht="16.5">
      <c r="A11232" s="10" t="b">
        <v>0</v>
      </c>
      <c r="B11232" s="11" t="str">
        <f>IF(D11232&lt;&gt;"",IF(COUNTIF('USPTO TMs'!A:A,D11232)&gt;0,"Yes","No"),"")</f>
        <v/>
      </c>
      <c r="C11232" s="11"/>
      <c r="D11232" s="11"/>
      <c r="E11232" s="11"/>
      <c r="F11232" s="11"/>
      <c r="G11232" s="11"/>
      <c r="H11232" s="11"/>
      <c r="I11232" s="15"/>
    </row>
    <row r="11233" spans="1:9" ht="16.5">
      <c r="A11233" s="10" t="b">
        <v>0</v>
      </c>
      <c r="B11233" s="11" t="str">
        <f>IF(D11233&lt;&gt;"",IF(COUNTIF('USPTO TMs'!A:A,D11233)&gt;0,"Yes","No"),"")</f>
        <v/>
      </c>
      <c r="C11233" s="11"/>
      <c r="D11233" s="11"/>
      <c r="E11233" s="11"/>
      <c r="F11233" s="11"/>
      <c r="G11233" s="11"/>
      <c r="H11233" s="11"/>
      <c r="I11233" s="15"/>
    </row>
    <row r="11234" spans="1:9" ht="16.5">
      <c r="A11234" s="10" t="b">
        <v>0</v>
      </c>
      <c r="B11234" s="11" t="str">
        <f>IF(D11234&lt;&gt;"",IF(COUNTIF('USPTO TMs'!A:A,D11234)&gt;0,"Yes","No"),"")</f>
        <v/>
      </c>
      <c r="C11234" s="11"/>
      <c r="D11234" s="11"/>
      <c r="E11234" s="11"/>
      <c r="F11234" s="11"/>
      <c r="G11234" s="11"/>
      <c r="H11234" s="11"/>
      <c r="I11234" s="15"/>
    </row>
    <row r="11235" spans="1:9" ht="16.5">
      <c r="A11235" s="10" t="b">
        <v>0</v>
      </c>
      <c r="B11235" s="11" t="str">
        <f>IF(D11235&lt;&gt;"",IF(COUNTIF('USPTO TMs'!A:A,D11235)&gt;0,"Yes","No"),"")</f>
        <v/>
      </c>
      <c r="C11235" s="11"/>
      <c r="D11235" s="11"/>
      <c r="E11235" s="11"/>
      <c r="F11235" s="11"/>
      <c r="G11235" s="11"/>
      <c r="H11235" s="11"/>
      <c r="I11235" s="15"/>
    </row>
    <row r="11236" spans="1:9" ht="16.5">
      <c r="A11236" s="10" t="b">
        <v>0</v>
      </c>
      <c r="B11236" s="11" t="str">
        <f>IF(D11236&lt;&gt;"",IF(COUNTIF('USPTO TMs'!A:A,D11236)&gt;0,"Yes","No"),"")</f>
        <v/>
      </c>
      <c r="C11236" s="11"/>
      <c r="D11236" s="11"/>
      <c r="E11236" s="11"/>
      <c r="F11236" s="11"/>
      <c r="G11236" s="11"/>
      <c r="H11236" s="11"/>
      <c r="I11236" s="15"/>
    </row>
    <row r="11237" spans="1:9" ht="16.5">
      <c r="A11237" s="10" t="b">
        <v>0</v>
      </c>
      <c r="B11237" s="11" t="str">
        <f>IF(D11237&lt;&gt;"",IF(COUNTIF('USPTO TMs'!A:A,D11237)&gt;0,"Yes","No"),"")</f>
        <v/>
      </c>
      <c r="C11237" s="11"/>
      <c r="D11237" s="11"/>
      <c r="E11237" s="11"/>
      <c r="F11237" s="11"/>
      <c r="G11237" s="11"/>
      <c r="H11237" s="11"/>
      <c r="I11237" s="15"/>
    </row>
    <row r="11238" spans="1:9" ht="16.5">
      <c r="A11238" s="10" t="b">
        <v>0</v>
      </c>
      <c r="B11238" s="11" t="str">
        <f>IF(D11238&lt;&gt;"",IF(COUNTIF('USPTO TMs'!A:A,D11238)&gt;0,"Yes","No"),"")</f>
        <v/>
      </c>
      <c r="C11238" s="11"/>
      <c r="D11238" s="11"/>
      <c r="E11238" s="11"/>
      <c r="F11238" s="11"/>
      <c r="G11238" s="11"/>
      <c r="H11238" s="11"/>
      <c r="I11238" s="15"/>
    </row>
    <row r="11239" spans="1:9" ht="16.5">
      <c r="A11239" s="10" t="b">
        <v>0</v>
      </c>
      <c r="B11239" s="11" t="str">
        <f>IF(D11239&lt;&gt;"",IF(COUNTIF('USPTO TMs'!A:A,D11239)&gt;0,"Yes","No"),"")</f>
        <v/>
      </c>
      <c r="C11239" s="11"/>
      <c r="D11239" s="11"/>
      <c r="E11239" s="11"/>
      <c r="F11239" s="11"/>
      <c r="G11239" s="11"/>
      <c r="H11239" s="11"/>
      <c r="I11239" s="15"/>
    </row>
    <row r="11240" spans="1:9" ht="16.5">
      <c r="A11240" s="10" t="b">
        <v>0</v>
      </c>
      <c r="B11240" s="11" t="str">
        <f>IF(D11240&lt;&gt;"",IF(COUNTIF('USPTO TMs'!A:A,D11240)&gt;0,"Yes","No"),"")</f>
        <v/>
      </c>
      <c r="C11240" s="11"/>
      <c r="D11240" s="11"/>
      <c r="E11240" s="11"/>
      <c r="F11240" s="11"/>
      <c r="G11240" s="11"/>
      <c r="H11240" s="11"/>
      <c r="I11240" s="15"/>
    </row>
    <row r="11241" spans="1:9" ht="16.5">
      <c r="A11241" s="10" t="b">
        <v>0</v>
      </c>
      <c r="B11241" s="11" t="str">
        <f>IF(D11241&lt;&gt;"",IF(COUNTIF('USPTO TMs'!A:A,D11241)&gt;0,"Yes","No"),"")</f>
        <v/>
      </c>
      <c r="C11241" s="11"/>
      <c r="D11241" s="11"/>
      <c r="E11241" s="11"/>
      <c r="F11241" s="11"/>
      <c r="G11241" s="11"/>
      <c r="H11241" s="11"/>
      <c r="I11241" s="15"/>
    </row>
    <row r="11242" spans="1:9" ht="16.5">
      <c r="A11242" s="10" t="b">
        <v>0</v>
      </c>
      <c r="B11242" s="11" t="str">
        <f>IF(D11242&lt;&gt;"",IF(COUNTIF('USPTO TMs'!A:A,D11242)&gt;0,"Yes","No"),"")</f>
        <v/>
      </c>
      <c r="C11242" s="11"/>
      <c r="D11242" s="11"/>
      <c r="E11242" s="11"/>
      <c r="F11242" s="11"/>
      <c r="G11242" s="11"/>
      <c r="H11242" s="11"/>
      <c r="I11242" s="15"/>
    </row>
    <row r="11243" spans="1:9" ht="16.5">
      <c r="A11243" s="10" t="b">
        <v>0</v>
      </c>
      <c r="B11243" s="11" t="str">
        <f>IF(D11243&lt;&gt;"",IF(COUNTIF('USPTO TMs'!A:A,D11243)&gt;0,"Yes","No"),"")</f>
        <v/>
      </c>
      <c r="C11243" s="11"/>
      <c r="D11243" s="11"/>
      <c r="E11243" s="11"/>
      <c r="F11243" s="11"/>
      <c r="G11243" s="11"/>
      <c r="H11243" s="11"/>
      <c r="I11243" s="15"/>
    </row>
    <row r="11244" spans="1:9" ht="16.5">
      <c r="A11244" s="10" t="b">
        <v>0</v>
      </c>
      <c r="B11244" s="11" t="str">
        <f>IF(D11244&lt;&gt;"",IF(COUNTIF('USPTO TMs'!A:A,D11244)&gt;0,"Yes","No"),"")</f>
        <v/>
      </c>
      <c r="C11244" s="11"/>
      <c r="D11244" s="11"/>
      <c r="E11244" s="11"/>
      <c r="F11244" s="11"/>
      <c r="G11244" s="11"/>
      <c r="H11244" s="11"/>
      <c r="I11244" s="15"/>
    </row>
    <row r="11245" spans="1:9" ht="16.5">
      <c r="A11245" s="10" t="b">
        <v>0</v>
      </c>
      <c r="B11245" s="11" t="str">
        <f>IF(D11245&lt;&gt;"",IF(COUNTIF('USPTO TMs'!A:A,D11245)&gt;0,"Yes","No"),"")</f>
        <v/>
      </c>
      <c r="C11245" s="11"/>
      <c r="D11245" s="11"/>
      <c r="E11245" s="11"/>
      <c r="F11245" s="11"/>
      <c r="G11245" s="11"/>
      <c r="H11245" s="11"/>
      <c r="I11245" s="15"/>
    </row>
    <row r="11246" spans="1:9" ht="16.5">
      <c r="A11246" s="10" t="b">
        <v>0</v>
      </c>
      <c r="B11246" s="11" t="str">
        <f>IF(D11246&lt;&gt;"",IF(COUNTIF('USPTO TMs'!A:A,D11246)&gt;0,"Yes","No"),"")</f>
        <v/>
      </c>
      <c r="C11246" s="11"/>
      <c r="D11246" s="11"/>
      <c r="E11246" s="11"/>
      <c r="F11246" s="11"/>
      <c r="G11246" s="11"/>
      <c r="H11246" s="11"/>
      <c r="I11246" s="15"/>
    </row>
    <row r="11247" spans="1:9" ht="16.5">
      <c r="A11247" s="10" t="b">
        <v>0</v>
      </c>
      <c r="B11247" s="11" t="str">
        <f>IF(D11247&lt;&gt;"",IF(COUNTIF('USPTO TMs'!A:A,D11247)&gt;0,"Yes","No"),"")</f>
        <v/>
      </c>
      <c r="C11247" s="11"/>
      <c r="D11247" s="11"/>
      <c r="E11247" s="11"/>
      <c r="F11247" s="11"/>
      <c r="G11247" s="11"/>
      <c r="H11247" s="11"/>
      <c r="I11247" s="15"/>
    </row>
    <row r="11248" spans="1:9" ht="16.5">
      <c r="A11248" s="10" t="b">
        <v>0</v>
      </c>
      <c r="B11248" s="11" t="str">
        <f>IF(D11248&lt;&gt;"",IF(COUNTIF('USPTO TMs'!A:A,D11248)&gt;0,"Yes","No"),"")</f>
        <v/>
      </c>
      <c r="C11248" s="11"/>
      <c r="D11248" s="11"/>
      <c r="E11248" s="11"/>
      <c r="F11248" s="11"/>
      <c r="G11248" s="11"/>
      <c r="H11248" s="11"/>
      <c r="I11248" s="15"/>
    </row>
    <row r="11249" spans="1:9" ht="16.5">
      <c r="A11249" s="10" t="b">
        <v>0</v>
      </c>
      <c r="B11249" s="11" t="str">
        <f>IF(D11249&lt;&gt;"",IF(COUNTIF('USPTO TMs'!A:A,D11249)&gt;0,"Yes","No"),"")</f>
        <v/>
      </c>
      <c r="C11249" s="11"/>
      <c r="D11249" s="11"/>
      <c r="E11249" s="11"/>
      <c r="F11249" s="11"/>
      <c r="G11249" s="11"/>
      <c r="H11249" s="11"/>
      <c r="I11249" s="15"/>
    </row>
    <row r="11250" spans="1:9" ht="16.5">
      <c r="A11250" s="10" t="b">
        <v>0</v>
      </c>
      <c r="B11250" s="11" t="str">
        <f>IF(D11250&lt;&gt;"",IF(COUNTIF('USPTO TMs'!A:A,D11250)&gt;0,"Yes","No"),"")</f>
        <v/>
      </c>
      <c r="C11250" s="11"/>
      <c r="D11250" s="11"/>
      <c r="E11250" s="11"/>
      <c r="F11250" s="11"/>
      <c r="G11250" s="11"/>
      <c r="H11250" s="11"/>
      <c r="I11250" s="15"/>
    </row>
    <row r="11251" spans="1:9" ht="16.5">
      <c r="A11251" s="10" t="b">
        <v>0</v>
      </c>
      <c r="B11251" s="11" t="str">
        <f>IF(D11251&lt;&gt;"",IF(COUNTIF('USPTO TMs'!A:A,D11251)&gt;0,"Yes","No"),"")</f>
        <v/>
      </c>
      <c r="C11251" s="11"/>
      <c r="D11251" s="11"/>
      <c r="E11251" s="11"/>
      <c r="F11251" s="11"/>
      <c r="G11251" s="11"/>
      <c r="H11251" s="11"/>
      <c r="I11251" s="15"/>
    </row>
    <row r="11252" spans="1:9" ht="16.5">
      <c r="A11252" s="10" t="b">
        <v>0</v>
      </c>
      <c r="B11252" s="11" t="str">
        <f>IF(D11252&lt;&gt;"",IF(COUNTIF('USPTO TMs'!A:A,D11252)&gt;0,"Yes","No"),"")</f>
        <v/>
      </c>
      <c r="C11252" s="11"/>
      <c r="D11252" s="11"/>
      <c r="E11252" s="11"/>
      <c r="F11252" s="11"/>
      <c r="G11252" s="11"/>
      <c r="H11252" s="11"/>
      <c r="I11252" s="15"/>
    </row>
    <row r="11253" spans="1:9" ht="16.5">
      <c r="A11253" s="10" t="b">
        <v>0</v>
      </c>
      <c r="B11253" s="11" t="str">
        <f>IF(D11253&lt;&gt;"",IF(COUNTIF('USPTO TMs'!A:A,D11253)&gt;0,"Yes","No"),"")</f>
        <v/>
      </c>
      <c r="C11253" s="11"/>
      <c r="D11253" s="11"/>
      <c r="E11253" s="11"/>
      <c r="F11253" s="11"/>
      <c r="G11253" s="11"/>
      <c r="H11253" s="11"/>
      <c r="I11253" s="15"/>
    </row>
    <row r="11254" spans="1:9" ht="16.5">
      <c r="A11254" s="10" t="b">
        <v>0</v>
      </c>
      <c r="B11254" s="11" t="str">
        <f>IF(D11254&lt;&gt;"",IF(COUNTIF('USPTO TMs'!A:A,D11254)&gt;0,"Yes","No"),"")</f>
        <v/>
      </c>
      <c r="C11254" s="11"/>
      <c r="D11254" s="11"/>
      <c r="E11254" s="11"/>
      <c r="F11254" s="11"/>
      <c r="G11254" s="11"/>
      <c r="H11254" s="11"/>
      <c r="I11254" s="15"/>
    </row>
    <row r="11255" spans="1:9" ht="16.5">
      <c r="A11255" s="10" t="b">
        <v>0</v>
      </c>
      <c r="B11255" s="11" t="str">
        <f>IF(D11255&lt;&gt;"",IF(COUNTIF('USPTO TMs'!A:A,D11255)&gt;0,"Yes","No"),"")</f>
        <v/>
      </c>
      <c r="C11255" s="11"/>
      <c r="D11255" s="11"/>
      <c r="E11255" s="11"/>
      <c r="F11255" s="11"/>
      <c r="G11255" s="11"/>
      <c r="H11255" s="11"/>
      <c r="I11255" s="15"/>
    </row>
    <row r="11256" spans="1:9" ht="16.5">
      <c r="A11256" s="10" t="b">
        <v>0</v>
      </c>
      <c r="B11256" s="11" t="str">
        <f>IF(D11256&lt;&gt;"",IF(COUNTIF('USPTO TMs'!A:A,D11256)&gt;0,"Yes","No"),"")</f>
        <v/>
      </c>
      <c r="C11256" s="11"/>
      <c r="D11256" s="11"/>
      <c r="E11256" s="11"/>
      <c r="F11256" s="11"/>
      <c r="G11256" s="11"/>
      <c r="H11256" s="11"/>
      <c r="I11256" s="15"/>
    </row>
    <row r="11257" spans="1:9" ht="16.5">
      <c r="A11257" s="10" t="b">
        <v>0</v>
      </c>
      <c r="B11257" s="11" t="str">
        <f>IF(D11257&lt;&gt;"",IF(COUNTIF('USPTO TMs'!A:A,D11257)&gt;0,"Yes","No"),"")</f>
        <v/>
      </c>
      <c r="C11257" s="11"/>
      <c r="D11257" s="11"/>
      <c r="E11257" s="11"/>
      <c r="F11257" s="11"/>
      <c r="G11257" s="11"/>
      <c r="H11257" s="11"/>
      <c r="I11257" s="15"/>
    </row>
    <row r="11258" spans="1:9" ht="16.5">
      <c r="A11258" s="10" t="b">
        <v>0</v>
      </c>
      <c r="B11258" s="11" t="str">
        <f>IF(D11258&lt;&gt;"",IF(COUNTIF('USPTO TMs'!A:A,D11258)&gt;0,"Yes","No"),"")</f>
        <v/>
      </c>
      <c r="C11258" s="11"/>
      <c r="D11258" s="11"/>
      <c r="E11258" s="11"/>
      <c r="F11258" s="11"/>
      <c r="G11258" s="11"/>
      <c r="H11258" s="11"/>
      <c r="I11258" s="15"/>
    </row>
    <row r="11259" spans="1:9" ht="16.5">
      <c r="A11259" s="10" t="b">
        <v>0</v>
      </c>
      <c r="B11259" s="11" t="str">
        <f>IF(D11259&lt;&gt;"",IF(COUNTIF('USPTO TMs'!A:A,D11259)&gt;0,"Yes","No"),"")</f>
        <v/>
      </c>
      <c r="C11259" s="11"/>
      <c r="D11259" s="11"/>
      <c r="E11259" s="11"/>
      <c r="F11259" s="11"/>
      <c r="G11259" s="11"/>
      <c r="H11259" s="11"/>
      <c r="I11259" s="15"/>
    </row>
    <row r="11260" spans="1:9" ht="16.5">
      <c r="A11260" s="10" t="b">
        <v>0</v>
      </c>
      <c r="B11260" s="11" t="str">
        <f>IF(D11260&lt;&gt;"",IF(COUNTIF('USPTO TMs'!A:A,D11260)&gt;0,"Yes","No"),"")</f>
        <v/>
      </c>
      <c r="C11260" s="11"/>
      <c r="D11260" s="11"/>
      <c r="E11260" s="11"/>
      <c r="F11260" s="11"/>
      <c r="G11260" s="11"/>
      <c r="H11260" s="11"/>
      <c r="I11260" s="15"/>
    </row>
    <row r="11261" spans="1:9" ht="16.5">
      <c r="A11261" s="10" t="b">
        <v>0</v>
      </c>
      <c r="B11261" s="11" t="str">
        <f>IF(D11261&lt;&gt;"",IF(COUNTIF('USPTO TMs'!A:A,D11261)&gt;0,"Yes","No"),"")</f>
        <v/>
      </c>
      <c r="C11261" s="11"/>
      <c r="D11261" s="11"/>
      <c r="E11261" s="11"/>
      <c r="F11261" s="11"/>
      <c r="G11261" s="11"/>
      <c r="H11261" s="11"/>
      <c r="I11261" s="15"/>
    </row>
    <row r="11262" spans="1:9" ht="16.5">
      <c r="A11262" s="10" t="b">
        <v>0</v>
      </c>
      <c r="B11262" s="11" t="str">
        <f>IF(D11262&lt;&gt;"",IF(COUNTIF('USPTO TMs'!A:A,D11262)&gt;0,"Yes","No"),"")</f>
        <v/>
      </c>
      <c r="C11262" s="11"/>
      <c r="D11262" s="11"/>
      <c r="E11262" s="11"/>
      <c r="F11262" s="11"/>
      <c r="G11262" s="11"/>
      <c r="H11262" s="11"/>
      <c r="I11262" s="15"/>
    </row>
    <row r="11263" spans="1:9" ht="16.5">
      <c r="A11263" s="10" t="b">
        <v>0</v>
      </c>
      <c r="B11263" s="11" t="str">
        <f>IF(D11263&lt;&gt;"",IF(COUNTIF('USPTO TMs'!A:A,D11263)&gt;0,"Yes","No"),"")</f>
        <v/>
      </c>
      <c r="C11263" s="11"/>
      <c r="D11263" s="11"/>
      <c r="E11263" s="11"/>
      <c r="F11263" s="11"/>
      <c r="G11263" s="11"/>
      <c r="H11263" s="11"/>
      <c r="I11263" s="15"/>
    </row>
    <row r="11264" spans="1:9" ht="16.5">
      <c r="A11264" s="10" t="b">
        <v>0</v>
      </c>
      <c r="B11264" s="11" t="str">
        <f>IF(D11264&lt;&gt;"",IF(COUNTIF('USPTO TMs'!A:A,D11264)&gt;0,"Yes","No"),"")</f>
        <v/>
      </c>
      <c r="C11264" s="11"/>
      <c r="D11264" s="11"/>
      <c r="E11264" s="11"/>
      <c r="F11264" s="11"/>
      <c r="G11264" s="11"/>
      <c r="H11264" s="11"/>
      <c r="I11264" s="15"/>
    </row>
    <row r="11265" spans="1:9" ht="16.5">
      <c r="A11265" s="10" t="b">
        <v>0</v>
      </c>
      <c r="B11265" s="11" t="str">
        <f>IF(D11265&lt;&gt;"",IF(COUNTIF('USPTO TMs'!A:A,D11265)&gt;0,"Yes","No"),"")</f>
        <v/>
      </c>
      <c r="C11265" s="11"/>
      <c r="D11265" s="11"/>
      <c r="E11265" s="11"/>
      <c r="F11265" s="11"/>
      <c r="G11265" s="11"/>
      <c r="H11265" s="11"/>
      <c r="I11265" s="15"/>
    </row>
    <row r="11266" spans="1:9" ht="16.5">
      <c r="A11266" s="10" t="b">
        <v>0</v>
      </c>
      <c r="B11266" s="11" t="str">
        <f>IF(D11266&lt;&gt;"",IF(COUNTIF('USPTO TMs'!A:A,D11266)&gt;0,"Yes","No"),"")</f>
        <v/>
      </c>
      <c r="C11266" s="11"/>
      <c r="D11266" s="11"/>
      <c r="E11266" s="11"/>
      <c r="F11266" s="11"/>
      <c r="G11266" s="11"/>
      <c r="H11266" s="11"/>
      <c r="I11266" s="15"/>
    </row>
    <row r="11267" spans="1:9" ht="16.5">
      <c r="A11267" s="10" t="b">
        <v>0</v>
      </c>
      <c r="B11267" s="11" t="str">
        <f>IF(D11267&lt;&gt;"",IF(COUNTIF('USPTO TMs'!A:A,D11267)&gt;0,"Yes","No"),"")</f>
        <v/>
      </c>
      <c r="C11267" s="11"/>
      <c r="D11267" s="11"/>
      <c r="E11267" s="11"/>
      <c r="F11267" s="11"/>
      <c r="G11267" s="11"/>
      <c r="H11267" s="11"/>
      <c r="I11267" s="15"/>
    </row>
    <row r="11268" spans="1:9" ht="16.5">
      <c r="A11268" s="10" t="b">
        <v>0</v>
      </c>
      <c r="B11268" s="11" t="str">
        <f>IF(D11268&lt;&gt;"",IF(COUNTIF('USPTO TMs'!A:A,D11268)&gt;0,"Yes","No"),"")</f>
        <v/>
      </c>
      <c r="C11268" s="11"/>
      <c r="D11268" s="11"/>
      <c r="E11268" s="11"/>
      <c r="F11268" s="11"/>
      <c r="G11268" s="11"/>
      <c r="H11268" s="11"/>
      <c r="I11268" s="15"/>
    </row>
    <row r="11269" spans="1:9" ht="16.5">
      <c r="A11269" s="10" t="b">
        <v>0</v>
      </c>
      <c r="B11269" s="11" t="str">
        <f>IF(D11269&lt;&gt;"",IF(COUNTIF('USPTO TMs'!A:A,D11269)&gt;0,"Yes","No"),"")</f>
        <v/>
      </c>
      <c r="C11269" s="11"/>
      <c r="D11269" s="11"/>
      <c r="E11269" s="11"/>
      <c r="F11269" s="11"/>
      <c r="G11269" s="11"/>
      <c r="H11269" s="11"/>
      <c r="I11269" s="15"/>
    </row>
    <row r="11270" spans="1:9" ht="16.5">
      <c r="A11270" s="10" t="b">
        <v>0</v>
      </c>
      <c r="B11270" s="11" t="str">
        <f>IF(D11270&lt;&gt;"",IF(COUNTIF('USPTO TMs'!A:A,D11270)&gt;0,"Yes","No"),"")</f>
        <v/>
      </c>
      <c r="C11270" s="11"/>
      <c r="D11270" s="11"/>
      <c r="E11270" s="11"/>
      <c r="F11270" s="11"/>
      <c r="G11270" s="11"/>
      <c r="H11270" s="11"/>
      <c r="I11270" s="15"/>
    </row>
    <row r="11271" spans="1:9" ht="16.5">
      <c r="A11271" s="10" t="b">
        <v>0</v>
      </c>
      <c r="B11271" s="11" t="str">
        <f>IF(D11271&lt;&gt;"",IF(COUNTIF('USPTO TMs'!A:A,D11271)&gt;0,"Yes","No"),"")</f>
        <v/>
      </c>
      <c r="C11271" s="11"/>
      <c r="D11271" s="11"/>
      <c r="E11271" s="11"/>
      <c r="F11271" s="11"/>
      <c r="G11271" s="11"/>
      <c r="H11271" s="11"/>
      <c r="I11271" s="15"/>
    </row>
    <row r="11272" spans="1:9" ht="16.5">
      <c r="A11272" s="10" t="b">
        <v>0</v>
      </c>
      <c r="B11272" s="11" t="str">
        <f>IF(D11272&lt;&gt;"",IF(COUNTIF('USPTO TMs'!A:A,D11272)&gt;0,"Yes","No"),"")</f>
        <v/>
      </c>
      <c r="C11272" s="11"/>
      <c r="D11272" s="11"/>
      <c r="E11272" s="11"/>
      <c r="F11272" s="11"/>
      <c r="G11272" s="11"/>
      <c r="H11272" s="11"/>
      <c r="I11272" s="15"/>
    </row>
    <row r="11273" spans="1:9" ht="16.5">
      <c r="A11273" s="10" t="b">
        <v>0</v>
      </c>
      <c r="B11273" s="11" t="str">
        <f>IF(D11273&lt;&gt;"",IF(COUNTIF('USPTO TMs'!A:A,D11273)&gt;0,"Yes","No"),"")</f>
        <v/>
      </c>
      <c r="C11273" s="11"/>
      <c r="D11273" s="11"/>
      <c r="E11273" s="11"/>
      <c r="F11273" s="11"/>
      <c r="G11273" s="11"/>
      <c r="H11273" s="11"/>
      <c r="I11273" s="15"/>
    </row>
    <row r="11274" spans="1:9" ht="16.5">
      <c r="A11274" s="10" t="b">
        <v>0</v>
      </c>
      <c r="B11274" s="11" t="str">
        <f>IF(D11274&lt;&gt;"",IF(COUNTIF('USPTO TMs'!A:A,D11274)&gt;0,"Yes","No"),"")</f>
        <v/>
      </c>
      <c r="C11274" s="11"/>
      <c r="D11274" s="11"/>
      <c r="E11274" s="11"/>
      <c r="F11274" s="11"/>
      <c r="G11274" s="11"/>
      <c r="H11274" s="11"/>
      <c r="I11274" s="15"/>
    </row>
    <row r="11275" spans="1:9" ht="16.5">
      <c r="A11275" s="10" t="b">
        <v>0</v>
      </c>
      <c r="B11275" s="11" t="str">
        <f>IF(D11275&lt;&gt;"",IF(COUNTIF('USPTO TMs'!A:A,D11275)&gt;0,"Yes","No"),"")</f>
        <v/>
      </c>
      <c r="C11275" s="11"/>
      <c r="D11275" s="11"/>
      <c r="E11275" s="11"/>
      <c r="F11275" s="11"/>
      <c r="G11275" s="11"/>
      <c r="H11275" s="11"/>
      <c r="I11275" s="15"/>
    </row>
    <row r="11276" spans="1:9" ht="16.5">
      <c r="A11276" s="10" t="b">
        <v>0</v>
      </c>
      <c r="B11276" s="11" t="str">
        <f>IF(D11276&lt;&gt;"",IF(COUNTIF('USPTO TMs'!A:A,D11276)&gt;0,"Yes","No"),"")</f>
        <v/>
      </c>
      <c r="C11276" s="11"/>
      <c r="D11276" s="11"/>
      <c r="E11276" s="11"/>
      <c r="F11276" s="11"/>
      <c r="G11276" s="11"/>
      <c r="H11276" s="11"/>
      <c r="I11276" s="15"/>
    </row>
    <row r="11277" spans="1:9" ht="16.5">
      <c r="A11277" s="10" t="b">
        <v>0</v>
      </c>
      <c r="B11277" s="11" t="str">
        <f>IF(D11277&lt;&gt;"",IF(COUNTIF('USPTO TMs'!A:A,D11277)&gt;0,"Yes","No"),"")</f>
        <v/>
      </c>
      <c r="C11277" s="11"/>
      <c r="D11277" s="11"/>
      <c r="E11277" s="11"/>
      <c r="F11277" s="11"/>
      <c r="G11277" s="11"/>
      <c r="H11277" s="11"/>
      <c r="I11277" s="15"/>
    </row>
    <row r="11278" spans="1:9" ht="16.5">
      <c r="A11278" s="10" t="b">
        <v>0</v>
      </c>
      <c r="B11278" s="11" t="str">
        <f>IF(D11278&lt;&gt;"",IF(COUNTIF('USPTO TMs'!A:A,D11278)&gt;0,"Yes","No"),"")</f>
        <v/>
      </c>
      <c r="C11278" s="11"/>
      <c r="D11278" s="11"/>
      <c r="E11278" s="11"/>
      <c r="F11278" s="11"/>
      <c r="G11278" s="11"/>
      <c r="H11278" s="11"/>
      <c r="I11278" s="15"/>
    </row>
    <row r="11279" spans="1:9" ht="16.5">
      <c r="A11279" s="10" t="b">
        <v>0</v>
      </c>
      <c r="B11279" s="11" t="str">
        <f>IF(D11279&lt;&gt;"",IF(COUNTIF('USPTO TMs'!A:A,D11279)&gt;0,"Yes","No"),"")</f>
        <v/>
      </c>
      <c r="C11279" s="11"/>
      <c r="D11279" s="11"/>
      <c r="E11279" s="11"/>
      <c r="F11279" s="11"/>
      <c r="G11279" s="11"/>
      <c r="H11279" s="11"/>
      <c r="I11279" s="15"/>
    </row>
    <row r="11280" spans="1:9" ht="16.5">
      <c r="A11280" s="10" t="b">
        <v>0</v>
      </c>
      <c r="B11280" s="11" t="str">
        <f>IF(D11280&lt;&gt;"",IF(COUNTIF('USPTO TMs'!A:A,D11280)&gt;0,"Yes","No"),"")</f>
        <v/>
      </c>
      <c r="C11280" s="11"/>
      <c r="D11280" s="11"/>
      <c r="E11280" s="11"/>
      <c r="F11280" s="11"/>
      <c r="G11280" s="11"/>
      <c r="H11280" s="11"/>
      <c r="I11280" s="15"/>
    </row>
    <row r="11281" spans="1:9" ht="16.5">
      <c r="A11281" s="10" t="b">
        <v>0</v>
      </c>
      <c r="B11281" s="11" t="str">
        <f>IF(D11281&lt;&gt;"",IF(COUNTIF('USPTO TMs'!A:A,D11281)&gt;0,"Yes","No"),"")</f>
        <v/>
      </c>
      <c r="C11281" s="11"/>
      <c r="D11281" s="11"/>
      <c r="E11281" s="11"/>
      <c r="F11281" s="11"/>
      <c r="G11281" s="11"/>
      <c r="H11281" s="11"/>
      <c r="I11281" s="15"/>
    </row>
    <row r="11282" spans="1:9" ht="16.5">
      <c r="A11282" s="10" t="b">
        <v>0</v>
      </c>
      <c r="B11282" s="11" t="str">
        <f>IF(D11282&lt;&gt;"",IF(COUNTIF('USPTO TMs'!A:A,D11282)&gt;0,"Yes","No"),"")</f>
        <v/>
      </c>
      <c r="C11282" s="11"/>
      <c r="D11282" s="11"/>
      <c r="E11282" s="11"/>
      <c r="F11282" s="11"/>
      <c r="G11282" s="11"/>
      <c r="H11282" s="11"/>
      <c r="I11282" s="15"/>
    </row>
    <row r="11283" spans="1:9" ht="16.5">
      <c r="A11283" s="10" t="b">
        <v>0</v>
      </c>
      <c r="B11283" s="11" t="str">
        <f>IF(D11283&lt;&gt;"",IF(COUNTIF('USPTO TMs'!A:A,D11283)&gt;0,"Yes","No"),"")</f>
        <v/>
      </c>
      <c r="C11283" s="11"/>
      <c r="D11283" s="11"/>
      <c r="E11283" s="11"/>
      <c r="F11283" s="11"/>
      <c r="G11283" s="11"/>
      <c r="H11283" s="11"/>
      <c r="I11283" s="15"/>
    </row>
    <row r="11284" spans="1:9" ht="16.5">
      <c r="A11284" s="10" t="b">
        <v>0</v>
      </c>
      <c r="B11284" s="11" t="str">
        <f>IF(D11284&lt;&gt;"",IF(COUNTIF('USPTO TMs'!A:A,D11284)&gt;0,"Yes","No"),"")</f>
        <v/>
      </c>
      <c r="C11284" s="11"/>
      <c r="D11284" s="11"/>
      <c r="E11284" s="11"/>
      <c r="F11284" s="11"/>
      <c r="G11284" s="11"/>
      <c r="H11284" s="11"/>
      <c r="I11284" s="15"/>
    </row>
    <row r="11285" spans="1:9" ht="16.5">
      <c r="A11285" s="10" t="b">
        <v>0</v>
      </c>
      <c r="B11285" s="11" t="str">
        <f>IF(D11285&lt;&gt;"",IF(COUNTIF('USPTO TMs'!A:A,D11285)&gt;0,"Yes","No"),"")</f>
        <v/>
      </c>
      <c r="C11285" s="11"/>
      <c r="D11285" s="11"/>
      <c r="E11285" s="11"/>
      <c r="F11285" s="11"/>
      <c r="G11285" s="11"/>
      <c r="H11285" s="11"/>
      <c r="I11285" s="15"/>
    </row>
    <row r="11286" spans="1:9" ht="16.5">
      <c r="A11286" s="10" t="b">
        <v>0</v>
      </c>
      <c r="B11286" s="11" t="str">
        <f>IF(D11286&lt;&gt;"",IF(COUNTIF('USPTO TMs'!A:A,D11286)&gt;0,"Yes","No"),"")</f>
        <v/>
      </c>
      <c r="C11286" s="11"/>
      <c r="D11286" s="11"/>
      <c r="E11286" s="11"/>
      <c r="F11286" s="11"/>
      <c r="G11286" s="11"/>
      <c r="H11286" s="11"/>
      <c r="I11286" s="15"/>
    </row>
    <row r="11287" spans="1:9" ht="16.5">
      <c r="A11287" s="10" t="b">
        <v>0</v>
      </c>
      <c r="B11287" s="11" t="str">
        <f>IF(D11287&lt;&gt;"",IF(COUNTIF('USPTO TMs'!A:A,D11287)&gt;0,"Yes","No"),"")</f>
        <v/>
      </c>
      <c r="C11287" s="11"/>
      <c r="D11287" s="11"/>
      <c r="E11287" s="11"/>
      <c r="F11287" s="11"/>
      <c r="G11287" s="11"/>
      <c r="H11287" s="11"/>
      <c r="I11287" s="15"/>
    </row>
    <row r="11288" spans="1:9" ht="16.5">
      <c r="A11288" s="10" t="b">
        <v>0</v>
      </c>
      <c r="B11288" s="11" t="str">
        <f>IF(D11288&lt;&gt;"",IF(COUNTIF('USPTO TMs'!A:A,D11288)&gt;0,"Yes","No"),"")</f>
        <v/>
      </c>
      <c r="C11288" s="11"/>
      <c r="D11288" s="11"/>
      <c r="E11288" s="11"/>
      <c r="F11288" s="11"/>
      <c r="G11288" s="11"/>
      <c r="H11288" s="11"/>
      <c r="I11288" s="15"/>
    </row>
    <row r="11289" spans="1:9" ht="16.5">
      <c r="A11289" s="10" t="b">
        <v>0</v>
      </c>
      <c r="B11289" s="11" t="str">
        <f>IF(D11289&lt;&gt;"",IF(COUNTIF('USPTO TMs'!A:A,D11289)&gt;0,"Yes","No"),"")</f>
        <v/>
      </c>
      <c r="C11289" s="11"/>
      <c r="D11289" s="11"/>
      <c r="E11289" s="11"/>
      <c r="F11289" s="11"/>
      <c r="G11289" s="11"/>
      <c r="H11289" s="11"/>
      <c r="I11289" s="15"/>
    </row>
    <row r="11290" spans="1:9" ht="16.5">
      <c r="A11290" s="10" t="b">
        <v>0</v>
      </c>
      <c r="B11290" s="11" t="str">
        <f>IF(D11290&lt;&gt;"",IF(COUNTIF('USPTO TMs'!A:A,D11290)&gt;0,"Yes","No"),"")</f>
        <v/>
      </c>
      <c r="C11290" s="11"/>
      <c r="D11290" s="11"/>
      <c r="E11290" s="11"/>
      <c r="F11290" s="11"/>
      <c r="G11290" s="11"/>
      <c r="H11290" s="11"/>
      <c r="I11290" s="15"/>
    </row>
    <row r="11291" spans="1:9" ht="16.5">
      <c r="A11291" s="10" t="b">
        <v>0</v>
      </c>
      <c r="B11291" s="11" t="str">
        <f>IF(D11291&lt;&gt;"",IF(COUNTIF('USPTO TMs'!A:A,D11291)&gt;0,"Yes","No"),"")</f>
        <v/>
      </c>
      <c r="C11291" s="11"/>
      <c r="D11291" s="11"/>
      <c r="E11291" s="11"/>
      <c r="F11291" s="11"/>
      <c r="G11291" s="11"/>
      <c r="H11291" s="11"/>
      <c r="I11291" s="15"/>
    </row>
    <row r="11292" spans="1:9" ht="16.5">
      <c r="A11292" s="10" t="b">
        <v>0</v>
      </c>
      <c r="B11292" s="11" t="str">
        <f>IF(D11292&lt;&gt;"",IF(COUNTIF('USPTO TMs'!A:A,D11292)&gt;0,"Yes","No"),"")</f>
        <v/>
      </c>
      <c r="C11292" s="11"/>
      <c r="D11292" s="11"/>
      <c r="E11292" s="11"/>
      <c r="F11292" s="11"/>
      <c r="G11292" s="11"/>
      <c r="H11292" s="11"/>
      <c r="I11292" s="15"/>
    </row>
    <row r="11293" spans="1:9" ht="16.5">
      <c r="A11293" s="10" t="b">
        <v>0</v>
      </c>
      <c r="B11293" s="11" t="str">
        <f>IF(D11293&lt;&gt;"",IF(COUNTIF('USPTO TMs'!A:A,D11293)&gt;0,"Yes","No"),"")</f>
        <v/>
      </c>
      <c r="C11293" s="11"/>
      <c r="D11293" s="11"/>
      <c r="E11293" s="11"/>
      <c r="F11293" s="11"/>
      <c r="G11293" s="11"/>
      <c r="H11293" s="11"/>
      <c r="I11293" s="15"/>
    </row>
    <row r="11294" spans="1:9" ht="16.5">
      <c r="A11294" s="10" t="b">
        <v>0</v>
      </c>
      <c r="B11294" s="11" t="str">
        <f>IF(D11294&lt;&gt;"",IF(COUNTIF('USPTO TMs'!A:A,D11294)&gt;0,"Yes","No"),"")</f>
        <v/>
      </c>
      <c r="C11294" s="11"/>
      <c r="D11294" s="11"/>
      <c r="E11294" s="11"/>
      <c r="F11294" s="11"/>
      <c r="G11294" s="11"/>
      <c r="H11294" s="11"/>
      <c r="I11294" s="15"/>
    </row>
    <row r="11295" spans="1:9" ht="16.5">
      <c r="A11295" s="10" t="b">
        <v>0</v>
      </c>
      <c r="B11295" s="11" t="str">
        <f>IF(D11295&lt;&gt;"",IF(COUNTIF('USPTO TMs'!A:A,D11295)&gt;0,"Yes","No"),"")</f>
        <v/>
      </c>
      <c r="C11295" s="11"/>
      <c r="D11295" s="11"/>
      <c r="E11295" s="11"/>
      <c r="F11295" s="11"/>
      <c r="G11295" s="11"/>
      <c r="H11295" s="11"/>
      <c r="I11295" s="15"/>
    </row>
    <row r="11296" spans="1:9" ht="16.5">
      <c r="A11296" s="10" t="b">
        <v>0</v>
      </c>
      <c r="B11296" s="11" t="str">
        <f>IF(D11296&lt;&gt;"",IF(COUNTIF('USPTO TMs'!A:A,D11296)&gt;0,"Yes","No"),"")</f>
        <v/>
      </c>
      <c r="C11296" s="11"/>
      <c r="D11296" s="11"/>
      <c r="E11296" s="11"/>
      <c r="F11296" s="11"/>
      <c r="G11296" s="11"/>
      <c r="H11296" s="11"/>
      <c r="I11296" s="15"/>
    </row>
    <row r="11297" spans="1:9" ht="16.5">
      <c r="A11297" s="10" t="b">
        <v>0</v>
      </c>
      <c r="B11297" s="11" t="str">
        <f>IF(D11297&lt;&gt;"",IF(COUNTIF('USPTO TMs'!A:A,D11297)&gt;0,"Yes","No"),"")</f>
        <v/>
      </c>
      <c r="C11297" s="11"/>
      <c r="D11297" s="11"/>
      <c r="E11297" s="11"/>
      <c r="F11297" s="11"/>
      <c r="G11297" s="11"/>
      <c r="H11297" s="11"/>
      <c r="I11297" s="15"/>
    </row>
    <row r="11298" spans="1:9" ht="16.5">
      <c r="A11298" s="10" t="b">
        <v>0</v>
      </c>
      <c r="B11298" s="11" t="str">
        <f>IF(D11298&lt;&gt;"",IF(COUNTIF('USPTO TMs'!A:A,D11298)&gt;0,"Yes","No"),"")</f>
        <v/>
      </c>
      <c r="C11298" s="11"/>
      <c r="D11298" s="11"/>
      <c r="E11298" s="11"/>
      <c r="F11298" s="11"/>
      <c r="G11298" s="11"/>
      <c r="H11298" s="11"/>
      <c r="I11298" s="15"/>
    </row>
    <row r="11299" spans="1:9" ht="16.5">
      <c r="A11299" s="10" t="b">
        <v>0</v>
      </c>
      <c r="B11299" s="11" t="str">
        <f>IF(D11299&lt;&gt;"",IF(COUNTIF('USPTO TMs'!A:A,D11299)&gt;0,"Yes","No"),"")</f>
        <v/>
      </c>
      <c r="C11299" s="11"/>
      <c r="D11299" s="11"/>
      <c r="E11299" s="11"/>
      <c r="F11299" s="11"/>
      <c r="G11299" s="11"/>
      <c r="H11299" s="11"/>
      <c r="I11299" s="15"/>
    </row>
    <row r="11300" spans="1:9" ht="16.5">
      <c r="A11300" s="10" t="b">
        <v>0</v>
      </c>
      <c r="B11300" s="11" t="str">
        <f>IF(D11300&lt;&gt;"",IF(COUNTIF('USPTO TMs'!A:A,D11300)&gt;0,"Yes","No"),"")</f>
        <v/>
      </c>
      <c r="C11300" s="11"/>
      <c r="D11300" s="11"/>
      <c r="E11300" s="11"/>
      <c r="F11300" s="11"/>
      <c r="G11300" s="11"/>
      <c r="H11300" s="11"/>
      <c r="I11300" s="15"/>
    </row>
    <row r="11301" spans="1:9" ht="16.5">
      <c r="A11301" s="10" t="b">
        <v>0</v>
      </c>
      <c r="B11301" s="11" t="str">
        <f>IF(D11301&lt;&gt;"",IF(COUNTIF('USPTO TMs'!A:A,D11301)&gt;0,"Yes","No"),"")</f>
        <v/>
      </c>
      <c r="C11301" s="11"/>
      <c r="D11301" s="11"/>
      <c r="E11301" s="11"/>
      <c r="F11301" s="11"/>
      <c r="G11301" s="11"/>
      <c r="H11301" s="11"/>
      <c r="I11301" s="15"/>
    </row>
    <row r="11302" spans="1:9" ht="16.5">
      <c r="A11302" s="10" t="b">
        <v>0</v>
      </c>
      <c r="B11302" s="11" t="str">
        <f>IF(D11302&lt;&gt;"",IF(COUNTIF('USPTO TMs'!A:A,D11302)&gt;0,"Yes","No"),"")</f>
        <v/>
      </c>
      <c r="C11302" s="11"/>
      <c r="D11302" s="11"/>
      <c r="E11302" s="11"/>
      <c r="F11302" s="11"/>
      <c r="G11302" s="11"/>
      <c r="H11302" s="11"/>
      <c r="I11302" s="15"/>
    </row>
    <row r="11303" spans="1:9" ht="16.5">
      <c r="A11303" s="10" t="b">
        <v>0</v>
      </c>
      <c r="B11303" s="11" t="str">
        <f>IF(D11303&lt;&gt;"",IF(COUNTIF('USPTO TMs'!A:A,D11303)&gt;0,"Yes","No"),"")</f>
        <v/>
      </c>
      <c r="C11303" s="11"/>
      <c r="D11303" s="11"/>
      <c r="E11303" s="11"/>
      <c r="F11303" s="11"/>
      <c r="G11303" s="11"/>
      <c r="H11303" s="11"/>
      <c r="I11303" s="15"/>
    </row>
    <row r="11304" spans="1:9" ht="16.5">
      <c r="A11304" s="10" t="b">
        <v>0</v>
      </c>
      <c r="B11304" s="11" t="str">
        <f>IF(D11304&lt;&gt;"",IF(COUNTIF('USPTO TMs'!A:A,D11304)&gt;0,"Yes","No"),"")</f>
        <v/>
      </c>
      <c r="C11304" s="11"/>
      <c r="D11304" s="11"/>
      <c r="E11304" s="11"/>
      <c r="F11304" s="11"/>
      <c r="G11304" s="11"/>
      <c r="H11304" s="11"/>
      <c r="I11304" s="15"/>
    </row>
    <row r="11305" spans="1:9" ht="16.5">
      <c r="A11305" s="10" t="b">
        <v>0</v>
      </c>
      <c r="B11305" s="11" t="str">
        <f>IF(D11305&lt;&gt;"",IF(COUNTIF('USPTO TMs'!A:A,D11305)&gt;0,"Yes","No"),"")</f>
        <v/>
      </c>
      <c r="C11305" s="11"/>
      <c r="D11305" s="11"/>
      <c r="E11305" s="11"/>
      <c r="F11305" s="11"/>
      <c r="G11305" s="11"/>
      <c r="H11305" s="11"/>
      <c r="I11305" s="15"/>
    </row>
    <row r="11306" spans="1:9" ht="16.5">
      <c r="A11306" s="10" t="b">
        <v>0</v>
      </c>
      <c r="B11306" s="11" t="str">
        <f>IF(D11306&lt;&gt;"",IF(COUNTIF('USPTO TMs'!A:A,D11306)&gt;0,"Yes","No"),"")</f>
        <v/>
      </c>
      <c r="C11306" s="11"/>
      <c r="D11306" s="11"/>
      <c r="E11306" s="11"/>
      <c r="F11306" s="11"/>
      <c r="G11306" s="11"/>
      <c r="H11306" s="11"/>
      <c r="I11306" s="15"/>
    </row>
    <row r="11307" spans="1:9" ht="16.5">
      <c r="A11307" s="10" t="b">
        <v>0</v>
      </c>
      <c r="B11307" s="11" t="str">
        <f>IF(D11307&lt;&gt;"",IF(COUNTIF('USPTO TMs'!A:A,D11307)&gt;0,"Yes","No"),"")</f>
        <v/>
      </c>
      <c r="C11307" s="11"/>
      <c r="D11307" s="11"/>
      <c r="E11307" s="11"/>
      <c r="F11307" s="11"/>
      <c r="G11307" s="11"/>
      <c r="H11307" s="11"/>
      <c r="I11307" s="15"/>
    </row>
    <row r="11308" spans="1:9" ht="16.5">
      <c r="A11308" s="10" t="b">
        <v>0</v>
      </c>
      <c r="B11308" s="11" t="str">
        <f>IF(D11308&lt;&gt;"",IF(COUNTIF('USPTO TMs'!A:A,D11308)&gt;0,"Yes","No"),"")</f>
        <v/>
      </c>
      <c r="C11308" s="11"/>
      <c r="D11308" s="11"/>
      <c r="E11308" s="11"/>
      <c r="F11308" s="11"/>
      <c r="G11308" s="11"/>
      <c r="H11308" s="11"/>
      <c r="I11308" s="15"/>
    </row>
    <row r="11309" spans="1:9" ht="16.5">
      <c r="A11309" s="10" t="b">
        <v>0</v>
      </c>
      <c r="B11309" s="11" t="str">
        <f>IF(D11309&lt;&gt;"",IF(COUNTIF('USPTO TMs'!A:A,D11309)&gt;0,"Yes","No"),"")</f>
        <v/>
      </c>
      <c r="C11309" s="11"/>
      <c r="D11309" s="11"/>
      <c r="E11309" s="11"/>
      <c r="F11309" s="11"/>
      <c r="G11309" s="11"/>
      <c r="H11309" s="11"/>
      <c r="I11309" s="15"/>
    </row>
    <row r="11310" spans="1:9" ht="16.5">
      <c r="A11310" s="10" t="b">
        <v>0</v>
      </c>
      <c r="B11310" s="11" t="str">
        <f>IF(D11310&lt;&gt;"",IF(COUNTIF('USPTO TMs'!A:A,D11310)&gt;0,"Yes","No"),"")</f>
        <v/>
      </c>
      <c r="C11310" s="11"/>
      <c r="D11310" s="11"/>
      <c r="E11310" s="11"/>
      <c r="F11310" s="11"/>
      <c r="G11310" s="11"/>
      <c r="H11310" s="11"/>
      <c r="I11310" s="15"/>
    </row>
    <row r="11311" spans="1:9" ht="16.5">
      <c r="A11311" s="10" t="b">
        <v>0</v>
      </c>
      <c r="B11311" s="11" t="str">
        <f>IF(D11311&lt;&gt;"",IF(COUNTIF('USPTO TMs'!A:A,D11311)&gt;0,"Yes","No"),"")</f>
        <v/>
      </c>
      <c r="C11311" s="11"/>
      <c r="D11311" s="11"/>
      <c r="E11311" s="11"/>
      <c r="F11311" s="11"/>
      <c r="G11311" s="11"/>
      <c r="H11311" s="11"/>
      <c r="I11311" s="15"/>
    </row>
    <row r="11312" spans="1:9" ht="16.5">
      <c r="A11312" s="10" t="b">
        <v>0</v>
      </c>
      <c r="B11312" s="11" t="str">
        <f>IF(D11312&lt;&gt;"",IF(COUNTIF('USPTO TMs'!A:A,D11312)&gt;0,"Yes","No"),"")</f>
        <v/>
      </c>
      <c r="C11312" s="11"/>
      <c r="D11312" s="11"/>
      <c r="E11312" s="11"/>
      <c r="F11312" s="11"/>
      <c r="G11312" s="11"/>
      <c r="H11312" s="11"/>
      <c r="I11312" s="15"/>
    </row>
    <row r="11313" spans="1:9" ht="16.5">
      <c r="A11313" s="10" t="b">
        <v>0</v>
      </c>
      <c r="B11313" s="11" t="str">
        <f>IF(D11313&lt;&gt;"",IF(COUNTIF('USPTO TMs'!A:A,D11313)&gt;0,"Yes","No"),"")</f>
        <v/>
      </c>
      <c r="C11313" s="11"/>
      <c r="D11313" s="11"/>
      <c r="E11313" s="11"/>
      <c r="F11313" s="11"/>
      <c r="G11313" s="11"/>
      <c r="H11313" s="11"/>
      <c r="I11313" s="15"/>
    </row>
    <row r="11314" spans="1:9" ht="16.5">
      <c r="A11314" s="10" t="b">
        <v>0</v>
      </c>
      <c r="B11314" s="11" t="str">
        <f>IF(D11314&lt;&gt;"",IF(COUNTIF('USPTO TMs'!A:A,D11314)&gt;0,"Yes","No"),"")</f>
        <v/>
      </c>
      <c r="C11314" s="11"/>
      <c r="D11314" s="11"/>
      <c r="E11314" s="11"/>
      <c r="F11314" s="11"/>
      <c r="G11314" s="11"/>
      <c r="H11314" s="11"/>
      <c r="I11314" s="15"/>
    </row>
    <row r="11315" spans="1:9" ht="16.5">
      <c r="A11315" s="10" t="b">
        <v>0</v>
      </c>
      <c r="B11315" s="11" t="str">
        <f>IF(D11315&lt;&gt;"",IF(COUNTIF('USPTO TMs'!A:A,D11315)&gt;0,"Yes","No"),"")</f>
        <v/>
      </c>
      <c r="C11315" s="11"/>
      <c r="D11315" s="11"/>
      <c r="E11315" s="11"/>
      <c r="F11315" s="11"/>
      <c r="G11315" s="11"/>
      <c r="H11315" s="11"/>
      <c r="I11315" s="15"/>
    </row>
    <row r="11316" spans="1:9" ht="16.5">
      <c r="A11316" s="10" t="b">
        <v>0</v>
      </c>
      <c r="B11316" s="11" t="str">
        <f>IF(D11316&lt;&gt;"",IF(COUNTIF('USPTO TMs'!A:A,D11316)&gt;0,"Yes","No"),"")</f>
        <v/>
      </c>
      <c r="C11316" s="11"/>
      <c r="D11316" s="11"/>
      <c r="E11316" s="11"/>
      <c r="F11316" s="11"/>
      <c r="G11316" s="11"/>
      <c r="H11316" s="11"/>
      <c r="I11316" s="15"/>
    </row>
    <row r="11317" spans="1:9" ht="16.5">
      <c r="A11317" s="10" t="b">
        <v>0</v>
      </c>
      <c r="B11317" s="11" t="str">
        <f>IF(D11317&lt;&gt;"",IF(COUNTIF('USPTO TMs'!A:A,D11317)&gt;0,"Yes","No"),"")</f>
        <v/>
      </c>
      <c r="C11317" s="11"/>
      <c r="D11317" s="11"/>
      <c r="E11317" s="11"/>
      <c r="F11317" s="11"/>
      <c r="G11317" s="11"/>
      <c r="H11317" s="11"/>
      <c r="I11317" s="15"/>
    </row>
    <row r="11318" spans="1:9" ht="16.5">
      <c r="A11318" s="10" t="b">
        <v>0</v>
      </c>
      <c r="B11318" s="11" t="str">
        <f>IF(D11318&lt;&gt;"",IF(COUNTIF('USPTO TMs'!A:A,D11318)&gt;0,"Yes","No"),"")</f>
        <v/>
      </c>
      <c r="C11318" s="11"/>
      <c r="D11318" s="11"/>
      <c r="E11318" s="11"/>
      <c r="F11318" s="11"/>
      <c r="G11318" s="11"/>
      <c r="H11318" s="11"/>
      <c r="I11318" s="15"/>
    </row>
    <row r="11319" spans="1:9" ht="16.5">
      <c r="A11319" s="10" t="b">
        <v>0</v>
      </c>
      <c r="B11319" s="11" t="str">
        <f>IF(D11319&lt;&gt;"",IF(COUNTIF('USPTO TMs'!A:A,D11319)&gt;0,"Yes","No"),"")</f>
        <v/>
      </c>
      <c r="C11319" s="11"/>
      <c r="D11319" s="11"/>
      <c r="E11319" s="11"/>
      <c r="F11319" s="11"/>
      <c r="G11319" s="11"/>
      <c r="H11319" s="11"/>
      <c r="I11319" s="15"/>
    </row>
    <row r="11320" spans="1:9" ht="16.5">
      <c r="A11320" s="10" t="b">
        <v>0</v>
      </c>
      <c r="B11320" s="11" t="str">
        <f>IF(D11320&lt;&gt;"",IF(COUNTIF('USPTO TMs'!A:A,D11320)&gt;0,"Yes","No"),"")</f>
        <v/>
      </c>
      <c r="C11320" s="11"/>
      <c r="D11320" s="11"/>
      <c r="E11320" s="11"/>
      <c r="F11320" s="11"/>
      <c r="G11320" s="11"/>
      <c r="H11320" s="11"/>
      <c r="I11320" s="15"/>
    </row>
    <row r="11321" spans="1:9" ht="16.5">
      <c r="A11321" s="10" t="b">
        <v>0</v>
      </c>
      <c r="B11321" s="11" t="str">
        <f>IF(D11321&lt;&gt;"",IF(COUNTIF('USPTO TMs'!A:A,D11321)&gt;0,"Yes","No"),"")</f>
        <v/>
      </c>
      <c r="C11321" s="11"/>
      <c r="D11321" s="11"/>
      <c r="E11321" s="11"/>
      <c r="F11321" s="11"/>
      <c r="G11321" s="11"/>
      <c r="H11321" s="11"/>
      <c r="I11321" s="15"/>
    </row>
    <row r="11322" spans="1:9" ht="16.5">
      <c r="A11322" s="10" t="b">
        <v>0</v>
      </c>
      <c r="B11322" s="11" t="str">
        <f>IF(D11322&lt;&gt;"",IF(COUNTIF('USPTO TMs'!A:A,D11322)&gt;0,"Yes","No"),"")</f>
        <v/>
      </c>
      <c r="C11322" s="11"/>
      <c r="D11322" s="11"/>
      <c r="E11322" s="11"/>
      <c r="F11322" s="11"/>
      <c r="G11322" s="11"/>
      <c r="H11322" s="11"/>
      <c r="I11322" s="15"/>
    </row>
    <row r="11323" spans="1:9" ht="16.5">
      <c r="A11323" s="10" t="b">
        <v>0</v>
      </c>
      <c r="B11323" s="11" t="str">
        <f>IF(D11323&lt;&gt;"",IF(COUNTIF('USPTO TMs'!A:A,D11323)&gt;0,"Yes","No"),"")</f>
        <v/>
      </c>
      <c r="C11323" s="11"/>
      <c r="D11323" s="11"/>
      <c r="E11323" s="11"/>
      <c r="F11323" s="11"/>
      <c r="G11323" s="11"/>
      <c r="H11323" s="11"/>
      <c r="I11323" s="15"/>
    </row>
    <row r="11324" spans="1:9" ht="16.5">
      <c r="A11324" s="10" t="b">
        <v>0</v>
      </c>
      <c r="B11324" s="11" t="str">
        <f>IF(D11324&lt;&gt;"",IF(COUNTIF('USPTO TMs'!A:A,D11324)&gt;0,"Yes","No"),"")</f>
        <v/>
      </c>
      <c r="C11324" s="11"/>
      <c r="D11324" s="11"/>
      <c r="E11324" s="11"/>
      <c r="F11324" s="11"/>
      <c r="G11324" s="11"/>
      <c r="H11324" s="11"/>
      <c r="I11324" s="15"/>
    </row>
    <row r="11325" spans="1:9" ht="16.5">
      <c r="A11325" s="10" t="b">
        <v>0</v>
      </c>
      <c r="B11325" s="11" t="str">
        <f>IF(D11325&lt;&gt;"",IF(COUNTIF('USPTO TMs'!A:A,D11325)&gt;0,"Yes","No"),"")</f>
        <v/>
      </c>
      <c r="C11325" s="11"/>
      <c r="D11325" s="11"/>
      <c r="E11325" s="11"/>
      <c r="F11325" s="11"/>
      <c r="G11325" s="11"/>
      <c r="H11325" s="11"/>
      <c r="I11325" s="15"/>
    </row>
    <row r="11326" spans="1:9" ht="16.5">
      <c r="A11326" s="10" t="b">
        <v>0</v>
      </c>
      <c r="B11326" s="11" t="str">
        <f>IF(D11326&lt;&gt;"",IF(COUNTIF('USPTO TMs'!A:A,D11326)&gt;0,"Yes","No"),"")</f>
        <v/>
      </c>
      <c r="C11326" s="11"/>
      <c r="D11326" s="11"/>
      <c r="E11326" s="11"/>
      <c r="F11326" s="11"/>
      <c r="G11326" s="11"/>
      <c r="H11326" s="11"/>
      <c r="I11326" s="15"/>
    </row>
    <row r="11327" spans="1:9" ht="16.5">
      <c r="A11327" s="10" t="b">
        <v>0</v>
      </c>
      <c r="B11327" s="11" t="str">
        <f>IF(D11327&lt;&gt;"",IF(COUNTIF('USPTO TMs'!A:A,D11327)&gt;0,"Yes","No"),"")</f>
        <v/>
      </c>
      <c r="C11327" s="11"/>
      <c r="D11327" s="11"/>
      <c r="E11327" s="11"/>
      <c r="F11327" s="11"/>
      <c r="G11327" s="11"/>
      <c r="H11327" s="11"/>
      <c r="I11327" s="15"/>
    </row>
    <row r="11328" spans="1:9" ht="16.5">
      <c r="A11328" s="10" t="b">
        <v>0</v>
      </c>
      <c r="B11328" s="11" t="str">
        <f>IF(D11328&lt;&gt;"",IF(COUNTIF('USPTO TMs'!A:A,D11328)&gt;0,"Yes","No"),"")</f>
        <v/>
      </c>
      <c r="C11328" s="11"/>
      <c r="D11328" s="11"/>
      <c r="E11328" s="11"/>
      <c r="F11328" s="11"/>
      <c r="G11328" s="11"/>
      <c r="H11328" s="11"/>
      <c r="I11328" s="15"/>
    </row>
    <row r="11329" spans="1:9" ht="16.5">
      <c r="A11329" s="10" t="b">
        <v>0</v>
      </c>
      <c r="B11329" s="11" t="str">
        <f>IF(D11329&lt;&gt;"",IF(COUNTIF('USPTO TMs'!A:A,D11329)&gt;0,"Yes","No"),"")</f>
        <v/>
      </c>
      <c r="C11329" s="11"/>
      <c r="D11329" s="11"/>
      <c r="E11329" s="11"/>
      <c r="F11329" s="11"/>
      <c r="G11329" s="11"/>
      <c r="H11329" s="11"/>
      <c r="I11329" s="15"/>
    </row>
    <row r="11330" spans="1:9" ht="16.5">
      <c r="A11330" s="10" t="b">
        <v>0</v>
      </c>
      <c r="B11330" s="11" t="str">
        <f>IF(D11330&lt;&gt;"",IF(COUNTIF('USPTO TMs'!A:A,D11330)&gt;0,"Yes","No"),"")</f>
        <v/>
      </c>
      <c r="C11330" s="11"/>
      <c r="D11330" s="11"/>
      <c r="E11330" s="11"/>
      <c r="F11330" s="11"/>
      <c r="G11330" s="11"/>
      <c r="H11330" s="11"/>
      <c r="I11330" s="15"/>
    </row>
    <row r="11331" spans="1:9" ht="16.5">
      <c r="A11331" s="10" t="b">
        <v>0</v>
      </c>
      <c r="B11331" s="11" t="str">
        <f>IF(D11331&lt;&gt;"",IF(COUNTIF('USPTO TMs'!A:A,D11331)&gt;0,"Yes","No"),"")</f>
        <v/>
      </c>
      <c r="C11331" s="11"/>
      <c r="D11331" s="11"/>
      <c r="E11331" s="11"/>
      <c r="F11331" s="11"/>
      <c r="G11331" s="11"/>
      <c r="H11331" s="11"/>
      <c r="I11331" s="15"/>
    </row>
    <row r="11332" spans="1:9" ht="16.5">
      <c r="A11332" s="10" t="b">
        <v>0</v>
      </c>
      <c r="B11332" s="11" t="str">
        <f>IF(D11332&lt;&gt;"",IF(COUNTIF('USPTO TMs'!A:A,D11332)&gt;0,"Yes","No"),"")</f>
        <v/>
      </c>
      <c r="C11332" s="11"/>
      <c r="D11332" s="11"/>
      <c r="E11332" s="11"/>
      <c r="F11332" s="11"/>
      <c r="G11332" s="11"/>
      <c r="H11332" s="11"/>
      <c r="I11332" s="15"/>
    </row>
    <row r="11333" spans="1:9" ht="16.5">
      <c r="A11333" s="10" t="b">
        <v>0</v>
      </c>
      <c r="B11333" s="11" t="str">
        <f>IF(D11333&lt;&gt;"",IF(COUNTIF('USPTO TMs'!A:A,D11333)&gt;0,"Yes","No"),"")</f>
        <v/>
      </c>
      <c r="C11333" s="11"/>
      <c r="D11333" s="11"/>
      <c r="E11333" s="11"/>
      <c r="F11333" s="11"/>
      <c r="G11333" s="11"/>
      <c r="H11333" s="11"/>
      <c r="I11333" s="15"/>
    </row>
    <row r="11334" spans="1:9" ht="16.5">
      <c r="A11334" s="10" t="b">
        <v>0</v>
      </c>
      <c r="B11334" s="11" t="str">
        <f>IF(D11334&lt;&gt;"",IF(COUNTIF('USPTO TMs'!A:A,D11334)&gt;0,"Yes","No"),"")</f>
        <v/>
      </c>
      <c r="C11334" s="11"/>
      <c r="D11334" s="11"/>
      <c r="E11334" s="11"/>
      <c r="F11334" s="11"/>
      <c r="G11334" s="11"/>
      <c r="H11334" s="11"/>
      <c r="I11334" s="15"/>
    </row>
    <row r="11335" spans="1:9" ht="16.5">
      <c r="A11335" s="10" t="b">
        <v>0</v>
      </c>
      <c r="B11335" s="11" t="str">
        <f>IF(D11335&lt;&gt;"",IF(COUNTIF('USPTO TMs'!A:A,D11335)&gt;0,"Yes","No"),"")</f>
        <v/>
      </c>
      <c r="C11335" s="11"/>
      <c r="D11335" s="11"/>
      <c r="E11335" s="11"/>
      <c r="F11335" s="11"/>
      <c r="G11335" s="11"/>
      <c r="H11335" s="11"/>
      <c r="I11335" s="15"/>
    </row>
    <row r="11336" spans="1:9" ht="16.5">
      <c r="A11336" s="10" t="b">
        <v>0</v>
      </c>
      <c r="B11336" s="11" t="str">
        <f>IF(D11336&lt;&gt;"",IF(COUNTIF('USPTO TMs'!A:A,D11336)&gt;0,"Yes","No"),"")</f>
        <v/>
      </c>
      <c r="C11336" s="11"/>
      <c r="D11336" s="11"/>
      <c r="E11336" s="11"/>
      <c r="F11336" s="11"/>
      <c r="G11336" s="11"/>
      <c r="H11336" s="11"/>
      <c r="I11336" s="15"/>
    </row>
    <row r="11337" spans="1:9" ht="16.5">
      <c r="A11337" s="10" t="b">
        <v>0</v>
      </c>
      <c r="B11337" s="11" t="str">
        <f>IF(D11337&lt;&gt;"",IF(COUNTIF('USPTO TMs'!A:A,D11337)&gt;0,"Yes","No"),"")</f>
        <v/>
      </c>
      <c r="C11337" s="11"/>
      <c r="D11337" s="11"/>
      <c r="E11337" s="11"/>
      <c r="F11337" s="11"/>
      <c r="G11337" s="11"/>
      <c r="H11337" s="11"/>
      <c r="I11337" s="15"/>
    </row>
    <row r="11338" spans="1:9" ht="16.5">
      <c r="A11338" s="10" t="b">
        <v>0</v>
      </c>
      <c r="B11338" s="11" t="str">
        <f>IF(D11338&lt;&gt;"",IF(COUNTIF('USPTO TMs'!A:A,D11338)&gt;0,"Yes","No"),"")</f>
        <v/>
      </c>
      <c r="C11338" s="11"/>
      <c r="D11338" s="11"/>
      <c r="E11338" s="11"/>
      <c r="F11338" s="11"/>
      <c r="G11338" s="11"/>
      <c r="H11338" s="11"/>
      <c r="I11338" s="15"/>
    </row>
    <row r="11339" spans="1:9" ht="16.5">
      <c r="A11339" s="10" t="b">
        <v>0</v>
      </c>
      <c r="B11339" s="11" t="str">
        <f>IF(D11339&lt;&gt;"",IF(COUNTIF('USPTO TMs'!A:A,D11339)&gt;0,"Yes","No"),"")</f>
        <v/>
      </c>
      <c r="C11339" s="11"/>
      <c r="D11339" s="11"/>
      <c r="E11339" s="11"/>
      <c r="F11339" s="11"/>
      <c r="G11339" s="11"/>
      <c r="H11339" s="11"/>
      <c r="I11339" s="15"/>
    </row>
    <row r="11340" spans="1:9" ht="16.5">
      <c r="A11340" s="10" t="b">
        <v>0</v>
      </c>
      <c r="B11340" s="11" t="str">
        <f>IF(D11340&lt;&gt;"",IF(COUNTIF('USPTO TMs'!A:A,D11340)&gt;0,"Yes","No"),"")</f>
        <v/>
      </c>
      <c r="C11340" s="11"/>
      <c r="D11340" s="11"/>
      <c r="E11340" s="11"/>
      <c r="F11340" s="11"/>
      <c r="G11340" s="11"/>
      <c r="H11340" s="11"/>
      <c r="I11340" s="15"/>
    </row>
    <row r="11341" spans="1:9" ht="16.5">
      <c r="A11341" s="10" t="b">
        <v>0</v>
      </c>
      <c r="B11341" s="11" t="str">
        <f>IF(D11341&lt;&gt;"",IF(COUNTIF('USPTO TMs'!A:A,D11341)&gt;0,"Yes","No"),"")</f>
        <v/>
      </c>
      <c r="C11341" s="11"/>
      <c r="D11341" s="11"/>
      <c r="E11341" s="11"/>
      <c r="F11341" s="11"/>
      <c r="G11341" s="11"/>
      <c r="H11341" s="11"/>
      <c r="I11341" s="15"/>
    </row>
    <row r="11342" spans="1:9" ht="16.5">
      <c r="A11342" s="10" t="b">
        <v>0</v>
      </c>
      <c r="B11342" s="11" t="str">
        <f>IF(D11342&lt;&gt;"",IF(COUNTIF('USPTO TMs'!A:A,D11342)&gt;0,"Yes","No"),"")</f>
        <v/>
      </c>
      <c r="C11342" s="11"/>
      <c r="D11342" s="11"/>
      <c r="E11342" s="11"/>
      <c r="F11342" s="11"/>
      <c r="G11342" s="11"/>
      <c r="H11342" s="11"/>
      <c r="I11342" s="15"/>
    </row>
    <row r="11343" spans="1:9" ht="16.5">
      <c r="A11343" s="10" t="b">
        <v>0</v>
      </c>
      <c r="B11343" s="11" t="str">
        <f>IF(D11343&lt;&gt;"",IF(COUNTIF('USPTO TMs'!A:A,D11343)&gt;0,"Yes","No"),"")</f>
        <v/>
      </c>
      <c r="C11343" s="11"/>
      <c r="D11343" s="11"/>
      <c r="E11343" s="11"/>
      <c r="F11343" s="11"/>
      <c r="G11343" s="11"/>
      <c r="H11343" s="11"/>
      <c r="I11343" s="15"/>
    </row>
    <row r="11344" spans="1:9" ht="16.5">
      <c r="A11344" s="10" t="b">
        <v>0</v>
      </c>
      <c r="B11344" s="11" t="str">
        <f>IF(D11344&lt;&gt;"",IF(COUNTIF('USPTO TMs'!A:A,D11344)&gt;0,"Yes","No"),"")</f>
        <v/>
      </c>
      <c r="C11344" s="11"/>
      <c r="D11344" s="11"/>
      <c r="E11344" s="11"/>
      <c r="F11344" s="11"/>
      <c r="G11344" s="11"/>
      <c r="H11344" s="11"/>
      <c r="I11344" s="15"/>
    </row>
    <row r="11345" spans="1:9" ht="16.5">
      <c r="A11345" s="10" t="b">
        <v>0</v>
      </c>
      <c r="B11345" s="11" t="str">
        <f>IF(D11345&lt;&gt;"",IF(COUNTIF('USPTO TMs'!A:A,D11345)&gt;0,"Yes","No"),"")</f>
        <v/>
      </c>
      <c r="C11345" s="11"/>
      <c r="D11345" s="11"/>
      <c r="E11345" s="11"/>
      <c r="F11345" s="11"/>
      <c r="G11345" s="11"/>
      <c r="H11345" s="11"/>
      <c r="I11345" s="15"/>
    </row>
    <row r="11346" spans="1:9" ht="16.5">
      <c r="A11346" s="10" t="b">
        <v>0</v>
      </c>
      <c r="B11346" s="11" t="str">
        <f>IF(D11346&lt;&gt;"",IF(COUNTIF('USPTO TMs'!A:A,D11346)&gt;0,"Yes","No"),"")</f>
        <v/>
      </c>
      <c r="C11346" s="11"/>
      <c r="D11346" s="11"/>
      <c r="E11346" s="11"/>
      <c r="F11346" s="11"/>
      <c r="G11346" s="11"/>
      <c r="H11346" s="11"/>
      <c r="I11346" s="15"/>
    </row>
    <row r="11347" spans="1:9" ht="16.5">
      <c r="A11347" s="10" t="b">
        <v>0</v>
      </c>
      <c r="B11347" s="11" t="str">
        <f>IF(D11347&lt;&gt;"",IF(COUNTIF('USPTO TMs'!A:A,D11347)&gt;0,"Yes","No"),"")</f>
        <v/>
      </c>
      <c r="C11347" s="11"/>
      <c r="D11347" s="11"/>
      <c r="E11347" s="11"/>
      <c r="F11347" s="11"/>
      <c r="G11347" s="11"/>
      <c r="H11347" s="11"/>
      <c r="I11347" s="15"/>
    </row>
    <row r="11348" spans="1:9" ht="16.5">
      <c r="A11348" s="10" t="b">
        <v>0</v>
      </c>
      <c r="B11348" s="11" t="str">
        <f>IF(D11348&lt;&gt;"",IF(COUNTIF('USPTO TMs'!A:A,D11348)&gt;0,"Yes","No"),"")</f>
        <v/>
      </c>
      <c r="C11348" s="11"/>
      <c r="D11348" s="11"/>
      <c r="E11348" s="11"/>
      <c r="F11348" s="11"/>
      <c r="G11348" s="11"/>
      <c r="H11348" s="11"/>
      <c r="I11348" s="15"/>
    </row>
    <row r="11349" spans="1:9" ht="16.5">
      <c r="A11349" s="10" t="b">
        <v>0</v>
      </c>
      <c r="B11349" s="11" t="str">
        <f>IF(D11349&lt;&gt;"",IF(COUNTIF('USPTO TMs'!A:A,D11349)&gt;0,"Yes","No"),"")</f>
        <v/>
      </c>
      <c r="C11349" s="11"/>
      <c r="D11349" s="11"/>
      <c r="E11349" s="11"/>
      <c r="F11349" s="11"/>
      <c r="G11349" s="11"/>
      <c r="H11349" s="11"/>
      <c r="I11349" s="15"/>
    </row>
    <row r="11350" spans="1:9" ht="16.5">
      <c r="A11350" s="10" t="b">
        <v>0</v>
      </c>
      <c r="B11350" s="11" t="str">
        <f>IF(D11350&lt;&gt;"",IF(COUNTIF('USPTO TMs'!A:A,D11350)&gt;0,"Yes","No"),"")</f>
        <v/>
      </c>
      <c r="C11350" s="11"/>
      <c r="D11350" s="11"/>
      <c r="E11350" s="11"/>
      <c r="F11350" s="11"/>
      <c r="G11350" s="11"/>
      <c r="H11350" s="11"/>
      <c r="I11350" s="15"/>
    </row>
    <row r="11351" spans="1:9" ht="16.5">
      <c r="A11351" s="10" t="b">
        <v>0</v>
      </c>
      <c r="B11351" s="11" t="str">
        <f>IF(D11351&lt;&gt;"",IF(COUNTIF('USPTO TMs'!A:A,D11351)&gt;0,"Yes","No"),"")</f>
        <v/>
      </c>
      <c r="C11351" s="11"/>
      <c r="D11351" s="11"/>
      <c r="E11351" s="11"/>
      <c r="F11351" s="11"/>
      <c r="G11351" s="11"/>
      <c r="H11351" s="11"/>
      <c r="I11351" s="15"/>
    </row>
    <row r="11352" spans="1:9" ht="16.5">
      <c r="A11352" s="10" t="b">
        <v>0</v>
      </c>
      <c r="B11352" s="11" t="str">
        <f>IF(D11352&lt;&gt;"",IF(COUNTIF('USPTO TMs'!A:A,D11352)&gt;0,"Yes","No"),"")</f>
        <v/>
      </c>
      <c r="C11352" s="11"/>
      <c r="D11352" s="11"/>
      <c r="E11352" s="11"/>
      <c r="F11352" s="11"/>
      <c r="G11352" s="11"/>
      <c r="H11352" s="11"/>
      <c r="I11352" s="15"/>
    </row>
    <row r="11353" spans="1:9" ht="16.5">
      <c r="A11353" s="10" t="b">
        <v>0</v>
      </c>
      <c r="B11353" s="11" t="str">
        <f>IF(D11353&lt;&gt;"",IF(COUNTIF('USPTO TMs'!A:A,D11353)&gt;0,"Yes","No"),"")</f>
        <v/>
      </c>
      <c r="C11353" s="11"/>
      <c r="D11353" s="11"/>
      <c r="E11353" s="11"/>
      <c r="F11353" s="11"/>
      <c r="G11353" s="11"/>
      <c r="H11353" s="11"/>
      <c r="I11353" s="15"/>
    </row>
    <row r="11354" spans="1:9" ht="16.5">
      <c r="A11354" s="10" t="b">
        <v>0</v>
      </c>
      <c r="B11354" s="11" t="str">
        <f>IF(D11354&lt;&gt;"",IF(COUNTIF('USPTO TMs'!A:A,D11354)&gt;0,"Yes","No"),"")</f>
        <v/>
      </c>
      <c r="C11354" s="11"/>
      <c r="D11354" s="11"/>
      <c r="E11354" s="11"/>
      <c r="F11354" s="11"/>
      <c r="G11354" s="11"/>
      <c r="H11354" s="11"/>
      <c r="I11354" s="15"/>
    </row>
    <row r="11355" spans="1:9" ht="16.5">
      <c r="A11355" s="10" t="b">
        <v>0</v>
      </c>
      <c r="B11355" s="11" t="str">
        <f>IF(D11355&lt;&gt;"",IF(COUNTIF('USPTO TMs'!A:A,D11355)&gt;0,"Yes","No"),"")</f>
        <v/>
      </c>
      <c r="C11355" s="11"/>
      <c r="D11355" s="11"/>
      <c r="E11355" s="11"/>
      <c r="F11355" s="11"/>
      <c r="G11355" s="11"/>
      <c r="H11355" s="11"/>
      <c r="I11355" s="15"/>
    </row>
    <row r="11356" spans="1:9" ht="16.5">
      <c r="A11356" s="10" t="b">
        <v>0</v>
      </c>
      <c r="B11356" s="11" t="str">
        <f>IF(D11356&lt;&gt;"",IF(COUNTIF('USPTO TMs'!A:A,D11356)&gt;0,"Yes","No"),"")</f>
        <v/>
      </c>
      <c r="C11356" s="11"/>
      <c r="D11356" s="11"/>
      <c r="E11356" s="11"/>
      <c r="F11356" s="11"/>
      <c r="G11356" s="11"/>
      <c r="H11356" s="11"/>
      <c r="I11356" s="15"/>
    </row>
    <row r="11357" spans="1:9" ht="16.5">
      <c r="A11357" s="10" t="b">
        <v>0</v>
      </c>
      <c r="B11357" s="11" t="str">
        <f>IF(D11357&lt;&gt;"",IF(COUNTIF('USPTO TMs'!A:A,D11357)&gt;0,"Yes","No"),"")</f>
        <v/>
      </c>
      <c r="C11357" s="11"/>
      <c r="D11357" s="11"/>
      <c r="E11357" s="11"/>
      <c r="F11357" s="11"/>
      <c r="G11357" s="11"/>
      <c r="H11357" s="11"/>
      <c r="I11357" s="15"/>
    </row>
    <row r="11358" spans="1:9" ht="16.5">
      <c r="A11358" s="10" t="b">
        <v>0</v>
      </c>
      <c r="B11358" s="11" t="str">
        <f>IF(D11358&lt;&gt;"",IF(COUNTIF('USPTO TMs'!A:A,D11358)&gt;0,"Yes","No"),"")</f>
        <v/>
      </c>
      <c r="C11358" s="11"/>
      <c r="D11358" s="11"/>
      <c r="E11358" s="11"/>
      <c r="F11358" s="11"/>
      <c r="G11358" s="11"/>
      <c r="H11358" s="11"/>
      <c r="I11358" s="15"/>
    </row>
    <row r="11359" spans="1:9" ht="16.5">
      <c r="A11359" s="10" t="b">
        <v>0</v>
      </c>
      <c r="B11359" s="11" t="str">
        <f>IF(D11359&lt;&gt;"",IF(COUNTIF('USPTO TMs'!A:A,D11359)&gt;0,"Yes","No"),"")</f>
        <v/>
      </c>
      <c r="C11359" s="11"/>
      <c r="D11359" s="11"/>
      <c r="E11359" s="11"/>
      <c r="F11359" s="11"/>
      <c r="G11359" s="11"/>
      <c r="H11359" s="11"/>
      <c r="I11359" s="15"/>
    </row>
    <row r="11360" spans="1:9" ht="16.5">
      <c r="A11360" s="10" t="b">
        <v>0</v>
      </c>
      <c r="B11360" s="11" t="str">
        <f>IF(D11360&lt;&gt;"",IF(COUNTIF('USPTO TMs'!A:A,D11360)&gt;0,"Yes","No"),"")</f>
        <v/>
      </c>
      <c r="C11360" s="11"/>
      <c r="D11360" s="11"/>
      <c r="E11360" s="11"/>
      <c r="F11360" s="11"/>
      <c r="G11360" s="11"/>
      <c r="H11360" s="11"/>
      <c r="I11360" s="15"/>
    </row>
    <row r="11361" spans="1:9" ht="16.5">
      <c r="A11361" s="10" t="b">
        <v>0</v>
      </c>
      <c r="B11361" s="11" t="str">
        <f>IF(D11361&lt;&gt;"",IF(COUNTIF('USPTO TMs'!A:A,D11361)&gt;0,"Yes","No"),"")</f>
        <v/>
      </c>
      <c r="C11361" s="11"/>
      <c r="D11361" s="11"/>
      <c r="E11361" s="11"/>
      <c r="F11361" s="11"/>
      <c r="G11361" s="11"/>
      <c r="H11361" s="11"/>
      <c r="I11361" s="15"/>
    </row>
    <row r="11362" spans="1:9" ht="16.5">
      <c r="A11362" s="10" t="b">
        <v>0</v>
      </c>
      <c r="B11362" s="11" t="str">
        <f>IF(D11362&lt;&gt;"",IF(COUNTIF('USPTO TMs'!A:A,D11362)&gt;0,"Yes","No"),"")</f>
        <v/>
      </c>
      <c r="C11362" s="11"/>
      <c r="D11362" s="11"/>
      <c r="E11362" s="11"/>
      <c r="F11362" s="11"/>
      <c r="G11362" s="11"/>
      <c r="H11362" s="11"/>
      <c r="I11362" s="15"/>
    </row>
    <row r="11363" spans="1:9" ht="16.5">
      <c r="A11363" s="10" t="b">
        <v>0</v>
      </c>
      <c r="B11363" s="11" t="str">
        <f>IF(D11363&lt;&gt;"",IF(COUNTIF('USPTO TMs'!A:A,D11363)&gt;0,"Yes","No"),"")</f>
        <v/>
      </c>
      <c r="C11363" s="11"/>
      <c r="D11363" s="11"/>
      <c r="E11363" s="11"/>
      <c r="F11363" s="11"/>
      <c r="G11363" s="11"/>
      <c r="H11363" s="11"/>
      <c r="I11363" s="15"/>
    </row>
    <row r="11364" spans="1:9" ht="16.5">
      <c r="A11364" s="10" t="b">
        <v>0</v>
      </c>
      <c r="B11364" s="11" t="str">
        <f>IF(D11364&lt;&gt;"",IF(COUNTIF('USPTO TMs'!A:A,D11364)&gt;0,"Yes","No"),"")</f>
        <v/>
      </c>
      <c r="C11364" s="11"/>
      <c r="D11364" s="11"/>
      <c r="E11364" s="11"/>
      <c r="F11364" s="11"/>
      <c r="G11364" s="11"/>
      <c r="H11364" s="11"/>
      <c r="I11364" s="15"/>
    </row>
    <row r="11365" spans="1:9" ht="16.5">
      <c r="A11365" s="10" t="b">
        <v>0</v>
      </c>
      <c r="B11365" s="11" t="str">
        <f>IF(D11365&lt;&gt;"",IF(COUNTIF('USPTO TMs'!A:A,D11365)&gt;0,"Yes","No"),"")</f>
        <v/>
      </c>
      <c r="C11365" s="11"/>
      <c r="D11365" s="11"/>
      <c r="E11365" s="11"/>
      <c r="F11365" s="11"/>
      <c r="G11365" s="11"/>
      <c r="H11365" s="11"/>
      <c r="I11365" s="15"/>
    </row>
    <row r="11366" spans="1:9" ht="16.5">
      <c r="A11366" s="10" t="b">
        <v>0</v>
      </c>
      <c r="B11366" s="11" t="str">
        <f>IF(D11366&lt;&gt;"",IF(COUNTIF('USPTO TMs'!A:A,D11366)&gt;0,"Yes","No"),"")</f>
        <v/>
      </c>
      <c r="C11366" s="11"/>
      <c r="D11366" s="11"/>
      <c r="E11366" s="11"/>
      <c r="F11366" s="11"/>
      <c r="G11366" s="11"/>
      <c r="H11366" s="11"/>
      <c r="I11366" s="15"/>
    </row>
    <row r="11367" spans="1:9" ht="16.5">
      <c r="A11367" s="10" t="b">
        <v>0</v>
      </c>
      <c r="B11367" s="11" t="str">
        <f>IF(D11367&lt;&gt;"",IF(COUNTIF('USPTO TMs'!A:A,D11367)&gt;0,"Yes","No"),"")</f>
        <v/>
      </c>
      <c r="C11367" s="11"/>
      <c r="D11367" s="11"/>
      <c r="E11367" s="11"/>
      <c r="F11367" s="11"/>
      <c r="G11367" s="11"/>
      <c r="H11367" s="11"/>
      <c r="I11367" s="15"/>
    </row>
    <row r="11368" spans="1:9" ht="16.5">
      <c r="A11368" s="10" t="b">
        <v>0</v>
      </c>
      <c r="B11368" s="11" t="str">
        <f>IF(D11368&lt;&gt;"",IF(COUNTIF('USPTO TMs'!A:A,D11368)&gt;0,"Yes","No"),"")</f>
        <v/>
      </c>
      <c r="C11368" s="11"/>
      <c r="D11368" s="11"/>
      <c r="E11368" s="11"/>
      <c r="F11368" s="11"/>
      <c r="G11368" s="11"/>
      <c r="H11368" s="11"/>
      <c r="I11368" s="15"/>
    </row>
    <row r="11369" spans="1:9" ht="16.5">
      <c r="A11369" s="10" t="b">
        <v>0</v>
      </c>
      <c r="B11369" s="11" t="str">
        <f>IF(D11369&lt;&gt;"",IF(COUNTIF('USPTO TMs'!A:A,D11369)&gt;0,"Yes","No"),"")</f>
        <v/>
      </c>
      <c r="C11369" s="11"/>
      <c r="D11369" s="11"/>
      <c r="E11369" s="11"/>
      <c r="F11369" s="11"/>
      <c r="G11369" s="11"/>
      <c r="H11369" s="11"/>
      <c r="I11369" s="15"/>
    </row>
    <row r="11370" spans="1:9" ht="16.5">
      <c r="A11370" s="10" t="b">
        <v>0</v>
      </c>
      <c r="B11370" s="11" t="str">
        <f>IF(D11370&lt;&gt;"",IF(COUNTIF('USPTO TMs'!A:A,D11370)&gt;0,"Yes","No"),"")</f>
        <v/>
      </c>
      <c r="C11370" s="11"/>
      <c r="D11370" s="11"/>
      <c r="E11370" s="11"/>
      <c r="F11370" s="11"/>
      <c r="G11370" s="11"/>
      <c r="H11370" s="11"/>
      <c r="I11370" s="15"/>
    </row>
    <row r="11371" spans="1:9" ht="16.5">
      <c r="A11371" s="10" t="b">
        <v>0</v>
      </c>
      <c r="B11371" s="11" t="str">
        <f>IF(D11371&lt;&gt;"",IF(COUNTIF('USPTO TMs'!A:A,D11371)&gt;0,"Yes","No"),"")</f>
        <v/>
      </c>
      <c r="C11371" s="11"/>
      <c r="D11371" s="11"/>
      <c r="E11371" s="11"/>
      <c r="F11371" s="11"/>
      <c r="G11371" s="11"/>
      <c r="H11371" s="11"/>
      <c r="I11371" s="15"/>
    </row>
    <row r="11372" spans="1:9" ht="16.5">
      <c r="A11372" s="10" t="b">
        <v>0</v>
      </c>
      <c r="B11372" s="11" t="str">
        <f>IF(D11372&lt;&gt;"",IF(COUNTIF('USPTO TMs'!A:A,D11372)&gt;0,"Yes","No"),"")</f>
        <v/>
      </c>
      <c r="C11372" s="11"/>
      <c r="D11372" s="11"/>
      <c r="E11372" s="11"/>
      <c r="F11372" s="11"/>
      <c r="G11372" s="11"/>
      <c r="H11372" s="11"/>
      <c r="I11372" s="15"/>
    </row>
    <row r="11373" spans="1:9" ht="16.5">
      <c r="A11373" s="10" t="b">
        <v>0</v>
      </c>
      <c r="B11373" s="11" t="str">
        <f>IF(D11373&lt;&gt;"",IF(COUNTIF('USPTO TMs'!A:A,D11373)&gt;0,"Yes","No"),"")</f>
        <v/>
      </c>
      <c r="C11373" s="11"/>
      <c r="D11373" s="11"/>
      <c r="E11373" s="11"/>
      <c r="F11373" s="11"/>
      <c r="G11373" s="11"/>
      <c r="H11373" s="11"/>
      <c r="I11373" s="15"/>
    </row>
    <row r="11374" spans="1:9" ht="16.5">
      <c r="A11374" s="10" t="b">
        <v>0</v>
      </c>
      <c r="B11374" s="11" t="str">
        <f>IF(D11374&lt;&gt;"",IF(COUNTIF('USPTO TMs'!A:A,D11374)&gt;0,"Yes","No"),"")</f>
        <v/>
      </c>
      <c r="C11374" s="11"/>
      <c r="D11374" s="11"/>
      <c r="E11374" s="11"/>
      <c r="F11374" s="11"/>
      <c r="G11374" s="11"/>
      <c r="H11374" s="11"/>
      <c r="I11374" s="15"/>
    </row>
    <row r="11375" spans="1:9" ht="16.5">
      <c r="A11375" s="10" t="b">
        <v>0</v>
      </c>
      <c r="B11375" s="11" t="str">
        <f>IF(D11375&lt;&gt;"",IF(COUNTIF('USPTO TMs'!A:A,D11375)&gt;0,"Yes","No"),"")</f>
        <v/>
      </c>
      <c r="C11375" s="11"/>
      <c r="D11375" s="11"/>
      <c r="E11375" s="11"/>
      <c r="F11375" s="11"/>
      <c r="G11375" s="11"/>
      <c r="H11375" s="11"/>
      <c r="I11375" s="15"/>
    </row>
    <row r="11376" spans="1:9" ht="16.5">
      <c r="A11376" s="10" t="b">
        <v>0</v>
      </c>
      <c r="B11376" s="11" t="str">
        <f>IF(D11376&lt;&gt;"",IF(COUNTIF('USPTO TMs'!A:A,D11376)&gt;0,"Yes","No"),"")</f>
        <v/>
      </c>
      <c r="C11376" s="11"/>
      <c r="D11376" s="11"/>
      <c r="E11376" s="11"/>
      <c r="F11376" s="11"/>
      <c r="G11376" s="11"/>
      <c r="H11376" s="11"/>
      <c r="I11376" s="15"/>
    </row>
    <row r="11377" spans="1:9" ht="16.5">
      <c r="A11377" s="10" t="b">
        <v>0</v>
      </c>
      <c r="B11377" s="11" t="str">
        <f>IF(D11377&lt;&gt;"",IF(COUNTIF('USPTO TMs'!A:A,D11377)&gt;0,"Yes","No"),"")</f>
        <v/>
      </c>
      <c r="C11377" s="11"/>
      <c r="D11377" s="11"/>
      <c r="E11377" s="11"/>
      <c r="F11377" s="11"/>
      <c r="G11377" s="11"/>
      <c r="H11377" s="11"/>
      <c r="I11377" s="15"/>
    </row>
    <row r="11378" spans="1:9" ht="16.5">
      <c r="A11378" s="10" t="b">
        <v>0</v>
      </c>
      <c r="B11378" s="11" t="str">
        <f>IF(D11378&lt;&gt;"",IF(COUNTIF('USPTO TMs'!A:A,D11378)&gt;0,"Yes","No"),"")</f>
        <v/>
      </c>
      <c r="C11378" s="11"/>
      <c r="D11378" s="11"/>
      <c r="E11378" s="11"/>
      <c r="F11378" s="11"/>
      <c r="G11378" s="11"/>
      <c r="H11378" s="11"/>
      <c r="I11378" s="15"/>
    </row>
    <row r="11379" spans="1:9" ht="16.5">
      <c r="A11379" s="10" t="b">
        <v>0</v>
      </c>
      <c r="B11379" s="11" t="str">
        <f>IF(D11379&lt;&gt;"",IF(COUNTIF('USPTO TMs'!A:A,D11379)&gt;0,"Yes","No"),"")</f>
        <v/>
      </c>
      <c r="C11379" s="11"/>
      <c r="D11379" s="11"/>
      <c r="E11379" s="11"/>
      <c r="F11379" s="11"/>
      <c r="G11379" s="11"/>
      <c r="H11379" s="11"/>
      <c r="I11379" s="15"/>
    </row>
    <row r="11380" spans="1:9" ht="16.5">
      <c r="A11380" s="10" t="b">
        <v>0</v>
      </c>
      <c r="B11380" s="11" t="str">
        <f>IF(D11380&lt;&gt;"",IF(COUNTIF('USPTO TMs'!A:A,D11380)&gt;0,"Yes","No"),"")</f>
        <v/>
      </c>
      <c r="C11380" s="11"/>
      <c r="D11380" s="11"/>
      <c r="E11380" s="11"/>
      <c r="F11380" s="11"/>
      <c r="G11380" s="11"/>
      <c r="H11380" s="11"/>
      <c r="I11380" s="15"/>
    </row>
    <row r="11381" spans="1:9" ht="16.5">
      <c r="A11381" s="10" t="b">
        <v>0</v>
      </c>
      <c r="B11381" s="11" t="str">
        <f>IF(D11381&lt;&gt;"",IF(COUNTIF('USPTO TMs'!A:A,D11381)&gt;0,"Yes","No"),"")</f>
        <v/>
      </c>
      <c r="C11381" s="11"/>
      <c r="D11381" s="11"/>
      <c r="E11381" s="11"/>
      <c r="F11381" s="11"/>
      <c r="G11381" s="11"/>
      <c r="H11381" s="11"/>
      <c r="I11381" s="15"/>
    </row>
    <row r="11382" spans="1:9" ht="16.5">
      <c r="A11382" s="10" t="b">
        <v>0</v>
      </c>
      <c r="B11382" s="11" t="str">
        <f>IF(D11382&lt;&gt;"",IF(COUNTIF('USPTO TMs'!A:A,D11382)&gt;0,"Yes","No"),"")</f>
        <v/>
      </c>
      <c r="C11382" s="11"/>
      <c r="D11382" s="11"/>
      <c r="E11382" s="11"/>
      <c r="F11382" s="11"/>
      <c r="G11382" s="11"/>
      <c r="H11382" s="11"/>
      <c r="I11382" s="15"/>
    </row>
    <row r="11383" spans="1:9" ht="16.5">
      <c r="A11383" s="10" t="b">
        <v>0</v>
      </c>
      <c r="B11383" s="11" t="str">
        <f>IF(D11383&lt;&gt;"",IF(COUNTIF('USPTO TMs'!A:A,D11383)&gt;0,"Yes","No"),"")</f>
        <v/>
      </c>
      <c r="C11383" s="11"/>
      <c r="D11383" s="11"/>
      <c r="E11383" s="11"/>
      <c r="F11383" s="11"/>
      <c r="G11383" s="11"/>
      <c r="H11383" s="11"/>
      <c r="I11383" s="15"/>
    </row>
    <row r="11384" spans="1:9" ht="16.5">
      <c r="A11384" s="10" t="b">
        <v>0</v>
      </c>
      <c r="B11384" s="11" t="str">
        <f>IF(D11384&lt;&gt;"",IF(COUNTIF('USPTO TMs'!A:A,D11384)&gt;0,"Yes","No"),"")</f>
        <v/>
      </c>
      <c r="C11384" s="11"/>
      <c r="D11384" s="11"/>
      <c r="E11384" s="11"/>
      <c r="F11384" s="11"/>
      <c r="G11384" s="11"/>
      <c r="H11384" s="11"/>
      <c r="I11384" s="15"/>
    </row>
    <row r="11385" spans="1:9" ht="16.5">
      <c r="A11385" s="10" t="b">
        <v>0</v>
      </c>
      <c r="B11385" s="11" t="str">
        <f>IF(D11385&lt;&gt;"",IF(COUNTIF('USPTO TMs'!A:A,D11385)&gt;0,"Yes","No"),"")</f>
        <v/>
      </c>
      <c r="C11385" s="11"/>
      <c r="D11385" s="11"/>
      <c r="E11385" s="11"/>
      <c r="F11385" s="11"/>
      <c r="G11385" s="11"/>
      <c r="H11385" s="11"/>
      <c r="I11385" s="15"/>
    </row>
    <row r="11386" spans="1:9" ht="16.5">
      <c r="A11386" s="10" t="b">
        <v>0</v>
      </c>
      <c r="B11386" s="11" t="str">
        <f>IF(D11386&lt;&gt;"",IF(COUNTIF('USPTO TMs'!A:A,D11386)&gt;0,"Yes","No"),"")</f>
        <v/>
      </c>
      <c r="C11386" s="11"/>
      <c r="D11386" s="11"/>
      <c r="E11386" s="11"/>
      <c r="F11386" s="11"/>
      <c r="G11386" s="11"/>
      <c r="H11386" s="11"/>
      <c r="I11386" s="15"/>
    </row>
    <row r="11387" spans="1:9" ht="16.5">
      <c r="A11387" s="10" t="b">
        <v>0</v>
      </c>
      <c r="B11387" s="11" t="str">
        <f>IF(D11387&lt;&gt;"",IF(COUNTIF('USPTO TMs'!A:A,D11387)&gt;0,"Yes","No"),"")</f>
        <v/>
      </c>
      <c r="C11387" s="11"/>
      <c r="D11387" s="11"/>
      <c r="E11387" s="11"/>
      <c r="F11387" s="11"/>
      <c r="G11387" s="11"/>
      <c r="H11387" s="11"/>
      <c r="I11387" s="15"/>
    </row>
    <row r="11388" spans="1:9" ht="16.5">
      <c r="A11388" s="10" t="b">
        <v>0</v>
      </c>
      <c r="B11388" s="11" t="str">
        <f>IF(D11388&lt;&gt;"",IF(COUNTIF('USPTO TMs'!A:A,D11388)&gt;0,"Yes","No"),"")</f>
        <v/>
      </c>
      <c r="C11388" s="11"/>
      <c r="D11388" s="11"/>
      <c r="E11388" s="11"/>
      <c r="F11388" s="11"/>
      <c r="G11388" s="11"/>
      <c r="H11388" s="11"/>
      <c r="I11388" s="15"/>
    </row>
    <row r="11389" spans="1:9" ht="16.5">
      <c r="A11389" s="10" t="b">
        <v>0</v>
      </c>
      <c r="B11389" s="11" t="str">
        <f>IF(D11389&lt;&gt;"",IF(COUNTIF('USPTO TMs'!A:A,D11389)&gt;0,"Yes","No"),"")</f>
        <v/>
      </c>
      <c r="C11389" s="11"/>
      <c r="D11389" s="11"/>
      <c r="E11389" s="11"/>
      <c r="F11389" s="11"/>
      <c r="G11389" s="11"/>
      <c r="H11389" s="11"/>
      <c r="I11389" s="15"/>
    </row>
    <row r="11390" spans="1:9" ht="16.5">
      <c r="A11390" s="10" t="b">
        <v>0</v>
      </c>
      <c r="B11390" s="11" t="str">
        <f>IF(D11390&lt;&gt;"",IF(COUNTIF('USPTO TMs'!A:A,D11390)&gt;0,"Yes","No"),"")</f>
        <v/>
      </c>
      <c r="C11390" s="11"/>
      <c r="D11390" s="11"/>
      <c r="E11390" s="11"/>
      <c r="F11390" s="11"/>
      <c r="G11390" s="11"/>
      <c r="H11390" s="11"/>
      <c r="I11390" s="15"/>
    </row>
    <row r="11391" spans="1:9" ht="16.5">
      <c r="A11391" s="10" t="b">
        <v>0</v>
      </c>
      <c r="B11391" s="11" t="str">
        <f>IF(D11391&lt;&gt;"",IF(COUNTIF('USPTO TMs'!A:A,D11391)&gt;0,"Yes","No"),"")</f>
        <v/>
      </c>
      <c r="C11391" s="11"/>
      <c r="D11391" s="11"/>
      <c r="E11391" s="11"/>
      <c r="F11391" s="11"/>
      <c r="G11391" s="11"/>
      <c r="H11391" s="11"/>
      <c r="I11391" s="15"/>
    </row>
    <row r="11392" spans="1:9" ht="16.5">
      <c r="A11392" s="10" t="b">
        <v>0</v>
      </c>
      <c r="B11392" s="11" t="str">
        <f>IF(D11392&lt;&gt;"",IF(COUNTIF('USPTO TMs'!A:A,D11392)&gt;0,"Yes","No"),"")</f>
        <v/>
      </c>
      <c r="C11392" s="11"/>
      <c r="D11392" s="11"/>
      <c r="E11392" s="11"/>
      <c r="F11392" s="11"/>
      <c r="G11392" s="11"/>
      <c r="H11392" s="11"/>
      <c r="I11392" s="15"/>
    </row>
    <row r="11393" spans="1:9" ht="16.5">
      <c r="A11393" s="10" t="b">
        <v>0</v>
      </c>
      <c r="B11393" s="11" t="str">
        <f>IF(D11393&lt;&gt;"",IF(COUNTIF('USPTO TMs'!A:A,D11393)&gt;0,"Yes","No"),"")</f>
        <v/>
      </c>
      <c r="C11393" s="11"/>
      <c r="D11393" s="11"/>
      <c r="E11393" s="11"/>
      <c r="F11393" s="11"/>
      <c r="G11393" s="11"/>
      <c r="H11393" s="11"/>
      <c r="I11393" s="15"/>
    </row>
    <row r="11394" spans="1:9" ht="16.5">
      <c r="A11394" s="10" t="b">
        <v>0</v>
      </c>
      <c r="B11394" s="11" t="str">
        <f>IF(D11394&lt;&gt;"",IF(COUNTIF('USPTO TMs'!A:A,D11394)&gt;0,"Yes","No"),"")</f>
        <v/>
      </c>
      <c r="C11394" s="11"/>
      <c r="D11394" s="11"/>
      <c r="E11394" s="11"/>
      <c r="F11394" s="11"/>
      <c r="G11394" s="11"/>
      <c r="H11394" s="11"/>
      <c r="I11394" s="15"/>
    </row>
    <row r="11395" spans="1:9" ht="16.5">
      <c r="A11395" s="10" t="b">
        <v>0</v>
      </c>
      <c r="B11395" s="11" t="str">
        <f>IF(D11395&lt;&gt;"",IF(COUNTIF('USPTO TMs'!A:A,D11395)&gt;0,"Yes","No"),"")</f>
        <v/>
      </c>
      <c r="C11395" s="11"/>
      <c r="D11395" s="11"/>
      <c r="E11395" s="11"/>
      <c r="F11395" s="11"/>
      <c r="G11395" s="11"/>
      <c r="H11395" s="11"/>
      <c r="I11395" s="15"/>
    </row>
    <row r="11396" spans="1:9" ht="16.5">
      <c r="A11396" s="10" t="b">
        <v>0</v>
      </c>
      <c r="B11396" s="11" t="str">
        <f>IF(D11396&lt;&gt;"",IF(COUNTIF('USPTO TMs'!A:A,D11396)&gt;0,"Yes","No"),"")</f>
        <v/>
      </c>
      <c r="C11396" s="11"/>
      <c r="D11396" s="11"/>
      <c r="E11396" s="11"/>
      <c r="F11396" s="11"/>
      <c r="G11396" s="11"/>
      <c r="H11396" s="11"/>
      <c r="I11396" s="15"/>
    </row>
    <row r="11397" spans="1:9" ht="16.5">
      <c r="A11397" s="10" t="b">
        <v>0</v>
      </c>
      <c r="B11397" s="11" t="str">
        <f>IF(D11397&lt;&gt;"",IF(COUNTIF('USPTO TMs'!A:A,D11397)&gt;0,"Yes","No"),"")</f>
        <v/>
      </c>
      <c r="C11397" s="11"/>
      <c r="D11397" s="11"/>
      <c r="E11397" s="11"/>
      <c r="F11397" s="11"/>
      <c r="G11397" s="11"/>
      <c r="H11397" s="11"/>
      <c r="I11397" s="15"/>
    </row>
    <row r="11398" spans="1:9" ht="16.5">
      <c r="A11398" s="10" t="b">
        <v>0</v>
      </c>
      <c r="B11398" s="11" t="str">
        <f>IF(D11398&lt;&gt;"",IF(COUNTIF('USPTO TMs'!A:A,D11398)&gt;0,"Yes","No"),"")</f>
        <v/>
      </c>
      <c r="C11398" s="11"/>
      <c r="D11398" s="11"/>
      <c r="E11398" s="11"/>
      <c r="F11398" s="11"/>
      <c r="G11398" s="11"/>
      <c r="H11398" s="11"/>
      <c r="I11398" s="15"/>
    </row>
    <row r="11399" spans="1:9" ht="16.5">
      <c r="A11399" s="10" t="b">
        <v>0</v>
      </c>
      <c r="B11399" s="11" t="str">
        <f>IF(D11399&lt;&gt;"",IF(COUNTIF('USPTO TMs'!A:A,D11399)&gt;0,"Yes","No"),"")</f>
        <v/>
      </c>
      <c r="C11399" s="11"/>
      <c r="D11399" s="11"/>
      <c r="E11399" s="11"/>
      <c r="F11399" s="11"/>
      <c r="G11399" s="11"/>
      <c r="H11399" s="11"/>
      <c r="I11399" s="15"/>
    </row>
    <row r="11400" spans="1:9" ht="16.5">
      <c r="A11400" s="10" t="b">
        <v>0</v>
      </c>
      <c r="B11400" s="11" t="str">
        <f>IF(D11400&lt;&gt;"",IF(COUNTIF('USPTO TMs'!A:A,D11400)&gt;0,"Yes","No"),"")</f>
        <v/>
      </c>
      <c r="C11400" s="11"/>
      <c r="D11400" s="11"/>
      <c r="E11400" s="11"/>
      <c r="F11400" s="11"/>
      <c r="G11400" s="11"/>
      <c r="H11400" s="11"/>
      <c r="I11400" s="15"/>
    </row>
    <row r="11401" spans="1:9" ht="16.5">
      <c r="A11401" s="10" t="b">
        <v>0</v>
      </c>
      <c r="B11401" s="11" t="str">
        <f>IF(D11401&lt;&gt;"",IF(COUNTIF('USPTO TMs'!A:A,D11401)&gt;0,"Yes","No"),"")</f>
        <v/>
      </c>
      <c r="C11401" s="11"/>
      <c r="D11401" s="11"/>
      <c r="E11401" s="11"/>
      <c r="F11401" s="11"/>
      <c r="G11401" s="11"/>
      <c r="H11401" s="11"/>
      <c r="I11401" s="15"/>
    </row>
    <row r="11402" spans="1:9" ht="16.5">
      <c r="A11402" s="10" t="b">
        <v>0</v>
      </c>
      <c r="B11402" s="11" t="str">
        <f>IF(D11402&lt;&gt;"",IF(COUNTIF('USPTO TMs'!A:A,D11402)&gt;0,"Yes","No"),"")</f>
        <v/>
      </c>
      <c r="C11402" s="11"/>
      <c r="D11402" s="11"/>
      <c r="E11402" s="11"/>
      <c r="F11402" s="11"/>
      <c r="G11402" s="11"/>
      <c r="H11402" s="11"/>
      <c r="I11402" s="15"/>
    </row>
    <row r="11403" spans="1:9" ht="16.5">
      <c r="A11403" s="10" t="b">
        <v>0</v>
      </c>
      <c r="B11403" s="11" t="str">
        <f>IF(D11403&lt;&gt;"",IF(COUNTIF('USPTO TMs'!A:A,D11403)&gt;0,"Yes","No"),"")</f>
        <v/>
      </c>
      <c r="C11403" s="11"/>
      <c r="D11403" s="11"/>
      <c r="E11403" s="11"/>
      <c r="F11403" s="11"/>
      <c r="G11403" s="11"/>
      <c r="H11403" s="11"/>
      <c r="I11403" s="15"/>
    </row>
    <row r="11404" spans="1:9" ht="16.5">
      <c r="A11404" s="10" t="b">
        <v>0</v>
      </c>
      <c r="B11404" s="11" t="str">
        <f>IF(D11404&lt;&gt;"",IF(COUNTIF('USPTO TMs'!A:A,D11404)&gt;0,"Yes","No"),"")</f>
        <v/>
      </c>
      <c r="C11404" s="11"/>
      <c r="D11404" s="11"/>
      <c r="E11404" s="11"/>
      <c r="F11404" s="11"/>
      <c r="G11404" s="11"/>
      <c r="H11404" s="11"/>
      <c r="I11404" s="15"/>
    </row>
    <row r="11405" spans="1:9" ht="16.5">
      <c r="A11405" s="10" t="b">
        <v>0</v>
      </c>
      <c r="B11405" s="11" t="str">
        <f>IF(D11405&lt;&gt;"",IF(COUNTIF('USPTO TMs'!A:A,D11405)&gt;0,"Yes","No"),"")</f>
        <v/>
      </c>
      <c r="C11405" s="11"/>
      <c r="D11405" s="11"/>
      <c r="E11405" s="11"/>
      <c r="F11405" s="11"/>
      <c r="G11405" s="11"/>
      <c r="H11405" s="11"/>
      <c r="I11405" s="15"/>
    </row>
    <row r="11406" spans="1:9" ht="16.5">
      <c r="A11406" s="10" t="b">
        <v>0</v>
      </c>
      <c r="B11406" s="11" t="str">
        <f>IF(D11406&lt;&gt;"",IF(COUNTIF('USPTO TMs'!A:A,D11406)&gt;0,"Yes","No"),"")</f>
        <v/>
      </c>
      <c r="C11406" s="11"/>
      <c r="D11406" s="11"/>
      <c r="E11406" s="11"/>
      <c r="F11406" s="11"/>
      <c r="G11406" s="11"/>
      <c r="H11406" s="11"/>
      <c r="I11406" s="15"/>
    </row>
    <row r="11407" spans="1:9" ht="16.5">
      <c r="A11407" s="10" t="b">
        <v>0</v>
      </c>
      <c r="B11407" s="11" t="str">
        <f>IF(D11407&lt;&gt;"",IF(COUNTIF('USPTO TMs'!A:A,D11407)&gt;0,"Yes","No"),"")</f>
        <v/>
      </c>
      <c r="C11407" s="11"/>
      <c r="D11407" s="11"/>
      <c r="E11407" s="11"/>
      <c r="F11407" s="11"/>
      <c r="G11407" s="11"/>
      <c r="H11407" s="11"/>
      <c r="I11407" s="15"/>
    </row>
    <row r="11408" spans="1:9" ht="16.5">
      <c r="A11408" s="10" t="b">
        <v>0</v>
      </c>
      <c r="B11408" s="11" t="str">
        <f>IF(D11408&lt;&gt;"",IF(COUNTIF('USPTO TMs'!A:A,D11408)&gt;0,"Yes","No"),"")</f>
        <v/>
      </c>
      <c r="C11408" s="11"/>
      <c r="D11408" s="11"/>
      <c r="E11408" s="11"/>
      <c r="F11408" s="11"/>
      <c r="G11408" s="11"/>
      <c r="H11408" s="11"/>
      <c r="I11408" s="15"/>
    </row>
    <row r="11409" spans="1:9" ht="16.5">
      <c r="A11409" s="10" t="b">
        <v>0</v>
      </c>
      <c r="B11409" s="11" t="str">
        <f>IF(D11409&lt;&gt;"",IF(COUNTIF('USPTO TMs'!A:A,D11409)&gt;0,"Yes","No"),"")</f>
        <v/>
      </c>
      <c r="C11409" s="11"/>
      <c r="D11409" s="11"/>
      <c r="E11409" s="11"/>
      <c r="F11409" s="11"/>
      <c r="G11409" s="11"/>
      <c r="H11409" s="11"/>
      <c r="I11409" s="15"/>
    </row>
    <row r="11410" spans="1:9" ht="16.5">
      <c r="A11410" s="10" t="b">
        <v>0</v>
      </c>
      <c r="B11410" s="11" t="str">
        <f>IF(D11410&lt;&gt;"",IF(COUNTIF('USPTO TMs'!A:A,D11410)&gt;0,"Yes","No"),"")</f>
        <v/>
      </c>
      <c r="C11410" s="11"/>
      <c r="D11410" s="11"/>
      <c r="E11410" s="11"/>
      <c r="F11410" s="11"/>
      <c r="G11410" s="11"/>
      <c r="H11410" s="11"/>
      <c r="I11410" s="15"/>
    </row>
    <row r="11411" spans="1:9" ht="16.5">
      <c r="A11411" s="10" t="b">
        <v>0</v>
      </c>
      <c r="B11411" s="11" t="str">
        <f>IF(D11411&lt;&gt;"",IF(COUNTIF('USPTO TMs'!A:A,D11411)&gt;0,"Yes","No"),"")</f>
        <v/>
      </c>
      <c r="C11411" s="11"/>
      <c r="D11411" s="11"/>
      <c r="E11411" s="11"/>
      <c r="F11411" s="11"/>
      <c r="G11411" s="11"/>
      <c r="H11411" s="11"/>
      <c r="I11411" s="15"/>
    </row>
    <row r="11412" spans="1:9" ht="16.5">
      <c r="A11412" s="10" t="b">
        <v>0</v>
      </c>
      <c r="B11412" s="11" t="str">
        <f>IF(D11412&lt;&gt;"",IF(COUNTIF('USPTO TMs'!A:A,D11412)&gt;0,"Yes","No"),"")</f>
        <v/>
      </c>
      <c r="C11412" s="11"/>
      <c r="D11412" s="11"/>
      <c r="E11412" s="11"/>
      <c r="F11412" s="11"/>
      <c r="G11412" s="11"/>
      <c r="H11412" s="11"/>
      <c r="I11412" s="15"/>
    </row>
    <row r="11413" spans="1:9" ht="16.5">
      <c r="A11413" s="10" t="b">
        <v>0</v>
      </c>
      <c r="B11413" s="11" t="str">
        <f>IF(D11413&lt;&gt;"",IF(COUNTIF('USPTO TMs'!A:A,D11413)&gt;0,"Yes","No"),"")</f>
        <v/>
      </c>
      <c r="C11413" s="11"/>
      <c r="D11413" s="11"/>
      <c r="E11413" s="11"/>
      <c r="F11413" s="11"/>
      <c r="G11413" s="11"/>
      <c r="H11413" s="11"/>
      <c r="I11413" s="15"/>
    </row>
    <row r="11414" spans="1:9" ht="16.5">
      <c r="A11414" s="10" t="b">
        <v>0</v>
      </c>
      <c r="B11414" s="11" t="str">
        <f>IF(D11414&lt;&gt;"",IF(COUNTIF('USPTO TMs'!A:A,D11414)&gt;0,"Yes","No"),"")</f>
        <v/>
      </c>
      <c r="C11414" s="11"/>
      <c r="D11414" s="11"/>
      <c r="E11414" s="11"/>
      <c r="F11414" s="11"/>
      <c r="G11414" s="11"/>
      <c r="H11414" s="11"/>
      <c r="I11414" s="15"/>
    </row>
    <row r="11415" spans="1:9" ht="16.5">
      <c r="A11415" s="10" t="b">
        <v>0</v>
      </c>
      <c r="B11415" s="11" t="str">
        <f>IF(D11415&lt;&gt;"",IF(COUNTIF('USPTO TMs'!A:A,D11415)&gt;0,"Yes","No"),"")</f>
        <v/>
      </c>
      <c r="C11415" s="11"/>
      <c r="D11415" s="11"/>
      <c r="E11415" s="11"/>
      <c r="F11415" s="11"/>
      <c r="G11415" s="11"/>
      <c r="H11415" s="11"/>
      <c r="I11415" s="15"/>
    </row>
    <row r="11416" spans="1:9" ht="16.5">
      <c r="A11416" s="10" t="b">
        <v>0</v>
      </c>
      <c r="B11416" s="11" t="str">
        <f>IF(D11416&lt;&gt;"",IF(COUNTIF('USPTO TMs'!A:A,D11416)&gt;0,"Yes","No"),"")</f>
        <v/>
      </c>
      <c r="C11416" s="11"/>
      <c r="D11416" s="11"/>
      <c r="E11416" s="11"/>
      <c r="F11416" s="11"/>
      <c r="G11416" s="11"/>
      <c r="H11416" s="11"/>
      <c r="I11416" s="15"/>
    </row>
    <row r="11417" spans="1:9" ht="16.5">
      <c r="A11417" s="10" t="b">
        <v>0</v>
      </c>
      <c r="B11417" s="11" t="str">
        <f>IF(D11417&lt;&gt;"",IF(COUNTIF('USPTO TMs'!A:A,D11417)&gt;0,"Yes","No"),"")</f>
        <v/>
      </c>
      <c r="C11417" s="11"/>
      <c r="D11417" s="11"/>
      <c r="E11417" s="11"/>
      <c r="F11417" s="11"/>
      <c r="G11417" s="11"/>
      <c r="H11417" s="11"/>
      <c r="I11417" s="15"/>
    </row>
    <row r="11418" spans="1:9" ht="16.5">
      <c r="A11418" s="10" t="b">
        <v>0</v>
      </c>
      <c r="B11418" s="11" t="str">
        <f>IF(D11418&lt;&gt;"",IF(COUNTIF('USPTO TMs'!A:A,D11418)&gt;0,"Yes","No"),"")</f>
        <v/>
      </c>
      <c r="C11418" s="11"/>
      <c r="D11418" s="11"/>
      <c r="E11418" s="11"/>
      <c r="F11418" s="11"/>
      <c r="G11418" s="11"/>
      <c r="H11418" s="11"/>
      <c r="I11418" s="15"/>
    </row>
    <row r="11419" spans="1:9" ht="16.5">
      <c r="A11419" s="10" t="b">
        <v>0</v>
      </c>
      <c r="B11419" s="11" t="str">
        <f>IF(D11419&lt;&gt;"",IF(COUNTIF('USPTO TMs'!A:A,D11419)&gt;0,"Yes","No"),"")</f>
        <v/>
      </c>
      <c r="C11419" s="11"/>
      <c r="D11419" s="11"/>
      <c r="E11419" s="11"/>
      <c r="F11419" s="11"/>
      <c r="G11419" s="11"/>
      <c r="H11419" s="11"/>
      <c r="I11419" s="15"/>
    </row>
    <row r="11420" spans="1:9" ht="16.5">
      <c r="A11420" s="10" t="b">
        <v>0</v>
      </c>
      <c r="B11420" s="11" t="str">
        <f>IF(D11420&lt;&gt;"",IF(COUNTIF('USPTO TMs'!A:A,D11420)&gt;0,"Yes","No"),"")</f>
        <v/>
      </c>
      <c r="C11420" s="11"/>
      <c r="D11420" s="11"/>
      <c r="E11420" s="11"/>
      <c r="F11420" s="11"/>
      <c r="G11420" s="11"/>
      <c r="H11420" s="11"/>
      <c r="I11420" s="15"/>
    </row>
    <row r="11421" spans="1:9" ht="16.5">
      <c r="A11421" s="10" t="b">
        <v>0</v>
      </c>
      <c r="B11421" s="11" t="str">
        <f>IF(D11421&lt;&gt;"",IF(COUNTIF('USPTO TMs'!A:A,D11421)&gt;0,"Yes","No"),"")</f>
        <v/>
      </c>
      <c r="C11421" s="11"/>
      <c r="D11421" s="11"/>
      <c r="E11421" s="11"/>
      <c r="F11421" s="11"/>
      <c r="G11421" s="11"/>
      <c r="H11421" s="11"/>
      <c r="I11421" s="15"/>
    </row>
    <row r="11422" spans="1:9" ht="16.5">
      <c r="A11422" s="10" t="b">
        <v>0</v>
      </c>
      <c r="B11422" s="11" t="str">
        <f>IF(D11422&lt;&gt;"",IF(COUNTIF('USPTO TMs'!A:A,D11422)&gt;0,"Yes","No"),"")</f>
        <v/>
      </c>
      <c r="C11422" s="11"/>
      <c r="D11422" s="11"/>
      <c r="E11422" s="11"/>
      <c r="F11422" s="11"/>
      <c r="G11422" s="11"/>
      <c r="H11422" s="11"/>
      <c r="I11422" s="15"/>
    </row>
    <row r="11423" spans="1:9" ht="16.5">
      <c r="A11423" s="10" t="b">
        <v>0</v>
      </c>
      <c r="B11423" s="11" t="str">
        <f>IF(D11423&lt;&gt;"",IF(COUNTIF('USPTO TMs'!A:A,D11423)&gt;0,"Yes","No"),"")</f>
        <v/>
      </c>
      <c r="C11423" s="11"/>
      <c r="D11423" s="11"/>
      <c r="E11423" s="11"/>
      <c r="F11423" s="11"/>
      <c r="G11423" s="11"/>
      <c r="H11423" s="11"/>
      <c r="I11423" s="15"/>
    </row>
    <row r="11424" spans="1:9" ht="16.5">
      <c r="A11424" s="10" t="b">
        <v>0</v>
      </c>
      <c r="B11424" s="11" t="str">
        <f>IF(D11424&lt;&gt;"",IF(COUNTIF('USPTO TMs'!A:A,D11424)&gt;0,"Yes","No"),"")</f>
        <v/>
      </c>
      <c r="C11424" s="11"/>
      <c r="D11424" s="11"/>
      <c r="E11424" s="11"/>
      <c r="F11424" s="11"/>
      <c r="G11424" s="11"/>
      <c r="H11424" s="11"/>
      <c r="I11424" s="15"/>
    </row>
    <row r="11425" spans="1:9" ht="16.5">
      <c r="A11425" s="10" t="b">
        <v>0</v>
      </c>
      <c r="B11425" s="11" t="str">
        <f>IF(D11425&lt;&gt;"",IF(COUNTIF('USPTO TMs'!A:A,D11425)&gt;0,"Yes","No"),"")</f>
        <v/>
      </c>
      <c r="C11425" s="11"/>
      <c r="D11425" s="11"/>
      <c r="E11425" s="11"/>
      <c r="F11425" s="11"/>
      <c r="G11425" s="11"/>
      <c r="H11425" s="11"/>
      <c r="I11425" s="15"/>
    </row>
    <row r="11426" spans="1:9" ht="16.5">
      <c r="A11426" s="10" t="b">
        <v>0</v>
      </c>
      <c r="B11426" s="11" t="str">
        <f>IF(D11426&lt;&gt;"",IF(COUNTIF('USPTO TMs'!A:A,D11426)&gt;0,"Yes","No"),"")</f>
        <v/>
      </c>
      <c r="C11426" s="11"/>
      <c r="D11426" s="11"/>
      <c r="E11426" s="11"/>
      <c r="F11426" s="11"/>
      <c r="G11426" s="11"/>
      <c r="H11426" s="11"/>
      <c r="I11426" s="15"/>
    </row>
    <row r="11427" spans="1:9" ht="16.5">
      <c r="A11427" s="10" t="b">
        <v>0</v>
      </c>
      <c r="B11427" s="11" t="str">
        <f>IF(D11427&lt;&gt;"",IF(COUNTIF('USPTO TMs'!A:A,D11427)&gt;0,"Yes","No"),"")</f>
        <v/>
      </c>
      <c r="C11427" s="11"/>
      <c r="D11427" s="11"/>
      <c r="E11427" s="11"/>
      <c r="F11427" s="11"/>
      <c r="G11427" s="11"/>
      <c r="H11427" s="11"/>
      <c r="I11427" s="15"/>
    </row>
    <row r="11428" spans="1:9" ht="16.5">
      <c r="A11428" s="10" t="b">
        <v>0</v>
      </c>
      <c r="B11428" s="11" t="str">
        <f>IF(D11428&lt;&gt;"",IF(COUNTIF('USPTO TMs'!A:A,D11428)&gt;0,"Yes","No"),"")</f>
        <v/>
      </c>
      <c r="C11428" s="11"/>
      <c r="D11428" s="11"/>
      <c r="E11428" s="11"/>
      <c r="F11428" s="11"/>
      <c r="G11428" s="11"/>
      <c r="H11428" s="11"/>
      <c r="I11428" s="15"/>
    </row>
    <row r="11429" spans="1:9" ht="16.5">
      <c r="A11429" s="10" t="b">
        <v>0</v>
      </c>
      <c r="B11429" s="11" t="str">
        <f>IF(D11429&lt;&gt;"",IF(COUNTIF('USPTO TMs'!A:A,D11429)&gt;0,"Yes","No"),"")</f>
        <v/>
      </c>
      <c r="C11429" s="11"/>
      <c r="D11429" s="11"/>
      <c r="E11429" s="11"/>
      <c r="F11429" s="11"/>
      <c r="G11429" s="11"/>
      <c r="H11429" s="11"/>
      <c r="I11429" s="15"/>
    </row>
    <row r="11430" spans="1:9" ht="16.5">
      <c r="A11430" s="10" t="b">
        <v>0</v>
      </c>
      <c r="B11430" s="11" t="str">
        <f>IF(D11430&lt;&gt;"",IF(COUNTIF('USPTO TMs'!A:A,D11430)&gt;0,"Yes","No"),"")</f>
        <v/>
      </c>
      <c r="C11430" s="11"/>
      <c r="D11430" s="11"/>
      <c r="E11430" s="11"/>
      <c r="F11430" s="11"/>
      <c r="G11430" s="11"/>
      <c r="H11430" s="11"/>
      <c r="I11430" s="15"/>
    </row>
    <row r="11431" spans="1:9" ht="16.5">
      <c r="A11431" s="10" t="b">
        <v>0</v>
      </c>
      <c r="B11431" s="11" t="str">
        <f>IF(D11431&lt;&gt;"",IF(COUNTIF('USPTO TMs'!A:A,D11431)&gt;0,"Yes","No"),"")</f>
        <v/>
      </c>
      <c r="C11431" s="11"/>
      <c r="D11431" s="11"/>
      <c r="E11431" s="11"/>
      <c r="F11431" s="11"/>
      <c r="G11431" s="11"/>
      <c r="H11431" s="11"/>
      <c r="I11431" s="15"/>
    </row>
    <row r="11432" spans="1:9" ht="16.5">
      <c r="A11432" s="10" t="b">
        <v>0</v>
      </c>
      <c r="B11432" s="11" t="str">
        <f>IF(D11432&lt;&gt;"",IF(COUNTIF('USPTO TMs'!A:A,D11432)&gt;0,"Yes","No"),"")</f>
        <v/>
      </c>
      <c r="C11432" s="11"/>
      <c r="D11432" s="11"/>
      <c r="E11432" s="11"/>
      <c r="F11432" s="11"/>
      <c r="G11432" s="11"/>
      <c r="H11432" s="11"/>
      <c r="I11432" s="15"/>
    </row>
    <row r="11433" spans="1:9" ht="16.5">
      <c r="A11433" s="10" t="b">
        <v>0</v>
      </c>
      <c r="B11433" s="11" t="str">
        <f>IF(D11433&lt;&gt;"",IF(COUNTIF('USPTO TMs'!A:A,D11433)&gt;0,"Yes","No"),"")</f>
        <v/>
      </c>
      <c r="C11433" s="11"/>
      <c r="D11433" s="11"/>
      <c r="E11433" s="11"/>
      <c r="F11433" s="11"/>
      <c r="G11433" s="11"/>
      <c r="H11433" s="11"/>
      <c r="I11433" s="15"/>
    </row>
    <row r="11434" spans="1:9" ht="16.5">
      <c r="A11434" s="10" t="b">
        <v>0</v>
      </c>
      <c r="B11434" s="11" t="str">
        <f>IF(D11434&lt;&gt;"",IF(COUNTIF('USPTO TMs'!A:A,D11434)&gt;0,"Yes","No"),"")</f>
        <v/>
      </c>
      <c r="C11434" s="11"/>
      <c r="D11434" s="11"/>
      <c r="E11434" s="11"/>
      <c r="F11434" s="11"/>
      <c r="G11434" s="11"/>
      <c r="H11434" s="11"/>
      <c r="I11434" s="15"/>
    </row>
    <row r="11435" spans="1:9" ht="16.5">
      <c r="A11435" s="10" t="b">
        <v>0</v>
      </c>
      <c r="B11435" s="11" t="str">
        <f>IF(D11435&lt;&gt;"",IF(COUNTIF('USPTO TMs'!A:A,D11435)&gt;0,"Yes","No"),"")</f>
        <v/>
      </c>
      <c r="C11435" s="11"/>
      <c r="D11435" s="11"/>
      <c r="E11435" s="11"/>
      <c r="F11435" s="11"/>
      <c r="G11435" s="11"/>
      <c r="H11435" s="11"/>
      <c r="I11435" s="15"/>
    </row>
    <row r="11436" spans="1:9" ht="16.5">
      <c r="A11436" s="10" t="b">
        <v>0</v>
      </c>
      <c r="B11436" s="11" t="str">
        <f>IF(D11436&lt;&gt;"",IF(COUNTIF('USPTO TMs'!A:A,D11436)&gt;0,"Yes","No"),"")</f>
        <v/>
      </c>
      <c r="C11436" s="11"/>
      <c r="D11436" s="11"/>
      <c r="E11436" s="11"/>
      <c r="F11436" s="11"/>
      <c r="G11436" s="11"/>
      <c r="H11436" s="11"/>
      <c r="I11436" s="15"/>
    </row>
    <row r="11437" spans="1:9" ht="16.5">
      <c r="A11437" s="10" t="b">
        <v>0</v>
      </c>
      <c r="B11437" s="11" t="str">
        <f>IF(D11437&lt;&gt;"",IF(COUNTIF('USPTO TMs'!A:A,D11437)&gt;0,"Yes","No"),"")</f>
        <v/>
      </c>
      <c r="C11437" s="11"/>
      <c r="D11437" s="11"/>
      <c r="E11437" s="11"/>
      <c r="F11437" s="11"/>
      <c r="G11437" s="11"/>
      <c r="H11437" s="11"/>
      <c r="I11437" s="15"/>
    </row>
    <row r="11438" spans="1:9" ht="16.5">
      <c r="A11438" s="10" t="b">
        <v>0</v>
      </c>
      <c r="B11438" s="11" t="str">
        <f>IF(D11438&lt;&gt;"",IF(COUNTIF('USPTO TMs'!A:A,D11438)&gt;0,"Yes","No"),"")</f>
        <v/>
      </c>
      <c r="C11438" s="11"/>
      <c r="D11438" s="11"/>
      <c r="E11438" s="11"/>
      <c r="F11438" s="11"/>
      <c r="G11438" s="11"/>
      <c r="H11438" s="11"/>
      <c r="I11438" s="15"/>
    </row>
    <row r="11439" spans="1:9" ht="16.5">
      <c r="A11439" s="10" t="b">
        <v>0</v>
      </c>
      <c r="B11439" s="11" t="str">
        <f>IF(D11439&lt;&gt;"",IF(COUNTIF('USPTO TMs'!A:A,D11439)&gt;0,"Yes","No"),"")</f>
        <v/>
      </c>
      <c r="C11439" s="11"/>
      <c r="D11439" s="11"/>
      <c r="E11439" s="11"/>
      <c r="F11439" s="11"/>
      <c r="G11439" s="11"/>
      <c r="H11439" s="11"/>
      <c r="I11439" s="15"/>
    </row>
    <row r="11440" spans="1:9" ht="16.5">
      <c r="A11440" s="10" t="b">
        <v>0</v>
      </c>
      <c r="B11440" s="11" t="str">
        <f>IF(D11440&lt;&gt;"",IF(COUNTIF('USPTO TMs'!A:A,D11440)&gt;0,"Yes","No"),"")</f>
        <v/>
      </c>
      <c r="C11440" s="11"/>
      <c r="D11440" s="11"/>
      <c r="E11440" s="11"/>
      <c r="F11440" s="11"/>
      <c r="G11440" s="11"/>
      <c r="H11440" s="11"/>
      <c r="I11440" s="15"/>
    </row>
    <row r="11441" spans="1:9" ht="16.5">
      <c r="A11441" s="10" t="b">
        <v>0</v>
      </c>
      <c r="B11441" s="11" t="str">
        <f>IF(D11441&lt;&gt;"",IF(COUNTIF('USPTO TMs'!A:A,D11441)&gt;0,"Yes","No"),"")</f>
        <v/>
      </c>
      <c r="C11441" s="11"/>
      <c r="D11441" s="11"/>
      <c r="E11441" s="11"/>
      <c r="F11441" s="11"/>
      <c r="G11441" s="11"/>
      <c r="H11441" s="11"/>
      <c r="I11441" s="15"/>
    </row>
    <row r="11442" spans="1:9" ht="16.5">
      <c r="A11442" s="10" t="b">
        <v>0</v>
      </c>
      <c r="B11442" s="11" t="str">
        <f>IF(D11442&lt;&gt;"",IF(COUNTIF('USPTO TMs'!A:A,D11442)&gt;0,"Yes","No"),"")</f>
        <v/>
      </c>
      <c r="C11442" s="11"/>
      <c r="D11442" s="11"/>
      <c r="E11442" s="11"/>
      <c r="F11442" s="11"/>
      <c r="G11442" s="11"/>
      <c r="H11442" s="11"/>
      <c r="I11442" s="15"/>
    </row>
    <row r="11443" spans="1:9" ht="16.5">
      <c r="A11443" s="10" t="b">
        <v>0</v>
      </c>
      <c r="B11443" s="11" t="str">
        <f>IF(D11443&lt;&gt;"",IF(COUNTIF('USPTO TMs'!A:A,D11443)&gt;0,"Yes","No"),"")</f>
        <v/>
      </c>
      <c r="C11443" s="11"/>
      <c r="D11443" s="11"/>
      <c r="E11443" s="11"/>
      <c r="F11443" s="11"/>
      <c r="G11443" s="11"/>
      <c r="H11443" s="11"/>
      <c r="I11443" s="15"/>
    </row>
    <row r="11444" spans="1:9" ht="16.5">
      <c r="A11444" s="10" t="b">
        <v>0</v>
      </c>
      <c r="B11444" s="11" t="str">
        <f>IF(D11444&lt;&gt;"",IF(COUNTIF('USPTO TMs'!A:A,D11444)&gt;0,"Yes","No"),"")</f>
        <v/>
      </c>
      <c r="C11444" s="11"/>
      <c r="D11444" s="11"/>
      <c r="E11444" s="11"/>
      <c r="F11444" s="11"/>
      <c r="G11444" s="11"/>
      <c r="H11444" s="11"/>
      <c r="I11444" s="15"/>
    </row>
    <row r="11445" spans="1:9" ht="16.5">
      <c r="A11445" s="10" t="b">
        <v>0</v>
      </c>
      <c r="B11445" s="11" t="str">
        <f>IF(D11445&lt;&gt;"",IF(COUNTIF('USPTO TMs'!A:A,D11445)&gt;0,"Yes","No"),"")</f>
        <v/>
      </c>
      <c r="C11445" s="11"/>
      <c r="D11445" s="11"/>
      <c r="E11445" s="11"/>
      <c r="F11445" s="11"/>
      <c r="G11445" s="11"/>
      <c r="H11445" s="11"/>
      <c r="I11445" s="15"/>
    </row>
    <row r="11446" spans="1:9" ht="16.5">
      <c r="A11446" s="10" t="b">
        <v>0</v>
      </c>
      <c r="B11446" s="11" t="str">
        <f>IF(D11446&lt;&gt;"",IF(COUNTIF('USPTO TMs'!A:A,D11446)&gt;0,"Yes","No"),"")</f>
        <v/>
      </c>
      <c r="C11446" s="11"/>
      <c r="D11446" s="11"/>
      <c r="E11446" s="11"/>
      <c r="F11446" s="11"/>
      <c r="G11446" s="11"/>
      <c r="H11446" s="11"/>
      <c r="I11446" s="15"/>
    </row>
    <row r="11447" spans="1:9" ht="16.5">
      <c r="A11447" s="10" t="b">
        <v>0</v>
      </c>
      <c r="B11447" s="11" t="str">
        <f>IF(D11447&lt;&gt;"",IF(COUNTIF('USPTO TMs'!A:A,D11447)&gt;0,"Yes","No"),"")</f>
        <v/>
      </c>
      <c r="C11447" s="11"/>
      <c r="D11447" s="11"/>
      <c r="E11447" s="11"/>
      <c r="F11447" s="11"/>
      <c r="G11447" s="11"/>
      <c r="H11447" s="11"/>
      <c r="I11447" s="15"/>
    </row>
    <row r="11448" spans="1:9" ht="16.5">
      <c r="A11448" s="10" t="b">
        <v>0</v>
      </c>
      <c r="B11448" s="11" t="str">
        <f>IF(D11448&lt;&gt;"",IF(COUNTIF('USPTO TMs'!A:A,D11448)&gt;0,"Yes","No"),"")</f>
        <v/>
      </c>
      <c r="C11448" s="11"/>
      <c r="D11448" s="11"/>
      <c r="E11448" s="11"/>
      <c r="F11448" s="11"/>
      <c r="G11448" s="11"/>
      <c r="H11448" s="11"/>
      <c r="I11448" s="15"/>
    </row>
    <row r="11449" spans="1:9" ht="16.5">
      <c r="A11449" s="10" t="b">
        <v>0</v>
      </c>
      <c r="B11449" s="11" t="str">
        <f>IF(D11449&lt;&gt;"",IF(COUNTIF('USPTO TMs'!A:A,D11449)&gt;0,"Yes","No"),"")</f>
        <v/>
      </c>
      <c r="C11449" s="11"/>
      <c r="D11449" s="11"/>
      <c r="E11449" s="11"/>
      <c r="F11449" s="11"/>
      <c r="G11449" s="11"/>
      <c r="H11449" s="11"/>
      <c r="I11449" s="15"/>
    </row>
    <row r="11450" spans="1:9" ht="16.5">
      <c r="A11450" s="10" t="b">
        <v>0</v>
      </c>
      <c r="B11450" s="11" t="str">
        <f>IF(D11450&lt;&gt;"",IF(COUNTIF('USPTO TMs'!A:A,D11450)&gt;0,"Yes","No"),"")</f>
        <v/>
      </c>
      <c r="C11450" s="11"/>
      <c r="D11450" s="11"/>
      <c r="E11450" s="11"/>
      <c r="F11450" s="11"/>
      <c r="G11450" s="11"/>
      <c r="H11450" s="11"/>
      <c r="I11450" s="15"/>
    </row>
    <row r="11451" spans="1:9" ht="16.5">
      <c r="A11451" s="10" t="b">
        <v>0</v>
      </c>
      <c r="B11451" s="11" t="str">
        <f>IF(D11451&lt;&gt;"",IF(COUNTIF('USPTO TMs'!A:A,D11451)&gt;0,"Yes","No"),"")</f>
        <v/>
      </c>
      <c r="C11451" s="11"/>
      <c r="D11451" s="11"/>
      <c r="E11451" s="11"/>
      <c r="F11451" s="11"/>
      <c r="G11451" s="11"/>
      <c r="H11451" s="11"/>
      <c r="I11451" s="15"/>
    </row>
    <row r="11452" spans="1:9" ht="16.5">
      <c r="A11452" s="10" t="b">
        <v>0</v>
      </c>
      <c r="B11452" s="11" t="str">
        <f>IF(D11452&lt;&gt;"",IF(COUNTIF('USPTO TMs'!A:A,D11452)&gt;0,"Yes","No"),"")</f>
        <v/>
      </c>
      <c r="C11452" s="11"/>
      <c r="D11452" s="11"/>
      <c r="E11452" s="11"/>
      <c r="F11452" s="11"/>
      <c r="G11452" s="11"/>
      <c r="H11452" s="11"/>
      <c r="I11452" s="15"/>
    </row>
    <row r="11453" spans="1:9" ht="16.5">
      <c r="A11453" s="10" t="b">
        <v>0</v>
      </c>
      <c r="B11453" s="11" t="str">
        <f>IF(D11453&lt;&gt;"",IF(COUNTIF('USPTO TMs'!A:A,D11453)&gt;0,"Yes","No"),"")</f>
        <v/>
      </c>
      <c r="C11453" s="11"/>
      <c r="D11453" s="11"/>
      <c r="E11453" s="11"/>
      <c r="F11453" s="11"/>
      <c r="G11453" s="11"/>
      <c r="H11453" s="11"/>
      <c r="I11453" s="15"/>
    </row>
    <row r="11454" spans="1:9" ht="16.5">
      <c r="A11454" s="10" t="b">
        <v>0</v>
      </c>
      <c r="B11454" s="11" t="str">
        <f>IF(D11454&lt;&gt;"",IF(COUNTIF('USPTO TMs'!A:A,D11454)&gt;0,"Yes","No"),"")</f>
        <v/>
      </c>
      <c r="C11454" s="11"/>
      <c r="D11454" s="11"/>
      <c r="E11454" s="11"/>
      <c r="F11454" s="11"/>
      <c r="G11454" s="11"/>
      <c r="H11454" s="11"/>
      <c r="I11454" s="15"/>
    </row>
    <row r="11455" spans="1:9" ht="16.5">
      <c r="A11455" s="10" t="b">
        <v>0</v>
      </c>
      <c r="B11455" s="11" t="str">
        <f>IF(D11455&lt;&gt;"",IF(COUNTIF('USPTO TMs'!A:A,D11455)&gt;0,"Yes","No"),"")</f>
        <v/>
      </c>
      <c r="C11455" s="11"/>
      <c r="D11455" s="11"/>
      <c r="E11455" s="11"/>
      <c r="F11455" s="11"/>
      <c r="G11455" s="11"/>
      <c r="H11455" s="11"/>
      <c r="I11455" s="15"/>
    </row>
    <row r="11456" spans="1:9" ht="16.5">
      <c r="A11456" s="10" t="b">
        <v>0</v>
      </c>
      <c r="B11456" s="11" t="str">
        <f>IF(D11456&lt;&gt;"",IF(COUNTIF('USPTO TMs'!A:A,D11456)&gt;0,"Yes","No"),"")</f>
        <v/>
      </c>
      <c r="C11456" s="11"/>
      <c r="D11456" s="11"/>
      <c r="E11456" s="11"/>
      <c r="F11456" s="11"/>
      <c r="G11456" s="11"/>
      <c r="H11456" s="11"/>
      <c r="I11456" s="15"/>
    </row>
    <row r="11457" spans="1:9" ht="16.5">
      <c r="A11457" s="10" t="b">
        <v>0</v>
      </c>
      <c r="B11457" s="11" t="str">
        <f>IF(D11457&lt;&gt;"",IF(COUNTIF('USPTO TMs'!A:A,D11457)&gt;0,"Yes","No"),"")</f>
        <v/>
      </c>
      <c r="C11457" s="11"/>
      <c r="D11457" s="11"/>
      <c r="E11457" s="11"/>
      <c r="F11457" s="11"/>
      <c r="G11457" s="11"/>
      <c r="H11457" s="11"/>
      <c r="I11457" s="15"/>
    </row>
    <row r="11458" spans="1:9" ht="16.5">
      <c r="A11458" s="10" t="b">
        <v>0</v>
      </c>
      <c r="B11458" s="11" t="str">
        <f>IF(D11458&lt;&gt;"",IF(COUNTIF('USPTO TMs'!A:A,D11458)&gt;0,"Yes","No"),"")</f>
        <v/>
      </c>
      <c r="C11458" s="11"/>
      <c r="D11458" s="11"/>
      <c r="E11458" s="11"/>
      <c r="F11458" s="11"/>
      <c r="G11458" s="11"/>
      <c r="H11458" s="11"/>
      <c r="I11458" s="15"/>
    </row>
    <row r="11459" spans="1:9" ht="16.5">
      <c r="A11459" s="10" t="b">
        <v>0</v>
      </c>
      <c r="B11459" s="11" t="str">
        <f>IF(D11459&lt;&gt;"",IF(COUNTIF('USPTO TMs'!A:A,D11459)&gt;0,"Yes","No"),"")</f>
        <v/>
      </c>
      <c r="C11459" s="11"/>
      <c r="D11459" s="11"/>
      <c r="E11459" s="11"/>
      <c r="F11459" s="11"/>
      <c r="G11459" s="11"/>
      <c r="H11459" s="11"/>
      <c r="I11459" s="15"/>
    </row>
    <row r="11460" spans="1:9" ht="16.5">
      <c r="A11460" s="10" t="b">
        <v>0</v>
      </c>
      <c r="B11460" s="11" t="str">
        <f>IF(D11460&lt;&gt;"",IF(COUNTIF('USPTO TMs'!A:A,D11460)&gt;0,"Yes","No"),"")</f>
        <v/>
      </c>
      <c r="C11460" s="11"/>
      <c r="D11460" s="11"/>
      <c r="E11460" s="11"/>
      <c r="F11460" s="11"/>
      <c r="G11460" s="11"/>
      <c r="H11460" s="11"/>
      <c r="I11460" s="15"/>
    </row>
    <row r="11461" spans="1:9" ht="16.5">
      <c r="A11461" s="10" t="b">
        <v>0</v>
      </c>
      <c r="B11461" s="11" t="str">
        <f>IF(D11461&lt;&gt;"",IF(COUNTIF('USPTO TMs'!A:A,D11461)&gt;0,"Yes","No"),"")</f>
        <v/>
      </c>
      <c r="C11461" s="11"/>
      <c r="D11461" s="11"/>
      <c r="E11461" s="11"/>
      <c r="F11461" s="11"/>
      <c r="G11461" s="11"/>
      <c r="H11461" s="11"/>
      <c r="I11461" s="15"/>
    </row>
    <row r="11462" spans="1:9" ht="16.5">
      <c r="A11462" s="10" t="b">
        <v>0</v>
      </c>
      <c r="B11462" s="11" t="str">
        <f>IF(D11462&lt;&gt;"",IF(COUNTIF('USPTO TMs'!A:A,D11462)&gt;0,"Yes","No"),"")</f>
        <v/>
      </c>
      <c r="C11462" s="11"/>
      <c r="D11462" s="11"/>
      <c r="E11462" s="11"/>
      <c r="F11462" s="11"/>
      <c r="G11462" s="11"/>
      <c r="H11462" s="11"/>
      <c r="I11462" s="15"/>
    </row>
    <row r="11463" spans="1:9" ht="16.5">
      <c r="A11463" s="10" t="b">
        <v>0</v>
      </c>
      <c r="B11463" s="11" t="str">
        <f>IF(D11463&lt;&gt;"",IF(COUNTIF('USPTO TMs'!A:A,D11463)&gt;0,"Yes","No"),"")</f>
        <v/>
      </c>
      <c r="C11463" s="11"/>
      <c r="D11463" s="11"/>
      <c r="E11463" s="11"/>
      <c r="F11463" s="11"/>
      <c r="G11463" s="11"/>
      <c r="H11463" s="11"/>
      <c r="I11463" s="15"/>
    </row>
    <row r="11464" spans="1:9" ht="16.5">
      <c r="A11464" s="10" t="b">
        <v>0</v>
      </c>
      <c r="B11464" s="11" t="str">
        <f>IF(D11464&lt;&gt;"",IF(COUNTIF('USPTO TMs'!A:A,D11464)&gt;0,"Yes","No"),"")</f>
        <v/>
      </c>
      <c r="C11464" s="11"/>
      <c r="D11464" s="11"/>
      <c r="E11464" s="11"/>
      <c r="F11464" s="11"/>
      <c r="G11464" s="11"/>
      <c r="H11464" s="11"/>
      <c r="I11464" s="15"/>
    </row>
    <row r="11465" spans="1:9" ht="16.5">
      <c r="A11465" s="10" t="b">
        <v>0</v>
      </c>
      <c r="B11465" s="11" t="str">
        <f>IF(D11465&lt;&gt;"",IF(COUNTIF('USPTO TMs'!A:A,D11465)&gt;0,"Yes","No"),"")</f>
        <v/>
      </c>
      <c r="C11465" s="11"/>
      <c r="D11465" s="11"/>
      <c r="E11465" s="11"/>
      <c r="F11465" s="11"/>
      <c r="G11465" s="11"/>
      <c r="H11465" s="11"/>
      <c r="I11465" s="15"/>
    </row>
    <row r="11466" spans="1:9" ht="16.5">
      <c r="A11466" s="10" t="b">
        <v>0</v>
      </c>
      <c r="B11466" s="11" t="str">
        <f>IF(D11466&lt;&gt;"",IF(COUNTIF('USPTO TMs'!A:A,D11466)&gt;0,"Yes","No"),"")</f>
        <v/>
      </c>
      <c r="C11466" s="11"/>
      <c r="D11466" s="11"/>
      <c r="E11466" s="11"/>
      <c r="F11466" s="11"/>
      <c r="G11466" s="11"/>
      <c r="H11466" s="11"/>
      <c r="I11466" s="15"/>
    </row>
    <row r="11467" spans="1:9" ht="16.5">
      <c r="A11467" s="10" t="b">
        <v>0</v>
      </c>
      <c r="B11467" s="11" t="str">
        <f>IF(D11467&lt;&gt;"",IF(COUNTIF('USPTO TMs'!A:A,D11467)&gt;0,"Yes","No"),"")</f>
        <v/>
      </c>
      <c r="C11467" s="11"/>
      <c r="D11467" s="11"/>
      <c r="E11467" s="11"/>
      <c r="F11467" s="11"/>
      <c r="G11467" s="11"/>
      <c r="H11467" s="11"/>
      <c r="I11467" s="15"/>
    </row>
    <row r="11468" spans="1:9" ht="16.5">
      <c r="A11468" s="10" t="b">
        <v>0</v>
      </c>
      <c r="B11468" s="11" t="str">
        <f>IF(D11468&lt;&gt;"",IF(COUNTIF('USPTO TMs'!A:A,D11468)&gt;0,"Yes","No"),"")</f>
        <v/>
      </c>
      <c r="C11468" s="11"/>
      <c r="D11468" s="11"/>
      <c r="E11468" s="11"/>
      <c r="F11468" s="11"/>
      <c r="G11468" s="11"/>
      <c r="H11468" s="11"/>
      <c r="I11468" s="15"/>
    </row>
    <row r="11469" spans="1:9" ht="16.5">
      <c r="A11469" s="10" t="b">
        <v>0</v>
      </c>
      <c r="B11469" s="11" t="str">
        <f>IF(D11469&lt;&gt;"",IF(COUNTIF('USPTO TMs'!A:A,D11469)&gt;0,"Yes","No"),"")</f>
        <v/>
      </c>
      <c r="C11469" s="11"/>
      <c r="D11469" s="11"/>
      <c r="E11469" s="11"/>
      <c r="F11469" s="11"/>
      <c r="G11469" s="11"/>
      <c r="H11469" s="11"/>
      <c r="I11469" s="15"/>
    </row>
    <row r="11470" spans="1:9" ht="16.5">
      <c r="A11470" s="10" t="b">
        <v>0</v>
      </c>
      <c r="B11470" s="11" t="str">
        <f>IF(D11470&lt;&gt;"",IF(COUNTIF('USPTO TMs'!A:A,D11470)&gt;0,"Yes","No"),"")</f>
        <v/>
      </c>
      <c r="C11470" s="11"/>
      <c r="D11470" s="11"/>
      <c r="E11470" s="11"/>
      <c r="F11470" s="11"/>
      <c r="G11470" s="11"/>
      <c r="H11470" s="11"/>
      <c r="I11470" s="15"/>
    </row>
    <row r="11471" spans="1:9" ht="16.5">
      <c r="A11471" s="10" t="b">
        <v>0</v>
      </c>
      <c r="B11471" s="11" t="str">
        <f>IF(D11471&lt;&gt;"",IF(COUNTIF('USPTO TMs'!A:A,D11471)&gt;0,"Yes","No"),"")</f>
        <v/>
      </c>
      <c r="C11471" s="11"/>
      <c r="D11471" s="11"/>
      <c r="E11471" s="11"/>
      <c r="F11471" s="11"/>
      <c r="G11471" s="11"/>
      <c r="H11471" s="11"/>
      <c r="I11471" s="15"/>
    </row>
    <row r="11472" spans="1:9" ht="16.5">
      <c r="A11472" s="10" t="b">
        <v>0</v>
      </c>
      <c r="B11472" s="11" t="str">
        <f>IF(D11472&lt;&gt;"",IF(COUNTIF('USPTO TMs'!A:A,D11472)&gt;0,"Yes","No"),"")</f>
        <v/>
      </c>
      <c r="C11472" s="11"/>
      <c r="D11472" s="11"/>
      <c r="E11472" s="11"/>
      <c r="F11472" s="11"/>
      <c r="G11472" s="11"/>
      <c r="H11472" s="11"/>
      <c r="I11472" s="15"/>
    </row>
    <row r="11473" spans="1:9" ht="16.5">
      <c r="A11473" s="10" t="b">
        <v>0</v>
      </c>
      <c r="B11473" s="11" t="str">
        <f>IF(D11473&lt;&gt;"",IF(COUNTIF('USPTO TMs'!A:A,D11473)&gt;0,"Yes","No"),"")</f>
        <v/>
      </c>
      <c r="C11473" s="11"/>
      <c r="D11473" s="11"/>
      <c r="E11473" s="11"/>
      <c r="F11473" s="11"/>
      <c r="G11473" s="11"/>
      <c r="H11473" s="11"/>
      <c r="I11473" s="15"/>
    </row>
    <row r="11474" spans="1:9" ht="16.5">
      <c r="A11474" s="10" t="b">
        <v>0</v>
      </c>
      <c r="B11474" s="11" t="str">
        <f>IF(D11474&lt;&gt;"",IF(COUNTIF('USPTO TMs'!A:A,D11474)&gt;0,"Yes","No"),"")</f>
        <v/>
      </c>
      <c r="C11474" s="11"/>
      <c r="D11474" s="11"/>
      <c r="E11474" s="11"/>
      <c r="F11474" s="11"/>
      <c r="G11474" s="11"/>
      <c r="H11474" s="11"/>
      <c r="I11474" s="15"/>
    </row>
    <row r="11475" spans="1:9" ht="16.5">
      <c r="A11475" s="10" t="b">
        <v>0</v>
      </c>
      <c r="B11475" s="11" t="str">
        <f>IF(D11475&lt;&gt;"",IF(COUNTIF('USPTO TMs'!A:A,D11475)&gt;0,"Yes","No"),"")</f>
        <v/>
      </c>
      <c r="C11475" s="11"/>
      <c r="D11475" s="11"/>
      <c r="E11475" s="11"/>
      <c r="F11475" s="11"/>
      <c r="G11475" s="11"/>
      <c r="H11475" s="11"/>
      <c r="I11475" s="15"/>
    </row>
    <row r="11476" spans="1:9" ht="16.5">
      <c r="A11476" s="10" t="b">
        <v>0</v>
      </c>
      <c r="B11476" s="11" t="str">
        <f>IF(D11476&lt;&gt;"",IF(COUNTIF('USPTO TMs'!A:A,D11476)&gt;0,"Yes","No"),"")</f>
        <v/>
      </c>
      <c r="C11476" s="11"/>
      <c r="D11476" s="11"/>
      <c r="E11476" s="11"/>
      <c r="F11476" s="11"/>
      <c r="G11476" s="11"/>
      <c r="H11476" s="11"/>
      <c r="I11476" s="15"/>
    </row>
    <row r="11477" spans="1:9" ht="16.5">
      <c r="A11477" s="10" t="b">
        <v>0</v>
      </c>
      <c r="B11477" s="11" t="str">
        <f>IF(D11477&lt;&gt;"",IF(COUNTIF('USPTO TMs'!A:A,D11477)&gt;0,"Yes","No"),"")</f>
        <v/>
      </c>
      <c r="C11477" s="11"/>
      <c r="D11477" s="11"/>
      <c r="E11477" s="11"/>
      <c r="F11477" s="11"/>
      <c r="G11477" s="11"/>
      <c r="H11477" s="11"/>
      <c r="I11477" s="15"/>
    </row>
    <row r="11478" spans="1:9" ht="16.5">
      <c r="A11478" s="10" t="b">
        <v>0</v>
      </c>
      <c r="B11478" s="11" t="str">
        <f>IF(D11478&lt;&gt;"",IF(COUNTIF('USPTO TMs'!A:A,D11478)&gt;0,"Yes","No"),"")</f>
        <v/>
      </c>
      <c r="C11478" s="11"/>
      <c r="D11478" s="11"/>
      <c r="E11478" s="11"/>
      <c r="F11478" s="11"/>
      <c r="G11478" s="11"/>
      <c r="H11478" s="11"/>
      <c r="I11478" s="15"/>
    </row>
    <row r="11479" spans="1:9" ht="16.5">
      <c r="A11479" s="10" t="b">
        <v>0</v>
      </c>
      <c r="B11479" s="11" t="str">
        <f>IF(D11479&lt;&gt;"",IF(COUNTIF('USPTO TMs'!A:A,D11479)&gt;0,"Yes","No"),"")</f>
        <v/>
      </c>
      <c r="C11479" s="11"/>
      <c r="D11479" s="11"/>
      <c r="E11479" s="11"/>
      <c r="F11479" s="11"/>
      <c r="G11479" s="11"/>
      <c r="H11479" s="11"/>
      <c r="I11479" s="15"/>
    </row>
    <row r="11480" spans="1:9" ht="16.5">
      <c r="A11480" s="10" t="b">
        <v>0</v>
      </c>
      <c r="B11480" s="11" t="str">
        <f>IF(D11480&lt;&gt;"",IF(COUNTIF('USPTO TMs'!A:A,D11480)&gt;0,"Yes","No"),"")</f>
        <v/>
      </c>
      <c r="C11480" s="11"/>
      <c r="D11480" s="11"/>
      <c r="E11480" s="11"/>
      <c r="F11480" s="11"/>
      <c r="G11480" s="11"/>
      <c r="H11480" s="11"/>
      <c r="I11480" s="15"/>
    </row>
    <row r="11481" spans="1:9" ht="16.5">
      <c r="A11481" s="10" t="b">
        <v>0</v>
      </c>
      <c r="B11481" s="11" t="str">
        <f>IF(D11481&lt;&gt;"",IF(COUNTIF('USPTO TMs'!A:A,D11481)&gt;0,"Yes","No"),"")</f>
        <v/>
      </c>
      <c r="C11481" s="11"/>
      <c r="D11481" s="11"/>
      <c r="E11481" s="11"/>
      <c r="F11481" s="11"/>
      <c r="G11481" s="11"/>
      <c r="H11481" s="11"/>
      <c r="I11481" s="15"/>
    </row>
    <row r="11482" spans="1:9" ht="16.5">
      <c r="A11482" s="10" t="b">
        <v>0</v>
      </c>
      <c r="B11482" s="11" t="str">
        <f>IF(D11482&lt;&gt;"",IF(COUNTIF('USPTO TMs'!A:A,D11482)&gt;0,"Yes","No"),"")</f>
        <v/>
      </c>
      <c r="C11482" s="11"/>
      <c r="D11482" s="11"/>
      <c r="E11482" s="11"/>
      <c r="F11482" s="11"/>
      <c r="G11482" s="11"/>
      <c r="H11482" s="11"/>
      <c r="I11482" s="15"/>
    </row>
    <row r="11483" spans="1:9" ht="16.5">
      <c r="A11483" s="10" t="b">
        <v>0</v>
      </c>
      <c r="B11483" s="11" t="str">
        <f>IF(D11483&lt;&gt;"",IF(COUNTIF('USPTO TMs'!A:A,D11483)&gt;0,"Yes","No"),"")</f>
        <v/>
      </c>
      <c r="C11483" s="11"/>
      <c r="D11483" s="11"/>
      <c r="E11483" s="11"/>
      <c r="F11483" s="11"/>
      <c r="G11483" s="11"/>
      <c r="H11483" s="11"/>
      <c r="I11483" s="15"/>
    </row>
    <row r="11484" spans="1:9" ht="16.5">
      <c r="A11484" s="10" t="b">
        <v>0</v>
      </c>
      <c r="B11484" s="11" t="str">
        <f>IF(D11484&lt;&gt;"",IF(COUNTIF('USPTO TMs'!A:A,D11484)&gt;0,"Yes","No"),"")</f>
        <v/>
      </c>
      <c r="C11484" s="11"/>
      <c r="D11484" s="11"/>
      <c r="E11484" s="11"/>
      <c r="F11484" s="11"/>
      <c r="G11484" s="11"/>
      <c r="H11484" s="11"/>
      <c r="I11484" s="15"/>
    </row>
    <row r="11485" spans="1:9" ht="16.5">
      <c r="A11485" s="10" t="b">
        <v>0</v>
      </c>
      <c r="B11485" s="11" t="str">
        <f>IF(D11485&lt;&gt;"",IF(COUNTIF('USPTO TMs'!A:A,D11485)&gt;0,"Yes","No"),"")</f>
        <v/>
      </c>
      <c r="C11485" s="11"/>
      <c r="D11485" s="11"/>
      <c r="E11485" s="11"/>
      <c r="F11485" s="11"/>
      <c r="G11485" s="11"/>
      <c r="H11485" s="11"/>
      <c r="I11485" s="15"/>
    </row>
    <row r="11486" spans="1:9" ht="16.5">
      <c r="A11486" s="10" t="b">
        <v>0</v>
      </c>
      <c r="B11486" s="11" t="str">
        <f>IF(D11486&lt;&gt;"",IF(COUNTIF('USPTO TMs'!A:A,D11486)&gt;0,"Yes","No"),"")</f>
        <v/>
      </c>
      <c r="C11486" s="11"/>
      <c r="D11486" s="11"/>
      <c r="E11486" s="11"/>
      <c r="F11486" s="11"/>
      <c r="G11486" s="11"/>
      <c r="H11486" s="11"/>
      <c r="I11486" s="15"/>
    </row>
    <row r="11487" spans="1:9" ht="16.5">
      <c r="A11487" s="10" t="b">
        <v>0</v>
      </c>
      <c r="B11487" s="11" t="str">
        <f>IF(D11487&lt;&gt;"",IF(COUNTIF('USPTO TMs'!A:A,D11487)&gt;0,"Yes","No"),"")</f>
        <v/>
      </c>
      <c r="C11487" s="11"/>
      <c r="D11487" s="11"/>
      <c r="E11487" s="11"/>
      <c r="F11487" s="11"/>
      <c r="G11487" s="11"/>
      <c r="H11487" s="11"/>
      <c r="I11487" s="15"/>
    </row>
    <row r="11488" spans="1:9" ht="16.5">
      <c r="A11488" s="10" t="b">
        <v>0</v>
      </c>
      <c r="B11488" s="11" t="str">
        <f>IF(D11488&lt;&gt;"",IF(COUNTIF('USPTO TMs'!A:A,D11488)&gt;0,"Yes","No"),"")</f>
        <v/>
      </c>
      <c r="C11488" s="11"/>
      <c r="D11488" s="11"/>
      <c r="E11488" s="11"/>
      <c r="F11488" s="11"/>
      <c r="G11488" s="11"/>
      <c r="H11488" s="11"/>
      <c r="I11488" s="15"/>
    </row>
    <row r="11489" spans="1:9" ht="16.5">
      <c r="A11489" s="10" t="b">
        <v>0</v>
      </c>
      <c r="B11489" s="11" t="str">
        <f>IF(D11489&lt;&gt;"",IF(COUNTIF('USPTO TMs'!A:A,D11489)&gt;0,"Yes","No"),"")</f>
        <v/>
      </c>
      <c r="C11489" s="11"/>
      <c r="D11489" s="11"/>
      <c r="E11489" s="11"/>
      <c r="F11489" s="11"/>
      <c r="G11489" s="11"/>
      <c r="H11489" s="11"/>
      <c r="I11489" s="15"/>
    </row>
    <row r="11490" spans="1:9" ht="16.5">
      <c r="A11490" s="10" t="b">
        <v>0</v>
      </c>
      <c r="B11490" s="11" t="str">
        <f>IF(D11490&lt;&gt;"",IF(COUNTIF('USPTO TMs'!A:A,D11490)&gt;0,"Yes","No"),"")</f>
        <v/>
      </c>
      <c r="C11490" s="11"/>
      <c r="D11490" s="11"/>
      <c r="E11490" s="11"/>
      <c r="F11490" s="11"/>
      <c r="G11490" s="11"/>
      <c r="H11490" s="11"/>
      <c r="I11490" s="15"/>
    </row>
    <row r="11491" spans="1:9" ht="16.5">
      <c r="A11491" s="10" t="b">
        <v>0</v>
      </c>
      <c r="B11491" s="11" t="str">
        <f>IF(D11491&lt;&gt;"",IF(COUNTIF('USPTO TMs'!A:A,D11491)&gt;0,"Yes","No"),"")</f>
        <v/>
      </c>
      <c r="C11491" s="11"/>
      <c r="D11491" s="11"/>
      <c r="E11491" s="11"/>
      <c r="F11491" s="11"/>
      <c r="G11491" s="11"/>
      <c r="H11491" s="11"/>
      <c r="I11491" s="15"/>
    </row>
    <row r="11492" spans="1:9" ht="16.5">
      <c r="A11492" s="10" t="b">
        <v>0</v>
      </c>
      <c r="B11492" s="11" t="str">
        <f>IF(D11492&lt;&gt;"",IF(COUNTIF('USPTO TMs'!A:A,D11492)&gt;0,"Yes","No"),"")</f>
        <v/>
      </c>
      <c r="C11492" s="11"/>
      <c r="D11492" s="11"/>
      <c r="E11492" s="11"/>
      <c r="F11492" s="11"/>
      <c r="G11492" s="11"/>
      <c r="H11492" s="11"/>
      <c r="I11492" s="15"/>
    </row>
    <row r="11493" spans="1:9" ht="16.5">
      <c r="A11493" s="10" t="b">
        <v>0</v>
      </c>
      <c r="B11493" s="11" t="str">
        <f>IF(D11493&lt;&gt;"",IF(COUNTIF('USPTO TMs'!A:A,D11493)&gt;0,"Yes","No"),"")</f>
        <v/>
      </c>
      <c r="C11493" s="11"/>
      <c r="D11493" s="11"/>
      <c r="E11493" s="11"/>
      <c r="F11493" s="11"/>
      <c r="G11493" s="11"/>
      <c r="H11493" s="11"/>
      <c r="I11493" s="15"/>
    </row>
    <row r="11494" spans="1:9" ht="16.5">
      <c r="A11494" s="10" t="b">
        <v>0</v>
      </c>
      <c r="B11494" s="11" t="str">
        <f>IF(D11494&lt;&gt;"",IF(COUNTIF('USPTO TMs'!A:A,D11494)&gt;0,"Yes","No"),"")</f>
        <v/>
      </c>
      <c r="C11494" s="11"/>
      <c r="D11494" s="11"/>
      <c r="E11494" s="11"/>
      <c r="F11494" s="11"/>
      <c r="G11494" s="11"/>
      <c r="H11494" s="11"/>
      <c r="I11494" s="15"/>
    </row>
    <row r="11495" spans="1:9" ht="16.5">
      <c r="A11495" s="10" t="b">
        <v>0</v>
      </c>
      <c r="B11495" s="11" t="str">
        <f>IF(D11495&lt;&gt;"",IF(COUNTIF('USPTO TMs'!A:A,D11495)&gt;0,"Yes","No"),"")</f>
        <v/>
      </c>
      <c r="C11495" s="11"/>
      <c r="D11495" s="11"/>
      <c r="E11495" s="11"/>
      <c r="F11495" s="11"/>
      <c r="G11495" s="11"/>
      <c r="H11495" s="11"/>
      <c r="I11495" s="15"/>
    </row>
    <row r="11496" spans="1:9" ht="16.5">
      <c r="A11496" s="10" t="b">
        <v>0</v>
      </c>
      <c r="B11496" s="11" t="str">
        <f>IF(D11496&lt;&gt;"",IF(COUNTIF('USPTO TMs'!A:A,D11496)&gt;0,"Yes","No"),"")</f>
        <v/>
      </c>
      <c r="C11496" s="11"/>
      <c r="D11496" s="11"/>
      <c r="E11496" s="11"/>
      <c r="F11496" s="11"/>
      <c r="G11496" s="11"/>
      <c r="H11496" s="11"/>
      <c r="I11496" s="15"/>
    </row>
    <row r="11497" spans="1:9" ht="16.5">
      <c r="A11497" s="10" t="b">
        <v>0</v>
      </c>
      <c r="B11497" s="11" t="str">
        <f>IF(D11497&lt;&gt;"",IF(COUNTIF('USPTO TMs'!A:A,D11497)&gt;0,"Yes","No"),"")</f>
        <v/>
      </c>
      <c r="C11497" s="11"/>
      <c r="D11497" s="11"/>
      <c r="E11497" s="11"/>
      <c r="F11497" s="11"/>
      <c r="G11497" s="11"/>
      <c r="H11497" s="11"/>
      <c r="I11497" s="15"/>
    </row>
    <row r="11498" spans="1:9" ht="16.5">
      <c r="A11498" s="10" t="b">
        <v>0</v>
      </c>
      <c r="B11498" s="11" t="str">
        <f>IF(D11498&lt;&gt;"",IF(COUNTIF('USPTO TMs'!A:A,D11498)&gt;0,"Yes","No"),"")</f>
        <v/>
      </c>
      <c r="C11498" s="11"/>
      <c r="D11498" s="11"/>
      <c r="E11498" s="11"/>
      <c r="F11498" s="11"/>
      <c r="G11498" s="11"/>
      <c r="H11498" s="11"/>
      <c r="I11498" s="15"/>
    </row>
    <row r="11499" spans="1:9" ht="16.5">
      <c r="A11499" s="10" t="b">
        <v>0</v>
      </c>
      <c r="B11499" s="11" t="str">
        <f>IF(D11499&lt;&gt;"",IF(COUNTIF('USPTO TMs'!A:A,D11499)&gt;0,"Yes","No"),"")</f>
        <v/>
      </c>
      <c r="C11499" s="11"/>
      <c r="D11499" s="11"/>
      <c r="E11499" s="11"/>
      <c r="F11499" s="11"/>
      <c r="G11499" s="11"/>
      <c r="H11499" s="11"/>
      <c r="I11499" s="15"/>
    </row>
    <row r="11500" spans="1:9" ht="16.5">
      <c r="A11500" s="10" t="b">
        <v>0</v>
      </c>
      <c r="B11500" s="11" t="str">
        <f>IF(D11500&lt;&gt;"",IF(COUNTIF('USPTO TMs'!A:A,D11500)&gt;0,"Yes","No"),"")</f>
        <v/>
      </c>
      <c r="C11500" s="11"/>
      <c r="D11500" s="11"/>
      <c r="E11500" s="11"/>
      <c r="F11500" s="11"/>
      <c r="G11500" s="11"/>
      <c r="H11500" s="11"/>
      <c r="I11500" s="15"/>
    </row>
    <row r="11501" spans="1:9" ht="16.5">
      <c r="A11501" s="10" t="b">
        <v>0</v>
      </c>
      <c r="B11501" s="11" t="str">
        <f>IF(D11501&lt;&gt;"",IF(COUNTIF('USPTO TMs'!A:A,D11501)&gt;0,"Yes","No"),"")</f>
        <v/>
      </c>
      <c r="C11501" s="11"/>
      <c r="D11501" s="11"/>
      <c r="E11501" s="11"/>
      <c r="F11501" s="11"/>
      <c r="G11501" s="11"/>
      <c r="H11501" s="11"/>
      <c r="I11501" s="15"/>
    </row>
    <row r="11502" spans="1:9" ht="16.5">
      <c r="A11502" s="10" t="b">
        <v>0</v>
      </c>
      <c r="B11502" s="11" t="str">
        <f>IF(D11502&lt;&gt;"",IF(COUNTIF('USPTO TMs'!A:A,D11502)&gt;0,"Yes","No"),"")</f>
        <v/>
      </c>
      <c r="C11502" s="11"/>
      <c r="D11502" s="11"/>
      <c r="E11502" s="11"/>
      <c r="F11502" s="11"/>
      <c r="G11502" s="11"/>
      <c r="H11502" s="11"/>
      <c r="I11502" s="15"/>
    </row>
    <row r="11503" spans="1:9" ht="16.5">
      <c r="A11503" s="10" t="b">
        <v>0</v>
      </c>
      <c r="B11503" s="11" t="str">
        <f>IF(D11503&lt;&gt;"",IF(COUNTIF('USPTO TMs'!A:A,D11503)&gt;0,"Yes","No"),"")</f>
        <v/>
      </c>
      <c r="C11503" s="11"/>
      <c r="D11503" s="11"/>
      <c r="E11503" s="11"/>
      <c r="F11503" s="11"/>
      <c r="G11503" s="11"/>
      <c r="H11503" s="11"/>
      <c r="I11503" s="15"/>
    </row>
    <row r="11504" spans="1:9" ht="16.5">
      <c r="A11504" s="10" t="b">
        <v>0</v>
      </c>
      <c r="B11504" s="11" t="str">
        <f>IF(D11504&lt;&gt;"",IF(COUNTIF('USPTO TMs'!A:A,D11504)&gt;0,"Yes","No"),"")</f>
        <v/>
      </c>
      <c r="C11504" s="11"/>
      <c r="D11504" s="11"/>
      <c r="E11504" s="11"/>
      <c r="F11504" s="11"/>
      <c r="G11504" s="11"/>
      <c r="H11504" s="11"/>
      <c r="I11504" s="15"/>
    </row>
    <row r="11505" spans="1:9" ht="16.5">
      <c r="A11505" s="10" t="b">
        <v>0</v>
      </c>
      <c r="B11505" s="11" t="str">
        <f>IF(D11505&lt;&gt;"",IF(COUNTIF('USPTO TMs'!A:A,D11505)&gt;0,"Yes","No"),"")</f>
        <v/>
      </c>
      <c r="C11505" s="11"/>
      <c r="D11505" s="11"/>
      <c r="E11505" s="11"/>
      <c r="F11505" s="11"/>
      <c r="G11505" s="11"/>
      <c r="H11505" s="11"/>
      <c r="I11505" s="15"/>
    </row>
    <row r="11506" spans="1:9" ht="16.5">
      <c r="A11506" s="10" t="b">
        <v>0</v>
      </c>
      <c r="B11506" s="11" t="str">
        <f>IF(D11506&lt;&gt;"",IF(COUNTIF('USPTO TMs'!A:A,D11506)&gt;0,"Yes","No"),"")</f>
        <v/>
      </c>
      <c r="C11506" s="11"/>
      <c r="D11506" s="11"/>
      <c r="E11506" s="11"/>
      <c r="F11506" s="11"/>
      <c r="G11506" s="11"/>
      <c r="H11506" s="11"/>
      <c r="I11506" s="15"/>
    </row>
    <row r="11507" spans="1:9" ht="16.5">
      <c r="A11507" s="10" t="b">
        <v>0</v>
      </c>
      <c r="B11507" s="11" t="str">
        <f>IF(D11507&lt;&gt;"",IF(COUNTIF('USPTO TMs'!A:A,D11507)&gt;0,"Yes","No"),"")</f>
        <v/>
      </c>
      <c r="C11507" s="11"/>
      <c r="D11507" s="11"/>
      <c r="E11507" s="11"/>
      <c r="F11507" s="11"/>
      <c r="G11507" s="11"/>
      <c r="H11507" s="11"/>
      <c r="I11507" s="15"/>
    </row>
    <row r="11508" spans="1:9" ht="16.5">
      <c r="A11508" s="10" t="b">
        <v>0</v>
      </c>
      <c r="B11508" s="11" t="str">
        <f>IF(D11508&lt;&gt;"",IF(COUNTIF('USPTO TMs'!A:A,D11508)&gt;0,"Yes","No"),"")</f>
        <v/>
      </c>
      <c r="C11508" s="11"/>
      <c r="D11508" s="11"/>
      <c r="E11508" s="11"/>
      <c r="F11508" s="11"/>
      <c r="G11508" s="11"/>
      <c r="H11508" s="11"/>
      <c r="I11508" s="15"/>
    </row>
    <row r="11509" spans="1:9" ht="16.5">
      <c r="A11509" s="10" t="b">
        <v>0</v>
      </c>
      <c r="B11509" s="11" t="str">
        <f>IF(D11509&lt;&gt;"",IF(COUNTIF('USPTO TMs'!A:A,D11509)&gt;0,"Yes","No"),"")</f>
        <v/>
      </c>
      <c r="C11509" s="11"/>
      <c r="D11509" s="11"/>
      <c r="E11509" s="11"/>
      <c r="F11509" s="11"/>
      <c r="G11509" s="11"/>
      <c r="H11509" s="11"/>
      <c r="I11509" s="15"/>
    </row>
    <row r="11510" spans="1:9" ht="16.5">
      <c r="A11510" s="10" t="b">
        <v>0</v>
      </c>
      <c r="B11510" s="11" t="str">
        <f>IF(D11510&lt;&gt;"",IF(COUNTIF('USPTO TMs'!A:A,D11510)&gt;0,"Yes","No"),"")</f>
        <v/>
      </c>
      <c r="C11510" s="11"/>
      <c r="D11510" s="11"/>
      <c r="E11510" s="11"/>
      <c r="F11510" s="11"/>
      <c r="G11510" s="11"/>
      <c r="H11510" s="11"/>
      <c r="I11510" s="15"/>
    </row>
    <row r="11511" spans="1:9" ht="16.5">
      <c r="A11511" s="10" t="b">
        <v>0</v>
      </c>
      <c r="B11511" s="11" t="str">
        <f>IF(D11511&lt;&gt;"",IF(COUNTIF('USPTO TMs'!A:A,D11511)&gt;0,"Yes","No"),"")</f>
        <v/>
      </c>
      <c r="C11511" s="11"/>
      <c r="D11511" s="11"/>
      <c r="E11511" s="11"/>
      <c r="F11511" s="11"/>
      <c r="G11511" s="11"/>
      <c r="H11511" s="11"/>
      <c r="I11511" s="15"/>
    </row>
    <row r="11512" spans="1:9" ht="16.5">
      <c r="A11512" s="10" t="b">
        <v>0</v>
      </c>
      <c r="B11512" s="11" t="str">
        <f>IF(D11512&lt;&gt;"",IF(COUNTIF('USPTO TMs'!A:A,D11512)&gt;0,"Yes","No"),"")</f>
        <v/>
      </c>
      <c r="C11512" s="11"/>
      <c r="D11512" s="11"/>
      <c r="E11512" s="11"/>
      <c r="F11512" s="11"/>
      <c r="G11512" s="11"/>
      <c r="H11512" s="11"/>
      <c r="I11512" s="15"/>
    </row>
    <row r="11513" spans="1:9" ht="16.5">
      <c r="A11513" s="10" t="b">
        <v>0</v>
      </c>
      <c r="B11513" s="11" t="str">
        <f>IF(D11513&lt;&gt;"",IF(COUNTIF('USPTO TMs'!A:A,D11513)&gt;0,"Yes","No"),"")</f>
        <v/>
      </c>
      <c r="C11513" s="11"/>
      <c r="D11513" s="11"/>
      <c r="E11513" s="11"/>
      <c r="F11513" s="11"/>
      <c r="G11513" s="11"/>
      <c r="H11513" s="11"/>
      <c r="I11513" s="15"/>
    </row>
    <row r="11514" spans="1:9" ht="16.5">
      <c r="A11514" s="10" t="b">
        <v>0</v>
      </c>
      <c r="B11514" s="11" t="str">
        <f>IF(D11514&lt;&gt;"",IF(COUNTIF('USPTO TMs'!A:A,D11514)&gt;0,"Yes","No"),"")</f>
        <v/>
      </c>
      <c r="C11514" s="11"/>
      <c r="D11514" s="11"/>
      <c r="E11514" s="11"/>
      <c r="F11514" s="11"/>
      <c r="G11514" s="11"/>
      <c r="H11514" s="11"/>
      <c r="I11514" s="15"/>
    </row>
    <row r="11515" spans="1:9" ht="16.5">
      <c r="A11515" s="10" t="b">
        <v>0</v>
      </c>
      <c r="B11515" s="11" t="str">
        <f>IF(D11515&lt;&gt;"",IF(COUNTIF('USPTO TMs'!A:A,D11515)&gt;0,"Yes","No"),"")</f>
        <v/>
      </c>
      <c r="C11515" s="11"/>
      <c r="D11515" s="11"/>
      <c r="E11515" s="11"/>
      <c r="F11515" s="11"/>
      <c r="G11515" s="11"/>
      <c r="H11515" s="11"/>
      <c r="I11515" s="15"/>
    </row>
    <row r="11516" spans="1:9" ht="16.5">
      <c r="A11516" s="10" t="b">
        <v>0</v>
      </c>
      <c r="B11516" s="11" t="str">
        <f>IF(D11516&lt;&gt;"",IF(COUNTIF('USPTO TMs'!A:A,D11516)&gt;0,"Yes","No"),"")</f>
        <v/>
      </c>
      <c r="C11516" s="11"/>
      <c r="D11516" s="11"/>
      <c r="E11516" s="11"/>
      <c r="F11516" s="11"/>
      <c r="G11516" s="11"/>
      <c r="H11516" s="11"/>
      <c r="I11516" s="15"/>
    </row>
    <row r="11517" spans="1:9" ht="16.5">
      <c r="A11517" s="10" t="b">
        <v>0</v>
      </c>
      <c r="B11517" s="11" t="str">
        <f>IF(D11517&lt;&gt;"",IF(COUNTIF('USPTO TMs'!A:A,D11517)&gt;0,"Yes","No"),"")</f>
        <v/>
      </c>
      <c r="C11517" s="11"/>
      <c r="D11517" s="11"/>
      <c r="E11517" s="11"/>
      <c r="F11517" s="11"/>
      <c r="G11517" s="11"/>
      <c r="H11517" s="11"/>
      <c r="I11517" s="15"/>
    </row>
    <row r="11518" spans="1:9" ht="16.5">
      <c r="A11518" s="10" t="b">
        <v>0</v>
      </c>
      <c r="B11518" s="11" t="str">
        <f>IF(D11518&lt;&gt;"",IF(COUNTIF('USPTO TMs'!A:A,D11518)&gt;0,"Yes","No"),"")</f>
        <v/>
      </c>
      <c r="C11518" s="11"/>
      <c r="D11518" s="11"/>
      <c r="E11518" s="11"/>
      <c r="F11518" s="11"/>
      <c r="G11518" s="11"/>
      <c r="H11518" s="11"/>
      <c r="I11518" s="15"/>
    </row>
    <row r="11519" spans="1:9" ht="16.5">
      <c r="A11519" s="10" t="b">
        <v>0</v>
      </c>
      <c r="B11519" s="11" t="str">
        <f>IF(D11519&lt;&gt;"",IF(COUNTIF('USPTO TMs'!A:A,D11519)&gt;0,"Yes","No"),"")</f>
        <v/>
      </c>
      <c r="C11519" s="11"/>
      <c r="D11519" s="11"/>
      <c r="E11519" s="11"/>
      <c r="F11519" s="11"/>
      <c r="G11519" s="11"/>
      <c r="H11519" s="11"/>
      <c r="I11519" s="15"/>
    </row>
    <row r="11520" spans="1:9" ht="16.5">
      <c r="A11520" s="10" t="b">
        <v>0</v>
      </c>
      <c r="B11520" s="11" t="str">
        <f>IF(D11520&lt;&gt;"",IF(COUNTIF('USPTO TMs'!A:A,D11520)&gt;0,"Yes","No"),"")</f>
        <v/>
      </c>
      <c r="C11520" s="11"/>
      <c r="D11520" s="11"/>
      <c r="E11520" s="11"/>
      <c r="F11520" s="11"/>
      <c r="G11520" s="11"/>
      <c r="H11520" s="11"/>
      <c r="I11520" s="15"/>
    </row>
    <row r="11521" spans="1:9" ht="16.5">
      <c r="A11521" s="10" t="b">
        <v>0</v>
      </c>
      <c r="B11521" s="11" t="str">
        <f>IF(D11521&lt;&gt;"",IF(COUNTIF('USPTO TMs'!A:A,D11521)&gt;0,"Yes","No"),"")</f>
        <v/>
      </c>
      <c r="C11521" s="11"/>
      <c r="D11521" s="11"/>
      <c r="E11521" s="11"/>
      <c r="F11521" s="11"/>
      <c r="G11521" s="11"/>
      <c r="H11521" s="11"/>
      <c r="I11521" s="15"/>
    </row>
    <row r="11522" spans="1:9" ht="16.5">
      <c r="A11522" s="10" t="b">
        <v>0</v>
      </c>
      <c r="B11522" s="11" t="str">
        <f>IF(D11522&lt;&gt;"",IF(COUNTIF('USPTO TMs'!A:A,D11522)&gt;0,"Yes","No"),"")</f>
        <v/>
      </c>
      <c r="C11522" s="11"/>
      <c r="D11522" s="11"/>
      <c r="E11522" s="11"/>
      <c r="F11522" s="11"/>
      <c r="G11522" s="11"/>
      <c r="H11522" s="11"/>
      <c r="I11522" s="15"/>
    </row>
    <row r="11523" spans="1:9" ht="16.5">
      <c r="A11523" s="10" t="b">
        <v>0</v>
      </c>
      <c r="B11523" s="11" t="str">
        <f>IF(D11523&lt;&gt;"",IF(COUNTIF('USPTO TMs'!A:A,D11523)&gt;0,"Yes","No"),"")</f>
        <v/>
      </c>
      <c r="C11523" s="11"/>
      <c r="D11523" s="11"/>
      <c r="E11523" s="11"/>
      <c r="F11523" s="11"/>
      <c r="G11523" s="11"/>
      <c r="H11523" s="11"/>
      <c r="I11523" s="15"/>
    </row>
    <row r="11524" spans="1:9" ht="16.5">
      <c r="A11524" s="10" t="b">
        <v>0</v>
      </c>
      <c r="B11524" s="11" t="str">
        <f>IF(D11524&lt;&gt;"",IF(COUNTIF('USPTO TMs'!A:A,D11524)&gt;0,"Yes","No"),"")</f>
        <v/>
      </c>
      <c r="C11524" s="11"/>
      <c r="D11524" s="11"/>
      <c r="E11524" s="11"/>
      <c r="F11524" s="11"/>
      <c r="G11524" s="11"/>
      <c r="H11524" s="11"/>
      <c r="I11524" s="15"/>
    </row>
    <row r="11525" spans="1:9" ht="16.5">
      <c r="A11525" s="10" t="b">
        <v>0</v>
      </c>
      <c r="B11525" s="11" t="str">
        <f>IF(D11525&lt;&gt;"",IF(COUNTIF('USPTO TMs'!A:A,D11525)&gt;0,"Yes","No"),"")</f>
        <v/>
      </c>
      <c r="C11525" s="11"/>
      <c r="D11525" s="11"/>
      <c r="E11525" s="11"/>
      <c r="F11525" s="11"/>
      <c r="G11525" s="11"/>
      <c r="H11525" s="11"/>
      <c r="I11525" s="15"/>
    </row>
    <row r="11526" spans="1:9" ht="16.5">
      <c r="A11526" s="10" t="b">
        <v>0</v>
      </c>
      <c r="B11526" s="11" t="str">
        <f>IF(D11526&lt;&gt;"",IF(COUNTIF('USPTO TMs'!A:A,D11526)&gt;0,"Yes","No"),"")</f>
        <v/>
      </c>
      <c r="C11526" s="11"/>
      <c r="D11526" s="11"/>
      <c r="E11526" s="11"/>
      <c r="F11526" s="11"/>
      <c r="G11526" s="11"/>
      <c r="H11526" s="11"/>
      <c r="I11526" s="15"/>
    </row>
    <row r="11527" spans="1:9" ht="16.5">
      <c r="A11527" s="10" t="b">
        <v>0</v>
      </c>
      <c r="B11527" s="11" t="str">
        <f>IF(D11527&lt;&gt;"",IF(COUNTIF('USPTO TMs'!A:A,D11527)&gt;0,"Yes","No"),"")</f>
        <v/>
      </c>
      <c r="C11527" s="11"/>
      <c r="D11527" s="11"/>
      <c r="E11527" s="11"/>
      <c r="F11527" s="11"/>
      <c r="G11527" s="11"/>
      <c r="H11527" s="11"/>
      <c r="I11527" s="15"/>
    </row>
    <row r="11528" spans="1:9" ht="16.5">
      <c r="A11528" s="10" t="b">
        <v>0</v>
      </c>
      <c r="B11528" s="11" t="str">
        <f>IF(D11528&lt;&gt;"",IF(COUNTIF('USPTO TMs'!A:A,D11528)&gt;0,"Yes","No"),"")</f>
        <v/>
      </c>
      <c r="C11528" s="11"/>
      <c r="D11528" s="11"/>
      <c r="E11528" s="11"/>
      <c r="F11528" s="11"/>
      <c r="G11528" s="11"/>
      <c r="H11528" s="11"/>
      <c r="I11528" s="15"/>
    </row>
    <row r="11529" spans="1:9" ht="16.5">
      <c r="A11529" s="10" t="b">
        <v>0</v>
      </c>
      <c r="B11529" s="11" t="str">
        <f>IF(D11529&lt;&gt;"",IF(COUNTIF('USPTO TMs'!A:A,D11529)&gt;0,"Yes","No"),"")</f>
        <v/>
      </c>
      <c r="C11529" s="11"/>
      <c r="D11529" s="11"/>
      <c r="E11529" s="11"/>
      <c r="F11529" s="11"/>
      <c r="G11529" s="11"/>
      <c r="H11529" s="11"/>
      <c r="I11529" s="15"/>
    </row>
    <row r="11530" spans="1:9" ht="16.5">
      <c r="A11530" s="10" t="b">
        <v>0</v>
      </c>
      <c r="B11530" s="11" t="str">
        <f>IF(D11530&lt;&gt;"",IF(COUNTIF('USPTO TMs'!A:A,D11530)&gt;0,"Yes","No"),"")</f>
        <v/>
      </c>
      <c r="C11530" s="11"/>
      <c r="D11530" s="11"/>
      <c r="E11530" s="11"/>
      <c r="F11530" s="11"/>
      <c r="G11530" s="11"/>
      <c r="H11530" s="11"/>
      <c r="I11530" s="15"/>
    </row>
    <row r="11531" spans="1:9" ht="16.5">
      <c r="A11531" s="10" t="b">
        <v>0</v>
      </c>
      <c r="B11531" s="11" t="str">
        <f>IF(D11531&lt;&gt;"",IF(COUNTIF('USPTO TMs'!A:A,D11531)&gt;0,"Yes","No"),"")</f>
        <v/>
      </c>
      <c r="C11531" s="11"/>
      <c r="D11531" s="11"/>
      <c r="E11531" s="11"/>
      <c r="F11531" s="11"/>
      <c r="G11531" s="11"/>
      <c r="H11531" s="11"/>
      <c r="I11531" s="15"/>
    </row>
    <row r="11532" spans="1:9" ht="16.5">
      <c r="A11532" s="10" t="b">
        <v>0</v>
      </c>
      <c r="B11532" s="11" t="str">
        <f>IF(D11532&lt;&gt;"",IF(COUNTIF('USPTO TMs'!A:A,D11532)&gt;0,"Yes","No"),"")</f>
        <v/>
      </c>
      <c r="C11532" s="11"/>
      <c r="D11532" s="11"/>
      <c r="E11532" s="11"/>
      <c r="F11532" s="11"/>
      <c r="G11532" s="11"/>
      <c r="H11532" s="11"/>
      <c r="I11532" s="15"/>
    </row>
    <row r="11533" spans="1:9" ht="16.5">
      <c r="A11533" s="10" t="b">
        <v>0</v>
      </c>
      <c r="B11533" s="11" t="str">
        <f>IF(D11533&lt;&gt;"",IF(COUNTIF('USPTO TMs'!A:A,D11533)&gt;0,"Yes","No"),"")</f>
        <v/>
      </c>
      <c r="C11533" s="11"/>
      <c r="D11533" s="11"/>
      <c r="E11533" s="11"/>
      <c r="F11533" s="11"/>
      <c r="G11533" s="11"/>
      <c r="H11533" s="11"/>
      <c r="I11533" s="15"/>
    </row>
    <row r="11534" spans="1:9" ht="16.5">
      <c r="A11534" s="10" t="b">
        <v>0</v>
      </c>
      <c r="B11534" s="11" t="str">
        <f>IF(D11534&lt;&gt;"",IF(COUNTIF('USPTO TMs'!A:A,D11534)&gt;0,"Yes","No"),"")</f>
        <v/>
      </c>
      <c r="C11534" s="11"/>
      <c r="D11534" s="11"/>
      <c r="E11534" s="11"/>
      <c r="F11534" s="11"/>
      <c r="G11534" s="11"/>
      <c r="H11534" s="11"/>
      <c r="I11534" s="15"/>
    </row>
    <row r="11535" spans="1:9" ht="16.5">
      <c r="A11535" s="10" t="b">
        <v>0</v>
      </c>
      <c r="B11535" s="11" t="str">
        <f>IF(D11535&lt;&gt;"",IF(COUNTIF('USPTO TMs'!A:A,D11535)&gt;0,"Yes","No"),"")</f>
        <v/>
      </c>
      <c r="C11535" s="11"/>
      <c r="D11535" s="11"/>
      <c r="E11535" s="11"/>
      <c r="F11535" s="11"/>
      <c r="G11535" s="11"/>
      <c r="H11535" s="11"/>
      <c r="I11535" s="15"/>
    </row>
    <row r="11536" spans="1:9" ht="16.5">
      <c r="A11536" s="10" t="b">
        <v>0</v>
      </c>
      <c r="B11536" s="11" t="str">
        <f>IF(D11536&lt;&gt;"",IF(COUNTIF('USPTO TMs'!A:A,D11536)&gt;0,"Yes","No"),"")</f>
        <v/>
      </c>
      <c r="C11536" s="11"/>
      <c r="D11536" s="11"/>
      <c r="E11536" s="11"/>
      <c r="F11536" s="11"/>
      <c r="G11536" s="11"/>
      <c r="H11536" s="11"/>
      <c r="I11536" s="15"/>
    </row>
    <row r="11537" spans="1:9" ht="16.5">
      <c r="A11537" s="10" t="b">
        <v>0</v>
      </c>
      <c r="B11537" s="11" t="str">
        <f>IF(D11537&lt;&gt;"",IF(COUNTIF('USPTO TMs'!A:A,D11537)&gt;0,"Yes","No"),"")</f>
        <v/>
      </c>
      <c r="C11537" s="11"/>
      <c r="D11537" s="11"/>
      <c r="E11537" s="11"/>
      <c r="F11537" s="11"/>
      <c r="G11537" s="11"/>
      <c r="H11537" s="11"/>
      <c r="I11537" s="15"/>
    </row>
    <row r="11538" spans="1:9" ht="16.5">
      <c r="A11538" s="10" t="b">
        <v>0</v>
      </c>
      <c r="B11538" s="11" t="str">
        <f>IF(D11538&lt;&gt;"",IF(COUNTIF('USPTO TMs'!A:A,D11538)&gt;0,"Yes","No"),"")</f>
        <v/>
      </c>
      <c r="C11538" s="11"/>
      <c r="D11538" s="11"/>
      <c r="E11538" s="11"/>
      <c r="F11538" s="11"/>
      <c r="G11538" s="11"/>
      <c r="H11538" s="11"/>
      <c r="I11538" s="15"/>
    </row>
    <row r="11539" spans="1:9" ht="16.5">
      <c r="A11539" s="10" t="b">
        <v>0</v>
      </c>
      <c r="B11539" s="11" t="str">
        <f>IF(D11539&lt;&gt;"",IF(COUNTIF('USPTO TMs'!A:A,D11539)&gt;0,"Yes","No"),"")</f>
        <v/>
      </c>
      <c r="C11539" s="11"/>
      <c r="D11539" s="11"/>
      <c r="E11539" s="11"/>
      <c r="F11539" s="11"/>
      <c r="G11539" s="11"/>
      <c r="H11539" s="11"/>
      <c r="I11539" s="15"/>
    </row>
    <row r="11540" spans="1:9" ht="16.5">
      <c r="A11540" s="10" t="b">
        <v>0</v>
      </c>
      <c r="B11540" s="11" t="str">
        <f>IF(D11540&lt;&gt;"",IF(COUNTIF('USPTO TMs'!A:A,D11540)&gt;0,"Yes","No"),"")</f>
        <v/>
      </c>
      <c r="C11540" s="11"/>
      <c r="D11540" s="11"/>
      <c r="E11540" s="11"/>
      <c r="F11540" s="11"/>
      <c r="G11540" s="11"/>
      <c r="H11540" s="11"/>
      <c r="I11540" s="15"/>
    </row>
    <row r="11541" spans="1:9" ht="16.5">
      <c r="A11541" s="10" t="b">
        <v>0</v>
      </c>
      <c r="B11541" s="11" t="str">
        <f>IF(D11541&lt;&gt;"",IF(COUNTIF('USPTO TMs'!A:A,D11541)&gt;0,"Yes","No"),"")</f>
        <v/>
      </c>
      <c r="C11541" s="11"/>
      <c r="D11541" s="11"/>
      <c r="E11541" s="11"/>
      <c r="F11541" s="11"/>
      <c r="G11541" s="11"/>
      <c r="H11541" s="11"/>
      <c r="I11541" s="15"/>
    </row>
    <row r="11542" spans="1:9" ht="16.5">
      <c r="A11542" s="10" t="b">
        <v>0</v>
      </c>
      <c r="B11542" s="11" t="str">
        <f>IF(D11542&lt;&gt;"",IF(COUNTIF('USPTO TMs'!A:A,D11542)&gt;0,"Yes","No"),"")</f>
        <v/>
      </c>
      <c r="C11542" s="11"/>
      <c r="D11542" s="11"/>
      <c r="E11542" s="11"/>
      <c r="F11542" s="11"/>
      <c r="G11542" s="11"/>
      <c r="H11542" s="11"/>
      <c r="I11542" s="15"/>
    </row>
    <row r="11543" spans="1:9" ht="16.5">
      <c r="A11543" s="10" t="b">
        <v>0</v>
      </c>
      <c r="B11543" s="11" t="str">
        <f>IF(D11543&lt;&gt;"",IF(COUNTIF('USPTO TMs'!A:A,D11543)&gt;0,"Yes","No"),"")</f>
        <v/>
      </c>
      <c r="C11543" s="11"/>
      <c r="D11543" s="11"/>
      <c r="E11543" s="11"/>
      <c r="F11543" s="11"/>
      <c r="G11543" s="11"/>
      <c r="H11543" s="11"/>
      <c r="I11543" s="15"/>
    </row>
    <row r="11544" spans="1:9" ht="16.5">
      <c r="A11544" s="10" t="b">
        <v>0</v>
      </c>
      <c r="B11544" s="11" t="str">
        <f>IF(D11544&lt;&gt;"",IF(COUNTIF('USPTO TMs'!A:A,D11544)&gt;0,"Yes","No"),"")</f>
        <v/>
      </c>
      <c r="C11544" s="11"/>
      <c r="D11544" s="11"/>
      <c r="E11544" s="11"/>
      <c r="F11544" s="11"/>
      <c r="G11544" s="11"/>
      <c r="H11544" s="11"/>
      <c r="I11544" s="15"/>
    </row>
    <row r="11545" spans="1:9" ht="16.5">
      <c r="A11545" s="10" t="b">
        <v>0</v>
      </c>
      <c r="B11545" s="11" t="str">
        <f>IF(D11545&lt;&gt;"",IF(COUNTIF('USPTO TMs'!A:A,D11545)&gt;0,"Yes","No"),"")</f>
        <v/>
      </c>
      <c r="C11545" s="11"/>
      <c r="D11545" s="11"/>
      <c r="E11545" s="11"/>
      <c r="F11545" s="11"/>
      <c r="G11545" s="11"/>
      <c r="H11545" s="11"/>
      <c r="I11545" s="15"/>
    </row>
    <row r="11546" spans="1:9" ht="16.5">
      <c r="A11546" s="10" t="b">
        <v>0</v>
      </c>
      <c r="B11546" s="11" t="str">
        <f>IF(D11546&lt;&gt;"",IF(COUNTIF('USPTO TMs'!A:A,D11546)&gt;0,"Yes","No"),"")</f>
        <v/>
      </c>
      <c r="C11546" s="11"/>
      <c r="D11546" s="11"/>
      <c r="E11546" s="11"/>
      <c r="F11546" s="11"/>
      <c r="G11546" s="11"/>
      <c r="H11546" s="11"/>
      <c r="I11546" s="15"/>
    </row>
    <row r="11547" spans="1:9" ht="16.5">
      <c r="A11547" s="10" t="b">
        <v>0</v>
      </c>
      <c r="B11547" s="11" t="str">
        <f>IF(D11547&lt;&gt;"",IF(COUNTIF('USPTO TMs'!A:A,D11547)&gt;0,"Yes","No"),"")</f>
        <v/>
      </c>
      <c r="C11547" s="11"/>
      <c r="D11547" s="11"/>
      <c r="E11547" s="11"/>
      <c r="F11547" s="11"/>
      <c r="G11547" s="11"/>
      <c r="H11547" s="11"/>
      <c r="I11547" s="15"/>
    </row>
    <row r="11548" spans="1:9" ht="16.5">
      <c r="A11548" s="10" t="b">
        <v>0</v>
      </c>
      <c r="B11548" s="11" t="str">
        <f>IF(D11548&lt;&gt;"",IF(COUNTIF('USPTO TMs'!A:A,D11548)&gt;0,"Yes","No"),"")</f>
        <v/>
      </c>
      <c r="C11548" s="11"/>
      <c r="D11548" s="11"/>
      <c r="E11548" s="11"/>
      <c r="F11548" s="11"/>
      <c r="G11548" s="11"/>
      <c r="H11548" s="11"/>
      <c r="I11548" s="15"/>
    </row>
    <row r="11549" spans="1:9" ht="16.5">
      <c r="A11549" s="10" t="b">
        <v>0</v>
      </c>
      <c r="B11549" s="11" t="str">
        <f>IF(D11549&lt;&gt;"",IF(COUNTIF('USPTO TMs'!A:A,D11549)&gt;0,"Yes","No"),"")</f>
        <v/>
      </c>
      <c r="C11549" s="11"/>
      <c r="D11549" s="11"/>
      <c r="E11549" s="11"/>
      <c r="F11549" s="11"/>
      <c r="G11549" s="11"/>
      <c r="H11549" s="11"/>
      <c r="I11549" s="15"/>
    </row>
    <row r="11550" spans="1:9" ht="16.5">
      <c r="A11550" s="10" t="b">
        <v>0</v>
      </c>
      <c r="B11550" s="11" t="str">
        <f>IF(D11550&lt;&gt;"",IF(COUNTIF('USPTO TMs'!A:A,D11550)&gt;0,"Yes","No"),"")</f>
        <v/>
      </c>
      <c r="C11550" s="11"/>
      <c r="D11550" s="11"/>
      <c r="E11550" s="11"/>
      <c r="F11550" s="11"/>
      <c r="G11550" s="11"/>
      <c r="H11550" s="11"/>
      <c r="I11550" s="15"/>
    </row>
    <row r="11551" spans="1:9" ht="16.5">
      <c r="A11551" s="10" t="b">
        <v>0</v>
      </c>
      <c r="B11551" s="11" t="str">
        <f>IF(D11551&lt;&gt;"",IF(COUNTIF('USPTO TMs'!A:A,D11551)&gt;0,"Yes","No"),"")</f>
        <v/>
      </c>
      <c r="C11551" s="11"/>
      <c r="D11551" s="11"/>
      <c r="E11551" s="11"/>
      <c r="F11551" s="11"/>
      <c r="G11551" s="11"/>
      <c r="H11551" s="11"/>
      <c r="I11551" s="15"/>
    </row>
    <row r="11552" spans="1:9" ht="16.5">
      <c r="A11552" s="10" t="b">
        <v>0</v>
      </c>
      <c r="B11552" s="11" t="str">
        <f>IF(D11552&lt;&gt;"",IF(COUNTIF('USPTO TMs'!A:A,D11552)&gt;0,"Yes","No"),"")</f>
        <v/>
      </c>
      <c r="C11552" s="11"/>
      <c r="D11552" s="11"/>
      <c r="E11552" s="11"/>
      <c r="F11552" s="11"/>
      <c r="G11552" s="11"/>
      <c r="H11552" s="11"/>
      <c r="I11552" s="15"/>
    </row>
    <row r="11553" spans="1:9" ht="16.5">
      <c r="A11553" s="10" t="b">
        <v>0</v>
      </c>
      <c r="B11553" s="11" t="str">
        <f>IF(D11553&lt;&gt;"",IF(COUNTIF('USPTO TMs'!A:A,D11553)&gt;0,"Yes","No"),"")</f>
        <v/>
      </c>
      <c r="C11553" s="11"/>
      <c r="D11553" s="11"/>
      <c r="E11553" s="11"/>
      <c r="F11553" s="11"/>
      <c r="G11553" s="11"/>
      <c r="H11553" s="11"/>
      <c r="I11553" s="15"/>
    </row>
    <row r="11554" spans="1:9" ht="16.5">
      <c r="A11554" s="10" t="b">
        <v>0</v>
      </c>
      <c r="B11554" s="11" t="str">
        <f>IF(D11554&lt;&gt;"",IF(COUNTIF('USPTO TMs'!A:A,D11554)&gt;0,"Yes","No"),"")</f>
        <v/>
      </c>
      <c r="C11554" s="11"/>
      <c r="D11554" s="11"/>
      <c r="E11554" s="11"/>
      <c r="F11554" s="11"/>
      <c r="G11554" s="11"/>
      <c r="H11554" s="11"/>
      <c r="I11554" s="15"/>
    </row>
    <row r="11555" spans="1:9" ht="16.5">
      <c r="A11555" s="10" t="b">
        <v>0</v>
      </c>
      <c r="B11555" s="11" t="str">
        <f>IF(D11555&lt;&gt;"",IF(COUNTIF('USPTO TMs'!A:A,D11555)&gt;0,"Yes","No"),"")</f>
        <v/>
      </c>
      <c r="C11555" s="11"/>
      <c r="D11555" s="11"/>
      <c r="E11555" s="11"/>
      <c r="F11555" s="11"/>
      <c r="G11555" s="11"/>
      <c r="H11555" s="11"/>
      <c r="I11555" s="15"/>
    </row>
    <row r="11556" spans="1:9" ht="16.5">
      <c r="A11556" s="10" t="b">
        <v>0</v>
      </c>
      <c r="B11556" s="11" t="str">
        <f>IF(D11556&lt;&gt;"",IF(COUNTIF('USPTO TMs'!A:A,D11556)&gt;0,"Yes","No"),"")</f>
        <v/>
      </c>
      <c r="C11556" s="11"/>
      <c r="D11556" s="11"/>
      <c r="E11556" s="11"/>
      <c r="F11556" s="11"/>
      <c r="G11556" s="11"/>
      <c r="H11556" s="11"/>
      <c r="I11556" s="15"/>
    </row>
    <row r="11557" spans="1:9" ht="16.5">
      <c r="A11557" s="10" t="b">
        <v>0</v>
      </c>
      <c r="B11557" s="11" t="str">
        <f>IF(D11557&lt;&gt;"",IF(COUNTIF('USPTO TMs'!A:A,D11557)&gt;0,"Yes","No"),"")</f>
        <v/>
      </c>
      <c r="C11557" s="11"/>
      <c r="D11557" s="11"/>
      <c r="E11557" s="11"/>
      <c r="F11557" s="11"/>
      <c r="G11557" s="11"/>
      <c r="H11557" s="11"/>
      <c r="I11557" s="15"/>
    </row>
    <row r="11558" spans="1:9" ht="16.5">
      <c r="A11558" s="10" t="b">
        <v>0</v>
      </c>
      <c r="B11558" s="11" t="str">
        <f>IF(D11558&lt;&gt;"",IF(COUNTIF('USPTO TMs'!A:A,D11558)&gt;0,"Yes","No"),"")</f>
        <v/>
      </c>
      <c r="C11558" s="11"/>
      <c r="D11558" s="11"/>
      <c r="E11558" s="11"/>
      <c r="F11558" s="11"/>
      <c r="G11558" s="11"/>
      <c r="H11558" s="11"/>
      <c r="I11558" s="15"/>
    </row>
    <row r="11559" spans="1:9" ht="16.5">
      <c r="A11559" s="10" t="b">
        <v>0</v>
      </c>
      <c r="B11559" s="11" t="str">
        <f>IF(D11559&lt;&gt;"",IF(COUNTIF('USPTO TMs'!A:A,D11559)&gt;0,"Yes","No"),"")</f>
        <v/>
      </c>
      <c r="C11559" s="11"/>
      <c r="D11559" s="11"/>
      <c r="E11559" s="11"/>
      <c r="F11559" s="11"/>
      <c r="G11559" s="11"/>
      <c r="H11559" s="11"/>
      <c r="I11559" s="15"/>
    </row>
    <row r="11560" spans="1:9" ht="16.5">
      <c r="A11560" s="10" t="b">
        <v>0</v>
      </c>
      <c r="B11560" s="11" t="str">
        <f>IF(D11560&lt;&gt;"",IF(COUNTIF('USPTO TMs'!A:A,D11560)&gt;0,"Yes","No"),"")</f>
        <v/>
      </c>
      <c r="C11560" s="11"/>
      <c r="D11560" s="11"/>
      <c r="E11560" s="11"/>
      <c r="F11560" s="11"/>
      <c r="G11560" s="11"/>
      <c r="H11560" s="11"/>
      <c r="I11560" s="15"/>
    </row>
    <row r="11561" spans="1:9" ht="16.5">
      <c r="A11561" s="10" t="b">
        <v>0</v>
      </c>
      <c r="B11561" s="11" t="str">
        <f>IF(D11561&lt;&gt;"",IF(COUNTIF('USPTO TMs'!A:A,D11561)&gt;0,"Yes","No"),"")</f>
        <v/>
      </c>
      <c r="C11561" s="11"/>
      <c r="D11561" s="11"/>
      <c r="E11561" s="11"/>
      <c r="F11561" s="11"/>
      <c r="G11561" s="11"/>
      <c r="H11561" s="11"/>
      <c r="I11561" s="15"/>
    </row>
    <row r="11562" spans="1:9" ht="16.5">
      <c r="A11562" s="10" t="b">
        <v>0</v>
      </c>
      <c r="B11562" s="11" t="str">
        <f>IF(D11562&lt;&gt;"",IF(COUNTIF('USPTO TMs'!A:A,D11562)&gt;0,"Yes","No"),"")</f>
        <v/>
      </c>
      <c r="C11562" s="11"/>
      <c r="D11562" s="11"/>
      <c r="E11562" s="11"/>
      <c r="F11562" s="11"/>
      <c r="G11562" s="11"/>
      <c r="H11562" s="11"/>
      <c r="I11562" s="15"/>
    </row>
    <row r="11563" spans="1:9" ht="16.5">
      <c r="A11563" s="10" t="b">
        <v>0</v>
      </c>
      <c r="B11563" s="11" t="str">
        <f>IF(D11563&lt;&gt;"",IF(COUNTIF('USPTO TMs'!A:A,D11563)&gt;0,"Yes","No"),"")</f>
        <v/>
      </c>
      <c r="C11563" s="11"/>
      <c r="D11563" s="11"/>
      <c r="E11563" s="11"/>
      <c r="F11563" s="11"/>
      <c r="G11563" s="11"/>
      <c r="H11563" s="11"/>
      <c r="I11563" s="15"/>
    </row>
    <row r="11564" spans="1:9" ht="16.5">
      <c r="A11564" s="10" t="b">
        <v>0</v>
      </c>
      <c r="B11564" s="11" t="str">
        <f>IF(D11564&lt;&gt;"",IF(COUNTIF('USPTO TMs'!A:A,D11564)&gt;0,"Yes","No"),"")</f>
        <v/>
      </c>
      <c r="C11564" s="11"/>
      <c r="D11564" s="11"/>
      <c r="E11564" s="11"/>
      <c r="F11564" s="11"/>
      <c r="G11564" s="11"/>
      <c r="H11564" s="11"/>
      <c r="I11564" s="15"/>
    </row>
    <row r="11565" spans="1:9" ht="16.5">
      <c r="A11565" s="10" t="b">
        <v>0</v>
      </c>
      <c r="B11565" s="11" t="str">
        <f>IF(D11565&lt;&gt;"",IF(COUNTIF('USPTO TMs'!A:A,D11565)&gt;0,"Yes","No"),"")</f>
        <v/>
      </c>
      <c r="C11565" s="11"/>
      <c r="D11565" s="11"/>
      <c r="E11565" s="11"/>
      <c r="F11565" s="11"/>
      <c r="G11565" s="11"/>
      <c r="H11565" s="11"/>
      <c r="I11565" s="15"/>
    </row>
    <row r="11566" spans="1:9" ht="16.5">
      <c r="A11566" s="10" t="b">
        <v>0</v>
      </c>
      <c r="B11566" s="11" t="str">
        <f>IF(D11566&lt;&gt;"",IF(COUNTIF('USPTO TMs'!A:A,D11566)&gt;0,"Yes","No"),"")</f>
        <v/>
      </c>
      <c r="C11566" s="11"/>
      <c r="D11566" s="11"/>
      <c r="E11566" s="11"/>
      <c r="F11566" s="11"/>
      <c r="G11566" s="11"/>
      <c r="H11566" s="11"/>
      <c r="I11566" s="15"/>
    </row>
    <row r="11567" spans="1:9" ht="16.5">
      <c r="A11567" s="10" t="b">
        <v>0</v>
      </c>
      <c r="B11567" s="11" t="str">
        <f>IF(D11567&lt;&gt;"",IF(COUNTIF('USPTO TMs'!A:A,D11567)&gt;0,"Yes","No"),"")</f>
        <v/>
      </c>
      <c r="C11567" s="11"/>
      <c r="D11567" s="11"/>
      <c r="E11567" s="11"/>
      <c r="F11567" s="11"/>
      <c r="G11567" s="11"/>
      <c r="H11567" s="11"/>
      <c r="I11567" s="15"/>
    </row>
    <row r="11568" spans="1:9" ht="16.5">
      <c r="A11568" s="10" t="b">
        <v>0</v>
      </c>
      <c r="B11568" s="11" t="str">
        <f>IF(D11568&lt;&gt;"",IF(COUNTIF('USPTO TMs'!A:A,D11568)&gt;0,"Yes","No"),"")</f>
        <v/>
      </c>
      <c r="C11568" s="11"/>
      <c r="D11568" s="11"/>
      <c r="E11568" s="11"/>
      <c r="F11568" s="11"/>
      <c r="G11568" s="11"/>
      <c r="H11568" s="11"/>
      <c r="I11568" s="15"/>
    </row>
    <row r="11569" spans="1:9" ht="16.5">
      <c r="A11569" s="10" t="b">
        <v>0</v>
      </c>
      <c r="B11569" s="11" t="str">
        <f>IF(D11569&lt;&gt;"",IF(COUNTIF('USPTO TMs'!A:A,D11569)&gt;0,"Yes","No"),"")</f>
        <v/>
      </c>
      <c r="C11569" s="11"/>
      <c r="D11569" s="11"/>
      <c r="E11569" s="11"/>
      <c r="F11569" s="11"/>
      <c r="G11569" s="11"/>
      <c r="H11569" s="11"/>
      <c r="I11569" s="15"/>
    </row>
    <row r="11570" spans="1:9" ht="16.5">
      <c r="A11570" s="10" t="b">
        <v>0</v>
      </c>
      <c r="B11570" s="11" t="str">
        <f>IF(D11570&lt;&gt;"",IF(COUNTIF('USPTO TMs'!A:A,D11570)&gt;0,"Yes","No"),"")</f>
        <v/>
      </c>
      <c r="C11570" s="11"/>
      <c r="D11570" s="11"/>
      <c r="E11570" s="11"/>
      <c r="F11570" s="11"/>
      <c r="G11570" s="11"/>
      <c r="H11570" s="11"/>
      <c r="I11570" s="15"/>
    </row>
    <row r="11571" spans="1:9" ht="16.5">
      <c r="A11571" s="10" t="b">
        <v>0</v>
      </c>
      <c r="B11571" s="11" t="str">
        <f>IF(D11571&lt;&gt;"",IF(COUNTIF('USPTO TMs'!A:A,D11571)&gt;0,"Yes","No"),"")</f>
        <v/>
      </c>
      <c r="C11571" s="11"/>
      <c r="D11571" s="11"/>
      <c r="E11571" s="11"/>
      <c r="F11571" s="11"/>
      <c r="G11571" s="11"/>
      <c r="H11571" s="11"/>
      <c r="I11571" s="15"/>
    </row>
    <row r="11572" spans="1:9" ht="16.5">
      <c r="A11572" s="10" t="b">
        <v>0</v>
      </c>
      <c r="B11572" s="11" t="str">
        <f>IF(D11572&lt;&gt;"",IF(COUNTIF('USPTO TMs'!A:A,D11572)&gt;0,"Yes","No"),"")</f>
        <v/>
      </c>
      <c r="C11572" s="11"/>
      <c r="D11572" s="11"/>
      <c r="E11572" s="11"/>
      <c r="F11572" s="11"/>
      <c r="G11572" s="11"/>
      <c r="H11572" s="11"/>
      <c r="I11572" s="15"/>
    </row>
    <row r="11573" spans="1:9" ht="16.5">
      <c r="A11573" s="10" t="b">
        <v>0</v>
      </c>
      <c r="B11573" s="11" t="str">
        <f>IF(D11573&lt;&gt;"",IF(COUNTIF('USPTO TMs'!A:A,D11573)&gt;0,"Yes","No"),"")</f>
        <v/>
      </c>
      <c r="C11573" s="11"/>
      <c r="D11573" s="11"/>
      <c r="E11573" s="11"/>
      <c r="F11573" s="11"/>
      <c r="G11573" s="11"/>
      <c r="H11573" s="11"/>
      <c r="I11573" s="15"/>
    </row>
    <row r="11574" spans="1:9" ht="16.5">
      <c r="A11574" s="10" t="b">
        <v>0</v>
      </c>
      <c r="B11574" s="11" t="str">
        <f>IF(D11574&lt;&gt;"",IF(COUNTIF('USPTO TMs'!A:A,D11574)&gt;0,"Yes","No"),"")</f>
        <v/>
      </c>
      <c r="C11574" s="11"/>
      <c r="D11574" s="11"/>
      <c r="E11574" s="11"/>
      <c r="F11574" s="11"/>
      <c r="G11574" s="11"/>
      <c r="H11574" s="11"/>
      <c r="I11574" s="15"/>
    </row>
    <row r="11575" spans="1:9" ht="16.5">
      <c r="A11575" s="10" t="b">
        <v>0</v>
      </c>
      <c r="B11575" s="11" t="str">
        <f>IF(D11575&lt;&gt;"",IF(COUNTIF('USPTO TMs'!A:A,D11575)&gt;0,"Yes","No"),"")</f>
        <v/>
      </c>
      <c r="C11575" s="11"/>
      <c r="D11575" s="11"/>
      <c r="E11575" s="11"/>
      <c r="F11575" s="11"/>
      <c r="G11575" s="11"/>
      <c r="H11575" s="11"/>
      <c r="I11575" s="15"/>
    </row>
    <row r="11576" spans="1:9" ht="16.5">
      <c r="A11576" s="10" t="b">
        <v>0</v>
      </c>
      <c r="B11576" s="11" t="str">
        <f>IF(D11576&lt;&gt;"",IF(COUNTIF('USPTO TMs'!A:A,D11576)&gt;0,"Yes","No"),"")</f>
        <v/>
      </c>
      <c r="C11576" s="11"/>
      <c r="D11576" s="11"/>
      <c r="E11576" s="11"/>
      <c r="F11576" s="11"/>
      <c r="G11576" s="11"/>
      <c r="H11576" s="11"/>
      <c r="I11576" s="15"/>
    </row>
    <row r="11577" spans="1:9" ht="16.5">
      <c r="A11577" s="10" t="b">
        <v>0</v>
      </c>
      <c r="B11577" s="11" t="str">
        <f>IF(D11577&lt;&gt;"",IF(COUNTIF('USPTO TMs'!A:A,D11577)&gt;0,"Yes","No"),"")</f>
        <v/>
      </c>
      <c r="C11577" s="11"/>
      <c r="D11577" s="11"/>
      <c r="E11577" s="11"/>
      <c r="F11577" s="11"/>
      <c r="G11577" s="11"/>
      <c r="H11577" s="11"/>
      <c r="I11577" s="15"/>
    </row>
    <row r="11578" spans="1:9" ht="16.5">
      <c r="A11578" s="10" t="b">
        <v>0</v>
      </c>
      <c r="B11578" s="11" t="str">
        <f>IF(D11578&lt;&gt;"",IF(COUNTIF('USPTO TMs'!A:A,D11578)&gt;0,"Yes","No"),"")</f>
        <v/>
      </c>
      <c r="C11578" s="11"/>
      <c r="D11578" s="11"/>
      <c r="E11578" s="11"/>
      <c r="F11578" s="11"/>
      <c r="G11578" s="11"/>
      <c r="H11578" s="11"/>
      <c r="I11578" s="15"/>
    </row>
    <row r="11579" spans="1:9" ht="16.5">
      <c r="A11579" s="10" t="b">
        <v>0</v>
      </c>
      <c r="B11579" s="11" t="str">
        <f>IF(D11579&lt;&gt;"",IF(COUNTIF('USPTO TMs'!A:A,D11579)&gt;0,"Yes","No"),"")</f>
        <v/>
      </c>
      <c r="C11579" s="11"/>
      <c r="D11579" s="11"/>
      <c r="E11579" s="11"/>
      <c r="F11579" s="11"/>
      <c r="G11579" s="11"/>
      <c r="H11579" s="11"/>
      <c r="I11579" s="15"/>
    </row>
    <row r="11580" spans="1:9" ht="16.5">
      <c r="A11580" s="10" t="b">
        <v>0</v>
      </c>
      <c r="B11580" s="11" t="str">
        <f>IF(D11580&lt;&gt;"",IF(COUNTIF('USPTO TMs'!A:A,D11580)&gt;0,"Yes","No"),"")</f>
        <v/>
      </c>
      <c r="C11580" s="11"/>
      <c r="D11580" s="11"/>
      <c r="E11580" s="11"/>
      <c r="F11580" s="11"/>
      <c r="G11580" s="11"/>
      <c r="H11580" s="11"/>
      <c r="I11580" s="15"/>
    </row>
    <row r="11581" spans="1:9" ht="16.5">
      <c r="A11581" s="10" t="b">
        <v>0</v>
      </c>
      <c r="B11581" s="11" t="str">
        <f>IF(D11581&lt;&gt;"",IF(COUNTIF('USPTO TMs'!A:A,D11581)&gt;0,"Yes","No"),"")</f>
        <v/>
      </c>
      <c r="C11581" s="11"/>
      <c r="D11581" s="11"/>
      <c r="E11581" s="11"/>
      <c r="F11581" s="11"/>
      <c r="G11581" s="11"/>
      <c r="H11581" s="11"/>
      <c r="I11581" s="15"/>
    </row>
    <row r="11582" spans="1:9" ht="16.5">
      <c r="A11582" s="10" t="b">
        <v>0</v>
      </c>
      <c r="B11582" s="11" t="str">
        <f>IF(D11582&lt;&gt;"",IF(COUNTIF('USPTO TMs'!A:A,D11582)&gt;0,"Yes","No"),"")</f>
        <v/>
      </c>
      <c r="C11582" s="11"/>
      <c r="D11582" s="11"/>
      <c r="E11582" s="11"/>
      <c r="F11582" s="11"/>
      <c r="G11582" s="11"/>
      <c r="H11582" s="11"/>
      <c r="I11582" s="15"/>
    </row>
    <row r="11583" spans="1:9" ht="16.5">
      <c r="A11583" s="10" t="b">
        <v>0</v>
      </c>
      <c r="B11583" s="11" t="str">
        <f>IF(D11583&lt;&gt;"",IF(COUNTIF('USPTO TMs'!A:A,D11583)&gt;0,"Yes","No"),"")</f>
        <v/>
      </c>
      <c r="C11583" s="11"/>
      <c r="D11583" s="11"/>
      <c r="E11583" s="11"/>
      <c r="F11583" s="11"/>
      <c r="G11583" s="11"/>
      <c r="H11583" s="11"/>
      <c r="I11583" s="15"/>
    </row>
    <row r="11584" spans="1:9" ht="16.5">
      <c r="A11584" s="10" t="b">
        <v>0</v>
      </c>
      <c r="B11584" s="11" t="str">
        <f>IF(D11584&lt;&gt;"",IF(COUNTIF('USPTO TMs'!A:A,D11584)&gt;0,"Yes","No"),"")</f>
        <v/>
      </c>
      <c r="C11584" s="11"/>
      <c r="D11584" s="11"/>
      <c r="E11584" s="11"/>
      <c r="F11584" s="11"/>
      <c r="G11584" s="11"/>
      <c r="H11584" s="11"/>
      <c r="I11584" s="15"/>
    </row>
    <row r="11585" spans="1:9" ht="16.5">
      <c r="A11585" s="10" t="b">
        <v>0</v>
      </c>
      <c r="B11585" s="11" t="str">
        <f>IF(D11585&lt;&gt;"",IF(COUNTIF('USPTO TMs'!A:A,D11585)&gt;0,"Yes","No"),"")</f>
        <v/>
      </c>
      <c r="C11585" s="11"/>
      <c r="D11585" s="11"/>
      <c r="E11585" s="11"/>
      <c r="F11585" s="11"/>
      <c r="G11585" s="11"/>
      <c r="H11585" s="11"/>
      <c r="I11585" s="15"/>
    </row>
    <row r="11586" spans="1:9" ht="16.5">
      <c r="A11586" s="10" t="b">
        <v>0</v>
      </c>
      <c r="B11586" s="11" t="str">
        <f>IF(D11586&lt;&gt;"",IF(COUNTIF('USPTO TMs'!A:A,D11586)&gt;0,"Yes","No"),"")</f>
        <v/>
      </c>
      <c r="C11586" s="11"/>
      <c r="D11586" s="11"/>
      <c r="E11586" s="11"/>
      <c r="F11586" s="11"/>
      <c r="G11586" s="11"/>
      <c r="H11586" s="11"/>
      <c r="I11586" s="15"/>
    </row>
    <row r="11587" spans="1:9" ht="16.5">
      <c r="A11587" s="10" t="b">
        <v>0</v>
      </c>
      <c r="B11587" s="11" t="str">
        <f>IF(D11587&lt;&gt;"",IF(COUNTIF('USPTO TMs'!A:A,D11587)&gt;0,"Yes","No"),"")</f>
        <v/>
      </c>
      <c r="C11587" s="11"/>
      <c r="D11587" s="11"/>
      <c r="E11587" s="11"/>
      <c r="F11587" s="11"/>
      <c r="G11587" s="11"/>
      <c r="H11587" s="11"/>
      <c r="I11587" s="15"/>
    </row>
    <row r="11588" spans="1:9" ht="16.5">
      <c r="A11588" s="10" t="b">
        <v>0</v>
      </c>
      <c r="B11588" s="11" t="str">
        <f>IF(D11588&lt;&gt;"",IF(COUNTIF('USPTO TMs'!A:A,D11588)&gt;0,"Yes","No"),"")</f>
        <v/>
      </c>
      <c r="C11588" s="11"/>
      <c r="D11588" s="11"/>
      <c r="E11588" s="11"/>
      <c r="F11588" s="11"/>
      <c r="G11588" s="11"/>
      <c r="H11588" s="11"/>
      <c r="I11588" s="15"/>
    </row>
    <row r="11589" spans="1:9" ht="16.5">
      <c r="A11589" s="10" t="b">
        <v>0</v>
      </c>
      <c r="B11589" s="11" t="str">
        <f>IF(D11589&lt;&gt;"",IF(COUNTIF('USPTO TMs'!A:A,D11589)&gt;0,"Yes","No"),"")</f>
        <v/>
      </c>
      <c r="C11589" s="11"/>
      <c r="D11589" s="11"/>
      <c r="E11589" s="11"/>
      <c r="F11589" s="11"/>
      <c r="G11589" s="11"/>
      <c r="H11589" s="11"/>
      <c r="I11589" s="15"/>
    </row>
    <row r="11590" spans="1:9" ht="16.5">
      <c r="A11590" s="10" t="b">
        <v>0</v>
      </c>
      <c r="B11590" s="11" t="str">
        <f>IF(D11590&lt;&gt;"",IF(COUNTIF('USPTO TMs'!A:A,D11590)&gt;0,"Yes","No"),"")</f>
        <v/>
      </c>
      <c r="C11590" s="11"/>
      <c r="D11590" s="11"/>
      <c r="E11590" s="11"/>
      <c r="F11590" s="11"/>
      <c r="G11590" s="11"/>
      <c r="H11590" s="11"/>
      <c r="I11590" s="15"/>
    </row>
    <row r="11591" spans="1:9" ht="16.5">
      <c r="A11591" s="10" t="b">
        <v>0</v>
      </c>
      <c r="B11591" s="11" t="str">
        <f>IF(D11591&lt;&gt;"",IF(COUNTIF('USPTO TMs'!A:A,D11591)&gt;0,"Yes","No"),"")</f>
        <v/>
      </c>
      <c r="C11591" s="11"/>
      <c r="D11591" s="11"/>
      <c r="E11591" s="11"/>
      <c r="F11591" s="11"/>
      <c r="G11591" s="11"/>
      <c r="H11591" s="11"/>
      <c r="I11591" s="15"/>
    </row>
    <row r="11592" spans="1:9" ht="16.5">
      <c r="A11592" s="10" t="b">
        <v>0</v>
      </c>
      <c r="B11592" s="11" t="str">
        <f>IF(D11592&lt;&gt;"",IF(COUNTIF('USPTO TMs'!A:A,D11592)&gt;0,"Yes","No"),"")</f>
        <v/>
      </c>
      <c r="C11592" s="11"/>
      <c r="D11592" s="11"/>
      <c r="E11592" s="11"/>
      <c r="F11592" s="11"/>
      <c r="G11592" s="11"/>
      <c r="H11592" s="11"/>
      <c r="I11592" s="15"/>
    </row>
    <row r="11593" spans="1:9" ht="16.5">
      <c r="A11593" s="10" t="b">
        <v>0</v>
      </c>
      <c r="B11593" s="11" t="str">
        <f>IF(D11593&lt;&gt;"",IF(COUNTIF('USPTO TMs'!A:A,D11593)&gt;0,"Yes","No"),"")</f>
        <v/>
      </c>
      <c r="C11593" s="11"/>
      <c r="D11593" s="11"/>
      <c r="E11593" s="11"/>
      <c r="F11593" s="11"/>
      <c r="G11593" s="11"/>
      <c r="H11593" s="11"/>
      <c r="I11593" s="15"/>
    </row>
    <row r="11594" spans="1:9" ht="16.5">
      <c r="A11594" s="10" t="b">
        <v>0</v>
      </c>
      <c r="B11594" s="11" t="str">
        <f>IF(D11594&lt;&gt;"",IF(COUNTIF('USPTO TMs'!A:A,D11594)&gt;0,"Yes","No"),"")</f>
        <v/>
      </c>
      <c r="C11594" s="11"/>
      <c r="D11594" s="11"/>
      <c r="E11594" s="11"/>
      <c r="F11594" s="11"/>
      <c r="G11594" s="11"/>
      <c r="H11594" s="11"/>
      <c r="I11594" s="15"/>
    </row>
    <row r="11595" spans="1:9" ht="16.5">
      <c r="A11595" s="10" t="b">
        <v>0</v>
      </c>
      <c r="B11595" s="11" t="str">
        <f>IF(D11595&lt;&gt;"",IF(COUNTIF('USPTO TMs'!A:A,D11595)&gt;0,"Yes","No"),"")</f>
        <v/>
      </c>
      <c r="C11595" s="11"/>
      <c r="D11595" s="11"/>
      <c r="E11595" s="11"/>
      <c r="F11595" s="11"/>
      <c r="G11595" s="11"/>
      <c r="H11595" s="11"/>
      <c r="I11595" s="15"/>
    </row>
    <row r="11596" spans="1:9" ht="16.5">
      <c r="A11596" s="10" t="b">
        <v>0</v>
      </c>
      <c r="B11596" s="11" t="str">
        <f>IF(D11596&lt;&gt;"",IF(COUNTIF('USPTO TMs'!A:A,D11596)&gt;0,"Yes","No"),"")</f>
        <v/>
      </c>
      <c r="C11596" s="11"/>
      <c r="D11596" s="11"/>
      <c r="E11596" s="11"/>
      <c r="F11596" s="11"/>
      <c r="G11596" s="11"/>
      <c r="H11596" s="11"/>
      <c r="I11596" s="15"/>
    </row>
    <row r="11597" spans="1:9" ht="16.5">
      <c r="A11597" s="10" t="b">
        <v>0</v>
      </c>
      <c r="B11597" s="11" t="str">
        <f>IF(D11597&lt;&gt;"",IF(COUNTIF('USPTO TMs'!A:A,D11597)&gt;0,"Yes","No"),"")</f>
        <v/>
      </c>
      <c r="C11597" s="11"/>
      <c r="D11597" s="11"/>
      <c r="E11597" s="11"/>
      <c r="F11597" s="11"/>
      <c r="G11597" s="11"/>
      <c r="H11597" s="11"/>
      <c r="I11597" s="15"/>
    </row>
    <row r="11598" spans="1:9" ht="16.5">
      <c r="A11598" s="10" t="b">
        <v>0</v>
      </c>
      <c r="B11598" s="11" t="str">
        <f>IF(D11598&lt;&gt;"",IF(COUNTIF('USPTO TMs'!A:A,D11598)&gt;0,"Yes","No"),"")</f>
        <v/>
      </c>
      <c r="C11598" s="11"/>
      <c r="D11598" s="11"/>
      <c r="E11598" s="11"/>
      <c r="F11598" s="11"/>
      <c r="G11598" s="11"/>
      <c r="H11598" s="11"/>
      <c r="I11598" s="15"/>
    </row>
    <row r="11599" spans="1:9" ht="16.5">
      <c r="A11599" s="10" t="b">
        <v>0</v>
      </c>
      <c r="B11599" s="11" t="str">
        <f>IF(D11599&lt;&gt;"",IF(COUNTIF('USPTO TMs'!A:A,D11599)&gt;0,"Yes","No"),"")</f>
        <v/>
      </c>
      <c r="C11599" s="11"/>
      <c r="D11599" s="11"/>
      <c r="E11599" s="11"/>
      <c r="F11599" s="11"/>
      <c r="G11599" s="11"/>
      <c r="H11599" s="11"/>
      <c r="I11599" s="15"/>
    </row>
    <row r="11600" spans="1:9" ht="16.5">
      <c r="A11600" s="10" t="b">
        <v>0</v>
      </c>
      <c r="B11600" s="11" t="str">
        <f>IF(D11600&lt;&gt;"",IF(COUNTIF('USPTO TMs'!A:A,D11600)&gt;0,"Yes","No"),"")</f>
        <v/>
      </c>
      <c r="C11600" s="11"/>
      <c r="D11600" s="11"/>
      <c r="E11600" s="11"/>
      <c r="F11600" s="11"/>
      <c r="G11600" s="11"/>
      <c r="H11600" s="11"/>
      <c r="I11600" s="15"/>
    </row>
    <row r="11601" spans="1:9" ht="16.5">
      <c r="A11601" s="10" t="b">
        <v>0</v>
      </c>
      <c r="B11601" s="11" t="str">
        <f>IF(D11601&lt;&gt;"",IF(COUNTIF('USPTO TMs'!A:A,D11601)&gt;0,"Yes","No"),"")</f>
        <v/>
      </c>
      <c r="C11601" s="11"/>
      <c r="D11601" s="11"/>
      <c r="E11601" s="11"/>
      <c r="F11601" s="11"/>
      <c r="G11601" s="11"/>
      <c r="H11601" s="11"/>
      <c r="I11601" s="15"/>
    </row>
    <row r="11602" spans="1:9" ht="16.5">
      <c r="A11602" s="10" t="b">
        <v>0</v>
      </c>
      <c r="B11602" s="11" t="str">
        <f>IF(D11602&lt;&gt;"",IF(COUNTIF('USPTO TMs'!A:A,D11602)&gt;0,"Yes","No"),"")</f>
        <v/>
      </c>
      <c r="C11602" s="11"/>
      <c r="D11602" s="11"/>
      <c r="E11602" s="11"/>
      <c r="F11602" s="11"/>
      <c r="G11602" s="11"/>
      <c r="H11602" s="11"/>
      <c r="I11602" s="15"/>
    </row>
    <row r="11603" spans="1:9" ht="16.5">
      <c r="A11603" s="10" t="b">
        <v>0</v>
      </c>
      <c r="B11603" s="11" t="str">
        <f>IF(D11603&lt;&gt;"",IF(COUNTIF('USPTO TMs'!A:A,D11603)&gt;0,"Yes","No"),"")</f>
        <v/>
      </c>
      <c r="C11603" s="11"/>
      <c r="D11603" s="11"/>
      <c r="E11603" s="11"/>
      <c r="F11603" s="11"/>
      <c r="G11603" s="11"/>
      <c r="H11603" s="11"/>
      <c r="I11603" s="15"/>
    </row>
    <row r="11604" spans="1:9" ht="16.5">
      <c r="A11604" s="10" t="b">
        <v>0</v>
      </c>
      <c r="B11604" s="11" t="str">
        <f>IF(D11604&lt;&gt;"",IF(COUNTIF('USPTO TMs'!A:A,D11604)&gt;0,"Yes","No"),"")</f>
        <v/>
      </c>
      <c r="C11604" s="11"/>
      <c r="D11604" s="11"/>
      <c r="E11604" s="11"/>
      <c r="F11604" s="11"/>
      <c r="G11604" s="11"/>
      <c r="H11604" s="11"/>
      <c r="I11604" s="15"/>
    </row>
    <row r="11605" spans="1:9" ht="16.5">
      <c r="A11605" s="10" t="b">
        <v>0</v>
      </c>
      <c r="B11605" s="11" t="str">
        <f>IF(D11605&lt;&gt;"",IF(COUNTIF('USPTO TMs'!A:A,D11605)&gt;0,"Yes","No"),"")</f>
        <v/>
      </c>
      <c r="C11605" s="11"/>
      <c r="D11605" s="11"/>
      <c r="E11605" s="11"/>
      <c r="F11605" s="11"/>
      <c r="G11605" s="11"/>
      <c r="H11605" s="11"/>
      <c r="I11605" s="15"/>
    </row>
    <row r="11606" spans="1:9" ht="16.5">
      <c r="A11606" s="10" t="b">
        <v>0</v>
      </c>
      <c r="B11606" s="11" t="str">
        <f>IF(D11606&lt;&gt;"",IF(COUNTIF('USPTO TMs'!A:A,D11606)&gt;0,"Yes","No"),"")</f>
        <v/>
      </c>
      <c r="C11606" s="11"/>
      <c r="D11606" s="11"/>
      <c r="E11606" s="11"/>
      <c r="F11606" s="11"/>
      <c r="G11606" s="11"/>
      <c r="H11606" s="11"/>
      <c r="I11606" s="15"/>
    </row>
    <row r="11607" spans="1:9" ht="16.5">
      <c r="A11607" s="10" t="b">
        <v>0</v>
      </c>
      <c r="B11607" s="11" t="str">
        <f>IF(D11607&lt;&gt;"",IF(COUNTIF('USPTO TMs'!A:A,D11607)&gt;0,"Yes","No"),"")</f>
        <v/>
      </c>
      <c r="C11607" s="11"/>
      <c r="D11607" s="11"/>
      <c r="E11607" s="11"/>
      <c r="F11607" s="11"/>
      <c r="G11607" s="11"/>
      <c r="H11607" s="11"/>
      <c r="I11607" s="15"/>
    </row>
    <row r="11608" spans="1:9" ht="16.5">
      <c r="A11608" s="10" t="b">
        <v>0</v>
      </c>
      <c r="B11608" s="11" t="str">
        <f>IF(D11608&lt;&gt;"",IF(COUNTIF('USPTO TMs'!A:A,D11608)&gt;0,"Yes","No"),"")</f>
        <v/>
      </c>
      <c r="C11608" s="11"/>
      <c r="D11608" s="11"/>
      <c r="E11608" s="11"/>
      <c r="F11608" s="11"/>
      <c r="G11608" s="11"/>
      <c r="H11608" s="11"/>
      <c r="I11608" s="15"/>
    </row>
    <row r="11609" spans="1:9" ht="16.5">
      <c r="A11609" s="10" t="b">
        <v>0</v>
      </c>
      <c r="B11609" s="11" t="str">
        <f>IF(D11609&lt;&gt;"",IF(COUNTIF('USPTO TMs'!A:A,D11609)&gt;0,"Yes","No"),"")</f>
        <v/>
      </c>
      <c r="C11609" s="11"/>
      <c r="D11609" s="11"/>
      <c r="E11609" s="11"/>
      <c r="F11609" s="11"/>
      <c r="G11609" s="11"/>
      <c r="H11609" s="11"/>
      <c r="I11609" s="15"/>
    </row>
    <row r="11610" spans="1:9" ht="16.5">
      <c r="A11610" s="10" t="b">
        <v>0</v>
      </c>
      <c r="B11610" s="11" t="str">
        <f>IF(D11610&lt;&gt;"",IF(COUNTIF('USPTO TMs'!A:A,D11610)&gt;0,"Yes","No"),"")</f>
        <v/>
      </c>
      <c r="C11610" s="11"/>
      <c r="D11610" s="11"/>
      <c r="E11610" s="11"/>
      <c r="F11610" s="11"/>
      <c r="G11610" s="11"/>
      <c r="H11610" s="11"/>
      <c r="I11610" s="15"/>
    </row>
    <row r="11611" spans="1:9" ht="16.5">
      <c r="A11611" s="10" t="b">
        <v>0</v>
      </c>
      <c r="B11611" s="11" t="str">
        <f>IF(D11611&lt;&gt;"",IF(COUNTIF('USPTO TMs'!A:A,D11611)&gt;0,"Yes","No"),"")</f>
        <v/>
      </c>
      <c r="C11611" s="11"/>
      <c r="D11611" s="11"/>
      <c r="E11611" s="11"/>
      <c r="F11611" s="11"/>
      <c r="G11611" s="11"/>
      <c r="H11611" s="11"/>
      <c r="I11611" s="15"/>
    </row>
    <row r="11612" spans="1:9" ht="16.5">
      <c r="A11612" s="10" t="b">
        <v>0</v>
      </c>
      <c r="B11612" s="11" t="str">
        <f>IF(D11612&lt;&gt;"",IF(COUNTIF('USPTO TMs'!A:A,D11612)&gt;0,"Yes","No"),"")</f>
        <v/>
      </c>
      <c r="C11612" s="11"/>
      <c r="D11612" s="11"/>
      <c r="E11612" s="11"/>
      <c r="F11612" s="11"/>
      <c r="G11612" s="11"/>
      <c r="H11612" s="11"/>
      <c r="I11612" s="15"/>
    </row>
    <row r="11613" spans="1:9" ht="16.5">
      <c r="A11613" s="10" t="b">
        <v>0</v>
      </c>
      <c r="B11613" s="11" t="str">
        <f>IF(D11613&lt;&gt;"",IF(COUNTIF('USPTO TMs'!A:A,D11613)&gt;0,"Yes","No"),"")</f>
        <v/>
      </c>
      <c r="C11613" s="11"/>
      <c r="D11613" s="11"/>
      <c r="E11613" s="11"/>
      <c r="F11613" s="11"/>
      <c r="G11613" s="11"/>
      <c r="H11613" s="11"/>
      <c r="I11613" s="15"/>
    </row>
    <row r="11614" spans="1:9" ht="16.5">
      <c r="A11614" s="10" t="b">
        <v>0</v>
      </c>
      <c r="B11614" s="11" t="str">
        <f>IF(D11614&lt;&gt;"",IF(COUNTIF('USPTO TMs'!A:A,D11614)&gt;0,"Yes","No"),"")</f>
        <v/>
      </c>
      <c r="C11614" s="11"/>
      <c r="D11614" s="11"/>
      <c r="E11614" s="11"/>
      <c r="F11614" s="11"/>
      <c r="G11614" s="11"/>
      <c r="H11614" s="11"/>
      <c r="I11614" s="15"/>
    </row>
    <row r="11615" spans="1:9" ht="16.5">
      <c r="A11615" s="10" t="b">
        <v>0</v>
      </c>
      <c r="B11615" s="11" t="str">
        <f>IF(D11615&lt;&gt;"",IF(COUNTIF('USPTO TMs'!A:A,D11615)&gt;0,"Yes","No"),"")</f>
        <v/>
      </c>
      <c r="C11615" s="11"/>
      <c r="D11615" s="11"/>
      <c r="E11615" s="11"/>
      <c r="F11615" s="11"/>
      <c r="G11615" s="11"/>
      <c r="H11615" s="11"/>
      <c r="I11615" s="15"/>
    </row>
    <row r="11616" spans="1:9" ht="16.5">
      <c r="A11616" s="10" t="b">
        <v>0</v>
      </c>
      <c r="B11616" s="11" t="str">
        <f>IF(D11616&lt;&gt;"",IF(COUNTIF('USPTO TMs'!A:A,D11616)&gt;0,"Yes","No"),"")</f>
        <v/>
      </c>
      <c r="C11616" s="11"/>
      <c r="D11616" s="11"/>
      <c r="E11616" s="11"/>
      <c r="F11616" s="11"/>
      <c r="G11616" s="11"/>
      <c r="H11616" s="11"/>
      <c r="I11616" s="15"/>
    </row>
    <row r="11617" spans="1:9" ht="16.5">
      <c r="A11617" s="10" t="b">
        <v>0</v>
      </c>
      <c r="B11617" s="11" t="str">
        <f>IF(D11617&lt;&gt;"",IF(COUNTIF('USPTO TMs'!A:A,D11617)&gt;0,"Yes","No"),"")</f>
        <v/>
      </c>
      <c r="C11617" s="11"/>
      <c r="D11617" s="11"/>
      <c r="E11617" s="11"/>
      <c r="F11617" s="11"/>
      <c r="G11617" s="11"/>
      <c r="H11617" s="11"/>
      <c r="I11617" s="15"/>
    </row>
    <row r="11618" spans="1:9" ht="16.5">
      <c r="A11618" s="10" t="b">
        <v>0</v>
      </c>
      <c r="B11618" s="11" t="str">
        <f>IF(D11618&lt;&gt;"",IF(COUNTIF('USPTO TMs'!A:A,D11618)&gt;0,"Yes","No"),"")</f>
        <v/>
      </c>
      <c r="C11618" s="11"/>
      <c r="D11618" s="11"/>
      <c r="E11618" s="11"/>
      <c r="F11618" s="11"/>
      <c r="G11618" s="11"/>
      <c r="H11618" s="11"/>
      <c r="I11618" s="15"/>
    </row>
    <row r="11619" spans="1:9" ht="16.5">
      <c r="A11619" s="10" t="b">
        <v>0</v>
      </c>
      <c r="B11619" s="11" t="str">
        <f>IF(D11619&lt;&gt;"",IF(COUNTIF('USPTO TMs'!A:A,D11619)&gt;0,"Yes","No"),"")</f>
        <v/>
      </c>
      <c r="C11619" s="11"/>
      <c r="D11619" s="11"/>
      <c r="E11619" s="11"/>
      <c r="F11619" s="11"/>
      <c r="G11619" s="11"/>
      <c r="H11619" s="11"/>
      <c r="I11619" s="15"/>
    </row>
    <row r="11620" spans="1:9" ht="16.5">
      <c r="A11620" s="10" t="b">
        <v>0</v>
      </c>
      <c r="B11620" s="11" t="str">
        <f>IF(D11620&lt;&gt;"",IF(COUNTIF('USPTO TMs'!A:A,D11620)&gt;0,"Yes","No"),"")</f>
        <v/>
      </c>
      <c r="C11620" s="11"/>
      <c r="D11620" s="11"/>
      <c r="E11620" s="11"/>
      <c r="F11620" s="11"/>
      <c r="G11620" s="11"/>
      <c r="H11620" s="11"/>
      <c r="I11620" s="15"/>
    </row>
    <row r="11621" spans="1:9" ht="16.5">
      <c r="A11621" s="10" t="b">
        <v>0</v>
      </c>
      <c r="B11621" s="11" t="str">
        <f>IF(D11621&lt;&gt;"",IF(COUNTIF('USPTO TMs'!A:A,D11621)&gt;0,"Yes","No"),"")</f>
        <v/>
      </c>
      <c r="C11621" s="11"/>
      <c r="D11621" s="11"/>
      <c r="E11621" s="11"/>
      <c r="F11621" s="11"/>
      <c r="G11621" s="11"/>
      <c r="H11621" s="11"/>
      <c r="I11621" s="15"/>
    </row>
    <row r="11622" spans="1:9" ht="16.5">
      <c r="A11622" s="10" t="b">
        <v>0</v>
      </c>
      <c r="B11622" s="11" t="str">
        <f>IF(D11622&lt;&gt;"",IF(COUNTIF('USPTO TMs'!A:A,D11622)&gt;0,"Yes","No"),"")</f>
        <v/>
      </c>
      <c r="C11622" s="11"/>
      <c r="D11622" s="11"/>
      <c r="E11622" s="11"/>
      <c r="F11622" s="11"/>
      <c r="G11622" s="11"/>
      <c r="H11622" s="11"/>
      <c r="I11622" s="15"/>
    </row>
    <row r="11623" spans="1:9" ht="16.5">
      <c r="A11623" s="10" t="b">
        <v>0</v>
      </c>
      <c r="B11623" s="11" t="str">
        <f>IF(D11623&lt;&gt;"",IF(COUNTIF('USPTO TMs'!A:A,D11623)&gt;0,"Yes","No"),"")</f>
        <v/>
      </c>
      <c r="C11623" s="11"/>
      <c r="D11623" s="11"/>
      <c r="E11623" s="11"/>
      <c r="F11623" s="11"/>
      <c r="G11623" s="11"/>
      <c r="H11623" s="11"/>
      <c r="I11623" s="15"/>
    </row>
    <row r="11624" spans="1:9" ht="16.5">
      <c r="A11624" s="10" t="b">
        <v>0</v>
      </c>
      <c r="B11624" s="11" t="str">
        <f>IF(D11624&lt;&gt;"",IF(COUNTIF('USPTO TMs'!A:A,D11624)&gt;0,"Yes","No"),"")</f>
        <v/>
      </c>
      <c r="C11624" s="11"/>
      <c r="D11624" s="11"/>
      <c r="E11624" s="11"/>
      <c r="F11624" s="11"/>
      <c r="G11624" s="11"/>
      <c r="H11624" s="11"/>
      <c r="I11624" s="15"/>
    </row>
    <row r="11625" spans="1:9" ht="16.5">
      <c r="A11625" s="10" t="b">
        <v>0</v>
      </c>
      <c r="B11625" s="11" t="str">
        <f>IF(D11625&lt;&gt;"",IF(COUNTIF('USPTO TMs'!A:A,D11625)&gt;0,"Yes","No"),"")</f>
        <v/>
      </c>
      <c r="C11625" s="11"/>
      <c r="D11625" s="11"/>
      <c r="E11625" s="11"/>
      <c r="F11625" s="11"/>
      <c r="G11625" s="11"/>
      <c r="H11625" s="11"/>
      <c r="I11625" s="15"/>
    </row>
    <row r="11626" spans="1:9" ht="16.5">
      <c r="A11626" s="10" t="b">
        <v>0</v>
      </c>
      <c r="B11626" s="11" t="str">
        <f>IF(D11626&lt;&gt;"",IF(COUNTIF('USPTO TMs'!A:A,D11626)&gt;0,"Yes","No"),"")</f>
        <v/>
      </c>
      <c r="C11626" s="11"/>
      <c r="D11626" s="11"/>
      <c r="E11626" s="11"/>
      <c r="F11626" s="11"/>
      <c r="G11626" s="11"/>
      <c r="H11626" s="11"/>
      <c r="I11626" s="15"/>
    </row>
    <row r="11627" spans="1:9" ht="16.5">
      <c r="A11627" s="10" t="b">
        <v>0</v>
      </c>
      <c r="B11627" s="11" t="str">
        <f>IF(D11627&lt;&gt;"",IF(COUNTIF('USPTO TMs'!A:A,D11627)&gt;0,"Yes","No"),"")</f>
        <v/>
      </c>
      <c r="C11627" s="11"/>
      <c r="D11627" s="11"/>
      <c r="E11627" s="11"/>
      <c r="F11627" s="11"/>
      <c r="G11627" s="11"/>
      <c r="H11627" s="11"/>
      <c r="I11627" s="15"/>
    </row>
    <row r="11628" spans="1:9" ht="16.5">
      <c r="A11628" s="10" t="b">
        <v>0</v>
      </c>
      <c r="B11628" s="11" t="str">
        <f>IF(D11628&lt;&gt;"",IF(COUNTIF('USPTO TMs'!A:A,D11628)&gt;0,"Yes","No"),"")</f>
        <v/>
      </c>
      <c r="C11628" s="11"/>
      <c r="D11628" s="11"/>
      <c r="E11628" s="11"/>
      <c r="F11628" s="11"/>
      <c r="G11628" s="11"/>
      <c r="H11628" s="11"/>
      <c r="I11628" s="15"/>
    </row>
    <row r="11629" spans="1:9" ht="16.5">
      <c r="A11629" s="10" t="b">
        <v>0</v>
      </c>
      <c r="B11629" s="11" t="str">
        <f>IF(D11629&lt;&gt;"",IF(COUNTIF('USPTO TMs'!A:A,D11629)&gt;0,"Yes","No"),"")</f>
        <v/>
      </c>
      <c r="C11629" s="11"/>
      <c r="D11629" s="11"/>
      <c r="E11629" s="11"/>
      <c r="F11629" s="11"/>
      <c r="G11629" s="11"/>
      <c r="H11629" s="11"/>
      <c r="I11629" s="15"/>
    </row>
    <row r="11630" spans="1:9" ht="16.5">
      <c r="A11630" s="10" t="b">
        <v>0</v>
      </c>
      <c r="B11630" s="11" t="str">
        <f>IF(D11630&lt;&gt;"",IF(COUNTIF('USPTO TMs'!A:A,D11630)&gt;0,"Yes","No"),"")</f>
        <v/>
      </c>
      <c r="C11630" s="11"/>
      <c r="D11630" s="11"/>
      <c r="E11630" s="11"/>
      <c r="F11630" s="11"/>
      <c r="G11630" s="11"/>
      <c r="H11630" s="11"/>
      <c r="I11630" s="15"/>
    </row>
    <row r="11631" spans="1:9" ht="16.5">
      <c r="A11631" s="10" t="b">
        <v>0</v>
      </c>
      <c r="B11631" s="11" t="str">
        <f>IF(D11631&lt;&gt;"",IF(COUNTIF('USPTO TMs'!A:A,D11631)&gt;0,"Yes","No"),"")</f>
        <v/>
      </c>
      <c r="C11631" s="11"/>
      <c r="D11631" s="11"/>
      <c r="E11631" s="11"/>
      <c r="F11631" s="11"/>
      <c r="G11631" s="11"/>
      <c r="H11631" s="11"/>
      <c r="I11631" s="15"/>
    </row>
    <row r="11632" spans="1:9" ht="16.5">
      <c r="A11632" s="10" t="b">
        <v>0</v>
      </c>
      <c r="B11632" s="11" t="str">
        <f>IF(D11632&lt;&gt;"",IF(COUNTIF('USPTO TMs'!A:A,D11632)&gt;0,"Yes","No"),"")</f>
        <v/>
      </c>
      <c r="C11632" s="11"/>
      <c r="D11632" s="11"/>
      <c r="E11632" s="11"/>
      <c r="F11632" s="11"/>
      <c r="G11632" s="11"/>
      <c r="H11632" s="11"/>
      <c r="I11632" s="15"/>
    </row>
    <row r="11633" spans="1:9" ht="16.5">
      <c r="A11633" s="10" t="b">
        <v>0</v>
      </c>
      <c r="B11633" s="11" t="str">
        <f>IF(D11633&lt;&gt;"",IF(COUNTIF('USPTO TMs'!A:A,D11633)&gt;0,"Yes","No"),"")</f>
        <v/>
      </c>
      <c r="C11633" s="11"/>
      <c r="D11633" s="11"/>
      <c r="E11633" s="11"/>
      <c r="F11633" s="11"/>
      <c r="G11633" s="11"/>
      <c r="H11633" s="11"/>
      <c r="I11633" s="15"/>
    </row>
    <row r="11634" spans="1:9" ht="16.5">
      <c r="A11634" s="10" t="b">
        <v>0</v>
      </c>
      <c r="B11634" s="11" t="str">
        <f>IF(D11634&lt;&gt;"",IF(COUNTIF('USPTO TMs'!A:A,D11634)&gt;0,"Yes","No"),"")</f>
        <v/>
      </c>
      <c r="C11634" s="11"/>
      <c r="D11634" s="11"/>
      <c r="E11634" s="11"/>
      <c r="F11634" s="11"/>
      <c r="G11634" s="11"/>
      <c r="H11634" s="11"/>
      <c r="I11634" s="15"/>
    </row>
    <row r="11635" spans="1:9" ht="16.5">
      <c r="A11635" s="10" t="b">
        <v>0</v>
      </c>
      <c r="B11635" s="11" t="str">
        <f>IF(D11635&lt;&gt;"",IF(COUNTIF('USPTO TMs'!A:A,D11635)&gt;0,"Yes","No"),"")</f>
        <v/>
      </c>
      <c r="C11635" s="11"/>
      <c r="D11635" s="11"/>
      <c r="E11635" s="11"/>
      <c r="F11635" s="11"/>
      <c r="G11635" s="11"/>
      <c r="H11635" s="11"/>
      <c r="I11635" s="15"/>
    </row>
    <row r="11636" spans="1:9" ht="16.5">
      <c r="A11636" s="10" t="b">
        <v>0</v>
      </c>
      <c r="B11636" s="11" t="str">
        <f>IF(D11636&lt;&gt;"",IF(COUNTIF('USPTO TMs'!A:A,D11636)&gt;0,"Yes","No"),"")</f>
        <v/>
      </c>
      <c r="C11636" s="11"/>
      <c r="D11636" s="11"/>
      <c r="E11636" s="11"/>
      <c r="F11636" s="11"/>
      <c r="G11636" s="11"/>
      <c r="H11636" s="11"/>
      <c r="I11636" s="15"/>
    </row>
    <row r="11637" spans="1:9" ht="16.5">
      <c r="A11637" s="10" t="b">
        <v>0</v>
      </c>
      <c r="B11637" s="11" t="str">
        <f>IF(D11637&lt;&gt;"",IF(COUNTIF('USPTO TMs'!A:A,D11637)&gt;0,"Yes","No"),"")</f>
        <v/>
      </c>
      <c r="C11637" s="11"/>
      <c r="D11637" s="11"/>
      <c r="E11637" s="11"/>
      <c r="F11637" s="11"/>
      <c r="G11637" s="11"/>
      <c r="H11637" s="11"/>
      <c r="I11637" s="15"/>
    </row>
    <row r="11638" spans="1:9" ht="16.5">
      <c r="A11638" s="10" t="b">
        <v>0</v>
      </c>
      <c r="B11638" s="11" t="str">
        <f>IF(D11638&lt;&gt;"",IF(COUNTIF('USPTO TMs'!A:A,D11638)&gt;0,"Yes","No"),"")</f>
        <v/>
      </c>
      <c r="C11638" s="11"/>
      <c r="D11638" s="11"/>
      <c r="E11638" s="11"/>
      <c r="F11638" s="11"/>
      <c r="G11638" s="11"/>
      <c r="H11638" s="11"/>
      <c r="I11638" s="15"/>
    </row>
    <row r="11639" spans="1:9" ht="16.5">
      <c r="A11639" s="10" t="b">
        <v>0</v>
      </c>
      <c r="B11639" s="11" t="str">
        <f>IF(D11639&lt;&gt;"",IF(COUNTIF('USPTO TMs'!A:A,D11639)&gt;0,"Yes","No"),"")</f>
        <v/>
      </c>
      <c r="C11639" s="11"/>
      <c r="D11639" s="11"/>
      <c r="E11639" s="11"/>
      <c r="F11639" s="11"/>
      <c r="G11639" s="11"/>
      <c r="H11639" s="11"/>
      <c r="I11639" s="15"/>
    </row>
    <row r="11640" spans="1:9" ht="16.5">
      <c r="A11640" s="10" t="b">
        <v>0</v>
      </c>
      <c r="B11640" s="11" t="str">
        <f>IF(D11640&lt;&gt;"",IF(COUNTIF('USPTO TMs'!A:A,D11640)&gt;0,"Yes","No"),"")</f>
        <v/>
      </c>
      <c r="C11640" s="11"/>
      <c r="D11640" s="11"/>
      <c r="E11640" s="11"/>
      <c r="F11640" s="11"/>
      <c r="G11640" s="11"/>
      <c r="H11640" s="11"/>
      <c r="I11640" s="15"/>
    </row>
    <row r="11641" spans="1:9" ht="16.5">
      <c r="A11641" s="10" t="b">
        <v>0</v>
      </c>
      <c r="B11641" s="11" t="str">
        <f>IF(D11641&lt;&gt;"",IF(COUNTIF('USPTO TMs'!A:A,D11641)&gt;0,"Yes","No"),"")</f>
        <v/>
      </c>
      <c r="C11641" s="11"/>
      <c r="D11641" s="11"/>
      <c r="E11641" s="11"/>
      <c r="F11641" s="11"/>
      <c r="G11641" s="11"/>
      <c r="H11641" s="11"/>
      <c r="I11641" s="15"/>
    </row>
    <row r="11642" spans="1:9" ht="16.5">
      <c r="A11642" s="10" t="b">
        <v>0</v>
      </c>
      <c r="B11642" s="11" t="str">
        <f>IF(D11642&lt;&gt;"",IF(COUNTIF('USPTO TMs'!A:A,D11642)&gt;0,"Yes","No"),"")</f>
        <v/>
      </c>
      <c r="C11642" s="11"/>
      <c r="D11642" s="11"/>
      <c r="E11642" s="11"/>
      <c r="F11642" s="11"/>
      <c r="G11642" s="11"/>
      <c r="H11642" s="11"/>
      <c r="I11642" s="15"/>
    </row>
    <row r="11643" spans="1:9" ht="16.5">
      <c r="A11643" s="10" t="b">
        <v>0</v>
      </c>
      <c r="B11643" s="11" t="str">
        <f>IF(D11643&lt;&gt;"",IF(COUNTIF('USPTO TMs'!A:A,D11643)&gt;0,"Yes","No"),"")</f>
        <v/>
      </c>
      <c r="C11643" s="11"/>
      <c r="D11643" s="11"/>
      <c r="E11643" s="11"/>
      <c r="F11643" s="11"/>
      <c r="G11643" s="11"/>
      <c r="H11643" s="11"/>
      <c r="I11643" s="15"/>
    </row>
    <row r="11644" spans="1:9" ht="16.5">
      <c r="A11644" s="10" t="b">
        <v>0</v>
      </c>
      <c r="B11644" s="11" t="str">
        <f>IF(D11644&lt;&gt;"",IF(COUNTIF('USPTO TMs'!A:A,D11644)&gt;0,"Yes","No"),"")</f>
        <v/>
      </c>
      <c r="C11644" s="11"/>
      <c r="D11644" s="11"/>
      <c r="E11644" s="11"/>
      <c r="F11644" s="11"/>
      <c r="G11644" s="11"/>
      <c r="H11644" s="11"/>
      <c r="I11644" s="15"/>
    </row>
    <row r="11645" spans="1:9" ht="16.5">
      <c r="A11645" s="10" t="b">
        <v>0</v>
      </c>
      <c r="B11645" s="11" t="str">
        <f>IF(D11645&lt;&gt;"",IF(COUNTIF('USPTO TMs'!A:A,D11645)&gt;0,"Yes","No"),"")</f>
        <v/>
      </c>
      <c r="C11645" s="11"/>
      <c r="D11645" s="11"/>
      <c r="E11645" s="11"/>
      <c r="F11645" s="11"/>
      <c r="G11645" s="11"/>
      <c r="H11645" s="11"/>
      <c r="I11645" s="15"/>
    </row>
    <row r="11646" spans="1:9" ht="16.5">
      <c r="A11646" s="10" t="b">
        <v>0</v>
      </c>
      <c r="B11646" s="11" t="str">
        <f>IF(D11646&lt;&gt;"",IF(COUNTIF('USPTO TMs'!A:A,D11646)&gt;0,"Yes","No"),"")</f>
        <v/>
      </c>
      <c r="C11646" s="11"/>
      <c r="D11646" s="11"/>
      <c r="E11646" s="11"/>
      <c r="F11646" s="11"/>
      <c r="G11646" s="11"/>
      <c r="H11646" s="11"/>
      <c r="I11646" s="15"/>
    </row>
    <row r="11647" spans="1:9" ht="16.5">
      <c r="A11647" s="10" t="b">
        <v>0</v>
      </c>
      <c r="B11647" s="11" t="str">
        <f>IF(D11647&lt;&gt;"",IF(COUNTIF('USPTO TMs'!A:A,D11647)&gt;0,"Yes","No"),"")</f>
        <v/>
      </c>
      <c r="C11647" s="11"/>
      <c r="D11647" s="11"/>
      <c r="E11647" s="11"/>
      <c r="F11647" s="11"/>
      <c r="G11647" s="11"/>
      <c r="H11647" s="11"/>
      <c r="I11647" s="15"/>
    </row>
    <row r="11648" spans="1:9" ht="16.5">
      <c r="A11648" s="10" t="b">
        <v>0</v>
      </c>
      <c r="B11648" s="11" t="str">
        <f>IF(D11648&lt;&gt;"",IF(COUNTIF('USPTO TMs'!A:A,D11648)&gt;0,"Yes","No"),"")</f>
        <v/>
      </c>
      <c r="C11648" s="11"/>
      <c r="D11648" s="11"/>
      <c r="E11648" s="11"/>
      <c r="F11648" s="11"/>
      <c r="G11648" s="11"/>
      <c r="H11648" s="11"/>
      <c r="I11648" s="15"/>
    </row>
    <row r="11649" spans="1:9" ht="16.5">
      <c r="A11649" s="10" t="b">
        <v>0</v>
      </c>
      <c r="B11649" s="11" t="str">
        <f>IF(D11649&lt;&gt;"",IF(COUNTIF('USPTO TMs'!A:A,D11649)&gt;0,"Yes","No"),"")</f>
        <v/>
      </c>
      <c r="C11649" s="11"/>
      <c r="D11649" s="11"/>
      <c r="E11649" s="11"/>
      <c r="F11649" s="11"/>
      <c r="G11649" s="11"/>
      <c r="H11649" s="11"/>
      <c r="I11649" s="15"/>
    </row>
    <row r="11650" spans="1:9" ht="16.5">
      <c r="A11650" s="10" t="b">
        <v>0</v>
      </c>
      <c r="B11650" s="11" t="str">
        <f>IF(D11650&lt;&gt;"",IF(COUNTIF('USPTO TMs'!A:A,D11650)&gt;0,"Yes","No"),"")</f>
        <v/>
      </c>
      <c r="C11650" s="11"/>
      <c r="D11650" s="11"/>
      <c r="E11650" s="11"/>
      <c r="F11650" s="11"/>
      <c r="G11650" s="11"/>
      <c r="H11650" s="11"/>
      <c r="I11650" s="15"/>
    </row>
    <row r="11651" spans="1:9" ht="16.5">
      <c r="A11651" s="10" t="b">
        <v>0</v>
      </c>
      <c r="B11651" s="11" t="str">
        <f>IF(D11651&lt;&gt;"",IF(COUNTIF('USPTO TMs'!A:A,D11651)&gt;0,"Yes","No"),"")</f>
        <v/>
      </c>
      <c r="C11651" s="11"/>
      <c r="D11651" s="11"/>
      <c r="E11651" s="11"/>
      <c r="F11651" s="11"/>
      <c r="G11651" s="11"/>
      <c r="H11651" s="11"/>
      <c r="I11651" s="15"/>
    </row>
    <row r="11652" spans="1:9" ht="16.5">
      <c r="A11652" s="10" t="b">
        <v>0</v>
      </c>
      <c r="B11652" s="11" t="str">
        <f>IF(D11652&lt;&gt;"",IF(COUNTIF('USPTO TMs'!A:A,D11652)&gt;0,"Yes","No"),"")</f>
        <v/>
      </c>
      <c r="C11652" s="11"/>
      <c r="D11652" s="11"/>
      <c r="E11652" s="11"/>
      <c r="F11652" s="11"/>
      <c r="G11652" s="11"/>
      <c r="H11652" s="11"/>
      <c r="I11652" s="15"/>
    </row>
    <row r="11653" spans="1:9" ht="16.5">
      <c r="A11653" s="10" t="b">
        <v>0</v>
      </c>
      <c r="B11653" s="11" t="str">
        <f>IF(D11653&lt;&gt;"",IF(COUNTIF('USPTO TMs'!A:A,D11653)&gt;0,"Yes","No"),"")</f>
        <v/>
      </c>
      <c r="C11653" s="11"/>
      <c r="D11653" s="11"/>
      <c r="E11653" s="11"/>
      <c r="F11653" s="11"/>
      <c r="G11653" s="11"/>
      <c r="H11653" s="11"/>
      <c r="I11653" s="15"/>
    </row>
    <row r="11654" spans="1:9" ht="16.5">
      <c r="A11654" s="10" t="b">
        <v>0</v>
      </c>
      <c r="B11654" s="11" t="str">
        <f>IF(D11654&lt;&gt;"",IF(COUNTIF('USPTO TMs'!A:A,D11654)&gt;0,"Yes","No"),"")</f>
        <v/>
      </c>
      <c r="C11654" s="11"/>
      <c r="D11654" s="11"/>
      <c r="E11654" s="11"/>
      <c r="F11654" s="11"/>
      <c r="G11654" s="11"/>
      <c r="H11654" s="11"/>
      <c r="I11654" s="15"/>
    </row>
    <row r="11655" spans="1:9" ht="16.5">
      <c r="A11655" s="10" t="b">
        <v>0</v>
      </c>
      <c r="B11655" s="11" t="str">
        <f>IF(D11655&lt;&gt;"",IF(COUNTIF('USPTO TMs'!A:A,D11655)&gt;0,"Yes","No"),"")</f>
        <v/>
      </c>
      <c r="C11655" s="11"/>
      <c r="D11655" s="11"/>
      <c r="E11655" s="11"/>
      <c r="F11655" s="11"/>
      <c r="G11655" s="11"/>
      <c r="H11655" s="11"/>
      <c r="I11655" s="15"/>
    </row>
    <row r="11656" spans="1:9" ht="16.5">
      <c r="A11656" s="10" t="b">
        <v>0</v>
      </c>
      <c r="B11656" s="11" t="str">
        <f>IF(D11656&lt;&gt;"",IF(COUNTIF('USPTO TMs'!A:A,D11656)&gt;0,"Yes","No"),"")</f>
        <v/>
      </c>
      <c r="C11656" s="11"/>
      <c r="D11656" s="11"/>
      <c r="E11656" s="11"/>
      <c r="F11656" s="11"/>
      <c r="G11656" s="11"/>
      <c r="H11656" s="11"/>
      <c r="I11656" s="15"/>
    </row>
    <row r="11657" spans="1:9" ht="16.5">
      <c r="A11657" s="10" t="b">
        <v>0</v>
      </c>
      <c r="B11657" s="11" t="str">
        <f>IF(D11657&lt;&gt;"",IF(COUNTIF('USPTO TMs'!A:A,D11657)&gt;0,"Yes","No"),"")</f>
        <v/>
      </c>
      <c r="C11657" s="11"/>
      <c r="D11657" s="11"/>
      <c r="E11657" s="11"/>
      <c r="F11657" s="11"/>
      <c r="G11657" s="11"/>
      <c r="H11657" s="11"/>
      <c r="I11657" s="15"/>
    </row>
    <row r="11658" spans="1:9" ht="16.5">
      <c r="A11658" s="10" t="b">
        <v>0</v>
      </c>
      <c r="B11658" s="11" t="str">
        <f>IF(D11658&lt;&gt;"",IF(COUNTIF('USPTO TMs'!A:A,D11658)&gt;0,"Yes","No"),"")</f>
        <v/>
      </c>
      <c r="C11658" s="11"/>
      <c r="D11658" s="11"/>
      <c r="E11658" s="11"/>
      <c r="F11658" s="11"/>
      <c r="G11658" s="11"/>
      <c r="H11658" s="11"/>
      <c r="I11658" s="15"/>
    </row>
    <row r="11659" spans="1:9" ht="16.5">
      <c r="A11659" s="10" t="b">
        <v>0</v>
      </c>
      <c r="B11659" s="11" t="str">
        <f>IF(D11659&lt;&gt;"",IF(COUNTIF('USPTO TMs'!A:A,D11659)&gt;0,"Yes","No"),"")</f>
        <v/>
      </c>
      <c r="C11659" s="11"/>
      <c r="D11659" s="11"/>
      <c r="E11659" s="11"/>
      <c r="F11659" s="11"/>
      <c r="G11659" s="11"/>
      <c r="H11659" s="11"/>
      <c r="I11659" s="15"/>
    </row>
    <row r="11660" spans="1:9" ht="16.5">
      <c r="A11660" s="10" t="b">
        <v>0</v>
      </c>
      <c r="B11660" s="11" t="str">
        <f>IF(D11660&lt;&gt;"",IF(COUNTIF('USPTO TMs'!A:A,D11660)&gt;0,"Yes","No"),"")</f>
        <v/>
      </c>
      <c r="C11660" s="11"/>
      <c r="D11660" s="11"/>
      <c r="E11660" s="11"/>
      <c r="F11660" s="11"/>
      <c r="G11660" s="11"/>
      <c r="H11660" s="11"/>
      <c r="I11660" s="15"/>
    </row>
    <row r="11661" spans="1:9" ht="16.5">
      <c r="A11661" s="10" t="b">
        <v>0</v>
      </c>
      <c r="B11661" s="11" t="str">
        <f>IF(D11661&lt;&gt;"",IF(COUNTIF('USPTO TMs'!A:A,D11661)&gt;0,"Yes","No"),"")</f>
        <v/>
      </c>
      <c r="C11661" s="11"/>
      <c r="D11661" s="11"/>
      <c r="E11661" s="11"/>
      <c r="F11661" s="11"/>
      <c r="G11661" s="11"/>
      <c r="H11661" s="11"/>
      <c r="I11661" s="15"/>
    </row>
    <row r="11662" spans="1:9" ht="16.5">
      <c r="A11662" s="10" t="b">
        <v>0</v>
      </c>
      <c r="B11662" s="11" t="str">
        <f>IF(D11662&lt;&gt;"",IF(COUNTIF('USPTO TMs'!A:A,D11662)&gt;0,"Yes","No"),"")</f>
        <v/>
      </c>
      <c r="C11662" s="11"/>
      <c r="D11662" s="11"/>
      <c r="E11662" s="11"/>
      <c r="F11662" s="11"/>
      <c r="G11662" s="11"/>
      <c r="H11662" s="11"/>
      <c r="I11662" s="15"/>
    </row>
    <row r="11663" spans="1:9" ht="16.5">
      <c r="A11663" s="10" t="b">
        <v>0</v>
      </c>
      <c r="B11663" s="11" t="str">
        <f>IF(D11663&lt;&gt;"",IF(COUNTIF('USPTO TMs'!A:A,D11663)&gt;0,"Yes","No"),"")</f>
        <v/>
      </c>
      <c r="C11663" s="11"/>
      <c r="D11663" s="11"/>
      <c r="E11663" s="11"/>
      <c r="F11663" s="11"/>
      <c r="G11663" s="11"/>
      <c r="H11663" s="11"/>
      <c r="I11663" s="15"/>
    </row>
    <row r="11664" spans="1:9" ht="16.5">
      <c r="A11664" s="10" t="b">
        <v>0</v>
      </c>
      <c r="B11664" s="11" t="str">
        <f>IF(D11664&lt;&gt;"",IF(COUNTIF('USPTO TMs'!A:A,D11664)&gt;0,"Yes","No"),"")</f>
        <v/>
      </c>
      <c r="C11664" s="11"/>
      <c r="D11664" s="11"/>
      <c r="E11664" s="11"/>
      <c r="F11664" s="11"/>
      <c r="G11664" s="11"/>
      <c r="H11664" s="11"/>
      <c r="I11664" s="15"/>
    </row>
    <row r="11665" spans="1:9" ht="16.5">
      <c r="A11665" s="10" t="b">
        <v>0</v>
      </c>
      <c r="B11665" s="11" t="str">
        <f>IF(D11665&lt;&gt;"",IF(COUNTIF('USPTO TMs'!A:A,D11665)&gt;0,"Yes","No"),"")</f>
        <v/>
      </c>
      <c r="C11665" s="11"/>
      <c r="D11665" s="11"/>
      <c r="E11665" s="11"/>
      <c r="F11665" s="11"/>
      <c r="G11665" s="11"/>
      <c r="H11665" s="11"/>
      <c r="I11665" s="15"/>
    </row>
    <row r="11666" spans="1:9" ht="16.5">
      <c r="A11666" s="10" t="b">
        <v>0</v>
      </c>
      <c r="B11666" s="11" t="str">
        <f>IF(D11666&lt;&gt;"",IF(COUNTIF('USPTO TMs'!A:A,D11666)&gt;0,"Yes","No"),"")</f>
        <v/>
      </c>
      <c r="C11666" s="11"/>
      <c r="D11666" s="11"/>
      <c r="E11666" s="11"/>
      <c r="F11666" s="11"/>
      <c r="G11666" s="11"/>
      <c r="H11666" s="11"/>
      <c r="I11666" s="15"/>
    </row>
    <row r="11667" spans="1:9" ht="16.5">
      <c r="A11667" s="10" t="b">
        <v>0</v>
      </c>
      <c r="B11667" s="11" t="str">
        <f>IF(D11667&lt;&gt;"",IF(COUNTIF('USPTO TMs'!A:A,D11667)&gt;0,"Yes","No"),"")</f>
        <v/>
      </c>
      <c r="C11667" s="11"/>
      <c r="D11667" s="11"/>
      <c r="E11667" s="11"/>
      <c r="F11667" s="11"/>
      <c r="G11667" s="11"/>
      <c r="H11667" s="11"/>
      <c r="I11667" s="15"/>
    </row>
    <row r="11668" spans="1:9" ht="16.5">
      <c r="A11668" s="10" t="b">
        <v>0</v>
      </c>
      <c r="B11668" s="11" t="str">
        <f>IF(D11668&lt;&gt;"",IF(COUNTIF('USPTO TMs'!A:A,D11668)&gt;0,"Yes","No"),"")</f>
        <v/>
      </c>
      <c r="C11668" s="11"/>
      <c r="D11668" s="11"/>
      <c r="E11668" s="11"/>
      <c r="F11668" s="11"/>
      <c r="G11668" s="11"/>
      <c r="H11668" s="11"/>
      <c r="I11668" s="15"/>
    </row>
    <row r="11669" spans="1:9" ht="16.5">
      <c r="A11669" s="10" t="b">
        <v>0</v>
      </c>
      <c r="B11669" s="11" t="str">
        <f>IF(D11669&lt;&gt;"",IF(COUNTIF('USPTO TMs'!A:A,D11669)&gt;0,"Yes","No"),"")</f>
        <v/>
      </c>
      <c r="C11669" s="11"/>
      <c r="D11669" s="11"/>
      <c r="E11669" s="11"/>
      <c r="F11669" s="11"/>
      <c r="G11669" s="11"/>
      <c r="H11669" s="11"/>
      <c r="I11669" s="15"/>
    </row>
    <row r="11670" spans="1:9" ht="16.5">
      <c r="A11670" s="10" t="b">
        <v>0</v>
      </c>
      <c r="B11670" s="11" t="str">
        <f>IF(D11670&lt;&gt;"",IF(COUNTIF('USPTO TMs'!A:A,D11670)&gt;0,"Yes","No"),"")</f>
        <v/>
      </c>
      <c r="C11670" s="11"/>
      <c r="D11670" s="11"/>
      <c r="E11670" s="11"/>
      <c r="F11670" s="11"/>
      <c r="G11670" s="11"/>
      <c r="H11670" s="11"/>
      <c r="I11670" s="15"/>
    </row>
    <row r="11671" spans="1:9" ht="16.5">
      <c r="A11671" s="10" t="b">
        <v>0</v>
      </c>
      <c r="B11671" s="11" t="str">
        <f>IF(D11671&lt;&gt;"",IF(COUNTIF('USPTO TMs'!A:A,D11671)&gt;0,"Yes","No"),"")</f>
        <v/>
      </c>
      <c r="C11671" s="11"/>
      <c r="D11671" s="11"/>
      <c r="E11671" s="11"/>
      <c r="F11671" s="11"/>
      <c r="G11671" s="11"/>
      <c r="H11671" s="11"/>
      <c r="I11671" s="15"/>
    </row>
    <row r="11672" spans="1:9" ht="16.5">
      <c r="A11672" s="10" t="b">
        <v>0</v>
      </c>
      <c r="B11672" s="11" t="str">
        <f>IF(D11672&lt;&gt;"",IF(COUNTIF('USPTO TMs'!A:A,D11672)&gt;0,"Yes","No"),"")</f>
        <v/>
      </c>
      <c r="C11672" s="11"/>
      <c r="D11672" s="11"/>
      <c r="E11672" s="11"/>
      <c r="F11672" s="11"/>
      <c r="G11672" s="11"/>
      <c r="H11672" s="11"/>
      <c r="I11672" s="15"/>
    </row>
    <row r="11673" spans="1:9" ht="16.5">
      <c r="A11673" s="10" t="b">
        <v>0</v>
      </c>
      <c r="B11673" s="11" t="str">
        <f>IF(D11673&lt;&gt;"",IF(COUNTIF('USPTO TMs'!A:A,D11673)&gt;0,"Yes","No"),"")</f>
        <v/>
      </c>
      <c r="C11673" s="11"/>
      <c r="D11673" s="11"/>
      <c r="E11673" s="11"/>
      <c r="F11673" s="11"/>
      <c r="G11673" s="11"/>
      <c r="H11673" s="11"/>
      <c r="I11673" s="15"/>
    </row>
    <row r="11674" spans="1:9" ht="16.5">
      <c r="A11674" s="10" t="b">
        <v>0</v>
      </c>
      <c r="B11674" s="11" t="str">
        <f>IF(D11674&lt;&gt;"",IF(COUNTIF('USPTO TMs'!A:A,D11674)&gt;0,"Yes","No"),"")</f>
        <v/>
      </c>
      <c r="C11674" s="11"/>
      <c r="D11674" s="11"/>
      <c r="E11674" s="11"/>
      <c r="F11674" s="11"/>
      <c r="G11674" s="11"/>
      <c r="H11674" s="11"/>
      <c r="I11674" s="15"/>
    </row>
    <row r="11675" spans="1:9" ht="16.5">
      <c r="A11675" s="10" t="b">
        <v>0</v>
      </c>
      <c r="B11675" s="11" t="str">
        <f>IF(D11675&lt;&gt;"",IF(COUNTIF('USPTO TMs'!A:A,D11675)&gt;0,"Yes","No"),"")</f>
        <v/>
      </c>
      <c r="C11675" s="11"/>
      <c r="D11675" s="11"/>
      <c r="E11675" s="11"/>
      <c r="F11675" s="11"/>
      <c r="G11675" s="11"/>
      <c r="H11675" s="11"/>
      <c r="I11675" s="15"/>
    </row>
    <row r="11676" spans="1:9" ht="16.5">
      <c r="A11676" s="10" t="b">
        <v>0</v>
      </c>
      <c r="B11676" s="11" t="str">
        <f>IF(D11676&lt;&gt;"",IF(COUNTIF('USPTO TMs'!A:A,D11676)&gt;0,"Yes","No"),"")</f>
        <v/>
      </c>
      <c r="C11676" s="11"/>
      <c r="D11676" s="11"/>
      <c r="E11676" s="11"/>
      <c r="F11676" s="11"/>
      <c r="G11676" s="11"/>
      <c r="H11676" s="11"/>
      <c r="I11676" s="15"/>
    </row>
    <row r="11677" spans="1:9" ht="16.5">
      <c r="A11677" s="10" t="b">
        <v>0</v>
      </c>
      <c r="B11677" s="11" t="str">
        <f>IF(D11677&lt;&gt;"",IF(COUNTIF('USPTO TMs'!A:A,D11677)&gt;0,"Yes","No"),"")</f>
        <v/>
      </c>
      <c r="C11677" s="11"/>
      <c r="D11677" s="11"/>
      <c r="E11677" s="11"/>
      <c r="F11677" s="11"/>
      <c r="G11677" s="11"/>
      <c r="H11677" s="11"/>
      <c r="I11677" s="15"/>
    </row>
    <row r="11678" spans="1:9" ht="16.5">
      <c r="A11678" s="10" t="b">
        <v>0</v>
      </c>
      <c r="B11678" s="11" t="str">
        <f>IF(D11678&lt;&gt;"",IF(COUNTIF('USPTO TMs'!A:A,D11678)&gt;0,"Yes","No"),"")</f>
        <v/>
      </c>
      <c r="C11678" s="11"/>
      <c r="D11678" s="11"/>
      <c r="E11678" s="11"/>
      <c r="F11678" s="11"/>
      <c r="G11678" s="11"/>
      <c r="H11678" s="11"/>
      <c r="I11678" s="15"/>
    </row>
    <row r="11679" spans="1:9" ht="16.5">
      <c r="A11679" s="10" t="b">
        <v>0</v>
      </c>
      <c r="B11679" s="11" t="str">
        <f>IF(D11679&lt;&gt;"",IF(COUNTIF('USPTO TMs'!A:A,D11679)&gt;0,"Yes","No"),"")</f>
        <v/>
      </c>
      <c r="C11679" s="11"/>
      <c r="D11679" s="11"/>
      <c r="E11679" s="11"/>
      <c r="F11679" s="11"/>
      <c r="G11679" s="11"/>
      <c r="H11679" s="11"/>
      <c r="I11679" s="15"/>
    </row>
    <row r="11680" spans="1:9" ht="16.5">
      <c r="A11680" s="10" t="b">
        <v>0</v>
      </c>
      <c r="B11680" s="11" t="str">
        <f>IF(D11680&lt;&gt;"",IF(COUNTIF('USPTO TMs'!A:A,D11680)&gt;0,"Yes","No"),"")</f>
        <v/>
      </c>
      <c r="C11680" s="11"/>
      <c r="D11680" s="11"/>
      <c r="E11680" s="11"/>
      <c r="F11680" s="11"/>
      <c r="G11680" s="11"/>
      <c r="H11680" s="11"/>
      <c r="I11680" s="15"/>
    </row>
    <row r="11681" spans="1:9" ht="16.5">
      <c r="A11681" s="10" t="b">
        <v>0</v>
      </c>
      <c r="B11681" s="11" t="str">
        <f>IF(D11681&lt;&gt;"",IF(COUNTIF('USPTO TMs'!A:A,D11681)&gt;0,"Yes","No"),"")</f>
        <v/>
      </c>
      <c r="C11681" s="11"/>
      <c r="D11681" s="11"/>
      <c r="E11681" s="11"/>
      <c r="F11681" s="11"/>
      <c r="G11681" s="11"/>
      <c r="H11681" s="11"/>
      <c r="I11681" s="15"/>
    </row>
    <row r="11682" spans="1:9" ht="16.5">
      <c r="A11682" s="10" t="b">
        <v>0</v>
      </c>
      <c r="B11682" s="11" t="str">
        <f>IF(D11682&lt;&gt;"",IF(COUNTIF('USPTO TMs'!A:A,D11682)&gt;0,"Yes","No"),"")</f>
        <v/>
      </c>
      <c r="C11682" s="11"/>
      <c r="D11682" s="11"/>
      <c r="E11682" s="11"/>
      <c r="F11682" s="11"/>
      <c r="G11682" s="11"/>
      <c r="H11682" s="11"/>
      <c r="I11682" s="15"/>
    </row>
    <row r="11683" spans="1:9" ht="16.5">
      <c r="A11683" s="10" t="b">
        <v>0</v>
      </c>
      <c r="B11683" s="11" t="str">
        <f>IF(D11683&lt;&gt;"",IF(COUNTIF('USPTO TMs'!A:A,D11683)&gt;0,"Yes","No"),"")</f>
        <v/>
      </c>
      <c r="C11683" s="11"/>
      <c r="D11683" s="11"/>
      <c r="E11683" s="11"/>
      <c r="F11683" s="11"/>
      <c r="G11683" s="11"/>
      <c r="H11683" s="11"/>
      <c r="I11683" s="15"/>
    </row>
    <row r="11684" spans="1:9" ht="16.5">
      <c r="A11684" s="10" t="b">
        <v>0</v>
      </c>
      <c r="B11684" s="11" t="str">
        <f>IF(D11684&lt;&gt;"",IF(COUNTIF('USPTO TMs'!A:A,D11684)&gt;0,"Yes","No"),"")</f>
        <v/>
      </c>
      <c r="C11684" s="11"/>
      <c r="D11684" s="11"/>
      <c r="E11684" s="11"/>
      <c r="F11684" s="11"/>
      <c r="G11684" s="11"/>
      <c r="H11684" s="11"/>
      <c r="I11684" s="15"/>
    </row>
    <row r="11685" spans="1:9" ht="16.5">
      <c r="A11685" s="10" t="b">
        <v>0</v>
      </c>
      <c r="B11685" s="11" t="str">
        <f>IF(D11685&lt;&gt;"",IF(COUNTIF('USPTO TMs'!A:A,D11685)&gt;0,"Yes","No"),"")</f>
        <v/>
      </c>
      <c r="C11685" s="11"/>
      <c r="D11685" s="11"/>
      <c r="E11685" s="11"/>
      <c r="F11685" s="11"/>
      <c r="G11685" s="11"/>
      <c r="H11685" s="11"/>
      <c r="I11685" s="15"/>
    </row>
    <row r="11686" spans="1:9" ht="16.5">
      <c r="A11686" s="10" t="b">
        <v>0</v>
      </c>
      <c r="B11686" s="11" t="str">
        <f>IF(D11686&lt;&gt;"",IF(COUNTIF('USPTO TMs'!A:A,D11686)&gt;0,"Yes","No"),"")</f>
        <v/>
      </c>
      <c r="C11686" s="11"/>
      <c r="D11686" s="11"/>
      <c r="E11686" s="11"/>
      <c r="F11686" s="11"/>
      <c r="G11686" s="11"/>
      <c r="H11686" s="11"/>
      <c r="I11686" s="15"/>
    </row>
    <row r="11687" spans="1:9" ht="16.5">
      <c r="A11687" s="10" t="b">
        <v>0</v>
      </c>
      <c r="B11687" s="11" t="str">
        <f>IF(D11687&lt;&gt;"",IF(COUNTIF('USPTO TMs'!A:A,D11687)&gt;0,"Yes","No"),"")</f>
        <v/>
      </c>
      <c r="C11687" s="11"/>
      <c r="D11687" s="11"/>
      <c r="E11687" s="11"/>
      <c r="F11687" s="11"/>
      <c r="G11687" s="11"/>
      <c r="H11687" s="11"/>
      <c r="I11687" s="15"/>
    </row>
    <row r="11688" spans="1:9" ht="16.5">
      <c r="A11688" s="10" t="b">
        <v>0</v>
      </c>
      <c r="B11688" s="11" t="str">
        <f>IF(D11688&lt;&gt;"",IF(COUNTIF('USPTO TMs'!A:A,D11688)&gt;0,"Yes","No"),"")</f>
        <v/>
      </c>
      <c r="C11688" s="11"/>
      <c r="D11688" s="11"/>
      <c r="E11688" s="11"/>
      <c r="F11688" s="11"/>
      <c r="G11688" s="11"/>
      <c r="H11688" s="11"/>
      <c r="I11688" s="15"/>
    </row>
    <row r="11689" spans="1:9" ht="16.5">
      <c r="A11689" s="10" t="b">
        <v>0</v>
      </c>
      <c r="B11689" s="11" t="str">
        <f>IF(D11689&lt;&gt;"",IF(COUNTIF('USPTO TMs'!A:A,D11689)&gt;0,"Yes","No"),"")</f>
        <v/>
      </c>
      <c r="C11689" s="11"/>
      <c r="D11689" s="11"/>
      <c r="E11689" s="11"/>
      <c r="F11689" s="11"/>
      <c r="G11689" s="11"/>
      <c r="H11689" s="11"/>
      <c r="I11689" s="15"/>
    </row>
    <row r="11690" spans="1:9" ht="16.5">
      <c r="A11690" s="10" t="b">
        <v>0</v>
      </c>
      <c r="B11690" s="11" t="str">
        <f>IF(D11690&lt;&gt;"",IF(COUNTIF('USPTO TMs'!A:A,D11690)&gt;0,"Yes","No"),"")</f>
        <v/>
      </c>
      <c r="C11690" s="11"/>
      <c r="D11690" s="11"/>
      <c r="E11690" s="11"/>
      <c r="F11690" s="11"/>
      <c r="G11690" s="11"/>
      <c r="H11690" s="11"/>
      <c r="I11690" s="15"/>
    </row>
    <row r="11691" spans="1:9" ht="16.5">
      <c r="A11691" s="10" t="b">
        <v>0</v>
      </c>
      <c r="B11691" s="11" t="str">
        <f>IF(D11691&lt;&gt;"",IF(COUNTIF('USPTO TMs'!A:A,D11691)&gt;0,"Yes","No"),"")</f>
        <v/>
      </c>
      <c r="C11691" s="11"/>
      <c r="D11691" s="11"/>
      <c r="E11691" s="11"/>
      <c r="F11691" s="11"/>
      <c r="G11691" s="11"/>
      <c r="H11691" s="11"/>
      <c r="I11691" s="15"/>
    </row>
    <row r="11692" spans="1:9" ht="16.5">
      <c r="A11692" s="10" t="b">
        <v>0</v>
      </c>
      <c r="B11692" s="11" t="str">
        <f>IF(D11692&lt;&gt;"",IF(COUNTIF('USPTO TMs'!A:A,D11692)&gt;0,"Yes","No"),"")</f>
        <v/>
      </c>
      <c r="C11692" s="11"/>
      <c r="D11692" s="11"/>
      <c r="E11692" s="11"/>
      <c r="F11692" s="11"/>
      <c r="G11692" s="11"/>
      <c r="H11692" s="11"/>
      <c r="I11692" s="15"/>
    </row>
    <row r="11693" spans="1:9" ht="16.5">
      <c r="A11693" s="10" t="b">
        <v>0</v>
      </c>
      <c r="B11693" s="11" t="str">
        <f>IF(D11693&lt;&gt;"",IF(COUNTIF('USPTO TMs'!A:A,D11693)&gt;0,"Yes","No"),"")</f>
        <v/>
      </c>
      <c r="C11693" s="11"/>
      <c r="D11693" s="11"/>
      <c r="E11693" s="11"/>
      <c r="F11693" s="11"/>
      <c r="G11693" s="11"/>
      <c r="H11693" s="11"/>
      <c r="I11693" s="15"/>
    </row>
    <row r="11694" spans="1:9" ht="16.5">
      <c r="A11694" s="10" t="b">
        <v>0</v>
      </c>
      <c r="B11694" s="11" t="str">
        <f>IF(D11694&lt;&gt;"",IF(COUNTIF('USPTO TMs'!A:A,D11694)&gt;0,"Yes","No"),"")</f>
        <v/>
      </c>
      <c r="C11694" s="11"/>
      <c r="D11694" s="11"/>
      <c r="E11694" s="11"/>
      <c r="F11694" s="11"/>
      <c r="G11694" s="11"/>
      <c r="H11694" s="11"/>
      <c r="I11694" s="15"/>
    </row>
    <row r="11695" spans="1:9" ht="16.5">
      <c r="A11695" s="10" t="b">
        <v>0</v>
      </c>
      <c r="B11695" s="11" t="str">
        <f>IF(D11695&lt;&gt;"",IF(COUNTIF('USPTO TMs'!A:A,D11695)&gt;0,"Yes","No"),"")</f>
        <v/>
      </c>
      <c r="C11695" s="11"/>
      <c r="D11695" s="11"/>
      <c r="E11695" s="11"/>
      <c r="F11695" s="11"/>
      <c r="G11695" s="11"/>
      <c r="H11695" s="11"/>
      <c r="I11695" s="15"/>
    </row>
    <row r="11696" spans="1:9" ht="16.5">
      <c r="A11696" s="10" t="b">
        <v>0</v>
      </c>
      <c r="B11696" s="11" t="str">
        <f>IF(D11696&lt;&gt;"",IF(COUNTIF('USPTO TMs'!A:A,D11696)&gt;0,"Yes","No"),"")</f>
        <v/>
      </c>
      <c r="C11696" s="11"/>
      <c r="D11696" s="11"/>
      <c r="E11696" s="11"/>
      <c r="F11696" s="11"/>
      <c r="G11696" s="11"/>
      <c r="H11696" s="11"/>
      <c r="I11696" s="15"/>
    </row>
    <row r="11697" spans="1:9" ht="16.5">
      <c r="A11697" s="10" t="b">
        <v>0</v>
      </c>
      <c r="B11697" s="11" t="str">
        <f>IF(D11697&lt;&gt;"",IF(COUNTIF('USPTO TMs'!A:A,D11697)&gt;0,"Yes","No"),"")</f>
        <v/>
      </c>
      <c r="C11697" s="11"/>
      <c r="D11697" s="11"/>
      <c r="E11697" s="11"/>
      <c r="F11697" s="11"/>
      <c r="G11697" s="11"/>
      <c r="H11697" s="11"/>
      <c r="I11697" s="15"/>
    </row>
    <row r="11698" spans="1:9" ht="16.5">
      <c r="A11698" s="10" t="b">
        <v>0</v>
      </c>
      <c r="B11698" s="11" t="str">
        <f>IF(D11698&lt;&gt;"",IF(COUNTIF('USPTO TMs'!A:A,D11698)&gt;0,"Yes","No"),"")</f>
        <v/>
      </c>
      <c r="C11698" s="11"/>
      <c r="D11698" s="11"/>
      <c r="E11698" s="11"/>
      <c r="F11698" s="11"/>
      <c r="G11698" s="11"/>
      <c r="H11698" s="11"/>
      <c r="I11698" s="15"/>
    </row>
    <row r="11699" spans="1:9" ht="16.5">
      <c r="A11699" s="10" t="b">
        <v>0</v>
      </c>
      <c r="B11699" s="11" t="str">
        <f>IF(D11699&lt;&gt;"",IF(COUNTIF('USPTO TMs'!A:A,D11699)&gt;0,"Yes","No"),"")</f>
        <v/>
      </c>
      <c r="C11699" s="11"/>
      <c r="D11699" s="11"/>
      <c r="E11699" s="11"/>
      <c r="F11699" s="11"/>
      <c r="G11699" s="11"/>
      <c r="H11699" s="11"/>
      <c r="I11699" s="15"/>
    </row>
    <row r="11700" spans="1:9" ht="16.5">
      <c r="A11700" s="10" t="b">
        <v>0</v>
      </c>
      <c r="B11700" s="11" t="str">
        <f>IF(D11700&lt;&gt;"",IF(COUNTIF('USPTO TMs'!A:A,D11700)&gt;0,"Yes","No"),"")</f>
        <v/>
      </c>
      <c r="C11700" s="11"/>
      <c r="D11700" s="11"/>
      <c r="E11700" s="11"/>
      <c r="F11700" s="11"/>
      <c r="G11700" s="11"/>
      <c r="H11700" s="11"/>
      <c r="I11700" s="15"/>
    </row>
    <row r="11701" spans="1:9" ht="16.5">
      <c r="A11701" s="10" t="b">
        <v>0</v>
      </c>
      <c r="B11701" s="11" t="str">
        <f>IF(D11701&lt;&gt;"",IF(COUNTIF('USPTO TMs'!A:A,D11701)&gt;0,"Yes","No"),"")</f>
        <v/>
      </c>
      <c r="C11701" s="11"/>
      <c r="D11701" s="11"/>
      <c r="E11701" s="11"/>
      <c r="F11701" s="11"/>
      <c r="G11701" s="11"/>
      <c r="H11701" s="11"/>
      <c r="I11701" s="15"/>
    </row>
    <row r="11702" spans="1:9" ht="16.5">
      <c r="A11702" s="10" t="b">
        <v>0</v>
      </c>
      <c r="B11702" s="11" t="str">
        <f>IF(D11702&lt;&gt;"",IF(COUNTIF('USPTO TMs'!A:A,D11702)&gt;0,"Yes","No"),"")</f>
        <v/>
      </c>
      <c r="C11702" s="11"/>
      <c r="D11702" s="11"/>
      <c r="E11702" s="11"/>
      <c r="F11702" s="11"/>
      <c r="G11702" s="11"/>
      <c r="H11702" s="11"/>
      <c r="I11702" s="15"/>
    </row>
    <row r="11703" spans="1:9" ht="16.5">
      <c r="A11703" s="10" t="b">
        <v>0</v>
      </c>
      <c r="B11703" s="11" t="str">
        <f>IF(D11703&lt;&gt;"",IF(COUNTIF('USPTO TMs'!A:A,D11703)&gt;0,"Yes","No"),"")</f>
        <v/>
      </c>
      <c r="C11703" s="11"/>
      <c r="D11703" s="11"/>
      <c r="E11703" s="11"/>
      <c r="F11703" s="11"/>
      <c r="G11703" s="11"/>
      <c r="H11703" s="11"/>
      <c r="I11703" s="15"/>
    </row>
    <row r="11704" spans="1:9" ht="16.5">
      <c r="A11704" s="10" t="b">
        <v>0</v>
      </c>
      <c r="B11704" s="11" t="str">
        <f>IF(D11704&lt;&gt;"",IF(COUNTIF('USPTO TMs'!A:A,D11704)&gt;0,"Yes","No"),"")</f>
        <v/>
      </c>
      <c r="C11704" s="11"/>
      <c r="D11704" s="11"/>
      <c r="E11704" s="11"/>
      <c r="F11704" s="11"/>
      <c r="G11704" s="11"/>
      <c r="H11704" s="11"/>
      <c r="I11704" s="15"/>
    </row>
    <row r="11705" spans="1:9" ht="16.5">
      <c r="A11705" s="10" t="b">
        <v>0</v>
      </c>
      <c r="B11705" s="11" t="str">
        <f>IF(D11705&lt;&gt;"",IF(COUNTIF('USPTO TMs'!A:A,D11705)&gt;0,"Yes","No"),"")</f>
        <v/>
      </c>
      <c r="C11705" s="11"/>
      <c r="D11705" s="11"/>
      <c r="E11705" s="11"/>
      <c r="F11705" s="11"/>
      <c r="G11705" s="11"/>
      <c r="H11705" s="11"/>
      <c r="I11705" s="15"/>
    </row>
    <row r="11706" spans="1:9" ht="16.5">
      <c r="A11706" s="10" t="b">
        <v>0</v>
      </c>
      <c r="B11706" s="11" t="str">
        <f>IF(D11706&lt;&gt;"",IF(COUNTIF('USPTO TMs'!A:A,D11706)&gt;0,"Yes","No"),"")</f>
        <v/>
      </c>
      <c r="C11706" s="11"/>
      <c r="D11706" s="11"/>
      <c r="E11706" s="11"/>
      <c r="F11706" s="11"/>
      <c r="G11706" s="11"/>
      <c r="H11706" s="11"/>
      <c r="I11706" s="15"/>
    </row>
    <row r="11707" spans="1:9" ht="16.5">
      <c r="A11707" s="10" t="b">
        <v>0</v>
      </c>
      <c r="B11707" s="11" t="str">
        <f>IF(D11707&lt;&gt;"",IF(COUNTIF('USPTO TMs'!A:A,D11707)&gt;0,"Yes","No"),"")</f>
        <v/>
      </c>
      <c r="C11707" s="11"/>
      <c r="D11707" s="11"/>
      <c r="E11707" s="11"/>
      <c r="F11707" s="11"/>
      <c r="G11707" s="11"/>
      <c r="H11707" s="11"/>
      <c r="I11707" s="15"/>
    </row>
    <row r="11708" spans="1:9" ht="16.5">
      <c r="A11708" s="10" t="b">
        <v>0</v>
      </c>
      <c r="B11708" s="11" t="str">
        <f>IF(D11708&lt;&gt;"",IF(COUNTIF('USPTO TMs'!A:A,D11708)&gt;0,"Yes","No"),"")</f>
        <v/>
      </c>
      <c r="C11708" s="11"/>
      <c r="D11708" s="11"/>
      <c r="E11708" s="11"/>
      <c r="F11708" s="11"/>
      <c r="G11708" s="11"/>
      <c r="H11708" s="11"/>
      <c r="I11708" s="15"/>
    </row>
    <row r="11709" spans="1:9" ht="16.5">
      <c r="A11709" s="10" t="b">
        <v>0</v>
      </c>
      <c r="B11709" s="11" t="str">
        <f>IF(D11709&lt;&gt;"",IF(COUNTIF('USPTO TMs'!A:A,D11709)&gt;0,"Yes","No"),"")</f>
        <v/>
      </c>
      <c r="C11709" s="11"/>
      <c r="D11709" s="11"/>
      <c r="E11709" s="11"/>
      <c r="F11709" s="11"/>
      <c r="G11709" s="11"/>
      <c r="H11709" s="11"/>
      <c r="I11709" s="15"/>
    </row>
    <row r="11710" spans="1:9" ht="16.5">
      <c r="A11710" s="10" t="b">
        <v>0</v>
      </c>
      <c r="B11710" s="11" t="str">
        <f>IF(D11710&lt;&gt;"",IF(COUNTIF('USPTO TMs'!A:A,D11710)&gt;0,"Yes","No"),"")</f>
        <v/>
      </c>
      <c r="C11710" s="11"/>
      <c r="D11710" s="11"/>
      <c r="E11710" s="11"/>
      <c r="F11710" s="11"/>
      <c r="G11710" s="11"/>
      <c r="H11710" s="11"/>
      <c r="I11710" s="15"/>
    </row>
    <row r="11711" spans="1:9" ht="16.5">
      <c r="A11711" s="10" t="b">
        <v>0</v>
      </c>
      <c r="B11711" s="11" t="str">
        <f>IF(D11711&lt;&gt;"",IF(COUNTIF('USPTO TMs'!A:A,D11711)&gt;0,"Yes","No"),"")</f>
        <v/>
      </c>
      <c r="C11711" s="11"/>
      <c r="D11711" s="11"/>
      <c r="E11711" s="11"/>
      <c r="F11711" s="11"/>
      <c r="G11711" s="11"/>
      <c r="H11711" s="11"/>
      <c r="I11711" s="15"/>
    </row>
    <row r="11712" spans="1:9" ht="16.5">
      <c r="A11712" s="10" t="b">
        <v>0</v>
      </c>
      <c r="B11712" s="11" t="str">
        <f>IF(D11712&lt;&gt;"",IF(COUNTIF('USPTO TMs'!A:A,D11712)&gt;0,"Yes","No"),"")</f>
        <v/>
      </c>
      <c r="C11712" s="11"/>
      <c r="D11712" s="11"/>
      <c r="E11712" s="11"/>
      <c r="F11712" s="11"/>
      <c r="G11712" s="11"/>
      <c r="H11712" s="11"/>
      <c r="I11712" s="15"/>
    </row>
    <row r="11713" spans="1:9" ht="16.5">
      <c r="A11713" s="10" t="b">
        <v>0</v>
      </c>
      <c r="B11713" s="11" t="str">
        <f>IF(D11713&lt;&gt;"",IF(COUNTIF('USPTO TMs'!A:A,D11713)&gt;0,"Yes","No"),"")</f>
        <v/>
      </c>
      <c r="C11713" s="11"/>
      <c r="D11713" s="11"/>
      <c r="E11713" s="11"/>
      <c r="F11713" s="11"/>
      <c r="G11713" s="11"/>
      <c r="H11713" s="11"/>
      <c r="I11713" s="15"/>
    </row>
    <row r="11714" spans="1:9" ht="16.5">
      <c r="A11714" s="10" t="b">
        <v>0</v>
      </c>
      <c r="B11714" s="11" t="str">
        <f>IF(D11714&lt;&gt;"",IF(COUNTIF('USPTO TMs'!A:A,D11714)&gt;0,"Yes","No"),"")</f>
        <v/>
      </c>
      <c r="C11714" s="11"/>
      <c r="D11714" s="11"/>
      <c r="E11714" s="11"/>
      <c r="F11714" s="11"/>
      <c r="G11714" s="11"/>
      <c r="H11714" s="11"/>
      <c r="I11714" s="15"/>
    </row>
    <row r="11715" spans="1:9" ht="16.5">
      <c r="A11715" s="10" t="b">
        <v>0</v>
      </c>
      <c r="B11715" s="11" t="str">
        <f>IF(D11715&lt;&gt;"",IF(COUNTIF('USPTO TMs'!A:A,D11715)&gt;0,"Yes","No"),"")</f>
        <v/>
      </c>
      <c r="C11715" s="11"/>
      <c r="D11715" s="11"/>
      <c r="E11715" s="11"/>
      <c r="F11715" s="11"/>
      <c r="G11715" s="11"/>
      <c r="H11715" s="11"/>
      <c r="I11715" s="15"/>
    </row>
    <row r="11716" spans="1:9" ht="16.5">
      <c r="A11716" s="10" t="b">
        <v>0</v>
      </c>
      <c r="B11716" s="11" t="str">
        <f>IF(D11716&lt;&gt;"",IF(COUNTIF('USPTO TMs'!A:A,D11716)&gt;0,"Yes","No"),"")</f>
        <v/>
      </c>
      <c r="C11716" s="11"/>
      <c r="D11716" s="11"/>
      <c r="E11716" s="11"/>
      <c r="F11716" s="11"/>
      <c r="G11716" s="11"/>
      <c r="H11716" s="11"/>
      <c r="I11716" s="15"/>
    </row>
    <row r="11717" spans="1:9" ht="16.5">
      <c r="A11717" s="10" t="b">
        <v>0</v>
      </c>
      <c r="B11717" s="11" t="str">
        <f>IF(D11717&lt;&gt;"",IF(COUNTIF('USPTO TMs'!A:A,D11717)&gt;0,"Yes","No"),"")</f>
        <v/>
      </c>
      <c r="C11717" s="11"/>
      <c r="D11717" s="11"/>
      <c r="E11717" s="11"/>
      <c r="F11717" s="11"/>
      <c r="G11717" s="11"/>
      <c r="H11717" s="11"/>
      <c r="I11717" s="15"/>
    </row>
    <row r="11718" spans="1:9" ht="16.5">
      <c r="A11718" s="10" t="b">
        <v>0</v>
      </c>
      <c r="B11718" s="11" t="str">
        <f>IF(D11718&lt;&gt;"",IF(COUNTIF('USPTO TMs'!A:A,D11718)&gt;0,"Yes","No"),"")</f>
        <v/>
      </c>
      <c r="C11718" s="11"/>
      <c r="D11718" s="11"/>
      <c r="E11718" s="11"/>
      <c r="F11718" s="11"/>
      <c r="G11718" s="11"/>
      <c r="H11718" s="11"/>
      <c r="I11718" s="15"/>
    </row>
    <row r="11719" spans="1:9" ht="16.5">
      <c r="A11719" s="10" t="b">
        <v>0</v>
      </c>
      <c r="B11719" s="11" t="str">
        <f>IF(D11719&lt;&gt;"",IF(COUNTIF('USPTO TMs'!A:A,D11719)&gt;0,"Yes","No"),"")</f>
        <v/>
      </c>
      <c r="C11719" s="11"/>
      <c r="D11719" s="11"/>
      <c r="E11719" s="11"/>
      <c r="F11719" s="11"/>
      <c r="G11719" s="11"/>
      <c r="H11719" s="11"/>
      <c r="I11719" s="15"/>
    </row>
    <row r="11720" spans="1:9" ht="16.5">
      <c r="A11720" s="10" t="b">
        <v>0</v>
      </c>
      <c r="B11720" s="11" t="str">
        <f>IF(D11720&lt;&gt;"",IF(COUNTIF('USPTO TMs'!A:A,D11720)&gt;0,"Yes","No"),"")</f>
        <v/>
      </c>
      <c r="C11720" s="11"/>
      <c r="D11720" s="11"/>
      <c r="E11720" s="11"/>
      <c r="F11720" s="11"/>
      <c r="G11720" s="11"/>
      <c r="H11720" s="11"/>
      <c r="I11720" s="15"/>
    </row>
    <row r="11721" spans="1:9" ht="16.5">
      <c r="A11721" s="10" t="b">
        <v>0</v>
      </c>
      <c r="B11721" s="11" t="str">
        <f>IF(D11721&lt;&gt;"",IF(COUNTIF('USPTO TMs'!A:A,D11721)&gt;0,"Yes","No"),"")</f>
        <v/>
      </c>
      <c r="C11721" s="11"/>
      <c r="D11721" s="11"/>
      <c r="E11721" s="11"/>
      <c r="F11721" s="11"/>
      <c r="G11721" s="11"/>
      <c r="H11721" s="11"/>
      <c r="I11721" s="15"/>
    </row>
    <row r="11722" spans="1:9" ht="16.5">
      <c r="A11722" s="10" t="b">
        <v>0</v>
      </c>
      <c r="B11722" s="11" t="str">
        <f>IF(D11722&lt;&gt;"",IF(COUNTIF('USPTO TMs'!A:A,D11722)&gt;0,"Yes","No"),"")</f>
        <v/>
      </c>
      <c r="C11722" s="11"/>
      <c r="D11722" s="11"/>
      <c r="E11722" s="11"/>
      <c r="F11722" s="11"/>
      <c r="G11722" s="11"/>
      <c r="H11722" s="11"/>
      <c r="I11722" s="15"/>
    </row>
    <row r="11723" spans="1:9" ht="16.5">
      <c r="A11723" s="10" t="b">
        <v>0</v>
      </c>
      <c r="B11723" s="11" t="str">
        <f>IF(D11723&lt;&gt;"",IF(COUNTIF('USPTO TMs'!A:A,D11723)&gt;0,"Yes","No"),"")</f>
        <v/>
      </c>
      <c r="C11723" s="11"/>
      <c r="D11723" s="11"/>
      <c r="E11723" s="11"/>
      <c r="F11723" s="11"/>
      <c r="G11723" s="11"/>
      <c r="H11723" s="11"/>
      <c r="I11723" s="15"/>
    </row>
    <row r="11724" spans="1:9" ht="16.5">
      <c r="A11724" s="10" t="b">
        <v>0</v>
      </c>
      <c r="B11724" s="11" t="str">
        <f>IF(D11724&lt;&gt;"",IF(COUNTIF('USPTO TMs'!A:A,D11724)&gt;0,"Yes","No"),"")</f>
        <v/>
      </c>
      <c r="C11724" s="11"/>
      <c r="D11724" s="11"/>
      <c r="E11724" s="11"/>
      <c r="F11724" s="11"/>
      <c r="G11724" s="11"/>
      <c r="H11724" s="11"/>
      <c r="I11724" s="15"/>
    </row>
    <row r="11725" spans="1:9" ht="16.5">
      <c r="A11725" s="10" t="b">
        <v>0</v>
      </c>
      <c r="B11725" s="11" t="str">
        <f>IF(D11725&lt;&gt;"",IF(COUNTIF('USPTO TMs'!A:A,D11725)&gt;0,"Yes","No"),"")</f>
        <v/>
      </c>
      <c r="C11725" s="11"/>
      <c r="D11725" s="11"/>
      <c r="E11725" s="11"/>
      <c r="F11725" s="11"/>
      <c r="G11725" s="11"/>
      <c r="H11725" s="11"/>
      <c r="I11725" s="15"/>
    </row>
    <row r="11726" spans="1:9" ht="16.5">
      <c r="A11726" s="10" t="b">
        <v>0</v>
      </c>
      <c r="B11726" s="11" t="str">
        <f>IF(D11726&lt;&gt;"",IF(COUNTIF('USPTO TMs'!A:A,D11726)&gt;0,"Yes","No"),"")</f>
        <v/>
      </c>
      <c r="C11726" s="11"/>
      <c r="D11726" s="11"/>
      <c r="E11726" s="11"/>
      <c r="F11726" s="11"/>
      <c r="G11726" s="11"/>
      <c r="H11726" s="11"/>
      <c r="I11726" s="15"/>
    </row>
    <row r="11727" spans="1:9" ht="16.5">
      <c r="A11727" s="10" t="b">
        <v>0</v>
      </c>
      <c r="B11727" s="11" t="str">
        <f>IF(D11727&lt;&gt;"",IF(COUNTIF('USPTO TMs'!A:A,D11727)&gt;0,"Yes","No"),"")</f>
        <v/>
      </c>
      <c r="C11727" s="11"/>
      <c r="D11727" s="11"/>
      <c r="E11727" s="11"/>
      <c r="F11727" s="11"/>
      <c r="G11727" s="11"/>
      <c r="H11727" s="11"/>
      <c r="I11727" s="15"/>
    </row>
    <row r="11728" spans="1:9" ht="16.5">
      <c r="A11728" s="10" t="b">
        <v>0</v>
      </c>
      <c r="B11728" s="11" t="str">
        <f>IF(D11728&lt;&gt;"",IF(COUNTIF('USPTO TMs'!A:A,D11728)&gt;0,"Yes","No"),"")</f>
        <v/>
      </c>
      <c r="C11728" s="11"/>
      <c r="D11728" s="11"/>
      <c r="E11728" s="11"/>
      <c r="F11728" s="11"/>
      <c r="G11728" s="11"/>
      <c r="H11728" s="11"/>
      <c r="I11728" s="15"/>
    </row>
    <row r="11729" spans="1:9" ht="16.5">
      <c r="A11729" s="10" t="b">
        <v>0</v>
      </c>
      <c r="B11729" s="11" t="str">
        <f>IF(D11729&lt;&gt;"",IF(COUNTIF('USPTO TMs'!A:A,D11729)&gt;0,"Yes","No"),"")</f>
        <v/>
      </c>
      <c r="C11729" s="11"/>
      <c r="D11729" s="11"/>
      <c r="E11729" s="11"/>
      <c r="F11729" s="11"/>
      <c r="G11729" s="11"/>
      <c r="H11729" s="11"/>
      <c r="I11729" s="15"/>
    </row>
    <row r="11730" spans="1:9" ht="16.5">
      <c r="A11730" s="10" t="b">
        <v>0</v>
      </c>
      <c r="B11730" s="11" t="str">
        <f>IF(D11730&lt;&gt;"",IF(COUNTIF('USPTO TMs'!A:A,D11730)&gt;0,"Yes","No"),"")</f>
        <v/>
      </c>
      <c r="C11730" s="11"/>
      <c r="D11730" s="11"/>
      <c r="E11730" s="11"/>
      <c r="F11730" s="11"/>
      <c r="G11730" s="11"/>
      <c r="H11730" s="11"/>
      <c r="I11730" s="15"/>
    </row>
    <row r="11731" spans="1:9" ht="16.5">
      <c r="A11731" s="10" t="b">
        <v>0</v>
      </c>
      <c r="B11731" s="11" t="str">
        <f>IF(D11731&lt;&gt;"",IF(COUNTIF('USPTO TMs'!A:A,D11731)&gt;0,"Yes","No"),"")</f>
        <v/>
      </c>
      <c r="C11731" s="11"/>
      <c r="D11731" s="11"/>
      <c r="E11731" s="11"/>
      <c r="F11731" s="11"/>
      <c r="G11731" s="11"/>
      <c r="H11731" s="11"/>
      <c r="I11731" s="15"/>
    </row>
    <row r="11732" spans="1:9" ht="16.5">
      <c r="A11732" s="10" t="b">
        <v>0</v>
      </c>
      <c r="B11732" s="11" t="str">
        <f>IF(D11732&lt;&gt;"",IF(COUNTIF('USPTO TMs'!A:A,D11732)&gt;0,"Yes","No"),"")</f>
        <v/>
      </c>
      <c r="C11732" s="11"/>
      <c r="D11732" s="11"/>
      <c r="E11732" s="11"/>
      <c r="F11732" s="11"/>
      <c r="G11732" s="11"/>
      <c r="H11732" s="11"/>
      <c r="I11732" s="15"/>
    </row>
    <row r="11733" spans="1:9" ht="16.5">
      <c r="A11733" s="10" t="b">
        <v>0</v>
      </c>
      <c r="B11733" s="11" t="str">
        <f>IF(D11733&lt;&gt;"",IF(COUNTIF('USPTO TMs'!A:A,D11733)&gt;0,"Yes","No"),"")</f>
        <v/>
      </c>
      <c r="C11733" s="11"/>
      <c r="D11733" s="11"/>
      <c r="E11733" s="11"/>
      <c r="F11733" s="11"/>
      <c r="G11733" s="11"/>
      <c r="H11733" s="11"/>
      <c r="I11733" s="15"/>
    </row>
    <row r="11734" spans="1:9" ht="16.5">
      <c r="A11734" s="10" t="b">
        <v>0</v>
      </c>
      <c r="B11734" s="11" t="str">
        <f>IF(D11734&lt;&gt;"",IF(COUNTIF('USPTO TMs'!A:A,D11734)&gt;0,"Yes","No"),"")</f>
        <v/>
      </c>
      <c r="C11734" s="11"/>
      <c r="D11734" s="11"/>
      <c r="E11734" s="11"/>
      <c r="F11734" s="11"/>
      <c r="G11734" s="11"/>
      <c r="H11734" s="11"/>
      <c r="I11734" s="15"/>
    </row>
    <row r="11735" spans="1:9" ht="16.5">
      <c r="A11735" s="10" t="b">
        <v>0</v>
      </c>
      <c r="B11735" s="11" t="str">
        <f>IF(D11735&lt;&gt;"",IF(COUNTIF('USPTO TMs'!A:A,D11735)&gt;0,"Yes","No"),"")</f>
        <v/>
      </c>
      <c r="C11735" s="11"/>
      <c r="D11735" s="11"/>
      <c r="E11735" s="11"/>
      <c r="F11735" s="11"/>
      <c r="G11735" s="11"/>
      <c r="H11735" s="11"/>
      <c r="I11735" s="15"/>
    </row>
    <row r="11736" spans="1:9" ht="16.5">
      <c r="A11736" s="10" t="b">
        <v>0</v>
      </c>
      <c r="B11736" s="11" t="str">
        <f>IF(D11736&lt;&gt;"",IF(COUNTIF('USPTO TMs'!A:A,D11736)&gt;0,"Yes","No"),"")</f>
        <v/>
      </c>
      <c r="C11736" s="11"/>
      <c r="D11736" s="11"/>
      <c r="E11736" s="11"/>
      <c r="F11736" s="11"/>
      <c r="G11736" s="11"/>
      <c r="H11736" s="11"/>
      <c r="I11736" s="15"/>
    </row>
    <row r="11737" spans="1:9" ht="16.5">
      <c r="A11737" s="10" t="b">
        <v>0</v>
      </c>
      <c r="B11737" s="11" t="str">
        <f>IF(D11737&lt;&gt;"",IF(COUNTIF('USPTO TMs'!A:A,D11737)&gt;0,"Yes","No"),"")</f>
        <v/>
      </c>
      <c r="C11737" s="11"/>
      <c r="D11737" s="11"/>
      <c r="E11737" s="11"/>
      <c r="F11737" s="11"/>
      <c r="G11737" s="11"/>
      <c r="H11737" s="11"/>
      <c r="I11737" s="15"/>
    </row>
    <row r="11738" spans="1:9" ht="16.5">
      <c r="A11738" s="10" t="b">
        <v>0</v>
      </c>
      <c r="B11738" s="11" t="str">
        <f>IF(D11738&lt;&gt;"",IF(COUNTIF('USPTO TMs'!A:A,D11738)&gt;0,"Yes","No"),"")</f>
        <v/>
      </c>
      <c r="C11738" s="11"/>
      <c r="D11738" s="11"/>
      <c r="E11738" s="11"/>
      <c r="F11738" s="11"/>
      <c r="G11738" s="11"/>
      <c r="H11738" s="11"/>
      <c r="I11738" s="15"/>
    </row>
    <row r="11739" spans="1:9" ht="16.5">
      <c r="A11739" s="10" t="b">
        <v>0</v>
      </c>
      <c r="B11739" s="11" t="str">
        <f>IF(D11739&lt;&gt;"",IF(COUNTIF('USPTO TMs'!A:A,D11739)&gt;0,"Yes","No"),"")</f>
        <v/>
      </c>
      <c r="C11739" s="11"/>
      <c r="D11739" s="11"/>
      <c r="E11739" s="11"/>
      <c r="F11739" s="11"/>
      <c r="G11739" s="11"/>
      <c r="H11739" s="11"/>
      <c r="I11739" s="15"/>
    </row>
    <row r="11740" spans="1:9" ht="16.5">
      <c r="A11740" s="10" t="b">
        <v>0</v>
      </c>
      <c r="B11740" s="11" t="str">
        <f>IF(D11740&lt;&gt;"",IF(COUNTIF('USPTO TMs'!A:A,D11740)&gt;0,"Yes","No"),"")</f>
        <v/>
      </c>
      <c r="C11740" s="11"/>
      <c r="D11740" s="11"/>
      <c r="E11740" s="11"/>
      <c r="F11740" s="11"/>
      <c r="G11740" s="11"/>
      <c r="H11740" s="11"/>
      <c r="I11740" s="15"/>
    </row>
    <row r="11741" spans="1:9" ht="16.5">
      <c r="A11741" s="10" t="b">
        <v>0</v>
      </c>
      <c r="B11741" s="11" t="str">
        <f>IF(D11741&lt;&gt;"",IF(COUNTIF('USPTO TMs'!A:A,D11741)&gt;0,"Yes","No"),"")</f>
        <v/>
      </c>
      <c r="C11741" s="11"/>
      <c r="D11741" s="11"/>
      <c r="E11741" s="11"/>
      <c r="F11741" s="11"/>
      <c r="G11741" s="11"/>
      <c r="H11741" s="11"/>
      <c r="I11741" s="15"/>
    </row>
    <row r="11742" spans="1:9" ht="16.5">
      <c r="A11742" s="10" t="b">
        <v>0</v>
      </c>
      <c r="B11742" s="11" t="str">
        <f>IF(D11742&lt;&gt;"",IF(COUNTIF('USPTO TMs'!A:A,D11742)&gt;0,"Yes","No"),"")</f>
        <v/>
      </c>
      <c r="C11742" s="11"/>
      <c r="D11742" s="11"/>
      <c r="E11742" s="11"/>
      <c r="F11742" s="11"/>
      <c r="G11742" s="11"/>
      <c r="H11742" s="11"/>
      <c r="I11742" s="15"/>
    </row>
    <row r="11743" spans="1:9" ht="16.5">
      <c r="A11743" s="10" t="b">
        <v>0</v>
      </c>
      <c r="B11743" s="11" t="str">
        <f>IF(D11743&lt;&gt;"",IF(COUNTIF('USPTO TMs'!A:A,D11743)&gt;0,"Yes","No"),"")</f>
        <v/>
      </c>
      <c r="C11743" s="11"/>
      <c r="D11743" s="11"/>
      <c r="E11743" s="11"/>
      <c r="F11743" s="11"/>
      <c r="G11743" s="11"/>
      <c r="H11743" s="11"/>
      <c r="I11743" s="15"/>
    </row>
    <row r="11744" spans="1:9" ht="16.5">
      <c r="A11744" s="10" t="b">
        <v>0</v>
      </c>
      <c r="B11744" s="11" t="str">
        <f>IF(D11744&lt;&gt;"",IF(COUNTIF('USPTO TMs'!A:A,D11744)&gt;0,"Yes","No"),"")</f>
        <v/>
      </c>
      <c r="C11744" s="11"/>
      <c r="D11744" s="11"/>
      <c r="E11744" s="11"/>
      <c r="F11744" s="11"/>
      <c r="G11744" s="11"/>
      <c r="H11744" s="11"/>
      <c r="I11744" s="15"/>
    </row>
    <row r="11745" spans="1:9" ht="16.5">
      <c r="A11745" s="10" t="b">
        <v>0</v>
      </c>
      <c r="B11745" s="11" t="str">
        <f>IF(D11745&lt;&gt;"",IF(COUNTIF('USPTO TMs'!A:A,D11745)&gt;0,"Yes","No"),"")</f>
        <v/>
      </c>
      <c r="C11745" s="11"/>
      <c r="D11745" s="11"/>
      <c r="E11745" s="11"/>
      <c r="F11745" s="11"/>
      <c r="G11745" s="11"/>
      <c r="H11745" s="11"/>
      <c r="I11745" s="15"/>
    </row>
    <row r="11746" spans="1:9" ht="16.5">
      <c r="A11746" s="10" t="b">
        <v>0</v>
      </c>
      <c r="B11746" s="11" t="str">
        <f>IF(D11746&lt;&gt;"",IF(COUNTIF('USPTO TMs'!A:A,D11746)&gt;0,"Yes","No"),"")</f>
        <v/>
      </c>
      <c r="C11746" s="11"/>
      <c r="D11746" s="11"/>
      <c r="E11746" s="11"/>
      <c r="F11746" s="11"/>
      <c r="G11746" s="11"/>
      <c r="H11746" s="11"/>
      <c r="I11746" s="15"/>
    </row>
    <row r="11747" spans="1:9" ht="16.5">
      <c r="A11747" s="10" t="b">
        <v>0</v>
      </c>
      <c r="B11747" s="11" t="str">
        <f>IF(D11747&lt;&gt;"",IF(COUNTIF('USPTO TMs'!A:A,D11747)&gt;0,"Yes","No"),"")</f>
        <v/>
      </c>
      <c r="C11747" s="11"/>
      <c r="D11747" s="11"/>
      <c r="E11747" s="11"/>
      <c r="F11747" s="11"/>
      <c r="G11747" s="11"/>
      <c r="H11747" s="11"/>
      <c r="I11747" s="15"/>
    </row>
    <row r="11748" spans="1:9" ht="16.5">
      <c r="A11748" s="10" t="b">
        <v>0</v>
      </c>
      <c r="B11748" s="11" t="str">
        <f>IF(D11748&lt;&gt;"",IF(COUNTIF('USPTO TMs'!A:A,D11748)&gt;0,"Yes","No"),"")</f>
        <v/>
      </c>
      <c r="C11748" s="11"/>
      <c r="D11748" s="11"/>
      <c r="E11748" s="11"/>
      <c r="F11748" s="11"/>
      <c r="G11748" s="11"/>
      <c r="H11748" s="11"/>
      <c r="I11748" s="15"/>
    </row>
    <row r="11749" spans="1:9" ht="16.5">
      <c r="A11749" s="10" t="b">
        <v>0</v>
      </c>
      <c r="B11749" s="11" t="str">
        <f>IF(D11749&lt;&gt;"",IF(COUNTIF('USPTO TMs'!A:A,D11749)&gt;0,"Yes","No"),"")</f>
        <v/>
      </c>
      <c r="C11749" s="11"/>
      <c r="D11749" s="11"/>
      <c r="E11749" s="11"/>
      <c r="F11749" s="11"/>
      <c r="G11749" s="11"/>
      <c r="H11749" s="11"/>
      <c r="I11749" s="15"/>
    </row>
    <row r="11750" spans="1:9" ht="16.5">
      <c r="A11750" s="10" t="b">
        <v>0</v>
      </c>
      <c r="B11750" s="11" t="str">
        <f>IF(D11750&lt;&gt;"",IF(COUNTIF('USPTO TMs'!A:A,D11750)&gt;0,"Yes","No"),"")</f>
        <v/>
      </c>
      <c r="C11750" s="11"/>
      <c r="D11750" s="11"/>
      <c r="E11750" s="11"/>
      <c r="F11750" s="11"/>
      <c r="G11750" s="11"/>
      <c r="H11750" s="11"/>
      <c r="I11750" s="15"/>
    </row>
    <row r="11751" spans="1:9" ht="16.5">
      <c r="A11751" s="10" t="b">
        <v>0</v>
      </c>
      <c r="B11751" s="11" t="str">
        <f>IF(D11751&lt;&gt;"",IF(COUNTIF('USPTO TMs'!A:A,D11751)&gt;0,"Yes","No"),"")</f>
        <v/>
      </c>
      <c r="C11751" s="11"/>
      <c r="D11751" s="11"/>
      <c r="E11751" s="11"/>
      <c r="F11751" s="11"/>
      <c r="G11751" s="11"/>
      <c r="H11751" s="11"/>
      <c r="I11751" s="15"/>
    </row>
    <row r="11752" spans="1:9" ht="16.5">
      <c r="A11752" s="10" t="b">
        <v>0</v>
      </c>
      <c r="B11752" s="11" t="str">
        <f>IF(D11752&lt;&gt;"",IF(COUNTIF('USPTO TMs'!A:A,D11752)&gt;0,"Yes","No"),"")</f>
        <v/>
      </c>
      <c r="C11752" s="11"/>
      <c r="D11752" s="11"/>
      <c r="E11752" s="11"/>
      <c r="F11752" s="11"/>
      <c r="G11752" s="11"/>
      <c r="H11752" s="11"/>
      <c r="I11752" s="15"/>
    </row>
    <row r="11753" spans="1:9" ht="16.5">
      <c r="A11753" s="10" t="b">
        <v>0</v>
      </c>
      <c r="B11753" s="11" t="str">
        <f>IF(D11753&lt;&gt;"",IF(COUNTIF('USPTO TMs'!A:A,D11753)&gt;0,"Yes","No"),"")</f>
        <v/>
      </c>
      <c r="C11753" s="11"/>
      <c r="D11753" s="11"/>
      <c r="E11753" s="11"/>
      <c r="F11753" s="11"/>
      <c r="G11753" s="11"/>
      <c r="H11753" s="11"/>
      <c r="I11753" s="15"/>
    </row>
    <row r="11754" spans="1:9" ht="16.5">
      <c r="A11754" s="10" t="b">
        <v>0</v>
      </c>
      <c r="B11754" s="11" t="str">
        <f>IF(D11754&lt;&gt;"",IF(COUNTIF('USPTO TMs'!A:A,D11754)&gt;0,"Yes","No"),"")</f>
        <v/>
      </c>
      <c r="C11754" s="11"/>
      <c r="D11754" s="11"/>
      <c r="E11754" s="11"/>
      <c r="F11754" s="11"/>
      <c r="G11754" s="11"/>
      <c r="H11754" s="11"/>
      <c r="I11754" s="15"/>
    </row>
    <row r="11755" spans="1:9" ht="16.5">
      <c r="A11755" s="10" t="b">
        <v>0</v>
      </c>
      <c r="B11755" s="11" t="str">
        <f>IF(D11755&lt;&gt;"",IF(COUNTIF('USPTO TMs'!A:A,D11755)&gt;0,"Yes","No"),"")</f>
        <v/>
      </c>
      <c r="C11755" s="11"/>
      <c r="D11755" s="11"/>
      <c r="E11755" s="11"/>
      <c r="F11755" s="11"/>
      <c r="G11755" s="11"/>
      <c r="H11755" s="11"/>
      <c r="I11755" s="15"/>
    </row>
    <row r="11756" spans="1:9" ht="16.5">
      <c r="A11756" s="10" t="b">
        <v>0</v>
      </c>
      <c r="B11756" s="11" t="str">
        <f>IF(D11756&lt;&gt;"",IF(COUNTIF('USPTO TMs'!A:A,D11756)&gt;0,"Yes","No"),"")</f>
        <v/>
      </c>
      <c r="C11756" s="11"/>
      <c r="D11756" s="11"/>
      <c r="E11756" s="11"/>
      <c r="F11756" s="11"/>
      <c r="G11756" s="11"/>
      <c r="H11756" s="11"/>
      <c r="I11756" s="15"/>
    </row>
    <row r="11757" spans="1:9" ht="16.5">
      <c r="A11757" s="10" t="b">
        <v>0</v>
      </c>
      <c r="B11757" s="11" t="str">
        <f>IF(D11757&lt;&gt;"",IF(COUNTIF('USPTO TMs'!A:A,D11757)&gt;0,"Yes","No"),"")</f>
        <v/>
      </c>
      <c r="C11757" s="11"/>
      <c r="D11757" s="11"/>
      <c r="E11757" s="11"/>
      <c r="F11757" s="11"/>
      <c r="G11757" s="11"/>
      <c r="H11757" s="11"/>
      <c r="I11757" s="15"/>
    </row>
    <row r="11758" spans="1:9" ht="16.5">
      <c r="A11758" s="10" t="b">
        <v>0</v>
      </c>
      <c r="B11758" s="11" t="str">
        <f>IF(D11758&lt;&gt;"",IF(COUNTIF('USPTO TMs'!A:A,D11758)&gt;0,"Yes","No"),"")</f>
        <v/>
      </c>
      <c r="C11758" s="11"/>
      <c r="D11758" s="11"/>
      <c r="E11758" s="11"/>
      <c r="F11758" s="11"/>
      <c r="G11758" s="11"/>
      <c r="H11758" s="11"/>
      <c r="I11758" s="15"/>
    </row>
    <row r="11759" spans="1:9" ht="16.5">
      <c r="A11759" s="10" t="b">
        <v>0</v>
      </c>
      <c r="B11759" s="11" t="str">
        <f>IF(D11759&lt;&gt;"",IF(COUNTIF('USPTO TMs'!A:A,D11759)&gt;0,"Yes","No"),"")</f>
        <v/>
      </c>
      <c r="C11759" s="11"/>
      <c r="D11759" s="11"/>
      <c r="E11759" s="11"/>
      <c r="F11759" s="11"/>
      <c r="G11759" s="11"/>
      <c r="H11759" s="11"/>
      <c r="I11759" s="15"/>
    </row>
    <row r="11760" spans="1:9" ht="16.5">
      <c r="A11760" s="10" t="b">
        <v>0</v>
      </c>
      <c r="B11760" s="11" t="str">
        <f>IF(D11760&lt;&gt;"",IF(COUNTIF('USPTO TMs'!A:A,D11760)&gt;0,"Yes","No"),"")</f>
        <v/>
      </c>
      <c r="C11760" s="11"/>
      <c r="D11760" s="11"/>
      <c r="E11760" s="11"/>
      <c r="F11760" s="11"/>
      <c r="G11760" s="11"/>
      <c r="H11760" s="11"/>
      <c r="I11760" s="15"/>
    </row>
    <row r="11761" spans="1:9" ht="16.5">
      <c r="A11761" s="10" t="b">
        <v>0</v>
      </c>
      <c r="B11761" s="11" t="str">
        <f>IF(D11761&lt;&gt;"",IF(COUNTIF('USPTO TMs'!A:A,D11761)&gt;0,"Yes","No"),"")</f>
        <v/>
      </c>
      <c r="C11761" s="11"/>
      <c r="D11761" s="11"/>
      <c r="E11761" s="11"/>
      <c r="F11761" s="11"/>
      <c r="G11761" s="11"/>
      <c r="H11761" s="11"/>
      <c r="I11761" s="15"/>
    </row>
    <row r="11762" spans="1:9" ht="16.5">
      <c r="A11762" s="10" t="b">
        <v>0</v>
      </c>
      <c r="B11762" s="11" t="str">
        <f>IF(D11762&lt;&gt;"",IF(COUNTIF('USPTO TMs'!A:A,D11762)&gt;0,"Yes","No"),"")</f>
        <v/>
      </c>
      <c r="C11762" s="11"/>
      <c r="D11762" s="11"/>
      <c r="E11762" s="11"/>
      <c r="F11762" s="11"/>
      <c r="G11762" s="11"/>
      <c r="H11762" s="11"/>
      <c r="I11762" s="15"/>
    </row>
    <row r="11763" spans="1:9" ht="16.5">
      <c r="A11763" s="10" t="b">
        <v>0</v>
      </c>
      <c r="B11763" s="11" t="str">
        <f>IF(D11763&lt;&gt;"",IF(COUNTIF('USPTO TMs'!A:A,D11763)&gt;0,"Yes","No"),"")</f>
        <v/>
      </c>
      <c r="C11763" s="11"/>
      <c r="D11763" s="11"/>
      <c r="E11763" s="11"/>
      <c r="F11763" s="11"/>
      <c r="G11763" s="11"/>
      <c r="H11763" s="11"/>
      <c r="I11763" s="15"/>
    </row>
    <row r="11764" spans="1:9" ht="16.5">
      <c r="A11764" s="10" t="b">
        <v>0</v>
      </c>
      <c r="B11764" s="11" t="str">
        <f>IF(D11764&lt;&gt;"",IF(COUNTIF('USPTO TMs'!A:A,D11764)&gt;0,"Yes","No"),"")</f>
        <v/>
      </c>
      <c r="C11764" s="11"/>
      <c r="D11764" s="11"/>
      <c r="E11764" s="11"/>
      <c r="F11764" s="11"/>
      <c r="G11764" s="11"/>
      <c r="H11764" s="11"/>
      <c r="I11764" s="15"/>
    </row>
    <row r="11765" spans="1:9" ht="16.5">
      <c r="A11765" s="10" t="b">
        <v>0</v>
      </c>
      <c r="B11765" s="11" t="str">
        <f>IF(D11765&lt;&gt;"",IF(COUNTIF('USPTO TMs'!A:A,D11765)&gt;0,"Yes","No"),"")</f>
        <v/>
      </c>
      <c r="C11765" s="11"/>
      <c r="D11765" s="11"/>
      <c r="E11765" s="11"/>
      <c r="F11765" s="11"/>
      <c r="G11765" s="11"/>
      <c r="H11765" s="11"/>
      <c r="I11765" s="15"/>
    </row>
    <row r="11766" spans="1:9" ht="16.5">
      <c r="A11766" s="10" t="b">
        <v>0</v>
      </c>
      <c r="B11766" s="11" t="str">
        <f>IF(D11766&lt;&gt;"",IF(COUNTIF('USPTO TMs'!A:A,D11766)&gt;0,"Yes","No"),"")</f>
        <v/>
      </c>
      <c r="C11766" s="11"/>
      <c r="D11766" s="11"/>
      <c r="E11766" s="11"/>
      <c r="F11766" s="11"/>
      <c r="G11766" s="11"/>
      <c r="H11766" s="11"/>
      <c r="I11766" s="15"/>
    </row>
    <row r="11767" spans="1:9" ht="16.5">
      <c r="A11767" s="10" t="b">
        <v>0</v>
      </c>
      <c r="B11767" s="11" t="str">
        <f>IF(D11767&lt;&gt;"",IF(COUNTIF('USPTO TMs'!A:A,D11767)&gt;0,"Yes","No"),"")</f>
        <v/>
      </c>
      <c r="C11767" s="11"/>
      <c r="D11767" s="11"/>
      <c r="E11767" s="11"/>
      <c r="F11767" s="11"/>
      <c r="G11767" s="11"/>
      <c r="H11767" s="11"/>
      <c r="I11767" s="15"/>
    </row>
    <row r="11768" spans="1:9" ht="16.5">
      <c r="A11768" s="10" t="b">
        <v>0</v>
      </c>
      <c r="B11768" s="11" t="str">
        <f>IF(D11768&lt;&gt;"",IF(COUNTIF('USPTO TMs'!A:A,D11768)&gt;0,"Yes","No"),"")</f>
        <v/>
      </c>
      <c r="C11768" s="11"/>
      <c r="D11768" s="11"/>
      <c r="E11768" s="11"/>
      <c r="F11768" s="11"/>
      <c r="G11768" s="11"/>
      <c r="H11768" s="11"/>
      <c r="I11768" s="15"/>
    </row>
    <row r="11769" spans="1:9" ht="16.5">
      <c r="A11769" s="10" t="b">
        <v>0</v>
      </c>
      <c r="B11769" s="11" t="str">
        <f>IF(D11769&lt;&gt;"",IF(COUNTIF('USPTO TMs'!A:A,D11769)&gt;0,"Yes","No"),"")</f>
        <v/>
      </c>
      <c r="C11769" s="11"/>
      <c r="D11769" s="11"/>
      <c r="E11769" s="11"/>
      <c r="F11769" s="11"/>
      <c r="G11769" s="11"/>
      <c r="H11769" s="11"/>
      <c r="I11769" s="15"/>
    </row>
    <row r="11770" spans="1:9" ht="16.5">
      <c r="A11770" s="10" t="b">
        <v>0</v>
      </c>
      <c r="B11770" s="11" t="str">
        <f>IF(D11770&lt;&gt;"",IF(COUNTIF('USPTO TMs'!A:A,D11770)&gt;0,"Yes","No"),"")</f>
        <v/>
      </c>
      <c r="C11770" s="11"/>
      <c r="D11770" s="11"/>
      <c r="E11770" s="11"/>
      <c r="F11770" s="11"/>
      <c r="G11770" s="11"/>
      <c r="H11770" s="11"/>
      <c r="I11770" s="15"/>
    </row>
    <row r="11771" spans="1:9" ht="16.5">
      <c r="A11771" s="10" t="b">
        <v>0</v>
      </c>
      <c r="B11771" s="11" t="str">
        <f>IF(D11771&lt;&gt;"",IF(COUNTIF('USPTO TMs'!A:A,D11771)&gt;0,"Yes","No"),"")</f>
        <v/>
      </c>
      <c r="C11771" s="11"/>
      <c r="D11771" s="11"/>
      <c r="E11771" s="11"/>
      <c r="F11771" s="11"/>
      <c r="G11771" s="11"/>
      <c r="H11771" s="11"/>
      <c r="I11771" s="15"/>
    </row>
    <row r="11772" spans="1:9" ht="16.5">
      <c r="A11772" s="10" t="b">
        <v>0</v>
      </c>
      <c r="B11772" s="11" t="str">
        <f>IF(D11772&lt;&gt;"",IF(COUNTIF('USPTO TMs'!A:A,D11772)&gt;0,"Yes","No"),"")</f>
        <v/>
      </c>
      <c r="C11772" s="11"/>
      <c r="D11772" s="11"/>
      <c r="E11772" s="11"/>
      <c r="F11772" s="11"/>
      <c r="G11772" s="11"/>
      <c r="H11772" s="11"/>
      <c r="I11772" s="15"/>
    </row>
    <row r="11773" spans="1:9" ht="16.5">
      <c r="A11773" s="10" t="b">
        <v>0</v>
      </c>
      <c r="B11773" s="11" t="str">
        <f>IF(D11773&lt;&gt;"",IF(COUNTIF('USPTO TMs'!A:A,D11773)&gt;0,"Yes","No"),"")</f>
        <v/>
      </c>
      <c r="C11773" s="11"/>
      <c r="D11773" s="11"/>
      <c r="E11773" s="11"/>
      <c r="F11773" s="11"/>
      <c r="G11773" s="11"/>
      <c r="H11773" s="11"/>
      <c r="I11773" s="15"/>
    </row>
    <row r="11774" spans="1:9" ht="16.5">
      <c r="A11774" s="10" t="b">
        <v>0</v>
      </c>
      <c r="B11774" s="11" t="str">
        <f>IF(D11774&lt;&gt;"",IF(COUNTIF('USPTO TMs'!A:A,D11774)&gt;0,"Yes","No"),"")</f>
        <v/>
      </c>
      <c r="C11774" s="11"/>
      <c r="D11774" s="11"/>
      <c r="E11774" s="11"/>
      <c r="F11774" s="11"/>
      <c r="G11774" s="11"/>
      <c r="H11774" s="11"/>
      <c r="I11774" s="15"/>
    </row>
    <row r="11775" spans="1:9" ht="16.5">
      <c r="A11775" s="10" t="b">
        <v>0</v>
      </c>
      <c r="B11775" s="11" t="str">
        <f>IF(D11775&lt;&gt;"",IF(COUNTIF('USPTO TMs'!A:A,D11775)&gt;0,"Yes","No"),"")</f>
        <v/>
      </c>
      <c r="C11775" s="11"/>
      <c r="D11775" s="11"/>
      <c r="E11775" s="11"/>
      <c r="F11775" s="11"/>
      <c r="G11775" s="11"/>
      <c r="H11775" s="11"/>
      <c r="I11775" s="15"/>
    </row>
    <row r="11776" spans="1:9" ht="16.5">
      <c r="A11776" s="10" t="b">
        <v>0</v>
      </c>
      <c r="B11776" s="11" t="str">
        <f>IF(D11776&lt;&gt;"",IF(COUNTIF('USPTO TMs'!A:A,D11776)&gt;0,"Yes","No"),"")</f>
        <v/>
      </c>
      <c r="C11776" s="11"/>
      <c r="D11776" s="11"/>
      <c r="E11776" s="11"/>
      <c r="F11776" s="11"/>
      <c r="G11776" s="11"/>
      <c r="H11776" s="11"/>
      <c r="I11776" s="15"/>
    </row>
    <row r="11777" spans="1:9" ht="16.5">
      <c r="A11777" s="10" t="b">
        <v>0</v>
      </c>
      <c r="B11777" s="11" t="str">
        <f>IF(D11777&lt;&gt;"",IF(COUNTIF('USPTO TMs'!A:A,D11777)&gt;0,"Yes","No"),"")</f>
        <v/>
      </c>
      <c r="C11777" s="11"/>
      <c r="D11777" s="11"/>
      <c r="E11777" s="11"/>
      <c r="F11777" s="11"/>
      <c r="G11777" s="11"/>
      <c r="H11777" s="11"/>
      <c r="I11777" s="15"/>
    </row>
    <row r="11778" spans="1:9" ht="16.5">
      <c r="A11778" s="10" t="b">
        <v>0</v>
      </c>
      <c r="B11778" s="11" t="str">
        <f>IF(D11778&lt;&gt;"",IF(COUNTIF('USPTO TMs'!A:A,D11778)&gt;0,"Yes","No"),"")</f>
        <v/>
      </c>
      <c r="C11778" s="11"/>
      <c r="D11778" s="11"/>
      <c r="E11778" s="11"/>
      <c r="F11778" s="11"/>
      <c r="G11778" s="11"/>
      <c r="H11778" s="11"/>
      <c r="I11778" s="15"/>
    </row>
    <row r="11779" spans="1:9" ht="16.5">
      <c r="A11779" s="10" t="b">
        <v>0</v>
      </c>
      <c r="B11779" s="11" t="str">
        <f>IF(D11779&lt;&gt;"",IF(COUNTIF('USPTO TMs'!A:A,D11779)&gt;0,"Yes","No"),"")</f>
        <v/>
      </c>
      <c r="C11779" s="11"/>
      <c r="D11779" s="11"/>
      <c r="E11779" s="11"/>
      <c r="F11779" s="11"/>
      <c r="G11779" s="11"/>
      <c r="H11779" s="11"/>
      <c r="I11779" s="15"/>
    </row>
    <row r="11780" spans="1:9" ht="16.5">
      <c r="A11780" s="10" t="b">
        <v>0</v>
      </c>
      <c r="B11780" s="11" t="str">
        <f>IF(D11780&lt;&gt;"",IF(COUNTIF('USPTO TMs'!A:A,D11780)&gt;0,"Yes","No"),"")</f>
        <v/>
      </c>
      <c r="C11780" s="11"/>
      <c r="D11780" s="11"/>
      <c r="E11780" s="11"/>
      <c r="F11780" s="11"/>
      <c r="G11780" s="11"/>
      <c r="H11780" s="11"/>
      <c r="I11780" s="15"/>
    </row>
    <row r="11781" spans="1:9" ht="16.5">
      <c r="A11781" s="10" t="b">
        <v>0</v>
      </c>
      <c r="B11781" s="11" t="str">
        <f>IF(D11781&lt;&gt;"",IF(COUNTIF('USPTO TMs'!A:A,D11781)&gt;0,"Yes","No"),"")</f>
        <v/>
      </c>
      <c r="C11781" s="11"/>
      <c r="D11781" s="11"/>
      <c r="E11781" s="11"/>
      <c r="F11781" s="11"/>
      <c r="G11781" s="11"/>
      <c r="H11781" s="11"/>
      <c r="I11781" s="15"/>
    </row>
    <row r="11782" spans="1:9" ht="16.5">
      <c r="A11782" s="10" t="b">
        <v>0</v>
      </c>
      <c r="B11782" s="11" t="str">
        <f>IF(D11782&lt;&gt;"",IF(COUNTIF('USPTO TMs'!A:A,D11782)&gt;0,"Yes","No"),"")</f>
        <v/>
      </c>
      <c r="C11782" s="11"/>
      <c r="D11782" s="11"/>
      <c r="E11782" s="11"/>
      <c r="F11782" s="11"/>
      <c r="G11782" s="11"/>
      <c r="H11782" s="11"/>
      <c r="I11782" s="15"/>
    </row>
    <row r="11783" spans="1:9" ht="16.5">
      <c r="A11783" s="10" t="b">
        <v>0</v>
      </c>
      <c r="B11783" s="11" t="str">
        <f>IF(D11783&lt;&gt;"",IF(COUNTIF('USPTO TMs'!A:A,D11783)&gt;0,"Yes","No"),"")</f>
        <v/>
      </c>
      <c r="C11783" s="11"/>
      <c r="D11783" s="11"/>
      <c r="E11783" s="11"/>
      <c r="F11783" s="11"/>
      <c r="G11783" s="11"/>
      <c r="H11783" s="11"/>
      <c r="I11783" s="15"/>
    </row>
    <row r="11784" spans="1:9" ht="16.5">
      <c r="A11784" s="10" t="b">
        <v>0</v>
      </c>
      <c r="B11784" s="11" t="str">
        <f>IF(D11784&lt;&gt;"",IF(COUNTIF('USPTO TMs'!A:A,D11784)&gt;0,"Yes","No"),"")</f>
        <v/>
      </c>
      <c r="C11784" s="11"/>
      <c r="D11784" s="11"/>
      <c r="E11784" s="11"/>
      <c r="F11784" s="11"/>
      <c r="G11784" s="11"/>
      <c r="H11784" s="11"/>
      <c r="I11784" s="15"/>
    </row>
    <row r="11785" spans="1:9" ht="16.5">
      <c r="A11785" s="10" t="b">
        <v>0</v>
      </c>
      <c r="B11785" s="11" t="str">
        <f>IF(D11785&lt;&gt;"",IF(COUNTIF('USPTO TMs'!A:A,D11785)&gt;0,"Yes","No"),"")</f>
        <v/>
      </c>
      <c r="C11785" s="11"/>
      <c r="D11785" s="11"/>
      <c r="E11785" s="11"/>
      <c r="F11785" s="11"/>
      <c r="G11785" s="11"/>
      <c r="H11785" s="11"/>
      <c r="I11785" s="15"/>
    </row>
    <row r="11786" spans="1:9" ht="16.5">
      <c r="A11786" s="10" t="b">
        <v>0</v>
      </c>
      <c r="B11786" s="11" t="str">
        <f>IF(D11786&lt;&gt;"",IF(COUNTIF('USPTO TMs'!A:A,D11786)&gt;0,"Yes","No"),"")</f>
        <v/>
      </c>
      <c r="C11786" s="11"/>
      <c r="D11786" s="11"/>
      <c r="E11786" s="11"/>
      <c r="F11786" s="11"/>
      <c r="G11786" s="11"/>
      <c r="H11786" s="11"/>
      <c r="I11786" s="15"/>
    </row>
    <row r="11787" spans="1:9" ht="16.5">
      <c r="A11787" s="10" t="b">
        <v>0</v>
      </c>
      <c r="B11787" s="11" t="str">
        <f>IF(D11787&lt;&gt;"",IF(COUNTIF('USPTO TMs'!A:A,D11787)&gt;0,"Yes","No"),"")</f>
        <v/>
      </c>
      <c r="C11787" s="11"/>
      <c r="D11787" s="11"/>
      <c r="E11787" s="11"/>
      <c r="F11787" s="11"/>
      <c r="G11787" s="11"/>
      <c r="H11787" s="11"/>
      <c r="I11787" s="15"/>
    </row>
    <row r="11788" spans="1:9" ht="16.5">
      <c r="A11788" s="10" t="b">
        <v>0</v>
      </c>
      <c r="B11788" s="11" t="str">
        <f>IF(D11788&lt;&gt;"",IF(COUNTIF('USPTO TMs'!A:A,D11788)&gt;0,"Yes","No"),"")</f>
        <v/>
      </c>
      <c r="C11788" s="11"/>
      <c r="D11788" s="11"/>
      <c r="E11788" s="11"/>
      <c r="F11788" s="11"/>
      <c r="G11788" s="11"/>
      <c r="H11788" s="11"/>
      <c r="I11788" s="15"/>
    </row>
    <row r="11789" spans="1:9" ht="16.5">
      <c r="A11789" s="10" t="b">
        <v>0</v>
      </c>
      <c r="B11789" s="11" t="str">
        <f>IF(D11789&lt;&gt;"",IF(COUNTIF('USPTO TMs'!A:A,D11789)&gt;0,"Yes","No"),"")</f>
        <v/>
      </c>
      <c r="C11789" s="11"/>
      <c r="D11789" s="11"/>
      <c r="E11789" s="11"/>
      <c r="F11789" s="11"/>
      <c r="G11789" s="11"/>
      <c r="H11789" s="11"/>
      <c r="I11789" s="15"/>
    </row>
    <row r="11790" spans="1:9" ht="16.5">
      <c r="A11790" s="10" t="b">
        <v>0</v>
      </c>
      <c r="B11790" s="11" t="str">
        <f>IF(D11790&lt;&gt;"",IF(COUNTIF('USPTO TMs'!A:A,D11790)&gt;0,"Yes","No"),"")</f>
        <v/>
      </c>
      <c r="C11790" s="11"/>
      <c r="D11790" s="11"/>
      <c r="E11790" s="11"/>
      <c r="F11790" s="11"/>
      <c r="G11790" s="11"/>
      <c r="H11790" s="11"/>
      <c r="I11790" s="15"/>
    </row>
    <row r="11791" spans="1:9" ht="16.5">
      <c r="A11791" s="10" t="b">
        <v>0</v>
      </c>
      <c r="B11791" s="11" t="str">
        <f>IF(D11791&lt;&gt;"",IF(COUNTIF('USPTO TMs'!A:A,D11791)&gt;0,"Yes","No"),"")</f>
        <v/>
      </c>
      <c r="C11791" s="11"/>
      <c r="D11791" s="11"/>
      <c r="E11791" s="11"/>
      <c r="F11791" s="11"/>
      <c r="G11791" s="11"/>
      <c r="H11791" s="11"/>
      <c r="I11791" s="15"/>
    </row>
    <row r="11792" spans="1:9" ht="16.5">
      <c r="A11792" s="10" t="b">
        <v>0</v>
      </c>
      <c r="B11792" s="11" t="str">
        <f>IF(D11792&lt;&gt;"",IF(COUNTIF('USPTO TMs'!A:A,D11792)&gt;0,"Yes","No"),"")</f>
        <v/>
      </c>
      <c r="C11792" s="11"/>
      <c r="D11792" s="11"/>
      <c r="E11792" s="11"/>
      <c r="F11792" s="11"/>
      <c r="G11792" s="11"/>
      <c r="H11792" s="11"/>
      <c r="I11792" s="15"/>
    </row>
    <row r="11793" spans="1:9" ht="16.5">
      <c r="A11793" s="10" t="b">
        <v>0</v>
      </c>
      <c r="B11793" s="11" t="str">
        <f>IF(D11793&lt;&gt;"",IF(COUNTIF('USPTO TMs'!A:A,D11793)&gt;0,"Yes","No"),"")</f>
        <v/>
      </c>
      <c r="C11793" s="11"/>
      <c r="D11793" s="11"/>
      <c r="E11793" s="11"/>
      <c r="F11793" s="11"/>
      <c r="G11793" s="11"/>
      <c r="H11793" s="11"/>
      <c r="I11793" s="15"/>
    </row>
    <row r="11794" spans="1:9" ht="16.5">
      <c r="A11794" s="10" t="b">
        <v>0</v>
      </c>
      <c r="B11794" s="11" t="str">
        <f>IF(D11794&lt;&gt;"",IF(COUNTIF('USPTO TMs'!A:A,D11794)&gt;0,"Yes","No"),"")</f>
        <v/>
      </c>
      <c r="C11794" s="11"/>
      <c r="D11794" s="11"/>
      <c r="E11794" s="11"/>
      <c r="F11794" s="11"/>
      <c r="G11794" s="11"/>
      <c r="H11794" s="11"/>
      <c r="I11794" s="15"/>
    </row>
    <row r="11795" spans="1:9" ht="16.5">
      <c r="A11795" s="10" t="b">
        <v>0</v>
      </c>
      <c r="B11795" s="11" t="str">
        <f>IF(D11795&lt;&gt;"",IF(COUNTIF('USPTO TMs'!A:A,D11795)&gt;0,"Yes","No"),"")</f>
        <v/>
      </c>
      <c r="C11795" s="11"/>
      <c r="D11795" s="11"/>
      <c r="E11795" s="11"/>
      <c r="F11795" s="11"/>
      <c r="G11795" s="11"/>
      <c r="H11795" s="11"/>
      <c r="I11795" s="15"/>
    </row>
    <row r="11796" spans="1:9" ht="16.5">
      <c r="A11796" s="10" t="b">
        <v>0</v>
      </c>
      <c r="B11796" s="11" t="str">
        <f>IF(D11796&lt;&gt;"",IF(COUNTIF('USPTO TMs'!A:A,D11796)&gt;0,"Yes","No"),"")</f>
        <v/>
      </c>
      <c r="C11796" s="11"/>
      <c r="D11796" s="11"/>
      <c r="E11796" s="11"/>
      <c r="F11796" s="11"/>
      <c r="G11796" s="11"/>
      <c r="H11796" s="11"/>
      <c r="I11796" s="15"/>
    </row>
    <row r="11797" spans="1:9" ht="16.5">
      <c r="A11797" s="10" t="b">
        <v>0</v>
      </c>
      <c r="B11797" s="11" t="str">
        <f>IF(D11797&lt;&gt;"",IF(COUNTIF('USPTO TMs'!A:A,D11797)&gt;0,"Yes","No"),"")</f>
        <v/>
      </c>
      <c r="C11797" s="11"/>
      <c r="D11797" s="11"/>
      <c r="E11797" s="11"/>
      <c r="F11797" s="11"/>
      <c r="G11797" s="11"/>
      <c r="H11797" s="11"/>
      <c r="I11797" s="15"/>
    </row>
    <row r="11798" spans="1:9" ht="16.5">
      <c r="A11798" s="10" t="b">
        <v>0</v>
      </c>
      <c r="B11798" s="11" t="str">
        <f>IF(D11798&lt;&gt;"",IF(COUNTIF('USPTO TMs'!A:A,D11798)&gt;0,"Yes","No"),"")</f>
        <v/>
      </c>
      <c r="C11798" s="11"/>
      <c r="D11798" s="11"/>
      <c r="E11798" s="11"/>
      <c r="F11798" s="11"/>
      <c r="G11798" s="11"/>
      <c r="H11798" s="11"/>
      <c r="I11798" s="15"/>
    </row>
    <row r="11799" spans="1:9" ht="16.5">
      <c r="A11799" s="10" t="b">
        <v>0</v>
      </c>
      <c r="B11799" s="11" t="str">
        <f>IF(D11799&lt;&gt;"",IF(COUNTIF('USPTO TMs'!A:A,D11799)&gt;0,"Yes","No"),"")</f>
        <v/>
      </c>
      <c r="C11799" s="11"/>
      <c r="D11799" s="11"/>
      <c r="E11799" s="11"/>
      <c r="F11799" s="11"/>
      <c r="G11799" s="11"/>
      <c r="H11799" s="11"/>
      <c r="I11799" s="15"/>
    </row>
    <row r="11800" spans="1:9" ht="16.5">
      <c r="A11800" s="10" t="b">
        <v>0</v>
      </c>
      <c r="B11800" s="11" t="str">
        <f>IF(D11800&lt;&gt;"",IF(COUNTIF('USPTO TMs'!A:A,D11800)&gt;0,"Yes","No"),"")</f>
        <v/>
      </c>
      <c r="C11800" s="11"/>
      <c r="D11800" s="11"/>
      <c r="E11800" s="11"/>
      <c r="F11800" s="11"/>
      <c r="G11800" s="11"/>
      <c r="H11800" s="11"/>
      <c r="I11800" s="15"/>
    </row>
    <row r="11801" spans="1:9" ht="16.5">
      <c r="A11801" s="10" t="b">
        <v>0</v>
      </c>
      <c r="B11801" s="11" t="str">
        <f>IF(D11801&lt;&gt;"",IF(COUNTIF('USPTO TMs'!A:A,D11801)&gt;0,"Yes","No"),"")</f>
        <v/>
      </c>
      <c r="C11801" s="11"/>
      <c r="D11801" s="11"/>
      <c r="E11801" s="11"/>
      <c r="F11801" s="11"/>
      <c r="G11801" s="11"/>
      <c r="H11801" s="11"/>
      <c r="I11801" s="15"/>
    </row>
    <row r="11802" spans="1:9" ht="16.5">
      <c r="A11802" s="10" t="b">
        <v>0</v>
      </c>
      <c r="B11802" s="11" t="str">
        <f>IF(D11802&lt;&gt;"",IF(COUNTIF('USPTO TMs'!A:A,D11802)&gt;0,"Yes","No"),"")</f>
        <v/>
      </c>
      <c r="C11802" s="11"/>
      <c r="D11802" s="11"/>
      <c r="E11802" s="11"/>
      <c r="F11802" s="11"/>
      <c r="G11802" s="11"/>
      <c r="H11802" s="11"/>
      <c r="I11802" s="15"/>
    </row>
    <row r="11803" spans="1:9" ht="16.5">
      <c r="A11803" s="10" t="b">
        <v>0</v>
      </c>
      <c r="B11803" s="11" t="str">
        <f>IF(D11803&lt;&gt;"",IF(COUNTIF('USPTO TMs'!A:A,D11803)&gt;0,"Yes","No"),"")</f>
        <v/>
      </c>
      <c r="C11803" s="11"/>
      <c r="D11803" s="11"/>
      <c r="E11803" s="11"/>
      <c r="F11803" s="11"/>
      <c r="G11803" s="11"/>
      <c r="H11803" s="11"/>
      <c r="I11803" s="15"/>
    </row>
    <row r="11804" spans="1:9" ht="16.5">
      <c r="A11804" s="10" t="b">
        <v>0</v>
      </c>
      <c r="B11804" s="11" t="str">
        <f>IF(D11804&lt;&gt;"",IF(COUNTIF('USPTO TMs'!A:A,D11804)&gt;0,"Yes","No"),"")</f>
        <v/>
      </c>
      <c r="C11804" s="11"/>
      <c r="D11804" s="11"/>
      <c r="E11804" s="11"/>
      <c r="F11804" s="11"/>
      <c r="G11804" s="11"/>
      <c r="H11804" s="11"/>
      <c r="I11804" s="15"/>
    </row>
    <row r="11805" spans="1:9" ht="16.5">
      <c r="A11805" s="10" t="b">
        <v>0</v>
      </c>
      <c r="B11805" s="11" t="str">
        <f>IF(D11805&lt;&gt;"",IF(COUNTIF('USPTO TMs'!A:A,D11805)&gt;0,"Yes","No"),"")</f>
        <v/>
      </c>
      <c r="C11805" s="11"/>
      <c r="D11805" s="11"/>
      <c r="E11805" s="11"/>
      <c r="F11805" s="11"/>
      <c r="G11805" s="11"/>
      <c r="H11805" s="11"/>
      <c r="I11805" s="15"/>
    </row>
    <row r="11806" spans="1:9" ht="16.5">
      <c r="A11806" s="10" t="b">
        <v>0</v>
      </c>
      <c r="B11806" s="11" t="str">
        <f>IF(D11806&lt;&gt;"",IF(COUNTIF('USPTO TMs'!A:A,D11806)&gt;0,"Yes","No"),"")</f>
        <v/>
      </c>
      <c r="C11806" s="11"/>
      <c r="D11806" s="11"/>
      <c r="E11806" s="11"/>
      <c r="F11806" s="11"/>
      <c r="G11806" s="11"/>
      <c r="H11806" s="11"/>
      <c r="I11806" s="15"/>
    </row>
    <row r="11807" spans="1:9" ht="16.5">
      <c r="A11807" s="10" t="b">
        <v>0</v>
      </c>
      <c r="B11807" s="11" t="str">
        <f>IF(D11807&lt;&gt;"",IF(COUNTIF('USPTO TMs'!A:A,D11807)&gt;0,"Yes","No"),"")</f>
        <v/>
      </c>
      <c r="C11807" s="11"/>
      <c r="D11807" s="11"/>
      <c r="E11807" s="11"/>
      <c r="F11807" s="11"/>
      <c r="G11807" s="11"/>
      <c r="H11807" s="11"/>
      <c r="I11807" s="15"/>
    </row>
    <row r="11808" spans="1:9" ht="16.5">
      <c r="A11808" s="10" t="b">
        <v>0</v>
      </c>
      <c r="B11808" s="11" t="str">
        <f>IF(D11808&lt;&gt;"",IF(COUNTIF('USPTO TMs'!A:A,D11808)&gt;0,"Yes","No"),"")</f>
        <v/>
      </c>
      <c r="C11808" s="11"/>
      <c r="D11808" s="11"/>
      <c r="E11808" s="11"/>
      <c r="F11808" s="11"/>
      <c r="G11808" s="11"/>
      <c r="H11808" s="11"/>
      <c r="I11808" s="15"/>
    </row>
    <row r="11809" spans="1:9" ht="16.5">
      <c r="A11809" s="10" t="b">
        <v>0</v>
      </c>
      <c r="B11809" s="11" t="str">
        <f>IF(D11809&lt;&gt;"",IF(COUNTIF('USPTO TMs'!A:A,D11809)&gt;0,"Yes","No"),"")</f>
        <v/>
      </c>
      <c r="C11809" s="11"/>
      <c r="D11809" s="11"/>
      <c r="E11809" s="11"/>
      <c r="F11809" s="11"/>
      <c r="G11809" s="11"/>
      <c r="H11809" s="11"/>
      <c r="I11809" s="15"/>
    </row>
    <row r="11810" spans="1:9" ht="16.5">
      <c r="A11810" s="10" t="b">
        <v>0</v>
      </c>
      <c r="B11810" s="11" t="str">
        <f>IF(D11810&lt;&gt;"",IF(COUNTIF('USPTO TMs'!A:A,D11810)&gt;0,"Yes","No"),"")</f>
        <v/>
      </c>
      <c r="C11810" s="11"/>
      <c r="D11810" s="11"/>
      <c r="E11810" s="11"/>
      <c r="F11810" s="11"/>
      <c r="G11810" s="11"/>
      <c r="H11810" s="11"/>
      <c r="I11810" s="15"/>
    </row>
    <row r="11811" spans="1:9" ht="16.5">
      <c r="A11811" s="10" t="b">
        <v>0</v>
      </c>
      <c r="B11811" s="11" t="str">
        <f>IF(D11811&lt;&gt;"",IF(COUNTIF('USPTO TMs'!A:A,D11811)&gt;0,"Yes","No"),"")</f>
        <v/>
      </c>
      <c r="C11811" s="11"/>
      <c r="D11811" s="11"/>
      <c r="E11811" s="11"/>
      <c r="F11811" s="11"/>
      <c r="G11811" s="11"/>
      <c r="H11811" s="11"/>
      <c r="I11811" s="15"/>
    </row>
    <row r="11812" spans="1:9" ht="16.5">
      <c r="A11812" s="10" t="b">
        <v>0</v>
      </c>
      <c r="B11812" s="11" t="str">
        <f>IF(D11812&lt;&gt;"",IF(COUNTIF('USPTO TMs'!A:A,D11812)&gt;0,"Yes","No"),"")</f>
        <v/>
      </c>
      <c r="C11812" s="11"/>
      <c r="D11812" s="11"/>
      <c r="E11812" s="11"/>
      <c r="F11812" s="11"/>
      <c r="G11812" s="11"/>
      <c r="H11812" s="11"/>
      <c r="I11812" s="15"/>
    </row>
    <row r="11813" spans="1:9" ht="16.5">
      <c r="A11813" s="10" t="b">
        <v>0</v>
      </c>
      <c r="B11813" s="11" t="str">
        <f>IF(D11813&lt;&gt;"",IF(COUNTIF('USPTO TMs'!A:A,D11813)&gt;0,"Yes","No"),"")</f>
        <v/>
      </c>
      <c r="C11813" s="11"/>
      <c r="D11813" s="11"/>
      <c r="E11813" s="11"/>
      <c r="F11813" s="11"/>
      <c r="G11813" s="11"/>
      <c r="H11813" s="11"/>
      <c r="I11813" s="15"/>
    </row>
    <row r="11814" spans="1:9" ht="16.5">
      <c r="A11814" s="10" t="b">
        <v>0</v>
      </c>
      <c r="B11814" s="11" t="str">
        <f>IF(D11814&lt;&gt;"",IF(COUNTIF('USPTO TMs'!A:A,D11814)&gt;0,"Yes","No"),"")</f>
        <v/>
      </c>
      <c r="C11814" s="11"/>
      <c r="D11814" s="11"/>
      <c r="E11814" s="11"/>
      <c r="F11814" s="11"/>
      <c r="G11814" s="11"/>
      <c r="H11814" s="11"/>
      <c r="I11814" s="15"/>
    </row>
    <row r="11815" spans="1:9" ht="16.5">
      <c r="A11815" s="10" t="b">
        <v>0</v>
      </c>
      <c r="B11815" s="11" t="str">
        <f>IF(D11815&lt;&gt;"",IF(COUNTIF('USPTO TMs'!A:A,D11815)&gt;0,"Yes","No"),"")</f>
        <v/>
      </c>
      <c r="C11815" s="11"/>
      <c r="D11815" s="11"/>
      <c r="E11815" s="11"/>
      <c r="F11815" s="11"/>
      <c r="G11815" s="11"/>
      <c r="H11815" s="11"/>
      <c r="I11815" s="15"/>
    </row>
    <row r="11816" spans="1:9" ht="16.5">
      <c r="A11816" s="10" t="b">
        <v>0</v>
      </c>
      <c r="B11816" s="11" t="str">
        <f>IF(D11816&lt;&gt;"",IF(COUNTIF('USPTO TMs'!A:A,D11816)&gt;0,"Yes","No"),"")</f>
        <v/>
      </c>
      <c r="C11816" s="11"/>
      <c r="D11816" s="11"/>
      <c r="E11816" s="11"/>
      <c r="F11816" s="11"/>
      <c r="G11816" s="11"/>
      <c r="H11816" s="11"/>
      <c r="I11816" s="15"/>
    </row>
    <row r="11817" spans="1:9" ht="16.5">
      <c r="A11817" s="10" t="b">
        <v>0</v>
      </c>
      <c r="B11817" s="11" t="str">
        <f>IF(D11817&lt;&gt;"",IF(COUNTIF('USPTO TMs'!A:A,D11817)&gt;0,"Yes","No"),"")</f>
        <v/>
      </c>
      <c r="C11817" s="11"/>
      <c r="D11817" s="11"/>
      <c r="E11817" s="11"/>
      <c r="F11817" s="11"/>
      <c r="G11817" s="11"/>
      <c r="H11817" s="11"/>
      <c r="I11817" s="15"/>
    </row>
    <row r="11818" spans="1:9" ht="16.5">
      <c r="A11818" s="10" t="b">
        <v>0</v>
      </c>
      <c r="B11818" s="11" t="str">
        <f>IF(D11818&lt;&gt;"",IF(COUNTIF('USPTO TMs'!A:A,D11818)&gt;0,"Yes","No"),"")</f>
        <v/>
      </c>
      <c r="C11818" s="11"/>
      <c r="D11818" s="11"/>
      <c r="E11818" s="11"/>
      <c r="F11818" s="11"/>
      <c r="G11818" s="11"/>
      <c r="H11818" s="11"/>
      <c r="I11818" s="15"/>
    </row>
    <row r="11819" spans="1:9" ht="16.5">
      <c r="A11819" s="10" t="b">
        <v>0</v>
      </c>
      <c r="B11819" s="11" t="str">
        <f>IF(D11819&lt;&gt;"",IF(COUNTIF('USPTO TMs'!A:A,D11819)&gt;0,"Yes","No"),"")</f>
        <v/>
      </c>
      <c r="C11819" s="11"/>
      <c r="D11819" s="11"/>
      <c r="E11819" s="11"/>
      <c r="F11819" s="11"/>
      <c r="G11819" s="11"/>
      <c r="H11819" s="11"/>
      <c r="I11819" s="15"/>
    </row>
    <row r="11820" spans="1:9" ht="16.5">
      <c r="A11820" s="10" t="b">
        <v>0</v>
      </c>
      <c r="B11820" s="11" t="str">
        <f>IF(D11820&lt;&gt;"",IF(COUNTIF('USPTO TMs'!A:A,D11820)&gt;0,"Yes","No"),"")</f>
        <v/>
      </c>
      <c r="C11820" s="11"/>
      <c r="D11820" s="11"/>
      <c r="E11820" s="11"/>
      <c r="F11820" s="11"/>
      <c r="G11820" s="11"/>
      <c r="H11820" s="11"/>
      <c r="I11820" s="15"/>
    </row>
    <row r="11821" spans="1:9" ht="16.5">
      <c r="A11821" s="10" t="b">
        <v>0</v>
      </c>
      <c r="B11821" s="11" t="str">
        <f>IF(D11821&lt;&gt;"",IF(COUNTIF('USPTO TMs'!A:A,D11821)&gt;0,"Yes","No"),"")</f>
        <v/>
      </c>
      <c r="C11821" s="11"/>
      <c r="D11821" s="11"/>
      <c r="E11821" s="11"/>
      <c r="F11821" s="11"/>
      <c r="G11821" s="11"/>
      <c r="H11821" s="11"/>
      <c r="I11821" s="15"/>
    </row>
    <row r="11822" spans="1:9" ht="16.5">
      <c r="A11822" s="10" t="b">
        <v>0</v>
      </c>
      <c r="B11822" s="11" t="str">
        <f>IF(D11822&lt;&gt;"",IF(COUNTIF('USPTO TMs'!A:A,D11822)&gt;0,"Yes","No"),"")</f>
        <v/>
      </c>
      <c r="C11822" s="11"/>
      <c r="D11822" s="11"/>
      <c r="E11822" s="11"/>
      <c r="F11822" s="11"/>
      <c r="G11822" s="11"/>
      <c r="H11822" s="11"/>
      <c r="I11822" s="15"/>
    </row>
    <row r="11823" spans="1:9" ht="16.5">
      <c r="A11823" s="10" t="b">
        <v>0</v>
      </c>
      <c r="B11823" s="11" t="str">
        <f>IF(D11823&lt;&gt;"",IF(COUNTIF('USPTO TMs'!A:A,D11823)&gt;0,"Yes","No"),"")</f>
        <v/>
      </c>
      <c r="C11823" s="11"/>
      <c r="D11823" s="11"/>
      <c r="E11823" s="11"/>
      <c r="F11823" s="11"/>
      <c r="G11823" s="11"/>
      <c r="H11823" s="11"/>
      <c r="I11823" s="15"/>
    </row>
    <row r="11824" spans="1:9" ht="16.5">
      <c r="A11824" s="10" t="b">
        <v>0</v>
      </c>
      <c r="B11824" s="11" t="str">
        <f>IF(D11824&lt;&gt;"",IF(COUNTIF('USPTO TMs'!A:A,D11824)&gt;0,"Yes","No"),"")</f>
        <v/>
      </c>
      <c r="C11824" s="11"/>
      <c r="D11824" s="11"/>
      <c r="E11824" s="11"/>
      <c r="F11824" s="11"/>
      <c r="G11824" s="11"/>
      <c r="H11824" s="11"/>
      <c r="I11824" s="15"/>
    </row>
    <row r="11825" spans="1:9" ht="16.5">
      <c r="A11825" s="10" t="b">
        <v>0</v>
      </c>
      <c r="B11825" s="11" t="str">
        <f>IF(D11825&lt;&gt;"",IF(COUNTIF('USPTO TMs'!A:A,D11825)&gt;0,"Yes","No"),"")</f>
        <v/>
      </c>
      <c r="C11825" s="11"/>
      <c r="D11825" s="11"/>
      <c r="E11825" s="11"/>
      <c r="F11825" s="11"/>
      <c r="G11825" s="11"/>
      <c r="H11825" s="11"/>
      <c r="I11825" s="15"/>
    </row>
    <row r="11826" spans="1:9" ht="16.5">
      <c r="A11826" s="10" t="b">
        <v>0</v>
      </c>
      <c r="B11826" s="11" t="str">
        <f>IF(D11826&lt;&gt;"",IF(COUNTIF('USPTO TMs'!A:A,D11826)&gt;0,"Yes","No"),"")</f>
        <v/>
      </c>
      <c r="C11826" s="11"/>
      <c r="D11826" s="11"/>
      <c r="E11826" s="11"/>
      <c r="F11826" s="11"/>
      <c r="G11826" s="11"/>
      <c r="H11826" s="11"/>
      <c r="I11826" s="15"/>
    </row>
    <row r="11827" spans="1:9" ht="16.5">
      <c r="A11827" s="10" t="b">
        <v>0</v>
      </c>
      <c r="B11827" s="11" t="str">
        <f>IF(D11827&lt;&gt;"",IF(COUNTIF('USPTO TMs'!A:A,D11827)&gt;0,"Yes","No"),"")</f>
        <v/>
      </c>
      <c r="C11827" s="11"/>
      <c r="D11827" s="11"/>
      <c r="E11827" s="11"/>
      <c r="F11827" s="11"/>
      <c r="G11827" s="11"/>
      <c r="H11827" s="11"/>
      <c r="I11827" s="15"/>
    </row>
    <row r="11828" spans="1:9" ht="16.5">
      <c r="A11828" s="10" t="b">
        <v>0</v>
      </c>
      <c r="B11828" s="11" t="str">
        <f>IF(D11828&lt;&gt;"",IF(COUNTIF('USPTO TMs'!A:A,D11828)&gt;0,"Yes","No"),"")</f>
        <v/>
      </c>
      <c r="C11828" s="11"/>
      <c r="D11828" s="11"/>
      <c r="E11828" s="11"/>
      <c r="F11828" s="11"/>
      <c r="G11828" s="11"/>
      <c r="H11828" s="11"/>
      <c r="I11828" s="15"/>
    </row>
    <row r="11829" spans="1:9" ht="16.5">
      <c r="A11829" s="10" t="b">
        <v>0</v>
      </c>
      <c r="B11829" s="11" t="str">
        <f>IF(D11829&lt;&gt;"",IF(COUNTIF('USPTO TMs'!A:A,D11829)&gt;0,"Yes","No"),"")</f>
        <v/>
      </c>
      <c r="C11829" s="11"/>
      <c r="D11829" s="11"/>
      <c r="E11829" s="11"/>
      <c r="F11829" s="11"/>
      <c r="G11829" s="11"/>
      <c r="H11829" s="11"/>
      <c r="I11829" s="15"/>
    </row>
    <row r="11830" spans="1:9" ht="16.5">
      <c r="A11830" s="10" t="b">
        <v>0</v>
      </c>
      <c r="B11830" s="11" t="str">
        <f>IF(D11830&lt;&gt;"",IF(COUNTIF('USPTO TMs'!A:A,D11830)&gt;0,"Yes","No"),"")</f>
        <v/>
      </c>
      <c r="C11830" s="11"/>
      <c r="D11830" s="11"/>
      <c r="E11830" s="11"/>
      <c r="F11830" s="11"/>
      <c r="G11830" s="11"/>
      <c r="H11830" s="11"/>
      <c r="I11830" s="15"/>
    </row>
    <row r="11831" spans="1:9" ht="16.5">
      <c r="A11831" s="10" t="b">
        <v>0</v>
      </c>
      <c r="B11831" s="11" t="str">
        <f>IF(D11831&lt;&gt;"",IF(COUNTIF('USPTO TMs'!A:A,D11831)&gt;0,"Yes","No"),"")</f>
        <v/>
      </c>
      <c r="C11831" s="11"/>
      <c r="D11831" s="11"/>
      <c r="E11831" s="11"/>
      <c r="F11831" s="11"/>
      <c r="G11831" s="11"/>
      <c r="H11831" s="11"/>
      <c r="I11831" s="15"/>
    </row>
    <row r="11832" spans="1:9" ht="16.5">
      <c r="A11832" s="10" t="b">
        <v>0</v>
      </c>
      <c r="B11832" s="11" t="str">
        <f>IF(D11832&lt;&gt;"",IF(COUNTIF('USPTO TMs'!A:A,D11832)&gt;0,"Yes","No"),"")</f>
        <v/>
      </c>
      <c r="C11832" s="11"/>
      <c r="D11832" s="11"/>
      <c r="E11832" s="11"/>
      <c r="F11832" s="11"/>
      <c r="G11832" s="11"/>
      <c r="H11832" s="11"/>
      <c r="I11832" s="15"/>
    </row>
    <row r="11833" spans="1:9" ht="16.5">
      <c r="A11833" s="10" t="b">
        <v>0</v>
      </c>
      <c r="B11833" s="11" t="str">
        <f>IF(D11833&lt;&gt;"",IF(COUNTIF('USPTO TMs'!A:A,D11833)&gt;0,"Yes","No"),"")</f>
        <v/>
      </c>
      <c r="C11833" s="11"/>
      <c r="D11833" s="11"/>
      <c r="E11833" s="11"/>
      <c r="F11833" s="11"/>
      <c r="G11833" s="11"/>
      <c r="H11833" s="11"/>
      <c r="I11833" s="15"/>
    </row>
    <row r="11834" spans="1:9" ht="16.5">
      <c r="A11834" s="10" t="b">
        <v>0</v>
      </c>
      <c r="B11834" s="11" t="str">
        <f>IF(D11834&lt;&gt;"",IF(COUNTIF('USPTO TMs'!A:A,D11834)&gt;0,"Yes","No"),"")</f>
        <v/>
      </c>
      <c r="C11834" s="11"/>
      <c r="D11834" s="11"/>
      <c r="E11834" s="11"/>
      <c r="F11834" s="11"/>
      <c r="G11834" s="11"/>
      <c r="H11834" s="11"/>
      <c r="I11834" s="15"/>
    </row>
    <row r="11835" spans="1:9" ht="16.5">
      <c r="A11835" s="10" t="b">
        <v>0</v>
      </c>
      <c r="B11835" s="11" t="str">
        <f>IF(D11835&lt;&gt;"",IF(COUNTIF('USPTO TMs'!A:A,D11835)&gt;0,"Yes","No"),"")</f>
        <v/>
      </c>
      <c r="C11835" s="11"/>
      <c r="D11835" s="11"/>
      <c r="E11835" s="11"/>
      <c r="F11835" s="11"/>
      <c r="G11835" s="11"/>
      <c r="H11835" s="11"/>
      <c r="I11835" s="15"/>
    </row>
    <row r="11836" spans="1:9" ht="16.5">
      <c r="A11836" s="10" t="b">
        <v>0</v>
      </c>
      <c r="B11836" s="11" t="str">
        <f>IF(D11836&lt;&gt;"",IF(COUNTIF('USPTO TMs'!A:A,D11836)&gt;0,"Yes","No"),"")</f>
        <v/>
      </c>
      <c r="C11836" s="11"/>
      <c r="D11836" s="11"/>
      <c r="E11836" s="11"/>
      <c r="F11836" s="11"/>
      <c r="G11836" s="11"/>
      <c r="H11836" s="11"/>
      <c r="I11836" s="15"/>
    </row>
    <row r="11837" spans="1:9" ht="16.5">
      <c r="A11837" s="10" t="b">
        <v>0</v>
      </c>
      <c r="B11837" s="11" t="str">
        <f>IF(D11837&lt;&gt;"",IF(COUNTIF('USPTO TMs'!A:A,D11837)&gt;0,"Yes","No"),"")</f>
        <v/>
      </c>
      <c r="C11837" s="11"/>
      <c r="D11837" s="11"/>
      <c r="E11837" s="11"/>
      <c r="F11837" s="11"/>
      <c r="G11837" s="11"/>
      <c r="H11837" s="11"/>
      <c r="I11837" s="15"/>
    </row>
    <row r="11838" spans="1:9" ht="16.5">
      <c r="A11838" s="10" t="b">
        <v>0</v>
      </c>
      <c r="B11838" s="11" t="str">
        <f>IF(D11838&lt;&gt;"",IF(COUNTIF('USPTO TMs'!A:A,D11838)&gt;0,"Yes","No"),"")</f>
        <v/>
      </c>
      <c r="C11838" s="11"/>
      <c r="D11838" s="11"/>
      <c r="E11838" s="11"/>
      <c r="F11838" s="11"/>
      <c r="G11838" s="11"/>
      <c r="H11838" s="11"/>
      <c r="I11838" s="15"/>
    </row>
    <row r="11839" spans="1:9" ht="16.5">
      <c r="A11839" s="10" t="b">
        <v>0</v>
      </c>
      <c r="B11839" s="11" t="str">
        <f>IF(D11839&lt;&gt;"",IF(COUNTIF('USPTO TMs'!A:A,D11839)&gt;0,"Yes","No"),"")</f>
        <v/>
      </c>
      <c r="C11839" s="11"/>
      <c r="D11839" s="11"/>
      <c r="E11839" s="11"/>
      <c r="F11839" s="11"/>
      <c r="G11839" s="11"/>
      <c r="H11839" s="11"/>
      <c r="I11839" s="15"/>
    </row>
    <row r="11840" spans="1:9" ht="16.5">
      <c r="A11840" s="10" t="b">
        <v>0</v>
      </c>
      <c r="B11840" s="11" t="str">
        <f>IF(D11840&lt;&gt;"",IF(COUNTIF('USPTO TMs'!A:A,D11840)&gt;0,"Yes","No"),"")</f>
        <v/>
      </c>
      <c r="C11840" s="11"/>
      <c r="D11840" s="11"/>
      <c r="E11840" s="11"/>
      <c r="F11840" s="11"/>
      <c r="G11840" s="11"/>
      <c r="H11840" s="11"/>
      <c r="I11840" s="15"/>
    </row>
    <row r="11841" spans="1:9" ht="16.5">
      <c r="A11841" s="10" t="b">
        <v>0</v>
      </c>
      <c r="B11841" s="11" t="str">
        <f>IF(D11841&lt;&gt;"",IF(COUNTIF('USPTO TMs'!A:A,D11841)&gt;0,"Yes","No"),"")</f>
        <v/>
      </c>
      <c r="C11841" s="11"/>
      <c r="D11841" s="11"/>
      <c r="E11841" s="11"/>
      <c r="F11841" s="11"/>
      <c r="G11841" s="11"/>
      <c r="H11841" s="11"/>
      <c r="I11841" s="15"/>
    </row>
    <row r="11842" spans="1:9" ht="16.5">
      <c r="A11842" s="10" t="b">
        <v>0</v>
      </c>
      <c r="B11842" s="11" t="str">
        <f>IF(D11842&lt;&gt;"",IF(COUNTIF('USPTO TMs'!A:A,D11842)&gt;0,"Yes","No"),"")</f>
        <v/>
      </c>
      <c r="C11842" s="11"/>
      <c r="D11842" s="11"/>
      <c r="E11842" s="11"/>
      <c r="F11842" s="11"/>
      <c r="G11842" s="11"/>
      <c r="H11842" s="11"/>
      <c r="I11842" s="15"/>
    </row>
    <row r="11843" spans="1:9" ht="16.5">
      <c r="A11843" s="10" t="b">
        <v>0</v>
      </c>
      <c r="B11843" s="11" t="str">
        <f>IF(D11843&lt;&gt;"",IF(COUNTIF('USPTO TMs'!A:A,D11843)&gt;0,"Yes","No"),"")</f>
        <v/>
      </c>
      <c r="C11843" s="11"/>
      <c r="D11843" s="11"/>
      <c r="E11843" s="11"/>
      <c r="F11843" s="11"/>
      <c r="G11843" s="11"/>
      <c r="H11843" s="11"/>
      <c r="I11843" s="15"/>
    </row>
    <row r="11844" spans="1:9" ht="16.5">
      <c r="A11844" s="10" t="b">
        <v>0</v>
      </c>
      <c r="B11844" s="11" t="str">
        <f>IF(D11844&lt;&gt;"",IF(COUNTIF('USPTO TMs'!A:A,D11844)&gt;0,"Yes","No"),"")</f>
        <v/>
      </c>
      <c r="C11844" s="11"/>
      <c r="D11844" s="11"/>
      <c r="E11844" s="11"/>
      <c r="F11844" s="11"/>
      <c r="G11844" s="11"/>
      <c r="H11844" s="11"/>
      <c r="I11844" s="15"/>
    </row>
    <row r="11845" spans="1:9" ht="16.5">
      <c r="A11845" s="10" t="b">
        <v>0</v>
      </c>
      <c r="B11845" s="11" t="str">
        <f>IF(D11845&lt;&gt;"",IF(COUNTIF('USPTO TMs'!A:A,D11845)&gt;0,"Yes","No"),"")</f>
        <v/>
      </c>
      <c r="C11845" s="11"/>
      <c r="D11845" s="11"/>
      <c r="E11845" s="11"/>
      <c r="F11845" s="11"/>
      <c r="G11845" s="11"/>
      <c r="H11845" s="11"/>
      <c r="I11845" s="15"/>
    </row>
    <row r="11846" spans="1:9" ht="16.5">
      <c r="A11846" s="10" t="b">
        <v>0</v>
      </c>
      <c r="B11846" s="11" t="str">
        <f>IF(D11846&lt;&gt;"",IF(COUNTIF('USPTO TMs'!A:A,D11846)&gt;0,"Yes","No"),"")</f>
        <v/>
      </c>
      <c r="C11846" s="11"/>
      <c r="D11846" s="11"/>
      <c r="E11846" s="11"/>
      <c r="F11846" s="11"/>
      <c r="G11846" s="11"/>
      <c r="H11846" s="11"/>
      <c r="I11846" s="15"/>
    </row>
    <row r="11847" spans="1:9" ht="16.5">
      <c r="A11847" s="10" t="b">
        <v>0</v>
      </c>
      <c r="B11847" s="11" t="str">
        <f>IF(D11847&lt;&gt;"",IF(COUNTIF('USPTO TMs'!A:A,D11847)&gt;0,"Yes","No"),"")</f>
        <v/>
      </c>
      <c r="C11847" s="11"/>
      <c r="D11847" s="11"/>
      <c r="E11847" s="11"/>
      <c r="F11847" s="11"/>
      <c r="G11847" s="11"/>
      <c r="H11847" s="11"/>
      <c r="I11847" s="15"/>
    </row>
    <row r="11848" spans="1:9" ht="16.5">
      <c r="A11848" s="10" t="b">
        <v>0</v>
      </c>
      <c r="B11848" s="11" t="str">
        <f>IF(D11848&lt;&gt;"",IF(COUNTIF('USPTO TMs'!A:A,D11848)&gt;0,"Yes","No"),"")</f>
        <v/>
      </c>
      <c r="C11848" s="11"/>
      <c r="D11848" s="11"/>
      <c r="E11848" s="11"/>
      <c r="F11848" s="11"/>
      <c r="G11848" s="11"/>
      <c r="H11848" s="11"/>
      <c r="I11848" s="15"/>
    </row>
    <row r="11849" spans="1:9" ht="16.5">
      <c r="A11849" s="10" t="b">
        <v>0</v>
      </c>
      <c r="B11849" s="11" t="str">
        <f>IF(D11849&lt;&gt;"",IF(COUNTIF('USPTO TMs'!A:A,D11849)&gt;0,"Yes","No"),"")</f>
        <v/>
      </c>
      <c r="C11849" s="11"/>
      <c r="D11849" s="11"/>
      <c r="E11849" s="11"/>
      <c r="F11849" s="11"/>
      <c r="G11849" s="11"/>
      <c r="H11849" s="11"/>
      <c r="I11849" s="15"/>
    </row>
    <row r="11850" spans="1:9" ht="16.5">
      <c r="A11850" s="10" t="b">
        <v>0</v>
      </c>
      <c r="B11850" s="11" t="str">
        <f>IF(D11850&lt;&gt;"",IF(COUNTIF('USPTO TMs'!A:A,D11850)&gt;0,"Yes","No"),"")</f>
        <v/>
      </c>
      <c r="C11850" s="11"/>
      <c r="D11850" s="11"/>
      <c r="E11850" s="11"/>
      <c r="F11850" s="11"/>
      <c r="G11850" s="11"/>
      <c r="H11850" s="11"/>
      <c r="I11850" s="15"/>
    </row>
    <row r="11851" spans="1:9" ht="16.5">
      <c r="A11851" s="10" t="b">
        <v>0</v>
      </c>
      <c r="B11851" s="11" t="str">
        <f>IF(D11851&lt;&gt;"",IF(COUNTIF('USPTO TMs'!A:A,D11851)&gt;0,"Yes","No"),"")</f>
        <v/>
      </c>
      <c r="C11851" s="11"/>
      <c r="D11851" s="11"/>
      <c r="E11851" s="11"/>
      <c r="F11851" s="11"/>
      <c r="G11851" s="11"/>
      <c r="H11851" s="11"/>
      <c r="I11851" s="15"/>
    </row>
    <row r="11852" spans="1:9" ht="16.5">
      <c r="A11852" s="10" t="b">
        <v>0</v>
      </c>
      <c r="B11852" s="11" t="str">
        <f>IF(D11852&lt;&gt;"",IF(COUNTIF('USPTO TMs'!A:A,D11852)&gt;0,"Yes","No"),"")</f>
        <v/>
      </c>
      <c r="C11852" s="11"/>
      <c r="D11852" s="11"/>
      <c r="E11852" s="11"/>
      <c r="F11852" s="11"/>
      <c r="G11852" s="11"/>
      <c r="H11852" s="11"/>
      <c r="I11852" s="15"/>
    </row>
    <row r="11853" spans="1:9" ht="16.5">
      <c r="A11853" s="10" t="b">
        <v>0</v>
      </c>
      <c r="B11853" s="11" t="str">
        <f>IF(D11853&lt;&gt;"",IF(COUNTIF('USPTO TMs'!A:A,D11853)&gt;0,"Yes","No"),"")</f>
        <v/>
      </c>
      <c r="C11853" s="11"/>
      <c r="D11853" s="11"/>
      <c r="E11853" s="11"/>
      <c r="F11853" s="11"/>
      <c r="G11853" s="11"/>
      <c r="H11853" s="11"/>
      <c r="I11853" s="15"/>
    </row>
    <row r="11854" spans="1:9" ht="16.5">
      <c r="A11854" s="10" t="b">
        <v>0</v>
      </c>
      <c r="B11854" s="11" t="str">
        <f>IF(D11854&lt;&gt;"",IF(COUNTIF('USPTO TMs'!A:A,D11854)&gt;0,"Yes","No"),"")</f>
        <v/>
      </c>
      <c r="C11854" s="11"/>
      <c r="D11854" s="11"/>
      <c r="E11854" s="11"/>
      <c r="F11854" s="11"/>
      <c r="G11854" s="11"/>
      <c r="H11854" s="11"/>
      <c r="I11854" s="15"/>
    </row>
    <row r="11855" spans="1:9" ht="16.5">
      <c r="A11855" s="10" t="b">
        <v>0</v>
      </c>
      <c r="B11855" s="11" t="str">
        <f>IF(D11855&lt;&gt;"",IF(COUNTIF('USPTO TMs'!A:A,D11855)&gt;0,"Yes","No"),"")</f>
        <v/>
      </c>
      <c r="C11855" s="11"/>
      <c r="D11855" s="11"/>
      <c r="E11855" s="11"/>
      <c r="F11855" s="11"/>
      <c r="G11855" s="11"/>
      <c r="H11855" s="11"/>
      <c r="I11855" s="15"/>
    </row>
    <row r="11856" spans="1:9" ht="16.5">
      <c r="A11856" s="10" t="b">
        <v>0</v>
      </c>
      <c r="B11856" s="11" t="str">
        <f>IF(D11856&lt;&gt;"",IF(COUNTIF('USPTO TMs'!A:A,D11856)&gt;0,"Yes","No"),"")</f>
        <v/>
      </c>
      <c r="C11856" s="11"/>
      <c r="D11856" s="11"/>
      <c r="E11856" s="11"/>
      <c r="F11856" s="11"/>
      <c r="G11856" s="11"/>
      <c r="H11856" s="11"/>
      <c r="I11856" s="15"/>
    </row>
    <row r="11857" spans="1:9" ht="16.5">
      <c r="A11857" s="10" t="b">
        <v>0</v>
      </c>
      <c r="B11857" s="11" t="str">
        <f>IF(D11857&lt;&gt;"",IF(COUNTIF('USPTO TMs'!A:A,D11857)&gt;0,"Yes","No"),"")</f>
        <v/>
      </c>
      <c r="C11857" s="11"/>
      <c r="D11857" s="11"/>
      <c r="E11857" s="11"/>
      <c r="F11857" s="11"/>
      <c r="G11857" s="11"/>
      <c r="H11857" s="11"/>
      <c r="I11857" s="15"/>
    </row>
    <row r="11858" spans="1:9" ht="16.5">
      <c r="A11858" s="10" t="b">
        <v>0</v>
      </c>
      <c r="B11858" s="11" t="str">
        <f>IF(D11858&lt;&gt;"",IF(COUNTIF('USPTO TMs'!A:A,D11858)&gt;0,"Yes","No"),"")</f>
        <v/>
      </c>
      <c r="C11858" s="11"/>
      <c r="D11858" s="11"/>
      <c r="E11858" s="11"/>
      <c r="F11858" s="11"/>
      <c r="G11858" s="11"/>
      <c r="H11858" s="11"/>
      <c r="I11858" s="15"/>
    </row>
    <row r="11859" spans="1:9" ht="16.5">
      <c r="A11859" s="10" t="b">
        <v>0</v>
      </c>
      <c r="B11859" s="11" t="str">
        <f>IF(D11859&lt;&gt;"",IF(COUNTIF('USPTO TMs'!A:A,D11859)&gt;0,"Yes","No"),"")</f>
        <v/>
      </c>
      <c r="C11859" s="11"/>
      <c r="D11859" s="11"/>
      <c r="E11859" s="11"/>
      <c r="F11859" s="11"/>
      <c r="G11859" s="11"/>
      <c r="H11859" s="11"/>
      <c r="I11859" s="15"/>
    </row>
    <row r="11860" spans="1:9" ht="16.5">
      <c r="A11860" s="10" t="b">
        <v>0</v>
      </c>
      <c r="B11860" s="11" t="str">
        <f>IF(D11860&lt;&gt;"",IF(COUNTIF('USPTO TMs'!A:A,D11860)&gt;0,"Yes","No"),"")</f>
        <v/>
      </c>
      <c r="C11860" s="11"/>
      <c r="D11860" s="11"/>
      <c r="E11860" s="11"/>
      <c r="F11860" s="11"/>
      <c r="G11860" s="11"/>
      <c r="H11860" s="11"/>
      <c r="I11860" s="15"/>
    </row>
    <row r="11861" spans="1:9" ht="16.5">
      <c r="A11861" s="10" t="b">
        <v>0</v>
      </c>
      <c r="B11861" s="11" t="str">
        <f>IF(D11861&lt;&gt;"",IF(COUNTIF('USPTO TMs'!A:A,D11861)&gt;0,"Yes","No"),"")</f>
        <v/>
      </c>
      <c r="C11861" s="11"/>
      <c r="D11861" s="11"/>
      <c r="E11861" s="11"/>
      <c r="F11861" s="11"/>
      <c r="G11861" s="11"/>
      <c r="H11861" s="11"/>
      <c r="I11861" s="15"/>
    </row>
    <row r="11862" spans="1:9" ht="16.5">
      <c r="A11862" s="10" t="b">
        <v>0</v>
      </c>
      <c r="B11862" s="11" t="str">
        <f>IF(D11862&lt;&gt;"",IF(COUNTIF('USPTO TMs'!A:A,D11862)&gt;0,"Yes","No"),"")</f>
        <v/>
      </c>
      <c r="C11862" s="11"/>
      <c r="D11862" s="11"/>
      <c r="E11862" s="11"/>
      <c r="F11862" s="11"/>
      <c r="G11862" s="11"/>
      <c r="H11862" s="11"/>
      <c r="I11862" s="15"/>
    </row>
    <row r="11863" spans="1:9" ht="16.5">
      <c r="A11863" s="10" t="b">
        <v>0</v>
      </c>
      <c r="B11863" s="11" t="str">
        <f>IF(D11863&lt;&gt;"",IF(COUNTIF('USPTO TMs'!A:A,D11863)&gt;0,"Yes","No"),"")</f>
        <v/>
      </c>
      <c r="C11863" s="11"/>
      <c r="D11863" s="11"/>
      <c r="E11863" s="11"/>
      <c r="F11863" s="11"/>
      <c r="G11863" s="11"/>
      <c r="H11863" s="11"/>
      <c r="I11863" s="15"/>
    </row>
    <row r="11864" spans="1:9" ht="16.5">
      <c r="A11864" s="10" t="b">
        <v>0</v>
      </c>
      <c r="B11864" s="11" t="str">
        <f>IF(D11864&lt;&gt;"",IF(COUNTIF('USPTO TMs'!A:A,D11864)&gt;0,"Yes","No"),"")</f>
        <v/>
      </c>
      <c r="C11864" s="11"/>
      <c r="D11864" s="11"/>
      <c r="E11864" s="11"/>
      <c r="F11864" s="11"/>
      <c r="G11864" s="11"/>
      <c r="H11864" s="11"/>
      <c r="I11864" s="15"/>
    </row>
    <row r="11865" spans="1:9" ht="16.5">
      <c r="A11865" s="10" t="b">
        <v>0</v>
      </c>
      <c r="B11865" s="11" t="str">
        <f>IF(D11865&lt;&gt;"",IF(COUNTIF('USPTO TMs'!A:A,D11865)&gt;0,"Yes","No"),"")</f>
        <v/>
      </c>
      <c r="C11865" s="11"/>
      <c r="D11865" s="11"/>
      <c r="E11865" s="11"/>
      <c r="F11865" s="11"/>
      <c r="G11865" s="11"/>
      <c r="H11865" s="11"/>
      <c r="I11865" s="15"/>
    </row>
    <row r="11866" spans="1:9" ht="16.5">
      <c r="A11866" s="10" t="b">
        <v>0</v>
      </c>
      <c r="B11866" s="11" t="str">
        <f>IF(D11866&lt;&gt;"",IF(COUNTIF('USPTO TMs'!A:A,D11866)&gt;0,"Yes","No"),"")</f>
        <v/>
      </c>
      <c r="C11866" s="11"/>
      <c r="D11866" s="11"/>
      <c r="E11866" s="11"/>
      <c r="F11866" s="11"/>
      <c r="G11866" s="11"/>
      <c r="H11866" s="11"/>
      <c r="I11866" s="15"/>
    </row>
    <row r="11867" spans="1:9" ht="16.5">
      <c r="A11867" s="10" t="b">
        <v>0</v>
      </c>
      <c r="B11867" s="11" t="str">
        <f>IF(D11867&lt;&gt;"",IF(COUNTIF('USPTO TMs'!A:A,D11867)&gt;0,"Yes","No"),"")</f>
        <v/>
      </c>
      <c r="C11867" s="11"/>
      <c r="D11867" s="11"/>
      <c r="E11867" s="11"/>
      <c r="F11867" s="11"/>
      <c r="G11867" s="11"/>
      <c r="H11867" s="11"/>
      <c r="I11867" s="15"/>
    </row>
    <row r="11868" spans="1:9" ht="16.5">
      <c r="A11868" s="10" t="b">
        <v>0</v>
      </c>
      <c r="B11868" s="11" t="str">
        <f>IF(D11868&lt;&gt;"",IF(COUNTIF('USPTO TMs'!A:A,D11868)&gt;0,"Yes","No"),"")</f>
        <v/>
      </c>
      <c r="C11868" s="11"/>
      <c r="D11868" s="11"/>
      <c r="E11868" s="11"/>
      <c r="F11868" s="11"/>
      <c r="G11868" s="11"/>
      <c r="H11868" s="11"/>
      <c r="I11868" s="15"/>
    </row>
    <row r="11869" spans="1:9" ht="16.5">
      <c r="A11869" s="10" t="b">
        <v>0</v>
      </c>
      <c r="B11869" s="11" t="str">
        <f>IF(D11869&lt;&gt;"",IF(COUNTIF('USPTO TMs'!A:A,D11869)&gt;0,"Yes","No"),"")</f>
        <v/>
      </c>
      <c r="C11869" s="11"/>
      <c r="D11869" s="11"/>
      <c r="E11869" s="11"/>
      <c r="F11869" s="11"/>
      <c r="G11869" s="11"/>
      <c r="H11869" s="11"/>
      <c r="I11869" s="15"/>
    </row>
    <row r="11870" spans="1:9" ht="16.5">
      <c r="A11870" s="10" t="b">
        <v>0</v>
      </c>
      <c r="B11870" s="11" t="str">
        <f>IF(D11870&lt;&gt;"",IF(COUNTIF('USPTO TMs'!A:A,D11870)&gt;0,"Yes","No"),"")</f>
        <v/>
      </c>
      <c r="C11870" s="11"/>
      <c r="D11870" s="11"/>
      <c r="E11870" s="11"/>
      <c r="F11870" s="11"/>
      <c r="G11870" s="11"/>
      <c r="H11870" s="11"/>
      <c r="I11870" s="15"/>
    </row>
    <row r="11871" spans="1:9" ht="16.5">
      <c r="A11871" s="10" t="b">
        <v>0</v>
      </c>
      <c r="B11871" s="11" t="str">
        <f>IF(D11871&lt;&gt;"",IF(COUNTIF('USPTO TMs'!A:A,D11871)&gt;0,"Yes","No"),"")</f>
        <v/>
      </c>
      <c r="C11871" s="11"/>
      <c r="D11871" s="11"/>
      <c r="E11871" s="11"/>
      <c r="F11871" s="11"/>
      <c r="G11871" s="11"/>
      <c r="H11871" s="11"/>
      <c r="I11871" s="15"/>
    </row>
    <row r="11872" spans="1:9" ht="16.5">
      <c r="A11872" s="10" t="b">
        <v>0</v>
      </c>
      <c r="B11872" s="11" t="str">
        <f>IF(D11872&lt;&gt;"",IF(COUNTIF('USPTO TMs'!A:A,D11872)&gt;0,"Yes","No"),"")</f>
        <v/>
      </c>
      <c r="C11872" s="11"/>
      <c r="D11872" s="11"/>
      <c r="E11872" s="11"/>
      <c r="F11872" s="11"/>
      <c r="G11872" s="11"/>
      <c r="H11872" s="11"/>
      <c r="I11872" s="15"/>
    </row>
    <row r="11873" spans="1:9" ht="16.5">
      <c r="A11873" s="10" t="b">
        <v>0</v>
      </c>
      <c r="B11873" s="11" t="str">
        <f>IF(D11873&lt;&gt;"",IF(COUNTIF('USPTO TMs'!A:A,D11873)&gt;0,"Yes","No"),"")</f>
        <v/>
      </c>
      <c r="C11873" s="11"/>
      <c r="D11873" s="11"/>
      <c r="E11873" s="11"/>
      <c r="F11873" s="11"/>
      <c r="G11873" s="11"/>
      <c r="H11873" s="11"/>
      <c r="I11873" s="15"/>
    </row>
    <row r="11874" spans="1:9" ht="16.5">
      <c r="A11874" s="10" t="b">
        <v>0</v>
      </c>
      <c r="B11874" s="11" t="str">
        <f>IF(D11874&lt;&gt;"",IF(COUNTIF('USPTO TMs'!A:A,D11874)&gt;0,"Yes","No"),"")</f>
        <v/>
      </c>
      <c r="C11874" s="11"/>
      <c r="D11874" s="11"/>
      <c r="E11874" s="11"/>
      <c r="F11874" s="11"/>
      <c r="G11874" s="11"/>
      <c r="H11874" s="11"/>
      <c r="I11874" s="15"/>
    </row>
    <row r="11875" spans="1:9" ht="16.5">
      <c r="A11875" s="10" t="b">
        <v>0</v>
      </c>
      <c r="B11875" s="11" t="str">
        <f>IF(D11875&lt;&gt;"",IF(COUNTIF('USPTO TMs'!A:A,D11875)&gt;0,"Yes","No"),"")</f>
        <v/>
      </c>
      <c r="C11875" s="11"/>
      <c r="D11875" s="11"/>
      <c r="E11875" s="11"/>
      <c r="F11875" s="11"/>
      <c r="G11875" s="11"/>
      <c r="H11875" s="11"/>
      <c r="I11875" s="15"/>
    </row>
    <row r="11876" spans="1:9" ht="16.5">
      <c r="A11876" s="10" t="b">
        <v>0</v>
      </c>
      <c r="B11876" s="11" t="str">
        <f>IF(D11876&lt;&gt;"",IF(COUNTIF('USPTO TMs'!A:A,D11876)&gt;0,"Yes","No"),"")</f>
        <v/>
      </c>
      <c r="C11876" s="11"/>
      <c r="D11876" s="11"/>
      <c r="E11876" s="11"/>
      <c r="F11876" s="11"/>
      <c r="G11876" s="11"/>
      <c r="H11876" s="11"/>
      <c r="I11876" s="15"/>
    </row>
    <row r="11877" spans="1:9" ht="16.5">
      <c r="A11877" s="10" t="b">
        <v>0</v>
      </c>
      <c r="B11877" s="11" t="str">
        <f>IF(D11877&lt;&gt;"",IF(COUNTIF('USPTO TMs'!A:A,D11877)&gt;0,"Yes","No"),"")</f>
        <v/>
      </c>
      <c r="C11877" s="11"/>
      <c r="D11877" s="11"/>
      <c r="E11877" s="11"/>
      <c r="F11877" s="11"/>
      <c r="G11877" s="11"/>
      <c r="H11877" s="11"/>
      <c r="I11877" s="15"/>
    </row>
    <row r="11878" spans="1:9" ht="16.5">
      <c r="A11878" s="10" t="b">
        <v>0</v>
      </c>
      <c r="B11878" s="11" t="str">
        <f>IF(D11878&lt;&gt;"",IF(COUNTIF('USPTO TMs'!A:A,D11878)&gt;0,"Yes","No"),"")</f>
        <v/>
      </c>
      <c r="C11878" s="11"/>
      <c r="D11878" s="11"/>
      <c r="E11878" s="11"/>
      <c r="F11878" s="11"/>
      <c r="G11878" s="11"/>
      <c r="H11878" s="11"/>
      <c r="I11878" s="15"/>
    </row>
    <row r="11879" spans="1:9" ht="16.5">
      <c r="A11879" s="10" t="b">
        <v>0</v>
      </c>
      <c r="B11879" s="11" t="str">
        <f>IF(D11879&lt;&gt;"",IF(COUNTIF('USPTO TMs'!A:A,D11879)&gt;0,"Yes","No"),"")</f>
        <v/>
      </c>
      <c r="C11879" s="11"/>
      <c r="D11879" s="11"/>
      <c r="E11879" s="11"/>
      <c r="F11879" s="11"/>
      <c r="G11879" s="11"/>
      <c r="H11879" s="11"/>
      <c r="I11879" s="15"/>
    </row>
    <row r="11880" spans="1:9" ht="16.5">
      <c r="A11880" s="10" t="b">
        <v>0</v>
      </c>
      <c r="B11880" s="11" t="str">
        <f>IF(D11880&lt;&gt;"",IF(COUNTIF('USPTO TMs'!A:A,D11880)&gt;0,"Yes","No"),"")</f>
        <v/>
      </c>
      <c r="C11880" s="11"/>
      <c r="D11880" s="11"/>
      <c r="E11880" s="11"/>
      <c r="F11880" s="11"/>
      <c r="G11880" s="11"/>
      <c r="H11880" s="11"/>
      <c r="I11880" s="15"/>
    </row>
    <row r="11881" spans="1:9" ht="16.5">
      <c r="A11881" s="10" t="b">
        <v>0</v>
      </c>
      <c r="B11881" s="11" t="str">
        <f>IF(D11881&lt;&gt;"",IF(COUNTIF('USPTO TMs'!A:A,D11881)&gt;0,"Yes","No"),"")</f>
        <v/>
      </c>
      <c r="C11881" s="11"/>
      <c r="D11881" s="11"/>
      <c r="E11881" s="11"/>
      <c r="F11881" s="11"/>
      <c r="G11881" s="11"/>
      <c r="H11881" s="11"/>
      <c r="I11881" s="15"/>
    </row>
    <row r="11882" spans="1:9" ht="16.5">
      <c r="A11882" s="10" t="b">
        <v>0</v>
      </c>
      <c r="B11882" s="11" t="str">
        <f>IF(D11882&lt;&gt;"",IF(COUNTIF('USPTO TMs'!A:A,D11882)&gt;0,"Yes","No"),"")</f>
        <v/>
      </c>
      <c r="C11882" s="11"/>
      <c r="D11882" s="11"/>
      <c r="E11882" s="11"/>
      <c r="F11882" s="11"/>
      <c r="G11882" s="11"/>
      <c r="H11882" s="11"/>
      <c r="I11882" s="15"/>
    </row>
    <row r="11883" spans="1:9" ht="16.5">
      <c r="A11883" s="10" t="b">
        <v>0</v>
      </c>
      <c r="B11883" s="11" t="str">
        <f>IF(D11883&lt;&gt;"",IF(COUNTIF('USPTO TMs'!A:A,D11883)&gt;0,"Yes","No"),"")</f>
        <v/>
      </c>
      <c r="C11883" s="11"/>
      <c r="D11883" s="11"/>
      <c r="E11883" s="11"/>
      <c r="F11883" s="11"/>
      <c r="G11883" s="11"/>
      <c r="H11883" s="11"/>
      <c r="I11883" s="15"/>
    </row>
    <row r="11884" spans="1:9" ht="16.5">
      <c r="A11884" s="10" t="b">
        <v>0</v>
      </c>
      <c r="B11884" s="11" t="str">
        <f>IF(D11884&lt;&gt;"",IF(COUNTIF('USPTO TMs'!A:A,D11884)&gt;0,"Yes","No"),"")</f>
        <v/>
      </c>
      <c r="C11884" s="11"/>
      <c r="D11884" s="11"/>
      <c r="E11884" s="11"/>
      <c r="F11884" s="11"/>
      <c r="G11884" s="11"/>
      <c r="H11884" s="11"/>
      <c r="I11884" s="15"/>
    </row>
    <row r="11885" spans="1:9" ht="16.5">
      <c r="A11885" s="10" t="b">
        <v>0</v>
      </c>
      <c r="B11885" s="11" t="str">
        <f>IF(D11885&lt;&gt;"",IF(COUNTIF('USPTO TMs'!A:A,D11885)&gt;0,"Yes","No"),"")</f>
        <v/>
      </c>
      <c r="C11885" s="11"/>
      <c r="D11885" s="11"/>
      <c r="E11885" s="11"/>
      <c r="F11885" s="11"/>
      <c r="G11885" s="11"/>
      <c r="H11885" s="11"/>
      <c r="I11885" s="15"/>
    </row>
    <row r="11886" spans="1:9" ht="16.5">
      <c r="A11886" s="10" t="b">
        <v>0</v>
      </c>
      <c r="B11886" s="11" t="str">
        <f>IF(D11886&lt;&gt;"",IF(COUNTIF('USPTO TMs'!A:A,D11886)&gt;0,"Yes","No"),"")</f>
        <v/>
      </c>
      <c r="C11886" s="11"/>
      <c r="D11886" s="11"/>
      <c r="E11886" s="11"/>
      <c r="F11886" s="11"/>
      <c r="G11886" s="11"/>
      <c r="H11886" s="11"/>
      <c r="I11886" s="15"/>
    </row>
    <row r="11887" spans="1:9" ht="16.5">
      <c r="A11887" s="10" t="b">
        <v>0</v>
      </c>
      <c r="B11887" s="11" t="str">
        <f>IF(D11887&lt;&gt;"",IF(COUNTIF('USPTO TMs'!A:A,D11887)&gt;0,"Yes","No"),"")</f>
        <v/>
      </c>
      <c r="C11887" s="11"/>
      <c r="D11887" s="11"/>
      <c r="E11887" s="11"/>
      <c r="F11887" s="11"/>
      <c r="G11887" s="11"/>
      <c r="H11887" s="11"/>
      <c r="I11887" s="15"/>
    </row>
    <row r="11888" spans="1:9" ht="16.5">
      <c r="A11888" s="10" t="b">
        <v>0</v>
      </c>
      <c r="B11888" s="11" t="str">
        <f>IF(D11888&lt;&gt;"",IF(COUNTIF('USPTO TMs'!A:A,D11888)&gt;0,"Yes","No"),"")</f>
        <v/>
      </c>
      <c r="C11888" s="11"/>
      <c r="D11888" s="11"/>
      <c r="E11888" s="11"/>
      <c r="F11888" s="11"/>
      <c r="G11888" s="11"/>
      <c r="H11888" s="11"/>
      <c r="I11888" s="15"/>
    </row>
    <row r="11889" spans="1:9" ht="16.5">
      <c r="A11889" s="10" t="b">
        <v>0</v>
      </c>
      <c r="B11889" s="11" t="str">
        <f>IF(D11889&lt;&gt;"",IF(COUNTIF('USPTO TMs'!A:A,D11889)&gt;0,"Yes","No"),"")</f>
        <v/>
      </c>
      <c r="C11889" s="11"/>
      <c r="D11889" s="11"/>
      <c r="E11889" s="11"/>
      <c r="F11889" s="11"/>
      <c r="G11889" s="11"/>
      <c r="H11889" s="11"/>
      <c r="I11889" s="15"/>
    </row>
    <row r="11890" spans="1:9" ht="16.5">
      <c r="A11890" s="10" t="b">
        <v>0</v>
      </c>
      <c r="B11890" s="11" t="str">
        <f>IF(D11890&lt;&gt;"",IF(COUNTIF('USPTO TMs'!A:A,D11890)&gt;0,"Yes","No"),"")</f>
        <v/>
      </c>
      <c r="C11890" s="11"/>
      <c r="D11890" s="11"/>
      <c r="E11890" s="11"/>
      <c r="F11890" s="11"/>
      <c r="G11890" s="11"/>
      <c r="H11890" s="11"/>
      <c r="I11890" s="15"/>
    </row>
    <row r="11891" spans="1:9" ht="16.5">
      <c r="A11891" s="10" t="b">
        <v>0</v>
      </c>
      <c r="B11891" s="11" t="str">
        <f>IF(D11891&lt;&gt;"",IF(COUNTIF('USPTO TMs'!A:A,D11891)&gt;0,"Yes","No"),"")</f>
        <v/>
      </c>
      <c r="C11891" s="11"/>
      <c r="D11891" s="11"/>
      <c r="E11891" s="11"/>
      <c r="F11891" s="11"/>
      <c r="G11891" s="11"/>
      <c r="H11891" s="11"/>
      <c r="I11891" s="15"/>
    </row>
    <row r="11892" spans="1:9" ht="16.5">
      <c r="A11892" s="10" t="b">
        <v>0</v>
      </c>
      <c r="B11892" s="11" t="str">
        <f>IF(D11892&lt;&gt;"",IF(COUNTIF('USPTO TMs'!A:A,D11892)&gt;0,"Yes","No"),"")</f>
        <v/>
      </c>
      <c r="C11892" s="11"/>
      <c r="D11892" s="11"/>
      <c r="E11892" s="11"/>
      <c r="F11892" s="11"/>
      <c r="G11892" s="11"/>
      <c r="H11892" s="11"/>
      <c r="I11892" s="15"/>
    </row>
    <row r="11893" spans="1:9" ht="16.5">
      <c r="A11893" s="10" t="b">
        <v>0</v>
      </c>
      <c r="B11893" s="11" t="str">
        <f>IF(D11893&lt;&gt;"",IF(COUNTIF('USPTO TMs'!A:A,D11893)&gt;0,"Yes","No"),"")</f>
        <v/>
      </c>
      <c r="C11893" s="11"/>
      <c r="D11893" s="11"/>
      <c r="E11893" s="11"/>
      <c r="F11893" s="11"/>
      <c r="G11893" s="11"/>
      <c r="H11893" s="11"/>
      <c r="I11893" s="15"/>
    </row>
    <row r="11894" spans="1:9" ht="16.5">
      <c r="A11894" s="10" t="b">
        <v>0</v>
      </c>
      <c r="B11894" s="11" t="str">
        <f>IF(D11894&lt;&gt;"",IF(COUNTIF('USPTO TMs'!A:A,D11894)&gt;0,"Yes","No"),"")</f>
        <v/>
      </c>
      <c r="C11894" s="11"/>
      <c r="D11894" s="11"/>
      <c r="E11894" s="11"/>
      <c r="F11894" s="11"/>
      <c r="G11894" s="11"/>
      <c r="H11894" s="11"/>
      <c r="I11894" s="15"/>
    </row>
    <row r="11895" spans="1:9" ht="16.5">
      <c r="A11895" s="10" t="b">
        <v>0</v>
      </c>
      <c r="B11895" s="11" t="str">
        <f>IF(D11895&lt;&gt;"",IF(COUNTIF('USPTO TMs'!A:A,D11895)&gt;0,"Yes","No"),"")</f>
        <v/>
      </c>
      <c r="C11895" s="11"/>
      <c r="D11895" s="11"/>
      <c r="E11895" s="11"/>
      <c r="F11895" s="11"/>
      <c r="G11895" s="11"/>
      <c r="H11895" s="11"/>
      <c r="I11895" s="15"/>
    </row>
    <row r="11896" spans="1:9" ht="16.5">
      <c r="A11896" s="10" t="b">
        <v>0</v>
      </c>
      <c r="B11896" s="11" t="str">
        <f>IF(D11896&lt;&gt;"",IF(COUNTIF('USPTO TMs'!A:A,D11896)&gt;0,"Yes","No"),"")</f>
        <v/>
      </c>
      <c r="C11896" s="11"/>
      <c r="D11896" s="11"/>
      <c r="E11896" s="11"/>
      <c r="F11896" s="11"/>
      <c r="G11896" s="11"/>
      <c r="H11896" s="11"/>
      <c r="I11896" s="15"/>
    </row>
    <row r="11897" spans="1:9" ht="16.5">
      <c r="A11897" s="10" t="b">
        <v>0</v>
      </c>
      <c r="B11897" s="11" t="str">
        <f>IF(D11897&lt;&gt;"",IF(COUNTIF('USPTO TMs'!A:A,D11897)&gt;0,"Yes","No"),"")</f>
        <v/>
      </c>
      <c r="C11897" s="11"/>
      <c r="D11897" s="11"/>
      <c r="E11897" s="11"/>
      <c r="F11897" s="11"/>
      <c r="G11897" s="11"/>
      <c r="H11897" s="11"/>
      <c r="I11897" s="15"/>
    </row>
    <row r="11898" spans="1:9" ht="16.5">
      <c r="A11898" s="10" t="b">
        <v>0</v>
      </c>
      <c r="B11898" s="11" t="str">
        <f>IF(D11898&lt;&gt;"",IF(COUNTIF('USPTO TMs'!A:A,D11898)&gt;0,"Yes","No"),"")</f>
        <v/>
      </c>
      <c r="C11898" s="11"/>
      <c r="D11898" s="11"/>
      <c r="E11898" s="11"/>
      <c r="F11898" s="11"/>
      <c r="G11898" s="11"/>
      <c r="H11898" s="11"/>
      <c r="I11898" s="15"/>
    </row>
    <row r="11899" spans="1:9" ht="16.5">
      <c r="A11899" s="10" t="b">
        <v>0</v>
      </c>
      <c r="B11899" s="11" t="str">
        <f>IF(D11899&lt;&gt;"",IF(COUNTIF('USPTO TMs'!A:A,D11899)&gt;0,"Yes","No"),"")</f>
        <v/>
      </c>
      <c r="C11899" s="11"/>
      <c r="D11899" s="11"/>
      <c r="E11899" s="11"/>
      <c r="F11899" s="11"/>
      <c r="G11899" s="11"/>
      <c r="H11899" s="11"/>
      <c r="I11899" s="15"/>
    </row>
    <row r="11900" spans="1:9" ht="16.5">
      <c r="A11900" s="10" t="b">
        <v>0</v>
      </c>
      <c r="B11900" s="11" t="str">
        <f>IF(D11900&lt;&gt;"",IF(COUNTIF('USPTO TMs'!A:A,D11900)&gt;0,"Yes","No"),"")</f>
        <v/>
      </c>
      <c r="C11900" s="11"/>
      <c r="D11900" s="11"/>
      <c r="E11900" s="11"/>
      <c r="F11900" s="11"/>
      <c r="G11900" s="11"/>
      <c r="H11900" s="11"/>
      <c r="I11900" s="15"/>
    </row>
    <row r="11901" spans="1:9" ht="16.5">
      <c r="A11901" s="10" t="b">
        <v>0</v>
      </c>
      <c r="B11901" s="11" t="str">
        <f>IF(D11901&lt;&gt;"",IF(COUNTIF('USPTO TMs'!A:A,D11901)&gt;0,"Yes","No"),"")</f>
        <v/>
      </c>
      <c r="C11901" s="11"/>
      <c r="D11901" s="11"/>
      <c r="E11901" s="11"/>
      <c r="F11901" s="11"/>
      <c r="G11901" s="11"/>
      <c r="H11901" s="11"/>
      <c r="I11901" s="15"/>
    </row>
    <row r="11902" spans="1:9" ht="16.5">
      <c r="A11902" s="10" t="b">
        <v>0</v>
      </c>
      <c r="B11902" s="11" t="str">
        <f>IF(D11902&lt;&gt;"",IF(COUNTIF('USPTO TMs'!A:A,D11902)&gt;0,"Yes","No"),"")</f>
        <v/>
      </c>
      <c r="C11902" s="11"/>
      <c r="D11902" s="11"/>
      <c r="E11902" s="11"/>
      <c r="F11902" s="11"/>
      <c r="G11902" s="11"/>
      <c r="H11902" s="11"/>
      <c r="I11902" s="15"/>
    </row>
    <row r="11903" spans="1:9" ht="16.5">
      <c r="A11903" s="10" t="b">
        <v>0</v>
      </c>
      <c r="B11903" s="11" t="str">
        <f>IF(D11903&lt;&gt;"",IF(COUNTIF('USPTO TMs'!A:A,D11903)&gt;0,"Yes","No"),"")</f>
        <v/>
      </c>
      <c r="C11903" s="11"/>
      <c r="D11903" s="11"/>
      <c r="E11903" s="11"/>
      <c r="F11903" s="11"/>
      <c r="G11903" s="11"/>
      <c r="H11903" s="11"/>
      <c r="I11903" s="15"/>
    </row>
    <row r="11904" spans="1:9" ht="16.5">
      <c r="A11904" s="10" t="b">
        <v>0</v>
      </c>
      <c r="B11904" s="11" t="str">
        <f>IF(D11904&lt;&gt;"",IF(COUNTIF('USPTO TMs'!A:A,D11904)&gt;0,"Yes","No"),"")</f>
        <v/>
      </c>
      <c r="C11904" s="11"/>
      <c r="D11904" s="11"/>
      <c r="E11904" s="11"/>
      <c r="F11904" s="11"/>
      <c r="G11904" s="11"/>
      <c r="H11904" s="11"/>
      <c r="I11904" s="15"/>
    </row>
    <row r="11905" spans="1:9" ht="16.5">
      <c r="A11905" s="10" t="b">
        <v>0</v>
      </c>
      <c r="B11905" s="11" t="str">
        <f>IF(D11905&lt;&gt;"",IF(COUNTIF('USPTO TMs'!A:A,D11905)&gt;0,"Yes","No"),"")</f>
        <v/>
      </c>
      <c r="C11905" s="11"/>
      <c r="D11905" s="11"/>
      <c r="E11905" s="11"/>
      <c r="F11905" s="11"/>
      <c r="G11905" s="11"/>
      <c r="H11905" s="11"/>
      <c r="I11905" s="15"/>
    </row>
    <row r="11906" spans="1:9" ht="16.5">
      <c r="A11906" s="10" t="b">
        <v>0</v>
      </c>
      <c r="B11906" s="11" t="str">
        <f>IF(D11906&lt;&gt;"",IF(COUNTIF('USPTO TMs'!A:A,D11906)&gt;0,"Yes","No"),"")</f>
        <v/>
      </c>
      <c r="C11906" s="11"/>
      <c r="D11906" s="11"/>
      <c r="E11906" s="11"/>
      <c r="F11906" s="11"/>
      <c r="G11906" s="11"/>
      <c r="H11906" s="11"/>
      <c r="I11906" s="15"/>
    </row>
    <row r="11907" spans="1:9" ht="16.5">
      <c r="A11907" s="10" t="b">
        <v>0</v>
      </c>
      <c r="B11907" s="11" t="str">
        <f>IF(D11907&lt;&gt;"",IF(COUNTIF('USPTO TMs'!A:A,D11907)&gt;0,"Yes","No"),"")</f>
        <v/>
      </c>
      <c r="C11907" s="11"/>
      <c r="D11907" s="11"/>
      <c r="E11907" s="11"/>
      <c r="F11907" s="11"/>
      <c r="G11907" s="11"/>
      <c r="H11907" s="11"/>
      <c r="I11907" s="15"/>
    </row>
    <row r="11908" spans="1:9" ht="16.5">
      <c r="A11908" s="10" t="b">
        <v>0</v>
      </c>
      <c r="B11908" s="11" t="str">
        <f>IF(D11908&lt;&gt;"",IF(COUNTIF('USPTO TMs'!A:A,D11908)&gt;0,"Yes","No"),"")</f>
        <v/>
      </c>
      <c r="C11908" s="11"/>
      <c r="D11908" s="11"/>
      <c r="E11908" s="11"/>
      <c r="F11908" s="11"/>
      <c r="G11908" s="11"/>
      <c r="H11908" s="11"/>
      <c r="I11908" s="15"/>
    </row>
    <row r="11909" spans="1:9" ht="16.5">
      <c r="A11909" s="10" t="b">
        <v>0</v>
      </c>
      <c r="B11909" s="11" t="str">
        <f>IF(D11909&lt;&gt;"",IF(COUNTIF('USPTO TMs'!A:A,D11909)&gt;0,"Yes","No"),"")</f>
        <v/>
      </c>
      <c r="C11909" s="11"/>
      <c r="D11909" s="11"/>
      <c r="E11909" s="11"/>
      <c r="F11909" s="11"/>
      <c r="G11909" s="11"/>
      <c r="H11909" s="11"/>
      <c r="I11909" s="15"/>
    </row>
    <row r="11910" spans="1:9" ht="16.5">
      <c r="A11910" s="10" t="b">
        <v>0</v>
      </c>
      <c r="B11910" s="11" t="str">
        <f>IF(D11910&lt;&gt;"",IF(COUNTIF('USPTO TMs'!A:A,D11910)&gt;0,"Yes","No"),"")</f>
        <v/>
      </c>
      <c r="C11910" s="11"/>
      <c r="D11910" s="11"/>
      <c r="E11910" s="11"/>
      <c r="F11910" s="11"/>
      <c r="G11910" s="11"/>
      <c r="H11910" s="11"/>
      <c r="I11910" s="15"/>
    </row>
    <row r="11911" spans="1:9" ht="16.5">
      <c r="A11911" s="10" t="b">
        <v>0</v>
      </c>
      <c r="B11911" s="11" t="str">
        <f>IF(D11911&lt;&gt;"",IF(COUNTIF('USPTO TMs'!A:A,D11911)&gt;0,"Yes","No"),"")</f>
        <v/>
      </c>
      <c r="C11911" s="11"/>
      <c r="D11911" s="11"/>
      <c r="E11911" s="11"/>
      <c r="F11911" s="11"/>
      <c r="G11911" s="11"/>
      <c r="H11911" s="11"/>
      <c r="I11911" s="15"/>
    </row>
    <row r="11912" spans="1:9" ht="16.5">
      <c r="A11912" s="10" t="b">
        <v>0</v>
      </c>
      <c r="B11912" s="11" t="str">
        <f>IF(D11912&lt;&gt;"",IF(COUNTIF('USPTO TMs'!A:A,D11912)&gt;0,"Yes","No"),"")</f>
        <v/>
      </c>
      <c r="C11912" s="11"/>
      <c r="D11912" s="11"/>
      <c r="E11912" s="11"/>
      <c r="F11912" s="11"/>
      <c r="G11912" s="11"/>
      <c r="H11912" s="11"/>
      <c r="I11912" s="15"/>
    </row>
    <row r="11913" spans="1:9" ht="16.5">
      <c r="A11913" s="10" t="b">
        <v>0</v>
      </c>
      <c r="B11913" s="11" t="str">
        <f>IF(D11913&lt;&gt;"",IF(COUNTIF('USPTO TMs'!A:A,D11913)&gt;0,"Yes","No"),"")</f>
        <v/>
      </c>
      <c r="C11913" s="11"/>
      <c r="D11913" s="11"/>
      <c r="E11913" s="11"/>
      <c r="F11913" s="11"/>
      <c r="G11913" s="11"/>
      <c r="H11913" s="11"/>
      <c r="I11913" s="15"/>
    </row>
    <row r="11914" spans="1:9" ht="16.5">
      <c r="A11914" s="10" t="b">
        <v>0</v>
      </c>
      <c r="B11914" s="11" t="str">
        <f>IF(D11914&lt;&gt;"",IF(COUNTIF('USPTO TMs'!A:A,D11914)&gt;0,"Yes","No"),"")</f>
        <v/>
      </c>
      <c r="C11914" s="11"/>
      <c r="D11914" s="11"/>
      <c r="E11914" s="11"/>
      <c r="F11914" s="11"/>
      <c r="G11914" s="11"/>
      <c r="H11914" s="11"/>
      <c r="I11914" s="15"/>
    </row>
    <row r="11915" spans="1:9" ht="16.5">
      <c r="A11915" s="10" t="b">
        <v>0</v>
      </c>
      <c r="B11915" s="11" t="str">
        <f>IF(D11915&lt;&gt;"",IF(COUNTIF('USPTO TMs'!A:A,D11915)&gt;0,"Yes","No"),"")</f>
        <v/>
      </c>
      <c r="C11915" s="11"/>
      <c r="D11915" s="11"/>
      <c r="E11915" s="11"/>
      <c r="F11915" s="11"/>
      <c r="G11915" s="11"/>
      <c r="H11915" s="11"/>
      <c r="I11915" s="15"/>
    </row>
    <row r="11916" spans="1:9" ht="16.5">
      <c r="A11916" s="10" t="b">
        <v>0</v>
      </c>
      <c r="B11916" s="11" t="str">
        <f>IF(D11916&lt;&gt;"",IF(COUNTIF('USPTO TMs'!A:A,D11916)&gt;0,"Yes","No"),"")</f>
        <v/>
      </c>
      <c r="C11916" s="11"/>
      <c r="D11916" s="11"/>
      <c r="E11916" s="11"/>
      <c r="F11916" s="11"/>
      <c r="G11916" s="11"/>
      <c r="H11916" s="11"/>
      <c r="I11916" s="15"/>
    </row>
    <row r="11917" spans="1:9" ht="16.5">
      <c r="A11917" s="10" t="b">
        <v>0</v>
      </c>
      <c r="B11917" s="11" t="str">
        <f>IF(D11917&lt;&gt;"",IF(COUNTIF('USPTO TMs'!A:A,D11917)&gt;0,"Yes","No"),"")</f>
        <v/>
      </c>
      <c r="C11917" s="11"/>
      <c r="D11917" s="11"/>
      <c r="E11917" s="11"/>
      <c r="F11917" s="11"/>
      <c r="G11917" s="11"/>
      <c r="H11917" s="11"/>
      <c r="I11917" s="15"/>
    </row>
    <row r="11918" spans="1:9" ht="16.5">
      <c r="A11918" s="10" t="b">
        <v>0</v>
      </c>
      <c r="B11918" s="11" t="str">
        <f>IF(D11918&lt;&gt;"",IF(COUNTIF('USPTO TMs'!A:A,D11918)&gt;0,"Yes","No"),"")</f>
        <v/>
      </c>
      <c r="C11918" s="11"/>
      <c r="D11918" s="11"/>
      <c r="E11918" s="11"/>
      <c r="F11918" s="11"/>
      <c r="G11918" s="11"/>
      <c r="H11918" s="11"/>
      <c r="I11918" s="15"/>
    </row>
    <row r="11919" spans="1:9" ht="16.5">
      <c r="A11919" s="10" t="b">
        <v>0</v>
      </c>
      <c r="B11919" s="11" t="str">
        <f>IF(D11919&lt;&gt;"",IF(COUNTIF('USPTO TMs'!A:A,D11919)&gt;0,"Yes","No"),"")</f>
        <v/>
      </c>
      <c r="C11919" s="11"/>
      <c r="D11919" s="11"/>
      <c r="E11919" s="11"/>
      <c r="F11919" s="11"/>
      <c r="G11919" s="11"/>
      <c r="H11919" s="11"/>
      <c r="I11919" s="15"/>
    </row>
    <row r="11920" spans="1:9" ht="16.5">
      <c r="A11920" s="10" t="b">
        <v>0</v>
      </c>
      <c r="B11920" s="11" t="str">
        <f>IF(D11920&lt;&gt;"",IF(COUNTIF('USPTO TMs'!A:A,D11920)&gt;0,"Yes","No"),"")</f>
        <v/>
      </c>
      <c r="C11920" s="11"/>
      <c r="D11920" s="11"/>
      <c r="E11920" s="11"/>
      <c r="F11920" s="11"/>
      <c r="G11920" s="11"/>
      <c r="H11920" s="11"/>
      <c r="I11920" s="15"/>
    </row>
    <row r="11921" spans="1:9" ht="16.5">
      <c r="A11921" s="10" t="b">
        <v>0</v>
      </c>
      <c r="B11921" s="11" t="str">
        <f>IF(D11921&lt;&gt;"",IF(COUNTIF('USPTO TMs'!A:A,D11921)&gt;0,"Yes","No"),"")</f>
        <v/>
      </c>
      <c r="C11921" s="11"/>
      <c r="D11921" s="11"/>
      <c r="E11921" s="11"/>
      <c r="F11921" s="11"/>
      <c r="G11921" s="11"/>
      <c r="H11921" s="11"/>
      <c r="I11921" s="15"/>
    </row>
    <row r="11922" spans="1:9" ht="16.5">
      <c r="A11922" s="10" t="b">
        <v>0</v>
      </c>
      <c r="B11922" s="11" t="str">
        <f>IF(D11922&lt;&gt;"",IF(COUNTIF('USPTO TMs'!A:A,D11922)&gt;0,"Yes","No"),"")</f>
        <v/>
      </c>
      <c r="C11922" s="11"/>
      <c r="D11922" s="11"/>
      <c r="E11922" s="11"/>
      <c r="F11922" s="11"/>
      <c r="G11922" s="11"/>
      <c r="H11922" s="11"/>
      <c r="I11922" s="15"/>
    </row>
    <row r="11923" spans="1:9" ht="16.5">
      <c r="A11923" s="10" t="b">
        <v>0</v>
      </c>
      <c r="B11923" s="11" t="str">
        <f>IF(D11923&lt;&gt;"",IF(COUNTIF('USPTO TMs'!A:A,D11923)&gt;0,"Yes","No"),"")</f>
        <v/>
      </c>
      <c r="C11923" s="11"/>
      <c r="D11923" s="11"/>
      <c r="E11923" s="11"/>
      <c r="F11923" s="11"/>
      <c r="G11923" s="11"/>
      <c r="H11923" s="11"/>
      <c r="I11923" s="15"/>
    </row>
    <row r="11924" spans="1:9" ht="16.5">
      <c r="A11924" s="10" t="b">
        <v>0</v>
      </c>
      <c r="B11924" s="11" t="str">
        <f>IF(D11924&lt;&gt;"",IF(COUNTIF('USPTO TMs'!A:A,D11924)&gt;0,"Yes","No"),"")</f>
        <v/>
      </c>
      <c r="C11924" s="11"/>
      <c r="D11924" s="11"/>
      <c r="E11924" s="11"/>
      <c r="F11924" s="11"/>
      <c r="G11924" s="11"/>
      <c r="H11924" s="11"/>
      <c r="I11924" s="15"/>
    </row>
    <row r="11925" spans="1:9" ht="16.5">
      <c r="A11925" s="10" t="b">
        <v>0</v>
      </c>
      <c r="B11925" s="11" t="str">
        <f>IF(D11925&lt;&gt;"",IF(COUNTIF('USPTO TMs'!A:A,D11925)&gt;0,"Yes","No"),"")</f>
        <v/>
      </c>
      <c r="C11925" s="11"/>
      <c r="D11925" s="11"/>
      <c r="E11925" s="11"/>
      <c r="F11925" s="11"/>
      <c r="G11925" s="11"/>
      <c r="H11925" s="11"/>
      <c r="I11925" s="15"/>
    </row>
    <row r="11926" spans="1:9" ht="16.5">
      <c r="A11926" s="10" t="b">
        <v>0</v>
      </c>
      <c r="B11926" s="11" t="str">
        <f>IF(D11926&lt;&gt;"",IF(COUNTIF('USPTO TMs'!A:A,D11926)&gt;0,"Yes","No"),"")</f>
        <v/>
      </c>
      <c r="C11926" s="11"/>
      <c r="D11926" s="11"/>
      <c r="E11926" s="11"/>
      <c r="F11926" s="11"/>
      <c r="G11926" s="11"/>
      <c r="H11926" s="11"/>
      <c r="I11926" s="15"/>
    </row>
    <row r="11927" spans="1:9" ht="16.5">
      <c r="A11927" s="10" t="b">
        <v>0</v>
      </c>
      <c r="B11927" s="11" t="str">
        <f>IF(D11927&lt;&gt;"",IF(COUNTIF('USPTO TMs'!A:A,D11927)&gt;0,"Yes","No"),"")</f>
        <v/>
      </c>
      <c r="C11927" s="11"/>
      <c r="D11927" s="11"/>
      <c r="E11927" s="11"/>
      <c r="F11927" s="11"/>
      <c r="G11927" s="11"/>
      <c r="H11927" s="11"/>
      <c r="I11927" s="15"/>
    </row>
    <row r="11928" spans="1:9" ht="16.5">
      <c r="A11928" s="10" t="b">
        <v>0</v>
      </c>
      <c r="B11928" s="11" t="str">
        <f>IF(D11928&lt;&gt;"",IF(COUNTIF('USPTO TMs'!A:A,D11928)&gt;0,"Yes","No"),"")</f>
        <v/>
      </c>
      <c r="C11928" s="11"/>
      <c r="D11928" s="11"/>
      <c r="E11928" s="11"/>
      <c r="F11928" s="11"/>
      <c r="G11928" s="11"/>
      <c r="H11928" s="11"/>
      <c r="I11928" s="15"/>
    </row>
    <row r="11929" spans="1:9" ht="16.5">
      <c r="A11929" s="10" t="b">
        <v>0</v>
      </c>
      <c r="B11929" s="11" t="str">
        <f>IF(D11929&lt;&gt;"",IF(COUNTIF('USPTO TMs'!A:A,D11929)&gt;0,"Yes","No"),"")</f>
        <v/>
      </c>
      <c r="C11929" s="11"/>
      <c r="D11929" s="11"/>
      <c r="E11929" s="11"/>
      <c r="F11929" s="11"/>
      <c r="G11929" s="11"/>
      <c r="H11929" s="11"/>
      <c r="I11929" s="15"/>
    </row>
    <row r="11930" spans="1:9" ht="16.5">
      <c r="A11930" s="10" t="b">
        <v>0</v>
      </c>
      <c r="B11930" s="11" t="str">
        <f>IF(D11930&lt;&gt;"",IF(COUNTIF('USPTO TMs'!A:A,D11930)&gt;0,"Yes","No"),"")</f>
        <v/>
      </c>
      <c r="C11930" s="11"/>
      <c r="D11930" s="11"/>
      <c r="E11930" s="11"/>
      <c r="F11930" s="11"/>
      <c r="G11930" s="11"/>
      <c r="H11930" s="11"/>
      <c r="I11930" s="15"/>
    </row>
    <row r="11931" spans="1:9" ht="16.5">
      <c r="A11931" s="10" t="b">
        <v>0</v>
      </c>
      <c r="B11931" s="11" t="str">
        <f>IF(D11931&lt;&gt;"",IF(COUNTIF('USPTO TMs'!A:A,D11931)&gt;0,"Yes","No"),"")</f>
        <v/>
      </c>
      <c r="C11931" s="11"/>
      <c r="D11931" s="11"/>
      <c r="E11931" s="11"/>
      <c r="F11931" s="11"/>
      <c r="G11931" s="11"/>
      <c r="H11931" s="11"/>
      <c r="I11931" s="15"/>
    </row>
    <row r="11932" spans="1:9" ht="16.5">
      <c r="A11932" s="10" t="b">
        <v>0</v>
      </c>
      <c r="B11932" s="11" t="str">
        <f>IF(D11932&lt;&gt;"",IF(COUNTIF('USPTO TMs'!A:A,D11932)&gt;0,"Yes","No"),"")</f>
        <v/>
      </c>
      <c r="C11932" s="11"/>
      <c r="D11932" s="11"/>
      <c r="E11932" s="11"/>
      <c r="F11932" s="11"/>
      <c r="G11932" s="11"/>
      <c r="H11932" s="11"/>
      <c r="I11932" s="15"/>
    </row>
    <row r="11933" spans="1:9" ht="16.5">
      <c r="A11933" s="10" t="b">
        <v>0</v>
      </c>
      <c r="B11933" s="11" t="str">
        <f>IF(D11933&lt;&gt;"",IF(COUNTIF('USPTO TMs'!A:A,D11933)&gt;0,"Yes","No"),"")</f>
        <v/>
      </c>
      <c r="C11933" s="11"/>
      <c r="D11933" s="11"/>
      <c r="E11933" s="11"/>
      <c r="F11933" s="11"/>
      <c r="G11933" s="11"/>
      <c r="H11933" s="11"/>
      <c r="I11933" s="15"/>
    </row>
    <row r="11934" spans="1:9" ht="16.5">
      <c r="A11934" s="10" t="b">
        <v>0</v>
      </c>
      <c r="B11934" s="11" t="str">
        <f>IF(D11934&lt;&gt;"",IF(COUNTIF('USPTO TMs'!A:A,D11934)&gt;0,"Yes","No"),"")</f>
        <v/>
      </c>
      <c r="C11934" s="11"/>
      <c r="D11934" s="11"/>
      <c r="E11934" s="11"/>
      <c r="F11934" s="11"/>
      <c r="G11934" s="11"/>
      <c r="H11934" s="11"/>
      <c r="I11934" s="15"/>
    </row>
    <row r="11935" spans="1:9" ht="16.5">
      <c r="A11935" s="10" t="b">
        <v>0</v>
      </c>
      <c r="B11935" s="11" t="str">
        <f>IF(D11935&lt;&gt;"",IF(COUNTIF('USPTO TMs'!A:A,D11935)&gt;0,"Yes","No"),"")</f>
        <v/>
      </c>
      <c r="C11935" s="11"/>
      <c r="D11935" s="11"/>
      <c r="E11935" s="11"/>
      <c r="F11935" s="11"/>
      <c r="G11935" s="11"/>
      <c r="H11935" s="11"/>
      <c r="I11935" s="15"/>
    </row>
    <row r="11936" spans="1:9" ht="16.5">
      <c r="A11936" s="10" t="b">
        <v>0</v>
      </c>
      <c r="B11936" s="11" t="str">
        <f>IF(D11936&lt;&gt;"",IF(COUNTIF('USPTO TMs'!A:A,D11936)&gt;0,"Yes","No"),"")</f>
        <v/>
      </c>
      <c r="C11936" s="11"/>
      <c r="D11936" s="11"/>
      <c r="E11936" s="11"/>
      <c r="F11936" s="11"/>
      <c r="G11936" s="11"/>
      <c r="H11936" s="11"/>
      <c r="I11936" s="15"/>
    </row>
    <row r="11937" spans="1:9" ht="16.5">
      <c r="A11937" s="10" t="b">
        <v>0</v>
      </c>
      <c r="B11937" s="11" t="str">
        <f>IF(D11937&lt;&gt;"",IF(COUNTIF('USPTO TMs'!A:A,D11937)&gt;0,"Yes","No"),"")</f>
        <v/>
      </c>
      <c r="C11937" s="11"/>
      <c r="D11937" s="11"/>
      <c r="E11937" s="11"/>
      <c r="F11937" s="11"/>
      <c r="G11937" s="11"/>
      <c r="H11937" s="11"/>
      <c r="I11937" s="15"/>
    </row>
    <row r="11938" spans="1:9" ht="16.5">
      <c r="A11938" s="10" t="b">
        <v>0</v>
      </c>
      <c r="B11938" s="11" t="str">
        <f>IF(D11938&lt;&gt;"",IF(COUNTIF('USPTO TMs'!A:A,D11938)&gt;0,"Yes","No"),"")</f>
        <v/>
      </c>
      <c r="C11938" s="11"/>
      <c r="D11938" s="11"/>
      <c r="E11938" s="11"/>
      <c r="F11938" s="11"/>
      <c r="G11938" s="11"/>
      <c r="H11938" s="11"/>
      <c r="I11938" s="15"/>
    </row>
    <row r="11939" spans="1:9" ht="16.5">
      <c r="A11939" s="10" t="b">
        <v>0</v>
      </c>
      <c r="B11939" s="11" t="str">
        <f>IF(D11939&lt;&gt;"",IF(COUNTIF('USPTO TMs'!A:A,D11939)&gt;0,"Yes","No"),"")</f>
        <v/>
      </c>
      <c r="C11939" s="11"/>
      <c r="D11939" s="11"/>
      <c r="E11939" s="11"/>
      <c r="F11939" s="11"/>
      <c r="G11939" s="11"/>
      <c r="H11939" s="11"/>
      <c r="I11939" s="15"/>
    </row>
    <row r="11940" spans="1:9" ht="16.5">
      <c r="A11940" s="10" t="b">
        <v>0</v>
      </c>
      <c r="B11940" s="11" t="str">
        <f>IF(D11940&lt;&gt;"",IF(COUNTIF('USPTO TMs'!A:A,D11940)&gt;0,"Yes","No"),"")</f>
        <v/>
      </c>
      <c r="C11940" s="11"/>
      <c r="D11940" s="11"/>
      <c r="E11940" s="11"/>
      <c r="F11940" s="11"/>
      <c r="G11940" s="11"/>
      <c r="H11940" s="11"/>
      <c r="I11940" s="15"/>
    </row>
    <row r="11941" spans="1:9" ht="16.5">
      <c r="A11941" s="10" t="b">
        <v>0</v>
      </c>
      <c r="B11941" s="11" t="str">
        <f>IF(D11941&lt;&gt;"",IF(COUNTIF('USPTO TMs'!A:A,D11941)&gt;0,"Yes","No"),"")</f>
        <v/>
      </c>
      <c r="C11941" s="11"/>
      <c r="D11941" s="11"/>
      <c r="E11941" s="11"/>
      <c r="F11941" s="11"/>
      <c r="G11941" s="11"/>
      <c r="H11941" s="11"/>
      <c r="I11941" s="15"/>
    </row>
    <row r="11942" spans="1:9" ht="16.5">
      <c r="A11942" s="10" t="b">
        <v>0</v>
      </c>
      <c r="B11942" s="11" t="str">
        <f>IF(D11942&lt;&gt;"",IF(COUNTIF('USPTO TMs'!A:A,D11942)&gt;0,"Yes","No"),"")</f>
        <v/>
      </c>
      <c r="C11942" s="11"/>
      <c r="D11942" s="11"/>
      <c r="E11942" s="11"/>
      <c r="F11942" s="11"/>
      <c r="G11942" s="11"/>
      <c r="H11942" s="11"/>
      <c r="I11942" s="15"/>
    </row>
    <row r="11943" spans="1:9" ht="16.5">
      <c r="A11943" s="10" t="b">
        <v>0</v>
      </c>
      <c r="B11943" s="11" t="str">
        <f>IF(D11943&lt;&gt;"",IF(COUNTIF('USPTO TMs'!A:A,D11943)&gt;0,"Yes","No"),"")</f>
        <v/>
      </c>
      <c r="C11943" s="11"/>
      <c r="D11943" s="11"/>
      <c r="E11943" s="11"/>
      <c r="F11943" s="11"/>
      <c r="G11943" s="11"/>
      <c r="H11943" s="11"/>
      <c r="I11943" s="15"/>
    </row>
    <row r="11944" spans="1:9" ht="16.5">
      <c r="A11944" s="10" t="b">
        <v>0</v>
      </c>
      <c r="B11944" s="11" t="str">
        <f>IF(D11944&lt;&gt;"",IF(COUNTIF('USPTO TMs'!A:A,D11944)&gt;0,"Yes","No"),"")</f>
        <v/>
      </c>
      <c r="C11944" s="11"/>
      <c r="D11944" s="11"/>
      <c r="E11944" s="11"/>
      <c r="F11944" s="11"/>
      <c r="G11944" s="11"/>
      <c r="H11944" s="11"/>
      <c r="I11944" s="15"/>
    </row>
    <row r="11945" spans="1:9" ht="16.5">
      <c r="A11945" s="10" t="b">
        <v>0</v>
      </c>
      <c r="B11945" s="11" t="str">
        <f>IF(D11945&lt;&gt;"",IF(COUNTIF('USPTO TMs'!A:A,D11945)&gt;0,"Yes","No"),"")</f>
        <v/>
      </c>
      <c r="C11945" s="11"/>
      <c r="D11945" s="11"/>
      <c r="E11945" s="11"/>
      <c r="F11945" s="11"/>
      <c r="G11945" s="11"/>
      <c r="H11945" s="11"/>
      <c r="I11945" s="15"/>
    </row>
    <row r="11946" spans="1:9" ht="16.5">
      <c r="A11946" s="10" t="b">
        <v>0</v>
      </c>
      <c r="B11946" s="11" t="str">
        <f>IF(D11946&lt;&gt;"",IF(COUNTIF('USPTO TMs'!A:A,D11946)&gt;0,"Yes","No"),"")</f>
        <v/>
      </c>
      <c r="C11946" s="11"/>
      <c r="D11946" s="11"/>
      <c r="E11946" s="11"/>
      <c r="F11946" s="11"/>
      <c r="G11946" s="11"/>
      <c r="H11946" s="11"/>
      <c r="I11946" s="15"/>
    </row>
    <row r="11947" spans="1:9" ht="16.5">
      <c r="A11947" s="10" t="b">
        <v>0</v>
      </c>
      <c r="B11947" s="11" t="str">
        <f>IF(D11947&lt;&gt;"",IF(COUNTIF('USPTO TMs'!A:A,D11947)&gt;0,"Yes","No"),"")</f>
        <v/>
      </c>
      <c r="C11947" s="11"/>
      <c r="D11947" s="11"/>
      <c r="E11947" s="11"/>
      <c r="F11947" s="11"/>
      <c r="G11947" s="11"/>
      <c r="H11947" s="11"/>
      <c r="I11947" s="15"/>
    </row>
    <row r="11948" spans="1:9" ht="16.5">
      <c r="A11948" s="10" t="b">
        <v>0</v>
      </c>
      <c r="B11948" s="11" t="str">
        <f>IF(D11948&lt;&gt;"",IF(COUNTIF('USPTO TMs'!A:A,D11948)&gt;0,"Yes","No"),"")</f>
        <v/>
      </c>
      <c r="C11948" s="11"/>
      <c r="D11948" s="11"/>
      <c r="E11948" s="11"/>
      <c r="F11948" s="11"/>
      <c r="G11948" s="11"/>
      <c r="H11948" s="11"/>
      <c r="I11948" s="15"/>
    </row>
    <row r="11949" spans="1:9" ht="16.5">
      <c r="A11949" s="10" t="b">
        <v>0</v>
      </c>
      <c r="B11949" s="11" t="str">
        <f>IF(D11949&lt;&gt;"",IF(COUNTIF('USPTO TMs'!A:A,D11949)&gt;0,"Yes","No"),"")</f>
        <v/>
      </c>
      <c r="C11949" s="11"/>
      <c r="D11949" s="11"/>
      <c r="E11949" s="11"/>
      <c r="F11949" s="11"/>
      <c r="G11949" s="11"/>
      <c r="H11949" s="11"/>
      <c r="I11949" s="15"/>
    </row>
    <row r="11950" spans="1:9" ht="16.5">
      <c r="A11950" s="10" t="b">
        <v>0</v>
      </c>
      <c r="B11950" s="11" t="str">
        <f>IF(D11950&lt;&gt;"",IF(COUNTIF('USPTO TMs'!A:A,D11950)&gt;0,"Yes","No"),"")</f>
        <v/>
      </c>
      <c r="C11950" s="11"/>
      <c r="D11950" s="11"/>
      <c r="E11950" s="11"/>
      <c r="F11950" s="11"/>
      <c r="G11950" s="11"/>
      <c r="H11950" s="11"/>
      <c r="I11950" s="15"/>
    </row>
    <row r="11951" spans="1:9" ht="16.5">
      <c r="A11951" s="10" t="b">
        <v>0</v>
      </c>
      <c r="B11951" s="11" t="str">
        <f>IF(D11951&lt;&gt;"",IF(COUNTIF('USPTO TMs'!A:A,D11951)&gt;0,"Yes","No"),"")</f>
        <v/>
      </c>
      <c r="C11951" s="11"/>
      <c r="D11951" s="11"/>
      <c r="E11951" s="11"/>
      <c r="F11951" s="11"/>
      <c r="G11951" s="11"/>
      <c r="H11951" s="11"/>
      <c r="I11951" s="15"/>
    </row>
    <row r="11952" spans="1:9" ht="16.5">
      <c r="A11952" s="10" t="b">
        <v>0</v>
      </c>
      <c r="B11952" s="11" t="str">
        <f>IF(D11952&lt;&gt;"",IF(COUNTIF('USPTO TMs'!A:A,D11952)&gt;0,"Yes","No"),"")</f>
        <v/>
      </c>
      <c r="C11952" s="11"/>
      <c r="D11952" s="11"/>
      <c r="E11952" s="11"/>
      <c r="F11952" s="11"/>
      <c r="G11952" s="11"/>
      <c r="H11952" s="11"/>
      <c r="I11952" s="15"/>
    </row>
    <row r="11953" spans="1:9" ht="16.5">
      <c r="A11953" s="10" t="b">
        <v>0</v>
      </c>
      <c r="B11953" s="11" t="str">
        <f>IF(D11953&lt;&gt;"",IF(COUNTIF('USPTO TMs'!A:A,D11953)&gt;0,"Yes","No"),"")</f>
        <v/>
      </c>
      <c r="C11953" s="11"/>
      <c r="D11953" s="11"/>
      <c r="E11953" s="11"/>
      <c r="F11953" s="11"/>
      <c r="G11953" s="11"/>
      <c r="H11953" s="11"/>
      <c r="I11953" s="15"/>
    </row>
    <row r="11954" spans="1:9" ht="16.5">
      <c r="A11954" s="10" t="b">
        <v>0</v>
      </c>
      <c r="B11954" s="11" t="str">
        <f>IF(D11954&lt;&gt;"",IF(COUNTIF('USPTO TMs'!A:A,D11954)&gt;0,"Yes","No"),"")</f>
        <v/>
      </c>
      <c r="C11954" s="11"/>
      <c r="D11954" s="11"/>
      <c r="E11954" s="11"/>
      <c r="F11954" s="11"/>
      <c r="G11954" s="11"/>
      <c r="H11954" s="11"/>
      <c r="I11954" s="15"/>
    </row>
    <row r="11955" spans="1:9" ht="16.5">
      <c r="A11955" s="10" t="b">
        <v>0</v>
      </c>
      <c r="B11955" s="11" t="str">
        <f>IF(D11955&lt;&gt;"",IF(COUNTIF('USPTO TMs'!A:A,D11955)&gt;0,"Yes","No"),"")</f>
        <v/>
      </c>
      <c r="C11955" s="11"/>
      <c r="D11955" s="11"/>
      <c r="E11955" s="11"/>
      <c r="F11955" s="11"/>
      <c r="G11955" s="11"/>
      <c r="H11955" s="11"/>
      <c r="I11955" s="15"/>
    </row>
    <row r="11956" spans="1:9" ht="16.5">
      <c r="A11956" s="10" t="b">
        <v>0</v>
      </c>
      <c r="B11956" s="11" t="str">
        <f>IF(D11956&lt;&gt;"",IF(COUNTIF('USPTO TMs'!A:A,D11956)&gt;0,"Yes","No"),"")</f>
        <v/>
      </c>
      <c r="C11956" s="11"/>
      <c r="D11956" s="11"/>
      <c r="E11956" s="11"/>
      <c r="F11956" s="11"/>
      <c r="G11956" s="11"/>
      <c r="H11956" s="11"/>
      <c r="I11956" s="15"/>
    </row>
    <row r="11957" spans="1:9" ht="16.5">
      <c r="A11957" s="10" t="b">
        <v>0</v>
      </c>
      <c r="B11957" s="11" t="str">
        <f>IF(D11957&lt;&gt;"",IF(COUNTIF('USPTO TMs'!A:A,D11957)&gt;0,"Yes","No"),"")</f>
        <v/>
      </c>
      <c r="C11957" s="11"/>
      <c r="D11957" s="11"/>
      <c r="E11957" s="11"/>
      <c r="F11957" s="11"/>
      <c r="G11957" s="11"/>
      <c r="H11957" s="11"/>
      <c r="I11957" s="15"/>
    </row>
    <row r="11958" spans="1:9" ht="16.5">
      <c r="A11958" s="10" t="b">
        <v>0</v>
      </c>
      <c r="B11958" s="11" t="str">
        <f>IF(D11958&lt;&gt;"",IF(COUNTIF('USPTO TMs'!A:A,D11958)&gt;0,"Yes","No"),"")</f>
        <v/>
      </c>
      <c r="C11958" s="11"/>
      <c r="D11958" s="11"/>
      <c r="E11958" s="11"/>
      <c r="F11958" s="11"/>
      <c r="G11958" s="11"/>
      <c r="H11958" s="11"/>
      <c r="I11958" s="15"/>
    </row>
    <row r="11959" spans="1:9" ht="16.5">
      <c r="A11959" s="10" t="b">
        <v>0</v>
      </c>
      <c r="B11959" s="11" t="str">
        <f>IF(D11959&lt;&gt;"",IF(COUNTIF('USPTO TMs'!A:A,D11959)&gt;0,"Yes","No"),"")</f>
        <v/>
      </c>
      <c r="C11959" s="11"/>
      <c r="D11959" s="11"/>
      <c r="E11959" s="11"/>
      <c r="F11959" s="11"/>
      <c r="G11959" s="11"/>
      <c r="H11959" s="11"/>
      <c r="I11959" s="15"/>
    </row>
    <row r="11960" spans="1:9" ht="16.5">
      <c r="A11960" s="10" t="b">
        <v>0</v>
      </c>
      <c r="B11960" s="11" t="str">
        <f>IF(D11960&lt;&gt;"",IF(COUNTIF('USPTO TMs'!A:A,D11960)&gt;0,"Yes","No"),"")</f>
        <v/>
      </c>
      <c r="C11960" s="11"/>
      <c r="D11960" s="11"/>
      <c r="E11960" s="11"/>
      <c r="F11960" s="11"/>
      <c r="G11960" s="11"/>
      <c r="H11960" s="11"/>
      <c r="I11960" s="15"/>
    </row>
    <row r="11961" spans="1:9" ht="16.5">
      <c r="A11961" s="10" t="b">
        <v>0</v>
      </c>
      <c r="B11961" s="11" t="str">
        <f>IF(D11961&lt;&gt;"",IF(COUNTIF('USPTO TMs'!A:A,D11961)&gt;0,"Yes","No"),"")</f>
        <v/>
      </c>
      <c r="C11961" s="11"/>
      <c r="D11961" s="11"/>
      <c r="E11961" s="11"/>
      <c r="F11961" s="11"/>
      <c r="G11961" s="11"/>
      <c r="H11961" s="11"/>
      <c r="I11961" s="15"/>
    </row>
    <row r="11962" spans="1:9" ht="16.5">
      <c r="A11962" s="10" t="b">
        <v>0</v>
      </c>
      <c r="B11962" s="11" t="str">
        <f>IF(D11962&lt;&gt;"",IF(COUNTIF('USPTO TMs'!A:A,D11962)&gt;0,"Yes","No"),"")</f>
        <v/>
      </c>
      <c r="C11962" s="11"/>
      <c r="D11962" s="11"/>
      <c r="E11962" s="11"/>
      <c r="F11962" s="11"/>
      <c r="G11962" s="11"/>
      <c r="H11962" s="11"/>
      <c r="I11962" s="15"/>
    </row>
    <row r="11963" spans="1:9" ht="16.5">
      <c r="A11963" s="10" t="b">
        <v>0</v>
      </c>
      <c r="B11963" s="11" t="str">
        <f>IF(D11963&lt;&gt;"",IF(COUNTIF('USPTO TMs'!A:A,D11963)&gt;0,"Yes","No"),"")</f>
        <v/>
      </c>
      <c r="C11963" s="11"/>
      <c r="D11963" s="11"/>
      <c r="E11963" s="11"/>
      <c r="F11963" s="11"/>
      <c r="G11963" s="11"/>
      <c r="H11963" s="11"/>
      <c r="I11963" s="15"/>
    </row>
    <row r="11964" spans="1:9" ht="16.5">
      <c r="A11964" s="10" t="b">
        <v>0</v>
      </c>
      <c r="B11964" s="11" t="str">
        <f>IF(D11964&lt;&gt;"",IF(COUNTIF('USPTO TMs'!A:A,D11964)&gt;0,"Yes","No"),"")</f>
        <v/>
      </c>
      <c r="C11964" s="11"/>
      <c r="D11964" s="11"/>
      <c r="E11964" s="11"/>
      <c r="F11964" s="11"/>
      <c r="G11964" s="11"/>
      <c r="H11964" s="11"/>
      <c r="I11964" s="15"/>
    </row>
    <row r="11965" spans="1:9" ht="16.5">
      <c r="A11965" s="10" t="b">
        <v>0</v>
      </c>
      <c r="B11965" s="11" t="str">
        <f>IF(D11965&lt;&gt;"",IF(COUNTIF('USPTO TMs'!A:A,D11965)&gt;0,"Yes","No"),"")</f>
        <v/>
      </c>
      <c r="C11965" s="11"/>
      <c r="D11965" s="11"/>
      <c r="E11965" s="11"/>
      <c r="F11965" s="11"/>
      <c r="G11965" s="11"/>
      <c r="H11965" s="11"/>
      <c r="I11965" s="15"/>
    </row>
    <row r="11966" spans="1:9" ht="16.5">
      <c r="A11966" s="10" t="b">
        <v>0</v>
      </c>
      <c r="B11966" s="11" t="str">
        <f>IF(D11966&lt;&gt;"",IF(COUNTIF('USPTO TMs'!A:A,D11966)&gt;0,"Yes","No"),"")</f>
        <v/>
      </c>
      <c r="C11966" s="11"/>
      <c r="D11966" s="11"/>
      <c r="E11966" s="11"/>
      <c r="F11966" s="11"/>
      <c r="G11966" s="11"/>
      <c r="H11966" s="11"/>
      <c r="I11966" s="15"/>
    </row>
    <row r="11967" spans="1:9" ht="16.5">
      <c r="A11967" s="10" t="b">
        <v>0</v>
      </c>
      <c r="B11967" s="11" t="str">
        <f>IF(D11967&lt;&gt;"",IF(COUNTIF('USPTO TMs'!A:A,D11967)&gt;0,"Yes","No"),"")</f>
        <v/>
      </c>
      <c r="C11967" s="11"/>
      <c r="D11967" s="11"/>
      <c r="E11967" s="11"/>
      <c r="F11967" s="11"/>
      <c r="G11967" s="11"/>
      <c r="H11967" s="11"/>
      <c r="I11967" s="15"/>
    </row>
    <row r="11968" spans="1:9" ht="16.5">
      <c r="A11968" s="10" t="b">
        <v>0</v>
      </c>
      <c r="B11968" s="11" t="str">
        <f>IF(D11968&lt;&gt;"",IF(COUNTIF('USPTO TMs'!A:A,D11968)&gt;0,"Yes","No"),"")</f>
        <v/>
      </c>
      <c r="C11968" s="11"/>
      <c r="D11968" s="11"/>
      <c r="E11968" s="11"/>
      <c r="F11968" s="11"/>
      <c r="G11968" s="11"/>
      <c r="H11968" s="11"/>
      <c r="I11968" s="15"/>
    </row>
    <row r="11969" spans="1:9" ht="16.5">
      <c r="A11969" s="10" t="b">
        <v>0</v>
      </c>
      <c r="B11969" s="11" t="str">
        <f>IF(D11969&lt;&gt;"",IF(COUNTIF('USPTO TMs'!A:A,D11969)&gt;0,"Yes","No"),"")</f>
        <v/>
      </c>
      <c r="C11969" s="11"/>
      <c r="D11969" s="11"/>
      <c r="E11969" s="11"/>
      <c r="F11969" s="11"/>
      <c r="G11969" s="11"/>
      <c r="H11969" s="11"/>
      <c r="I11969" s="15"/>
    </row>
    <row r="11970" spans="1:9" ht="16.5">
      <c r="A11970" s="10" t="b">
        <v>0</v>
      </c>
      <c r="B11970" s="11" t="str">
        <f>IF(D11970&lt;&gt;"",IF(COUNTIF('USPTO TMs'!A:A,D11970)&gt;0,"Yes","No"),"")</f>
        <v/>
      </c>
      <c r="C11970" s="11"/>
      <c r="D11970" s="11"/>
      <c r="E11970" s="11"/>
      <c r="F11970" s="11"/>
      <c r="G11970" s="11"/>
      <c r="H11970" s="11"/>
      <c r="I11970" s="15"/>
    </row>
    <row r="11971" spans="1:9" ht="16.5">
      <c r="A11971" s="10" t="b">
        <v>0</v>
      </c>
      <c r="B11971" s="11" t="str">
        <f>IF(D11971&lt;&gt;"",IF(COUNTIF('USPTO TMs'!A:A,D11971)&gt;0,"Yes","No"),"")</f>
        <v/>
      </c>
      <c r="C11971" s="11"/>
      <c r="D11971" s="11"/>
      <c r="E11971" s="11"/>
      <c r="F11971" s="11"/>
      <c r="G11971" s="11"/>
      <c r="H11971" s="11"/>
      <c r="I11971" s="15"/>
    </row>
    <row r="11972" spans="1:9" ht="16.5">
      <c r="A11972" s="10" t="b">
        <v>0</v>
      </c>
      <c r="B11972" s="11" t="str">
        <f>IF(D11972&lt;&gt;"",IF(COUNTIF('USPTO TMs'!A:A,D11972)&gt;0,"Yes","No"),"")</f>
        <v/>
      </c>
      <c r="C11972" s="11"/>
      <c r="D11972" s="11"/>
      <c r="E11972" s="11"/>
      <c r="F11972" s="11"/>
      <c r="G11972" s="11"/>
      <c r="H11972" s="11"/>
      <c r="I11972" s="15"/>
    </row>
    <row r="11973" spans="1:9" ht="16.5">
      <c r="A11973" s="10" t="b">
        <v>0</v>
      </c>
      <c r="B11973" s="11" t="str">
        <f>IF(D11973&lt;&gt;"",IF(COUNTIF('USPTO TMs'!A:A,D11973)&gt;0,"Yes","No"),"")</f>
        <v/>
      </c>
      <c r="C11973" s="11"/>
      <c r="D11973" s="11"/>
      <c r="E11973" s="11"/>
      <c r="F11973" s="11"/>
      <c r="G11973" s="11"/>
      <c r="H11973" s="11"/>
      <c r="I11973" s="15"/>
    </row>
    <row r="11974" spans="1:9" ht="16.5">
      <c r="A11974" s="10" t="b">
        <v>0</v>
      </c>
      <c r="B11974" s="11" t="str">
        <f>IF(D11974&lt;&gt;"",IF(COUNTIF('USPTO TMs'!A:A,D11974)&gt;0,"Yes","No"),"")</f>
        <v/>
      </c>
      <c r="C11974" s="11"/>
      <c r="D11974" s="11"/>
      <c r="E11974" s="11"/>
      <c r="F11974" s="11"/>
      <c r="G11974" s="11"/>
      <c r="H11974" s="11"/>
      <c r="I11974" s="15"/>
    </row>
    <row r="11975" spans="1:9" ht="16.5">
      <c r="A11975" s="10" t="b">
        <v>0</v>
      </c>
      <c r="B11975" s="11" t="str">
        <f>IF(D11975&lt;&gt;"",IF(COUNTIF('USPTO TMs'!A:A,D11975)&gt;0,"Yes","No"),"")</f>
        <v/>
      </c>
      <c r="C11975" s="11"/>
      <c r="D11975" s="11"/>
      <c r="E11975" s="11"/>
      <c r="F11975" s="11"/>
      <c r="G11975" s="11"/>
      <c r="H11975" s="11"/>
      <c r="I11975" s="15"/>
    </row>
    <row r="11976" spans="1:9" ht="16.5">
      <c r="A11976" s="10" t="b">
        <v>0</v>
      </c>
      <c r="B11976" s="11" t="str">
        <f>IF(D11976&lt;&gt;"",IF(COUNTIF('USPTO TMs'!A:A,D11976)&gt;0,"Yes","No"),"")</f>
        <v/>
      </c>
      <c r="C11976" s="11"/>
      <c r="D11976" s="11"/>
      <c r="E11976" s="11"/>
      <c r="F11976" s="11"/>
      <c r="G11976" s="11"/>
      <c r="H11976" s="11"/>
      <c r="I11976" s="15"/>
    </row>
    <row r="11977" spans="1:9" ht="16.5">
      <c r="A11977" s="10" t="b">
        <v>0</v>
      </c>
      <c r="B11977" s="11" t="str">
        <f>IF(D11977&lt;&gt;"",IF(COUNTIF('USPTO TMs'!A:A,D11977)&gt;0,"Yes","No"),"")</f>
        <v/>
      </c>
      <c r="C11977" s="11"/>
      <c r="D11977" s="11"/>
      <c r="E11977" s="11"/>
      <c r="F11977" s="11"/>
      <c r="G11977" s="11"/>
      <c r="H11977" s="11"/>
      <c r="I11977" s="15"/>
    </row>
    <row r="11978" spans="1:9" ht="16.5">
      <c r="A11978" s="10" t="b">
        <v>0</v>
      </c>
      <c r="B11978" s="11" t="str">
        <f>IF(D11978&lt;&gt;"",IF(COUNTIF('USPTO TMs'!A:A,D11978)&gt;0,"Yes","No"),"")</f>
        <v/>
      </c>
      <c r="C11978" s="11"/>
      <c r="D11978" s="11"/>
      <c r="E11978" s="11"/>
      <c r="F11978" s="11"/>
      <c r="G11978" s="11"/>
      <c r="H11978" s="11"/>
      <c r="I11978" s="15"/>
    </row>
    <row r="11979" spans="1:9" ht="16.5">
      <c r="A11979" s="10" t="b">
        <v>0</v>
      </c>
      <c r="B11979" s="11" t="str">
        <f>IF(D11979&lt;&gt;"",IF(COUNTIF('USPTO TMs'!A:A,D11979)&gt;0,"Yes","No"),"")</f>
        <v/>
      </c>
      <c r="C11979" s="11"/>
      <c r="D11979" s="11"/>
      <c r="E11979" s="11"/>
      <c r="F11979" s="11"/>
      <c r="G11979" s="11"/>
      <c r="H11979" s="11"/>
      <c r="I11979" s="15"/>
    </row>
    <row r="11980" spans="1:9" ht="16.5">
      <c r="A11980" s="10" t="b">
        <v>0</v>
      </c>
      <c r="B11980" s="11" t="str">
        <f>IF(D11980&lt;&gt;"",IF(COUNTIF('USPTO TMs'!A:A,D11980)&gt;0,"Yes","No"),"")</f>
        <v/>
      </c>
      <c r="C11980" s="11"/>
      <c r="D11980" s="11"/>
      <c r="E11980" s="11"/>
      <c r="F11980" s="11"/>
      <c r="G11980" s="11"/>
      <c r="H11980" s="11"/>
      <c r="I11980" s="15"/>
    </row>
    <row r="11981" spans="1:9" ht="16.5">
      <c r="A11981" s="10" t="b">
        <v>0</v>
      </c>
      <c r="B11981" s="11" t="str">
        <f>IF(D11981&lt;&gt;"",IF(COUNTIF('USPTO TMs'!A:A,D11981)&gt;0,"Yes","No"),"")</f>
        <v/>
      </c>
      <c r="C11981" s="11"/>
      <c r="D11981" s="11"/>
      <c r="E11981" s="11"/>
      <c r="F11981" s="11"/>
      <c r="G11981" s="11"/>
      <c r="H11981" s="11"/>
      <c r="I11981" s="15"/>
    </row>
    <row r="11982" spans="1:9" ht="16.5">
      <c r="A11982" s="10" t="b">
        <v>0</v>
      </c>
      <c r="B11982" s="11" t="str">
        <f>IF(D11982&lt;&gt;"",IF(COUNTIF('USPTO TMs'!A:A,D11982)&gt;0,"Yes","No"),"")</f>
        <v/>
      </c>
      <c r="C11982" s="11"/>
      <c r="D11982" s="11"/>
      <c r="E11982" s="11"/>
      <c r="F11982" s="11"/>
      <c r="G11982" s="11"/>
      <c r="H11982" s="11"/>
      <c r="I11982" s="15"/>
    </row>
    <row r="11983" spans="1:9" ht="16.5">
      <c r="A11983" s="10" t="b">
        <v>0</v>
      </c>
      <c r="B11983" s="11" t="str">
        <f>IF(D11983&lt;&gt;"",IF(COUNTIF('USPTO TMs'!A:A,D11983)&gt;0,"Yes","No"),"")</f>
        <v/>
      </c>
      <c r="C11983" s="11"/>
      <c r="D11983" s="11"/>
      <c r="E11983" s="11"/>
      <c r="F11983" s="11"/>
      <c r="G11983" s="11"/>
      <c r="H11983" s="11"/>
      <c r="I11983" s="15"/>
    </row>
    <row r="11984" spans="1:9" ht="16.5">
      <c r="A11984" s="10" t="b">
        <v>0</v>
      </c>
      <c r="B11984" s="11" t="str">
        <f>IF(D11984&lt;&gt;"",IF(COUNTIF('USPTO TMs'!A:A,D11984)&gt;0,"Yes","No"),"")</f>
        <v/>
      </c>
      <c r="C11984" s="11"/>
      <c r="D11984" s="11"/>
      <c r="E11984" s="11"/>
      <c r="F11984" s="11"/>
      <c r="G11984" s="11"/>
      <c r="H11984" s="11"/>
      <c r="I11984" s="15"/>
    </row>
    <row r="11985" spans="1:9" ht="16.5">
      <c r="A11985" s="10" t="b">
        <v>0</v>
      </c>
      <c r="B11985" s="11" t="str">
        <f>IF(D11985&lt;&gt;"",IF(COUNTIF('USPTO TMs'!A:A,D11985)&gt;0,"Yes","No"),"")</f>
        <v/>
      </c>
      <c r="C11985" s="11"/>
      <c r="D11985" s="11"/>
      <c r="E11985" s="11"/>
      <c r="F11985" s="11"/>
      <c r="G11985" s="11"/>
      <c r="H11985" s="11"/>
      <c r="I11985" s="15"/>
    </row>
    <row r="11986" spans="1:9" ht="16.5">
      <c r="A11986" s="10" t="b">
        <v>0</v>
      </c>
      <c r="B11986" s="11" t="str">
        <f>IF(D11986&lt;&gt;"",IF(COUNTIF('USPTO TMs'!A:A,D11986)&gt;0,"Yes","No"),"")</f>
        <v/>
      </c>
      <c r="C11986" s="11"/>
      <c r="D11986" s="11"/>
      <c r="E11986" s="11"/>
      <c r="F11986" s="11"/>
      <c r="G11986" s="11"/>
      <c r="H11986" s="11"/>
      <c r="I11986" s="15"/>
    </row>
    <row r="11987" spans="1:9" ht="16.5">
      <c r="A11987" s="10" t="b">
        <v>0</v>
      </c>
      <c r="B11987" s="11" t="str">
        <f>IF(D11987&lt;&gt;"",IF(COUNTIF('USPTO TMs'!A:A,D11987)&gt;0,"Yes","No"),"")</f>
        <v/>
      </c>
      <c r="C11987" s="11"/>
      <c r="D11987" s="11"/>
      <c r="E11987" s="11"/>
      <c r="F11987" s="11"/>
      <c r="G11987" s="11"/>
      <c r="H11987" s="11"/>
      <c r="I11987" s="15"/>
    </row>
    <row r="11988" spans="1:9" ht="16.5">
      <c r="A11988" s="10" t="b">
        <v>0</v>
      </c>
      <c r="B11988" s="11" t="str">
        <f>IF(D11988&lt;&gt;"",IF(COUNTIF('USPTO TMs'!A:A,D11988)&gt;0,"Yes","No"),"")</f>
        <v/>
      </c>
      <c r="C11988" s="11"/>
      <c r="D11988" s="11"/>
      <c r="E11988" s="11"/>
      <c r="F11988" s="11"/>
      <c r="G11988" s="11"/>
      <c r="H11988" s="11"/>
      <c r="I11988" s="15"/>
    </row>
    <row r="11989" spans="1:9" ht="16.5">
      <c r="A11989" s="10" t="b">
        <v>0</v>
      </c>
      <c r="B11989" s="11" t="str">
        <f>IF(D11989&lt;&gt;"",IF(COUNTIF('USPTO TMs'!A:A,D11989)&gt;0,"Yes","No"),"")</f>
        <v/>
      </c>
      <c r="C11989" s="11"/>
      <c r="D11989" s="11"/>
      <c r="E11989" s="11"/>
      <c r="F11989" s="11"/>
      <c r="G11989" s="11"/>
      <c r="H11989" s="11"/>
      <c r="I11989" s="15"/>
    </row>
    <row r="11990" spans="1:9" ht="16.5">
      <c r="A11990" s="10" t="b">
        <v>0</v>
      </c>
      <c r="B11990" s="11" t="str">
        <f>IF(D11990&lt;&gt;"",IF(COUNTIF('USPTO TMs'!A:A,D11990)&gt;0,"Yes","No"),"")</f>
        <v/>
      </c>
      <c r="C11990" s="11"/>
      <c r="D11990" s="11"/>
      <c r="E11990" s="11"/>
      <c r="F11990" s="11"/>
      <c r="G11990" s="11"/>
      <c r="H11990" s="11"/>
      <c r="I11990" s="15"/>
    </row>
    <row r="11991" spans="1:9" ht="16.5">
      <c r="A11991" s="10" t="b">
        <v>0</v>
      </c>
      <c r="B11991" s="11" t="str">
        <f>IF(D11991&lt;&gt;"",IF(COUNTIF('USPTO TMs'!A:A,D11991)&gt;0,"Yes","No"),"")</f>
        <v/>
      </c>
      <c r="C11991" s="11"/>
      <c r="D11991" s="11"/>
      <c r="E11991" s="11"/>
      <c r="F11991" s="11"/>
      <c r="G11991" s="11"/>
      <c r="H11991" s="11"/>
      <c r="I11991" s="15"/>
    </row>
    <row r="11992" spans="1:9" ht="16.5">
      <c r="A11992" s="10" t="b">
        <v>0</v>
      </c>
      <c r="B11992" s="11" t="str">
        <f>IF(D11992&lt;&gt;"",IF(COUNTIF('USPTO TMs'!A:A,D11992)&gt;0,"Yes","No"),"")</f>
        <v/>
      </c>
      <c r="C11992" s="11"/>
      <c r="D11992" s="11"/>
      <c r="E11992" s="11"/>
      <c r="F11992" s="11"/>
      <c r="G11992" s="11"/>
      <c r="H11992" s="11"/>
      <c r="I11992" s="15"/>
    </row>
    <row r="11993" spans="1:9" ht="16.5">
      <c r="A11993" s="10" t="b">
        <v>0</v>
      </c>
      <c r="B11993" s="11" t="str">
        <f>IF(D11993&lt;&gt;"",IF(COUNTIF('USPTO TMs'!A:A,D11993)&gt;0,"Yes","No"),"")</f>
        <v/>
      </c>
      <c r="C11993" s="11"/>
      <c r="D11993" s="11"/>
      <c r="E11993" s="11"/>
      <c r="F11993" s="11"/>
      <c r="G11993" s="11"/>
      <c r="H11993" s="11"/>
      <c r="I11993" s="15"/>
    </row>
    <row r="11994" spans="1:9" ht="16.5">
      <c r="A11994" s="10" t="b">
        <v>0</v>
      </c>
      <c r="B11994" s="11" t="str">
        <f>IF(D11994&lt;&gt;"",IF(COUNTIF('USPTO TMs'!A:A,D11994)&gt;0,"Yes","No"),"")</f>
        <v/>
      </c>
      <c r="C11994" s="11"/>
      <c r="D11994" s="11"/>
      <c r="E11994" s="11"/>
      <c r="F11994" s="11"/>
      <c r="G11994" s="11"/>
      <c r="H11994" s="11"/>
      <c r="I11994" s="15"/>
    </row>
    <row r="11995" spans="1:9" ht="16.5">
      <c r="A11995" s="10" t="b">
        <v>0</v>
      </c>
      <c r="B11995" s="11" t="str">
        <f>IF(D11995&lt;&gt;"",IF(COUNTIF('USPTO TMs'!A:A,D11995)&gt;0,"Yes","No"),"")</f>
        <v/>
      </c>
      <c r="C11995" s="11"/>
      <c r="D11995" s="11"/>
      <c r="E11995" s="11"/>
      <c r="F11995" s="11"/>
      <c r="G11995" s="11"/>
      <c r="H11995" s="11"/>
      <c r="I11995" s="15"/>
    </row>
    <row r="11996" spans="1:9" ht="16.5">
      <c r="A11996" s="10" t="b">
        <v>0</v>
      </c>
      <c r="B11996" s="11" t="str">
        <f>IF(D11996&lt;&gt;"",IF(COUNTIF('USPTO TMs'!A:A,D11996)&gt;0,"Yes","No"),"")</f>
        <v/>
      </c>
      <c r="C11996" s="11"/>
      <c r="D11996" s="11"/>
      <c r="E11996" s="11"/>
      <c r="F11996" s="11"/>
      <c r="G11996" s="11"/>
      <c r="H11996" s="11"/>
      <c r="I11996" s="15"/>
    </row>
    <row r="11997" spans="1:9" ht="16.5">
      <c r="A11997" s="10" t="b">
        <v>0</v>
      </c>
      <c r="B11997" s="11" t="str">
        <f>IF(D11997&lt;&gt;"",IF(COUNTIF('USPTO TMs'!A:A,D11997)&gt;0,"Yes","No"),"")</f>
        <v/>
      </c>
      <c r="C11997" s="11"/>
      <c r="D11997" s="11"/>
      <c r="E11997" s="11"/>
      <c r="F11997" s="11"/>
      <c r="G11997" s="11"/>
      <c r="H11997" s="11"/>
      <c r="I11997" s="15"/>
    </row>
    <row r="11998" spans="1:9" ht="16.5">
      <c r="A11998" s="10" t="b">
        <v>0</v>
      </c>
      <c r="B11998" s="11" t="str">
        <f>IF(D11998&lt;&gt;"",IF(COUNTIF('USPTO TMs'!A:A,D11998)&gt;0,"Yes","No"),"")</f>
        <v/>
      </c>
      <c r="C11998" s="11"/>
      <c r="D11998" s="11"/>
      <c r="E11998" s="11"/>
      <c r="F11998" s="11"/>
      <c r="G11998" s="11"/>
      <c r="H11998" s="11"/>
      <c r="I11998" s="15"/>
    </row>
    <row r="11999" spans="1:9" ht="16.5">
      <c r="A11999" s="10" t="b">
        <v>0</v>
      </c>
      <c r="B11999" s="11" t="str">
        <f>IF(D11999&lt;&gt;"",IF(COUNTIF('USPTO TMs'!A:A,D11999)&gt;0,"Yes","No"),"")</f>
        <v/>
      </c>
      <c r="C11999" s="11"/>
      <c r="D11999" s="11"/>
      <c r="E11999" s="11"/>
      <c r="F11999" s="11"/>
      <c r="G11999" s="11"/>
      <c r="H11999" s="11"/>
      <c r="I11999" s="15"/>
    </row>
    <row r="12000" spans="1:9" ht="16.5">
      <c r="A12000" s="10" t="b">
        <v>0</v>
      </c>
      <c r="B12000" s="11" t="str">
        <f>IF(D12000&lt;&gt;"",IF(COUNTIF('USPTO TMs'!A:A,D12000)&gt;0,"Yes","No"),"")</f>
        <v/>
      </c>
      <c r="C12000" s="11"/>
      <c r="D12000" s="11"/>
      <c r="E12000" s="11"/>
      <c r="F12000" s="11"/>
      <c r="G12000" s="11"/>
      <c r="H12000" s="11"/>
      <c r="I12000" s="15"/>
    </row>
    <row r="12001" spans="1:9" ht="16.5">
      <c r="A12001" s="10" t="b">
        <v>0</v>
      </c>
      <c r="B12001" s="11" t="str">
        <f>IF(D12001&lt;&gt;"",IF(COUNTIF('USPTO TMs'!A:A,D12001)&gt;0,"Yes","No"),"")</f>
        <v/>
      </c>
      <c r="C12001" s="11"/>
      <c r="D12001" s="11"/>
      <c r="E12001" s="11"/>
      <c r="F12001" s="11"/>
      <c r="G12001" s="11"/>
      <c r="H12001" s="11"/>
      <c r="I12001" s="15"/>
    </row>
    <row r="12002" spans="1:9" ht="16.5">
      <c r="A12002" s="10" t="b">
        <v>0</v>
      </c>
      <c r="B12002" s="11" t="str">
        <f>IF(D12002&lt;&gt;"",IF(COUNTIF('USPTO TMs'!A:A,D12002)&gt;0,"Yes","No"),"")</f>
        <v/>
      </c>
      <c r="C12002" s="11"/>
      <c r="D12002" s="11"/>
      <c r="E12002" s="11"/>
      <c r="F12002" s="11"/>
      <c r="G12002" s="11"/>
      <c r="H12002" s="11"/>
      <c r="I12002" s="15"/>
    </row>
    <row r="12003" spans="1:9" ht="16.5">
      <c r="A12003" s="10" t="b">
        <v>0</v>
      </c>
      <c r="B12003" s="11" t="str">
        <f>IF(D12003&lt;&gt;"",IF(COUNTIF('USPTO TMs'!A:A,D12003)&gt;0,"Yes","No"),"")</f>
        <v/>
      </c>
      <c r="C12003" s="11"/>
      <c r="D12003" s="11"/>
      <c r="E12003" s="11"/>
      <c r="F12003" s="11"/>
      <c r="G12003" s="11"/>
      <c r="H12003" s="11"/>
      <c r="I12003" s="15"/>
    </row>
    <row r="12004" spans="1:9" ht="16.5">
      <c r="A12004" s="10" t="b">
        <v>0</v>
      </c>
      <c r="B12004" s="11" t="str">
        <f>IF(D12004&lt;&gt;"",IF(COUNTIF('USPTO TMs'!A:A,D12004)&gt;0,"Yes","No"),"")</f>
        <v/>
      </c>
      <c r="C12004" s="11"/>
      <c r="D12004" s="11"/>
      <c r="E12004" s="11"/>
      <c r="F12004" s="11"/>
      <c r="G12004" s="11"/>
      <c r="H12004" s="11"/>
      <c r="I12004" s="15"/>
    </row>
    <row r="12005" spans="1:9" ht="16.5">
      <c r="A12005" s="10" t="b">
        <v>0</v>
      </c>
      <c r="B12005" s="11" t="str">
        <f>IF(D12005&lt;&gt;"",IF(COUNTIF('USPTO TMs'!A:A,D12005)&gt;0,"Yes","No"),"")</f>
        <v/>
      </c>
      <c r="C12005" s="11"/>
      <c r="D12005" s="11"/>
      <c r="E12005" s="11"/>
      <c r="F12005" s="11"/>
      <c r="G12005" s="11"/>
      <c r="H12005" s="11"/>
      <c r="I12005" s="15"/>
    </row>
    <row r="12006" spans="1:9" ht="16.5">
      <c r="A12006" s="10" t="b">
        <v>0</v>
      </c>
      <c r="B12006" s="11" t="str">
        <f>IF(D12006&lt;&gt;"",IF(COUNTIF('USPTO TMs'!A:A,D12006)&gt;0,"Yes","No"),"")</f>
        <v/>
      </c>
      <c r="C12006" s="11"/>
      <c r="D12006" s="11"/>
      <c r="E12006" s="11"/>
      <c r="F12006" s="11"/>
      <c r="G12006" s="11"/>
      <c r="H12006" s="11"/>
      <c r="I12006" s="15"/>
    </row>
    <row r="12007" spans="1:9" ht="16.5">
      <c r="A12007" s="10" t="b">
        <v>0</v>
      </c>
      <c r="B12007" s="11" t="str">
        <f>IF(D12007&lt;&gt;"",IF(COUNTIF('USPTO TMs'!A:A,D12007)&gt;0,"Yes","No"),"")</f>
        <v/>
      </c>
      <c r="C12007" s="11"/>
      <c r="D12007" s="11"/>
      <c r="E12007" s="11"/>
      <c r="F12007" s="11"/>
      <c r="G12007" s="11"/>
      <c r="H12007" s="11"/>
      <c r="I12007" s="15"/>
    </row>
    <row r="12008" spans="1:9" ht="16.5">
      <c r="A12008" s="10" t="b">
        <v>0</v>
      </c>
      <c r="B12008" s="11" t="str">
        <f>IF(D12008&lt;&gt;"",IF(COUNTIF('USPTO TMs'!A:A,D12008)&gt;0,"Yes","No"),"")</f>
        <v/>
      </c>
      <c r="C12008" s="11"/>
      <c r="D12008" s="11"/>
      <c r="E12008" s="11"/>
      <c r="F12008" s="11"/>
      <c r="G12008" s="11"/>
      <c r="H12008" s="11"/>
      <c r="I12008" s="15"/>
    </row>
    <row r="12009" spans="1:9" ht="16.5">
      <c r="A12009" s="10" t="b">
        <v>0</v>
      </c>
      <c r="B12009" s="11" t="str">
        <f>IF(D12009&lt;&gt;"",IF(COUNTIF('USPTO TMs'!A:A,D12009)&gt;0,"Yes","No"),"")</f>
        <v/>
      </c>
      <c r="C12009" s="11"/>
      <c r="D12009" s="11"/>
      <c r="E12009" s="11"/>
      <c r="F12009" s="11"/>
      <c r="G12009" s="11"/>
      <c r="H12009" s="11"/>
      <c r="I12009" s="15"/>
    </row>
    <row r="12010" spans="1:9" ht="16.5">
      <c r="A12010" s="10" t="b">
        <v>0</v>
      </c>
      <c r="B12010" s="11" t="str">
        <f>IF(D12010&lt;&gt;"",IF(COUNTIF('USPTO TMs'!A:A,D12010)&gt;0,"Yes","No"),"")</f>
        <v/>
      </c>
      <c r="C12010" s="11"/>
      <c r="D12010" s="11"/>
      <c r="E12010" s="11"/>
      <c r="F12010" s="11"/>
      <c r="G12010" s="11"/>
      <c r="H12010" s="11"/>
      <c r="I12010" s="15"/>
    </row>
    <row r="12011" spans="1:9" ht="16.5">
      <c r="A12011" s="10" t="b">
        <v>0</v>
      </c>
      <c r="B12011" s="11" t="str">
        <f>IF(D12011&lt;&gt;"",IF(COUNTIF('USPTO TMs'!A:A,D12011)&gt;0,"Yes","No"),"")</f>
        <v/>
      </c>
      <c r="C12011" s="11"/>
      <c r="D12011" s="11"/>
      <c r="E12011" s="11"/>
      <c r="F12011" s="11"/>
      <c r="G12011" s="11"/>
      <c r="H12011" s="11"/>
      <c r="I12011" s="15"/>
    </row>
    <row r="12012" spans="1:9" ht="16.5">
      <c r="A12012" s="10" t="b">
        <v>0</v>
      </c>
      <c r="B12012" s="11" t="str">
        <f>IF(D12012&lt;&gt;"",IF(COUNTIF('USPTO TMs'!A:A,D12012)&gt;0,"Yes","No"),"")</f>
        <v/>
      </c>
      <c r="C12012" s="11"/>
      <c r="D12012" s="11"/>
      <c r="E12012" s="11"/>
      <c r="F12012" s="11"/>
      <c r="G12012" s="11"/>
      <c r="H12012" s="11"/>
      <c r="I12012" s="15"/>
    </row>
    <row r="12013" spans="1:9" ht="16.5">
      <c r="A12013" s="10" t="b">
        <v>0</v>
      </c>
      <c r="B12013" s="11" t="str">
        <f>IF(D12013&lt;&gt;"",IF(COUNTIF('USPTO TMs'!A:A,D12013)&gt;0,"Yes","No"),"")</f>
        <v/>
      </c>
      <c r="C12013" s="11"/>
      <c r="D12013" s="11"/>
      <c r="E12013" s="11"/>
      <c r="F12013" s="11"/>
      <c r="G12013" s="11"/>
      <c r="H12013" s="11"/>
      <c r="I12013" s="15"/>
    </row>
    <row r="12014" spans="1:9" ht="16.5">
      <c r="A12014" s="10" t="b">
        <v>0</v>
      </c>
      <c r="B12014" s="11" t="str">
        <f>IF(D12014&lt;&gt;"",IF(COUNTIF('USPTO TMs'!A:A,D12014)&gt;0,"Yes","No"),"")</f>
        <v/>
      </c>
      <c r="C12014" s="11"/>
      <c r="D12014" s="11"/>
      <c r="E12014" s="11"/>
      <c r="F12014" s="11"/>
      <c r="G12014" s="11"/>
      <c r="H12014" s="11"/>
      <c r="I12014" s="15"/>
    </row>
    <row r="12015" spans="1:9" ht="16.5">
      <c r="A12015" s="10" t="b">
        <v>0</v>
      </c>
      <c r="B12015" s="11" t="str">
        <f>IF(D12015&lt;&gt;"",IF(COUNTIF('USPTO TMs'!A:A,D12015)&gt;0,"Yes","No"),"")</f>
        <v/>
      </c>
      <c r="C12015" s="11"/>
      <c r="D12015" s="11"/>
      <c r="E12015" s="11"/>
      <c r="F12015" s="11"/>
      <c r="G12015" s="11"/>
      <c r="H12015" s="11"/>
      <c r="I12015" s="15"/>
    </row>
    <row r="12016" spans="1:9" ht="16.5">
      <c r="A12016" s="10" t="b">
        <v>0</v>
      </c>
      <c r="B12016" s="11" t="str">
        <f>IF(D12016&lt;&gt;"",IF(COUNTIF('USPTO TMs'!A:A,D12016)&gt;0,"Yes","No"),"")</f>
        <v/>
      </c>
      <c r="C12016" s="11"/>
      <c r="D12016" s="11"/>
      <c r="E12016" s="11"/>
      <c r="F12016" s="11"/>
      <c r="G12016" s="11"/>
      <c r="H12016" s="11"/>
      <c r="I12016" s="15"/>
    </row>
    <row r="12017" spans="1:9" ht="16.5">
      <c r="A12017" s="10" t="b">
        <v>0</v>
      </c>
      <c r="B12017" s="11" t="str">
        <f>IF(D12017&lt;&gt;"",IF(COUNTIF('USPTO TMs'!A:A,D12017)&gt;0,"Yes","No"),"")</f>
        <v/>
      </c>
      <c r="C12017" s="11"/>
      <c r="D12017" s="11"/>
      <c r="E12017" s="11"/>
      <c r="F12017" s="11"/>
      <c r="G12017" s="11"/>
      <c r="H12017" s="11"/>
      <c r="I12017" s="15"/>
    </row>
    <row r="12018" spans="1:9" ht="16.5">
      <c r="A12018" s="10" t="b">
        <v>0</v>
      </c>
      <c r="B12018" s="11" t="str">
        <f>IF(D12018&lt;&gt;"",IF(COUNTIF('USPTO TMs'!A:A,D12018)&gt;0,"Yes","No"),"")</f>
        <v/>
      </c>
      <c r="C12018" s="11"/>
      <c r="D12018" s="11"/>
      <c r="E12018" s="11"/>
      <c r="F12018" s="11"/>
      <c r="G12018" s="11"/>
      <c r="H12018" s="11"/>
      <c r="I12018" s="15"/>
    </row>
    <row r="12019" spans="1:9" ht="16.5">
      <c r="A12019" s="10" t="b">
        <v>0</v>
      </c>
      <c r="B12019" s="11" t="str">
        <f>IF(D12019&lt;&gt;"",IF(COUNTIF('USPTO TMs'!A:A,D12019)&gt;0,"Yes","No"),"")</f>
        <v/>
      </c>
      <c r="C12019" s="11"/>
      <c r="D12019" s="11"/>
      <c r="E12019" s="11"/>
      <c r="F12019" s="11"/>
      <c r="G12019" s="11"/>
      <c r="H12019" s="11"/>
      <c r="I12019" s="15"/>
    </row>
    <row r="12020" spans="1:9" ht="16.5">
      <c r="A12020" s="10" t="b">
        <v>0</v>
      </c>
      <c r="B12020" s="11" t="str">
        <f>IF(D12020&lt;&gt;"",IF(COUNTIF('USPTO TMs'!A:A,D12020)&gt;0,"Yes","No"),"")</f>
        <v/>
      </c>
      <c r="C12020" s="11"/>
      <c r="D12020" s="11"/>
      <c r="E12020" s="11"/>
      <c r="F12020" s="11"/>
      <c r="G12020" s="11"/>
      <c r="H12020" s="11"/>
      <c r="I12020" s="15"/>
    </row>
    <row r="12021" spans="1:9" ht="16.5">
      <c r="A12021" s="10" t="b">
        <v>0</v>
      </c>
      <c r="B12021" s="11" t="str">
        <f>IF(D12021&lt;&gt;"",IF(COUNTIF('USPTO TMs'!A:A,D12021)&gt;0,"Yes","No"),"")</f>
        <v/>
      </c>
      <c r="C12021" s="11"/>
      <c r="D12021" s="11"/>
      <c r="E12021" s="11"/>
      <c r="F12021" s="11"/>
      <c r="G12021" s="11"/>
      <c r="H12021" s="11"/>
      <c r="I12021" s="15"/>
    </row>
    <row r="12022" spans="1:9" ht="16.5">
      <c r="A12022" s="10" t="b">
        <v>0</v>
      </c>
      <c r="B12022" s="11" t="str">
        <f>IF(D12022&lt;&gt;"",IF(COUNTIF('USPTO TMs'!A:A,D12022)&gt;0,"Yes","No"),"")</f>
        <v/>
      </c>
      <c r="C12022" s="11"/>
      <c r="D12022" s="11"/>
      <c r="E12022" s="11"/>
      <c r="F12022" s="11"/>
      <c r="G12022" s="11"/>
      <c r="H12022" s="11"/>
      <c r="I12022" s="15"/>
    </row>
    <row r="12023" spans="1:9" ht="16.5">
      <c r="A12023" s="10" t="b">
        <v>0</v>
      </c>
      <c r="B12023" s="11" t="str">
        <f>IF(D12023&lt;&gt;"",IF(COUNTIF('USPTO TMs'!A:A,D12023)&gt;0,"Yes","No"),"")</f>
        <v/>
      </c>
      <c r="C12023" s="11"/>
      <c r="D12023" s="11"/>
      <c r="E12023" s="11"/>
      <c r="F12023" s="11"/>
      <c r="G12023" s="11"/>
      <c r="H12023" s="11"/>
      <c r="I12023" s="15"/>
    </row>
    <row r="12024" spans="1:9" ht="16.5">
      <c r="A12024" s="10" t="b">
        <v>0</v>
      </c>
      <c r="B12024" s="11" t="str">
        <f>IF(D12024&lt;&gt;"",IF(COUNTIF('USPTO TMs'!A:A,D12024)&gt;0,"Yes","No"),"")</f>
        <v/>
      </c>
      <c r="C12024" s="11"/>
      <c r="D12024" s="11"/>
      <c r="E12024" s="11"/>
      <c r="F12024" s="11"/>
      <c r="G12024" s="11"/>
      <c r="H12024" s="11"/>
      <c r="I12024" s="15"/>
    </row>
    <row r="12025" spans="1:9" ht="16.5">
      <c r="A12025" s="10" t="b">
        <v>0</v>
      </c>
      <c r="B12025" s="11" t="str">
        <f>IF(D12025&lt;&gt;"",IF(COUNTIF('USPTO TMs'!A:A,D12025)&gt;0,"Yes","No"),"")</f>
        <v/>
      </c>
      <c r="C12025" s="11"/>
      <c r="D12025" s="11"/>
      <c r="E12025" s="11"/>
      <c r="F12025" s="11"/>
      <c r="G12025" s="11"/>
      <c r="H12025" s="11"/>
      <c r="I12025" s="15"/>
    </row>
    <row r="12026" spans="1:9" ht="16.5">
      <c r="A12026" s="10" t="b">
        <v>0</v>
      </c>
      <c r="B12026" s="11" t="str">
        <f>IF(D12026&lt;&gt;"",IF(COUNTIF('USPTO TMs'!A:A,D12026)&gt;0,"Yes","No"),"")</f>
        <v/>
      </c>
      <c r="C12026" s="11"/>
      <c r="D12026" s="11"/>
      <c r="E12026" s="11"/>
      <c r="F12026" s="11"/>
      <c r="G12026" s="11"/>
      <c r="H12026" s="11"/>
      <c r="I12026" s="15"/>
    </row>
    <row r="12027" spans="1:9" ht="16.5">
      <c r="A12027" s="10" t="b">
        <v>0</v>
      </c>
      <c r="B12027" s="11" t="str">
        <f>IF(D12027&lt;&gt;"",IF(COUNTIF('USPTO TMs'!A:A,D12027)&gt;0,"Yes","No"),"")</f>
        <v/>
      </c>
      <c r="C12027" s="11"/>
      <c r="D12027" s="11"/>
      <c r="E12027" s="11"/>
      <c r="F12027" s="11"/>
      <c r="G12027" s="11"/>
      <c r="H12027" s="11"/>
      <c r="I12027" s="15"/>
    </row>
    <row r="12028" spans="1:9" ht="16.5">
      <c r="A12028" s="10" t="b">
        <v>0</v>
      </c>
      <c r="B12028" s="11" t="str">
        <f>IF(D12028&lt;&gt;"",IF(COUNTIF('USPTO TMs'!A:A,D12028)&gt;0,"Yes","No"),"")</f>
        <v/>
      </c>
      <c r="C12028" s="11"/>
      <c r="D12028" s="11"/>
      <c r="E12028" s="11"/>
      <c r="F12028" s="11"/>
      <c r="G12028" s="11"/>
      <c r="H12028" s="11"/>
      <c r="I12028" s="15"/>
    </row>
    <row r="12029" spans="1:9" ht="16.5">
      <c r="A12029" s="10" t="b">
        <v>0</v>
      </c>
      <c r="B12029" s="11" t="str">
        <f>IF(D12029&lt;&gt;"",IF(COUNTIF('USPTO TMs'!A:A,D12029)&gt;0,"Yes","No"),"")</f>
        <v/>
      </c>
      <c r="C12029" s="11"/>
      <c r="D12029" s="11"/>
      <c r="E12029" s="11"/>
      <c r="F12029" s="11"/>
      <c r="G12029" s="11"/>
      <c r="H12029" s="11"/>
      <c r="I12029" s="15"/>
    </row>
    <row r="12030" spans="1:9" ht="16.5">
      <c r="A12030" s="10" t="b">
        <v>0</v>
      </c>
      <c r="B12030" s="11" t="str">
        <f>IF(D12030&lt;&gt;"",IF(COUNTIF('USPTO TMs'!A:A,D12030)&gt;0,"Yes","No"),"")</f>
        <v/>
      </c>
      <c r="C12030" s="11"/>
      <c r="D12030" s="11"/>
      <c r="E12030" s="11"/>
      <c r="F12030" s="11"/>
      <c r="G12030" s="11"/>
      <c r="H12030" s="11"/>
      <c r="I12030" s="15"/>
    </row>
    <row r="12031" spans="1:9" ht="16.5">
      <c r="A12031" s="10" t="b">
        <v>0</v>
      </c>
      <c r="B12031" s="11" t="str">
        <f>IF(D12031&lt;&gt;"",IF(COUNTIF('USPTO TMs'!A:A,D12031)&gt;0,"Yes","No"),"")</f>
        <v/>
      </c>
      <c r="C12031" s="11"/>
      <c r="D12031" s="11"/>
      <c r="E12031" s="11"/>
      <c r="F12031" s="11"/>
      <c r="G12031" s="11"/>
      <c r="H12031" s="11"/>
      <c r="I12031" s="15"/>
    </row>
    <row r="12032" spans="1:9" ht="16.5">
      <c r="A12032" s="10" t="b">
        <v>0</v>
      </c>
      <c r="B12032" s="11" t="str">
        <f>IF(D12032&lt;&gt;"",IF(COUNTIF('USPTO TMs'!A:A,D12032)&gt;0,"Yes","No"),"")</f>
        <v/>
      </c>
      <c r="C12032" s="11"/>
      <c r="D12032" s="11"/>
      <c r="E12032" s="11"/>
      <c r="F12032" s="11"/>
      <c r="G12032" s="11"/>
      <c r="H12032" s="11"/>
      <c r="I12032" s="15"/>
    </row>
    <row r="12033" spans="1:9" ht="16.5">
      <c r="A12033" s="10" t="b">
        <v>0</v>
      </c>
      <c r="B12033" s="11" t="str">
        <f>IF(D12033&lt;&gt;"",IF(COUNTIF('USPTO TMs'!A:A,D12033)&gt;0,"Yes","No"),"")</f>
        <v/>
      </c>
      <c r="C12033" s="11"/>
      <c r="D12033" s="11"/>
      <c r="E12033" s="11"/>
      <c r="F12033" s="11"/>
      <c r="G12033" s="11"/>
      <c r="H12033" s="11"/>
      <c r="I12033" s="15"/>
    </row>
    <row r="12034" spans="1:9" ht="16.5">
      <c r="A12034" s="10" t="b">
        <v>0</v>
      </c>
      <c r="B12034" s="11" t="str">
        <f>IF(D12034&lt;&gt;"",IF(COUNTIF('USPTO TMs'!A:A,D12034)&gt;0,"Yes","No"),"")</f>
        <v/>
      </c>
      <c r="C12034" s="11"/>
      <c r="D12034" s="11"/>
      <c r="E12034" s="11"/>
      <c r="F12034" s="11"/>
      <c r="G12034" s="11"/>
      <c r="H12034" s="11"/>
      <c r="I12034" s="15"/>
    </row>
    <row r="12035" spans="1:9" ht="16.5">
      <c r="A12035" s="10" t="b">
        <v>0</v>
      </c>
      <c r="B12035" s="11" t="str">
        <f>IF(D12035&lt;&gt;"",IF(COUNTIF('USPTO TMs'!A:A,D12035)&gt;0,"Yes","No"),"")</f>
        <v/>
      </c>
      <c r="C12035" s="11"/>
      <c r="D12035" s="11"/>
      <c r="E12035" s="11"/>
      <c r="F12035" s="11"/>
      <c r="G12035" s="11"/>
      <c r="H12035" s="11"/>
      <c r="I12035" s="15"/>
    </row>
    <row r="12036" spans="1:9" ht="16.5">
      <c r="A12036" s="10" t="b">
        <v>0</v>
      </c>
      <c r="B12036" s="11" t="str">
        <f>IF(D12036&lt;&gt;"",IF(COUNTIF('USPTO TMs'!A:A,D12036)&gt;0,"Yes","No"),"")</f>
        <v/>
      </c>
      <c r="C12036" s="11"/>
      <c r="D12036" s="11"/>
      <c r="E12036" s="11"/>
      <c r="F12036" s="11"/>
      <c r="G12036" s="11"/>
      <c r="H12036" s="11"/>
      <c r="I12036" s="15"/>
    </row>
    <row r="12037" spans="1:9" ht="16.5">
      <c r="A12037" s="10" t="b">
        <v>0</v>
      </c>
      <c r="B12037" s="11" t="str">
        <f>IF(D12037&lt;&gt;"",IF(COUNTIF('USPTO TMs'!A:A,D12037)&gt;0,"Yes","No"),"")</f>
        <v/>
      </c>
      <c r="C12037" s="11"/>
      <c r="D12037" s="11"/>
      <c r="E12037" s="11"/>
      <c r="F12037" s="11"/>
      <c r="G12037" s="11"/>
      <c r="H12037" s="11"/>
      <c r="I12037" s="15"/>
    </row>
    <row r="12038" spans="1:9" ht="16.5">
      <c r="A12038" s="10" t="b">
        <v>0</v>
      </c>
      <c r="B12038" s="11" t="str">
        <f>IF(D12038&lt;&gt;"",IF(COUNTIF('USPTO TMs'!A:A,D12038)&gt;0,"Yes","No"),"")</f>
        <v/>
      </c>
      <c r="C12038" s="11"/>
      <c r="D12038" s="11"/>
      <c r="E12038" s="11"/>
      <c r="F12038" s="11"/>
      <c r="G12038" s="11"/>
      <c r="H12038" s="11"/>
      <c r="I12038" s="15"/>
    </row>
    <row r="12039" spans="1:9" ht="16.5">
      <c r="A12039" s="10" t="b">
        <v>0</v>
      </c>
      <c r="B12039" s="11" t="str">
        <f>IF(D12039&lt;&gt;"",IF(COUNTIF('USPTO TMs'!A:A,D12039)&gt;0,"Yes","No"),"")</f>
        <v/>
      </c>
      <c r="C12039" s="11"/>
      <c r="D12039" s="11"/>
      <c r="E12039" s="11"/>
      <c r="F12039" s="11"/>
      <c r="G12039" s="11"/>
      <c r="H12039" s="11"/>
      <c r="I12039" s="15"/>
    </row>
    <row r="12040" spans="1:9" ht="16.5">
      <c r="A12040" s="10" t="b">
        <v>0</v>
      </c>
      <c r="B12040" s="11" t="str">
        <f>IF(D12040&lt;&gt;"",IF(COUNTIF('USPTO TMs'!A:A,D12040)&gt;0,"Yes","No"),"")</f>
        <v/>
      </c>
      <c r="C12040" s="11"/>
      <c r="D12040" s="11"/>
      <c r="E12040" s="11"/>
      <c r="F12040" s="11"/>
      <c r="G12040" s="11"/>
      <c r="H12040" s="11"/>
      <c r="I12040" s="15"/>
    </row>
    <row r="12041" spans="1:9" ht="16.5">
      <c r="A12041" s="10" t="b">
        <v>0</v>
      </c>
      <c r="B12041" s="11" t="str">
        <f>IF(D12041&lt;&gt;"",IF(COUNTIF('USPTO TMs'!A:A,D12041)&gt;0,"Yes","No"),"")</f>
        <v/>
      </c>
      <c r="C12041" s="11"/>
      <c r="D12041" s="11"/>
      <c r="E12041" s="11"/>
      <c r="F12041" s="11"/>
      <c r="G12041" s="11"/>
      <c r="H12041" s="11"/>
      <c r="I12041" s="15"/>
    </row>
    <row r="12042" spans="1:9" ht="16.5">
      <c r="A12042" s="10" t="b">
        <v>0</v>
      </c>
      <c r="B12042" s="11" t="str">
        <f>IF(D12042&lt;&gt;"",IF(COUNTIF('USPTO TMs'!A:A,D12042)&gt;0,"Yes","No"),"")</f>
        <v/>
      </c>
      <c r="C12042" s="11"/>
      <c r="D12042" s="11"/>
      <c r="E12042" s="11"/>
      <c r="F12042" s="11"/>
      <c r="G12042" s="11"/>
      <c r="H12042" s="11"/>
      <c r="I12042" s="15"/>
    </row>
    <row r="12043" spans="1:9" ht="16.5">
      <c r="A12043" s="10" t="b">
        <v>0</v>
      </c>
      <c r="B12043" s="11" t="str">
        <f>IF(D12043&lt;&gt;"",IF(COUNTIF('USPTO TMs'!A:A,D12043)&gt;0,"Yes","No"),"")</f>
        <v/>
      </c>
      <c r="C12043" s="11"/>
      <c r="D12043" s="11"/>
      <c r="E12043" s="11"/>
      <c r="F12043" s="11"/>
      <c r="G12043" s="11"/>
      <c r="H12043" s="11"/>
      <c r="I12043" s="15"/>
    </row>
    <row r="12044" spans="1:9" ht="16.5">
      <c r="A12044" s="10" t="b">
        <v>0</v>
      </c>
      <c r="B12044" s="11" t="str">
        <f>IF(D12044&lt;&gt;"",IF(COUNTIF('USPTO TMs'!A:A,D12044)&gt;0,"Yes","No"),"")</f>
        <v/>
      </c>
      <c r="C12044" s="11"/>
      <c r="D12044" s="11"/>
      <c r="E12044" s="11"/>
      <c r="F12044" s="11"/>
      <c r="G12044" s="11"/>
      <c r="H12044" s="11"/>
      <c r="I12044" s="15"/>
    </row>
    <row r="12045" spans="1:9" ht="16.5">
      <c r="A12045" s="10" t="b">
        <v>0</v>
      </c>
      <c r="B12045" s="11" t="str">
        <f>IF(D12045&lt;&gt;"",IF(COUNTIF('USPTO TMs'!A:A,D12045)&gt;0,"Yes","No"),"")</f>
        <v/>
      </c>
      <c r="C12045" s="11"/>
      <c r="D12045" s="11"/>
      <c r="E12045" s="11"/>
      <c r="F12045" s="11"/>
      <c r="G12045" s="11"/>
      <c r="H12045" s="11"/>
      <c r="I12045" s="15"/>
    </row>
    <row r="12046" spans="1:9" ht="16.5">
      <c r="A12046" s="10" t="b">
        <v>0</v>
      </c>
      <c r="B12046" s="11" t="str">
        <f>IF(D12046&lt;&gt;"",IF(COUNTIF('USPTO TMs'!A:A,D12046)&gt;0,"Yes","No"),"")</f>
        <v/>
      </c>
      <c r="C12046" s="11"/>
      <c r="D12046" s="11"/>
      <c r="E12046" s="11"/>
      <c r="F12046" s="11"/>
      <c r="G12046" s="11"/>
      <c r="H12046" s="11"/>
      <c r="I12046" s="15"/>
    </row>
    <row r="12047" spans="1:9" ht="16.5">
      <c r="A12047" s="10" t="b">
        <v>0</v>
      </c>
      <c r="B12047" s="11" t="str">
        <f>IF(D12047&lt;&gt;"",IF(COUNTIF('USPTO TMs'!A:A,D12047)&gt;0,"Yes","No"),"")</f>
        <v/>
      </c>
      <c r="C12047" s="11"/>
      <c r="D12047" s="11"/>
      <c r="E12047" s="11"/>
      <c r="F12047" s="11"/>
      <c r="G12047" s="11"/>
      <c r="H12047" s="11"/>
      <c r="I12047" s="15"/>
    </row>
    <row r="12048" spans="1:9" ht="16.5">
      <c r="A12048" s="10" t="b">
        <v>0</v>
      </c>
      <c r="B12048" s="11" t="str">
        <f>IF(D12048&lt;&gt;"",IF(COUNTIF('USPTO TMs'!A:A,D12048)&gt;0,"Yes","No"),"")</f>
        <v/>
      </c>
      <c r="C12048" s="11"/>
      <c r="D12048" s="11"/>
      <c r="E12048" s="11"/>
      <c r="F12048" s="11"/>
      <c r="G12048" s="11"/>
      <c r="H12048" s="11"/>
      <c r="I12048" s="15"/>
    </row>
    <row r="12049" spans="1:9" ht="16.5">
      <c r="A12049" s="10" t="b">
        <v>0</v>
      </c>
      <c r="B12049" s="11" t="str">
        <f>IF(D12049&lt;&gt;"",IF(COUNTIF('USPTO TMs'!A:A,D12049)&gt;0,"Yes","No"),"")</f>
        <v/>
      </c>
      <c r="C12049" s="11"/>
      <c r="D12049" s="11"/>
      <c r="E12049" s="11"/>
      <c r="F12049" s="11"/>
      <c r="G12049" s="11"/>
      <c r="H12049" s="11"/>
      <c r="I12049" s="15"/>
    </row>
    <row r="12050" spans="1:9" ht="16.5">
      <c r="A12050" s="10" t="b">
        <v>0</v>
      </c>
      <c r="B12050" s="11" t="str">
        <f>IF(D12050&lt;&gt;"",IF(COUNTIF('USPTO TMs'!A:A,D12050)&gt;0,"Yes","No"),"")</f>
        <v/>
      </c>
      <c r="C12050" s="11"/>
      <c r="D12050" s="11"/>
      <c r="E12050" s="11"/>
      <c r="F12050" s="11"/>
      <c r="G12050" s="11"/>
      <c r="H12050" s="11"/>
      <c r="I12050" s="15"/>
    </row>
    <row r="12051" spans="1:9" ht="16.5">
      <c r="A12051" s="10" t="b">
        <v>0</v>
      </c>
      <c r="B12051" s="11" t="str">
        <f>IF(D12051&lt;&gt;"",IF(COUNTIF('USPTO TMs'!A:A,D12051)&gt;0,"Yes","No"),"")</f>
        <v/>
      </c>
      <c r="C12051" s="11"/>
      <c r="D12051" s="11"/>
      <c r="E12051" s="11"/>
      <c r="F12051" s="11"/>
      <c r="G12051" s="11"/>
      <c r="H12051" s="11"/>
      <c r="I12051" s="15"/>
    </row>
    <row r="12052" spans="1:9" ht="16.5">
      <c r="A12052" s="10" t="b">
        <v>0</v>
      </c>
      <c r="B12052" s="11" t="str">
        <f>IF(D12052&lt;&gt;"",IF(COUNTIF('USPTO TMs'!A:A,D12052)&gt;0,"Yes","No"),"")</f>
        <v/>
      </c>
      <c r="C12052" s="11"/>
      <c r="D12052" s="11"/>
      <c r="E12052" s="11"/>
      <c r="F12052" s="11"/>
      <c r="G12052" s="11"/>
      <c r="H12052" s="11"/>
      <c r="I12052" s="15"/>
    </row>
    <row r="12053" spans="1:9" ht="16.5">
      <c r="A12053" s="10" t="b">
        <v>0</v>
      </c>
      <c r="B12053" s="11" t="str">
        <f>IF(D12053&lt;&gt;"",IF(COUNTIF('USPTO TMs'!A:A,D12053)&gt;0,"Yes","No"),"")</f>
        <v/>
      </c>
      <c r="C12053" s="11"/>
      <c r="D12053" s="11"/>
      <c r="E12053" s="11"/>
      <c r="F12053" s="11"/>
      <c r="G12053" s="11"/>
      <c r="H12053" s="11"/>
      <c r="I12053" s="15"/>
    </row>
    <row r="12054" spans="1:9" ht="16.5">
      <c r="A12054" s="10" t="b">
        <v>0</v>
      </c>
      <c r="B12054" s="11" t="str">
        <f>IF(D12054&lt;&gt;"",IF(COUNTIF('USPTO TMs'!A:A,D12054)&gt;0,"Yes","No"),"")</f>
        <v/>
      </c>
      <c r="C12054" s="11"/>
      <c r="D12054" s="11"/>
      <c r="E12054" s="11"/>
      <c r="F12054" s="11"/>
      <c r="G12054" s="11"/>
      <c r="H12054" s="11"/>
      <c r="I12054" s="15"/>
    </row>
    <row r="12055" spans="1:9" ht="16.5">
      <c r="A12055" s="10" t="b">
        <v>0</v>
      </c>
      <c r="B12055" s="11" t="str">
        <f>IF(D12055&lt;&gt;"",IF(COUNTIF('USPTO TMs'!A:A,D12055)&gt;0,"Yes","No"),"")</f>
        <v/>
      </c>
      <c r="C12055" s="11"/>
      <c r="D12055" s="11"/>
      <c r="E12055" s="11"/>
      <c r="F12055" s="11"/>
      <c r="G12055" s="11"/>
      <c r="H12055" s="11"/>
      <c r="I12055" s="15"/>
    </row>
    <row r="12056" spans="1:9" ht="16.5">
      <c r="A12056" s="10" t="b">
        <v>0</v>
      </c>
      <c r="B12056" s="11" t="str">
        <f>IF(D12056&lt;&gt;"",IF(COUNTIF('USPTO TMs'!A:A,D12056)&gt;0,"Yes","No"),"")</f>
        <v/>
      </c>
      <c r="C12056" s="11"/>
      <c r="D12056" s="11"/>
      <c r="E12056" s="11"/>
      <c r="F12056" s="11"/>
      <c r="G12056" s="11"/>
      <c r="H12056" s="11"/>
      <c r="I12056" s="15"/>
    </row>
    <row r="12057" spans="1:9" ht="16.5">
      <c r="A12057" s="10" t="b">
        <v>0</v>
      </c>
      <c r="B12057" s="11" t="str">
        <f>IF(D12057&lt;&gt;"",IF(COUNTIF('USPTO TMs'!A:A,D12057)&gt;0,"Yes","No"),"")</f>
        <v/>
      </c>
      <c r="C12057" s="11"/>
      <c r="D12057" s="11"/>
      <c r="E12057" s="11"/>
      <c r="F12057" s="11"/>
      <c r="G12057" s="11"/>
      <c r="H12057" s="11"/>
      <c r="I12057" s="15"/>
    </row>
    <row r="12058" spans="1:9" ht="16.5">
      <c r="A12058" s="10" t="b">
        <v>0</v>
      </c>
      <c r="B12058" s="11" t="str">
        <f>IF(D12058&lt;&gt;"",IF(COUNTIF('USPTO TMs'!A:A,D12058)&gt;0,"Yes","No"),"")</f>
        <v/>
      </c>
      <c r="C12058" s="11"/>
      <c r="D12058" s="11"/>
      <c r="E12058" s="11"/>
      <c r="F12058" s="11"/>
      <c r="G12058" s="11"/>
      <c r="H12058" s="11"/>
      <c r="I12058" s="15"/>
    </row>
    <row r="12059" spans="1:9" ht="16.5">
      <c r="A12059" s="10" t="b">
        <v>0</v>
      </c>
      <c r="B12059" s="11" t="str">
        <f>IF(D12059&lt;&gt;"",IF(COUNTIF('USPTO TMs'!A:A,D12059)&gt;0,"Yes","No"),"")</f>
        <v/>
      </c>
      <c r="C12059" s="11"/>
      <c r="D12059" s="11"/>
      <c r="E12059" s="11"/>
      <c r="F12059" s="11"/>
      <c r="G12059" s="11"/>
      <c r="H12059" s="11"/>
      <c r="I12059" s="15"/>
    </row>
    <row r="12060" spans="1:9" ht="16.5">
      <c r="A12060" s="10" t="b">
        <v>0</v>
      </c>
      <c r="B12060" s="11" t="str">
        <f>IF(D12060&lt;&gt;"",IF(COUNTIF('USPTO TMs'!A:A,D12060)&gt;0,"Yes","No"),"")</f>
        <v/>
      </c>
      <c r="C12060" s="11"/>
      <c r="D12060" s="11"/>
      <c r="E12060" s="11"/>
      <c r="F12060" s="11"/>
      <c r="G12060" s="11"/>
      <c r="H12060" s="11"/>
      <c r="I12060" s="15"/>
    </row>
    <row r="12061" spans="1:9" ht="16.5">
      <c r="A12061" s="10" t="b">
        <v>0</v>
      </c>
      <c r="B12061" s="11" t="str">
        <f>IF(D12061&lt;&gt;"",IF(COUNTIF('USPTO TMs'!A:A,D12061)&gt;0,"Yes","No"),"")</f>
        <v/>
      </c>
      <c r="C12061" s="11"/>
      <c r="D12061" s="11"/>
      <c r="E12061" s="11"/>
      <c r="F12061" s="11"/>
      <c r="G12061" s="11"/>
      <c r="H12061" s="11"/>
      <c r="I12061" s="15"/>
    </row>
    <row r="12062" spans="1:9" ht="16.5">
      <c r="A12062" s="10" t="b">
        <v>0</v>
      </c>
      <c r="B12062" s="11" t="str">
        <f>IF(D12062&lt;&gt;"",IF(COUNTIF('USPTO TMs'!A:A,D12062)&gt;0,"Yes","No"),"")</f>
        <v/>
      </c>
      <c r="C12062" s="11"/>
      <c r="D12062" s="11"/>
      <c r="E12062" s="11"/>
      <c r="F12062" s="11"/>
      <c r="G12062" s="11"/>
      <c r="H12062" s="11"/>
      <c r="I12062" s="15"/>
    </row>
    <row r="12063" spans="1:9" ht="16.5">
      <c r="A12063" s="10" t="b">
        <v>0</v>
      </c>
      <c r="B12063" s="11" t="str">
        <f>IF(D12063&lt;&gt;"",IF(COUNTIF('USPTO TMs'!A:A,D12063)&gt;0,"Yes","No"),"")</f>
        <v/>
      </c>
      <c r="C12063" s="11"/>
      <c r="D12063" s="11"/>
      <c r="E12063" s="11"/>
      <c r="F12063" s="11"/>
      <c r="G12063" s="11"/>
      <c r="H12063" s="11"/>
      <c r="I12063" s="15"/>
    </row>
    <row r="12064" spans="1:9" ht="16.5">
      <c r="A12064" s="10" t="b">
        <v>0</v>
      </c>
      <c r="B12064" s="11" t="str">
        <f>IF(D12064&lt;&gt;"",IF(COUNTIF('USPTO TMs'!A:A,D12064)&gt;0,"Yes","No"),"")</f>
        <v/>
      </c>
      <c r="C12064" s="11"/>
      <c r="D12064" s="11"/>
      <c r="E12064" s="11"/>
      <c r="F12064" s="11"/>
      <c r="G12064" s="11"/>
      <c r="H12064" s="11"/>
      <c r="I12064" s="15"/>
    </row>
    <row r="12065" spans="1:9" ht="16.5">
      <c r="A12065" s="10" t="b">
        <v>0</v>
      </c>
      <c r="B12065" s="11" t="str">
        <f>IF(D12065&lt;&gt;"",IF(COUNTIF('USPTO TMs'!A:A,D12065)&gt;0,"Yes","No"),"")</f>
        <v/>
      </c>
      <c r="C12065" s="11"/>
      <c r="D12065" s="11"/>
      <c r="E12065" s="11"/>
      <c r="F12065" s="11"/>
      <c r="G12065" s="11"/>
      <c r="H12065" s="11"/>
      <c r="I12065" s="15"/>
    </row>
    <row r="12066" spans="1:9" ht="16.5">
      <c r="A12066" s="10" t="b">
        <v>0</v>
      </c>
      <c r="B12066" s="11" t="str">
        <f>IF(D12066&lt;&gt;"",IF(COUNTIF('USPTO TMs'!A:A,D12066)&gt;0,"Yes","No"),"")</f>
        <v/>
      </c>
      <c r="C12066" s="11"/>
      <c r="D12066" s="11"/>
      <c r="E12066" s="11"/>
      <c r="F12066" s="11"/>
      <c r="G12066" s="11"/>
      <c r="H12066" s="11"/>
      <c r="I12066" s="15"/>
    </row>
    <row r="12067" spans="1:9" ht="16.5">
      <c r="A12067" s="10" t="b">
        <v>0</v>
      </c>
      <c r="B12067" s="11" t="str">
        <f>IF(D12067&lt;&gt;"",IF(COUNTIF('USPTO TMs'!A:A,D12067)&gt;0,"Yes","No"),"")</f>
        <v/>
      </c>
      <c r="C12067" s="11"/>
      <c r="D12067" s="11"/>
      <c r="E12067" s="11"/>
      <c r="F12067" s="11"/>
      <c r="G12067" s="11"/>
      <c r="H12067" s="11"/>
      <c r="I12067" s="15"/>
    </row>
    <row r="12068" spans="1:9" ht="16.5">
      <c r="A12068" s="10" t="b">
        <v>0</v>
      </c>
      <c r="B12068" s="11" t="str">
        <f>IF(D12068&lt;&gt;"",IF(COUNTIF('USPTO TMs'!A:A,D12068)&gt;0,"Yes","No"),"")</f>
        <v/>
      </c>
      <c r="C12068" s="11"/>
      <c r="D12068" s="11"/>
      <c r="E12068" s="11"/>
      <c r="F12068" s="11"/>
      <c r="G12068" s="11"/>
      <c r="H12068" s="11"/>
      <c r="I12068" s="15"/>
    </row>
    <row r="12069" spans="1:9" ht="16.5">
      <c r="A12069" s="10" t="b">
        <v>0</v>
      </c>
      <c r="B12069" s="11" t="str">
        <f>IF(D12069&lt;&gt;"",IF(COUNTIF('USPTO TMs'!A:A,D12069)&gt;0,"Yes","No"),"")</f>
        <v/>
      </c>
      <c r="C12069" s="11"/>
      <c r="D12069" s="11"/>
      <c r="E12069" s="11"/>
      <c r="F12069" s="11"/>
      <c r="G12069" s="11"/>
      <c r="H12069" s="11"/>
      <c r="I12069" s="15"/>
    </row>
    <row r="12070" spans="1:9" ht="16.5">
      <c r="A12070" s="10" t="b">
        <v>0</v>
      </c>
      <c r="B12070" s="11" t="str">
        <f>IF(D12070&lt;&gt;"",IF(COUNTIF('USPTO TMs'!A:A,D12070)&gt;0,"Yes","No"),"")</f>
        <v/>
      </c>
      <c r="C12070" s="11"/>
      <c r="D12070" s="11"/>
      <c r="E12070" s="11"/>
      <c r="F12070" s="11"/>
      <c r="G12070" s="11"/>
      <c r="H12070" s="11"/>
      <c r="I12070" s="15"/>
    </row>
    <row r="12071" spans="1:9" ht="16.5">
      <c r="A12071" s="10" t="b">
        <v>0</v>
      </c>
      <c r="B12071" s="11" t="str">
        <f>IF(D12071&lt;&gt;"",IF(COUNTIF('USPTO TMs'!A:A,D12071)&gt;0,"Yes","No"),"")</f>
        <v/>
      </c>
      <c r="C12071" s="11"/>
      <c r="D12071" s="11"/>
      <c r="E12071" s="11"/>
      <c r="F12071" s="11"/>
      <c r="G12071" s="11"/>
      <c r="H12071" s="11"/>
      <c r="I12071" s="15"/>
    </row>
    <row r="12072" spans="1:9" ht="16.5">
      <c r="A12072" s="10" t="b">
        <v>0</v>
      </c>
      <c r="B12072" s="11" t="str">
        <f>IF(D12072&lt;&gt;"",IF(COUNTIF('USPTO TMs'!A:A,D12072)&gt;0,"Yes","No"),"")</f>
        <v/>
      </c>
      <c r="C12072" s="11"/>
      <c r="D12072" s="11"/>
      <c r="E12072" s="11"/>
      <c r="F12072" s="11"/>
      <c r="G12072" s="11"/>
      <c r="H12072" s="11"/>
      <c r="I12072" s="15"/>
    </row>
    <row r="12073" spans="1:9" ht="16.5">
      <c r="A12073" s="10" t="b">
        <v>0</v>
      </c>
      <c r="B12073" s="11" t="str">
        <f>IF(D12073&lt;&gt;"",IF(COUNTIF('USPTO TMs'!A:A,D12073)&gt;0,"Yes","No"),"")</f>
        <v/>
      </c>
      <c r="C12073" s="11"/>
      <c r="D12073" s="11"/>
      <c r="E12073" s="11"/>
      <c r="F12073" s="11"/>
      <c r="G12073" s="11"/>
      <c r="H12073" s="11"/>
      <c r="I12073" s="15"/>
    </row>
    <row r="12074" spans="1:9" ht="16.5">
      <c r="A12074" s="10" t="b">
        <v>0</v>
      </c>
      <c r="B12074" s="11" t="str">
        <f>IF(D12074&lt;&gt;"",IF(COUNTIF('USPTO TMs'!A:A,D12074)&gt;0,"Yes","No"),"")</f>
        <v/>
      </c>
      <c r="C12074" s="11"/>
      <c r="D12074" s="11"/>
      <c r="E12074" s="11"/>
      <c r="F12074" s="11"/>
      <c r="G12074" s="11"/>
      <c r="H12074" s="11"/>
      <c r="I12074" s="15"/>
    </row>
    <row r="12075" spans="1:9" ht="16.5">
      <c r="A12075" s="10" t="b">
        <v>0</v>
      </c>
      <c r="B12075" s="11" t="str">
        <f>IF(D12075&lt;&gt;"",IF(COUNTIF('USPTO TMs'!A:A,D12075)&gt;0,"Yes","No"),"")</f>
        <v/>
      </c>
      <c r="C12075" s="11"/>
      <c r="D12075" s="11"/>
      <c r="E12075" s="11"/>
      <c r="F12075" s="11"/>
      <c r="G12075" s="11"/>
      <c r="H12075" s="11"/>
      <c r="I12075" s="15"/>
    </row>
    <row r="12076" spans="1:9" ht="16.5">
      <c r="A12076" s="10" t="b">
        <v>0</v>
      </c>
      <c r="B12076" s="11" t="str">
        <f>IF(D12076&lt;&gt;"",IF(COUNTIF('USPTO TMs'!A:A,D12076)&gt;0,"Yes","No"),"")</f>
        <v/>
      </c>
      <c r="C12076" s="11"/>
      <c r="D12076" s="11"/>
      <c r="E12076" s="11"/>
      <c r="F12076" s="11"/>
      <c r="G12076" s="11"/>
      <c r="H12076" s="11"/>
      <c r="I12076" s="15"/>
    </row>
    <row r="12077" spans="1:9" ht="16.5">
      <c r="A12077" s="10" t="b">
        <v>0</v>
      </c>
      <c r="B12077" s="11" t="str">
        <f>IF(D12077&lt;&gt;"",IF(COUNTIF('USPTO TMs'!A:A,D12077)&gt;0,"Yes","No"),"")</f>
        <v/>
      </c>
      <c r="C12077" s="11"/>
      <c r="D12077" s="11"/>
      <c r="E12077" s="11"/>
      <c r="F12077" s="11"/>
      <c r="G12077" s="11"/>
      <c r="H12077" s="11"/>
      <c r="I12077" s="15"/>
    </row>
    <row r="12078" spans="1:9" ht="16.5">
      <c r="A12078" s="10" t="b">
        <v>0</v>
      </c>
      <c r="B12078" s="11" t="str">
        <f>IF(D12078&lt;&gt;"",IF(COUNTIF('USPTO TMs'!A:A,D12078)&gt;0,"Yes","No"),"")</f>
        <v/>
      </c>
      <c r="C12078" s="11"/>
      <c r="D12078" s="11"/>
      <c r="E12078" s="11"/>
      <c r="F12078" s="11"/>
      <c r="G12078" s="11"/>
      <c r="H12078" s="11"/>
      <c r="I12078" s="15"/>
    </row>
    <row r="12079" spans="1:9" ht="16.5">
      <c r="A12079" s="10" t="b">
        <v>0</v>
      </c>
      <c r="B12079" s="11" t="str">
        <f>IF(D12079&lt;&gt;"",IF(COUNTIF('USPTO TMs'!A:A,D12079)&gt;0,"Yes","No"),"")</f>
        <v/>
      </c>
      <c r="C12079" s="11"/>
      <c r="D12079" s="11"/>
      <c r="E12079" s="11"/>
      <c r="F12079" s="11"/>
      <c r="G12079" s="11"/>
      <c r="H12079" s="11"/>
      <c r="I12079" s="15"/>
    </row>
    <row r="12080" spans="1:9" ht="16.5">
      <c r="A12080" s="10" t="b">
        <v>0</v>
      </c>
      <c r="B12080" s="11" t="str">
        <f>IF(D12080&lt;&gt;"",IF(COUNTIF('USPTO TMs'!A:A,D12080)&gt;0,"Yes","No"),"")</f>
        <v/>
      </c>
      <c r="C12080" s="11"/>
      <c r="D12080" s="11"/>
      <c r="E12080" s="11"/>
      <c r="F12080" s="11"/>
      <c r="G12080" s="11"/>
      <c r="H12080" s="11"/>
      <c r="I12080" s="15"/>
    </row>
    <row r="12081" spans="1:9" ht="16.5">
      <c r="A12081" s="10" t="b">
        <v>0</v>
      </c>
      <c r="B12081" s="11" t="str">
        <f>IF(D12081&lt;&gt;"",IF(COUNTIF('USPTO TMs'!A:A,D12081)&gt;0,"Yes","No"),"")</f>
        <v/>
      </c>
      <c r="C12081" s="11"/>
      <c r="D12081" s="11"/>
      <c r="E12081" s="11"/>
      <c r="F12081" s="11"/>
      <c r="G12081" s="11"/>
      <c r="H12081" s="11"/>
      <c r="I12081" s="15"/>
    </row>
    <row r="12082" spans="1:9" ht="16.5">
      <c r="A12082" s="10" t="b">
        <v>0</v>
      </c>
      <c r="B12082" s="11" t="str">
        <f>IF(D12082&lt;&gt;"",IF(COUNTIF('USPTO TMs'!A:A,D12082)&gt;0,"Yes","No"),"")</f>
        <v/>
      </c>
      <c r="C12082" s="11"/>
      <c r="D12082" s="11"/>
      <c r="E12082" s="11"/>
      <c r="F12082" s="11"/>
      <c r="G12082" s="11"/>
      <c r="H12082" s="11"/>
      <c r="I12082" s="15"/>
    </row>
    <row r="12083" spans="1:9" ht="16.5">
      <c r="A12083" s="10" t="b">
        <v>0</v>
      </c>
      <c r="B12083" s="11" t="str">
        <f>IF(D12083&lt;&gt;"",IF(COUNTIF('USPTO TMs'!A:A,D12083)&gt;0,"Yes","No"),"")</f>
        <v/>
      </c>
      <c r="C12083" s="11"/>
      <c r="D12083" s="11"/>
      <c r="E12083" s="11"/>
      <c r="F12083" s="11"/>
      <c r="G12083" s="11"/>
      <c r="H12083" s="11"/>
      <c r="I12083" s="15"/>
    </row>
    <row r="12084" spans="1:9" ht="16.5">
      <c r="A12084" s="10" t="b">
        <v>0</v>
      </c>
      <c r="B12084" s="11" t="str">
        <f>IF(D12084&lt;&gt;"",IF(COUNTIF('USPTO TMs'!A:A,D12084)&gt;0,"Yes","No"),"")</f>
        <v/>
      </c>
      <c r="C12084" s="11"/>
      <c r="D12084" s="11"/>
      <c r="E12084" s="11"/>
      <c r="F12084" s="11"/>
      <c r="G12084" s="11"/>
      <c r="H12084" s="11"/>
      <c r="I12084" s="15"/>
    </row>
    <row r="12085" spans="1:9" ht="16.5">
      <c r="A12085" s="10" t="b">
        <v>0</v>
      </c>
      <c r="B12085" s="11" t="str">
        <f>IF(D12085&lt;&gt;"",IF(COUNTIF('USPTO TMs'!A:A,D12085)&gt;0,"Yes","No"),"")</f>
        <v/>
      </c>
      <c r="C12085" s="11"/>
      <c r="D12085" s="11"/>
      <c r="E12085" s="11"/>
      <c r="F12085" s="11"/>
      <c r="G12085" s="11"/>
      <c r="H12085" s="11"/>
      <c r="I12085" s="15"/>
    </row>
    <row r="12086" spans="1:9" ht="16.5">
      <c r="A12086" s="10" t="b">
        <v>0</v>
      </c>
      <c r="B12086" s="11" t="str">
        <f>IF(D12086&lt;&gt;"",IF(COUNTIF('USPTO TMs'!A:A,D12086)&gt;0,"Yes","No"),"")</f>
        <v/>
      </c>
      <c r="C12086" s="11"/>
      <c r="D12086" s="11"/>
      <c r="E12086" s="11"/>
      <c r="F12086" s="11"/>
      <c r="G12086" s="11"/>
      <c r="H12086" s="11"/>
      <c r="I12086" s="15"/>
    </row>
    <row r="12087" spans="1:9" ht="16.5">
      <c r="A12087" s="10" t="b">
        <v>0</v>
      </c>
      <c r="B12087" s="11" t="str">
        <f>IF(D12087&lt;&gt;"",IF(COUNTIF('USPTO TMs'!A:A,D12087)&gt;0,"Yes","No"),"")</f>
        <v/>
      </c>
      <c r="C12087" s="11"/>
      <c r="D12087" s="11"/>
      <c r="E12087" s="11"/>
      <c r="F12087" s="11"/>
      <c r="G12087" s="11"/>
      <c r="H12087" s="11"/>
      <c r="I12087" s="15"/>
    </row>
    <row r="12088" spans="1:9" ht="16.5">
      <c r="A12088" s="10" t="b">
        <v>0</v>
      </c>
      <c r="B12088" s="11" t="str">
        <f>IF(D12088&lt;&gt;"",IF(COUNTIF('USPTO TMs'!A:A,D12088)&gt;0,"Yes","No"),"")</f>
        <v/>
      </c>
      <c r="C12088" s="11"/>
      <c r="D12088" s="11"/>
      <c r="E12088" s="11"/>
      <c r="F12088" s="11"/>
      <c r="G12088" s="11"/>
      <c r="H12088" s="11"/>
      <c r="I12088" s="15"/>
    </row>
    <row r="12089" spans="1:9" ht="16.5">
      <c r="A12089" s="10" t="b">
        <v>0</v>
      </c>
      <c r="B12089" s="11" t="str">
        <f>IF(D12089&lt;&gt;"",IF(COUNTIF('USPTO TMs'!A:A,D12089)&gt;0,"Yes","No"),"")</f>
        <v/>
      </c>
      <c r="C12089" s="11"/>
      <c r="D12089" s="11"/>
      <c r="E12089" s="11"/>
      <c r="F12089" s="11"/>
      <c r="G12089" s="11"/>
      <c r="H12089" s="11"/>
      <c r="I12089" s="15"/>
    </row>
    <row r="12090" spans="1:9" ht="16.5">
      <c r="A12090" s="10" t="b">
        <v>0</v>
      </c>
      <c r="B12090" s="11" t="str">
        <f>IF(D12090&lt;&gt;"",IF(COUNTIF('USPTO TMs'!A:A,D12090)&gt;0,"Yes","No"),"")</f>
        <v/>
      </c>
      <c r="C12090" s="11"/>
      <c r="D12090" s="11"/>
      <c r="E12090" s="11"/>
      <c r="F12090" s="11"/>
      <c r="G12090" s="11"/>
      <c r="H12090" s="11"/>
      <c r="I12090" s="15"/>
    </row>
    <row r="12091" spans="1:9" ht="16.5">
      <c r="A12091" s="10" t="b">
        <v>0</v>
      </c>
      <c r="B12091" s="11" t="str">
        <f>IF(D12091&lt;&gt;"",IF(COUNTIF('USPTO TMs'!A:A,D12091)&gt;0,"Yes","No"),"")</f>
        <v/>
      </c>
      <c r="C12091" s="11"/>
      <c r="D12091" s="11"/>
      <c r="E12091" s="11"/>
      <c r="F12091" s="11"/>
      <c r="G12091" s="11"/>
      <c r="H12091" s="11"/>
      <c r="I12091" s="15"/>
    </row>
    <row r="12092" spans="1:9" ht="16.5">
      <c r="A12092" s="10" t="b">
        <v>0</v>
      </c>
      <c r="B12092" s="11" t="str">
        <f>IF(D12092&lt;&gt;"",IF(COUNTIF('USPTO TMs'!A:A,D12092)&gt;0,"Yes","No"),"")</f>
        <v/>
      </c>
      <c r="C12092" s="11"/>
      <c r="D12092" s="11"/>
      <c r="E12092" s="11"/>
      <c r="F12092" s="11"/>
      <c r="G12092" s="11"/>
      <c r="H12092" s="11"/>
      <c r="I12092" s="15"/>
    </row>
    <row r="12093" spans="1:9" ht="16.5">
      <c r="A12093" s="10" t="b">
        <v>0</v>
      </c>
      <c r="B12093" s="11" t="str">
        <f>IF(D12093&lt;&gt;"",IF(COUNTIF('USPTO TMs'!A:A,D12093)&gt;0,"Yes","No"),"")</f>
        <v/>
      </c>
      <c r="C12093" s="11"/>
      <c r="D12093" s="11"/>
      <c r="E12093" s="11"/>
      <c r="F12093" s="11"/>
      <c r="G12093" s="11"/>
      <c r="H12093" s="11"/>
      <c r="I12093" s="15"/>
    </row>
    <row r="12094" spans="1:9" ht="16.5">
      <c r="A12094" s="10" t="b">
        <v>0</v>
      </c>
      <c r="B12094" s="11" t="str">
        <f>IF(D12094&lt;&gt;"",IF(COUNTIF('USPTO TMs'!A:A,D12094)&gt;0,"Yes","No"),"")</f>
        <v/>
      </c>
      <c r="C12094" s="11"/>
      <c r="D12094" s="11"/>
      <c r="E12094" s="11"/>
      <c r="F12094" s="11"/>
      <c r="G12094" s="11"/>
      <c r="H12094" s="11"/>
      <c r="I12094" s="15"/>
    </row>
    <row r="12095" spans="1:9" ht="16.5">
      <c r="A12095" s="10" t="b">
        <v>0</v>
      </c>
      <c r="B12095" s="11" t="str">
        <f>IF(D12095&lt;&gt;"",IF(COUNTIF('USPTO TMs'!A:A,D12095)&gt;0,"Yes","No"),"")</f>
        <v/>
      </c>
      <c r="C12095" s="11"/>
      <c r="D12095" s="11"/>
      <c r="E12095" s="11"/>
      <c r="F12095" s="11"/>
      <c r="G12095" s="11"/>
      <c r="H12095" s="11"/>
      <c r="I12095" s="15"/>
    </row>
    <row r="12096" spans="1:9" ht="16.5">
      <c r="A12096" s="10" t="b">
        <v>0</v>
      </c>
      <c r="B12096" s="11" t="str">
        <f>IF(D12096&lt;&gt;"",IF(COUNTIF('USPTO TMs'!A:A,D12096)&gt;0,"Yes","No"),"")</f>
        <v/>
      </c>
      <c r="C12096" s="11"/>
      <c r="D12096" s="11"/>
      <c r="E12096" s="11"/>
      <c r="F12096" s="11"/>
      <c r="G12096" s="11"/>
      <c r="H12096" s="11"/>
      <c r="I12096" s="15"/>
    </row>
    <row r="12097" spans="1:9" ht="16.5">
      <c r="A12097" s="10" t="b">
        <v>0</v>
      </c>
      <c r="B12097" s="11" t="str">
        <f>IF(D12097&lt;&gt;"",IF(COUNTIF('USPTO TMs'!A:A,D12097)&gt;0,"Yes","No"),"")</f>
        <v/>
      </c>
      <c r="C12097" s="11"/>
      <c r="D12097" s="11"/>
      <c r="E12097" s="11"/>
      <c r="F12097" s="11"/>
      <c r="G12097" s="11"/>
      <c r="H12097" s="11"/>
      <c r="I12097" s="15"/>
    </row>
    <row r="12098" spans="1:9" ht="16.5">
      <c r="A12098" s="10" t="b">
        <v>0</v>
      </c>
      <c r="B12098" s="11" t="str">
        <f>IF(D12098&lt;&gt;"",IF(COUNTIF('USPTO TMs'!A:A,D12098)&gt;0,"Yes","No"),"")</f>
        <v/>
      </c>
      <c r="C12098" s="11"/>
      <c r="D12098" s="11"/>
      <c r="E12098" s="11"/>
      <c r="F12098" s="11"/>
      <c r="G12098" s="11"/>
      <c r="H12098" s="11"/>
      <c r="I12098" s="15"/>
    </row>
    <row r="12099" spans="1:9" ht="16.5">
      <c r="A12099" s="10" t="b">
        <v>0</v>
      </c>
      <c r="B12099" s="11" t="str">
        <f>IF(D12099&lt;&gt;"",IF(COUNTIF('USPTO TMs'!A:A,D12099)&gt;0,"Yes","No"),"")</f>
        <v/>
      </c>
      <c r="C12099" s="11"/>
      <c r="D12099" s="11"/>
      <c r="E12099" s="11"/>
      <c r="F12099" s="11"/>
      <c r="G12099" s="11"/>
      <c r="H12099" s="11"/>
      <c r="I12099" s="15"/>
    </row>
    <row r="12100" spans="1:9" ht="16.5">
      <c r="A12100" s="10" t="b">
        <v>0</v>
      </c>
      <c r="B12100" s="11" t="str">
        <f>IF(D12100&lt;&gt;"",IF(COUNTIF('USPTO TMs'!A:A,D12100)&gt;0,"Yes","No"),"")</f>
        <v/>
      </c>
      <c r="C12100" s="11"/>
      <c r="D12100" s="11"/>
      <c r="E12100" s="11"/>
      <c r="F12100" s="11"/>
      <c r="G12100" s="11"/>
      <c r="H12100" s="11"/>
      <c r="I12100" s="15"/>
    </row>
    <row r="12101" spans="1:9" ht="16.5">
      <c r="A12101" s="10" t="b">
        <v>0</v>
      </c>
      <c r="B12101" s="11" t="str">
        <f>IF(D12101&lt;&gt;"",IF(COUNTIF('USPTO TMs'!A:A,D12101)&gt;0,"Yes","No"),"")</f>
        <v/>
      </c>
      <c r="C12101" s="11"/>
      <c r="D12101" s="11"/>
      <c r="E12101" s="11"/>
      <c r="F12101" s="11"/>
      <c r="G12101" s="11"/>
      <c r="H12101" s="11"/>
      <c r="I12101" s="15"/>
    </row>
    <row r="12102" spans="1:9" ht="16.5">
      <c r="A12102" s="10" t="b">
        <v>0</v>
      </c>
      <c r="B12102" s="11" t="str">
        <f>IF(D12102&lt;&gt;"",IF(COUNTIF('USPTO TMs'!A:A,D12102)&gt;0,"Yes","No"),"")</f>
        <v/>
      </c>
      <c r="C12102" s="11"/>
      <c r="D12102" s="11"/>
      <c r="E12102" s="11"/>
      <c r="F12102" s="11"/>
      <c r="G12102" s="11"/>
      <c r="H12102" s="11"/>
      <c r="I12102" s="15"/>
    </row>
    <row r="12103" spans="1:9" ht="16.5">
      <c r="A12103" s="10" t="b">
        <v>0</v>
      </c>
      <c r="B12103" s="11" t="str">
        <f>IF(D12103&lt;&gt;"",IF(COUNTIF('USPTO TMs'!A:A,D12103)&gt;0,"Yes","No"),"")</f>
        <v/>
      </c>
      <c r="C12103" s="11"/>
      <c r="D12103" s="11"/>
      <c r="E12103" s="11"/>
      <c r="F12103" s="11"/>
      <c r="G12103" s="11"/>
      <c r="H12103" s="11"/>
      <c r="I12103" s="15"/>
    </row>
    <row r="12104" spans="1:9" ht="16.5">
      <c r="A12104" s="10" t="b">
        <v>0</v>
      </c>
      <c r="B12104" s="11" t="str">
        <f>IF(D12104&lt;&gt;"",IF(COUNTIF('USPTO TMs'!A:A,D12104)&gt;0,"Yes","No"),"")</f>
        <v/>
      </c>
      <c r="C12104" s="11"/>
      <c r="D12104" s="11"/>
      <c r="E12104" s="11"/>
      <c r="F12104" s="11"/>
      <c r="G12104" s="11"/>
      <c r="H12104" s="11"/>
      <c r="I12104" s="15"/>
    </row>
    <row r="12105" spans="1:9" ht="16.5">
      <c r="A12105" s="10" t="b">
        <v>0</v>
      </c>
      <c r="B12105" s="11" t="str">
        <f>IF(D12105&lt;&gt;"",IF(COUNTIF('USPTO TMs'!A:A,D12105)&gt;0,"Yes","No"),"")</f>
        <v/>
      </c>
      <c r="C12105" s="11"/>
      <c r="D12105" s="11"/>
      <c r="E12105" s="11"/>
      <c r="F12105" s="11"/>
      <c r="G12105" s="11"/>
      <c r="H12105" s="11"/>
      <c r="I12105" s="15"/>
    </row>
    <row r="12106" spans="1:9" ht="16.5">
      <c r="A12106" s="10" t="b">
        <v>0</v>
      </c>
      <c r="B12106" s="11" t="str">
        <f>IF(D12106&lt;&gt;"",IF(COUNTIF('USPTO TMs'!A:A,D12106)&gt;0,"Yes","No"),"")</f>
        <v/>
      </c>
      <c r="C12106" s="11"/>
      <c r="D12106" s="11"/>
      <c r="E12106" s="11"/>
      <c r="F12106" s="11"/>
      <c r="G12106" s="11"/>
      <c r="H12106" s="11"/>
      <c r="I12106" s="15"/>
    </row>
    <row r="12107" spans="1:9" ht="16.5">
      <c r="A12107" s="10" t="b">
        <v>0</v>
      </c>
      <c r="B12107" s="11" t="str">
        <f>IF(D12107&lt;&gt;"",IF(COUNTIF('USPTO TMs'!A:A,D12107)&gt;0,"Yes","No"),"")</f>
        <v/>
      </c>
      <c r="C12107" s="11"/>
      <c r="D12107" s="11"/>
      <c r="E12107" s="11"/>
      <c r="F12107" s="11"/>
      <c r="G12107" s="11"/>
      <c r="H12107" s="11"/>
      <c r="I12107" s="15"/>
    </row>
    <row r="12108" spans="1:9" ht="16.5">
      <c r="A12108" s="10" t="b">
        <v>0</v>
      </c>
      <c r="B12108" s="11" t="str">
        <f>IF(D12108&lt;&gt;"",IF(COUNTIF('USPTO TMs'!A:A,D12108)&gt;0,"Yes","No"),"")</f>
        <v/>
      </c>
      <c r="C12108" s="11"/>
      <c r="D12108" s="11"/>
      <c r="E12108" s="11"/>
      <c r="F12108" s="11"/>
      <c r="G12108" s="11"/>
      <c r="H12108" s="11"/>
      <c r="I12108" s="15"/>
    </row>
    <row r="12109" spans="1:9" ht="16.5">
      <c r="A12109" s="10" t="b">
        <v>0</v>
      </c>
      <c r="B12109" s="11" t="str">
        <f>IF(D12109&lt;&gt;"",IF(COUNTIF('USPTO TMs'!A:A,D12109)&gt;0,"Yes","No"),"")</f>
        <v/>
      </c>
      <c r="C12109" s="11"/>
      <c r="D12109" s="11"/>
      <c r="E12109" s="11"/>
      <c r="F12109" s="11"/>
      <c r="G12109" s="11"/>
      <c r="H12109" s="11"/>
      <c r="I12109" s="15"/>
    </row>
    <row r="12110" spans="1:9" ht="16.5">
      <c r="A12110" s="10" t="b">
        <v>0</v>
      </c>
      <c r="B12110" s="11" t="str">
        <f>IF(D12110&lt;&gt;"",IF(COUNTIF('USPTO TMs'!A:A,D12110)&gt;0,"Yes","No"),"")</f>
        <v/>
      </c>
      <c r="C12110" s="11"/>
      <c r="D12110" s="11"/>
      <c r="E12110" s="11"/>
      <c r="F12110" s="11"/>
      <c r="G12110" s="11"/>
      <c r="H12110" s="11"/>
      <c r="I12110" s="15"/>
    </row>
    <row r="12111" spans="1:9" ht="16.5">
      <c r="A12111" s="10" t="b">
        <v>0</v>
      </c>
      <c r="B12111" s="11" t="str">
        <f>IF(D12111&lt;&gt;"",IF(COUNTIF('USPTO TMs'!A:A,D12111)&gt;0,"Yes","No"),"")</f>
        <v/>
      </c>
      <c r="C12111" s="11"/>
      <c r="D12111" s="11"/>
      <c r="E12111" s="11"/>
      <c r="F12111" s="11"/>
      <c r="G12111" s="11"/>
      <c r="H12111" s="11"/>
      <c r="I12111" s="15"/>
    </row>
    <row r="12112" spans="1:9" ht="16.5">
      <c r="A12112" s="10" t="b">
        <v>0</v>
      </c>
      <c r="B12112" s="11" t="str">
        <f>IF(D12112&lt;&gt;"",IF(COUNTIF('USPTO TMs'!A:A,D12112)&gt;0,"Yes","No"),"")</f>
        <v/>
      </c>
      <c r="C12112" s="11"/>
      <c r="D12112" s="11"/>
      <c r="E12112" s="11"/>
      <c r="F12112" s="11"/>
      <c r="G12112" s="11"/>
      <c r="H12112" s="11"/>
      <c r="I12112" s="15"/>
    </row>
    <row r="12113" spans="1:9" ht="16.5">
      <c r="A12113" s="10" t="b">
        <v>0</v>
      </c>
      <c r="B12113" s="11" t="str">
        <f>IF(D12113&lt;&gt;"",IF(COUNTIF('USPTO TMs'!A:A,D12113)&gt;0,"Yes","No"),"")</f>
        <v/>
      </c>
      <c r="C12113" s="11"/>
      <c r="D12113" s="11"/>
      <c r="E12113" s="11"/>
      <c r="F12113" s="11"/>
      <c r="G12113" s="11"/>
      <c r="H12113" s="11"/>
      <c r="I12113" s="15"/>
    </row>
    <row r="12114" spans="1:9" ht="16.5">
      <c r="A12114" s="10" t="b">
        <v>0</v>
      </c>
      <c r="B12114" s="11" t="str">
        <f>IF(D12114&lt;&gt;"",IF(COUNTIF('USPTO TMs'!A:A,D12114)&gt;0,"Yes","No"),"")</f>
        <v/>
      </c>
      <c r="C12114" s="11"/>
      <c r="D12114" s="11"/>
      <c r="E12114" s="11"/>
      <c r="F12114" s="11"/>
      <c r="G12114" s="11"/>
      <c r="H12114" s="11"/>
      <c r="I12114" s="15"/>
    </row>
    <row r="12115" spans="1:9" ht="16.5">
      <c r="A12115" s="10" t="b">
        <v>0</v>
      </c>
      <c r="B12115" s="11" t="str">
        <f>IF(D12115&lt;&gt;"",IF(COUNTIF('USPTO TMs'!A:A,D12115)&gt;0,"Yes","No"),"")</f>
        <v/>
      </c>
      <c r="C12115" s="11"/>
      <c r="D12115" s="11"/>
      <c r="E12115" s="11"/>
      <c r="F12115" s="11"/>
      <c r="G12115" s="11"/>
      <c r="H12115" s="11"/>
      <c r="I12115" s="15"/>
    </row>
    <row r="12116" spans="1:9" ht="16.5">
      <c r="A12116" s="10" t="b">
        <v>0</v>
      </c>
      <c r="B12116" s="11" t="str">
        <f>IF(D12116&lt;&gt;"",IF(COUNTIF('USPTO TMs'!A:A,D12116)&gt;0,"Yes","No"),"")</f>
        <v/>
      </c>
      <c r="C12116" s="11"/>
      <c r="D12116" s="11"/>
      <c r="E12116" s="11"/>
      <c r="F12116" s="11"/>
      <c r="G12116" s="11"/>
      <c r="H12116" s="11"/>
      <c r="I12116" s="15"/>
    </row>
    <row r="12117" spans="1:9" ht="16.5">
      <c r="A12117" s="10" t="b">
        <v>0</v>
      </c>
      <c r="B12117" s="11" t="str">
        <f>IF(D12117&lt;&gt;"",IF(COUNTIF('USPTO TMs'!A:A,D12117)&gt;0,"Yes","No"),"")</f>
        <v/>
      </c>
      <c r="C12117" s="11"/>
      <c r="D12117" s="11"/>
      <c r="E12117" s="11"/>
      <c r="F12117" s="11"/>
      <c r="G12117" s="11"/>
      <c r="H12117" s="11"/>
      <c r="I12117" s="15"/>
    </row>
    <row r="12118" spans="1:9" ht="16.5">
      <c r="A12118" s="10" t="b">
        <v>0</v>
      </c>
      <c r="B12118" s="11" t="str">
        <f>IF(D12118&lt;&gt;"",IF(COUNTIF('USPTO TMs'!A:A,D12118)&gt;0,"Yes","No"),"")</f>
        <v/>
      </c>
      <c r="C12118" s="11"/>
      <c r="D12118" s="11"/>
      <c r="E12118" s="11"/>
      <c r="F12118" s="11"/>
      <c r="G12118" s="11"/>
      <c r="H12118" s="11"/>
      <c r="I12118" s="15"/>
    </row>
    <row r="12119" spans="1:9" ht="16.5">
      <c r="A12119" s="10" t="b">
        <v>0</v>
      </c>
      <c r="B12119" s="11" t="str">
        <f>IF(D12119&lt;&gt;"",IF(COUNTIF('USPTO TMs'!A:A,D12119)&gt;0,"Yes","No"),"")</f>
        <v/>
      </c>
      <c r="C12119" s="11"/>
      <c r="D12119" s="11"/>
      <c r="E12119" s="11"/>
      <c r="F12119" s="11"/>
      <c r="G12119" s="11"/>
      <c r="H12119" s="11"/>
      <c r="I12119" s="15"/>
    </row>
    <row r="12120" spans="1:9" ht="16.5">
      <c r="A12120" s="10" t="b">
        <v>0</v>
      </c>
      <c r="B12120" s="11" t="str">
        <f>IF(D12120&lt;&gt;"",IF(COUNTIF('USPTO TMs'!A:A,D12120)&gt;0,"Yes","No"),"")</f>
        <v/>
      </c>
      <c r="C12120" s="11"/>
      <c r="D12120" s="11"/>
      <c r="E12120" s="11"/>
      <c r="F12120" s="11"/>
      <c r="G12120" s="11"/>
      <c r="H12120" s="11"/>
      <c r="I12120" s="15"/>
    </row>
    <row r="12121" spans="1:9" ht="16.5">
      <c r="A12121" s="10" t="b">
        <v>0</v>
      </c>
      <c r="B12121" s="11" t="str">
        <f>IF(D12121&lt;&gt;"",IF(COUNTIF('USPTO TMs'!A:A,D12121)&gt;0,"Yes","No"),"")</f>
        <v/>
      </c>
      <c r="C12121" s="11"/>
      <c r="D12121" s="11"/>
      <c r="E12121" s="11"/>
      <c r="F12121" s="11"/>
      <c r="G12121" s="11"/>
      <c r="H12121" s="11"/>
      <c r="I12121" s="15"/>
    </row>
    <row r="12122" spans="1:9" ht="16.5">
      <c r="A12122" s="10" t="b">
        <v>0</v>
      </c>
      <c r="B12122" s="11" t="str">
        <f>IF(D12122&lt;&gt;"",IF(COUNTIF('USPTO TMs'!A:A,D12122)&gt;0,"Yes","No"),"")</f>
        <v/>
      </c>
      <c r="C12122" s="11"/>
      <c r="D12122" s="11"/>
      <c r="E12122" s="11"/>
      <c r="F12122" s="11"/>
      <c r="G12122" s="11"/>
      <c r="H12122" s="11"/>
      <c r="I12122" s="15"/>
    </row>
    <row r="12123" spans="1:9" ht="16.5">
      <c r="A12123" s="10" t="b">
        <v>0</v>
      </c>
      <c r="B12123" s="11" t="str">
        <f>IF(D12123&lt;&gt;"",IF(COUNTIF('USPTO TMs'!A:A,D12123)&gt;0,"Yes","No"),"")</f>
        <v/>
      </c>
      <c r="C12123" s="11"/>
      <c r="D12123" s="11"/>
      <c r="E12123" s="11"/>
      <c r="F12123" s="11"/>
      <c r="G12123" s="11"/>
      <c r="H12123" s="11"/>
      <c r="I12123" s="15"/>
    </row>
    <row r="12124" spans="1:9" ht="16.5">
      <c r="A12124" s="10" t="b">
        <v>0</v>
      </c>
      <c r="B12124" s="11" t="str">
        <f>IF(D12124&lt;&gt;"",IF(COUNTIF('USPTO TMs'!A:A,D12124)&gt;0,"Yes","No"),"")</f>
        <v/>
      </c>
      <c r="C12124" s="11"/>
      <c r="D12124" s="11"/>
      <c r="E12124" s="11"/>
      <c r="F12124" s="11"/>
      <c r="G12124" s="11"/>
      <c r="H12124" s="11"/>
      <c r="I12124" s="15"/>
    </row>
    <row r="12125" spans="1:9" ht="16.5">
      <c r="A12125" s="10" t="b">
        <v>0</v>
      </c>
      <c r="B12125" s="11" t="str">
        <f>IF(D12125&lt;&gt;"",IF(COUNTIF('USPTO TMs'!A:A,D12125)&gt;0,"Yes","No"),"")</f>
        <v/>
      </c>
      <c r="C12125" s="11"/>
      <c r="D12125" s="11"/>
      <c r="E12125" s="11"/>
      <c r="F12125" s="11"/>
      <c r="G12125" s="11"/>
      <c r="H12125" s="11"/>
      <c r="I12125" s="15"/>
    </row>
    <row r="12126" spans="1:9" ht="16.5">
      <c r="A12126" s="10" t="b">
        <v>0</v>
      </c>
      <c r="B12126" s="11" t="str">
        <f>IF(D12126&lt;&gt;"",IF(COUNTIF('USPTO TMs'!A:A,D12126)&gt;0,"Yes","No"),"")</f>
        <v/>
      </c>
      <c r="C12126" s="11"/>
      <c r="D12126" s="11"/>
      <c r="E12126" s="11"/>
      <c r="F12126" s="11"/>
      <c r="G12126" s="11"/>
      <c r="H12126" s="11"/>
      <c r="I12126" s="15"/>
    </row>
    <row r="12127" spans="1:9" ht="16.5">
      <c r="A12127" s="10" t="b">
        <v>0</v>
      </c>
      <c r="B12127" s="11" t="str">
        <f>IF(D12127&lt;&gt;"",IF(COUNTIF('USPTO TMs'!A:A,D12127)&gt;0,"Yes","No"),"")</f>
        <v/>
      </c>
      <c r="C12127" s="11"/>
      <c r="D12127" s="11"/>
      <c r="E12127" s="11"/>
      <c r="F12127" s="11"/>
      <c r="G12127" s="11"/>
      <c r="H12127" s="11"/>
      <c r="I12127" s="15"/>
    </row>
    <row r="12128" spans="1:9" ht="16.5">
      <c r="A12128" s="10" t="b">
        <v>0</v>
      </c>
      <c r="B12128" s="11" t="str">
        <f>IF(D12128&lt;&gt;"",IF(COUNTIF('USPTO TMs'!A:A,D12128)&gt;0,"Yes","No"),"")</f>
        <v/>
      </c>
      <c r="C12128" s="11"/>
      <c r="D12128" s="11"/>
      <c r="E12128" s="11"/>
      <c r="F12128" s="11"/>
      <c r="G12128" s="11"/>
      <c r="H12128" s="11"/>
      <c r="I12128" s="15"/>
    </row>
    <row r="12129" spans="1:9" ht="16.5">
      <c r="A12129" s="10" t="b">
        <v>0</v>
      </c>
      <c r="B12129" s="11" t="str">
        <f>IF(D12129&lt;&gt;"",IF(COUNTIF('USPTO TMs'!A:A,D12129)&gt;0,"Yes","No"),"")</f>
        <v/>
      </c>
      <c r="C12129" s="11"/>
      <c r="D12129" s="11"/>
      <c r="E12129" s="11"/>
      <c r="F12129" s="11"/>
      <c r="G12129" s="11"/>
      <c r="H12129" s="11"/>
      <c r="I12129" s="15"/>
    </row>
    <row r="12130" spans="1:9" ht="16.5">
      <c r="A12130" s="10" t="b">
        <v>0</v>
      </c>
      <c r="B12130" s="11" t="str">
        <f>IF(D12130&lt;&gt;"",IF(COUNTIF('USPTO TMs'!A:A,D12130)&gt;0,"Yes","No"),"")</f>
        <v/>
      </c>
      <c r="C12130" s="11"/>
      <c r="D12130" s="11"/>
      <c r="E12130" s="11"/>
      <c r="F12130" s="11"/>
      <c r="G12130" s="11"/>
      <c r="H12130" s="11"/>
      <c r="I12130" s="15"/>
    </row>
    <row r="12131" spans="1:9" ht="16.5">
      <c r="A12131" s="10" t="b">
        <v>0</v>
      </c>
      <c r="B12131" s="11" t="str">
        <f>IF(D12131&lt;&gt;"",IF(COUNTIF('USPTO TMs'!A:A,D12131)&gt;0,"Yes","No"),"")</f>
        <v/>
      </c>
      <c r="C12131" s="11"/>
      <c r="D12131" s="11"/>
      <c r="E12131" s="11"/>
      <c r="F12131" s="11"/>
      <c r="G12131" s="11"/>
      <c r="H12131" s="11"/>
      <c r="I12131" s="15"/>
    </row>
    <row r="12132" spans="1:9" ht="16.5">
      <c r="A12132" s="10" t="b">
        <v>0</v>
      </c>
      <c r="B12132" s="11" t="str">
        <f>IF(D12132&lt;&gt;"",IF(COUNTIF('USPTO TMs'!A:A,D12132)&gt;0,"Yes","No"),"")</f>
        <v/>
      </c>
      <c r="C12132" s="11"/>
      <c r="D12132" s="11"/>
      <c r="E12132" s="11"/>
      <c r="F12132" s="11"/>
      <c r="G12132" s="11"/>
      <c r="H12132" s="11"/>
      <c r="I12132" s="15"/>
    </row>
    <row r="12133" spans="1:9" ht="16.5">
      <c r="A12133" s="10" t="b">
        <v>0</v>
      </c>
      <c r="B12133" s="11" t="str">
        <f>IF(D12133&lt;&gt;"",IF(COUNTIF('USPTO TMs'!A:A,D12133)&gt;0,"Yes","No"),"")</f>
        <v/>
      </c>
      <c r="C12133" s="11"/>
      <c r="D12133" s="11"/>
      <c r="E12133" s="11"/>
      <c r="F12133" s="11"/>
      <c r="G12133" s="11"/>
      <c r="H12133" s="11"/>
      <c r="I12133" s="15"/>
    </row>
    <row r="12134" spans="1:9" ht="16.5">
      <c r="A12134" s="10" t="b">
        <v>0</v>
      </c>
      <c r="B12134" s="11" t="str">
        <f>IF(D12134&lt;&gt;"",IF(COUNTIF('USPTO TMs'!A:A,D12134)&gt;0,"Yes","No"),"")</f>
        <v/>
      </c>
      <c r="C12134" s="11"/>
      <c r="D12134" s="11"/>
      <c r="E12134" s="11"/>
      <c r="F12134" s="11"/>
      <c r="G12134" s="11"/>
      <c r="H12134" s="11"/>
      <c r="I12134" s="15"/>
    </row>
    <row r="12135" spans="1:9" ht="16.5">
      <c r="A12135" s="10" t="b">
        <v>0</v>
      </c>
      <c r="B12135" s="11" t="str">
        <f>IF(D12135&lt;&gt;"",IF(COUNTIF('USPTO TMs'!A:A,D12135)&gt;0,"Yes","No"),"")</f>
        <v/>
      </c>
      <c r="C12135" s="11"/>
      <c r="D12135" s="11"/>
      <c r="E12135" s="11"/>
      <c r="F12135" s="11"/>
      <c r="G12135" s="11"/>
      <c r="H12135" s="11"/>
      <c r="I12135" s="15"/>
    </row>
    <row r="12136" spans="1:9" ht="16.5">
      <c r="A12136" s="10" t="b">
        <v>0</v>
      </c>
      <c r="B12136" s="11" t="str">
        <f>IF(D12136&lt;&gt;"",IF(COUNTIF('USPTO TMs'!A:A,D12136)&gt;0,"Yes","No"),"")</f>
        <v/>
      </c>
      <c r="C12136" s="11"/>
      <c r="D12136" s="11"/>
      <c r="E12136" s="11"/>
      <c r="F12136" s="11"/>
      <c r="G12136" s="11"/>
      <c r="H12136" s="11"/>
      <c r="I12136" s="15"/>
    </row>
    <row r="12137" spans="1:9" ht="16.5">
      <c r="A12137" s="10" t="b">
        <v>0</v>
      </c>
      <c r="B12137" s="11" t="str">
        <f>IF(D12137&lt;&gt;"",IF(COUNTIF('USPTO TMs'!A:A,D12137)&gt;0,"Yes","No"),"")</f>
        <v/>
      </c>
      <c r="C12137" s="11"/>
      <c r="D12137" s="11"/>
      <c r="E12137" s="11"/>
      <c r="F12137" s="11"/>
      <c r="G12137" s="11"/>
      <c r="H12137" s="11"/>
      <c r="I12137" s="15"/>
    </row>
    <row r="12138" spans="1:9" ht="16.5">
      <c r="A12138" s="10" t="b">
        <v>0</v>
      </c>
      <c r="B12138" s="11" t="str">
        <f>IF(D12138&lt;&gt;"",IF(COUNTIF('USPTO TMs'!A:A,D12138)&gt;0,"Yes","No"),"")</f>
        <v/>
      </c>
      <c r="C12138" s="11"/>
      <c r="D12138" s="11"/>
      <c r="E12138" s="11"/>
      <c r="F12138" s="11"/>
      <c r="G12138" s="11"/>
      <c r="H12138" s="11"/>
      <c r="I12138" s="15"/>
    </row>
    <row r="12139" spans="1:9" ht="16.5">
      <c r="A12139" s="10" t="b">
        <v>0</v>
      </c>
      <c r="B12139" s="11" t="str">
        <f>IF(D12139&lt;&gt;"",IF(COUNTIF('USPTO TMs'!A:A,D12139)&gt;0,"Yes","No"),"")</f>
        <v/>
      </c>
      <c r="C12139" s="11"/>
      <c r="D12139" s="11"/>
      <c r="E12139" s="11"/>
      <c r="F12139" s="11"/>
      <c r="G12139" s="11"/>
      <c r="H12139" s="11"/>
      <c r="I12139" s="15"/>
    </row>
    <row r="12140" spans="1:9" ht="16.5">
      <c r="A12140" s="10" t="b">
        <v>0</v>
      </c>
      <c r="B12140" s="11" t="str">
        <f>IF(D12140&lt;&gt;"",IF(COUNTIF('USPTO TMs'!A:A,D12140)&gt;0,"Yes","No"),"")</f>
        <v/>
      </c>
      <c r="C12140" s="11"/>
      <c r="D12140" s="11"/>
      <c r="E12140" s="11"/>
      <c r="F12140" s="11"/>
      <c r="G12140" s="11"/>
      <c r="H12140" s="11"/>
      <c r="I12140" s="15"/>
    </row>
    <row r="12141" spans="1:9" ht="16.5">
      <c r="A12141" s="10" t="b">
        <v>0</v>
      </c>
      <c r="B12141" s="11" t="str">
        <f>IF(D12141&lt;&gt;"",IF(COUNTIF('USPTO TMs'!A:A,D12141)&gt;0,"Yes","No"),"")</f>
        <v/>
      </c>
      <c r="C12141" s="11"/>
      <c r="D12141" s="11"/>
      <c r="E12141" s="11"/>
      <c r="F12141" s="11"/>
      <c r="G12141" s="11"/>
      <c r="H12141" s="11"/>
      <c r="I12141" s="15"/>
    </row>
    <row r="12142" spans="1:9" ht="16.5">
      <c r="A12142" s="10" t="b">
        <v>0</v>
      </c>
      <c r="B12142" s="11" t="str">
        <f>IF(D12142&lt;&gt;"",IF(COUNTIF('USPTO TMs'!A:A,D12142)&gt;0,"Yes","No"),"")</f>
        <v/>
      </c>
      <c r="C12142" s="11"/>
      <c r="D12142" s="11"/>
      <c r="E12142" s="11"/>
      <c r="F12142" s="11"/>
      <c r="G12142" s="11"/>
      <c r="H12142" s="11"/>
      <c r="I12142" s="15"/>
    </row>
    <row r="12143" spans="1:9" ht="16.5">
      <c r="A12143" s="10" t="b">
        <v>0</v>
      </c>
      <c r="B12143" s="11" t="str">
        <f>IF(D12143&lt;&gt;"",IF(COUNTIF('USPTO TMs'!A:A,D12143)&gt;0,"Yes","No"),"")</f>
        <v/>
      </c>
      <c r="C12143" s="11"/>
      <c r="D12143" s="11"/>
      <c r="E12143" s="11"/>
      <c r="F12143" s="11"/>
      <c r="G12143" s="11"/>
      <c r="H12143" s="11"/>
      <c r="I12143" s="15"/>
    </row>
    <row r="12144" spans="1:9" ht="16.5">
      <c r="A12144" s="10" t="b">
        <v>0</v>
      </c>
      <c r="B12144" s="11" t="str">
        <f>IF(D12144&lt;&gt;"",IF(COUNTIF('USPTO TMs'!A:A,D12144)&gt;0,"Yes","No"),"")</f>
        <v/>
      </c>
      <c r="C12144" s="11"/>
      <c r="D12144" s="11"/>
      <c r="E12144" s="11"/>
      <c r="F12144" s="11"/>
      <c r="G12144" s="11"/>
      <c r="H12144" s="11"/>
      <c r="I12144" s="15"/>
    </row>
    <row r="12145" spans="1:9" ht="16.5">
      <c r="A12145" s="10" t="b">
        <v>0</v>
      </c>
      <c r="B12145" s="11" t="str">
        <f>IF(D12145&lt;&gt;"",IF(COUNTIF('USPTO TMs'!A:A,D12145)&gt;0,"Yes","No"),"")</f>
        <v/>
      </c>
      <c r="C12145" s="11"/>
      <c r="D12145" s="11"/>
      <c r="E12145" s="11"/>
      <c r="F12145" s="11"/>
      <c r="G12145" s="11"/>
      <c r="H12145" s="11"/>
      <c r="I12145" s="15"/>
    </row>
    <row r="12146" spans="1:9" ht="16.5">
      <c r="A12146" s="10" t="b">
        <v>0</v>
      </c>
      <c r="B12146" s="11" t="str">
        <f>IF(D12146&lt;&gt;"",IF(COUNTIF('USPTO TMs'!A:A,D12146)&gt;0,"Yes","No"),"")</f>
        <v/>
      </c>
      <c r="C12146" s="11"/>
      <c r="D12146" s="11"/>
      <c r="E12146" s="11"/>
      <c r="F12146" s="11"/>
      <c r="G12146" s="11"/>
      <c r="H12146" s="11"/>
      <c r="I12146" s="15"/>
    </row>
    <row r="12147" spans="1:9" ht="16.5">
      <c r="A12147" s="10" t="b">
        <v>0</v>
      </c>
      <c r="B12147" s="11" t="str">
        <f>IF(D12147&lt;&gt;"",IF(COUNTIF('USPTO TMs'!A:A,D12147)&gt;0,"Yes","No"),"")</f>
        <v/>
      </c>
      <c r="C12147" s="11"/>
      <c r="D12147" s="11"/>
      <c r="E12147" s="11"/>
      <c r="F12147" s="11"/>
      <c r="G12147" s="11"/>
      <c r="H12147" s="11"/>
      <c r="I12147" s="15"/>
    </row>
    <row r="12148" spans="1:9" ht="16.5">
      <c r="A12148" s="10" t="b">
        <v>0</v>
      </c>
      <c r="B12148" s="11" t="str">
        <f>IF(D12148&lt;&gt;"",IF(COUNTIF('USPTO TMs'!A:A,D12148)&gt;0,"Yes","No"),"")</f>
        <v/>
      </c>
      <c r="C12148" s="11"/>
      <c r="D12148" s="11"/>
      <c r="E12148" s="11"/>
      <c r="F12148" s="11"/>
      <c r="G12148" s="11"/>
      <c r="H12148" s="11"/>
      <c r="I12148" s="15"/>
    </row>
    <row r="12149" spans="1:9" ht="16.5">
      <c r="A12149" s="10" t="b">
        <v>0</v>
      </c>
      <c r="B12149" s="11" t="str">
        <f>IF(D12149&lt;&gt;"",IF(COUNTIF('USPTO TMs'!A:A,D12149)&gt;0,"Yes","No"),"")</f>
        <v/>
      </c>
      <c r="C12149" s="11"/>
      <c r="D12149" s="11"/>
      <c r="E12149" s="11"/>
      <c r="F12149" s="11"/>
      <c r="G12149" s="11"/>
      <c r="H12149" s="11"/>
      <c r="I12149" s="15"/>
    </row>
    <row r="12150" spans="1:9" ht="16.5">
      <c r="A12150" s="10" t="b">
        <v>0</v>
      </c>
      <c r="B12150" s="11" t="str">
        <f>IF(D12150&lt;&gt;"",IF(COUNTIF('USPTO TMs'!A:A,D12150)&gt;0,"Yes","No"),"")</f>
        <v/>
      </c>
      <c r="C12150" s="11"/>
      <c r="D12150" s="11"/>
      <c r="E12150" s="11"/>
      <c r="F12150" s="11"/>
      <c r="G12150" s="11"/>
      <c r="H12150" s="11"/>
      <c r="I12150" s="15"/>
    </row>
    <row r="12151" spans="1:9" ht="16.5">
      <c r="A12151" s="10" t="b">
        <v>0</v>
      </c>
      <c r="B12151" s="11" t="str">
        <f>IF(D12151&lt;&gt;"",IF(COUNTIF('USPTO TMs'!A:A,D12151)&gt;0,"Yes","No"),"")</f>
        <v/>
      </c>
      <c r="C12151" s="11"/>
      <c r="D12151" s="11"/>
      <c r="E12151" s="11"/>
      <c r="F12151" s="11"/>
      <c r="G12151" s="11"/>
      <c r="H12151" s="11"/>
      <c r="I12151" s="15"/>
    </row>
    <row r="12152" spans="1:9" ht="16.5">
      <c r="A12152" s="10" t="b">
        <v>0</v>
      </c>
      <c r="B12152" s="11" t="str">
        <f>IF(D12152&lt;&gt;"",IF(COUNTIF('USPTO TMs'!A:A,D12152)&gt;0,"Yes","No"),"")</f>
        <v/>
      </c>
      <c r="C12152" s="11"/>
      <c r="D12152" s="11"/>
      <c r="E12152" s="11"/>
      <c r="F12152" s="11"/>
      <c r="G12152" s="11"/>
      <c r="H12152" s="11"/>
      <c r="I12152" s="15"/>
    </row>
    <row r="12153" spans="1:9" ht="16.5">
      <c r="A12153" s="10" t="b">
        <v>0</v>
      </c>
      <c r="B12153" s="11" t="str">
        <f>IF(D12153&lt;&gt;"",IF(COUNTIF('USPTO TMs'!A:A,D12153)&gt;0,"Yes","No"),"")</f>
        <v/>
      </c>
      <c r="C12153" s="11"/>
      <c r="D12153" s="11"/>
      <c r="E12153" s="11"/>
      <c r="F12153" s="11"/>
      <c r="G12153" s="11"/>
      <c r="H12153" s="11"/>
      <c r="I12153" s="15"/>
    </row>
    <row r="12154" spans="1:9" ht="16.5">
      <c r="A12154" s="10" t="b">
        <v>0</v>
      </c>
      <c r="B12154" s="11" t="str">
        <f>IF(D12154&lt;&gt;"",IF(COUNTIF('USPTO TMs'!A:A,D12154)&gt;0,"Yes","No"),"")</f>
        <v/>
      </c>
      <c r="C12154" s="11"/>
      <c r="D12154" s="11"/>
      <c r="E12154" s="11"/>
      <c r="F12154" s="11"/>
      <c r="G12154" s="11"/>
      <c r="H12154" s="11"/>
      <c r="I12154" s="15"/>
    </row>
    <row r="12155" spans="1:9" ht="16.5">
      <c r="A12155" s="10" t="b">
        <v>0</v>
      </c>
      <c r="B12155" s="11" t="str">
        <f>IF(D12155&lt;&gt;"",IF(COUNTIF('USPTO TMs'!A:A,D12155)&gt;0,"Yes","No"),"")</f>
        <v/>
      </c>
      <c r="C12155" s="11"/>
      <c r="D12155" s="11"/>
      <c r="E12155" s="11"/>
      <c r="F12155" s="11"/>
      <c r="G12155" s="11"/>
      <c r="H12155" s="11"/>
      <c r="I12155" s="15"/>
    </row>
    <row r="12156" spans="1:9" ht="16.5">
      <c r="A12156" s="10" t="b">
        <v>0</v>
      </c>
      <c r="B12156" s="11" t="str">
        <f>IF(D12156&lt;&gt;"",IF(COUNTIF('USPTO TMs'!A:A,D12156)&gt;0,"Yes","No"),"")</f>
        <v/>
      </c>
      <c r="C12156" s="11"/>
      <c r="D12156" s="11"/>
      <c r="E12156" s="11"/>
      <c r="F12156" s="11"/>
      <c r="G12156" s="11"/>
      <c r="H12156" s="11"/>
      <c r="I12156" s="15"/>
    </row>
    <row r="12157" spans="1:9" ht="16.5">
      <c r="A12157" s="10" t="b">
        <v>0</v>
      </c>
      <c r="B12157" s="11" t="str">
        <f>IF(D12157&lt;&gt;"",IF(COUNTIF('USPTO TMs'!A:A,D12157)&gt;0,"Yes","No"),"")</f>
        <v/>
      </c>
      <c r="C12157" s="11"/>
      <c r="D12157" s="11"/>
      <c r="E12157" s="11"/>
      <c r="F12157" s="11"/>
      <c r="G12157" s="11"/>
      <c r="H12157" s="11"/>
      <c r="I12157" s="15"/>
    </row>
    <row r="12158" spans="1:9" ht="16.5">
      <c r="A12158" s="10" t="b">
        <v>0</v>
      </c>
      <c r="B12158" s="11" t="str">
        <f>IF(D12158&lt;&gt;"",IF(COUNTIF('USPTO TMs'!A:A,D12158)&gt;0,"Yes","No"),"")</f>
        <v/>
      </c>
      <c r="C12158" s="11"/>
      <c r="D12158" s="11"/>
      <c r="E12158" s="11"/>
      <c r="F12158" s="11"/>
      <c r="G12158" s="11"/>
      <c r="H12158" s="11"/>
      <c r="I12158" s="15"/>
    </row>
    <row r="12159" spans="1:9" ht="16.5">
      <c r="A12159" s="10" t="b">
        <v>0</v>
      </c>
      <c r="B12159" s="11" t="str">
        <f>IF(D12159&lt;&gt;"",IF(COUNTIF('USPTO TMs'!A:A,D12159)&gt;0,"Yes","No"),"")</f>
        <v/>
      </c>
      <c r="C12159" s="11"/>
      <c r="D12159" s="11"/>
      <c r="E12159" s="11"/>
      <c r="F12159" s="11"/>
      <c r="G12159" s="11"/>
      <c r="H12159" s="11"/>
      <c r="I12159" s="15"/>
    </row>
    <row r="12160" spans="1:9" ht="16.5">
      <c r="A12160" s="10" t="b">
        <v>0</v>
      </c>
      <c r="B12160" s="11" t="str">
        <f>IF(D12160&lt;&gt;"",IF(COUNTIF('USPTO TMs'!A:A,D12160)&gt;0,"Yes","No"),"")</f>
        <v/>
      </c>
      <c r="C12160" s="11"/>
      <c r="D12160" s="11"/>
      <c r="E12160" s="11"/>
      <c r="F12160" s="11"/>
      <c r="G12160" s="11"/>
      <c r="H12160" s="11"/>
      <c r="I12160" s="15"/>
    </row>
    <row r="12161" spans="1:9" ht="16.5">
      <c r="A12161" s="10" t="b">
        <v>0</v>
      </c>
      <c r="B12161" s="11" t="str">
        <f>IF(D12161&lt;&gt;"",IF(COUNTIF('USPTO TMs'!A:A,D12161)&gt;0,"Yes","No"),"")</f>
        <v/>
      </c>
      <c r="C12161" s="11"/>
      <c r="D12161" s="11"/>
      <c r="E12161" s="11"/>
      <c r="F12161" s="11"/>
      <c r="G12161" s="11"/>
      <c r="H12161" s="11"/>
      <c r="I12161" s="15"/>
    </row>
    <row r="12162" spans="1:9" ht="16.5">
      <c r="A12162" s="10" t="b">
        <v>0</v>
      </c>
      <c r="B12162" s="11" t="str">
        <f>IF(D12162&lt;&gt;"",IF(COUNTIF('USPTO TMs'!A:A,D12162)&gt;0,"Yes","No"),"")</f>
        <v/>
      </c>
      <c r="C12162" s="11"/>
      <c r="D12162" s="11"/>
      <c r="E12162" s="11"/>
      <c r="F12162" s="11"/>
      <c r="G12162" s="11"/>
      <c r="H12162" s="11"/>
      <c r="I12162" s="15"/>
    </row>
    <row r="12163" spans="1:9" ht="16.5">
      <c r="A12163" s="10" t="b">
        <v>0</v>
      </c>
      <c r="B12163" s="11" t="str">
        <f>IF(D12163&lt;&gt;"",IF(COUNTIF('USPTO TMs'!A:A,D12163)&gt;0,"Yes","No"),"")</f>
        <v/>
      </c>
      <c r="C12163" s="11"/>
      <c r="D12163" s="11"/>
      <c r="E12163" s="11"/>
      <c r="F12163" s="11"/>
      <c r="G12163" s="11"/>
      <c r="H12163" s="11"/>
      <c r="I12163" s="15"/>
    </row>
    <row r="12164" spans="1:9" ht="16.5">
      <c r="A12164" s="10" t="b">
        <v>0</v>
      </c>
      <c r="B12164" s="11" t="str">
        <f>IF(D12164&lt;&gt;"",IF(COUNTIF('USPTO TMs'!A:A,D12164)&gt;0,"Yes","No"),"")</f>
        <v/>
      </c>
      <c r="C12164" s="11"/>
      <c r="D12164" s="11"/>
      <c r="E12164" s="11"/>
      <c r="F12164" s="11"/>
      <c r="G12164" s="11"/>
      <c r="H12164" s="11"/>
      <c r="I12164" s="15"/>
    </row>
    <row r="12165" spans="1:9" ht="16.5">
      <c r="A12165" s="10" t="b">
        <v>0</v>
      </c>
      <c r="B12165" s="11" t="str">
        <f>IF(D12165&lt;&gt;"",IF(COUNTIF('USPTO TMs'!A:A,D12165)&gt;0,"Yes","No"),"")</f>
        <v/>
      </c>
      <c r="C12165" s="11"/>
      <c r="D12165" s="11"/>
      <c r="E12165" s="11"/>
      <c r="F12165" s="11"/>
      <c r="G12165" s="11"/>
      <c r="H12165" s="11"/>
      <c r="I12165" s="15"/>
    </row>
    <row r="12166" spans="1:9" ht="16.5">
      <c r="A12166" s="10" t="b">
        <v>0</v>
      </c>
      <c r="B12166" s="11" t="str">
        <f>IF(D12166&lt;&gt;"",IF(COUNTIF('USPTO TMs'!A:A,D12166)&gt;0,"Yes","No"),"")</f>
        <v/>
      </c>
      <c r="C12166" s="11"/>
      <c r="D12166" s="11"/>
      <c r="E12166" s="11"/>
      <c r="F12166" s="11"/>
      <c r="G12166" s="11"/>
      <c r="H12166" s="11"/>
      <c r="I12166" s="15"/>
    </row>
    <row r="12167" spans="1:9" ht="16.5">
      <c r="A12167" s="10" t="b">
        <v>0</v>
      </c>
      <c r="B12167" s="11" t="str">
        <f>IF(D12167&lt;&gt;"",IF(COUNTIF('USPTO TMs'!A:A,D12167)&gt;0,"Yes","No"),"")</f>
        <v/>
      </c>
      <c r="C12167" s="11"/>
      <c r="D12167" s="11"/>
      <c r="E12167" s="11"/>
      <c r="F12167" s="11"/>
      <c r="G12167" s="11"/>
      <c r="H12167" s="11"/>
      <c r="I12167" s="15"/>
    </row>
    <row r="12168" spans="1:9" ht="16.5">
      <c r="A12168" s="10" t="b">
        <v>0</v>
      </c>
      <c r="B12168" s="11" t="str">
        <f>IF(D12168&lt;&gt;"",IF(COUNTIF('USPTO TMs'!A:A,D12168)&gt;0,"Yes","No"),"")</f>
        <v/>
      </c>
      <c r="C12168" s="11"/>
      <c r="D12168" s="11"/>
      <c r="E12168" s="11"/>
      <c r="F12168" s="11"/>
      <c r="G12168" s="11"/>
      <c r="H12168" s="11"/>
      <c r="I12168" s="15"/>
    </row>
    <row r="12169" spans="1:9" ht="16.5">
      <c r="A12169" s="10" t="b">
        <v>0</v>
      </c>
      <c r="B12169" s="11" t="str">
        <f>IF(D12169&lt;&gt;"",IF(COUNTIF('USPTO TMs'!A:A,D12169)&gt;0,"Yes","No"),"")</f>
        <v/>
      </c>
      <c r="C12169" s="11"/>
      <c r="D12169" s="11"/>
      <c r="E12169" s="11"/>
      <c r="F12169" s="11"/>
      <c r="G12169" s="11"/>
      <c r="H12169" s="11"/>
      <c r="I12169" s="15"/>
    </row>
    <row r="12170" spans="1:9" ht="16.5">
      <c r="A12170" s="10" t="b">
        <v>0</v>
      </c>
      <c r="B12170" s="11" t="str">
        <f>IF(D12170&lt;&gt;"",IF(COUNTIF('USPTO TMs'!A:A,D12170)&gt;0,"Yes","No"),"")</f>
        <v/>
      </c>
      <c r="C12170" s="11"/>
      <c r="D12170" s="11"/>
      <c r="E12170" s="11"/>
      <c r="F12170" s="11"/>
      <c r="G12170" s="11"/>
      <c r="H12170" s="11"/>
      <c r="I12170" s="15"/>
    </row>
    <row r="12171" spans="1:9" ht="16.5">
      <c r="A12171" s="10" t="b">
        <v>0</v>
      </c>
      <c r="B12171" s="11" t="str">
        <f>IF(D12171&lt;&gt;"",IF(COUNTIF('USPTO TMs'!A:A,D12171)&gt;0,"Yes","No"),"")</f>
        <v/>
      </c>
      <c r="C12171" s="11"/>
      <c r="D12171" s="11"/>
      <c r="E12171" s="11"/>
      <c r="F12171" s="11"/>
      <c r="G12171" s="11"/>
      <c r="H12171" s="11"/>
      <c r="I12171" s="15"/>
    </row>
    <row r="12172" spans="1:9" ht="16.5">
      <c r="A12172" s="10" t="b">
        <v>0</v>
      </c>
      <c r="B12172" s="11" t="str">
        <f>IF(D12172&lt;&gt;"",IF(COUNTIF('USPTO TMs'!A:A,D12172)&gt;0,"Yes","No"),"")</f>
        <v/>
      </c>
      <c r="C12172" s="11"/>
      <c r="D12172" s="11"/>
      <c r="E12172" s="11"/>
      <c r="F12172" s="11"/>
      <c r="G12172" s="11"/>
      <c r="H12172" s="11"/>
      <c r="I12172" s="15"/>
    </row>
    <row r="12173" spans="1:9" ht="16.5">
      <c r="A12173" s="10" t="b">
        <v>0</v>
      </c>
      <c r="B12173" s="11" t="str">
        <f>IF(D12173&lt;&gt;"",IF(COUNTIF('USPTO TMs'!A:A,D12173)&gt;0,"Yes","No"),"")</f>
        <v/>
      </c>
      <c r="C12173" s="11"/>
      <c r="D12173" s="11"/>
      <c r="E12173" s="11"/>
      <c r="F12173" s="11"/>
      <c r="G12173" s="11"/>
      <c r="H12173" s="11"/>
      <c r="I12173" s="15"/>
    </row>
    <row r="12174" spans="1:9" ht="16.5">
      <c r="A12174" s="10" t="b">
        <v>0</v>
      </c>
      <c r="B12174" s="11" t="str">
        <f>IF(D12174&lt;&gt;"",IF(COUNTIF('USPTO TMs'!A:A,D12174)&gt;0,"Yes","No"),"")</f>
        <v/>
      </c>
      <c r="C12174" s="11"/>
      <c r="D12174" s="11"/>
      <c r="E12174" s="11"/>
      <c r="F12174" s="11"/>
      <c r="G12174" s="11"/>
      <c r="H12174" s="11"/>
      <c r="I12174" s="15"/>
    </row>
    <row r="12175" spans="1:9" ht="16.5">
      <c r="A12175" s="10" t="b">
        <v>0</v>
      </c>
      <c r="B12175" s="11" t="str">
        <f>IF(D12175&lt;&gt;"",IF(COUNTIF('USPTO TMs'!A:A,D12175)&gt;0,"Yes","No"),"")</f>
        <v/>
      </c>
      <c r="C12175" s="11"/>
      <c r="D12175" s="11"/>
      <c r="E12175" s="11"/>
      <c r="F12175" s="11"/>
      <c r="G12175" s="11"/>
      <c r="H12175" s="11"/>
      <c r="I12175" s="15"/>
    </row>
    <row r="12176" spans="1:9" ht="16.5">
      <c r="A12176" s="10" t="b">
        <v>0</v>
      </c>
      <c r="B12176" s="11" t="str">
        <f>IF(D12176&lt;&gt;"",IF(COUNTIF('USPTO TMs'!A:A,D12176)&gt;0,"Yes","No"),"")</f>
        <v/>
      </c>
      <c r="C12176" s="11"/>
      <c r="D12176" s="11"/>
      <c r="E12176" s="11"/>
      <c r="F12176" s="11"/>
      <c r="G12176" s="11"/>
      <c r="H12176" s="11"/>
      <c r="I12176" s="15"/>
    </row>
    <row r="12177" spans="1:9" ht="16.5">
      <c r="A12177" s="10" t="b">
        <v>0</v>
      </c>
      <c r="B12177" s="11" t="str">
        <f>IF(D12177&lt;&gt;"",IF(COUNTIF('USPTO TMs'!A:A,D12177)&gt;0,"Yes","No"),"")</f>
        <v/>
      </c>
      <c r="C12177" s="11"/>
      <c r="D12177" s="11"/>
      <c r="E12177" s="11"/>
      <c r="F12177" s="11"/>
      <c r="G12177" s="11"/>
      <c r="H12177" s="11"/>
      <c r="I12177" s="15"/>
    </row>
    <row r="12178" spans="1:9" ht="16.5">
      <c r="A12178" s="10" t="b">
        <v>0</v>
      </c>
      <c r="B12178" s="11" t="str">
        <f>IF(D12178&lt;&gt;"",IF(COUNTIF('USPTO TMs'!A:A,D12178)&gt;0,"Yes","No"),"")</f>
        <v/>
      </c>
      <c r="C12178" s="11"/>
      <c r="D12178" s="11"/>
      <c r="E12178" s="11"/>
      <c r="F12178" s="11"/>
      <c r="G12178" s="11"/>
      <c r="H12178" s="11"/>
      <c r="I12178" s="15"/>
    </row>
    <row r="12179" spans="1:9" ht="16.5">
      <c r="A12179" s="10" t="b">
        <v>0</v>
      </c>
      <c r="B12179" s="11" t="str">
        <f>IF(D12179&lt;&gt;"",IF(COUNTIF('USPTO TMs'!A:A,D12179)&gt;0,"Yes","No"),"")</f>
        <v/>
      </c>
      <c r="C12179" s="11"/>
      <c r="D12179" s="11"/>
      <c r="E12179" s="11"/>
      <c r="F12179" s="11"/>
      <c r="G12179" s="11"/>
      <c r="H12179" s="11"/>
      <c r="I12179" s="15"/>
    </row>
    <row r="12180" spans="1:9" ht="16.5">
      <c r="A12180" s="10" t="b">
        <v>0</v>
      </c>
      <c r="B12180" s="11" t="str">
        <f>IF(D12180&lt;&gt;"",IF(COUNTIF('USPTO TMs'!A:A,D12180)&gt;0,"Yes","No"),"")</f>
        <v/>
      </c>
      <c r="C12180" s="11"/>
      <c r="D12180" s="11"/>
      <c r="E12180" s="11"/>
      <c r="F12180" s="11"/>
      <c r="G12180" s="11"/>
      <c r="H12180" s="11"/>
      <c r="I12180" s="15"/>
    </row>
    <row r="12181" spans="1:9" ht="16.5">
      <c r="A12181" s="10" t="b">
        <v>0</v>
      </c>
      <c r="B12181" s="11" t="str">
        <f>IF(D12181&lt;&gt;"",IF(COUNTIF('USPTO TMs'!A:A,D12181)&gt;0,"Yes","No"),"")</f>
        <v/>
      </c>
      <c r="C12181" s="11"/>
      <c r="D12181" s="11"/>
      <c r="E12181" s="11"/>
      <c r="F12181" s="11"/>
      <c r="G12181" s="11"/>
      <c r="H12181" s="11"/>
      <c r="I12181" s="15"/>
    </row>
    <row r="12182" spans="1:9" ht="16.5">
      <c r="A12182" s="10" t="b">
        <v>0</v>
      </c>
      <c r="B12182" s="11" t="str">
        <f>IF(D12182&lt;&gt;"",IF(COUNTIF('USPTO TMs'!A:A,D12182)&gt;0,"Yes","No"),"")</f>
        <v/>
      </c>
      <c r="C12182" s="11"/>
      <c r="D12182" s="11"/>
      <c r="E12182" s="11"/>
      <c r="F12182" s="11"/>
      <c r="G12182" s="11"/>
      <c r="H12182" s="11"/>
      <c r="I12182" s="15"/>
    </row>
    <row r="12183" spans="1:9" ht="16.5">
      <c r="A12183" s="10" t="b">
        <v>0</v>
      </c>
      <c r="B12183" s="11" t="str">
        <f>IF(D12183&lt;&gt;"",IF(COUNTIF('USPTO TMs'!A:A,D12183)&gt;0,"Yes","No"),"")</f>
        <v/>
      </c>
      <c r="C12183" s="11"/>
      <c r="D12183" s="11"/>
      <c r="E12183" s="11"/>
      <c r="F12183" s="11"/>
      <c r="G12183" s="11"/>
      <c r="H12183" s="11"/>
      <c r="I12183" s="15"/>
    </row>
    <row r="12184" spans="1:9" ht="16.5">
      <c r="A12184" s="10" t="b">
        <v>0</v>
      </c>
      <c r="B12184" s="11" t="str">
        <f>IF(D12184&lt;&gt;"",IF(COUNTIF('USPTO TMs'!A:A,D12184)&gt;0,"Yes","No"),"")</f>
        <v/>
      </c>
      <c r="C12184" s="11"/>
      <c r="D12184" s="11"/>
      <c r="E12184" s="11"/>
      <c r="F12184" s="11"/>
      <c r="G12184" s="11"/>
      <c r="H12184" s="11"/>
      <c r="I12184" s="15"/>
    </row>
    <row r="12185" spans="1:9" ht="16.5">
      <c r="A12185" s="10" t="b">
        <v>0</v>
      </c>
      <c r="B12185" s="11" t="str">
        <f>IF(D12185&lt;&gt;"",IF(COUNTIF('USPTO TMs'!A:A,D12185)&gt;0,"Yes","No"),"")</f>
        <v/>
      </c>
      <c r="C12185" s="11"/>
      <c r="D12185" s="11"/>
      <c r="E12185" s="11"/>
      <c r="F12185" s="11"/>
      <c r="G12185" s="11"/>
      <c r="H12185" s="11"/>
      <c r="I12185" s="15"/>
    </row>
    <row r="12186" spans="1:9" ht="16.5">
      <c r="A12186" s="10" t="b">
        <v>0</v>
      </c>
      <c r="B12186" s="11" t="str">
        <f>IF(D12186&lt;&gt;"",IF(COUNTIF('USPTO TMs'!A:A,D12186)&gt;0,"Yes","No"),"")</f>
        <v/>
      </c>
      <c r="C12186" s="11"/>
      <c r="D12186" s="11"/>
      <c r="E12186" s="11"/>
      <c r="F12186" s="11"/>
      <c r="G12186" s="11"/>
      <c r="H12186" s="11"/>
      <c r="I12186" s="15"/>
    </row>
    <row r="12187" spans="1:9" ht="16.5">
      <c r="A12187" s="10" t="b">
        <v>0</v>
      </c>
      <c r="B12187" s="11" t="str">
        <f>IF(D12187&lt;&gt;"",IF(COUNTIF('USPTO TMs'!A:A,D12187)&gt;0,"Yes","No"),"")</f>
        <v/>
      </c>
      <c r="C12187" s="11"/>
      <c r="D12187" s="11"/>
      <c r="E12187" s="11"/>
      <c r="F12187" s="11"/>
      <c r="G12187" s="11"/>
      <c r="H12187" s="11"/>
      <c r="I12187" s="15"/>
    </row>
    <row r="12188" spans="1:9" ht="16.5">
      <c r="A12188" s="10" t="b">
        <v>0</v>
      </c>
      <c r="B12188" s="11" t="str">
        <f>IF(D12188&lt;&gt;"",IF(COUNTIF('USPTO TMs'!A:A,D12188)&gt;0,"Yes","No"),"")</f>
        <v/>
      </c>
      <c r="C12188" s="11"/>
      <c r="D12188" s="11"/>
      <c r="E12188" s="11"/>
      <c r="F12188" s="11"/>
      <c r="G12188" s="11"/>
      <c r="H12188" s="11"/>
      <c r="I12188" s="15"/>
    </row>
    <row r="12189" spans="1:9" ht="16.5">
      <c r="A12189" s="10" t="b">
        <v>0</v>
      </c>
      <c r="B12189" s="11" t="str">
        <f>IF(D12189&lt;&gt;"",IF(COUNTIF('USPTO TMs'!A:A,D12189)&gt;0,"Yes","No"),"")</f>
        <v/>
      </c>
      <c r="C12189" s="11"/>
      <c r="D12189" s="11"/>
      <c r="E12189" s="11"/>
      <c r="F12189" s="11"/>
      <c r="G12189" s="11"/>
      <c r="H12189" s="11"/>
      <c r="I12189" s="15"/>
    </row>
    <row r="12190" spans="1:9" ht="16.5">
      <c r="A12190" s="10" t="b">
        <v>0</v>
      </c>
      <c r="B12190" s="11" t="str">
        <f>IF(D12190&lt;&gt;"",IF(COUNTIF('USPTO TMs'!A:A,D12190)&gt;0,"Yes","No"),"")</f>
        <v/>
      </c>
      <c r="C12190" s="11"/>
      <c r="D12190" s="11"/>
      <c r="E12190" s="11"/>
      <c r="F12190" s="11"/>
      <c r="G12190" s="11"/>
      <c r="H12190" s="11"/>
      <c r="I12190" s="15"/>
    </row>
    <row r="12191" spans="1:9" ht="16.5">
      <c r="A12191" s="10" t="b">
        <v>0</v>
      </c>
      <c r="B12191" s="11" t="str">
        <f>IF(D12191&lt;&gt;"",IF(COUNTIF('USPTO TMs'!A:A,D12191)&gt;0,"Yes","No"),"")</f>
        <v/>
      </c>
      <c r="C12191" s="11"/>
      <c r="D12191" s="11"/>
      <c r="E12191" s="11"/>
      <c r="F12191" s="11"/>
      <c r="G12191" s="11"/>
      <c r="H12191" s="11"/>
      <c r="I12191" s="15"/>
    </row>
    <row r="12192" spans="1:9" ht="16.5">
      <c r="A12192" s="10" t="b">
        <v>0</v>
      </c>
      <c r="B12192" s="11" t="str">
        <f>IF(D12192&lt;&gt;"",IF(COUNTIF('USPTO TMs'!A:A,D12192)&gt;0,"Yes","No"),"")</f>
        <v/>
      </c>
      <c r="C12192" s="11"/>
      <c r="D12192" s="11"/>
      <c r="E12192" s="11"/>
      <c r="F12192" s="11"/>
      <c r="G12192" s="11"/>
      <c r="H12192" s="11"/>
      <c r="I12192" s="15"/>
    </row>
    <row r="12193" spans="1:9" ht="16.5">
      <c r="A12193" s="10" t="b">
        <v>0</v>
      </c>
      <c r="B12193" s="11" t="str">
        <f>IF(D12193&lt;&gt;"",IF(COUNTIF('USPTO TMs'!A:A,D12193)&gt;0,"Yes","No"),"")</f>
        <v/>
      </c>
      <c r="C12193" s="11"/>
      <c r="D12193" s="11"/>
      <c r="E12193" s="11"/>
      <c r="F12193" s="11"/>
      <c r="G12193" s="11"/>
      <c r="H12193" s="11"/>
      <c r="I12193" s="15"/>
    </row>
    <row r="12194" spans="1:9" ht="16.5">
      <c r="A12194" s="10" t="b">
        <v>0</v>
      </c>
      <c r="B12194" s="11" t="str">
        <f>IF(D12194&lt;&gt;"",IF(COUNTIF('USPTO TMs'!A:A,D12194)&gt;0,"Yes","No"),"")</f>
        <v/>
      </c>
      <c r="C12194" s="11"/>
      <c r="D12194" s="11"/>
      <c r="E12194" s="11"/>
      <c r="F12194" s="11"/>
      <c r="G12194" s="11"/>
      <c r="H12194" s="11"/>
      <c r="I12194" s="15"/>
    </row>
    <row r="12195" spans="1:9" ht="16.5">
      <c r="A12195" s="10" t="b">
        <v>0</v>
      </c>
      <c r="B12195" s="11" t="str">
        <f>IF(D12195&lt;&gt;"",IF(COUNTIF('USPTO TMs'!A:A,D12195)&gt;0,"Yes","No"),"")</f>
        <v/>
      </c>
      <c r="C12195" s="11"/>
      <c r="D12195" s="11"/>
      <c r="E12195" s="11"/>
      <c r="F12195" s="11"/>
      <c r="G12195" s="11"/>
      <c r="H12195" s="11"/>
      <c r="I12195" s="15"/>
    </row>
    <row r="12196" spans="1:9" ht="16.5">
      <c r="A12196" s="10" t="b">
        <v>0</v>
      </c>
      <c r="B12196" s="11" t="str">
        <f>IF(D12196&lt;&gt;"",IF(COUNTIF('USPTO TMs'!A:A,D12196)&gt;0,"Yes","No"),"")</f>
        <v/>
      </c>
      <c r="C12196" s="11"/>
      <c r="D12196" s="11"/>
      <c r="E12196" s="11"/>
      <c r="F12196" s="11"/>
      <c r="G12196" s="11"/>
      <c r="H12196" s="11"/>
      <c r="I12196" s="15"/>
    </row>
    <row r="12197" spans="1:9" ht="16.5">
      <c r="A12197" s="10" t="b">
        <v>0</v>
      </c>
      <c r="B12197" s="11" t="str">
        <f>IF(D12197&lt;&gt;"",IF(COUNTIF('USPTO TMs'!A:A,D12197)&gt;0,"Yes","No"),"")</f>
        <v/>
      </c>
      <c r="C12197" s="11"/>
      <c r="D12197" s="11"/>
      <c r="E12197" s="11"/>
      <c r="F12197" s="11"/>
      <c r="G12197" s="11"/>
      <c r="H12197" s="11"/>
      <c r="I12197" s="15"/>
    </row>
    <row r="12198" spans="1:9" ht="16.5">
      <c r="A12198" s="10" t="b">
        <v>0</v>
      </c>
      <c r="B12198" s="11" t="str">
        <f>IF(D12198&lt;&gt;"",IF(COUNTIF('USPTO TMs'!A:A,D12198)&gt;0,"Yes","No"),"")</f>
        <v/>
      </c>
      <c r="C12198" s="11"/>
      <c r="D12198" s="11"/>
      <c r="E12198" s="11"/>
      <c r="F12198" s="11"/>
      <c r="G12198" s="11"/>
      <c r="H12198" s="11"/>
      <c r="I12198" s="15"/>
    </row>
    <row r="12199" spans="1:9" ht="16.5">
      <c r="A12199" s="10" t="b">
        <v>0</v>
      </c>
      <c r="B12199" s="11" t="str">
        <f>IF(D12199&lt;&gt;"",IF(COUNTIF('USPTO TMs'!A:A,D12199)&gt;0,"Yes","No"),"")</f>
        <v/>
      </c>
      <c r="C12199" s="11"/>
      <c r="D12199" s="11"/>
      <c r="E12199" s="11"/>
      <c r="F12199" s="11"/>
      <c r="G12199" s="11"/>
      <c r="H12199" s="11"/>
      <c r="I12199" s="15"/>
    </row>
    <row r="12200" spans="1:9" ht="16.5">
      <c r="A12200" s="10" t="b">
        <v>0</v>
      </c>
      <c r="B12200" s="11" t="str">
        <f>IF(D12200&lt;&gt;"",IF(COUNTIF('USPTO TMs'!A:A,D12200)&gt;0,"Yes","No"),"")</f>
        <v/>
      </c>
      <c r="C12200" s="11"/>
      <c r="D12200" s="11"/>
      <c r="E12200" s="11"/>
      <c r="F12200" s="11"/>
      <c r="G12200" s="11"/>
      <c r="H12200" s="11"/>
      <c r="I12200" s="15"/>
    </row>
    <row r="12201" spans="1:9" ht="16.5">
      <c r="A12201" s="10" t="b">
        <v>0</v>
      </c>
      <c r="B12201" s="11" t="str">
        <f>IF(D12201&lt;&gt;"",IF(COUNTIF('USPTO TMs'!A:A,D12201)&gt;0,"Yes","No"),"")</f>
        <v/>
      </c>
      <c r="C12201" s="11"/>
      <c r="D12201" s="11"/>
      <c r="E12201" s="11"/>
      <c r="F12201" s="11"/>
      <c r="G12201" s="11"/>
      <c r="H12201" s="11"/>
      <c r="I12201" s="15"/>
    </row>
    <row r="12202" spans="1:9" ht="16.5">
      <c r="A12202" s="10" t="b">
        <v>0</v>
      </c>
      <c r="B12202" s="11" t="str">
        <f>IF(D12202&lt;&gt;"",IF(COUNTIF('USPTO TMs'!A:A,D12202)&gt;0,"Yes","No"),"")</f>
        <v/>
      </c>
      <c r="C12202" s="11"/>
      <c r="D12202" s="11"/>
      <c r="E12202" s="11"/>
      <c r="F12202" s="11"/>
      <c r="G12202" s="11"/>
      <c r="H12202" s="11"/>
      <c r="I12202" s="15"/>
    </row>
    <row r="12203" spans="1:9" ht="16.5">
      <c r="A12203" s="10" t="b">
        <v>0</v>
      </c>
      <c r="B12203" s="11" t="str">
        <f>IF(D12203&lt;&gt;"",IF(COUNTIF('USPTO TMs'!A:A,D12203)&gt;0,"Yes","No"),"")</f>
        <v/>
      </c>
      <c r="C12203" s="11"/>
      <c r="D12203" s="11"/>
      <c r="E12203" s="11"/>
      <c r="F12203" s="11"/>
      <c r="G12203" s="11"/>
      <c r="H12203" s="11"/>
      <c r="I12203" s="15"/>
    </row>
    <row r="12204" spans="1:9" ht="16.5">
      <c r="A12204" s="10" t="b">
        <v>0</v>
      </c>
      <c r="B12204" s="11" t="str">
        <f>IF(D12204&lt;&gt;"",IF(COUNTIF('USPTO TMs'!A:A,D12204)&gt;0,"Yes","No"),"")</f>
        <v/>
      </c>
      <c r="C12204" s="11"/>
      <c r="D12204" s="11"/>
      <c r="E12204" s="11"/>
      <c r="F12204" s="11"/>
      <c r="G12204" s="11"/>
      <c r="H12204" s="11"/>
      <c r="I12204" s="15"/>
    </row>
    <row r="12205" spans="1:9" ht="16.5">
      <c r="A12205" s="10" t="b">
        <v>0</v>
      </c>
      <c r="B12205" s="11" t="str">
        <f>IF(D12205&lt;&gt;"",IF(COUNTIF('USPTO TMs'!A:A,D12205)&gt;0,"Yes","No"),"")</f>
        <v/>
      </c>
      <c r="C12205" s="11"/>
      <c r="D12205" s="11"/>
      <c r="E12205" s="11"/>
      <c r="F12205" s="11"/>
      <c r="G12205" s="11"/>
      <c r="H12205" s="11"/>
      <c r="I12205" s="15"/>
    </row>
    <row r="12206" spans="1:9" ht="16.5">
      <c r="A12206" s="10" t="b">
        <v>0</v>
      </c>
      <c r="B12206" s="11" t="str">
        <f>IF(D12206&lt;&gt;"",IF(COUNTIF('USPTO TMs'!A:A,D12206)&gt;0,"Yes","No"),"")</f>
        <v/>
      </c>
      <c r="C12206" s="11"/>
      <c r="D12206" s="11"/>
      <c r="E12206" s="11"/>
      <c r="F12206" s="11"/>
      <c r="G12206" s="11"/>
      <c r="H12206" s="11"/>
      <c r="I12206" s="15"/>
    </row>
    <row r="12207" spans="1:9" ht="16.5">
      <c r="A12207" s="10" t="b">
        <v>0</v>
      </c>
      <c r="B12207" s="11" t="str">
        <f>IF(D12207&lt;&gt;"",IF(COUNTIF('USPTO TMs'!A:A,D12207)&gt;0,"Yes","No"),"")</f>
        <v/>
      </c>
      <c r="C12207" s="11"/>
      <c r="D12207" s="11"/>
      <c r="E12207" s="11"/>
      <c r="F12207" s="11"/>
      <c r="G12207" s="11"/>
      <c r="H12207" s="11"/>
      <c r="I12207" s="15"/>
    </row>
    <row r="12208" spans="1:9" ht="16.5">
      <c r="A12208" s="10" t="b">
        <v>0</v>
      </c>
      <c r="B12208" s="11" t="str">
        <f>IF(D12208&lt;&gt;"",IF(COUNTIF('USPTO TMs'!A:A,D12208)&gt;0,"Yes","No"),"")</f>
        <v/>
      </c>
      <c r="C12208" s="11"/>
      <c r="D12208" s="11"/>
      <c r="E12208" s="11"/>
      <c r="F12208" s="11"/>
      <c r="G12208" s="11"/>
      <c r="H12208" s="11"/>
      <c r="I12208" s="15"/>
    </row>
    <row r="12209" spans="1:9" ht="16.5">
      <c r="A12209" s="10" t="b">
        <v>0</v>
      </c>
      <c r="B12209" s="11" t="str">
        <f>IF(D12209&lt;&gt;"",IF(COUNTIF('USPTO TMs'!A:A,D12209)&gt;0,"Yes","No"),"")</f>
        <v/>
      </c>
      <c r="C12209" s="11"/>
      <c r="D12209" s="11"/>
      <c r="E12209" s="11"/>
      <c r="F12209" s="11"/>
      <c r="G12209" s="11"/>
      <c r="H12209" s="11"/>
      <c r="I12209" s="15"/>
    </row>
    <row r="12210" spans="1:9" ht="16.5">
      <c r="A12210" s="10" t="b">
        <v>0</v>
      </c>
      <c r="B12210" s="11" t="str">
        <f>IF(D12210&lt;&gt;"",IF(COUNTIF('USPTO TMs'!A:A,D12210)&gt;0,"Yes","No"),"")</f>
        <v/>
      </c>
      <c r="C12210" s="11"/>
      <c r="D12210" s="11"/>
      <c r="E12210" s="11"/>
      <c r="F12210" s="11"/>
      <c r="G12210" s="11"/>
      <c r="H12210" s="11"/>
      <c r="I12210" s="15"/>
    </row>
    <row r="12211" spans="1:9" ht="16.5">
      <c r="A12211" s="10" t="b">
        <v>0</v>
      </c>
      <c r="B12211" s="11" t="str">
        <f>IF(D12211&lt;&gt;"",IF(COUNTIF('USPTO TMs'!A:A,D12211)&gt;0,"Yes","No"),"")</f>
        <v/>
      </c>
      <c r="C12211" s="11"/>
      <c r="D12211" s="11"/>
      <c r="E12211" s="11"/>
      <c r="F12211" s="11"/>
      <c r="G12211" s="11"/>
      <c r="H12211" s="11"/>
      <c r="I12211" s="15"/>
    </row>
    <row r="12212" spans="1:9" ht="16.5">
      <c r="A12212" s="10" t="b">
        <v>0</v>
      </c>
      <c r="B12212" s="11" t="str">
        <f>IF(D12212&lt;&gt;"",IF(COUNTIF('USPTO TMs'!A:A,D12212)&gt;0,"Yes","No"),"")</f>
        <v/>
      </c>
      <c r="C12212" s="11"/>
      <c r="D12212" s="11"/>
      <c r="E12212" s="11"/>
      <c r="F12212" s="11"/>
      <c r="G12212" s="11"/>
      <c r="H12212" s="11"/>
      <c r="I12212" s="15"/>
    </row>
    <row r="12213" spans="1:9" ht="16.5">
      <c r="A12213" s="10" t="b">
        <v>0</v>
      </c>
      <c r="B12213" s="11" t="str">
        <f>IF(D12213&lt;&gt;"",IF(COUNTIF('USPTO TMs'!A:A,D12213)&gt;0,"Yes","No"),"")</f>
        <v/>
      </c>
      <c r="C12213" s="11"/>
      <c r="D12213" s="11"/>
      <c r="E12213" s="11"/>
      <c r="F12213" s="11"/>
      <c r="G12213" s="11"/>
      <c r="H12213" s="11"/>
      <c r="I12213" s="15"/>
    </row>
    <row r="12214" spans="1:9" ht="16.5">
      <c r="A12214" s="10" t="b">
        <v>0</v>
      </c>
      <c r="B12214" s="11" t="str">
        <f>IF(D12214&lt;&gt;"",IF(COUNTIF('USPTO TMs'!A:A,D12214)&gt;0,"Yes","No"),"")</f>
        <v/>
      </c>
      <c r="C12214" s="11"/>
      <c r="D12214" s="11"/>
      <c r="E12214" s="11"/>
      <c r="F12214" s="11"/>
      <c r="G12214" s="11"/>
      <c r="H12214" s="11"/>
      <c r="I12214" s="15"/>
    </row>
    <row r="12215" spans="1:9" ht="16.5">
      <c r="A12215" s="10" t="b">
        <v>0</v>
      </c>
      <c r="B12215" s="11" t="str">
        <f>IF(D12215&lt;&gt;"",IF(COUNTIF('USPTO TMs'!A:A,D12215)&gt;0,"Yes","No"),"")</f>
        <v/>
      </c>
      <c r="C12215" s="11"/>
      <c r="D12215" s="11"/>
      <c r="E12215" s="11"/>
      <c r="F12215" s="11"/>
      <c r="G12215" s="11"/>
      <c r="H12215" s="11"/>
      <c r="I12215" s="15"/>
    </row>
    <row r="12216" spans="1:9" ht="16.5">
      <c r="A12216" s="10" t="b">
        <v>0</v>
      </c>
      <c r="B12216" s="11" t="str">
        <f>IF(D12216&lt;&gt;"",IF(COUNTIF('USPTO TMs'!A:A,D12216)&gt;0,"Yes","No"),"")</f>
        <v/>
      </c>
      <c r="C12216" s="11"/>
      <c r="D12216" s="11"/>
      <c r="E12216" s="11"/>
      <c r="F12216" s="11"/>
      <c r="G12216" s="11"/>
      <c r="H12216" s="11"/>
      <c r="I12216" s="15"/>
    </row>
    <row r="12217" spans="1:9" ht="16.5">
      <c r="A12217" s="10" t="b">
        <v>0</v>
      </c>
      <c r="B12217" s="11" t="str">
        <f>IF(D12217&lt;&gt;"",IF(COUNTIF('USPTO TMs'!A:A,D12217)&gt;0,"Yes","No"),"")</f>
        <v/>
      </c>
      <c r="C12217" s="11"/>
      <c r="D12217" s="11"/>
      <c r="E12217" s="11"/>
      <c r="F12217" s="11"/>
      <c r="G12217" s="11"/>
      <c r="H12217" s="11"/>
      <c r="I12217" s="15"/>
    </row>
    <row r="12218" spans="1:9" ht="16.5">
      <c r="A12218" s="10" t="b">
        <v>0</v>
      </c>
      <c r="B12218" s="11" t="str">
        <f>IF(D12218&lt;&gt;"",IF(COUNTIF('USPTO TMs'!A:A,D12218)&gt;0,"Yes","No"),"")</f>
        <v/>
      </c>
      <c r="C12218" s="11"/>
      <c r="D12218" s="11"/>
      <c r="E12218" s="11"/>
      <c r="F12218" s="11"/>
      <c r="G12218" s="11"/>
      <c r="H12218" s="11"/>
      <c r="I12218" s="15"/>
    </row>
    <row r="12219" spans="1:9" ht="16.5">
      <c r="A12219" s="10" t="b">
        <v>0</v>
      </c>
      <c r="B12219" s="11" t="str">
        <f>IF(D12219&lt;&gt;"",IF(COUNTIF('USPTO TMs'!A:A,D12219)&gt;0,"Yes","No"),"")</f>
        <v/>
      </c>
      <c r="C12219" s="11"/>
      <c r="D12219" s="11"/>
      <c r="E12219" s="11"/>
      <c r="F12219" s="11"/>
      <c r="G12219" s="11"/>
      <c r="H12219" s="11"/>
      <c r="I12219" s="15"/>
    </row>
    <row r="12220" spans="1:9" ht="16.5">
      <c r="A12220" s="10" t="b">
        <v>0</v>
      </c>
      <c r="B12220" s="11" t="str">
        <f>IF(D12220&lt;&gt;"",IF(COUNTIF('USPTO TMs'!A:A,D12220)&gt;0,"Yes","No"),"")</f>
        <v/>
      </c>
      <c r="C12220" s="11"/>
      <c r="D12220" s="11"/>
      <c r="E12220" s="11"/>
      <c r="F12220" s="11"/>
      <c r="G12220" s="11"/>
      <c r="H12220" s="11"/>
      <c r="I12220" s="15"/>
    </row>
    <row r="12221" spans="1:9" ht="16.5">
      <c r="A12221" s="10" t="b">
        <v>0</v>
      </c>
      <c r="B12221" s="11" t="str">
        <f>IF(D12221&lt;&gt;"",IF(COUNTIF('USPTO TMs'!A:A,D12221)&gt;0,"Yes","No"),"")</f>
        <v/>
      </c>
      <c r="C12221" s="11"/>
      <c r="D12221" s="11"/>
      <c r="E12221" s="11"/>
      <c r="F12221" s="11"/>
      <c r="G12221" s="11"/>
      <c r="H12221" s="11"/>
      <c r="I12221" s="15"/>
    </row>
    <row r="12222" spans="1:9" ht="16.5">
      <c r="A12222" s="10" t="b">
        <v>0</v>
      </c>
      <c r="B12222" s="11" t="str">
        <f>IF(D12222&lt;&gt;"",IF(COUNTIF('USPTO TMs'!A:A,D12222)&gt;0,"Yes","No"),"")</f>
        <v/>
      </c>
      <c r="C12222" s="11"/>
      <c r="D12222" s="11"/>
      <c r="E12222" s="11"/>
      <c r="F12222" s="11"/>
      <c r="G12222" s="11"/>
      <c r="H12222" s="11"/>
      <c r="I12222" s="15"/>
    </row>
    <row r="12223" spans="1:9" ht="16.5">
      <c r="A12223" s="10" t="b">
        <v>0</v>
      </c>
      <c r="B12223" s="11" t="str">
        <f>IF(D12223&lt;&gt;"",IF(COUNTIF('USPTO TMs'!A:A,D12223)&gt;0,"Yes","No"),"")</f>
        <v/>
      </c>
      <c r="C12223" s="11"/>
      <c r="D12223" s="11"/>
      <c r="E12223" s="11"/>
      <c r="F12223" s="11"/>
      <c r="G12223" s="11"/>
      <c r="H12223" s="11"/>
      <c r="I12223" s="15"/>
    </row>
    <row r="12224" spans="1:9" ht="16.5">
      <c r="A12224" s="10" t="b">
        <v>0</v>
      </c>
      <c r="B12224" s="11" t="str">
        <f>IF(D12224&lt;&gt;"",IF(COUNTIF('USPTO TMs'!A:A,D12224)&gt;0,"Yes","No"),"")</f>
        <v/>
      </c>
      <c r="C12224" s="11"/>
      <c r="D12224" s="11"/>
      <c r="E12224" s="11"/>
      <c r="F12224" s="11"/>
      <c r="G12224" s="11"/>
      <c r="H12224" s="11"/>
      <c r="I12224" s="15"/>
    </row>
    <row r="12225" spans="1:9" ht="16.5">
      <c r="A12225" s="10" t="b">
        <v>0</v>
      </c>
      <c r="B12225" s="11" t="str">
        <f>IF(D12225&lt;&gt;"",IF(COUNTIF('USPTO TMs'!A:A,D12225)&gt;0,"Yes","No"),"")</f>
        <v/>
      </c>
      <c r="C12225" s="11"/>
      <c r="D12225" s="11"/>
      <c r="E12225" s="11"/>
      <c r="F12225" s="11"/>
      <c r="G12225" s="11"/>
      <c r="H12225" s="11"/>
      <c r="I12225" s="15"/>
    </row>
    <row r="12226" spans="1:9" ht="16.5">
      <c r="A12226" s="10" t="b">
        <v>0</v>
      </c>
      <c r="B12226" s="11" t="str">
        <f>IF(D12226&lt;&gt;"",IF(COUNTIF('USPTO TMs'!A:A,D12226)&gt;0,"Yes","No"),"")</f>
        <v/>
      </c>
      <c r="C12226" s="11"/>
      <c r="D12226" s="11"/>
      <c r="E12226" s="11"/>
      <c r="F12226" s="11"/>
      <c r="G12226" s="11"/>
      <c r="H12226" s="11"/>
      <c r="I12226" s="15"/>
    </row>
    <row r="12227" spans="1:9" ht="16.5">
      <c r="A12227" s="10" t="b">
        <v>0</v>
      </c>
      <c r="B12227" s="11" t="str">
        <f>IF(D12227&lt;&gt;"",IF(COUNTIF('USPTO TMs'!A:A,D12227)&gt;0,"Yes","No"),"")</f>
        <v/>
      </c>
      <c r="C12227" s="11"/>
      <c r="D12227" s="11"/>
      <c r="E12227" s="11"/>
      <c r="F12227" s="11"/>
      <c r="G12227" s="11"/>
      <c r="H12227" s="11"/>
      <c r="I12227" s="15"/>
    </row>
    <row r="12228" spans="1:9" ht="16.5">
      <c r="A12228" s="10" t="b">
        <v>0</v>
      </c>
      <c r="B12228" s="11" t="str">
        <f>IF(D12228&lt;&gt;"",IF(COUNTIF('USPTO TMs'!A:A,D12228)&gt;0,"Yes","No"),"")</f>
        <v/>
      </c>
      <c r="C12228" s="11"/>
      <c r="D12228" s="11"/>
      <c r="E12228" s="11"/>
      <c r="F12228" s="11"/>
      <c r="G12228" s="11"/>
      <c r="H12228" s="11"/>
      <c r="I12228" s="15"/>
    </row>
    <row r="12229" spans="1:9" ht="16.5">
      <c r="A12229" s="10" t="b">
        <v>0</v>
      </c>
      <c r="B12229" s="11" t="str">
        <f>IF(D12229&lt;&gt;"",IF(COUNTIF('USPTO TMs'!A:A,D12229)&gt;0,"Yes","No"),"")</f>
        <v/>
      </c>
      <c r="C12229" s="11"/>
      <c r="D12229" s="11"/>
      <c r="E12229" s="11"/>
      <c r="F12229" s="11"/>
      <c r="G12229" s="11"/>
      <c r="H12229" s="11"/>
      <c r="I12229" s="15"/>
    </row>
    <row r="12230" spans="1:9" ht="16.5">
      <c r="A12230" s="10" t="b">
        <v>0</v>
      </c>
      <c r="B12230" s="11" t="str">
        <f>IF(D12230&lt;&gt;"",IF(COUNTIF('USPTO TMs'!A:A,D12230)&gt;0,"Yes","No"),"")</f>
        <v/>
      </c>
      <c r="C12230" s="11"/>
      <c r="D12230" s="11"/>
      <c r="E12230" s="11"/>
      <c r="F12230" s="11"/>
      <c r="G12230" s="11"/>
      <c r="H12230" s="11"/>
      <c r="I12230" s="15"/>
    </row>
    <row r="12231" spans="1:9" ht="16.5">
      <c r="A12231" s="10" t="b">
        <v>0</v>
      </c>
      <c r="B12231" s="11" t="str">
        <f>IF(D12231&lt;&gt;"",IF(COUNTIF('USPTO TMs'!A:A,D12231)&gt;0,"Yes","No"),"")</f>
        <v/>
      </c>
      <c r="C12231" s="11"/>
      <c r="D12231" s="11"/>
      <c r="E12231" s="11"/>
      <c r="F12231" s="11"/>
      <c r="G12231" s="11"/>
      <c r="H12231" s="11"/>
      <c r="I12231" s="15"/>
    </row>
    <row r="12232" spans="1:9" ht="16.5">
      <c r="A12232" s="10" t="b">
        <v>0</v>
      </c>
      <c r="B12232" s="11" t="str">
        <f>IF(D12232&lt;&gt;"",IF(COUNTIF('USPTO TMs'!A:A,D12232)&gt;0,"Yes","No"),"")</f>
        <v/>
      </c>
      <c r="C12232" s="11"/>
      <c r="D12232" s="11"/>
      <c r="E12232" s="11"/>
      <c r="F12232" s="11"/>
      <c r="G12232" s="11"/>
      <c r="H12232" s="11"/>
      <c r="I12232" s="15"/>
    </row>
    <row r="12233" spans="1:9" ht="16.5">
      <c r="A12233" s="10" t="b">
        <v>0</v>
      </c>
      <c r="B12233" s="11" t="str">
        <f>IF(D12233&lt;&gt;"",IF(COUNTIF('USPTO TMs'!A:A,D12233)&gt;0,"Yes","No"),"")</f>
        <v/>
      </c>
      <c r="C12233" s="11"/>
      <c r="D12233" s="11"/>
      <c r="E12233" s="11"/>
      <c r="F12233" s="11"/>
      <c r="G12233" s="11"/>
      <c r="H12233" s="11"/>
      <c r="I12233" s="15"/>
    </row>
    <row r="12234" spans="1:9" ht="16.5">
      <c r="A12234" s="10" t="b">
        <v>0</v>
      </c>
      <c r="B12234" s="11" t="str">
        <f>IF(D12234&lt;&gt;"",IF(COUNTIF('USPTO TMs'!A:A,D12234)&gt;0,"Yes","No"),"")</f>
        <v/>
      </c>
      <c r="C12234" s="11"/>
      <c r="D12234" s="11"/>
      <c r="E12234" s="11"/>
      <c r="F12234" s="11"/>
      <c r="G12234" s="11"/>
      <c r="H12234" s="11"/>
      <c r="I12234" s="15"/>
    </row>
    <row r="12235" spans="1:9" ht="16.5">
      <c r="A12235" s="10" t="b">
        <v>0</v>
      </c>
      <c r="B12235" s="11" t="str">
        <f>IF(D12235&lt;&gt;"",IF(COUNTIF('USPTO TMs'!A:A,D12235)&gt;0,"Yes","No"),"")</f>
        <v/>
      </c>
      <c r="C12235" s="11"/>
      <c r="D12235" s="11"/>
      <c r="E12235" s="11"/>
      <c r="F12235" s="11"/>
      <c r="G12235" s="11"/>
      <c r="H12235" s="11"/>
      <c r="I12235" s="15"/>
    </row>
    <row r="12236" spans="1:9" ht="16.5">
      <c r="A12236" s="10" t="b">
        <v>0</v>
      </c>
      <c r="B12236" s="11" t="str">
        <f>IF(D12236&lt;&gt;"",IF(COUNTIF('USPTO TMs'!A:A,D12236)&gt;0,"Yes","No"),"")</f>
        <v/>
      </c>
      <c r="C12236" s="11"/>
      <c r="D12236" s="11"/>
      <c r="E12236" s="11"/>
      <c r="F12236" s="11"/>
      <c r="G12236" s="11"/>
      <c r="H12236" s="11"/>
      <c r="I12236" s="15"/>
    </row>
    <row r="12237" spans="1:9" ht="16.5">
      <c r="A12237" s="10" t="b">
        <v>0</v>
      </c>
      <c r="B12237" s="11" t="str">
        <f>IF(D12237&lt;&gt;"",IF(COUNTIF('USPTO TMs'!A:A,D12237)&gt;0,"Yes","No"),"")</f>
        <v/>
      </c>
      <c r="C12237" s="11"/>
      <c r="D12237" s="11"/>
      <c r="E12237" s="11"/>
      <c r="F12237" s="11"/>
      <c r="G12237" s="11"/>
      <c r="H12237" s="11"/>
      <c r="I12237" s="15"/>
    </row>
    <row r="12238" spans="1:9" ht="16.5">
      <c r="A12238" s="10" t="b">
        <v>0</v>
      </c>
      <c r="B12238" s="11" t="str">
        <f>IF(D12238&lt;&gt;"",IF(COUNTIF('USPTO TMs'!A:A,D12238)&gt;0,"Yes","No"),"")</f>
        <v/>
      </c>
      <c r="C12238" s="11"/>
      <c r="D12238" s="11"/>
      <c r="E12238" s="11"/>
      <c r="F12238" s="11"/>
      <c r="G12238" s="11"/>
      <c r="H12238" s="11"/>
      <c r="I12238" s="15"/>
    </row>
    <row r="12239" spans="1:9" ht="16.5">
      <c r="A12239" s="10" t="b">
        <v>0</v>
      </c>
      <c r="B12239" s="11" t="str">
        <f>IF(D12239&lt;&gt;"",IF(COUNTIF('USPTO TMs'!A:A,D12239)&gt;0,"Yes","No"),"")</f>
        <v/>
      </c>
      <c r="C12239" s="11"/>
      <c r="D12239" s="11"/>
      <c r="E12239" s="11"/>
      <c r="F12239" s="11"/>
      <c r="G12239" s="11"/>
      <c r="H12239" s="11"/>
      <c r="I12239" s="15"/>
    </row>
    <row r="12240" spans="1:9" ht="16.5">
      <c r="A12240" s="10" t="b">
        <v>0</v>
      </c>
      <c r="B12240" s="11" t="str">
        <f>IF(D12240&lt;&gt;"",IF(COUNTIF('USPTO TMs'!A:A,D12240)&gt;0,"Yes","No"),"")</f>
        <v/>
      </c>
      <c r="C12240" s="11"/>
      <c r="D12240" s="11"/>
      <c r="E12240" s="11"/>
      <c r="F12240" s="11"/>
      <c r="G12240" s="11"/>
      <c r="H12240" s="11"/>
      <c r="I12240" s="15"/>
    </row>
    <row r="12241" spans="1:9" ht="16.5">
      <c r="A12241" s="10" t="b">
        <v>0</v>
      </c>
      <c r="B12241" s="11" t="str">
        <f>IF(D12241&lt;&gt;"",IF(COUNTIF('USPTO TMs'!A:A,D12241)&gt;0,"Yes","No"),"")</f>
        <v/>
      </c>
      <c r="C12241" s="11"/>
      <c r="D12241" s="11"/>
      <c r="E12241" s="11"/>
      <c r="F12241" s="11"/>
      <c r="G12241" s="11"/>
      <c r="H12241" s="11"/>
      <c r="I12241" s="15"/>
    </row>
    <row r="12242" spans="1:9" ht="16.5">
      <c r="A12242" s="10" t="b">
        <v>0</v>
      </c>
      <c r="B12242" s="11" t="str">
        <f>IF(D12242&lt;&gt;"",IF(COUNTIF('USPTO TMs'!A:A,D12242)&gt;0,"Yes","No"),"")</f>
        <v/>
      </c>
      <c r="C12242" s="11"/>
      <c r="D12242" s="11"/>
      <c r="E12242" s="11"/>
      <c r="F12242" s="11"/>
      <c r="G12242" s="11"/>
      <c r="H12242" s="11"/>
      <c r="I12242" s="15"/>
    </row>
    <row r="12243" spans="1:9" ht="16.5">
      <c r="A12243" s="10" t="b">
        <v>0</v>
      </c>
      <c r="B12243" s="11" t="str">
        <f>IF(D12243&lt;&gt;"",IF(COUNTIF('USPTO TMs'!A:A,D12243)&gt;0,"Yes","No"),"")</f>
        <v/>
      </c>
      <c r="C12243" s="11"/>
      <c r="D12243" s="11"/>
      <c r="E12243" s="11"/>
      <c r="F12243" s="11"/>
      <c r="G12243" s="11"/>
      <c r="H12243" s="11"/>
      <c r="I12243" s="15"/>
    </row>
    <row r="12244" spans="1:9" ht="16.5">
      <c r="A12244" s="10" t="b">
        <v>0</v>
      </c>
      <c r="B12244" s="11" t="str">
        <f>IF(D12244&lt;&gt;"",IF(COUNTIF('USPTO TMs'!A:A,D12244)&gt;0,"Yes","No"),"")</f>
        <v/>
      </c>
      <c r="C12244" s="11"/>
      <c r="D12244" s="11"/>
      <c r="E12244" s="11"/>
      <c r="F12244" s="11"/>
      <c r="G12244" s="11"/>
      <c r="H12244" s="11"/>
      <c r="I12244" s="15"/>
    </row>
    <row r="12245" spans="1:9" ht="16.5">
      <c r="A12245" s="10" t="b">
        <v>0</v>
      </c>
      <c r="B12245" s="11" t="str">
        <f>IF(D12245&lt;&gt;"",IF(COUNTIF('USPTO TMs'!A:A,D12245)&gt;0,"Yes","No"),"")</f>
        <v/>
      </c>
      <c r="C12245" s="11"/>
      <c r="D12245" s="11"/>
      <c r="E12245" s="11"/>
      <c r="F12245" s="11"/>
      <c r="G12245" s="11"/>
      <c r="H12245" s="11"/>
      <c r="I12245" s="15"/>
    </row>
    <row r="12246" spans="1:9" ht="16.5">
      <c r="A12246" s="10" t="b">
        <v>0</v>
      </c>
      <c r="B12246" s="11" t="str">
        <f>IF(D12246&lt;&gt;"",IF(COUNTIF('USPTO TMs'!A:A,D12246)&gt;0,"Yes","No"),"")</f>
        <v/>
      </c>
      <c r="C12246" s="11"/>
      <c r="D12246" s="11"/>
      <c r="E12246" s="11"/>
      <c r="F12246" s="11"/>
      <c r="G12246" s="11"/>
      <c r="H12246" s="11"/>
      <c r="I12246" s="15"/>
    </row>
    <row r="12247" spans="1:9" ht="16.5">
      <c r="A12247" s="10" t="b">
        <v>0</v>
      </c>
      <c r="B12247" s="11" t="str">
        <f>IF(D12247&lt;&gt;"",IF(COUNTIF('USPTO TMs'!A:A,D12247)&gt;0,"Yes","No"),"")</f>
        <v/>
      </c>
      <c r="C12247" s="11"/>
      <c r="D12247" s="11"/>
      <c r="E12247" s="11"/>
      <c r="F12247" s="11"/>
      <c r="G12247" s="11"/>
      <c r="H12247" s="11"/>
      <c r="I12247" s="15"/>
    </row>
    <row r="12248" spans="1:9" ht="16.5">
      <c r="A12248" s="10" t="b">
        <v>0</v>
      </c>
      <c r="B12248" s="11" t="str">
        <f>IF(D12248&lt;&gt;"",IF(COUNTIF('USPTO TMs'!A:A,D12248)&gt;0,"Yes","No"),"")</f>
        <v/>
      </c>
      <c r="C12248" s="11"/>
      <c r="D12248" s="11"/>
      <c r="E12248" s="11"/>
      <c r="F12248" s="11"/>
      <c r="G12248" s="11"/>
      <c r="H12248" s="11"/>
      <c r="I12248" s="15"/>
    </row>
    <row r="12249" spans="1:9" ht="16.5">
      <c r="A12249" s="10" t="b">
        <v>0</v>
      </c>
      <c r="B12249" s="11" t="str">
        <f>IF(D12249&lt;&gt;"",IF(COUNTIF('USPTO TMs'!A:A,D12249)&gt;0,"Yes","No"),"")</f>
        <v/>
      </c>
      <c r="C12249" s="11"/>
      <c r="D12249" s="11"/>
      <c r="E12249" s="11"/>
      <c r="F12249" s="11"/>
      <c r="G12249" s="11"/>
      <c r="H12249" s="11"/>
      <c r="I12249" s="15"/>
    </row>
    <row r="12250" spans="1:9" ht="16.5">
      <c r="A12250" s="10" t="b">
        <v>0</v>
      </c>
      <c r="B12250" s="11" t="str">
        <f>IF(D12250&lt;&gt;"",IF(COUNTIF('USPTO TMs'!A:A,D12250)&gt;0,"Yes","No"),"")</f>
        <v/>
      </c>
      <c r="C12250" s="11"/>
      <c r="D12250" s="11"/>
      <c r="E12250" s="11"/>
      <c r="F12250" s="11"/>
      <c r="G12250" s="11"/>
      <c r="H12250" s="11"/>
      <c r="I12250" s="15"/>
    </row>
    <row r="12251" spans="1:9" ht="16.5">
      <c r="A12251" s="10" t="b">
        <v>0</v>
      </c>
      <c r="B12251" s="11" t="str">
        <f>IF(D12251&lt;&gt;"",IF(COUNTIF('USPTO TMs'!A:A,D12251)&gt;0,"Yes","No"),"")</f>
        <v/>
      </c>
      <c r="C12251" s="11"/>
      <c r="D12251" s="11"/>
      <c r="E12251" s="11"/>
      <c r="F12251" s="11"/>
      <c r="G12251" s="11"/>
      <c r="H12251" s="11"/>
      <c r="I12251" s="15"/>
    </row>
    <row r="12252" spans="1:9" ht="16.5">
      <c r="A12252" s="10" t="b">
        <v>0</v>
      </c>
      <c r="B12252" s="11" t="str">
        <f>IF(D12252&lt;&gt;"",IF(COUNTIF('USPTO TMs'!A:A,D12252)&gt;0,"Yes","No"),"")</f>
        <v/>
      </c>
      <c r="C12252" s="11"/>
      <c r="D12252" s="11"/>
      <c r="E12252" s="11"/>
      <c r="F12252" s="11"/>
      <c r="G12252" s="11"/>
      <c r="H12252" s="11"/>
      <c r="I12252" s="15"/>
    </row>
    <row r="12253" spans="1:9" ht="16.5">
      <c r="A12253" s="10" t="b">
        <v>0</v>
      </c>
      <c r="B12253" s="11" t="str">
        <f>IF(D12253&lt;&gt;"",IF(COUNTIF('USPTO TMs'!A:A,D12253)&gt;0,"Yes","No"),"")</f>
        <v/>
      </c>
      <c r="C12253" s="11"/>
      <c r="D12253" s="11"/>
      <c r="E12253" s="11"/>
      <c r="F12253" s="11"/>
      <c r="G12253" s="11"/>
      <c r="H12253" s="11"/>
      <c r="I12253" s="15"/>
    </row>
    <row r="12254" spans="1:9" ht="16.5">
      <c r="A12254" s="10" t="b">
        <v>0</v>
      </c>
      <c r="B12254" s="11" t="str">
        <f>IF(D12254&lt;&gt;"",IF(COUNTIF('USPTO TMs'!A:A,D12254)&gt;0,"Yes","No"),"")</f>
        <v/>
      </c>
      <c r="C12254" s="11"/>
      <c r="D12254" s="11"/>
      <c r="E12254" s="11"/>
      <c r="F12254" s="11"/>
      <c r="G12254" s="11"/>
      <c r="H12254" s="11"/>
      <c r="I12254" s="15"/>
    </row>
    <row r="12255" spans="1:9" ht="16.5">
      <c r="A12255" s="10" t="b">
        <v>0</v>
      </c>
      <c r="B12255" s="11" t="str">
        <f>IF(D12255&lt;&gt;"",IF(COUNTIF('USPTO TMs'!A:A,D12255)&gt;0,"Yes","No"),"")</f>
        <v/>
      </c>
      <c r="C12255" s="11"/>
      <c r="D12255" s="11"/>
      <c r="E12255" s="11"/>
      <c r="F12255" s="11"/>
      <c r="G12255" s="11"/>
      <c r="H12255" s="11"/>
      <c r="I12255" s="15"/>
    </row>
    <row r="12256" spans="1:9" ht="16.5">
      <c r="A12256" s="10" t="b">
        <v>0</v>
      </c>
      <c r="B12256" s="11" t="str">
        <f>IF(D12256&lt;&gt;"",IF(COUNTIF('USPTO TMs'!A:A,D12256)&gt;0,"Yes","No"),"")</f>
        <v/>
      </c>
      <c r="C12256" s="11"/>
      <c r="D12256" s="11"/>
      <c r="E12256" s="11"/>
      <c r="F12256" s="11"/>
      <c r="G12256" s="11"/>
      <c r="H12256" s="11"/>
      <c r="I12256" s="15"/>
    </row>
    <row r="12257" spans="1:9" ht="16.5">
      <c r="A12257" s="10" t="b">
        <v>0</v>
      </c>
      <c r="B12257" s="11" t="str">
        <f>IF(D12257&lt;&gt;"",IF(COUNTIF('USPTO TMs'!A:A,D12257)&gt;0,"Yes","No"),"")</f>
        <v/>
      </c>
      <c r="C12257" s="11"/>
      <c r="D12257" s="11"/>
      <c r="E12257" s="11"/>
      <c r="F12257" s="11"/>
      <c r="G12257" s="11"/>
      <c r="H12257" s="11"/>
      <c r="I12257" s="15"/>
    </row>
    <row r="12258" spans="1:9" ht="16.5">
      <c r="A12258" s="10" t="b">
        <v>0</v>
      </c>
      <c r="B12258" s="11" t="str">
        <f>IF(D12258&lt;&gt;"",IF(COUNTIF('USPTO TMs'!A:A,D12258)&gt;0,"Yes","No"),"")</f>
        <v/>
      </c>
      <c r="C12258" s="11"/>
      <c r="D12258" s="11"/>
      <c r="E12258" s="11"/>
      <c r="F12258" s="11"/>
      <c r="G12258" s="11"/>
      <c r="H12258" s="11"/>
      <c r="I12258" s="15"/>
    </row>
    <row r="12259" spans="1:9" ht="16.5">
      <c r="A12259" s="10" t="b">
        <v>0</v>
      </c>
      <c r="B12259" s="11" t="str">
        <f>IF(D12259&lt;&gt;"",IF(COUNTIF('USPTO TMs'!A:A,D12259)&gt;0,"Yes","No"),"")</f>
        <v/>
      </c>
      <c r="C12259" s="11"/>
      <c r="D12259" s="11"/>
      <c r="E12259" s="11"/>
      <c r="F12259" s="11"/>
      <c r="G12259" s="11"/>
      <c r="H12259" s="11"/>
      <c r="I12259" s="15"/>
    </row>
    <row r="12260" spans="1:9" ht="16.5">
      <c r="A12260" s="10" t="b">
        <v>0</v>
      </c>
      <c r="B12260" s="11" t="str">
        <f>IF(D12260&lt;&gt;"",IF(COUNTIF('USPTO TMs'!A:A,D12260)&gt;0,"Yes","No"),"")</f>
        <v/>
      </c>
      <c r="C12260" s="11"/>
      <c r="D12260" s="11"/>
      <c r="E12260" s="11"/>
      <c r="F12260" s="11"/>
      <c r="G12260" s="11"/>
      <c r="H12260" s="11"/>
      <c r="I12260" s="15"/>
    </row>
    <row r="12261" spans="1:9" ht="16.5">
      <c r="A12261" s="10" t="b">
        <v>0</v>
      </c>
      <c r="B12261" s="11" t="str">
        <f>IF(D12261&lt;&gt;"",IF(COUNTIF('USPTO TMs'!A:A,D12261)&gt;0,"Yes","No"),"")</f>
        <v/>
      </c>
      <c r="C12261" s="11"/>
      <c r="D12261" s="11"/>
      <c r="E12261" s="11"/>
      <c r="F12261" s="11"/>
      <c r="G12261" s="11"/>
      <c r="H12261" s="11"/>
      <c r="I12261" s="15"/>
    </row>
    <row r="12262" spans="1:9" ht="16.5">
      <c r="A12262" s="10" t="b">
        <v>0</v>
      </c>
      <c r="B12262" s="11" t="str">
        <f>IF(D12262&lt;&gt;"",IF(COUNTIF('USPTO TMs'!A:A,D12262)&gt;0,"Yes","No"),"")</f>
        <v/>
      </c>
      <c r="C12262" s="11"/>
      <c r="D12262" s="11"/>
      <c r="E12262" s="11"/>
      <c r="F12262" s="11"/>
      <c r="G12262" s="11"/>
      <c r="H12262" s="11"/>
      <c r="I12262" s="15"/>
    </row>
    <row r="12263" spans="1:9" ht="16.5">
      <c r="A12263" s="10" t="b">
        <v>0</v>
      </c>
      <c r="B12263" s="11" t="str">
        <f>IF(D12263&lt;&gt;"",IF(COUNTIF('USPTO TMs'!A:A,D12263)&gt;0,"Yes","No"),"")</f>
        <v/>
      </c>
      <c r="C12263" s="11"/>
      <c r="D12263" s="11"/>
      <c r="E12263" s="11"/>
      <c r="F12263" s="11"/>
      <c r="G12263" s="11"/>
      <c r="H12263" s="11"/>
      <c r="I12263" s="15"/>
    </row>
    <row r="12264" spans="1:9" ht="16.5">
      <c r="A12264" s="10" t="b">
        <v>0</v>
      </c>
      <c r="B12264" s="11" t="str">
        <f>IF(D12264&lt;&gt;"",IF(COUNTIF('USPTO TMs'!A:A,D12264)&gt;0,"Yes","No"),"")</f>
        <v/>
      </c>
      <c r="C12264" s="11"/>
      <c r="D12264" s="11"/>
      <c r="E12264" s="11"/>
      <c r="F12264" s="11"/>
      <c r="G12264" s="11"/>
      <c r="H12264" s="11"/>
      <c r="I12264" s="15"/>
    </row>
    <row r="12265" spans="1:9" ht="16.5">
      <c r="A12265" s="10" t="b">
        <v>0</v>
      </c>
      <c r="B12265" s="11" t="str">
        <f>IF(D12265&lt;&gt;"",IF(COUNTIF('USPTO TMs'!A:A,D12265)&gt;0,"Yes","No"),"")</f>
        <v/>
      </c>
      <c r="C12265" s="11"/>
      <c r="D12265" s="11"/>
      <c r="E12265" s="11"/>
      <c r="F12265" s="11"/>
      <c r="G12265" s="11"/>
      <c r="H12265" s="11"/>
      <c r="I12265" s="15"/>
    </row>
    <row r="12266" spans="1:9" ht="16.5">
      <c r="A12266" s="10" t="b">
        <v>0</v>
      </c>
      <c r="B12266" s="11" t="str">
        <f>IF(D12266&lt;&gt;"",IF(COUNTIF('USPTO TMs'!A:A,D12266)&gt;0,"Yes","No"),"")</f>
        <v/>
      </c>
      <c r="C12266" s="11"/>
      <c r="D12266" s="11"/>
      <c r="E12266" s="11"/>
      <c r="F12266" s="11"/>
      <c r="G12266" s="11"/>
      <c r="H12266" s="11"/>
      <c r="I12266" s="15"/>
    </row>
    <row r="12267" spans="1:9" ht="16.5">
      <c r="A12267" s="10" t="b">
        <v>0</v>
      </c>
      <c r="B12267" s="11" t="str">
        <f>IF(D12267&lt;&gt;"",IF(COUNTIF('USPTO TMs'!A:A,D12267)&gt;0,"Yes","No"),"")</f>
        <v/>
      </c>
      <c r="C12267" s="11"/>
      <c r="D12267" s="11"/>
      <c r="E12267" s="11"/>
      <c r="F12267" s="11"/>
      <c r="G12267" s="11"/>
      <c r="H12267" s="11"/>
      <c r="I12267" s="15"/>
    </row>
    <row r="12268" spans="1:9" ht="16.5">
      <c r="A12268" s="10" t="b">
        <v>0</v>
      </c>
      <c r="B12268" s="11" t="str">
        <f>IF(D12268&lt;&gt;"",IF(COUNTIF('USPTO TMs'!A:A,D12268)&gt;0,"Yes","No"),"")</f>
        <v/>
      </c>
      <c r="C12268" s="11"/>
      <c r="D12268" s="11"/>
      <c r="E12268" s="11"/>
      <c r="F12268" s="11"/>
      <c r="G12268" s="11"/>
      <c r="H12268" s="11"/>
      <c r="I12268" s="15"/>
    </row>
    <row r="12269" spans="1:9" ht="16.5">
      <c r="A12269" s="10" t="b">
        <v>0</v>
      </c>
      <c r="B12269" s="11" t="str">
        <f>IF(D12269&lt;&gt;"",IF(COUNTIF('USPTO TMs'!A:A,D12269)&gt;0,"Yes","No"),"")</f>
        <v/>
      </c>
      <c r="C12269" s="11"/>
      <c r="D12269" s="11"/>
      <c r="E12269" s="11"/>
      <c r="F12269" s="11"/>
      <c r="G12269" s="11"/>
      <c r="H12269" s="11"/>
      <c r="I12269" s="15"/>
    </row>
    <row r="12270" spans="1:9" ht="16.5">
      <c r="A12270" s="10" t="b">
        <v>0</v>
      </c>
      <c r="B12270" s="11" t="str">
        <f>IF(D12270&lt;&gt;"",IF(COUNTIF('USPTO TMs'!A:A,D12270)&gt;0,"Yes","No"),"")</f>
        <v/>
      </c>
      <c r="C12270" s="11"/>
      <c r="D12270" s="11"/>
      <c r="E12270" s="11"/>
      <c r="F12270" s="11"/>
      <c r="G12270" s="11"/>
      <c r="H12270" s="11"/>
      <c r="I12270" s="15"/>
    </row>
    <row r="12271" spans="1:9" ht="16.5">
      <c r="A12271" s="10" t="b">
        <v>0</v>
      </c>
      <c r="B12271" s="11" t="str">
        <f>IF(D12271&lt;&gt;"",IF(COUNTIF('USPTO TMs'!A:A,D12271)&gt;0,"Yes","No"),"")</f>
        <v/>
      </c>
      <c r="C12271" s="11"/>
      <c r="D12271" s="11"/>
      <c r="E12271" s="11"/>
      <c r="F12271" s="11"/>
      <c r="G12271" s="11"/>
      <c r="H12271" s="11"/>
      <c r="I12271" s="15"/>
    </row>
    <row r="12272" spans="1:9" ht="16.5">
      <c r="A12272" s="10" t="b">
        <v>0</v>
      </c>
      <c r="B12272" s="11" t="str">
        <f>IF(D12272&lt;&gt;"",IF(COUNTIF('USPTO TMs'!A:A,D12272)&gt;0,"Yes","No"),"")</f>
        <v/>
      </c>
      <c r="C12272" s="11"/>
      <c r="D12272" s="11"/>
      <c r="E12272" s="11"/>
      <c r="F12272" s="11"/>
      <c r="G12272" s="11"/>
      <c r="H12272" s="11"/>
      <c r="I12272" s="15"/>
    </row>
    <row r="12273" spans="1:9" ht="16.5">
      <c r="A12273" s="10" t="b">
        <v>0</v>
      </c>
      <c r="B12273" s="11" t="str">
        <f>IF(D12273&lt;&gt;"",IF(COUNTIF('USPTO TMs'!A:A,D12273)&gt;0,"Yes","No"),"")</f>
        <v/>
      </c>
      <c r="C12273" s="11"/>
      <c r="D12273" s="11"/>
      <c r="E12273" s="11"/>
      <c r="F12273" s="11"/>
      <c r="G12273" s="11"/>
      <c r="H12273" s="11"/>
      <c r="I12273" s="15"/>
    </row>
    <row r="12274" spans="1:9" ht="16.5">
      <c r="A12274" s="10" t="b">
        <v>0</v>
      </c>
      <c r="B12274" s="11" t="str">
        <f>IF(D12274&lt;&gt;"",IF(COUNTIF('USPTO TMs'!A:A,D12274)&gt;0,"Yes","No"),"")</f>
        <v/>
      </c>
      <c r="C12274" s="11"/>
      <c r="D12274" s="11"/>
      <c r="E12274" s="11"/>
      <c r="F12274" s="11"/>
      <c r="G12274" s="11"/>
      <c r="H12274" s="11"/>
      <c r="I12274" s="15"/>
    </row>
    <row r="12275" spans="1:9" ht="16.5">
      <c r="A12275" s="10" t="b">
        <v>0</v>
      </c>
      <c r="B12275" s="11" t="str">
        <f>IF(D12275&lt;&gt;"",IF(COUNTIF('USPTO TMs'!A:A,D12275)&gt;0,"Yes","No"),"")</f>
        <v/>
      </c>
      <c r="C12275" s="11"/>
      <c r="D12275" s="11"/>
      <c r="E12275" s="11"/>
      <c r="F12275" s="11"/>
      <c r="G12275" s="11"/>
      <c r="H12275" s="11"/>
      <c r="I12275" s="15"/>
    </row>
    <row r="12276" spans="1:9" ht="16.5">
      <c r="A12276" s="10" t="b">
        <v>0</v>
      </c>
      <c r="B12276" s="11" t="str">
        <f>IF(D12276&lt;&gt;"",IF(COUNTIF('USPTO TMs'!A:A,D12276)&gt;0,"Yes","No"),"")</f>
        <v/>
      </c>
      <c r="C12276" s="11"/>
      <c r="D12276" s="11"/>
      <c r="E12276" s="11"/>
      <c r="F12276" s="11"/>
      <c r="G12276" s="11"/>
      <c r="H12276" s="11"/>
      <c r="I12276" s="15"/>
    </row>
    <row r="12277" spans="1:9" ht="16.5">
      <c r="A12277" s="10" t="b">
        <v>0</v>
      </c>
      <c r="B12277" s="11" t="str">
        <f>IF(D12277&lt;&gt;"",IF(COUNTIF('USPTO TMs'!A:A,D12277)&gt;0,"Yes","No"),"")</f>
        <v/>
      </c>
      <c r="C12277" s="11"/>
      <c r="D12277" s="11"/>
      <c r="E12277" s="11"/>
      <c r="F12277" s="11"/>
      <c r="G12277" s="11"/>
      <c r="H12277" s="11"/>
      <c r="I12277" s="15"/>
    </row>
    <row r="12278" spans="1:9" ht="16.5">
      <c r="A12278" s="10" t="b">
        <v>0</v>
      </c>
      <c r="B12278" s="11" t="str">
        <f>IF(D12278&lt;&gt;"",IF(COUNTIF('USPTO TMs'!A:A,D12278)&gt;0,"Yes","No"),"")</f>
        <v/>
      </c>
      <c r="C12278" s="11"/>
      <c r="D12278" s="11"/>
      <c r="E12278" s="11"/>
      <c r="F12278" s="11"/>
      <c r="G12278" s="11"/>
      <c r="H12278" s="11"/>
      <c r="I12278" s="15"/>
    </row>
    <row r="12279" spans="1:9" ht="16.5">
      <c r="A12279" s="10" t="b">
        <v>0</v>
      </c>
      <c r="B12279" s="11" t="str">
        <f>IF(D12279&lt;&gt;"",IF(COUNTIF('USPTO TMs'!A:A,D12279)&gt;0,"Yes","No"),"")</f>
        <v/>
      </c>
      <c r="C12279" s="11"/>
      <c r="D12279" s="11"/>
      <c r="E12279" s="11"/>
      <c r="F12279" s="11"/>
      <c r="G12279" s="11"/>
      <c r="H12279" s="11"/>
      <c r="I12279" s="15"/>
    </row>
    <row r="12280" spans="1:9" ht="16.5">
      <c r="A12280" s="10" t="b">
        <v>0</v>
      </c>
      <c r="B12280" s="11" t="str">
        <f>IF(D12280&lt;&gt;"",IF(COUNTIF('USPTO TMs'!A:A,D12280)&gt;0,"Yes","No"),"")</f>
        <v/>
      </c>
      <c r="C12280" s="11"/>
      <c r="D12280" s="11"/>
      <c r="E12280" s="11"/>
      <c r="F12280" s="11"/>
      <c r="G12280" s="11"/>
      <c r="H12280" s="11"/>
      <c r="I12280" s="15"/>
    </row>
    <row r="12281" spans="1:9" ht="16.5">
      <c r="A12281" s="10" t="b">
        <v>0</v>
      </c>
      <c r="B12281" s="11" t="str">
        <f>IF(D12281&lt;&gt;"",IF(COUNTIF('USPTO TMs'!A:A,D12281)&gt;0,"Yes","No"),"")</f>
        <v/>
      </c>
      <c r="C12281" s="11"/>
      <c r="D12281" s="11"/>
      <c r="E12281" s="11"/>
      <c r="F12281" s="11"/>
      <c r="G12281" s="11"/>
      <c r="H12281" s="11"/>
      <c r="I12281" s="15"/>
    </row>
    <row r="12282" spans="1:9" ht="16.5">
      <c r="A12282" s="10" t="b">
        <v>0</v>
      </c>
      <c r="B12282" s="11" t="str">
        <f>IF(D12282&lt;&gt;"",IF(COUNTIF('USPTO TMs'!A:A,D12282)&gt;0,"Yes","No"),"")</f>
        <v/>
      </c>
      <c r="C12282" s="11"/>
      <c r="D12282" s="11"/>
      <c r="E12282" s="11"/>
      <c r="F12282" s="11"/>
      <c r="G12282" s="11"/>
      <c r="H12282" s="11"/>
      <c r="I12282" s="15"/>
    </row>
    <row r="12283" spans="1:9" ht="16.5">
      <c r="A12283" s="10" t="b">
        <v>0</v>
      </c>
      <c r="B12283" s="11" t="str">
        <f>IF(D12283&lt;&gt;"",IF(COUNTIF('USPTO TMs'!A:A,D12283)&gt;0,"Yes","No"),"")</f>
        <v/>
      </c>
      <c r="C12283" s="11"/>
      <c r="D12283" s="11"/>
      <c r="E12283" s="11"/>
      <c r="F12283" s="11"/>
      <c r="G12283" s="11"/>
      <c r="H12283" s="11"/>
      <c r="I12283" s="15"/>
    </row>
    <row r="12284" spans="1:9" ht="16.5">
      <c r="A12284" s="10" t="b">
        <v>0</v>
      </c>
      <c r="B12284" s="11" t="str">
        <f>IF(D12284&lt;&gt;"",IF(COUNTIF('USPTO TMs'!A:A,D12284)&gt;0,"Yes","No"),"")</f>
        <v/>
      </c>
      <c r="C12284" s="11"/>
      <c r="D12284" s="11"/>
      <c r="E12284" s="11"/>
      <c r="F12284" s="11"/>
      <c r="G12284" s="11"/>
      <c r="H12284" s="11"/>
      <c r="I12284" s="15"/>
    </row>
    <row r="12285" spans="1:9" ht="16.5">
      <c r="A12285" s="10" t="b">
        <v>0</v>
      </c>
      <c r="B12285" s="11" t="str">
        <f>IF(D12285&lt;&gt;"",IF(COUNTIF('USPTO TMs'!A:A,D12285)&gt;0,"Yes","No"),"")</f>
        <v/>
      </c>
      <c r="C12285" s="11"/>
      <c r="D12285" s="11"/>
      <c r="E12285" s="11"/>
      <c r="F12285" s="11"/>
      <c r="G12285" s="11"/>
      <c r="H12285" s="11"/>
      <c r="I12285" s="15"/>
    </row>
    <row r="12286" spans="1:9" ht="16.5">
      <c r="A12286" s="10" t="b">
        <v>0</v>
      </c>
      <c r="B12286" s="11" t="str">
        <f>IF(D12286&lt;&gt;"",IF(COUNTIF('USPTO TMs'!A:A,D12286)&gt;0,"Yes","No"),"")</f>
        <v/>
      </c>
      <c r="C12286" s="11"/>
      <c r="D12286" s="11"/>
      <c r="E12286" s="11"/>
      <c r="F12286" s="11"/>
      <c r="G12286" s="11"/>
      <c r="H12286" s="11"/>
      <c r="I12286" s="15"/>
    </row>
    <row r="12287" spans="1:9" ht="16.5">
      <c r="A12287" s="10" t="b">
        <v>0</v>
      </c>
      <c r="B12287" s="11" t="str">
        <f>IF(D12287&lt;&gt;"",IF(COUNTIF('USPTO TMs'!A:A,D12287)&gt;0,"Yes","No"),"")</f>
        <v/>
      </c>
      <c r="C12287" s="11"/>
      <c r="D12287" s="11"/>
      <c r="E12287" s="11"/>
      <c r="F12287" s="11"/>
      <c r="G12287" s="11"/>
      <c r="H12287" s="11"/>
      <c r="I12287" s="15"/>
    </row>
    <row r="12288" spans="1:9" ht="16.5">
      <c r="A12288" s="10" t="b">
        <v>0</v>
      </c>
      <c r="B12288" s="11" t="str">
        <f>IF(D12288&lt;&gt;"",IF(COUNTIF('USPTO TMs'!A:A,D12288)&gt;0,"Yes","No"),"")</f>
        <v/>
      </c>
      <c r="C12288" s="11"/>
      <c r="D12288" s="11"/>
      <c r="E12288" s="11"/>
      <c r="F12288" s="11"/>
      <c r="G12288" s="11"/>
      <c r="H12288" s="11"/>
      <c r="I12288" s="15"/>
    </row>
    <row r="12289" spans="1:9" ht="16.5">
      <c r="A12289" s="10" t="b">
        <v>0</v>
      </c>
      <c r="B12289" s="11" t="str">
        <f>IF(D12289&lt;&gt;"",IF(COUNTIF('USPTO TMs'!A:A,D12289)&gt;0,"Yes","No"),"")</f>
        <v/>
      </c>
      <c r="C12289" s="11"/>
      <c r="D12289" s="11"/>
      <c r="E12289" s="11"/>
      <c r="F12289" s="11"/>
      <c r="G12289" s="11"/>
      <c r="H12289" s="11"/>
      <c r="I12289" s="15"/>
    </row>
    <row r="12290" spans="1:9" ht="16.5">
      <c r="A12290" s="10" t="b">
        <v>0</v>
      </c>
      <c r="B12290" s="11" t="str">
        <f>IF(D12290&lt;&gt;"",IF(COUNTIF('USPTO TMs'!A:A,D12290)&gt;0,"Yes","No"),"")</f>
        <v/>
      </c>
      <c r="C12290" s="11"/>
      <c r="D12290" s="11"/>
      <c r="E12290" s="11"/>
      <c r="F12290" s="11"/>
      <c r="G12290" s="11"/>
      <c r="H12290" s="11"/>
      <c r="I12290" s="15"/>
    </row>
    <row r="12291" spans="1:9" ht="16.5">
      <c r="A12291" s="10" t="b">
        <v>0</v>
      </c>
      <c r="B12291" s="11" t="str">
        <f>IF(D12291&lt;&gt;"",IF(COUNTIF('USPTO TMs'!A:A,D12291)&gt;0,"Yes","No"),"")</f>
        <v/>
      </c>
      <c r="C12291" s="11"/>
      <c r="D12291" s="11"/>
      <c r="E12291" s="11"/>
      <c r="F12291" s="11"/>
      <c r="G12291" s="11"/>
      <c r="H12291" s="11"/>
      <c r="I12291" s="15"/>
    </row>
    <row r="12292" spans="1:9" ht="16.5">
      <c r="A12292" s="10" t="b">
        <v>0</v>
      </c>
      <c r="B12292" s="11" t="str">
        <f>IF(D12292&lt;&gt;"",IF(COUNTIF('USPTO TMs'!A:A,D12292)&gt;0,"Yes","No"),"")</f>
        <v/>
      </c>
      <c r="C12292" s="11"/>
      <c r="D12292" s="11"/>
      <c r="E12292" s="11"/>
      <c r="F12292" s="11"/>
      <c r="G12292" s="11"/>
      <c r="H12292" s="11"/>
      <c r="I12292" s="15"/>
    </row>
    <row r="12293" spans="1:9" ht="16.5">
      <c r="A12293" s="10" t="b">
        <v>0</v>
      </c>
      <c r="B12293" s="11" t="str">
        <f>IF(D12293&lt;&gt;"",IF(COUNTIF('USPTO TMs'!A:A,D12293)&gt;0,"Yes","No"),"")</f>
        <v/>
      </c>
      <c r="C12293" s="11"/>
      <c r="D12293" s="11"/>
      <c r="E12293" s="11"/>
      <c r="F12293" s="11"/>
      <c r="G12293" s="11"/>
      <c r="H12293" s="11"/>
      <c r="I12293" s="15"/>
    </row>
    <row r="12294" spans="1:9" ht="16.5">
      <c r="A12294" s="10" t="b">
        <v>0</v>
      </c>
      <c r="B12294" s="11" t="str">
        <f>IF(D12294&lt;&gt;"",IF(COUNTIF('USPTO TMs'!A:A,D12294)&gt;0,"Yes","No"),"")</f>
        <v/>
      </c>
      <c r="C12294" s="11"/>
      <c r="D12294" s="11"/>
      <c r="E12294" s="11"/>
      <c r="F12294" s="11"/>
      <c r="G12294" s="11"/>
      <c r="H12294" s="11"/>
      <c r="I12294" s="15"/>
    </row>
    <row r="12295" spans="1:9" ht="16.5">
      <c r="A12295" s="10" t="b">
        <v>0</v>
      </c>
      <c r="B12295" s="11" t="str">
        <f>IF(D12295&lt;&gt;"",IF(COUNTIF('USPTO TMs'!A:A,D12295)&gt;0,"Yes","No"),"")</f>
        <v/>
      </c>
      <c r="C12295" s="11"/>
      <c r="D12295" s="11"/>
      <c r="E12295" s="11"/>
      <c r="F12295" s="11"/>
      <c r="G12295" s="11"/>
      <c r="H12295" s="11"/>
      <c r="I12295" s="15"/>
    </row>
    <row r="12296" spans="1:9" ht="16.5">
      <c r="A12296" s="10" t="b">
        <v>0</v>
      </c>
      <c r="B12296" s="11" t="str">
        <f>IF(D12296&lt;&gt;"",IF(COUNTIF('USPTO TMs'!A:A,D12296)&gt;0,"Yes","No"),"")</f>
        <v/>
      </c>
      <c r="C12296" s="11"/>
      <c r="D12296" s="11"/>
      <c r="E12296" s="11"/>
      <c r="F12296" s="11"/>
      <c r="G12296" s="11"/>
      <c r="H12296" s="11"/>
      <c r="I12296" s="15"/>
    </row>
    <row r="12297" spans="1:9" ht="16.5">
      <c r="A12297" s="10" t="b">
        <v>0</v>
      </c>
      <c r="B12297" s="11" t="str">
        <f>IF(D12297&lt;&gt;"",IF(COUNTIF('USPTO TMs'!A:A,D12297)&gt;0,"Yes","No"),"")</f>
        <v/>
      </c>
      <c r="C12297" s="11"/>
      <c r="D12297" s="11"/>
      <c r="E12297" s="11"/>
      <c r="F12297" s="11"/>
      <c r="G12297" s="11"/>
      <c r="H12297" s="11"/>
      <c r="I12297" s="15"/>
    </row>
    <row r="12298" spans="1:9" ht="16.5">
      <c r="A12298" s="10" t="b">
        <v>0</v>
      </c>
      <c r="B12298" s="11" t="str">
        <f>IF(D12298&lt;&gt;"",IF(COUNTIF('USPTO TMs'!A:A,D12298)&gt;0,"Yes","No"),"")</f>
        <v/>
      </c>
      <c r="C12298" s="11"/>
      <c r="D12298" s="11"/>
      <c r="E12298" s="11"/>
      <c r="F12298" s="11"/>
      <c r="G12298" s="11"/>
      <c r="H12298" s="11"/>
      <c r="I12298" s="15"/>
    </row>
    <row r="12299" spans="1:9" ht="16.5">
      <c r="A12299" s="10" t="b">
        <v>0</v>
      </c>
      <c r="B12299" s="11" t="str">
        <f>IF(D12299&lt;&gt;"",IF(COUNTIF('USPTO TMs'!A:A,D12299)&gt;0,"Yes","No"),"")</f>
        <v/>
      </c>
      <c r="C12299" s="11"/>
      <c r="D12299" s="11"/>
      <c r="E12299" s="11"/>
      <c r="F12299" s="11"/>
      <c r="G12299" s="11"/>
      <c r="H12299" s="11"/>
      <c r="I12299" s="15"/>
    </row>
    <row r="12300" spans="1:9" ht="16.5">
      <c r="A12300" s="10" t="b">
        <v>0</v>
      </c>
      <c r="B12300" s="11" t="str">
        <f>IF(D12300&lt;&gt;"",IF(COUNTIF('USPTO TMs'!A:A,D12300)&gt;0,"Yes","No"),"")</f>
        <v/>
      </c>
      <c r="C12300" s="11"/>
      <c r="D12300" s="11"/>
      <c r="E12300" s="11"/>
      <c r="F12300" s="11"/>
      <c r="G12300" s="11"/>
      <c r="H12300" s="11"/>
      <c r="I12300" s="15"/>
    </row>
    <row r="12301" spans="1:9" ht="16.5">
      <c r="A12301" s="10" t="b">
        <v>0</v>
      </c>
      <c r="B12301" s="11" t="str">
        <f>IF(D12301&lt;&gt;"",IF(COUNTIF('USPTO TMs'!A:A,D12301)&gt;0,"Yes","No"),"")</f>
        <v/>
      </c>
      <c r="C12301" s="11"/>
      <c r="D12301" s="11"/>
      <c r="E12301" s="11"/>
      <c r="F12301" s="11"/>
      <c r="G12301" s="11"/>
      <c r="H12301" s="11"/>
      <c r="I12301" s="15"/>
    </row>
    <row r="12302" spans="1:9" ht="16.5">
      <c r="A12302" s="10" t="b">
        <v>0</v>
      </c>
      <c r="B12302" s="11" t="str">
        <f>IF(D12302&lt;&gt;"",IF(COUNTIF('USPTO TMs'!A:A,D12302)&gt;0,"Yes","No"),"")</f>
        <v/>
      </c>
      <c r="C12302" s="11"/>
      <c r="D12302" s="11"/>
      <c r="E12302" s="11"/>
      <c r="F12302" s="11"/>
      <c r="G12302" s="11"/>
      <c r="H12302" s="11"/>
      <c r="I12302" s="15"/>
    </row>
    <row r="12303" spans="1:9" ht="16.5">
      <c r="A12303" s="10" t="b">
        <v>0</v>
      </c>
      <c r="B12303" s="11" t="str">
        <f>IF(D12303&lt;&gt;"",IF(COUNTIF('USPTO TMs'!A:A,D12303)&gt;0,"Yes","No"),"")</f>
        <v/>
      </c>
      <c r="C12303" s="11"/>
      <c r="D12303" s="11"/>
      <c r="E12303" s="11"/>
      <c r="F12303" s="11"/>
      <c r="G12303" s="11"/>
      <c r="H12303" s="11"/>
      <c r="I12303" s="15"/>
    </row>
    <row r="12304" spans="1:9" ht="16.5">
      <c r="A12304" s="10" t="b">
        <v>0</v>
      </c>
      <c r="B12304" s="11" t="str">
        <f>IF(D12304&lt;&gt;"",IF(COUNTIF('USPTO TMs'!A:A,D12304)&gt;0,"Yes","No"),"")</f>
        <v/>
      </c>
      <c r="C12304" s="11"/>
      <c r="D12304" s="11"/>
      <c r="E12304" s="11"/>
      <c r="F12304" s="11"/>
      <c r="G12304" s="11"/>
      <c r="H12304" s="11"/>
      <c r="I12304" s="15"/>
    </row>
    <row r="12305" spans="1:9" ht="16.5">
      <c r="A12305" s="10" t="b">
        <v>0</v>
      </c>
      <c r="B12305" s="11" t="str">
        <f>IF(D12305&lt;&gt;"",IF(COUNTIF('USPTO TMs'!A:A,D12305)&gt;0,"Yes","No"),"")</f>
        <v/>
      </c>
      <c r="C12305" s="11"/>
      <c r="D12305" s="11"/>
      <c r="E12305" s="11"/>
      <c r="F12305" s="11"/>
      <c r="G12305" s="11"/>
      <c r="H12305" s="11"/>
      <c r="I12305" s="15"/>
    </row>
    <row r="12306" spans="1:9" ht="16.5">
      <c r="A12306" s="10" t="b">
        <v>0</v>
      </c>
      <c r="B12306" s="11" t="str">
        <f>IF(D12306&lt;&gt;"",IF(COUNTIF('USPTO TMs'!A:A,D12306)&gt;0,"Yes","No"),"")</f>
        <v/>
      </c>
      <c r="C12306" s="11"/>
      <c r="D12306" s="11"/>
      <c r="E12306" s="11"/>
      <c r="F12306" s="11"/>
      <c r="G12306" s="11"/>
      <c r="H12306" s="11"/>
      <c r="I12306" s="15"/>
    </row>
    <row r="12307" spans="1:9" ht="16.5">
      <c r="A12307" s="10" t="b">
        <v>0</v>
      </c>
      <c r="B12307" s="11" t="str">
        <f>IF(D12307&lt;&gt;"",IF(COUNTIF('USPTO TMs'!A:A,D12307)&gt;0,"Yes","No"),"")</f>
        <v/>
      </c>
      <c r="C12307" s="11"/>
      <c r="D12307" s="11"/>
      <c r="E12307" s="11"/>
      <c r="F12307" s="11"/>
      <c r="G12307" s="11"/>
      <c r="H12307" s="11"/>
      <c r="I12307" s="15"/>
    </row>
    <row r="12308" spans="1:9" ht="16.5">
      <c r="A12308" s="10" t="b">
        <v>0</v>
      </c>
      <c r="B12308" s="11" t="str">
        <f>IF(D12308&lt;&gt;"",IF(COUNTIF('USPTO TMs'!A:A,D12308)&gt;0,"Yes","No"),"")</f>
        <v/>
      </c>
      <c r="C12308" s="11"/>
      <c r="D12308" s="11"/>
      <c r="E12308" s="11"/>
      <c r="F12308" s="11"/>
      <c r="G12308" s="11"/>
      <c r="H12308" s="11"/>
      <c r="I12308" s="15"/>
    </row>
    <row r="12309" spans="1:9" ht="16.5">
      <c r="A12309" s="10" t="b">
        <v>0</v>
      </c>
      <c r="B12309" s="11" t="str">
        <f>IF(D12309&lt;&gt;"",IF(COUNTIF('USPTO TMs'!A:A,D12309)&gt;0,"Yes","No"),"")</f>
        <v/>
      </c>
      <c r="C12309" s="11"/>
      <c r="D12309" s="11"/>
      <c r="E12309" s="11"/>
      <c r="F12309" s="11"/>
      <c r="G12309" s="11"/>
      <c r="H12309" s="11"/>
      <c r="I12309" s="15"/>
    </row>
    <row r="12310" spans="1:9" ht="16.5">
      <c r="A12310" s="10" t="b">
        <v>0</v>
      </c>
      <c r="B12310" s="11" t="str">
        <f>IF(D12310&lt;&gt;"",IF(COUNTIF('USPTO TMs'!A:A,D12310)&gt;0,"Yes","No"),"")</f>
        <v/>
      </c>
      <c r="C12310" s="11"/>
      <c r="D12310" s="11"/>
      <c r="E12310" s="11"/>
      <c r="F12310" s="11"/>
      <c r="G12310" s="11"/>
      <c r="H12310" s="11"/>
      <c r="I12310" s="15"/>
    </row>
    <row r="12311" spans="1:9" ht="16.5">
      <c r="A12311" s="10" t="b">
        <v>0</v>
      </c>
      <c r="B12311" s="11" t="str">
        <f>IF(D12311&lt;&gt;"",IF(COUNTIF('USPTO TMs'!A:A,D12311)&gt;0,"Yes","No"),"")</f>
        <v/>
      </c>
      <c r="C12311" s="11"/>
      <c r="D12311" s="11"/>
      <c r="E12311" s="11"/>
      <c r="F12311" s="11"/>
      <c r="G12311" s="11"/>
      <c r="H12311" s="11"/>
      <c r="I12311" s="15"/>
    </row>
    <row r="12312" spans="1:9" ht="16.5">
      <c r="A12312" s="10" t="b">
        <v>0</v>
      </c>
      <c r="B12312" s="11" t="str">
        <f>IF(D12312&lt;&gt;"",IF(COUNTIF('USPTO TMs'!A:A,D12312)&gt;0,"Yes","No"),"")</f>
        <v/>
      </c>
      <c r="C12312" s="11"/>
      <c r="D12312" s="11"/>
      <c r="E12312" s="11"/>
      <c r="F12312" s="11"/>
      <c r="G12312" s="11"/>
      <c r="H12312" s="11"/>
      <c r="I12312" s="15"/>
    </row>
    <row r="12313" spans="1:9" ht="16.5">
      <c r="A12313" s="10" t="b">
        <v>0</v>
      </c>
      <c r="B12313" s="11" t="str">
        <f>IF(D12313&lt;&gt;"",IF(COUNTIF('USPTO TMs'!A:A,D12313)&gt;0,"Yes","No"),"")</f>
        <v/>
      </c>
      <c r="C12313" s="11"/>
      <c r="D12313" s="11"/>
      <c r="E12313" s="11"/>
      <c r="F12313" s="11"/>
      <c r="G12313" s="11"/>
      <c r="H12313" s="11"/>
      <c r="I12313" s="15"/>
    </row>
    <row r="12314" spans="1:9" ht="16.5">
      <c r="A12314" s="10" t="b">
        <v>0</v>
      </c>
      <c r="B12314" s="11" t="str">
        <f>IF(D12314&lt;&gt;"",IF(COUNTIF('USPTO TMs'!A:A,D12314)&gt;0,"Yes","No"),"")</f>
        <v/>
      </c>
      <c r="C12314" s="11"/>
      <c r="D12314" s="11"/>
      <c r="E12314" s="11"/>
      <c r="F12314" s="11"/>
      <c r="G12314" s="11"/>
      <c r="H12314" s="11"/>
      <c r="I12314" s="15"/>
    </row>
    <row r="12315" spans="1:9" ht="16.5">
      <c r="A12315" s="10" t="b">
        <v>0</v>
      </c>
      <c r="B12315" s="11" t="str">
        <f>IF(D12315&lt;&gt;"",IF(COUNTIF('USPTO TMs'!A:A,D12315)&gt;0,"Yes","No"),"")</f>
        <v/>
      </c>
      <c r="C12315" s="11"/>
      <c r="D12315" s="11"/>
      <c r="E12315" s="11"/>
      <c r="F12315" s="11"/>
      <c r="G12315" s="11"/>
      <c r="H12315" s="11"/>
      <c r="I12315" s="15"/>
    </row>
    <row r="12316" spans="1:9" ht="16.5">
      <c r="A12316" s="10" t="b">
        <v>0</v>
      </c>
      <c r="B12316" s="11" t="str">
        <f>IF(D12316&lt;&gt;"",IF(COUNTIF('USPTO TMs'!A:A,D12316)&gt;0,"Yes","No"),"")</f>
        <v/>
      </c>
      <c r="C12316" s="11"/>
      <c r="D12316" s="11"/>
      <c r="E12316" s="11"/>
      <c r="F12316" s="11"/>
      <c r="G12316" s="11"/>
      <c r="H12316" s="11"/>
      <c r="I12316" s="15"/>
    </row>
    <row r="12317" spans="1:9" ht="16.5">
      <c r="A12317" s="10" t="b">
        <v>0</v>
      </c>
      <c r="B12317" s="11" t="str">
        <f>IF(D12317&lt;&gt;"",IF(COUNTIF('USPTO TMs'!A:A,D12317)&gt;0,"Yes","No"),"")</f>
        <v/>
      </c>
      <c r="C12317" s="11"/>
      <c r="D12317" s="11"/>
      <c r="E12317" s="11"/>
      <c r="F12317" s="11"/>
      <c r="G12317" s="11"/>
      <c r="H12317" s="11"/>
      <c r="I12317" s="15"/>
    </row>
    <row r="12318" spans="1:9" ht="16.5">
      <c r="A12318" s="10" t="b">
        <v>0</v>
      </c>
      <c r="B12318" s="11" t="str">
        <f>IF(D12318&lt;&gt;"",IF(COUNTIF('USPTO TMs'!A:A,D12318)&gt;0,"Yes","No"),"")</f>
        <v/>
      </c>
      <c r="C12318" s="11"/>
      <c r="D12318" s="11"/>
      <c r="E12318" s="11"/>
      <c r="F12318" s="11"/>
      <c r="G12318" s="11"/>
      <c r="H12318" s="11"/>
      <c r="I12318" s="15"/>
    </row>
    <row r="12319" spans="1:9" ht="16.5">
      <c r="A12319" s="10" t="b">
        <v>0</v>
      </c>
      <c r="B12319" s="11" t="str">
        <f>IF(D12319&lt;&gt;"",IF(COUNTIF('USPTO TMs'!A:A,D12319)&gt;0,"Yes","No"),"")</f>
        <v/>
      </c>
      <c r="C12319" s="11"/>
      <c r="D12319" s="11"/>
      <c r="E12319" s="11"/>
      <c r="F12319" s="11"/>
      <c r="G12319" s="11"/>
      <c r="H12319" s="11"/>
      <c r="I12319" s="15"/>
    </row>
    <row r="12320" spans="1:9" ht="16.5">
      <c r="A12320" s="10" t="b">
        <v>0</v>
      </c>
      <c r="B12320" s="11" t="str">
        <f>IF(D12320&lt;&gt;"",IF(COUNTIF('USPTO TMs'!A:A,D12320)&gt;0,"Yes","No"),"")</f>
        <v/>
      </c>
      <c r="C12320" s="11"/>
      <c r="D12320" s="11"/>
      <c r="E12320" s="11"/>
      <c r="F12320" s="11"/>
      <c r="G12320" s="11"/>
      <c r="H12320" s="11"/>
      <c r="I12320" s="15"/>
    </row>
    <row r="12321" spans="1:9" ht="16.5">
      <c r="A12321" s="10" t="b">
        <v>0</v>
      </c>
      <c r="B12321" s="11" t="str">
        <f>IF(D12321&lt;&gt;"",IF(COUNTIF('USPTO TMs'!A:A,D12321)&gt;0,"Yes","No"),"")</f>
        <v/>
      </c>
      <c r="C12321" s="11"/>
      <c r="D12321" s="11"/>
      <c r="E12321" s="11"/>
      <c r="F12321" s="11"/>
      <c r="G12321" s="11"/>
      <c r="H12321" s="11"/>
      <c r="I12321" s="15"/>
    </row>
    <row r="12322" spans="1:9" ht="16.5">
      <c r="A12322" s="10" t="b">
        <v>0</v>
      </c>
      <c r="B12322" s="11" t="str">
        <f>IF(D12322&lt;&gt;"",IF(COUNTIF('USPTO TMs'!A:A,D12322)&gt;0,"Yes","No"),"")</f>
        <v/>
      </c>
      <c r="C12322" s="11"/>
      <c r="D12322" s="11"/>
      <c r="E12322" s="11"/>
      <c r="F12322" s="11"/>
      <c r="G12322" s="11"/>
      <c r="H12322" s="11"/>
      <c r="I12322" s="15"/>
    </row>
    <row r="12323" spans="1:9" ht="16.5">
      <c r="A12323" s="10" t="b">
        <v>0</v>
      </c>
      <c r="B12323" s="11" t="str">
        <f>IF(D12323&lt;&gt;"",IF(COUNTIF('USPTO TMs'!A:A,D12323)&gt;0,"Yes","No"),"")</f>
        <v/>
      </c>
      <c r="C12323" s="11"/>
      <c r="D12323" s="11"/>
      <c r="E12323" s="11"/>
      <c r="F12323" s="11"/>
      <c r="G12323" s="11"/>
      <c r="H12323" s="11"/>
      <c r="I12323" s="15"/>
    </row>
    <row r="12324" spans="1:9" ht="16.5">
      <c r="A12324" s="10" t="b">
        <v>0</v>
      </c>
      <c r="B12324" s="11" t="str">
        <f>IF(D12324&lt;&gt;"",IF(COUNTIF('USPTO TMs'!A:A,D12324)&gt;0,"Yes","No"),"")</f>
        <v/>
      </c>
      <c r="C12324" s="11"/>
      <c r="D12324" s="11"/>
      <c r="E12324" s="11"/>
      <c r="F12324" s="11"/>
      <c r="G12324" s="11"/>
      <c r="H12324" s="11"/>
      <c r="I12324" s="15"/>
    </row>
    <row r="12325" spans="1:9" ht="16.5">
      <c r="A12325" s="10" t="b">
        <v>0</v>
      </c>
      <c r="B12325" s="11" t="str">
        <f>IF(D12325&lt;&gt;"",IF(COUNTIF('USPTO TMs'!A:A,D12325)&gt;0,"Yes","No"),"")</f>
        <v/>
      </c>
      <c r="C12325" s="11"/>
      <c r="D12325" s="11"/>
      <c r="E12325" s="11"/>
      <c r="F12325" s="11"/>
      <c r="G12325" s="11"/>
      <c r="H12325" s="11"/>
      <c r="I12325" s="15"/>
    </row>
    <row r="12326" spans="1:9" ht="16.5">
      <c r="A12326" s="10" t="b">
        <v>0</v>
      </c>
      <c r="B12326" s="11" t="str">
        <f>IF(D12326&lt;&gt;"",IF(COUNTIF('USPTO TMs'!A:A,D12326)&gt;0,"Yes","No"),"")</f>
        <v/>
      </c>
      <c r="C12326" s="11"/>
      <c r="D12326" s="11"/>
      <c r="E12326" s="11"/>
      <c r="F12326" s="11"/>
      <c r="G12326" s="11"/>
      <c r="H12326" s="11"/>
      <c r="I12326" s="15"/>
    </row>
    <row r="12327" spans="1:9" ht="16.5">
      <c r="A12327" s="10" t="b">
        <v>0</v>
      </c>
      <c r="B12327" s="11" t="str">
        <f>IF(D12327&lt;&gt;"",IF(COUNTIF('USPTO TMs'!A:A,D12327)&gt;0,"Yes","No"),"")</f>
        <v/>
      </c>
      <c r="C12327" s="11"/>
      <c r="D12327" s="11"/>
      <c r="E12327" s="11"/>
      <c r="F12327" s="11"/>
      <c r="G12327" s="11"/>
      <c r="H12327" s="11"/>
      <c r="I12327" s="15"/>
    </row>
    <row r="12328" spans="1:9" ht="16.5">
      <c r="A12328" s="10" t="b">
        <v>0</v>
      </c>
      <c r="B12328" s="11" t="str">
        <f>IF(D12328&lt;&gt;"",IF(COUNTIF('USPTO TMs'!A:A,D12328)&gt;0,"Yes","No"),"")</f>
        <v/>
      </c>
      <c r="C12328" s="11"/>
      <c r="D12328" s="11"/>
      <c r="E12328" s="11"/>
      <c r="F12328" s="11"/>
      <c r="G12328" s="11"/>
      <c r="H12328" s="11"/>
      <c r="I12328" s="15"/>
    </row>
    <row r="12329" spans="1:9" ht="16.5">
      <c r="A12329" s="10" t="b">
        <v>0</v>
      </c>
      <c r="B12329" s="11" t="str">
        <f>IF(D12329&lt;&gt;"",IF(COUNTIF('USPTO TMs'!A:A,D12329)&gt;0,"Yes","No"),"")</f>
        <v/>
      </c>
      <c r="C12329" s="11"/>
      <c r="D12329" s="11"/>
      <c r="E12329" s="11"/>
      <c r="F12329" s="11"/>
      <c r="G12329" s="11"/>
      <c r="H12329" s="11"/>
      <c r="I12329" s="15"/>
    </row>
    <row r="12330" spans="1:9" ht="16.5">
      <c r="A12330" s="10" t="b">
        <v>0</v>
      </c>
      <c r="B12330" s="11" t="str">
        <f>IF(D12330&lt;&gt;"",IF(COUNTIF('USPTO TMs'!A:A,D12330)&gt;0,"Yes","No"),"")</f>
        <v/>
      </c>
      <c r="C12330" s="11"/>
      <c r="D12330" s="11"/>
      <c r="E12330" s="11"/>
      <c r="F12330" s="11"/>
      <c r="G12330" s="11"/>
      <c r="H12330" s="11"/>
      <c r="I12330" s="15"/>
    </row>
    <row r="12331" spans="1:9" ht="16.5">
      <c r="A12331" s="10" t="b">
        <v>0</v>
      </c>
      <c r="B12331" s="11" t="str">
        <f>IF(D12331&lt;&gt;"",IF(COUNTIF('USPTO TMs'!A:A,D12331)&gt;0,"Yes","No"),"")</f>
        <v/>
      </c>
      <c r="C12331" s="11"/>
      <c r="D12331" s="11"/>
      <c r="E12331" s="11"/>
      <c r="F12331" s="11"/>
      <c r="G12331" s="11"/>
      <c r="H12331" s="11"/>
      <c r="I12331" s="15"/>
    </row>
    <row r="12332" spans="1:9" ht="16.5">
      <c r="A12332" s="10" t="b">
        <v>0</v>
      </c>
      <c r="B12332" s="11" t="str">
        <f>IF(D12332&lt;&gt;"",IF(COUNTIF('USPTO TMs'!A:A,D12332)&gt;0,"Yes","No"),"")</f>
        <v/>
      </c>
      <c r="C12332" s="11"/>
      <c r="D12332" s="11"/>
      <c r="E12332" s="11"/>
      <c r="F12332" s="11"/>
      <c r="G12332" s="11"/>
      <c r="H12332" s="11"/>
      <c r="I12332" s="15"/>
    </row>
    <row r="12333" spans="1:9" ht="16.5">
      <c r="A12333" s="10" t="b">
        <v>0</v>
      </c>
      <c r="B12333" s="11" t="str">
        <f>IF(D12333&lt;&gt;"",IF(COUNTIF('USPTO TMs'!A:A,D12333)&gt;0,"Yes","No"),"")</f>
        <v/>
      </c>
      <c r="C12333" s="11"/>
      <c r="D12333" s="11"/>
      <c r="E12333" s="11"/>
      <c r="F12333" s="11"/>
      <c r="G12333" s="11"/>
      <c r="H12333" s="11"/>
      <c r="I12333" s="15"/>
    </row>
    <row r="12334" spans="1:9" ht="16.5">
      <c r="A12334" s="10" t="b">
        <v>0</v>
      </c>
      <c r="B12334" s="11" t="str">
        <f>IF(D12334&lt;&gt;"",IF(COUNTIF('USPTO TMs'!A:A,D12334)&gt;0,"Yes","No"),"")</f>
        <v/>
      </c>
      <c r="C12334" s="11"/>
      <c r="D12334" s="11"/>
      <c r="E12334" s="11"/>
      <c r="F12334" s="11"/>
      <c r="G12334" s="11"/>
      <c r="H12334" s="11"/>
      <c r="I12334" s="15"/>
    </row>
    <row r="12335" spans="1:9" ht="16.5">
      <c r="A12335" s="10" t="b">
        <v>0</v>
      </c>
      <c r="B12335" s="11" t="str">
        <f>IF(D12335&lt;&gt;"",IF(COUNTIF('USPTO TMs'!A:A,D12335)&gt;0,"Yes","No"),"")</f>
        <v/>
      </c>
      <c r="C12335" s="11"/>
      <c r="D12335" s="11"/>
      <c r="E12335" s="11"/>
      <c r="F12335" s="11"/>
      <c r="G12335" s="11"/>
      <c r="H12335" s="11"/>
      <c r="I12335" s="15"/>
    </row>
    <row r="12336" spans="1:9" ht="16.5">
      <c r="A12336" s="10" t="b">
        <v>0</v>
      </c>
      <c r="B12336" s="11" t="str">
        <f>IF(D12336&lt;&gt;"",IF(COUNTIF('USPTO TMs'!A:A,D12336)&gt;0,"Yes","No"),"")</f>
        <v/>
      </c>
      <c r="C12336" s="11"/>
      <c r="D12336" s="11"/>
      <c r="E12336" s="11"/>
      <c r="F12336" s="11"/>
      <c r="G12336" s="11"/>
      <c r="H12336" s="11"/>
      <c r="I12336" s="15"/>
    </row>
    <row r="12337" spans="1:9" ht="16.5">
      <c r="A12337" s="10" t="b">
        <v>0</v>
      </c>
      <c r="B12337" s="11" t="str">
        <f>IF(D12337&lt;&gt;"",IF(COUNTIF('USPTO TMs'!A:A,D12337)&gt;0,"Yes","No"),"")</f>
        <v/>
      </c>
      <c r="C12337" s="11"/>
      <c r="D12337" s="11"/>
      <c r="E12337" s="11"/>
      <c r="F12337" s="11"/>
      <c r="G12337" s="11"/>
      <c r="H12337" s="11"/>
      <c r="I12337" s="15"/>
    </row>
    <row r="12338" spans="1:9" ht="16.5">
      <c r="A12338" s="10" t="b">
        <v>0</v>
      </c>
      <c r="B12338" s="11" t="str">
        <f>IF(D12338&lt;&gt;"",IF(COUNTIF('USPTO TMs'!A:A,D12338)&gt;0,"Yes","No"),"")</f>
        <v/>
      </c>
      <c r="C12338" s="11"/>
      <c r="D12338" s="11"/>
      <c r="E12338" s="11"/>
      <c r="F12338" s="11"/>
      <c r="G12338" s="11"/>
      <c r="H12338" s="11"/>
      <c r="I12338" s="15"/>
    </row>
    <row r="12339" spans="1:9" ht="16.5">
      <c r="A12339" s="10" t="b">
        <v>0</v>
      </c>
      <c r="B12339" s="11" t="str">
        <f>IF(D12339&lt;&gt;"",IF(COUNTIF('USPTO TMs'!A:A,D12339)&gt;0,"Yes","No"),"")</f>
        <v/>
      </c>
      <c r="C12339" s="11"/>
      <c r="D12339" s="11"/>
      <c r="E12339" s="11"/>
      <c r="F12339" s="11"/>
      <c r="G12339" s="11"/>
      <c r="H12339" s="11"/>
      <c r="I12339" s="15"/>
    </row>
    <row r="12340" spans="1:9" ht="16.5">
      <c r="A12340" s="10" t="b">
        <v>0</v>
      </c>
      <c r="B12340" s="11" t="str">
        <f>IF(D12340&lt;&gt;"",IF(COUNTIF('USPTO TMs'!A:A,D12340)&gt;0,"Yes","No"),"")</f>
        <v/>
      </c>
      <c r="C12340" s="11"/>
      <c r="D12340" s="11"/>
      <c r="E12340" s="11"/>
      <c r="F12340" s="11"/>
      <c r="G12340" s="11"/>
      <c r="H12340" s="11"/>
      <c r="I12340" s="15"/>
    </row>
    <row r="12341" spans="1:9" ht="16.5">
      <c r="A12341" s="10" t="b">
        <v>0</v>
      </c>
      <c r="B12341" s="11" t="str">
        <f>IF(D12341&lt;&gt;"",IF(COUNTIF('USPTO TMs'!A:A,D12341)&gt;0,"Yes","No"),"")</f>
        <v/>
      </c>
      <c r="C12341" s="11"/>
      <c r="D12341" s="11"/>
      <c r="E12341" s="11"/>
      <c r="F12341" s="11"/>
      <c r="G12341" s="11"/>
      <c r="H12341" s="11"/>
      <c r="I12341" s="15"/>
    </row>
    <row r="12342" spans="1:9" ht="16.5">
      <c r="A12342" s="10" t="b">
        <v>0</v>
      </c>
      <c r="B12342" s="11" t="str">
        <f>IF(D12342&lt;&gt;"",IF(COUNTIF('USPTO TMs'!A:A,D12342)&gt;0,"Yes","No"),"")</f>
        <v/>
      </c>
      <c r="C12342" s="11"/>
      <c r="D12342" s="11"/>
      <c r="E12342" s="11"/>
      <c r="F12342" s="11"/>
      <c r="G12342" s="11"/>
      <c r="H12342" s="11"/>
      <c r="I12342" s="15"/>
    </row>
    <row r="12343" spans="1:9" ht="16.5">
      <c r="A12343" s="10" t="b">
        <v>0</v>
      </c>
      <c r="B12343" s="11" t="str">
        <f>IF(D12343&lt;&gt;"",IF(COUNTIF('USPTO TMs'!A:A,D12343)&gt;0,"Yes","No"),"")</f>
        <v/>
      </c>
      <c r="C12343" s="11"/>
      <c r="D12343" s="11"/>
      <c r="E12343" s="11"/>
      <c r="F12343" s="11"/>
      <c r="G12343" s="11"/>
      <c r="H12343" s="11"/>
      <c r="I12343" s="15"/>
    </row>
    <row r="12344" spans="1:9" ht="16.5">
      <c r="A12344" s="10" t="b">
        <v>0</v>
      </c>
      <c r="B12344" s="11" t="str">
        <f>IF(D12344&lt;&gt;"",IF(COUNTIF('USPTO TMs'!A:A,D12344)&gt;0,"Yes","No"),"")</f>
        <v/>
      </c>
      <c r="C12344" s="11"/>
      <c r="D12344" s="11"/>
      <c r="E12344" s="11"/>
      <c r="F12344" s="11"/>
      <c r="G12344" s="11"/>
      <c r="H12344" s="11"/>
      <c r="I12344" s="15"/>
    </row>
    <row r="12345" spans="1:9" ht="16.5">
      <c r="A12345" s="10" t="b">
        <v>0</v>
      </c>
      <c r="B12345" s="11" t="str">
        <f>IF(D12345&lt;&gt;"",IF(COUNTIF('USPTO TMs'!A:A,D12345)&gt;0,"Yes","No"),"")</f>
        <v/>
      </c>
      <c r="C12345" s="11"/>
      <c r="D12345" s="11"/>
      <c r="E12345" s="11"/>
      <c r="F12345" s="11"/>
      <c r="G12345" s="11"/>
      <c r="H12345" s="11"/>
      <c r="I12345" s="15"/>
    </row>
    <row r="12346" spans="1:9" ht="16.5">
      <c r="A12346" s="10" t="b">
        <v>0</v>
      </c>
      <c r="B12346" s="11" t="str">
        <f>IF(D12346&lt;&gt;"",IF(COUNTIF('USPTO TMs'!A:A,D12346)&gt;0,"Yes","No"),"")</f>
        <v/>
      </c>
      <c r="C12346" s="11"/>
      <c r="D12346" s="11"/>
      <c r="E12346" s="11"/>
      <c r="F12346" s="11"/>
      <c r="G12346" s="11"/>
      <c r="H12346" s="11"/>
      <c r="I12346" s="15"/>
    </row>
    <row r="12347" spans="1:9" ht="16.5">
      <c r="A12347" s="10" t="b">
        <v>0</v>
      </c>
      <c r="B12347" s="11" t="str">
        <f>IF(D12347&lt;&gt;"",IF(COUNTIF('USPTO TMs'!A:A,D12347)&gt;0,"Yes","No"),"")</f>
        <v/>
      </c>
      <c r="C12347" s="11"/>
      <c r="D12347" s="11"/>
      <c r="E12347" s="11"/>
      <c r="F12347" s="11"/>
      <c r="G12347" s="11"/>
      <c r="H12347" s="11"/>
      <c r="I12347" s="15"/>
    </row>
    <row r="12348" spans="1:9" ht="16.5">
      <c r="A12348" s="10" t="b">
        <v>0</v>
      </c>
      <c r="B12348" s="11" t="str">
        <f>IF(D12348&lt;&gt;"",IF(COUNTIF('USPTO TMs'!A:A,D12348)&gt;0,"Yes","No"),"")</f>
        <v/>
      </c>
      <c r="C12348" s="11"/>
      <c r="D12348" s="11"/>
      <c r="E12348" s="11"/>
      <c r="F12348" s="11"/>
      <c r="G12348" s="11"/>
      <c r="H12348" s="11"/>
      <c r="I12348" s="15"/>
    </row>
    <row r="12349" spans="1:9" ht="16.5">
      <c r="A12349" s="10" t="b">
        <v>0</v>
      </c>
      <c r="B12349" s="11" t="str">
        <f>IF(D12349&lt;&gt;"",IF(COUNTIF('USPTO TMs'!A:A,D12349)&gt;0,"Yes","No"),"")</f>
        <v/>
      </c>
      <c r="C12349" s="11"/>
      <c r="D12349" s="11"/>
      <c r="E12349" s="11"/>
      <c r="F12349" s="11"/>
      <c r="G12349" s="11"/>
      <c r="H12349" s="11"/>
      <c r="I12349" s="15"/>
    </row>
    <row r="12350" spans="1:9" ht="16.5">
      <c r="A12350" s="10" t="b">
        <v>0</v>
      </c>
      <c r="B12350" s="11" t="str">
        <f>IF(D12350&lt;&gt;"",IF(COUNTIF('USPTO TMs'!A:A,D12350)&gt;0,"Yes","No"),"")</f>
        <v/>
      </c>
      <c r="C12350" s="11"/>
      <c r="D12350" s="11"/>
      <c r="E12350" s="11"/>
      <c r="F12350" s="11"/>
      <c r="G12350" s="11"/>
      <c r="H12350" s="11"/>
      <c r="I12350" s="15"/>
    </row>
    <row r="12351" spans="1:9" ht="16.5">
      <c r="A12351" s="10" t="b">
        <v>0</v>
      </c>
      <c r="B12351" s="11" t="str">
        <f>IF(D12351&lt;&gt;"",IF(COUNTIF('USPTO TMs'!A:A,D12351)&gt;0,"Yes","No"),"")</f>
        <v/>
      </c>
      <c r="C12351" s="11"/>
      <c r="D12351" s="11"/>
      <c r="E12351" s="11"/>
      <c r="F12351" s="11"/>
      <c r="G12351" s="11"/>
      <c r="H12351" s="11"/>
      <c r="I12351" s="15"/>
    </row>
    <row r="12352" spans="1:9" ht="16.5">
      <c r="A12352" s="10" t="b">
        <v>0</v>
      </c>
      <c r="B12352" s="11" t="str">
        <f>IF(D12352&lt;&gt;"",IF(COUNTIF('USPTO TMs'!A:A,D12352)&gt;0,"Yes","No"),"")</f>
        <v/>
      </c>
      <c r="C12352" s="11"/>
      <c r="D12352" s="11"/>
      <c r="E12352" s="11"/>
      <c r="F12352" s="11"/>
      <c r="G12352" s="11"/>
      <c r="H12352" s="11"/>
      <c r="I12352" s="15"/>
    </row>
    <row r="12353" spans="1:9" ht="16.5">
      <c r="A12353" s="10" t="b">
        <v>0</v>
      </c>
      <c r="B12353" s="11" t="str">
        <f>IF(D12353&lt;&gt;"",IF(COUNTIF('USPTO TMs'!A:A,D12353)&gt;0,"Yes","No"),"")</f>
        <v/>
      </c>
      <c r="C12353" s="11"/>
      <c r="D12353" s="11"/>
      <c r="E12353" s="11"/>
      <c r="F12353" s="11"/>
      <c r="G12353" s="11"/>
      <c r="H12353" s="11"/>
      <c r="I12353" s="15"/>
    </row>
    <row r="12354" spans="1:9" ht="16.5">
      <c r="A12354" s="10" t="b">
        <v>0</v>
      </c>
      <c r="B12354" s="11" t="str">
        <f>IF(D12354&lt;&gt;"",IF(COUNTIF('USPTO TMs'!A:A,D12354)&gt;0,"Yes","No"),"")</f>
        <v/>
      </c>
      <c r="C12354" s="11"/>
      <c r="D12354" s="11"/>
      <c r="E12354" s="11"/>
      <c r="F12354" s="11"/>
      <c r="G12354" s="11"/>
      <c r="H12354" s="11"/>
      <c r="I12354" s="15"/>
    </row>
    <row r="12355" spans="1:9" ht="16.5">
      <c r="A12355" s="10" t="b">
        <v>0</v>
      </c>
      <c r="B12355" s="11" t="str">
        <f>IF(D12355&lt;&gt;"",IF(COUNTIF('USPTO TMs'!A:A,D12355)&gt;0,"Yes","No"),"")</f>
        <v/>
      </c>
      <c r="C12355" s="11"/>
      <c r="D12355" s="11"/>
      <c r="E12355" s="11"/>
      <c r="F12355" s="11"/>
      <c r="G12355" s="11"/>
      <c r="H12355" s="11"/>
      <c r="I12355" s="15"/>
    </row>
    <row r="12356" spans="1:9" ht="16.5">
      <c r="A12356" s="10" t="b">
        <v>0</v>
      </c>
      <c r="B12356" s="11" t="str">
        <f>IF(D12356&lt;&gt;"",IF(COUNTIF('USPTO TMs'!A:A,D12356)&gt;0,"Yes","No"),"")</f>
        <v/>
      </c>
      <c r="C12356" s="11"/>
      <c r="D12356" s="11"/>
      <c r="E12356" s="11"/>
      <c r="F12356" s="11"/>
      <c r="G12356" s="11"/>
      <c r="H12356" s="11"/>
      <c r="I12356" s="15"/>
    </row>
    <row r="12357" spans="1:9" ht="16.5">
      <c r="A12357" s="10" t="b">
        <v>0</v>
      </c>
      <c r="B12357" s="11" t="str">
        <f>IF(D12357&lt;&gt;"",IF(COUNTIF('USPTO TMs'!A:A,D12357)&gt;0,"Yes","No"),"")</f>
        <v/>
      </c>
      <c r="C12357" s="11"/>
      <c r="D12357" s="11"/>
      <c r="E12357" s="11"/>
      <c r="F12357" s="11"/>
      <c r="G12357" s="11"/>
      <c r="H12357" s="11"/>
      <c r="I12357" s="15"/>
    </row>
    <row r="12358" spans="1:9" ht="16.5">
      <c r="A12358" s="10" t="b">
        <v>0</v>
      </c>
      <c r="B12358" s="11" t="str">
        <f>IF(D12358&lt;&gt;"",IF(COUNTIF('USPTO TMs'!A:A,D12358)&gt;0,"Yes","No"),"")</f>
        <v/>
      </c>
      <c r="C12358" s="11"/>
      <c r="D12358" s="11"/>
      <c r="E12358" s="11"/>
      <c r="F12358" s="11"/>
      <c r="G12358" s="11"/>
      <c r="H12358" s="11"/>
      <c r="I12358" s="15"/>
    </row>
    <row r="12359" spans="1:9" ht="16.5">
      <c r="A12359" s="10" t="b">
        <v>0</v>
      </c>
      <c r="B12359" s="11" t="str">
        <f>IF(D12359&lt;&gt;"",IF(COUNTIF('USPTO TMs'!A:A,D12359)&gt;0,"Yes","No"),"")</f>
        <v/>
      </c>
      <c r="C12359" s="11"/>
      <c r="D12359" s="11"/>
      <c r="E12359" s="11"/>
      <c r="F12359" s="11"/>
      <c r="G12359" s="11"/>
      <c r="H12359" s="11"/>
      <c r="I12359" s="15"/>
    </row>
    <row r="12360" spans="1:9" ht="16.5">
      <c r="A12360" s="10" t="b">
        <v>0</v>
      </c>
      <c r="B12360" s="11" t="str">
        <f>IF(D12360&lt;&gt;"",IF(COUNTIF('USPTO TMs'!A:A,D12360)&gt;0,"Yes","No"),"")</f>
        <v/>
      </c>
      <c r="C12360" s="11"/>
      <c r="D12360" s="11"/>
      <c r="E12360" s="11"/>
      <c r="F12360" s="11"/>
      <c r="G12360" s="11"/>
      <c r="H12360" s="11"/>
      <c r="I12360" s="15"/>
    </row>
    <row r="12361" spans="1:9" ht="16.5">
      <c r="A12361" s="10" t="b">
        <v>0</v>
      </c>
      <c r="B12361" s="11" t="str">
        <f>IF(D12361&lt;&gt;"",IF(COUNTIF('USPTO TMs'!A:A,D12361)&gt;0,"Yes","No"),"")</f>
        <v/>
      </c>
      <c r="C12361" s="11"/>
      <c r="D12361" s="11"/>
      <c r="E12361" s="11"/>
      <c r="F12361" s="11"/>
      <c r="G12361" s="11"/>
      <c r="H12361" s="11"/>
      <c r="I12361" s="15"/>
    </row>
    <row r="12362" spans="1:9" ht="16.5">
      <c r="A12362" s="10" t="b">
        <v>0</v>
      </c>
      <c r="B12362" s="11" t="str">
        <f>IF(D12362&lt;&gt;"",IF(COUNTIF('USPTO TMs'!A:A,D12362)&gt;0,"Yes","No"),"")</f>
        <v/>
      </c>
      <c r="C12362" s="11"/>
      <c r="D12362" s="11"/>
      <c r="E12362" s="11"/>
      <c r="F12362" s="11"/>
      <c r="G12362" s="11"/>
      <c r="H12362" s="11"/>
      <c r="I12362" s="15"/>
    </row>
    <row r="12363" spans="1:9" ht="16.5">
      <c r="A12363" s="10" t="b">
        <v>0</v>
      </c>
      <c r="B12363" s="11" t="str">
        <f>IF(D12363&lt;&gt;"",IF(COUNTIF('USPTO TMs'!A:A,D12363)&gt;0,"Yes","No"),"")</f>
        <v/>
      </c>
      <c r="C12363" s="11"/>
      <c r="D12363" s="11"/>
      <c r="E12363" s="11"/>
      <c r="F12363" s="11"/>
      <c r="G12363" s="11"/>
      <c r="H12363" s="11"/>
      <c r="I12363" s="15"/>
    </row>
    <row r="12364" spans="1:9" ht="16.5">
      <c r="A12364" s="10" t="b">
        <v>0</v>
      </c>
      <c r="B12364" s="11" t="str">
        <f>IF(D12364&lt;&gt;"",IF(COUNTIF('USPTO TMs'!A:A,D12364)&gt;0,"Yes","No"),"")</f>
        <v/>
      </c>
      <c r="C12364" s="11"/>
      <c r="D12364" s="11"/>
      <c r="E12364" s="11"/>
      <c r="F12364" s="11"/>
      <c r="G12364" s="11"/>
      <c r="H12364" s="11"/>
      <c r="I12364" s="15"/>
    </row>
    <row r="12365" spans="1:9" ht="16.5">
      <c r="A12365" s="10" t="b">
        <v>0</v>
      </c>
      <c r="B12365" s="11" t="str">
        <f>IF(D12365&lt;&gt;"",IF(COUNTIF('USPTO TMs'!A:A,D12365)&gt;0,"Yes","No"),"")</f>
        <v/>
      </c>
      <c r="C12365" s="11"/>
      <c r="D12365" s="11"/>
      <c r="E12365" s="11"/>
      <c r="F12365" s="11"/>
      <c r="G12365" s="11"/>
      <c r="H12365" s="11"/>
      <c r="I12365" s="15"/>
    </row>
    <row r="12366" spans="1:9" ht="16.5">
      <c r="A12366" s="10" t="b">
        <v>0</v>
      </c>
      <c r="B12366" s="11" t="str">
        <f>IF(D12366&lt;&gt;"",IF(COUNTIF('USPTO TMs'!A:A,D12366)&gt;0,"Yes","No"),"")</f>
        <v/>
      </c>
      <c r="C12366" s="11"/>
      <c r="D12366" s="11"/>
      <c r="E12366" s="11"/>
      <c r="F12366" s="11"/>
      <c r="G12366" s="11"/>
      <c r="H12366" s="11"/>
      <c r="I12366" s="15"/>
    </row>
    <row r="12367" spans="1:9" ht="16.5">
      <c r="A12367" s="10" t="b">
        <v>0</v>
      </c>
      <c r="B12367" s="11" t="str">
        <f>IF(D12367&lt;&gt;"",IF(COUNTIF('USPTO TMs'!A:A,D12367)&gt;0,"Yes","No"),"")</f>
        <v/>
      </c>
      <c r="C12367" s="11"/>
      <c r="D12367" s="11"/>
      <c r="E12367" s="11"/>
      <c r="F12367" s="11"/>
      <c r="G12367" s="11"/>
      <c r="H12367" s="11"/>
      <c r="I12367" s="15"/>
    </row>
    <row r="12368" spans="1:9" ht="16.5">
      <c r="A12368" s="10" t="b">
        <v>0</v>
      </c>
      <c r="B12368" s="11" t="str">
        <f>IF(D12368&lt;&gt;"",IF(COUNTIF('USPTO TMs'!A:A,D12368)&gt;0,"Yes","No"),"")</f>
        <v/>
      </c>
      <c r="C12368" s="11"/>
      <c r="D12368" s="11"/>
      <c r="E12368" s="11"/>
      <c r="F12368" s="11"/>
      <c r="G12368" s="11"/>
      <c r="H12368" s="11"/>
      <c r="I12368" s="15"/>
    </row>
    <row r="12369" spans="1:9" ht="16.5">
      <c r="A12369" s="10" t="b">
        <v>0</v>
      </c>
      <c r="B12369" s="11" t="str">
        <f>IF(D12369&lt;&gt;"",IF(COUNTIF('USPTO TMs'!A:A,D12369)&gt;0,"Yes","No"),"")</f>
        <v/>
      </c>
      <c r="C12369" s="11"/>
      <c r="D12369" s="11"/>
      <c r="E12369" s="11"/>
      <c r="F12369" s="11"/>
      <c r="G12369" s="11"/>
      <c r="H12369" s="11"/>
      <c r="I12369" s="15"/>
    </row>
    <row r="12370" spans="1:9" ht="16.5">
      <c r="A12370" s="10" t="b">
        <v>0</v>
      </c>
      <c r="B12370" s="11" t="str">
        <f>IF(D12370&lt;&gt;"",IF(COUNTIF('USPTO TMs'!A:A,D12370)&gt;0,"Yes","No"),"")</f>
        <v/>
      </c>
      <c r="C12370" s="11"/>
      <c r="D12370" s="11"/>
      <c r="E12370" s="11"/>
      <c r="F12370" s="11"/>
      <c r="G12370" s="11"/>
      <c r="H12370" s="11"/>
      <c r="I12370" s="15"/>
    </row>
    <row r="12371" spans="1:9" ht="16.5">
      <c r="A12371" s="10" t="b">
        <v>0</v>
      </c>
      <c r="B12371" s="11" t="str">
        <f>IF(D12371&lt;&gt;"",IF(COUNTIF('USPTO TMs'!A:A,D12371)&gt;0,"Yes","No"),"")</f>
        <v/>
      </c>
      <c r="C12371" s="11"/>
      <c r="D12371" s="11"/>
      <c r="E12371" s="11"/>
      <c r="F12371" s="11"/>
      <c r="G12371" s="11"/>
      <c r="H12371" s="11"/>
      <c r="I12371" s="15"/>
    </row>
    <row r="12372" spans="1:9" ht="16.5">
      <c r="A12372" s="10" t="b">
        <v>0</v>
      </c>
      <c r="B12372" s="11" t="str">
        <f>IF(D12372&lt;&gt;"",IF(COUNTIF('USPTO TMs'!A:A,D12372)&gt;0,"Yes","No"),"")</f>
        <v/>
      </c>
      <c r="C12372" s="11"/>
      <c r="D12372" s="11"/>
      <c r="E12372" s="11"/>
      <c r="F12372" s="11"/>
      <c r="G12372" s="11"/>
      <c r="H12372" s="11"/>
      <c r="I12372" s="15"/>
    </row>
    <row r="12373" spans="1:9" ht="16.5">
      <c r="A12373" s="10" t="b">
        <v>0</v>
      </c>
      <c r="B12373" s="11" t="str">
        <f>IF(D12373&lt;&gt;"",IF(COUNTIF('USPTO TMs'!A:A,D12373)&gt;0,"Yes","No"),"")</f>
        <v/>
      </c>
      <c r="C12373" s="11"/>
      <c r="D12373" s="11"/>
      <c r="E12373" s="11"/>
      <c r="F12373" s="11"/>
      <c r="G12373" s="11"/>
      <c r="H12373" s="11"/>
      <c r="I12373" s="15"/>
    </row>
    <row r="12374" spans="1:9" ht="16.5">
      <c r="A12374" s="10" t="b">
        <v>0</v>
      </c>
      <c r="B12374" s="11" t="str">
        <f>IF(D12374&lt;&gt;"",IF(COUNTIF('USPTO TMs'!A:A,D12374)&gt;0,"Yes","No"),"")</f>
        <v/>
      </c>
      <c r="C12374" s="11"/>
      <c r="D12374" s="11"/>
      <c r="E12374" s="11"/>
      <c r="F12374" s="11"/>
      <c r="G12374" s="11"/>
      <c r="H12374" s="11"/>
      <c r="I12374" s="15"/>
    </row>
    <row r="12375" spans="1:9" ht="16.5">
      <c r="A12375" s="10" t="b">
        <v>0</v>
      </c>
      <c r="B12375" s="11" t="str">
        <f>IF(D12375&lt;&gt;"",IF(COUNTIF('USPTO TMs'!A:A,D12375)&gt;0,"Yes","No"),"")</f>
        <v/>
      </c>
      <c r="C12375" s="11"/>
      <c r="D12375" s="11"/>
      <c r="E12375" s="11"/>
      <c r="F12375" s="11"/>
      <c r="G12375" s="11"/>
      <c r="H12375" s="11"/>
      <c r="I12375" s="15"/>
    </row>
    <row r="12376" spans="1:9" ht="16.5">
      <c r="A12376" s="10" t="b">
        <v>0</v>
      </c>
      <c r="B12376" s="11" t="str">
        <f>IF(D12376&lt;&gt;"",IF(COUNTIF('USPTO TMs'!A:A,D12376)&gt;0,"Yes","No"),"")</f>
        <v/>
      </c>
      <c r="C12376" s="11"/>
      <c r="D12376" s="11"/>
      <c r="E12376" s="11"/>
      <c r="F12376" s="11"/>
      <c r="G12376" s="11"/>
      <c r="H12376" s="11"/>
      <c r="I12376" s="15"/>
    </row>
    <row r="12377" spans="1:9" ht="16.5">
      <c r="A12377" s="10" t="b">
        <v>0</v>
      </c>
      <c r="B12377" s="11" t="str">
        <f>IF(D12377&lt;&gt;"",IF(COUNTIF('USPTO TMs'!A:A,D12377)&gt;0,"Yes","No"),"")</f>
        <v/>
      </c>
      <c r="C12377" s="11"/>
      <c r="D12377" s="11"/>
      <c r="E12377" s="11"/>
      <c r="F12377" s="11"/>
      <c r="G12377" s="11"/>
      <c r="H12377" s="11"/>
      <c r="I12377" s="15"/>
    </row>
    <row r="12378" spans="1:9" ht="16.5">
      <c r="A12378" s="10" t="b">
        <v>0</v>
      </c>
      <c r="B12378" s="11" t="str">
        <f>IF(D12378&lt;&gt;"",IF(COUNTIF('USPTO TMs'!A:A,D12378)&gt;0,"Yes","No"),"")</f>
        <v/>
      </c>
      <c r="C12378" s="11"/>
      <c r="D12378" s="11"/>
      <c r="E12378" s="11"/>
      <c r="F12378" s="11"/>
      <c r="G12378" s="11"/>
      <c r="H12378" s="11"/>
      <c r="I12378" s="15"/>
    </row>
    <row r="12379" spans="1:9" ht="16.5">
      <c r="A12379" s="10" t="b">
        <v>0</v>
      </c>
      <c r="B12379" s="11" t="str">
        <f>IF(D12379&lt;&gt;"",IF(COUNTIF('USPTO TMs'!A:A,D12379)&gt;0,"Yes","No"),"")</f>
        <v/>
      </c>
      <c r="C12379" s="11"/>
      <c r="D12379" s="11"/>
      <c r="E12379" s="11"/>
      <c r="F12379" s="11"/>
      <c r="G12379" s="11"/>
      <c r="H12379" s="11"/>
      <c r="I12379" s="15"/>
    </row>
    <row r="12380" spans="1:9" ht="16.5">
      <c r="A12380" s="10" t="b">
        <v>0</v>
      </c>
      <c r="B12380" s="11" t="str">
        <f>IF(D12380&lt;&gt;"",IF(COUNTIF('USPTO TMs'!A:A,D12380)&gt;0,"Yes","No"),"")</f>
        <v/>
      </c>
      <c r="C12380" s="11"/>
      <c r="D12380" s="11"/>
      <c r="E12380" s="11"/>
      <c r="F12380" s="11"/>
      <c r="G12380" s="11"/>
      <c r="H12380" s="11"/>
      <c r="I12380" s="15"/>
    </row>
    <row r="12381" spans="1:9" ht="16.5">
      <c r="A12381" s="10" t="b">
        <v>0</v>
      </c>
      <c r="B12381" s="11" t="str">
        <f>IF(D12381&lt;&gt;"",IF(COUNTIF('USPTO TMs'!A:A,D12381)&gt;0,"Yes","No"),"")</f>
        <v/>
      </c>
      <c r="C12381" s="11"/>
      <c r="D12381" s="11"/>
      <c r="E12381" s="11"/>
      <c r="F12381" s="11"/>
      <c r="G12381" s="11"/>
      <c r="H12381" s="11"/>
      <c r="I12381" s="15"/>
    </row>
    <row r="12382" spans="1:9" ht="16.5">
      <c r="A12382" s="10" t="b">
        <v>0</v>
      </c>
      <c r="B12382" s="11" t="str">
        <f>IF(D12382&lt;&gt;"",IF(COUNTIF('USPTO TMs'!A:A,D12382)&gt;0,"Yes","No"),"")</f>
        <v/>
      </c>
      <c r="C12382" s="11"/>
      <c r="D12382" s="11"/>
      <c r="E12382" s="11"/>
      <c r="F12382" s="11"/>
      <c r="G12382" s="11"/>
      <c r="H12382" s="11"/>
      <c r="I12382" s="15"/>
    </row>
    <row r="12383" spans="1:9" ht="16.5">
      <c r="A12383" s="10" t="b">
        <v>0</v>
      </c>
      <c r="B12383" s="11" t="str">
        <f>IF(D12383&lt;&gt;"",IF(COUNTIF('USPTO TMs'!A:A,D12383)&gt;0,"Yes","No"),"")</f>
        <v/>
      </c>
      <c r="C12383" s="11"/>
      <c r="D12383" s="11"/>
      <c r="E12383" s="11"/>
      <c r="F12383" s="11"/>
      <c r="G12383" s="11"/>
      <c r="H12383" s="11"/>
      <c r="I12383" s="15"/>
    </row>
    <row r="12384" spans="1:9" ht="16.5">
      <c r="A12384" s="10" t="b">
        <v>0</v>
      </c>
      <c r="B12384" s="11" t="str">
        <f>IF(D12384&lt;&gt;"",IF(COUNTIF('USPTO TMs'!A:A,D12384)&gt;0,"Yes","No"),"")</f>
        <v/>
      </c>
      <c r="C12384" s="11"/>
      <c r="D12384" s="11"/>
      <c r="E12384" s="11"/>
      <c r="F12384" s="11"/>
      <c r="G12384" s="11"/>
      <c r="H12384" s="11"/>
      <c r="I12384" s="15"/>
    </row>
    <row r="12385" spans="1:9" ht="16.5">
      <c r="A12385" s="10" t="b">
        <v>0</v>
      </c>
      <c r="B12385" s="11" t="str">
        <f>IF(D12385&lt;&gt;"",IF(COUNTIF('USPTO TMs'!A:A,D12385)&gt;0,"Yes","No"),"")</f>
        <v/>
      </c>
      <c r="C12385" s="11"/>
      <c r="D12385" s="11"/>
      <c r="E12385" s="11"/>
      <c r="F12385" s="11"/>
      <c r="G12385" s="11"/>
      <c r="H12385" s="11"/>
      <c r="I12385" s="15"/>
    </row>
    <row r="12386" spans="1:9" ht="16.5">
      <c r="A12386" s="10" t="b">
        <v>0</v>
      </c>
      <c r="B12386" s="11" t="str">
        <f>IF(D12386&lt;&gt;"",IF(COUNTIF('USPTO TMs'!A:A,D12386)&gt;0,"Yes","No"),"")</f>
        <v/>
      </c>
      <c r="C12386" s="11"/>
      <c r="D12386" s="11"/>
      <c r="E12386" s="11"/>
      <c r="F12386" s="11"/>
      <c r="G12386" s="11"/>
      <c r="H12386" s="11"/>
      <c r="I12386" s="15"/>
    </row>
    <row r="12387" spans="1:9" ht="16.5">
      <c r="A12387" s="10" t="b">
        <v>0</v>
      </c>
      <c r="B12387" s="11" t="str">
        <f>IF(D12387&lt;&gt;"",IF(COUNTIF('USPTO TMs'!A:A,D12387)&gt;0,"Yes","No"),"")</f>
        <v/>
      </c>
      <c r="C12387" s="11"/>
      <c r="D12387" s="11"/>
      <c r="E12387" s="11"/>
      <c r="F12387" s="11"/>
      <c r="G12387" s="11"/>
      <c r="H12387" s="11"/>
      <c r="I12387" s="15"/>
    </row>
    <row r="12388" spans="1:9" ht="16.5">
      <c r="A12388" s="10" t="b">
        <v>0</v>
      </c>
      <c r="B12388" s="11" t="str">
        <f>IF(D12388&lt;&gt;"",IF(COUNTIF('USPTO TMs'!A:A,D12388)&gt;0,"Yes","No"),"")</f>
        <v/>
      </c>
      <c r="C12388" s="11"/>
      <c r="D12388" s="11"/>
      <c r="E12388" s="11"/>
      <c r="F12388" s="11"/>
      <c r="G12388" s="11"/>
      <c r="H12388" s="11"/>
      <c r="I12388" s="15"/>
    </row>
    <row r="12389" spans="1:9" ht="16.5">
      <c r="A12389" s="10" t="b">
        <v>0</v>
      </c>
      <c r="B12389" s="11" t="str">
        <f>IF(D12389&lt;&gt;"",IF(COUNTIF('USPTO TMs'!A:A,D12389)&gt;0,"Yes","No"),"")</f>
        <v/>
      </c>
      <c r="C12389" s="11"/>
      <c r="D12389" s="11"/>
      <c r="E12389" s="11"/>
      <c r="F12389" s="11"/>
      <c r="G12389" s="11"/>
      <c r="H12389" s="11"/>
      <c r="I12389" s="15"/>
    </row>
    <row r="12390" spans="1:9" ht="16.5">
      <c r="A12390" s="10" t="b">
        <v>0</v>
      </c>
      <c r="B12390" s="11" t="str">
        <f>IF(D12390&lt;&gt;"",IF(COUNTIF('USPTO TMs'!A:A,D12390)&gt;0,"Yes","No"),"")</f>
        <v/>
      </c>
      <c r="C12390" s="11"/>
      <c r="D12390" s="11"/>
      <c r="E12390" s="11"/>
      <c r="F12390" s="11"/>
      <c r="G12390" s="11"/>
      <c r="H12390" s="11"/>
      <c r="I12390" s="15"/>
    </row>
    <row r="12391" spans="1:9" ht="16.5">
      <c r="A12391" s="10" t="b">
        <v>0</v>
      </c>
      <c r="B12391" s="11" t="str">
        <f>IF(D12391&lt;&gt;"",IF(COUNTIF('USPTO TMs'!A:A,D12391)&gt;0,"Yes","No"),"")</f>
        <v/>
      </c>
      <c r="C12391" s="11"/>
      <c r="D12391" s="11"/>
      <c r="E12391" s="11"/>
      <c r="F12391" s="11"/>
      <c r="G12391" s="11"/>
      <c r="H12391" s="11"/>
      <c r="I12391" s="15"/>
    </row>
    <row r="12392" spans="1:9" ht="16.5">
      <c r="A12392" s="10" t="b">
        <v>0</v>
      </c>
      <c r="B12392" s="11" t="str">
        <f>IF(D12392&lt;&gt;"",IF(COUNTIF('USPTO TMs'!A:A,D12392)&gt;0,"Yes","No"),"")</f>
        <v/>
      </c>
      <c r="C12392" s="11"/>
      <c r="D12392" s="11"/>
      <c r="E12392" s="11"/>
      <c r="F12392" s="11"/>
      <c r="G12392" s="11"/>
      <c r="H12392" s="11"/>
      <c r="I12392" s="15"/>
    </row>
    <row r="12393" spans="1:9" ht="16.5">
      <c r="A12393" s="10" t="b">
        <v>0</v>
      </c>
      <c r="B12393" s="11" t="str">
        <f>IF(D12393&lt;&gt;"",IF(COUNTIF('USPTO TMs'!A:A,D12393)&gt;0,"Yes","No"),"")</f>
        <v/>
      </c>
      <c r="C12393" s="11"/>
      <c r="D12393" s="11"/>
      <c r="E12393" s="11"/>
      <c r="F12393" s="11"/>
      <c r="G12393" s="11"/>
      <c r="H12393" s="11"/>
      <c r="I12393" s="15"/>
    </row>
    <row r="12394" spans="1:9" ht="16.5">
      <c r="A12394" s="10" t="b">
        <v>0</v>
      </c>
      <c r="B12394" s="11" t="str">
        <f>IF(D12394&lt;&gt;"",IF(COUNTIF('USPTO TMs'!A:A,D12394)&gt;0,"Yes","No"),"")</f>
        <v/>
      </c>
      <c r="C12394" s="11"/>
      <c r="D12394" s="11"/>
      <c r="E12394" s="11"/>
      <c r="F12394" s="11"/>
      <c r="G12394" s="11"/>
      <c r="H12394" s="11"/>
      <c r="I12394" s="15"/>
    </row>
    <row r="12395" spans="1:9" ht="16.5">
      <c r="A12395" s="10" t="b">
        <v>0</v>
      </c>
      <c r="B12395" s="11" t="str">
        <f>IF(D12395&lt;&gt;"",IF(COUNTIF('USPTO TMs'!A:A,D12395)&gt;0,"Yes","No"),"")</f>
        <v/>
      </c>
      <c r="C12395" s="11"/>
      <c r="D12395" s="11"/>
      <c r="E12395" s="11"/>
      <c r="F12395" s="11"/>
      <c r="G12395" s="11"/>
      <c r="H12395" s="11"/>
      <c r="I12395" s="15"/>
    </row>
    <row r="12396" spans="1:9" ht="16.5">
      <c r="A12396" s="10" t="b">
        <v>0</v>
      </c>
      <c r="B12396" s="11" t="str">
        <f>IF(D12396&lt;&gt;"",IF(COUNTIF('USPTO TMs'!A:A,D12396)&gt;0,"Yes","No"),"")</f>
        <v/>
      </c>
      <c r="C12396" s="11"/>
      <c r="D12396" s="11"/>
      <c r="E12396" s="11"/>
      <c r="F12396" s="11"/>
      <c r="G12396" s="11"/>
      <c r="H12396" s="11"/>
      <c r="I12396" s="15"/>
    </row>
    <row r="12397" spans="1:9" ht="16.5">
      <c r="A12397" s="10" t="b">
        <v>0</v>
      </c>
      <c r="B12397" s="11" t="str">
        <f>IF(D12397&lt;&gt;"",IF(COUNTIF('USPTO TMs'!A:A,D12397)&gt;0,"Yes","No"),"")</f>
        <v/>
      </c>
      <c r="C12397" s="11"/>
      <c r="D12397" s="11"/>
      <c r="E12397" s="11"/>
      <c r="F12397" s="11"/>
      <c r="G12397" s="11"/>
      <c r="H12397" s="11"/>
      <c r="I12397" s="15"/>
    </row>
    <row r="12398" spans="1:9" ht="16.5">
      <c r="A12398" s="10" t="b">
        <v>0</v>
      </c>
      <c r="B12398" s="11" t="str">
        <f>IF(D12398&lt;&gt;"",IF(COUNTIF('USPTO TMs'!A:A,D12398)&gt;0,"Yes","No"),"")</f>
        <v/>
      </c>
      <c r="C12398" s="11"/>
      <c r="D12398" s="11"/>
      <c r="E12398" s="11"/>
      <c r="F12398" s="11"/>
      <c r="G12398" s="11"/>
      <c r="H12398" s="11"/>
      <c r="I12398" s="15"/>
    </row>
    <row r="12399" spans="1:9" ht="16.5">
      <c r="A12399" s="10" t="b">
        <v>0</v>
      </c>
      <c r="B12399" s="11" t="str">
        <f>IF(D12399&lt;&gt;"",IF(COUNTIF('USPTO TMs'!A:A,D12399)&gt;0,"Yes","No"),"")</f>
        <v/>
      </c>
      <c r="C12399" s="11"/>
      <c r="D12399" s="11"/>
      <c r="E12399" s="11"/>
      <c r="F12399" s="11"/>
      <c r="G12399" s="11"/>
      <c r="H12399" s="11"/>
      <c r="I12399" s="15"/>
    </row>
    <row r="12400" spans="1:9" ht="16.5">
      <c r="A12400" s="10" t="b">
        <v>0</v>
      </c>
      <c r="B12400" s="11" t="str">
        <f>IF(D12400&lt;&gt;"",IF(COUNTIF('USPTO TMs'!A:A,D12400)&gt;0,"Yes","No"),"")</f>
        <v/>
      </c>
      <c r="C12400" s="11"/>
      <c r="D12400" s="11"/>
      <c r="E12400" s="11"/>
      <c r="F12400" s="11"/>
      <c r="G12400" s="11"/>
      <c r="H12400" s="11"/>
      <c r="I12400" s="15"/>
    </row>
    <row r="12401" spans="1:9" ht="16.5">
      <c r="A12401" s="10" t="b">
        <v>0</v>
      </c>
      <c r="B12401" s="11" t="str">
        <f>IF(D12401&lt;&gt;"",IF(COUNTIF('USPTO TMs'!A:A,D12401)&gt;0,"Yes","No"),"")</f>
        <v/>
      </c>
      <c r="C12401" s="11"/>
      <c r="D12401" s="11"/>
      <c r="E12401" s="11"/>
      <c r="F12401" s="11"/>
      <c r="G12401" s="11"/>
      <c r="H12401" s="11"/>
      <c r="I12401" s="15"/>
    </row>
    <row r="12402" spans="1:9" ht="16.5">
      <c r="A12402" s="10" t="b">
        <v>0</v>
      </c>
      <c r="B12402" s="11" t="str">
        <f>IF(D12402&lt;&gt;"",IF(COUNTIF('USPTO TMs'!A:A,D12402)&gt;0,"Yes","No"),"")</f>
        <v/>
      </c>
      <c r="C12402" s="11"/>
      <c r="D12402" s="11"/>
      <c r="E12402" s="11"/>
      <c r="F12402" s="11"/>
      <c r="G12402" s="11"/>
      <c r="H12402" s="11"/>
      <c r="I12402" s="15"/>
    </row>
    <row r="12403" spans="1:9" ht="16.5">
      <c r="A12403" s="10" t="b">
        <v>0</v>
      </c>
      <c r="B12403" s="11" t="str">
        <f>IF(D12403&lt;&gt;"",IF(COUNTIF('USPTO TMs'!A:A,D12403)&gt;0,"Yes","No"),"")</f>
        <v/>
      </c>
      <c r="C12403" s="11"/>
      <c r="D12403" s="11"/>
      <c r="E12403" s="11"/>
      <c r="F12403" s="11"/>
      <c r="G12403" s="11"/>
      <c r="H12403" s="11"/>
      <c r="I12403" s="15"/>
    </row>
    <row r="12404" spans="1:9" ht="16.5">
      <c r="A12404" s="10" t="b">
        <v>0</v>
      </c>
      <c r="B12404" s="11" t="str">
        <f>IF(D12404&lt;&gt;"",IF(COUNTIF('USPTO TMs'!A:A,D12404)&gt;0,"Yes","No"),"")</f>
        <v/>
      </c>
      <c r="C12404" s="11"/>
      <c r="D12404" s="11"/>
      <c r="E12404" s="11"/>
      <c r="F12404" s="11"/>
      <c r="G12404" s="11"/>
      <c r="H12404" s="11"/>
      <c r="I12404" s="15"/>
    </row>
    <row r="12405" spans="1:9" ht="16.5">
      <c r="A12405" s="10" t="b">
        <v>0</v>
      </c>
      <c r="B12405" s="11" t="str">
        <f>IF(D12405&lt;&gt;"",IF(COUNTIF('USPTO TMs'!A:A,D12405)&gt;0,"Yes","No"),"")</f>
        <v/>
      </c>
      <c r="C12405" s="11"/>
      <c r="D12405" s="11"/>
      <c r="E12405" s="11"/>
      <c r="F12405" s="11"/>
      <c r="G12405" s="11"/>
      <c r="H12405" s="11"/>
      <c r="I12405" s="15"/>
    </row>
    <row r="12406" spans="1:9" ht="16.5">
      <c r="A12406" s="10" t="b">
        <v>0</v>
      </c>
      <c r="B12406" s="11" t="str">
        <f>IF(D12406&lt;&gt;"",IF(COUNTIF('USPTO TMs'!A:A,D12406)&gt;0,"Yes","No"),"")</f>
        <v/>
      </c>
      <c r="C12406" s="11"/>
      <c r="D12406" s="11"/>
      <c r="E12406" s="11"/>
      <c r="F12406" s="11"/>
      <c r="G12406" s="11"/>
      <c r="H12406" s="11"/>
      <c r="I12406" s="15"/>
    </row>
    <row r="12407" spans="1:9" ht="16.5">
      <c r="A12407" s="10" t="b">
        <v>0</v>
      </c>
      <c r="B12407" s="11" t="str">
        <f>IF(D12407&lt;&gt;"",IF(COUNTIF('USPTO TMs'!A:A,D12407)&gt;0,"Yes","No"),"")</f>
        <v/>
      </c>
      <c r="C12407" s="11"/>
      <c r="D12407" s="11"/>
      <c r="E12407" s="11"/>
      <c r="F12407" s="11"/>
      <c r="G12407" s="11"/>
      <c r="H12407" s="11"/>
      <c r="I12407" s="15"/>
    </row>
    <row r="12408" spans="1:9" ht="16.5">
      <c r="A12408" s="10" t="b">
        <v>0</v>
      </c>
      <c r="B12408" s="11" t="str">
        <f>IF(D12408&lt;&gt;"",IF(COUNTIF('USPTO TMs'!A:A,D12408)&gt;0,"Yes","No"),"")</f>
        <v/>
      </c>
      <c r="C12408" s="11"/>
      <c r="D12408" s="11"/>
      <c r="E12408" s="11"/>
      <c r="F12408" s="11"/>
      <c r="G12408" s="11"/>
      <c r="H12408" s="11"/>
      <c r="I12408" s="15"/>
    </row>
    <row r="12409" spans="1:9" ht="16.5">
      <c r="A12409" s="10" t="b">
        <v>0</v>
      </c>
      <c r="B12409" s="11" t="str">
        <f>IF(D12409&lt;&gt;"",IF(COUNTIF('USPTO TMs'!A:A,D12409)&gt;0,"Yes","No"),"")</f>
        <v/>
      </c>
      <c r="C12409" s="11"/>
      <c r="D12409" s="11"/>
      <c r="E12409" s="11"/>
      <c r="F12409" s="11"/>
      <c r="G12409" s="11"/>
      <c r="H12409" s="11"/>
      <c r="I12409" s="15"/>
    </row>
    <row r="12410" spans="1:9" ht="16.5">
      <c r="A12410" s="10" t="b">
        <v>0</v>
      </c>
      <c r="B12410" s="11" t="str">
        <f>IF(D12410&lt;&gt;"",IF(COUNTIF('USPTO TMs'!A:A,D12410)&gt;0,"Yes","No"),"")</f>
        <v/>
      </c>
      <c r="C12410" s="11"/>
      <c r="D12410" s="11"/>
      <c r="E12410" s="11"/>
      <c r="F12410" s="11"/>
      <c r="G12410" s="11"/>
      <c r="H12410" s="11"/>
      <c r="I12410" s="15"/>
    </row>
    <row r="12411" spans="1:9" ht="16.5">
      <c r="A12411" s="10" t="b">
        <v>0</v>
      </c>
      <c r="B12411" s="11" t="str">
        <f>IF(D12411&lt;&gt;"",IF(COUNTIF('USPTO TMs'!A:A,D12411)&gt;0,"Yes","No"),"")</f>
        <v/>
      </c>
      <c r="C12411" s="11"/>
      <c r="D12411" s="11"/>
      <c r="E12411" s="11"/>
      <c r="F12411" s="11"/>
      <c r="G12411" s="11"/>
      <c r="H12411" s="11"/>
      <c r="I12411" s="15"/>
    </row>
    <row r="12412" spans="1:9" ht="16.5">
      <c r="A12412" s="10" t="b">
        <v>0</v>
      </c>
      <c r="B12412" s="11" t="str">
        <f>IF(D12412&lt;&gt;"",IF(COUNTIF('USPTO TMs'!A:A,D12412)&gt;0,"Yes","No"),"")</f>
        <v/>
      </c>
      <c r="C12412" s="11"/>
      <c r="D12412" s="11"/>
      <c r="E12412" s="11"/>
      <c r="F12412" s="11"/>
      <c r="G12412" s="11"/>
      <c r="H12412" s="11"/>
      <c r="I12412" s="15"/>
    </row>
    <row r="12413" spans="1:9" ht="16.5">
      <c r="A12413" s="10" t="b">
        <v>0</v>
      </c>
      <c r="B12413" s="11" t="str">
        <f>IF(D12413&lt;&gt;"",IF(COUNTIF('USPTO TMs'!A:A,D12413)&gt;0,"Yes","No"),"")</f>
        <v/>
      </c>
      <c r="C12413" s="11"/>
      <c r="D12413" s="11"/>
      <c r="E12413" s="11"/>
      <c r="F12413" s="11"/>
      <c r="G12413" s="11"/>
      <c r="H12413" s="11"/>
      <c r="I12413" s="15"/>
    </row>
    <row r="12414" spans="1:9" ht="16.5">
      <c r="A12414" s="10" t="b">
        <v>0</v>
      </c>
      <c r="B12414" s="11" t="str">
        <f>IF(D12414&lt;&gt;"",IF(COUNTIF('USPTO TMs'!A:A,D12414)&gt;0,"Yes","No"),"")</f>
        <v/>
      </c>
      <c r="C12414" s="11"/>
      <c r="D12414" s="11"/>
      <c r="E12414" s="11"/>
      <c r="F12414" s="11"/>
      <c r="G12414" s="11"/>
      <c r="H12414" s="11"/>
      <c r="I12414" s="15"/>
    </row>
    <row r="12415" spans="1:9" ht="16.5">
      <c r="A12415" s="10" t="b">
        <v>0</v>
      </c>
      <c r="B12415" s="11" t="str">
        <f>IF(D12415&lt;&gt;"",IF(COUNTIF('USPTO TMs'!A:A,D12415)&gt;0,"Yes","No"),"")</f>
        <v/>
      </c>
      <c r="C12415" s="11"/>
      <c r="D12415" s="11"/>
      <c r="E12415" s="11"/>
      <c r="F12415" s="11"/>
      <c r="G12415" s="11"/>
      <c r="H12415" s="11"/>
      <c r="I12415" s="15"/>
    </row>
    <row r="12416" spans="1:9" ht="16.5">
      <c r="A12416" s="10" t="b">
        <v>0</v>
      </c>
      <c r="B12416" s="11" t="str">
        <f>IF(D12416&lt;&gt;"",IF(COUNTIF('USPTO TMs'!A:A,D12416)&gt;0,"Yes","No"),"")</f>
        <v/>
      </c>
      <c r="C12416" s="11"/>
      <c r="D12416" s="11"/>
      <c r="E12416" s="11"/>
      <c r="F12416" s="11"/>
      <c r="G12416" s="11"/>
      <c r="H12416" s="11"/>
      <c r="I12416" s="15"/>
    </row>
    <row r="12417" spans="1:9" ht="16.5">
      <c r="A12417" s="10" t="b">
        <v>0</v>
      </c>
      <c r="B12417" s="11" t="str">
        <f>IF(D12417&lt;&gt;"",IF(COUNTIF('USPTO TMs'!A:A,D12417)&gt;0,"Yes","No"),"")</f>
        <v/>
      </c>
      <c r="C12417" s="11"/>
      <c r="D12417" s="11"/>
      <c r="E12417" s="11"/>
      <c r="F12417" s="11"/>
      <c r="G12417" s="11"/>
      <c r="H12417" s="11"/>
      <c r="I12417" s="15"/>
    </row>
    <row r="12418" spans="1:9" ht="16.5">
      <c r="A12418" s="10" t="b">
        <v>0</v>
      </c>
      <c r="B12418" s="11" t="str">
        <f>IF(D12418&lt;&gt;"",IF(COUNTIF('USPTO TMs'!A:A,D12418)&gt;0,"Yes","No"),"")</f>
        <v/>
      </c>
      <c r="C12418" s="11"/>
      <c r="D12418" s="11"/>
      <c r="E12418" s="11"/>
      <c r="F12418" s="11"/>
      <c r="G12418" s="11"/>
      <c r="H12418" s="11"/>
      <c r="I12418" s="15"/>
    </row>
    <row r="12419" spans="1:9" ht="16.5">
      <c r="A12419" s="10" t="b">
        <v>0</v>
      </c>
      <c r="B12419" s="11" t="str">
        <f>IF(D12419&lt;&gt;"",IF(COUNTIF('USPTO TMs'!A:A,D12419)&gt;0,"Yes","No"),"")</f>
        <v/>
      </c>
      <c r="C12419" s="11"/>
      <c r="D12419" s="11"/>
      <c r="E12419" s="11"/>
      <c r="F12419" s="11"/>
      <c r="G12419" s="11"/>
      <c r="H12419" s="11"/>
      <c r="I12419" s="15"/>
    </row>
    <row r="12420" spans="1:9" ht="16.5">
      <c r="A12420" s="10" t="b">
        <v>0</v>
      </c>
      <c r="B12420" s="11" t="str">
        <f>IF(D12420&lt;&gt;"",IF(COUNTIF('USPTO TMs'!A:A,D12420)&gt;0,"Yes","No"),"")</f>
        <v/>
      </c>
      <c r="C12420" s="11"/>
      <c r="D12420" s="11"/>
      <c r="E12420" s="11"/>
      <c r="F12420" s="11"/>
      <c r="G12420" s="11"/>
      <c r="H12420" s="11"/>
      <c r="I12420" s="15"/>
    </row>
    <row r="12421" spans="1:9" ht="16.5">
      <c r="A12421" s="10" t="b">
        <v>0</v>
      </c>
      <c r="B12421" s="11" t="str">
        <f>IF(D12421&lt;&gt;"",IF(COUNTIF('USPTO TMs'!A:A,D12421)&gt;0,"Yes","No"),"")</f>
        <v/>
      </c>
      <c r="C12421" s="11"/>
      <c r="D12421" s="11"/>
      <c r="E12421" s="11"/>
      <c r="F12421" s="11"/>
      <c r="G12421" s="11"/>
      <c r="H12421" s="11"/>
      <c r="I12421" s="15"/>
    </row>
    <row r="12422" spans="1:9" ht="16.5">
      <c r="A12422" s="10" t="b">
        <v>0</v>
      </c>
      <c r="B12422" s="11" t="str">
        <f>IF(D12422&lt;&gt;"",IF(COUNTIF('USPTO TMs'!A:A,D12422)&gt;0,"Yes","No"),"")</f>
        <v/>
      </c>
      <c r="C12422" s="11"/>
      <c r="D12422" s="11"/>
      <c r="E12422" s="11"/>
      <c r="F12422" s="11"/>
      <c r="G12422" s="11"/>
      <c r="H12422" s="11"/>
      <c r="I12422" s="15"/>
    </row>
    <row r="12423" spans="1:9" ht="16.5">
      <c r="A12423" s="10" t="b">
        <v>0</v>
      </c>
      <c r="B12423" s="11" t="str">
        <f>IF(D12423&lt;&gt;"",IF(COUNTIF('USPTO TMs'!A:A,D12423)&gt;0,"Yes","No"),"")</f>
        <v/>
      </c>
      <c r="C12423" s="11"/>
      <c r="D12423" s="11"/>
      <c r="E12423" s="11"/>
      <c r="F12423" s="11"/>
      <c r="G12423" s="11"/>
      <c r="H12423" s="11"/>
      <c r="I12423" s="15"/>
    </row>
    <row r="12424" spans="1:9" ht="16.5">
      <c r="A12424" s="10" t="b">
        <v>0</v>
      </c>
      <c r="B12424" s="11" t="str">
        <f>IF(D12424&lt;&gt;"",IF(COUNTIF('USPTO TMs'!A:A,D12424)&gt;0,"Yes","No"),"")</f>
        <v/>
      </c>
      <c r="C12424" s="11"/>
      <c r="D12424" s="11"/>
      <c r="E12424" s="11"/>
      <c r="F12424" s="11"/>
      <c r="G12424" s="11"/>
      <c r="H12424" s="11"/>
      <c r="I12424" s="15"/>
    </row>
    <row r="12425" spans="1:9" ht="16.5">
      <c r="A12425" s="10" t="b">
        <v>0</v>
      </c>
      <c r="B12425" s="11" t="str">
        <f>IF(D12425&lt;&gt;"",IF(COUNTIF('USPTO TMs'!A:A,D12425)&gt;0,"Yes","No"),"")</f>
        <v/>
      </c>
      <c r="C12425" s="11"/>
      <c r="D12425" s="11"/>
      <c r="E12425" s="11"/>
      <c r="F12425" s="11"/>
      <c r="G12425" s="11"/>
      <c r="H12425" s="11"/>
      <c r="I12425" s="15"/>
    </row>
    <row r="12426" spans="1:9" ht="16.5">
      <c r="A12426" s="10" t="b">
        <v>0</v>
      </c>
      <c r="B12426" s="11" t="str">
        <f>IF(D12426&lt;&gt;"",IF(COUNTIF('USPTO TMs'!A:A,D12426)&gt;0,"Yes","No"),"")</f>
        <v/>
      </c>
      <c r="C12426" s="11"/>
      <c r="D12426" s="11"/>
      <c r="E12426" s="11"/>
      <c r="F12426" s="11"/>
      <c r="G12426" s="11"/>
      <c r="H12426" s="11"/>
      <c r="I12426" s="15"/>
    </row>
    <row r="12427" spans="1:9" ht="16.5">
      <c r="A12427" s="10" t="b">
        <v>0</v>
      </c>
      <c r="B12427" s="11" t="str">
        <f>IF(D12427&lt;&gt;"",IF(COUNTIF('USPTO TMs'!A:A,D12427)&gt;0,"Yes","No"),"")</f>
        <v/>
      </c>
      <c r="C12427" s="11"/>
      <c r="D12427" s="11"/>
      <c r="E12427" s="11"/>
      <c r="F12427" s="11"/>
      <c r="G12427" s="11"/>
      <c r="H12427" s="11"/>
      <c r="I12427" s="15"/>
    </row>
    <row r="12428" spans="1:9" ht="16.5">
      <c r="A12428" s="10" t="b">
        <v>0</v>
      </c>
      <c r="B12428" s="11" t="str">
        <f>IF(D12428&lt;&gt;"",IF(COUNTIF('USPTO TMs'!A:A,D12428)&gt;0,"Yes","No"),"")</f>
        <v/>
      </c>
      <c r="C12428" s="11"/>
      <c r="D12428" s="11"/>
      <c r="E12428" s="11"/>
      <c r="F12428" s="11"/>
      <c r="G12428" s="11"/>
      <c r="H12428" s="11"/>
      <c r="I12428" s="15"/>
    </row>
    <row r="12429" spans="1:9" ht="16.5">
      <c r="A12429" s="10" t="b">
        <v>0</v>
      </c>
      <c r="B12429" s="11" t="str">
        <f>IF(D12429&lt;&gt;"",IF(COUNTIF('USPTO TMs'!A:A,D12429)&gt;0,"Yes","No"),"")</f>
        <v/>
      </c>
      <c r="C12429" s="11"/>
      <c r="D12429" s="11"/>
      <c r="E12429" s="11"/>
      <c r="F12429" s="11"/>
      <c r="G12429" s="11"/>
      <c r="H12429" s="11"/>
      <c r="I12429" s="15"/>
    </row>
    <row r="12430" spans="1:9" ht="16.5">
      <c r="A12430" s="10" t="b">
        <v>0</v>
      </c>
      <c r="B12430" s="11" t="str">
        <f>IF(D12430&lt;&gt;"",IF(COUNTIF('USPTO TMs'!A:A,D12430)&gt;0,"Yes","No"),"")</f>
        <v/>
      </c>
      <c r="C12430" s="11"/>
      <c r="D12430" s="11"/>
      <c r="E12430" s="11"/>
      <c r="F12430" s="11"/>
      <c r="G12430" s="11"/>
      <c r="H12430" s="11"/>
      <c r="I12430" s="15"/>
    </row>
    <row r="12431" spans="1:9" ht="16.5">
      <c r="A12431" s="10" t="b">
        <v>0</v>
      </c>
      <c r="B12431" s="11" t="str">
        <f>IF(D12431&lt;&gt;"",IF(COUNTIF('USPTO TMs'!A:A,D12431)&gt;0,"Yes","No"),"")</f>
        <v/>
      </c>
      <c r="C12431" s="11"/>
      <c r="D12431" s="11"/>
      <c r="E12431" s="11"/>
      <c r="F12431" s="11"/>
      <c r="G12431" s="11"/>
      <c r="H12431" s="11"/>
      <c r="I12431" s="15"/>
    </row>
    <row r="12432" spans="1:9" ht="16.5">
      <c r="A12432" s="10" t="b">
        <v>0</v>
      </c>
      <c r="B12432" s="11" t="str">
        <f>IF(D12432&lt;&gt;"",IF(COUNTIF('USPTO TMs'!A:A,D12432)&gt;0,"Yes","No"),"")</f>
        <v/>
      </c>
      <c r="C12432" s="11"/>
      <c r="D12432" s="11"/>
      <c r="E12432" s="11"/>
      <c r="F12432" s="11"/>
      <c r="G12432" s="11"/>
      <c r="H12432" s="11"/>
      <c r="I12432" s="15"/>
    </row>
    <row r="12433" spans="1:9" ht="16.5">
      <c r="A12433" s="10" t="b">
        <v>0</v>
      </c>
      <c r="B12433" s="11" t="str">
        <f>IF(D12433&lt;&gt;"",IF(COUNTIF('USPTO TMs'!A:A,D12433)&gt;0,"Yes","No"),"")</f>
        <v/>
      </c>
      <c r="C12433" s="11"/>
      <c r="D12433" s="11"/>
      <c r="E12433" s="11"/>
      <c r="F12433" s="11"/>
      <c r="G12433" s="11"/>
      <c r="H12433" s="11"/>
      <c r="I12433" s="15"/>
    </row>
    <row r="12434" spans="1:9" ht="16.5">
      <c r="A12434" s="10" t="b">
        <v>0</v>
      </c>
      <c r="B12434" s="11" t="str">
        <f>IF(D12434&lt;&gt;"",IF(COUNTIF('USPTO TMs'!A:A,D12434)&gt;0,"Yes","No"),"")</f>
        <v/>
      </c>
      <c r="C12434" s="11"/>
      <c r="D12434" s="11"/>
      <c r="E12434" s="11"/>
      <c r="F12434" s="11"/>
      <c r="G12434" s="11"/>
      <c r="H12434" s="11"/>
      <c r="I12434" s="15"/>
    </row>
    <row r="12435" spans="1:9" ht="16.5">
      <c r="A12435" s="10" t="b">
        <v>0</v>
      </c>
      <c r="B12435" s="11" t="str">
        <f>IF(D12435&lt;&gt;"",IF(COUNTIF('USPTO TMs'!A:A,D12435)&gt;0,"Yes","No"),"")</f>
        <v/>
      </c>
      <c r="C12435" s="11"/>
      <c r="D12435" s="11"/>
      <c r="E12435" s="11"/>
      <c r="F12435" s="11"/>
      <c r="G12435" s="11"/>
      <c r="H12435" s="11"/>
      <c r="I12435" s="15"/>
    </row>
    <row r="12436" spans="1:9" ht="16.5">
      <c r="A12436" s="10" t="b">
        <v>0</v>
      </c>
      <c r="B12436" s="11" t="str">
        <f>IF(D12436&lt;&gt;"",IF(COUNTIF('USPTO TMs'!A:A,D12436)&gt;0,"Yes","No"),"")</f>
        <v/>
      </c>
      <c r="C12436" s="11"/>
      <c r="D12436" s="11"/>
      <c r="E12436" s="11"/>
      <c r="F12436" s="11"/>
      <c r="G12436" s="11"/>
      <c r="H12436" s="11"/>
      <c r="I12436" s="15"/>
    </row>
    <row r="12437" spans="1:9" ht="16.5">
      <c r="A12437" s="10" t="b">
        <v>0</v>
      </c>
      <c r="B12437" s="11" t="str">
        <f>IF(D12437&lt;&gt;"",IF(COUNTIF('USPTO TMs'!A:A,D12437)&gt;0,"Yes","No"),"")</f>
        <v/>
      </c>
      <c r="C12437" s="11"/>
      <c r="D12437" s="11"/>
      <c r="E12437" s="11"/>
      <c r="F12437" s="11"/>
      <c r="G12437" s="11"/>
      <c r="H12437" s="11"/>
      <c r="I12437" s="15"/>
    </row>
    <row r="12438" spans="1:9" ht="16.5">
      <c r="A12438" s="10" t="b">
        <v>0</v>
      </c>
      <c r="B12438" s="11" t="str">
        <f>IF(D12438&lt;&gt;"",IF(COUNTIF('USPTO TMs'!A:A,D12438)&gt;0,"Yes","No"),"")</f>
        <v/>
      </c>
      <c r="C12438" s="11"/>
      <c r="D12438" s="11"/>
      <c r="E12438" s="11"/>
      <c r="F12438" s="11"/>
      <c r="G12438" s="11"/>
      <c r="H12438" s="11"/>
      <c r="I12438" s="15"/>
    </row>
    <row r="12439" spans="1:9" ht="16.5">
      <c r="A12439" s="10" t="b">
        <v>0</v>
      </c>
      <c r="B12439" s="11" t="str">
        <f>IF(D12439&lt;&gt;"",IF(COUNTIF('USPTO TMs'!A:A,D12439)&gt;0,"Yes","No"),"")</f>
        <v/>
      </c>
      <c r="C12439" s="11"/>
      <c r="D12439" s="11"/>
      <c r="E12439" s="11"/>
      <c r="F12439" s="11"/>
      <c r="G12439" s="11"/>
      <c r="H12439" s="11"/>
      <c r="I12439" s="15"/>
    </row>
    <row r="12440" spans="1:9" ht="16.5">
      <c r="A12440" s="10" t="b">
        <v>0</v>
      </c>
      <c r="B12440" s="11" t="str">
        <f>IF(D12440&lt;&gt;"",IF(COUNTIF('USPTO TMs'!A:A,D12440)&gt;0,"Yes","No"),"")</f>
        <v/>
      </c>
      <c r="C12440" s="11"/>
      <c r="D12440" s="11"/>
      <c r="E12440" s="11"/>
      <c r="F12440" s="11"/>
      <c r="G12440" s="11"/>
      <c r="H12440" s="11"/>
      <c r="I12440" s="15"/>
    </row>
    <row r="12441" spans="1:9" ht="16.5">
      <c r="A12441" s="10" t="b">
        <v>0</v>
      </c>
      <c r="B12441" s="11" t="str">
        <f>IF(D12441&lt;&gt;"",IF(COUNTIF('USPTO TMs'!A:A,D12441)&gt;0,"Yes","No"),"")</f>
        <v/>
      </c>
      <c r="C12441" s="11"/>
      <c r="D12441" s="11"/>
      <c r="E12441" s="11"/>
      <c r="F12441" s="11"/>
      <c r="G12441" s="11"/>
      <c r="H12441" s="11"/>
      <c r="I12441" s="15"/>
    </row>
    <row r="12442" spans="1:9" ht="16.5">
      <c r="A12442" s="10" t="b">
        <v>0</v>
      </c>
      <c r="B12442" s="11" t="str">
        <f>IF(D12442&lt;&gt;"",IF(COUNTIF('USPTO TMs'!A:A,D12442)&gt;0,"Yes","No"),"")</f>
        <v/>
      </c>
      <c r="C12442" s="11"/>
      <c r="D12442" s="11"/>
      <c r="E12442" s="11"/>
      <c r="F12442" s="11"/>
      <c r="G12442" s="11"/>
      <c r="H12442" s="11"/>
      <c r="I12442" s="15"/>
    </row>
    <row r="12443" spans="1:9" ht="16.5">
      <c r="A12443" s="10" t="b">
        <v>0</v>
      </c>
      <c r="B12443" s="11" t="str">
        <f>IF(D12443&lt;&gt;"",IF(COUNTIF('USPTO TMs'!A:A,D12443)&gt;0,"Yes","No"),"")</f>
        <v/>
      </c>
      <c r="C12443" s="11"/>
      <c r="D12443" s="11"/>
      <c r="E12443" s="11"/>
      <c r="F12443" s="11"/>
      <c r="G12443" s="11"/>
      <c r="H12443" s="11"/>
      <c r="I12443" s="15"/>
    </row>
    <row r="12444" spans="1:9" ht="16.5">
      <c r="A12444" s="10" t="b">
        <v>0</v>
      </c>
      <c r="B12444" s="11" t="str">
        <f>IF(D12444&lt;&gt;"",IF(COUNTIF('USPTO TMs'!A:A,D12444)&gt;0,"Yes","No"),"")</f>
        <v/>
      </c>
      <c r="C12444" s="11"/>
      <c r="D12444" s="11"/>
      <c r="E12444" s="11"/>
      <c r="F12444" s="11"/>
      <c r="G12444" s="11"/>
      <c r="H12444" s="11"/>
      <c r="I12444" s="15"/>
    </row>
    <row r="12445" spans="1:9" ht="16.5">
      <c r="A12445" s="10" t="b">
        <v>0</v>
      </c>
      <c r="B12445" s="11" t="str">
        <f>IF(D12445&lt;&gt;"",IF(COUNTIF('USPTO TMs'!A:A,D12445)&gt;0,"Yes","No"),"")</f>
        <v/>
      </c>
      <c r="C12445" s="11"/>
      <c r="D12445" s="11"/>
      <c r="E12445" s="11"/>
      <c r="F12445" s="11"/>
      <c r="G12445" s="11"/>
      <c r="H12445" s="11"/>
      <c r="I12445" s="15"/>
    </row>
    <row r="12446" spans="1:9" ht="16.5">
      <c r="A12446" s="10" t="b">
        <v>0</v>
      </c>
      <c r="B12446" s="11" t="str">
        <f>IF(D12446&lt;&gt;"",IF(COUNTIF('USPTO TMs'!A:A,D12446)&gt;0,"Yes","No"),"")</f>
        <v/>
      </c>
      <c r="C12446" s="11"/>
      <c r="D12446" s="11"/>
      <c r="E12446" s="11"/>
      <c r="F12446" s="11"/>
      <c r="G12446" s="11"/>
      <c r="H12446" s="11"/>
      <c r="I12446" s="15"/>
    </row>
    <row r="12447" spans="1:9" ht="16.5">
      <c r="A12447" s="10" t="b">
        <v>0</v>
      </c>
      <c r="B12447" s="11" t="str">
        <f>IF(D12447&lt;&gt;"",IF(COUNTIF('USPTO TMs'!A:A,D12447)&gt;0,"Yes","No"),"")</f>
        <v/>
      </c>
      <c r="C12447" s="11"/>
      <c r="D12447" s="11"/>
      <c r="E12447" s="11"/>
      <c r="F12447" s="11"/>
      <c r="G12447" s="11"/>
      <c r="H12447" s="11"/>
      <c r="I12447" s="15"/>
    </row>
    <row r="12448" spans="1:9" ht="16.5">
      <c r="A12448" s="10" t="b">
        <v>0</v>
      </c>
      <c r="B12448" s="11" t="str">
        <f>IF(D12448&lt;&gt;"",IF(COUNTIF('USPTO TMs'!A:A,D12448)&gt;0,"Yes","No"),"")</f>
        <v/>
      </c>
      <c r="C12448" s="11"/>
      <c r="D12448" s="11"/>
      <c r="E12448" s="11"/>
      <c r="F12448" s="11"/>
      <c r="G12448" s="11"/>
      <c r="H12448" s="11"/>
      <c r="I12448" s="15"/>
    </row>
    <row r="12449" spans="1:9" ht="16.5">
      <c r="A12449" s="10" t="b">
        <v>0</v>
      </c>
      <c r="B12449" s="11" t="str">
        <f>IF(D12449&lt;&gt;"",IF(COUNTIF('USPTO TMs'!A:A,D12449)&gt;0,"Yes","No"),"")</f>
        <v/>
      </c>
      <c r="C12449" s="11"/>
      <c r="D12449" s="11"/>
      <c r="E12449" s="11"/>
      <c r="F12449" s="11"/>
      <c r="G12449" s="11"/>
      <c r="H12449" s="11"/>
      <c r="I12449" s="15"/>
    </row>
    <row r="12450" spans="1:9" ht="16.5">
      <c r="A12450" s="10" t="b">
        <v>0</v>
      </c>
      <c r="B12450" s="11" t="str">
        <f>IF(D12450&lt;&gt;"",IF(COUNTIF('USPTO TMs'!A:A,D12450)&gt;0,"Yes","No"),"")</f>
        <v/>
      </c>
      <c r="C12450" s="11"/>
      <c r="D12450" s="11"/>
      <c r="E12450" s="11"/>
      <c r="F12450" s="11"/>
      <c r="G12450" s="11"/>
      <c r="H12450" s="11"/>
      <c r="I12450" s="15"/>
    </row>
    <row r="12451" spans="1:9" ht="16.5">
      <c r="A12451" s="10" t="b">
        <v>0</v>
      </c>
      <c r="B12451" s="11" t="str">
        <f>IF(D12451&lt;&gt;"",IF(COUNTIF('USPTO TMs'!A:A,D12451)&gt;0,"Yes","No"),"")</f>
        <v/>
      </c>
      <c r="C12451" s="11"/>
      <c r="D12451" s="11"/>
      <c r="E12451" s="11"/>
      <c r="F12451" s="11"/>
      <c r="G12451" s="11"/>
      <c r="H12451" s="11"/>
      <c r="I12451" s="15"/>
    </row>
    <row r="12452" spans="1:9" ht="16.5">
      <c r="A12452" s="10" t="b">
        <v>0</v>
      </c>
      <c r="B12452" s="11" t="str">
        <f>IF(D12452&lt;&gt;"",IF(COUNTIF('USPTO TMs'!A:A,D12452)&gt;0,"Yes","No"),"")</f>
        <v/>
      </c>
      <c r="C12452" s="11"/>
      <c r="D12452" s="11"/>
      <c r="E12452" s="11"/>
      <c r="F12452" s="11"/>
      <c r="G12452" s="11"/>
      <c r="H12452" s="11"/>
      <c r="I12452" s="15"/>
    </row>
    <row r="12453" spans="1:9" ht="16.5">
      <c r="A12453" s="10" t="b">
        <v>0</v>
      </c>
      <c r="B12453" s="11" t="str">
        <f>IF(D12453&lt;&gt;"",IF(COUNTIF('USPTO TMs'!A:A,D12453)&gt;0,"Yes","No"),"")</f>
        <v/>
      </c>
      <c r="C12453" s="11"/>
      <c r="D12453" s="11"/>
      <c r="E12453" s="11"/>
      <c r="F12453" s="11"/>
      <c r="G12453" s="11"/>
      <c r="H12453" s="11"/>
      <c r="I12453" s="15"/>
    </row>
    <row r="12454" spans="1:9" ht="16.5">
      <c r="A12454" s="10" t="b">
        <v>0</v>
      </c>
      <c r="B12454" s="11" t="str">
        <f>IF(D12454&lt;&gt;"",IF(COUNTIF('USPTO TMs'!A:A,D12454)&gt;0,"Yes","No"),"")</f>
        <v/>
      </c>
      <c r="C12454" s="11"/>
      <c r="D12454" s="11"/>
      <c r="E12454" s="11"/>
      <c r="F12454" s="11"/>
      <c r="G12454" s="11"/>
      <c r="H12454" s="11"/>
      <c r="I12454" s="15"/>
    </row>
    <row r="12455" spans="1:9" ht="16.5">
      <c r="A12455" s="10" t="b">
        <v>0</v>
      </c>
      <c r="B12455" s="11" t="str">
        <f>IF(D12455&lt;&gt;"",IF(COUNTIF('USPTO TMs'!A:A,D12455)&gt;0,"Yes","No"),"")</f>
        <v/>
      </c>
      <c r="C12455" s="11"/>
      <c r="D12455" s="11"/>
      <c r="E12455" s="11"/>
      <c r="F12455" s="11"/>
      <c r="G12455" s="11"/>
      <c r="H12455" s="11"/>
      <c r="I12455" s="15"/>
    </row>
    <row r="12456" spans="1:9" ht="16.5">
      <c r="A12456" s="10" t="b">
        <v>0</v>
      </c>
      <c r="B12456" s="11" t="str">
        <f>IF(D12456&lt;&gt;"",IF(COUNTIF('USPTO TMs'!A:A,D12456)&gt;0,"Yes","No"),"")</f>
        <v/>
      </c>
      <c r="C12456" s="11"/>
      <c r="D12456" s="11"/>
      <c r="E12456" s="11"/>
      <c r="F12456" s="11"/>
      <c r="G12456" s="11"/>
      <c r="H12456" s="11"/>
      <c r="I12456" s="15"/>
    </row>
    <row r="12457" spans="1:9" ht="16.5">
      <c r="A12457" s="10" t="b">
        <v>0</v>
      </c>
      <c r="B12457" s="11" t="str">
        <f>IF(D12457&lt;&gt;"",IF(COUNTIF('USPTO TMs'!A:A,D12457)&gt;0,"Yes","No"),"")</f>
        <v/>
      </c>
      <c r="C12457" s="11"/>
      <c r="D12457" s="11"/>
      <c r="E12457" s="11"/>
      <c r="F12457" s="11"/>
      <c r="G12457" s="11"/>
      <c r="H12457" s="11"/>
      <c r="I12457" s="15"/>
    </row>
    <row r="12458" spans="1:9" ht="16.5">
      <c r="A12458" s="10" t="b">
        <v>0</v>
      </c>
      <c r="B12458" s="11" t="str">
        <f>IF(D12458&lt;&gt;"",IF(COUNTIF('USPTO TMs'!A:A,D12458)&gt;0,"Yes","No"),"")</f>
        <v/>
      </c>
      <c r="C12458" s="11"/>
      <c r="D12458" s="11"/>
      <c r="E12458" s="11"/>
      <c r="F12458" s="11"/>
      <c r="G12458" s="11"/>
      <c r="H12458" s="11"/>
      <c r="I12458" s="15"/>
    </row>
    <row r="12459" spans="1:9" ht="16.5">
      <c r="A12459" s="10" t="b">
        <v>0</v>
      </c>
      <c r="B12459" s="11" t="str">
        <f>IF(D12459&lt;&gt;"",IF(COUNTIF('USPTO TMs'!A:A,D12459)&gt;0,"Yes","No"),"")</f>
        <v/>
      </c>
      <c r="C12459" s="11"/>
      <c r="D12459" s="11"/>
      <c r="E12459" s="11"/>
      <c r="F12459" s="11"/>
      <c r="G12459" s="11"/>
      <c r="H12459" s="11"/>
      <c r="I12459" s="15"/>
    </row>
    <row r="12460" spans="1:9" ht="16.5">
      <c r="A12460" s="10" t="b">
        <v>0</v>
      </c>
      <c r="B12460" s="11" t="str">
        <f>IF(D12460&lt;&gt;"",IF(COUNTIF('USPTO TMs'!A:A,D12460)&gt;0,"Yes","No"),"")</f>
        <v/>
      </c>
      <c r="C12460" s="11"/>
      <c r="D12460" s="11"/>
      <c r="E12460" s="11"/>
      <c r="F12460" s="11"/>
      <c r="G12460" s="11"/>
      <c r="H12460" s="11"/>
      <c r="I12460" s="15"/>
    </row>
    <row r="12461" spans="1:9" ht="16.5">
      <c r="A12461" s="10" t="b">
        <v>0</v>
      </c>
      <c r="B12461" s="11" t="str">
        <f>IF(D12461&lt;&gt;"",IF(COUNTIF('USPTO TMs'!A:A,D12461)&gt;0,"Yes","No"),"")</f>
        <v/>
      </c>
      <c r="C12461" s="11"/>
      <c r="D12461" s="11"/>
      <c r="E12461" s="11"/>
      <c r="F12461" s="11"/>
      <c r="G12461" s="11"/>
      <c r="H12461" s="11"/>
      <c r="I12461" s="15"/>
    </row>
    <row r="12462" spans="1:9" ht="16.5">
      <c r="A12462" s="10" t="b">
        <v>0</v>
      </c>
      <c r="B12462" s="11" t="str">
        <f>IF(D12462&lt;&gt;"",IF(COUNTIF('USPTO TMs'!A:A,D12462)&gt;0,"Yes","No"),"")</f>
        <v/>
      </c>
      <c r="C12462" s="11"/>
      <c r="D12462" s="11"/>
      <c r="E12462" s="11"/>
      <c r="F12462" s="11"/>
      <c r="G12462" s="11"/>
      <c r="H12462" s="11"/>
      <c r="I12462" s="15"/>
    </row>
    <row r="12463" spans="1:9" ht="16.5">
      <c r="A12463" s="10" t="b">
        <v>0</v>
      </c>
      <c r="B12463" s="11" t="str">
        <f>IF(D12463&lt;&gt;"",IF(COUNTIF('USPTO TMs'!A:A,D12463)&gt;0,"Yes","No"),"")</f>
        <v/>
      </c>
      <c r="C12463" s="11"/>
      <c r="D12463" s="11"/>
      <c r="E12463" s="11"/>
      <c r="F12463" s="11"/>
      <c r="G12463" s="11"/>
      <c r="H12463" s="11"/>
      <c r="I12463" s="15"/>
    </row>
    <row r="12464" spans="1:9" ht="16.5">
      <c r="A12464" s="10" t="b">
        <v>0</v>
      </c>
      <c r="B12464" s="11" t="str">
        <f>IF(D12464&lt;&gt;"",IF(COUNTIF('USPTO TMs'!A:A,D12464)&gt;0,"Yes","No"),"")</f>
        <v/>
      </c>
      <c r="C12464" s="11"/>
      <c r="D12464" s="11"/>
      <c r="E12464" s="11"/>
      <c r="F12464" s="11"/>
      <c r="G12464" s="11"/>
      <c r="H12464" s="11"/>
      <c r="I12464" s="15"/>
    </row>
    <row r="12465" spans="1:9" ht="16.5">
      <c r="A12465" s="10" t="b">
        <v>0</v>
      </c>
      <c r="B12465" s="11" t="str">
        <f>IF(D12465&lt;&gt;"",IF(COUNTIF('USPTO TMs'!A:A,D12465)&gt;0,"Yes","No"),"")</f>
        <v/>
      </c>
      <c r="C12465" s="11"/>
      <c r="D12465" s="11"/>
      <c r="E12465" s="11"/>
      <c r="F12465" s="11"/>
      <c r="G12465" s="11"/>
      <c r="H12465" s="11"/>
      <c r="I12465" s="15"/>
    </row>
    <row r="12466" spans="1:9" ht="16.5">
      <c r="A12466" s="10" t="b">
        <v>0</v>
      </c>
      <c r="B12466" s="11" t="str">
        <f>IF(D12466&lt;&gt;"",IF(COUNTIF('USPTO TMs'!A:A,D12466)&gt;0,"Yes","No"),"")</f>
        <v/>
      </c>
      <c r="C12466" s="11"/>
      <c r="D12466" s="11"/>
      <c r="E12466" s="11"/>
      <c r="F12466" s="11"/>
      <c r="G12466" s="11"/>
      <c r="H12466" s="11"/>
      <c r="I12466" s="15"/>
    </row>
    <row r="12467" spans="1:9" ht="16.5">
      <c r="A12467" s="10" t="b">
        <v>0</v>
      </c>
      <c r="B12467" s="11" t="str">
        <f>IF(D12467&lt;&gt;"",IF(COUNTIF('USPTO TMs'!A:A,D12467)&gt;0,"Yes","No"),"")</f>
        <v/>
      </c>
      <c r="C12467" s="11"/>
      <c r="D12467" s="11"/>
      <c r="E12467" s="11"/>
      <c r="F12467" s="11"/>
      <c r="G12467" s="11"/>
      <c r="H12467" s="11"/>
      <c r="I12467" s="15"/>
    </row>
    <row r="12468" spans="1:9" ht="16.5">
      <c r="A12468" s="10" t="b">
        <v>0</v>
      </c>
      <c r="B12468" s="11" t="str">
        <f>IF(D12468&lt;&gt;"",IF(COUNTIF('USPTO TMs'!A:A,D12468)&gt;0,"Yes","No"),"")</f>
        <v/>
      </c>
      <c r="C12468" s="11"/>
      <c r="D12468" s="11"/>
      <c r="E12468" s="11"/>
      <c r="F12468" s="11"/>
      <c r="G12468" s="11"/>
      <c r="H12468" s="11"/>
      <c r="I12468" s="15"/>
    </row>
    <row r="12469" spans="1:9" ht="16.5">
      <c r="A12469" s="10" t="b">
        <v>0</v>
      </c>
      <c r="B12469" s="11" t="str">
        <f>IF(D12469&lt;&gt;"",IF(COUNTIF('USPTO TMs'!A:A,D12469)&gt;0,"Yes","No"),"")</f>
        <v/>
      </c>
      <c r="C12469" s="11"/>
      <c r="D12469" s="11"/>
      <c r="E12469" s="11"/>
      <c r="F12469" s="11"/>
      <c r="G12469" s="11"/>
      <c r="H12469" s="11"/>
      <c r="I12469" s="15"/>
    </row>
    <row r="12470" spans="1:9" ht="16.5">
      <c r="A12470" s="10" t="b">
        <v>0</v>
      </c>
      <c r="B12470" s="11" t="str">
        <f>IF(D12470&lt;&gt;"",IF(COUNTIF('USPTO TMs'!A:A,D12470)&gt;0,"Yes","No"),"")</f>
        <v/>
      </c>
      <c r="C12470" s="11"/>
      <c r="D12470" s="11"/>
      <c r="E12470" s="11"/>
      <c r="F12470" s="11"/>
      <c r="G12470" s="11"/>
      <c r="H12470" s="11"/>
      <c r="I12470" s="15"/>
    </row>
    <row r="12471" spans="1:9" ht="16.5">
      <c r="A12471" s="10" t="b">
        <v>0</v>
      </c>
      <c r="B12471" s="11" t="str">
        <f>IF(D12471&lt;&gt;"",IF(COUNTIF('USPTO TMs'!A:A,D12471)&gt;0,"Yes","No"),"")</f>
        <v/>
      </c>
      <c r="C12471" s="11"/>
      <c r="D12471" s="11"/>
      <c r="E12471" s="11"/>
      <c r="F12471" s="11"/>
      <c r="G12471" s="11"/>
      <c r="H12471" s="11"/>
      <c r="I12471" s="15"/>
    </row>
    <row r="12472" spans="1:9" ht="16.5">
      <c r="A12472" s="10" t="b">
        <v>0</v>
      </c>
      <c r="B12472" s="11" t="str">
        <f>IF(D12472&lt;&gt;"",IF(COUNTIF('USPTO TMs'!A:A,D12472)&gt;0,"Yes","No"),"")</f>
        <v/>
      </c>
      <c r="C12472" s="11"/>
      <c r="D12472" s="11"/>
      <c r="E12472" s="11"/>
      <c r="F12472" s="11"/>
      <c r="G12472" s="11"/>
      <c r="H12472" s="11"/>
      <c r="I12472" s="15"/>
    </row>
    <row r="12473" spans="1:9" ht="16.5">
      <c r="A12473" s="10" t="b">
        <v>0</v>
      </c>
      <c r="B12473" s="11" t="str">
        <f>IF(D12473&lt;&gt;"",IF(COUNTIF('USPTO TMs'!A:A,D12473)&gt;0,"Yes","No"),"")</f>
        <v/>
      </c>
      <c r="C12473" s="11"/>
      <c r="D12473" s="11"/>
      <c r="E12473" s="11"/>
      <c r="F12473" s="11"/>
      <c r="G12473" s="11"/>
      <c r="H12473" s="11"/>
      <c r="I12473" s="15"/>
    </row>
    <row r="12474" spans="1:9" ht="16.5">
      <c r="A12474" s="10" t="b">
        <v>0</v>
      </c>
      <c r="B12474" s="11" t="str">
        <f>IF(D12474&lt;&gt;"",IF(COUNTIF('USPTO TMs'!A:A,D12474)&gt;0,"Yes","No"),"")</f>
        <v/>
      </c>
      <c r="C12474" s="11"/>
      <c r="D12474" s="11"/>
      <c r="E12474" s="11"/>
      <c r="F12474" s="11"/>
      <c r="G12474" s="11"/>
      <c r="H12474" s="11"/>
      <c r="I12474" s="15"/>
    </row>
    <row r="12475" spans="1:9" ht="16.5">
      <c r="A12475" s="10" t="b">
        <v>0</v>
      </c>
      <c r="B12475" s="11" t="str">
        <f>IF(D12475&lt;&gt;"",IF(COUNTIF('USPTO TMs'!A:A,D12475)&gt;0,"Yes","No"),"")</f>
        <v/>
      </c>
      <c r="C12475" s="11"/>
      <c r="D12475" s="11"/>
      <c r="E12475" s="11"/>
      <c r="F12475" s="11"/>
      <c r="G12475" s="11"/>
      <c r="H12475" s="11"/>
      <c r="I12475" s="15"/>
    </row>
    <row r="12476" spans="1:9" ht="16.5">
      <c r="A12476" s="10" t="b">
        <v>0</v>
      </c>
      <c r="B12476" s="11" t="str">
        <f>IF(D12476&lt;&gt;"",IF(COUNTIF('USPTO TMs'!A:A,D12476)&gt;0,"Yes","No"),"")</f>
        <v/>
      </c>
      <c r="C12476" s="11"/>
      <c r="D12476" s="11"/>
      <c r="E12476" s="11"/>
      <c r="F12476" s="11"/>
      <c r="G12476" s="11"/>
      <c r="H12476" s="11"/>
      <c r="I12476" s="15"/>
    </row>
    <row r="12477" spans="1:9" ht="16.5">
      <c r="A12477" s="10" t="b">
        <v>0</v>
      </c>
      <c r="B12477" s="11" t="str">
        <f>IF(D12477&lt;&gt;"",IF(COUNTIF('USPTO TMs'!A:A,D12477)&gt;0,"Yes","No"),"")</f>
        <v/>
      </c>
      <c r="C12477" s="11"/>
      <c r="D12477" s="11"/>
      <c r="E12477" s="11"/>
      <c r="F12477" s="11"/>
      <c r="G12477" s="11"/>
      <c r="H12477" s="11"/>
      <c r="I12477" s="15"/>
    </row>
    <row r="12478" spans="1:9" ht="16.5">
      <c r="A12478" s="10" t="b">
        <v>0</v>
      </c>
      <c r="B12478" s="11" t="str">
        <f>IF(D12478&lt;&gt;"",IF(COUNTIF('USPTO TMs'!A:A,D12478)&gt;0,"Yes","No"),"")</f>
        <v/>
      </c>
      <c r="C12478" s="11"/>
      <c r="D12478" s="11"/>
      <c r="E12478" s="11"/>
      <c r="F12478" s="11"/>
      <c r="G12478" s="11"/>
      <c r="H12478" s="11"/>
      <c r="I12478" s="15"/>
    </row>
    <row r="12479" spans="1:9" ht="16.5">
      <c r="A12479" s="10" t="b">
        <v>0</v>
      </c>
      <c r="B12479" s="11" t="str">
        <f>IF(D12479&lt;&gt;"",IF(COUNTIF('USPTO TMs'!A:A,D12479)&gt;0,"Yes","No"),"")</f>
        <v/>
      </c>
      <c r="C12479" s="11"/>
      <c r="D12479" s="11"/>
      <c r="E12479" s="11"/>
      <c r="F12479" s="11"/>
      <c r="G12479" s="11"/>
      <c r="H12479" s="11"/>
      <c r="I12479" s="15"/>
    </row>
    <row r="12480" spans="1:9" ht="16.5">
      <c r="A12480" s="10" t="b">
        <v>0</v>
      </c>
      <c r="B12480" s="11" t="str">
        <f>IF(D12480&lt;&gt;"",IF(COUNTIF('USPTO TMs'!A:A,D12480)&gt;0,"Yes","No"),"")</f>
        <v/>
      </c>
      <c r="C12480" s="11"/>
      <c r="D12480" s="11"/>
      <c r="E12480" s="11"/>
      <c r="F12480" s="11"/>
      <c r="G12480" s="11"/>
      <c r="H12480" s="11"/>
      <c r="I12480" s="15"/>
    </row>
    <row r="12481" spans="1:9" ht="16.5">
      <c r="A12481" s="10" t="b">
        <v>0</v>
      </c>
      <c r="B12481" s="11" t="str">
        <f>IF(D12481&lt;&gt;"",IF(COUNTIF('USPTO TMs'!A:A,D12481)&gt;0,"Yes","No"),"")</f>
        <v/>
      </c>
      <c r="C12481" s="11"/>
      <c r="D12481" s="11"/>
      <c r="E12481" s="11"/>
      <c r="F12481" s="11"/>
      <c r="G12481" s="11"/>
      <c r="H12481" s="11"/>
      <c r="I12481" s="15"/>
    </row>
    <row r="12482" spans="1:9" ht="16.5">
      <c r="A12482" s="10" t="b">
        <v>0</v>
      </c>
      <c r="B12482" s="11" t="str">
        <f>IF(D12482&lt;&gt;"",IF(COUNTIF('USPTO TMs'!A:A,D12482)&gt;0,"Yes","No"),"")</f>
        <v/>
      </c>
      <c r="C12482" s="11"/>
      <c r="D12482" s="11"/>
      <c r="E12482" s="11"/>
      <c r="F12482" s="11"/>
      <c r="G12482" s="11"/>
      <c r="H12482" s="11"/>
      <c r="I12482" s="15"/>
    </row>
    <row r="12483" spans="1:9" ht="16.5">
      <c r="A12483" s="10" t="b">
        <v>0</v>
      </c>
      <c r="B12483" s="11" t="str">
        <f>IF(D12483&lt;&gt;"",IF(COUNTIF('USPTO TMs'!A:A,D12483)&gt;0,"Yes","No"),"")</f>
        <v/>
      </c>
      <c r="C12483" s="11"/>
      <c r="D12483" s="11"/>
      <c r="E12483" s="11"/>
      <c r="F12483" s="11"/>
      <c r="G12483" s="11"/>
      <c r="H12483" s="11"/>
      <c r="I12483" s="15"/>
    </row>
    <row r="12484" spans="1:9" ht="16.5">
      <c r="A12484" s="10" t="b">
        <v>0</v>
      </c>
      <c r="B12484" s="11" t="str">
        <f>IF(D12484&lt;&gt;"",IF(COUNTIF('USPTO TMs'!A:A,D12484)&gt;0,"Yes","No"),"")</f>
        <v/>
      </c>
      <c r="C12484" s="11"/>
      <c r="D12484" s="11"/>
      <c r="E12484" s="11"/>
      <c r="F12484" s="11"/>
      <c r="G12484" s="11"/>
      <c r="H12484" s="11"/>
      <c r="I12484" s="15"/>
    </row>
    <row r="12485" spans="1:9" ht="16.5">
      <c r="A12485" s="10" t="b">
        <v>0</v>
      </c>
      <c r="B12485" s="11" t="str">
        <f>IF(D12485&lt;&gt;"",IF(COUNTIF('USPTO TMs'!A:A,D12485)&gt;0,"Yes","No"),"")</f>
        <v/>
      </c>
      <c r="C12485" s="11"/>
      <c r="D12485" s="11"/>
      <c r="E12485" s="11"/>
      <c r="F12485" s="11"/>
      <c r="G12485" s="11"/>
      <c r="H12485" s="11"/>
      <c r="I12485" s="15"/>
    </row>
    <row r="12486" spans="1:9" ht="16.5">
      <c r="A12486" s="10" t="b">
        <v>0</v>
      </c>
      <c r="B12486" s="11" t="str">
        <f>IF(D12486&lt;&gt;"",IF(COUNTIF('USPTO TMs'!A:A,D12486)&gt;0,"Yes","No"),"")</f>
        <v/>
      </c>
      <c r="C12486" s="11"/>
      <c r="D12486" s="11"/>
      <c r="E12486" s="11"/>
      <c r="F12486" s="11"/>
      <c r="G12486" s="11"/>
      <c r="H12486" s="11"/>
      <c r="I12486" s="15"/>
    </row>
    <row r="12487" spans="1:9" ht="16.5">
      <c r="A12487" s="10" t="b">
        <v>0</v>
      </c>
      <c r="B12487" s="11" t="str">
        <f>IF(D12487&lt;&gt;"",IF(COUNTIF('USPTO TMs'!A:A,D12487)&gt;0,"Yes","No"),"")</f>
        <v/>
      </c>
      <c r="C12487" s="11"/>
      <c r="D12487" s="11"/>
      <c r="E12487" s="11"/>
      <c r="F12487" s="11"/>
      <c r="G12487" s="11"/>
      <c r="H12487" s="11"/>
      <c r="I12487" s="15"/>
    </row>
    <row r="12488" spans="1:9" ht="16.5">
      <c r="A12488" s="10" t="b">
        <v>0</v>
      </c>
      <c r="B12488" s="11" t="str">
        <f>IF(D12488&lt;&gt;"",IF(COUNTIF('USPTO TMs'!A:A,D12488)&gt;0,"Yes","No"),"")</f>
        <v/>
      </c>
      <c r="C12488" s="11"/>
      <c r="D12488" s="11"/>
      <c r="E12488" s="11"/>
      <c r="F12488" s="11"/>
      <c r="G12488" s="11"/>
      <c r="H12488" s="11"/>
      <c r="I12488" s="15"/>
    </row>
    <row r="12489" spans="1:9" ht="16.5">
      <c r="A12489" s="10" t="b">
        <v>0</v>
      </c>
      <c r="B12489" s="11" t="str">
        <f>IF(D12489&lt;&gt;"",IF(COUNTIF('USPTO TMs'!A:A,D12489)&gt;0,"Yes","No"),"")</f>
        <v/>
      </c>
      <c r="C12489" s="11"/>
      <c r="D12489" s="11"/>
      <c r="E12489" s="11"/>
      <c r="F12489" s="11"/>
      <c r="G12489" s="11"/>
      <c r="H12489" s="11"/>
      <c r="I12489" s="15"/>
    </row>
    <row r="12490" spans="1:9" ht="16.5">
      <c r="A12490" s="10" t="b">
        <v>0</v>
      </c>
      <c r="B12490" s="11" t="str">
        <f>IF(D12490&lt;&gt;"",IF(COUNTIF('USPTO TMs'!A:A,D12490)&gt;0,"Yes","No"),"")</f>
        <v/>
      </c>
      <c r="C12490" s="11"/>
      <c r="D12490" s="11"/>
      <c r="E12490" s="11"/>
      <c r="F12490" s="11"/>
      <c r="G12490" s="11"/>
      <c r="H12490" s="11"/>
      <c r="I12490" s="15"/>
    </row>
    <row r="12491" spans="1:9" ht="16.5">
      <c r="A12491" s="10" t="b">
        <v>0</v>
      </c>
      <c r="B12491" s="11" t="str">
        <f>IF(D12491&lt;&gt;"",IF(COUNTIF('USPTO TMs'!A:A,D12491)&gt;0,"Yes","No"),"")</f>
        <v/>
      </c>
      <c r="C12491" s="11"/>
      <c r="D12491" s="11"/>
      <c r="E12491" s="11"/>
      <c r="F12491" s="11"/>
      <c r="G12491" s="11"/>
      <c r="H12491" s="11"/>
      <c r="I12491" s="15"/>
    </row>
    <row r="12492" spans="1:9" ht="16.5">
      <c r="A12492" s="10" t="b">
        <v>0</v>
      </c>
      <c r="B12492" s="11" t="str">
        <f>IF(D12492&lt;&gt;"",IF(COUNTIF('USPTO TMs'!A:A,D12492)&gt;0,"Yes","No"),"")</f>
        <v/>
      </c>
      <c r="C12492" s="11"/>
      <c r="D12492" s="11"/>
      <c r="E12492" s="11"/>
      <c r="F12492" s="11"/>
      <c r="G12492" s="11"/>
      <c r="H12492" s="11"/>
      <c r="I12492" s="15"/>
    </row>
    <row r="12493" spans="1:9" ht="16.5">
      <c r="A12493" s="10" t="b">
        <v>0</v>
      </c>
      <c r="B12493" s="11" t="str">
        <f>IF(D12493&lt;&gt;"",IF(COUNTIF('USPTO TMs'!A:A,D12493)&gt;0,"Yes","No"),"")</f>
        <v/>
      </c>
      <c r="C12493" s="11"/>
      <c r="D12493" s="11"/>
      <c r="E12493" s="11"/>
      <c r="F12493" s="11"/>
      <c r="G12493" s="11"/>
      <c r="H12493" s="11"/>
      <c r="I12493" s="15"/>
    </row>
    <row r="12494" spans="1:9" ht="16.5">
      <c r="A12494" s="10" t="b">
        <v>0</v>
      </c>
      <c r="B12494" s="11" t="str">
        <f>IF(D12494&lt;&gt;"",IF(COUNTIF('USPTO TMs'!A:A,D12494)&gt;0,"Yes","No"),"")</f>
        <v/>
      </c>
      <c r="C12494" s="11"/>
      <c r="D12494" s="11"/>
      <c r="E12494" s="11"/>
      <c r="F12494" s="11"/>
      <c r="G12494" s="11"/>
      <c r="H12494" s="11"/>
      <c r="I12494" s="15"/>
    </row>
    <row r="12495" spans="1:9" ht="16.5">
      <c r="A12495" s="10" t="b">
        <v>0</v>
      </c>
      <c r="B12495" s="11" t="str">
        <f>IF(D12495&lt;&gt;"",IF(COUNTIF('USPTO TMs'!A:A,D12495)&gt;0,"Yes","No"),"")</f>
        <v/>
      </c>
      <c r="C12495" s="11"/>
      <c r="D12495" s="11"/>
      <c r="E12495" s="11"/>
      <c r="F12495" s="11"/>
      <c r="G12495" s="11"/>
      <c r="H12495" s="11"/>
      <c r="I12495" s="15"/>
    </row>
    <row r="12496" spans="1:9" ht="16.5">
      <c r="A12496" s="10" t="b">
        <v>0</v>
      </c>
      <c r="B12496" s="11" t="str">
        <f>IF(D12496&lt;&gt;"",IF(COUNTIF('USPTO TMs'!A:A,D12496)&gt;0,"Yes","No"),"")</f>
        <v/>
      </c>
      <c r="C12496" s="11"/>
      <c r="D12496" s="11"/>
      <c r="E12496" s="11"/>
      <c r="F12496" s="11"/>
      <c r="G12496" s="11"/>
      <c r="H12496" s="11"/>
      <c r="I12496" s="15"/>
    </row>
    <row r="12497" spans="1:9" ht="16.5">
      <c r="A12497" s="10" t="b">
        <v>0</v>
      </c>
      <c r="B12497" s="11" t="str">
        <f>IF(D12497&lt;&gt;"",IF(COUNTIF('USPTO TMs'!A:A,D12497)&gt;0,"Yes","No"),"")</f>
        <v/>
      </c>
      <c r="C12497" s="11"/>
      <c r="D12497" s="11"/>
      <c r="E12497" s="11"/>
      <c r="F12497" s="11"/>
      <c r="G12497" s="11"/>
      <c r="H12497" s="11"/>
      <c r="I12497" s="15"/>
    </row>
    <row r="12498" spans="1:9" ht="16.5">
      <c r="A12498" s="10" t="b">
        <v>0</v>
      </c>
      <c r="B12498" s="11" t="str">
        <f>IF(D12498&lt;&gt;"",IF(COUNTIF('USPTO TMs'!A:A,D12498)&gt;0,"Yes","No"),"")</f>
        <v/>
      </c>
      <c r="C12498" s="11"/>
      <c r="D12498" s="11"/>
      <c r="E12498" s="11"/>
      <c r="F12498" s="11"/>
      <c r="G12498" s="11"/>
      <c r="H12498" s="11"/>
      <c r="I12498" s="15"/>
    </row>
    <row r="12499" spans="1:9" ht="16.5">
      <c r="A12499" s="10" t="b">
        <v>0</v>
      </c>
      <c r="B12499" s="11" t="str">
        <f>IF(D12499&lt;&gt;"",IF(COUNTIF('USPTO TMs'!A:A,D12499)&gt;0,"Yes","No"),"")</f>
        <v/>
      </c>
      <c r="C12499" s="11"/>
      <c r="D12499" s="11"/>
      <c r="E12499" s="11"/>
      <c r="F12499" s="11"/>
      <c r="G12499" s="11"/>
      <c r="H12499" s="11"/>
      <c r="I12499" s="15"/>
    </row>
    <row r="12500" spans="1:9" ht="16.5">
      <c r="A12500" s="10" t="b">
        <v>0</v>
      </c>
      <c r="B12500" s="11" t="str">
        <f>IF(D12500&lt;&gt;"",IF(COUNTIF('USPTO TMs'!A:A,D12500)&gt;0,"Yes","No"),"")</f>
        <v/>
      </c>
      <c r="C12500" s="11"/>
      <c r="D12500" s="11"/>
      <c r="E12500" s="11"/>
      <c r="F12500" s="11"/>
      <c r="G12500" s="11"/>
      <c r="H12500" s="11"/>
      <c r="I12500" s="15"/>
    </row>
    <row r="12501" spans="1:9" ht="16.5">
      <c r="A12501" s="10" t="b">
        <v>0</v>
      </c>
      <c r="B12501" s="11" t="str">
        <f>IF(D12501&lt;&gt;"",IF(COUNTIF('USPTO TMs'!A:A,D12501)&gt;0,"Yes","No"),"")</f>
        <v/>
      </c>
      <c r="C12501" s="11"/>
      <c r="D12501" s="11"/>
      <c r="E12501" s="11"/>
      <c r="F12501" s="11"/>
      <c r="G12501" s="11"/>
      <c r="H12501" s="11"/>
      <c r="I12501" s="15"/>
    </row>
    <row r="12502" spans="1:9" ht="16.5">
      <c r="A12502" s="10" t="b">
        <v>0</v>
      </c>
      <c r="B12502" s="11" t="str">
        <f>IF(D12502&lt;&gt;"",IF(COUNTIF('USPTO TMs'!A:A,D12502)&gt;0,"Yes","No"),"")</f>
        <v/>
      </c>
      <c r="C12502" s="11"/>
      <c r="D12502" s="11"/>
      <c r="E12502" s="11"/>
      <c r="F12502" s="11"/>
      <c r="G12502" s="11"/>
      <c r="H12502" s="11"/>
      <c r="I12502" s="15"/>
    </row>
    <row r="12503" spans="1:9" ht="16.5">
      <c r="A12503" s="10" t="b">
        <v>0</v>
      </c>
      <c r="B12503" s="11" t="str">
        <f>IF(D12503&lt;&gt;"",IF(COUNTIF('USPTO TMs'!A:A,D12503)&gt;0,"Yes","No"),"")</f>
        <v/>
      </c>
      <c r="C12503" s="11"/>
      <c r="D12503" s="11"/>
      <c r="E12503" s="11"/>
      <c r="F12503" s="11"/>
      <c r="G12503" s="11"/>
      <c r="H12503" s="11"/>
      <c r="I12503" s="15"/>
    </row>
    <row r="12504" spans="1:9" ht="16.5">
      <c r="A12504" s="10" t="b">
        <v>0</v>
      </c>
      <c r="B12504" s="11" t="str">
        <f>IF(D12504&lt;&gt;"",IF(COUNTIF('USPTO TMs'!A:A,D12504)&gt;0,"Yes","No"),"")</f>
        <v/>
      </c>
      <c r="C12504" s="11"/>
      <c r="D12504" s="11"/>
      <c r="E12504" s="11"/>
      <c r="F12504" s="11"/>
      <c r="G12504" s="11"/>
      <c r="H12504" s="11"/>
      <c r="I12504" s="15"/>
    </row>
    <row r="12505" spans="1:9" ht="16.5">
      <c r="A12505" s="10" t="b">
        <v>0</v>
      </c>
      <c r="B12505" s="11" t="str">
        <f>IF(D12505&lt;&gt;"",IF(COUNTIF('USPTO TMs'!A:A,D12505)&gt;0,"Yes","No"),"")</f>
        <v/>
      </c>
      <c r="C12505" s="11"/>
      <c r="D12505" s="11"/>
      <c r="E12505" s="11"/>
      <c r="F12505" s="11"/>
      <c r="G12505" s="11"/>
      <c r="H12505" s="11"/>
      <c r="I12505" s="15"/>
    </row>
    <row r="12506" spans="1:9" ht="16.5">
      <c r="A12506" s="10" t="b">
        <v>0</v>
      </c>
      <c r="B12506" s="11" t="str">
        <f>IF(D12506&lt;&gt;"",IF(COUNTIF('USPTO TMs'!A:A,D12506)&gt;0,"Yes","No"),"")</f>
        <v/>
      </c>
      <c r="C12506" s="11"/>
      <c r="D12506" s="11"/>
      <c r="E12506" s="11"/>
      <c r="F12506" s="11"/>
      <c r="G12506" s="11"/>
      <c r="H12506" s="11"/>
      <c r="I12506" s="15"/>
    </row>
    <row r="12507" spans="1:9" ht="16.5">
      <c r="A12507" s="10" t="b">
        <v>0</v>
      </c>
      <c r="B12507" s="11" t="str">
        <f>IF(D12507&lt;&gt;"",IF(COUNTIF('USPTO TMs'!A:A,D12507)&gt;0,"Yes","No"),"")</f>
        <v/>
      </c>
      <c r="C12507" s="11"/>
      <c r="D12507" s="11"/>
      <c r="E12507" s="11"/>
      <c r="F12507" s="11"/>
      <c r="G12507" s="11"/>
      <c r="H12507" s="11"/>
      <c r="I12507" s="15"/>
    </row>
    <row r="12508" spans="1:9" ht="16.5">
      <c r="A12508" s="10" t="b">
        <v>0</v>
      </c>
      <c r="B12508" s="11" t="str">
        <f>IF(D12508&lt;&gt;"",IF(COUNTIF('USPTO TMs'!A:A,D12508)&gt;0,"Yes","No"),"")</f>
        <v/>
      </c>
      <c r="C12508" s="11"/>
      <c r="D12508" s="11"/>
      <c r="E12508" s="11"/>
      <c r="F12508" s="11"/>
      <c r="G12508" s="11"/>
      <c r="H12508" s="11"/>
      <c r="I12508" s="15"/>
    </row>
    <row r="12509" spans="1:9" ht="16.5">
      <c r="A12509" s="10" t="b">
        <v>0</v>
      </c>
      <c r="B12509" s="11" t="str">
        <f>IF(D12509&lt;&gt;"",IF(COUNTIF('USPTO TMs'!A:A,D12509)&gt;0,"Yes","No"),"")</f>
        <v/>
      </c>
      <c r="C12509" s="11"/>
      <c r="D12509" s="11"/>
      <c r="E12509" s="11"/>
      <c r="F12509" s="11"/>
      <c r="G12509" s="11"/>
      <c r="H12509" s="11"/>
      <c r="I12509" s="15"/>
    </row>
    <row r="12510" spans="1:9" ht="16.5">
      <c r="A12510" s="10" t="b">
        <v>0</v>
      </c>
      <c r="B12510" s="11" t="str">
        <f>IF(D12510&lt;&gt;"",IF(COUNTIF('USPTO TMs'!A:A,D12510)&gt;0,"Yes","No"),"")</f>
        <v/>
      </c>
      <c r="C12510" s="11"/>
      <c r="D12510" s="11"/>
      <c r="E12510" s="11"/>
      <c r="F12510" s="11"/>
      <c r="G12510" s="11"/>
      <c r="H12510" s="11"/>
      <c r="I12510" s="15"/>
    </row>
    <row r="12511" spans="1:9" ht="16.5">
      <c r="A12511" s="10" t="b">
        <v>0</v>
      </c>
      <c r="B12511" s="11" t="str">
        <f>IF(D12511&lt;&gt;"",IF(COUNTIF('USPTO TMs'!A:A,D12511)&gt;0,"Yes","No"),"")</f>
        <v/>
      </c>
      <c r="C12511" s="11"/>
      <c r="D12511" s="11"/>
      <c r="E12511" s="11"/>
      <c r="F12511" s="11"/>
      <c r="G12511" s="11"/>
      <c r="H12511" s="11"/>
      <c r="I12511" s="15"/>
    </row>
    <row r="12512" spans="1:9" ht="16.5">
      <c r="A12512" s="10" t="b">
        <v>0</v>
      </c>
      <c r="B12512" s="11" t="str">
        <f>IF(D12512&lt;&gt;"",IF(COUNTIF('USPTO TMs'!A:A,D12512)&gt;0,"Yes","No"),"")</f>
        <v/>
      </c>
      <c r="C12512" s="11"/>
      <c r="D12512" s="11"/>
      <c r="E12512" s="11"/>
      <c r="F12512" s="11"/>
      <c r="G12512" s="11"/>
      <c r="H12512" s="11"/>
      <c r="I12512" s="15"/>
    </row>
    <row r="12513" spans="1:9" ht="16.5">
      <c r="A12513" s="10" t="b">
        <v>0</v>
      </c>
      <c r="B12513" s="11" t="str">
        <f>IF(D12513&lt;&gt;"",IF(COUNTIF('USPTO TMs'!A:A,D12513)&gt;0,"Yes","No"),"")</f>
        <v/>
      </c>
      <c r="C12513" s="11"/>
      <c r="D12513" s="11"/>
      <c r="E12513" s="11"/>
      <c r="F12513" s="11"/>
      <c r="G12513" s="11"/>
      <c r="H12513" s="11"/>
      <c r="I12513" s="15"/>
    </row>
    <row r="12514" spans="1:9" ht="16.5">
      <c r="A12514" s="10" t="b">
        <v>0</v>
      </c>
      <c r="B12514" s="11" t="str">
        <f>IF(D12514&lt;&gt;"",IF(COUNTIF('USPTO TMs'!A:A,D12514)&gt;0,"Yes","No"),"")</f>
        <v/>
      </c>
      <c r="C12514" s="11"/>
      <c r="D12514" s="11"/>
      <c r="E12514" s="11"/>
      <c r="F12514" s="11"/>
      <c r="G12514" s="11"/>
      <c r="H12514" s="11"/>
      <c r="I12514" s="15"/>
    </row>
    <row r="12515" spans="1:9" ht="16.5">
      <c r="A12515" s="10" t="b">
        <v>0</v>
      </c>
      <c r="B12515" s="11" t="str">
        <f>IF(D12515&lt;&gt;"",IF(COUNTIF('USPTO TMs'!A:A,D12515)&gt;0,"Yes","No"),"")</f>
        <v/>
      </c>
      <c r="C12515" s="11"/>
      <c r="D12515" s="11"/>
      <c r="E12515" s="11"/>
      <c r="F12515" s="11"/>
      <c r="G12515" s="11"/>
      <c r="H12515" s="11"/>
      <c r="I12515" s="15"/>
    </row>
    <row r="12516" spans="1:9" ht="16.5">
      <c r="A12516" s="10" t="b">
        <v>0</v>
      </c>
      <c r="B12516" s="11" t="str">
        <f>IF(D12516&lt;&gt;"",IF(COUNTIF('USPTO TMs'!A:A,D12516)&gt;0,"Yes","No"),"")</f>
        <v/>
      </c>
      <c r="C12516" s="11"/>
      <c r="D12516" s="11"/>
      <c r="E12516" s="11"/>
      <c r="F12516" s="11"/>
      <c r="G12516" s="11"/>
      <c r="H12516" s="11"/>
      <c r="I12516" s="15"/>
    </row>
    <row r="12517" spans="1:9" ht="16.5">
      <c r="A12517" s="10" t="b">
        <v>0</v>
      </c>
      <c r="B12517" s="11" t="str">
        <f>IF(D12517&lt;&gt;"",IF(COUNTIF('USPTO TMs'!A:A,D12517)&gt;0,"Yes","No"),"")</f>
        <v/>
      </c>
      <c r="C12517" s="11"/>
      <c r="D12517" s="11"/>
      <c r="E12517" s="11"/>
      <c r="F12517" s="11"/>
      <c r="G12517" s="11"/>
      <c r="H12517" s="11"/>
      <c r="I12517" s="15"/>
    </row>
    <row r="12518" spans="1:9" ht="16.5">
      <c r="A12518" s="10" t="b">
        <v>0</v>
      </c>
      <c r="B12518" s="11" t="str">
        <f>IF(D12518&lt;&gt;"",IF(COUNTIF('USPTO TMs'!A:A,D12518)&gt;0,"Yes","No"),"")</f>
        <v/>
      </c>
      <c r="C12518" s="11"/>
      <c r="D12518" s="11"/>
      <c r="E12518" s="11"/>
      <c r="F12518" s="11"/>
      <c r="G12518" s="11"/>
      <c r="H12518" s="11"/>
      <c r="I12518" s="15"/>
    </row>
    <row r="12519" spans="1:9" ht="16.5">
      <c r="A12519" s="10" t="b">
        <v>0</v>
      </c>
      <c r="B12519" s="11" t="str">
        <f>IF(D12519&lt;&gt;"",IF(COUNTIF('USPTO TMs'!A:A,D12519)&gt;0,"Yes","No"),"")</f>
        <v/>
      </c>
      <c r="C12519" s="11"/>
      <c r="D12519" s="11"/>
      <c r="E12519" s="11"/>
      <c r="F12519" s="11"/>
      <c r="G12519" s="11"/>
      <c r="H12519" s="11"/>
      <c r="I12519" s="15"/>
    </row>
    <row r="12520" spans="1:9" ht="16.5">
      <c r="A12520" s="10" t="b">
        <v>0</v>
      </c>
      <c r="B12520" s="11" t="str">
        <f>IF(D12520&lt;&gt;"",IF(COUNTIF('USPTO TMs'!A:A,D12520)&gt;0,"Yes","No"),"")</f>
        <v/>
      </c>
      <c r="C12520" s="11"/>
      <c r="D12520" s="11"/>
      <c r="E12520" s="11"/>
      <c r="F12520" s="11"/>
      <c r="G12520" s="11"/>
      <c r="H12520" s="11"/>
      <c r="I12520" s="15"/>
    </row>
    <row r="12521" spans="1:9" ht="16.5">
      <c r="A12521" s="10" t="b">
        <v>0</v>
      </c>
      <c r="B12521" s="11" t="str">
        <f>IF(D12521&lt;&gt;"",IF(COUNTIF('USPTO TMs'!A:A,D12521)&gt;0,"Yes","No"),"")</f>
        <v/>
      </c>
      <c r="C12521" s="11"/>
      <c r="D12521" s="11"/>
      <c r="E12521" s="11"/>
      <c r="F12521" s="11"/>
      <c r="G12521" s="11"/>
      <c r="H12521" s="11"/>
      <c r="I12521" s="15"/>
    </row>
    <row r="12522" spans="1:9" ht="16.5">
      <c r="A12522" s="10" t="b">
        <v>0</v>
      </c>
      <c r="B12522" s="11" t="str">
        <f>IF(D12522&lt;&gt;"",IF(COUNTIF('USPTO TMs'!A:A,D12522)&gt;0,"Yes","No"),"")</f>
        <v/>
      </c>
      <c r="C12522" s="11"/>
      <c r="D12522" s="11"/>
      <c r="E12522" s="11"/>
      <c r="F12522" s="11"/>
      <c r="G12522" s="11"/>
      <c r="H12522" s="11"/>
      <c r="I12522" s="15"/>
    </row>
    <row r="12523" spans="1:9" ht="16.5">
      <c r="A12523" s="10" t="b">
        <v>0</v>
      </c>
      <c r="B12523" s="11" t="str">
        <f>IF(D12523&lt;&gt;"",IF(COUNTIF('USPTO TMs'!A:A,D12523)&gt;0,"Yes","No"),"")</f>
        <v/>
      </c>
      <c r="C12523" s="11"/>
      <c r="D12523" s="11"/>
      <c r="E12523" s="11"/>
      <c r="F12523" s="11"/>
      <c r="G12523" s="11"/>
      <c r="H12523" s="11"/>
      <c r="I12523" s="15"/>
    </row>
    <row r="12524" spans="1:9" ht="16.5">
      <c r="A12524" s="10" t="b">
        <v>0</v>
      </c>
      <c r="B12524" s="11" t="str">
        <f>IF(D12524&lt;&gt;"",IF(COUNTIF('USPTO TMs'!A:A,D12524)&gt;0,"Yes","No"),"")</f>
        <v/>
      </c>
      <c r="C12524" s="11"/>
      <c r="D12524" s="11"/>
      <c r="E12524" s="11"/>
      <c r="F12524" s="11"/>
      <c r="G12524" s="11"/>
      <c r="H12524" s="11"/>
      <c r="I12524" s="15"/>
    </row>
    <row r="12525" spans="1:9" ht="16.5">
      <c r="A12525" s="10" t="b">
        <v>0</v>
      </c>
      <c r="B12525" s="11" t="str">
        <f>IF(D12525&lt;&gt;"",IF(COUNTIF('USPTO TMs'!A:A,D12525)&gt;0,"Yes","No"),"")</f>
        <v/>
      </c>
      <c r="C12525" s="11"/>
      <c r="D12525" s="11"/>
      <c r="E12525" s="11"/>
      <c r="F12525" s="11"/>
      <c r="G12525" s="11"/>
      <c r="H12525" s="11"/>
      <c r="I12525" s="15"/>
    </row>
    <row r="12526" spans="1:9" ht="16.5">
      <c r="A12526" s="10" t="b">
        <v>0</v>
      </c>
      <c r="B12526" s="11" t="str">
        <f>IF(D12526&lt;&gt;"",IF(COUNTIF('USPTO TMs'!A:A,D12526)&gt;0,"Yes","No"),"")</f>
        <v/>
      </c>
      <c r="C12526" s="11"/>
      <c r="D12526" s="11"/>
      <c r="E12526" s="11"/>
      <c r="F12526" s="11"/>
      <c r="G12526" s="11"/>
      <c r="H12526" s="11"/>
      <c r="I12526" s="15"/>
    </row>
    <row r="12527" spans="1:9" ht="16.5">
      <c r="A12527" s="10" t="b">
        <v>0</v>
      </c>
      <c r="B12527" s="11" t="str">
        <f>IF(D12527&lt;&gt;"",IF(COUNTIF('USPTO TMs'!A:A,D12527)&gt;0,"Yes","No"),"")</f>
        <v/>
      </c>
      <c r="C12527" s="11"/>
      <c r="D12527" s="11"/>
      <c r="E12527" s="11"/>
      <c r="F12527" s="11"/>
      <c r="G12527" s="11"/>
      <c r="H12527" s="11"/>
      <c r="I12527" s="15"/>
    </row>
    <row r="12528" spans="1:9" ht="16.5">
      <c r="A12528" s="10" t="b">
        <v>0</v>
      </c>
      <c r="B12528" s="11" t="str">
        <f>IF(D12528&lt;&gt;"",IF(COUNTIF('USPTO TMs'!A:A,D12528)&gt;0,"Yes","No"),"")</f>
        <v/>
      </c>
      <c r="C12528" s="11"/>
      <c r="D12528" s="11"/>
      <c r="E12528" s="11"/>
      <c r="F12528" s="11"/>
      <c r="G12528" s="11"/>
      <c r="H12528" s="11"/>
      <c r="I12528" s="15"/>
    </row>
    <row r="12529" spans="1:9" ht="16.5">
      <c r="A12529" s="10" t="b">
        <v>0</v>
      </c>
      <c r="B12529" s="11" t="str">
        <f>IF(D12529&lt;&gt;"",IF(COUNTIF('USPTO TMs'!A:A,D12529)&gt;0,"Yes","No"),"")</f>
        <v/>
      </c>
      <c r="C12529" s="11"/>
      <c r="D12529" s="11"/>
      <c r="E12529" s="11"/>
      <c r="F12529" s="11"/>
      <c r="G12529" s="11"/>
      <c r="H12529" s="11"/>
      <c r="I12529" s="15"/>
    </row>
    <row r="12530" spans="1:9" ht="16.5">
      <c r="A12530" s="10" t="b">
        <v>0</v>
      </c>
      <c r="B12530" s="11" t="str">
        <f>IF(D12530&lt;&gt;"",IF(COUNTIF('USPTO TMs'!A:A,D12530)&gt;0,"Yes","No"),"")</f>
        <v/>
      </c>
      <c r="C12530" s="11"/>
      <c r="D12530" s="11"/>
      <c r="E12530" s="11"/>
      <c r="F12530" s="11"/>
      <c r="G12530" s="11"/>
      <c r="H12530" s="11"/>
      <c r="I12530" s="15"/>
    </row>
    <row r="12531" spans="1:9" ht="16.5">
      <c r="A12531" s="10" t="b">
        <v>0</v>
      </c>
      <c r="B12531" s="11" t="str">
        <f>IF(D12531&lt;&gt;"",IF(COUNTIF('USPTO TMs'!A:A,D12531)&gt;0,"Yes","No"),"")</f>
        <v/>
      </c>
      <c r="C12531" s="11"/>
      <c r="D12531" s="11"/>
      <c r="E12531" s="11"/>
      <c r="F12531" s="11"/>
      <c r="G12531" s="11"/>
      <c r="H12531" s="11"/>
      <c r="I12531" s="15"/>
    </row>
    <row r="12532" spans="1:9" ht="16.5">
      <c r="A12532" s="10" t="b">
        <v>0</v>
      </c>
      <c r="B12532" s="11" t="str">
        <f>IF(D12532&lt;&gt;"",IF(COUNTIF('USPTO TMs'!A:A,D12532)&gt;0,"Yes","No"),"")</f>
        <v/>
      </c>
      <c r="C12532" s="11"/>
      <c r="D12532" s="11"/>
      <c r="E12532" s="11"/>
      <c r="F12532" s="11"/>
      <c r="G12532" s="11"/>
      <c r="H12532" s="11"/>
      <c r="I12532" s="15"/>
    </row>
    <row r="12533" spans="1:9" ht="16.5">
      <c r="A12533" s="10" t="b">
        <v>0</v>
      </c>
      <c r="B12533" s="11" t="str">
        <f>IF(D12533&lt;&gt;"",IF(COUNTIF('USPTO TMs'!A:A,D12533)&gt;0,"Yes","No"),"")</f>
        <v/>
      </c>
      <c r="C12533" s="11"/>
      <c r="D12533" s="11"/>
      <c r="E12533" s="11"/>
      <c r="F12533" s="11"/>
      <c r="G12533" s="11"/>
      <c r="H12533" s="11"/>
      <c r="I12533" s="15"/>
    </row>
    <row r="12534" spans="1:9" ht="16.5">
      <c r="A12534" s="10" t="b">
        <v>0</v>
      </c>
      <c r="B12534" s="11" t="str">
        <f>IF(D12534&lt;&gt;"",IF(COUNTIF('USPTO TMs'!A:A,D12534)&gt;0,"Yes","No"),"")</f>
        <v/>
      </c>
      <c r="C12534" s="11"/>
      <c r="D12534" s="11"/>
      <c r="E12534" s="11"/>
      <c r="F12534" s="11"/>
      <c r="G12534" s="11"/>
      <c r="H12534" s="11"/>
      <c r="I12534" s="15"/>
    </row>
    <row r="12535" spans="1:9" ht="16.5">
      <c r="A12535" s="10" t="b">
        <v>0</v>
      </c>
      <c r="B12535" s="11" t="str">
        <f>IF(D12535&lt;&gt;"",IF(COUNTIF('USPTO TMs'!A:A,D12535)&gt;0,"Yes","No"),"")</f>
        <v/>
      </c>
      <c r="C12535" s="11"/>
      <c r="D12535" s="11"/>
      <c r="E12535" s="11"/>
      <c r="F12535" s="11"/>
      <c r="G12535" s="11"/>
      <c r="H12535" s="11"/>
      <c r="I12535" s="15"/>
    </row>
    <row r="12536" spans="1:9" ht="16.5">
      <c r="A12536" s="10" t="b">
        <v>0</v>
      </c>
      <c r="B12536" s="11" t="str">
        <f>IF(D12536&lt;&gt;"",IF(COUNTIF('USPTO TMs'!A:A,D12536)&gt;0,"Yes","No"),"")</f>
        <v/>
      </c>
      <c r="C12536" s="11"/>
      <c r="D12536" s="11"/>
      <c r="E12536" s="11"/>
      <c r="F12536" s="11"/>
      <c r="G12536" s="11"/>
      <c r="H12536" s="11"/>
      <c r="I12536" s="15"/>
    </row>
    <row r="12537" spans="1:9" ht="16.5">
      <c r="A12537" s="10" t="b">
        <v>0</v>
      </c>
      <c r="B12537" s="11" t="str">
        <f>IF(D12537&lt;&gt;"",IF(COUNTIF('USPTO TMs'!A:A,D12537)&gt;0,"Yes","No"),"")</f>
        <v/>
      </c>
      <c r="C12537" s="11"/>
      <c r="D12537" s="11"/>
      <c r="E12537" s="11"/>
      <c r="F12537" s="11"/>
      <c r="G12537" s="11"/>
      <c r="H12537" s="11"/>
      <c r="I12537" s="15"/>
    </row>
    <row r="12538" spans="1:9" ht="16.5">
      <c r="A12538" s="10" t="b">
        <v>0</v>
      </c>
      <c r="B12538" s="11" t="str">
        <f>IF(D12538&lt;&gt;"",IF(COUNTIF('USPTO TMs'!A:A,D12538)&gt;0,"Yes","No"),"")</f>
        <v/>
      </c>
      <c r="C12538" s="11"/>
      <c r="D12538" s="11"/>
      <c r="E12538" s="11"/>
      <c r="F12538" s="11"/>
      <c r="G12538" s="11"/>
      <c r="H12538" s="11"/>
      <c r="I12538" s="15"/>
    </row>
    <row r="12539" spans="1:9" ht="16.5">
      <c r="A12539" s="10" t="b">
        <v>0</v>
      </c>
      <c r="B12539" s="11" t="str">
        <f>IF(D12539&lt;&gt;"",IF(COUNTIF('USPTO TMs'!A:A,D12539)&gt;0,"Yes","No"),"")</f>
        <v/>
      </c>
      <c r="C12539" s="11"/>
      <c r="D12539" s="11"/>
      <c r="E12539" s="11"/>
      <c r="F12539" s="11"/>
      <c r="G12539" s="11"/>
      <c r="H12539" s="11"/>
      <c r="I12539" s="15"/>
    </row>
    <row r="12540" spans="1:9" ht="16.5">
      <c r="A12540" s="10" t="b">
        <v>0</v>
      </c>
      <c r="B12540" s="11" t="str">
        <f>IF(D12540&lt;&gt;"",IF(COUNTIF('USPTO TMs'!A:A,D12540)&gt;0,"Yes","No"),"")</f>
        <v/>
      </c>
      <c r="C12540" s="11"/>
      <c r="D12540" s="11"/>
      <c r="E12540" s="11"/>
      <c r="F12540" s="11"/>
      <c r="G12540" s="11"/>
      <c r="H12540" s="11"/>
      <c r="I12540" s="15"/>
    </row>
    <row r="12541" spans="1:9" ht="16.5">
      <c r="A12541" s="10" t="b">
        <v>0</v>
      </c>
      <c r="B12541" s="11" t="str">
        <f>IF(D12541&lt;&gt;"",IF(COUNTIF('USPTO TMs'!A:A,D12541)&gt;0,"Yes","No"),"")</f>
        <v/>
      </c>
      <c r="C12541" s="11"/>
      <c r="D12541" s="11"/>
      <c r="E12541" s="11"/>
      <c r="F12541" s="11"/>
      <c r="G12541" s="11"/>
      <c r="H12541" s="11"/>
      <c r="I12541" s="15"/>
    </row>
    <row r="12542" spans="1:9" ht="16.5">
      <c r="A12542" s="10" t="b">
        <v>0</v>
      </c>
      <c r="B12542" s="11" t="str">
        <f>IF(D12542&lt;&gt;"",IF(COUNTIF('USPTO TMs'!A:A,D12542)&gt;0,"Yes","No"),"")</f>
        <v/>
      </c>
      <c r="C12542" s="11"/>
      <c r="D12542" s="11"/>
      <c r="E12542" s="11"/>
      <c r="F12542" s="11"/>
      <c r="G12542" s="11"/>
      <c r="H12542" s="11"/>
      <c r="I12542" s="15"/>
    </row>
    <row r="12543" spans="1:9" ht="16.5">
      <c r="A12543" s="10" t="b">
        <v>0</v>
      </c>
      <c r="B12543" s="11" t="str">
        <f>IF(D12543&lt;&gt;"",IF(COUNTIF('USPTO TMs'!A:A,D12543)&gt;0,"Yes","No"),"")</f>
        <v/>
      </c>
      <c r="C12543" s="11"/>
      <c r="D12543" s="11"/>
      <c r="E12543" s="11"/>
      <c r="F12543" s="11"/>
      <c r="G12543" s="11"/>
      <c r="H12543" s="11"/>
      <c r="I12543" s="15"/>
    </row>
    <row r="12544" spans="1:9" ht="16.5">
      <c r="A12544" s="10" t="b">
        <v>0</v>
      </c>
      <c r="B12544" s="11" t="str">
        <f>IF(D12544&lt;&gt;"",IF(COUNTIF('USPTO TMs'!A:A,D12544)&gt;0,"Yes","No"),"")</f>
        <v/>
      </c>
      <c r="C12544" s="11"/>
      <c r="D12544" s="11"/>
      <c r="E12544" s="11"/>
      <c r="F12544" s="11"/>
      <c r="G12544" s="11"/>
      <c r="H12544" s="11"/>
      <c r="I12544" s="15"/>
    </row>
    <row r="12545" spans="1:9" ht="16.5">
      <c r="A12545" s="10" t="b">
        <v>0</v>
      </c>
      <c r="B12545" s="11" t="str">
        <f>IF(D12545&lt;&gt;"",IF(COUNTIF('USPTO TMs'!A:A,D12545)&gt;0,"Yes","No"),"")</f>
        <v/>
      </c>
      <c r="C12545" s="11"/>
      <c r="D12545" s="11"/>
      <c r="E12545" s="11"/>
      <c r="F12545" s="11"/>
      <c r="G12545" s="11"/>
      <c r="H12545" s="11"/>
      <c r="I12545" s="15"/>
    </row>
    <row r="12546" spans="1:9" ht="16.5">
      <c r="A12546" s="10" t="b">
        <v>0</v>
      </c>
      <c r="B12546" s="11" t="str">
        <f>IF(D12546&lt;&gt;"",IF(COUNTIF('USPTO TMs'!A:A,D12546)&gt;0,"Yes","No"),"")</f>
        <v/>
      </c>
      <c r="C12546" s="11"/>
      <c r="D12546" s="11"/>
      <c r="E12546" s="11"/>
      <c r="F12546" s="11"/>
      <c r="G12546" s="11"/>
      <c r="H12546" s="11"/>
      <c r="I12546" s="15"/>
    </row>
    <row r="12547" spans="1:9" ht="16.5">
      <c r="A12547" s="10" t="b">
        <v>0</v>
      </c>
      <c r="B12547" s="11" t="str">
        <f>IF(D12547&lt;&gt;"",IF(COUNTIF('USPTO TMs'!A:A,D12547)&gt;0,"Yes","No"),"")</f>
        <v/>
      </c>
      <c r="C12547" s="11"/>
      <c r="D12547" s="11"/>
      <c r="E12547" s="11"/>
      <c r="F12547" s="11"/>
      <c r="G12547" s="11"/>
      <c r="H12547" s="11"/>
      <c r="I12547" s="15"/>
    </row>
    <row r="12548" spans="1:9" ht="16.5">
      <c r="A12548" s="10" t="b">
        <v>0</v>
      </c>
      <c r="B12548" s="11" t="str">
        <f>IF(D12548&lt;&gt;"",IF(COUNTIF('USPTO TMs'!A:A,D12548)&gt;0,"Yes","No"),"")</f>
        <v/>
      </c>
      <c r="C12548" s="11"/>
      <c r="D12548" s="11"/>
      <c r="E12548" s="11"/>
      <c r="F12548" s="11"/>
      <c r="G12548" s="11"/>
      <c r="H12548" s="11"/>
      <c r="I12548" s="15"/>
    </row>
    <row r="12549" spans="1:9" ht="16.5">
      <c r="A12549" s="10" t="b">
        <v>0</v>
      </c>
      <c r="B12549" s="11" t="str">
        <f>IF(D12549&lt;&gt;"",IF(COUNTIF('USPTO TMs'!A:A,D12549)&gt;0,"Yes","No"),"")</f>
        <v/>
      </c>
      <c r="C12549" s="11"/>
      <c r="D12549" s="11"/>
      <c r="E12549" s="11"/>
      <c r="F12549" s="11"/>
      <c r="G12549" s="11"/>
      <c r="H12549" s="11"/>
      <c r="I12549" s="15"/>
    </row>
    <row r="12550" spans="1:9" ht="16.5">
      <c r="A12550" s="10" t="b">
        <v>0</v>
      </c>
      <c r="B12550" s="11" t="str">
        <f>IF(D12550&lt;&gt;"",IF(COUNTIF('USPTO TMs'!A:A,D12550)&gt;0,"Yes","No"),"")</f>
        <v/>
      </c>
      <c r="C12550" s="11"/>
      <c r="D12550" s="11"/>
      <c r="E12550" s="11"/>
      <c r="F12550" s="11"/>
      <c r="G12550" s="11"/>
      <c r="H12550" s="11"/>
      <c r="I12550" s="15"/>
    </row>
    <row r="12551" spans="1:9" ht="16.5">
      <c r="A12551" s="10" t="b">
        <v>0</v>
      </c>
      <c r="B12551" s="11" t="str">
        <f>IF(D12551&lt;&gt;"",IF(COUNTIF('USPTO TMs'!A:A,D12551)&gt;0,"Yes","No"),"")</f>
        <v/>
      </c>
      <c r="C12551" s="11"/>
      <c r="D12551" s="11"/>
      <c r="E12551" s="11"/>
      <c r="F12551" s="11"/>
      <c r="G12551" s="11"/>
      <c r="H12551" s="11"/>
      <c r="I12551" s="15"/>
    </row>
    <row r="12552" spans="1:9" ht="16.5">
      <c r="A12552" s="10" t="b">
        <v>0</v>
      </c>
      <c r="B12552" s="11" t="str">
        <f>IF(D12552&lt;&gt;"",IF(COUNTIF('USPTO TMs'!A:A,D12552)&gt;0,"Yes","No"),"")</f>
        <v/>
      </c>
      <c r="C12552" s="11"/>
      <c r="D12552" s="11"/>
      <c r="E12552" s="11"/>
      <c r="F12552" s="11"/>
      <c r="G12552" s="11"/>
      <c r="H12552" s="11"/>
      <c r="I12552" s="15"/>
    </row>
    <row r="12553" spans="1:9" ht="16.5">
      <c r="A12553" s="10" t="b">
        <v>0</v>
      </c>
      <c r="B12553" s="11" t="str">
        <f>IF(D12553&lt;&gt;"",IF(COUNTIF('USPTO TMs'!A:A,D12553)&gt;0,"Yes","No"),"")</f>
        <v/>
      </c>
      <c r="C12553" s="11"/>
      <c r="D12553" s="11"/>
      <c r="E12553" s="11"/>
      <c r="F12553" s="11"/>
      <c r="G12553" s="11"/>
      <c r="H12553" s="11"/>
      <c r="I12553" s="15"/>
    </row>
    <row r="12554" spans="1:9" ht="16.5">
      <c r="A12554" s="10" t="b">
        <v>0</v>
      </c>
      <c r="B12554" s="11" t="str">
        <f>IF(D12554&lt;&gt;"",IF(COUNTIF('USPTO TMs'!A:A,D12554)&gt;0,"Yes","No"),"")</f>
        <v/>
      </c>
      <c r="C12554" s="11"/>
      <c r="D12554" s="11"/>
      <c r="E12554" s="11"/>
      <c r="F12554" s="11"/>
      <c r="G12554" s="11"/>
      <c r="H12554" s="11"/>
      <c r="I12554" s="15"/>
    </row>
    <row r="12555" spans="1:9" ht="16.5">
      <c r="A12555" s="10" t="b">
        <v>0</v>
      </c>
      <c r="B12555" s="11" t="str">
        <f>IF(D12555&lt;&gt;"",IF(COUNTIF('USPTO TMs'!A:A,D12555)&gt;0,"Yes","No"),"")</f>
        <v/>
      </c>
      <c r="C12555" s="11"/>
      <c r="D12555" s="11"/>
      <c r="E12555" s="11"/>
      <c r="F12555" s="11"/>
      <c r="G12555" s="11"/>
      <c r="H12555" s="11"/>
      <c r="I12555" s="15"/>
    </row>
    <row r="12556" spans="1:9" ht="16.5">
      <c r="A12556" s="10" t="b">
        <v>0</v>
      </c>
      <c r="B12556" s="11" t="str">
        <f>IF(D12556&lt;&gt;"",IF(COUNTIF('USPTO TMs'!A:A,D12556)&gt;0,"Yes","No"),"")</f>
        <v/>
      </c>
      <c r="C12556" s="11"/>
      <c r="D12556" s="11"/>
      <c r="E12556" s="11"/>
      <c r="F12556" s="11"/>
      <c r="G12556" s="11"/>
      <c r="H12556" s="11"/>
      <c r="I12556" s="15"/>
    </row>
    <row r="12557" spans="1:9" ht="16.5">
      <c r="A12557" s="10" t="b">
        <v>0</v>
      </c>
      <c r="B12557" s="11" t="str">
        <f>IF(D12557&lt;&gt;"",IF(COUNTIF('USPTO TMs'!A:A,D12557)&gt;0,"Yes","No"),"")</f>
        <v/>
      </c>
      <c r="C12557" s="11"/>
      <c r="D12557" s="11"/>
      <c r="E12557" s="11"/>
      <c r="F12557" s="11"/>
      <c r="G12557" s="11"/>
      <c r="H12557" s="11"/>
      <c r="I12557" s="15"/>
    </row>
    <row r="12558" spans="1:9" ht="16.5">
      <c r="A12558" s="10" t="b">
        <v>0</v>
      </c>
      <c r="B12558" s="11" t="str">
        <f>IF(D12558&lt;&gt;"",IF(COUNTIF('USPTO TMs'!A:A,D12558)&gt;0,"Yes","No"),"")</f>
        <v/>
      </c>
      <c r="C12558" s="11"/>
      <c r="D12558" s="11"/>
      <c r="E12558" s="11"/>
      <c r="F12558" s="11"/>
      <c r="G12558" s="11"/>
      <c r="H12558" s="11"/>
      <c r="I12558" s="15"/>
    </row>
    <row r="12559" spans="1:9" ht="16.5">
      <c r="A12559" s="10" t="b">
        <v>0</v>
      </c>
      <c r="B12559" s="11" t="str">
        <f>IF(D12559&lt;&gt;"",IF(COUNTIF('USPTO TMs'!A:A,D12559)&gt;0,"Yes","No"),"")</f>
        <v/>
      </c>
      <c r="C12559" s="11"/>
      <c r="D12559" s="11"/>
      <c r="E12559" s="11"/>
      <c r="F12559" s="11"/>
      <c r="G12559" s="11"/>
      <c r="H12559" s="11"/>
      <c r="I12559" s="15"/>
    </row>
    <row r="12560" spans="1:9" ht="16.5">
      <c r="A12560" s="10" t="b">
        <v>0</v>
      </c>
      <c r="B12560" s="11" t="str">
        <f>IF(D12560&lt;&gt;"",IF(COUNTIF('USPTO TMs'!A:A,D12560)&gt;0,"Yes","No"),"")</f>
        <v/>
      </c>
      <c r="C12560" s="11"/>
      <c r="D12560" s="11"/>
      <c r="E12560" s="11"/>
      <c r="F12560" s="11"/>
      <c r="G12560" s="11"/>
      <c r="H12560" s="11"/>
      <c r="I12560" s="15"/>
    </row>
    <row r="12561" spans="1:9" ht="16.5">
      <c r="A12561" s="10" t="b">
        <v>0</v>
      </c>
      <c r="B12561" s="11" t="str">
        <f>IF(D12561&lt;&gt;"",IF(COUNTIF('USPTO TMs'!A:A,D12561)&gt;0,"Yes","No"),"")</f>
        <v/>
      </c>
      <c r="C12561" s="11"/>
      <c r="D12561" s="11"/>
      <c r="E12561" s="11"/>
      <c r="F12561" s="11"/>
      <c r="G12561" s="11"/>
      <c r="H12561" s="11"/>
      <c r="I12561" s="15"/>
    </row>
    <row r="12562" spans="1:9" ht="16.5">
      <c r="A12562" s="10" t="b">
        <v>0</v>
      </c>
      <c r="B12562" s="11" t="str">
        <f>IF(D12562&lt;&gt;"",IF(COUNTIF('USPTO TMs'!A:A,D12562)&gt;0,"Yes","No"),"")</f>
        <v/>
      </c>
      <c r="C12562" s="11"/>
      <c r="D12562" s="11"/>
      <c r="E12562" s="11"/>
      <c r="F12562" s="11"/>
      <c r="G12562" s="11"/>
      <c r="H12562" s="11"/>
      <c r="I12562" s="15"/>
    </row>
    <row r="12563" spans="1:9" ht="16.5">
      <c r="A12563" s="10" t="b">
        <v>0</v>
      </c>
      <c r="B12563" s="11" t="str">
        <f>IF(D12563&lt;&gt;"",IF(COUNTIF('USPTO TMs'!A:A,D12563)&gt;0,"Yes","No"),"")</f>
        <v/>
      </c>
      <c r="C12563" s="11"/>
      <c r="D12563" s="11"/>
      <c r="E12563" s="11"/>
      <c r="F12563" s="11"/>
      <c r="G12563" s="11"/>
      <c r="H12563" s="11"/>
      <c r="I12563" s="15"/>
    </row>
    <row r="12564" spans="1:9" ht="16.5">
      <c r="A12564" s="10" t="b">
        <v>0</v>
      </c>
      <c r="B12564" s="11" t="str">
        <f>IF(D12564&lt;&gt;"",IF(COUNTIF('USPTO TMs'!A:A,D12564)&gt;0,"Yes","No"),"")</f>
        <v/>
      </c>
      <c r="C12564" s="11"/>
      <c r="D12564" s="11"/>
      <c r="E12564" s="11"/>
      <c r="F12564" s="11"/>
      <c r="G12564" s="11"/>
      <c r="H12564" s="11"/>
      <c r="I12564" s="15"/>
    </row>
    <row r="12565" spans="1:9" ht="16.5">
      <c r="A12565" s="10" t="b">
        <v>0</v>
      </c>
      <c r="B12565" s="11" t="str">
        <f>IF(D12565&lt;&gt;"",IF(COUNTIF('USPTO TMs'!A:A,D12565)&gt;0,"Yes","No"),"")</f>
        <v/>
      </c>
      <c r="C12565" s="11"/>
      <c r="D12565" s="11"/>
      <c r="E12565" s="11"/>
      <c r="F12565" s="11"/>
      <c r="G12565" s="11"/>
      <c r="H12565" s="11"/>
      <c r="I12565" s="15"/>
    </row>
    <row r="12566" spans="1:9" ht="16.5">
      <c r="A12566" s="10" t="b">
        <v>0</v>
      </c>
      <c r="B12566" s="11" t="str">
        <f>IF(D12566&lt;&gt;"",IF(COUNTIF('USPTO TMs'!A:A,D12566)&gt;0,"Yes","No"),"")</f>
        <v/>
      </c>
      <c r="C12566" s="11"/>
      <c r="D12566" s="11"/>
      <c r="E12566" s="11"/>
      <c r="F12566" s="11"/>
      <c r="G12566" s="11"/>
      <c r="H12566" s="11"/>
      <c r="I12566" s="15"/>
    </row>
    <row r="12567" spans="1:9" ht="16.5">
      <c r="A12567" s="10" t="b">
        <v>0</v>
      </c>
      <c r="B12567" s="11" t="str">
        <f>IF(D12567&lt;&gt;"",IF(COUNTIF('USPTO TMs'!A:A,D12567)&gt;0,"Yes","No"),"")</f>
        <v/>
      </c>
      <c r="C12567" s="11"/>
      <c r="D12567" s="11"/>
      <c r="E12567" s="11"/>
      <c r="F12567" s="11"/>
      <c r="G12567" s="11"/>
      <c r="H12567" s="11"/>
      <c r="I12567" s="15"/>
    </row>
    <row r="12568" spans="1:9" ht="16.5">
      <c r="A12568" s="10" t="b">
        <v>0</v>
      </c>
      <c r="B12568" s="11" t="str">
        <f>IF(D12568&lt;&gt;"",IF(COUNTIF('USPTO TMs'!A:A,D12568)&gt;0,"Yes","No"),"")</f>
        <v/>
      </c>
      <c r="C12568" s="11"/>
      <c r="D12568" s="11"/>
      <c r="E12568" s="11"/>
      <c r="F12568" s="11"/>
      <c r="G12568" s="11"/>
      <c r="H12568" s="11"/>
      <c r="I12568" s="15"/>
    </row>
    <row r="12569" spans="1:9" ht="16.5">
      <c r="A12569" s="10" t="b">
        <v>0</v>
      </c>
      <c r="B12569" s="11" t="str">
        <f>IF(D12569&lt;&gt;"",IF(COUNTIF('USPTO TMs'!A:A,D12569)&gt;0,"Yes","No"),"")</f>
        <v/>
      </c>
      <c r="C12569" s="11"/>
      <c r="D12569" s="11"/>
      <c r="E12569" s="11"/>
      <c r="F12569" s="11"/>
      <c r="G12569" s="11"/>
      <c r="H12569" s="11"/>
      <c r="I12569" s="15"/>
    </row>
    <row r="12570" spans="1:9" ht="16.5">
      <c r="A12570" s="10" t="b">
        <v>0</v>
      </c>
      <c r="B12570" s="11" t="str">
        <f>IF(D12570&lt;&gt;"",IF(COUNTIF('USPTO TMs'!A:A,D12570)&gt;0,"Yes","No"),"")</f>
        <v/>
      </c>
      <c r="C12570" s="11"/>
      <c r="D12570" s="11"/>
      <c r="E12570" s="11"/>
      <c r="F12570" s="11"/>
      <c r="G12570" s="11"/>
      <c r="H12570" s="11"/>
      <c r="I12570" s="15"/>
    </row>
    <row r="12571" spans="1:9" ht="16.5">
      <c r="A12571" s="10" t="b">
        <v>0</v>
      </c>
      <c r="B12571" s="11" t="str">
        <f>IF(D12571&lt;&gt;"",IF(COUNTIF('USPTO TMs'!A:A,D12571)&gt;0,"Yes","No"),"")</f>
        <v/>
      </c>
      <c r="C12571" s="11"/>
      <c r="D12571" s="11"/>
      <c r="E12571" s="11"/>
      <c r="F12571" s="11"/>
      <c r="G12571" s="11"/>
      <c r="H12571" s="11"/>
      <c r="I12571" s="15"/>
    </row>
    <row r="12572" spans="1:9" ht="16.5">
      <c r="A12572" s="10" t="b">
        <v>0</v>
      </c>
      <c r="B12572" s="11" t="str">
        <f>IF(D12572&lt;&gt;"",IF(COUNTIF('USPTO TMs'!A:A,D12572)&gt;0,"Yes","No"),"")</f>
        <v/>
      </c>
      <c r="C12572" s="11"/>
      <c r="D12572" s="11"/>
      <c r="E12572" s="11"/>
      <c r="F12572" s="11"/>
      <c r="G12572" s="11"/>
      <c r="H12572" s="11"/>
      <c r="I12572" s="15"/>
    </row>
    <row r="12573" spans="1:9" ht="16.5">
      <c r="A12573" s="10" t="b">
        <v>0</v>
      </c>
      <c r="B12573" s="11" t="str">
        <f>IF(D12573&lt;&gt;"",IF(COUNTIF('USPTO TMs'!A:A,D12573)&gt;0,"Yes","No"),"")</f>
        <v/>
      </c>
      <c r="C12573" s="11"/>
      <c r="D12573" s="11"/>
      <c r="E12573" s="11"/>
      <c r="F12573" s="11"/>
      <c r="G12573" s="11"/>
      <c r="H12573" s="11"/>
      <c r="I12573" s="15"/>
    </row>
    <row r="12574" spans="1:9" ht="16.5">
      <c r="A12574" s="10" t="b">
        <v>0</v>
      </c>
      <c r="B12574" s="11" t="str">
        <f>IF(D12574&lt;&gt;"",IF(COUNTIF('USPTO TMs'!A:A,D12574)&gt;0,"Yes","No"),"")</f>
        <v/>
      </c>
      <c r="C12574" s="11"/>
      <c r="D12574" s="11"/>
      <c r="E12574" s="11"/>
      <c r="F12574" s="11"/>
      <c r="G12574" s="11"/>
      <c r="H12574" s="11"/>
      <c r="I12574" s="15"/>
    </row>
    <row r="12575" spans="1:9" ht="16.5">
      <c r="A12575" s="10" t="b">
        <v>0</v>
      </c>
      <c r="B12575" s="11" t="str">
        <f>IF(D12575&lt;&gt;"",IF(COUNTIF('USPTO TMs'!A:A,D12575)&gt;0,"Yes","No"),"")</f>
        <v/>
      </c>
      <c r="C12575" s="11"/>
      <c r="D12575" s="11"/>
      <c r="E12575" s="11"/>
      <c r="F12575" s="11"/>
      <c r="G12575" s="11"/>
      <c r="H12575" s="11"/>
      <c r="I12575" s="15"/>
    </row>
    <row r="12576" spans="1:9" ht="16.5">
      <c r="A12576" s="10" t="b">
        <v>0</v>
      </c>
      <c r="B12576" s="11" t="str">
        <f>IF(D12576&lt;&gt;"",IF(COUNTIF('USPTO TMs'!A:A,D12576)&gt;0,"Yes","No"),"")</f>
        <v/>
      </c>
      <c r="C12576" s="11"/>
      <c r="D12576" s="11"/>
      <c r="E12576" s="11"/>
      <c r="F12576" s="11"/>
      <c r="G12576" s="11"/>
      <c r="H12576" s="11"/>
      <c r="I12576" s="15"/>
    </row>
    <row r="12577" spans="1:9" ht="16.5">
      <c r="A12577" s="10" t="b">
        <v>0</v>
      </c>
      <c r="B12577" s="11" t="str">
        <f>IF(D12577&lt;&gt;"",IF(COUNTIF('USPTO TMs'!A:A,D12577)&gt;0,"Yes","No"),"")</f>
        <v/>
      </c>
      <c r="C12577" s="11"/>
      <c r="D12577" s="11"/>
      <c r="E12577" s="11"/>
      <c r="F12577" s="11"/>
      <c r="G12577" s="11"/>
      <c r="H12577" s="11"/>
      <c r="I12577" s="15"/>
    </row>
    <row r="12578" spans="1:9" ht="16.5">
      <c r="A12578" s="10" t="b">
        <v>0</v>
      </c>
      <c r="B12578" s="11" t="str">
        <f>IF(D12578&lt;&gt;"",IF(COUNTIF('USPTO TMs'!A:A,D12578)&gt;0,"Yes","No"),"")</f>
        <v/>
      </c>
      <c r="C12578" s="11"/>
      <c r="D12578" s="11"/>
      <c r="E12578" s="11"/>
      <c r="F12578" s="11"/>
      <c r="G12578" s="11"/>
      <c r="H12578" s="11"/>
      <c r="I12578" s="15"/>
    </row>
    <row r="12579" spans="1:9" ht="16.5">
      <c r="A12579" s="10" t="b">
        <v>0</v>
      </c>
      <c r="B12579" s="11" t="str">
        <f>IF(D12579&lt;&gt;"",IF(COUNTIF('USPTO TMs'!A:A,D12579)&gt;0,"Yes","No"),"")</f>
        <v/>
      </c>
      <c r="C12579" s="11"/>
      <c r="D12579" s="11"/>
      <c r="E12579" s="11"/>
      <c r="F12579" s="11"/>
      <c r="G12579" s="11"/>
      <c r="H12579" s="11"/>
      <c r="I12579" s="15"/>
    </row>
    <row r="12580" spans="1:9" ht="16.5">
      <c r="A12580" s="10" t="b">
        <v>0</v>
      </c>
      <c r="B12580" s="11" t="str">
        <f>IF(D12580&lt;&gt;"",IF(COUNTIF('USPTO TMs'!A:A,D12580)&gt;0,"Yes","No"),"")</f>
        <v/>
      </c>
      <c r="C12580" s="11"/>
      <c r="D12580" s="11"/>
      <c r="E12580" s="11"/>
      <c r="F12580" s="11"/>
      <c r="G12580" s="11"/>
      <c r="H12580" s="11"/>
      <c r="I12580" s="15"/>
    </row>
    <row r="12581" spans="1:9" ht="16.5">
      <c r="A12581" s="10" t="b">
        <v>0</v>
      </c>
      <c r="B12581" s="11" t="str">
        <f>IF(D12581&lt;&gt;"",IF(COUNTIF('USPTO TMs'!A:A,D12581)&gt;0,"Yes","No"),"")</f>
        <v/>
      </c>
      <c r="C12581" s="11"/>
      <c r="D12581" s="11"/>
      <c r="E12581" s="11"/>
      <c r="F12581" s="11"/>
      <c r="G12581" s="11"/>
      <c r="H12581" s="11"/>
      <c r="I12581" s="15"/>
    </row>
    <row r="12582" spans="1:9" ht="16.5">
      <c r="A12582" s="10" t="b">
        <v>0</v>
      </c>
      <c r="B12582" s="11" t="str">
        <f>IF(D12582&lt;&gt;"",IF(COUNTIF('USPTO TMs'!A:A,D12582)&gt;0,"Yes","No"),"")</f>
        <v/>
      </c>
      <c r="C12582" s="11"/>
      <c r="D12582" s="11"/>
      <c r="E12582" s="11"/>
      <c r="F12582" s="11"/>
      <c r="G12582" s="11"/>
      <c r="H12582" s="11"/>
      <c r="I12582" s="15"/>
    </row>
    <row r="12583" spans="1:9" ht="16.5">
      <c r="A12583" s="10" t="b">
        <v>0</v>
      </c>
      <c r="B12583" s="11" t="str">
        <f>IF(D12583&lt;&gt;"",IF(COUNTIF('USPTO TMs'!A:A,D12583)&gt;0,"Yes","No"),"")</f>
        <v/>
      </c>
      <c r="C12583" s="11"/>
      <c r="D12583" s="11"/>
      <c r="E12583" s="11"/>
      <c r="F12583" s="11"/>
      <c r="G12583" s="11"/>
      <c r="H12583" s="11"/>
      <c r="I12583" s="15"/>
    </row>
    <row r="12584" spans="1:9" ht="16.5">
      <c r="A12584" s="10" t="b">
        <v>0</v>
      </c>
      <c r="B12584" s="11" t="str">
        <f>IF(D12584&lt;&gt;"",IF(COUNTIF('USPTO TMs'!A:A,D12584)&gt;0,"Yes","No"),"")</f>
        <v/>
      </c>
      <c r="C12584" s="11"/>
      <c r="D12584" s="11"/>
      <c r="E12584" s="11"/>
      <c r="F12584" s="11"/>
      <c r="G12584" s="11"/>
      <c r="H12584" s="11"/>
      <c r="I12584" s="15"/>
    </row>
    <row r="12585" spans="1:9" ht="16.5">
      <c r="A12585" s="10" t="b">
        <v>0</v>
      </c>
      <c r="B12585" s="11" t="str">
        <f>IF(D12585&lt;&gt;"",IF(COUNTIF('USPTO TMs'!A:A,D12585)&gt;0,"Yes","No"),"")</f>
        <v/>
      </c>
      <c r="C12585" s="11"/>
      <c r="D12585" s="11"/>
      <c r="E12585" s="11"/>
      <c r="F12585" s="11"/>
      <c r="G12585" s="11"/>
      <c r="H12585" s="11"/>
      <c r="I12585" s="15"/>
    </row>
    <row r="12586" spans="1:9" ht="16.5">
      <c r="A12586" s="10" t="b">
        <v>0</v>
      </c>
      <c r="B12586" s="11" t="str">
        <f>IF(D12586&lt;&gt;"",IF(COUNTIF('USPTO TMs'!A:A,D12586)&gt;0,"Yes","No"),"")</f>
        <v/>
      </c>
      <c r="C12586" s="11"/>
      <c r="D12586" s="11"/>
      <c r="E12586" s="11"/>
      <c r="F12586" s="11"/>
      <c r="G12586" s="11"/>
      <c r="H12586" s="11"/>
      <c r="I12586" s="15"/>
    </row>
    <row r="12587" spans="1:9" ht="16.5">
      <c r="A12587" s="10" t="b">
        <v>0</v>
      </c>
      <c r="B12587" s="11" t="str">
        <f>IF(D12587&lt;&gt;"",IF(COUNTIF('USPTO TMs'!A:A,D12587)&gt;0,"Yes","No"),"")</f>
        <v/>
      </c>
      <c r="C12587" s="11"/>
      <c r="D12587" s="11"/>
      <c r="E12587" s="11"/>
      <c r="F12587" s="11"/>
      <c r="G12587" s="11"/>
      <c r="H12587" s="11"/>
      <c r="I12587" s="15"/>
    </row>
    <row r="12588" spans="1:9" ht="16.5">
      <c r="A12588" s="10" t="b">
        <v>0</v>
      </c>
      <c r="B12588" s="11" t="str">
        <f>IF(D12588&lt;&gt;"",IF(COUNTIF('USPTO TMs'!A:A,D12588)&gt;0,"Yes","No"),"")</f>
        <v/>
      </c>
      <c r="C12588" s="11"/>
      <c r="D12588" s="11"/>
      <c r="E12588" s="11"/>
      <c r="F12588" s="11"/>
      <c r="G12588" s="11"/>
      <c r="H12588" s="11"/>
      <c r="I12588" s="15"/>
    </row>
    <row r="12589" spans="1:9" ht="16.5">
      <c r="A12589" s="10" t="b">
        <v>0</v>
      </c>
      <c r="B12589" s="11" t="str">
        <f>IF(D12589&lt;&gt;"",IF(COUNTIF('USPTO TMs'!A:A,D12589)&gt;0,"Yes","No"),"")</f>
        <v/>
      </c>
      <c r="C12589" s="11"/>
      <c r="D12589" s="11"/>
      <c r="E12589" s="11"/>
      <c r="F12589" s="11"/>
      <c r="G12589" s="11"/>
      <c r="H12589" s="11"/>
      <c r="I12589" s="15"/>
    </row>
    <row r="12590" spans="1:9" ht="16.5">
      <c r="A12590" s="10" t="b">
        <v>0</v>
      </c>
      <c r="B12590" s="11" t="str">
        <f>IF(D12590&lt;&gt;"",IF(COUNTIF('USPTO TMs'!A:A,D12590)&gt;0,"Yes","No"),"")</f>
        <v/>
      </c>
      <c r="C12590" s="11"/>
      <c r="D12590" s="11"/>
      <c r="E12590" s="11"/>
      <c r="F12590" s="11"/>
      <c r="G12590" s="11"/>
      <c r="H12590" s="11"/>
      <c r="I12590" s="15"/>
    </row>
    <row r="12591" spans="1:9" ht="16.5">
      <c r="A12591" s="10" t="b">
        <v>0</v>
      </c>
      <c r="B12591" s="11" t="str">
        <f>IF(D12591&lt;&gt;"",IF(COUNTIF('USPTO TMs'!A:A,D12591)&gt;0,"Yes","No"),"")</f>
        <v/>
      </c>
      <c r="C12591" s="11"/>
      <c r="D12591" s="11"/>
      <c r="E12591" s="11"/>
      <c r="F12591" s="11"/>
      <c r="G12591" s="11"/>
      <c r="H12591" s="11"/>
      <c r="I12591" s="15"/>
    </row>
    <row r="12592" spans="1:9" ht="16.5">
      <c r="A12592" s="10" t="b">
        <v>0</v>
      </c>
      <c r="B12592" s="11" t="str">
        <f>IF(D12592&lt;&gt;"",IF(COUNTIF('USPTO TMs'!A:A,D12592)&gt;0,"Yes","No"),"")</f>
        <v/>
      </c>
      <c r="C12592" s="11"/>
      <c r="D12592" s="11"/>
      <c r="E12592" s="11"/>
      <c r="F12592" s="11"/>
      <c r="G12592" s="11"/>
      <c r="H12592" s="11"/>
      <c r="I12592" s="15"/>
    </row>
    <row r="12593" spans="1:9" ht="16.5">
      <c r="A12593" s="10" t="b">
        <v>0</v>
      </c>
      <c r="B12593" s="11" t="str">
        <f>IF(D12593&lt;&gt;"",IF(COUNTIF('USPTO TMs'!A:A,D12593)&gt;0,"Yes","No"),"")</f>
        <v/>
      </c>
      <c r="C12593" s="11"/>
      <c r="D12593" s="11"/>
      <c r="E12593" s="11"/>
      <c r="F12593" s="11"/>
      <c r="G12593" s="11"/>
      <c r="H12593" s="11"/>
      <c r="I12593" s="15"/>
    </row>
    <row r="12594" spans="1:9" ht="16.5">
      <c r="A12594" s="10" t="b">
        <v>0</v>
      </c>
      <c r="B12594" s="11" t="str">
        <f>IF(D12594&lt;&gt;"",IF(COUNTIF('USPTO TMs'!A:A,D12594)&gt;0,"Yes","No"),"")</f>
        <v/>
      </c>
      <c r="C12594" s="11"/>
      <c r="D12594" s="11"/>
      <c r="E12594" s="11"/>
      <c r="F12594" s="11"/>
      <c r="G12594" s="11"/>
      <c r="H12594" s="11"/>
      <c r="I12594" s="15"/>
    </row>
    <row r="12595" spans="1:9" ht="16.5">
      <c r="A12595" s="10" t="b">
        <v>0</v>
      </c>
      <c r="B12595" s="11" t="str">
        <f>IF(D12595&lt;&gt;"",IF(COUNTIF('USPTO TMs'!A:A,D12595)&gt;0,"Yes","No"),"")</f>
        <v/>
      </c>
      <c r="C12595" s="11"/>
      <c r="D12595" s="11"/>
      <c r="E12595" s="11"/>
      <c r="F12595" s="11"/>
      <c r="G12595" s="11"/>
      <c r="H12595" s="11"/>
      <c r="I12595" s="15"/>
    </row>
    <row r="12596" spans="1:9" ht="16.5">
      <c r="A12596" s="10" t="b">
        <v>0</v>
      </c>
      <c r="B12596" s="11" t="str">
        <f>IF(D12596&lt;&gt;"",IF(COUNTIF('USPTO TMs'!A:A,D12596)&gt;0,"Yes","No"),"")</f>
        <v/>
      </c>
      <c r="C12596" s="11"/>
      <c r="D12596" s="11"/>
      <c r="E12596" s="11"/>
      <c r="F12596" s="11"/>
      <c r="G12596" s="11"/>
      <c r="H12596" s="11"/>
      <c r="I12596" s="15"/>
    </row>
    <row r="12597" spans="1:9" ht="16.5">
      <c r="A12597" s="10" t="b">
        <v>0</v>
      </c>
      <c r="B12597" s="11" t="str">
        <f>IF(D12597&lt;&gt;"",IF(COUNTIF('USPTO TMs'!A:A,D12597)&gt;0,"Yes","No"),"")</f>
        <v/>
      </c>
      <c r="C12597" s="11"/>
      <c r="D12597" s="11"/>
      <c r="E12597" s="11"/>
      <c r="F12597" s="11"/>
      <c r="G12597" s="11"/>
      <c r="H12597" s="11"/>
      <c r="I12597" s="15"/>
    </row>
    <row r="12598" spans="1:9" ht="16.5">
      <c r="A12598" s="10" t="b">
        <v>0</v>
      </c>
      <c r="B12598" s="11" t="str">
        <f>IF(D12598&lt;&gt;"",IF(COUNTIF('USPTO TMs'!A:A,D12598)&gt;0,"Yes","No"),"")</f>
        <v/>
      </c>
      <c r="C12598" s="11"/>
      <c r="D12598" s="11"/>
      <c r="E12598" s="11"/>
      <c r="F12598" s="11"/>
      <c r="G12598" s="11"/>
      <c r="H12598" s="11"/>
      <c r="I12598" s="15"/>
    </row>
    <row r="12599" spans="1:9" ht="16.5">
      <c r="A12599" s="10" t="b">
        <v>0</v>
      </c>
      <c r="B12599" s="11" t="str">
        <f>IF(D12599&lt;&gt;"",IF(COUNTIF('USPTO TMs'!A:A,D12599)&gt;0,"Yes","No"),"")</f>
        <v/>
      </c>
      <c r="C12599" s="11"/>
      <c r="D12599" s="11"/>
      <c r="E12599" s="11"/>
      <c r="F12599" s="11"/>
      <c r="G12599" s="11"/>
      <c r="H12599" s="11"/>
      <c r="I12599" s="15"/>
    </row>
    <row r="12600" spans="1:9" ht="16.5">
      <c r="A12600" s="10" t="b">
        <v>0</v>
      </c>
      <c r="B12600" s="11" t="str">
        <f>IF(D12600&lt;&gt;"",IF(COUNTIF('USPTO TMs'!A:A,D12600)&gt;0,"Yes","No"),"")</f>
        <v/>
      </c>
      <c r="C12600" s="11"/>
      <c r="D12600" s="11"/>
      <c r="E12600" s="11"/>
      <c r="F12600" s="11"/>
      <c r="G12600" s="11"/>
      <c r="H12600" s="11"/>
      <c r="I12600" s="15"/>
    </row>
    <row r="12601" spans="1:9" ht="16.5">
      <c r="A12601" s="10" t="b">
        <v>0</v>
      </c>
      <c r="B12601" s="11" t="str">
        <f>IF(D12601&lt;&gt;"",IF(COUNTIF('USPTO TMs'!A:A,D12601)&gt;0,"Yes","No"),"")</f>
        <v/>
      </c>
      <c r="C12601" s="11"/>
      <c r="D12601" s="11"/>
      <c r="E12601" s="11"/>
      <c r="F12601" s="11"/>
      <c r="G12601" s="11"/>
      <c r="H12601" s="11"/>
      <c r="I12601" s="15"/>
    </row>
    <row r="12602" spans="1:9" ht="16.5">
      <c r="A12602" s="10" t="b">
        <v>0</v>
      </c>
      <c r="B12602" s="11" t="str">
        <f>IF(D12602&lt;&gt;"",IF(COUNTIF('USPTO TMs'!A:A,D12602)&gt;0,"Yes","No"),"")</f>
        <v/>
      </c>
      <c r="C12602" s="11"/>
      <c r="D12602" s="11"/>
      <c r="E12602" s="11"/>
      <c r="F12602" s="11"/>
      <c r="G12602" s="11"/>
      <c r="H12602" s="11"/>
      <c r="I12602" s="15"/>
    </row>
    <row r="12603" spans="1:9" ht="16.5">
      <c r="A12603" s="10" t="b">
        <v>0</v>
      </c>
      <c r="B12603" s="11" t="str">
        <f>IF(D12603&lt;&gt;"",IF(COUNTIF('USPTO TMs'!A:A,D12603)&gt;0,"Yes","No"),"")</f>
        <v/>
      </c>
      <c r="C12603" s="11"/>
      <c r="D12603" s="11"/>
      <c r="E12603" s="11"/>
      <c r="F12603" s="11"/>
      <c r="G12603" s="11"/>
      <c r="H12603" s="11"/>
      <c r="I12603" s="15"/>
    </row>
    <row r="12604" spans="1:9" ht="16.5">
      <c r="A12604" s="10" t="b">
        <v>0</v>
      </c>
      <c r="B12604" s="11" t="str">
        <f>IF(D12604&lt;&gt;"",IF(COUNTIF('USPTO TMs'!A:A,D12604)&gt;0,"Yes","No"),"")</f>
        <v/>
      </c>
      <c r="C12604" s="11"/>
      <c r="D12604" s="11"/>
      <c r="E12604" s="11"/>
      <c r="F12604" s="11"/>
      <c r="G12604" s="11"/>
      <c r="H12604" s="11"/>
      <c r="I12604" s="15"/>
    </row>
    <row r="12605" spans="1:9" ht="16.5">
      <c r="A12605" s="10" t="b">
        <v>0</v>
      </c>
      <c r="B12605" s="11" t="str">
        <f>IF(D12605&lt;&gt;"",IF(COUNTIF('USPTO TMs'!A:A,D12605)&gt;0,"Yes","No"),"")</f>
        <v/>
      </c>
      <c r="C12605" s="11"/>
      <c r="D12605" s="11"/>
      <c r="E12605" s="11"/>
      <c r="F12605" s="11"/>
      <c r="G12605" s="11"/>
      <c r="H12605" s="11"/>
      <c r="I12605" s="15"/>
    </row>
    <row r="12606" spans="1:9" ht="16.5">
      <c r="A12606" s="10" t="b">
        <v>0</v>
      </c>
      <c r="B12606" s="11" t="str">
        <f>IF(D12606&lt;&gt;"",IF(COUNTIF('USPTO TMs'!A:A,D12606)&gt;0,"Yes","No"),"")</f>
        <v/>
      </c>
      <c r="C12606" s="11"/>
      <c r="D12606" s="11"/>
      <c r="E12606" s="11"/>
      <c r="F12606" s="11"/>
      <c r="G12606" s="11"/>
      <c r="H12606" s="11"/>
      <c r="I12606" s="15"/>
    </row>
    <row r="12607" spans="1:9" ht="16.5">
      <c r="A12607" s="10" t="b">
        <v>0</v>
      </c>
      <c r="B12607" s="11" t="str">
        <f>IF(D12607&lt;&gt;"",IF(COUNTIF('USPTO TMs'!A:A,D12607)&gt;0,"Yes","No"),"")</f>
        <v/>
      </c>
      <c r="C12607" s="11"/>
      <c r="D12607" s="11"/>
      <c r="E12607" s="11"/>
      <c r="F12607" s="11"/>
      <c r="G12607" s="11"/>
      <c r="H12607" s="11"/>
      <c r="I12607" s="15"/>
    </row>
    <row r="12608" spans="1:9" ht="16.5">
      <c r="A12608" s="10" t="b">
        <v>0</v>
      </c>
      <c r="B12608" s="11" t="str">
        <f>IF(D12608&lt;&gt;"",IF(COUNTIF('USPTO TMs'!A:A,D12608)&gt;0,"Yes","No"),"")</f>
        <v/>
      </c>
      <c r="C12608" s="11"/>
      <c r="D12608" s="11"/>
      <c r="E12608" s="11"/>
      <c r="F12608" s="11"/>
      <c r="G12608" s="11"/>
      <c r="H12608" s="11"/>
      <c r="I12608" s="15"/>
    </row>
    <row r="12609" spans="1:9" ht="16.5">
      <c r="A12609" s="10" t="b">
        <v>0</v>
      </c>
      <c r="B12609" s="11" t="str">
        <f>IF(D12609&lt;&gt;"",IF(COUNTIF('USPTO TMs'!A:A,D12609)&gt;0,"Yes","No"),"")</f>
        <v/>
      </c>
      <c r="C12609" s="11"/>
      <c r="D12609" s="11"/>
      <c r="E12609" s="11"/>
      <c r="F12609" s="11"/>
      <c r="G12609" s="11"/>
      <c r="H12609" s="11"/>
      <c r="I12609" s="15"/>
    </row>
    <row r="12610" spans="1:9" ht="16.5">
      <c r="A12610" s="10" t="b">
        <v>0</v>
      </c>
      <c r="B12610" s="11" t="str">
        <f>IF(D12610&lt;&gt;"",IF(COUNTIF('USPTO TMs'!A:A,D12610)&gt;0,"Yes","No"),"")</f>
        <v/>
      </c>
      <c r="C12610" s="11"/>
      <c r="D12610" s="11"/>
      <c r="E12610" s="11"/>
      <c r="F12610" s="11"/>
      <c r="G12610" s="11"/>
      <c r="H12610" s="11"/>
      <c r="I12610" s="15"/>
    </row>
    <row r="12611" spans="1:9" ht="16.5">
      <c r="A12611" s="10" t="b">
        <v>0</v>
      </c>
      <c r="B12611" s="11" t="str">
        <f>IF(D12611&lt;&gt;"",IF(COUNTIF('USPTO TMs'!A:A,D12611)&gt;0,"Yes","No"),"")</f>
        <v/>
      </c>
      <c r="C12611" s="11"/>
      <c r="D12611" s="11"/>
      <c r="E12611" s="11"/>
      <c r="F12611" s="11"/>
      <c r="G12611" s="11"/>
      <c r="H12611" s="11"/>
      <c r="I12611" s="15"/>
    </row>
    <row r="12612" spans="1:9" ht="16.5">
      <c r="A12612" s="10" t="b">
        <v>0</v>
      </c>
      <c r="B12612" s="11" t="str">
        <f>IF(D12612&lt;&gt;"",IF(COUNTIF('USPTO TMs'!A:A,D12612)&gt;0,"Yes","No"),"")</f>
        <v/>
      </c>
      <c r="C12612" s="11"/>
      <c r="D12612" s="11"/>
      <c r="E12612" s="11"/>
      <c r="F12612" s="11"/>
      <c r="G12612" s="11"/>
      <c r="H12612" s="11"/>
      <c r="I12612" s="15"/>
    </row>
    <row r="12613" spans="1:9" ht="16.5">
      <c r="A12613" s="10" t="b">
        <v>0</v>
      </c>
      <c r="B12613" s="11" t="str">
        <f>IF(D12613&lt;&gt;"",IF(COUNTIF('USPTO TMs'!A:A,D12613)&gt;0,"Yes","No"),"")</f>
        <v/>
      </c>
      <c r="C12613" s="11"/>
      <c r="D12613" s="11"/>
      <c r="E12613" s="11"/>
      <c r="F12613" s="11"/>
      <c r="G12613" s="11"/>
      <c r="H12613" s="11"/>
      <c r="I12613" s="15"/>
    </row>
    <row r="12614" spans="1:9" ht="16.5">
      <c r="A12614" s="10" t="b">
        <v>0</v>
      </c>
      <c r="B12614" s="11" t="str">
        <f>IF(D12614&lt;&gt;"",IF(COUNTIF('USPTO TMs'!A:A,D12614)&gt;0,"Yes","No"),"")</f>
        <v/>
      </c>
      <c r="C12614" s="11"/>
      <c r="D12614" s="11"/>
      <c r="E12614" s="11"/>
      <c r="F12614" s="11"/>
      <c r="G12614" s="11"/>
      <c r="H12614" s="11"/>
      <c r="I12614" s="15"/>
    </row>
    <row r="12615" spans="1:9" ht="16.5">
      <c r="A12615" s="10" t="b">
        <v>0</v>
      </c>
      <c r="B12615" s="11" t="str">
        <f>IF(D12615&lt;&gt;"",IF(COUNTIF('USPTO TMs'!A:A,D12615)&gt;0,"Yes","No"),"")</f>
        <v/>
      </c>
      <c r="C12615" s="11"/>
      <c r="D12615" s="11"/>
      <c r="E12615" s="11"/>
      <c r="F12615" s="11"/>
      <c r="G12615" s="11"/>
      <c r="H12615" s="11"/>
      <c r="I12615" s="15"/>
    </row>
    <row r="12616" spans="1:9" ht="16.5">
      <c r="A12616" s="10" t="b">
        <v>0</v>
      </c>
      <c r="B12616" s="11" t="str">
        <f>IF(D12616&lt;&gt;"",IF(COUNTIF('USPTO TMs'!A:A,D12616)&gt;0,"Yes","No"),"")</f>
        <v/>
      </c>
      <c r="C12616" s="11"/>
      <c r="D12616" s="11"/>
      <c r="E12616" s="11"/>
      <c r="F12616" s="11"/>
      <c r="G12616" s="11"/>
      <c r="H12616" s="11"/>
      <c r="I12616" s="15"/>
    </row>
    <row r="12617" spans="1:9" ht="16.5">
      <c r="A12617" s="10" t="b">
        <v>0</v>
      </c>
      <c r="B12617" s="11" t="str">
        <f>IF(D12617&lt;&gt;"",IF(COUNTIF('USPTO TMs'!A:A,D12617)&gt;0,"Yes","No"),"")</f>
        <v/>
      </c>
      <c r="C12617" s="11"/>
      <c r="D12617" s="11"/>
      <c r="E12617" s="11"/>
      <c r="F12617" s="11"/>
      <c r="G12617" s="11"/>
      <c r="H12617" s="11"/>
      <c r="I12617" s="15"/>
    </row>
    <row r="12618" spans="1:9" ht="16.5">
      <c r="A12618" s="10" t="b">
        <v>0</v>
      </c>
      <c r="B12618" s="11" t="str">
        <f>IF(D12618&lt;&gt;"",IF(COUNTIF('USPTO TMs'!A:A,D12618)&gt;0,"Yes","No"),"")</f>
        <v/>
      </c>
      <c r="C12618" s="11"/>
      <c r="D12618" s="11"/>
      <c r="E12618" s="11"/>
      <c r="F12618" s="11"/>
      <c r="G12618" s="11"/>
      <c r="H12618" s="11"/>
      <c r="I12618" s="15"/>
    </row>
    <row r="12619" spans="1:9" ht="16.5">
      <c r="A12619" s="10" t="b">
        <v>0</v>
      </c>
      <c r="B12619" s="11" t="str">
        <f>IF(D12619&lt;&gt;"",IF(COUNTIF('USPTO TMs'!A:A,D12619)&gt;0,"Yes","No"),"")</f>
        <v/>
      </c>
      <c r="C12619" s="11"/>
      <c r="D12619" s="11"/>
      <c r="E12619" s="11"/>
      <c r="F12619" s="11"/>
      <c r="G12619" s="11"/>
      <c r="H12619" s="11"/>
      <c r="I12619" s="15"/>
    </row>
    <row r="12620" spans="1:9" ht="16.5">
      <c r="A12620" s="10" t="b">
        <v>0</v>
      </c>
      <c r="B12620" s="11" t="str">
        <f>IF(D12620&lt;&gt;"",IF(COUNTIF('USPTO TMs'!A:A,D12620)&gt;0,"Yes","No"),"")</f>
        <v/>
      </c>
      <c r="C12620" s="11"/>
      <c r="D12620" s="11"/>
      <c r="E12620" s="11"/>
      <c r="F12620" s="11"/>
      <c r="G12620" s="11"/>
      <c r="H12620" s="11"/>
      <c r="I12620" s="15"/>
    </row>
    <row r="12621" spans="1:9" ht="16.5">
      <c r="A12621" s="10" t="b">
        <v>0</v>
      </c>
      <c r="B12621" s="11" t="str">
        <f>IF(D12621&lt;&gt;"",IF(COUNTIF('USPTO TMs'!A:A,D12621)&gt;0,"Yes","No"),"")</f>
        <v/>
      </c>
      <c r="C12621" s="11"/>
      <c r="D12621" s="11"/>
      <c r="E12621" s="11"/>
      <c r="F12621" s="11"/>
      <c r="G12621" s="11"/>
      <c r="H12621" s="11"/>
      <c r="I12621" s="15"/>
    </row>
    <row r="12622" spans="1:9" ht="16.5">
      <c r="A12622" s="10" t="b">
        <v>0</v>
      </c>
      <c r="B12622" s="11" t="str">
        <f>IF(D12622&lt;&gt;"",IF(COUNTIF('USPTO TMs'!A:A,D12622)&gt;0,"Yes","No"),"")</f>
        <v/>
      </c>
      <c r="C12622" s="11"/>
      <c r="D12622" s="11"/>
      <c r="E12622" s="11"/>
      <c r="F12622" s="11"/>
      <c r="G12622" s="11"/>
      <c r="H12622" s="11"/>
      <c r="I12622" s="15"/>
    </row>
    <row r="12623" spans="1:9" ht="16.5">
      <c r="A12623" s="10" t="b">
        <v>0</v>
      </c>
      <c r="B12623" s="11" t="str">
        <f>IF(D12623&lt;&gt;"",IF(COUNTIF('USPTO TMs'!A:A,D12623)&gt;0,"Yes","No"),"")</f>
        <v/>
      </c>
      <c r="C12623" s="11"/>
      <c r="D12623" s="11"/>
      <c r="E12623" s="11"/>
      <c r="F12623" s="11"/>
      <c r="G12623" s="11"/>
      <c r="H12623" s="11"/>
      <c r="I12623" s="15"/>
    </row>
    <row r="12624" spans="1:9" ht="16.5">
      <c r="A12624" s="10" t="b">
        <v>0</v>
      </c>
      <c r="B12624" s="11" t="str">
        <f>IF(D12624&lt;&gt;"",IF(COUNTIF('USPTO TMs'!A:A,D12624)&gt;0,"Yes","No"),"")</f>
        <v/>
      </c>
      <c r="C12624" s="11"/>
      <c r="D12624" s="11"/>
      <c r="E12624" s="11"/>
      <c r="F12624" s="11"/>
      <c r="G12624" s="11"/>
      <c r="H12624" s="11"/>
      <c r="I12624" s="15"/>
    </row>
    <row r="12625" spans="1:9" ht="16.5">
      <c r="A12625" s="10" t="b">
        <v>0</v>
      </c>
      <c r="B12625" s="11" t="str">
        <f>IF(D12625&lt;&gt;"",IF(COUNTIF('USPTO TMs'!A:A,D12625)&gt;0,"Yes","No"),"")</f>
        <v/>
      </c>
      <c r="C12625" s="11"/>
      <c r="D12625" s="11"/>
      <c r="E12625" s="11"/>
      <c r="F12625" s="11"/>
      <c r="G12625" s="11"/>
      <c r="H12625" s="11"/>
      <c r="I12625" s="15"/>
    </row>
    <row r="12626" spans="1:9" ht="16.5">
      <c r="A12626" s="10" t="b">
        <v>0</v>
      </c>
      <c r="B12626" s="11" t="str">
        <f>IF(D12626&lt;&gt;"",IF(COUNTIF('USPTO TMs'!A:A,D12626)&gt;0,"Yes","No"),"")</f>
        <v/>
      </c>
      <c r="C12626" s="11"/>
      <c r="D12626" s="11"/>
      <c r="E12626" s="11"/>
      <c r="F12626" s="11"/>
      <c r="G12626" s="11"/>
      <c r="H12626" s="11"/>
      <c r="I12626" s="15"/>
    </row>
    <row r="12627" spans="1:9" ht="16.5">
      <c r="A12627" s="10" t="b">
        <v>0</v>
      </c>
      <c r="B12627" s="11" t="str">
        <f>IF(D12627&lt;&gt;"",IF(COUNTIF('USPTO TMs'!A:A,D12627)&gt;0,"Yes","No"),"")</f>
        <v/>
      </c>
      <c r="C12627" s="11"/>
      <c r="D12627" s="11"/>
      <c r="E12627" s="11"/>
      <c r="F12627" s="11"/>
      <c r="G12627" s="11"/>
      <c r="H12627" s="11"/>
      <c r="I12627" s="15"/>
    </row>
    <row r="12628" spans="1:9" ht="16.5">
      <c r="A12628" s="10" t="b">
        <v>0</v>
      </c>
      <c r="B12628" s="11" t="str">
        <f>IF(D12628&lt;&gt;"",IF(COUNTIF('USPTO TMs'!A:A,D12628)&gt;0,"Yes","No"),"")</f>
        <v/>
      </c>
      <c r="C12628" s="11"/>
      <c r="D12628" s="11"/>
      <c r="E12628" s="11"/>
      <c r="F12628" s="11"/>
      <c r="G12628" s="11"/>
      <c r="H12628" s="11"/>
      <c r="I12628" s="15"/>
    </row>
    <row r="12629" spans="1:9" ht="16.5">
      <c r="A12629" s="10" t="b">
        <v>0</v>
      </c>
      <c r="B12629" s="11" t="str">
        <f>IF(D12629&lt;&gt;"",IF(COUNTIF('USPTO TMs'!A:A,D12629)&gt;0,"Yes","No"),"")</f>
        <v/>
      </c>
      <c r="C12629" s="11"/>
      <c r="D12629" s="11"/>
      <c r="E12629" s="11"/>
      <c r="F12629" s="11"/>
      <c r="G12629" s="11"/>
      <c r="H12629" s="11"/>
      <c r="I12629" s="15"/>
    </row>
    <row r="12630" spans="1:9" ht="16.5">
      <c r="A12630" s="10" t="b">
        <v>0</v>
      </c>
      <c r="B12630" s="11" t="str">
        <f>IF(D12630&lt;&gt;"",IF(COUNTIF('USPTO TMs'!A:A,D12630)&gt;0,"Yes","No"),"")</f>
        <v/>
      </c>
      <c r="C12630" s="11"/>
      <c r="D12630" s="11"/>
      <c r="E12630" s="11"/>
      <c r="F12630" s="11"/>
      <c r="G12630" s="11"/>
      <c r="H12630" s="11"/>
      <c r="I12630" s="15"/>
    </row>
    <row r="12631" spans="1:9" ht="16.5">
      <c r="A12631" s="10" t="b">
        <v>0</v>
      </c>
      <c r="B12631" s="11" t="str">
        <f>IF(D12631&lt;&gt;"",IF(COUNTIF('USPTO TMs'!A:A,D12631)&gt;0,"Yes","No"),"")</f>
        <v/>
      </c>
      <c r="C12631" s="11"/>
      <c r="D12631" s="11"/>
      <c r="E12631" s="11"/>
      <c r="F12631" s="11"/>
      <c r="G12631" s="11"/>
      <c r="H12631" s="11"/>
      <c r="I12631" s="15"/>
    </row>
    <row r="12632" spans="1:9" ht="16.5">
      <c r="A12632" s="10" t="b">
        <v>0</v>
      </c>
      <c r="B12632" s="11" t="str">
        <f>IF(D12632&lt;&gt;"",IF(COUNTIF('USPTO TMs'!A:A,D12632)&gt;0,"Yes","No"),"")</f>
        <v/>
      </c>
      <c r="C12632" s="11"/>
      <c r="D12632" s="11"/>
      <c r="E12632" s="11"/>
      <c r="F12632" s="11"/>
      <c r="G12632" s="11"/>
      <c r="H12632" s="11"/>
      <c r="I12632" s="15"/>
    </row>
    <row r="12633" spans="1:9" ht="16.5">
      <c r="A12633" s="10" t="b">
        <v>0</v>
      </c>
      <c r="B12633" s="11" t="str">
        <f>IF(D12633&lt;&gt;"",IF(COUNTIF('USPTO TMs'!A:A,D12633)&gt;0,"Yes","No"),"")</f>
        <v/>
      </c>
      <c r="C12633" s="11"/>
      <c r="D12633" s="11"/>
      <c r="E12633" s="11"/>
      <c r="F12633" s="11"/>
      <c r="G12633" s="11"/>
      <c r="H12633" s="11"/>
      <c r="I12633" s="15"/>
    </row>
    <row r="12634" spans="1:9" ht="16.5">
      <c r="A12634" s="10" t="b">
        <v>0</v>
      </c>
      <c r="B12634" s="11" t="str">
        <f>IF(D12634&lt;&gt;"",IF(COUNTIF('USPTO TMs'!A:A,D12634)&gt;0,"Yes","No"),"")</f>
        <v/>
      </c>
      <c r="C12634" s="11"/>
      <c r="D12634" s="11"/>
      <c r="E12634" s="11"/>
      <c r="F12634" s="11"/>
      <c r="G12634" s="11"/>
      <c r="H12634" s="11"/>
      <c r="I12634" s="15"/>
    </row>
    <row r="12635" spans="1:9" ht="16.5">
      <c r="A12635" s="10" t="b">
        <v>0</v>
      </c>
      <c r="B12635" s="11" t="str">
        <f>IF(D12635&lt;&gt;"",IF(COUNTIF('USPTO TMs'!A:A,D12635)&gt;0,"Yes","No"),"")</f>
        <v/>
      </c>
      <c r="C12635" s="11"/>
      <c r="D12635" s="11"/>
      <c r="E12635" s="11"/>
      <c r="F12635" s="11"/>
      <c r="G12635" s="11"/>
      <c r="H12635" s="11"/>
      <c r="I12635" s="15"/>
    </row>
    <row r="12636" spans="1:9" ht="16.5">
      <c r="A12636" s="10" t="b">
        <v>0</v>
      </c>
      <c r="B12636" s="11" t="str">
        <f>IF(D12636&lt;&gt;"",IF(COUNTIF('USPTO TMs'!A:A,D12636)&gt;0,"Yes","No"),"")</f>
        <v/>
      </c>
      <c r="C12636" s="11"/>
      <c r="D12636" s="11"/>
      <c r="E12636" s="11"/>
      <c r="F12636" s="11"/>
      <c r="G12636" s="11"/>
      <c r="H12636" s="11"/>
      <c r="I12636" s="15"/>
    </row>
    <row r="12637" spans="1:9" ht="16.5">
      <c r="A12637" s="10" t="b">
        <v>0</v>
      </c>
      <c r="B12637" s="11" t="str">
        <f>IF(D12637&lt;&gt;"",IF(COUNTIF('USPTO TMs'!A:A,D12637)&gt;0,"Yes","No"),"")</f>
        <v/>
      </c>
      <c r="C12637" s="11"/>
      <c r="D12637" s="11"/>
      <c r="E12637" s="11"/>
      <c r="F12637" s="11"/>
      <c r="G12637" s="11"/>
      <c r="H12637" s="11"/>
      <c r="I12637" s="15"/>
    </row>
    <row r="12638" spans="1:9" ht="16.5">
      <c r="A12638" s="10" t="b">
        <v>0</v>
      </c>
      <c r="B12638" s="11" t="str">
        <f>IF(D12638&lt;&gt;"",IF(COUNTIF('USPTO TMs'!A:A,D12638)&gt;0,"Yes","No"),"")</f>
        <v/>
      </c>
      <c r="C12638" s="11"/>
      <c r="D12638" s="11"/>
      <c r="E12638" s="11"/>
      <c r="F12638" s="11"/>
      <c r="G12638" s="11"/>
      <c r="H12638" s="11"/>
      <c r="I12638" s="15"/>
    </row>
    <row r="12639" spans="1:9" ht="16.5">
      <c r="A12639" s="10" t="b">
        <v>0</v>
      </c>
      <c r="B12639" s="11" t="str">
        <f>IF(D12639&lt;&gt;"",IF(COUNTIF('USPTO TMs'!A:A,D12639)&gt;0,"Yes","No"),"")</f>
        <v/>
      </c>
      <c r="C12639" s="11"/>
      <c r="D12639" s="11"/>
      <c r="E12639" s="11"/>
      <c r="F12639" s="11"/>
      <c r="G12639" s="11"/>
      <c r="H12639" s="11"/>
      <c r="I12639" s="15"/>
    </row>
    <row r="12640" spans="1:9" ht="16.5">
      <c r="A12640" s="10" t="b">
        <v>0</v>
      </c>
      <c r="B12640" s="11" t="str">
        <f>IF(D12640&lt;&gt;"",IF(COUNTIF('USPTO TMs'!A:A,D12640)&gt;0,"Yes","No"),"")</f>
        <v/>
      </c>
      <c r="C12640" s="11"/>
      <c r="D12640" s="11"/>
      <c r="E12640" s="11"/>
      <c r="F12640" s="11"/>
      <c r="G12640" s="11"/>
      <c r="H12640" s="11"/>
      <c r="I12640" s="15"/>
    </row>
    <row r="12641" spans="1:9" ht="16.5">
      <c r="A12641" s="10" t="b">
        <v>0</v>
      </c>
      <c r="B12641" s="11" t="str">
        <f>IF(D12641&lt;&gt;"",IF(COUNTIF('USPTO TMs'!A:A,D12641)&gt;0,"Yes","No"),"")</f>
        <v/>
      </c>
      <c r="C12641" s="11"/>
      <c r="D12641" s="11"/>
      <c r="E12641" s="11"/>
      <c r="F12641" s="11"/>
      <c r="G12641" s="11"/>
      <c r="H12641" s="11"/>
      <c r="I12641" s="15"/>
    </row>
    <row r="12642" spans="1:9" ht="16.5">
      <c r="A12642" s="10" t="b">
        <v>0</v>
      </c>
      <c r="B12642" s="11" t="str">
        <f>IF(D12642&lt;&gt;"",IF(COUNTIF('USPTO TMs'!A:A,D12642)&gt;0,"Yes","No"),"")</f>
        <v/>
      </c>
      <c r="C12642" s="11"/>
      <c r="D12642" s="11"/>
      <c r="E12642" s="11"/>
      <c r="F12642" s="11"/>
      <c r="G12642" s="11"/>
      <c r="H12642" s="11"/>
      <c r="I12642" s="15"/>
    </row>
    <row r="12643" spans="1:9" ht="16.5">
      <c r="A12643" s="10" t="b">
        <v>0</v>
      </c>
      <c r="B12643" s="11" t="str">
        <f>IF(D12643&lt;&gt;"",IF(COUNTIF('USPTO TMs'!A:A,D12643)&gt;0,"Yes","No"),"")</f>
        <v/>
      </c>
      <c r="C12643" s="11"/>
      <c r="D12643" s="11"/>
      <c r="E12643" s="11"/>
      <c r="F12643" s="11"/>
      <c r="G12643" s="11"/>
      <c r="H12643" s="11"/>
      <c r="I12643" s="15"/>
    </row>
    <row r="12644" spans="1:9" ht="16.5">
      <c r="A12644" s="10" t="b">
        <v>0</v>
      </c>
      <c r="B12644" s="11" t="str">
        <f>IF(D12644&lt;&gt;"",IF(COUNTIF('USPTO TMs'!A:A,D12644)&gt;0,"Yes","No"),"")</f>
        <v/>
      </c>
      <c r="C12644" s="11"/>
      <c r="D12644" s="11"/>
      <c r="E12644" s="11"/>
      <c r="F12644" s="11"/>
      <c r="G12644" s="11"/>
      <c r="H12644" s="11"/>
      <c r="I12644" s="15"/>
    </row>
    <row r="12645" spans="1:9" ht="16.5">
      <c r="A12645" s="10" t="b">
        <v>0</v>
      </c>
      <c r="B12645" s="11" t="str">
        <f>IF(D12645&lt;&gt;"",IF(COUNTIF('USPTO TMs'!A:A,D12645)&gt;0,"Yes","No"),"")</f>
        <v/>
      </c>
      <c r="C12645" s="11"/>
      <c r="D12645" s="11"/>
      <c r="E12645" s="11"/>
      <c r="F12645" s="11"/>
      <c r="G12645" s="11"/>
      <c r="H12645" s="11"/>
      <c r="I12645" s="15"/>
    </row>
    <row r="12646" spans="1:9" ht="16.5">
      <c r="A12646" s="10" t="b">
        <v>0</v>
      </c>
      <c r="B12646" s="11" t="str">
        <f>IF(D12646&lt;&gt;"",IF(COUNTIF('USPTO TMs'!A:A,D12646)&gt;0,"Yes","No"),"")</f>
        <v/>
      </c>
      <c r="C12646" s="11"/>
      <c r="D12646" s="11"/>
      <c r="E12646" s="11"/>
      <c r="F12646" s="11"/>
      <c r="G12646" s="11"/>
      <c r="H12646" s="11"/>
      <c r="I12646" s="15"/>
    </row>
    <row r="12647" spans="1:9" ht="16.5">
      <c r="A12647" s="10" t="b">
        <v>0</v>
      </c>
      <c r="B12647" s="11" t="str">
        <f>IF(D12647&lt;&gt;"",IF(COUNTIF('USPTO TMs'!A:A,D12647)&gt;0,"Yes","No"),"")</f>
        <v/>
      </c>
      <c r="C12647" s="11"/>
      <c r="D12647" s="11"/>
      <c r="E12647" s="11"/>
      <c r="F12647" s="11"/>
      <c r="G12647" s="11"/>
      <c r="H12647" s="11"/>
      <c r="I12647" s="15"/>
    </row>
    <row r="12648" spans="1:9" ht="16.5">
      <c r="A12648" s="10" t="b">
        <v>0</v>
      </c>
      <c r="B12648" s="11" t="str">
        <f>IF(D12648&lt;&gt;"",IF(COUNTIF('USPTO TMs'!A:A,D12648)&gt;0,"Yes","No"),"")</f>
        <v/>
      </c>
      <c r="C12648" s="11"/>
      <c r="D12648" s="11"/>
      <c r="E12648" s="11"/>
      <c r="F12648" s="11"/>
      <c r="G12648" s="11"/>
      <c r="H12648" s="11"/>
      <c r="I12648" s="15"/>
    </row>
    <row r="12649" spans="1:9" ht="16.5">
      <c r="A12649" s="10" t="b">
        <v>0</v>
      </c>
      <c r="B12649" s="11" t="str">
        <f>IF(D12649&lt;&gt;"",IF(COUNTIF('USPTO TMs'!A:A,D12649)&gt;0,"Yes","No"),"")</f>
        <v/>
      </c>
      <c r="C12649" s="11"/>
      <c r="D12649" s="11"/>
      <c r="E12649" s="11"/>
      <c r="F12649" s="11"/>
      <c r="G12649" s="11"/>
      <c r="H12649" s="11"/>
      <c r="I12649" s="15"/>
    </row>
    <row r="12650" spans="1:9" ht="16.5">
      <c r="A12650" s="10" t="b">
        <v>0</v>
      </c>
      <c r="B12650" s="11" t="str">
        <f>IF(D12650&lt;&gt;"",IF(COUNTIF('USPTO TMs'!A:A,D12650)&gt;0,"Yes","No"),"")</f>
        <v/>
      </c>
      <c r="C12650" s="11"/>
      <c r="D12650" s="11"/>
      <c r="E12650" s="11"/>
      <c r="F12650" s="11"/>
      <c r="G12650" s="11"/>
      <c r="H12650" s="11"/>
      <c r="I12650" s="15"/>
    </row>
    <row r="12651" spans="1:9" ht="16.5">
      <c r="A12651" s="10" t="b">
        <v>0</v>
      </c>
      <c r="B12651" s="11" t="str">
        <f>IF(D12651&lt;&gt;"",IF(COUNTIF('USPTO TMs'!A:A,D12651)&gt;0,"Yes","No"),"")</f>
        <v/>
      </c>
      <c r="C12651" s="11"/>
      <c r="D12651" s="11"/>
      <c r="E12651" s="11"/>
      <c r="F12651" s="11"/>
      <c r="G12651" s="11"/>
      <c r="H12651" s="11"/>
      <c r="I12651" s="15"/>
    </row>
    <row r="12652" spans="1:9" ht="16.5">
      <c r="A12652" s="10" t="b">
        <v>0</v>
      </c>
      <c r="B12652" s="11" t="str">
        <f>IF(D12652&lt;&gt;"",IF(COUNTIF('USPTO TMs'!A:A,D12652)&gt;0,"Yes","No"),"")</f>
        <v/>
      </c>
      <c r="C12652" s="11"/>
      <c r="D12652" s="11"/>
      <c r="E12652" s="11"/>
      <c r="F12652" s="11"/>
      <c r="G12652" s="11"/>
      <c r="H12652" s="11"/>
      <c r="I12652" s="15"/>
    </row>
    <row r="12653" spans="1:9" ht="16.5">
      <c r="A12653" s="10" t="b">
        <v>0</v>
      </c>
      <c r="B12653" s="11" t="str">
        <f>IF(D12653&lt;&gt;"",IF(COUNTIF('USPTO TMs'!A:A,D12653)&gt;0,"Yes","No"),"")</f>
        <v/>
      </c>
      <c r="C12653" s="11"/>
      <c r="D12653" s="11"/>
      <c r="E12653" s="11"/>
      <c r="F12653" s="11"/>
      <c r="G12653" s="11"/>
      <c r="H12653" s="11"/>
      <c r="I12653" s="15"/>
    </row>
    <row r="12654" spans="1:9" ht="16.5">
      <c r="A12654" s="10" t="b">
        <v>0</v>
      </c>
      <c r="B12654" s="11" t="str">
        <f>IF(D12654&lt;&gt;"",IF(COUNTIF('USPTO TMs'!A:A,D12654)&gt;0,"Yes","No"),"")</f>
        <v/>
      </c>
      <c r="C12654" s="11"/>
      <c r="D12654" s="11"/>
      <c r="E12654" s="11"/>
      <c r="F12654" s="11"/>
      <c r="G12654" s="11"/>
      <c r="H12654" s="11"/>
      <c r="I12654" s="15"/>
    </row>
    <row r="12655" spans="1:9" ht="16.5">
      <c r="A12655" s="10" t="b">
        <v>0</v>
      </c>
      <c r="B12655" s="11" t="str">
        <f>IF(D12655&lt;&gt;"",IF(COUNTIF('USPTO TMs'!A:A,D12655)&gt;0,"Yes","No"),"")</f>
        <v/>
      </c>
      <c r="C12655" s="11"/>
      <c r="D12655" s="11"/>
      <c r="E12655" s="11"/>
      <c r="F12655" s="11"/>
      <c r="G12655" s="11"/>
      <c r="H12655" s="11"/>
      <c r="I12655" s="15"/>
    </row>
    <row r="12656" spans="1:9" ht="16.5">
      <c r="A12656" s="10" t="b">
        <v>0</v>
      </c>
      <c r="B12656" s="11" t="str">
        <f>IF(D12656&lt;&gt;"",IF(COUNTIF('USPTO TMs'!A:A,D12656)&gt;0,"Yes","No"),"")</f>
        <v/>
      </c>
      <c r="C12656" s="11"/>
      <c r="D12656" s="11"/>
      <c r="E12656" s="11"/>
      <c r="F12656" s="11"/>
      <c r="G12656" s="11"/>
      <c r="H12656" s="11"/>
      <c r="I12656" s="15"/>
    </row>
    <row r="12657" spans="1:9" ht="16.5">
      <c r="A12657" s="10" t="b">
        <v>0</v>
      </c>
      <c r="B12657" s="11" t="str">
        <f>IF(D12657&lt;&gt;"",IF(COUNTIF('USPTO TMs'!A:A,D12657)&gt;0,"Yes","No"),"")</f>
        <v/>
      </c>
      <c r="C12657" s="11"/>
      <c r="D12657" s="11"/>
      <c r="E12657" s="11"/>
      <c r="F12657" s="11"/>
      <c r="G12657" s="11"/>
      <c r="H12657" s="11"/>
      <c r="I12657" s="15"/>
    </row>
    <row r="12658" spans="1:9" ht="16.5">
      <c r="A12658" s="10" t="b">
        <v>0</v>
      </c>
      <c r="B12658" s="11" t="str">
        <f>IF(D12658&lt;&gt;"",IF(COUNTIF('USPTO TMs'!A:A,D12658)&gt;0,"Yes","No"),"")</f>
        <v/>
      </c>
      <c r="C12658" s="11"/>
      <c r="D12658" s="11"/>
      <c r="E12658" s="11"/>
      <c r="F12658" s="11"/>
      <c r="G12658" s="11"/>
      <c r="H12658" s="11"/>
      <c r="I12658" s="15"/>
    </row>
    <row r="12659" spans="1:9" ht="16.5">
      <c r="A12659" s="10" t="b">
        <v>0</v>
      </c>
      <c r="B12659" s="11" t="str">
        <f>IF(D12659&lt;&gt;"",IF(COUNTIF('USPTO TMs'!A:A,D12659)&gt;0,"Yes","No"),"")</f>
        <v/>
      </c>
      <c r="C12659" s="11"/>
      <c r="D12659" s="11"/>
      <c r="E12659" s="11"/>
      <c r="F12659" s="11"/>
      <c r="G12659" s="11"/>
      <c r="H12659" s="11"/>
      <c r="I12659" s="15"/>
    </row>
    <row r="12660" spans="1:9" ht="16.5">
      <c r="A12660" s="10" t="b">
        <v>0</v>
      </c>
      <c r="B12660" s="11" t="str">
        <f>IF(D12660&lt;&gt;"",IF(COUNTIF('USPTO TMs'!A:A,D12660)&gt;0,"Yes","No"),"")</f>
        <v/>
      </c>
      <c r="C12660" s="11"/>
      <c r="D12660" s="11"/>
      <c r="E12660" s="11"/>
      <c r="F12660" s="11"/>
      <c r="G12660" s="11"/>
      <c r="H12660" s="11"/>
      <c r="I12660" s="15"/>
    </row>
    <row r="12661" spans="1:9" ht="16.5">
      <c r="A12661" s="10" t="b">
        <v>0</v>
      </c>
      <c r="B12661" s="11" t="str">
        <f>IF(D12661&lt;&gt;"",IF(COUNTIF('USPTO TMs'!A:A,D12661)&gt;0,"Yes","No"),"")</f>
        <v/>
      </c>
      <c r="C12661" s="11"/>
      <c r="D12661" s="11"/>
      <c r="E12661" s="11"/>
      <c r="F12661" s="11"/>
      <c r="G12661" s="11"/>
      <c r="H12661" s="11"/>
      <c r="I12661" s="15"/>
    </row>
    <row r="12662" spans="1:9" ht="16.5">
      <c r="A12662" s="10" t="b">
        <v>0</v>
      </c>
      <c r="B12662" s="11" t="str">
        <f>IF(D12662&lt;&gt;"",IF(COUNTIF('USPTO TMs'!A:A,D12662)&gt;0,"Yes","No"),"")</f>
        <v/>
      </c>
      <c r="C12662" s="11"/>
      <c r="D12662" s="11"/>
      <c r="E12662" s="11"/>
      <c r="F12662" s="11"/>
      <c r="G12662" s="11"/>
      <c r="H12662" s="11"/>
      <c r="I12662" s="15"/>
    </row>
    <row r="12663" spans="1:9" ht="16.5">
      <c r="A12663" s="10" t="b">
        <v>0</v>
      </c>
      <c r="B12663" s="11" t="str">
        <f>IF(D12663&lt;&gt;"",IF(COUNTIF('USPTO TMs'!A:A,D12663)&gt;0,"Yes","No"),"")</f>
        <v/>
      </c>
      <c r="C12663" s="11"/>
      <c r="D12663" s="11"/>
      <c r="E12663" s="11"/>
      <c r="F12663" s="11"/>
      <c r="G12663" s="11"/>
      <c r="H12663" s="11"/>
      <c r="I12663" s="15"/>
    </row>
    <row r="12664" spans="1:9" ht="16.5">
      <c r="A12664" s="10" t="b">
        <v>0</v>
      </c>
      <c r="B12664" s="11" t="str">
        <f>IF(D12664&lt;&gt;"",IF(COUNTIF('USPTO TMs'!A:A,D12664)&gt;0,"Yes","No"),"")</f>
        <v/>
      </c>
      <c r="C12664" s="11"/>
      <c r="D12664" s="11"/>
      <c r="E12664" s="11"/>
      <c r="F12664" s="11"/>
      <c r="G12664" s="11"/>
      <c r="H12664" s="11"/>
      <c r="I12664" s="15"/>
    </row>
    <row r="12665" spans="1:9" ht="16.5">
      <c r="A12665" s="10" t="b">
        <v>0</v>
      </c>
      <c r="B12665" s="11" t="str">
        <f>IF(D12665&lt;&gt;"",IF(COUNTIF('USPTO TMs'!A:A,D12665)&gt;0,"Yes","No"),"")</f>
        <v/>
      </c>
      <c r="C12665" s="11"/>
      <c r="D12665" s="11"/>
      <c r="E12665" s="11"/>
      <c r="F12665" s="11"/>
      <c r="G12665" s="11"/>
      <c r="H12665" s="11"/>
      <c r="I12665" s="15"/>
    </row>
    <row r="12666" spans="1:9" ht="16.5">
      <c r="A12666" s="10" t="b">
        <v>0</v>
      </c>
      <c r="B12666" s="11" t="str">
        <f>IF(D12666&lt;&gt;"",IF(COUNTIF('USPTO TMs'!A:A,D12666)&gt;0,"Yes","No"),"")</f>
        <v/>
      </c>
      <c r="C12666" s="11"/>
      <c r="D12666" s="11"/>
      <c r="E12666" s="11"/>
      <c r="F12666" s="11"/>
      <c r="G12666" s="11"/>
      <c r="H12666" s="11"/>
      <c r="I12666" s="15"/>
    </row>
    <row r="12667" spans="1:9" ht="16.5">
      <c r="A12667" s="10" t="b">
        <v>0</v>
      </c>
      <c r="B12667" s="11" t="str">
        <f>IF(D12667&lt;&gt;"",IF(COUNTIF('USPTO TMs'!A:A,D12667)&gt;0,"Yes","No"),"")</f>
        <v/>
      </c>
      <c r="C12667" s="11"/>
      <c r="D12667" s="11"/>
      <c r="E12667" s="11"/>
      <c r="F12667" s="11"/>
      <c r="G12667" s="11"/>
      <c r="H12667" s="11"/>
      <c r="I12667" s="15"/>
    </row>
    <row r="12668" spans="1:9" ht="16.5">
      <c r="A12668" s="10" t="b">
        <v>0</v>
      </c>
      <c r="B12668" s="11" t="str">
        <f>IF(D12668&lt;&gt;"",IF(COUNTIF('USPTO TMs'!A:A,D12668)&gt;0,"Yes","No"),"")</f>
        <v/>
      </c>
      <c r="C12668" s="11"/>
      <c r="D12668" s="11"/>
      <c r="E12668" s="11"/>
      <c r="F12668" s="11"/>
      <c r="G12668" s="11"/>
      <c r="H12668" s="11"/>
      <c r="I12668" s="15"/>
    </row>
    <row r="12669" spans="1:9" ht="16.5">
      <c r="A12669" s="10" t="b">
        <v>0</v>
      </c>
      <c r="B12669" s="11" t="str">
        <f>IF(D12669&lt;&gt;"",IF(COUNTIF('USPTO TMs'!A:A,D12669)&gt;0,"Yes","No"),"")</f>
        <v/>
      </c>
      <c r="C12669" s="11"/>
      <c r="D12669" s="11"/>
      <c r="E12669" s="11"/>
      <c r="F12669" s="11"/>
      <c r="G12669" s="11"/>
      <c r="H12669" s="11"/>
      <c r="I12669" s="15"/>
    </row>
    <row r="12670" spans="1:9" ht="16.5">
      <c r="A12670" s="10" t="b">
        <v>0</v>
      </c>
      <c r="B12670" s="11" t="str">
        <f>IF(D12670&lt;&gt;"",IF(COUNTIF('USPTO TMs'!A:A,D12670)&gt;0,"Yes","No"),"")</f>
        <v/>
      </c>
      <c r="C12670" s="11"/>
      <c r="D12670" s="11"/>
      <c r="E12670" s="11"/>
      <c r="F12670" s="11"/>
      <c r="G12670" s="11"/>
      <c r="H12670" s="11"/>
      <c r="I12670" s="15"/>
    </row>
    <row r="12671" spans="1:9" ht="16.5">
      <c r="A12671" s="10" t="b">
        <v>0</v>
      </c>
      <c r="B12671" s="11" t="str">
        <f>IF(D12671&lt;&gt;"",IF(COUNTIF('USPTO TMs'!A:A,D12671)&gt;0,"Yes","No"),"")</f>
        <v/>
      </c>
      <c r="C12671" s="11"/>
      <c r="D12671" s="11"/>
      <c r="E12671" s="11"/>
      <c r="F12671" s="11"/>
      <c r="G12671" s="11"/>
      <c r="H12671" s="11"/>
      <c r="I12671" s="15"/>
    </row>
    <row r="12672" spans="1:9" ht="16.5">
      <c r="A12672" s="10" t="b">
        <v>0</v>
      </c>
      <c r="B12672" s="11" t="str">
        <f>IF(D12672&lt;&gt;"",IF(COUNTIF('USPTO TMs'!A:A,D12672)&gt;0,"Yes","No"),"")</f>
        <v/>
      </c>
      <c r="C12672" s="11"/>
      <c r="D12672" s="11"/>
      <c r="E12672" s="11"/>
      <c r="F12672" s="11"/>
      <c r="G12672" s="11"/>
      <c r="H12672" s="11"/>
      <c r="I12672" s="15"/>
    </row>
    <row r="12673" spans="1:9" ht="16.5">
      <c r="A12673" s="10" t="b">
        <v>0</v>
      </c>
      <c r="B12673" s="11" t="str">
        <f>IF(D12673&lt;&gt;"",IF(COUNTIF('USPTO TMs'!A:A,D12673)&gt;0,"Yes","No"),"")</f>
        <v/>
      </c>
      <c r="C12673" s="11"/>
      <c r="D12673" s="11"/>
      <c r="E12673" s="11"/>
      <c r="F12673" s="11"/>
      <c r="G12673" s="11"/>
      <c r="H12673" s="11"/>
      <c r="I12673" s="15"/>
    </row>
    <row r="12674" spans="1:9" ht="16.5">
      <c r="A12674" s="10" t="b">
        <v>0</v>
      </c>
      <c r="B12674" s="11" t="str">
        <f>IF(D12674&lt;&gt;"",IF(COUNTIF('USPTO TMs'!A:A,D12674)&gt;0,"Yes","No"),"")</f>
        <v/>
      </c>
      <c r="C12674" s="11"/>
      <c r="D12674" s="11"/>
      <c r="E12674" s="11"/>
      <c r="F12674" s="11"/>
      <c r="G12674" s="11"/>
      <c r="H12674" s="11"/>
      <c r="I12674" s="15"/>
    </row>
    <row r="12675" spans="1:9" ht="16.5">
      <c r="A12675" s="10" t="b">
        <v>0</v>
      </c>
      <c r="B12675" s="11" t="str">
        <f>IF(D12675&lt;&gt;"",IF(COUNTIF('USPTO TMs'!A:A,D12675)&gt;0,"Yes","No"),"")</f>
        <v/>
      </c>
      <c r="C12675" s="11"/>
      <c r="D12675" s="11"/>
      <c r="E12675" s="11"/>
      <c r="F12675" s="11"/>
      <c r="G12675" s="11"/>
      <c r="H12675" s="11"/>
      <c r="I12675" s="15"/>
    </row>
    <row r="12676" spans="1:9" ht="16.5">
      <c r="A12676" s="10" t="b">
        <v>0</v>
      </c>
      <c r="B12676" s="11" t="str">
        <f>IF(D12676&lt;&gt;"",IF(COUNTIF('USPTO TMs'!A:A,D12676)&gt;0,"Yes","No"),"")</f>
        <v/>
      </c>
      <c r="C12676" s="11"/>
      <c r="D12676" s="11"/>
      <c r="E12676" s="11"/>
      <c r="F12676" s="11"/>
      <c r="G12676" s="11"/>
      <c r="H12676" s="11"/>
      <c r="I12676" s="15"/>
    </row>
    <row r="12677" spans="1:9" ht="16.5">
      <c r="A12677" s="10" t="b">
        <v>0</v>
      </c>
      <c r="B12677" s="11" t="str">
        <f>IF(D12677&lt;&gt;"",IF(COUNTIF('USPTO TMs'!A:A,D12677)&gt;0,"Yes","No"),"")</f>
        <v/>
      </c>
      <c r="C12677" s="11"/>
      <c r="D12677" s="11"/>
      <c r="E12677" s="11"/>
      <c r="F12677" s="11"/>
      <c r="G12677" s="11"/>
      <c r="H12677" s="11"/>
      <c r="I12677" s="15"/>
    </row>
    <row r="12678" spans="1:9" ht="16.5">
      <c r="A12678" s="10" t="b">
        <v>0</v>
      </c>
      <c r="B12678" s="11" t="str">
        <f>IF(D12678&lt;&gt;"",IF(COUNTIF('USPTO TMs'!A:A,D12678)&gt;0,"Yes","No"),"")</f>
        <v/>
      </c>
      <c r="C12678" s="11"/>
      <c r="D12678" s="11"/>
      <c r="E12678" s="11"/>
      <c r="F12678" s="11"/>
      <c r="G12678" s="11"/>
      <c r="H12678" s="11"/>
      <c r="I12678" s="15"/>
    </row>
    <row r="12679" spans="1:9" ht="16.5">
      <c r="A12679" s="10" t="b">
        <v>0</v>
      </c>
      <c r="B12679" s="11" t="str">
        <f>IF(D12679&lt;&gt;"",IF(COUNTIF('USPTO TMs'!A:A,D12679)&gt;0,"Yes","No"),"")</f>
        <v/>
      </c>
      <c r="C12679" s="11"/>
      <c r="D12679" s="11"/>
      <c r="E12679" s="11"/>
      <c r="F12679" s="11"/>
      <c r="G12679" s="11"/>
      <c r="H12679" s="11"/>
      <c r="I12679" s="15"/>
    </row>
    <row r="12680" spans="1:9" ht="16.5">
      <c r="A12680" s="10" t="b">
        <v>0</v>
      </c>
      <c r="B12680" s="11" t="str">
        <f>IF(D12680&lt;&gt;"",IF(COUNTIF('USPTO TMs'!A:A,D12680)&gt;0,"Yes","No"),"")</f>
        <v/>
      </c>
      <c r="C12680" s="11"/>
      <c r="D12680" s="11"/>
      <c r="E12680" s="11"/>
      <c r="F12680" s="11"/>
      <c r="G12680" s="11"/>
      <c r="H12680" s="11"/>
      <c r="I12680" s="15"/>
    </row>
    <row r="12681" spans="1:9" ht="16.5">
      <c r="A12681" s="10" t="b">
        <v>0</v>
      </c>
      <c r="B12681" s="11" t="str">
        <f>IF(D12681&lt;&gt;"",IF(COUNTIF('USPTO TMs'!A:A,D12681)&gt;0,"Yes","No"),"")</f>
        <v/>
      </c>
      <c r="C12681" s="11"/>
      <c r="D12681" s="11"/>
      <c r="E12681" s="11"/>
      <c r="F12681" s="11"/>
      <c r="G12681" s="11"/>
      <c r="H12681" s="11"/>
      <c r="I12681" s="15"/>
    </row>
    <row r="12682" spans="1:9" ht="16.5">
      <c r="A12682" s="10" t="b">
        <v>0</v>
      </c>
      <c r="B12682" s="11" t="str">
        <f>IF(D12682&lt;&gt;"",IF(COUNTIF('USPTO TMs'!A:A,D12682)&gt;0,"Yes","No"),"")</f>
        <v/>
      </c>
      <c r="C12682" s="11"/>
      <c r="D12682" s="11"/>
      <c r="E12682" s="11"/>
      <c r="F12682" s="11"/>
      <c r="G12682" s="11"/>
      <c r="H12682" s="11"/>
      <c r="I12682" s="15"/>
    </row>
    <row r="12683" spans="1:9" ht="16.5">
      <c r="A12683" s="10" t="b">
        <v>0</v>
      </c>
      <c r="B12683" s="11" t="str">
        <f>IF(D12683&lt;&gt;"",IF(COUNTIF('USPTO TMs'!A:A,D12683)&gt;0,"Yes","No"),"")</f>
        <v/>
      </c>
      <c r="C12683" s="11"/>
      <c r="D12683" s="11"/>
      <c r="E12683" s="11"/>
      <c r="F12683" s="11"/>
      <c r="G12683" s="11"/>
      <c r="H12683" s="11"/>
      <c r="I12683" s="15"/>
    </row>
    <row r="12684" spans="1:9" ht="16.5">
      <c r="A12684" s="10" t="b">
        <v>0</v>
      </c>
      <c r="B12684" s="11" t="str">
        <f>IF(D12684&lt;&gt;"",IF(COUNTIF('USPTO TMs'!A:A,D12684)&gt;0,"Yes","No"),"")</f>
        <v/>
      </c>
      <c r="C12684" s="11"/>
      <c r="D12684" s="11"/>
      <c r="E12684" s="11"/>
      <c r="F12684" s="11"/>
      <c r="G12684" s="11"/>
      <c r="H12684" s="11"/>
      <c r="I12684" s="15"/>
    </row>
    <row r="12685" spans="1:9" ht="16.5">
      <c r="A12685" s="10" t="b">
        <v>0</v>
      </c>
      <c r="B12685" s="11" t="str">
        <f>IF(D12685&lt;&gt;"",IF(COUNTIF('USPTO TMs'!A:A,D12685)&gt;0,"Yes","No"),"")</f>
        <v/>
      </c>
      <c r="C12685" s="11"/>
      <c r="D12685" s="11"/>
      <c r="E12685" s="11"/>
      <c r="F12685" s="11"/>
      <c r="G12685" s="11"/>
      <c r="H12685" s="11"/>
      <c r="I12685" s="15"/>
    </row>
    <row r="12686" spans="1:9" ht="16.5">
      <c r="A12686" s="10" t="b">
        <v>0</v>
      </c>
      <c r="B12686" s="11" t="str">
        <f>IF(D12686&lt;&gt;"",IF(COUNTIF('USPTO TMs'!A:A,D12686)&gt;0,"Yes","No"),"")</f>
        <v/>
      </c>
      <c r="C12686" s="11"/>
      <c r="D12686" s="11"/>
      <c r="E12686" s="11"/>
      <c r="F12686" s="11"/>
      <c r="G12686" s="11"/>
      <c r="H12686" s="11"/>
      <c r="I12686" s="15"/>
    </row>
    <row r="12687" spans="1:9" ht="16.5">
      <c r="A12687" s="10" t="b">
        <v>0</v>
      </c>
      <c r="B12687" s="11" t="str">
        <f>IF(D12687&lt;&gt;"",IF(COUNTIF('USPTO TMs'!A:A,D12687)&gt;0,"Yes","No"),"")</f>
        <v/>
      </c>
      <c r="C12687" s="11"/>
      <c r="D12687" s="11"/>
      <c r="E12687" s="11"/>
      <c r="F12687" s="11"/>
      <c r="G12687" s="11"/>
      <c r="H12687" s="11"/>
      <c r="I12687" s="15"/>
    </row>
    <row r="12688" spans="1:9" ht="16.5">
      <c r="A12688" s="10" t="b">
        <v>0</v>
      </c>
      <c r="B12688" s="11" t="str">
        <f>IF(D12688&lt;&gt;"",IF(COUNTIF('USPTO TMs'!A:A,D12688)&gt;0,"Yes","No"),"")</f>
        <v/>
      </c>
      <c r="C12688" s="11"/>
      <c r="D12688" s="11"/>
      <c r="E12688" s="11"/>
      <c r="F12688" s="11"/>
      <c r="G12688" s="11"/>
      <c r="H12688" s="11"/>
      <c r="I12688" s="15"/>
    </row>
    <row r="12689" spans="1:9" ht="16.5">
      <c r="A12689" s="10" t="b">
        <v>0</v>
      </c>
      <c r="B12689" s="11" t="str">
        <f>IF(D12689&lt;&gt;"",IF(COUNTIF('USPTO TMs'!A:A,D12689)&gt;0,"Yes","No"),"")</f>
        <v/>
      </c>
      <c r="C12689" s="11"/>
      <c r="D12689" s="11"/>
      <c r="E12689" s="11"/>
      <c r="F12689" s="11"/>
      <c r="G12689" s="11"/>
      <c r="H12689" s="11"/>
      <c r="I12689" s="15"/>
    </row>
    <row r="12690" spans="1:9" ht="16.5">
      <c r="A12690" s="10" t="b">
        <v>0</v>
      </c>
      <c r="B12690" s="11" t="str">
        <f>IF(D12690&lt;&gt;"",IF(COUNTIF('USPTO TMs'!A:A,D12690)&gt;0,"Yes","No"),"")</f>
        <v/>
      </c>
      <c r="C12690" s="11"/>
      <c r="D12690" s="11"/>
      <c r="E12690" s="11"/>
      <c r="F12690" s="11"/>
      <c r="G12690" s="11"/>
      <c r="H12690" s="11"/>
      <c r="I12690" s="15"/>
    </row>
    <row r="12691" spans="1:9" ht="16.5">
      <c r="A12691" s="10" t="b">
        <v>0</v>
      </c>
      <c r="B12691" s="11" t="str">
        <f>IF(D12691&lt;&gt;"",IF(COUNTIF('USPTO TMs'!A:A,D12691)&gt;0,"Yes","No"),"")</f>
        <v/>
      </c>
      <c r="C12691" s="11"/>
      <c r="D12691" s="11"/>
      <c r="E12691" s="11"/>
      <c r="F12691" s="11"/>
      <c r="G12691" s="11"/>
      <c r="H12691" s="11"/>
      <c r="I12691" s="15"/>
    </row>
    <row r="12692" spans="1:9" ht="16.5">
      <c r="A12692" s="10" t="b">
        <v>0</v>
      </c>
      <c r="B12692" s="11" t="str">
        <f>IF(D12692&lt;&gt;"",IF(COUNTIF('USPTO TMs'!A:A,D12692)&gt;0,"Yes","No"),"")</f>
        <v/>
      </c>
      <c r="C12692" s="11"/>
      <c r="D12692" s="11"/>
      <c r="E12692" s="11"/>
      <c r="F12692" s="11"/>
      <c r="G12692" s="11"/>
      <c r="H12692" s="11"/>
      <c r="I12692" s="15"/>
    </row>
    <row r="12693" spans="1:9" ht="16.5">
      <c r="A12693" s="10" t="b">
        <v>0</v>
      </c>
      <c r="B12693" s="11" t="str">
        <f>IF(D12693&lt;&gt;"",IF(COUNTIF('USPTO TMs'!A:A,D12693)&gt;0,"Yes","No"),"")</f>
        <v/>
      </c>
      <c r="C12693" s="11"/>
      <c r="D12693" s="11"/>
      <c r="E12693" s="11"/>
      <c r="F12693" s="11"/>
      <c r="G12693" s="11"/>
      <c r="H12693" s="11"/>
      <c r="I12693" s="15"/>
    </row>
    <row r="12694" spans="1:9" ht="16.5">
      <c r="A12694" s="10" t="b">
        <v>0</v>
      </c>
      <c r="B12694" s="11" t="str">
        <f>IF(D12694&lt;&gt;"",IF(COUNTIF('USPTO TMs'!A:A,D12694)&gt;0,"Yes","No"),"")</f>
        <v/>
      </c>
      <c r="C12694" s="11"/>
      <c r="D12694" s="11"/>
      <c r="E12694" s="11"/>
      <c r="F12694" s="11"/>
      <c r="G12694" s="11"/>
      <c r="H12694" s="11"/>
      <c r="I12694" s="15"/>
    </row>
    <row r="12695" spans="1:9" ht="16.5">
      <c r="A12695" s="10" t="b">
        <v>0</v>
      </c>
      <c r="B12695" s="11" t="str">
        <f>IF(D12695&lt;&gt;"",IF(COUNTIF('USPTO TMs'!A:A,D12695)&gt;0,"Yes","No"),"")</f>
        <v/>
      </c>
      <c r="C12695" s="11"/>
      <c r="D12695" s="11"/>
      <c r="E12695" s="11"/>
      <c r="F12695" s="11"/>
      <c r="G12695" s="11"/>
      <c r="H12695" s="11"/>
      <c r="I12695" s="15"/>
    </row>
    <row r="12696" spans="1:9" ht="16.5">
      <c r="A12696" s="10" t="b">
        <v>0</v>
      </c>
      <c r="B12696" s="11" t="str">
        <f>IF(D12696&lt;&gt;"",IF(COUNTIF('USPTO TMs'!A:A,D12696)&gt;0,"Yes","No"),"")</f>
        <v/>
      </c>
      <c r="C12696" s="11"/>
      <c r="D12696" s="11"/>
      <c r="E12696" s="11"/>
      <c r="F12696" s="11"/>
      <c r="G12696" s="11"/>
      <c r="H12696" s="11"/>
      <c r="I12696" s="15"/>
    </row>
    <row r="12697" spans="1:9" ht="16.5">
      <c r="A12697" s="10" t="b">
        <v>0</v>
      </c>
      <c r="B12697" s="11" t="str">
        <f>IF(D12697&lt;&gt;"",IF(COUNTIF('USPTO TMs'!A:A,D12697)&gt;0,"Yes","No"),"")</f>
        <v/>
      </c>
      <c r="C12697" s="11"/>
      <c r="D12697" s="11"/>
      <c r="E12697" s="11"/>
      <c r="F12697" s="11"/>
      <c r="G12697" s="11"/>
      <c r="H12697" s="11"/>
      <c r="I12697" s="15"/>
    </row>
    <row r="12698" spans="1:9" ht="16.5">
      <c r="A12698" s="10" t="b">
        <v>0</v>
      </c>
      <c r="B12698" s="11" t="str">
        <f>IF(D12698&lt;&gt;"",IF(COUNTIF('USPTO TMs'!A:A,D12698)&gt;0,"Yes","No"),"")</f>
        <v/>
      </c>
      <c r="C12698" s="11"/>
      <c r="D12698" s="11"/>
      <c r="E12698" s="11"/>
      <c r="F12698" s="11"/>
      <c r="G12698" s="11"/>
      <c r="H12698" s="11"/>
      <c r="I12698" s="15"/>
    </row>
    <row r="12699" spans="1:9" ht="16.5">
      <c r="A12699" s="10" t="b">
        <v>0</v>
      </c>
      <c r="B12699" s="11" t="str">
        <f>IF(D12699&lt;&gt;"",IF(COUNTIF('USPTO TMs'!A:A,D12699)&gt;0,"Yes","No"),"")</f>
        <v/>
      </c>
      <c r="C12699" s="11"/>
      <c r="D12699" s="11"/>
      <c r="E12699" s="11"/>
      <c r="F12699" s="11"/>
      <c r="G12699" s="11"/>
      <c r="H12699" s="11"/>
      <c r="I12699" s="15"/>
    </row>
    <row r="12700" spans="1:9" ht="16.5">
      <c r="A12700" s="10" t="b">
        <v>0</v>
      </c>
      <c r="B12700" s="11" t="str">
        <f>IF(D12700&lt;&gt;"",IF(COUNTIF('USPTO TMs'!A:A,D12700)&gt;0,"Yes","No"),"")</f>
        <v/>
      </c>
      <c r="C12700" s="11"/>
      <c r="D12700" s="11"/>
      <c r="E12700" s="11"/>
      <c r="F12700" s="11"/>
      <c r="G12700" s="11"/>
      <c r="H12700" s="11"/>
      <c r="I12700" s="15"/>
    </row>
    <row r="12701" spans="1:9" ht="16.5">
      <c r="A12701" s="10" t="b">
        <v>0</v>
      </c>
      <c r="B12701" s="11" t="str">
        <f>IF(D12701&lt;&gt;"",IF(COUNTIF('USPTO TMs'!A:A,D12701)&gt;0,"Yes","No"),"")</f>
        <v/>
      </c>
      <c r="C12701" s="11"/>
      <c r="D12701" s="11"/>
      <c r="E12701" s="11"/>
      <c r="F12701" s="11"/>
      <c r="G12701" s="11"/>
      <c r="H12701" s="11"/>
      <c r="I12701" s="15"/>
    </row>
    <row r="12702" spans="1:9" ht="16.5">
      <c r="A12702" s="10" t="b">
        <v>0</v>
      </c>
      <c r="B12702" s="11" t="str">
        <f>IF(D12702&lt;&gt;"",IF(COUNTIF('USPTO TMs'!A:A,D12702)&gt;0,"Yes","No"),"")</f>
        <v/>
      </c>
      <c r="C12702" s="11"/>
      <c r="D12702" s="11"/>
      <c r="E12702" s="11"/>
      <c r="F12702" s="11"/>
      <c r="G12702" s="11"/>
      <c r="H12702" s="11"/>
      <c r="I12702" s="15"/>
    </row>
    <row r="12703" spans="1:9" ht="16.5">
      <c r="A12703" s="10" t="b">
        <v>0</v>
      </c>
      <c r="B12703" s="11" t="str">
        <f>IF(D12703&lt;&gt;"",IF(COUNTIF('USPTO TMs'!A:A,D12703)&gt;0,"Yes","No"),"")</f>
        <v/>
      </c>
      <c r="C12703" s="11"/>
      <c r="D12703" s="11"/>
      <c r="E12703" s="11"/>
      <c r="F12703" s="11"/>
      <c r="G12703" s="11"/>
      <c r="H12703" s="11"/>
      <c r="I12703" s="15"/>
    </row>
    <row r="12704" spans="1:9" ht="16.5">
      <c r="A12704" s="10" t="b">
        <v>0</v>
      </c>
      <c r="B12704" s="11" t="str">
        <f>IF(D12704&lt;&gt;"",IF(COUNTIF('USPTO TMs'!A:A,D12704)&gt;0,"Yes","No"),"")</f>
        <v/>
      </c>
      <c r="C12704" s="11"/>
      <c r="D12704" s="11"/>
      <c r="E12704" s="11"/>
      <c r="F12704" s="11"/>
      <c r="G12704" s="11"/>
      <c r="H12704" s="11"/>
      <c r="I12704" s="15"/>
    </row>
    <row r="12705" spans="1:9" ht="16.5">
      <c r="A12705" s="10" t="b">
        <v>0</v>
      </c>
      <c r="B12705" s="11" t="str">
        <f>IF(D12705&lt;&gt;"",IF(COUNTIF('USPTO TMs'!A:A,D12705)&gt;0,"Yes","No"),"")</f>
        <v/>
      </c>
      <c r="C12705" s="11"/>
      <c r="D12705" s="11"/>
      <c r="E12705" s="11"/>
      <c r="F12705" s="11"/>
      <c r="G12705" s="11"/>
      <c r="H12705" s="11"/>
      <c r="I12705" s="15"/>
    </row>
    <row r="12706" spans="1:9" ht="16.5">
      <c r="A12706" s="10" t="b">
        <v>0</v>
      </c>
      <c r="B12706" s="11" t="str">
        <f>IF(D12706&lt;&gt;"",IF(COUNTIF('USPTO TMs'!A:A,D12706)&gt;0,"Yes","No"),"")</f>
        <v/>
      </c>
      <c r="C12706" s="11"/>
      <c r="D12706" s="11"/>
      <c r="E12706" s="11"/>
      <c r="F12706" s="11"/>
      <c r="G12706" s="11"/>
      <c r="H12706" s="11"/>
      <c r="I12706" s="15"/>
    </row>
    <row r="12707" spans="1:9" ht="16.5">
      <c r="A12707" s="10" t="b">
        <v>0</v>
      </c>
      <c r="B12707" s="11" t="str">
        <f>IF(D12707&lt;&gt;"",IF(COUNTIF('USPTO TMs'!A:A,D12707)&gt;0,"Yes","No"),"")</f>
        <v/>
      </c>
      <c r="C12707" s="11"/>
      <c r="D12707" s="11"/>
      <c r="E12707" s="11"/>
      <c r="F12707" s="11"/>
      <c r="G12707" s="11"/>
      <c r="H12707" s="11"/>
      <c r="I12707" s="15"/>
    </row>
    <row r="12708" spans="1:9" ht="16.5">
      <c r="A12708" s="10" t="b">
        <v>0</v>
      </c>
      <c r="B12708" s="11" t="str">
        <f>IF(D12708&lt;&gt;"",IF(COUNTIF('USPTO TMs'!A:A,D12708)&gt;0,"Yes","No"),"")</f>
        <v/>
      </c>
      <c r="C12708" s="11"/>
      <c r="D12708" s="11"/>
      <c r="E12708" s="11"/>
      <c r="F12708" s="11"/>
      <c r="G12708" s="11"/>
      <c r="H12708" s="11"/>
      <c r="I12708" s="15"/>
    </row>
    <row r="12709" spans="1:9" ht="16.5">
      <c r="A12709" s="10" t="b">
        <v>0</v>
      </c>
      <c r="B12709" s="11" t="str">
        <f>IF(D12709&lt;&gt;"",IF(COUNTIF('USPTO TMs'!A:A,D12709)&gt;0,"Yes","No"),"")</f>
        <v/>
      </c>
      <c r="C12709" s="11"/>
      <c r="D12709" s="11"/>
      <c r="E12709" s="11"/>
      <c r="F12709" s="11"/>
      <c r="G12709" s="11"/>
      <c r="H12709" s="11"/>
      <c r="I12709" s="15"/>
    </row>
    <row r="12710" spans="1:9" ht="16.5">
      <c r="A12710" s="10" t="b">
        <v>0</v>
      </c>
      <c r="B12710" s="11" t="str">
        <f>IF(D12710&lt;&gt;"",IF(COUNTIF('USPTO TMs'!A:A,D12710)&gt;0,"Yes","No"),"")</f>
        <v/>
      </c>
      <c r="C12710" s="11"/>
      <c r="D12710" s="11"/>
      <c r="E12710" s="11"/>
      <c r="F12710" s="11"/>
      <c r="G12710" s="11"/>
      <c r="H12710" s="11"/>
      <c r="I12710" s="15"/>
    </row>
    <row r="12711" spans="1:9" ht="16.5">
      <c r="A12711" s="10" t="b">
        <v>0</v>
      </c>
      <c r="B12711" s="11" t="str">
        <f>IF(D12711&lt;&gt;"",IF(COUNTIF('USPTO TMs'!A:A,D12711)&gt;0,"Yes","No"),"")</f>
        <v/>
      </c>
      <c r="C12711" s="11"/>
      <c r="D12711" s="11"/>
      <c r="E12711" s="11"/>
      <c r="F12711" s="11"/>
      <c r="G12711" s="11"/>
      <c r="H12711" s="11"/>
      <c r="I12711" s="15"/>
    </row>
    <row r="12712" spans="1:9" ht="16.5">
      <c r="A12712" s="10" t="b">
        <v>0</v>
      </c>
      <c r="B12712" s="11" t="str">
        <f>IF(D12712&lt;&gt;"",IF(COUNTIF('USPTO TMs'!A:A,D12712)&gt;0,"Yes","No"),"")</f>
        <v/>
      </c>
      <c r="C12712" s="11"/>
      <c r="D12712" s="11"/>
      <c r="E12712" s="11"/>
      <c r="F12712" s="11"/>
      <c r="G12712" s="11"/>
      <c r="H12712" s="11"/>
      <c r="I12712" s="15"/>
    </row>
    <row r="12713" spans="1:9" ht="16.5">
      <c r="A12713" s="10" t="b">
        <v>0</v>
      </c>
      <c r="B12713" s="11" t="str">
        <f>IF(D12713&lt;&gt;"",IF(COUNTIF('USPTO TMs'!A:A,D12713)&gt;0,"Yes","No"),"")</f>
        <v/>
      </c>
      <c r="C12713" s="11"/>
      <c r="D12713" s="11"/>
      <c r="E12713" s="11"/>
      <c r="F12713" s="11"/>
      <c r="G12713" s="11"/>
      <c r="H12713" s="11"/>
      <c r="I12713" s="15"/>
    </row>
    <row r="12714" spans="1:9" ht="16.5">
      <c r="A12714" s="10" t="b">
        <v>0</v>
      </c>
      <c r="B12714" s="11" t="str">
        <f>IF(D12714&lt;&gt;"",IF(COUNTIF('USPTO TMs'!A:A,D12714)&gt;0,"Yes","No"),"")</f>
        <v/>
      </c>
      <c r="C12714" s="11"/>
      <c r="D12714" s="11"/>
      <c r="E12714" s="11"/>
      <c r="F12714" s="11"/>
      <c r="G12714" s="11"/>
      <c r="H12714" s="11"/>
      <c r="I12714" s="15"/>
    </row>
    <row r="12715" spans="1:9" ht="16.5">
      <c r="A12715" s="10" t="b">
        <v>0</v>
      </c>
      <c r="B12715" s="11" t="str">
        <f>IF(D12715&lt;&gt;"",IF(COUNTIF('USPTO TMs'!A:A,D12715)&gt;0,"Yes","No"),"")</f>
        <v/>
      </c>
      <c r="C12715" s="11"/>
      <c r="D12715" s="11"/>
      <c r="E12715" s="11"/>
      <c r="F12715" s="11"/>
      <c r="G12715" s="11"/>
      <c r="H12715" s="11"/>
      <c r="I12715" s="15"/>
    </row>
    <row r="12716" spans="1:9" ht="16.5">
      <c r="A12716" s="10" t="b">
        <v>0</v>
      </c>
      <c r="B12716" s="11" t="str">
        <f>IF(D12716&lt;&gt;"",IF(COUNTIF('USPTO TMs'!A:A,D12716)&gt;0,"Yes","No"),"")</f>
        <v/>
      </c>
      <c r="C12716" s="11"/>
      <c r="D12716" s="11"/>
      <c r="E12716" s="11"/>
      <c r="F12716" s="11"/>
      <c r="G12716" s="11"/>
      <c r="H12716" s="11"/>
      <c r="I12716" s="15"/>
    </row>
    <row r="12717" spans="1:9" ht="16.5">
      <c r="A12717" s="10" t="b">
        <v>0</v>
      </c>
      <c r="B12717" s="11" t="str">
        <f>IF(D12717&lt;&gt;"",IF(COUNTIF('USPTO TMs'!A:A,D12717)&gt;0,"Yes","No"),"")</f>
        <v/>
      </c>
      <c r="C12717" s="11"/>
      <c r="D12717" s="11"/>
      <c r="E12717" s="11"/>
      <c r="F12717" s="11"/>
      <c r="G12717" s="11"/>
      <c r="H12717" s="11"/>
      <c r="I12717" s="15"/>
    </row>
    <row r="12718" spans="1:9" ht="16.5">
      <c r="A12718" s="10" t="b">
        <v>0</v>
      </c>
      <c r="B12718" s="11" t="str">
        <f>IF(D12718&lt;&gt;"",IF(COUNTIF('USPTO TMs'!A:A,D12718)&gt;0,"Yes","No"),"")</f>
        <v/>
      </c>
      <c r="C12718" s="11"/>
      <c r="D12718" s="11"/>
      <c r="E12718" s="11"/>
      <c r="F12718" s="11"/>
      <c r="G12718" s="11"/>
      <c r="H12718" s="11"/>
      <c r="I12718" s="15"/>
    </row>
    <row r="12719" spans="1:9" ht="16.5">
      <c r="A12719" s="10" t="b">
        <v>0</v>
      </c>
      <c r="B12719" s="11" t="str">
        <f>IF(D12719&lt;&gt;"",IF(COUNTIF('USPTO TMs'!A:A,D12719)&gt;0,"Yes","No"),"")</f>
        <v/>
      </c>
      <c r="C12719" s="11"/>
      <c r="D12719" s="11"/>
      <c r="E12719" s="11"/>
      <c r="F12719" s="11"/>
      <c r="G12719" s="11"/>
      <c r="H12719" s="11"/>
      <c r="I12719" s="15"/>
    </row>
    <row r="12720" spans="1:9" ht="16.5">
      <c r="A12720" s="10" t="b">
        <v>0</v>
      </c>
      <c r="B12720" s="11" t="str">
        <f>IF(D12720&lt;&gt;"",IF(COUNTIF('USPTO TMs'!A:A,D12720)&gt;0,"Yes","No"),"")</f>
        <v/>
      </c>
      <c r="C12720" s="11"/>
      <c r="D12720" s="11"/>
      <c r="E12720" s="11"/>
      <c r="F12720" s="11"/>
      <c r="G12720" s="11"/>
      <c r="H12720" s="11"/>
      <c r="I12720" s="15"/>
    </row>
    <row r="12721" spans="1:9" ht="16.5">
      <c r="A12721" s="10" t="b">
        <v>0</v>
      </c>
      <c r="B12721" s="11" t="str">
        <f>IF(D12721&lt;&gt;"",IF(COUNTIF('USPTO TMs'!A:A,D12721)&gt;0,"Yes","No"),"")</f>
        <v/>
      </c>
      <c r="C12721" s="11"/>
      <c r="D12721" s="11"/>
      <c r="E12721" s="11"/>
      <c r="F12721" s="11"/>
      <c r="G12721" s="11"/>
      <c r="H12721" s="11"/>
      <c r="I12721" s="15"/>
    </row>
    <row r="12722" spans="1:9" ht="16.5">
      <c r="A12722" s="10" t="b">
        <v>0</v>
      </c>
      <c r="B12722" s="11" t="str">
        <f>IF(D12722&lt;&gt;"",IF(COUNTIF('USPTO TMs'!A:A,D12722)&gt;0,"Yes","No"),"")</f>
        <v/>
      </c>
      <c r="C12722" s="11"/>
      <c r="D12722" s="11"/>
      <c r="E12722" s="11"/>
      <c r="F12722" s="11"/>
      <c r="G12722" s="11"/>
      <c r="H12722" s="11"/>
      <c r="I12722" s="15"/>
    </row>
    <row r="12723" spans="1:9" ht="16.5">
      <c r="A12723" s="10" t="b">
        <v>0</v>
      </c>
      <c r="B12723" s="11" t="str">
        <f>IF(D12723&lt;&gt;"",IF(COUNTIF('USPTO TMs'!A:A,D12723)&gt;0,"Yes","No"),"")</f>
        <v/>
      </c>
      <c r="C12723" s="11"/>
      <c r="D12723" s="11"/>
      <c r="E12723" s="11"/>
      <c r="F12723" s="11"/>
      <c r="G12723" s="11"/>
      <c r="H12723" s="11"/>
      <c r="I12723" s="15"/>
    </row>
    <row r="12724" spans="1:9" ht="16.5">
      <c r="A12724" s="10" t="b">
        <v>0</v>
      </c>
      <c r="B12724" s="11" t="str">
        <f>IF(D12724&lt;&gt;"",IF(COUNTIF('USPTO TMs'!A:A,D12724)&gt;0,"Yes","No"),"")</f>
        <v/>
      </c>
      <c r="C12724" s="11"/>
      <c r="D12724" s="11"/>
      <c r="E12724" s="11"/>
      <c r="F12724" s="11"/>
      <c r="G12724" s="11"/>
      <c r="H12724" s="11"/>
      <c r="I12724" s="15"/>
    </row>
    <row r="12725" spans="1:9" ht="16.5">
      <c r="A12725" s="10" t="b">
        <v>0</v>
      </c>
      <c r="B12725" s="11" t="str">
        <f>IF(D12725&lt;&gt;"",IF(COUNTIF('USPTO TMs'!A:A,D12725)&gt;0,"Yes","No"),"")</f>
        <v/>
      </c>
      <c r="C12725" s="11"/>
      <c r="D12725" s="11"/>
      <c r="E12725" s="11"/>
      <c r="F12725" s="11"/>
      <c r="G12725" s="11"/>
      <c r="H12725" s="11"/>
      <c r="I12725" s="15"/>
    </row>
    <row r="12726" spans="1:9" ht="16.5">
      <c r="A12726" s="10" t="b">
        <v>0</v>
      </c>
      <c r="B12726" s="11" t="str">
        <f>IF(D12726&lt;&gt;"",IF(COUNTIF('USPTO TMs'!A:A,D12726)&gt;0,"Yes","No"),"")</f>
        <v/>
      </c>
      <c r="C12726" s="11"/>
      <c r="D12726" s="11"/>
      <c r="E12726" s="11"/>
      <c r="F12726" s="11"/>
      <c r="G12726" s="11"/>
      <c r="H12726" s="11"/>
      <c r="I12726" s="15"/>
    </row>
    <row r="12727" spans="1:9" ht="16.5">
      <c r="A12727" s="10" t="b">
        <v>0</v>
      </c>
      <c r="B12727" s="11" t="str">
        <f>IF(D12727&lt;&gt;"",IF(COUNTIF('USPTO TMs'!A:A,D12727)&gt;0,"Yes","No"),"")</f>
        <v/>
      </c>
      <c r="C12727" s="11"/>
      <c r="D12727" s="11"/>
      <c r="E12727" s="11"/>
      <c r="F12727" s="11"/>
      <c r="G12727" s="11"/>
      <c r="H12727" s="11"/>
      <c r="I12727" s="15"/>
    </row>
    <row r="12728" spans="1:9" ht="16.5">
      <c r="A12728" s="10" t="b">
        <v>0</v>
      </c>
      <c r="B12728" s="11" t="str">
        <f>IF(D12728&lt;&gt;"",IF(COUNTIF('USPTO TMs'!A:A,D12728)&gt;0,"Yes","No"),"")</f>
        <v/>
      </c>
      <c r="C12728" s="11"/>
      <c r="D12728" s="11"/>
      <c r="E12728" s="11"/>
      <c r="F12728" s="11"/>
      <c r="G12728" s="11"/>
      <c r="H12728" s="11"/>
      <c r="I12728" s="15"/>
    </row>
    <row r="12729" spans="1:9" ht="16.5">
      <c r="A12729" s="10" t="b">
        <v>0</v>
      </c>
      <c r="B12729" s="11" t="str">
        <f>IF(D12729&lt;&gt;"",IF(COUNTIF('USPTO TMs'!A:A,D12729)&gt;0,"Yes","No"),"")</f>
        <v/>
      </c>
      <c r="C12729" s="11"/>
      <c r="D12729" s="11"/>
      <c r="E12729" s="11"/>
      <c r="F12729" s="11"/>
      <c r="G12729" s="11"/>
      <c r="H12729" s="11"/>
      <c r="I12729" s="15"/>
    </row>
    <row r="12730" spans="1:9" ht="16.5">
      <c r="A12730" s="10" t="b">
        <v>0</v>
      </c>
      <c r="B12730" s="11" t="str">
        <f>IF(D12730&lt;&gt;"",IF(COUNTIF('USPTO TMs'!A:A,D12730)&gt;0,"Yes","No"),"")</f>
        <v/>
      </c>
      <c r="C12730" s="11"/>
      <c r="D12730" s="11"/>
      <c r="E12730" s="11"/>
      <c r="F12730" s="11"/>
      <c r="G12730" s="11"/>
      <c r="H12730" s="11"/>
      <c r="I12730" s="15"/>
    </row>
    <row r="12731" spans="1:9" ht="16.5">
      <c r="A12731" s="10" t="b">
        <v>0</v>
      </c>
      <c r="B12731" s="11" t="str">
        <f>IF(D12731&lt;&gt;"",IF(COUNTIF('USPTO TMs'!A:A,D12731)&gt;0,"Yes","No"),"")</f>
        <v/>
      </c>
      <c r="C12731" s="11"/>
      <c r="D12731" s="11"/>
      <c r="E12731" s="11"/>
      <c r="F12731" s="11"/>
      <c r="G12731" s="11"/>
      <c r="H12731" s="11"/>
      <c r="I12731" s="15"/>
    </row>
    <row r="12732" spans="1:9" ht="16.5">
      <c r="A12732" s="10" t="b">
        <v>0</v>
      </c>
      <c r="B12732" s="11" t="str">
        <f>IF(D12732&lt;&gt;"",IF(COUNTIF('USPTO TMs'!A:A,D12732)&gt;0,"Yes","No"),"")</f>
        <v/>
      </c>
      <c r="C12732" s="11"/>
      <c r="D12732" s="11"/>
      <c r="E12732" s="11"/>
      <c r="F12732" s="11"/>
      <c r="G12732" s="11"/>
      <c r="H12732" s="11"/>
      <c r="I12732" s="15"/>
    </row>
    <row r="12733" spans="1:9" ht="16.5">
      <c r="A12733" s="10" t="b">
        <v>0</v>
      </c>
      <c r="B12733" s="11" t="str">
        <f>IF(D12733&lt;&gt;"",IF(COUNTIF('USPTO TMs'!A:A,D12733)&gt;0,"Yes","No"),"")</f>
        <v/>
      </c>
      <c r="C12733" s="11"/>
      <c r="D12733" s="11"/>
      <c r="E12733" s="11"/>
      <c r="F12733" s="11"/>
      <c r="G12733" s="11"/>
      <c r="H12733" s="11"/>
      <c r="I12733" s="15"/>
    </row>
    <row r="12734" spans="1:9" ht="16.5">
      <c r="A12734" s="10" t="b">
        <v>0</v>
      </c>
      <c r="B12734" s="11" t="str">
        <f>IF(D12734&lt;&gt;"",IF(COUNTIF('USPTO TMs'!A:A,D12734)&gt;0,"Yes","No"),"")</f>
        <v/>
      </c>
      <c r="C12734" s="11"/>
      <c r="D12734" s="11"/>
      <c r="E12734" s="11"/>
      <c r="F12734" s="11"/>
      <c r="G12734" s="11"/>
      <c r="H12734" s="11"/>
      <c r="I12734" s="15"/>
    </row>
    <row r="12735" spans="1:9" ht="16.5">
      <c r="A12735" s="10" t="b">
        <v>0</v>
      </c>
      <c r="B12735" s="11" t="str">
        <f>IF(D12735&lt;&gt;"",IF(COUNTIF('USPTO TMs'!A:A,D12735)&gt;0,"Yes","No"),"")</f>
        <v/>
      </c>
      <c r="C12735" s="11"/>
      <c r="D12735" s="11"/>
      <c r="E12735" s="11"/>
      <c r="F12735" s="11"/>
      <c r="G12735" s="11"/>
      <c r="H12735" s="11"/>
      <c r="I12735" s="15"/>
    </row>
    <row r="12736" spans="1:9" ht="16.5">
      <c r="A12736" s="10" t="b">
        <v>0</v>
      </c>
      <c r="B12736" s="11" t="str">
        <f>IF(D12736&lt;&gt;"",IF(COUNTIF('USPTO TMs'!A:A,D12736)&gt;0,"Yes","No"),"")</f>
        <v/>
      </c>
      <c r="C12736" s="11"/>
      <c r="D12736" s="11"/>
      <c r="E12736" s="11"/>
      <c r="F12736" s="11"/>
      <c r="G12736" s="11"/>
      <c r="H12736" s="11"/>
      <c r="I12736" s="15"/>
    </row>
    <row r="12737" spans="1:9" ht="16.5">
      <c r="A12737" s="10" t="b">
        <v>0</v>
      </c>
      <c r="B12737" s="11" t="str">
        <f>IF(D12737&lt;&gt;"",IF(COUNTIF('USPTO TMs'!A:A,D12737)&gt;0,"Yes","No"),"")</f>
        <v/>
      </c>
      <c r="C12737" s="11"/>
      <c r="D12737" s="11"/>
      <c r="E12737" s="11"/>
      <c r="F12737" s="11"/>
      <c r="G12737" s="11"/>
      <c r="H12737" s="11"/>
      <c r="I12737" s="15"/>
    </row>
    <row r="12738" spans="1:9" ht="16.5">
      <c r="A12738" s="10" t="b">
        <v>0</v>
      </c>
      <c r="B12738" s="11" t="str">
        <f>IF(D12738&lt;&gt;"",IF(COUNTIF('USPTO TMs'!A:A,D12738)&gt;0,"Yes","No"),"")</f>
        <v/>
      </c>
      <c r="C12738" s="11"/>
      <c r="D12738" s="11"/>
      <c r="E12738" s="11"/>
      <c r="F12738" s="11"/>
      <c r="G12738" s="11"/>
      <c r="H12738" s="11"/>
      <c r="I12738" s="15"/>
    </row>
    <row r="12739" spans="1:9" ht="16.5">
      <c r="A12739" s="10" t="b">
        <v>0</v>
      </c>
      <c r="B12739" s="11" t="str">
        <f>IF(D12739&lt;&gt;"",IF(COUNTIF('USPTO TMs'!A:A,D12739)&gt;0,"Yes","No"),"")</f>
        <v/>
      </c>
      <c r="C12739" s="11"/>
      <c r="D12739" s="11"/>
      <c r="E12739" s="11"/>
      <c r="F12739" s="11"/>
      <c r="G12739" s="11"/>
      <c r="H12739" s="11"/>
      <c r="I12739" s="15"/>
    </row>
    <row r="12740" spans="1:9" ht="16.5">
      <c r="A12740" s="10" t="b">
        <v>0</v>
      </c>
      <c r="B12740" s="11" t="str">
        <f>IF(D12740&lt;&gt;"",IF(COUNTIF('USPTO TMs'!A:A,D12740)&gt;0,"Yes","No"),"")</f>
        <v/>
      </c>
      <c r="C12740" s="11"/>
      <c r="D12740" s="11"/>
      <c r="E12740" s="11"/>
      <c r="F12740" s="11"/>
      <c r="G12740" s="11"/>
      <c r="H12740" s="11"/>
      <c r="I12740" s="15"/>
    </row>
    <row r="12741" spans="1:9" ht="16.5">
      <c r="A12741" s="10" t="b">
        <v>0</v>
      </c>
      <c r="B12741" s="11" t="str">
        <f>IF(D12741&lt;&gt;"",IF(COUNTIF('USPTO TMs'!A:A,D12741)&gt;0,"Yes","No"),"")</f>
        <v/>
      </c>
      <c r="C12741" s="11"/>
      <c r="D12741" s="11"/>
      <c r="E12741" s="11"/>
      <c r="F12741" s="11"/>
      <c r="G12741" s="11"/>
      <c r="H12741" s="11"/>
      <c r="I12741" s="15"/>
    </row>
    <row r="12742" spans="1:9" ht="16.5">
      <c r="A12742" s="10" t="b">
        <v>0</v>
      </c>
      <c r="B12742" s="11" t="str">
        <f>IF(D12742&lt;&gt;"",IF(COUNTIF('USPTO TMs'!A:A,D12742)&gt;0,"Yes","No"),"")</f>
        <v/>
      </c>
      <c r="C12742" s="11"/>
      <c r="D12742" s="11"/>
      <c r="E12742" s="11"/>
      <c r="F12742" s="11"/>
      <c r="G12742" s="11"/>
      <c r="H12742" s="11"/>
      <c r="I12742" s="15"/>
    </row>
    <row r="12743" spans="1:9" ht="16.5">
      <c r="A12743" s="10" t="b">
        <v>0</v>
      </c>
      <c r="B12743" s="11" t="str">
        <f>IF(D12743&lt;&gt;"",IF(COUNTIF('USPTO TMs'!A:A,D12743)&gt;0,"Yes","No"),"")</f>
        <v/>
      </c>
      <c r="C12743" s="11"/>
      <c r="D12743" s="11"/>
      <c r="E12743" s="11"/>
      <c r="F12743" s="11"/>
      <c r="G12743" s="11"/>
      <c r="H12743" s="11"/>
      <c r="I12743" s="15"/>
    </row>
    <row r="12744" spans="1:9" ht="16.5">
      <c r="A12744" s="10" t="b">
        <v>0</v>
      </c>
      <c r="B12744" s="11" t="str">
        <f>IF(D12744&lt;&gt;"",IF(COUNTIF('USPTO TMs'!A:A,D12744)&gt;0,"Yes","No"),"")</f>
        <v/>
      </c>
      <c r="C12744" s="11"/>
      <c r="D12744" s="11"/>
      <c r="E12744" s="11"/>
      <c r="F12744" s="11"/>
      <c r="G12744" s="11"/>
      <c r="H12744" s="11"/>
      <c r="I12744" s="15"/>
    </row>
    <row r="12745" spans="1:9" ht="16.5">
      <c r="A12745" s="10" t="b">
        <v>0</v>
      </c>
      <c r="B12745" s="11" t="str">
        <f>IF(D12745&lt;&gt;"",IF(COUNTIF('USPTO TMs'!A:A,D12745)&gt;0,"Yes","No"),"")</f>
        <v/>
      </c>
      <c r="C12745" s="11"/>
      <c r="D12745" s="11"/>
      <c r="E12745" s="11"/>
      <c r="F12745" s="11"/>
      <c r="G12745" s="11"/>
      <c r="H12745" s="11"/>
      <c r="I12745" s="15"/>
    </row>
    <row r="12746" spans="1:9" ht="16.5">
      <c r="A12746" s="10" t="b">
        <v>0</v>
      </c>
      <c r="B12746" s="11" t="str">
        <f>IF(D12746&lt;&gt;"",IF(COUNTIF('USPTO TMs'!A:A,D12746)&gt;0,"Yes","No"),"")</f>
        <v/>
      </c>
      <c r="C12746" s="11"/>
      <c r="D12746" s="11"/>
      <c r="E12746" s="11"/>
      <c r="F12746" s="11"/>
      <c r="G12746" s="11"/>
      <c r="H12746" s="11"/>
      <c r="I12746" s="15"/>
    </row>
    <row r="12747" spans="1:9" ht="16.5">
      <c r="A12747" s="10" t="b">
        <v>0</v>
      </c>
      <c r="B12747" s="11" t="str">
        <f>IF(D12747&lt;&gt;"",IF(COUNTIF('USPTO TMs'!A:A,D12747)&gt;0,"Yes","No"),"")</f>
        <v/>
      </c>
      <c r="C12747" s="11"/>
      <c r="D12747" s="11"/>
      <c r="E12747" s="11"/>
      <c r="F12747" s="11"/>
      <c r="G12747" s="11"/>
      <c r="H12747" s="11"/>
      <c r="I12747" s="15"/>
    </row>
    <row r="12748" spans="1:9" ht="16.5">
      <c r="A12748" s="10" t="b">
        <v>0</v>
      </c>
      <c r="B12748" s="11" t="str">
        <f>IF(D12748&lt;&gt;"",IF(COUNTIF('USPTO TMs'!A:A,D12748)&gt;0,"Yes","No"),"")</f>
        <v/>
      </c>
      <c r="C12748" s="11"/>
      <c r="D12748" s="11"/>
      <c r="E12748" s="11"/>
      <c r="F12748" s="11"/>
      <c r="G12748" s="11"/>
      <c r="H12748" s="11"/>
      <c r="I12748" s="15"/>
    </row>
    <row r="12749" spans="1:9" ht="16.5">
      <c r="A12749" s="10" t="b">
        <v>0</v>
      </c>
      <c r="B12749" s="11" t="str">
        <f>IF(D12749&lt;&gt;"",IF(COUNTIF('USPTO TMs'!A:A,D12749)&gt;0,"Yes","No"),"")</f>
        <v/>
      </c>
      <c r="C12749" s="11"/>
      <c r="D12749" s="11"/>
      <c r="E12749" s="11"/>
      <c r="F12749" s="11"/>
      <c r="G12749" s="11"/>
      <c r="H12749" s="11"/>
      <c r="I12749" s="15"/>
    </row>
    <row r="12750" spans="1:9" ht="16.5">
      <c r="A12750" s="10" t="b">
        <v>0</v>
      </c>
      <c r="B12750" s="11" t="str">
        <f>IF(D12750&lt;&gt;"",IF(COUNTIF('USPTO TMs'!A:A,D12750)&gt;0,"Yes","No"),"")</f>
        <v/>
      </c>
      <c r="C12750" s="11"/>
      <c r="D12750" s="11"/>
      <c r="E12750" s="11"/>
      <c r="F12750" s="11"/>
      <c r="G12750" s="11"/>
      <c r="H12750" s="11"/>
      <c r="I12750" s="15"/>
    </row>
    <row r="12751" spans="1:9" ht="16.5">
      <c r="A12751" s="10" t="b">
        <v>0</v>
      </c>
      <c r="B12751" s="11" t="str">
        <f>IF(D12751&lt;&gt;"",IF(COUNTIF('USPTO TMs'!A:A,D12751)&gt;0,"Yes","No"),"")</f>
        <v/>
      </c>
      <c r="C12751" s="11"/>
      <c r="D12751" s="11"/>
      <c r="E12751" s="11"/>
      <c r="F12751" s="11"/>
      <c r="G12751" s="11"/>
      <c r="H12751" s="11"/>
      <c r="I12751" s="15"/>
    </row>
    <row r="12752" spans="1:9" ht="16.5">
      <c r="A12752" s="10" t="b">
        <v>0</v>
      </c>
      <c r="B12752" s="11" t="str">
        <f>IF(D12752&lt;&gt;"",IF(COUNTIF('USPTO TMs'!A:A,D12752)&gt;0,"Yes","No"),"")</f>
        <v/>
      </c>
      <c r="C12752" s="11"/>
      <c r="D12752" s="11"/>
      <c r="E12752" s="11"/>
      <c r="F12752" s="11"/>
      <c r="G12752" s="11"/>
      <c r="H12752" s="11"/>
      <c r="I12752" s="15"/>
    </row>
    <row r="12753" spans="1:9" ht="16.5">
      <c r="A12753" s="10" t="b">
        <v>0</v>
      </c>
      <c r="B12753" s="11" t="str">
        <f>IF(D12753&lt;&gt;"",IF(COUNTIF('USPTO TMs'!A:A,D12753)&gt;0,"Yes","No"),"")</f>
        <v/>
      </c>
      <c r="C12753" s="11"/>
      <c r="D12753" s="11"/>
      <c r="E12753" s="11"/>
      <c r="F12753" s="11"/>
      <c r="G12753" s="11"/>
      <c r="H12753" s="11"/>
      <c r="I12753" s="15"/>
    </row>
    <row r="12754" spans="1:9" ht="16.5">
      <c r="A12754" s="10" t="b">
        <v>0</v>
      </c>
      <c r="B12754" s="11" t="str">
        <f>IF(D12754&lt;&gt;"",IF(COUNTIF('USPTO TMs'!A:A,D12754)&gt;0,"Yes","No"),"")</f>
        <v/>
      </c>
      <c r="C12754" s="11"/>
      <c r="D12754" s="11"/>
      <c r="E12754" s="11"/>
      <c r="F12754" s="11"/>
      <c r="G12754" s="11"/>
      <c r="H12754" s="11"/>
      <c r="I12754" s="15"/>
    </row>
    <row r="12755" spans="1:9" ht="16.5">
      <c r="A12755" s="10" t="b">
        <v>0</v>
      </c>
      <c r="B12755" s="11" t="str">
        <f>IF(D12755&lt;&gt;"",IF(COUNTIF('USPTO TMs'!A:A,D12755)&gt;0,"Yes","No"),"")</f>
        <v/>
      </c>
      <c r="C12755" s="11"/>
      <c r="D12755" s="11"/>
      <c r="E12755" s="11"/>
      <c r="F12755" s="11"/>
      <c r="G12755" s="11"/>
      <c r="H12755" s="11"/>
      <c r="I12755" s="15"/>
    </row>
    <row r="12756" spans="1:9" ht="16.5">
      <c r="A12756" s="10" t="b">
        <v>0</v>
      </c>
      <c r="B12756" s="11" t="str">
        <f>IF(D12756&lt;&gt;"",IF(COUNTIF('USPTO TMs'!A:A,D12756)&gt;0,"Yes","No"),"")</f>
        <v/>
      </c>
      <c r="C12756" s="11"/>
      <c r="D12756" s="11"/>
      <c r="E12756" s="11"/>
      <c r="F12756" s="11"/>
      <c r="G12756" s="11"/>
      <c r="H12756" s="11"/>
      <c r="I12756" s="15"/>
    </row>
    <row r="12757" spans="1:9" ht="16.5">
      <c r="A12757" s="10" t="b">
        <v>0</v>
      </c>
      <c r="B12757" s="11" t="str">
        <f>IF(D12757&lt;&gt;"",IF(COUNTIF('USPTO TMs'!A:A,D12757)&gt;0,"Yes","No"),"")</f>
        <v/>
      </c>
      <c r="C12757" s="11"/>
      <c r="D12757" s="11"/>
      <c r="E12757" s="11"/>
      <c r="F12757" s="11"/>
      <c r="G12757" s="11"/>
      <c r="H12757" s="11"/>
      <c r="I12757" s="15"/>
    </row>
    <row r="12758" spans="1:9" ht="16.5">
      <c r="A12758" s="10" t="b">
        <v>0</v>
      </c>
      <c r="B12758" s="11" t="str">
        <f>IF(D12758&lt;&gt;"",IF(COUNTIF('USPTO TMs'!A:A,D12758)&gt;0,"Yes","No"),"")</f>
        <v/>
      </c>
      <c r="C12758" s="11"/>
      <c r="D12758" s="11"/>
      <c r="E12758" s="11"/>
      <c r="F12758" s="11"/>
      <c r="G12758" s="11"/>
      <c r="H12758" s="11"/>
      <c r="I12758" s="15"/>
    </row>
    <row r="12759" spans="1:9" ht="16.5">
      <c r="A12759" s="10" t="b">
        <v>0</v>
      </c>
      <c r="B12759" s="11" t="str">
        <f>IF(D12759&lt;&gt;"",IF(COUNTIF('USPTO TMs'!A:A,D12759)&gt;0,"Yes","No"),"")</f>
        <v/>
      </c>
      <c r="C12759" s="11"/>
      <c r="D12759" s="11"/>
      <c r="E12759" s="11"/>
      <c r="F12759" s="11"/>
      <c r="G12759" s="11"/>
      <c r="H12759" s="11"/>
      <c r="I12759" s="15"/>
    </row>
    <row r="12760" spans="1:9" ht="16.5">
      <c r="A12760" s="10" t="b">
        <v>0</v>
      </c>
      <c r="B12760" s="11" t="str">
        <f>IF(D12760&lt;&gt;"",IF(COUNTIF('USPTO TMs'!A:A,D12760)&gt;0,"Yes","No"),"")</f>
        <v/>
      </c>
      <c r="C12760" s="11"/>
      <c r="D12760" s="11"/>
      <c r="E12760" s="11"/>
      <c r="F12760" s="11"/>
      <c r="G12760" s="11"/>
      <c r="H12760" s="11"/>
      <c r="I12760" s="15"/>
    </row>
    <row r="12761" spans="1:9" ht="16.5">
      <c r="A12761" s="10" t="b">
        <v>0</v>
      </c>
      <c r="B12761" s="11" t="str">
        <f>IF(D12761&lt;&gt;"",IF(COUNTIF('USPTO TMs'!A:A,D12761)&gt;0,"Yes","No"),"")</f>
        <v/>
      </c>
      <c r="C12761" s="11"/>
      <c r="D12761" s="11"/>
      <c r="E12761" s="11"/>
      <c r="F12761" s="11"/>
      <c r="G12761" s="11"/>
      <c r="H12761" s="11"/>
      <c r="I12761" s="15"/>
    </row>
    <row r="12762" spans="1:9" ht="16.5">
      <c r="A12762" s="10" t="b">
        <v>0</v>
      </c>
      <c r="B12762" s="11" t="str">
        <f>IF(D12762&lt;&gt;"",IF(COUNTIF('USPTO TMs'!A:A,D12762)&gt;0,"Yes","No"),"")</f>
        <v/>
      </c>
      <c r="C12762" s="11"/>
      <c r="D12762" s="11"/>
      <c r="E12762" s="11"/>
      <c r="F12762" s="11"/>
      <c r="G12762" s="11"/>
      <c r="H12762" s="11"/>
      <c r="I12762" s="15"/>
    </row>
    <row r="12763" spans="1:9" ht="16.5">
      <c r="A12763" s="10" t="b">
        <v>0</v>
      </c>
      <c r="B12763" s="11" t="str">
        <f>IF(D12763&lt;&gt;"",IF(COUNTIF('USPTO TMs'!A:A,D12763)&gt;0,"Yes","No"),"")</f>
        <v/>
      </c>
      <c r="C12763" s="11"/>
      <c r="D12763" s="11"/>
      <c r="E12763" s="11"/>
      <c r="F12763" s="11"/>
      <c r="G12763" s="11"/>
      <c r="H12763" s="11"/>
      <c r="I12763" s="15"/>
    </row>
    <row r="12764" spans="1:9" ht="16.5">
      <c r="A12764" s="10" t="b">
        <v>0</v>
      </c>
      <c r="B12764" s="11" t="str">
        <f>IF(D12764&lt;&gt;"",IF(COUNTIF('USPTO TMs'!A:A,D12764)&gt;0,"Yes","No"),"")</f>
        <v/>
      </c>
      <c r="C12764" s="11"/>
      <c r="D12764" s="11"/>
      <c r="E12764" s="11"/>
      <c r="F12764" s="11"/>
      <c r="G12764" s="11"/>
      <c r="H12764" s="11"/>
      <c r="I12764" s="15"/>
    </row>
    <row r="12765" spans="1:9" ht="16.5">
      <c r="A12765" s="10" t="b">
        <v>0</v>
      </c>
      <c r="B12765" s="11" t="str">
        <f>IF(D12765&lt;&gt;"",IF(COUNTIF('USPTO TMs'!A:A,D12765)&gt;0,"Yes","No"),"")</f>
        <v/>
      </c>
      <c r="C12765" s="11"/>
      <c r="D12765" s="11"/>
      <c r="E12765" s="11"/>
      <c r="F12765" s="11"/>
      <c r="G12765" s="11"/>
      <c r="H12765" s="11"/>
      <c r="I12765" s="15"/>
    </row>
    <row r="12766" spans="1:9" ht="16.5">
      <c r="A12766" s="10" t="b">
        <v>0</v>
      </c>
      <c r="B12766" s="11" t="str">
        <f>IF(D12766&lt;&gt;"",IF(COUNTIF('USPTO TMs'!A:A,D12766)&gt;0,"Yes","No"),"")</f>
        <v/>
      </c>
      <c r="C12766" s="11"/>
      <c r="D12766" s="11"/>
      <c r="E12766" s="11"/>
      <c r="F12766" s="11"/>
      <c r="G12766" s="11"/>
      <c r="H12766" s="11"/>
      <c r="I12766" s="15"/>
    </row>
    <row r="12767" spans="1:9" ht="16.5">
      <c r="A12767" s="10" t="b">
        <v>0</v>
      </c>
      <c r="B12767" s="11" t="str">
        <f>IF(D12767&lt;&gt;"",IF(COUNTIF('USPTO TMs'!A:A,D12767)&gt;0,"Yes","No"),"")</f>
        <v/>
      </c>
      <c r="C12767" s="11"/>
      <c r="D12767" s="11"/>
      <c r="E12767" s="11"/>
      <c r="F12767" s="11"/>
      <c r="G12767" s="11"/>
      <c r="H12767" s="11"/>
      <c r="I12767" s="15"/>
    </row>
    <row r="12768" spans="1:9" ht="16.5">
      <c r="A12768" s="10" t="b">
        <v>0</v>
      </c>
      <c r="B12768" s="11" t="str">
        <f>IF(D12768&lt;&gt;"",IF(COUNTIF('USPTO TMs'!A:A,D12768)&gt;0,"Yes","No"),"")</f>
        <v/>
      </c>
      <c r="C12768" s="11"/>
      <c r="D12768" s="11"/>
      <c r="E12768" s="11"/>
      <c r="F12768" s="11"/>
      <c r="G12768" s="11"/>
      <c r="H12768" s="11"/>
      <c r="I12768" s="15"/>
    </row>
    <row r="12769" spans="1:9" ht="16.5">
      <c r="A12769" s="10" t="b">
        <v>0</v>
      </c>
      <c r="B12769" s="11" t="str">
        <f>IF(D12769&lt;&gt;"",IF(COUNTIF('USPTO TMs'!A:A,D12769)&gt;0,"Yes","No"),"")</f>
        <v/>
      </c>
      <c r="C12769" s="11"/>
      <c r="D12769" s="11"/>
      <c r="E12769" s="11"/>
      <c r="F12769" s="11"/>
      <c r="G12769" s="11"/>
      <c r="H12769" s="11"/>
      <c r="I12769" s="15"/>
    </row>
    <row r="12770" spans="1:9" ht="16.5">
      <c r="A12770" s="10" t="b">
        <v>0</v>
      </c>
      <c r="B12770" s="11" t="str">
        <f>IF(D12770&lt;&gt;"",IF(COUNTIF('USPTO TMs'!A:A,D12770)&gt;0,"Yes","No"),"")</f>
        <v/>
      </c>
      <c r="C12770" s="11"/>
      <c r="D12770" s="11"/>
      <c r="E12770" s="11"/>
      <c r="F12770" s="11"/>
      <c r="G12770" s="11"/>
      <c r="H12770" s="11"/>
      <c r="I12770" s="15"/>
    </row>
    <row r="12771" spans="1:9" ht="16.5">
      <c r="A12771" s="10" t="b">
        <v>0</v>
      </c>
      <c r="B12771" s="11" t="str">
        <f>IF(D12771&lt;&gt;"",IF(COUNTIF('USPTO TMs'!A:A,D12771)&gt;0,"Yes","No"),"")</f>
        <v/>
      </c>
      <c r="C12771" s="11"/>
      <c r="D12771" s="11"/>
      <c r="E12771" s="11"/>
      <c r="F12771" s="11"/>
      <c r="G12771" s="11"/>
      <c r="H12771" s="11"/>
      <c r="I12771" s="15"/>
    </row>
    <row r="12772" spans="1:9" ht="16.5">
      <c r="A12772" s="10" t="b">
        <v>0</v>
      </c>
      <c r="B12772" s="11" t="str">
        <f>IF(D12772&lt;&gt;"",IF(COUNTIF('USPTO TMs'!A:A,D12772)&gt;0,"Yes","No"),"")</f>
        <v/>
      </c>
      <c r="C12772" s="11"/>
      <c r="D12772" s="11"/>
      <c r="E12772" s="11"/>
      <c r="F12772" s="11"/>
      <c r="G12772" s="11"/>
      <c r="H12772" s="11"/>
      <c r="I12772" s="15"/>
    </row>
    <row r="12773" spans="1:9" ht="16.5">
      <c r="A12773" s="10" t="b">
        <v>0</v>
      </c>
      <c r="B12773" s="11" t="str">
        <f>IF(D12773&lt;&gt;"",IF(COUNTIF('USPTO TMs'!A:A,D12773)&gt;0,"Yes","No"),"")</f>
        <v/>
      </c>
      <c r="C12773" s="11"/>
      <c r="D12773" s="11"/>
      <c r="E12773" s="11"/>
      <c r="F12773" s="11"/>
      <c r="G12773" s="11"/>
      <c r="H12773" s="11"/>
      <c r="I12773" s="15"/>
    </row>
    <row r="12774" spans="1:9" ht="16.5">
      <c r="A12774" s="10" t="b">
        <v>0</v>
      </c>
      <c r="B12774" s="11" t="str">
        <f>IF(D12774&lt;&gt;"",IF(COUNTIF('USPTO TMs'!A:A,D12774)&gt;0,"Yes","No"),"")</f>
        <v/>
      </c>
      <c r="C12774" s="11"/>
      <c r="D12774" s="11"/>
      <c r="E12774" s="11"/>
      <c r="F12774" s="11"/>
      <c r="G12774" s="11"/>
      <c r="H12774" s="11"/>
      <c r="I12774" s="15"/>
    </row>
    <row r="12775" spans="1:9" ht="16.5">
      <c r="A12775" s="10" t="b">
        <v>0</v>
      </c>
      <c r="B12775" s="11" t="str">
        <f>IF(D12775&lt;&gt;"",IF(COUNTIF('USPTO TMs'!A:A,D12775)&gt;0,"Yes","No"),"")</f>
        <v/>
      </c>
      <c r="C12775" s="11"/>
      <c r="D12775" s="11"/>
      <c r="E12775" s="11"/>
      <c r="F12775" s="11"/>
      <c r="G12775" s="11"/>
      <c r="H12775" s="11"/>
      <c r="I12775" s="15"/>
    </row>
    <row r="12776" spans="1:9" ht="16.5">
      <c r="A12776" s="10" t="b">
        <v>0</v>
      </c>
      <c r="B12776" s="11" t="str">
        <f>IF(D12776&lt;&gt;"",IF(COUNTIF('USPTO TMs'!A:A,D12776)&gt;0,"Yes","No"),"")</f>
        <v/>
      </c>
      <c r="C12776" s="11"/>
      <c r="D12776" s="11"/>
      <c r="E12776" s="11"/>
      <c r="F12776" s="11"/>
      <c r="G12776" s="11"/>
      <c r="H12776" s="11"/>
      <c r="I12776" s="15"/>
    </row>
    <row r="12777" spans="1:9" ht="16.5">
      <c r="A12777" s="10" t="b">
        <v>0</v>
      </c>
      <c r="B12777" s="11" t="str">
        <f>IF(D12777&lt;&gt;"",IF(COUNTIF('USPTO TMs'!A:A,D12777)&gt;0,"Yes","No"),"")</f>
        <v/>
      </c>
      <c r="C12777" s="11"/>
      <c r="D12777" s="11"/>
      <c r="E12777" s="11"/>
      <c r="F12777" s="11"/>
      <c r="G12777" s="11"/>
      <c r="H12777" s="11"/>
      <c r="I12777" s="15"/>
    </row>
    <row r="12778" spans="1:9" ht="16.5">
      <c r="A12778" s="10" t="b">
        <v>0</v>
      </c>
      <c r="B12778" s="11" t="str">
        <f>IF(D12778&lt;&gt;"",IF(COUNTIF('USPTO TMs'!A:A,D12778)&gt;0,"Yes","No"),"")</f>
        <v/>
      </c>
      <c r="C12778" s="11"/>
      <c r="D12778" s="11"/>
      <c r="E12778" s="11"/>
      <c r="F12778" s="11"/>
      <c r="G12778" s="11"/>
      <c r="H12778" s="11"/>
      <c r="I12778" s="15"/>
    </row>
    <row r="12779" spans="1:9" ht="16.5">
      <c r="A12779" s="10" t="b">
        <v>0</v>
      </c>
      <c r="B12779" s="11" t="str">
        <f>IF(D12779&lt;&gt;"",IF(COUNTIF('USPTO TMs'!A:A,D12779)&gt;0,"Yes","No"),"")</f>
        <v/>
      </c>
      <c r="C12779" s="11"/>
      <c r="D12779" s="11"/>
      <c r="E12779" s="11"/>
      <c r="F12779" s="11"/>
      <c r="G12779" s="11"/>
      <c r="H12779" s="11"/>
      <c r="I12779" s="15"/>
    </row>
    <row r="12780" spans="1:9" ht="16.5">
      <c r="A12780" s="10" t="b">
        <v>0</v>
      </c>
      <c r="B12780" s="11" t="str">
        <f>IF(D12780&lt;&gt;"",IF(COUNTIF('USPTO TMs'!A:A,D12780)&gt;0,"Yes","No"),"")</f>
        <v/>
      </c>
      <c r="C12780" s="11"/>
      <c r="D12780" s="11"/>
      <c r="E12780" s="11"/>
      <c r="F12780" s="11"/>
      <c r="G12780" s="11"/>
      <c r="H12780" s="11"/>
      <c r="I12780" s="15"/>
    </row>
    <row r="12781" spans="1:9" ht="16.5">
      <c r="A12781" s="10" t="b">
        <v>0</v>
      </c>
      <c r="B12781" s="11" t="str">
        <f>IF(D12781&lt;&gt;"",IF(COUNTIF('USPTO TMs'!A:A,D12781)&gt;0,"Yes","No"),"")</f>
        <v/>
      </c>
      <c r="C12781" s="11"/>
      <c r="D12781" s="11"/>
      <c r="E12781" s="11"/>
      <c r="F12781" s="11"/>
      <c r="G12781" s="11"/>
      <c r="H12781" s="11"/>
      <c r="I12781" s="15"/>
    </row>
    <row r="12782" spans="1:9" ht="16.5">
      <c r="A12782" s="10" t="b">
        <v>0</v>
      </c>
      <c r="B12782" s="11" t="str">
        <f>IF(D12782&lt;&gt;"",IF(COUNTIF('USPTO TMs'!A:A,D12782)&gt;0,"Yes","No"),"")</f>
        <v/>
      </c>
      <c r="C12782" s="11"/>
      <c r="D12782" s="11"/>
      <c r="E12782" s="11"/>
      <c r="F12782" s="11"/>
      <c r="G12782" s="11"/>
      <c r="H12782" s="11"/>
      <c r="I12782" s="15"/>
    </row>
    <row r="12783" spans="1:9" ht="16.5">
      <c r="A12783" s="10" t="b">
        <v>0</v>
      </c>
      <c r="B12783" s="11" t="str">
        <f>IF(D12783&lt;&gt;"",IF(COUNTIF('USPTO TMs'!A:A,D12783)&gt;0,"Yes","No"),"")</f>
        <v/>
      </c>
      <c r="C12783" s="11"/>
      <c r="D12783" s="11"/>
      <c r="E12783" s="11"/>
      <c r="F12783" s="11"/>
      <c r="G12783" s="11"/>
      <c r="H12783" s="11"/>
      <c r="I12783" s="15"/>
    </row>
    <row r="12784" spans="1:9" ht="16.5">
      <c r="A12784" s="10" t="b">
        <v>0</v>
      </c>
      <c r="B12784" s="11" t="str">
        <f>IF(D12784&lt;&gt;"",IF(COUNTIF('USPTO TMs'!A:A,D12784)&gt;0,"Yes","No"),"")</f>
        <v/>
      </c>
      <c r="C12784" s="11"/>
      <c r="D12784" s="11"/>
      <c r="E12784" s="11"/>
      <c r="F12784" s="11"/>
      <c r="G12784" s="11"/>
      <c r="H12784" s="11"/>
      <c r="I12784" s="15"/>
    </row>
    <row r="12785" spans="1:9" ht="16.5">
      <c r="A12785" s="10" t="b">
        <v>0</v>
      </c>
      <c r="B12785" s="11" t="str">
        <f>IF(D12785&lt;&gt;"",IF(COUNTIF('USPTO TMs'!A:A,D12785)&gt;0,"Yes","No"),"")</f>
        <v/>
      </c>
      <c r="C12785" s="11"/>
      <c r="D12785" s="11"/>
      <c r="E12785" s="11"/>
      <c r="F12785" s="11"/>
      <c r="G12785" s="11"/>
      <c r="H12785" s="11"/>
      <c r="I12785" s="15"/>
    </row>
    <row r="12786" spans="1:9" ht="16.5">
      <c r="A12786" s="10" t="b">
        <v>0</v>
      </c>
      <c r="B12786" s="11" t="str">
        <f>IF(D12786&lt;&gt;"",IF(COUNTIF('USPTO TMs'!A:A,D12786)&gt;0,"Yes","No"),"")</f>
        <v/>
      </c>
      <c r="C12786" s="11"/>
      <c r="D12786" s="11"/>
      <c r="E12786" s="11"/>
      <c r="F12786" s="11"/>
      <c r="G12786" s="11"/>
      <c r="H12786" s="11"/>
      <c r="I12786" s="15"/>
    </row>
    <row r="12787" spans="1:9" ht="16.5">
      <c r="A12787" s="10" t="b">
        <v>0</v>
      </c>
      <c r="B12787" s="11" t="str">
        <f>IF(D12787&lt;&gt;"",IF(COUNTIF('USPTO TMs'!A:A,D12787)&gt;0,"Yes","No"),"")</f>
        <v/>
      </c>
      <c r="C12787" s="11"/>
      <c r="D12787" s="11"/>
      <c r="E12787" s="11"/>
      <c r="F12787" s="11"/>
      <c r="G12787" s="11"/>
      <c r="H12787" s="11"/>
      <c r="I12787" s="15"/>
    </row>
    <row r="12788" spans="1:9" ht="16.5">
      <c r="A12788" s="10" t="b">
        <v>0</v>
      </c>
      <c r="B12788" s="11" t="str">
        <f>IF(D12788&lt;&gt;"",IF(COUNTIF('USPTO TMs'!A:A,D12788)&gt;0,"Yes","No"),"")</f>
        <v/>
      </c>
      <c r="C12788" s="11"/>
      <c r="D12788" s="11"/>
      <c r="E12788" s="11"/>
      <c r="F12788" s="11"/>
      <c r="G12788" s="11"/>
      <c r="H12788" s="11"/>
      <c r="I12788" s="15"/>
    </row>
    <row r="12789" spans="1:9" ht="16.5">
      <c r="A12789" s="10" t="b">
        <v>0</v>
      </c>
      <c r="B12789" s="11" t="str">
        <f>IF(D12789&lt;&gt;"",IF(COUNTIF('USPTO TMs'!A:A,D12789)&gt;0,"Yes","No"),"")</f>
        <v/>
      </c>
      <c r="C12789" s="11"/>
      <c r="D12789" s="11"/>
      <c r="E12789" s="11"/>
      <c r="F12789" s="11"/>
      <c r="G12789" s="11"/>
      <c r="H12789" s="11"/>
      <c r="I12789" s="15"/>
    </row>
    <row r="12790" spans="1:9" ht="16.5">
      <c r="A12790" s="10" t="b">
        <v>0</v>
      </c>
      <c r="B12790" s="11" t="str">
        <f>IF(D12790&lt;&gt;"",IF(COUNTIF('USPTO TMs'!A:A,D12790)&gt;0,"Yes","No"),"")</f>
        <v/>
      </c>
      <c r="C12790" s="11"/>
      <c r="D12790" s="11"/>
      <c r="E12790" s="11"/>
      <c r="F12790" s="11"/>
      <c r="G12790" s="11"/>
      <c r="H12790" s="11"/>
      <c r="I12790" s="15"/>
    </row>
    <row r="12791" spans="1:9" ht="16.5">
      <c r="A12791" s="10" t="b">
        <v>0</v>
      </c>
      <c r="B12791" s="11" t="str">
        <f>IF(D12791&lt;&gt;"",IF(COUNTIF('USPTO TMs'!A:A,D12791)&gt;0,"Yes","No"),"")</f>
        <v/>
      </c>
      <c r="C12791" s="11"/>
      <c r="D12791" s="11"/>
      <c r="E12791" s="11"/>
      <c r="F12791" s="11"/>
      <c r="G12791" s="11"/>
      <c r="H12791" s="11"/>
      <c r="I12791" s="15"/>
    </row>
    <row r="12792" spans="1:9" ht="16.5">
      <c r="A12792" s="10" t="b">
        <v>0</v>
      </c>
      <c r="B12792" s="11" t="str">
        <f>IF(D12792&lt;&gt;"",IF(COUNTIF('USPTO TMs'!A:A,D12792)&gt;0,"Yes","No"),"")</f>
        <v/>
      </c>
      <c r="C12792" s="11"/>
      <c r="D12792" s="11"/>
      <c r="E12792" s="11"/>
      <c r="F12792" s="11"/>
      <c r="G12792" s="11"/>
      <c r="H12792" s="11"/>
      <c r="I12792" s="15"/>
    </row>
    <row r="12793" spans="1:9" ht="16.5">
      <c r="A12793" s="10" t="b">
        <v>0</v>
      </c>
      <c r="B12793" s="11" t="str">
        <f>IF(D12793&lt;&gt;"",IF(COUNTIF('USPTO TMs'!A:A,D12793)&gt;0,"Yes","No"),"")</f>
        <v/>
      </c>
      <c r="C12793" s="11"/>
      <c r="D12793" s="11"/>
      <c r="E12793" s="11"/>
      <c r="F12793" s="11"/>
      <c r="G12793" s="11"/>
      <c r="H12793" s="11"/>
      <c r="I12793" s="15"/>
    </row>
    <row r="12794" spans="1:9" ht="16.5">
      <c r="A12794" s="10" t="b">
        <v>0</v>
      </c>
      <c r="B12794" s="11" t="str">
        <f>IF(D12794&lt;&gt;"",IF(COUNTIF('USPTO TMs'!A:A,D12794)&gt;0,"Yes","No"),"")</f>
        <v/>
      </c>
      <c r="C12794" s="11"/>
      <c r="D12794" s="11"/>
      <c r="E12794" s="11"/>
      <c r="F12794" s="11"/>
      <c r="G12794" s="11"/>
      <c r="H12794" s="11"/>
      <c r="I12794" s="15"/>
    </row>
    <row r="12795" spans="1:9" ht="16.5">
      <c r="A12795" s="10" t="b">
        <v>0</v>
      </c>
      <c r="B12795" s="11" t="str">
        <f>IF(D12795&lt;&gt;"",IF(COUNTIF('USPTO TMs'!A:A,D12795)&gt;0,"Yes","No"),"")</f>
        <v/>
      </c>
      <c r="C12795" s="11"/>
      <c r="D12795" s="11"/>
      <c r="E12795" s="11"/>
      <c r="F12795" s="11"/>
      <c r="G12795" s="11"/>
      <c r="H12795" s="11"/>
      <c r="I12795" s="15"/>
    </row>
    <row r="12796" spans="1:9" ht="16.5">
      <c r="A12796" s="10" t="b">
        <v>0</v>
      </c>
      <c r="B12796" s="11" t="str">
        <f>IF(D12796&lt;&gt;"",IF(COUNTIF('USPTO TMs'!A:A,D12796)&gt;0,"Yes","No"),"")</f>
        <v/>
      </c>
      <c r="C12796" s="11"/>
      <c r="D12796" s="11"/>
      <c r="E12796" s="11"/>
      <c r="F12796" s="11"/>
      <c r="G12796" s="11"/>
      <c r="H12796" s="11"/>
      <c r="I12796" s="15"/>
    </row>
    <row r="12797" spans="1:9" ht="16.5">
      <c r="A12797" s="10" t="b">
        <v>0</v>
      </c>
      <c r="B12797" s="11" t="str">
        <f>IF(D12797&lt;&gt;"",IF(COUNTIF('USPTO TMs'!A:A,D12797)&gt;0,"Yes","No"),"")</f>
        <v/>
      </c>
      <c r="C12797" s="11"/>
      <c r="D12797" s="11"/>
      <c r="E12797" s="11"/>
      <c r="F12797" s="11"/>
      <c r="G12797" s="11"/>
      <c r="H12797" s="11"/>
      <c r="I12797" s="15"/>
    </row>
    <row r="12798" spans="1:9" ht="16.5">
      <c r="A12798" s="10" t="b">
        <v>0</v>
      </c>
      <c r="B12798" s="11" t="str">
        <f>IF(D12798&lt;&gt;"",IF(COUNTIF('USPTO TMs'!A:A,D12798)&gt;0,"Yes","No"),"")</f>
        <v/>
      </c>
      <c r="C12798" s="11"/>
      <c r="D12798" s="11"/>
      <c r="E12798" s="11"/>
      <c r="F12798" s="11"/>
      <c r="G12798" s="11"/>
      <c r="H12798" s="11"/>
      <c r="I12798" s="15"/>
    </row>
    <row r="12799" spans="1:9" ht="16.5">
      <c r="A12799" s="10" t="b">
        <v>0</v>
      </c>
      <c r="B12799" s="11" t="str">
        <f>IF(D12799&lt;&gt;"",IF(COUNTIF('USPTO TMs'!A:A,D12799)&gt;0,"Yes","No"),"")</f>
        <v/>
      </c>
      <c r="C12799" s="11"/>
      <c r="D12799" s="11"/>
      <c r="E12799" s="11"/>
      <c r="F12799" s="11"/>
      <c r="G12799" s="11"/>
      <c r="H12799" s="11"/>
      <c r="I12799" s="15"/>
    </row>
    <row r="12800" spans="1:9" ht="16.5">
      <c r="A12800" s="10" t="b">
        <v>0</v>
      </c>
      <c r="B12800" s="11" t="str">
        <f>IF(D12800&lt;&gt;"",IF(COUNTIF('USPTO TMs'!A:A,D12800)&gt;0,"Yes","No"),"")</f>
        <v/>
      </c>
      <c r="C12800" s="11"/>
      <c r="D12800" s="11"/>
      <c r="E12800" s="11"/>
      <c r="F12800" s="11"/>
      <c r="G12800" s="11"/>
      <c r="H12800" s="11"/>
      <c r="I12800" s="15"/>
    </row>
    <row r="12801" spans="1:9" ht="16.5">
      <c r="A12801" s="10" t="b">
        <v>0</v>
      </c>
      <c r="B12801" s="11" t="str">
        <f>IF(D12801&lt;&gt;"",IF(COUNTIF('USPTO TMs'!A:A,D12801)&gt;0,"Yes","No"),"")</f>
        <v/>
      </c>
      <c r="C12801" s="11"/>
      <c r="D12801" s="11"/>
      <c r="E12801" s="11"/>
      <c r="F12801" s="11"/>
      <c r="G12801" s="11"/>
      <c r="H12801" s="11"/>
      <c r="I12801" s="15"/>
    </row>
    <row r="12802" spans="1:9" ht="16.5">
      <c r="A12802" s="10" t="b">
        <v>0</v>
      </c>
      <c r="B12802" s="11" t="str">
        <f>IF(D12802&lt;&gt;"",IF(COUNTIF('USPTO TMs'!A:A,D12802)&gt;0,"Yes","No"),"")</f>
        <v/>
      </c>
      <c r="C12802" s="11"/>
      <c r="D12802" s="11"/>
      <c r="E12802" s="11"/>
      <c r="F12802" s="11"/>
      <c r="G12802" s="11"/>
      <c r="H12802" s="11"/>
      <c r="I12802" s="15"/>
    </row>
    <row r="12803" spans="1:9" ht="16.5">
      <c r="A12803" s="10" t="b">
        <v>0</v>
      </c>
      <c r="B12803" s="11" t="str">
        <f>IF(D12803&lt;&gt;"",IF(COUNTIF('USPTO TMs'!A:A,D12803)&gt;0,"Yes","No"),"")</f>
        <v/>
      </c>
      <c r="C12803" s="11"/>
      <c r="D12803" s="11"/>
      <c r="E12803" s="11"/>
      <c r="F12803" s="11"/>
      <c r="G12803" s="11"/>
      <c r="H12803" s="11"/>
      <c r="I12803" s="15"/>
    </row>
    <row r="12804" spans="1:9" ht="16.5">
      <c r="A12804" s="10" t="b">
        <v>0</v>
      </c>
      <c r="B12804" s="11" t="str">
        <f>IF(D12804&lt;&gt;"",IF(COUNTIF('USPTO TMs'!A:A,D12804)&gt;0,"Yes","No"),"")</f>
        <v/>
      </c>
      <c r="C12804" s="11"/>
      <c r="D12804" s="11"/>
      <c r="E12804" s="11"/>
      <c r="F12804" s="11"/>
      <c r="G12804" s="11"/>
      <c r="H12804" s="11"/>
      <c r="I12804" s="15"/>
    </row>
    <row r="12805" spans="1:9" ht="16.5">
      <c r="A12805" s="10" t="b">
        <v>0</v>
      </c>
      <c r="B12805" s="11" t="str">
        <f>IF(D12805&lt;&gt;"",IF(COUNTIF('USPTO TMs'!A:A,D12805)&gt;0,"Yes","No"),"")</f>
        <v/>
      </c>
      <c r="C12805" s="11"/>
      <c r="D12805" s="11"/>
      <c r="E12805" s="11"/>
      <c r="F12805" s="11"/>
      <c r="G12805" s="11"/>
      <c r="H12805" s="11"/>
      <c r="I12805" s="15"/>
    </row>
    <row r="12806" spans="1:9" ht="16.5">
      <c r="A12806" s="10" t="b">
        <v>0</v>
      </c>
      <c r="B12806" s="11" t="str">
        <f>IF(D12806&lt;&gt;"",IF(COUNTIF('USPTO TMs'!A:A,D12806)&gt;0,"Yes","No"),"")</f>
        <v/>
      </c>
      <c r="C12806" s="11"/>
      <c r="D12806" s="11"/>
      <c r="E12806" s="11"/>
      <c r="F12806" s="11"/>
      <c r="G12806" s="11"/>
      <c r="H12806" s="11"/>
      <c r="I12806" s="15"/>
    </row>
    <row r="12807" spans="1:9" ht="16.5">
      <c r="A12807" s="10" t="b">
        <v>0</v>
      </c>
      <c r="B12807" s="11" t="str">
        <f>IF(D12807&lt;&gt;"",IF(COUNTIF('USPTO TMs'!A:A,D12807)&gt;0,"Yes","No"),"")</f>
        <v/>
      </c>
      <c r="C12807" s="11"/>
      <c r="D12807" s="11"/>
      <c r="E12807" s="11"/>
      <c r="F12807" s="11"/>
      <c r="G12807" s="11"/>
      <c r="H12807" s="11"/>
      <c r="I12807" s="15"/>
    </row>
    <row r="12808" spans="1:9" ht="16.5">
      <c r="A12808" s="10" t="b">
        <v>0</v>
      </c>
      <c r="B12808" s="11" t="str">
        <f>IF(D12808&lt;&gt;"",IF(COUNTIF('USPTO TMs'!A:A,D12808)&gt;0,"Yes","No"),"")</f>
        <v/>
      </c>
      <c r="C12808" s="11"/>
      <c r="D12808" s="11"/>
      <c r="E12808" s="11"/>
      <c r="F12808" s="11"/>
      <c r="G12808" s="11"/>
      <c r="H12808" s="11"/>
      <c r="I12808" s="15"/>
    </row>
    <row r="12809" spans="1:9" ht="16.5">
      <c r="A12809" s="10" t="b">
        <v>0</v>
      </c>
      <c r="B12809" s="11" t="str">
        <f>IF(D12809&lt;&gt;"",IF(COUNTIF('USPTO TMs'!A:A,D12809)&gt;0,"Yes","No"),"")</f>
        <v/>
      </c>
      <c r="C12809" s="11"/>
      <c r="D12809" s="11"/>
      <c r="E12809" s="11"/>
      <c r="F12809" s="11"/>
      <c r="G12809" s="11"/>
      <c r="H12809" s="11"/>
      <c r="I12809" s="15"/>
    </row>
    <row r="12810" spans="1:9" ht="16.5">
      <c r="A12810" s="10" t="b">
        <v>0</v>
      </c>
      <c r="B12810" s="11" t="str">
        <f>IF(D12810&lt;&gt;"",IF(COUNTIF('USPTO TMs'!A:A,D12810)&gt;0,"Yes","No"),"")</f>
        <v/>
      </c>
      <c r="C12810" s="11"/>
      <c r="D12810" s="11"/>
      <c r="E12810" s="11"/>
      <c r="F12810" s="11"/>
      <c r="G12810" s="11"/>
      <c r="H12810" s="11"/>
      <c r="I12810" s="15"/>
    </row>
    <row r="12811" spans="1:9" ht="16.5">
      <c r="A12811" s="10" t="b">
        <v>0</v>
      </c>
      <c r="B12811" s="11" t="str">
        <f>IF(D12811&lt;&gt;"",IF(COUNTIF('USPTO TMs'!A:A,D12811)&gt;0,"Yes","No"),"")</f>
        <v/>
      </c>
      <c r="C12811" s="11"/>
      <c r="D12811" s="11"/>
      <c r="E12811" s="11"/>
      <c r="F12811" s="11"/>
      <c r="G12811" s="11"/>
      <c r="H12811" s="11"/>
      <c r="I12811" s="15"/>
    </row>
    <row r="12812" spans="1:9" ht="16.5">
      <c r="A12812" s="10" t="b">
        <v>0</v>
      </c>
      <c r="B12812" s="11" t="str">
        <f>IF(D12812&lt;&gt;"",IF(COUNTIF('USPTO TMs'!A:A,D12812)&gt;0,"Yes","No"),"")</f>
        <v/>
      </c>
      <c r="C12812" s="11"/>
      <c r="D12812" s="11"/>
      <c r="E12812" s="11"/>
      <c r="F12812" s="11"/>
      <c r="G12812" s="11"/>
      <c r="H12812" s="11"/>
      <c r="I12812" s="15"/>
    </row>
    <row r="12813" spans="1:9" ht="16.5">
      <c r="A12813" s="10" t="b">
        <v>0</v>
      </c>
      <c r="B12813" s="11" t="str">
        <f>IF(D12813&lt;&gt;"",IF(COUNTIF('USPTO TMs'!A:A,D12813)&gt;0,"Yes","No"),"")</f>
        <v/>
      </c>
      <c r="C12813" s="11"/>
      <c r="D12813" s="11"/>
      <c r="E12813" s="11"/>
      <c r="F12813" s="11"/>
      <c r="G12813" s="11"/>
      <c r="H12813" s="11"/>
      <c r="I12813" s="15"/>
    </row>
    <row r="12814" spans="1:9" ht="16.5">
      <c r="A12814" s="10" t="b">
        <v>0</v>
      </c>
      <c r="B12814" s="11" t="str">
        <f>IF(D12814&lt;&gt;"",IF(COUNTIF('USPTO TMs'!A:A,D12814)&gt;0,"Yes","No"),"")</f>
        <v/>
      </c>
      <c r="C12814" s="11"/>
      <c r="D12814" s="11"/>
      <c r="E12814" s="11"/>
      <c r="F12814" s="11"/>
      <c r="G12814" s="11"/>
      <c r="H12814" s="11"/>
      <c r="I12814" s="15"/>
    </row>
    <row r="12815" spans="1:9" ht="16.5">
      <c r="A12815" s="10" t="b">
        <v>0</v>
      </c>
      <c r="B12815" s="11" t="str">
        <f>IF(D12815&lt;&gt;"",IF(COUNTIF('USPTO TMs'!A:A,D12815)&gt;0,"Yes","No"),"")</f>
        <v/>
      </c>
      <c r="C12815" s="11"/>
      <c r="D12815" s="11"/>
      <c r="E12815" s="11"/>
      <c r="F12815" s="11"/>
      <c r="G12815" s="11"/>
      <c r="H12815" s="11"/>
      <c r="I12815" s="15"/>
    </row>
    <row r="12816" spans="1:9" ht="16.5">
      <c r="A12816" s="10" t="b">
        <v>0</v>
      </c>
      <c r="B12816" s="11" t="str">
        <f>IF(D12816&lt;&gt;"",IF(COUNTIF('USPTO TMs'!A:A,D12816)&gt;0,"Yes","No"),"")</f>
        <v/>
      </c>
      <c r="C12816" s="11"/>
      <c r="D12816" s="11"/>
      <c r="E12816" s="11"/>
      <c r="F12816" s="11"/>
      <c r="G12816" s="11"/>
      <c r="H12816" s="11"/>
      <c r="I12816" s="15"/>
    </row>
    <row r="12817" spans="1:9" ht="16.5">
      <c r="A12817" s="10" t="b">
        <v>0</v>
      </c>
      <c r="B12817" s="11" t="str">
        <f>IF(D12817&lt;&gt;"",IF(COUNTIF('USPTO TMs'!A:A,D12817)&gt;0,"Yes","No"),"")</f>
        <v/>
      </c>
      <c r="C12817" s="11"/>
      <c r="D12817" s="11"/>
      <c r="E12817" s="11"/>
      <c r="F12817" s="11"/>
      <c r="G12817" s="11"/>
      <c r="H12817" s="11"/>
      <c r="I12817" s="15"/>
    </row>
    <row r="12818" spans="1:9" ht="16.5">
      <c r="A12818" s="10" t="b">
        <v>0</v>
      </c>
      <c r="B12818" s="11" t="str">
        <f>IF(D12818&lt;&gt;"",IF(COUNTIF('USPTO TMs'!A:A,D12818)&gt;0,"Yes","No"),"")</f>
        <v/>
      </c>
      <c r="C12818" s="11"/>
      <c r="D12818" s="11"/>
      <c r="E12818" s="11"/>
      <c r="F12818" s="11"/>
      <c r="G12818" s="11"/>
      <c r="H12818" s="11"/>
      <c r="I12818" s="15"/>
    </row>
    <row r="12819" spans="1:9" ht="16.5">
      <c r="A12819" s="10" t="b">
        <v>0</v>
      </c>
      <c r="B12819" s="11" t="str">
        <f>IF(D12819&lt;&gt;"",IF(COUNTIF('USPTO TMs'!A:A,D12819)&gt;0,"Yes","No"),"")</f>
        <v/>
      </c>
      <c r="C12819" s="11"/>
      <c r="D12819" s="11"/>
      <c r="E12819" s="11"/>
      <c r="F12819" s="11"/>
      <c r="G12819" s="11"/>
      <c r="H12819" s="11"/>
      <c r="I12819" s="15"/>
    </row>
    <row r="12820" spans="1:9" ht="16.5">
      <c r="A12820" s="10" t="b">
        <v>0</v>
      </c>
      <c r="B12820" s="11" t="str">
        <f>IF(D12820&lt;&gt;"",IF(COUNTIF('USPTO TMs'!A:A,D12820)&gt;0,"Yes","No"),"")</f>
        <v/>
      </c>
      <c r="C12820" s="11"/>
      <c r="D12820" s="11"/>
      <c r="E12820" s="11"/>
      <c r="F12820" s="11"/>
      <c r="G12820" s="11"/>
      <c r="H12820" s="11"/>
      <c r="I12820" s="15"/>
    </row>
    <row r="12821" spans="1:9" ht="16.5">
      <c r="A12821" s="10" t="b">
        <v>0</v>
      </c>
      <c r="B12821" s="11" t="str">
        <f>IF(D12821&lt;&gt;"",IF(COUNTIF('USPTO TMs'!A:A,D12821)&gt;0,"Yes","No"),"")</f>
        <v/>
      </c>
      <c r="C12821" s="11"/>
      <c r="D12821" s="11"/>
      <c r="E12821" s="11"/>
      <c r="F12821" s="11"/>
      <c r="G12821" s="11"/>
      <c r="H12821" s="11"/>
      <c r="I12821" s="15"/>
    </row>
    <row r="12822" spans="1:9" ht="16.5">
      <c r="A12822" s="10" t="b">
        <v>0</v>
      </c>
      <c r="B12822" s="11" t="str">
        <f>IF(D12822&lt;&gt;"",IF(COUNTIF('USPTO TMs'!A:A,D12822)&gt;0,"Yes","No"),"")</f>
        <v/>
      </c>
      <c r="C12822" s="11"/>
      <c r="D12822" s="11"/>
      <c r="E12822" s="11"/>
      <c r="F12822" s="11"/>
      <c r="G12822" s="11"/>
      <c r="H12822" s="11"/>
      <c r="I12822" s="15"/>
    </row>
    <row r="12823" spans="1:9" ht="16.5">
      <c r="A12823" s="10" t="b">
        <v>0</v>
      </c>
      <c r="B12823" s="11" t="str">
        <f>IF(D12823&lt;&gt;"",IF(COUNTIF('USPTO TMs'!A:A,D12823)&gt;0,"Yes","No"),"")</f>
        <v/>
      </c>
      <c r="C12823" s="11"/>
      <c r="D12823" s="11"/>
      <c r="E12823" s="11"/>
      <c r="F12823" s="11"/>
      <c r="G12823" s="11"/>
      <c r="H12823" s="11"/>
      <c r="I12823" s="15"/>
    </row>
    <row r="12824" spans="1:9" ht="16.5">
      <c r="A12824" s="10" t="b">
        <v>0</v>
      </c>
      <c r="B12824" s="11" t="str">
        <f>IF(D12824&lt;&gt;"",IF(COUNTIF('USPTO TMs'!A:A,D12824)&gt;0,"Yes","No"),"")</f>
        <v/>
      </c>
      <c r="C12824" s="11"/>
      <c r="D12824" s="11"/>
      <c r="E12824" s="11"/>
      <c r="F12824" s="11"/>
      <c r="G12824" s="11"/>
      <c r="H12824" s="11"/>
      <c r="I12824" s="15"/>
    </row>
    <row r="12825" spans="1:9" ht="16.5">
      <c r="A12825" s="10" t="b">
        <v>0</v>
      </c>
      <c r="B12825" s="11" t="str">
        <f>IF(D12825&lt;&gt;"",IF(COUNTIF('USPTO TMs'!A:A,D12825)&gt;0,"Yes","No"),"")</f>
        <v/>
      </c>
      <c r="C12825" s="11"/>
      <c r="D12825" s="11"/>
      <c r="E12825" s="11"/>
      <c r="F12825" s="11"/>
      <c r="G12825" s="11"/>
      <c r="H12825" s="11"/>
      <c r="I12825" s="15"/>
    </row>
    <row r="12826" spans="1:9" ht="16.5">
      <c r="A12826" s="10" t="b">
        <v>0</v>
      </c>
      <c r="B12826" s="11" t="str">
        <f>IF(D12826&lt;&gt;"",IF(COUNTIF('USPTO TMs'!A:A,D12826)&gt;0,"Yes","No"),"")</f>
        <v/>
      </c>
      <c r="C12826" s="11"/>
      <c r="D12826" s="11"/>
      <c r="E12826" s="11"/>
      <c r="F12826" s="11"/>
      <c r="G12826" s="11"/>
      <c r="H12826" s="11"/>
      <c r="I12826" s="15"/>
    </row>
    <row r="12827" spans="1:9" ht="16.5">
      <c r="A12827" s="10" t="b">
        <v>0</v>
      </c>
      <c r="B12827" s="11" t="str">
        <f>IF(D12827&lt;&gt;"",IF(COUNTIF('USPTO TMs'!A:A,D12827)&gt;0,"Yes","No"),"")</f>
        <v/>
      </c>
      <c r="C12827" s="11"/>
      <c r="D12827" s="11"/>
      <c r="E12827" s="11"/>
      <c r="F12827" s="11"/>
      <c r="G12827" s="11"/>
      <c r="H12827" s="11"/>
      <c r="I12827" s="15"/>
    </row>
    <row r="12828" spans="1:9" ht="16.5">
      <c r="A12828" s="10" t="b">
        <v>0</v>
      </c>
      <c r="B12828" s="11" t="str">
        <f>IF(D12828&lt;&gt;"",IF(COUNTIF('USPTO TMs'!A:A,D12828)&gt;0,"Yes","No"),"")</f>
        <v/>
      </c>
      <c r="C12828" s="11"/>
      <c r="D12828" s="11"/>
      <c r="E12828" s="11"/>
      <c r="F12828" s="11"/>
      <c r="G12828" s="11"/>
      <c r="H12828" s="11"/>
      <c r="I12828" s="15"/>
    </row>
    <row r="12829" spans="1:9" ht="16.5">
      <c r="A12829" s="10" t="b">
        <v>0</v>
      </c>
      <c r="B12829" s="11" t="str">
        <f>IF(D12829&lt;&gt;"",IF(COUNTIF('USPTO TMs'!A:A,D12829)&gt;0,"Yes","No"),"")</f>
        <v/>
      </c>
      <c r="C12829" s="11"/>
      <c r="D12829" s="11"/>
      <c r="E12829" s="11"/>
      <c r="F12829" s="11"/>
      <c r="G12829" s="11"/>
      <c r="H12829" s="11"/>
      <c r="I12829" s="15"/>
    </row>
    <row r="12830" spans="1:9" ht="16.5">
      <c r="A12830" s="10" t="b">
        <v>0</v>
      </c>
      <c r="B12830" s="11" t="str">
        <f>IF(D12830&lt;&gt;"",IF(COUNTIF('USPTO TMs'!A:A,D12830)&gt;0,"Yes","No"),"")</f>
        <v/>
      </c>
      <c r="C12830" s="11"/>
      <c r="D12830" s="11"/>
      <c r="E12830" s="11"/>
      <c r="F12830" s="11"/>
      <c r="G12830" s="11"/>
      <c r="H12830" s="11"/>
      <c r="I12830" s="15"/>
    </row>
    <row r="12831" spans="1:9" ht="16.5">
      <c r="A12831" s="10" t="b">
        <v>0</v>
      </c>
      <c r="B12831" s="11" t="str">
        <f>IF(D12831&lt;&gt;"",IF(COUNTIF('USPTO TMs'!A:A,D12831)&gt;0,"Yes","No"),"")</f>
        <v/>
      </c>
      <c r="C12831" s="11"/>
      <c r="D12831" s="11"/>
      <c r="E12831" s="11"/>
      <c r="F12831" s="11"/>
      <c r="G12831" s="11"/>
      <c r="H12831" s="11"/>
      <c r="I12831" s="15"/>
    </row>
    <row r="12832" spans="1:9" ht="16.5">
      <c r="A12832" s="10" t="b">
        <v>0</v>
      </c>
      <c r="B12832" s="11" t="str">
        <f>IF(D12832&lt;&gt;"",IF(COUNTIF('USPTO TMs'!A:A,D12832)&gt;0,"Yes","No"),"")</f>
        <v/>
      </c>
      <c r="C12832" s="11"/>
      <c r="D12832" s="11"/>
      <c r="E12832" s="11"/>
      <c r="F12832" s="11"/>
      <c r="G12832" s="11"/>
      <c r="H12832" s="11"/>
      <c r="I12832" s="15"/>
    </row>
    <row r="12833" spans="1:9" ht="16.5">
      <c r="A12833" s="10" t="b">
        <v>0</v>
      </c>
      <c r="B12833" s="11" t="str">
        <f>IF(D12833&lt;&gt;"",IF(COUNTIF('USPTO TMs'!A:A,D12833)&gt;0,"Yes","No"),"")</f>
        <v/>
      </c>
      <c r="C12833" s="11"/>
      <c r="D12833" s="11"/>
      <c r="E12833" s="11"/>
      <c r="F12833" s="11"/>
      <c r="G12833" s="11"/>
      <c r="H12833" s="11"/>
      <c r="I12833" s="15"/>
    </row>
    <row r="12834" spans="1:9" ht="16.5">
      <c r="A12834" s="10" t="b">
        <v>0</v>
      </c>
      <c r="B12834" s="11" t="str">
        <f>IF(D12834&lt;&gt;"",IF(COUNTIF('USPTO TMs'!A:A,D12834)&gt;0,"Yes","No"),"")</f>
        <v/>
      </c>
      <c r="C12834" s="11"/>
      <c r="D12834" s="11"/>
      <c r="E12834" s="11"/>
      <c r="F12834" s="11"/>
      <c r="G12834" s="11"/>
      <c r="H12834" s="11"/>
      <c r="I12834" s="15"/>
    </row>
    <row r="12835" spans="1:9" ht="16.5">
      <c r="A12835" s="10" t="b">
        <v>0</v>
      </c>
      <c r="B12835" s="11" t="str">
        <f>IF(D12835&lt;&gt;"",IF(COUNTIF('USPTO TMs'!A:A,D12835)&gt;0,"Yes","No"),"")</f>
        <v/>
      </c>
      <c r="C12835" s="11"/>
      <c r="D12835" s="11"/>
      <c r="E12835" s="11"/>
      <c r="F12835" s="11"/>
      <c r="G12835" s="11"/>
      <c r="H12835" s="11"/>
      <c r="I12835" s="15"/>
    </row>
    <row r="12836" spans="1:9" ht="16.5">
      <c r="A12836" s="10" t="b">
        <v>0</v>
      </c>
      <c r="B12836" s="11" t="str">
        <f>IF(D12836&lt;&gt;"",IF(COUNTIF('USPTO TMs'!A:A,D12836)&gt;0,"Yes","No"),"")</f>
        <v/>
      </c>
      <c r="C12836" s="11"/>
      <c r="D12836" s="11"/>
      <c r="E12836" s="11"/>
      <c r="F12836" s="11"/>
      <c r="G12836" s="11"/>
      <c r="H12836" s="11"/>
      <c r="I12836" s="15"/>
    </row>
    <row r="12837" spans="1:9" ht="16.5">
      <c r="A12837" s="10" t="b">
        <v>0</v>
      </c>
      <c r="B12837" s="11" t="str">
        <f>IF(D12837&lt;&gt;"",IF(COUNTIF('USPTO TMs'!A:A,D12837)&gt;0,"Yes","No"),"")</f>
        <v/>
      </c>
      <c r="C12837" s="11"/>
      <c r="D12837" s="11"/>
      <c r="E12837" s="11"/>
      <c r="F12837" s="11"/>
      <c r="G12837" s="11"/>
      <c r="H12837" s="11"/>
      <c r="I12837" s="15"/>
    </row>
    <row r="12838" spans="1:9" ht="16.5">
      <c r="A12838" s="10" t="b">
        <v>0</v>
      </c>
      <c r="B12838" s="11" t="str">
        <f>IF(D12838&lt;&gt;"",IF(COUNTIF('USPTO TMs'!A:A,D12838)&gt;0,"Yes","No"),"")</f>
        <v/>
      </c>
      <c r="C12838" s="11"/>
      <c r="D12838" s="11"/>
      <c r="E12838" s="11"/>
      <c r="F12838" s="11"/>
      <c r="G12838" s="11"/>
      <c r="H12838" s="11"/>
      <c r="I12838" s="15"/>
    </row>
    <row r="12839" spans="1:9" ht="16.5">
      <c r="A12839" s="10" t="b">
        <v>0</v>
      </c>
      <c r="B12839" s="11" t="str">
        <f>IF(D12839&lt;&gt;"",IF(COUNTIF('USPTO TMs'!A:A,D12839)&gt;0,"Yes","No"),"")</f>
        <v/>
      </c>
      <c r="C12839" s="11"/>
      <c r="D12839" s="11"/>
      <c r="E12839" s="11"/>
      <c r="F12839" s="11"/>
      <c r="G12839" s="11"/>
      <c r="H12839" s="11"/>
      <c r="I12839" s="15"/>
    </row>
    <row r="12840" spans="1:9" ht="16.5">
      <c r="A12840" s="10" t="b">
        <v>0</v>
      </c>
      <c r="B12840" s="11" t="str">
        <f>IF(D12840&lt;&gt;"",IF(COUNTIF('USPTO TMs'!A:A,D12840)&gt;0,"Yes","No"),"")</f>
        <v/>
      </c>
      <c r="C12840" s="11"/>
      <c r="D12840" s="11"/>
      <c r="E12840" s="11"/>
      <c r="F12840" s="11"/>
      <c r="G12840" s="11"/>
      <c r="H12840" s="11"/>
      <c r="I12840" s="15"/>
    </row>
    <row r="12841" spans="1:9" ht="16.5">
      <c r="A12841" s="10" t="b">
        <v>0</v>
      </c>
      <c r="B12841" s="11" t="str">
        <f>IF(D12841&lt;&gt;"",IF(COUNTIF('USPTO TMs'!A:A,D12841)&gt;0,"Yes","No"),"")</f>
        <v/>
      </c>
      <c r="C12841" s="11"/>
      <c r="D12841" s="11"/>
      <c r="E12841" s="11"/>
      <c r="F12841" s="11"/>
      <c r="G12841" s="11"/>
      <c r="H12841" s="11"/>
      <c r="I12841" s="15"/>
    </row>
    <row r="12842" spans="1:9" ht="16.5">
      <c r="A12842" s="10" t="b">
        <v>0</v>
      </c>
      <c r="B12842" s="11" t="str">
        <f>IF(D12842&lt;&gt;"",IF(COUNTIF('USPTO TMs'!A:A,D12842)&gt;0,"Yes","No"),"")</f>
        <v/>
      </c>
      <c r="C12842" s="11"/>
      <c r="D12842" s="11"/>
      <c r="E12842" s="11"/>
      <c r="F12842" s="11"/>
      <c r="G12842" s="11"/>
      <c r="H12842" s="11"/>
      <c r="I12842" s="15"/>
    </row>
    <row r="12843" spans="1:9" ht="16.5">
      <c r="A12843" s="10" t="b">
        <v>0</v>
      </c>
      <c r="B12843" s="11" t="str">
        <f>IF(D12843&lt;&gt;"",IF(COUNTIF('USPTO TMs'!A:A,D12843)&gt;0,"Yes","No"),"")</f>
        <v/>
      </c>
      <c r="C12843" s="11"/>
      <c r="D12843" s="11"/>
      <c r="E12843" s="11"/>
      <c r="F12843" s="11"/>
      <c r="G12843" s="11"/>
      <c r="H12843" s="11"/>
      <c r="I12843" s="15"/>
    </row>
    <row r="12844" spans="1:9" ht="16.5">
      <c r="A12844" s="10" t="b">
        <v>0</v>
      </c>
      <c r="B12844" s="11" t="str">
        <f>IF(D12844&lt;&gt;"",IF(COUNTIF('USPTO TMs'!A:A,D12844)&gt;0,"Yes","No"),"")</f>
        <v/>
      </c>
      <c r="C12844" s="11"/>
      <c r="D12844" s="11"/>
      <c r="E12844" s="11"/>
      <c r="F12844" s="11"/>
      <c r="G12844" s="11"/>
      <c r="H12844" s="11"/>
      <c r="I12844" s="15"/>
    </row>
    <row r="12845" spans="1:9" ht="16.5">
      <c r="A12845" s="10" t="b">
        <v>0</v>
      </c>
      <c r="B12845" s="11" t="str">
        <f>IF(D12845&lt;&gt;"",IF(COUNTIF('USPTO TMs'!A:A,D12845)&gt;0,"Yes","No"),"")</f>
        <v/>
      </c>
      <c r="C12845" s="11"/>
      <c r="D12845" s="11"/>
      <c r="E12845" s="11"/>
      <c r="F12845" s="11"/>
      <c r="G12845" s="11"/>
      <c r="H12845" s="11"/>
      <c r="I12845" s="15"/>
    </row>
    <row r="12846" spans="1:9" ht="16.5">
      <c r="A12846" s="10" t="b">
        <v>0</v>
      </c>
      <c r="B12846" s="11" t="str">
        <f>IF(D12846&lt;&gt;"",IF(COUNTIF('USPTO TMs'!A:A,D12846)&gt;0,"Yes","No"),"")</f>
        <v/>
      </c>
      <c r="C12846" s="11"/>
      <c r="D12846" s="11"/>
      <c r="E12846" s="11"/>
      <c r="F12846" s="11"/>
      <c r="G12846" s="11"/>
      <c r="H12846" s="11"/>
      <c r="I12846" s="15"/>
    </row>
    <row r="12847" spans="1:9" ht="16.5">
      <c r="A12847" s="10" t="b">
        <v>0</v>
      </c>
      <c r="B12847" s="11" t="str">
        <f>IF(D12847&lt;&gt;"",IF(COUNTIF('USPTO TMs'!A:A,D12847)&gt;0,"Yes","No"),"")</f>
        <v/>
      </c>
      <c r="C12847" s="11"/>
      <c r="D12847" s="11"/>
      <c r="E12847" s="11"/>
      <c r="F12847" s="11"/>
      <c r="G12847" s="11"/>
      <c r="H12847" s="11"/>
      <c r="I12847" s="15"/>
    </row>
    <row r="12848" spans="1:9" ht="16.5">
      <c r="A12848" s="10" t="b">
        <v>0</v>
      </c>
      <c r="B12848" s="11" t="str">
        <f>IF(D12848&lt;&gt;"",IF(COUNTIF('USPTO TMs'!A:A,D12848)&gt;0,"Yes","No"),"")</f>
        <v/>
      </c>
      <c r="C12848" s="11"/>
      <c r="D12848" s="11"/>
      <c r="E12848" s="11"/>
      <c r="F12848" s="11"/>
      <c r="G12848" s="11"/>
      <c r="H12848" s="11"/>
      <c r="I12848" s="15"/>
    </row>
    <row r="12849" spans="1:9" ht="16.5">
      <c r="A12849" s="10" t="b">
        <v>0</v>
      </c>
      <c r="B12849" s="11" t="str">
        <f>IF(D12849&lt;&gt;"",IF(COUNTIF('USPTO TMs'!A:A,D12849)&gt;0,"Yes","No"),"")</f>
        <v/>
      </c>
      <c r="C12849" s="11"/>
      <c r="D12849" s="11"/>
      <c r="E12849" s="11"/>
      <c r="F12849" s="11"/>
      <c r="G12849" s="11"/>
      <c r="H12849" s="11"/>
      <c r="I12849" s="15"/>
    </row>
    <row r="12850" spans="1:9" ht="16.5">
      <c r="A12850" s="10" t="b">
        <v>0</v>
      </c>
      <c r="B12850" s="11" t="str">
        <f>IF(D12850&lt;&gt;"",IF(COUNTIF('USPTO TMs'!A:A,D12850)&gt;0,"Yes","No"),"")</f>
        <v/>
      </c>
      <c r="C12850" s="11"/>
      <c r="D12850" s="11"/>
      <c r="E12850" s="11"/>
      <c r="F12850" s="11"/>
      <c r="G12850" s="11"/>
      <c r="H12850" s="11"/>
      <c r="I12850" s="15"/>
    </row>
    <row r="12851" spans="1:9" ht="16.5">
      <c r="A12851" s="10" t="b">
        <v>0</v>
      </c>
      <c r="B12851" s="11" t="str">
        <f>IF(D12851&lt;&gt;"",IF(COUNTIF('USPTO TMs'!A:A,D12851)&gt;0,"Yes","No"),"")</f>
        <v/>
      </c>
      <c r="C12851" s="11"/>
      <c r="D12851" s="11"/>
      <c r="E12851" s="11"/>
      <c r="F12851" s="11"/>
      <c r="G12851" s="11"/>
      <c r="H12851" s="11"/>
      <c r="I12851" s="15"/>
    </row>
    <row r="12852" spans="1:9" ht="16.5">
      <c r="A12852" s="10" t="b">
        <v>0</v>
      </c>
      <c r="B12852" s="11" t="str">
        <f>IF(D12852&lt;&gt;"",IF(COUNTIF('USPTO TMs'!A:A,D12852)&gt;0,"Yes","No"),"")</f>
        <v/>
      </c>
      <c r="C12852" s="11"/>
      <c r="D12852" s="11"/>
      <c r="E12852" s="11"/>
      <c r="F12852" s="11"/>
      <c r="G12852" s="11"/>
      <c r="H12852" s="11"/>
      <c r="I12852" s="15"/>
    </row>
    <row r="12853" spans="1:9" ht="16.5">
      <c r="A12853" s="10" t="b">
        <v>0</v>
      </c>
      <c r="B12853" s="11" t="str">
        <f>IF(D12853&lt;&gt;"",IF(COUNTIF('USPTO TMs'!A:A,D12853)&gt;0,"Yes","No"),"")</f>
        <v/>
      </c>
      <c r="C12853" s="11"/>
      <c r="D12853" s="11"/>
      <c r="E12853" s="11"/>
      <c r="F12853" s="11"/>
      <c r="G12853" s="11"/>
      <c r="H12853" s="11"/>
      <c r="I12853" s="15"/>
    </row>
    <row r="12854" spans="1:9" ht="16.5">
      <c r="A12854" s="10" t="b">
        <v>0</v>
      </c>
      <c r="B12854" s="11" t="str">
        <f>IF(D12854&lt;&gt;"",IF(COUNTIF('USPTO TMs'!A:A,D12854)&gt;0,"Yes","No"),"")</f>
        <v/>
      </c>
      <c r="C12854" s="11"/>
      <c r="D12854" s="11"/>
      <c r="E12854" s="11"/>
      <c r="F12854" s="11"/>
      <c r="G12854" s="11"/>
      <c r="H12854" s="11"/>
      <c r="I12854" s="15"/>
    </row>
    <row r="12855" spans="1:9" ht="16.5">
      <c r="A12855" s="10" t="b">
        <v>0</v>
      </c>
      <c r="B12855" s="11" t="str">
        <f>IF(D12855&lt;&gt;"",IF(COUNTIF('USPTO TMs'!A:A,D12855)&gt;0,"Yes","No"),"")</f>
        <v/>
      </c>
      <c r="C12855" s="11"/>
      <c r="D12855" s="11"/>
      <c r="E12855" s="11"/>
      <c r="F12855" s="11"/>
      <c r="G12855" s="11"/>
      <c r="H12855" s="11"/>
      <c r="I12855" s="15"/>
    </row>
    <row r="12856" spans="1:9" ht="16.5">
      <c r="A12856" s="10" t="b">
        <v>0</v>
      </c>
      <c r="B12856" s="11" t="str">
        <f>IF(D12856&lt;&gt;"",IF(COUNTIF('USPTO TMs'!A:A,D12856)&gt;0,"Yes","No"),"")</f>
        <v/>
      </c>
      <c r="C12856" s="11"/>
      <c r="D12856" s="11"/>
      <c r="E12856" s="11"/>
      <c r="F12856" s="11"/>
      <c r="G12856" s="11"/>
      <c r="H12856" s="11"/>
      <c r="I12856" s="15"/>
    </row>
    <row r="12857" spans="1:9" ht="16.5">
      <c r="A12857" s="10" t="b">
        <v>0</v>
      </c>
      <c r="B12857" s="11" t="str">
        <f>IF(D12857&lt;&gt;"",IF(COUNTIF('USPTO TMs'!A:A,D12857)&gt;0,"Yes","No"),"")</f>
        <v/>
      </c>
      <c r="C12857" s="11"/>
      <c r="D12857" s="11"/>
      <c r="E12857" s="11"/>
      <c r="F12857" s="11"/>
      <c r="G12857" s="11"/>
      <c r="H12857" s="11"/>
      <c r="I12857" s="15"/>
    </row>
    <row r="12858" spans="1:9" ht="16.5">
      <c r="A12858" s="10" t="b">
        <v>0</v>
      </c>
      <c r="B12858" s="11" t="str">
        <f>IF(D12858&lt;&gt;"",IF(COUNTIF('USPTO TMs'!A:A,D12858)&gt;0,"Yes","No"),"")</f>
        <v/>
      </c>
      <c r="C12858" s="11"/>
      <c r="D12858" s="11"/>
      <c r="E12858" s="11"/>
      <c r="F12858" s="11"/>
      <c r="G12858" s="11"/>
      <c r="H12858" s="11"/>
      <c r="I12858" s="15"/>
    </row>
    <row r="12859" spans="1:9" ht="16.5">
      <c r="A12859" s="10" t="b">
        <v>0</v>
      </c>
      <c r="B12859" s="11" t="str">
        <f>IF(D12859&lt;&gt;"",IF(COUNTIF('USPTO TMs'!A:A,D12859)&gt;0,"Yes","No"),"")</f>
        <v/>
      </c>
      <c r="C12859" s="11"/>
      <c r="D12859" s="11"/>
      <c r="E12859" s="11"/>
      <c r="F12859" s="11"/>
      <c r="G12859" s="11"/>
      <c r="H12859" s="11"/>
      <c r="I12859" s="15"/>
    </row>
    <row r="12860" spans="1:9" ht="16.5">
      <c r="A12860" s="10" t="b">
        <v>0</v>
      </c>
      <c r="B12860" s="11" t="str">
        <f>IF(D12860&lt;&gt;"",IF(COUNTIF('USPTO TMs'!A:A,D12860)&gt;0,"Yes","No"),"")</f>
        <v/>
      </c>
      <c r="C12860" s="11"/>
      <c r="D12860" s="11"/>
      <c r="E12860" s="11"/>
      <c r="F12860" s="11"/>
      <c r="G12860" s="11"/>
      <c r="H12860" s="11"/>
      <c r="I12860" s="15"/>
    </row>
    <row r="12861" spans="1:9" ht="16.5">
      <c r="A12861" s="10" t="b">
        <v>0</v>
      </c>
      <c r="B12861" s="11" t="str">
        <f>IF(D12861&lt;&gt;"",IF(COUNTIF('USPTO TMs'!A:A,D12861)&gt;0,"Yes","No"),"")</f>
        <v/>
      </c>
      <c r="C12861" s="11"/>
      <c r="D12861" s="11"/>
      <c r="E12861" s="11"/>
      <c r="F12861" s="11"/>
      <c r="G12861" s="11"/>
      <c r="H12861" s="11"/>
      <c r="I12861" s="15"/>
    </row>
    <row r="12862" spans="1:9" ht="16.5">
      <c r="A12862" s="10" t="b">
        <v>0</v>
      </c>
      <c r="B12862" s="11" t="str">
        <f>IF(D12862&lt;&gt;"",IF(COUNTIF('USPTO TMs'!A:A,D12862)&gt;0,"Yes","No"),"")</f>
        <v/>
      </c>
      <c r="C12862" s="11"/>
      <c r="D12862" s="11"/>
      <c r="E12862" s="11"/>
      <c r="F12862" s="11"/>
      <c r="G12862" s="11"/>
      <c r="H12862" s="11"/>
      <c r="I12862" s="15"/>
    </row>
    <row r="12863" spans="1:9" ht="16.5">
      <c r="A12863" s="10" t="b">
        <v>0</v>
      </c>
      <c r="B12863" s="11" t="str">
        <f>IF(D12863&lt;&gt;"",IF(COUNTIF('USPTO TMs'!A:A,D12863)&gt;0,"Yes","No"),"")</f>
        <v/>
      </c>
      <c r="C12863" s="11"/>
      <c r="D12863" s="11"/>
      <c r="E12863" s="11"/>
      <c r="F12863" s="11"/>
      <c r="G12863" s="11"/>
      <c r="H12863" s="11"/>
      <c r="I12863" s="15"/>
    </row>
    <row r="12864" spans="1:9" ht="16.5">
      <c r="A12864" s="10" t="b">
        <v>0</v>
      </c>
      <c r="B12864" s="11" t="str">
        <f>IF(D12864&lt;&gt;"",IF(COUNTIF('USPTO TMs'!A:A,D12864)&gt;0,"Yes","No"),"")</f>
        <v/>
      </c>
      <c r="C12864" s="11"/>
      <c r="D12864" s="11"/>
      <c r="E12864" s="11"/>
      <c r="F12864" s="11"/>
      <c r="G12864" s="11"/>
      <c r="H12864" s="11"/>
      <c r="I12864" s="15"/>
    </row>
    <row r="12865" spans="1:9" ht="16.5">
      <c r="A12865" s="10" t="b">
        <v>0</v>
      </c>
      <c r="B12865" s="11" t="str">
        <f>IF(D12865&lt;&gt;"",IF(COUNTIF('USPTO TMs'!A:A,D12865)&gt;0,"Yes","No"),"")</f>
        <v/>
      </c>
      <c r="C12865" s="11"/>
      <c r="D12865" s="11"/>
      <c r="E12865" s="11"/>
      <c r="F12865" s="11"/>
      <c r="G12865" s="11"/>
      <c r="H12865" s="11"/>
      <c r="I12865" s="15"/>
    </row>
    <row r="12866" spans="1:9" ht="16.5">
      <c r="A12866" s="10" t="b">
        <v>0</v>
      </c>
      <c r="B12866" s="11" t="str">
        <f>IF(D12866&lt;&gt;"",IF(COUNTIF('USPTO TMs'!A:A,D12866)&gt;0,"Yes","No"),"")</f>
        <v/>
      </c>
      <c r="C12866" s="11"/>
      <c r="D12866" s="11"/>
      <c r="E12866" s="11"/>
      <c r="F12866" s="11"/>
      <c r="G12866" s="11"/>
      <c r="H12866" s="11"/>
      <c r="I12866" s="15"/>
    </row>
    <row r="12867" spans="1:9" ht="16.5">
      <c r="A12867" s="10" t="b">
        <v>0</v>
      </c>
      <c r="B12867" s="11" t="str">
        <f>IF(D12867&lt;&gt;"",IF(COUNTIF('USPTO TMs'!A:A,D12867)&gt;0,"Yes","No"),"")</f>
        <v/>
      </c>
      <c r="C12867" s="11"/>
      <c r="D12867" s="11"/>
      <c r="E12867" s="11"/>
      <c r="F12867" s="11"/>
      <c r="G12867" s="11"/>
      <c r="H12867" s="11"/>
      <c r="I12867" s="15"/>
    </row>
    <row r="12868" spans="1:9" ht="16.5">
      <c r="A12868" s="10" t="b">
        <v>0</v>
      </c>
      <c r="B12868" s="11" t="str">
        <f>IF(D12868&lt;&gt;"",IF(COUNTIF('USPTO TMs'!A:A,D12868)&gt;0,"Yes","No"),"")</f>
        <v/>
      </c>
      <c r="C12868" s="11"/>
      <c r="D12868" s="11"/>
      <c r="E12868" s="11"/>
      <c r="F12868" s="11"/>
      <c r="G12868" s="11"/>
      <c r="H12868" s="11"/>
      <c r="I12868" s="15"/>
    </row>
    <row r="12869" spans="1:9" ht="16.5">
      <c r="A12869" s="10" t="b">
        <v>0</v>
      </c>
      <c r="B12869" s="11" t="str">
        <f>IF(D12869&lt;&gt;"",IF(COUNTIF('USPTO TMs'!A:A,D12869)&gt;0,"Yes","No"),"")</f>
        <v/>
      </c>
      <c r="C12869" s="11"/>
      <c r="D12869" s="11"/>
      <c r="E12869" s="11"/>
      <c r="F12869" s="11"/>
      <c r="G12869" s="11"/>
      <c r="H12869" s="11"/>
      <c r="I12869" s="15"/>
    </row>
    <row r="12870" spans="1:9" ht="16.5">
      <c r="A12870" s="10" t="b">
        <v>0</v>
      </c>
      <c r="B12870" s="11" t="str">
        <f>IF(D12870&lt;&gt;"",IF(COUNTIF('USPTO TMs'!A:A,D12870)&gt;0,"Yes","No"),"")</f>
        <v/>
      </c>
      <c r="C12870" s="11"/>
      <c r="D12870" s="11"/>
      <c r="E12870" s="11"/>
      <c r="F12870" s="11"/>
      <c r="G12870" s="11"/>
      <c r="H12870" s="11"/>
      <c r="I12870" s="15"/>
    </row>
    <row r="12871" spans="1:9" ht="16.5">
      <c r="A12871" s="10" t="b">
        <v>0</v>
      </c>
      <c r="B12871" s="11" t="str">
        <f>IF(D12871&lt;&gt;"",IF(COUNTIF('USPTO TMs'!A:A,D12871)&gt;0,"Yes","No"),"")</f>
        <v/>
      </c>
      <c r="C12871" s="11"/>
      <c r="D12871" s="11"/>
      <c r="E12871" s="11"/>
      <c r="F12871" s="11"/>
      <c r="G12871" s="11"/>
      <c r="H12871" s="11"/>
      <c r="I12871" s="15"/>
    </row>
    <row r="12872" spans="1:9" ht="16.5">
      <c r="A12872" s="10" t="b">
        <v>0</v>
      </c>
      <c r="B12872" s="11" t="str">
        <f>IF(D12872&lt;&gt;"",IF(COUNTIF('USPTO TMs'!A:A,D12872)&gt;0,"Yes","No"),"")</f>
        <v/>
      </c>
      <c r="C12872" s="11"/>
      <c r="D12872" s="11"/>
      <c r="E12872" s="11"/>
      <c r="F12872" s="11"/>
      <c r="G12872" s="11"/>
      <c r="H12872" s="11"/>
      <c r="I12872" s="15"/>
    </row>
    <row r="12873" spans="1:9" ht="16.5">
      <c r="A12873" s="10" t="b">
        <v>0</v>
      </c>
      <c r="B12873" s="11" t="str">
        <f>IF(D12873&lt;&gt;"",IF(COUNTIF('USPTO TMs'!A:A,D12873)&gt;0,"Yes","No"),"")</f>
        <v/>
      </c>
      <c r="C12873" s="11"/>
      <c r="D12873" s="11"/>
      <c r="E12873" s="11"/>
      <c r="F12873" s="11"/>
      <c r="G12873" s="11"/>
      <c r="H12873" s="11"/>
      <c r="I12873" s="15"/>
    </row>
    <row r="12874" spans="1:9" ht="16.5">
      <c r="A12874" s="10" t="b">
        <v>0</v>
      </c>
      <c r="B12874" s="11" t="str">
        <f>IF(D12874&lt;&gt;"",IF(COUNTIF('USPTO TMs'!A:A,D12874)&gt;0,"Yes","No"),"")</f>
        <v/>
      </c>
      <c r="C12874" s="11"/>
      <c r="D12874" s="11"/>
      <c r="E12874" s="11"/>
      <c r="F12874" s="11"/>
      <c r="G12874" s="11"/>
      <c r="H12874" s="11"/>
      <c r="I12874" s="15"/>
    </row>
    <row r="12875" spans="1:9" ht="16.5">
      <c r="A12875" s="10" t="b">
        <v>0</v>
      </c>
      <c r="B12875" s="11" t="str">
        <f>IF(D12875&lt;&gt;"",IF(COUNTIF('USPTO TMs'!A:A,D12875)&gt;0,"Yes","No"),"")</f>
        <v/>
      </c>
      <c r="C12875" s="11"/>
      <c r="D12875" s="11"/>
      <c r="E12875" s="11"/>
      <c r="F12875" s="11"/>
      <c r="G12875" s="11"/>
      <c r="H12875" s="11"/>
      <c r="I12875" s="15"/>
    </row>
    <row r="12876" spans="1:9" ht="16.5">
      <c r="A12876" s="10" t="b">
        <v>0</v>
      </c>
      <c r="B12876" s="11" t="str">
        <f>IF(D12876&lt;&gt;"",IF(COUNTIF('USPTO TMs'!A:A,D12876)&gt;0,"Yes","No"),"")</f>
        <v/>
      </c>
      <c r="C12876" s="11"/>
      <c r="D12876" s="11"/>
      <c r="E12876" s="11"/>
      <c r="F12876" s="11"/>
      <c r="G12876" s="11"/>
      <c r="H12876" s="11"/>
      <c r="I12876" s="15"/>
    </row>
    <row r="12877" spans="1:9" ht="16.5">
      <c r="A12877" s="10" t="b">
        <v>0</v>
      </c>
      <c r="B12877" s="11" t="str">
        <f>IF(D12877&lt;&gt;"",IF(COUNTIF('USPTO TMs'!A:A,D12877)&gt;0,"Yes","No"),"")</f>
        <v/>
      </c>
      <c r="C12877" s="11"/>
      <c r="D12877" s="11"/>
      <c r="E12877" s="11"/>
      <c r="F12877" s="11"/>
      <c r="G12877" s="11"/>
      <c r="H12877" s="11"/>
      <c r="I12877" s="15"/>
    </row>
    <row r="12878" spans="1:9" ht="16.5">
      <c r="A12878" s="10" t="b">
        <v>0</v>
      </c>
      <c r="B12878" s="11" t="str">
        <f>IF(D12878&lt;&gt;"",IF(COUNTIF('USPTO TMs'!A:A,D12878)&gt;0,"Yes","No"),"")</f>
        <v/>
      </c>
      <c r="C12878" s="11"/>
      <c r="D12878" s="11"/>
      <c r="E12878" s="11"/>
      <c r="F12878" s="11"/>
      <c r="G12878" s="11"/>
      <c r="H12878" s="11"/>
      <c r="I12878" s="15"/>
    </row>
    <row r="12879" spans="1:9" ht="16.5">
      <c r="A12879" s="10" t="b">
        <v>0</v>
      </c>
      <c r="B12879" s="11" t="str">
        <f>IF(D12879&lt;&gt;"",IF(COUNTIF('USPTO TMs'!A:A,D12879)&gt;0,"Yes","No"),"")</f>
        <v/>
      </c>
      <c r="C12879" s="11"/>
      <c r="D12879" s="11"/>
      <c r="E12879" s="11"/>
      <c r="F12879" s="11"/>
      <c r="G12879" s="11"/>
      <c r="H12879" s="11"/>
      <c r="I12879" s="15"/>
    </row>
    <row r="12880" spans="1:9" ht="16.5">
      <c r="A12880" s="10" t="b">
        <v>0</v>
      </c>
      <c r="B12880" s="11" t="str">
        <f>IF(D12880&lt;&gt;"",IF(COUNTIF('USPTO TMs'!A:A,D12880)&gt;0,"Yes","No"),"")</f>
        <v/>
      </c>
      <c r="C12880" s="11"/>
      <c r="D12880" s="11"/>
      <c r="E12880" s="11"/>
      <c r="F12880" s="11"/>
      <c r="G12880" s="11"/>
      <c r="H12880" s="11"/>
      <c r="I12880" s="15"/>
    </row>
    <row r="12881" spans="1:9" ht="16.5">
      <c r="A12881" s="10" t="b">
        <v>0</v>
      </c>
      <c r="B12881" s="11" t="str">
        <f>IF(D12881&lt;&gt;"",IF(COUNTIF('USPTO TMs'!A:A,D12881)&gt;0,"Yes","No"),"")</f>
        <v/>
      </c>
      <c r="C12881" s="11"/>
      <c r="D12881" s="11"/>
      <c r="E12881" s="11"/>
      <c r="F12881" s="11"/>
      <c r="G12881" s="11"/>
      <c r="H12881" s="11"/>
      <c r="I12881" s="15"/>
    </row>
    <row r="12882" spans="1:9" ht="16.5">
      <c r="A12882" s="10" t="b">
        <v>0</v>
      </c>
      <c r="B12882" s="11" t="str">
        <f>IF(D12882&lt;&gt;"",IF(COUNTIF('USPTO TMs'!A:A,D12882)&gt;0,"Yes","No"),"")</f>
        <v/>
      </c>
      <c r="C12882" s="11"/>
      <c r="D12882" s="11"/>
      <c r="E12882" s="11"/>
      <c r="F12882" s="11"/>
      <c r="G12882" s="11"/>
      <c r="H12882" s="11"/>
      <c r="I12882" s="15"/>
    </row>
    <row r="12883" spans="1:9" ht="16.5">
      <c r="A12883" s="10" t="b">
        <v>0</v>
      </c>
      <c r="B12883" s="11" t="str">
        <f>IF(D12883&lt;&gt;"",IF(COUNTIF('USPTO TMs'!A:A,D12883)&gt;0,"Yes","No"),"")</f>
        <v/>
      </c>
      <c r="C12883" s="11"/>
      <c r="D12883" s="11"/>
      <c r="E12883" s="11"/>
      <c r="F12883" s="11"/>
      <c r="G12883" s="11"/>
      <c r="H12883" s="11"/>
      <c r="I12883" s="15"/>
    </row>
    <row r="12884" spans="1:9" ht="16.5">
      <c r="A12884" s="10" t="b">
        <v>0</v>
      </c>
      <c r="B12884" s="11" t="str">
        <f>IF(D12884&lt;&gt;"",IF(COUNTIF('USPTO TMs'!A:A,D12884)&gt;0,"Yes","No"),"")</f>
        <v/>
      </c>
      <c r="C12884" s="11"/>
      <c r="D12884" s="11"/>
      <c r="E12884" s="11"/>
      <c r="F12884" s="11"/>
      <c r="G12884" s="11"/>
      <c r="H12884" s="11"/>
      <c r="I12884" s="15"/>
    </row>
    <row r="12885" spans="1:9" ht="16.5">
      <c r="A12885" s="10" t="b">
        <v>0</v>
      </c>
      <c r="B12885" s="11" t="str">
        <f>IF(D12885&lt;&gt;"",IF(COUNTIF('USPTO TMs'!A:A,D12885)&gt;0,"Yes","No"),"")</f>
        <v/>
      </c>
      <c r="C12885" s="11"/>
      <c r="D12885" s="11"/>
      <c r="E12885" s="11"/>
      <c r="F12885" s="11"/>
      <c r="G12885" s="11"/>
      <c r="H12885" s="11"/>
      <c r="I12885" s="15"/>
    </row>
    <row r="12886" spans="1:9" ht="16.5">
      <c r="A12886" s="10" t="b">
        <v>0</v>
      </c>
      <c r="B12886" s="11" t="str">
        <f>IF(D12886&lt;&gt;"",IF(COUNTIF('USPTO TMs'!A:A,D12886)&gt;0,"Yes","No"),"")</f>
        <v/>
      </c>
      <c r="C12886" s="11"/>
      <c r="D12886" s="11"/>
      <c r="E12886" s="11"/>
      <c r="F12886" s="11"/>
      <c r="G12886" s="11"/>
      <c r="H12886" s="11"/>
      <c r="I12886" s="15"/>
    </row>
    <row r="12887" spans="1:9" ht="16.5">
      <c r="A12887" s="10" t="b">
        <v>0</v>
      </c>
      <c r="B12887" s="11" t="str">
        <f>IF(D12887&lt;&gt;"",IF(COUNTIF('USPTO TMs'!A:A,D12887)&gt;0,"Yes","No"),"")</f>
        <v/>
      </c>
      <c r="C12887" s="11"/>
      <c r="D12887" s="11"/>
      <c r="E12887" s="11"/>
      <c r="F12887" s="11"/>
      <c r="G12887" s="11"/>
      <c r="H12887" s="11"/>
      <c r="I12887" s="15"/>
    </row>
    <row r="12888" spans="1:9" ht="16.5">
      <c r="A12888" s="10" t="b">
        <v>0</v>
      </c>
      <c r="B12888" s="11" t="str">
        <f>IF(D12888&lt;&gt;"",IF(COUNTIF('USPTO TMs'!A:A,D12888)&gt;0,"Yes","No"),"")</f>
        <v/>
      </c>
      <c r="C12888" s="11"/>
      <c r="D12888" s="11"/>
      <c r="E12888" s="11"/>
      <c r="F12888" s="11"/>
      <c r="G12888" s="11"/>
      <c r="H12888" s="11"/>
      <c r="I12888" s="15"/>
    </row>
    <row r="12889" spans="1:9" ht="16.5">
      <c r="A12889" s="10" t="b">
        <v>0</v>
      </c>
      <c r="B12889" s="11" t="str">
        <f>IF(D12889&lt;&gt;"",IF(COUNTIF('USPTO TMs'!A:A,D12889)&gt;0,"Yes","No"),"")</f>
        <v/>
      </c>
      <c r="C12889" s="11"/>
      <c r="D12889" s="11"/>
      <c r="E12889" s="11"/>
      <c r="F12889" s="11"/>
      <c r="G12889" s="11"/>
      <c r="H12889" s="11"/>
      <c r="I12889" s="15"/>
    </row>
    <row r="12890" spans="1:9" ht="16.5">
      <c r="A12890" s="10" t="b">
        <v>0</v>
      </c>
      <c r="B12890" s="11" t="str">
        <f>IF(D12890&lt;&gt;"",IF(COUNTIF('USPTO TMs'!A:A,D12890)&gt;0,"Yes","No"),"")</f>
        <v/>
      </c>
      <c r="C12890" s="11"/>
      <c r="D12890" s="11"/>
      <c r="E12890" s="11"/>
      <c r="F12890" s="11"/>
      <c r="G12890" s="11"/>
      <c r="H12890" s="11"/>
      <c r="I12890" s="15"/>
    </row>
    <row r="12891" spans="1:9" ht="16.5">
      <c r="A12891" s="10" t="b">
        <v>0</v>
      </c>
      <c r="B12891" s="11" t="str">
        <f>IF(D12891&lt;&gt;"",IF(COUNTIF('USPTO TMs'!A:A,D12891)&gt;0,"Yes","No"),"")</f>
        <v/>
      </c>
      <c r="C12891" s="11"/>
      <c r="D12891" s="11"/>
      <c r="E12891" s="11"/>
      <c r="F12891" s="11"/>
      <c r="G12891" s="11"/>
      <c r="H12891" s="11"/>
      <c r="I12891" s="15"/>
    </row>
    <row r="12892" spans="1:9" ht="16.5">
      <c r="A12892" s="10" t="b">
        <v>0</v>
      </c>
      <c r="B12892" s="11" t="str">
        <f>IF(D12892&lt;&gt;"",IF(COUNTIF('USPTO TMs'!A:A,D12892)&gt;0,"Yes","No"),"")</f>
        <v/>
      </c>
      <c r="C12892" s="11"/>
      <c r="D12892" s="11"/>
      <c r="E12892" s="11"/>
      <c r="F12892" s="11"/>
      <c r="G12892" s="11"/>
      <c r="H12892" s="11"/>
      <c r="I12892" s="15"/>
    </row>
    <row r="12893" spans="1:9" ht="16.5">
      <c r="A12893" s="10" t="b">
        <v>0</v>
      </c>
      <c r="B12893" s="11" t="str">
        <f>IF(D12893&lt;&gt;"",IF(COUNTIF('USPTO TMs'!A:A,D12893)&gt;0,"Yes","No"),"")</f>
        <v/>
      </c>
      <c r="C12893" s="11"/>
      <c r="D12893" s="11"/>
      <c r="E12893" s="11"/>
      <c r="F12893" s="11"/>
      <c r="G12893" s="11"/>
      <c r="H12893" s="11"/>
      <c r="I12893" s="15"/>
    </row>
    <row r="12894" spans="1:9" ht="16.5">
      <c r="A12894" s="10" t="b">
        <v>0</v>
      </c>
      <c r="B12894" s="11" t="str">
        <f>IF(D12894&lt;&gt;"",IF(COUNTIF('USPTO TMs'!A:A,D12894)&gt;0,"Yes","No"),"")</f>
        <v/>
      </c>
      <c r="C12894" s="11"/>
      <c r="D12894" s="11"/>
      <c r="E12894" s="11"/>
      <c r="F12894" s="11"/>
      <c r="G12894" s="11"/>
      <c r="H12894" s="11"/>
      <c r="I12894" s="15"/>
    </row>
    <row r="12895" spans="1:9" ht="16.5">
      <c r="A12895" s="10" t="b">
        <v>0</v>
      </c>
      <c r="B12895" s="11" t="str">
        <f>IF(D12895&lt;&gt;"",IF(COUNTIF('USPTO TMs'!A:A,D12895)&gt;0,"Yes","No"),"")</f>
        <v/>
      </c>
      <c r="C12895" s="11"/>
      <c r="D12895" s="11"/>
      <c r="E12895" s="11"/>
      <c r="F12895" s="11"/>
      <c r="G12895" s="11"/>
      <c r="H12895" s="11"/>
      <c r="I12895" s="15"/>
    </row>
    <row r="12896" spans="1:9" ht="16.5">
      <c r="A12896" s="10" t="b">
        <v>0</v>
      </c>
      <c r="B12896" s="11" t="str">
        <f>IF(D12896&lt;&gt;"",IF(COUNTIF('USPTO TMs'!A:A,D12896)&gt;0,"Yes","No"),"")</f>
        <v/>
      </c>
      <c r="C12896" s="11"/>
      <c r="D12896" s="11"/>
      <c r="E12896" s="11"/>
      <c r="F12896" s="11"/>
      <c r="G12896" s="11"/>
      <c r="H12896" s="11"/>
      <c r="I12896" s="15"/>
    </row>
    <row r="12897" spans="1:9" ht="16.5">
      <c r="A12897" s="10" t="b">
        <v>0</v>
      </c>
      <c r="B12897" s="11" t="str">
        <f>IF(D12897&lt;&gt;"",IF(COUNTIF('USPTO TMs'!A:A,D12897)&gt;0,"Yes","No"),"")</f>
        <v/>
      </c>
      <c r="C12897" s="11"/>
      <c r="D12897" s="11"/>
      <c r="E12897" s="11"/>
      <c r="F12897" s="11"/>
      <c r="G12897" s="11"/>
      <c r="H12897" s="11"/>
      <c r="I12897" s="15"/>
    </row>
    <row r="12898" spans="1:9" ht="16.5">
      <c r="A12898" s="10" t="b">
        <v>0</v>
      </c>
      <c r="B12898" s="11" t="str">
        <f>IF(D12898&lt;&gt;"",IF(COUNTIF('USPTO TMs'!A:A,D12898)&gt;0,"Yes","No"),"")</f>
        <v/>
      </c>
      <c r="C12898" s="11"/>
      <c r="D12898" s="11"/>
      <c r="E12898" s="11"/>
      <c r="F12898" s="11"/>
      <c r="G12898" s="11"/>
      <c r="H12898" s="11"/>
      <c r="I12898" s="15"/>
    </row>
    <row r="12899" spans="1:9" ht="16.5">
      <c r="A12899" s="10" t="b">
        <v>0</v>
      </c>
      <c r="B12899" s="11" t="str">
        <f>IF(D12899&lt;&gt;"",IF(COUNTIF('USPTO TMs'!A:A,D12899)&gt;0,"Yes","No"),"")</f>
        <v/>
      </c>
      <c r="C12899" s="11"/>
      <c r="D12899" s="11"/>
      <c r="E12899" s="11"/>
      <c r="F12899" s="11"/>
      <c r="G12899" s="11"/>
      <c r="H12899" s="11"/>
      <c r="I12899" s="15"/>
    </row>
    <row r="12900" spans="1:9" ht="16.5">
      <c r="A12900" s="10" t="b">
        <v>0</v>
      </c>
      <c r="B12900" s="11" t="str">
        <f>IF(D12900&lt;&gt;"",IF(COUNTIF('USPTO TMs'!A:A,D12900)&gt;0,"Yes","No"),"")</f>
        <v/>
      </c>
      <c r="C12900" s="11"/>
      <c r="D12900" s="11"/>
      <c r="E12900" s="11"/>
      <c r="F12900" s="11"/>
      <c r="G12900" s="11"/>
      <c r="H12900" s="11"/>
      <c r="I12900" s="15"/>
    </row>
    <row r="12901" spans="1:9" ht="16.5">
      <c r="A12901" s="10" t="b">
        <v>0</v>
      </c>
      <c r="B12901" s="11" t="str">
        <f>IF(D12901&lt;&gt;"",IF(COUNTIF('USPTO TMs'!A:A,D12901)&gt;0,"Yes","No"),"")</f>
        <v/>
      </c>
      <c r="C12901" s="11"/>
      <c r="D12901" s="11"/>
      <c r="E12901" s="11"/>
      <c r="F12901" s="11"/>
      <c r="G12901" s="11"/>
      <c r="H12901" s="11"/>
      <c r="I12901" s="15"/>
    </row>
    <row r="12902" spans="1:9" ht="16.5">
      <c r="A12902" s="10" t="b">
        <v>0</v>
      </c>
      <c r="B12902" s="11" t="str">
        <f>IF(D12902&lt;&gt;"",IF(COUNTIF('USPTO TMs'!A:A,D12902)&gt;0,"Yes","No"),"")</f>
        <v/>
      </c>
      <c r="C12902" s="11"/>
      <c r="D12902" s="11"/>
      <c r="E12902" s="11"/>
      <c r="F12902" s="11"/>
      <c r="G12902" s="11"/>
      <c r="H12902" s="11"/>
      <c r="I12902" s="15"/>
    </row>
    <row r="12903" spans="1:9" ht="16.5">
      <c r="A12903" s="10" t="b">
        <v>0</v>
      </c>
      <c r="B12903" s="11" t="str">
        <f>IF(D12903&lt;&gt;"",IF(COUNTIF('USPTO TMs'!A:A,D12903)&gt;0,"Yes","No"),"")</f>
        <v/>
      </c>
      <c r="C12903" s="11"/>
      <c r="D12903" s="11"/>
      <c r="E12903" s="11"/>
      <c r="F12903" s="11"/>
      <c r="G12903" s="11"/>
      <c r="H12903" s="11"/>
      <c r="I12903" s="15"/>
    </row>
    <row r="12904" spans="1:9" ht="16.5">
      <c r="A12904" s="10" t="b">
        <v>0</v>
      </c>
      <c r="B12904" s="11" t="str">
        <f>IF(D12904&lt;&gt;"",IF(COUNTIF('USPTO TMs'!A:A,D12904)&gt;0,"Yes","No"),"")</f>
        <v/>
      </c>
      <c r="C12904" s="11"/>
      <c r="D12904" s="11"/>
      <c r="E12904" s="11"/>
      <c r="F12904" s="11"/>
      <c r="G12904" s="11"/>
      <c r="H12904" s="11"/>
      <c r="I12904" s="15"/>
    </row>
    <row r="12905" spans="1:9" ht="16.5">
      <c r="A12905" s="10" t="b">
        <v>0</v>
      </c>
      <c r="B12905" s="11" t="str">
        <f>IF(D12905&lt;&gt;"",IF(COUNTIF('USPTO TMs'!A:A,D12905)&gt;0,"Yes","No"),"")</f>
        <v/>
      </c>
      <c r="C12905" s="11"/>
      <c r="D12905" s="11"/>
      <c r="E12905" s="11"/>
      <c r="F12905" s="11"/>
      <c r="G12905" s="11"/>
      <c r="H12905" s="11"/>
      <c r="I12905" s="15"/>
    </row>
    <row r="12906" spans="1:9" ht="16.5">
      <c r="A12906" s="10" t="b">
        <v>0</v>
      </c>
      <c r="B12906" s="11" t="str">
        <f>IF(D12906&lt;&gt;"",IF(COUNTIF('USPTO TMs'!A:A,D12906)&gt;0,"Yes","No"),"")</f>
        <v/>
      </c>
      <c r="C12906" s="11"/>
      <c r="D12906" s="11"/>
      <c r="E12906" s="11"/>
      <c r="F12906" s="11"/>
      <c r="G12906" s="11"/>
      <c r="H12906" s="11"/>
      <c r="I12906" s="15"/>
    </row>
    <row r="12907" spans="1:9" ht="16.5">
      <c r="A12907" s="10" t="b">
        <v>0</v>
      </c>
      <c r="B12907" s="11" t="str">
        <f>IF(D12907&lt;&gt;"",IF(COUNTIF('USPTO TMs'!A:A,D12907)&gt;0,"Yes","No"),"")</f>
        <v/>
      </c>
      <c r="C12907" s="11"/>
      <c r="D12907" s="11"/>
      <c r="E12907" s="11"/>
      <c r="F12907" s="11"/>
      <c r="G12907" s="11"/>
      <c r="H12907" s="11"/>
      <c r="I12907" s="15"/>
    </row>
    <row r="12908" spans="1:9" ht="16.5">
      <c r="A12908" s="10" t="b">
        <v>0</v>
      </c>
      <c r="B12908" s="11" t="str">
        <f>IF(D12908&lt;&gt;"",IF(COUNTIF('USPTO TMs'!A:A,D12908)&gt;0,"Yes","No"),"")</f>
        <v/>
      </c>
      <c r="C12908" s="11"/>
      <c r="D12908" s="11"/>
      <c r="E12908" s="11"/>
      <c r="F12908" s="11"/>
      <c r="G12908" s="11"/>
      <c r="H12908" s="11"/>
      <c r="I12908" s="15"/>
    </row>
    <row r="12909" spans="1:9" ht="16.5">
      <c r="A12909" s="10" t="b">
        <v>0</v>
      </c>
      <c r="B12909" s="11" t="str">
        <f>IF(D12909&lt;&gt;"",IF(COUNTIF('USPTO TMs'!A:A,D12909)&gt;0,"Yes","No"),"")</f>
        <v/>
      </c>
      <c r="C12909" s="11"/>
      <c r="D12909" s="11"/>
      <c r="E12909" s="11"/>
      <c r="F12909" s="11"/>
      <c r="G12909" s="11"/>
      <c r="H12909" s="11"/>
      <c r="I12909" s="15"/>
    </row>
    <row r="12910" spans="1:9" ht="16.5">
      <c r="A12910" s="10" t="b">
        <v>0</v>
      </c>
      <c r="B12910" s="11" t="str">
        <f>IF(D12910&lt;&gt;"",IF(COUNTIF('USPTO TMs'!A:A,D12910)&gt;0,"Yes","No"),"")</f>
        <v/>
      </c>
      <c r="C12910" s="11"/>
      <c r="D12910" s="11"/>
      <c r="E12910" s="11"/>
      <c r="F12910" s="11"/>
      <c r="G12910" s="11"/>
      <c r="H12910" s="11"/>
      <c r="I12910" s="15"/>
    </row>
    <row r="12911" spans="1:9" ht="16.5">
      <c r="A12911" s="10" t="b">
        <v>0</v>
      </c>
      <c r="B12911" s="11" t="str">
        <f>IF(D12911&lt;&gt;"",IF(COUNTIF('USPTO TMs'!A:A,D12911)&gt;0,"Yes","No"),"")</f>
        <v/>
      </c>
      <c r="C12911" s="11"/>
      <c r="D12911" s="11"/>
      <c r="E12911" s="11"/>
      <c r="F12911" s="11"/>
      <c r="G12911" s="11"/>
      <c r="H12911" s="11"/>
      <c r="I12911" s="15"/>
    </row>
    <row r="12912" spans="1:9" ht="16.5">
      <c r="A12912" s="10" t="b">
        <v>0</v>
      </c>
      <c r="B12912" s="11" t="str">
        <f>IF(D12912&lt;&gt;"",IF(COUNTIF('USPTO TMs'!A:A,D12912)&gt;0,"Yes","No"),"")</f>
        <v/>
      </c>
      <c r="C12912" s="11"/>
      <c r="D12912" s="11"/>
      <c r="E12912" s="11"/>
      <c r="F12912" s="11"/>
      <c r="G12912" s="11"/>
      <c r="H12912" s="11"/>
      <c r="I12912" s="15"/>
    </row>
    <row r="12913" spans="1:9" ht="16.5">
      <c r="A12913" s="10" t="b">
        <v>0</v>
      </c>
      <c r="B12913" s="11" t="str">
        <f>IF(D12913&lt;&gt;"",IF(COUNTIF('USPTO TMs'!A:A,D12913)&gt;0,"Yes","No"),"")</f>
        <v/>
      </c>
      <c r="C12913" s="11"/>
      <c r="D12913" s="11"/>
      <c r="E12913" s="11"/>
      <c r="F12913" s="11"/>
      <c r="G12913" s="11"/>
      <c r="H12913" s="11"/>
      <c r="I12913" s="15"/>
    </row>
    <row r="12914" spans="1:9" ht="16.5">
      <c r="A12914" s="10" t="b">
        <v>0</v>
      </c>
      <c r="B12914" s="11" t="str">
        <f>IF(D12914&lt;&gt;"",IF(COUNTIF('USPTO TMs'!A:A,D12914)&gt;0,"Yes","No"),"")</f>
        <v/>
      </c>
      <c r="C12914" s="11"/>
      <c r="D12914" s="11"/>
      <c r="E12914" s="11"/>
      <c r="F12914" s="11"/>
      <c r="G12914" s="11"/>
      <c r="H12914" s="11"/>
      <c r="I12914" s="15"/>
    </row>
    <row r="12915" spans="1:9" ht="16.5">
      <c r="A12915" s="10" t="b">
        <v>0</v>
      </c>
      <c r="B12915" s="11" t="str">
        <f>IF(D12915&lt;&gt;"",IF(COUNTIF('USPTO TMs'!A:A,D12915)&gt;0,"Yes","No"),"")</f>
        <v/>
      </c>
      <c r="C12915" s="11"/>
      <c r="D12915" s="11"/>
      <c r="E12915" s="11"/>
      <c r="F12915" s="11"/>
      <c r="G12915" s="11"/>
      <c r="H12915" s="11"/>
      <c r="I12915" s="15"/>
    </row>
    <row r="12916" spans="1:9" ht="16.5">
      <c r="A12916" s="10" t="b">
        <v>0</v>
      </c>
      <c r="B12916" s="11" t="str">
        <f>IF(D12916&lt;&gt;"",IF(COUNTIF('USPTO TMs'!A:A,D12916)&gt;0,"Yes","No"),"")</f>
        <v/>
      </c>
      <c r="C12916" s="11"/>
      <c r="D12916" s="11"/>
      <c r="E12916" s="11"/>
      <c r="F12916" s="11"/>
      <c r="G12916" s="11"/>
      <c r="H12916" s="11"/>
      <c r="I12916" s="15"/>
    </row>
    <row r="12917" spans="1:9" ht="16.5">
      <c r="A12917" s="10" t="b">
        <v>0</v>
      </c>
      <c r="B12917" s="11" t="str">
        <f>IF(D12917&lt;&gt;"",IF(COUNTIF('USPTO TMs'!A:A,D12917)&gt;0,"Yes","No"),"")</f>
        <v/>
      </c>
      <c r="C12917" s="11"/>
      <c r="D12917" s="11"/>
      <c r="E12917" s="11"/>
      <c r="F12917" s="11"/>
      <c r="G12917" s="11"/>
      <c r="H12917" s="11"/>
      <c r="I12917" s="15"/>
    </row>
    <row r="12918" spans="1:9" ht="16.5">
      <c r="A12918" s="10" t="b">
        <v>0</v>
      </c>
      <c r="B12918" s="11" t="str">
        <f>IF(D12918&lt;&gt;"",IF(COUNTIF('USPTO TMs'!A:A,D12918)&gt;0,"Yes","No"),"")</f>
        <v/>
      </c>
      <c r="C12918" s="11"/>
      <c r="D12918" s="11"/>
      <c r="E12918" s="11"/>
      <c r="F12918" s="11"/>
      <c r="G12918" s="11"/>
      <c r="H12918" s="11"/>
      <c r="I12918" s="15"/>
    </row>
    <row r="12919" spans="1:9" ht="16.5">
      <c r="A12919" s="10" t="b">
        <v>0</v>
      </c>
      <c r="B12919" s="11" t="str">
        <f>IF(D12919&lt;&gt;"",IF(COUNTIF('USPTO TMs'!A:A,D12919)&gt;0,"Yes","No"),"")</f>
        <v/>
      </c>
      <c r="C12919" s="11"/>
      <c r="D12919" s="11"/>
      <c r="E12919" s="11"/>
      <c r="F12919" s="11"/>
      <c r="G12919" s="11"/>
      <c r="H12919" s="11"/>
      <c r="I12919" s="15"/>
    </row>
    <row r="12920" spans="1:9" ht="16.5">
      <c r="A12920" s="10" t="b">
        <v>0</v>
      </c>
      <c r="B12920" s="11" t="str">
        <f>IF(D12920&lt;&gt;"",IF(COUNTIF('USPTO TMs'!A:A,D12920)&gt;0,"Yes","No"),"")</f>
        <v/>
      </c>
      <c r="C12920" s="11"/>
      <c r="D12920" s="11"/>
      <c r="E12920" s="11"/>
      <c r="F12920" s="11"/>
      <c r="G12920" s="11"/>
      <c r="H12920" s="11"/>
      <c r="I12920" s="15"/>
    </row>
    <row r="12921" spans="1:9" ht="16.5">
      <c r="A12921" s="10" t="b">
        <v>0</v>
      </c>
      <c r="B12921" s="11" t="str">
        <f>IF(D12921&lt;&gt;"",IF(COUNTIF('USPTO TMs'!A:A,D12921)&gt;0,"Yes","No"),"")</f>
        <v/>
      </c>
      <c r="C12921" s="11"/>
      <c r="D12921" s="11"/>
      <c r="E12921" s="11"/>
      <c r="F12921" s="11"/>
      <c r="G12921" s="11"/>
      <c r="H12921" s="11"/>
      <c r="I12921" s="15"/>
    </row>
    <row r="12922" spans="1:9" ht="16.5">
      <c r="A12922" s="10" t="b">
        <v>0</v>
      </c>
      <c r="B12922" s="11" t="str">
        <f>IF(D12922&lt;&gt;"",IF(COUNTIF('USPTO TMs'!A:A,D12922)&gt;0,"Yes","No"),"")</f>
        <v/>
      </c>
      <c r="C12922" s="11"/>
      <c r="D12922" s="11"/>
      <c r="E12922" s="11"/>
      <c r="F12922" s="11"/>
      <c r="G12922" s="11"/>
      <c r="H12922" s="11"/>
      <c r="I12922" s="15"/>
    </row>
    <row r="12923" spans="1:9" ht="16.5">
      <c r="A12923" s="10" t="b">
        <v>0</v>
      </c>
      <c r="B12923" s="11" t="str">
        <f>IF(D12923&lt;&gt;"",IF(COUNTIF('USPTO TMs'!A:A,D12923)&gt;0,"Yes","No"),"")</f>
        <v/>
      </c>
      <c r="C12923" s="11"/>
      <c r="D12923" s="11"/>
      <c r="E12923" s="11"/>
      <c r="F12923" s="11"/>
      <c r="G12923" s="11"/>
      <c r="H12923" s="11"/>
      <c r="I12923" s="15"/>
    </row>
    <row r="12924" spans="1:9" ht="16.5">
      <c r="A12924" s="10" t="b">
        <v>0</v>
      </c>
      <c r="B12924" s="11" t="str">
        <f>IF(D12924&lt;&gt;"",IF(COUNTIF('USPTO TMs'!A:A,D12924)&gt;0,"Yes","No"),"")</f>
        <v/>
      </c>
      <c r="C12924" s="11"/>
      <c r="D12924" s="11"/>
      <c r="E12924" s="11"/>
      <c r="F12924" s="11"/>
      <c r="G12924" s="11"/>
      <c r="H12924" s="11"/>
      <c r="I12924" s="15"/>
    </row>
    <row r="12925" spans="1:9" ht="16.5">
      <c r="A12925" s="10" t="b">
        <v>0</v>
      </c>
      <c r="B12925" s="11" t="str">
        <f>IF(D12925&lt;&gt;"",IF(COUNTIF('USPTO TMs'!A:A,D12925)&gt;0,"Yes","No"),"")</f>
        <v/>
      </c>
      <c r="C12925" s="11"/>
      <c r="D12925" s="11"/>
      <c r="E12925" s="11"/>
      <c r="F12925" s="11"/>
      <c r="G12925" s="11"/>
      <c r="H12925" s="11"/>
      <c r="I12925" s="15"/>
    </row>
    <row r="12926" spans="1:9" ht="16.5">
      <c r="A12926" s="10" t="b">
        <v>0</v>
      </c>
      <c r="B12926" s="11" t="str">
        <f>IF(D12926&lt;&gt;"",IF(COUNTIF('USPTO TMs'!A:A,D12926)&gt;0,"Yes","No"),"")</f>
        <v/>
      </c>
      <c r="C12926" s="11"/>
      <c r="D12926" s="11"/>
      <c r="E12926" s="11"/>
      <c r="F12926" s="11"/>
      <c r="G12926" s="11"/>
      <c r="H12926" s="11"/>
      <c r="I12926" s="15"/>
    </row>
    <row r="12927" spans="1:9" ht="16.5">
      <c r="A12927" s="10" t="b">
        <v>0</v>
      </c>
      <c r="B12927" s="11" t="str">
        <f>IF(D12927&lt;&gt;"",IF(COUNTIF('USPTO TMs'!A:A,D12927)&gt;0,"Yes","No"),"")</f>
        <v/>
      </c>
      <c r="C12927" s="11"/>
      <c r="D12927" s="11"/>
      <c r="E12927" s="11"/>
      <c r="F12927" s="11"/>
      <c r="G12927" s="11"/>
      <c r="H12927" s="11"/>
      <c r="I12927" s="15"/>
    </row>
    <row r="12928" spans="1:9" ht="16.5">
      <c r="A12928" s="10" t="b">
        <v>0</v>
      </c>
      <c r="B12928" s="11" t="str">
        <f>IF(D12928&lt;&gt;"",IF(COUNTIF('USPTO TMs'!A:A,D12928)&gt;0,"Yes","No"),"")</f>
        <v/>
      </c>
      <c r="C12928" s="11"/>
      <c r="D12928" s="11"/>
      <c r="E12928" s="11"/>
      <c r="F12928" s="11"/>
      <c r="G12928" s="11"/>
      <c r="H12928" s="11"/>
      <c r="I12928" s="15"/>
    </row>
    <row r="12929" spans="1:9" ht="16.5">
      <c r="A12929" s="10" t="b">
        <v>0</v>
      </c>
      <c r="B12929" s="11" t="str">
        <f>IF(D12929&lt;&gt;"",IF(COUNTIF('USPTO TMs'!A:A,D12929)&gt;0,"Yes","No"),"")</f>
        <v/>
      </c>
      <c r="C12929" s="11"/>
      <c r="D12929" s="11"/>
      <c r="E12929" s="11"/>
      <c r="F12929" s="11"/>
      <c r="G12929" s="11"/>
      <c r="H12929" s="11"/>
      <c r="I12929" s="15"/>
    </row>
    <row r="12930" spans="1:9" ht="16.5">
      <c r="A12930" s="10" t="b">
        <v>0</v>
      </c>
      <c r="B12930" s="11" t="str">
        <f>IF(D12930&lt;&gt;"",IF(COUNTIF('USPTO TMs'!A:A,D12930)&gt;0,"Yes","No"),"")</f>
        <v/>
      </c>
      <c r="C12930" s="11"/>
      <c r="D12930" s="11"/>
      <c r="E12930" s="11"/>
      <c r="F12930" s="11"/>
      <c r="G12930" s="11"/>
      <c r="H12930" s="11"/>
      <c r="I12930" s="15"/>
    </row>
    <row r="12931" spans="1:9" ht="16.5">
      <c r="A12931" s="10" t="b">
        <v>0</v>
      </c>
      <c r="B12931" s="11" t="str">
        <f>IF(D12931&lt;&gt;"",IF(COUNTIF('USPTO TMs'!A:A,D12931)&gt;0,"Yes","No"),"")</f>
        <v/>
      </c>
      <c r="C12931" s="11"/>
      <c r="D12931" s="11"/>
      <c r="E12931" s="11"/>
      <c r="F12931" s="11"/>
      <c r="G12931" s="11"/>
      <c r="H12931" s="11"/>
      <c r="I12931" s="15"/>
    </row>
    <row r="12932" spans="1:9" ht="16.5">
      <c r="A12932" s="10" t="b">
        <v>0</v>
      </c>
      <c r="B12932" s="11" t="str">
        <f>IF(D12932&lt;&gt;"",IF(COUNTIF('USPTO TMs'!A:A,D12932)&gt;0,"Yes","No"),"")</f>
        <v/>
      </c>
      <c r="C12932" s="11"/>
      <c r="D12932" s="11"/>
      <c r="E12932" s="11"/>
      <c r="F12932" s="11"/>
      <c r="G12932" s="11"/>
      <c r="H12932" s="11"/>
      <c r="I12932" s="15"/>
    </row>
    <row r="12933" spans="1:9" ht="16.5">
      <c r="A12933" s="10" t="b">
        <v>0</v>
      </c>
      <c r="B12933" s="11" t="str">
        <f>IF(D12933&lt;&gt;"",IF(COUNTIF('USPTO TMs'!A:A,D12933)&gt;0,"Yes","No"),"")</f>
        <v/>
      </c>
      <c r="C12933" s="11"/>
      <c r="D12933" s="11"/>
      <c r="E12933" s="11"/>
      <c r="F12933" s="11"/>
      <c r="G12933" s="11"/>
      <c r="H12933" s="11"/>
      <c r="I12933" s="15"/>
    </row>
    <row r="12934" spans="1:9" ht="16.5">
      <c r="A12934" s="10" t="b">
        <v>0</v>
      </c>
      <c r="B12934" s="11" t="str">
        <f>IF(D12934&lt;&gt;"",IF(COUNTIF('USPTO TMs'!A:A,D12934)&gt;0,"Yes","No"),"")</f>
        <v/>
      </c>
      <c r="C12934" s="11"/>
      <c r="D12934" s="11"/>
      <c r="E12934" s="11"/>
      <c r="F12934" s="11"/>
      <c r="G12934" s="11"/>
      <c r="H12934" s="11"/>
      <c r="I12934" s="15"/>
    </row>
    <row r="12935" spans="1:9" ht="16.5">
      <c r="A12935" s="10" t="b">
        <v>0</v>
      </c>
      <c r="B12935" s="11" t="str">
        <f>IF(D12935&lt;&gt;"",IF(COUNTIF('USPTO TMs'!A:A,D12935)&gt;0,"Yes","No"),"")</f>
        <v/>
      </c>
      <c r="C12935" s="11"/>
      <c r="D12935" s="11"/>
      <c r="E12935" s="11"/>
      <c r="F12935" s="11"/>
      <c r="G12935" s="11"/>
      <c r="H12935" s="11"/>
      <c r="I12935" s="15"/>
    </row>
    <row r="12936" spans="1:9" ht="16.5">
      <c r="A12936" s="10" t="b">
        <v>0</v>
      </c>
      <c r="B12936" s="11" t="str">
        <f>IF(D12936&lt;&gt;"",IF(COUNTIF('USPTO TMs'!A:A,D12936)&gt;0,"Yes","No"),"")</f>
        <v/>
      </c>
      <c r="C12936" s="11"/>
      <c r="D12936" s="11"/>
      <c r="E12936" s="11"/>
      <c r="F12936" s="11"/>
      <c r="G12936" s="11"/>
      <c r="H12936" s="11"/>
      <c r="I12936" s="15"/>
    </row>
    <row r="12937" spans="1:9" ht="16.5">
      <c r="A12937" s="10" t="b">
        <v>0</v>
      </c>
      <c r="B12937" s="11" t="str">
        <f>IF(D12937&lt;&gt;"",IF(COUNTIF('USPTO TMs'!A:A,D12937)&gt;0,"Yes","No"),"")</f>
        <v/>
      </c>
      <c r="C12937" s="11"/>
      <c r="D12937" s="11"/>
      <c r="E12937" s="11"/>
      <c r="F12937" s="11"/>
      <c r="G12937" s="11"/>
      <c r="H12937" s="11"/>
      <c r="I12937" s="15"/>
    </row>
    <row r="12938" spans="1:9" ht="16.5">
      <c r="A12938" s="10" t="b">
        <v>0</v>
      </c>
      <c r="B12938" s="11" t="str">
        <f>IF(D12938&lt;&gt;"",IF(COUNTIF('USPTO TMs'!A:A,D12938)&gt;0,"Yes","No"),"")</f>
        <v/>
      </c>
      <c r="C12938" s="11"/>
      <c r="D12938" s="11"/>
      <c r="E12938" s="11"/>
      <c r="F12938" s="11"/>
      <c r="G12938" s="11"/>
      <c r="H12938" s="11"/>
      <c r="I12938" s="15"/>
    </row>
    <row r="12939" spans="1:9" ht="16.5">
      <c r="A12939" s="10" t="b">
        <v>0</v>
      </c>
      <c r="B12939" s="11" t="str">
        <f>IF(D12939&lt;&gt;"",IF(COUNTIF('USPTO TMs'!A:A,D12939)&gt;0,"Yes","No"),"")</f>
        <v/>
      </c>
      <c r="C12939" s="11"/>
      <c r="D12939" s="11"/>
      <c r="E12939" s="11"/>
      <c r="F12939" s="11"/>
      <c r="G12939" s="11"/>
      <c r="H12939" s="11"/>
      <c r="I12939" s="15"/>
    </row>
    <row r="12940" spans="1:9" ht="16.5">
      <c r="A12940" s="10" t="b">
        <v>0</v>
      </c>
      <c r="B12940" s="11" t="str">
        <f>IF(D12940&lt;&gt;"",IF(COUNTIF('USPTO TMs'!A:A,D12940)&gt;0,"Yes","No"),"")</f>
        <v/>
      </c>
      <c r="C12940" s="11"/>
      <c r="D12940" s="11"/>
      <c r="E12940" s="11"/>
      <c r="F12940" s="11"/>
      <c r="G12940" s="11"/>
      <c r="H12940" s="11"/>
      <c r="I12940" s="15"/>
    </row>
    <row r="12941" spans="1:9" ht="16.5">
      <c r="A12941" s="10" t="b">
        <v>0</v>
      </c>
      <c r="B12941" s="11" t="str">
        <f>IF(D12941&lt;&gt;"",IF(COUNTIF('USPTO TMs'!A:A,D12941)&gt;0,"Yes","No"),"")</f>
        <v/>
      </c>
      <c r="C12941" s="11"/>
      <c r="D12941" s="11"/>
      <c r="E12941" s="11"/>
      <c r="F12941" s="11"/>
      <c r="G12941" s="11"/>
      <c r="H12941" s="11"/>
      <c r="I12941" s="15"/>
    </row>
    <row r="12942" spans="1:9" ht="16.5">
      <c r="A12942" s="10" t="b">
        <v>0</v>
      </c>
      <c r="B12942" s="11" t="str">
        <f>IF(D12942&lt;&gt;"",IF(COUNTIF('USPTO TMs'!A:A,D12942)&gt;0,"Yes","No"),"")</f>
        <v/>
      </c>
      <c r="C12942" s="11"/>
      <c r="D12942" s="11"/>
      <c r="E12942" s="11"/>
      <c r="F12942" s="11"/>
      <c r="G12942" s="11"/>
      <c r="H12942" s="11"/>
      <c r="I12942" s="15"/>
    </row>
    <row r="12943" spans="1:9" ht="16.5">
      <c r="A12943" s="10" t="b">
        <v>0</v>
      </c>
      <c r="B12943" s="11" t="str">
        <f>IF(D12943&lt;&gt;"",IF(COUNTIF('USPTO TMs'!A:A,D12943)&gt;0,"Yes","No"),"")</f>
        <v/>
      </c>
      <c r="C12943" s="11"/>
      <c r="D12943" s="11"/>
      <c r="E12943" s="11"/>
      <c r="F12943" s="11"/>
      <c r="G12943" s="11"/>
      <c r="H12943" s="11"/>
      <c r="I12943" s="15"/>
    </row>
    <row r="12944" spans="1:9" ht="16.5">
      <c r="A12944" s="10" t="b">
        <v>0</v>
      </c>
      <c r="B12944" s="11" t="str">
        <f>IF(D12944&lt;&gt;"",IF(COUNTIF('USPTO TMs'!A:A,D12944)&gt;0,"Yes","No"),"")</f>
        <v/>
      </c>
      <c r="C12944" s="11"/>
      <c r="D12944" s="11"/>
      <c r="E12944" s="11"/>
      <c r="F12944" s="11"/>
      <c r="G12944" s="11"/>
      <c r="H12944" s="11"/>
      <c r="I12944" s="15"/>
    </row>
    <row r="12945" spans="1:9" ht="16.5">
      <c r="A12945" s="10" t="b">
        <v>0</v>
      </c>
      <c r="B12945" s="11" t="str">
        <f>IF(D12945&lt;&gt;"",IF(COUNTIF('USPTO TMs'!A:A,D12945)&gt;0,"Yes","No"),"")</f>
        <v/>
      </c>
      <c r="C12945" s="11"/>
      <c r="D12945" s="11"/>
      <c r="E12945" s="11"/>
      <c r="F12945" s="11"/>
      <c r="G12945" s="11"/>
      <c r="H12945" s="11"/>
      <c r="I12945" s="15"/>
    </row>
    <row r="12946" spans="1:9" ht="16.5">
      <c r="A12946" s="10" t="b">
        <v>0</v>
      </c>
      <c r="B12946" s="11" t="str">
        <f>IF(D12946&lt;&gt;"",IF(COUNTIF('USPTO TMs'!A:A,D12946)&gt;0,"Yes","No"),"")</f>
        <v/>
      </c>
      <c r="C12946" s="11"/>
      <c r="D12946" s="11"/>
      <c r="E12946" s="11"/>
      <c r="F12946" s="11"/>
      <c r="G12946" s="11"/>
      <c r="H12946" s="11"/>
      <c r="I12946" s="15"/>
    </row>
    <row r="12947" spans="1:9" ht="16.5">
      <c r="A12947" s="10" t="b">
        <v>0</v>
      </c>
      <c r="B12947" s="11" t="str">
        <f>IF(D12947&lt;&gt;"",IF(COUNTIF('USPTO TMs'!A:A,D12947)&gt;0,"Yes","No"),"")</f>
        <v/>
      </c>
      <c r="C12947" s="11"/>
      <c r="D12947" s="11"/>
      <c r="E12947" s="11"/>
      <c r="F12947" s="11"/>
      <c r="G12947" s="11"/>
      <c r="H12947" s="11"/>
      <c r="I12947" s="15"/>
    </row>
    <row r="12948" spans="1:9" ht="16.5">
      <c r="A12948" s="10" t="b">
        <v>0</v>
      </c>
      <c r="B12948" s="11" t="str">
        <f>IF(D12948&lt;&gt;"",IF(COUNTIF('USPTO TMs'!A:A,D12948)&gt;0,"Yes","No"),"")</f>
        <v/>
      </c>
      <c r="C12948" s="11"/>
      <c r="D12948" s="11"/>
      <c r="E12948" s="11"/>
      <c r="F12948" s="11"/>
      <c r="G12948" s="11"/>
      <c r="H12948" s="11"/>
      <c r="I12948" s="15"/>
    </row>
    <row r="12949" spans="1:9" ht="16.5">
      <c r="A12949" s="10" t="b">
        <v>0</v>
      </c>
      <c r="B12949" s="11" t="str">
        <f>IF(D12949&lt;&gt;"",IF(COUNTIF('USPTO TMs'!A:A,D12949)&gt;0,"Yes","No"),"")</f>
        <v/>
      </c>
      <c r="C12949" s="11"/>
      <c r="D12949" s="11"/>
      <c r="E12949" s="11"/>
      <c r="F12949" s="11"/>
      <c r="G12949" s="11"/>
      <c r="H12949" s="11"/>
      <c r="I12949" s="15"/>
    </row>
    <row r="12950" spans="1:9" ht="16.5">
      <c r="A12950" s="10" t="b">
        <v>0</v>
      </c>
      <c r="B12950" s="11" t="str">
        <f>IF(D12950&lt;&gt;"",IF(COUNTIF('USPTO TMs'!A:A,D12950)&gt;0,"Yes","No"),"")</f>
        <v/>
      </c>
      <c r="C12950" s="11"/>
      <c r="D12950" s="11"/>
      <c r="E12950" s="11"/>
      <c r="F12950" s="11"/>
      <c r="G12950" s="11"/>
      <c r="H12950" s="11"/>
      <c r="I12950" s="15"/>
    </row>
    <row r="12951" spans="1:9" ht="16.5">
      <c r="A12951" s="10" t="b">
        <v>0</v>
      </c>
      <c r="B12951" s="11" t="str">
        <f>IF(D12951&lt;&gt;"",IF(COUNTIF('USPTO TMs'!A:A,D12951)&gt;0,"Yes","No"),"")</f>
        <v/>
      </c>
      <c r="C12951" s="11"/>
      <c r="D12951" s="11"/>
      <c r="E12951" s="11"/>
      <c r="F12951" s="11"/>
      <c r="G12951" s="11"/>
      <c r="H12951" s="11"/>
      <c r="I12951" s="15"/>
    </row>
    <row r="12952" spans="1:9" ht="16.5">
      <c r="A12952" s="10" t="b">
        <v>0</v>
      </c>
      <c r="B12952" s="11" t="str">
        <f>IF(D12952&lt;&gt;"",IF(COUNTIF('USPTO TMs'!A:A,D12952)&gt;0,"Yes","No"),"")</f>
        <v/>
      </c>
      <c r="C12952" s="11"/>
      <c r="D12952" s="11"/>
      <c r="E12952" s="11"/>
      <c r="F12952" s="11"/>
      <c r="G12952" s="11"/>
      <c r="H12952" s="11"/>
      <c r="I12952" s="15"/>
    </row>
    <row r="12953" spans="1:9" ht="16.5">
      <c r="A12953" s="10" t="b">
        <v>0</v>
      </c>
      <c r="B12953" s="11" t="str">
        <f>IF(D12953&lt;&gt;"",IF(COUNTIF('USPTO TMs'!A:A,D12953)&gt;0,"Yes","No"),"")</f>
        <v/>
      </c>
      <c r="C12953" s="11"/>
      <c r="D12953" s="11"/>
      <c r="E12953" s="11"/>
      <c r="F12953" s="11"/>
      <c r="G12953" s="11"/>
      <c r="H12953" s="11"/>
      <c r="I12953" s="15"/>
    </row>
    <row r="12954" spans="1:9" ht="16.5">
      <c r="A12954" s="10" t="b">
        <v>0</v>
      </c>
      <c r="B12954" s="11" t="str">
        <f>IF(D12954&lt;&gt;"",IF(COUNTIF('USPTO TMs'!A:A,D12954)&gt;0,"Yes","No"),"")</f>
        <v/>
      </c>
      <c r="C12954" s="11"/>
      <c r="D12954" s="11"/>
      <c r="E12954" s="11"/>
      <c r="F12954" s="11"/>
      <c r="G12954" s="11"/>
      <c r="H12954" s="11"/>
      <c r="I12954" s="15"/>
    </row>
    <row r="12955" spans="1:9" ht="16.5">
      <c r="A12955" s="10" t="b">
        <v>0</v>
      </c>
      <c r="B12955" s="11" t="str">
        <f>IF(D12955&lt;&gt;"",IF(COUNTIF('USPTO TMs'!A:A,D12955)&gt;0,"Yes","No"),"")</f>
        <v/>
      </c>
      <c r="C12955" s="11"/>
      <c r="D12955" s="11"/>
      <c r="E12955" s="11"/>
      <c r="F12955" s="11"/>
      <c r="G12955" s="11"/>
      <c r="H12955" s="11"/>
      <c r="I12955" s="15"/>
    </row>
    <row r="12956" spans="1:9" ht="16.5">
      <c r="A12956" s="10" t="b">
        <v>0</v>
      </c>
      <c r="B12956" s="11" t="str">
        <f>IF(D12956&lt;&gt;"",IF(COUNTIF('USPTO TMs'!A:A,D12956)&gt;0,"Yes","No"),"")</f>
        <v/>
      </c>
      <c r="C12956" s="11"/>
      <c r="D12956" s="11"/>
      <c r="E12956" s="11"/>
      <c r="F12956" s="11"/>
      <c r="G12956" s="11"/>
      <c r="H12956" s="11"/>
      <c r="I12956" s="15"/>
    </row>
    <row r="12957" spans="1:9" ht="16.5">
      <c r="A12957" s="10" t="b">
        <v>0</v>
      </c>
      <c r="B12957" s="11" t="str">
        <f>IF(D12957&lt;&gt;"",IF(COUNTIF('USPTO TMs'!A:A,D12957)&gt;0,"Yes","No"),"")</f>
        <v/>
      </c>
      <c r="C12957" s="11"/>
      <c r="D12957" s="11"/>
      <c r="E12957" s="11"/>
      <c r="F12957" s="11"/>
      <c r="G12957" s="11"/>
      <c r="H12957" s="11"/>
      <c r="I12957" s="15"/>
    </row>
    <row r="12958" spans="1:9" ht="16.5">
      <c r="A12958" s="10" t="b">
        <v>0</v>
      </c>
      <c r="B12958" s="11" t="str">
        <f>IF(D12958&lt;&gt;"",IF(COUNTIF('USPTO TMs'!A:A,D12958)&gt;0,"Yes","No"),"")</f>
        <v/>
      </c>
      <c r="C12958" s="11"/>
      <c r="D12958" s="11"/>
      <c r="E12958" s="11"/>
      <c r="F12958" s="11"/>
      <c r="G12958" s="11"/>
      <c r="H12958" s="11"/>
      <c r="I12958" s="15"/>
    </row>
    <row r="12959" spans="1:9" ht="16.5">
      <c r="A12959" s="10" t="b">
        <v>0</v>
      </c>
      <c r="B12959" s="11" t="str">
        <f>IF(D12959&lt;&gt;"",IF(COUNTIF('USPTO TMs'!A:A,D12959)&gt;0,"Yes","No"),"")</f>
        <v/>
      </c>
      <c r="C12959" s="11"/>
      <c r="D12959" s="11"/>
      <c r="E12959" s="11"/>
      <c r="F12959" s="11"/>
      <c r="G12959" s="11"/>
      <c r="H12959" s="11"/>
      <c r="I12959" s="15"/>
    </row>
    <row r="12960" spans="1:9" ht="16.5">
      <c r="A12960" s="10" t="b">
        <v>0</v>
      </c>
      <c r="B12960" s="11" t="str">
        <f>IF(D12960&lt;&gt;"",IF(COUNTIF('USPTO TMs'!A:A,D12960)&gt;0,"Yes","No"),"")</f>
        <v/>
      </c>
      <c r="C12960" s="11"/>
      <c r="D12960" s="11"/>
      <c r="E12960" s="11"/>
      <c r="F12960" s="11"/>
      <c r="G12960" s="11"/>
      <c r="H12960" s="11"/>
      <c r="I12960" s="15"/>
    </row>
    <row r="12961" spans="1:9" ht="16.5">
      <c r="A12961" s="10" t="b">
        <v>0</v>
      </c>
      <c r="B12961" s="11" t="str">
        <f>IF(D12961&lt;&gt;"",IF(COUNTIF('USPTO TMs'!A:A,D12961)&gt;0,"Yes","No"),"")</f>
        <v/>
      </c>
      <c r="C12961" s="11"/>
      <c r="D12961" s="11"/>
      <c r="E12961" s="11"/>
      <c r="F12961" s="11"/>
      <c r="G12961" s="11"/>
      <c r="H12961" s="11"/>
      <c r="I12961" s="15"/>
    </row>
    <row r="12962" spans="1:9" ht="16.5">
      <c r="A12962" s="10" t="b">
        <v>0</v>
      </c>
      <c r="B12962" s="11" t="str">
        <f>IF(D12962&lt;&gt;"",IF(COUNTIF('USPTO TMs'!A:A,D12962)&gt;0,"Yes","No"),"")</f>
        <v/>
      </c>
      <c r="C12962" s="11"/>
      <c r="D12962" s="11"/>
      <c r="E12962" s="11"/>
      <c r="F12962" s="11"/>
      <c r="G12962" s="11"/>
      <c r="H12962" s="11"/>
      <c r="I12962" s="15"/>
    </row>
    <row r="12963" spans="1:9" ht="16.5">
      <c r="A12963" s="10" t="b">
        <v>0</v>
      </c>
      <c r="B12963" s="11" t="str">
        <f>IF(D12963&lt;&gt;"",IF(COUNTIF('USPTO TMs'!A:A,D12963)&gt;0,"Yes","No"),"")</f>
        <v/>
      </c>
      <c r="C12963" s="11"/>
      <c r="D12963" s="11"/>
      <c r="E12963" s="11"/>
      <c r="F12963" s="11"/>
      <c r="G12963" s="11"/>
      <c r="H12963" s="11"/>
      <c r="I12963" s="15"/>
    </row>
    <row r="12964" spans="1:9" ht="16.5">
      <c r="A12964" s="10" t="b">
        <v>0</v>
      </c>
      <c r="B12964" s="11" t="str">
        <f>IF(D12964&lt;&gt;"",IF(COUNTIF('USPTO TMs'!A:A,D12964)&gt;0,"Yes","No"),"")</f>
        <v/>
      </c>
      <c r="C12964" s="11"/>
      <c r="D12964" s="11"/>
      <c r="E12964" s="11"/>
      <c r="F12964" s="11"/>
      <c r="G12964" s="11"/>
      <c r="H12964" s="11"/>
      <c r="I12964" s="15"/>
    </row>
    <row r="12965" spans="1:9" ht="16.5">
      <c r="A12965" s="10" t="b">
        <v>0</v>
      </c>
      <c r="B12965" s="11" t="str">
        <f>IF(D12965&lt;&gt;"",IF(COUNTIF('USPTO TMs'!A:A,D12965)&gt;0,"Yes","No"),"")</f>
        <v/>
      </c>
      <c r="C12965" s="11"/>
      <c r="D12965" s="11"/>
      <c r="E12965" s="11"/>
      <c r="F12965" s="11"/>
      <c r="G12965" s="11"/>
      <c r="H12965" s="11"/>
      <c r="I12965" s="15"/>
    </row>
    <row r="12966" spans="1:9" ht="16.5">
      <c r="A12966" s="10" t="b">
        <v>0</v>
      </c>
      <c r="B12966" s="11" t="str">
        <f>IF(D12966&lt;&gt;"",IF(COUNTIF('USPTO TMs'!A:A,D12966)&gt;0,"Yes","No"),"")</f>
        <v/>
      </c>
      <c r="C12966" s="11"/>
      <c r="D12966" s="11"/>
      <c r="E12966" s="11"/>
      <c r="F12966" s="11"/>
      <c r="G12966" s="11"/>
      <c r="H12966" s="11"/>
      <c r="I12966" s="15"/>
    </row>
    <row r="12967" spans="1:9" ht="16.5">
      <c r="A12967" s="10" t="b">
        <v>0</v>
      </c>
      <c r="B12967" s="11" t="str">
        <f>IF(D12967&lt;&gt;"",IF(COUNTIF('USPTO TMs'!A:A,D12967)&gt;0,"Yes","No"),"")</f>
        <v/>
      </c>
      <c r="C12967" s="11"/>
      <c r="D12967" s="11"/>
      <c r="E12967" s="11"/>
      <c r="F12967" s="11"/>
      <c r="G12967" s="11"/>
      <c r="H12967" s="11"/>
      <c r="I12967" s="15"/>
    </row>
    <row r="12968" spans="1:9" ht="16.5">
      <c r="A12968" s="10" t="b">
        <v>0</v>
      </c>
      <c r="B12968" s="11" t="str">
        <f>IF(D12968&lt;&gt;"",IF(COUNTIF('USPTO TMs'!A:A,D12968)&gt;0,"Yes","No"),"")</f>
        <v/>
      </c>
      <c r="C12968" s="11"/>
      <c r="D12968" s="11"/>
      <c r="E12968" s="11"/>
      <c r="F12968" s="11"/>
      <c r="G12968" s="11"/>
      <c r="H12968" s="11"/>
      <c r="I12968" s="15"/>
    </row>
    <row r="12969" spans="1:9" ht="16.5">
      <c r="A12969" s="10" t="b">
        <v>0</v>
      </c>
      <c r="B12969" s="11" t="str">
        <f>IF(D12969&lt;&gt;"",IF(COUNTIF('USPTO TMs'!A:A,D12969)&gt;0,"Yes","No"),"")</f>
        <v/>
      </c>
      <c r="C12969" s="11"/>
      <c r="D12969" s="11"/>
      <c r="E12969" s="11"/>
      <c r="F12969" s="11"/>
      <c r="G12969" s="11"/>
      <c r="H12969" s="11"/>
      <c r="I12969" s="15"/>
    </row>
    <row r="12970" spans="1:9" ht="16.5">
      <c r="A12970" s="10" t="b">
        <v>0</v>
      </c>
      <c r="B12970" s="11" t="str">
        <f>IF(D12970&lt;&gt;"",IF(COUNTIF('USPTO TMs'!A:A,D12970)&gt;0,"Yes","No"),"")</f>
        <v/>
      </c>
      <c r="C12970" s="11"/>
      <c r="D12970" s="11"/>
      <c r="E12970" s="11"/>
      <c r="F12970" s="11"/>
      <c r="G12970" s="11"/>
      <c r="H12970" s="11"/>
      <c r="I12970" s="15"/>
    </row>
    <row r="12971" spans="1:9" ht="16.5">
      <c r="A12971" s="10" t="b">
        <v>0</v>
      </c>
      <c r="B12971" s="11" t="str">
        <f>IF(D12971&lt;&gt;"",IF(COUNTIF('USPTO TMs'!A:A,D12971)&gt;0,"Yes","No"),"")</f>
        <v/>
      </c>
      <c r="C12971" s="11"/>
      <c r="D12971" s="11"/>
      <c r="E12971" s="11"/>
      <c r="F12971" s="11"/>
      <c r="G12971" s="11"/>
      <c r="H12971" s="11"/>
      <c r="I12971" s="15"/>
    </row>
    <row r="12972" spans="1:9" ht="16.5">
      <c r="A12972" s="10" t="b">
        <v>0</v>
      </c>
      <c r="B12972" s="11" t="str">
        <f>IF(D12972&lt;&gt;"",IF(COUNTIF('USPTO TMs'!A:A,D12972)&gt;0,"Yes","No"),"")</f>
        <v/>
      </c>
      <c r="C12972" s="11"/>
      <c r="D12972" s="11"/>
      <c r="E12972" s="11"/>
      <c r="F12972" s="11"/>
      <c r="G12972" s="11"/>
      <c r="H12972" s="11"/>
      <c r="I12972" s="15"/>
    </row>
    <row r="12973" spans="1:9" ht="16.5">
      <c r="A12973" s="10" t="b">
        <v>0</v>
      </c>
      <c r="B12973" s="11" t="str">
        <f>IF(D12973&lt;&gt;"",IF(COUNTIF('USPTO TMs'!A:A,D12973)&gt;0,"Yes","No"),"")</f>
        <v/>
      </c>
      <c r="C12973" s="11"/>
      <c r="D12973" s="11"/>
      <c r="E12973" s="11"/>
      <c r="F12973" s="11"/>
      <c r="G12973" s="11"/>
      <c r="H12973" s="11"/>
      <c r="I12973" s="15"/>
    </row>
    <row r="12974" spans="1:9" ht="16.5">
      <c r="A12974" s="10" t="b">
        <v>0</v>
      </c>
      <c r="B12974" s="11" t="str">
        <f>IF(D12974&lt;&gt;"",IF(COUNTIF('USPTO TMs'!A:A,D12974)&gt;0,"Yes","No"),"")</f>
        <v/>
      </c>
      <c r="C12974" s="11"/>
      <c r="D12974" s="11"/>
      <c r="E12974" s="11"/>
      <c r="F12974" s="11"/>
      <c r="G12974" s="11"/>
      <c r="H12974" s="11"/>
      <c r="I12974" s="15"/>
    </row>
    <row r="12975" spans="1:9" ht="16.5">
      <c r="A12975" s="10" t="b">
        <v>0</v>
      </c>
      <c r="B12975" s="11" t="str">
        <f>IF(D12975&lt;&gt;"",IF(COUNTIF('USPTO TMs'!A:A,D12975)&gt;0,"Yes","No"),"")</f>
        <v/>
      </c>
      <c r="C12975" s="11"/>
      <c r="D12975" s="11"/>
      <c r="E12975" s="11"/>
      <c r="F12975" s="11"/>
      <c r="G12975" s="11"/>
      <c r="H12975" s="11"/>
      <c r="I12975" s="15"/>
    </row>
    <row r="12976" spans="1:9" ht="16.5">
      <c r="A12976" s="10" t="b">
        <v>0</v>
      </c>
      <c r="B12976" s="11" t="str">
        <f>IF(D12976&lt;&gt;"",IF(COUNTIF('USPTO TMs'!A:A,D12976)&gt;0,"Yes","No"),"")</f>
        <v/>
      </c>
      <c r="C12976" s="11"/>
      <c r="D12976" s="11"/>
      <c r="E12976" s="11"/>
      <c r="F12976" s="11"/>
      <c r="G12976" s="11"/>
      <c r="H12976" s="11"/>
      <c r="I12976" s="15"/>
    </row>
    <row r="12977" spans="1:9" ht="16.5">
      <c r="A12977" s="10" t="b">
        <v>0</v>
      </c>
      <c r="B12977" s="11" t="str">
        <f>IF(D12977&lt;&gt;"",IF(COUNTIF('USPTO TMs'!A:A,D12977)&gt;0,"Yes","No"),"")</f>
        <v/>
      </c>
      <c r="C12977" s="11"/>
      <c r="D12977" s="11"/>
      <c r="E12977" s="11"/>
      <c r="F12977" s="11"/>
      <c r="G12977" s="11"/>
      <c r="H12977" s="11"/>
      <c r="I12977" s="15"/>
    </row>
    <row r="12978" spans="1:9" ht="16.5">
      <c r="A12978" s="10" t="b">
        <v>0</v>
      </c>
      <c r="B12978" s="11" t="str">
        <f>IF(D12978&lt;&gt;"",IF(COUNTIF('USPTO TMs'!A:A,D12978)&gt;0,"Yes","No"),"")</f>
        <v/>
      </c>
      <c r="C12978" s="11"/>
      <c r="D12978" s="11"/>
      <c r="E12978" s="11"/>
      <c r="F12978" s="11"/>
      <c r="G12978" s="11"/>
      <c r="H12978" s="11"/>
      <c r="I12978" s="15"/>
    </row>
    <row r="12979" spans="1:9" ht="16.5">
      <c r="A12979" s="10" t="b">
        <v>0</v>
      </c>
      <c r="B12979" s="11" t="str">
        <f>IF(D12979&lt;&gt;"",IF(COUNTIF('USPTO TMs'!A:A,D12979)&gt;0,"Yes","No"),"")</f>
        <v/>
      </c>
      <c r="C12979" s="11"/>
      <c r="D12979" s="11"/>
      <c r="E12979" s="11"/>
      <c r="F12979" s="11"/>
      <c r="G12979" s="11"/>
      <c r="H12979" s="11"/>
      <c r="I12979" s="15"/>
    </row>
    <row r="12980" spans="1:9" ht="16.5">
      <c r="A12980" s="10" t="b">
        <v>0</v>
      </c>
      <c r="B12980" s="11" t="str">
        <f>IF(D12980&lt;&gt;"",IF(COUNTIF('USPTO TMs'!A:A,D12980)&gt;0,"Yes","No"),"")</f>
        <v/>
      </c>
      <c r="C12980" s="11"/>
      <c r="D12980" s="11"/>
      <c r="E12980" s="11"/>
      <c r="F12980" s="11"/>
      <c r="G12980" s="11"/>
      <c r="H12980" s="11"/>
      <c r="I12980" s="15"/>
    </row>
    <row r="12981" spans="1:9" ht="16.5">
      <c r="A12981" s="10" t="b">
        <v>0</v>
      </c>
      <c r="B12981" s="11" t="str">
        <f>IF(D12981&lt;&gt;"",IF(COUNTIF('USPTO TMs'!A:A,D12981)&gt;0,"Yes","No"),"")</f>
        <v/>
      </c>
      <c r="C12981" s="11"/>
      <c r="D12981" s="11"/>
      <c r="E12981" s="11"/>
      <c r="F12981" s="11"/>
      <c r="G12981" s="11"/>
      <c r="H12981" s="11"/>
      <c r="I12981" s="15"/>
    </row>
    <row r="12982" spans="1:9" ht="16.5">
      <c r="A12982" s="10" t="b">
        <v>0</v>
      </c>
      <c r="B12982" s="11" t="str">
        <f>IF(D12982&lt;&gt;"",IF(COUNTIF('USPTO TMs'!A:A,D12982)&gt;0,"Yes","No"),"")</f>
        <v/>
      </c>
      <c r="C12982" s="11"/>
      <c r="D12982" s="11"/>
      <c r="E12982" s="11"/>
      <c r="F12982" s="11"/>
      <c r="G12982" s="11"/>
      <c r="H12982" s="11"/>
      <c r="I12982" s="15"/>
    </row>
    <row r="12983" spans="1:9" ht="16.5">
      <c r="A12983" s="10" t="b">
        <v>0</v>
      </c>
      <c r="B12983" s="11" t="str">
        <f>IF(D12983&lt;&gt;"",IF(COUNTIF('USPTO TMs'!A:A,D12983)&gt;0,"Yes","No"),"")</f>
        <v/>
      </c>
      <c r="C12983" s="11"/>
      <c r="D12983" s="11"/>
      <c r="E12983" s="11"/>
      <c r="F12983" s="11"/>
      <c r="G12983" s="11"/>
      <c r="H12983" s="11"/>
      <c r="I12983" s="15"/>
    </row>
    <row r="12984" spans="1:9" ht="16.5">
      <c r="A12984" s="10" t="b">
        <v>0</v>
      </c>
      <c r="B12984" s="11" t="str">
        <f>IF(D12984&lt;&gt;"",IF(COUNTIF('USPTO TMs'!A:A,D12984)&gt;0,"Yes","No"),"")</f>
        <v/>
      </c>
      <c r="C12984" s="11"/>
      <c r="D12984" s="11"/>
      <c r="E12984" s="11"/>
      <c r="F12984" s="11"/>
      <c r="G12984" s="11"/>
      <c r="H12984" s="11"/>
      <c r="I12984" s="15"/>
    </row>
    <row r="12985" spans="1:9" ht="16.5">
      <c r="A12985" s="10" t="b">
        <v>0</v>
      </c>
      <c r="B12985" s="11" t="str">
        <f>IF(D12985&lt;&gt;"",IF(COUNTIF('USPTO TMs'!A:A,D12985)&gt;0,"Yes","No"),"")</f>
        <v/>
      </c>
      <c r="C12985" s="11"/>
      <c r="D12985" s="11"/>
      <c r="E12985" s="11"/>
      <c r="F12985" s="11"/>
      <c r="G12985" s="11"/>
      <c r="H12985" s="11"/>
      <c r="I12985" s="15"/>
    </row>
    <row r="12986" spans="1:9" ht="16.5">
      <c r="A12986" s="10" t="b">
        <v>0</v>
      </c>
      <c r="B12986" s="11" t="str">
        <f>IF(D12986&lt;&gt;"",IF(COUNTIF('USPTO TMs'!A:A,D12986)&gt;0,"Yes","No"),"")</f>
        <v/>
      </c>
      <c r="C12986" s="11"/>
      <c r="D12986" s="11"/>
      <c r="E12986" s="11"/>
      <c r="F12986" s="11"/>
      <c r="G12986" s="11"/>
      <c r="H12986" s="11"/>
      <c r="I12986" s="15"/>
    </row>
    <row r="12987" spans="1:9" ht="16.5">
      <c r="A12987" s="10" t="b">
        <v>0</v>
      </c>
      <c r="B12987" s="11" t="str">
        <f>IF(D12987&lt;&gt;"",IF(COUNTIF('USPTO TMs'!A:A,D12987)&gt;0,"Yes","No"),"")</f>
        <v/>
      </c>
      <c r="C12987" s="11"/>
      <c r="D12987" s="11"/>
      <c r="E12987" s="11"/>
      <c r="F12987" s="11"/>
      <c r="G12987" s="11"/>
      <c r="H12987" s="11"/>
      <c r="I12987" s="15"/>
    </row>
    <row r="12988" spans="1:9" ht="16.5">
      <c r="A12988" s="10" t="b">
        <v>0</v>
      </c>
      <c r="B12988" s="11" t="str">
        <f>IF(D12988&lt;&gt;"",IF(COUNTIF('USPTO TMs'!A:A,D12988)&gt;0,"Yes","No"),"")</f>
        <v/>
      </c>
      <c r="C12988" s="11"/>
      <c r="D12988" s="11"/>
      <c r="E12988" s="11"/>
      <c r="F12988" s="11"/>
      <c r="G12988" s="11"/>
      <c r="H12988" s="11"/>
      <c r="I12988" s="15"/>
    </row>
    <row r="12989" spans="1:9" ht="16.5">
      <c r="A12989" s="10" t="b">
        <v>0</v>
      </c>
      <c r="B12989" s="11" t="str">
        <f>IF(D12989&lt;&gt;"",IF(COUNTIF('USPTO TMs'!A:A,D12989)&gt;0,"Yes","No"),"")</f>
        <v/>
      </c>
      <c r="C12989" s="11"/>
      <c r="D12989" s="11"/>
      <c r="E12989" s="11"/>
      <c r="F12989" s="11"/>
      <c r="G12989" s="11"/>
      <c r="H12989" s="11"/>
      <c r="I12989" s="15"/>
    </row>
    <row r="12990" spans="1:9" ht="16.5">
      <c r="A12990" s="10" t="b">
        <v>0</v>
      </c>
      <c r="B12990" s="11" t="str">
        <f>IF(D12990&lt;&gt;"",IF(COUNTIF('USPTO TMs'!A:A,D12990)&gt;0,"Yes","No"),"")</f>
        <v/>
      </c>
      <c r="C12990" s="11"/>
      <c r="D12990" s="11"/>
      <c r="E12990" s="11"/>
      <c r="F12990" s="11"/>
      <c r="G12990" s="11"/>
      <c r="H12990" s="11"/>
      <c r="I12990" s="15"/>
    </row>
    <row r="12991" spans="1:9" ht="16.5">
      <c r="A12991" s="10" t="b">
        <v>0</v>
      </c>
      <c r="B12991" s="11" t="str">
        <f>IF(D12991&lt;&gt;"",IF(COUNTIF('USPTO TMs'!A:A,D12991)&gt;0,"Yes","No"),"")</f>
        <v/>
      </c>
      <c r="C12991" s="11"/>
      <c r="D12991" s="11"/>
      <c r="E12991" s="11"/>
      <c r="F12991" s="11"/>
      <c r="G12991" s="11"/>
      <c r="H12991" s="11"/>
      <c r="I12991" s="15"/>
    </row>
    <row r="12992" spans="1:9" ht="16.5">
      <c r="A12992" s="10" t="b">
        <v>0</v>
      </c>
      <c r="B12992" s="11" t="str">
        <f>IF(D12992&lt;&gt;"",IF(COUNTIF('USPTO TMs'!A:A,D12992)&gt;0,"Yes","No"),"")</f>
        <v/>
      </c>
      <c r="C12992" s="11"/>
      <c r="D12992" s="11"/>
      <c r="E12992" s="11"/>
      <c r="F12992" s="11"/>
      <c r="G12992" s="11"/>
      <c r="H12992" s="11"/>
      <c r="I12992" s="15"/>
    </row>
    <row r="12993" spans="1:9" ht="16.5">
      <c r="A12993" s="10" t="b">
        <v>0</v>
      </c>
      <c r="B12993" s="11" t="str">
        <f>IF(D12993&lt;&gt;"",IF(COUNTIF('USPTO TMs'!A:A,D12993)&gt;0,"Yes","No"),"")</f>
        <v/>
      </c>
      <c r="C12993" s="11"/>
      <c r="D12993" s="11"/>
      <c r="E12993" s="11"/>
      <c r="F12993" s="11"/>
      <c r="G12993" s="11"/>
      <c r="H12993" s="11"/>
      <c r="I12993" s="15"/>
    </row>
    <row r="12994" spans="1:9" ht="16.5">
      <c r="A12994" s="10" t="b">
        <v>0</v>
      </c>
      <c r="B12994" s="11" t="str">
        <f>IF(D12994&lt;&gt;"",IF(COUNTIF('USPTO TMs'!A:A,D12994)&gt;0,"Yes","No"),"")</f>
        <v/>
      </c>
      <c r="C12994" s="11"/>
      <c r="D12994" s="11"/>
      <c r="E12994" s="11"/>
      <c r="F12994" s="11"/>
      <c r="G12994" s="11"/>
      <c r="H12994" s="11"/>
      <c r="I12994" s="15"/>
    </row>
    <row r="12995" spans="1:9" ht="16.5">
      <c r="A12995" s="10" t="b">
        <v>0</v>
      </c>
      <c r="B12995" s="11" t="str">
        <f>IF(D12995&lt;&gt;"",IF(COUNTIF('USPTO TMs'!A:A,D12995)&gt;0,"Yes","No"),"")</f>
        <v/>
      </c>
      <c r="C12995" s="11"/>
      <c r="D12995" s="11"/>
      <c r="E12995" s="11"/>
      <c r="F12995" s="11"/>
      <c r="G12995" s="11"/>
      <c r="H12995" s="11"/>
      <c r="I12995" s="15"/>
    </row>
    <row r="12996" spans="1:9" ht="16.5">
      <c r="A12996" s="10" t="b">
        <v>0</v>
      </c>
      <c r="B12996" s="11" t="str">
        <f>IF(D12996&lt;&gt;"",IF(COUNTIF('USPTO TMs'!A:A,D12996)&gt;0,"Yes","No"),"")</f>
        <v/>
      </c>
      <c r="C12996" s="11"/>
      <c r="D12996" s="11"/>
      <c r="E12996" s="11"/>
      <c r="F12996" s="11"/>
      <c r="G12996" s="11"/>
      <c r="H12996" s="11"/>
      <c r="I12996" s="15"/>
    </row>
    <row r="12997" spans="1:9" ht="16.5">
      <c r="A12997" s="10" t="b">
        <v>0</v>
      </c>
      <c r="B12997" s="11" t="str">
        <f>IF(D12997&lt;&gt;"",IF(COUNTIF('USPTO TMs'!A:A,D12997)&gt;0,"Yes","No"),"")</f>
        <v/>
      </c>
      <c r="C12997" s="11"/>
      <c r="D12997" s="11"/>
      <c r="E12997" s="11"/>
      <c r="F12997" s="11"/>
      <c r="G12997" s="11"/>
      <c r="H12997" s="11"/>
      <c r="I12997" s="15"/>
    </row>
    <row r="12998" spans="1:9" ht="16.5">
      <c r="A12998" s="10" t="b">
        <v>0</v>
      </c>
      <c r="B12998" s="11" t="str">
        <f>IF(D12998&lt;&gt;"",IF(COUNTIF('USPTO TMs'!A:A,D12998)&gt;0,"Yes","No"),"")</f>
        <v/>
      </c>
      <c r="C12998" s="11"/>
      <c r="D12998" s="11"/>
      <c r="E12998" s="11"/>
      <c r="F12998" s="11"/>
      <c r="G12998" s="11"/>
      <c r="H12998" s="11"/>
      <c r="I12998" s="15"/>
    </row>
    <row r="12999" spans="1:9" ht="16.5">
      <c r="A12999" s="10" t="b">
        <v>0</v>
      </c>
      <c r="B12999" s="11" t="str">
        <f>IF(D12999&lt;&gt;"",IF(COUNTIF('USPTO TMs'!A:A,D12999)&gt;0,"Yes","No"),"")</f>
        <v/>
      </c>
      <c r="C12999" s="11"/>
      <c r="D12999" s="11"/>
      <c r="E12999" s="11"/>
      <c r="F12999" s="11"/>
      <c r="G12999" s="11"/>
      <c r="H12999" s="11"/>
      <c r="I12999" s="15"/>
    </row>
    <row r="13000" spans="1:9" ht="16.5">
      <c r="A13000" s="10" t="b">
        <v>0</v>
      </c>
      <c r="B13000" s="11" t="str">
        <f>IF(D13000&lt;&gt;"",IF(COUNTIF('USPTO TMs'!A:A,D13000)&gt;0,"Yes","No"),"")</f>
        <v/>
      </c>
      <c r="C13000" s="11"/>
      <c r="D13000" s="11"/>
      <c r="E13000" s="11"/>
      <c r="F13000" s="11"/>
      <c r="G13000" s="11"/>
      <c r="H13000" s="11"/>
      <c r="I13000" s="15"/>
    </row>
    <row r="13001" spans="1:9" ht="16.5">
      <c r="A13001" s="10" t="b">
        <v>0</v>
      </c>
      <c r="B13001" s="11" t="str">
        <f>IF(D13001&lt;&gt;"",IF(COUNTIF('USPTO TMs'!A:A,D13001)&gt;0,"Yes","No"),"")</f>
        <v/>
      </c>
      <c r="C13001" s="11"/>
      <c r="D13001" s="11"/>
      <c r="E13001" s="11"/>
      <c r="F13001" s="11"/>
      <c r="G13001" s="11"/>
      <c r="H13001" s="11"/>
      <c r="I13001" s="15"/>
    </row>
    <row r="13002" spans="1:9" ht="16.5">
      <c r="A13002" s="10" t="b">
        <v>0</v>
      </c>
      <c r="B13002" s="11" t="str">
        <f>IF(D13002&lt;&gt;"",IF(COUNTIF('USPTO TMs'!A:A,D13002)&gt;0,"Yes","No"),"")</f>
        <v/>
      </c>
      <c r="C13002" s="11"/>
      <c r="D13002" s="11"/>
      <c r="E13002" s="11"/>
      <c r="F13002" s="11"/>
      <c r="G13002" s="11"/>
      <c r="H13002" s="11"/>
      <c r="I13002" s="15"/>
    </row>
    <row r="13003" spans="1:9" ht="16.5">
      <c r="A13003" s="10" t="b">
        <v>0</v>
      </c>
      <c r="B13003" s="11" t="str">
        <f>IF(D13003&lt;&gt;"",IF(COUNTIF('USPTO TMs'!A:A,D13003)&gt;0,"Yes","No"),"")</f>
        <v/>
      </c>
      <c r="C13003" s="11"/>
      <c r="D13003" s="11"/>
      <c r="E13003" s="11"/>
      <c r="F13003" s="11"/>
      <c r="G13003" s="11"/>
      <c r="H13003" s="11"/>
      <c r="I13003" s="15"/>
    </row>
    <row r="13004" spans="1:9" ht="16.5">
      <c r="A13004" s="10" t="b">
        <v>0</v>
      </c>
      <c r="B13004" s="11" t="str">
        <f>IF(D13004&lt;&gt;"",IF(COUNTIF('USPTO TMs'!A:A,D13004)&gt;0,"Yes","No"),"")</f>
        <v/>
      </c>
      <c r="C13004" s="11"/>
      <c r="D13004" s="11"/>
      <c r="E13004" s="11"/>
      <c r="F13004" s="11"/>
      <c r="G13004" s="11"/>
      <c r="H13004" s="11"/>
      <c r="I13004" s="15"/>
    </row>
    <row r="13005" spans="1:9" ht="16.5">
      <c r="A13005" s="10" t="b">
        <v>0</v>
      </c>
      <c r="B13005" s="11" t="str">
        <f>IF(D13005&lt;&gt;"",IF(COUNTIF('USPTO TMs'!A:A,D13005)&gt;0,"Yes","No"),"")</f>
        <v/>
      </c>
      <c r="C13005" s="11"/>
      <c r="D13005" s="11"/>
      <c r="E13005" s="11"/>
      <c r="F13005" s="11"/>
      <c r="G13005" s="11"/>
      <c r="H13005" s="11"/>
      <c r="I13005" s="15"/>
    </row>
    <row r="13006" spans="1:9" ht="16.5">
      <c r="A13006" s="10" t="b">
        <v>0</v>
      </c>
      <c r="B13006" s="11" t="str">
        <f>IF(D13006&lt;&gt;"",IF(COUNTIF('USPTO TMs'!A:A,D13006)&gt;0,"Yes","No"),"")</f>
        <v/>
      </c>
      <c r="C13006" s="11"/>
      <c r="D13006" s="11"/>
      <c r="E13006" s="11"/>
      <c r="F13006" s="11"/>
      <c r="G13006" s="11"/>
      <c r="H13006" s="11"/>
      <c r="I13006" s="15"/>
    </row>
    <row r="13007" spans="1:9" ht="16.5">
      <c r="A13007" s="10" t="b">
        <v>0</v>
      </c>
      <c r="B13007" s="11" t="str">
        <f>IF(D13007&lt;&gt;"",IF(COUNTIF('USPTO TMs'!A:A,D13007)&gt;0,"Yes","No"),"")</f>
        <v/>
      </c>
      <c r="C13007" s="11"/>
      <c r="D13007" s="11"/>
      <c r="E13007" s="11"/>
      <c r="F13007" s="11"/>
      <c r="G13007" s="11"/>
      <c r="H13007" s="11"/>
      <c r="I13007" s="15"/>
    </row>
    <row r="13008" spans="1:9" ht="16.5">
      <c r="A13008" s="10" t="b">
        <v>0</v>
      </c>
      <c r="B13008" s="11" t="str">
        <f>IF(D13008&lt;&gt;"",IF(COUNTIF('USPTO TMs'!A:A,D13008)&gt;0,"Yes","No"),"")</f>
        <v/>
      </c>
      <c r="C13008" s="11"/>
      <c r="D13008" s="11"/>
      <c r="E13008" s="11"/>
      <c r="F13008" s="11"/>
      <c r="G13008" s="11"/>
      <c r="H13008" s="11"/>
      <c r="I13008" s="15"/>
    </row>
    <row r="13009" spans="1:9" ht="16.5">
      <c r="A13009" s="10" t="b">
        <v>0</v>
      </c>
      <c r="B13009" s="11" t="str">
        <f>IF(D13009&lt;&gt;"",IF(COUNTIF('USPTO TMs'!A:A,D13009)&gt;0,"Yes","No"),"")</f>
        <v/>
      </c>
      <c r="C13009" s="11"/>
      <c r="D13009" s="11"/>
      <c r="E13009" s="11"/>
      <c r="F13009" s="11"/>
      <c r="G13009" s="11"/>
      <c r="H13009" s="11"/>
      <c r="I13009" s="15"/>
    </row>
    <row r="13010" spans="1:9" ht="16.5">
      <c r="A13010" s="10" t="b">
        <v>0</v>
      </c>
      <c r="B13010" s="11" t="str">
        <f>IF(D13010&lt;&gt;"",IF(COUNTIF('USPTO TMs'!A:A,D13010)&gt;0,"Yes","No"),"")</f>
        <v/>
      </c>
      <c r="C13010" s="11"/>
      <c r="D13010" s="11"/>
      <c r="E13010" s="11"/>
      <c r="F13010" s="11"/>
      <c r="G13010" s="11"/>
      <c r="H13010" s="11"/>
      <c r="I13010" s="15"/>
    </row>
    <row r="13011" spans="1:9" ht="16.5">
      <c r="A13011" s="10" t="b">
        <v>0</v>
      </c>
      <c r="B13011" s="11" t="str">
        <f>IF(D13011&lt;&gt;"",IF(COUNTIF('USPTO TMs'!A:A,D13011)&gt;0,"Yes","No"),"")</f>
        <v/>
      </c>
      <c r="C13011" s="11"/>
      <c r="D13011" s="11"/>
      <c r="E13011" s="11"/>
      <c r="F13011" s="11"/>
      <c r="G13011" s="11"/>
      <c r="H13011" s="11"/>
      <c r="I13011" s="15"/>
    </row>
    <row r="13012" spans="1:9" ht="16.5">
      <c r="A13012" s="10" t="b">
        <v>0</v>
      </c>
      <c r="B13012" s="11" t="str">
        <f>IF(D13012&lt;&gt;"",IF(COUNTIF('USPTO TMs'!A:A,D13012)&gt;0,"Yes","No"),"")</f>
        <v/>
      </c>
      <c r="C13012" s="11"/>
      <c r="D13012" s="11"/>
      <c r="E13012" s="11"/>
      <c r="F13012" s="11"/>
      <c r="G13012" s="11"/>
      <c r="H13012" s="11"/>
      <c r="I13012" s="15"/>
    </row>
    <row r="13013" spans="1:9" ht="16.5">
      <c r="A13013" s="10" t="b">
        <v>0</v>
      </c>
      <c r="B13013" s="11" t="str">
        <f>IF(D13013&lt;&gt;"",IF(COUNTIF('USPTO TMs'!A:A,D13013)&gt;0,"Yes","No"),"")</f>
        <v/>
      </c>
      <c r="C13013" s="11"/>
      <c r="D13013" s="11"/>
      <c r="E13013" s="11"/>
      <c r="F13013" s="11"/>
      <c r="G13013" s="11"/>
      <c r="H13013" s="11"/>
      <c r="I13013" s="15"/>
    </row>
    <row r="13014" spans="1:9" ht="16.5">
      <c r="A13014" s="10" t="b">
        <v>0</v>
      </c>
      <c r="B13014" s="11" t="str">
        <f>IF(D13014&lt;&gt;"",IF(COUNTIF('USPTO TMs'!A:A,D13014)&gt;0,"Yes","No"),"")</f>
        <v/>
      </c>
      <c r="C13014" s="11"/>
      <c r="D13014" s="11"/>
      <c r="E13014" s="11"/>
      <c r="F13014" s="11"/>
      <c r="G13014" s="11"/>
      <c r="H13014" s="11"/>
      <c r="I13014" s="15"/>
    </row>
    <row r="13015" spans="1:9" ht="16.5">
      <c r="A13015" s="10" t="b">
        <v>0</v>
      </c>
      <c r="B13015" s="11" t="str">
        <f>IF(D13015&lt;&gt;"",IF(COUNTIF('USPTO TMs'!A:A,D13015)&gt;0,"Yes","No"),"")</f>
        <v/>
      </c>
      <c r="C13015" s="11"/>
      <c r="D13015" s="11"/>
      <c r="E13015" s="11"/>
      <c r="F13015" s="11"/>
      <c r="G13015" s="11"/>
      <c r="H13015" s="11"/>
      <c r="I13015" s="15"/>
    </row>
    <row r="13016" spans="1:9" ht="16.5">
      <c r="A13016" s="10" t="b">
        <v>0</v>
      </c>
      <c r="B13016" s="11" t="str">
        <f>IF(D13016&lt;&gt;"",IF(COUNTIF('USPTO TMs'!A:A,D13016)&gt;0,"Yes","No"),"")</f>
        <v/>
      </c>
      <c r="C13016" s="11"/>
      <c r="D13016" s="11"/>
      <c r="E13016" s="11"/>
      <c r="F13016" s="11"/>
      <c r="G13016" s="11"/>
      <c r="H13016" s="11"/>
      <c r="I13016" s="15"/>
    </row>
    <row r="13017" spans="1:9" ht="16.5">
      <c r="A13017" s="10" t="b">
        <v>0</v>
      </c>
      <c r="B13017" s="11" t="str">
        <f>IF(D13017&lt;&gt;"",IF(COUNTIF('USPTO TMs'!A:A,D13017)&gt;0,"Yes","No"),"")</f>
        <v/>
      </c>
      <c r="C13017" s="11"/>
      <c r="D13017" s="11"/>
      <c r="E13017" s="11"/>
      <c r="F13017" s="11"/>
      <c r="G13017" s="11"/>
      <c r="H13017" s="11"/>
      <c r="I13017" s="15"/>
    </row>
    <row r="13018" spans="1:9" ht="16.5">
      <c r="A13018" s="10" t="b">
        <v>0</v>
      </c>
      <c r="B13018" s="11" t="str">
        <f>IF(D13018&lt;&gt;"",IF(COUNTIF('USPTO TMs'!A:A,D13018)&gt;0,"Yes","No"),"")</f>
        <v/>
      </c>
      <c r="C13018" s="11"/>
      <c r="D13018" s="11"/>
      <c r="E13018" s="11"/>
      <c r="F13018" s="11"/>
      <c r="G13018" s="11"/>
      <c r="H13018" s="11"/>
      <c r="I13018" s="15"/>
    </row>
    <row r="13019" spans="1:9" ht="16.5">
      <c r="A13019" s="10" t="b">
        <v>0</v>
      </c>
      <c r="B13019" s="11" t="str">
        <f>IF(D13019&lt;&gt;"",IF(COUNTIF('USPTO TMs'!A:A,D13019)&gt;0,"Yes","No"),"")</f>
        <v/>
      </c>
      <c r="C13019" s="11"/>
      <c r="D13019" s="11"/>
      <c r="E13019" s="11"/>
      <c r="F13019" s="11"/>
      <c r="G13019" s="11"/>
      <c r="H13019" s="11"/>
      <c r="I13019" s="15"/>
    </row>
    <row r="13020" spans="1:9" ht="16.5">
      <c r="A13020" s="10" t="b">
        <v>0</v>
      </c>
      <c r="B13020" s="11" t="str">
        <f>IF(D13020&lt;&gt;"",IF(COUNTIF('USPTO TMs'!A:A,D13020)&gt;0,"Yes","No"),"")</f>
        <v/>
      </c>
      <c r="C13020" s="11"/>
      <c r="D13020" s="11"/>
      <c r="E13020" s="11"/>
      <c r="F13020" s="11"/>
      <c r="G13020" s="11"/>
      <c r="H13020" s="11"/>
      <c r="I13020" s="15"/>
    </row>
    <row r="13021" spans="1:9" ht="16.5">
      <c r="A13021" s="10" t="b">
        <v>0</v>
      </c>
      <c r="B13021" s="11" t="str">
        <f>IF(D13021&lt;&gt;"",IF(COUNTIF('USPTO TMs'!A:A,D13021)&gt;0,"Yes","No"),"")</f>
        <v/>
      </c>
      <c r="C13021" s="11"/>
      <c r="D13021" s="11"/>
      <c r="E13021" s="11"/>
      <c r="F13021" s="11"/>
      <c r="G13021" s="11"/>
      <c r="H13021" s="11"/>
      <c r="I13021" s="15"/>
    </row>
    <row r="13022" spans="1:9" ht="16.5">
      <c r="A13022" s="10" t="b">
        <v>0</v>
      </c>
      <c r="B13022" s="11" t="str">
        <f>IF(D13022&lt;&gt;"",IF(COUNTIF('USPTO TMs'!A:A,D13022)&gt;0,"Yes","No"),"")</f>
        <v/>
      </c>
      <c r="C13022" s="11"/>
      <c r="D13022" s="11"/>
      <c r="E13022" s="11"/>
      <c r="F13022" s="11"/>
      <c r="G13022" s="11"/>
      <c r="H13022" s="11"/>
      <c r="I13022" s="15"/>
    </row>
    <row r="13023" spans="1:9" ht="16.5">
      <c r="A13023" s="10" t="b">
        <v>0</v>
      </c>
      <c r="B13023" s="11" t="str">
        <f>IF(D13023&lt;&gt;"",IF(COUNTIF('USPTO TMs'!A:A,D13023)&gt;0,"Yes","No"),"")</f>
        <v/>
      </c>
      <c r="C13023" s="11"/>
      <c r="D13023" s="11"/>
      <c r="E13023" s="11"/>
      <c r="F13023" s="11"/>
      <c r="G13023" s="11"/>
      <c r="H13023" s="11"/>
      <c r="I13023" s="15"/>
    </row>
    <row r="13024" spans="1:9" ht="16.5">
      <c r="A13024" s="10" t="b">
        <v>0</v>
      </c>
      <c r="B13024" s="11" t="str">
        <f>IF(D13024&lt;&gt;"",IF(COUNTIF('USPTO TMs'!A:A,D13024)&gt;0,"Yes","No"),"")</f>
        <v/>
      </c>
      <c r="C13024" s="11"/>
      <c r="D13024" s="11"/>
      <c r="E13024" s="11"/>
      <c r="F13024" s="11"/>
      <c r="G13024" s="11"/>
      <c r="H13024" s="11"/>
      <c r="I13024" s="15"/>
    </row>
    <row r="13025" spans="1:9" ht="16.5">
      <c r="A13025" s="10" t="b">
        <v>0</v>
      </c>
      <c r="B13025" s="11" t="str">
        <f>IF(D13025&lt;&gt;"",IF(COUNTIF('USPTO TMs'!A:A,D13025)&gt;0,"Yes","No"),"")</f>
        <v/>
      </c>
      <c r="C13025" s="11"/>
      <c r="D13025" s="11"/>
      <c r="E13025" s="11"/>
      <c r="F13025" s="11"/>
      <c r="G13025" s="11"/>
      <c r="H13025" s="11"/>
      <c r="I13025" s="15"/>
    </row>
    <row r="13026" spans="1:9" ht="16.5">
      <c r="A13026" s="10" t="b">
        <v>0</v>
      </c>
      <c r="B13026" s="11" t="str">
        <f>IF(D13026&lt;&gt;"",IF(COUNTIF('USPTO TMs'!A:A,D13026)&gt;0,"Yes","No"),"")</f>
        <v/>
      </c>
      <c r="C13026" s="11"/>
      <c r="D13026" s="11"/>
      <c r="E13026" s="11"/>
      <c r="F13026" s="11"/>
      <c r="G13026" s="11"/>
      <c r="H13026" s="11"/>
      <c r="I13026" s="15"/>
    </row>
    <row r="13027" spans="1:9" ht="16.5">
      <c r="A13027" s="10" t="b">
        <v>0</v>
      </c>
      <c r="B13027" s="11" t="str">
        <f>IF(D13027&lt;&gt;"",IF(COUNTIF('USPTO TMs'!A:A,D13027)&gt;0,"Yes","No"),"")</f>
        <v/>
      </c>
      <c r="C13027" s="11"/>
      <c r="D13027" s="11"/>
      <c r="E13027" s="11"/>
      <c r="F13027" s="11"/>
      <c r="G13027" s="11"/>
      <c r="H13027" s="11"/>
      <c r="I13027" s="15"/>
    </row>
    <row r="13028" spans="1:9" ht="16.5">
      <c r="A13028" s="10" t="b">
        <v>0</v>
      </c>
      <c r="B13028" s="11" t="str">
        <f>IF(D13028&lt;&gt;"",IF(COUNTIF('USPTO TMs'!A:A,D13028)&gt;0,"Yes","No"),"")</f>
        <v/>
      </c>
      <c r="C13028" s="11"/>
      <c r="D13028" s="11"/>
      <c r="E13028" s="11"/>
      <c r="F13028" s="11"/>
      <c r="G13028" s="11"/>
      <c r="H13028" s="11"/>
      <c r="I13028" s="15"/>
    </row>
    <row r="13029" spans="1:9" ht="16.5">
      <c r="A13029" s="10" t="b">
        <v>0</v>
      </c>
      <c r="B13029" s="11" t="str">
        <f>IF(D13029&lt;&gt;"",IF(COUNTIF('USPTO TMs'!A:A,D13029)&gt;0,"Yes","No"),"")</f>
        <v/>
      </c>
      <c r="C13029" s="11"/>
      <c r="D13029" s="11"/>
      <c r="E13029" s="11"/>
      <c r="F13029" s="11"/>
      <c r="G13029" s="11"/>
      <c r="H13029" s="11"/>
      <c r="I13029" s="15"/>
    </row>
    <row r="13030" spans="1:9" ht="16.5">
      <c r="A13030" s="10" t="b">
        <v>0</v>
      </c>
      <c r="B13030" s="11" t="str">
        <f>IF(D13030&lt;&gt;"",IF(COUNTIF('USPTO TMs'!A:A,D13030)&gt;0,"Yes","No"),"")</f>
        <v/>
      </c>
      <c r="C13030" s="11"/>
      <c r="D13030" s="11"/>
      <c r="E13030" s="11"/>
      <c r="F13030" s="11"/>
      <c r="G13030" s="11"/>
      <c r="H13030" s="11"/>
      <c r="I13030" s="15"/>
    </row>
    <row r="13031" spans="1:9" ht="16.5">
      <c r="A13031" s="10" t="b">
        <v>0</v>
      </c>
      <c r="B13031" s="11" t="str">
        <f>IF(D13031&lt;&gt;"",IF(COUNTIF('USPTO TMs'!A:A,D13031)&gt;0,"Yes","No"),"")</f>
        <v/>
      </c>
      <c r="C13031" s="11"/>
      <c r="D13031" s="11"/>
      <c r="E13031" s="11"/>
      <c r="F13031" s="11"/>
      <c r="G13031" s="11"/>
      <c r="H13031" s="11"/>
      <c r="I13031" s="15"/>
    </row>
    <row r="13032" spans="1:9" ht="16.5">
      <c r="A13032" s="10" t="b">
        <v>0</v>
      </c>
      <c r="B13032" s="11" t="str">
        <f>IF(D13032&lt;&gt;"",IF(COUNTIF('USPTO TMs'!A:A,D13032)&gt;0,"Yes","No"),"")</f>
        <v/>
      </c>
      <c r="C13032" s="11"/>
      <c r="D13032" s="11"/>
      <c r="E13032" s="11"/>
      <c r="F13032" s="11"/>
      <c r="G13032" s="11"/>
      <c r="H13032" s="11"/>
      <c r="I13032" s="15"/>
    </row>
    <row r="13033" spans="1:9" ht="16.5">
      <c r="A13033" s="10" t="b">
        <v>0</v>
      </c>
      <c r="B13033" s="11" t="str">
        <f>IF(D13033&lt;&gt;"",IF(COUNTIF('USPTO TMs'!A:A,D13033)&gt;0,"Yes","No"),"")</f>
        <v/>
      </c>
      <c r="C13033" s="11"/>
      <c r="D13033" s="11"/>
      <c r="E13033" s="11"/>
      <c r="F13033" s="11"/>
      <c r="G13033" s="11"/>
      <c r="H13033" s="11"/>
      <c r="I13033" s="15"/>
    </row>
    <row r="13034" spans="1:9" ht="16.5">
      <c r="A13034" s="10" t="b">
        <v>0</v>
      </c>
      <c r="B13034" s="11" t="str">
        <f>IF(D13034&lt;&gt;"",IF(COUNTIF('USPTO TMs'!A:A,D13034)&gt;0,"Yes","No"),"")</f>
        <v/>
      </c>
      <c r="C13034" s="11"/>
      <c r="D13034" s="11"/>
      <c r="E13034" s="11"/>
      <c r="F13034" s="11"/>
      <c r="G13034" s="11"/>
      <c r="H13034" s="11"/>
      <c r="I13034" s="15"/>
    </row>
    <row r="13035" spans="1:9" ht="16.5">
      <c r="A13035" s="10" t="b">
        <v>0</v>
      </c>
      <c r="B13035" s="11" t="str">
        <f>IF(D13035&lt;&gt;"",IF(COUNTIF('USPTO TMs'!A:A,D13035)&gt;0,"Yes","No"),"")</f>
        <v/>
      </c>
      <c r="C13035" s="11"/>
      <c r="D13035" s="11"/>
      <c r="E13035" s="11"/>
      <c r="F13035" s="11"/>
      <c r="G13035" s="11"/>
      <c r="H13035" s="11"/>
      <c r="I13035" s="15"/>
    </row>
    <row r="13036" spans="1:9" ht="16.5">
      <c r="A13036" s="10" t="b">
        <v>0</v>
      </c>
      <c r="B13036" s="11" t="str">
        <f>IF(D13036&lt;&gt;"",IF(COUNTIF('USPTO TMs'!A:A,D13036)&gt;0,"Yes","No"),"")</f>
        <v/>
      </c>
      <c r="C13036" s="11"/>
      <c r="D13036" s="11"/>
      <c r="E13036" s="11"/>
      <c r="F13036" s="11"/>
      <c r="G13036" s="11"/>
      <c r="H13036" s="11"/>
      <c r="I13036" s="15"/>
    </row>
    <row r="13037" spans="1:9" ht="16.5">
      <c r="A13037" s="10" t="b">
        <v>0</v>
      </c>
      <c r="B13037" s="11" t="str">
        <f>IF(D13037&lt;&gt;"",IF(COUNTIF('USPTO TMs'!A:A,D13037)&gt;0,"Yes","No"),"")</f>
        <v/>
      </c>
      <c r="C13037" s="11"/>
      <c r="D13037" s="11"/>
      <c r="E13037" s="11"/>
      <c r="F13037" s="11"/>
      <c r="G13037" s="11"/>
      <c r="H13037" s="11"/>
      <c r="I13037" s="15"/>
    </row>
    <row r="13038" spans="1:9" ht="16.5">
      <c r="A13038" s="10" t="b">
        <v>0</v>
      </c>
      <c r="B13038" s="11" t="str">
        <f>IF(D13038&lt;&gt;"",IF(COUNTIF('USPTO TMs'!A:A,D13038)&gt;0,"Yes","No"),"")</f>
        <v/>
      </c>
      <c r="C13038" s="11"/>
      <c r="D13038" s="11"/>
      <c r="E13038" s="11"/>
      <c r="F13038" s="11"/>
      <c r="G13038" s="11"/>
      <c r="H13038" s="11"/>
      <c r="I13038" s="15"/>
    </row>
    <row r="13039" spans="1:9" ht="16.5">
      <c r="A13039" s="10" t="b">
        <v>0</v>
      </c>
      <c r="B13039" s="11" t="str">
        <f>IF(D13039&lt;&gt;"",IF(COUNTIF('USPTO TMs'!A:A,D13039)&gt;0,"Yes","No"),"")</f>
        <v/>
      </c>
      <c r="C13039" s="11"/>
      <c r="D13039" s="11"/>
      <c r="E13039" s="11"/>
      <c r="F13039" s="11"/>
      <c r="G13039" s="11"/>
      <c r="H13039" s="11"/>
      <c r="I13039" s="15"/>
    </row>
    <row r="13040" spans="1:9" ht="16.5">
      <c r="A13040" s="10" t="b">
        <v>0</v>
      </c>
      <c r="B13040" s="11" t="str">
        <f>IF(D13040&lt;&gt;"",IF(COUNTIF('USPTO TMs'!A:A,D13040)&gt;0,"Yes","No"),"")</f>
        <v/>
      </c>
      <c r="C13040" s="11"/>
      <c r="D13040" s="11"/>
      <c r="E13040" s="11"/>
      <c r="F13040" s="11"/>
      <c r="G13040" s="11"/>
      <c r="H13040" s="11"/>
      <c r="I13040" s="15"/>
    </row>
    <row r="13041" spans="1:9" ht="16.5">
      <c r="A13041" s="10" t="b">
        <v>0</v>
      </c>
      <c r="B13041" s="11" t="str">
        <f>IF(D13041&lt;&gt;"",IF(COUNTIF('USPTO TMs'!A:A,D13041)&gt;0,"Yes","No"),"")</f>
        <v/>
      </c>
      <c r="C13041" s="11"/>
      <c r="D13041" s="11"/>
      <c r="E13041" s="11"/>
      <c r="F13041" s="11"/>
      <c r="G13041" s="11"/>
      <c r="H13041" s="11"/>
      <c r="I13041" s="15"/>
    </row>
    <row r="13042" spans="1:9" ht="16.5">
      <c r="A13042" s="10" t="b">
        <v>0</v>
      </c>
      <c r="B13042" s="11" t="str">
        <f>IF(D13042&lt;&gt;"",IF(COUNTIF('USPTO TMs'!A:A,D13042)&gt;0,"Yes","No"),"")</f>
        <v/>
      </c>
      <c r="C13042" s="11"/>
      <c r="D13042" s="11"/>
      <c r="E13042" s="11"/>
      <c r="F13042" s="11"/>
      <c r="G13042" s="11"/>
      <c r="H13042" s="11"/>
      <c r="I13042" s="15"/>
    </row>
    <row r="13043" spans="1:9" ht="16.5">
      <c r="A13043" s="10" t="b">
        <v>0</v>
      </c>
      <c r="B13043" s="11" t="str">
        <f>IF(D13043&lt;&gt;"",IF(COUNTIF('USPTO TMs'!A:A,D13043)&gt;0,"Yes","No"),"")</f>
        <v/>
      </c>
      <c r="C13043" s="11"/>
      <c r="D13043" s="11"/>
      <c r="E13043" s="11"/>
      <c r="F13043" s="11"/>
      <c r="G13043" s="11"/>
      <c r="H13043" s="11"/>
      <c r="I13043" s="15"/>
    </row>
    <row r="13044" spans="1:9" ht="16.5">
      <c r="A13044" s="10" t="b">
        <v>0</v>
      </c>
      <c r="B13044" s="11" t="str">
        <f>IF(D13044&lt;&gt;"",IF(COUNTIF('USPTO TMs'!A:A,D13044)&gt;0,"Yes","No"),"")</f>
        <v/>
      </c>
      <c r="C13044" s="11"/>
      <c r="D13044" s="11"/>
      <c r="E13044" s="11"/>
      <c r="F13044" s="11"/>
      <c r="G13044" s="11"/>
      <c r="H13044" s="11"/>
      <c r="I13044" s="15"/>
    </row>
    <row r="13045" spans="1:9" ht="16.5">
      <c r="A13045" s="10" t="b">
        <v>0</v>
      </c>
      <c r="B13045" s="11" t="str">
        <f>IF(D13045&lt;&gt;"",IF(COUNTIF('USPTO TMs'!A:A,D13045)&gt;0,"Yes","No"),"")</f>
        <v/>
      </c>
      <c r="C13045" s="11"/>
      <c r="D13045" s="11"/>
      <c r="E13045" s="11"/>
      <c r="F13045" s="11"/>
      <c r="G13045" s="11"/>
      <c r="H13045" s="11"/>
      <c r="I13045" s="15"/>
    </row>
    <row r="13046" spans="1:9" ht="16.5">
      <c r="A13046" s="10" t="b">
        <v>0</v>
      </c>
      <c r="B13046" s="11" t="str">
        <f>IF(D13046&lt;&gt;"",IF(COUNTIF('USPTO TMs'!A:A,D13046)&gt;0,"Yes","No"),"")</f>
        <v/>
      </c>
      <c r="C13046" s="11"/>
      <c r="D13046" s="11"/>
      <c r="E13046" s="11"/>
      <c r="F13046" s="11"/>
      <c r="G13046" s="11"/>
      <c r="H13046" s="11"/>
      <c r="I13046" s="15"/>
    </row>
    <row r="13047" spans="1:9" ht="16.5">
      <c r="A13047" s="10" t="b">
        <v>0</v>
      </c>
      <c r="B13047" s="11" t="str">
        <f>IF(D13047&lt;&gt;"",IF(COUNTIF('USPTO TMs'!A:A,D13047)&gt;0,"Yes","No"),"")</f>
        <v/>
      </c>
      <c r="C13047" s="11"/>
      <c r="D13047" s="11"/>
      <c r="E13047" s="11"/>
      <c r="F13047" s="11"/>
      <c r="G13047" s="11"/>
      <c r="H13047" s="11"/>
      <c r="I13047" s="15"/>
    </row>
    <row r="13048" spans="1:9" ht="16.5">
      <c r="A13048" s="10" t="b">
        <v>0</v>
      </c>
      <c r="B13048" s="11" t="str">
        <f>IF(D13048&lt;&gt;"",IF(COUNTIF('USPTO TMs'!A:A,D13048)&gt;0,"Yes","No"),"")</f>
        <v/>
      </c>
      <c r="C13048" s="11"/>
      <c r="D13048" s="11"/>
      <c r="E13048" s="11"/>
      <c r="F13048" s="11"/>
      <c r="G13048" s="11"/>
      <c r="H13048" s="11"/>
      <c r="I13048" s="15"/>
    </row>
    <row r="13049" spans="1:9" ht="16.5">
      <c r="A13049" s="10" t="b">
        <v>0</v>
      </c>
      <c r="B13049" s="11" t="str">
        <f>IF(D13049&lt;&gt;"",IF(COUNTIF('USPTO TMs'!A:A,D13049)&gt;0,"Yes","No"),"")</f>
        <v/>
      </c>
      <c r="C13049" s="11"/>
      <c r="D13049" s="11"/>
      <c r="E13049" s="11"/>
      <c r="F13049" s="11"/>
      <c r="G13049" s="11"/>
      <c r="H13049" s="11"/>
      <c r="I13049" s="15"/>
    </row>
    <row r="13050" spans="1:9" ht="16.5">
      <c r="A13050" s="10" t="b">
        <v>0</v>
      </c>
      <c r="B13050" s="11" t="str">
        <f>IF(D13050&lt;&gt;"",IF(COUNTIF('USPTO TMs'!A:A,D13050)&gt;0,"Yes","No"),"")</f>
        <v/>
      </c>
      <c r="C13050" s="11"/>
      <c r="D13050" s="11"/>
      <c r="E13050" s="11"/>
      <c r="F13050" s="11"/>
      <c r="G13050" s="11"/>
      <c r="H13050" s="11"/>
      <c r="I13050" s="15"/>
    </row>
    <row r="13051" spans="1:9" ht="16.5">
      <c r="A13051" s="10" t="b">
        <v>0</v>
      </c>
      <c r="B13051" s="11" t="str">
        <f>IF(D13051&lt;&gt;"",IF(COUNTIF('USPTO TMs'!A:A,D13051)&gt;0,"Yes","No"),"")</f>
        <v/>
      </c>
      <c r="C13051" s="11"/>
      <c r="D13051" s="11"/>
      <c r="E13051" s="11"/>
      <c r="F13051" s="11"/>
      <c r="G13051" s="11"/>
      <c r="H13051" s="11"/>
      <c r="I13051" s="15"/>
    </row>
    <row r="13052" spans="1:9" ht="16.5">
      <c r="A13052" s="10" t="b">
        <v>0</v>
      </c>
      <c r="B13052" s="11" t="str">
        <f>IF(D13052&lt;&gt;"",IF(COUNTIF('USPTO TMs'!A:A,D13052)&gt;0,"Yes","No"),"")</f>
        <v/>
      </c>
      <c r="C13052" s="11"/>
      <c r="D13052" s="11"/>
      <c r="E13052" s="11"/>
      <c r="F13052" s="11"/>
      <c r="G13052" s="11"/>
      <c r="H13052" s="11"/>
      <c r="I13052" s="15"/>
    </row>
    <row r="13053" spans="1:9" ht="16.5">
      <c r="A13053" s="10" t="b">
        <v>0</v>
      </c>
      <c r="B13053" s="11" t="str">
        <f>IF(D13053&lt;&gt;"",IF(COUNTIF('USPTO TMs'!A:A,D13053)&gt;0,"Yes","No"),"")</f>
        <v/>
      </c>
      <c r="C13053" s="11"/>
      <c r="D13053" s="11"/>
      <c r="E13053" s="11"/>
      <c r="F13053" s="11"/>
      <c r="G13053" s="11"/>
      <c r="H13053" s="11"/>
      <c r="I13053" s="15"/>
    </row>
    <row r="13054" spans="1:9" ht="16.5">
      <c r="A13054" s="10" t="b">
        <v>0</v>
      </c>
      <c r="B13054" s="11" t="str">
        <f>IF(D13054&lt;&gt;"",IF(COUNTIF('USPTO TMs'!A:A,D13054)&gt;0,"Yes","No"),"")</f>
        <v/>
      </c>
      <c r="C13054" s="11"/>
      <c r="D13054" s="11"/>
      <c r="E13054" s="11"/>
      <c r="F13054" s="11"/>
      <c r="G13054" s="11"/>
      <c r="H13054" s="11"/>
      <c r="I13054" s="15"/>
    </row>
    <row r="13055" spans="1:9" ht="16.5">
      <c r="A13055" s="10" t="b">
        <v>0</v>
      </c>
      <c r="B13055" s="11" t="str">
        <f>IF(D13055&lt;&gt;"",IF(COUNTIF('USPTO TMs'!A:A,D13055)&gt;0,"Yes","No"),"")</f>
        <v/>
      </c>
      <c r="C13055" s="11"/>
      <c r="D13055" s="11"/>
      <c r="E13055" s="11"/>
      <c r="F13055" s="11"/>
      <c r="G13055" s="11"/>
      <c r="H13055" s="11"/>
      <c r="I13055" s="15"/>
    </row>
    <row r="13056" spans="1:9" ht="16.5">
      <c r="A13056" s="10" t="b">
        <v>0</v>
      </c>
      <c r="B13056" s="11" t="str">
        <f>IF(D13056&lt;&gt;"",IF(COUNTIF('USPTO TMs'!A:A,D13056)&gt;0,"Yes","No"),"")</f>
        <v/>
      </c>
      <c r="C13056" s="11"/>
      <c r="D13056" s="11"/>
      <c r="E13056" s="11"/>
      <c r="F13056" s="11"/>
      <c r="G13056" s="11"/>
      <c r="H13056" s="11"/>
      <c r="I13056" s="15"/>
    </row>
    <row r="13057" spans="1:9" ht="16.5">
      <c r="A13057" s="10" t="b">
        <v>0</v>
      </c>
      <c r="B13057" s="11" t="str">
        <f>IF(D13057&lt;&gt;"",IF(COUNTIF('USPTO TMs'!A:A,D13057)&gt;0,"Yes","No"),"")</f>
        <v/>
      </c>
      <c r="C13057" s="11"/>
      <c r="D13057" s="11"/>
      <c r="E13057" s="11"/>
      <c r="F13057" s="11"/>
      <c r="G13057" s="11"/>
      <c r="H13057" s="11"/>
      <c r="I13057" s="15"/>
    </row>
    <row r="13058" spans="1:9" ht="16.5">
      <c r="A13058" s="10" t="b">
        <v>0</v>
      </c>
      <c r="B13058" s="11" t="str">
        <f>IF(D13058&lt;&gt;"",IF(COUNTIF('USPTO TMs'!A:A,D13058)&gt;0,"Yes","No"),"")</f>
        <v/>
      </c>
      <c r="C13058" s="11"/>
      <c r="D13058" s="11"/>
      <c r="E13058" s="11"/>
      <c r="F13058" s="11"/>
      <c r="G13058" s="11"/>
      <c r="H13058" s="11"/>
      <c r="I13058" s="15"/>
    </row>
    <row r="13059" spans="1:9" ht="16.5">
      <c r="A13059" s="10" t="b">
        <v>0</v>
      </c>
      <c r="B13059" s="11" t="str">
        <f>IF(D13059&lt;&gt;"",IF(COUNTIF('USPTO TMs'!A:A,D13059)&gt;0,"Yes","No"),"")</f>
        <v/>
      </c>
      <c r="C13059" s="11"/>
      <c r="D13059" s="11"/>
      <c r="E13059" s="11"/>
      <c r="F13059" s="11"/>
      <c r="G13059" s="11"/>
      <c r="H13059" s="11"/>
      <c r="I13059" s="15"/>
    </row>
    <row r="13060" spans="1:9" ht="16.5">
      <c r="A13060" s="10" t="b">
        <v>0</v>
      </c>
      <c r="B13060" s="11" t="str">
        <f>IF(D13060&lt;&gt;"",IF(COUNTIF('USPTO TMs'!A:A,D13060)&gt;0,"Yes","No"),"")</f>
        <v/>
      </c>
      <c r="C13060" s="11"/>
      <c r="D13060" s="11"/>
      <c r="E13060" s="11"/>
      <c r="F13060" s="11"/>
      <c r="G13060" s="11"/>
      <c r="H13060" s="11"/>
      <c r="I13060" s="15"/>
    </row>
    <row r="13061" spans="1:9" ht="16.5">
      <c r="A13061" s="10" t="b">
        <v>0</v>
      </c>
      <c r="B13061" s="11" t="str">
        <f>IF(D13061&lt;&gt;"",IF(COUNTIF('USPTO TMs'!A:A,D13061)&gt;0,"Yes","No"),"")</f>
        <v/>
      </c>
      <c r="C13061" s="11"/>
      <c r="D13061" s="11"/>
      <c r="E13061" s="11"/>
      <c r="F13061" s="11"/>
      <c r="G13061" s="11"/>
      <c r="H13061" s="11"/>
      <c r="I13061" s="15"/>
    </row>
    <row r="13062" spans="1:9" ht="16.5">
      <c r="A13062" s="10" t="b">
        <v>0</v>
      </c>
      <c r="B13062" s="11" t="str">
        <f>IF(D13062&lt;&gt;"",IF(COUNTIF('USPTO TMs'!A:A,D13062)&gt;0,"Yes","No"),"")</f>
        <v/>
      </c>
      <c r="C13062" s="11"/>
      <c r="D13062" s="11"/>
      <c r="E13062" s="11"/>
      <c r="F13062" s="11"/>
      <c r="G13062" s="11"/>
      <c r="H13062" s="11"/>
      <c r="I13062" s="15"/>
    </row>
    <row r="13063" spans="1:9" ht="16.5">
      <c r="A13063" s="10" t="b">
        <v>0</v>
      </c>
      <c r="B13063" s="11" t="str">
        <f>IF(D13063&lt;&gt;"",IF(COUNTIF('USPTO TMs'!A:A,D13063)&gt;0,"Yes","No"),"")</f>
        <v/>
      </c>
      <c r="C13063" s="11"/>
      <c r="D13063" s="11"/>
      <c r="E13063" s="11"/>
      <c r="F13063" s="11"/>
      <c r="G13063" s="11"/>
      <c r="H13063" s="11"/>
      <c r="I13063" s="15"/>
    </row>
    <row r="13064" spans="1:9" ht="16.5">
      <c r="A13064" s="10" t="b">
        <v>0</v>
      </c>
      <c r="B13064" s="11" t="str">
        <f>IF(D13064&lt;&gt;"",IF(COUNTIF('USPTO TMs'!A:A,D13064)&gt;0,"Yes","No"),"")</f>
        <v/>
      </c>
      <c r="C13064" s="11"/>
      <c r="D13064" s="11"/>
      <c r="E13064" s="11"/>
      <c r="F13064" s="11"/>
      <c r="G13064" s="11"/>
      <c r="H13064" s="11"/>
      <c r="I13064" s="15"/>
    </row>
    <row r="13065" spans="1:9" ht="16.5">
      <c r="A13065" s="10" t="b">
        <v>0</v>
      </c>
      <c r="B13065" s="11" t="str">
        <f>IF(D13065&lt;&gt;"",IF(COUNTIF('USPTO TMs'!A:A,D13065)&gt;0,"Yes","No"),"")</f>
        <v/>
      </c>
      <c r="C13065" s="11"/>
      <c r="D13065" s="11"/>
      <c r="E13065" s="11"/>
      <c r="F13065" s="11"/>
      <c r="G13065" s="11"/>
      <c r="H13065" s="11"/>
      <c r="I13065" s="15"/>
    </row>
    <row r="13066" spans="1:9" ht="16.5">
      <c r="A13066" s="10" t="b">
        <v>0</v>
      </c>
      <c r="B13066" s="11" t="str">
        <f>IF(D13066&lt;&gt;"",IF(COUNTIF('USPTO TMs'!A:A,D13066)&gt;0,"Yes","No"),"")</f>
        <v/>
      </c>
      <c r="C13066" s="11"/>
      <c r="D13066" s="11"/>
      <c r="E13066" s="11"/>
      <c r="F13066" s="11"/>
      <c r="G13066" s="11"/>
      <c r="H13066" s="11"/>
      <c r="I13066" s="15"/>
    </row>
    <row r="13067" spans="1:9" ht="16.5">
      <c r="A13067" s="10" t="b">
        <v>0</v>
      </c>
      <c r="B13067" s="11" t="str">
        <f>IF(D13067&lt;&gt;"",IF(COUNTIF('USPTO TMs'!A:A,D13067)&gt;0,"Yes","No"),"")</f>
        <v/>
      </c>
      <c r="C13067" s="11"/>
      <c r="D13067" s="11"/>
      <c r="E13067" s="11"/>
      <c r="F13067" s="11"/>
      <c r="G13067" s="11"/>
      <c r="H13067" s="11"/>
      <c r="I13067" s="15"/>
    </row>
    <row r="13068" spans="1:9" ht="16.5">
      <c r="A13068" s="10" t="b">
        <v>0</v>
      </c>
      <c r="B13068" s="11" t="str">
        <f>IF(D13068&lt;&gt;"",IF(COUNTIF('USPTO TMs'!A:A,D13068)&gt;0,"Yes","No"),"")</f>
        <v/>
      </c>
      <c r="C13068" s="11"/>
      <c r="D13068" s="11"/>
      <c r="E13068" s="11"/>
      <c r="F13068" s="11"/>
      <c r="G13068" s="11"/>
      <c r="H13068" s="11"/>
      <c r="I13068" s="15"/>
    </row>
    <row r="13069" spans="1:9" ht="16.5">
      <c r="A13069" s="10" t="b">
        <v>0</v>
      </c>
      <c r="B13069" s="11" t="str">
        <f>IF(D13069&lt;&gt;"",IF(COUNTIF('USPTO TMs'!A:A,D13069)&gt;0,"Yes","No"),"")</f>
        <v/>
      </c>
      <c r="C13069" s="11"/>
      <c r="D13069" s="11"/>
      <c r="E13069" s="11"/>
      <c r="F13069" s="11"/>
      <c r="G13069" s="11"/>
      <c r="H13069" s="11"/>
      <c r="I13069" s="15"/>
    </row>
    <row r="13070" spans="1:9" ht="16.5">
      <c r="A13070" s="10" t="b">
        <v>0</v>
      </c>
      <c r="B13070" s="11" t="str">
        <f>IF(D13070&lt;&gt;"",IF(COUNTIF('USPTO TMs'!A:A,D13070)&gt;0,"Yes","No"),"")</f>
        <v/>
      </c>
      <c r="C13070" s="11"/>
      <c r="D13070" s="11"/>
      <c r="E13070" s="11"/>
      <c r="F13070" s="11"/>
      <c r="G13070" s="11"/>
      <c r="H13070" s="11"/>
      <c r="I13070" s="15"/>
    </row>
    <row r="13071" spans="1:9" ht="16.5">
      <c r="A13071" s="10" t="b">
        <v>0</v>
      </c>
      <c r="B13071" s="11" t="str">
        <f>IF(D13071&lt;&gt;"",IF(COUNTIF('USPTO TMs'!A:A,D13071)&gt;0,"Yes","No"),"")</f>
        <v/>
      </c>
      <c r="C13071" s="11"/>
      <c r="D13071" s="11"/>
      <c r="E13071" s="11"/>
      <c r="F13071" s="11"/>
      <c r="G13071" s="11"/>
      <c r="H13071" s="11"/>
      <c r="I13071" s="15"/>
    </row>
    <row r="13072" spans="1:9" ht="16.5">
      <c r="A13072" s="10" t="b">
        <v>0</v>
      </c>
      <c r="B13072" s="11" t="str">
        <f>IF(D13072&lt;&gt;"",IF(COUNTIF('USPTO TMs'!A:A,D13072)&gt;0,"Yes","No"),"")</f>
        <v/>
      </c>
      <c r="C13072" s="11"/>
      <c r="D13072" s="11"/>
      <c r="E13072" s="11"/>
      <c r="F13072" s="11"/>
      <c r="G13072" s="11"/>
      <c r="H13072" s="11"/>
      <c r="I13072" s="15"/>
    </row>
    <row r="13073" spans="1:9" ht="16.5">
      <c r="A13073" s="10" t="b">
        <v>0</v>
      </c>
      <c r="B13073" s="11" t="str">
        <f>IF(D13073&lt;&gt;"",IF(COUNTIF('USPTO TMs'!A:A,D13073)&gt;0,"Yes","No"),"")</f>
        <v/>
      </c>
      <c r="C13073" s="11"/>
      <c r="D13073" s="11"/>
      <c r="E13073" s="11"/>
      <c r="F13073" s="11"/>
      <c r="G13073" s="11"/>
      <c r="H13073" s="11"/>
      <c r="I13073" s="15"/>
    </row>
    <row r="13074" spans="1:9" ht="16.5">
      <c r="A13074" s="10" t="b">
        <v>0</v>
      </c>
      <c r="B13074" s="11" t="str">
        <f>IF(D13074&lt;&gt;"",IF(COUNTIF('USPTO TMs'!A:A,D13074)&gt;0,"Yes","No"),"")</f>
        <v/>
      </c>
      <c r="C13074" s="11"/>
      <c r="D13074" s="11"/>
      <c r="E13074" s="11"/>
      <c r="F13074" s="11"/>
      <c r="G13074" s="11"/>
      <c r="H13074" s="11"/>
      <c r="I13074" s="15"/>
    </row>
    <row r="13075" spans="1:9" ht="16.5">
      <c r="A13075" s="10" t="b">
        <v>0</v>
      </c>
      <c r="B13075" s="11" t="str">
        <f>IF(D13075&lt;&gt;"",IF(COUNTIF('USPTO TMs'!A:A,D13075)&gt;0,"Yes","No"),"")</f>
        <v/>
      </c>
      <c r="C13075" s="11"/>
      <c r="D13075" s="11"/>
      <c r="E13075" s="11"/>
      <c r="F13075" s="11"/>
      <c r="G13075" s="11"/>
      <c r="H13075" s="11"/>
      <c r="I13075" s="15"/>
    </row>
    <row r="13076" spans="1:9" ht="16.5">
      <c r="A13076" s="10" t="b">
        <v>0</v>
      </c>
      <c r="B13076" s="11" t="str">
        <f>IF(D13076&lt;&gt;"",IF(COUNTIF('USPTO TMs'!A:A,D13076)&gt;0,"Yes","No"),"")</f>
        <v/>
      </c>
      <c r="C13076" s="11"/>
      <c r="D13076" s="11"/>
      <c r="E13076" s="11"/>
      <c r="F13076" s="11"/>
      <c r="G13076" s="11"/>
      <c r="H13076" s="11"/>
      <c r="I13076" s="15"/>
    </row>
    <row r="13077" spans="1:9" ht="16.5">
      <c r="A13077" s="10" t="b">
        <v>0</v>
      </c>
      <c r="B13077" s="11" t="str">
        <f>IF(D13077&lt;&gt;"",IF(COUNTIF('USPTO TMs'!A:A,D13077)&gt;0,"Yes","No"),"")</f>
        <v/>
      </c>
      <c r="C13077" s="11"/>
      <c r="D13077" s="11"/>
      <c r="E13077" s="11"/>
      <c r="F13077" s="11"/>
      <c r="G13077" s="11"/>
      <c r="H13077" s="11"/>
      <c r="I13077" s="15"/>
    </row>
    <row r="13078" spans="1:9" ht="16.5">
      <c r="A13078" s="10" t="b">
        <v>0</v>
      </c>
      <c r="B13078" s="11" t="str">
        <f>IF(D13078&lt;&gt;"",IF(COUNTIF('USPTO TMs'!A:A,D13078)&gt;0,"Yes","No"),"")</f>
        <v/>
      </c>
      <c r="C13078" s="11"/>
      <c r="D13078" s="11"/>
      <c r="E13078" s="11"/>
      <c r="F13078" s="11"/>
      <c r="G13078" s="11"/>
      <c r="H13078" s="11"/>
      <c r="I13078" s="15"/>
    </row>
    <row r="13079" spans="1:9" ht="16.5">
      <c r="A13079" s="10" t="b">
        <v>0</v>
      </c>
      <c r="B13079" s="11" t="str">
        <f>IF(D13079&lt;&gt;"",IF(COUNTIF('USPTO TMs'!A:A,D13079)&gt;0,"Yes","No"),"")</f>
        <v/>
      </c>
      <c r="C13079" s="11"/>
      <c r="D13079" s="11"/>
      <c r="E13079" s="11"/>
      <c r="F13079" s="11"/>
      <c r="G13079" s="11"/>
      <c r="H13079" s="11"/>
      <c r="I13079" s="15"/>
    </row>
    <row r="13080" spans="1:9" ht="16.5">
      <c r="A13080" s="10" t="b">
        <v>0</v>
      </c>
      <c r="B13080" s="11" t="str">
        <f>IF(D13080&lt;&gt;"",IF(COUNTIF('USPTO TMs'!A:A,D13080)&gt;0,"Yes","No"),"")</f>
        <v/>
      </c>
      <c r="C13080" s="11"/>
      <c r="D13080" s="11"/>
      <c r="E13080" s="11"/>
      <c r="F13080" s="11"/>
      <c r="G13080" s="11"/>
      <c r="H13080" s="11"/>
      <c r="I13080" s="15"/>
    </row>
    <row r="13081" spans="1:9" ht="16.5">
      <c r="A13081" s="10" t="b">
        <v>0</v>
      </c>
      <c r="B13081" s="11" t="str">
        <f>IF(D13081&lt;&gt;"",IF(COUNTIF('USPTO TMs'!A:A,D13081)&gt;0,"Yes","No"),"")</f>
        <v/>
      </c>
      <c r="C13081" s="11"/>
      <c r="D13081" s="11"/>
      <c r="E13081" s="11"/>
      <c r="F13081" s="11"/>
      <c r="G13081" s="11"/>
      <c r="H13081" s="11"/>
      <c r="I13081" s="15"/>
    </row>
    <row r="13082" spans="1:9" ht="16.5">
      <c r="A13082" s="10" t="b">
        <v>0</v>
      </c>
      <c r="B13082" s="11" t="str">
        <f>IF(D13082&lt;&gt;"",IF(COUNTIF('USPTO TMs'!A:A,D13082)&gt;0,"Yes","No"),"")</f>
        <v/>
      </c>
      <c r="C13082" s="11"/>
      <c r="D13082" s="11"/>
      <c r="E13082" s="11"/>
      <c r="F13082" s="11"/>
      <c r="G13082" s="11"/>
      <c r="H13082" s="11"/>
      <c r="I13082" s="15"/>
    </row>
    <row r="13083" spans="1:9" ht="16.5">
      <c r="A13083" s="10" t="b">
        <v>0</v>
      </c>
      <c r="B13083" s="11" t="str">
        <f>IF(D13083&lt;&gt;"",IF(COUNTIF('USPTO TMs'!A:A,D13083)&gt;0,"Yes","No"),"")</f>
        <v/>
      </c>
      <c r="C13083" s="11"/>
      <c r="D13083" s="11"/>
      <c r="E13083" s="11"/>
      <c r="F13083" s="11"/>
      <c r="G13083" s="11"/>
      <c r="H13083" s="11"/>
      <c r="I13083" s="15"/>
    </row>
    <row r="13084" spans="1:9" ht="16.5">
      <c r="A13084" s="10" t="b">
        <v>0</v>
      </c>
      <c r="B13084" s="11" t="str">
        <f>IF(D13084&lt;&gt;"",IF(COUNTIF('USPTO TMs'!A:A,D13084)&gt;0,"Yes","No"),"")</f>
        <v/>
      </c>
      <c r="C13084" s="11"/>
      <c r="D13084" s="11"/>
      <c r="E13084" s="11"/>
      <c r="F13084" s="11"/>
      <c r="G13084" s="11"/>
      <c r="H13084" s="11"/>
      <c r="I13084" s="15"/>
    </row>
    <row r="13085" spans="1:9" ht="16.5">
      <c r="A13085" s="10" t="b">
        <v>0</v>
      </c>
      <c r="B13085" s="11" t="str">
        <f>IF(D13085&lt;&gt;"",IF(COUNTIF('USPTO TMs'!A:A,D13085)&gt;0,"Yes","No"),"")</f>
        <v/>
      </c>
      <c r="C13085" s="11"/>
      <c r="D13085" s="11"/>
      <c r="E13085" s="11"/>
      <c r="F13085" s="11"/>
      <c r="G13085" s="11"/>
      <c r="H13085" s="11"/>
      <c r="I13085" s="15"/>
    </row>
    <row r="13086" spans="1:9" ht="16.5">
      <c r="A13086" s="10" t="b">
        <v>0</v>
      </c>
      <c r="B13086" s="11" t="str">
        <f>IF(D13086&lt;&gt;"",IF(COUNTIF('USPTO TMs'!A:A,D13086)&gt;0,"Yes","No"),"")</f>
        <v/>
      </c>
      <c r="C13086" s="11"/>
      <c r="D13086" s="11"/>
      <c r="E13086" s="11"/>
      <c r="F13086" s="11"/>
      <c r="G13086" s="11"/>
      <c r="H13086" s="11"/>
      <c r="I13086" s="15"/>
    </row>
    <row r="13087" spans="1:9" ht="16.5">
      <c r="A13087" s="10" t="b">
        <v>0</v>
      </c>
      <c r="B13087" s="11" t="str">
        <f>IF(D13087&lt;&gt;"",IF(COUNTIF('USPTO TMs'!A:A,D13087)&gt;0,"Yes","No"),"")</f>
        <v/>
      </c>
      <c r="C13087" s="11"/>
      <c r="D13087" s="11"/>
      <c r="E13087" s="11"/>
      <c r="F13087" s="11"/>
      <c r="G13087" s="11"/>
      <c r="H13087" s="11"/>
      <c r="I13087" s="15"/>
    </row>
    <row r="13088" spans="1:9" ht="16.5">
      <c r="A13088" s="10" t="b">
        <v>0</v>
      </c>
      <c r="B13088" s="11" t="str">
        <f>IF(D13088&lt;&gt;"",IF(COUNTIF('USPTO TMs'!A:A,D13088)&gt;0,"Yes","No"),"")</f>
        <v/>
      </c>
      <c r="C13088" s="11"/>
      <c r="D13088" s="11"/>
      <c r="E13088" s="11"/>
      <c r="F13088" s="11"/>
      <c r="G13088" s="11"/>
      <c r="H13088" s="11"/>
      <c r="I13088" s="15"/>
    </row>
    <row r="13089" spans="1:9" ht="16.5">
      <c r="A13089" s="10" t="b">
        <v>0</v>
      </c>
      <c r="B13089" s="11" t="str">
        <f>IF(D13089&lt;&gt;"",IF(COUNTIF('USPTO TMs'!A:A,D13089)&gt;0,"Yes","No"),"")</f>
        <v/>
      </c>
      <c r="C13089" s="11"/>
      <c r="D13089" s="11"/>
      <c r="E13089" s="11"/>
      <c r="F13089" s="11"/>
      <c r="G13089" s="11"/>
      <c r="H13089" s="11"/>
      <c r="I13089" s="15"/>
    </row>
    <row r="13090" spans="1:9" ht="16.5">
      <c r="A13090" s="10" t="b">
        <v>0</v>
      </c>
      <c r="B13090" s="11" t="str">
        <f>IF(D13090&lt;&gt;"",IF(COUNTIF('USPTO TMs'!A:A,D13090)&gt;0,"Yes","No"),"")</f>
        <v/>
      </c>
      <c r="C13090" s="11"/>
      <c r="D13090" s="11"/>
      <c r="E13090" s="11"/>
      <c r="F13090" s="11"/>
      <c r="G13090" s="11"/>
      <c r="H13090" s="11"/>
      <c r="I13090" s="15"/>
    </row>
    <row r="13091" spans="1:9" ht="16.5">
      <c r="A13091" s="10" t="b">
        <v>0</v>
      </c>
      <c r="B13091" s="11" t="str">
        <f>IF(D13091&lt;&gt;"",IF(COUNTIF('USPTO TMs'!A:A,D13091)&gt;0,"Yes","No"),"")</f>
        <v/>
      </c>
      <c r="C13091" s="11"/>
      <c r="D13091" s="11"/>
      <c r="E13091" s="11"/>
      <c r="F13091" s="11"/>
      <c r="G13091" s="11"/>
      <c r="H13091" s="11"/>
      <c r="I13091" s="15"/>
    </row>
    <row r="13092" spans="1:9" ht="16.5">
      <c r="A13092" s="10" t="b">
        <v>0</v>
      </c>
      <c r="B13092" s="11" t="str">
        <f>IF(D13092&lt;&gt;"",IF(COUNTIF('USPTO TMs'!A:A,D13092)&gt;0,"Yes","No"),"")</f>
        <v/>
      </c>
      <c r="C13092" s="11"/>
      <c r="D13092" s="11"/>
      <c r="E13092" s="11"/>
      <c r="F13092" s="11"/>
      <c r="G13092" s="11"/>
      <c r="H13092" s="11"/>
      <c r="I13092" s="15"/>
    </row>
    <row r="13093" spans="1:9" ht="16.5">
      <c r="A13093" s="10" t="b">
        <v>0</v>
      </c>
      <c r="B13093" s="11" t="str">
        <f>IF(D13093&lt;&gt;"",IF(COUNTIF('USPTO TMs'!A:A,D13093)&gt;0,"Yes","No"),"")</f>
        <v/>
      </c>
      <c r="C13093" s="11"/>
      <c r="D13093" s="11"/>
      <c r="E13093" s="11"/>
      <c r="F13093" s="11"/>
      <c r="G13093" s="11"/>
      <c r="H13093" s="11"/>
      <c r="I13093" s="15"/>
    </row>
    <row r="13094" spans="1:9" ht="16.5">
      <c r="A13094" s="10" t="b">
        <v>0</v>
      </c>
      <c r="B13094" s="11" t="str">
        <f>IF(D13094&lt;&gt;"",IF(COUNTIF('USPTO TMs'!A:A,D13094)&gt;0,"Yes","No"),"")</f>
        <v/>
      </c>
      <c r="C13094" s="11"/>
      <c r="D13094" s="11"/>
      <c r="E13094" s="11"/>
      <c r="F13094" s="11"/>
      <c r="G13094" s="11"/>
      <c r="H13094" s="11"/>
      <c r="I13094" s="15"/>
    </row>
    <row r="13095" spans="1:9" ht="16.5">
      <c r="A13095" s="10" t="b">
        <v>0</v>
      </c>
      <c r="B13095" s="11" t="str">
        <f>IF(D13095&lt;&gt;"",IF(COUNTIF('USPTO TMs'!A:A,D13095)&gt;0,"Yes","No"),"")</f>
        <v/>
      </c>
      <c r="C13095" s="11"/>
      <c r="D13095" s="11"/>
      <c r="E13095" s="11"/>
      <c r="F13095" s="11"/>
      <c r="G13095" s="11"/>
      <c r="H13095" s="11"/>
      <c r="I13095" s="15"/>
    </row>
    <row r="13096" spans="1:9" ht="16.5">
      <c r="A13096" s="10" t="b">
        <v>0</v>
      </c>
      <c r="B13096" s="11" t="str">
        <f>IF(D13096&lt;&gt;"",IF(COUNTIF('USPTO TMs'!A:A,D13096)&gt;0,"Yes","No"),"")</f>
        <v/>
      </c>
      <c r="C13096" s="11"/>
      <c r="D13096" s="11"/>
      <c r="E13096" s="11"/>
      <c r="F13096" s="11"/>
      <c r="G13096" s="11"/>
      <c r="H13096" s="11"/>
      <c r="I13096" s="15"/>
    </row>
    <row r="13097" spans="1:9" ht="16.5">
      <c r="A13097" s="10" t="b">
        <v>0</v>
      </c>
      <c r="B13097" s="11" t="str">
        <f>IF(D13097&lt;&gt;"",IF(COUNTIF('USPTO TMs'!A:A,D13097)&gt;0,"Yes","No"),"")</f>
        <v/>
      </c>
      <c r="C13097" s="11"/>
      <c r="D13097" s="11"/>
      <c r="E13097" s="11"/>
      <c r="F13097" s="11"/>
      <c r="G13097" s="11"/>
      <c r="H13097" s="11"/>
      <c r="I13097" s="15"/>
    </row>
    <row r="13098" spans="1:9" ht="16.5">
      <c r="A13098" s="10" t="b">
        <v>0</v>
      </c>
      <c r="B13098" s="11" t="str">
        <f>IF(D13098&lt;&gt;"",IF(COUNTIF('USPTO TMs'!A:A,D13098)&gt;0,"Yes","No"),"")</f>
        <v/>
      </c>
      <c r="C13098" s="11"/>
      <c r="D13098" s="11"/>
      <c r="E13098" s="11"/>
      <c r="F13098" s="11"/>
      <c r="G13098" s="11"/>
      <c r="H13098" s="11"/>
      <c r="I13098" s="15"/>
    </row>
    <row r="13099" spans="1:9" ht="16.5">
      <c r="A13099" s="10" t="b">
        <v>0</v>
      </c>
      <c r="B13099" s="11" t="str">
        <f>IF(D13099&lt;&gt;"",IF(COUNTIF('USPTO TMs'!A:A,D13099)&gt;0,"Yes","No"),"")</f>
        <v/>
      </c>
      <c r="C13099" s="11"/>
      <c r="D13099" s="11"/>
      <c r="E13099" s="11"/>
      <c r="F13099" s="11"/>
      <c r="G13099" s="11"/>
      <c r="H13099" s="11"/>
      <c r="I13099" s="15"/>
    </row>
    <row r="13100" spans="1:9" ht="16.5">
      <c r="A13100" s="10" t="b">
        <v>0</v>
      </c>
      <c r="B13100" s="11" t="str">
        <f>IF(D13100&lt;&gt;"",IF(COUNTIF('USPTO TMs'!A:A,D13100)&gt;0,"Yes","No"),"")</f>
        <v/>
      </c>
      <c r="C13100" s="11"/>
      <c r="D13100" s="11"/>
      <c r="E13100" s="11"/>
      <c r="F13100" s="11"/>
      <c r="G13100" s="11"/>
      <c r="H13100" s="11"/>
      <c r="I13100" s="15"/>
    </row>
    <row r="13101" spans="1:9" ht="16.5">
      <c r="A13101" s="10" t="b">
        <v>0</v>
      </c>
      <c r="B13101" s="11" t="str">
        <f>IF(D13101&lt;&gt;"",IF(COUNTIF('USPTO TMs'!A:A,D13101)&gt;0,"Yes","No"),"")</f>
        <v/>
      </c>
      <c r="C13101" s="11"/>
      <c r="D13101" s="11"/>
      <c r="E13101" s="11"/>
      <c r="F13101" s="11"/>
      <c r="G13101" s="11"/>
      <c r="H13101" s="11"/>
      <c r="I13101" s="15"/>
    </row>
    <row r="13102" spans="1:9" ht="16.5">
      <c r="A13102" s="10" t="b">
        <v>0</v>
      </c>
      <c r="B13102" s="11" t="str">
        <f>IF(D13102&lt;&gt;"",IF(COUNTIF('USPTO TMs'!A:A,D13102)&gt;0,"Yes","No"),"")</f>
        <v/>
      </c>
      <c r="C13102" s="11"/>
      <c r="D13102" s="11"/>
      <c r="E13102" s="11"/>
      <c r="F13102" s="11"/>
      <c r="G13102" s="11"/>
      <c r="H13102" s="11"/>
      <c r="I13102" s="15"/>
    </row>
    <row r="13103" spans="1:9" ht="16.5">
      <c r="A13103" s="10" t="b">
        <v>0</v>
      </c>
      <c r="B13103" s="11" t="str">
        <f>IF(D13103&lt;&gt;"",IF(COUNTIF('USPTO TMs'!A:A,D13103)&gt;0,"Yes","No"),"")</f>
        <v/>
      </c>
      <c r="C13103" s="11"/>
      <c r="D13103" s="11"/>
      <c r="E13103" s="11"/>
      <c r="F13103" s="11"/>
      <c r="G13103" s="11"/>
      <c r="H13103" s="11"/>
      <c r="I13103" s="15"/>
    </row>
    <row r="13104" spans="1:9" ht="16.5">
      <c r="A13104" s="10" t="b">
        <v>0</v>
      </c>
      <c r="B13104" s="11" t="str">
        <f>IF(D13104&lt;&gt;"",IF(COUNTIF('USPTO TMs'!A:A,D13104)&gt;0,"Yes","No"),"")</f>
        <v/>
      </c>
      <c r="C13104" s="11"/>
      <c r="D13104" s="11"/>
      <c r="E13104" s="11"/>
      <c r="F13104" s="11"/>
      <c r="G13104" s="11"/>
      <c r="H13104" s="11"/>
      <c r="I13104" s="15"/>
    </row>
    <row r="13105" spans="1:9" ht="16.5">
      <c r="A13105" s="10" t="b">
        <v>0</v>
      </c>
      <c r="B13105" s="11" t="str">
        <f>IF(D13105&lt;&gt;"",IF(COUNTIF('USPTO TMs'!A:A,D13105)&gt;0,"Yes","No"),"")</f>
        <v/>
      </c>
      <c r="C13105" s="11"/>
      <c r="D13105" s="11"/>
      <c r="E13105" s="11"/>
      <c r="F13105" s="11"/>
      <c r="G13105" s="11"/>
      <c r="H13105" s="11"/>
      <c r="I13105" s="15"/>
    </row>
    <row r="13106" spans="1:9" ht="16.5">
      <c r="A13106" s="10" t="b">
        <v>0</v>
      </c>
      <c r="B13106" s="11" t="str">
        <f>IF(D13106&lt;&gt;"",IF(COUNTIF('USPTO TMs'!A:A,D13106)&gt;0,"Yes","No"),"")</f>
        <v/>
      </c>
      <c r="C13106" s="11"/>
      <c r="D13106" s="11"/>
      <c r="E13106" s="11"/>
      <c r="F13106" s="11"/>
      <c r="G13106" s="11"/>
      <c r="H13106" s="11"/>
      <c r="I13106" s="15"/>
    </row>
    <row r="13107" spans="1:9" ht="16.5">
      <c r="A13107" s="10" t="b">
        <v>0</v>
      </c>
      <c r="B13107" s="11" t="str">
        <f>IF(D13107&lt;&gt;"",IF(COUNTIF('USPTO TMs'!A:A,D13107)&gt;0,"Yes","No"),"")</f>
        <v/>
      </c>
      <c r="C13107" s="11"/>
      <c r="D13107" s="11"/>
      <c r="E13107" s="11"/>
      <c r="F13107" s="11"/>
      <c r="G13107" s="11"/>
      <c r="H13107" s="11"/>
      <c r="I13107" s="15"/>
    </row>
    <row r="13108" spans="1:9" ht="16.5">
      <c r="A13108" s="10" t="b">
        <v>0</v>
      </c>
      <c r="B13108" s="11" t="str">
        <f>IF(D13108&lt;&gt;"",IF(COUNTIF('USPTO TMs'!A:A,D13108)&gt;0,"Yes","No"),"")</f>
        <v/>
      </c>
      <c r="C13108" s="11"/>
      <c r="D13108" s="11"/>
      <c r="E13108" s="11"/>
      <c r="F13108" s="11"/>
      <c r="G13108" s="11"/>
      <c r="H13108" s="11"/>
      <c r="I13108" s="15"/>
    </row>
    <row r="13109" spans="1:9" ht="16.5">
      <c r="A13109" s="10" t="b">
        <v>0</v>
      </c>
      <c r="B13109" s="11" t="str">
        <f>IF(D13109&lt;&gt;"",IF(COUNTIF('USPTO TMs'!A:A,D13109)&gt;0,"Yes","No"),"")</f>
        <v/>
      </c>
      <c r="C13109" s="11"/>
      <c r="D13109" s="11"/>
      <c r="E13109" s="11"/>
      <c r="F13109" s="11"/>
      <c r="G13109" s="11"/>
      <c r="H13109" s="11"/>
      <c r="I13109" s="15"/>
    </row>
    <row r="13110" spans="1:9" ht="16.5">
      <c r="A13110" s="10" t="b">
        <v>0</v>
      </c>
      <c r="B13110" s="11" t="str">
        <f>IF(D13110&lt;&gt;"",IF(COUNTIF('USPTO TMs'!A:A,D13110)&gt;0,"Yes","No"),"")</f>
        <v/>
      </c>
      <c r="C13110" s="11"/>
      <c r="D13110" s="11"/>
      <c r="E13110" s="11"/>
      <c r="F13110" s="11"/>
      <c r="G13110" s="11"/>
      <c r="H13110" s="11"/>
      <c r="I13110" s="15"/>
    </row>
    <row r="13111" spans="1:9" ht="16.5">
      <c r="A13111" s="10" t="b">
        <v>0</v>
      </c>
      <c r="B13111" s="11" t="str">
        <f>IF(D13111&lt;&gt;"",IF(COUNTIF('USPTO TMs'!A:A,D13111)&gt;0,"Yes","No"),"")</f>
        <v/>
      </c>
      <c r="C13111" s="11"/>
      <c r="D13111" s="11"/>
      <c r="E13111" s="11"/>
      <c r="F13111" s="11"/>
      <c r="G13111" s="11"/>
      <c r="H13111" s="11"/>
      <c r="I13111" s="15"/>
    </row>
    <row r="13112" spans="1:9" ht="16.5">
      <c r="A13112" s="10" t="b">
        <v>0</v>
      </c>
      <c r="B13112" s="11" t="str">
        <f>IF(D13112&lt;&gt;"",IF(COUNTIF('USPTO TMs'!A:A,D13112)&gt;0,"Yes","No"),"")</f>
        <v/>
      </c>
      <c r="C13112" s="11"/>
      <c r="D13112" s="11"/>
      <c r="E13112" s="11"/>
      <c r="F13112" s="11"/>
      <c r="G13112" s="11"/>
      <c r="H13112" s="11"/>
      <c r="I13112" s="15"/>
    </row>
    <row r="13113" spans="1:9" ht="16.5">
      <c r="A13113" s="10" t="b">
        <v>0</v>
      </c>
      <c r="B13113" s="11" t="str">
        <f>IF(D13113&lt;&gt;"",IF(COUNTIF('USPTO TMs'!A:A,D13113)&gt;0,"Yes","No"),"")</f>
        <v/>
      </c>
      <c r="C13113" s="11"/>
      <c r="D13113" s="11"/>
      <c r="E13113" s="11"/>
      <c r="F13113" s="11"/>
      <c r="G13113" s="11"/>
      <c r="H13113" s="11"/>
      <c r="I13113" s="15"/>
    </row>
    <row r="13114" spans="1:9" ht="16.5">
      <c r="A13114" s="10" t="b">
        <v>0</v>
      </c>
      <c r="B13114" s="11" t="str">
        <f>IF(D13114&lt;&gt;"",IF(COUNTIF('USPTO TMs'!A:A,D13114)&gt;0,"Yes","No"),"")</f>
        <v/>
      </c>
      <c r="C13114" s="11"/>
      <c r="D13114" s="11"/>
      <c r="E13114" s="11"/>
      <c r="F13114" s="11"/>
      <c r="G13114" s="11"/>
      <c r="H13114" s="11"/>
      <c r="I13114" s="15"/>
    </row>
    <row r="13115" spans="1:9" ht="16.5">
      <c r="A13115" s="10" t="b">
        <v>0</v>
      </c>
      <c r="B13115" s="11" t="str">
        <f>IF(D13115&lt;&gt;"",IF(COUNTIF('USPTO TMs'!A:A,D13115)&gt;0,"Yes","No"),"")</f>
        <v/>
      </c>
      <c r="C13115" s="11"/>
      <c r="D13115" s="11"/>
      <c r="E13115" s="11"/>
      <c r="F13115" s="11"/>
      <c r="G13115" s="11"/>
      <c r="H13115" s="11"/>
      <c r="I13115" s="15"/>
    </row>
    <row r="13116" spans="1:9" ht="16.5">
      <c r="A13116" s="10" t="b">
        <v>0</v>
      </c>
      <c r="B13116" s="11" t="str">
        <f>IF(D13116&lt;&gt;"",IF(COUNTIF('USPTO TMs'!A:A,D13116)&gt;0,"Yes","No"),"")</f>
        <v/>
      </c>
      <c r="C13116" s="11"/>
      <c r="D13116" s="11"/>
      <c r="E13116" s="11"/>
      <c r="F13116" s="11"/>
      <c r="G13116" s="11"/>
      <c r="H13116" s="11"/>
      <c r="I13116" s="15"/>
    </row>
    <row r="13117" spans="1:9" ht="16.5">
      <c r="A13117" s="10" t="b">
        <v>0</v>
      </c>
      <c r="B13117" s="11" t="str">
        <f>IF(D13117&lt;&gt;"",IF(COUNTIF('USPTO TMs'!A:A,D13117)&gt;0,"Yes","No"),"")</f>
        <v/>
      </c>
      <c r="C13117" s="11"/>
      <c r="D13117" s="11"/>
      <c r="E13117" s="11"/>
      <c r="F13117" s="11"/>
      <c r="G13117" s="11"/>
      <c r="H13117" s="11"/>
      <c r="I13117" s="15"/>
    </row>
    <row r="13118" spans="1:9" ht="16.5">
      <c r="A13118" s="10" t="b">
        <v>0</v>
      </c>
      <c r="B13118" s="11" t="str">
        <f>IF(D13118&lt;&gt;"",IF(COUNTIF('USPTO TMs'!A:A,D13118)&gt;0,"Yes","No"),"")</f>
        <v/>
      </c>
      <c r="C13118" s="11"/>
      <c r="D13118" s="11"/>
      <c r="E13118" s="11"/>
      <c r="F13118" s="11"/>
      <c r="G13118" s="11"/>
      <c r="H13118" s="11"/>
      <c r="I13118" s="15"/>
    </row>
    <row r="13119" spans="1:9" ht="16.5">
      <c r="A13119" s="10" t="b">
        <v>0</v>
      </c>
      <c r="B13119" s="11" t="str">
        <f>IF(D13119&lt;&gt;"",IF(COUNTIF('USPTO TMs'!A:A,D13119)&gt;0,"Yes","No"),"")</f>
        <v/>
      </c>
      <c r="C13119" s="11"/>
      <c r="D13119" s="11"/>
      <c r="E13119" s="11"/>
      <c r="F13119" s="11"/>
      <c r="G13119" s="11"/>
      <c r="H13119" s="11"/>
      <c r="I13119" s="15"/>
    </row>
    <row r="13120" spans="1:9" ht="16.5">
      <c r="A13120" s="10" t="b">
        <v>0</v>
      </c>
      <c r="B13120" s="11" t="str">
        <f>IF(D13120&lt;&gt;"",IF(COUNTIF('USPTO TMs'!A:A,D13120)&gt;0,"Yes","No"),"")</f>
        <v/>
      </c>
      <c r="C13120" s="11"/>
      <c r="D13120" s="11"/>
      <c r="E13120" s="11"/>
      <c r="F13120" s="11"/>
      <c r="G13120" s="11"/>
      <c r="H13120" s="11"/>
      <c r="I13120" s="15"/>
    </row>
    <row r="13121" spans="1:9" ht="16.5">
      <c r="A13121" s="10" t="b">
        <v>0</v>
      </c>
      <c r="B13121" s="11" t="str">
        <f>IF(D13121&lt;&gt;"",IF(COUNTIF('USPTO TMs'!A:A,D13121)&gt;0,"Yes","No"),"")</f>
        <v/>
      </c>
      <c r="C13121" s="11"/>
      <c r="D13121" s="11"/>
      <c r="E13121" s="11"/>
      <c r="F13121" s="11"/>
      <c r="G13121" s="11"/>
      <c r="H13121" s="11"/>
      <c r="I13121" s="15"/>
    </row>
    <row r="13122" spans="1:9" ht="16.5">
      <c r="A13122" s="10" t="b">
        <v>0</v>
      </c>
      <c r="B13122" s="11" t="str">
        <f>IF(D13122&lt;&gt;"",IF(COUNTIF('USPTO TMs'!A:A,D13122)&gt;0,"Yes","No"),"")</f>
        <v/>
      </c>
      <c r="C13122" s="11"/>
      <c r="D13122" s="11"/>
      <c r="E13122" s="11"/>
      <c r="F13122" s="11"/>
      <c r="G13122" s="11"/>
      <c r="H13122" s="11"/>
      <c r="I13122" s="15"/>
    </row>
    <row r="13123" spans="1:9" ht="16.5">
      <c r="A13123" s="10" t="b">
        <v>0</v>
      </c>
      <c r="B13123" s="11" t="str">
        <f>IF(D13123&lt;&gt;"",IF(COUNTIF('USPTO TMs'!A:A,D13123)&gt;0,"Yes","No"),"")</f>
        <v/>
      </c>
      <c r="C13123" s="11"/>
      <c r="D13123" s="11"/>
      <c r="E13123" s="11"/>
      <c r="F13123" s="11"/>
      <c r="G13123" s="11"/>
      <c r="H13123" s="11"/>
      <c r="I13123" s="15"/>
    </row>
    <row r="13124" spans="1:9" ht="16.5">
      <c r="A13124" s="10" t="b">
        <v>0</v>
      </c>
      <c r="B13124" s="11" t="str">
        <f>IF(D13124&lt;&gt;"",IF(COUNTIF('USPTO TMs'!A:A,D13124)&gt;0,"Yes","No"),"")</f>
        <v/>
      </c>
      <c r="C13124" s="11"/>
      <c r="D13124" s="11"/>
      <c r="E13124" s="11"/>
      <c r="F13124" s="11"/>
      <c r="G13124" s="11"/>
      <c r="H13124" s="11"/>
      <c r="I13124" s="15"/>
    </row>
    <row r="13125" spans="1:9" ht="16.5">
      <c r="A13125" s="10" t="b">
        <v>0</v>
      </c>
      <c r="B13125" s="11" t="str">
        <f>IF(D13125&lt;&gt;"",IF(COUNTIF('USPTO TMs'!A:A,D13125)&gt;0,"Yes","No"),"")</f>
        <v/>
      </c>
      <c r="C13125" s="11"/>
      <c r="D13125" s="11"/>
      <c r="E13125" s="11"/>
      <c r="F13125" s="11"/>
      <c r="G13125" s="11"/>
      <c r="H13125" s="11"/>
      <c r="I13125" s="15"/>
    </row>
    <row r="13126" spans="1:9" ht="16.5">
      <c r="A13126" s="10" t="b">
        <v>0</v>
      </c>
      <c r="B13126" s="11" t="str">
        <f>IF(D13126&lt;&gt;"",IF(COUNTIF('USPTO TMs'!A:A,D13126)&gt;0,"Yes","No"),"")</f>
        <v/>
      </c>
      <c r="C13126" s="11"/>
      <c r="D13126" s="11"/>
      <c r="E13126" s="11"/>
      <c r="F13126" s="11"/>
      <c r="G13126" s="11"/>
      <c r="H13126" s="11"/>
      <c r="I13126" s="15"/>
    </row>
    <row r="13127" spans="1:9" ht="16.5">
      <c r="A13127" s="10" t="b">
        <v>0</v>
      </c>
      <c r="B13127" s="11" t="str">
        <f>IF(D13127&lt;&gt;"",IF(COUNTIF('USPTO TMs'!A:A,D13127)&gt;0,"Yes","No"),"")</f>
        <v/>
      </c>
      <c r="C13127" s="11"/>
      <c r="D13127" s="11"/>
      <c r="E13127" s="11"/>
      <c r="F13127" s="11"/>
      <c r="G13127" s="11"/>
      <c r="H13127" s="11"/>
      <c r="I13127" s="15"/>
    </row>
    <row r="13128" spans="1:9" ht="16.5">
      <c r="A13128" s="10" t="b">
        <v>0</v>
      </c>
      <c r="B13128" s="11" t="str">
        <f>IF(D13128&lt;&gt;"",IF(COUNTIF('USPTO TMs'!A:A,D13128)&gt;0,"Yes","No"),"")</f>
        <v/>
      </c>
      <c r="C13128" s="11"/>
      <c r="D13128" s="11"/>
      <c r="E13128" s="11"/>
      <c r="F13128" s="11"/>
      <c r="G13128" s="11"/>
      <c r="H13128" s="11"/>
      <c r="I13128" s="15"/>
    </row>
    <row r="13129" spans="1:9" ht="16.5">
      <c r="A13129" s="10" t="b">
        <v>0</v>
      </c>
      <c r="B13129" s="11" t="str">
        <f>IF(D13129&lt;&gt;"",IF(COUNTIF('USPTO TMs'!A:A,D13129)&gt;0,"Yes","No"),"")</f>
        <v/>
      </c>
      <c r="C13129" s="11"/>
      <c r="D13129" s="11"/>
      <c r="E13129" s="11"/>
      <c r="F13129" s="11"/>
      <c r="G13129" s="11"/>
      <c r="H13129" s="11"/>
      <c r="I13129" s="15"/>
    </row>
    <row r="13130" spans="1:9" ht="16.5">
      <c r="A13130" s="10" t="b">
        <v>0</v>
      </c>
      <c r="B13130" s="11" t="str">
        <f>IF(D13130&lt;&gt;"",IF(COUNTIF('USPTO TMs'!A:A,D13130)&gt;0,"Yes","No"),"")</f>
        <v/>
      </c>
      <c r="C13130" s="11"/>
      <c r="D13130" s="11"/>
      <c r="E13130" s="11"/>
      <c r="F13130" s="11"/>
      <c r="G13130" s="11"/>
      <c r="H13130" s="11"/>
      <c r="I13130" s="15"/>
    </row>
    <row r="13131" spans="1:9" ht="16.5">
      <c r="A13131" s="10" t="b">
        <v>0</v>
      </c>
      <c r="B13131" s="11" t="str">
        <f>IF(D13131&lt;&gt;"",IF(COUNTIF('USPTO TMs'!A:A,D13131)&gt;0,"Yes","No"),"")</f>
        <v/>
      </c>
      <c r="C13131" s="11"/>
      <c r="D13131" s="11"/>
      <c r="E13131" s="11"/>
      <c r="F13131" s="11"/>
      <c r="G13131" s="11"/>
      <c r="H13131" s="11"/>
      <c r="I13131" s="15"/>
    </row>
    <row r="13132" spans="1:9" ht="16.5">
      <c r="A13132" s="10" t="b">
        <v>0</v>
      </c>
      <c r="B13132" s="11" t="str">
        <f>IF(D13132&lt;&gt;"",IF(COUNTIF('USPTO TMs'!A:A,D13132)&gt;0,"Yes","No"),"")</f>
        <v/>
      </c>
      <c r="C13132" s="11"/>
      <c r="D13132" s="11"/>
      <c r="E13132" s="11"/>
      <c r="F13132" s="11"/>
      <c r="G13132" s="11"/>
      <c r="H13132" s="11"/>
      <c r="I13132" s="15"/>
    </row>
    <row r="13133" spans="1:9" ht="16.5">
      <c r="A13133" s="10" t="b">
        <v>0</v>
      </c>
      <c r="B13133" s="11" t="str">
        <f>IF(D13133&lt;&gt;"",IF(COUNTIF('USPTO TMs'!A:A,D13133)&gt;0,"Yes","No"),"")</f>
        <v/>
      </c>
      <c r="C13133" s="11"/>
      <c r="D13133" s="11"/>
      <c r="E13133" s="11"/>
      <c r="F13133" s="11"/>
      <c r="G13133" s="11"/>
      <c r="H13133" s="11"/>
      <c r="I13133" s="15"/>
    </row>
    <row r="13134" spans="1:9" ht="16.5">
      <c r="A13134" s="10" t="b">
        <v>0</v>
      </c>
      <c r="B13134" s="11" t="str">
        <f>IF(D13134&lt;&gt;"",IF(COUNTIF('USPTO TMs'!A:A,D13134)&gt;0,"Yes","No"),"")</f>
        <v/>
      </c>
      <c r="C13134" s="11"/>
      <c r="D13134" s="11"/>
      <c r="E13134" s="11"/>
      <c r="F13134" s="11"/>
      <c r="G13134" s="11"/>
      <c r="H13134" s="11"/>
      <c r="I13134" s="15"/>
    </row>
    <row r="13135" spans="1:9" ht="16.5">
      <c r="A13135" s="10" t="b">
        <v>0</v>
      </c>
      <c r="B13135" s="11" t="str">
        <f>IF(D13135&lt;&gt;"",IF(COUNTIF('USPTO TMs'!A:A,D13135)&gt;0,"Yes","No"),"")</f>
        <v/>
      </c>
      <c r="C13135" s="11"/>
      <c r="D13135" s="11"/>
      <c r="E13135" s="11"/>
      <c r="F13135" s="11"/>
      <c r="G13135" s="11"/>
      <c r="H13135" s="11"/>
      <c r="I13135" s="15"/>
    </row>
    <row r="13136" spans="1:9" ht="16.5">
      <c r="A13136" s="10" t="b">
        <v>0</v>
      </c>
      <c r="B13136" s="11" t="str">
        <f>IF(D13136&lt;&gt;"",IF(COUNTIF('USPTO TMs'!A:A,D13136)&gt;0,"Yes","No"),"")</f>
        <v/>
      </c>
      <c r="C13136" s="11"/>
      <c r="D13136" s="11"/>
      <c r="E13136" s="11"/>
      <c r="F13136" s="11"/>
      <c r="G13136" s="11"/>
      <c r="H13136" s="11"/>
      <c r="I13136" s="15"/>
    </row>
    <row r="13137" spans="1:9" ht="16.5">
      <c r="A13137" s="10" t="b">
        <v>0</v>
      </c>
      <c r="B13137" s="11" t="str">
        <f>IF(D13137&lt;&gt;"",IF(COUNTIF('USPTO TMs'!A:A,D13137)&gt;0,"Yes","No"),"")</f>
        <v/>
      </c>
      <c r="C13137" s="11"/>
      <c r="D13137" s="11"/>
      <c r="E13137" s="11"/>
      <c r="F13137" s="11"/>
      <c r="G13137" s="11"/>
      <c r="H13137" s="11"/>
      <c r="I13137" s="15"/>
    </row>
    <row r="13138" spans="1:9" ht="16.5">
      <c r="A13138" s="10" t="b">
        <v>0</v>
      </c>
      <c r="B13138" s="11" t="str">
        <f>IF(D13138&lt;&gt;"",IF(COUNTIF('USPTO TMs'!A:A,D13138)&gt;0,"Yes","No"),"")</f>
        <v/>
      </c>
      <c r="C13138" s="11"/>
      <c r="D13138" s="11"/>
      <c r="E13138" s="11"/>
      <c r="F13138" s="11"/>
      <c r="G13138" s="11"/>
      <c r="H13138" s="11"/>
      <c r="I13138" s="15"/>
    </row>
    <row r="13139" spans="1:9" ht="16.5">
      <c r="A13139" s="10" t="b">
        <v>0</v>
      </c>
      <c r="B13139" s="11" t="str">
        <f>IF(D13139&lt;&gt;"",IF(COUNTIF('USPTO TMs'!A:A,D13139)&gt;0,"Yes","No"),"")</f>
        <v/>
      </c>
      <c r="C13139" s="11"/>
      <c r="D13139" s="11"/>
      <c r="E13139" s="11"/>
      <c r="F13139" s="11"/>
      <c r="G13139" s="11"/>
      <c r="H13139" s="11"/>
      <c r="I13139" s="15"/>
    </row>
    <row r="13140" spans="1:9" ht="16.5">
      <c r="A13140" s="10" t="b">
        <v>0</v>
      </c>
      <c r="B13140" s="11" t="str">
        <f>IF(D13140&lt;&gt;"",IF(COUNTIF('USPTO TMs'!A:A,D13140)&gt;0,"Yes","No"),"")</f>
        <v/>
      </c>
      <c r="C13140" s="11"/>
      <c r="D13140" s="11"/>
      <c r="E13140" s="11"/>
      <c r="F13140" s="11"/>
      <c r="G13140" s="11"/>
      <c r="H13140" s="11"/>
      <c r="I13140" s="15"/>
    </row>
    <row r="13141" spans="1:9" ht="16.5">
      <c r="A13141" s="10" t="b">
        <v>0</v>
      </c>
      <c r="B13141" s="11" t="str">
        <f>IF(D13141&lt;&gt;"",IF(COUNTIF('USPTO TMs'!A:A,D13141)&gt;0,"Yes","No"),"")</f>
        <v/>
      </c>
      <c r="C13141" s="11"/>
      <c r="D13141" s="11"/>
      <c r="E13141" s="11"/>
      <c r="F13141" s="11"/>
      <c r="G13141" s="11"/>
      <c r="H13141" s="11"/>
      <c r="I13141" s="15"/>
    </row>
    <row r="13142" spans="1:9" ht="16.5">
      <c r="A13142" s="10" t="b">
        <v>0</v>
      </c>
      <c r="B13142" s="11" t="str">
        <f>IF(D13142&lt;&gt;"",IF(COUNTIF('USPTO TMs'!A:A,D13142)&gt;0,"Yes","No"),"")</f>
        <v/>
      </c>
      <c r="C13142" s="11"/>
      <c r="D13142" s="11"/>
      <c r="E13142" s="11"/>
      <c r="F13142" s="11"/>
      <c r="G13142" s="11"/>
      <c r="H13142" s="11"/>
      <c r="I13142" s="15"/>
    </row>
    <row r="13143" spans="1:9" ht="16.5">
      <c r="A13143" s="10" t="b">
        <v>0</v>
      </c>
      <c r="B13143" s="11" t="str">
        <f>IF(D13143&lt;&gt;"",IF(COUNTIF('USPTO TMs'!A:A,D13143)&gt;0,"Yes","No"),"")</f>
        <v/>
      </c>
      <c r="C13143" s="11"/>
      <c r="D13143" s="11"/>
      <c r="E13143" s="11"/>
      <c r="F13143" s="11"/>
      <c r="G13143" s="11"/>
      <c r="H13143" s="11"/>
      <c r="I13143" s="15"/>
    </row>
    <row r="13144" spans="1:9" ht="16.5">
      <c r="A13144" s="10" t="b">
        <v>0</v>
      </c>
      <c r="B13144" s="11" t="str">
        <f>IF(D13144&lt;&gt;"",IF(COUNTIF('USPTO TMs'!A:A,D13144)&gt;0,"Yes","No"),"")</f>
        <v/>
      </c>
      <c r="C13144" s="11"/>
      <c r="D13144" s="11"/>
      <c r="E13144" s="11"/>
      <c r="F13144" s="11"/>
      <c r="G13144" s="11"/>
      <c r="H13144" s="11"/>
      <c r="I13144" s="15"/>
    </row>
    <row r="13145" spans="1:9" ht="16.5">
      <c r="A13145" s="10" t="b">
        <v>0</v>
      </c>
      <c r="B13145" s="11" t="str">
        <f>IF(D13145&lt;&gt;"",IF(COUNTIF('USPTO TMs'!A:A,D13145)&gt;0,"Yes","No"),"")</f>
        <v/>
      </c>
      <c r="C13145" s="11"/>
      <c r="D13145" s="11"/>
      <c r="E13145" s="11"/>
      <c r="F13145" s="11"/>
      <c r="G13145" s="11"/>
      <c r="H13145" s="11"/>
      <c r="I13145" s="15"/>
    </row>
    <row r="13146" spans="1:9" ht="16.5">
      <c r="A13146" s="10" t="b">
        <v>0</v>
      </c>
      <c r="B13146" s="11" t="str">
        <f>IF(D13146&lt;&gt;"",IF(COUNTIF('USPTO TMs'!A:A,D13146)&gt;0,"Yes","No"),"")</f>
        <v/>
      </c>
      <c r="C13146" s="11"/>
      <c r="D13146" s="11"/>
      <c r="E13146" s="11"/>
      <c r="F13146" s="11"/>
      <c r="G13146" s="11"/>
      <c r="H13146" s="11"/>
      <c r="I13146" s="15"/>
    </row>
    <row r="13147" spans="1:9" ht="16.5">
      <c r="A13147" s="10" t="b">
        <v>0</v>
      </c>
      <c r="B13147" s="11" t="str">
        <f>IF(D13147&lt;&gt;"",IF(COUNTIF('USPTO TMs'!A:A,D13147)&gt;0,"Yes","No"),"")</f>
        <v/>
      </c>
      <c r="C13147" s="11"/>
      <c r="D13147" s="11"/>
      <c r="E13147" s="11"/>
      <c r="F13147" s="11"/>
      <c r="G13147" s="11"/>
      <c r="H13147" s="11"/>
      <c r="I13147" s="15"/>
    </row>
    <row r="13148" spans="1:9" ht="16.5">
      <c r="A13148" s="10" t="b">
        <v>0</v>
      </c>
      <c r="B13148" s="11" t="str">
        <f>IF(D13148&lt;&gt;"",IF(COUNTIF('USPTO TMs'!A:A,D13148)&gt;0,"Yes","No"),"")</f>
        <v/>
      </c>
      <c r="C13148" s="11"/>
      <c r="D13148" s="11"/>
      <c r="E13148" s="11"/>
      <c r="F13148" s="11"/>
      <c r="G13148" s="11"/>
      <c r="H13148" s="11"/>
      <c r="I13148" s="15"/>
    </row>
    <row r="13149" spans="1:9" ht="16.5">
      <c r="A13149" s="10" t="b">
        <v>0</v>
      </c>
      <c r="B13149" s="11" t="str">
        <f>IF(D13149&lt;&gt;"",IF(COUNTIF('USPTO TMs'!A:A,D13149)&gt;0,"Yes","No"),"")</f>
        <v/>
      </c>
      <c r="C13149" s="11"/>
      <c r="D13149" s="11"/>
      <c r="E13149" s="11"/>
      <c r="F13149" s="11"/>
      <c r="G13149" s="11"/>
      <c r="H13149" s="11"/>
      <c r="I13149" s="15"/>
    </row>
    <row r="13150" spans="1:9" ht="16.5">
      <c r="A13150" s="10" t="b">
        <v>0</v>
      </c>
      <c r="B13150" s="11" t="str">
        <f>IF(D13150&lt;&gt;"",IF(COUNTIF('USPTO TMs'!A:A,D13150)&gt;0,"Yes","No"),"")</f>
        <v/>
      </c>
      <c r="C13150" s="11"/>
      <c r="D13150" s="11"/>
      <c r="E13150" s="11"/>
      <c r="F13150" s="11"/>
      <c r="G13150" s="11"/>
      <c r="H13150" s="11"/>
      <c r="I13150" s="15"/>
    </row>
    <row r="13151" spans="1:9" ht="16.5">
      <c r="A13151" s="10" t="b">
        <v>0</v>
      </c>
      <c r="B13151" s="11" t="str">
        <f>IF(D13151&lt;&gt;"",IF(COUNTIF('USPTO TMs'!A:A,D13151)&gt;0,"Yes","No"),"")</f>
        <v/>
      </c>
      <c r="C13151" s="11"/>
      <c r="D13151" s="11"/>
      <c r="E13151" s="11"/>
      <c r="F13151" s="11"/>
      <c r="G13151" s="11"/>
      <c r="H13151" s="11"/>
      <c r="I13151" s="15"/>
    </row>
    <row r="13152" spans="1:9" ht="16.5">
      <c r="A13152" s="10" t="b">
        <v>0</v>
      </c>
      <c r="B13152" s="11" t="str">
        <f>IF(D13152&lt;&gt;"",IF(COUNTIF('USPTO TMs'!A:A,D13152)&gt;0,"Yes","No"),"")</f>
        <v/>
      </c>
      <c r="C13152" s="11"/>
      <c r="D13152" s="11"/>
      <c r="E13152" s="11"/>
      <c r="F13152" s="11"/>
      <c r="G13152" s="11"/>
      <c r="H13152" s="11"/>
      <c r="I13152" s="15"/>
    </row>
    <row r="13153" spans="1:9" ht="16.5">
      <c r="A13153" s="10" t="b">
        <v>0</v>
      </c>
      <c r="B13153" s="11" t="str">
        <f>IF(D13153&lt;&gt;"",IF(COUNTIF('USPTO TMs'!A:A,D13153)&gt;0,"Yes","No"),"")</f>
        <v/>
      </c>
      <c r="C13153" s="11"/>
      <c r="D13153" s="11"/>
      <c r="E13153" s="11"/>
      <c r="F13153" s="11"/>
      <c r="G13153" s="11"/>
      <c r="H13153" s="11"/>
      <c r="I13153" s="15"/>
    </row>
    <row r="13154" spans="1:9" ht="16.5">
      <c r="A13154" s="10" t="b">
        <v>0</v>
      </c>
      <c r="B13154" s="11" t="str">
        <f>IF(D13154&lt;&gt;"",IF(COUNTIF('USPTO TMs'!A:A,D13154)&gt;0,"Yes","No"),"")</f>
        <v/>
      </c>
      <c r="C13154" s="11"/>
      <c r="D13154" s="11"/>
      <c r="E13154" s="11"/>
      <c r="F13154" s="11"/>
      <c r="G13154" s="11"/>
      <c r="H13154" s="11"/>
      <c r="I13154" s="15"/>
    </row>
    <row r="13155" spans="1:9" ht="16.5">
      <c r="A13155" s="10" t="b">
        <v>0</v>
      </c>
      <c r="B13155" s="11" t="str">
        <f>IF(D13155&lt;&gt;"",IF(COUNTIF('USPTO TMs'!A:A,D13155)&gt;0,"Yes","No"),"")</f>
        <v/>
      </c>
      <c r="C13155" s="11"/>
      <c r="D13155" s="11"/>
      <c r="E13155" s="11"/>
      <c r="F13155" s="11"/>
      <c r="G13155" s="11"/>
      <c r="H13155" s="11"/>
      <c r="I13155" s="15"/>
    </row>
    <row r="13156" spans="1:9" ht="16.5">
      <c r="A13156" s="10" t="b">
        <v>0</v>
      </c>
      <c r="B13156" s="11" t="str">
        <f>IF(D13156&lt;&gt;"",IF(COUNTIF('USPTO TMs'!A:A,D13156)&gt;0,"Yes","No"),"")</f>
        <v/>
      </c>
      <c r="C13156" s="11"/>
      <c r="D13156" s="11"/>
      <c r="E13156" s="11"/>
      <c r="F13156" s="11"/>
      <c r="G13156" s="11"/>
      <c r="H13156" s="11"/>
      <c r="I13156" s="15"/>
    </row>
    <row r="13157" spans="1:9" ht="16.5">
      <c r="A13157" s="10" t="b">
        <v>0</v>
      </c>
      <c r="B13157" s="11" t="str">
        <f>IF(D13157&lt;&gt;"",IF(COUNTIF('USPTO TMs'!A:A,D13157)&gt;0,"Yes","No"),"")</f>
        <v/>
      </c>
      <c r="C13157" s="11"/>
      <c r="D13157" s="11"/>
      <c r="E13157" s="11"/>
      <c r="F13157" s="11"/>
      <c r="G13157" s="11"/>
      <c r="H13157" s="11"/>
      <c r="I13157" s="15"/>
    </row>
    <row r="13158" spans="1:9" ht="16.5">
      <c r="A13158" s="10" t="b">
        <v>0</v>
      </c>
      <c r="B13158" s="11" t="str">
        <f>IF(D13158&lt;&gt;"",IF(COUNTIF('USPTO TMs'!A:A,D13158)&gt;0,"Yes","No"),"")</f>
        <v/>
      </c>
      <c r="C13158" s="11"/>
      <c r="D13158" s="11"/>
      <c r="E13158" s="11"/>
      <c r="F13158" s="11"/>
      <c r="G13158" s="11"/>
      <c r="H13158" s="11"/>
      <c r="I13158" s="15"/>
    </row>
    <row r="13159" spans="1:9" ht="16.5">
      <c r="A13159" s="10" t="b">
        <v>0</v>
      </c>
      <c r="B13159" s="11" t="str">
        <f>IF(D13159&lt;&gt;"",IF(COUNTIF('USPTO TMs'!A:A,D13159)&gt;0,"Yes","No"),"")</f>
        <v/>
      </c>
      <c r="C13159" s="11"/>
      <c r="D13159" s="11"/>
      <c r="E13159" s="11"/>
      <c r="F13159" s="11"/>
      <c r="G13159" s="11"/>
      <c r="H13159" s="11"/>
      <c r="I13159" s="15"/>
    </row>
    <row r="13160" spans="1:9" ht="16.5">
      <c r="A13160" s="10" t="b">
        <v>0</v>
      </c>
      <c r="B13160" s="11" t="str">
        <f>IF(D13160&lt;&gt;"",IF(COUNTIF('USPTO TMs'!A:A,D13160)&gt;0,"Yes","No"),"")</f>
        <v/>
      </c>
      <c r="C13160" s="11"/>
      <c r="D13160" s="11"/>
      <c r="E13160" s="11"/>
      <c r="F13160" s="11"/>
      <c r="G13160" s="11"/>
      <c r="H13160" s="11"/>
      <c r="I13160" s="15"/>
    </row>
    <row r="13161" spans="1:9" ht="16.5">
      <c r="A13161" s="10" t="b">
        <v>0</v>
      </c>
      <c r="B13161" s="11" t="str">
        <f>IF(D13161&lt;&gt;"",IF(COUNTIF('USPTO TMs'!A:A,D13161)&gt;0,"Yes","No"),"")</f>
        <v/>
      </c>
      <c r="C13161" s="11"/>
      <c r="D13161" s="11"/>
      <c r="E13161" s="11"/>
      <c r="F13161" s="11"/>
      <c r="G13161" s="11"/>
      <c r="H13161" s="11"/>
      <c r="I13161" s="15"/>
    </row>
    <row r="13162" spans="1:9" ht="16.5">
      <c r="A13162" s="10" t="b">
        <v>0</v>
      </c>
      <c r="B13162" s="11" t="str">
        <f>IF(D13162&lt;&gt;"",IF(COUNTIF('USPTO TMs'!A:A,D13162)&gt;0,"Yes","No"),"")</f>
        <v/>
      </c>
      <c r="C13162" s="11"/>
      <c r="D13162" s="11"/>
      <c r="E13162" s="11"/>
      <c r="F13162" s="11"/>
      <c r="G13162" s="11"/>
      <c r="H13162" s="11"/>
      <c r="I13162" s="15"/>
    </row>
    <row r="13163" spans="1:9" ht="16.5">
      <c r="A13163" s="10" t="b">
        <v>0</v>
      </c>
      <c r="B13163" s="11" t="str">
        <f>IF(D13163&lt;&gt;"",IF(COUNTIF('USPTO TMs'!A:A,D13163)&gt;0,"Yes","No"),"")</f>
        <v/>
      </c>
      <c r="C13163" s="11"/>
      <c r="D13163" s="11"/>
      <c r="E13163" s="11"/>
      <c r="F13163" s="11"/>
      <c r="G13163" s="11"/>
      <c r="H13163" s="11"/>
      <c r="I13163" s="15"/>
    </row>
    <row r="13164" spans="1:9" ht="16.5">
      <c r="A13164" s="10" t="b">
        <v>0</v>
      </c>
      <c r="B13164" s="11" t="str">
        <f>IF(D13164&lt;&gt;"",IF(COUNTIF('USPTO TMs'!A:A,D13164)&gt;0,"Yes","No"),"")</f>
        <v/>
      </c>
      <c r="C13164" s="11"/>
      <c r="D13164" s="11"/>
      <c r="E13164" s="11"/>
      <c r="F13164" s="11"/>
      <c r="G13164" s="11"/>
      <c r="H13164" s="11"/>
      <c r="I13164" s="15"/>
    </row>
    <row r="13165" spans="1:9" ht="16.5">
      <c r="A13165" s="10" t="b">
        <v>0</v>
      </c>
      <c r="B13165" s="11" t="str">
        <f>IF(D13165&lt;&gt;"",IF(COUNTIF('USPTO TMs'!A:A,D13165)&gt;0,"Yes","No"),"")</f>
        <v/>
      </c>
      <c r="C13165" s="11"/>
      <c r="D13165" s="11"/>
      <c r="E13165" s="11"/>
      <c r="F13165" s="11"/>
      <c r="G13165" s="11"/>
      <c r="H13165" s="11"/>
      <c r="I13165" s="15"/>
    </row>
    <row r="13166" spans="1:9" ht="16.5">
      <c r="A13166" s="10" t="b">
        <v>0</v>
      </c>
      <c r="B13166" s="11" t="str">
        <f>IF(D13166&lt;&gt;"",IF(COUNTIF('USPTO TMs'!A:A,D13166)&gt;0,"Yes","No"),"")</f>
        <v/>
      </c>
      <c r="C13166" s="11"/>
      <c r="D13166" s="11"/>
      <c r="E13166" s="11"/>
      <c r="F13166" s="11"/>
      <c r="G13166" s="11"/>
      <c r="H13166" s="11"/>
      <c r="I13166" s="15"/>
    </row>
    <row r="13167" spans="1:9" ht="16.5">
      <c r="A13167" s="10" t="b">
        <v>0</v>
      </c>
      <c r="B13167" s="11" t="str">
        <f>IF(D13167&lt;&gt;"",IF(COUNTIF('USPTO TMs'!A:A,D13167)&gt;0,"Yes","No"),"")</f>
        <v/>
      </c>
      <c r="C13167" s="11"/>
      <c r="D13167" s="11"/>
      <c r="E13167" s="11"/>
      <c r="F13167" s="11"/>
      <c r="G13167" s="11"/>
      <c r="H13167" s="11"/>
      <c r="I13167" s="15"/>
    </row>
    <row r="13168" spans="1:9" ht="16.5">
      <c r="A13168" s="10" t="b">
        <v>0</v>
      </c>
      <c r="B13168" s="11" t="str">
        <f>IF(D13168&lt;&gt;"",IF(COUNTIF('USPTO TMs'!A:A,D13168)&gt;0,"Yes","No"),"")</f>
        <v/>
      </c>
      <c r="C13168" s="11"/>
      <c r="D13168" s="11"/>
      <c r="E13168" s="11"/>
      <c r="F13168" s="11"/>
      <c r="G13168" s="11"/>
      <c r="H13168" s="11"/>
      <c r="I13168" s="15"/>
    </row>
    <row r="13169" spans="1:9" ht="16.5">
      <c r="A13169" s="10" t="b">
        <v>0</v>
      </c>
      <c r="B13169" s="11" t="str">
        <f>IF(D13169&lt;&gt;"",IF(COUNTIF('USPTO TMs'!A:A,D13169)&gt;0,"Yes","No"),"")</f>
        <v/>
      </c>
      <c r="C13169" s="11"/>
      <c r="D13169" s="11"/>
      <c r="E13169" s="11"/>
      <c r="F13169" s="11"/>
      <c r="G13169" s="11"/>
      <c r="H13169" s="11"/>
      <c r="I13169" s="15"/>
    </row>
    <row r="13170" spans="1:9" ht="16.5">
      <c r="A13170" s="10" t="b">
        <v>0</v>
      </c>
      <c r="B13170" s="11" t="str">
        <f>IF(D13170&lt;&gt;"",IF(COUNTIF('USPTO TMs'!A:A,D13170)&gt;0,"Yes","No"),"")</f>
        <v/>
      </c>
      <c r="C13170" s="11"/>
      <c r="D13170" s="11"/>
      <c r="E13170" s="11"/>
      <c r="F13170" s="11"/>
      <c r="G13170" s="11"/>
      <c r="H13170" s="11"/>
      <c r="I13170" s="15"/>
    </row>
    <row r="13171" spans="1:9" ht="16.5">
      <c r="A13171" s="10" t="b">
        <v>0</v>
      </c>
      <c r="B13171" s="11" t="str">
        <f>IF(D13171&lt;&gt;"",IF(COUNTIF('USPTO TMs'!A:A,D13171)&gt;0,"Yes","No"),"")</f>
        <v/>
      </c>
      <c r="C13171" s="11"/>
      <c r="D13171" s="11"/>
      <c r="E13171" s="11"/>
      <c r="F13171" s="11"/>
      <c r="G13171" s="11"/>
      <c r="H13171" s="11"/>
      <c r="I13171" s="15"/>
    </row>
    <row r="13172" spans="1:9" ht="16.5">
      <c r="A13172" s="10" t="b">
        <v>0</v>
      </c>
      <c r="B13172" s="11" t="str">
        <f>IF(D13172&lt;&gt;"",IF(COUNTIF('USPTO TMs'!A:A,D13172)&gt;0,"Yes","No"),"")</f>
        <v/>
      </c>
      <c r="C13172" s="11"/>
      <c r="D13172" s="11"/>
      <c r="E13172" s="11"/>
      <c r="F13172" s="11"/>
      <c r="G13172" s="11"/>
      <c r="H13172" s="11"/>
      <c r="I13172" s="15"/>
    </row>
    <row r="13173" spans="1:9" ht="16.5">
      <c r="A13173" s="10" t="b">
        <v>0</v>
      </c>
      <c r="B13173" s="11" t="str">
        <f>IF(D13173&lt;&gt;"",IF(COUNTIF('USPTO TMs'!A:A,D13173)&gt;0,"Yes","No"),"")</f>
        <v/>
      </c>
      <c r="C13173" s="11"/>
      <c r="D13173" s="11"/>
      <c r="E13173" s="11"/>
      <c r="F13173" s="11"/>
      <c r="G13173" s="11"/>
      <c r="H13173" s="11"/>
      <c r="I13173" s="15"/>
    </row>
    <row r="13174" spans="1:9" ht="16.5">
      <c r="A13174" s="10" t="b">
        <v>0</v>
      </c>
      <c r="B13174" s="11" t="str">
        <f>IF(D13174&lt;&gt;"",IF(COUNTIF('USPTO TMs'!A:A,D13174)&gt;0,"Yes","No"),"")</f>
        <v/>
      </c>
      <c r="C13174" s="11"/>
      <c r="D13174" s="11"/>
      <c r="E13174" s="11"/>
      <c r="F13174" s="11"/>
      <c r="G13174" s="11"/>
      <c r="H13174" s="11"/>
      <c r="I13174" s="15"/>
    </row>
    <row r="13175" spans="1:9" ht="16.5">
      <c r="A13175" s="10" t="b">
        <v>0</v>
      </c>
      <c r="B13175" s="11" t="str">
        <f>IF(D13175&lt;&gt;"",IF(COUNTIF('USPTO TMs'!A:A,D13175)&gt;0,"Yes","No"),"")</f>
        <v/>
      </c>
      <c r="C13175" s="11"/>
      <c r="D13175" s="11"/>
      <c r="E13175" s="11"/>
      <c r="F13175" s="11"/>
      <c r="G13175" s="11"/>
      <c r="H13175" s="11"/>
      <c r="I13175" s="15"/>
    </row>
    <row r="13176" spans="1:9" ht="16.5">
      <c r="A13176" s="10" t="b">
        <v>0</v>
      </c>
      <c r="B13176" s="11" t="str">
        <f>IF(D13176&lt;&gt;"",IF(COUNTIF('USPTO TMs'!A:A,D13176)&gt;0,"Yes","No"),"")</f>
        <v/>
      </c>
      <c r="C13176" s="11"/>
      <c r="D13176" s="11"/>
      <c r="E13176" s="11"/>
      <c r="F13176" s="11"/>
      <c r="G13176" s="11"/>
      <c r="H13176" s="11"/>
      <c r="I13176" s="15"/>
    </row>
    <row r="13177" spans="1:9" ht="16.5">
      <c r="A13177" s="10" t="b">
        <v>0</v>
      </c>
      <c r="B13177" s="11" t="str">
        <f>IF(D13177&lt;&gt;"",IF(COUNTIF('USPTO TMs'!A:A,D13177)&gt;0,"Yes","No"),"")</f>
        <v/>
      </c>
      <c r="C13177" s="11"/>
      <c r="D13177" s="11"/>
      <c r="E13177" s="11"/>
      <c r="F13177" s="11"/>
      <c r="G13177" s="11"/>
      <c r="H13177" s="11"/>
      <c r="I13177" s="15"/>
    </row>
    <row r="13178" spans="1:9" ht="16.5">
      <c r="A13178" s="10" t="b">
        <v>0</v>
      </c>
      <c r="B13178" s="11" t="str">
        <f>IF(D13178&lt;&gt;"",IF(COUNTIF('USPTO TMs'!A:A,D13178)&gt;0,"Yes","No"),"")</f>
        <v/>
      </c>
      <c r="C13178" s="11"/>
      <c r="D13178" s="11"/>
      <c r="E13178" s="11"/>
      <c r="F13178" s="11"/>
      <c r="G13178" s="11"/>
      <c r="H13178" s="11"/>
      <c r="I13178" s="15"/>
    </row>
    <row r="13179" spans="1:9" ht="16.5">
      <c r="A13179" s="10" t="b">
        <v>0</v>
      </c>
      <c r="B13179" s="11" t="str">
        <f>IF(D13179&lt;&gt;"",IF(COUNTIF('USPTO TMs'!A:A,D13179)&gt;0,"Yes","No"),"")</f>
        <v/>
      </c>
      <c r="C13179" s="11"/>
      <c r="D13179" s="11"/>
      <c r="E13179" s="11"/>
      <c r="F13179" s="11"/>
      <c r="G13179" s="11"/>
      <c r="H13179" s="11"/>
      <c r="I13179" s="15"/>
    </row>
    <row r="13180" spans="1:9" ht="16.5">
      <c r="A13180" s="10" t="b">
        <v>0</v>
      </c>
      <c r="B13180" s="11" t="str">
        <f>IF(D13180&lt;&gt;"",IF(COUNTIF('USPTO TMs'!A:A,D13180)&gt;0,"Yes","No"),"")</f>
        <v/>
      </c>
      <c r="C13180" s="11"/>
      <c r="D13180" s="11"/>
      <c r="E13180" s="11"/>
      <c r="F13180" s="11"/>
      <c r="G13180" s="11"/>
      <c r="H13180" s="11"/>
      <c r="I13180" s="15"/>
    </row>
    <row r="13181" spans="1:9" ht="16.5">
      <c r="A13181" s="10" t="b">
        <v>0</v>
      </c>
      <c r="B13181" s="11" t="str">
        <f>IF(D13181&lt;&gt;"",IF(COUNTIF('USPTO TMs'!A:A,D13181)&gt;0,"Yes","No"),"")</f>
        <v/>
      </c>
      <c r="C13181" s="11"/>
      <c r="D13181" s="11"/>
      <c r="E13181" s="11"/>
      <c r="F13181" s="11"/>
      <c r="G13181" s="11"/>
      <c r="H13181" s="11"/>
      <c r="I13181" s="15"/>
    </row>
    <row r="13182" spans="1:9" ht="16.5">
      <c r="A13182" s="10" t="b">
        <v>0</v>
      </c>
      <c r="B13182" s="11" t="str">
        <f>IF(D13182&lt;&gt;"",IF(COUNTIF('USPTO TMs'!A:A,D13182)&gt;0,"Yes","No"),"")</f>
        <v/>
      </c>
      <c r="C13182" s="11"/>
      <c r="D13182" s="11"/>
      <c r="E13182" s="11"/>
      <c r="F13182" s="11"/>
      <c r="G13182" s="11"/>
      <c r="H13182" s="11"/>
      <c r="I13182" s="15"/>
    </row>
    <row r="13183" spans="1:9" ht="16.5">
      <c r="A13183" s="10" t="b">
        <v>0</v>
      </c>
      <c r="B13183" s="11" t="str">
        <f>IF(D13183&lt;&gt;"",IF(COUNTIF('USPTO TMs'!A:A,D13183)&gt;0,"Yes","No"),"")</f>
        <v/>
      </c>
      <c r="C13183" s="11"/>
      <c r="D13183" s="11"/>
      <c r="E13183" s="11"/>
      <c r="F13183" s="11"/>
      <c r="G13183" s="11"/>
      <c r="H13183" s="11"/>
      <c r="I13183" s="15"/>
    </row>
    <row r="13184" spans="1:9" ht="16.5">
      <c r="A13184" s="10" t="b">
        <v>0</v>
      </c>
      <c r="B13184" s="11" t="str">
        <f>IF(D13184&lt;&gt;"",IF(COUNTIF('USPTO TMs'!A:A,D13184)&gt;0,"Yes","No"),"")</f>
        <v/>
      </c>
      <c r="C13184" s="11"/>
      <c r="D13184" s="11"/>
      <c r="E13184" s="11"/>
      <c r="F13184" s="11"/>
      <c r="G13184" s="11"/>
      <c r="H13184" s="11"/>
      <c r="I13184" s="15"/>
    </row>
    <row r="13185" spans="1:9" ht="16.5">
      <c r="A13185" s="10" t="b">
        <v>0</v>
      </c>
      <c r="B13185" s="11" t="str">
        <f>IF(D13185&lt;&gt;"",IF(COUNTIF('USPTO TMs'!A:A,D13185)&gt;0,"Yes","No"),"")</f>
        <v/>
      </c>
      <c r="C13185" s="11"/>
      <c r="D13185" s="11"/>
      <c r="E13185" s="11"/>
      <c r="F13185" s="11"/>
      <c r="G13185" s="11"/>
      <c r="H13185" s="11"/>
      <c r="I13185" s="15"/>
    </row>
    <row r="13186" spans="1:9" ht="16.5">
      <c r="A13186" s="10" t="b">
        <v>0</v>
      </c>
      <c r="B13186" s="11" t="str">
        <f>IF(D13186&lt;&gt;"",IF(COUNTIF('USPTO TMs'!A:A,D13186)&gt;0,"Yes","No"),"")</f>
        <v/>
      </c>
      <c r="C13186" s="11"/>
      <c r="D13186" s="11"/>
      <c r="E13186" s="11"/>
      <c r="F13186" s="11"/>
      <c r="G13186" s="11"/>
      <c r="H13186" s="11"/>
      <c r="I13186" s="15"/>
    </row>
    <row r="13187" spans="1:9" ht="16.5">
      <c r="A13187" s="10" t="b">
        <v>0</v>
      </c>
      <c r="B13187" s="11" t="str">
        <f>IF(D13187&lt;&gt;"",IF(COUNTIF('USPTO TMs'!A:A,D13187)&gt;0,"Yes","No"),"")</f>
        <v/>
      </c>
      <c r="C13187" s="11"/>
      <c r="D13187" s="11"/>
      <c r="E13187" s="11"/>
      <c r="F13187" s="11"/>
      <c r="G13187" s="11"/>
      <c r="H13187" s="11"/>
      <c r="I13187" s="15"/>
    </row>
    <row r="13188" spans="1:9" ht="16.5">
      <c r="A13188" s="10" t="b">
        <v>0</v>
      </c>
      <c r="B13188" s="11" t="str">
        <f>IF(D13188&lt;&gt;"",IF(COUNTIF('USPTO TMs'!A:A,D13188)&gt;0,"Yes","No"),"")</f>
        <v/>
      </c>
      <c r="C13188" s="11"/>
      <c r="D13188" s="11"/>
      <c r="E13188" s="11"/>
      <c r="F13188" s="11"/>
      <c r="G13188" s="11"/>
      <c r="H13188" s="11"/>
      <c r="I13188" s="15"/>
    </row>
    <row r="13189" spans="1:9" ht="16.5">
      <c r="A13189" s="10" t="b">
        <v>0</v>
      </c>
      <c r="B13189" s="11" t="str">
        <f>IF(D13189&lt;&gt;"",IF(COUNTIF('USPTO TMs'!A:A,D13189)&gt;0,"Yes","No"),"")</f>
        <v/>
      </c>
      <c r="C13189" s="11"/>
      <c r="D13189" s="11"/>
      <c r="E13189" s="11"/>
      <c r="F13189" s="11"/>
      <c r="G13189" s="11"/>
      <c r="H13189" s="11"/>
      <c r="I13189" s="15"/>
    </row>
    <row r="13190" spans="1:9" ht="16.5">
      <c r="A13190" s="10" t="b">
        <v>0</v>
      </c>
      <c r="B13190" s="11" t="str">
        <f>IF(D13190&lt;&gt;"",IF(COUNTIF('USPTO TMs'!A:A,D13190)&gt;0,"Yes","No"),"")</f>
        <v/>
      </c>
      <c r="C13190" s="11"/>
      <c r="D13190" s="11"/>
      <c r="E13190" s="11"/>
      <c r="F13190" s="11"/>
      <c r="G13190" s="11"/>
      <c r="H13190" s="11"/>
      <c r="I13190" s="15"/>
    </row>
    <row r="13191" spans="1:9" ht="16.5">
      <c r="A13191" s="10" t="b">
        <v>0</v>
      </c>
      <c r="B13191" s="11" t="str">
        <f>IF(D13191&lt;&gt;"",IF(COUNTIF('USPTO TMs'!A:A,D13191)&gt;0,"Yes","No"),"")</f>
        <v/>
      </c>
      <c r="C13191" s="11"/>
      <c r="D13191" s="11"/>
      <c r="E13191" s="11"/>
      <c r="F13191" s="11"/>
      <c r="G13191" s="11"/>
      <c r="H13191" s="11"/>
      <c r="I13191" s="15"/>
    </row>
    <row r="13192" spans="1:9" ht="16.5">
      <c r="A13192" s="10" t="b">
        <v>0</v>
      </c>
      <c r="B13192" s="11" t="str">
        <f>IF(D13192&lt;&gt;"",IF(COUNTIF('USPTO TMs'!A:A,D13192)&gt;0,"Yes","No"),"")</f>
        <v/>
      </c>
      <c r="C13192" s="11"/>
      <c r="D13192" s="11"/>
      <c r="E13192" s="11"/>
      <c r="F13192" s="11"/>
      <c r="G13192" s="11"/>
      <c r="H13192" s="11"/>
      <c r="I13192" s="15"/>
    </row>
    <row r="13193" spans="1:9" ht="16.5">
      <c r="A13193" s="10" t="b">
        <v>0</v>
      </c>
      <c r="B13193" s="11" t="str">
        <f>IF(D13193&lt;&gt;"",IF(COUNTIF('USPTO TMs'!A:A,D13193)&gt;0,"Yes","No"),"")</f>
        <v/>
      </c>
      <c r="C13193" s="11"/>
      <c r="D13193" s="11"/>
      <c r="E13193" s="11"/>
      <c r="F13193" s="11"/>
      <c r="G13193" s="11"/>
      <c r="H13193" s="11"/>
      <c r="I13193" s="15"/>
    </row>
    <row r="13194" spans="1:9" ht="16.5">
      <c r="A13194" s="10" t="b">
        <v>0</v>
      </c>
      <c r="B13194" s="11" t="str">
        <f>IF(D13194&lt;&gt;"",IF(COUNTIF('USPTO TMs'!A:A,D13194)&gt;0,"Yes","No"),"")</f>
        <v/>
      </c>
      <c r="C13194" s="11"/>
      <c r="D13194" s="11"/>
      <c r="E13194" s="11"/>
      <c r="F13194" s="11"/>
      <c r="G13194" s="11"/>
      <c r="H13194" s="11"/>
      <c r="I13194" s="15"/>
    </row>
    <row r="13195" spans="1:9" ht="16.5">
      <c r="A13195" s="10" t="b">
        <v>0</v>
      </c>
      <c r="B13195" s="11" t="str">
        <f>IF(D13195&lt;&gt;"",IF(COUNTIF('USPTO TMs'!A:A,D13195)&gt;0,"Yes","No"),"")</f>
        <v/>
      </c>
      <c r="C13195" s="11"/>
      <c r="D13195" s="11"/>
      <c r="E13195" s="11"/>
      <c r="F13195" s="11"/>
      <c r="G13195" s="11"/>
      <c r="H13195" s="11"/>
      <c r="I13195" s="15"/>
    </row>
    <row r="13196" spans="1:9" ht="16.5">
      <c r="A13196" s="10" t="b">
        <v>0</v>
      </c>
      <c r="B13196" s="11" t="str">
        <f>IF(D13196&lt;&gt;"",IF(COUNTIF('USPTO TMs'!A:A,D13196)&gt;0,"Yes","No"),"")</f>
        <v/>
      </c>
      <c r="C13196" s="11"/>
      <c r="D13196" s="11"/>
      <c r="E13196" s="11"/>
      <c r="F13196" s="11"/>
      <c r="G13196" s="11"/>
      <c r="H13196" s="11"/>
      <c r="I13196" s="15"/>
    </row>
    <row r="13197" spans="1:9" ht="16.5">
      <c r="A13197" s="10" t="b">
        <v>0</v>
      </c>
      <c r="B13197" s="11" t="str">
        <f>IF(D13197&lt;&gt;"",IF(COUNTIF('USPTO TMs'!A:A,D13197)&gt;0,"Yes","No"),"")</f>
        <v/>
      </c>
      <c r="C13197" s="11"/>
      <c r="D13197" s="11"/>
      <c r="E13197" s="11"/>
      <c r="F13197" s="11"/>
      <c r="G13197" s="11"/>
      <c r="H13197" s="11"/>
      <c r="I13197" s="15"/>
    </row>
    <row r="13198" spans="1:9" ht="16.5">
      <c r="A13198" s="10" t="b">
        <v>0</v>
      </c>
      <c r="B13198" s="11" t="str">
        <f>IF(D13198&lt;&gt;"",IF(COUNTIF('USPTO TMs'!A:A,D13198)&gt;0,"Yes","No"),"")</f>
        <v/>
      </c>
      <c r="C13198" s="11"/>
      <c r="D13198" s="11"/>
      <c r="E13198" s="11"/>
      <c r="F13198" s="11"/>
      <c r="G13198" s="11"/>
      <c r="H13198" s="11"/>
      <c r="I13198" s="15"/>
    </row>
    <row r="13199" spans="1:9" ht="16.5">
      <c r="A13199" s="10" t="b">
        <v>0</v>
      </c>
      <c r="B13199" s="11" t="str">
        <f>IF(D13199&lt;&gt;"",IF(COUNTIF('USPTO TMs'!A:A,D13199)&gt;0,"Yes","No"),"")</f>
        <v/>
      </c>
      <c r="C13199" s="11"/>
      <c r="D13199" s="11"/>
      <c r="E13199" s="11"/>
      <c r="F13199" s="11"/>
      <c r="G13199" s="11"/>
      <c r="H13199" s="11"/>
      <c r="I13199" s="15"/>
    </row>
    <row r="13200" spans="1:9" ht="16.5">
      <c r="A13200" s="10" t="b">
        <v>0</v>
      </c>
      <c r="B13200" s="11" t="str">
        <f>IF(D13200&lt;&gt;"",IF(COUNTIF('USPTO TMs'!A:A,D13200)&gt;0,"Yes","No"),"")</f>
        <v/>
      </c>
      <c r="C13200" s="11"/>
      <c r="D13200" s="11"/>
      <c r="E13200" s="11"/>
      <c r="F13200" s="11"/>
      <c r="G13200" s="11"/>
      <c r="H13200" s="11"/>
      <c r="I13200" s="15"/>
    </row>
    <row r="13201" spans="1:9" ht="16.5">
      <c r="A13201" s="10" t="b">
        <v>0</v>
      </c>
      <c r="B13201" s="11" t="str">
        <f>IF(D13201&lt;&gt;"",IF(COUNTIF('USPTO TMs'!A:A,D13201)&gt;0,"Yes","No"),"")</f>
        <v/>
      </c>
      <c r="C13201" s="11"/>
      <c r="D13201" s="11"/>
      <c r="E13201" s="11"/>
      <c r="F13201" s="11"/>
      <c r="G13201" s="11"/>
      <c r="H13201" s="11"/>
      <c r="I13201" s="15"/>
    </row>
    <row r="13202" spans="1:9" ht="16.5">
      <c r="A13202" s="10" t="b">
        <v>0</v>
      </c>
      <c r="B13202" s="11" t="str">
        <f>IF(D13202&lt;&gt;"",IF(COUNTIF('USPTO TMs'!A:A,D13202)&gt;0,"Yes","No"),"")</f>
        <v/>
      </c>
      <c r="C13202" s="11"/>
      <c r="D13202" s="11"/>
      <c r="E13202" s="11"/>
      <c r="F13202" s="11"/>
      <c r="G13202" s="11"/>
      <c r="H13202" s="11"/>
      <c r="I13202" s="15"/>
    </row>
    <row r="13203" spans="1:9" ht="16.5">
      <c r="A13203" s="10" t="b">
        <v>0</v>
      </c>
      <c r="B13203" s="11" t="str">
        <f>IF(D13203&lt;&gt;"",IF(COUNTIF('USPTO TMs'!A:A,D13203)&gt;0,"Yes","No"),"")</f>
        <v/>
      </c>
      <c r="C13203" s="11"/>
      <c r="D13203" s="11"/>
      <c r="E13203" s="11"/>
      <c r="F13203" s="11"/>
      <c r="G13203" s="11"/>
      <c r="H13203" s="11"/>
      <c r="I13203" s="15"/>
    </row>
    <row r="13204" spans="1:9" ht="16.5">
      <c r="A13204" s="10" t="b">
        <v>0</v>
      </c>
      <c r="B13204" s="11" t="str">
        <f>IF(D13204&lt;&gt;"",IF(COUNTIF('USPTO TMs'!A:A,D13204)&gt;0,"Yes","No"),"")</f>
        <v/>
      </c>
      <c r="C13204" s="11"/>
      <c r="D13204" s="11"/>
      <c r="E13204" s="11"/>
      <c r="F13204" s="11"/>
      <c r="G13204" s="11"/>
      <c r="H13204" s="11"/>
      <c r="I13204" s="15"/>
    </row>
    <row r="13205" spans="1:9" ht="16.5">
      <c r="A13205" s="10" t="b">
        <v>0</v>
      </c>
      <c r="B13205" s="11" t="str">
        <f>IF(D13205&lt;&gt;"",IF(COUNTIF('USPTO TMs'!A:A,D13205)&gt;0,"Yes","No"),"")</f>
        <v/>
      </c>
      <c r="C13205" s="11"/>
      <c r="D13205" s="11"/>
      <c r="E13205" s="11"/>
      <c r="F13205" s="11"/>
      <c r="G13205" s="11"/>
      <c r="H13205" s="11"/>
      <c r="I13205" s="15"/>
    </row>
    <row r="13206" spans="1:9" ht="16.5">
      <c r="A13206" s="10" t="b">
        <v>0</v>
      </c>
      <c r="B13206" s="11" t="str">
        <f>IF(D13206&lt;&gt;"",IF(COUNTIF('USPTO TMs'!A:A,D13206)&gt;0,"Yes","No"),"")</f>
        <v/>
      </c>
      <c r="C13206" s="11"/>
      <c r="D13206" s="11"/>
      <c r="E13206" s="11"/>
      <c r="F13206" s="11"/>
      <c r="G13206" s="11"/>
      <c r="H13206" s="11"/>
      <c r="I13206" s="15"/>
    </row>
    <row r="13207" spans="1:9" ht="16.5">
      <c r="A13207" s="10" t="b">
        <v>0</v>
      </c>
      <c r="B13207" s="11" t="str">
        <f>IF(D13207&lt;&gt;"",IF(COUNTIF('USPTO TMs'!A:A,D13207)&gt;0,"Yes","No"),"")</f>
        <v/>
      </c>
      <c r="C13207" s="11"/>
      <c r="D13207" s="11"/>
      <c r="E13207" s="11"/>
      <c r="F13207" s="11"/>
      <c r="G13207" s="11"/>
      <c r="H13207" s="11"/>
      <c r="I13207" s="15"/>
    </row>
    <row r="13208" spans="1:9" ht="16.5">
      <c r="A13208" s="10" t="b">
        <v>0</v>
      </c>
      <c r="B13208" s="11" t="str">
        <f>IF(D13208&lt;&gt;"",IF(COUNTIF('USPTO TMs'!A:A,D13208)&gt;0,"Yes","No"),"")</f>
        <v/>
      </c>
      <c r="C13208" s="11"/>
      <c r="D13208" s="11"/>
      <c r="E13208" s="11"/>
      <c r="F13208" s="11"/>
      <c r="G13208" s="11"/>
      <c r="H13208" s="11"/>
      <c r="I13208" s="15"/>
    </row>
    <row r="13209" spans="1:9" ht="16.5">
      <c r="A13209" s="10" t="b">
        <v>0</v>
      </c>
      <c r="B13209" s="11" t="str">
        <f>IF(D13209&lt;&gt;"",IF(COUNTIF('USPTO TMs'!A:A,D13209)&gt;0,"Yes","No"),"")</f>
        <v/>
      </c>
      <c r="C13209" s="11"/>
      <c r="D13209" s="11"/>
      <c r="E13209" s="11"/>
      <c r="F13209" s="11"/>
      <c r="G13209" s="11"/>
      <c r="H13209" s="11"/>
      <c r="I13209" s="15"/>
    </row>
    <row r="13210" spans="1:9" ht="16.5">
      <c r="A13210" s="10" t="b">
        <v>0</v>
      </c>
      <c r="B13210" s="11" t="str">
        <f>IF(D13210&lt;&gt;"",IF(COUNTIF('USPTO TMs'!A:A,D13210)&gt;0,"Yes","No"),"")</f>
        <v/>
      </c>
      <c r="C13210" s="11"/>
      <c r="D13210" s="11"/>
      <c r="E13210" s="11"/>
      <c r="F13210" s="11"/>
      <c r="G13210" s="11"/>
      <c r="H13210" s="11"/>
      <c r="I13210" s="15"/>
    </row>
    <row r="13211" spans="1:9" ht="16.5">
      <c r="A13211" s="10" t="b">
        <v>0</v>
      </c>
      <c r="B13211" s="11" t="str">
        <f>IF(D13211&lt;&gt;"",IF(COUNTIF('USPTO TMs'!A:A,D13211)&gt;0,"Yes","No"),"")</f>
        <v/>
      </c>
      <c r="C13211" s="11"/>
      <c r="D13211" s="11"/>
      <c r="E13211" s="11"/>
      <c r="F13211" s="11"/>
      <c r="G13211" s="11"/>
      <c r="H13211" s="11"/>
      <c r="I13211" s="15"/>
    </row>
    <row r="13212" spans="1:9" ht="16.5">
      <c r="A13212" s="10" t="b">
        <v>0</v>
      </c>
      <c r="B13212" s="11" t="str">
        <f>IF(D13212&lt;&gt;"",IF(COUNTIF('USPTO TMs'!A:A,D13212)&gt;0,"Yes","No"),"")</f>
        <v/>
      </c>
      <c r="C13212" s="11"/>
      <c r="D13212" s="11"/>
      <c r="E13212" s="11"/>
      <c r="F13212" s="11"/>
      <c r="G13212" s="11"/>
      <c r="H13212" s="11"/>
      <c r="I13212" s="15"/>
    </row>
    <row r="13213" spans="1:9" ht="16.5">
      <c r="A13213" s="10" t="b">
        <v>0</v>
      </c>
      <c r="B13213" s="11" t="str">
        <f>IF(D13213&lt;&gt;"",IF(COUNTIF('USPTO TMs'!A:A,D13213)&gt;0,"Yes","No"),"")</f>
        <v/>
      </c>
      <c r="C13213" s="11"/>
      <c r="D13213" s="11"/>
      <c r="E13213" s="11"/>
      <c r="F13213" s="11"/>
      <c r="G13213" s="11"/>
      <c r="H13213" s="11"/>
      <c r="I13213" s="15"/>
    </row>
    <row r="13214" spans="1:9" ht="16.5">
      <c r="A13214" s="10" t="b">
        <v>0</v>
      </c>
      <c r="B13214" s="11" t="str">
        <f>IF(D13214&lt;&gt;"",IF(COUNTIF('USPTO TMs'!A:A,D13214)&gt;0,"Yes","No"),"")</f>
        <v/>
      </c>
      <c r="C13214" s="11"/>
      <c r="D13214" s="11"/>
      <c r="E13214" s="11"/>
      <c r="F13214" s="11"/>
      <c r="G13214" s="11"/>
      <c r="H13214" s="11"/>
      <c r="I13214" s="15"/>
    </row>
    <row r="13215" spans="1:9" ht="16.5">
      <c r="A13215" s="10" t="b">
        <v>0</v>
      </c>
      <c r="B13215" s="11" t="str">
        <f>IF(D13215&lt;&gt;"",IF(COUNTIF('USPTO TMs'!A:A,D13215)&gt;0,"Yes","No"),"")</f>
        <v/>
      </c>
      <c r="C13215" s="11"/>
      <c r="D13215" s="11"/>
      <c r="E13215" s="11"/>
      <c r="F13215" s="11"/>
      <c r="G13215" s="11"/>
      <c r="H13215" s="11"/>
      <c r="I13215" s="15"/>
    </row>
    <row r="13216" spans="1:9" ht="16.5">
      <c r="A13216" s="10" t="b">
        <v>0</v>
      </c>
      <c r="B13216" s="11" t="str">
        <f>IF(D13216&lt;&gt;"",IF(COUNTIF('USPTO TMs'!A:A,D13216)&gt;0,"Yes","No"),"")</f>
        <v/>
      </c>
      <c r="C13216" s="11"/>
      <c r="D13216" s="11"/>
      <c r="E13216" s="11"/>
      <c r="F13216" s="11"/>
      <c r="G13216" s="11"/>
      <c r="H13216" s="11"/>
      <c r="I13216" s="15"/>
    </row>
    <row r="13217" spans="1:9" ht="16.5">
      <c r="A13217" s="10" t="b">
        <v>0</v>
      </c>
      <c r="B13217" s="11" t="str">
        <f>IF(D13217&lt;&gt;"",IF(COUNTIF('USPTO TMs'!A:A,D13217)&gt;0,"Yes","No"),"")</f>
        <v/>
      </c>
      <c r="C13217" s="11"/>
      <c r="D13217" s="11"/>
      <c r="E13217" s="11"/>
      <c r="F13217" s="11"/>
      <c r="G13217" s="11"/>
      <c r="H13217" s="11"/>
      <c r="I13217" s="15"/>
    </row>
    <row r="13218" spans="1:9" ht="16.5">
      <c r="A13218" s="10" t="b">
        <v>0</v>
      </c>
      <c r="B13218" s="11" t="str">
        <f>IF(D13218&lt;&gt;"",IF(COUNTIF('USPTO TMs'!A:A,D13218)&gt;0,"Yes","No"),"")</f>
        <v/>
      </c>
      <c r="C13218" s="11"/>
      <c r="D13218" s="11"/>
      <c r="E13218" s="11"/>
      <c r="F13218" s="11"/>
      <c r="G13218" s="11"/>
      <c r="H13218" s="11"/>
      <c r="I13218" s="15"/>
    </row>
    <row r="13219" spans="1:9" ht="16.5">
      <c r="A13219" s="10" t="b">
        <v>0</v>
      </c>
      <c r="B13219" s="11" t="str">
        <f>IF(D13219&lt;&gt;"",IF(COUNTIF('USPTO TMs'!A:A,D13219)&gt;0,"Yes","No"),"")</f>
        <v/>
      </c>
      <c r="C13219" s="11"/>
      <c r="D13219" s="11"/>
      <c r="E13219" s="11"/>
      <c r="F13219" s="11"/>
      <c r="G13219" s="11"/>
      <c r="H13219" s="11"/>
      <c r="I13219" s="15"/>
    </row>
    <row r="13220" spans="1:9" ht="16.5">
      <c r="A13220" s="10" t="b">
        <v>0</v>
      </c>
      <c r="B13220" s="11" t="str">
        <f>IF(D13220&lt;&gt;"",IF(COUNTIF('USPTO TMs'!A:A,D13220)&gt;0,"Yes","No"),"")</f>
        <v/>
      </c>
      <c r="C13220" s="11"/>
      <c r="D13220" s="11"/>
      <c r="E13220" s="11"/>
      <c r="F13220" s="11"/>
      <c r="G13220" s="11"/>
      <c r="H13220" s="11"/>
      <c r="I13220" s="15"/>
    </row>
    <row r="13221" spans="1:9" ht="16.5">
      <c r="A13221" s="10" t="b">
        <v>0</v>
      </c>
      <c r="B13221" s="11" t="str">
        <f>IF(D13221&lt;&gt;"",IF(COUNTIF('USPTO TMs'!A:A,D13221)&gt;0,"Yes","No"),"")</f>
        <v/>
      </c>
      <c r="C13221" s="11"/>
      <c r="D13221" s="11"/>
      <c r="E13221" s="11"/>
      <c r="F13221" s="11"/>
      <c r="G13221" s="11"/>
      <c r="H13221" s="11"/>
      <c r="I13221" s="15"/>
    </row>
    <row r="13222" spans="1:9" ht="16.5">
      <c r="A13222" s="10" t="b">
        <v>0</v>
      </c>
      <c r="B13222" s="11" t="str">
        <f>IF(D13222&lt;&gt;"",IF(COUNTIF('USPTO TMs'!A:A,D13222)&gt;0,"Yes","No"),"")</f>
        <v/>
      </c>
      <c r="C13222" s="11"/>
      <c r="D13222" s="11"/>
      <c r="E13222" s="11"/>
      <c r="F13222" s="11"/>
      <c r="G13222" s="11"/>
      <c r="H13222" s="11"/>
      <c r="I13222" s="15"/>
    </row>
    <row r="13223" spans="1:9" ht="16.5">
      <c r="A13223" s="10" t="b">
        <v>0</v>
      </c>
      <c r="B13223" s="11" t="str">
        <f>IF(D13223&lt;&gt;"",IF(COUNTIF('USPTO TMs'!A:A,D13223)&gt;0,"Yes","No"),"")</f>
        <v/>
      </c>
      <c r="C13223" s="11"/>
      <c r="D13223" s="11"/>
      <c r="E13223" s="11"/>
      <c r="F13223" s="11"/>
      <c r="G13223" s="11"/>
      <c r="H13223" s="11"/>
      <c r="I13223" s="15"/>
    </row>
    <row r="13224" spans="1:9" ht="16.5">
      <c r="A13224" s="10" t="b">
        <v>0</v>
      </c>
      <c r="B13224" s="11" t="str">
        <f>IF(D13224&lt;&gt;"",IF(COUNTIF('USPTO TMs'!A:A,D13224)&gt;0,"Yes","No"),"")</f>
        <v/>
      </c>
      <c r="C13224" s="11"/>
      <c r="D13224" s="11"/>
      <c r="E13224" s="11"/>
      <c r="F13224" s="11"/>
      <c r="G13224" s="11"/>
      <c r="H13224" s="11"/>
      <c r="I13224" s="15"/>
    </row>
    <row r="13225" spans="1:9" ht="16.5">
      <c r="A13225" s="10" t="b">
        <v>0</v>
      </c>
      <c r="B13225" s="11" t="str">
        <f>IF(D13225&lt;&gt;"",IF(COUNTIF('USPTO TMs'!A:A,D13225)&gt;0,"Yes","No"),"")</f>
        <v/>
      </c>
      <c r="C13225" s="11"/>
      <c r="D13225" s="11"/>
      <c r="E13225" s="11"/>
      <c r="F13225" s="11"/>
      <c r="G13225" s="11"/>
      <c r="H13225" s="11"/>
      <c r="I13225" s="15"/>
    </row>
    <row r="13226" spans="1:9" ht="16.5">
      <c r="A13226" s="10" t="b">
        <v>0</v>
      </c>
      <c r="B13226" s="11" t="str">
        <f>IF(D13226&lt;&gt;"",IF(COUNTIF('USPTO TMs'!A:A,D13226)&gt;0,"Yes","No"),"")</f>
        <v/>
      </c>
      <c r="C13226" s="11"/>
      <c r="D13226" s="11"/>
      <c r="E13226" s="11"/>
      <c r="F13226" s="11"/>
      <c r="G13226" s="11"/>
      <c r="H13226" s="11"/>
      <c r="I13226" s="15"/>
    </row>
    <row r="13227" spans="1:9" ht="16.5">
      <c r="A13227" s="10" t="b">
        <v>0</v>
      </c>
      <c r="B13227" s="11" t="str">
        <f>IF(D13227&lt;&gt;"",IF(COUNTIF('USPTO TMs'!A:A,D13227)&gt;0,"Yes","No"),"")</f>
        <v/>
      </c>
      <c r="C13227" s="11"/>
      <c r="D13227" s="11"/>
      <c r="E13227" s="11"/>
      <c r="F13227" s="11"/>
      <c r="G13227" s="11"/>
      <c r="H13227" s="11"/>
      <c r="I13227" s="15"/>
    </row>
    <row r="13228" spans="1:9" ht="16.5">
      <c r="A13228" s="10" t="b">
        <v>0</v>
      </c>
      <c r="B13228" s="11" t="str">
        <f>IF(D13228&lt;&gt;"",IF(COUNTIF('USPTO TMs'!A:A,D13228)&gt;0,"Yes","No"),"")</f>
        <v/>
      </c>
      <c r="C13228" s="11"/>
      <c r="D13228" s="11"/>
      <c r="E13228" s="11"/>
      <c r="F13228" s="11"/>
      <c r="G13228" s="11"/>
      <c r="H13228" s="11"/>
      <c r="I13228" s="15"/>
    </row>
    <row r="13229" spans="1:9" ht="16.5">
      <c r="A13229" s="10" t="b">
        <v>0</v>
      </c>
      <c r="B13229" s="11" t="str">
        <f>IF(D13229&lt;&gt;"",IF(COUNTIF('USPTO TMs'!A:A,D13229)&gt;0,"Yes","No"),"")</f>
        <v/>
      </c>
      <c r="C13229" s="11"/>
      <c r="D13229" s="11"/>
      <c r="E13229" s="11"/>
      <c r="F13229" s="11"/>
      <c r="G13229" s="11"/>
      <c r="H13229" s="11"/>
      <c r="I13229" s="15"/>
    </row>
    <row r="13230" spans="1:9" ht="16.5">
      <c r="A13230" s="10" t="b">
        <v>0</v>
      </c>
      <c r="B13230" s="11" t="str">
        <f>IF(D13230&lt;&gt;"",IF(COUNTIF('USPTO TMs'!A:A,D13230)&gt;0,"Yes","No"),"")</f>
        <v/>
      </c>
      <c r="C13230" s="11"/>
      <c r="D13230" s="11"/>
      <c r="E13230" s="11"/>
      <c r="F13230" s="11"/>
      <c r="G13230" s="11"/>
      <c r="H13230" s="11"/>
      <c r="I13230" s="15"/>
    </row>
    <row r="13231" spans="1:9" ht="16.5">
      <c r="A13231" s="10" t="b">
        <v>0</v>
      </c>
      <c r="B13231" s="11" t="str">
        <f>IF(D13231&lt;&gt;"",IF(COUNTIF('USPTO TMs'!A:A,D13231)&gt;0,"Yes","No"),"")</f>
        <v/>
      </c>
      <c r="C13231" s="11"/>
      <c r="D13231" s="11"/>
      <c r="E13231" s="11"/>
      <c r="F13231" s="11"/>
      <c r="G13231" s="11"/>
      <c r="H13231" s="11"/>
      <c r="I13231" s="15"/>
    </row>
    <row r="13232" spans="1:9" ht="16.5">
      <c r="A13232" s="10" t="b">
        <v>0</v>
      </c>
      <c r="B13232" s="11" t="str">
        <f>IF(D13232&lt;&gt;"",IF(COUNTIF('USPTO TMs'!A:A,D13232)&gt;0,"Yes","No"),"")</f>
        <v/>
      </c>
      <c r="C13232" s="11"/>
      <c r="D13232" s="11"/>
      <c r="E13232" s="11"/>
      <c r="F13232" s="11"/>
      <c r="G13232" s="11"/>
      <c r="H13232" s="11"/>
      <c r="I13232" s="15"/>
    </row>
    <row r="13233" spans="1:9" ht="16.5">
      <c r="A13233" s="10" t="b">
        <v>0</v>
      </c>
      <c r="B13233" s="11" t="str">
        <f>IF(D13233&lt;&gt;"",IF(COUNTIF('USPTO TMs'!A:A,D13233)&gt;0,"Yes","No"),"")</f>
        <v/>
      </c>
      <c r="C13233" s="11"/>
      <c r="D13233" s="11"/>
      <c r="E13233" s="11"/>
      <c r="F13233" s="11"/>
      <c r="G13233" s="11"/>
      <c r="H13233" s="11"/>
      <c r="I13233" s="15"/>
    </row>
    <row r="13234" spans="1:9" ht="16.5">
      <c r="A13234" s="10" t="b">
        <v>0</v>
      </c>
      <c r="B13234" s="11" t="str">
        <f>IF(D13234&lt;&gt;"",IF(COUNTIF('USPTO TMs'!A:A,D13234)&gt;0,"Yes","No"),"")</f>
        <v/>
      </c>
      <c r="C13234" s="11"/>
      <c r="D13234" s="11"/>
      <c r="E13234" s="11"/>
      <c r="F13234" s="11"/>
      <c r="G13234" s="11"/>
      <c r="H13234" s="11"/>
      <c r="I13234" s="15"/>
    </row>
    <row r="13235" spans="1:9" ht="16.5">
      <c r="A13235" s="10" t="b">
        <v>0</v>
      </c>
      <c r="B13235" s="11" t="str">
        <f>IF(D13235&lt;&gt;"",IF(COUNTIF('USPTO TMs'!A:A,D13235)&gt;0,"Yes","No"),"")</f>
        <v/>
      </c>
      <c r="C13235" s="11"/>
      <c r="D13235" s="11"/>
      <c r="E13235" s="11"/>
      <c r="F13235" s="11"/>
      <c r="G13235" s="11"/>
      <c r="H13235" s="11"/>
      <c r="I13235" s="15"/>
    </row>
    <row r="13236" spans="1:9" ht="16.5">
      <c r="A13236" s="10" t="b">
        <v>0</v>
      </c>
      <c r="B13236" s="11" t="str">
        <f>IF(D13236&lt;&gt;"",IF(COUNTIF('USPTO TMs'!A:A,D13236)&gt;0,"Yes","No"),"")</f>
        <v/>
      </c>
      <c r="C13236" s="11"/>
      <c r="D13236" s="11"/>
      <c r="E13236" s="11"/>
      <c r="F13236" s="11"/>
      <c r="G13236" s="11"/>
      <c r="H13236" s="11"/>
      <c r="I13236" s="15"/>
    </row>
    <row r="13237" spans="1:9" ht="16.5">
      <c r="A13237" s="10" t="b">
        <v>0</v>
      </c>
      <c r="B13237" s="11" t="str">
        <f>IF(D13237&lt;&gt;"",IF(COUNTIF('USPTO TMs'!A:A,D13237)&gt;0,"Yes","No"),"")</f>
        <v/>
      </c>
      <c r="C13237" s="11"/>
      <c r="D13237" s="11"/>
      <c r="E13237" s="11"/>
      <c r="F13237" s="11"/>
      <c r="G13237" s="11"/>
      <c r="H13237" s="11"/>
      <c r="I13237" s="15"/>
    </row>
    <row r="13238" spans="1:9" ht="16.5">
      <c r="A13238" s="10" t="b">
        <v>0</v>
      </c>
      <c r="B13238" s="11" t="str">
        <f>IF(D13238&lt;&gt;"",IF(COUNTIF('USPTO TMs'!A:A,D13238)&gt;0,"Yes","No"),"")</f>
        <v/>
      </c>
      <c r="C13238" s="11"/>
      <c r="D13238" s="11"/>
      <c r="E13238" s="11"/>
      <c r="F13238" s="11"/>
      <c r="G13238" s="11"/>
      <c r="H13238" s="11"/>
      <c r="I13238" s="15"/>
    </row>
    <row r="13239" spans="1:9" ht="16.5">
      <c r="A13239" s="10" t="b">
        <v>0</v>
      </c>
      <c r="B13239" s="11" t="str">
        <f>IF(D13239&lt;&gt;"",IF(COUNTIF('USPTO TMs'!A:A,D13239)&gt;0,"Yes","No"),"")</f>
        <v/>
      </c>
      <c r="C13239" s="11"/>
      <c r="D13239" s="11"/>
      <c r="E13239" s="11"/>
      <c r="F13239" s="11"/>
      <c r="G13239" s="11"/>
      <c r="H13239" s="11"/>
      <c r="I13239" s="15"/>
    </row>
    <row r="13240" spans="1:9" ht="16.5">
      <c r="A13240" s="10" t="b">
        <v>0</v>
      </c>
      <c r="B13240" s="11" t="str">
        <f>IF(D13240&lt;&gt;"",IF(COUNTIF('USPTO TMs'!A:A,D13240)&gt;0,"Yes","No"),"")</f>
        <v/>
      </c>
      <c r="C13240" s="11"/>
      <c r="D13240" s="11"/>
      <c r="E13240" s="11"/>
      <c r="F13240" s="11"/>
      <c r="G13240" s="11"/>
      <c r="H13240" s="11"/>
      <c r="I13240" s="15"/>
    </row>
    <row r="13241" spans="1:9" ht="16.5">
      <c r="A13241" s="10" t="b">
        <v>0</v>
      </c>
      <c r="B13241" s="11" t="str">
        <f>IF(D13241&lt;&gt;"",IF(COUNTIF('USPTO TMs'!A:A,D13241)&gt;0,"Yes","No"),"")</f>
        <v/>
      </c>
      <c r="C13241" s="11"/>
      <c r="D13241" s="11"/>
      <c r="E13241" s="11"/>
      <c r="F13241" s="11"/>
      <c r="G13241" s="11"/>
      <c r="H13241" s="11"/>
      <c r="I13241" s="15"/>
    </row>
    <row r="13242" spans="1:9" ht="16.5">
      <c r="A13242" s="10" t="b">
        <v>0</v>
      </c>
      <c r="B13242" s="11" t="str">
        <f>IF(D13242&lt;&gt;"",IF(COUNTIF('USPTO TMs'!A:A,D13242)&gt;0,"Yes","No"),"")</f>
        <v/>
      </c>
      <c r="C13242" s="11"/>
      <c r="D13242" s="11"/>
      <c r="E13242" s="11"/>
      <c r="F13242" s="11"/>
      <c r="G13242" s="11"/>
      <c r="H13242" s="11"/>
      <c r="I13242" s="15"/>
    </row>
    <row r="13243" spans="1:9" ht="16.5">
      <c r="A13243" s="10" t="b">
        <v>0</v>
      </c>
      <c r="B13243" s="11" t="str">
        <f>IF(D13243&lt;&gt;"",IF(COUNTIF('USPTO TMs'!A:A,D13243)&gt;0,"Yes","No"),"")</f>
        <v/>
      </c>
      <c r="C13243" s="11"/>
      <c r="D13243" s="11"/>
      <c r="E13243" s="11"/>
      <c r="F13243" s="11"/>
      <c r="G13243" s="11"/>
      <c r="H13243" s="11"/>
      <c r="I13243" s="15"/>
    </row>
    <row r="13244" spans="1:9" ht="16.5">
      <c r="A13244" s="10" t="b">
        <v>0</v>
      </c>
      <c r="B13244" s="11" t="str">
        <f>IF(D13244&lt;&gt;"",IF(COUNTIF('USPTO TMs'!A:A,D13244)&gt;0,"Yes","No"),"")</f>
        <v/>
      </c>
      <c r="C13244" s="11"/>
      <c r="D13244" s="11"/>
      <c r="E13244" s="11"/>
      <c r="F13244" s="11"/>
      <c r="G13244" s="11"/>
      <c r="H13244" s="11"/>
      <c r="I13244" s="15"/>
    </row>
    <row r="13245" spans="1:9" ht="16.5">
      <c r="A13245" s="10" t="b">
        <v>0</v>
      </c>
      <c r="B13245" s="11" t="str">
        <f>IF(D13245&lt;&gt;"",IF(COUNTIF('USPTO TMs'!A:A,D13245)&gt;0,"Yes","No"),"")</f>
        <v/>
      </c>
      <c r="C13245" s="11"/>
      <c r="D13245" s="11"/>
      <c r="E13245" s="11"/>
      <c r="F13245" s="11"/>
      <c r="G13245" s="11"/>
      <c r="H13245" s="11"/>
      <c r="I13245" s="15"/>
    </row>
    <row r="13246" spans="1:9" ht="16.5">
      <c r="A13246" s="10" t="b">
        <v>0</v>
      </c>
      <c r="B13246" s="11" t="str">
        <f>IF(D13246&lt;&gt;"",IF(COUNTIF('USPTO TMs'!A:A,D13246)&gt;0,"Yes","No"),"")</f>
        <v/>
      </c>
      <c r="C13246" s="11"/>
      <c r="D13246" s="11"/>
      <c r="E13246" s="11"/>
      <c r="F13246" s="11"/>
      <c r="G13246" s="11"/>
      <c r="H13246" s="11"/>
      <c r="I13246" s="15"/>
    </row>
    <row r="13247" spans="1:9" ht="16.5">
      <c r="A13247" s="10" t="b">
        <v>0</v>
      </c>
      <c r="B13247" s="11" t="str">
        <f>IF(D13247&lt;&gt;"",IF(COUNTIF('USPTO TMs'!A:A,D13247)&gt;0,"Yes","No"),"")</f>
        <v/>
      </c>
      <c r="C13247" s="11"/>
      <c r="D13247" s="11"/>
      <c r="E13247" s="11"/>
      <c r="F13247" s="11"/>
      <c r="G13247" s="11"/>
      <c r="H13247" s="11"/>
      <c r="I13247" s="15"/>
    </row>
    <row r="13248" spans="1:9" ht="16.5">
      <c r="A13248" s="10" t="b">
        <v>0</v>
      </c>
      <c r="B13248" s="11" t="str">
        <f>IF(D13248&lt;&gt;"",IF(COUNTIF('USPTO TMs'!A:A,D13248)&gt;0,"Yes","No"),"")</f>
        <v/>
      </c>
      <c r="C13248" s="11"/>
      <c r="D13248" s="11"/>
      <c r="E13248" s="11"/>
      <c r="F13248" s="11"/>
      <c r="G13248" s="11"/>
      <c r="H13248" s="11"/>
      <c r="I13248" s="15"/>
    </row>
    <row r="13249" spans="1:9" ht="16.5">
      <c r="A13249" s="10" t="b">
        <v>0</v>
      </c>
      <c r="B13249" s="11" t="str">
        <f>IF(D13249&lt;&gt;"",IF(COUNTIF('USPTO TMs'!A:A,D13249)&gt;0,"Yes","No"),"")</f>
        <v/>
      </c>
      <c r="C13249" s="11"/>
      <c r="D13249" s="11"/>
      <c r="E13249" s="11"/>
      <c r="F13249" s="11"/>
      <c r="G13249" s="11"/>
      <c r="H13249" s="11"/>
      <c r="I13249" s="15"/>
    </row>
    <row r="13250" spans="1:9" ht="16.5">
      <c r="A13250" s="10" t="b">
        <v>0</v>
      </c>
      <c r="B13250" s="11" t="str">
        <f>IF(D13250&lt;&gt;"",IF(COUNTIF('USPTO TMs'!A:A,D13250)&gt;0,"Yes","No"),"")</f>
        <v/>
      </c>
      <c r="C13250" s="11"/>
      <c r="D13250" s="11"/>
      <c r="E13250" s="11"/>
      <c r="F13250" s="11"/>
      <c r="G13250" s="11"/>
      <c r="H13250" s="11"/>
      <c r="I13250" s="15"/>
    </row>
    <row r="13251" spans="1:9" ht="16.5">
      <c r="A13251" s="10" t="b">
        <v>0</v>
      </c>
      <c r="B13251" s="11" t="str">
        <f>IF(D13251&lt;&gt;"",IF(COUNTIF('USPTO TMs'!A:A,D13251)&gt;0,"Yes","No"),"")</f>
        <v/>
      </c>
      <c r="C13251" s="11"/>
      <c r="D13251" s="11"/>
      <c r="E13251" s="11"/>
      <c r="F13251" s="11"/>
      <c r="G13251" s="11"/>
      <c r="H13251" s="11"/>
      <c r="I13251" s="15"/>
    </row>
    <row r="13252" spans="1:9" ht="16.5">
      <c r="A13252" s="10" t="b">
        <v>0</v>
      </c>
      <c r="B13252" s="11" t="str">
        <f>IF(D13252&lt;&gt;"",IF(COUNTIF('USPTO TMs'!A:A,D13252)&gt;0,"Yes","No"),"")</f>
        <v/>
      </c>
      <c r="C13252" s="11"/>
      <c r="D13252" s="11"/>
      <c r="E13252" s="11"/>
      <c r="F13252" s="11"/>
      <c r="G13252" s="11"/>
      <c r="H13252" s="11"/>
      <c r="I13252" s="15"/>
    </row>
    <row r="13253" spans="1:9" ht="16.5">
      <c r="A13253" s="10" t="b">
        <v>0</v>
      </c>
      <c r="B13253" s="11" t="str">
        <f>IF(D13253&lt;&gt;"",IF(COUNTIF('USPTO TMs'!A:A,D13253)&gt;0,"Yes","No"),"")</f>
        <v/>
      </c>
      <c r="C13253" s="11"/>
      <c r="D13253" s="11"/>
      <c r="E13253" s="11"/>
      <c r="F13253" s="11"/>
      <c r="G13253" s="11"/>
      <c r="H13253" s="11"/>
      <c r="I13253" s="15"/>
    </row>
    <row r="13254" spans="1:9" ht="16.5">
      <c r="A13254" s="10" t="b">
        <v>0</v>
      </c>
      <c r="B13254" s="11" t="str">
        <f>IF(D13254&lt;&gt;"",IF(COUNTIF('USPTO TMs'!A:A,D13254)&gt;0,"Yes","No"),"")</f>
        <v/>
      </c>
      <c r="C13254" s="11"/>
      <c r="D13254" s="11"/>
      <c r="E13254" s="11"/>
      <c r="F13254" s="11"/>
      <c r="G13254" s="11"/>
      <c r="H13254" s="11"/>
      <c r="I13254" s="15"/>
    </row>
    <row r="13255" spans="1:9" ht="16.5">
      <c r="A13255" s="10" t="b">
        <v>0</v>
      </c>
      <c r="B13255" s="11" t="str">
        <f>IF(D13255&lt;&gt;"",IF(COUNTIF('USPTO TMs'!A:A,D13255)&gt;0,"Yes","No"),"")</f>
        <v/>
      </c>
      <c r="C13255" s="11"/>
      <c r="D13255" s="11"/>
      <c r="E13255" s="11"/>
      <c r="F13255" s="11"/>
      <c r="G13255" s="11"/>
      <c r="H13255" s="11"/>
      <c r="I13255" s="15"/>
    </row>
    <row r="13256" spans="1:9" ht="16.5">
      <c r="A13256" s="10" t="b">
        <v>0</v>
      </c>
      <c r="B13256" s="11" t="str">
        <f>IF(D13256&lt;&gt;"",IF(COUNTIF('USPTO TMs'!A:A,D13256)&gt;0,"Yes","No"),"")</f>
        <v/>
      </c>
      <c r="C13256" s="11"/>
      <c r="D13256" s="11"/>
      <c r="E13256" s="11"/>
      <c r="F13256" s="11"/>
      <c r="G13256" s="11"/>
      <c r="H13256" s="11"/>
      <c r="I13256" s="15"/>
    </row>
    <row r="13257" spans="1:9" ht="16.5">
      <c r="A13257" s="10" t="b">
        <v>0</v>
      </c>
      <c r="B13257" s="11" t="str">
        <f>IF(D13257&lt;&gt;"",IF(COUNTIF('USPTO TMs'!A:A,D13257)&gt;0,"Yes","No"),"")</f>
        <v/>
      </c>
      <c r="C13257" s="11"/>
      <c r="D13257" s="11"/>
      <c r="E13257" s="11"/>
      <c r="F13257" s="11"/>
      <c r="G13257" s="11"/>
      <c r="H13257" s="11"/>
      <c r="I13257" s="15"/>
    </row>
    <row r="13258" spans="1:9" ht="16.5">
      <c r="A13258" s="10" t="b">
        <v>0</v>
      </c>
      <c r="B13258" s="11" t="str">
        <f>IF(D13258&lt;&gt;"",IF(COUNTIF('USPTO TMs'!A:A,D13258)&gt;0,"Yes","No"),"")</f>
        <v/>
      </c>
      <c r="C13258" s="11"/>
      <c r="D13258" s="11"/>
      <c r="E13258" s="11"/>
      <c r="F13258" s="11"/>
      <c r="G13258" s="11"/>
      <c r="H13258" s="11"/>
      <c r="I13258" s="15"/>
    </row>
    <row r="13259" spans="1:9" ht="16.5">
      <c r="A13259" s="10" t="b">
        <v>0</v>
      </c>
      <c r="B13259" s="11" t="str">
        <f>IF(D13259&lt;&gt;"",IF(COUNTIF('USPTO TMs'!A:A,D13259)&gt;0,"Yes","No"),"")</f>
        <v/>
      </c>
      <c r="C13259" s="11"/>
      <c r="D13259" s="11"/>
      <c r="E13259" s="11"/>
      <c r="F13259" s="11"/>
      <c r="G13259" s="11"/>
      <c r="H13259" s="11"/>
      <c r="I13259" s="15"/>
    </row>
    <row r="13260" spans="1:9" ht="16.5">
      <c r="A13260" s="10" t="b">
        <v>0</v>
      </c>
      <c r="B13260" s="11" t="str">
        <f>IF(D13260&lt;&gt;"",IF(COUNTIF('USPTO TMs'!A:A,D13260)&gt;0,"Yes","No"),"")</f>
        <v/>
      </c>
      <c r="C13260" s="11"/>
      <c r="D13260" s="11"/>
      <c r="E13260" s="11"/>
      <c r="F13260" s="11"/>
      <c r="G13260" s="11"/>
      <c r="H13260" s="11"/>
      <c r="I13260" s="15"/>
    </row>
    <row r="13261" spans="1:9" ht="16.5">
      <c r="A13261" s="10" t="b">
        <v>0</v>
      </c>
      <c r="B13261" s="11" t="str">
        <f>IF(D13261&lt;&gt;"",IF(COUNTIF('USPTO TMs'!A:A,D13261)&gt;0,"Yes","No"),"")</f>
        <v/>
      </c>
      <c r="C13261" s="11"/>
      <c r="D13261" s="11"/>
      <c r="E13261" s="11"/>
      <c r="F13261" s="11"/>
      <c r="G13261" s="11"/>
      <c r="H13261" s="11"/>
      <c r="I13261" s="15"/>
    </row>
    <row r="13262" spans="1:9" ht="16.5">
      <c r="A13262" s="10" t="b">
        <v>0</v>
      </c>
      <c r="B13262" s="11" t="str">
        <f>IF(D13262&lt;&gt;"",IF(COUNTIF('USPTO TMs'!A:A,D13262)&gt;0,"Yes","No"),"")</f>
        <v/>
      </c>
      <c r="C13262" s="11"/>
      <c r="D13262" s="11"/>
      <c r="E13262" s="11"/>
      <c r="F13262" s="11"/>
      <c r="G13262" s="11"/>
      <c r="H13262" s="11"/>
      <c r="I13262" s="15"/>
    </row>
    <row r="13263" spans="1:9" ht="16.5">
      <c r="A13263" s="10" t="b">
        <v>0</v>
      </c>
      <c r="B13263" s="11" t="str">
        <f>IF(D13263&lt;&gt;"",IF(COUNTIF('USPTO TMs'!A:A,D13263)&gt;0,"Yes","No"),"")</f>
        <v/>
      </c>
      <c r="C13263" s="11"/>
      <c r="D13263" s="11"/>
      <c r="E13263" s="11"/>
      <c r="F13263" s="11"/>
      <c r="G13263" s="11"/>
      <c r="H13263" s="11"/>
      <c r="I13263" s="15"/>
    </row>
    <row r="13264" spans="1:9" ht="16.5">
      <c r="A13264" s="10" t="b">
        <v>0</v>
      </c>
      <c r="B13264" s="11" t="str">
        <f>IF(D13264&lt;&gt;"",IF(COUNTIF('USPTO TMs'!A:A,D13264)&gt;0,"Yes","No"),"")</f>
        <v/>
      </c>
      <c r="C13264" s="11"/>
      <c r="D13264" s="11"/>
      <c r="E13264" s="11"/>
      <c r="F13264" s="11"/>
      <c r="G13264" s="11"/>
      <c r="H13264" s="11"/>
      <c r="I13264" s="15"/>
    </row>
    <row r="13265" spans="1:9" ht="16.5">
      <c r="A13265" s="10" t="b">
        <v>0</v>
      </c>
      <c r="B13265" s="11" t="str">
        <f>IF(D13265&lt;&gt;"",IF(COUNTIF('USPTO TMs'!A:A,D13265)&gt;0,"Yes","No"),"")</f>
        <v/>
      </c>
      <c r="C13265" s="11"/>
      <c r="D13265" s="11"/>
      <c r="E13265" s="11"/>
      <c r="F13265" s="11"/>
      <c r="G13265" s="11"/>
      <c r="H13265" s="11"/>
      <c r="I13265" s="15"/>
    </row>
    <row r="13266" spans="1:9" ht="16.5">
      <c r="A13266" s="10" t="b">
        <v>0</v>
      </c>
      <c r="B13266" s="11" t="str">
        <f>IF(D13266&lt;&gt;"",IF(COUNTIF('USPTO TMs'!A:A,D13266)&gt;0,"Yes","No"),"")</f>
        <v/>
      </c>
      <c r="C13266" s="11"/>
      <c r="D13266" s="11"/>
      <c r="E13266" s="11"/>
      <c r="F13266" s="11"/>
      <c r="G13266" s="11"/>
      <c r="H13266" s="11"/>
      <c r="I13266" s="15"/>
    </row>
    <row r="13267" spans="1:9" ht="16.5">
      <c r="A13267" s="10" t="b">
        <v>0</v>
      </c>
      <c r="B13267" s="11" t="str">
        <f>IF(D13267&lt;&gt;"",IF(COUNTIF('USPTO TMs'!A:A,D13267)&gt;0,"Yes","No"),"")</f>
        <v/>
      </c>
      <c r="C13267" s="11"/>
      <c r="D13267" s="11"/>
      <c r="E13267" s="11"/>
      <c r="F13267" s="11"/>
      <c r="G13267" s="11"/>
      <c r="H13267" s="11"/>
      <c r="I13267" s="15"/>
    </row>
    <row r="13268" spans="1:9" ht="16.5">
      <c r="A13268" s="10" t="b">
        <v>0</v>
      </c>
      <c r="B13268" s="11" t="str">
        <f>IF(D13268&lt;&gt;"",IF(COUNTIF('USPTO TMs'!A:A,D13268)&gt;0,"Yes","No"),"")</f>
        <v/>
      </c>
      <c r="C13268" s="11"/>
      <c r="D13268" s="11"/>
      <c r="E13268" s="11"/>
      <c r="F13268" s="11"/>
      <c r="G13268" s="11"/>
      <c r="H13268" s="11"/>
      <c r="I13268" s="15"/>
    </row>
    <row r="13269" spans="1:9" ht="16.5">
      <c r="A13269" s="10" t="b">
        <v>0</v>
      </c>
      <c r="B13269" s="11" t="str">
        <f>IF(D13269&lt;&gt;"",IF(COUNTIF('USPTO TMs'!A:A,D13269)&gt;0,"Yes","No"),"")</f>
        <v/>
      </c>
      <c r="C13269" s="11"/>
      <c r="D13269" s="11"/>
      <c r="E13269" s="11"/>
      <c r="F13269" s="11"/>
      <c r="G13269" s="11"/>
      <c r="H13269" s="11"/>
      <c r="I13269" s="15"/>
    </row>
    <row r="13270" spans="1:9" ht="16.5">
      <c r="A13270" s="10" t="b">
        <v>0</v>
      </c>
      <c r="B13270" s="11" t="str">
        <f>IF(D13270&lt;&gt;"",IF(COUNTIF('USPTO TMs'!A:A,D13270)&gt;0,"Yes","No"),"")</f>
        <v/>
      </c>
      <c r="C13270" s="11"/>
      <c r="D13270" s="11"/>
      <c r="E13270" s="11"/>
      <c r="F13270" s="11"/>
      <c r="G13270" s="11"/>
      <c r="H13270" s="11"/>
      <c r="I13270" s="15"/>
    </row>
    <row r="13271" spans="1:9" ht="16.5">
      <c r="A13271" s="10" t="b">
        <v>0</v>
      </c>
      <c r="B13271" s="11" t="str">
        <f>IF(D13271&lt;&gt;"",IF(COUNTIF('USPTO TMs'!A:A,D13271)&gt;0,"Yes","No"),"")</f>
        <v/>
      </c>
      <c r="C13271" s="11"/>
      <c r="D13271" s="11"/>
      <c r="E13271" s="11"/>
      <c r="F13271" s="11"/>
      <c r="G13271" s="11"/>
      <c r="H13271" s="11"/>
      <c r="I13271" s="15"/>
    </row>
    <row r="13272" spans="1:9" ht="16.5">
      <c r="A13272" s="10" t="b">
        <v>0</v>
      </c>
      <c r="B13272" s="11" t="str">
        <f>IF(D13272&lt;&gt;"",IF(COUNTIF('USPTO TMs'!A:A,D13272)&gt;0,"Yes","No"),"")</f>
        <v/>
      </c>
      <c r="C13272" s="11"/>
      <c r="D13272" s="11"/>
      <c r="E13272" s="11"/>
      <c r="F13272" s="11"/>
      <c r="G13272" s="11"/>
      <c r="H13272" s="11"/>
      <c r="I13272" s="15"/>
    </row>
    <row r="13273" spans="1:9" ht="16.5">
      <c r="A13273" s="10" t="b">
        <v>0</v>
      </c>
      <c r="B13273" s="11" t="str">
        <f>IF(D13273&lt;&gt;"",IF(COUNTIF('USPTO TMs'!A:A,D13273)&gt;0,"Yes","No"),"")</f>
        <v/>
      </c>
      <c r="C13273" s="11"/>
      <c r="D13273" s="11"/>
      <c r="E13273" s="11"/>
      <c r="F13273" s="11"/>
      <c r="G13273" s="11"/>
      <c r="H13273" s="11"/>
      <c r="I13273" s="15"/>
    </row>
    <row r="13274" spans="1:9" ht="16.5">
      <c r="A13274" s="10" t="b">
        <v>0</v>
      </c>
      <c r="B13274" s="11" t="str">
        <f>IF(D13274&lt;&gt;"",IF(COUNTIF('USPTO TMs'!A:A,D13274)&gt;0,"Yes","No"),"")</f>
        <v/>
      </c>
      <c r="C13274" s="11"/>
      <c r="D13274" s="11"/>
      <c r="E13274" s="11"/>
      <c r="F13274" s="11"/>
      <c r="G13274" s="11"/>
      <c r="H13274" s="11"/>
      <c r="I13274" s="15"/>
    </row>
    <row r="13275" spans="1:9" ht="16.5">
      <c r="A13275" s="10" t="b">
        <v>0</v>
      </c>
      <c r="B13275" s="11" t="str">
        <f>IF(D13275&lt;&gt;"",IF(COUNTIF('USPTO TMs'!A:A,D13275)&gt;0,"Yes","No"),"")</f>
        <v/>
      </c>
      <c r="C13275" s="11"/>
      <c r="D13275" s="11"/>
      <c r="E13275" s="11"/>
      <c r="F13275" s="11"/>
      <c r="G13275" s="11"/>
      <c r="H13275" s="11"/>
      <c r="I13275" s="15"/>
    </row>
    <row r="13276" spans="1:9" ht="16.5">
      <c r="A13276" s="10" t="b">
        <v>0</v>
      </c>
      <c r="B13276" s="11" t="str">
        <f>IF(D13276&lt;&gt;"",IF(COUNTIF('USPTO TMs'!A:A,D13276)&gt;0,"Yes","No"),"")</f>
        <v/>
      </c>
      <c r="C13276" s="11"/>
      <c r="D13276" s="11"/>
      <c r="E13276" s="11"/>
      <c r="F13276" s="11"/>
      <c r="G13276" s="11"/>
      <c r="H13276" s="11"/>
      <c r="I13276" s="15"/>
    </row>
    <row r="13277" spans="1:9" ht="16.5">
      <c r="A13277" s="10" t="b">
        <v>0</v>
      </c>
      <c r="B13277" s="11" t="str">
        <f>IF(D13277&lt;&gt;"",IF(COUNTIF('USPTO TMs'!A:A,D13277)&gt;0,"Yes","No"),"")</f>
        <v/>
      </c>
      <c r="C13277" s="11"/>
      <c r="D13277" s="11"/>
      <c r="E13277" s="11"/>
      <c r="F13277" s="11"/>
      <c r="G13277" s="11"/>
      <c r="H13277" s="11"/>
      <c r="I13277" s="15"/>
    </row>
    <row r="13278" spans="1:9" ht="16.5">
      <c r="A13278" s="10" t="b">
        <v>0</v>
      </c>
      <c r="B13278" s="11" t="str">
        <f>IF(D13278&lt;&gt;"",IF(COUNTIF('USPTO TMs'!A:A,D13278)&gt;0,"Yes","No"),"")</f>
        <v/>
      </c>
      <c r="C13278" s="11"/>
      <c r="D13278" s="11"/>
      <c r="E13278" s="11"/>
      <c r="F13278" s="11"/>
      <c r="G13278" s="11"/>
      <c r="H13278" s="11"/>
      <c r="I13278" s="15"/>
    </row>
    <row r="13279" spans="1:9" ht="16.5">
      <c r="A13279" s="10" t="b">
        <v>0</v>
      </c>
      <c r="B13279" s="11" t="str">
        <f>IF(D13279&lt;&gt;"",IF(COUNTIF('USPTO TMs'!A:A,D13279)&gt;0,"Yes","No"),"")</f>
        <v/>
      </c>
      <c r="C13279" s="11"/>
      <c r="D13279" s="11"/>
      <c r="E13279" s="11"/>
      <c r="F13279" s="11"/>
      <c r="G13279" s="11"/>
      <c r="H13279" s="11"/>
      <c r="I13279" s="15"/>
    </row>
    <row r="13280" spans="1:9" ht="16.5">
      <c r="A13280" s="10" t="b">
        <v>0</v>
      </c>
      <c r="B13280" s="11" t="str">
        <f>IF(D13280&lt;&gt;"",IF(COUNTIF('USPTO TMs'!A:A,D13280)&gt;0,"Yes","No"),"")</f>
        <v/>
      </c>
      <c r="C13280" s="11"/>
      <c r="D13280" s="11"/>
      <c r="E13280" s="11"/>
      <c r="F13280" s="11"/>
      <c r="G13280" s="11"/>
      <c r="H13280" s="11"/>
      <c r="I13280" s="15"/>
    </row>
    <row r="13281" spans="1:9" ht="16.5">
      <c r="A13281" s="10" t="b">
        <v>0</v>
      </c>
      <c r="B13281" s="11" t="str">
        <f>IF(D13281&lt;&gt;"",IF(COUNTIF('USPTO TMs'!A:A,D13281)&gt;0,"Yes","No"),"")</f>
        <v/>
      </c>
      <c r="C13281" s="11"/>
      <c r="D13281" s="11"/>
      <c r="E13281" s="11"/>
      <c r="F13281" s="11"/>
      <c r="G13281" s="11"/>
      <c r="H13281" s="11"/>
      <c r="I13281" s="15"/>
    </row>
    <row r="13282" spans="1:9" ht="16.5">
      <c r="A13282" s="10" t="b">
        <v>0</v>
      </c>
      <c r="B13282" s="11" t="str">
        <f>IF(D13282&lt;&gt;"",IF(COUNTIF('USPTO TMs'!A:A,D13282)&gt;0,"Yes","No"),"")</f>
        <v/>
      </c>
      <c r="C13282" s="11"/>
      <c r="D13282" s="11"/>
      <c r="E13282" s="11"/>
      <c r="F13282" s="11"/>
      <c r="G13282" s="11"/>
      <c r="H13282" s="11"/>
      <c r="I13282" s="15"/>
    </row>
    <row r="13283" spans="1:9" ht="16.5">
      <c r="A13283" s="10" t="b">
        <v>0</v>
      </c>
      <c r="B13283" s="11" t="str">
        <f>IF(D13283&lt;&gt;"",IF(COUNTIF('USPTO TMs'!A:A,D13283)&gt;0,"Yes","No"),"")</f>
        <v/>
      </c>
      <c r="C13283" s="11"/>
      <c r="D13283" s="11"/>
      <c r="E13283" s="11"/>
      <c r="F13283" s="11"/>
      <c r="G13283" s="11"/>
      <c r="H13283" s="11"/>
      <c r="I13283" s="15"/>
    </row>
    <row r="13284" spans="1:9" ht="16.5">
      <c r="A13284" s="10" t="b">
        <v>0</v>
      </c>
      <c r="B13284" s="11" t="str">
        <f>IF(D13284&lt;&gt;"",IF(COUNTIF('USPTO TMs'!A:A,D13284)&gt;0,"Yes","No"),"")</f>
        <v/>
      </c>
      <c r="C13284" s="11"/>
      <c r="D13284" s="11"/>
      <c r="E13284" s="11"/>
      <c r="F13284" s="11"/>
      <c r="G13284" s="11"/>
      <c r="H13284" s="11"/>
      <c r="I13284" s="15"/>
    </row>
    <row r="13285" spans="1:9" ht="16.5">
      <c r="A13285" s="10" t="b">
        <v>0</v>
      </c>
      <c r="B13285" s="11" t="str">
        <f>IF(D13285&lt;&gt;"",IF(COUNTIF('USPTO TMs'!A:A,D13285)&gt;0,"Yes","No"),"")</f>
        <v/>
      </c>
      <c r="C13285" s="11"/>
      <c r="D13285" s="11"/>
      <c r="E13285" s="11"/>
      <c r="F13285" s="11"/>
      <c r="G13285" s="11"/>
      <c r="H13285" s="11"/>
      <c r="I13285" s="15"/>
    </row>
    <row r="13286" spans="1:9" ht="16.5">
      <c r="A13286" s="10" t="b">
        <v>0</v>
      </c>
      <c r="B13286" s="11" t="str">
        <f>IF(D13286&lt;&gt;"",IF(COUNTIF('USPTO TMs'!A:A,D13286)&gt;0,"Yes","No"),"")</f>
        <v/>
      </c>
      <c r="C13286" s="11"/>
      <c r="D13286" s="11"/>
      <c r="E13286" s="11"/>
      <c r="F13286" s="11"/>
      <c r="G13286" s="11"/>
      <c r="H13286" s="11"/>
      <c r="I13286" s="15"/>
    </row>
    <row r="13287" spans="1:9" ht="16.5">
      <c r="A13287" s="10" t="b">
        <v>0</v>
      </c>
      <c r="B13287" s="11" t="str">
        <f>IF(D13287&lt;&gt;"",IF(COUNTIF('USPTO TMs'!A:A,D13287)&gt;0,"Yes","No"),"")</f>
        <v/>
      </c>
      <c r="C13287" s="11"/>
      <c r="D13287" s="11"/>
      <c r="E13287" s="11"/>
      <c r="F13287" s="11"/>
      <c r="G13287" s="11"/>
      <c r="H13287" s="11"/>
      <c r="I13287" s="15"/>
    </row>
    <row r="13288" spans="1:9" ht="16.5">
      <c r="A13288" s="10" t="b">
        <v>0</v>
      </c>
      <c r="B13288" s="11" t="str">
        <f>IF(D13288&lt;&gt;"",IF(COUNTIF('USPTO TMs'!A:A,D13288)&gt;0,"Yes","No"),"")</f>
        <v/>
      </c>
      <c r="C13288" s="11"/>
      <c r="D13288" s="11"/>
      <c r="E13288" s="11"/>
      <c r="F13288" s="11"/>
      <c r="G13288" s="11"/>
      <c r="H13288" s="11"/>
      <c r="I13288" s="15"/>
    </row>
    <row r="13289" spans="1:9" ht="16.5">
      <c r="A13289" s="10" t="b">
        <v>0</v>
      </c>
      <c r="B13289" s="11" t="str">
        <f>IF(D13289&lt;&gt;"",IF(COUNTIF('USPTO TMs'!A:A,D13289)&gt;0,"Yes","No"),"")</f>
        <v/>
      </c>
      <c r="C13289" s="11"/>
      <c r="D13289" s="11"/>
      <c r="E13289" s="11"/>
      <c r="F13289" s="11"/>
      <c r="G13289" s="11"/>
      <c r="H13289" s="11"/>
      <c r="I13289" s="15"/>
    </row>
    <row r="13290" spans="1:9" ht="16.5">
      <c r="A13290" s="10" t="b">
        <v>0</v>
      </c>
      <c r="B13290" s="11" t="str">
        <f>IF(D13290&lt;&gt;"",IF(COUNTIF('USPTO TMs'!A:A,D13290)&gt;0,"Yes","No"),"")</f>
        <v/>
      </c>
      <c r="C13290" s="11"/>
      <c r="D13290" s="11"/>
      <c r="E13290" s="11"/>
      <c r="F13290" s="11"/>
      <c r="G13290" s="11"/>
      <c r="H13290" s="11"/>
      <c r="I13290" s="15"/>
    </row>
    <row r="13291" spans="1:9" ht="16.5">
      <c r="A13291" s="10" t="b">
        <v>0</v>
      </c>
      <c r="B13291" s="11" t="str">
        <f>IF(D13291&lt;&gt;"",IF(COUNTIF('USPTO TMs'!A:A,D13291)&gt;0,"Yes","No"),"")</f>
        <v/>
      </c>
      <c r="C13291" s="11"/>
      <c r="D13291" s="11"/>
      <c r="E13291" s="11"/>
      <c r="F13291" s="11"/>
      <c r="G13291" s="11"/>
      <c r="H13291" s="11"/>
      <c r="I13291" s="15"/>
    </row>
    <row r="13292" spans="1:9" ht="16.5">
      <c r="A13292" s="10" t="b">
        <v>0</v>
      </c>
      <c r="B13292" s="11" t="str">
        <f>IF(D13292&lt;&gt;"",IF(COUNTIF('USPTO TMs'!A:A,D13292)&gt;0,"Yes","No"),"")</f>
        <v/>
      </c>
      <c r="C13292" s="11"/>
      <c r="D13292" s="11"/>
      <c r="E13292" s="11"/>
      <c r="F13292" s="11"/>
      <c r="G13292" s="11"/>
      <c r="H13292" s="11"/>
      <c r="I13292" s="15"/>
    </row>
    <row r="13293" spans="1:9" ht="16.5">
      <c r="A13293" s="10" t="b">
        <v>0</v>
      </c>
      <c r="B13293" s="11" t="str">
        <f>IF(D13293&lt;&gt;"",IF(COUNTIF('USPTO TMs'!A:A,D13293)&gt;0,"Yes","No"),"")</f>
        <v/>
      </c>
      <c r="C13293" s="11"/>
      <c r="D13293" s="11"/>
      <c r="E13293" s="11"/>
      <c r="F13293" s="11"/>
      <c r="G13293" s="11"/>
      <c r="H13293" s="11"/>
      <c r="I13293" s="15"/>
    </row>
    <row r="13294" spans="1:9" ht="16.5">
      <c r="A13294" s="10" t="b">
        <v>0</v>
      </c>
      <c r="B13294" s="11" t="str">
        <f>IF(D13294&lt;&gt;"",IF(COUNTIF('USPTO TMs'!A:A,D13294)&gt;0,"Yes","No"),"")</f>
        <v/>
      </c>
      <c r="C13294" s="11"/>
      <c r="D13294" s="11"/>
      <c r="E13294" s="11"/>
      <c r="F13294" s="11"/>
      <c r="G13294" s="11"/>
      <c r="H13294" s="11"/>
      <c r="I13294" s="15"/>
    </row>
    <row r="13295" spans="1:9" ht="16.5">
      <c r="A13295" s="10" t="b">
        <v>0</v>
      </c>
      <c r="B13295" s="11" t="str">
        <f>IF(D13295&lt;&gt;"",IF(COUNTIF('USPTO TMs'!A:A,D13295)&gt;0,"Yes","No"),"")</f>
        <v/>
      </c>
      <c r="C13295" s="11"/>
      <c r="D13295" s="11"/>
      <c r="E13295" s="11"/>
      <c r="F13295" s="11"/>
      <c r="G13295" s="11"/>
      <c r="H13295" s="11"/>
      <c r="I13295" s="15"/>
    </row>
    <row r="13296" spans="1:9" ht="16.5">
      <c r="A13296" s="10" t="b">
        <v>0</v>
      </c>
      <c r="B13296" s="11" t="str">
        <f>IF(D13296&lt;&gt;"",IF(COUNTIF('USPTO TMs'!A:A,D13296)&gt;0,"Yes","No"),"")</f>
        <v/>
      </c>
      <c r="C13296" s="11"/>
      <c r="D13296" s="11"/>
      <c r="E13296" s="11"/>
      <c r="F13296" s="11"/>
      <c r="G13296" s="11"/>
      <c r="H13296" s="11"/>
      <c r="I13296" s="15"/>
    </row>
    <row r="13297" spans="1:9" ht="16.5">
      <c r="A13297" s="10" t="b">
        <v>0</v>
      </c>
      <c r="B13297" s="11" t="str">
        <f>IF(D13297&lt;&gt;"",IF(COUNTIF('USPTO TMs'!A:A,D13297)&gt;0,"Yes","No"),"")</f>
        <v/>
      </c>
      <c r="C13297" s="11"/>
      <c r="D13297" s="11"/>
      <c r="E13297" s="11"/>
      <c r="F13297" s="11"/>
      <c r="G13297" s="11"/>
      <c r="H13297" s="11"/>
      <c r="I13297" s="15"/>
    </row>
    <row r="13298" spans="1:9" ht="16.5">
      <c r="A13298" s="10" t="b">
        <v>0</v>
      </c>
      <c r="B13298" s="11" t="str">
        <f>IF(D13298&lt;&gt;"",IF(COUNTIF('USPTO TMs'!A:A,D13298)&gt;0,"Yes","No"),"")</f>
        <v/>
      </c>
      <c r="C13298" s="11"/>
      <c r="D13298" s="11"/>
      <c r="E13298" s="11"/>
      <c r="F13298" s="11"/>
      <c r="G13298" s="11"/>
      <c r="H13298" s="11"/>
      <c r="I13298" s="15"/>
    </row>
    <row r="13299" spans="1:9" ht="16.5">
      <c r="A13299" s="10" t="b">
        <v>0</v>
      </c>
      <c r="B13299" s="11" t="str">
        <f>IF(D13299&lt;&gt;"",IF(COUNTIF('USPTO TMs'!A:A,D13299)&gt;0,"Yes","No"),"")</f>
        <v/>
      </c>
      <c r="C13299" s="11"/>
      <c r="D13299" s="11"/>
      <c r="E13299" s="11"/>
      <c r="F13299" s="11"/>
      <c r="G13299" s="11"/>
      <c r="H13299" s="11"/>
      <c r="I13299" s="15"/>
    </row>
    <row r="13300" spans="1:9" ht="16.5">
      <c r="A13300" s="10" t="b">
        <v>0</v>
      </c>
      <c r="B13300" s="11" t="str">
        <f>IF(D13300&lt;&gt;"",IF(COUNTIF('USPTO TMs'!A:A,D13300)&gt;0,"Yes","No"),"")</f>
        <v/>
      </c>
      <c r="C13300" s="11"/>
      <c r="D13300" s="11"/>
      <c r="E13300" s="11"/>
      <c r="F13300" s="11"/>
      <c r="G13300" s="11"/>
      <c r="H13300" s="11"/>
      <c r="I13300" s="15"/>
    </row>
    <row r="13301" spans="1:9" ht="16.5">
      <c r="A13301" s="10" t="b">
        <v>0</v>
      </c>
      <c r="B13301" s="11" t="str">
        <f>IF(D13301&lt;&gt;"",IF(COUNTIF('USPTO TMs'!A:A,D13301)&gt;0,"Yes","No"),"")</f>
        <v/>
      </c>
      <c r="C13301" s="11"/>
      <c r="D13301" s="11"/>
      <c r="E13301" s="11"/>
      <c r="F13301" s="11"/>
      <c r="G13301" s="11"/>
      <c r="H13301" s="11"/>
      <c r="I13301" s="15"/>
    </row>
    <row r="13302" spans="1:9" ht="16.5">
      <c r="A13302" s="10" t="b">
        <v>0</v>
      </c>
      <c r="B13302" s="11" t="str">
        <f>IF(D13302&lt;&gt;"",IF(COUNTIF('USPTO TMs'!A:A,D13302)&gt;0,"Yes","No"),"")</f>
        <v/>
      </c>
      <c r="C13302" s="11"/>
      <c r="D13302" s="11"/>
      <c r="E13302" s="11"/>
      <c r="F13302" s="11"/>
      <c r="G13302" s="11"/>
      <c r="H13302" s="11"/>
      <c r="I13302" s="15"/>
    </row>
    <row r="13303" spans="1:9" ht="16.5">
      <c r="A13303" s="10" t="b">
        <v>0</v>
      </c>
      <c r="B13303" s="11" t="str">
        <f>IF(D13303&lt;&gt;"",IF(COUNTIF('USPTO TMs'!A:A,D13303)&gt;0,"Yes","No"),"")</f>
        <v/>
      </c>
      <c r="C13303" s="11"/>
      <c r="D13303" s="11"/>
      <c r="E13303" s="11"/>
      <c r="F13303" s="11"/>
      <c r="G13303" s="11"/>
      <c r="H13303" s="11"/>
      <c r="I13303" s="15"/>
    </row>
    <row r="13304" spans="1:9" ht="16.5">
      <c r="A13304" s="10" t="b">
        <v>0</v>
      </c>
      <c r="B13304" s="11" t="str">
        <f>IF(D13304&lt;&gt;"",IF(COUNTIF('USPTO TMs'!A:A,D13304)&gt;0,"Yes","No"),"")</f>
        <v/>
      </c>
      <c r="C13304" s="11"/>
      <c r="D13304" s="11"/>
      <c r="E13304" s="11"/>
      <c r="F13304" s="11"/>
      <c r="G13304" s="11"/>
      <c r="H13304" s="11"/>
      <c r="I13304" s="15"/>
    </row>
    <row r="13305" spans="1:9" ht="16.5">
      <c r="A13305" s="10" t="b">
        <v>0</v>
      </c>
      <c r="B13305" s="11" t="str">
        <f>IF(D13305&lt;&gt;"",IF(COUNTIF('USPTO TMs'!A:A,D13305)&gt;0,"Yes","No"),"")</f>
        <v/>
      </c>
      <c r="C13305" s="11"/>
      <c r="D13305" s="11"/>
      <c r="E13305" s="11"/>
      <c r="F13305" s="11"/>
      <c r="G13305" s="11"/>
      <c r="H13305" s="11"/>
      <c r="I13305" s="15"/>
    </row>
    <row r="13306" spans="1:9" ht="16.5">
      <c r="A13306" s="10" t="b">
        <v>0</v>
      </c>
      <c r="B13306" s="11" t="str">
        <f>IF(D13306&lt;&gt;"",IF(COUNTIF('USPTO TMs'!A:A,D13306)&gt;0,"Yes","No"),"")</f>
        <v/>
      </c>
      <c r="C13306" s="11"/>
      <c r="D13306" s="11"/>
      <c r="E13306" s="11"/>
      <c r="F13306" s="11"/>
      <c r="G13306" s="11"/>
      <c r="H13306" s="11"/>
      <c r="I13306" s="15"/>
    </row>
    <row r="13307" spans="1:9" ht="16.5">
      <c r="A13307" s="10" t="b">
        <v>0</v>
      </c>
      <c r="B13307" s="11" t="str">
        <f>IF(D13307&lt;&gt;"",IF(COUNTIF('USPTO TMs'!A:A,D13307)&gt;0,"Yes","No"),"")</f>
        <v/>
      </c>
      <c r="C13307" s="11"/>
      <c r="D13307" s="11"/>
      <c r="E13307" s="11"/>
      <c r="F13307" s="11"/>
      <c r="G13307" s="11"/>
      <c r="H13307" s="11"/>
      <c r="I13307" s="15"/>
    </row>
    <row r="13308" spans="1:9" ht="16.5">
      <c r="A13308" s="10" t="b">
        <v>0</v>
      </c>
      <c r="B13308" s="11" t="str">
        <f>IF(D13308&lt;&gt;"",IF(COUNTIF('USPTO TMs'!A:A,D13308)&gt;0,"Yes","No"),"")</f>
        <v/>
      </c>
      <c r="C13308" s="11"/>
      <c r="D13308" s="11"/>
      <c r="E13308" s="11"/>
      <c r="F13308" s="11"/>
      <c r="G13308" s="11"/>
      <c r="H13308" s="11"/>
      <c r="I13308" s="15"/>
    </row>
    <row r="13309" spans="1:9" ht="16.5">
      <c r="A13309" s="10" t="b">
        <v>0</v>
      </c>
      <c r="B13309" s="11" t="str">
        <f>IF(D13309&lt;&gt;"",IF(COUNTIF('USPTO TMs'!A:A,D13309)&gt;0,"Yes","No"),"")</f>
        <v/>
      </c>
      <c r="C13309" s="11"/>
      <c r="D13309" s="11"/>
      <c r="E13309" s="11"/>
      <c r="F13309" s="11"/>
      <c r="G13309" s="11"/>
      <c r="H13309" s="11"/>
      <c r="I13309" s="15"/>
    </row>
    <row r="13310" spans="1:9" ht="16.5">
      <c r="A13310" s="10" t="b">
        <v>0</v>
      </c>
      <c r="B13310" s="11" t="str">
        <f>IF(D13310&lt;&gt;"",IF(COUNTIF('USPTO TMs'!A:A,D13310)&gt;0,"Yes","No"),"")</f>
        <v/>
      </c>
      <c r="C13310" s="11"/>
      <c r="D13310" s="11"/>
      <c r="E13310" s="11"/>
      <c r="F13310" s="11"/>
      <c r="G13310" s="11"/>
      <c r="H13310" s="11"/>
      <c r="I13310" s="15"/>
    </row>
    <row r="13311" spans="1:9" ht="16.5">
      <c r="A13311" s="10" t="b">
        <v>0</v>
      </c>
      <c r="B13311" s="11" t="str">
        <f>IF(D13311&lt;&gt;"",IF(COUNTIF('USPTO TMs'!A:A,D13311)&gt;0,"Yes","No"),"")</f>
        <v/>
      </c>
      <c r="C13311" s="11"/>
      <c r="D13311" s="11"/>
      <c r="E13311" s="11"/>
      <c r="F13311" s="11"/>
      <c r="G13311" s="11"/>
      <c r="H13311" s="11"/>
      <c r="I13311" s="15"/>
    </row>
    <row r="13312" spans="1:9" ht="16.5">
      <c r="A13312" s="10" t="b">
        <v>0</v>
      </c>
      <c r="B13312" s="11" t="str">
        <f>IF(D13312&lt;&gt;"",IF(COUNTIF('USPTO TMs'!A:A,D13312)&gt;0,"Yes","No"),"")</f>
        <v/>
      </c>
      <c r="C13312" s="11"/>
      <c r="D13312" s="11"/>
      <c r="E13312" s="11"/>
      <c r="F13312" s="11"/>
      <c r="G13312" s="11"/>
      <c r="H13312" s="11"/>
      <c r="I13312" s="15"/>
    </row>
    <row r="13313" spans="1:9" ht="16.5">
      <c r="A13313" s="10" t="b">
        <v>0</v>
      </c>
      <c r="B13313" s="11" t="str">
        <f>IF(D13313&lt;&gt;"",IF(COUNTIF('USPTO TMs'!A:A,D13313)&gt;0,"Yes","No"),"")</f>
        <v/>
      </c>
      <c r="C13313" s="11"/>
      <c r="D13313" s="11"/>
      <c r="E13313" s="11"/>
      <c r="F13313" s="11"/>
      <c r="G13313" s="11"/>
      <c r="H13313" s="11"/>
      <c r="I13313" s="15"/>
    </row>
    <row r="13314" spans="1:9" ht="16.5">
      <c r="A13314" s="10" t="b">
        <v>0</v>
      </c>
      <c r="B13314" s="11" t="str">
        <f>IF(D13314&lt;&gt;"",IF(COUNTIF('USPTO TMs'!A:A,D13314)&gt;0,"Yes","No"),"")</f>
        <v/>
      </c>
      <c r="C13314" s="11"/>
      <c r="D13314" s="11"/>
      <c r="E13314" s="11"/>
      <c r="F13314" s="11"/>
      <c r="G13314" s="11"/>
      <c r="H13314" s="11"/>
      <c r="I13314" s="15"/>
    </row>
    <row r="13315" spans="1:9" ht="16.5">
      <c r="A13315" s="10" t="b">
        <v>0</v>
      </c>
      <c r="B13315" s="11" t="str">
        <f>IF(D13315&lt;&gt;"",IF(COUNTIF('USPTO TMs'!A:A,D13315)&gt;0,"Yes","No"),"")</f>
        <v/>
      </c>
      <c r="C13315" s="11"/>
      <c r="D13315" s="11"/>
      <c r="E13315" s="11"/>
      <c r="F13315" s="11"/>
      <c r="G13315" s="11"/>
      <c r="H13315" s="11"/>
      <c r="I13315" s="15"/>
    </row>
    <row r="13316" spans="1:9" ht="16.5">
      <c r="A13316" s="10" t="b">
        <v>0</v>
      </c>
      <c r="B13316" s="11" t="str">
        <f>IF(D13316&lt;&gt;"",IF(COUNTIF('USPTO TMs'!A:A,D13316)&gt;0,"Yes","No"),"")</f>
        <v/>
      </c>
      <c r="C13316" s="11"/>
      <c r="D13316" s="11"/>
      <c r="E13316" s="11"/>
      <c r="F13316" s="11"/>
      <c r="G13316" s="11"/>
      <c r="H13316" s="11"/>
      <c r="I13316" s="15"/>
    </row>
    <row r="13317" spans="1:9" ht="16.5">
      <c r="A13317" s="10" t="b">
        <v>0</v>
      </c>
      <c r="B13317" s="11" t="str">
        <f>IF(D13317&lt;&gt;"",IF(COUNTIF('USPTO TMs'!A:A,D13317)&gt;0,"Yes","No"),"")</f>
        <v/>
      </c>
      <c r="C13317" s="11"/>
      <c r="D13317" s="11"/>
      <c r="E13317" s="11"/>
      <c r="F13317" s="11"/>
      <c r="G13317" s="11"/>
      <c r="H13317" s="11"/>
      <c r="I13317" s="15"/>
    </row>
    <row r="13318" spans="1:9" ht="16.5">
      <c r="A13318" s="10" t="b">
        <v>0</v>
      </c>
      <c r="B13318" s="11" t="str">
        <f>IF(D13318&lt;&gt;"",IF(COUNTIF('USPTO TMs'!A:A,D13318)&gt;0,"Yes","No"),"")</f>
        <v/>
      </c>
      <c r="C13318" s="11"/>
      <c r="D13318" s="11"/>
      <c r="E13318" s="11"/>
      <c r="F13318" s="11"/>
      <c r="G13318" s="11"/>
      <c r="H13318" s="11"/>
      <c r="I13318" s="15"/>
    </row>
    <row r="13319" spans="1:9" ht="16.5">
      <c r="A13319" s="10" t="b">
        <v>0</v>
      </c>
      <c r="B13319" s="11" t="str">
        <f>IF(D13319&lt;&gt;"",IF(COUNTIF('USPTO TMs'!A:A,D13319)&gt;0,"Yes","No"),"")</f>
        <v/>
      </c>
      <c r="C13319" s="11"/>
      <c r="D13319" s="11"/>
      <c r="E13319" s="11"/>
      <c r="F13319" s="11"/>
      <c r="G13319" s="11"/>
      <c r="H13319" s="11"/>
      <c r="I13319" s="15"/>
    </row>
    <row r="13320" spans="1:9" ht="16.5">
      <c r="A13320" s="10" t="b">
        <v>0</v>
      </c>
      <c r="B13320" s="11" t="str">
        <f>IF(D13320&lt;&gt;"",IF(COUNTIF('USPTO TMs'!A:A,D13320)&gt;0,"Yes","No"),"")</f>
        <v/>
      </c>
      <c r="C13320" s="11"/>
      <c r="D13320" s="11"/>
      <c r="E13320" s="11"/>
      <c r="F13320" s="11"/>
      <c r="G13320" s="11"/>
      <c r="H13320" s="11"/>
      <c r="I13320" s="15"/>
    </row>
    <row r="13321" spans="1:9" ht="16.5">
      <c r="A13321" s="10" t="b">
        <v>0</v>
      </c>
      <c r="B13321" s="11" t="str">
        <f>IF(D13321&lt;&gt;"",IF(COUNTIF('USPTO TMs'!A:A,D13321)&gt;0,"Yes","No"),"")</f>
        <v/>
      </c>
      <c r="C13321" s="11"/>
      <c r="D13321" s="11"/>
      <c r="E13321" s="11"/>
      <c r="F13321" s="11"/>
      <c r="G13321" s="11"/>
      <c r="H13321" s="11"/>
      <c r="I13321" s="15"/>
    </row>
    <row r="13322" spans="1:9" ht="16.5">
      <c r="A13322" s="10" t="b">
        <v>0</v>
      </c>
      <c r="B13322" s="11" t="str">
        <f>IF(D13322&lt;&gt;"",IF(COUNTIF('USPTO TMs'!A:A,D13322)&gt;0,"Yes","No"),"")</f>
        <v/>
      </c>
      <c r="C13322" s="11"/>
      <c r="D13322" s="11"/>
      <c r="E13322" s="11"/>
      <c r="F13322" s="11"/>
      <c r="G13322" s="11"/>
      <c r="H13322" s="11"/>
      <c r="I13322" s="15"/>
    </row>
    <row r="13323" spans="1:9" ht="16.5">
      <c r="A13323" s="10" t="b">
        <v>0</v>
      </c>
      <c r="B13323" s="11" t="str">
        <f>IF(D13323&lt;&gt;"",IF(COUNTIF('USPTO TMs'!A:A,D13323)&gt;0,"Yes","No"),"")</f>
        <v/>
      </c>
      <c r="C13323" s="11"/>
      <c r="D13323" s="11"/>
      <c r="E13323" s="11"/>
      <c r="F13323" s="11"/>
      <c r="G13323" s="11"/>
      <c r="H13323" s="11"/>
      <c r="I13323" s="15"/>
    </row>
    <row r="13324" spans="1:9" ht="16.5">
      <c r="A13324" s="10" t="b">
        <v>0</v>
      </c>
      <c r="B13324" s="11" t="str">
        <f>IF(D13324&lt;&gt;"",IF(COUNTIF('USPTO TMs'!A:A,D13324)&gt;0,"Yes","No"),"")</f>
        <v/>
      </c>
      <c r="C13324" s="11"/>
      <c r="D13324" s="11"/>
      <c r="E13324" s="11"/>
      <c r="F13324" s="11"/>
      <c r="G13324" s="11"/>
      <c r="H13324" s="11"/>
      <c r="I13324" s="15"/>
    </row>
    <row r="13325" spans="1:9" ht="16.5">
      <c r="A13325" s="10" t="b">
        <v>0</v>
      </c>
      <c r="B13325" s="11" t="str">
        <f>IF(D13325&lt;&gt;"",IF(COUNTIF('USPTO TMs'!A:A,D13325)&gt;0,"Yes","No"),"")</f>
        <v/>
      </c>
      <c r="C13325" s="11"/>
      <c r="D13325" s="11"/>
      <c r="E13325" s="11"/>
      <c r="F13325" s="11"/>
      <c r="G13325" s="11"/>
      <c r="H13325" s="11"/>
      <c r="I13325" s="15"/>
    </row>
    <row r="13326" spans="1:9" ht="16.5">
      <c r="A13326" s="10" t="b">
        <v>0</v>
      </c>
      <c r="B13326" s="11" t="str">
        <f>IF(D13326&lt;&gt;"",IF(COUNTIF('USPTO TMs'!A:A,D13326)&gt;0,"Yes","No"),"")</f>
        <v/>
      </c>
      <c r="C13326" s="11"/>
      <c r="D13326" s="11"/>
      <c r="E13326" s="11"/>
      <c r="F13326" s="11"/>
      <c r="G13326" s="11"/>
      <c r="H13326" s="11"/>
      <c r="I13326" s="15"/>
    </row>
    <row r="13327" spans="1:9" ht="16.5">
      <c r="A13327" s="10" t="b">
        <v>0</v>
      </c>
      <c r="B13327" s="11" t="str">
        <f>IF(D13327&lt;&gt;"",IF(COUNTIF('USPTO TMs'!A:A,D13327)&gt;0,"Yes","No"),"")</f>
        <v/>
      </c>
      <c r="C13327" s="11"/>
      <c r="D13327" s="11"/>
      <c r="E13327" s="11"/>
      <c r="F13327" s="11"/>
      <c r="G13327" s="11"/>
      <c r="H13327" s="11"/>
      <c r="I13327" s="15"/>
    </row>
    <row r="13328" spans="1:9" ht="16.5">
      <c r="A13328" s="10" t="b">
        <v>0</v>
      </c>
      <c r="B13328" s="11" t="str">
        <f>IF(D13328&lt;&gt;"",IF(COUNTIF('USPTO TMs'!A:A,D13328)&gt;0,"Yes","No"),"")</f>
        <v/>
      </c>
      <c r="C13328" s="11"/>
      <c r="D13328" s="11"/>
      <c r="E13328" s="11"/>
      <c r="F13328" s="11"/>
      <c r="G13328" s="11"/>
      <c r="H13328" s="11"/>
      <c r="I13328" s="15"/>
    </row>
    <row r="13329" spans="1:9" ht="16.5">
      <c r="A13329" s="10" t="b">
        <v>0</v>
      </c>
      <c r="B13329" s="11" t="str">
        <f>IF(D13329&lt;&gt;"",IF(COUNTIF('USPTO TMs'!A:A,D13329)&gt;0,"Yes","No"),"")</f>
        <v/>
      </c>
      <c r="C13329" s="11"/>
      <c r="D13329" s="11"/>
      <c r="E13329" s="11"/>
      <c r="F13329" s="11"/>
      <c r="G13329" s="11"/>
      <c r="H13329" s="11"/>
      <c r="I13329" s="15"/>
    </row>
    <row r="13330" spans="1:9" ht="16.5">
      <c r="A13330" s="10" t="b">
        <v>0</v>
      </c>
      <c r="B13330" s="11" t="str">
        <f>IF(D13330&lt;&gt;"",IF(COUNTIF('USPTO TMs'!A:A,D13330)&gt;0,"Yes","No"),"")</f>
        <v/>
      </c>
      <c r="C13330" s="11"/>
      <c r="D13330" s="11"/>
      <c r="E13330" s="11"/>
      <c r="F13330" s="11"/>
      <c r="G13330" s="11"/>
      <c r="H13330" s="11"/>
      <c r="I13330" s="15"/>
    </row>
    <row r="13331" spans="1:9" ht="16.5">
      <c r="A13331" s="10" t="b">
        <v>0</v>
      </c>
      <c r="B13331" s="11" t="str">
        <f>IF(D13331&lt;&gt;"",IF(COUNTIF('USPTO TMs'!A:A,D13331)&gt;0,"Yes","No"),"")</f>
        <v/>
      </c>
      <c r="C13331" s="11"/>
      <c r="D13331" s="11"/>
      <c r="E13331" s="11"/>
      <c r="F13331" s="11"/>
      <c r="G13331" s="11"/>
      <c r="H13331" s="11"/>
      <c r="I13331" s="15"/>
    </row>
    <row r="13332" spans="1:9" ht="16.5">
      <c r="A13332" s="10" t="b">
        <v>0</v>
      </c>
      <c r="B13332" s="11" t="str">
        <f>IF(D13332&lt;&gt;"",IF(COUNTIF('USPTO TMs'!A:A,D13332)&gt;0,"Yes","No"),"")</f>
        <v/>
      </c>
      <c r="C13332" s="11"/>
      <c r="D13332" s="11"/>
      <c r="E13332" s="11"/>
      <c r="F13332" s="11"/>
      <c r="G13332" s="11"/>
      <c r="H13332" s="11"/>
      <c r="I13332" s="15"/>
    </row>
    <row r="13333" spans="1:9" ht="16.5">
      <c r="A13333" s="10" t="b">
        <v>0</v>
      </c>
      <c r="B13333" s="11" t="str">
        <f>IF(D13333&lt;&gt;"",IF(COUNTIF('USPTO TMs'!A:A,D13333)&gt;0,"Yes","No"),"")</f>
        <v/>
      </c>
      <c r="C13333" s="11"/>
      <c r="D13333" s="11"/>
      <c r="E13333" s="11"/>
      <c r="F13333" s="11"/>
      <c r="G13333" s="11"/>
      <c r="H13333" s="11"/>
      <c r="I13333" s="15"/>
    </row>
    <row r="13334" spans="1:9" ht="16.5">
      <c r="A13334" s="10" t="b">
        <v>0</v>
      </c>
      <c r="B13334" s="11" t="str">
        <f>IF(D13334&lt;&gt;"",IF(COUNTIF('USPTO TMs'!A:A,D13334)&gt;0,"Yes","No"),"")</f>
        <v/>
      </c>
      <c r="C13334" s="11"/>
      <c r="D13334" s="11"/>
      <c r="E13334" s="11"/>
      <c r="F13334" s="11"/>
      <c r="G13334" s="11"/>
      <c r="H13334" s="11"/>
      <c r="I13334" s="15"/>
    </row>
    <row r="13335" spans="1:9" ht="16.5">
      <c r="A13335" s="10" t="b">
        <v>0</v>
      </c>
      <c r="B13335" s="11" t="str">
        <f>IF(D13335&lt;&gt;"",IF(COUNTIF('USPTO TMs'!A:A,D13335)&gt;0,"Yes","No"),"")</f>
        <v/>
      </c>
      <c r="C13335" s="11"/>
      <c r="D13335" s="11"/>
      <c r="E13335" s="11"/>
      <c r="F13335" s="11"/>
      <c r="G13335" s="11"/>
      <c r="H13335" s="11"/>
      <c r="I13335" s="15"/>
    </row>
    <row r="13336" spans="1:9" ht="16.5">
      <c r="A13336" s="10" t="b">
        <v>0</v>
      </c>
      <c r="B13336" s="11" t="str">
        <f>IF(D13336&lt;&gt;"",IF(COUNTIF('USPTO TMs'!A:A,D13336)&gt;0,"Yes","No"),"")</f>
        <v/>
      </c>
      <c r="C13336" s="11"/>
      <c r="D13336" s="11"/>
      <c r="E13336" s="11"/>
      <c r="F13336" s="11"/>
      <c r="G13336" s="11"/>
      <c r="H13336" s="11"/>
      <c r="I13336" s="15"/>
    </row>
    <row r="13337" spans="1:9" ht="16.5">
      <c r="A13337" s="10" t="b">
        <v>0</v>
      </c>
      <c r="B13337" s="11" t="str">
        <f>IF(D13337&lt;&gt;"",IF(COUNTIF('USPTO TMs'!A:A,D13337)&gt;0,"Yes","No"),"")</f>
        <v/>
      </c>
      <c r="C13337" s="11"/>
      <c r="D13337" s="11"/>
      <c r="E13337" s="11"/>
      <c r="F13337" s="11"/>
      <c r="G13337" s="11"/>
      <c r="H13337" s="11"/>
      <c r="I13337" s="15"/>
    </row>
    <row r="13338" spans="1:9" ht="16.5">
      <c r="A13338" s="10" t="b">
        <v>0</v>
      </c>
      <c r="B13338" s="11" t="str">
        <f>IF(D13338&lt;&gt;"",IF(COUNTIF('USPTO TMs'!A:A,D13338)&gt;0,"Yes","No"),"")</f>
        <v/>
      </c>
      <c r="C13338" s="11"/>
      <c r="D13338" s="11"/>
      <c r="E13338" s="11"/>
      <c r="F13338" s="11"/>
      <c r="G13338" s="11"/>
      <c r="H13338" s="11"/>
      <c r="I13338" s="15"/>
    </row>
    <row r="13339" spans="1:9" ht="16.5">
      <c r="A13339" s="10" t="b">
        <v>0</v>
      </c>
      <c r="B13339" s="11" t="str">
        <f>IF(D13339&lt;&gt;"",IF(COUNTIF('USPTO TMs'!A:A,D13339)&gt;0,"Yes","No"),"")</f>
        <v/>
      </c>
      <c r="C13339" s="11"/>
      <c r="D13339" s="11"/>
      <c r="E13339" s="11"/>
      <c r="F13339" s="11"/>
      <c r="G13339" s="11"/>
      <c r="H13339" s="11"/>
      <c r="I13339" s="15"/>
    </row>
    <row r="13340" spans="1:9" ht="16.5">
      <c r="A13340" s="10" t="b">
        <v>0</v>
      </c>
      <c r="B13340" s="11" t="str">
        <f>IF(D13340&lt;&gt;"",IF(COUNTIF('USPTO TMs'!A:A,D13340)&gt;0,"Yes","No"),"")</f>
        <v/>
      </c>
      <c r="C13340" s="11"/>
      <c r="D13340" s="11"/>
      <c r="E13340" s="11"/>
      <c r="F13340" s="11"/>
      <c r="G13340" s="11"/>
      <c r="H13340" s="11"/>
      <c r="I13340" s="15"/>
    </row>
    <row r="13341" spans="1:9" ht="16.5">
      <c r="A13341" s="10" t="b">
        <v>0</v>
      </c>
      <c r="B13341" s="11" t="str">
        <f>IF(D13341&lt;&gt;"",IF(COUNTIF('USPTO TMs'!A:A,D13341)&gt;0,"Yes","No"),"")</f>
        <v/>
      </c>
      <c r="C13341" s="11"/>
      <c r="D13341" s="11"/>
      <c r="E13341" s="11"/>
      <c r="F13341" s="11"/>
      <c r="G13341" s="11"/>
      <c r="H13341" s="11"/>
      <c r="I13341" s="15"/>
    </row>
    <row r="13342" spans="1:9" ht="16.5">
      <c r="A13342" s="10" t="b">
        <v>0</v>
      </c>
      <c r="B13342" s="11" t="str">
        <f>IF(D13342&lt;&gt;"",IF(COUNTIF('USPTO TMs'!A:A,D13342)&gt;0,"Yes","No"),"")</f>
        <v/>
      </c>
      <c r="C13342" s="11"/>
      <c r="D13342" s="11"/>
      <c r="E13342" s="11"/>
      <c r="F13342" s="11"/>
      <c r="G13342" s="11"/>
      <c r="H13342" s="11"/>
      <c r="I13342" s="15"/>
    </row>
    <row r="13343" spans="1:9" ht="16.5">
      <c r="A13343" s="10" t="b">
        <v>0</v>
      </c>
      <c r="B13343" s="11" t="str">
        <f>IF(D13343&lt;&gt;"",IF(COUNTIF('USPTO TMs'!A:A,D13343)&gt;0,"Yes","No"),"")</f>
        <v/>
      </c>
      <c r="C13343" s="11"/>
      <c r="D13343" s="11"/>
      <c r="E13343" s="11"/>
      <c r="F13343" s="11"/>
      <c r="G13343" s="11"/>
      <c r="H13343" s="11"/>
      <c r="I13343" s="15"/>
    </row>
    <row r="13344" spans="1:9" ht="16.5">
      <c r="A13344" s="10" t="b">
        <v>0</v>
      </c>
      <c r="B13344" s="11" t="str">
        <f>IF(D13344&lt;&gt;"",IF(COUNTIF('USPTO TMs'!A:A,D13344)&gt;0,"Yes","No"),"")</f>
        <v/>
      </c>
      <c r="C13344" s="11"/>
      <c r="D13344" s="11"/>
      <c r="E13344" s="11"/>
      <c r="F13344" s="11"/>
      <c r="G13344" s="11"/>
      <c r="H13344" s="11"/>
      <c r="I13344" s="15"/>
    </row>
    <row r="13345" spans="1:9" ht="16.5">
      <c r="A13345" s="10" t="b">
        <v>0</v>
      </c>
      <c r="B13345" s="11" t="str">
        <f>IF(D13345&lt;&gt;"",IF(COUNTIF('USPTO TMs'!A:A,D13345)&gt;0,"Yes","No"),"")</f>
        <v/>
      </c>
      <c r="C13345" s="11"/>
      <c r="D13345" s="11"/>
      <c r="E13345" s="11"/>
      <c r="F13345" s="11"/>
      <c r="G13345" s="11"/>
      <c r="H13345" s="11"/>
      <c r="I13345" s="15"/>
    </row>
    <row r="13346" spans="1:9" ht="16.5">
      <c r="A13346" s="10" t="b">
        <v>0</v>
      </c>
      <c r="B13346" s="11" t="str">
        <f>IF(D13346&lt;&gt;"",IF(COUNTIF('USPTO TMs'!A:A,D13346)&gt;0,"Yes","No"),"")</f>
        <v/>
      </c>
      <c r="C13346" s="11"/>
      <c r="D13346" s="11"/>
      <c r="E13346" s="11"/>
      <c r="F13346" s="11"/>
      <c r="G13346" s="11"/>
      <c r="H13346" s="11"/>
      <c r="I13346" s="15"/>
    </row>
    <row r="13347" spans="1:9" ht="16.5">
      <c r="A13347" s="10" t="b">
        <v>0</v>
      </c>
      <c r="B13347" s="11" t="str">
        <f>IF(D13347&lt;&gt;"",IF(COUNTIF('USPTO TMs'!A:A,D13347)&gt;0,"Yes","No"),"")</f>
        <v/>
      </c>
      <c r="C13347" s="11"/>
      <c r="D13347" s="11"/>
      <c r="E13347" s="11"/>
      <c r="F13347" s="11"/>
      <c r="G13347" s="11"/>
      <c r="H13347" s="11"/>
      <c r="I13347" s="15"/>
    </row>
    <row r="13348" spans="1:9" ht="16.5">
      <c r="A13348" s="10" t="b">
        <v>0</v>
      </c>
      <c r="B13348" s="11" t="str">
        <f>IF(D13348&lt;&gt;"",IF(COUNTIF('USPTO TMs'!A:A,D13348)&gt;0,"Yes","No"),"")</f>
        <v/>
      </c>
      <c r="C13348" s="11"/>
      <c r="D13348" s="11"/>
      <c r="E13348" s="11"/>
      <c r="F13348" s="11"/>
      <c r="G13348" s="11"/>
      <c r="H13348" s="11"/>
      <c r="I13348" s="15"/>
    </row>
    <row r="13349" spans="1:9" ht="16.5">
      <c r="A13349" s="10" t="b">
        <v>0</v>
      </c>
      <c r="B13349" s="11" t="str">
        <f>IF(D13349&lt;&gt;"",IF(COUNTIF('USPTO TMs'!A:A,D13349)&gt;0,"Yes","No"),"")</f>
        <v/>
      </c>
      <c r="C13349" s="11"/>
      <c r="D13349" s="11"/>
      <c r="E13349" s="11"/>
      <c r="F13349" s="11"/>
      <c r="G13349" s="11"/>
      <c r="H13349" s="11"/>
      <c r="I13349" s="15"/>
    </row>
    <row r="13350" spans="1:9" ht="16.5">
      <c r="A13350" s="10" t="b">
        <v>0</v>
      </c>
      <c r="B13350" s="11" t="str">
        <f>IF(D13350&lt;&gt;"",IF(COUNTIF('USPTO TMs'!A:A,D13350)&gt;0,"Yes","No"),"")</f>
        <v/>
      </c>
      <c r="C13350" s="11"/>
      <c r="D13350" s="11"/>
      <c r="E13350" s="11"/>
      <c r="F13350" s="11"/>
      <c r="G13350" s="11"/>
      <c r="H13350" s="11"/>
      <c r="I13350" s="15"/>
    </row>
    <row r="13351" spans="1:9" ht="16.5">
      <c r="A13351" s="10" t="b">
        <v>0</v>
      </c>
      <c r="B13351" s="11" t="str">
        <f>IF(D13351&lt;&gt;"",IF(COUNTIF('USPTO TMs'!A:A,D13351)&gt;0,"Yes","No"),"")</f>
        <v/>
      </c>
      <c r="C13351" s="11"/>
      <c r="D13351" s="11"/>
      <c r="E13351" s="11"/>
      <c r="F13351" s="11"/>
      <c r="G13351" s="11"/>
      <c r="H13351" s="11"/>
      <c r="I13351" s="15"/>
    </row>
    <row r="13352" spans="1:9" ht="16.5">
      <c r="A13352" s="10" t="b">
        <v>0</v>
      </c>
      <c r="B13352" s="11" t="str">
        <f>IF(D13352&lt;&gt;"",IF(COUNTIF('USPTO TMs'!A:A,D13352)&gt;0,"Yes","No"),"")</f>
        <v/>
      </c>
      <c r="C13352" s="11"/>
      <c r="D13352" s="11"/>
      <c r="E13352" s="11"/>
      <c r="F13352" s="11"/>
      <c r="G13352" s="11"/>
      <c r="H13352" s="11"/>
      <c r="I13352" s="15"/>
    </row>
    <row r="13353" spans="1:9" ht="16.5">
      <c r="A13353" s="10" t="b">
        <v>0</v>
      </c>
      <c r="B13353" s="11" t="str">
        <f>IF(D13353&lt;&gt;"",IF(COUNTIF('USPTO TMs'!A:A,D13353)&gt;0,"Yes","No"),"")</f>
        <v/>
      </c>
      <c r="C13353" s="11"/>
      <c r="D13353" s="11"/>
      <c r="E13353" s="11"/>
      <c r="F13353" s="11"/>
      <c r="G13353" s="11"/>
      <c r="H13353" s="11"/>
      <c r="I13353" s="15"/>
    </row>
    <row r="13354" spans="1:9" ht="16.5">
      <c r="A13354" s="10" t="b">
        <v>0</v>
      </c>
      <c r="B13354" s="11" t="str">
        <f>IF(D13354&lt;&gt;"",IF(COUNTIF('USPTO TMs'!A:A,D13354)&gt;0,"Yes","No"),"")</f>
        <v/>
      </c>
      <c r="C13354" s="11"/>
      <c r="D13354" s="11"/>
      <c r="E13354" s="11"/>
      <c r="F13354" s="11"/>
      <c r="G13354" s="11"/>
      <c r="H13354" s="11"/>
      <c r="I13354" s="15"/>
    </row>
    <row r="13355" spans="1:9" ht="16.5">
      <c r="A13355" s="10" t="b">
        <v>0</v>
      </c>
      <c r="B13355" s="11" t="str">
        <f>IF(D13355&lt;&gt;"",IF(COUNTIF('USPTO TMs'!A:A,D13355)&gt;0,"Yes","No"),"")</f>
        <v/>
      </c>
      <c r="C13355" s="11"/>
      <c r="D13355" s="11"/>
      <c r="E13355" s="11"/>
      <c r="F13355" s="11"/>
      <c r="G13355" s="11"/>
      <c r="H13355" s="11"/>
      <c r="I13355" s="15"/>
    </row>
    <row r="13356" spans="1:9" ht="16.5">
      <c r="A13356" s="10" t="b">
        <v>0</v>
      </c>
      <c r="B13356" s="11" t="str">
        <f>IF(D13356&lt;&gt;"",IF(COUNTIF('USPTO TMs'!A:A,D13356)&gt;0,"Yes","No"),"")</f>
        <v/>
      </c>
      <c r="C13356" s="11"/>
      <c r="D13356" s="11"/>
      <c r="E13356" s="11"/>
      <c r="F13356" s="11"/>
      <c r="G13356" s="11"/>
      <c r="H13356" s="11"/>
      <c r="I13356" s="15"/>
    </row>
    <row r="13357" spans="1:9" ht="16.5">
      <c r="A13357" s="10" t="b">
        <v>0</v>
      </c>
      <c r="B13357" s="11" t="str">
        <f>IF(D13357&lt;&gt;"",IF(COUNTIF('USPTO TMs'!A:A,D13357)&gt;0,"Yes","No"),"")</f>
        <v/>
      </c>
      <c r="C13357" s="11"/>
      <c r="D13357" s="11"/>
      <c r="E13357" s="11"/>
      <c r="F13357" s="11"/>
      <c r="G13357" s="11"/>
      <c r="H13357" s="11"/>
      <c r="I13357" s="15"/>
    </row>
    <row r="13358" spans="1:9" ht="16.5">
      <c r="A13358" s="10" t="b">
        <v>0</v>
      </c>
      <c r="B13358" s="11" t="str">
        <f>IF(D13358&lt;&gt;"",IF(COUNTIF('USPTO TMs'!A:A,D13358)&gt;0,"Yes","No"),"")</f>
        <v/>
      </c>
      <c r="C13358" s="11"/>
      <c r="D13358" s="11"/>
      <c r="E13358" s="11"/>
      <c r="F13358" s="11"/>
      <c r="G13358" s="11"/>
      <c r="H13358" s="11"/>
      <c r="I13358" s="15"/>
    </row>
    <row r="13359" spans="1:9" ht="16.5">
      <c r="A13359" s="10" t="b">
        <v>0</v>
      </c>
      <c r="B13359" s="11" t="str">
        <f>IF(D13359&lt;&gt;"",IF(COUNTIF('USPTO TMs'!A:A,D13359)&gt;0,"Yes","No"),"")</f>
        <v/>
      </c>
      <c r="C13359" s="11"/>
      <c r="D13359" s="11"/>
      <c r="E13359" s="11"/>
      <c r="F13359" s="11"/>
      <c r="G13359" s="11"/>
      <c r="H13359" s="11"/>
      <c r="I13359" s="15"/>
    </row>
    <row r="13360" spans="1:9" ht="16.5">
      <c r="A13360" s="10" t="b">
        <v>0</v>
      </c>
      <c r="B13360" s="11" t="str">
        <f>IF(D13360&lt;&gt;"",IF(COUNTIF('USPTO TMs'!A:A,D13360)&gt;0,"Yes","No"),"")</f>
        <v/>
      </c>
      <c r="C13360" s="11"/>
      <c r="D13360" s="11"/>
      <c r="E13360" s="11"/>
      <c r="F13360" s="11"/>
      <c r="G13360" s="11"/>
      <c r="H13360" s="11"/>
      <c r="I13360" s="15"/>
    </row>
    <row r="13361" spans="1:9" ht="16.5">
      <c r="A13361" s="10" t="b">
        <v>0</v>
      </c>
      <c r="B13361" s="11" t="str">
        <f>IF(D13361&lt;&gt;"",IF(COUNTIF('USPTO TMs'!A:A,D13361)&gt;0,"Yes","No"),"")</f>
        <v/>
      </c>
      <c r="C13361" s="11"/>
      <c r="D13361" s="11"/>
      <c r="E13361" s="11"/>
      <c r="F13361" s="11"/>
      <c r="G13361" s="11"/>
      <c r="H13361" s="11"/>
      <c r="I13361" s="15"/>
    </row>
    <row r="13362" spans="1:9" ht="16.5">
      <c r="A13362" s="10" t="b">
        <v>0</v>
      </c>
      <c r="B13362" s="11" t="str">
        <f>IF(D13362&lt;&gt;"",IF(COUNTIF('USPTO TMs'!A:A,D13362)&gt;0,"Yes","No"),"")</f>
        <v/>
      </c>
      <c r="C13362" s="11"/>
      <c r="D13362" s="11"/>
      <c r="E13362" s="11"/>
      <c r="F13362" s="11"/>
      <c r="G13362" s="11"/>
      <c r="H13362" s="11"/>
      <c r="I13362" s="15"/>
    </row>
    <row r="13363" spans="1:9" ht="16.5">
      <c r="A13363" s="10" t="b">
        <v>0</v>
      </c>
      <c r="B13363" s="11" t="str">
        <f>IF(D13363&lt;&gt;"",IF(COUNTIF('USPTO TMs'!A:A,D13363)&gt;0,"Yes","No"),"")</f>
        <v/>
      </c>
      <c r="C13363" s="11"/>
      <c r="D13363" s="11"/>
      <c r="E13363" s="11"/>
      <c r="F13363" s="11"/>
      <c r="G13363" s="11"/>
      <c r="H13363" s="11"/>
      <c r="I13363" s="15"/>
    </row>
    <row r="13364" spans="1:9" ht="16.5">
      <c r="A13364" s="10" t="b">
        <v>0</v>
      </c>
      <c r="B13364" s="11" t="str">
        <f>IF(D13364&lt;&gt;"",IF(COUNTIF('USPTO TMs'!A:A,D13364)&gt;0,"Yes","No"),"")</f>
        <v/>
      </c>
      <c r="C13364" s="11"/>
      <c r="D13364" s="11"/>
      <c r="E13364" s="11"/>
      <c r="F13364" s="11"/>
      <c r="G13364" s="11"/>
      <c r="H13364" s="11"/>
      <c r="I13364" s="15"/>
    </row>
    <row r="13365" spans="1:9" ht="16.5">
      <c r="A13365" s="10" t="b">
        <v>0</v>
      </c>
      <c r="B13365" s="11" t="str">
        <f>IF(D13365&lt;&gt;"",IF(COUNTIF('USPTO TMs'!A:A,D13365)&gt;0,"Yes","No"),"")</f>
        <v/>
      </c>
      <c r="C13365" s="11"/>
      <c r="D13365" s="11"/>
      <c r="E13365" s="11"/>
      <c r="F13365" s="11"/>
      <c r="G13365" s="11"/>
      <c r="H13365" s="11"/>
      <c r="I13365" s="15"/>
    </row>
    <row r="13366" spans="1:9" ht="16.5">
      <c r="A13366" s="10" t="b">
        <v>0</v>
      </c>
      <c r="B13366" s="11" t="str">
        <f>IF(D13366&lt;&gt;"",IF(COUNTIF('USPTO TMs'!A:A,D13366)&gt;0,"Yes","No"),"")</f>
        <v/>
      </c>
      <c r="C13366" s="11"/>
      <c r="D13366" s="11"/>
      <c r="E13366" s="11"/>
      <c r="F13366" s="11"/>
      <c r="G13366" s="11"/>
      <c r="H13366" s="11"/>
      <c r="I13366" s="15"/>
    </row>
    <row r="13367" spans="1:9" ht="16.5">
      <c r="A13367" s="10" t="b">
        <v>0</v>
      </c>
      <c r="B13367" s="11" t="str">
        <f>IF(D13367&lt;&gt;"",IF(COUNTIF('USPTO TMs'!A:A,D13367)&gt;0,"Yes","No"),"")</f>
        <v/>
      </c>
      <c r="C13367" s="11"/>
      <c r="D13367" s="11"/>
      <c r="E13367" s="11"/>
      <c r="F13367" s="11"/>
      <c r="G13367" s="11"/>
      <c r="H13367" s="11"/>
      <c r="I13367" s="15"/>
    </row>
    <row r="13368" spans="1:9" ht="16.5">
      <c r="A13368" s="10" t="b">
        <v>0</v>
      </c>
      <c r="B13368" s="11" t="str">
        <f>IF(D13368&lt;&gt;"",IF(COUNTIF('USPTO TMs'!A:A,D13368)&gt;0,"Yes","No"),"")</f>
        <v/>
      </c>
      <c r="C13368" s="11"/>
      <c r="D13368" s="11"/>
      <c r="E13368" s="11"/>
      <c r="F13368" s="11"/>
      <c r="G13368" s="11"/>
      <c r="H13368" s="11"/>
      <c r="I13368" s="15"/>
    </row>
    <row r="13369" spans="1:9" ht="16.5">
      <c r="A13369" s="10" t="b">
        <v>0</v>
      </c>
      <c r="B13369" s="11" t="str">
        <f>IF(D13369&lt;&gt;"",IF(COUNTIF('USPTO TMs'!A:A,D13369)&gt;0,"Yes","No"),"")</f>
        <v/>
      </c>
      <c r="C13369" s="11"/>
      <c r="D13369" s="11"/>
      <c r="E13369" s="11"/>
      <c r="F13369" s="11"/>
      <c r="G13369" s="11"/>
      <c r="H13369" s="11"/>
      <c r="I13369" s="15"/>
    </row>
    <row r="13370" spans="1:9" ht="16.5">
      <c r="A13370" s="10" t="b">
        <v>0</v>
      </c>
      <c r="B13370" s="11" t="str">
        <f>IF(D13370&lt;&gt;"",IF(COUNTIF('USPTO TMs'!A:A,D13370)&gt;0,"Yes","No"),"")</f>
        <v/>
      </c>
      <c r="C13370" s="11"/>
      <c r="D13370" s="11"/>
      <c r="E13370" s="11"/>
      <c r="F13370" s="11"/>
      <c r="G13370" s="11"/>
      <c r="H13370" s="11"/>
      <c r="I13370" s="15"/>
    </row>
    <row r="13371" spans="1:9" ht="16.5">
      <c r="A13371" s="10" t="b">
        <v>0</v>
      </c>
      <c r="B13371" s="11" t="str">
        <f>IF(D13371&lt;&gt;"",IF(COUNTIF('USPTO TMs'!A:A,D13371)&gt;0,"Yes","No"),"")</f>
        <v/>
      </c>
      <c r="C13371" s="11"/>
      <c r="D13371" s="11"/>
      <c r="E13371" s="11"/>
      <c r="F13371" s="11"/>
      <c r="G13371" s="11"/>
      <c r="H13371" s="11"/>
      <c r="I13371" s="15"/>
    </row>
    <row r="13372" spans="1:9" ht="16.5">
      <c r="A13372" s="10" t="b">
        <v>0</v>
      </c>
      <c r="B13372" s="11" t="str">
        <f>IF(D13372&lt;&gt;"",IF(COUNTIF('USPTO TMs'!A:A,D13372)&gt;0,"Yes","No"),"")</f>
        <v/>
      </c>
      <c r="C13372" s="11"/>
      <c r="D13372" s="11"/>
      <c r="E13372" s="11"/>
      <c r="F13372" s="11"/>
      <c r="G13372" s="11"/>
      <c r="H13372" s="11"/>
      <c r="I13372" s="15"/>
    </row>
    <row r="13373" spans="1:9" ht="16.5">
      <c r="A13373" s="10" t="b">
        <v>0</v>
      </c>
      <c r="B13373" s="11" t="str">
        <f>IF(D13373&lt;&gt;"",IF(COUNTIF('USPTO TMs'!A:A,D13373)&gt;0,"Yes","No"),"")</f>
        <v/>
      </c>
      <c r="C13373" s="11"/>
      <c r="D13373" s="11"/>
      <c r="E13373" s="11"/>
      <c r="F13373" s="11"/>
      <c r="G13373" s="11"/>
      <c r="H13373" s="11"/>
      <c r="I13373" s="15"/>
    </row>
    <row r="13374" spans="1:9" ht="16.5">
      <c r="A13374" s="10" t="b">
        <v>0</v>
      </c>
      <c r="B13374" s="11" t="str">
        <f>IF(D13374&lt;&gt;"",IF(COUNTIF('USPTO TMs'!A:A,D13374)&gt;0,"Yes","No"),"")</f>
        <v/>
      </c>
      <c r="C13374" s="11"/>
      <c r="D13374" s="11"/>
      <c r="E13374" s="11"/>
      <c r="F13374" s="11"/>
      <c r="G13374" s="11"/>
      <c r="H13374" s="11"/>
      <c r="I13374" s="15"/>
    </row>
    <row r="13375" spans="1:9" ht="16.5">
      <c r="A13375" s="10" t="b">
        <v>0</v>
      </c>
      <c r="B13375" s="11" t="str">
        <f>IF(D13375&lt;&gt;"",IF(COUNTIF('USPTO TMs'!A:A,D13375)&gt;0,"Yes","No"),"")</f>
        <v/>
      </c>
      <c r="C13375" s="11"/>
      <c r="D13375" s="11"/>
      <c r="E13375" s="11"/>
      <c r="F13375" s="11"/>
      <c r="G13375" s="11"/>
      <c r="H13375" s="11"/>
      <c r="I13375" s="15"/>
    </row>
    <row r="13376" spans="1:9" ht="16.5">
      <c r="A13376" s="10" t="b">
        <v>0</v>
      </c>
      <c r="B13376" s="11" t="str">
        <f>IF(D13376&lt;&gt;"",IF(COUNTIF('USPTO TMs'!A:A,D13376)&gt;0,"Yes","No"),"")</f>
        <v/>
      </c>
      <c r="C13376" s="11"/>
      <c r="D13376" s="11"/>
      <c r="E13376" s="11"/>
      <c r="F13376" s="11"/>
      <c r="G13376" s="11"/>
      <c r="H13376" s="11"/>
      <c r="I13376" s="15"/>
    </row>
    <row r="13377" spans="1:9" ht="16.5">
      <c r="A13377" s="10" t="b">
        <v>0</v>
      </c>
      <c r="B13377" s="11" t="str">
        <f>IF(D13377&lt;&gt;"",IF(COUNTIF('USPTO TMs'!A:A,D13377)&gt;0,"Yes","No"),"")</f>
        <v/>
      </c>
      <c r="C13377" s="11"/>
      <c r="D13377" s="11"/>
      <c r="E13377" s="11"/>
      <c r="F13377" s="11"/>
      <c r="G13377" s="11"/>
      <c r="H13377" s="11"/>
      <c r="I13377" s="15"/>
    </row>
    <row r="13378" spans="1:9" ht="16.5">
      <c r="A13378" s="10" t="b">
        <v>0</v>
      </c>
      <c r="B13378" s="11" t="str">
        <f>IF(D13378&lt;&gt;"",IF(COUNTIF('USPTO TMs'!A:A,D13378)&gt;0,"Yes","No"),"")</f>
        <v/>
      </c>
      <c r="C13378" s="11"/>
      <c r="D13378" s="11"/>
      <c r="E13378" s="11"/>
      <c r="F13378" s="11"/>
      <c r="G13378" s="11"/>
      <c r="H13378" s="11"/>
      <c r="I13378" s="15"/>
    </row>
    <row r="13379" spans="1:9" ht="16.5">
      <c r="A13379" s="10" t="b">
        <v>0</v>
      </c>
      <c r="B13379" s="11" t="str">
        <f>IF(D13379&lt;&gt;"",IF(COUNTIF('USPTO TMs'!A:A,D13379)&gt;0,"Yes","No"),"")</f>
        <v/>
      </c>
      <c r="C13379" s="11"/>
      <c r="D13379" s="11"/>
      <c r="E13379" s="11"/>
      <c r="F13379" s="11"/>
      <c r="G13379" s="11"/>
      <c r="H13379" s="11"/>
      <c r="I13379" s="15"/>
    </row>
    <row r="13380" spans="1:9" ht="16.5">
      <c r="A13380" s="10" t="b">
        <v>0</v>
      </c>
      <c r="B13380" s="11" t="str">
        <f>IF(D13380&lt;&gt;"",IF(COUNTIF('USPTO TMs'!A:A,D13380)&gt;0,"Yes","No"),"")</f>
        <v/>
      </c>
      <c r="C13380" s="11"/>
      <c r="D13380" s="11"/>
      <c r="E13380" s="11"/>
      <c r="F13380" s="11"/>
      <c r="G13380" s="11"/>
      <c r="H13380" s="11"/>
      <c r="I13380" s="15"/>
    </row>
    <row r="13381" spans="1:9" ht="16.5">
      <c r="A13381" s="10" t="b">
        <v>0</v>
      </c>
      <c r="B13381" s="11" t="str">
        <f>IF(D13381&lt;&gt;"",IF(COUNTIF('USPTO TMs'!A:A,D13381)&gt;0,"Yes","No"),"")</f>
        <v/>
      </c>
      <c r="C13381" s="11"/>
      <c r="D13381" s="11"/>
      <c r="E13381" s="11"/>
      <c r="F13381" s="11"/>
      <c r="G13381" s="11"/>
      <c r="H13381" s="11"/>
      <c r="I13381" s="15"/>
    </row>
    <row r="13382" spans="1:9" ht="16.5">
      <c r="A13382" s="10" t="b">
        <v>0</v>
      </c>
      <c r="B13382" s="11" t="str">
        <f>IF(D13382&lt;&gt;"",IF(COUNTIF('USPTO TMs'!A:A,D13382)&gt;0,"Yes","No"),"")</f>
        <v/>
      </c>
      <c r="C13382" s="11"/>
      <c r="D13382" s="11"/>
      <c r="E13382" s="11"/>
      <c r="F13382" s="11"/>
      <c r="G13382" s="11"/>
      <c r="H13382" s="11"/>
      <c r="I13382" s="15"/>
    </row>
    <row r="13383" spans="1:9" ht="16.5">
      <c r="A13383" s="10" t="b">
        <v>0</v>
      </c>
      <c r="B13383" s="11" t="str">
        <f>IF(D13383&lt;&gt;"",IF(COUNTIF('USPTO TMs'!A:A,D13383)&gt;0,"Yes","No"),"")</f>
        <v/>
      </c>
      <c r="C13383" s="11"/>
      <c r="D13383" s="11"/>
      <c r="E13383" s="11"/>
      <c r="F13383" s="11"/>
      <c r="G13383" s="11"/>
      <c r="H13383" s="11"/>
      <c r="I13383" s="15"/>
    </row>
    <row r="13384" spans="1:9" ht="16.5">
      <c r="A13384" s="10" t="b">
        <v>0</v>
      </c>
      <c r="B13384" s="11" t="str">
        <f>IF(D13384&lt;&gt;"",IF(COUNTIF('USPTO TMs'!A:A,D13384)&gt;0,"Yes","No"),"")</f>
        <v/>
      </c>
      <c r="C13384" s="11"/>
      <c r="D13384" s="11"/>
      <c r="E13384" s="11"/>
      <c r="F13384" s="11"/>
      <c r="G13384" s="11"/>
      <c r="H13384" s="11"/>
      <c r="I13384" s="15"/>
    </row>
    <row r="13385" spans="1:9" ht="16.5">
      <c r="A13385" s="10" t="b">
        <v>0</v>
      </c>
      <c r="B13385" s="11" t="str">
        <f>IF(D13385&lt;&gt;"",IF(COUNTIF('USPTO TMs'!A:A,D13385)&gt;0,"Yes","No"),"")</f>
        <v/>
      </c>
      <c r="C13385" s="11"/>
      <c r="D13385" s="11"/>
      <c r="E13385" s="11"/>
      <c r="F13385" s="11"/>
      <c r="G13385" s="11"/>
      <c r="H13385" s="11"/>
      <c r="I13385" s="15"/>
    </row>
    <row r="13386" spans="1:9" ht="16.5">
      <c r="A13386" s="10" t="b">
        <v>0</v>
      </c>
      <c r="B13386" s="11" t="str">
        <f>IF(D13386&lt;&gt;"",IF(COUNTIF('USPTO TMs'!A:A,D13386)&gt;0,"Yes","No"),"")</f>
        <v/>
      </c>
      <c r="C13386" s="11"/>
      <c r="D13386" s="11"/>
      <c r="E13386" s="11"/>
      <c r="F13386" s="11"/>
      <c r="G13386" s="11"/>
      <c r="H13386" s="11"/>
      <c r="I13386" s="15"/>
    </row>
    <row r="13387" spans="1:9" ht="16.5">
      <c r="A13387" s="10" t="b">
        <v>0</v>
      </c>
      <c r="B13387" s="11" t="str">
        <f>IF(D13387&lt;&gt;"",IF(COUNTIF('USPTO TMs'!A:A,D13387)&gt;0,"Yes","No"),"")</f>
        <v/>
      </c>
      <c r="C13387" s="11"/>
      <c r="D13387" s="11"/>
      <c r="E13387" s="11"/>
      <c r="F13387" s="11"/>
      <c r="G13387" s="11"/>
      <c r="H13387" s="11"/>
      <c r="I13387" s="15"/>
    </row>
    <row r="13388" spans="1:9" ht="16.5">
      <c r="A13388" s="10" t="b">
        <v>0</v>
      </c>
      <c r="B13388" s="11" t="str">
        <f>IF(D13388&lt;&gt;"",IF(COUNTIF('USPTO TMs'!A:A,D13388)&gt;0,"Yes","No"),"")</f>
        <v/>
      </c>
      <c r="C13388" s="11"/>
      <c r="D13388" s="11"/>
      <c r="E13388" s="11"/>
      <c r="F13388" s="11"/>
      <c r="G13388" s="11"/>
      <c r="H13388" s="11"/>
      <c r="I13388" s="15"/>
    </row>
    <row r="13389" spans="1:9" ht="16.5">
      <c r="A13389" s="10" t="b">
        <v>0</v>
      </c>
      <c r="B13389" s="11" t="str">
        <f>IF(D13389&lt;&gt;"",IF(COUNTIF('USPTO TMs'!A:A,D13389)&gt;0,"Yes","No"),"")</f>
        <v/>
      </c>
      <c r="C13389" s="11"/>
      <c r="D13389" s="11"/>
      <c r="E13389" s="11"/>
      <c r="F13389" s="11"/>
      <c r="G13389" s="11"/>
      <c r="H13389" s="11"/>
      <c r="I13389" s="15"/>
    </row>
    <row r="13390" spans="1:9" ht="16.5">
      <c r="A13390" s="10" t="b">
        <v>0</v>
      </c>
      <c r="B13390" s="11" t="str">
        <f>IF(D13390&lt;&gt;"",IF(COUNTIF('USPTO TMs'!A:A,D13390)&gt;0,"Yes","No"),"")</f>
        <v/>
      </c>
      <c r="C13390" s="11"/>
      <c r="D13390" s="11"/>
      <c r="E13390" s="11"/>
      <c r="F13390" s="11"/>
      <c r="G13390" s="11"/>
      <c r="H13390" s="11"/>
      <c r="I13390" s="15"/>
    </row>
    <row r="13391" spans="1:9" ht="16.5">
      <c r="A13391" s="10" t="b">
        <v>0</v>
      </c>
      <c r="B13391" s="11" t="str">
        <f>IF(D13391&lt;&gt;"",IF(COUNTIF('USPTO TMs'!A:A,D13391)&gt;0,"Yes","No"),"")</f>
        <v/>
      </c>
      <c r="C13391" s="11"/>
      <c r="D13391" s="11"/>
      <c r="E13391" s="11"/>
      <c r="F13391" s="11"/>
      <c r="G13391" s="11"/>
      <c r="H13391" s="11"/>
      <c r="I13391" s="15"/>
    </row>
    <row r="13392" spans="1:9" ht="16.5">
      <c r="A13392" s="10" t="b">
        <v>0</v>
      </c>
      <c r="B13392" s="11" t="str">
        <f>IF(D13392&lt;&gt;"",IF(COUNTIF('USPTO TMs'!A:A,D13392)&gt;0,"Yes","No"),"")</f>
        <v/>
      </c>
      <c r="C13392" s="11"/>
      <c r="D13392" s="11"/>
      <c r="E13392" s="11"/>
      <c r="F13392" s="11"/>
      <c r="G13392" s="11"/>
      <c r="H13392" s="11"/>
      <c r="I13392" s="15"/>
    </row>
    <row r="13393" spans="1:9" ht="16.5">
      <c r="A13393" s="10" t="b">
        <v>0</v>
      </c>
      <c r="B13393" s="11" t="str">
        <f>IF(D13393&lt;&gt;"",IF(COUNTIF('USPTO TMs'!A:A,D13393)&gt;0,"Yes","No"),"")</f>
        <v/>
      </c>
      <c r="C13393" s="11"/>
      <c r="D13393" s="11"/>
      <c r="E13393" s="11"/>
      <c r="F13393" s="11"/>
      <c r="G13393" s="11"/>
      <c r="H13393" s="11"/>
      <c r="I13393" s="15"/>
    </row>
    <row r="13394" spans="1:9" ht="16.5">
      <c r="A13394" s="10" t="b">
        <v>0</v>
      </c>
      <c r="B13394" s="11" t="str">
        <f>IF(D13394&lt;&gt;"",IF(COUNTIF('USPTO TMs'!A:A,D13394)&gt;0,"Yes","No"),"")</f>
        <v/>
      </c>
      <c r="C13394" s="11"/>
      <c r="D13394" s="11"/>
      <c r="E13394" s="11"/>
      <c r="F13394" s="11"/>
      <c r="G13394" s="11"/>
      <c r="H13394" s="11"/>
      <c r="I13394" s="15"/>
    </row>
    <row r="13395" spans="1:9" ht="16.5">
      <c r="A13395" s="10" t="b">
        <v>0</v>
      </c>
      <c r="B13395" s="11" t="str">
        <f>IF(D13395&lt;&gt;"",IF(COUNTIF('USPTO TMs'!A:A,D13395)&gt;0,"Yes","No"),"")</f>
        <v/>
      </c>
      <c r="C13395" s="11"/>
      <c r="D13395" s="11"/>
      <c r="E13395" s="11"/>
      <c r="F13395" s="11"/>
      <c r="G13395" s="11"/>
      <c r="H13395" s="11"/>
      <c r="I13395" s="15"/>
    </row>
    <row r="13396" spans="1:9" ht="16.5">
      <c r="A13396" s="10" t="b">
        <v>0</v>
      </c>
      <c r="B13396" s="11" t="str">
        <f>IF(D13396&lt;&gt;"",IF(COUNTIF('USPTO TMs'!A:A,D13396)&gt;0,"Yes","No"),"")</f>
        <v/>
      </c>
      <c r="C13396" s="11"/>
      <c r="D13396" s="11"/>
      <c r="E13396" s="11"/>
      <c r="F13396" s="11"/>
      <c r="G13396" s="11"/>
      <c r="H13396" s="11"/>
      <c r="I13396" s="15"/>
    </row>
    <row r="13397" spans="1:9" ht="16.5">
      <c r="A13397" s="10" t="b">
        <v>0</v>
      </c>
      <c r="B13397" s="11" t="str">
        <f>IF(D13397&lt;&gt;"",IF(COUNTIF('USPTO TMs'!A:A,D13397)&gt;0,"Yes","No"),"")</f>
        <v/>
      </c>
      <c r="C13397" s="11"/>
      <c r="D13397" s="11"/>
      <c r="E13397" s="11"/>
      <c r="F13397" s="11"/>
      <c r="G13397" s="11"/>
      <c r="H13397" s="11"/>
      <c r="I13397" s="15"/>
    </row>
    <row r="13398" spans="1:9" ht="16.5">
      <c r="A13398" s="10" t="b">
        <v>0</v>
      </c>
      <c r="B13398" s="11" t="str">
        <f>IF(D13398&lt;&gt;"",IF(COUNTIF('USPTO TMs'!A:A,D13398)&gt;0,"Yes","No"),"")</f>
        <v/>
      </c>
      <c r="C13398" s="11"/>
      <c r="D13398" s="11"/>
      <c r="E13398" s="11"/>
      <c r="F13398" s="11"/>
      <c r="G13398" s="11"/>
      <c r="H13398" s="11"/>
      <c r="I13398" s="15"/>
    </row>
    <row r="13399" spans="1:9" ht="16.5">
      <c r="A13399" s="10" t="b">
        <v>0</v>
      </c>
      <c r="B13399" s="11" t="str">
        <f>IF(D13399&lt;&gt;"",IF(COUNTIF('USPTO TMs'!A:A,D13399)&gt;0,"Yes","No"),"")</f>
        <v/>
      </c>
      <c r="C13399" s="11"/>
      <c r="D13399" s="11"/>
      <c r="E13399" s="11"/>
      <c r="F13399" s="11"/>
      <c r="G13399" s="11"/>
      <c r="H13399" s="11"/>
      <c r="I13399" s="15"/>
    </row>
    <row r="13400" spans="1:9" ht="16.5">
      <c r="A13400" s="10" t="b">
        <v>0</v>
      </c>
      <c r="B13400" s="11" t="str">
        <f>IF(D13400&lt;&gt;"",IF(COUNTIF('USPTO TMs'!A:A,D13400)&gt;0,"Yes","No"),"")</f>
        <v/>
      </c>
      <c r="C13400" s="11"/>
      <c r="D13400" s="11"/>
      <c r="E13400" s="11"/>
      <c r="F13400" s="11"/>
      <c r="G13400" s="11"/>
      <c r="H13400" s="11"/>
      <c r="I13400" s="15"/>
    </row>
    <row r="13401" spans="1:9" ht="16.5">
      <c r="A13401" s="10" t="b">
        <v>0</v>
      </c>
      <c r="B13401" s="11" t="str">
        <f>IF(D13401&lt;&gt;"",IF(COUNTIF('USPTO TMs'!A:A,D13401)&gt;0,"Yes","No"),"")</f>
        <v/>
      </c>
      <c r="C13401" s="11"/>
      <c r="D13401" s="11"/>
      <c r="E13401" s="11"/>
      <c r="F13401" s="11"/>
      <c r="G13401" s="11"/>
      <c r="H13401" s="11"/>
      <c r="I13401" s="15"/>
    </row>
    <row r="13402" spans="1:9" ht="16.5">
      <c r="A13402" s="10" t="b">
        <v>0</v>
      </c>
      <c r="B13402" s="11" t="str">
        <f>IF(D13402&lt;&gt;"",IF(COUNTIF('USPTO TMs'!A:A,D13402)&gt;0,"Yes","No"),"")</f>
        <v/>
      </c>
      <c r="C13402" s="11"/>
      <c r="D13402" s="11"/>
      <c r="E13402" s="11"/>
      <c r="F13402" s="11"/>
      <c r="G13402" s="11"/>
      <c r="H13402" s="11"/>
      <c r="I13402" s="15"/>
    </row>
    <row r="13403" spans="1:9" ht="16.5">
      <c r="A13403" s="10" t="b">
        <v>0</v>
      </c>
      <c r="B13403" s="11" t="str">
        <f>IF(D13403&lt;&gt;"",IF(COUNTIF('USPTO TMs'!A:A,D13403)&gt;0,"Yes","No"),"")</f>
        <v/>
      </c>
      <c r="C13403" s="11"/>
      <c r="D13403" s="11"/>
      <c r="E13403" s="11"/>
      <c r="F13403" s="11"/>
      <c r="G13403" s="11"/>
      <c r="H13403" s="11"/>
      <c r="I13403" s="15"/>
    </row>
    <row r="13404" spans="1:9" ht="16.5">
      <c r="A13404" s="10" t="b">
        <v>0</v>
      </c>
      <c r="B13404" s="11" t="str">
        <f>IF(D13404&lt;&gt;"",IF(COUNTIF('USPTO TMs'!A:A,D13404)&gt;0,"Yes","No"),"")</f>
        <v/>
      </c>
      <c r="C13404" s="11"/>
      <c r="D13404" s="11"/>
      <c r="E13404" s="11"/>
      <c r="F13404" s="11"/>
      <c r="G13404" s="11"/>
      <c r="H13404" s="11"/>
      <c r="I13404" s="15"/>
    </row>
    <row r="13405" spans="1:9" ht="16.5">
      <c r="A13405" s="10" t="b">
        <v>0</v>
      </c>
      <c r="B13405" s="11" t="str">
        <f>IF(D13405&lt;&gt;"",IF(COUNTIF('USPTO TMs'!A:A,D13405)&gt;0,"Yes","No"),"")</f>
        <v/>
      </c>
      <c r="C13405" s="11"/>
      <c r="D13405" s="11"/>
      <c r="E13405" s="11"/>
      <c r="F13405" s="11"/>
      <c r="G13405" s="11"/>
      <c r="H13405" s="11"/>
      <c r="I13405" s="15"/>
    </row>
    <row r="13406" spans="1:9" ht="16.5">
      <c r="A13406" s="10" t="b">
        <v>0</v>
      </c>
      <c r="B13406" s="11" t="str">
        <f>IF(D13406&lt;&gt;"",IF(COUNTIF('USPTO TMs'!A:A,D13406)&gt;0,"Yes","No"),"")</f>
        <v/>
      </c>
      <c r="C13406" s="11"/>
      <c r="D13406" s="11"/>
      <c r="E13406" s="11"/>
      <c r="F13406" s="11"/>
      <c r="G13406" s="11"/>
      <c r="H13406" s="11"/>
      <c r="I13406" s="15"/>
    </row>
    <row r="13407" spans="1:9" ht="16.5">
      <c r="A13407" s="10" t="b">
        <v>0</v>
      </c>
      <c r="B13407" s="11" t="str">
        <f>IF(D13407&lt;&gt;"",IF(COUNTIF('USPTO TMs'!A:A,D13407)&gt;0,"Yes","No"),"")</f>
        <v/>
      </c>
      <c r="C13407" s="11"/>
      <c r="D13407" s="11"/>
      <c r="E13407" s="11"/>
      <c r="F13407" s="11"/>
      <c r="G13407" s="11"/>
      <c r="H13407" s="11"/>
      <c r="I13407" s="15"/>
    </row>
    <row r="13408" spans="1:9" ht="16.5">
      <c r="A13408" s="10" t="b">
        <v>0</v>
      </c>
      <c r="B13408" s="11" t="str">
        <f>IF(D13408&lt;&gt;"",IF(COUNTIF('USPTO TMs'!A:A,D13408)&gt;0,"Yes","No"),"")</f>
        <v/>
      </c>
      <c r="C13408" s="11"/>
      <c r="D13408" s="11"/>
      <c r="E13408" s="11"/>
      <c r="F13408" s="11"/>
      <c r="G13408" s="11"/>
      <c r="H13408" s="11"/>
      <c r="I13408" s="15"/>
    </row>
    <row r="13409" spans="1:9" ht="16.5">
      <c r="A13409" s="10" t="b">
        <v>0</v>
      </c>
      <c r="B13409" s="11" t="str">
        <f>IF(D13409&lt;&gt;"",IF(COUNTIF('USPTO TMs'!A:A,D13409)&gt;0,"Yes","No"),"")</f>
        <v/>
      </c>
      <c r="C13409" s="11"/>
      <c r="D13409" s="11"/>
      <c r="E13409" s="11"/>
      <c r="F13409" s="11"/>
      <c r="G13409" s="11"/>
      <c r="H13409" s="11"/>
      <c r="I13409" s="15"/>
    </row>
    <row r="13410" spans="1:9" ht="16.5">
      <c r="A13410" s="10" t="b">
        <v>0</v>
      </c>
      <c r="B13410" s="11" t="str">
        <f>IF(D13410&lt;&gt;"",IF(COUNTIF('USPTO TMs'!A:A,D13410)&gt;0,"Yes","No"),"")</f>
        <v/>
      </c>
      <c r="C13410" s="11"/>
      <c r="D13410" s="11"/>
      <c r="E13410" s="11"/>
      <c r="F13410" s="11"/>
      <c r="G13410" s="11"/>
      <c r="H13410" s="11"/>
      <c r="I13410" s="15"/>
    </row>
    <row r="13411" spans="1:9" ht="16.5">
      <c r="A13411" s="10" t="b">
        <v>0</v>
      </c>
      <c r="B13411" s="11" t="str">
        <f>IF(D13411&lt;&gt;"",IF(COUNTIF('USPTO TMs'!A:A,D13411)&gt;0,"Yes","No"),"")</f>
        <v/>
      </c>
      <c r="C13411" s="11"/>
      <c r="D13411" s="11"/>
      <c r="E13411" s="11"/>
      <c r="F13411" s="11"/>
      <c r="G13411" s="11"/>
      <c r="H13411" s="11"/>
      <c r="I13411" s="15"/>
    </row>
    <row r="13412" spans="1:9" ht="16.5">
      <c r="A13412" s="10" t="b">
        <v>0</v>
      </c>
      <c r="B13412" s="11" t="str">
        <f>IF(D13412&lt;&gt;"",IF(COUNTIF('USPTO TMs'!A:A,D13412)&gt;0,"Yes","No"),"")</f>
        <v/>
      </c>
      <c r="C13412" s="11"/>
      <c r="D13412" s="11"/>
      <c r="E13412" s="11"/>
      <c r="F13412" s="11"/>
      <c r="G13412" s="11"/>
      <c r="H13412" s="11"/>
      <c r="I13412" s="15"/>
    </row>
    <row r="13413" spans="1:9" ht="16.5">
      <c r="A13413" s="10" t="b">
        <v>0</v>
      </c>
      <c r="B13413" s="11" t="str">
        <f>IF(D13413&lt;&gt;"",IF(COUNTIF('USPTO TMs'!A:A,D13413)&gt;0,"Yes","No"),"")</f>
        <v/>
      </c>
      <c r="C13413" s="11"/>
      <c r="D13413" s="11"/>
      <c r="E13413" s="11"/>
      <c r="F13413" s="11"/>
      <c r="G13413" s="11"/>
      <c r="H13413" s="11"/>
      <c r="I13413" s="15"/>
    </row>
    <row r="13414" spans="1:9" ht="16.5">
      <c r="A13414" s="10" t="b">
        <v>0</v>
      </c>
      <c r="B13414" s="11" t="str">
        <f>IF(D13414&lt;&gt;"",IF(COUNTIF('USPTO TMs'!A:A,D13414)&gt;0,"Yes","No"),"")</f>
        <v/>
      </c>
      <c r="C13414" s="11"/>
      <c r="D13414" s="11"/>
      <c r="E13414" s="11"/>
      <c r="F13414" s="11"/>
      <c r="G13414" s="11"/>
      <c r="H13414" s="11"/>
      <c r="I13414" s="15"/>
    </row>
    <row r="13415" spans="1:9" ht="16.5">
      <c r="A13415" s="10" t="b">
        <v>0</v>
      </c>
      <c r="B13415" s="11" t="str">
        <f>IF(D13415&lt;&gt;"",IF(COUNTIF('USPTO TMs'!A:A,D13415)&gt;0,"Yes","No"),"")</f>
        <v/>
      </c>
      <c r="C13415" s="11"/>
      <c r="D13415" s="11"/>
      <c r="E13415" s="11"/>
      <c r="F13415" s="11"/>
      <c r="G13415" s="11"/>
      <c r="H13415" s="11"/>
      <c r="I13415" s="15"/>
    </row>
    <row r="13416" spans="1:9" ht="16.5">
      <c r="A13416" s="10" t="b">
        <v>0</v>
      </c>
      <c r="B13416" s="11" t="str">
        <f>IF(D13416&lt;&gt;"",IF(COUNTIF('USPTO TMs'!A:A,D13416)&gt;0,"Yes","No"),"")</f>
        <v/>
      </c>
      <c r="C13416" s="11"/>
      <c r="D13416" s="11"/>
      <c r="E13416" s="11"/>
      <c r="F13416" s="11"/>
      <c r="G13416" s="11"/>
      <c r="H13416" s="11"/>
      <c r="I13416" s="15"/>
    </row>
    <row r="13417" spans="1:9" ht="16.5">
      <c r="A13417" s="10" t="b">
        <v>0</v>
      </c>
      <c r="B13417" s="11" t="str">
        <f>IF(D13417&lt;&gt;"",IF(COUNTIF('USPTO TMs'!A:A,D13417)&gt;0,"Yes","No"),"")</f>
        <v/>
      </c>
      <c r="C13417" s="11"/>
      <c r="D13417" s="11"/>
      <c r="E13417" s="11"/>
      <c r="F13417" s="11"/>
      <c r="G13417" s="11"/>
      <c r="H13417" s="11"/>
      <c r="I13417" s="15"/>
    </row>
    <row r="13418" spans="1:9" ht="16.5">
      <c r="A13418" s="10" t="b">
        <v>0</v>
      </c>
      <c r="B13418" s="11" t="str">
        <f>IF(D13418&lt;&gt;"",IF(COUNTIF('USPTO TMs'!A:A,D13418)&gt;0,"Yes","No"),"")</f>
        <v/>
      </c>
      <c r="C13418" s="11"/>
      <c r="D13418" s="11"/>
      <c r="E13418" s="11"/>
      <c r="F13418" s="11"/>
      <c r="G13418" s="11"/>
      <c r="H13418" s="11"/>
      <c r="I13418" s="15"/>
    </row>
    <row r="13419" spans="1:9" ht="16.5">
      <c r="A13419" s="10" t="b">
        <v>0</v>
      </c>
      <c r="B13419" s="11" t="str">
        <f>IF(D13419&lt;&gt;"",IF(COUNTIF('USPTO TMs'!A:A,D13419)&gt;0,"Yes","No"),"")</f>
        <v/>
      </c>
      <c r="C13419" s="11"/>
      <c r="D13419" s="11"/>
      <c r="E13419" s="11"/>
      <c r="F13419" s="11"/>
      <c r="G13419" s="11"/>
      <c r="H13419" s="11"/>
      <c r="I13419" s="15"/>
    </row>
    <row r="13420" spans="1:9" ht="16.5">
      <c r="A13420" s="10" t="b">
        <v>0</v>
      </c>
      <c r="B13420" s="11" t="str">
        <f>IF(D13420&lt;&gt;"",IF(COUNTIF('USPTO TMs'!A:A,D13420)&gt;0,"Yes","No"),"")</f>
        <v/>
      </c>
      <c r="C13420" s="11"/>
      <c r="D13420" s="11"/>
      <c r="E13420" s="11"/>
      <c r="F13420" s="11"/>
      <c r="G13420" s="11"/>
      <c r="H13420" s="11"/>
      <c r="I13420" s="15"/>
    </row>
    <row r="13421" spans="1:9" ht="16.5">
      <c r="A13421" s="10" t="b">
        <v>0</v>
      </c>
      <c r="B13421" s="11" t="str">
        <f>IF(D13421&lt;&gt;"",IF(COUNTIF('USPTO TMs'!A:A,D13421)&gt;0,"Yes","No"),"")</f>
        <v/>
      </c>
      <c r="C13421" s="11"/>
      <c r="D13421" s="11"/>
      <c r="E13421" s="11"/>
      <c r="F13421" s="11"/>
      <c r="G13421" s="11"/>
      <c r="H13421" s="11"/>
      <c r="I13421" s="15"/>
    </row>
    <row r="13422" spans="1:9" ht="16.5">
      <c r="A13422" s="10" t="b">
        <v>0</v>
      </c>
      <c r="B13422" s="11" t="str">
        <f>IF(D13422&lt;&gt;"",IF(COUNTIF('USPTO TMs'!A:A,D13422)&gt;0,"Yes","No"),"")</f>
        <v/>
      </c>
      <c r="C13422" s="11"/>
      <c r="D13422" s="11"/>
      <c r="E13422" s="11"/>
      <c r="F13422" s="11"/>
      <c r="G13422" s="11"/>
      <c r="H13422" s="11"/>
      <c r="I13422" s="15"/>
    </row>
    <row r="13423" spans="1:9" ht="16.5">
      <c r="A13423" s="10" t="b">
        <v>0</v>
      </c>
      <c r="B13423" s="11" t="str">
        <f>IF(D13423&lt;&gt;"",IF(COUNTIF('USPTO TMs'!A:A,D13423)&gt;0,"Yes","No"),"")</f>
        <v/>
      </c>
      <c r="C13423" s="11"/>
      <c r="D13423" s="11"/>
      <c r="E13423" s="11"/>
      <c r="F13423" s="11"/>
      <c r="G13423" s="11"/>
      <c r="H13423" s="11"/>
      <c r="I13423" s="15"/>
    </row>
    <row r="13424" spans="1:9" ht="16.5">
      <c r="A13424" s="10" t="b">
        <v>0</v>
      </c>
      <c r="B13424" s="11" t="str">
        <f>IF(D13424&lt;&gt;"",IF(COUNTIF('USPTO TMs'!A:A,D13424)&gt;0,"Yes","No"),"")</f>
        <v/>
      </c>
      <c r="C13424" s="11"/>
      <c r="D13424" s="11"/>
      <c r="E13424" s="11"/>
      <c r="F13424" s="11"/>
      <c r="G13424" s="11"/>
      <c r="H13424" s="11"/>
      <c r="I13424" s="15"/>
    </row>
    <row r="13425" spans="1:9" ht="16.5">
      <c r="A13425" s="10" t="b">
        <v>0</v>
      </c>
      <c r="B13425" s="11" t="str">
        <f>IF(D13425&lt;&gt;"",IF(COUNTIF('USPTO TMs'!A:A,D13425)&gt;0,"Yes","No"),"")</f>
        <v/>
      </c>
      <c r="C13425" s="11"/>
      <c r="D13425" s="11"/>
      <c r="E13425" s="11"/>
      <c r="F13425" s="11"/>
      <c r="G13425" s="11"/>
      <c r="H13425" s="11"/>
      <c r="I13425" s="15"/>
    </row>
    <row r="13426" spans="1:9" ht="16.5">
      <c r="A13426" s="10" t="b">
        <v>0</v>
      </c>
      <c r="B13426" s="11" t="str">
        <f>IF(D13426&lt;&gt;"",IF(COUNTIF('USPTO TMs'!A:A,D13426)&gt;0,"Yes","No"),"")</f>
        <v/>
      </c>
      <c r="C13426" s="11"/>
      <c r="D13426" s="11"/>
      <c r="E13426" s="11"/>
      <c r="F13426" s="11"/>
      <c r="G13426" s="11"/>
      <c r="H13426" s="11"/>
      <c r="I13426" s="15"/>
    </row>
    <row r="13427" spans="1:9" ht="16.5">
      <c r="A13427" s="10" t="b">
        <v>0</v>
      </c>
      <c r="B13427" s="11" t="str">
        <f>IF(D13427&lt;&gt;"",IF(COUNTIF('USPTO TMs'!A:A,D13427)&gt;0,"Yes","No"),"")</f>
        <v/>
      </c>
      <c r="C13427" s="11"/>
      <c r="D13427" s="11"/>
      <c r="E13427" s="11"/>
      <c r="F13427" s="11"/>
      <c r="G13427" s="11"/>
      <c r="H13427" s="11"/>
      <c r="I13427" s="15"/>
    </row>
    <row r="13428" spans="1:9" ht="16.5">
      <c r="A13428" s="10" t="b">
        <v>0</v>
      </c>
      <c r="B13428" s="11" t="str">
        <f>IF(D13428&lt;&gt;"",IF(COUNTIF('USPTO TMs'!A:A,D13428)&gt;0,"Yes","No"),"")</f>
        <v/>
      </c>
      <c r="C13428" s="11"/>
      <c r="D13428" s="11"/>
      <c r="E13428" s="11"/>
      <c r="F13428" s="11"/>
      <c r="G13428" s="11"/>
      <c r="H13428" s="11"/>
      <c r="I13428" s="15"/>
    </row>
    <row r="13429" spans="1:9" ht="16.5">
      <c r="A13429" s="10" t="b">
        <v>0</v>
      </c>
      <c r="B13429" s="11" t="str">
        <f>IF(D13429&lt;&gt;"",IF(COUNTIF('USPTO TMs'!A:A,D13429)&gt;0,"Yes","No"),"")</f>
        <v/>
      </c>
      <c r="C13429" s="11"/>
      <c r="D13429" s="11"/>
      <c r="E13429" s="11"/>
      <c r="F13429" s="11"/>
      <c r="G13429" s="11"/>
      <c r="H13429" s="11"/>
      <c r="I13429" s="15"/>
    </row>
    <row r="13430" spans="1:9" ht="16.5">
      <c r="A13430" s="10" t="b">
        <v>0</v>
      </c>
      <c r="B13430" s="11" t="str">
        <f>IF(D13430&lt;&gt;"",IF(COUNTIF('USPTO TMs'!A:A,D13430)&gt;0,"Yes","No"),"")</f>
        <v/>
      </c>
      <c r="C13430" s="11"/>
      <c r="D13430" s="11"/>
      <c r="E13430" s="11"/>
      <c r="F13430" s="11"/>
      <c r="G13430" s="11"/>
      <c r="H13430" s="11"/>
      <c r="I13430" s="15"/>
    </row>
    <row r="13431" spans="1:9" ht="16.5">
      <c r="A13431" s="10" t="b">
        <v>0</v>
      </c>
      <c r="B13431" s="11" t="str">
        <f>IF(D13431&lt;&gt;"",IF(COUNTIF('USPTO TMs'!A:A,D13431)&gt;0,"Yes","No"),"")</f>
        <v/>
      </c>
      <c r="C13431" s="11"/>
      <c r="D13431" s="11"/>
      <c r="E13431" s="11"/>
      <c r="F13431" s="11"/>
      <c r="G13431" s="11"/>
      <c r="H13431" s="11"/>
      <c r="I13431" s="15"/>
    </row>
    <row r="13432" spans="1:9" ht="16.5">
      <c r="A13432" s="10" t="b">
        <v>0</v>
      </c>
      <c r="B13432" s="11" t="str">
        <f>IF(D13432&lt;&gt;"",IF(COUNTIF('USPTO TMs'!A:A,D13432)&gt;0,"Yes","No"),"")</f>
        <v/>
      </c>
      <c r="C13432" s="11"/>
      <c r="D13432" s="11"/>
      <c r="E13432" s="11"/>
      <c r="F13432" s="11"/>
      <c r="G13432" s="11"/>
      <c r="H13432" s="11"/>
      <c r="I13432" s="15"/>
    </row>
    <row r="13433" spans="1:9" ht="16.5">
      <c r="A13433" s="10" t="b">
        <v>0</v>
      </c>
      <c r="B13433" s="11" t="str">
        <f>IF(D13433&lt;&gt;"",IF(COUNTIF('USPTO TMs'!A:A,D13433)&gt;0,"Yes","No"),"")</f>
        <v/>
      </c>
      <c r="C13433" s="11"/>
      <c r="D13433" s="11"/>
      <c r="E13433" s="11"/>
      <c r="F13433" s="11"/>
      <c r="G13433" s="11"/>
      <c r="H13433" s="11"/>
      <c r="I13433" s="15"/>
    </row>
    <row r="13434" spans="1:9" ht="16.5">
      <c r="A13434" s="10" t="b">
        <v>0</v>
      </c>
      <c r="B13434" s="11" t="str">
        <f>IF(D13434&lt;&gt;"",IF(COUNTIF('USPTO TMs'!A:A,D13434)&gt;0,"Yes","No"),"")</f>
        <v/>
      </c>
      <c r="C13434" s="11"/>
      <c r="D13434" s="11"/>
      <c r="E13434" s="11"/>
      <c r="F13434" s="11"/>
      <c r="G13434" s="11"/>
      <c r="H13434" s="11"/>
      <c r="I13434" s="15"/>
    </row>
    <row r="13435" spans="1:9" ht="16.5">
      <c r="A13435" s="10" t="b">
        <v>0</v>
      </c>
      <c r="B13435" s="11" t="str">
        <f>IF(D13435&lt;&gt;"",IF(COUNTIF('USPTO TMs'!A:A,D13435)&gt;0,"Yes","No"),"")</f>
        <v/>
      </c>
      <c r="C13435" s="11"/>
      <c r="D13435" s="11"/>
      <c r="E13435" s="11"/>
      <c r="F13435" s="11"/>
      <c r="G13435" s="11"/>
      <c r="H13435" s="11"/>
      <c r="I13435" s="15"/>
    </row>
    <row r="13436" spans="1:9" ht="16.5">
      <c r="A13436" s="10" t="b">
        <v>0</v>
      </c>
      <c r="B13436" s="11" t="str">
        <f>IF(D13436&lt;&gt;"",IF(COUNTIF('USPTO TMs'!A:A,D13436)&gt;0,"Yes","No"),"")</f>
        <v/>
      </c>
      <c r="C13436" s="11"/>
      <c r="D13436" s="11"/>
      <c r="E13436" s="11"/>
      <c r="F13436" s="11"/>
      <c r="G13436" s="11"/>
      <c r="H13436" s="11"/>
      <c r="I13436" s="15"/>
    </row>
    <row r="13437" spans="1:9" ht="16.5">
      <c r="A13437" s="10" t="b">
        <v>0</v>
      </c>
      <c r="B13437" s="11" t="str">
        <f>IF(D13437&lt;&gt;"",IF(COUNTIF('USPTO TMs'!A:A,D13437)&gt;0,"Yes","No"),"")</f>
        <v/>
      </c>
      <c r="C13437" s="11"/>
      <c r="D13437" s="11"/>
      <c r="E13437" s="11"/>
      <c r="F13437" s="11"/>
      <c r="G13437" s="11"/>
      <c r="H13437" s="11"/>
      <c r="I13437" s="15"/>
    </row>
    <row r="13438" spans="1:9" ht="16.5">
      <c r="A13438" s="10" t="b">
        <v>0</v>
      </c>
      <c r="B13438" s="11" t="str">
        <f>IF(D13438&lt;&gt;"",IF(COUNTIF('USPTO TMs'!A:A,D13438)&gt;0,"Yes","No"),"")</f>
        <v/>
      </c>
      <c r="C13438" s="11"/>
      <c r="D13438" s="11"/>
      <c r="E13438" s="11"/>
      <c r="F13438" s="11"/>
      <c r="G13438" s="11"/>
      <c r="H13438" s="11"/>
      <c r="I13438" s="15"/>
    </row>
    <row r="13439" spans="1:9" ht="16.5">
      <c r="A13439" s="10" t="b">
        <v>0</v>
      </c>
      <c r="B13439" s="11" t="str">
        <f>IF(D13439&lt;&gt;"",IF(COUNTIF('USPTO TMs'!A:A,D13439)&gt;0,"Yes","No"),"")</f>
        <v/>
      </c>
      <c r="C13439" s="11"/>
      <c r="D13439" s="11"/>
      <c r="E13439" s="11"/>
      <c r="F13439" s="11"/>
      <c r="G13439" s="11"/>
      <c r="H13439" s="11"/>
      <c r="I13439" s="15"/>
    </row>
    <row r="13440" spans="1:9" ht="16.5">
      <c r="A13440" s="10" t="b">
        <v>0</v>
      </c>
      <c r="B13440" s="11" t="str">
        <f>IF(D13440&lt;&gt;"",IF(COUNTIF('USPTO TMs'!A:A,D13440)&gt;0,"Yes","No"),"")</f>
        <v/>
      </c>
      <c r="C13440" s="11"/>
      <c r="D13440" s="11"/>
      <c r="E13440" s="11"/>
      <c r="F13440" s="11"/>
      <c r="G13440" s="11"/>
      <c r="H13440" s="11"/>
      <c r="I13440" s="15"/>
    </row>
    <row r="13441" spans="1:9" ht="16.5">
      <c r="A13441" s="10" t="b">
        <v>0</v>
      </c>
      <c r="B13441" s="11" t="str">
        <f>IF(D13441&lt;&gt;"",IF(COUNTIF('USPTO TMs'!A:A,D13441)&gt;0,"Yes","No"),"")</f>
        <v/>
      </c>
      <c r="C13441" s="11"/>
      <c r="D13441" s="11"/>
      <c r="E13441" s="11"/>
      <c r="F13441" s="11"/>
      <c r="G13441" s="11"/>
      <c r="H13441" s="11"/>
      <c r="I13441" s="15"/>
    </row>
    <row r="13442" spans="1:9" ht="16.5">
      <c r="A13442" s="10" t="b">
        <v>0</v>
      </c>
      <c r="B13442" s="11" t="str">
        <f>IF(D13442&lt;&gt;"",IF(COUNTIF('USPTO TMs'!A:A,D13442)&gt;0,"Yes","No"),"")</f>
        <v/>
      </c>
      <c r="C13442" s="11"/>
      <c r="D13442" s="11"/>
      <c r="E13442" s="11"/>
      <c r="F13442" s="11"/>
      <c r="G13442" s="11"/>
      <c r="H13442" s="11"/>
      <c r="I13442" s="15"/>
    </row>
    <row r="13443" spans="1:9" ht="16.5">
      <c r="A13443" s="10" t="b">
        <v>0</v>
      </c>
      <c r="B13443" s="11" t="str">
        <f>IF(D13443&lt;&gt;"",IF(COUNTIF('USPTO TMs'!A:A,D13443)&gt;0,"Yes","No"),"")</f>
        <v/>
      </c>
      <c r="C13443" s="11"/>
      <c r="D13443" s="11"/>
      <c r="E13443" s="11"/>
      <c r="F13443" s="11"/>
      <c r="G13443" s="11"/>
      <c r="H13443" s="11"/>
      <c r="I13443" s="15"/>
    </row>
    <row r="13444" spans="1:9" ht="16.5">
      <c r="A13444" s="10" t="b">
        <v>0</v>
      </c>
      <c r="B13444" s="11" t="str">
        <f>IF(D13444&lt;&gt;"",IF(COUNTIF('USPTO TMs'!A:A,D13444)&gt;0,"Yes","No"),"")</f>
        <v/>
      </c>
      <c r="C13444" s="11"/>
      <c r="D13444" s="11"/>
      <c r="E13444" s="11"/>
      <c r="F13444" s="11"/>
      <c r="G13444" s="11"/>
      <c r="H13444" s="11"/>
      <c r="I13444" s="15"/>
    </row>
    <row r="13445" spans="1:9" ht="16.5">
      <c r="A13445" s="10" t="b">
        <v>0</v>
      </c>
      <c r="B13445" s="11" t="str">
        <f>IF(D13445&lt;&gt;"",IF(COUNTIF('USPTO TMs'!A:A,D13445)&gt;0,"Yes","No"),"")</f>
        <v/>
      </c>
      <c r="C13445" s="11"/>
      <c r="D13445" s="11"/>
      <c r="E13445" s="11"/>
      <c r="F13445" s="11"/>
      <c r="G13445" s="11"/>
      <c r="H13445" s="11"/>
      <c r="I13445" s="15"/>
    </row>
    <row r="13446" spans="1:9" ht="16.5">
      <c r="A13446" s="10" t="b">
        <v>0</v>
      </c>
      <c r="B13446" s="11" t="str">
        <f>IF(D13446&lt;&gt;"",IF(COUNTIF('USPTO TMs'!A:A,D13446)&gt;0,"Yes","No"),"")</f>
        <v/>
      </c>
      <c r="C13446" s="11"/>
      <c r="D13446" s="11"/>
      <c r="E13446" s="11"/>
      <c r="F13446" s="11"/>
      <c r="G13446" s="11"/>
      <c r="H13446" s="11"/>
      <c r="I13446" s="15"/>
    </row>
    <row r="13447" spans="1:9" ht="16.5">
      <c r="A13447" s="10" t="b">
        <v>0</v>
      </c>
      <c r="B13447" s="11" t="str">
        <f>IF(D13447&lt;&gt;"",IF(COUNTIF('USPTO TMs'!A:A,D13447)&gt;0,"Yes","No"),"")</f>
        <v/>
      </c>
      <c r="C13447" s="11"/>
      <c r="D13447" s="11"/>
      <c r="E13447" s="11"/>
      <c r="F13447" s="11"/>
      <c r="G13447" s="11"/>
      <c r="H13447" s="11"/>
      <c r="I13447" s="15"/>
    </row>
    <row r="13448" spans="1:9" ht="16.5">
      <c r="A13448" s="10" t="b">
        <v>0</v>
      </c>
      <c r="B13448" s="11" t="str">
        <f>IF(D13448&lt;&gt;"",IF(COUNTIF('USPTO TMs'!A:A,D13448)&gt;0,"Yes","No"),"")</f>
        <v/>
      </c>
      <c r="C13448" s="11"/>
      <c r="D13448" s="11"/>
      <c r="E13448" s="11"/>
      <c r="F13448" s="11"/>
      <c r="G13448" s="11"/>
      <c r="H13448" s="11"/>
      <c r="I13448" s="15"/>
    </row>
    <row r="13449" spans="1:9" ht="16.5">
      <c r="A13449" s="10" t="b">
        <v>0</v>
      </c>
      <c r="B13449" s="11" t="str">
        <f>IF(D13449&lt;&gt;"",IF(COUNTIF('USPTO TMs'!A:A,D13449)&gt;0,"Yes","No"),"")</f>
        <v/>
      </c>
      <c r="C13449" s="11"/>
      <c r="D13449" s="11"/>
      <c r="E13449" s="11"/>
      <c r="F13449" s="11"/>
      <c r="G13449" s="11"/>
      <c r="H13449" s="11"/>
      <c r="I13449" s="15"/>
    </row>
    <row r="13450" spans="1:9" ht="16.5">
      <c r="A13450" s="10" t="b">
        <v>0</v>
      </c>
      <c r="B13450" s="11" t="str">
        <f>IF(D13450&lt;&gt;"",IF(COUNTIF('USPTO TMs'!A:A,D13450)&gt;0,"Yes","No"),"")</f>
        <v/>
      </c>
      <c r="C13450" s="11"/>
      <c r="D13450" s="11"/>
      <c r="E13450" s="11"/>
      <c r="F13450" s="11"/>
      <c r="G13450" s="11"/>
      <c r="H13450" s="11"/>
      <c r="I13450" s="15"/>
    </row>
    <row r="13451" spans="1:9" ht="16.5">
      <c r="A13451" s="10" t="b">
        <v>0</v>
      </c>
      <c r="B13451" s="11" t="str">
        <f>IF(D13451&lt;&gt;"",IF(COUNTIF('USPTO TMs'!A:A,D13451)&gt;0,"Yes","No"),"")</f>
        <v/>
      </c>
      <c r="C13451" s="11"/>
      <c r="D13451" s="11"/>
      <c r="E13451" s="11"/>
      <c r="F13451" s="11"/>
      <c r="G13451" s="11"/>
      <c r="H13451" s="11"/>
      <c r="I13451" s="15"/>
    </row>
    <row r="13452" spans="1:9" ht="16.5">
      <c r="A13452" s="10" t="b">
        <v>0</v>
      </c>
      <c r="B13452" s="11" t="str">
        <f>IF(D13452&lt;&gt;"",IF(COUNTIF('USPTO TMs'!A:A,D13452)&gt;0,"Yes","No"),"")</f>
        <v/>
      </c>
      <c r="C13452" s="11"/>
      <c r="D13452" s="11"/>
      <c r="E13452" s="11"/>
      <c r="F13452" s="11"/>
      <c r="G13452" s="11"/>
      <c r="H13452" s="11"/>
      <c r="I13452" s="15"/>
    </row>
    <row r="13453" spans="1:9" ht="16.5">
      <c r="A13453" s="10" t="b">
        <v>0</v>
      </c>
      <c r="B13453" s="11" t="str">
        <f>IF(D13453&lt;&gt;"",IF(COUNTIF('USPTO TMs'!A:A,D13453)&gt;0,"Yes","No"),"")</f>
        <v/>
      </c>
      <c r="C13453" s="11"/>
      <c r="D13453" s="11"/>
      <c r="E13453" s="11"/>
      <c r="F13453" s="11"/>
      <c r="G13453" s="11"/>
      <c r="H13453" s="11"/>
      <c r="I13453" s="15"/>
    </row>
    <row r="13454" spans="1:9" ht="16.5">
      <c r="A13454" s="10" t="b">
        <v>0</v>
      </c>
      <c r="B13454" s="11" t="str">
        <f>IF(D13454&lt;&gt;"",IF(COUNTIF('USPTO TMs'!A:A,D13454)&gt;0,"Yes","No"),"")</f>
        <v/>
      </c>
      <c r="C13454" s="11"/>
      <c r="D13454" s="11"/>
      <c r="E13454" s="11"/>
      <c r="F13454" s="11"/>
      <c r="G13454" s="11"/>
      <c r="H13454" s="11"/>
      <c r="I13454" s="15"/>
    </row>
    <row r="13455" spans="1:9" ht="16.5">
      <c r="A13455" s="10" t="b">
        <v>0</v>
      </c>
      <c r="B13455" s="11" t="str">
        <f>IF(D13455&lt;&gt;"",IF(COUNTIF('USPTO TMs'!A:A,D13455)&gt;0,"Yes","No"),"")</f>
        <v/>
      </c>
      <c r="C13455" s="11"/>
      <c r="D13455" s="11"/>
      <c r="E13455" s="11"/>
      <c r="F13455" s="11"/>
      <c r="G13455" s="11"/>
      <c r="H13455" s="11"/>
      <c r="I13455" s="15"/>
    </row>
    <row r="13456" spans="1:9" ht="16.5">
      <c r="A13456" s="10" t="b">
        <v>0</v>
      </c>
      <c r="B13456" s="11" t="str">
        <f>IF(D13456&lt;&gt;"",IF(COUNTIF('USPTO TMs'!A:A,D13456)&gt;0,"Yes","No"),"")</f>
        <v/>
      </c>
      <c r="C13456" s="11"/>
      <c r="D13456" s="11"/>
      <c r="E13456" s="11"/>
      <c r="F13456" s="11"/>
      <c r="G13456" s="11"/>
      <c r="H13456" s="11"/>
      <c r="I13456" s="15"/>
    </row>
    <row r="13457" spans="1:9" ht="16.5">
      <c r="A13457" s="10" t="b">
        <v>0</v>
      </c>
      <c r="B13457" s="11" t="str">
        <f>IF(D13457&lt;&gt;"",IF(COUNTIF('USPTO TMs'!A:A,D13457)&gt;0,"Yes","No"),"")</f>
        <v/>
      </c>
      <c r="C13457" s="11"/>
      <c r="D13457" s="11"/>
      <c r="E13457" s="11"/>
      <c r="F13457" s="11"/>
      <c r="G13457" s="11"/>
      <c r="H13457" s="11"/>
      <c r="I13457" s="15"/>
    </row>
    <row r="13458" spans="1:9" ht="16.5">
      <c r="A13458" s="10" t="b">
        <v>0</v>
      </c>
      <c r="B13458" s="11" t="str">
        <f>IF(D13458&lt;&gt;"",IF(COUNTIF('USPTO TMs'!A:A,D13458)&gt;0,"Yes","No"),"")</f>
        <v/>
      </c>
      <c r="C13458" s="11"/>
      <c r="D13458" s="11"/>
      <c r="E13458" s="11"/>
      <c r="F13458" s="11"/>
      <c r="G13458" s="11"/>
      <c r="H13458" s="11"/>
      <c r="I13458" s="15"/>
    </row>
    <row r="13459" spans="1:9" ht="16.5">
      <c r="A13459" s="10" t="b">
        <v>0</v>
      </c>
      <c r="B13459" s="11" t="str">
        <f>IF(D13459&lt;&gt;"",IF(COUNTIF('USPTO TMs'!A:A,D13459)&gt;0,"Yes","No"),"")</f>
        <v/>
      </c>
      <c r="C13459" s="11"/>
      <c r="D13459" s="11"/>
      <c r="E13459" s="11"/>
      <c r="F13459" s="11"/>
      <c r="G13459" s="11"/>
      <c r="H13459" s="11"/>
      <c r="I13459" s="15"/>
    </row>
    <row r="13460" spans="1:9" ht="16.5">
      <c r="A13460" s="10" t="b">
        <v>0</v>
      </c>
      <c r="B13460" s="11" t="str">
        <f>IF(D13460&lt;&gt;"",IF(COUNTIF('USPTO TMs'!A:A,D13460)&gt;0,"Yes","No"),"")</f>
        <v/>
      </c>
      <c r="C13460" s="11"/>
      <c r="D13460" s="11"/>
      <c r="E13460" s="11"/>
      <c r="F13460" s="11"/>
      <c r="G13460" s="11"/>
      <c r="H13460" s="11"/>
      <c r="I13460" s="15"/>
    </row>
    <row r="13461" spans="1:9" ht="16.5">
      <c r="A13461" s="10" t="b">
        <v>0</v>
      </c>
      <c r="B13461" s="11" t="str">
        <f>IF(D13461&lt;&gt;"",IF(COUNTIF('USPTO TMs'!A:A,D13461)&gt;0,"Yes","No"),"")</f>
        <v/>
      </c>
      <c r="C13461" s="11"/>
      <c r="D13461" s="11"/>
      <c r="E13461" s="11"/>
      <c r="F13461" s="11"/>
      <c r="G13461" s="11"/>
      <c r="H13461" s="11"/>
      <c r="I13461" s="15"/>
    </row>
    <row r="13462" spans="1:9" ht="16.5">
      <c r="A13462" s="10" t="b">
        <v>0</v>
      </c>
      <c r="B13462" s="11" t="str">
        <f>IF(D13462&lt;&gt;"",IF(COUNTIF('USPTO TMs'!A:A,D13462)&gt;0,"Yes","No"),"")</f>
        <v/>
      </c>
      <c r="C13462" s="11"/>
      <c r="D13462" s="11"/>
      <c r="E13462" s="11"/>
      <c r="F13462" s="11"/>
      <c r="G13462" s="11"/>
      <c r="H13462" s="11"/>
      <c r="I13462" s="15"/>
    </row>
    <row r="13463" spans="1:9" ht="16.5">
      <c r="A13463" s="10" t="b">
        <v>0</v>
      </c>
      <c r="B13463" s="11" t="str">
        <f>IF(D13463&lt;&gt;"",IF(COUNTIF('USPTO TMs'!A:A,D13463)&gt;0,"Yes","No"),"")</f>
        <v/>
      </c>
      <c r="C13463" s="11"/>
      <c r="D13463" s="11"/>
      <c r="E13463" s="11"/>
      <c r="F13463" s="11"/>
      <c r="G13463" s="11"/>
      <c r="H13463" s="11"/>
      <c r="I13463" s="15"/>
    </row>
    <row r="13464" spans="1:9" ht="16.5">
      <c r="A13464" s="10" t="b">
        <v>0</v>
      </c>
      <c r="B13464" s="11" t="str">
        <f>IF(D13464&lt;&gt;"",IF(COUNTIF('USPTO TMs'!A:A,D13464)&gt;0,"Yes","No"),"")</f>
        <v/>
      </c>
      <c r="C13464" s="11"/>
      <c r="D13464" s="11"/>
      <c r="E13464" s="11"/>
      <c r="F13464" s="11"/>
      <c r="G13464" s="11"/>
      <c r="H13464" s="11"/>
      <c r="I13464" s="15"/>
    </row>
    <row r="13465" spans="1:9" ht="16.5">
      <c r="A13465" s="10" t="b">
        <v>0</v>
      </c>
      <c r="B13465" s="11" t="str">
        <f>IF(D13465&lt;&gt;"",IF(COUNTIF('USPTO TMs'!A:A,D13465)&gt;0,"Yes","No"),"")</f>
        <v/>
      </c>
      <c r="C13465" s="11"/>
      <c r="D13465" s="11"/>
      <c r="E13465" s="11"/>
      <c r="F13465" s="11"/>
      <c r="G13465" s="11"/>
      <c r="H13465" s="11"/>
      <c r="I13465" s="15"/>
    </row>
    <row r="13466" spans="1:9" ht="16.5">
      <c r="A13466" s="10" t="b">
        <v>0</v>
      </c>
      <c r="B13466" s="11" t="str">
        <f>IF(D13466&lt;&gt;"",IF(COUNTIF('USPTO TMs'!A:A,D13466)&gt;0,"Yes","No"),"")</f>
        <v/>
      </c>
      <c r="C13466" s="11"/>
      <c r="D13466" s="11"/>
      <c r="E13466" s="11"/>
      <c r="F13466" s="11"/>
      <c r="G13466" s="11"/>
      <c r="H13466" s="11"/>
      <c r="I13466" s="15"/>
    </row>
    <row r="13467" spans="1:9" ht="16.5">
      <c r="A13467" s="10" t="b">
        <v>0</v>
      </c>
      <c r="B13467" s="11" t="str">
        <f>IF(D13467&lt;&gt;"",IF(COUNTIF('USPTO TMs'!A:A,D13467)&gt;0,"Yes","No"),"")</f>
        <v/>
      </c>
      <c r="C13467" s="11"/>
      <c r="D13467" s="11"/>
      <c r="E13467" s="11"/>
      <c r="F13467" s="11"/>
      <c r="G13467" s="11"/>
      <c r="H13467" s="11"/>
      <c r="I13467" s="15"/>
    </row>
    <row r="13468" spans="1:9" ht="16.5">
      <c r="A13468" s="10" t="b">
        <v>0</v>
      </c>
      <c r="B13468" s="11" t="str">
        <f>IF(D13468&lt;&gt;"",IF(COUNTIF('USPTO TMs'!A:A,D13468)&gt;0,"Yes","No"),"")</f>
        <v/>
      </c>
      <c r="C13468" s="11"/>
      <c r="D13468" s="11"/>
      <c r="E13468" s="11"/>
      <c r="F13468" s="11"/>
      <c r="G13468" s="11"/>
      <c r="H13468" s="11"/>
      <c r="I13468" s="15"/>
    </row>
    <row r="13469" spans="1:9" ht="16.5">
      <c r="A13469" s="10" t="b">
        <v>0</v>
      </c>
      <c r="B13469" s="11" t="str">
        <f>IF(D13469&lt;&gt;"",IF(COUNTIF('USPTO TMs'!A:A,D13469)&gt;0,"Yes","No"),"")</f>
        <v/>
      </c>
      <c r="C13469" s="11"/>
      <c r="D13469" s="11"/>
      <c r="E13469" s="11"/>
      <c r="F13469" s="11"/>
      <c r="G13469" s="11"/>
      <c r="H13469" s="11"/>
      <c r="I13469" s="15"/>
    </row>
    <row r="13470" spans="1:9" ht="16.5">
      <c r="A13470" s="10" t="b">
        <v>0</v>
      </c>
      <c r="B13470" s="11" t="str">
        <f>IF(D13470&lt;&gt;"",IF(COUNTIF('USPTO TMs'!A:A,D13470)&gt;0,"Yes","No"),"")</f>
        <v/>
      </c>
      <c r="C13470" s="11"/>
      <c r="D13470" s="11"/>
      <c r="E13470" s="11"/>
      <c r="F13470" s="11"/>
      <c r="G13470" s="11"/>
      <c r="H13470" s="11"/>
      <c r="I13470" s="15"/>
    </row>
    <row r="13471" spans="1:9" ht="16.5">
      <c r="A13471" s="10" t="b">
        <v>0</v>
      </c>
      <c r="B13471" s="11" t="str">
        <f>IF(D13471&lt;&gt;"",IF(COUNTIF('USPTO TMs'!A:A,D13471)&gt;0,"Yes","No"),"")</f>
        <v/>
      </c>
      <c r="C13471" s="11"/>
      <c r="D13471" s="11"/>
      <c r="E13471" s="11"/>
      <c r="F13471" s="11"/>
      <c r="G13471" s="11"/>
      <c r="H13471" s="11"/>
      <c r="I13471" s="15"/>
    </row>
    <row r="13472" spans="1:9" ht="16.5">
      <c r="A13472" s="10" t="b">
        <v>0</v>
      </c>
      <c r="B13472" s="11" t="str">
        <f>IF(D13472&lt;&gt;"",IF(COUNTIF('USPTO TMs'!A:A,D13472)&gt;0,"Yes","No"),"")</f>
        <v/>
      </c>
      <c r="C13472" s="11"/>
      <c r="D13472" s="11"/>
      <c r="E13472" s="11"/>
      <c r="F13472" s="11"/>
      <c r="G13472" s="11"/>
      <c r="H13472" s="11"/>
      <c r="I13472" s="15"/>
    </row>
    <row r="13473" spans="1:9" ht="16.5">
      <c r="A13473" s="10" t="b">
        <v>0</v>
      </c>
      <c r="B13473" s="11" t="str">
        <f>IF(D13473&lt;&gt;"",IF(COUNTIF('USPTO TMs'!A:A,D13473)&gt;0,"Yes","No"),"")</f>
        <v/>
      </c>
      <c r="C13473" s="11"/>
      <c r="D13473" s="11"/>
      <c r="E13473" s="11"/>
      <c r="F13473" s="11"/>
      <c r="G13473" s="11"/>
      <c r="H13473" s="11"/>
      <c r="I13473" s="15"/>
    </row>
    <row r="13474" spans="1:9" ht="16.5">
      <c r="A13474" s="10" t="b">
        <v>0</v>
      </c>
      <c r="B13474" s="11" t="str">
        <f>IF(D13474&lt;&gt;"",IF(COUNTIF('USPTO TMs'!A:A,D13474)&gt;0,"Yes","No"),"")</f>
        <v/>
      </c>
      <c r="C13474" s="11"/>
      <c r="D13474" s="11"/>
      <c r="E13474" s="11"/>
      <c r="F13474" s="11"/>
      <c r="G13474" s="11"/>
      <c r="H13474" s="11"/>
      <c r="I13474" s="15"/>
    </row>
    <row r="13475" spans="1:9" ht="16.5">
      <c r="A13475" s="10" t="b">
        <v>0</v>
      </c>
      <c r="B13475" s="11" t="str">
        <f>IF(D13475&lt;&gt;"",IF(COUNTIF('USPTO TMs'!A:A,D13475)&gt;0,"Yes","No"),"")</f>
        <v/>
      </c>
      <c r="C13475" s="11"/>
      <c r="D13475" s="11"/>
      <c r="E13475" s="11"/>
      <c r="F13475" s="11"/>
      <c r="G13475" s="11"/>
      <c r="H13475" s="11"/>
      <c r="I13475" s="15"/>
    </row>
    <row r="13476" spans="1:9" ht="16.5">
      <c r="A13476" s="10" t="b">
        <v>0</v>
      </c>
      <c r="B13476" s="11" t="str">
        <f>IF(D13476&lt;&gt;"",IF(COUNTIF('USPTO TMs'!A:A,D13476)&gt;0,"Yes","No"),"")</f>
        <v/>
      </c>
      <c r="C13476" s="11"/>
      <c r="D13476" s="11"/>
      <c r="E13476" s="11"/>
      <c r="F13476" s="11"/>
      <c r="G13476" s="11"/>
      <c r="H13476" s="11"/>
      <c r="I13476" s="15"/>
    </row>
    <row r="13477" spans="1:9" ht="16.5">
      <c r="A13477" s="10" t="b">
        <v>0</v>
      </c>
      <c r="B13477" s="11" t="str">
        <f>IF(D13477&lt;&gt;"",IF(COUNTIF('USPTO TMs'!A:A,D13477)&gt;0,"Yes","No"),"")</f>
        <v/>
      </c>
      <c r="C13477" s="11"/>
      <c r="D13477" s="11"/>
      <c r="E13477" s="11"/>
      <c r="F13477" s="11"/>
      <c r="G13477" s="11"/>
      <c r="H13477" s="11"/>
      <c r="I13477" s="15"/>
    </row>
    <row r="13478" spans="1:9" ht="16.5">
      <c r="A13478" s="10" t="b">
        <v>0</v>
      </c>
      <c r="B13478" s="11" t="str">
        <f>IF(D13478&lt;&gt;"",IF(COUNTIF('USPTO TMs'!A:A,D13478)&gt;0,"Yes","No"),"")</f>
        <v/>
      </c>
      <c r="C13478" s="11"/>
      <c r="D13478" s="11"/>
      <c r="E13478" s="11"/>
      <c r="F13478" s="11"/>
      <c r="G13478" s="11"/>
      <c r="H13478" s="11"/>
      <c r="I13478" s="15"/>
    </row>
    <row r="13479" spans="1:9" ht="16.5">
      <c r="A13479" s="10" t="b">
        <v>0</v>
      </c>
      <c r="B13479" s="11" t="str">
        <f>IF(D13479&lt;&gt;"",IF(COUNTIF('USPTO TMs'!A:A,D13479)&gt;0,"Yes","No"),"")</f>
        <v/>
      </c>
      <c r="C13479" s="11"/>
      <c r="D13479" s="11"/>
      <c r="E13479" s="11"/>
      <c r="F13479" s="11"/>
      <c r="G13479" s="11"/>
      <c r="H13479" s="11"/>
      <c r="I13479" s="15"/>
    </row>
    <row r="13480" spans="1:9" ht="16.5">
      <c r="A13480" s="10" t="b">
        <v>0</v>
      </c>
      <c r="B13480" s="11" t="str">
        <f>IF(D13480&lt;&gt;"",IF(COUNTIF('USPTO TMs'!A:A,D13480)&gt;0,"Yes","No"),"")</f>
        <v/>
      </c>
      <c r="C13480" s="11"/>
      <c r="D13480" s="11"/>
      <c r="E13480" s="11"/>
      <c r="F13480" s="11"/>
      <c r="G13480" s="11"/>
      <c r="H13480" s="11"/>
      <c r="I13480" s="15"/>
    </row>
    <row r="13481" spans="1:9" ht="16.5">
      <c r="A13481" s="10" t="b">
        <v>0</v>
      </c>
      <c r="B13481" s="11" t="str">
        <f>IF(D13481&lt;&gt;"",IF(COUNTIF('USPTO TMs'!A:A,D13481)&gt;0,"Yes","No"),"")</f>
        <v/>
      </c>
      <c r="C13481" s="11"/>
      <c r="D13481" s="11"/>
      <c r="E13481" s="11"/>
      <c r="F13481" s="11"/>
      <c r="G13481" s="11"/>
      <c r="H13481" s="11"/>
      <c r="I13481" s="15"/>
    </row>
    <row r="13482" spans="1:9" ht="16.5">
      <c r="A13482" s="10" t="b">
        <v>0</v>
      </c>
      <c r="B13482" s="11" t="str">
        <f>IF(D13482&lt;&gt;"",IF(COUNTIF('USPTO TMs'!A:A,D13482)&gt;0,"Yes","No"),"")</f>
        <v/>
      </c>
      <c r="C13482" s="11"/>
      <c r="D13482" s="11"/>
      <c r="E13482" s="11"/>
      <c r="F13482" s="11"/>
      <c r="G13482" s="11"/>
      <c r="H13482" s="11"/>
      <c r="I13482" s="15"/>
    </row>
    <row r="13483" spans="1:9" ht="16.5">
      <c r="A13483" s="10" t="b">
        <v>0</v>
      </c>
      <c r="B13483" s="11" t="str">
        <f>IF(D13483&lt;&gt;"",IF(COUNTIF('USPTO TMs'!A:A,D13483)&gt;0,"Yes","No"),"")</f>
        <v/>
      </c>
      <c r="C13483" s="11"/>
      <c r="D13483" s="11"/>
      <c r="E13483" s="11"/>
      <c r="F13483" s="11"/>
      <c r="G13483" s="11"/>
      <c r="H13483" s="11"/>
      <c r="I13483" s="15"/>
    </row>
    <row r="13484" spans="1:9" ht="16.5">
      <c r="A13484" s="10" t="b">
        <v>0</v>
      </c>
      <c r="B13484" s="11" t="str">
        <f>IF(D13484&lt;&gt;"",IF(COUNTIF('USPTO TMs'!A:A,D13484)&gt;0,"Yes","No"),"")</f>
        <v/>
      </c>
      <c r="C13484" s="11"/>
      <c r="D13484" s="11"/>
      <c r="E13484" s="11"/>
      <c r="F13484" s="11"/>
      <c r="G13484" s="11"/>
      <c r="H13484" s="11"/>
      <c r="I13484" s="15"/>
    </row>
    <row r="13485" spans="1:9" ht="16.5">
      <c r="A13485" s="10" t="b">
        <v>0</v>
      </c>
      <c r="B13485" s="11" t="str">
        <f>IF(D13485&lt;&gt;"",IF(COUNTIF('USPTO TMs'!A:A,D13485)&gt;0,"Yes","No"),"")</f>
        <v/>
      </c>
      <c r="C13485" s="11"/>
      <c r="D13485" s="11"/>
      <c r="E13485" s="11"/>
      <c r="F13485" s="11"/>
      <c r="G13485" s="11"/>
      <c r="H13485" s="11"/>
      <c r="I13485" s="15"/>
    </row>
    <row r="13486" spans="1:9" ht="16.5">
      <c r="A13486" s="10" t="b">
        <v>0</v>
      </c>
      <c r="B13486" s="11" t="str">
        <f>IF(D13486&lt;&gt;"",IF(COUNTIF('USPTO TMs'!A:A,D13486)&gt;0,"Yes","No"),"")</f>
        <v/>
      </c>
      <c r="C13486" s="11"/>
      <c r="D13486" s="11"/>
      <c r="E13486" s="11"/>
      <c r="F13486" s="11"/>
      <c r="G13486" s="11"/>
      <c r="H13486" s="11"/>
      <c r="I13486" s="15"/>
    </row>
    <row r="13487" spans="1:9" ht="16.5">
      <c r="A13487" s="10" t="b">
        <v>0</v>
      </c>
      <c r="B13487" s="11" t="str">
        <f>IF(D13487&lt;&gt;"",IF(COUNTIF('USPTO TMs'!A:A,D13487)&gt;0,"Yes","No"),"")</f>
        <v/>
      </c>
      <c r="C13487" s="11"/>
      <c r="D13487" s="11"/>
      <c r="E13487" s="11"/>
      <c r="F13487" s="11"/>
      <c r="G13487" s="11"/>
      <c r="H13487" s="11"/>
      <c r="I13487" s="15"/>
    </row>
    <row r="13488" spans="1:9" ht="16.5">
      <c r="A13488" s="10" t="b">
        <v>0</v>
      </c>
      <c r="B13488" s="11" t="str">
        <f>IF(D13488&lt;&gt;"",IF(COUNTIF('USPTO TMs'!A:A,D13488)&gt;0,"Yes","No"),"")</f>
        <v/>
      </c>
      <c r="C13488" s="11"/>
      <c r="D13488" s="11"/>
      <c r="E13488" s="11"/>
      <c r="F13488" s="11"/>
      <c r="G13488" s="11"/>
      <c r="H13488" s="11"/>
      <c r="I13488" s="15"/>
    </row>
    <row r="13489" spans="1:9" ht="16.5">
      <c r="A13489" s="10" t="b">
        <v>0</v>
      </c>
      <c r="B13489" s="11" t="str">
        <f>IF(D13489&lt;&gt;"",IF(COUNTIF('USPTO TMs'!A:A,D13489)&gt;0,"Yes","No"),"")</f>
        <v/>
      </c>
      <c r="C13489" s="11"/>
      <c r="D13489" s="11"/>
      <c r="E13489" s="11"/>
      <c r="F13489" s="11"/>
      <c r="G13489" s="11"/>
      <c r="H13489" s="11"/>
      <c r="I13489" s="15"/>
    </row>
    <row r="13490" spans="1:9" ht="16.5">
      <c r="A13490" s="10" t="b">
        <v>0</v>
      </c>
      <c r="B13490" s="11" t="str">
        <f>IF(D13490&lt;&gt;"",IF(COUNTIF('USPTO TMs'!A:A,D13490)&gt;0,"Yes","No"),"")</f>
        <v/>
      </c>
      <c r="C13490" s="11"/>
      <c r="D13490" s="11"/>
      <c r="E13490" s="11"/>
      <c r="F13490" s="11"/>
      <c r="G13490" s="11"/>
      <c r="H13490" s="11"/>
      <c r="I13490" s="15"/>
    </row>
    <row r="13491" spans="1:9" ht="16.5">
      <c r="A13491" s="10" t="b">
        <v>0</v>
      </c>
      <c r="B13491" s="11" t="str">
        <f>IF(D13491&lt;&gt;"",IF(COUNTIF('USPTO TMs'!A:A,D13491)&gt;0,"Yes","No"),"")</f>
        <v/>
      </c>
      <c r="C13491" s="11"/>
      <c r="D13491" s="11"/>
      <c r="E13491" s="11"/>
      <c r="F13491" s="11"/>
      <c r="G13491" s="11"/>
      <c r="H13491" s="11"/>
      <c r="I13491" s="15"/>
    </row>
    <row r="13492" spans="1:9" ht="16.5">
      <c r="A13492" s="10" t="b">
        <v>0</v>
      </c>
      <c r="B13492" s="11" t="str">
        <f>IF(D13492&lt;&gt;"",IF(COUNTIF('USPTO TMs'!A:A,D13492)&gt;0,"Yes","No"),"")</f>
        <v/>
      </c>
      <c r="C13492" s="11"/>
      <c r="D13492" s="11"/>
      <c r="E13492" s="11"/>
      <c r="F13492" s="11"/>
      <c r="G13492" s="11"/>
      <c r="H13492" s="11"/>
      <c r="I13492" s="15"/>
    </row>
    <row r="13493" spans="1:9" ht="16.5">
      <c r="A13493" s="10" t="b">
        <v>0</v>
      </c>
      <c r="B13493" s="11" t="str">
        <f>IF(D13493&lt;&gt;"",IF(COUNTIF('USPTO TMs'!A:A,D13493)&gt;0,"Yes","No"),"")</f>
        <v/>
      </c>
      <c r="C13493" s="11"/>
      <c r="D13493" s="11"/>
      <c r="E13493" s="11"/>
      <c r="F13493" s="11"/>
      <c r="G13493" s="11"/>
      <c r="H13493" s="11"/>
      <c r="I13493" s="15"/>
    </row>
    <row r="13494" spans="1:9" ht="16.5">
      <c r="A13494" s="10" t="b">
        <v>0</v>
      </c>
      <c r="B13494" s="11" t="str">
        <f>IF(D13494&lt;&gt;"",IF(COUNTIF('USPTO TMs'!A:A,D13494)&gt;0,"Yes","No"),"")</f>
        <v/>
      </c>
      <c r="C13494" s="11"/>
      <c r="D13494" s="11"/>
      <c r="E13494" s="11"/>
      <c r="F13494" s="11"/>
      <c r="G13494" s="11"/>
      <c r="H13494" s="11"/>
      <c r="I13494" s="15"/>
    </row>
    <row r="13495" spans="1:9" ht="16.5">
      <c r="A13495" s="10" t="b">
        <v>0</v>
      </c>
      <c r="B13495" s="11" t="str">
        <f>IF(D13495&lt;&gt;"",IF(COUNTIF('USPTO TMs'!A:A,D13495)&gt;0,"Yes","No"),"")</f>
        <v/>
      </c>
      <c r="C13495" s="11"/>
      <c r="D13495" s="11"/>
      <c r="E13495" s="11"/>
      <c r="F13495" s="11"/>
      <c r="G13495" s="11"/>
      <c r="H13495" s="11"/>
      <c r="I13495" s="15"/>
    </row>
    <row r="13496" spans="1:9" ht="16.5">
      <c r="A13496" s="10" t="b">
        <v>0</v>
      </c>
      <c r="B13496" s="11" t="str">
        <f>IF(D13496&lt;&gt;"",IF(COUNTIF('USPTO TMs'!A:A,D13496)&gt;0,"Yes","No"),"")</f>
        <v/>
      </c>
      <c r="C13496" s="11"/>
      <c r="D13496" s="11"/>
      <c r="E13496" s="11"/>
      <c r="F13496" s="11"/>
      <c r="G13496" s="11"/>
      <c r="H13496" s="11"/>
      <c r="I13496" s="15"/>
    </row>
    <row r="13497" spans="1:9" ht="16.5">
      <c r="A13497" s="10" t="b">
        <v>0</v>
      </c>
      <c r="B13497" s="11" t="str">
        <f>IF(D13497&lt;&gt;"",IF(COUNTIF('USPTO TMs'!A:A,D13497)&gt;0,"Yes","No"),"")</f>
        <v/>
      </c>
      <c r="C13497" s="11"/>
      <c r="D13497" s="11"/>
      <c r="E13497" s="11"/>
      <c r="F13497" s="11"/>
      <c r="G13497" s="11"/>
      <c r="H13497" s="11"/>
      <c r="I13497" s="15"/>
    </row>
    <row r="13498" spans="1:9" ht="16.5">
      <c r="A13498" s="10" t="b">
        <v>0</v>
      </c>
      <c r="B13498" s="11" t="str">
        <f>IF(D13498&lt;&gt;"",IF(COUNTIF('USPTO TMs'!A:A,D13498)&gt;0,"Yes","No"),"")</f>
        <v/>
      </c>
      <c r="C13498" s="11"/>
      <c r="D13498" s="11"/>
      <c r="E13498" s="11"/>
      <c r="F13498" s="11"/>
      <c r="G13498" s="11"/>
      <c r="H13498" s="11"/>
      <c r="I13498" s="15"/>
    </row>
    <row r="13499" spans="1:9" ht="16.5">
      <c r="A13499" s="10" t="b">
        <v>0</v>
      </c>
      <c r="B13499" s="11" t="str">
        <f>IF(D13499&lt;&gt;"",IF(COUNTIF('USPTO TMs'!A:A,D13499)&gt;0,"Yes","No"),"")</f>
        <v/>
      </c>
      <c r="C13499" s="11"/>
      <c r="D13499" s="11"/>
      <c r="E13499" s="11"/>
      <c r="F13499" s="11"/>
      <c r="G13499" s="11"/>
      <c r="H13499" s="11"/>
      <c r="I13499" s="15"/>
    </row>
    <row r="13500" spans="1:9" ht="16.5">
      <c r="A13500" s="10" t="b">
        <v>0</v>
      </c>
      <c r="B13500" s="11" t="str">
        <f>IF(D13500&lt;&gt;"",IF(COUNTIF('USPTO TMs'!A:A,D13500)&gt;0,"Yes","No"),"")</f>
        <v/>
      </c>
      <c r="C13500" s="11"/>
      <c r="D13500" s="11"/>
      <c r="E13500" s="11"/>
      <c r="F13500" s="11"/>
      <c r="G13500" s="11"/>
      <c r="H13500" s="11"/>
      <c r="I13500" s="15"/>
    </row>
    <row r="13501" spans="1:9" ht="16.5">
      <c r="A13501" s="10" t="b">
        <v>0</v>
      </c>
      <c r="B13501" s="11" t="str">
        <f>IF(D13501&lt;&gt;"",IF(COUNTIF('USPTO TMs'!A:A,D13501)&gt;0,"Yes","No"),"")</f>
        <v/>
      </c>
      <c r="C13501" s="11"/>
      <c r="D13501" s="11"/>
      <c r="E13501" s="11"/>
      <c r="F13501" s="11"/>
      <c r="G13501" s="11"/>
      <c r="H13501" s="11"/>
      <c r="I13501" s="15"/>
    </row>
    <row r="13502" spans="1:9" ht="16.5">
      <c r="A13502" s="10" t="b">
        <v>0</v>
      </c>
      <c r="B13502" s="11" t="str">
        <f>IF(D13502&lt;&gt;"",IF(COUNTIF('USPTO TMs'!A:A,D13502)&gt;0,"Yes","No"),"")</f>
        <v/>
      </c>
      <c r="C13502" s="11"/>
      <c r="D13502" s="11"/>
      <c r="E13502" s="11"/>
      <c r="F13502" s="11"/>
      <c r="G13502" s="11"/>
      <c r="H13502" s="11"/>
      <c r="I13502" s="15"/>
    </row>
    <row r="13503" spans="1:9" ht="16.5">
      <c r="A13503" s="10" t="b">
        <v>0</v>
      </c>
      <c r="B13503" s="11" t="str">
        <f>IF(D13503&lt;&gt;"",IF(COUNTIF('USPTO TMs'!A:A,D13503)&gt;0,"Yes","No"),"")</f>
        <v/>
      </c>
      <c r="C13503" s="11"/>
      <c r="D13503" s="11"/>
      <c r="E13503" s="11"/>
      <c r="F13503" s="11"/>
      <c r="G13503" s="11"/>
      <c r="H13503" s="11"/>
      <c r="I13503" s="15"/>
    </row>
    <row r="13504" spans="1:9" ht="16.5">
      <c r="A13504" s="10" t="b">
        <v>0</v>
      </c>
      <c r="B13504" s="11" t="str">
        <f>IF(D13504&lt;&gt;"",IF(COUNTIF('USPTO TMs'!A:A,D13504)&gt;0,"Yes","No"),"")</f>
        <v/>
      </c>
      <c r="C13504" s="11"/>
      <c r="D13504" s="11"/>
      <c r="E13504" s="11"/>
      <c r="F13504" s="11"/>
      <c r="G13504" s="11"/>
      <c r="H13504" s="11"/>
      <c r="I13504" s="15"/>
    </row>
    <row r="13505" spans="1:9" ht="16.5">
      <c r="A13505" s="10" t="b">
        <v>0</v>
      </c>
      <c r="B13505" s="11" t="str">
        <f>IF(D13505&lt;&gt;"",IF(COUNTIF('USPTO TMs'!A:A,D13505)&gt;0,"Yes","No"),"")</f>
        <v/>
      </c>
      <c r="C13505" s="11"/>
      <c r="D13505" s="11"/>
      <c r="E13505" s="11"/>
      <c r="F13505" s="11"/>
      <c r="G13505" s="11"/>
      <c r="H13505" s="11"/>
      <c r="I13505" s="15"/>
    </row>
    <row r="13506" spans="1:9" ht="16.5">
      <c r="A13506" s="10" t="b">
        <v>0</v>
      </c>
      <c r="B13506" s="11" t="str">
        <f>IF(D13506&lt;&gt;"",IF(COUNTIF('USPTO TMs'!A:A,D13506)&gt;0,"Yes","No"),"")</f>
        <v/>
      </c>
      <c r="C13506" s="11"/>
      <c r="D13506" s="11"/>
      <c r="E13506" s="11"/>
      <c r="F13506" s="11"/>
      <c r="G13506" s="11"/>
      <c r="H13506" s="11"/>
      <c r="I13506" s="15"/>
    </row>
    <row r="13507" spans="1:9" ht="16.5">
      <c r="A13507" s="10" t="b">
        <v>0</v>
      </c>
      <c r="B13507" s="11" t="str">
        <f>IF(D13507&lt;&gt;"",IF(COUNTIF('USPTO TMs'!A:A,D13507)&gt;0,"Yes","No"),"")</f>
        <v/>
      </c>
      <c r="C13507" s="11"/>
      <c r="D13507" s="11"/>
      <c r="E13507" s="11"/>
      <c r="F13507" s="11"/>
      <c r="G13507" s="11"/>
      <c r="H13507" s="11"/>
      <c r="I13507" s="15"/>
    </row>
    <row r="13508" spans="1:9" ht="16.5">
      <c r="A13508" s="10" t="b">
        <v>0</v>
      </c>
      <c r="B13508" s="11" t="str">
        <f>IF(D13508&lt;&gt;"",IF(COUNTIF('USPTO TMs'!A:A,D13508)&gt;0,"Yes","No"),"")</f>
        <v/>
      </c>
      <c r="C13508" s="11"/>
      <c r="D13508" s="11"/>
      <c r="E13508" s="11"/>
      <c r="F13508" s="11"/>
      <c r="G13508" s="11"/>
      <c r="H13508" s="11"/>
      <c r="I13508" s="15"/>
    </row>
    <row r="13509" spans="1:9" ht="16.5">
      <c r="A13509" s="10" t="b">
        <v>0</v>
      </c>
      <c r="B13509" s="11" t="str">
        <f>IF(D13509&lt;&gt;"",IF(COUNTIF('USPTO TMs'!A:A,D13509)&gt;0,"Yes","No"),"")</f>
        <v/>
      </c>
      <c r="C13509" s="11"/>
      <c r="D13509" s="11"/>
      <c r="E13509" s="11"/>
      <c r="F13509" s="11"/>
      <c r="G13509" s="11"/>
      <c r="H13509" s="11"/>
      <c r="I13509" s="15"/>
    </row>
    <row r="13510" spans="1:9" ht="16.5">
      <c r="A13510" s="10" t="b">
        <v>0</v>
      </c>
      <c r="B13510" s="11" t="str">
        <f>IF(D13510&lt;&gt;"",IF(COUNTIF('USPTO TMs'!A:A,D13510)&gt;0,"Yes","No"),"")</f>
        <v/>
      </c>
      <c r="C13510" s="11"/>
      <c r="D13510" s="11"/>
      <c r="E13510" s="11"/>
      <c r="F13510" s="11"/>
      <c r="G13510" s="11"/>
      <c r="H13510" s="11"/>
      <c r="I13510" s="15"/>
    </row>
    <row r="13511" spans="1:9" ht="16.5">
      <c r="A13511" s="10" t="b">
        <v>0</v>
      </c>
      <c r="B13511" s="11" t="str">
        <f>IF(D13511&lt;&gt;"",IF(COUNTIF('USPTO TMs'!A:A,D13511)&gt;0,"Yes","No"),"")</f>
        <v/>
      </c>
      <c r="C13511" s="11"/>
      <c r="D13511" s="11"/>
      <c r="E13511" s="11"/>
      <c r="F13511" s="11"/>
      <c r="G13511" s="11"/>
      <c r="H13511" s="11"/>
      <c r="I13511" s="15"/>
    </row>
    <row r="13512" spans="1:9" ht="16.5">
      <c r="A13512" s="10" t="b">
        <v>0</v>
      </c>
      <c r="B13512" s="11" t="str">
        <f>IF(D13512&lt;&gt;"",IF(COUNTIF('USPTO TMs'!A:A,D13512)&gt;0,"Yes","No"),"")</f>
        <v/>
      </c>
      <c r="C13512" s="11"/>
      <c r="D13512" s="11"/>
      <c r="E13512" s="11"/>
      <c r="F13512" s="11"/>
      <c r="G13512" s="11"/>
      <c r="H13512" s="11"/>
      <c r="I13512" s="15"/>
    </row>
    <row r="13513" spans="1:9" ht="16.5">
      <c r="A13513" s="10" t="b">
        <v>0</v>
      </c>
      <c r="B13513" s="11" t="str">
        <f>IF(D13513&lt;&gt;"",IF(COUNTIF('USPTO TMs'!A:A,D13513)&gt;0,"Yes","No"),"")</f>
        <v/>
      </c>
      <c r="C13513" s="11"/>
      <c r="D13513" s="11"/>
      <c r="E13513" s="11"/>
      <c r="F13513" s="11"/>
      <c r="G13513" s="11"/>
      <c r="H13513" s="11"/>
      <c r="I13513" s="15"/>
    </row>
    <row r="13514" spans="1:9" ht="16.5">
      <c r="A13514" s="10" t="b">
        <v>0</v>
      </c>
      <c r="B13514" s="11" t="str">
        <f>IF(D13514&lt;&gt;"",IF(COUNTIF('USPTO TMs'!A:A,D13514)&gt;0,"Yes","No"),"")</f>
        <v/>
      </c>
      <c r="C13514" s="11"/>
      <c r="D13514" s="11"/>
      <c r="E13514" s="11"/>
      <c r="F13514" s="11"/>
      <c r="G13514" s="11"/>
      <c r="H13514" s="11"/>
      <c r="I13514" s="15"/>
    </row>
    <row r="13515" spans="1:9" ht="16.5">
      <c r="A13515" s="10" t="b">
        <v>0</v>
      </c>
      <c r="B13515" s="11" t="str">
        <f>IF(D13515&lt;&gt;"",IF(COUNTIF('USPTO TMs'!A:A,D13515)&gt;0,"Yes","No"),"")</f>
        <v/>
      </c>
      <c r="C13515" s="11"/>
      <c r="D13515" s="11"/>
      <c r="E13515" s="11"/>
      <c r="F13515" s="11"/>
      <c r="G13515" s="11"/>
      <c r="H13515" s="11"/>
      <c r="I13515" s="15"/>
    </row>
    <row r="13516" spans="1:9" ht="16.5">
      <c r="A13516" s="10" t="b">
        <v>0</v>
      </c>
      <c r="B13516" s="11" t="str">
        <f>IF(D13516&lt;&gt;"",IF(COUNTIF('USPTO TMs'!A:A,D13516)&gt;0,"Yes","No"),"")</f>
        <v/>
      </c>
      <c r="C13516" s="11"/>
      <c r="D13516" s="11"/>
      <c r="E13516" s="11"/>
      <c r="F13516" s="11"/>
      <c r="G13516" s="11"/>
      <c r="H13516" s="11"/>
      <c r="I13516" s="15"/>
    </row>
    <row r="13517" spans="1:9" ht="16.5">
      <c r="A13517" s="10" t="b">
        <v>0</v>
      </c>
      <c r="B13517" s="11" t="str">
        <f>IF(D13517&lt;&gt;"",IF(COUNTIF('USPTO TMs'!A:A,D13517)&gt;0,"Yes","No"),"")</f>
        <v/>
      </c>
      <c r="C13517" s="11"/>
      <c r="D13517" s="11"/>
      <c r="E13517" s="11"/>
      <c r="F13517" s="11"/>
      <c r="G13517" s="11"/>
      <c r="H13517" s="11"/>
      <c r="I13517" s="15"/>
    </row>
    <row r="13518" spans="1:9" ht="16.5">
      <c r="A13518" s="10" t="b">
        <v>0</v>
      </c>
      <c r="B13518" s="11" t="str">
        <f>IF(D13518&lt;&gt;"",IF(COUNTIF('USPTO TMs'!A:A,D13518)&gt;0,"Yes","No"),"")</f>
        <v/>
      </c>
      <c r="C13518" s="11"/>
      <c r="D13518" s="11"/>
      <c r="E13518" s="11"/>
      <c r="F13518" s="11"/>
      <c r="G13518" s="11"/>
      <c r="H13518" s="11"/>
      <c r="I13518" s="15"/>
    </row>
    <row r="13519" spans="1:9" ht="16.5">
      <c r="A13519" s="10" t="b">
        <v>0</v>
      </c>
      <c r="B13519" s="11" t="str">
        <f>IF(D13519&lt;&gt;"",IF(COUNTIF('USPTO TMs'!A:A,D13519)&gt;0,"Yes","No"),"")</f>
        <v/>
      </c>
      <c r="C13519" s="11"/>
      <c r="D13519" s="11"/>
      <c r="E13519" s="11"/>
      <c r="F13519" s="11"/>
      <c r="G13519" s="11"/>
      <c r="H13519" s="11"/>
      <c r="I13519" s="15"/>
    </row>
    <row r="13520" spans="1:9" ht="16.5">
      <c r="A13520" s="10" t="b">
        <v>0</v>
      </c>
      <c r="B13520" s="11" t="str">
        <f>IF(D13520&lt;&gt;"",IF(COUNTIF('USPTO TMs'!A:A,D13520)&gt;0,"Yes","No"),"")</f>
        <v/>
      </c>
      <c r="C13520" s="11"/>
      <c r="D13520" s="11"/>
      <c r="E13520" s="11"/>
      <c r="F13520" s="11"/>
      <c r="G13520" s="11"/>
      <c r="H13520" s="11"/>
      <c r="I13520" s="15"/>
    </row>
    <row r="13521" spans="1:9" ht="16.5">
      <c r="A13521" s="10" t="b">
        <v>0</v>
      </c>
      <c r="B13521" s="11" t="str">
        <f>IF(D13521&lt;&gt;"",IF(COUNTIF('USPTO TMs'!A:A,D13521)&gt;0,"Yes","No"),"")</f>
        <v/>
      </c>
      <c r="C13521" s="11"/>
      <c r="D13521" s="11"/>
      <c r="E13521" s="11"/>
      <c r="F13521" s="11"/>
      <c r="G13521" s="11"/>
      <c r="H13521" s="11"/>
      <c r="I13521" s="15"/>
    </row>
    <row r="13522" spans="1:9" ht="16.5">
      <c r="A13522" s="10" t="b">
        <v>0</v>
      </c>
      <c r="B13522" s="11" t="str">
        <f>IF(D13522&lt;&gt;"",IF(COUNTIF('USPTO TMs'!A:A,D13522)&gt;0,"Yes","No"),"")</f>
        <v/>
      </c>
      <c r="C13522" s="11"/>
      <c r="D13522" s="11"/>
      <c r="E13522" s="11"/>
      <c r="F13522" s="11"/>
      <c r="G13522" s="11"/>
      <c r="H13522" s="11"/>
      <c r="I13522" s="15"/>
    </row>
    <row r="13523" spans="1:9" ht="16.5">
      <c r="A13523" s="10" t="b">
        <v>0</v>
      </c>
      <c r="B13523" s="11" t="str">
        <f>IF(D13523&lt;&gt;"",IF(COUNTIF('USPTO TMs'!A:A,D13523)&gt;0,"Yes","No"),"")</f>
        <v/>
      </c>
      <c r="C13523" s="11"/>
      <c r="D13523" s="11"/>
      <c r="E13523" s="11"/>
      <c r="F13523" s="11"/>
      <c r="G13523" s="11"/>
      <c r="H13523" s="11"/>
      <c r="I13523" s="15"/>
    </row>
    <row r="13524" spans="1:9" ht="16.5">
      <c r="A13524" s="10" t="b">
        <v>0</v>
      </c>
      <c r="B13524" s="11" t="str">
        <f>IF(D13524&lt;&gt;"",IF(COUNTIF('USPTO TMs'!A:A,D13524)&gt;0,"Yes","No"),"")</f>
        <v/>
      </c>
      <c r="C13524" s="11"/>
      <c r="D13524" s="11"/>
      <c r="E13524" s="11"/>
      <c r="F13524" s="11"/>
      <c r="G13524" s="11"/>
      <c r="H13524" s="11"/>
      <c r="I13524" s="15"/>
    </row>
    <row r="13525" spans="1:9" ht="16.5">
      <c r="A13525" s="10" t="b">
        <v>0</v>
      </c>
      <c r="B13525" s="11" t="str">
        <f>IF(D13525&lt;&gt;"",IF(COUNTIF('USPTO TMs'!A:A,D13525)&gt;0,"Yes","No"),"")</f>
        <v/>
      </c>
      <c r="C13525" s="11"/>
      <c r="D13525" s="11"/>
      <c r="E13525" s="11"/>
      <c r="F13525" s="11"/>
      <c r="G13525" s="11"/>
      <c r="H13525" s="11"/>
      <c r="I13525" s="15"/>
    </row>
    <row r="13526" spans="1:9" ht="16.5">
      <c r="A13526" s="10" t="b">
        <v>0</v>
      </c>
      <c r="B13526" s="11" t="str">
        <f>IF(D13526&lt;&gt;"",IF(COUNTIF('USPTO TMs'!A:A,D13526)&gt;0,"Yes","No"),"")</f>
        <v/>
      </c>
      <c r="C13526" s="11"/>
      <c r="D13526" s="11"/>
      <c r="E13526" s="11"/>
      <c r="F13526" s="11"/>
      <c r="G13526" s="11"/>
      <c r="H13526" s="11"/>
      <c r="I13526" s="15"/>
    </row>
    <row r="13527" spans="1:9" ht="16.5">
      <c r="A13527" s="10" t="b">
        <v>0</v>
      </c>
      <c r="B13527" s="11" t="str">
        <f>IF(D13527&lt;&gt;"",IF(COUNTIF('USPTO TMs'!A:A,D13527)&gt;0,"Yes","No"),"")</f>
        <v/>
      </c>
      <c r="C13527" s="11"/>
      <c r="D13527" s="11"/>
      <c r="E13527" s="11"/>
      <c r="F13527" s="11"/>
      <c r="G13527" s="11"/>
      <c r="H13527" s="11"/>
      <c r="I13527" s="15"/>
    </row>
    <row r="13528" spans="1:9" ht="16.5">
      <c r="A13528" s="10" t="b">
        <v>0</v>
      </c>
      <c r="B13528" s="11" t="str">
        <f>IF(D13528&lt;&gt;"",IF(COUNTIF('USPTO TMs'!A:A,D13528)&gt;0,"Yes","No"),"")</f>
        <v/>
      </c>
      <c r="C13528" s="11"/>
      <c r="D13528" s="11"/>
      <c r="E13528" s="11"/>
      <c r="F13528" s="11"/>
      <c r="G13528" s="11"/>
      <c r="H13528" s="11"/>
      <c r="I13528" s="15"/>
    </row>
    <row r="13529" spans="1:9" ht="16.5">
      <c r="A13529" s="10" t="b">
        <v>0</v>
      </c>
      <c r="B13529" s="11" t="str">
        <f>IF(D13529&lt;&gt;"",IF(COUNTIF('USPTO TMs'!A:A,D13529)&gt;0,"Yes","No"),"")</f>
        <v/>
      </c>
      <c r="C13529" s="11"/>
      <c r="D13529" s="11"/>
      <c r="E13529" s="11"/>
      <c r="F13529" s="11"/>
      <c r="G13529" s="11"/>
      <c r="H13529" s="11"/>
      <c r="I13529" s="15"/>
    </row>
    <row r="13530" spans="1:9" ht="16.5">
      <c r="A13530" s="10" t="b">
        <v>0</v>
      </c>
      <c r="B13530" s="11" t="str">
        <f>IF(D13530&lt;&gt;"",IF(COUNTIF('USPTO TMs'!A:A,D13530)&gt;0,"Yes","No"),"")</f>
        <v/>
      </c>
      <c r="C13530" s="11"/>
      <c r="D13530" s="11"/>
      <c r="E13530" s="11"/>
      <c r="F13530" s="11"/>
      <c r="G13530" s="11"/>
      <c r="H13530" s="11"/>
      <c r="I13530" s="15"/>
    </row>
    <row r="13531" spans="1:9" ht="16.5">
      <c r="A13531" s="10" t="b">
        <v>0</v>
      </c>
      <c r="B13531" s="11" t="str">
        <f>IF(D13531&lt;&gt;"",IF(COUNTIF('USPTO TMs'!A:A,D13531)&gt;0,"Yes","No"),"")</f>
        <v/>
      </c>
      <c r="C13531" s="11"/>
      <c r="D13531" s="11"/>
      <c r="E13531" s="11"/>
      <c r="F13531" s="11"/>
      <c r="G13531" s="11"/>
      <c r="H13531" s="11"/>
      <c r="I13531" s="15"/>
    </row>
    <row r="13532" spans="1:9" ht="16.5">
      <c r="A13532" s="10" t="b">
        <v>0</v>
      </c>
      <c r="B13532" s="11" t="str">
        <f>IF(D13532&lt;&gt;"",IF(COUNTIF('USPTO TMs'!A:A,D13532)&gt;0,"Yes","No"),"")</f>
        <v/>
      </c>
      <c r="C13532" s="11"/>
      <c r="D13532" s="11"/>
      <c r="E13532" s="11"/>
      <c r="F13532" s="11"/>
      <c r="G13532" s="11"/>
      <c r="H13532" s="11"/>
      <c r="I13532" s="15"/>
    </row>
    <row r="13533" spans="1:9" ht="16.5">
      <c r="A13533" s="10" t="b">
        <v>0</v>
      </c>
      <c r="B13533" s="11" t="str">
        <f>IF(D13533&lt;&gt;"",IF(COUNTIF('USPTO TMs'!A:A,D13533)&gt;0,"Yes","No"),"")</f>
        <v/>
      </c>
      <c r="C13533" s="11"/>
      <c r="D13533" s="11"/>
      <c r="E13533" s="11"/>
      <c r="F13533" s="11"/>
      <c r="G13533" s="11"/>
      <c r="H13533" s="11"/>
      <c r="I13533" s="15"/>
    </row>
    <row r="13534" spans="1:9" ht="16.5">
      <c r="A13534" s="10" t="b">
        <v>0</v>
      </c>
      <c r="B13534" s="11" t="str">
        <f>IF(D13534&lt;&gt;"",IF(COUNTIF('USPTO TMs'!A:A,D13534)&gt;0,"Yes","No"),"")</f>
        <v/>
      </c>
      <c r="C13534" s="11"/>
      <c r="D13534" s="11"/>
      <c r="E13534" s="11"/>
      <c r="F13534" s="11"/>
      <c r="G13534" s="11"/>
      <c r="H13534" s="11"/>
      <c r="I13534" s="15"/>
    </row>
    <row r="13535" spans="1:9" ht="16.5">
      <c r="A13535" s="10" t="b">
        <v>0</v>
      </c>
      <c r="B13535" s="11" t="str">
        <f>IF(D13535&lt;&gt;"",IF(COUNTIF('USPTO TMs'!A:A,D13535)&gt;0,"Yes","No"),"")</f>
        <v/>
      </c>
      <c r="C13535" s="11"/>
      <c r="D13535" s="11"/>
      <c r="E13535" s="11"/>
      <c r="F13535" s="11"/>
      <c r="G13535" s="11"/>
      <c r="H13535" s="11"/>
      <c r="I13535" s="15"/>
    </row>
    <row r="13536" spans="1:9" ht="16.5">
      <c r="A13536" s="10" t="b">
        <v>0</v>
      </c>
      <c r="B13536" s="11" t="str">
        <f>IF(D13536&lt;&gt;"",IF(COUNTIF('USPTO TMs'!A:A,D13536)&gt;0,"Yes","No"),"")</f>
        <v/>
      </c>
      <c r="C13536" s="11"/>
      <c r="D13536" s="11"/>
      <c r="E13536" s="11"/>
      <c r="F13536" s="11"/>
      <c r="G13536" s="11"/>
      <c r="H13536" s="11"/>
      <c r="I13536" s="15"/>
    </row>
    <row r="13537" spans="1:9" ht="16.5">
      <c r="A13537" s="10" t="b">
        <v>0</v>
      </c>
      <c r="B13537" s="11" t="str">
        <f>IF(D13537&lt;&gt;"",IF(COUNTIF('USPTO TMs'!A:A,D13537)&gt;0,"Yes","No"),"")</f>
        <v/>
      </c>
      <c r="C13537" s="11"/>
      <c r="D13537" s="11"/>
      <c r="E13537" s="11"/>
      <c r="F13537" s="11"/>
      <c r="G13537" s="11"/>
      <c r="H13537" s="11"/>
      <c r="I13537" s="15"/>
    </row>
    <row r="13538" spans="1:9" ht="16.5">
      <c r="A13538" s="10" t="b">
        <v>0</v>
      </c>
      <c r="B13538" s="11" t="str">
        <f>IF(D13538&lt;&gt;"",IF(COUNTIF('USPTO TMs'!A:A,D13538)&gt;0,"Yes","No"),"")</f>
        <v/>
      </c>
      <c r="C13538" s="11"/>
      <c r="D13538" s="11"/>
      <c r="E13538" s="11"/>
      <c r="F13538" s="11"/>
      <c r="G13538" s="11"/>
      <c r="H13538" s="11"/>
      <c r="I13538" s="15"/>
    </row>
    <row r="13539" spans="1:9" ht="16.5">
      <c r="A13539" s="10" t="b">
        <v>0</v>
      </c>
      <c r="B13539" s="11" t="str">
        <f>IF(D13539&lt;&gt;"",IF(COUNTIF('USPTO TMs'!A:A,D13539)&gt;0,"Yes","No"),"")</f>
        <v/>
      </c>
      <c r="C13539" s="11"/>
      <c r="D13539" s="11"/>
      <c r="E13539" s="11"/>
      <c r="F13539" s="11"/>
      <c r="G13539" s="11"/>
      <c r="H13539" s="11"/>
      <c r="I13539" s="15"/>
    </row>
    <row r="13540" spans="1:9" ht="16.5">
      <c r="A13540" s="10" t="b">
        <v>0</v>
      </c>
      <c r="B13540" s="11" t="str">
        <f>IF(D13540&lt;&gt;"",IF(COUNTIF('USPTO TMs'!A:A,D13540)&gt;0,"Yes","No"),"")</f>
        <v/>
      </c>
      <c r="C13540" s="11"/>
      <c r="D13540" s="11"/>
      <c r="E13540" s="11"/>
      <c r="F13540" s="11"/>
      <c r="G13540" s="11"/>
      <c r="H13540" s="11"/>
      <c r="I13540" s="15"/>
    </row>
    <row r="13541" spans="1:9" ht="16.5">
      <c r="A13541" s="10" t="b">
        <v>0</v>
      </c>
      <c r="B13541" s="11" t="str">
        <f>IF(D13541&lt;&gt;"",IF(COUNTIF('USPTO TMs'!A:A,D13541)&gt;0,"Yes","No"),"")</f>
        <v/>
      </c>
      <c r="C13541" s="11"/>
      <c r="D13541" s="11"/>
      <c r="E13541" s="11"/>
      <c r="F13541" s="11"/>
      <c r="G13541" s="11"/>
      <c r="H13541" s="11"/>
      <c r="I13541" s="15"/>
    </row>
    <row r="13542" spans="1:9" ht="16.5">
      <c r="A13542" s="10" t="b">
        <v>0</v>
      </c>
      <c r="B13542" s="11" t="str">
        <f>IF(D13542&lt;&gt;"",IF(COUNTIF('USPTO TMs'!A:A,D13542)&gt;0,"Yes","No"),"")</f>
        <v/>
      </c>
      <c r="C13542" s="11"/>
      <c r="D13542" s="11"/>
      <c r="E13542" s="11"/>
      <c r="F13542" s="11"/>
      <c r="G13542" s="11"/>
      <c r="H13542" s="11"/>
      <c r="I13542" s="15"/>
    </row>
    <row r="13543" spans="1:9" ht="16.5">
      <c r="A13543" s="10" t="b">
        <v>0</v>
      </c>
      <c r="B13543" s="11" t="str">
        <f>IF(D13543&lt;&gt;"",IF(COUNTIF('USPTO TMs'!A:A,D13543)&gt;0,"Yes","No"),"")</f>
        <v/>
      </c>
      <c r="C13543" s="11"/>
      <c r="D13543" s="11"/>
      <c r="E13543" s="11"/>
      <c r="F13543" s="11"/>
      <c r="G13543" s="11"/>
      <c r="H13543" s="11"/>
      <c r="I13543" s="15"/>
    </row>
    <row r="13544" spans="1:9" ht="16.5">
      <c r="A13544" s="10" t="b">
        <v>0</v>
      </c>
      <c r="B13544" s="11" t="str">
        <f>IF(D13544&lt;&gt;"",IF(COUNTIF('USPTO TMs'!A:A,D13544)&gt;0,"Yes","No"),"")</f>
        <v/>
      </c>
      <c r="C13544" s="11"/>
      <c r="D13544" s="11"/>
      <c r="E13544" s="11"/>
      <c r="F13544" s="11"/>
      <c r="G13544" s="11"/>
      <c r="H13544" s="11"/>
      <c r="I13544" s="15"/>
    </row>
    <row r="13545" spans="1:9" ht="16.5">
      <c r="A13545" s="10" t="b">
        <v>0</v>
      </c>
      <c r="B13545" s="11" t="str">
        <f>IF(D13545&lt;&gt;"",IF(COUNTIF('USPTO TMs'!A:A,D13545)&gt;0,"Yes","No"),"")</f>
        <v/>
      </c>
      <c r="C13545" s="11"/>
      <c r="D13545" s="11"/>
      <c r="E13545" s="11"/>
      <c r="F13545" s="11"/>
      <c r="G13545" s="11"/>
      <c r="H13545" s="11"/>
      <c r="I13545" s="15"/>
    </row>
    <row r="13546" spans="1:9" ht="16.5">
      <c r="A13546" s="10" t="b">
        <v>0</v>
      </c>
      <c r="B13546" s="11" t="str">
        <f>IF(D13546&lt;&gt;"",IF(COUNTIF('USPTO TMs'!A:A,D13546)&gt;0,"Yes","No"),"")</f>
        <v/>
      </c>
      <c r="C13546" s="11"/>
      <c r="D13546" s="11"/>
      <c r="E13546" s="11"/>
      <c r="F13546" s="11"/>
      <c r="G13546" s="11"/>
      <c r="H13546" s="11"/>
      <c r="I13546" s="15"/>
    </row>
    <row r="13547" spans="1:9" ht="16.5">
      <c r="A13547" s="10" t="b">
        <v>0</v>
      </c>
      <c r="B13547" s="11" t="str">
        <f>IF(D13547&lt;&gt;"",IF(COUNTIF('USPTO TMs'!A:A,D13547)&gt;0,"Yes","No"),"")</f>
        <v/>
      </c>
      <c r="C13547" s="11"/>
      <c r="D13547" s="11"/>
      <c r="E13547" s="11"/>
      <c r="F13547" s="11"/>
      <c r="G13547" s="11"/>
      <c r="H13547" s="11"/>
      <c r="I13547" s="15"/>
    </row>
    <row r="13548" spans="1:9" ht="16.5">
      <c r="A13548" s="10" t="b">
        <v>0</v>
      </c>
      <c r="B13548" s="11" t="str">
        <f>IF(D13548&lt;&gt;"",IF(COUNTIF('USPTO TMs'!A:A,D13548)&gt;0,"Yes","No"),"")</f>
        <v/>
      </c>
      <c r="C13548" s="11"/>
      <c r="D13548" s="11"/>
      <c r="E13548" s="11"/>
      <c r="F13548" s="11"/>
      <c r="G13548" s="11"/>
      <c r="H13548" s="11"/>
      <c r="I13548" s="15"/>
    </row>
    <row r="13549" spans="1:9" ht="16.5">
      <c r="A13549" s="10" t="b">
        <v>0</v>
      </c>
      <c r="B13549" s="11" t="str">
        <f>IF(D13549&lt;&gt;"",IF(COUNTIF('USPTO TMs'!A:A,D13549)&gt;0,"Yes","No"),"")</f>
        <v/>
      </c>
      <c r="C13549" s="11"/>
      <c r="D13549" s="11"/>
      <c r="E13549" s="11"/>
      <c r="F13549" s="11"/>
      <c r="G13549" s="11"/>
      <c r="H13549" s="11"/>
      <c r="I13549" s="15"/>
    </row>
    <row r="13550" spans="1:9" ht="16.5">
      <c r="A13550" s="10" t="b">
        <v>0</v>
      </c>
      <c r="B13550" s="11" t="str">
        <f>IF(D13550&lt;&gt;"",IF(COUNTIF('USPTO TMs'!A:A,D13550)&gt;0,"Yes","No"),"")</f>
        <v/>
      </c>
      <c r="C13550" s="11"/>
      <c r="D13550" s="11"/>
      <c r="E13550" s="11"/>
      <c r="F13550" s="11"/>
      <c r="G13550" s="11"/>
      <c r="H13550" s="11"/>
      <c r="I13550" s="15"/>
    </row>
    <row r="13551" spans="1:9" ht="16.5">
      <c r="A13551" s="10" t="b">
        <v>0</v>
      </c>
      <c r="B13551" s="11" t="str">
        <f>IF(D13551&lt;&gt;"",IF(COUNTIF('USPTO TMs'!A:A,D13551)&gt;0,"Yes","No"),"")</f>
        <v/>
      </c>
      <c r="C13551" s="11"/>
      <c r="D13551" s="11"/>
      <c r="E13551" s="11"/>
      <c r="F13551" s="11"/>
      <c r="G13551" s="11"/>
      <c r="H13551" s="11"/>
      <c r="I13551" s="15"/>
    </row>
    <row r="13552" spans="1:9" ht="16.5">
      <c r="A13552" s="10" t="b">
        <v>0</v>
      </c>
      <c r="B13552" s="11" t="str">
        <f>IF(D13552&lt;&gt;"",IF(COUNTIF('USPTO TMs'!A:A,D13552)&gt;0,"Yes","No"),"")</f>
        <v/>
      </c>
      <c r="C13552" s="11"/>
      <c r="D13552" s="11"/>
      <c r="E13552" s="11"/>
      <c r="F13552" s="11"/>
      <c r="G13552" s="11"/>
      <c r="H13552" s="11"/>
      <c r="I13552" s="15"/>
    </row>
    <row r="13553" spans="1:9" ht="16.5">
      <c r="A13553" s="10" t="b">
        <v>0</v>
      </c>
      <c r="B13553" s="11" t="str">
        <f>IF(D13553&lt;&gt;"",IF(COUNTIF('USPTO TMs'!A:A,D13553)&gt;0,"Yes","No"),"")</f>
        <v/>
      </c>
      <c r="C13553" s="11"/>
      <c r="D13553" s="11"/>
      <c r="E13553" s="11"/>
      <c r="F13553" s="11"/>
      <c r="G13553" s="11"/>
      <c r="H13553" s="11"/>
      <c r="I13553" s="15"/>
    </row>
    <row r="13554" spans="1:9" ht="16.5">
      <c r="A13554" s="10" t="b">
        <v>0</v>
      </c>
      <c r="B13554" s="11" t="str">
        <f>IF(D13554&lt;&gt;"",IF(COUNTIF('USPTO TMs'!A:A,D13554)&gt;0,"Yes","No"),"")</f>
        <v/>
      </c>
      <c r="C13554" s="11"/>
      <c r="D13554" s="11"/>
      <c r="E13554" s="11"/>
      <c r="F13554" s="11"/>
      <c r="G13554" s="11"/>
      <c r="H13554" s="11"/>
      <c r="I13554" s="15"/>
    </row>
    <row r="13555" spans="1:9" ht="16.5">
      <c r="A13555" s="10" t="b">
        <v>0</v>
      </c>
      <c r="B13555" s="11" t="str">
        <f>IF(D13555&lt;&gt;"",IF(COUNTIF('USPTO TMs'!A:A,D13555)&gt;0,"Yes","No"),"")</f>
        <v/>
      </c>
      <c r="C13555" s="11"/>
      <c r="D13555" s="11"/>
      <c r="E13555" s="11"/>
      <c r="F13555" s="11"/>
      <c r="G13555" s="11"/>
      <c r="H13555" s="11"/>
      <c r="I13555" s="15"/>
    </row>
    <row r="13556" spans="1:9" ht="16.5">
      <c r="A13556" s="10" t="b">
        <v>0</v>
      </c>
      <c r="B13556" s="11" t="str">
        <f>IF(D13556&lt;&gt;"",IF(COUNTIF('USPTO TMs'!A:A,D13556)&gt;0,"Yes","No"),"")</f>
        <v/>
      </c>
      <c r="C13556" s="11"/>
      <c r="D13556" s="11"/>
      <c r="E13556" s="11"/>
      <c r="F13556" s="11"/>
      <c r="G13556" s="11"/>
      <c r="H13556" s="11"/>
      <c r="I13556" s="15"/>
    </row>
    <row r="13557" spans="1:9" ht="16.5">
      <c r="A13557" s="10" t="b">
        <v>0</v>
      </c>
      <c r="B13557" s="11" t="str">
        <f>IF(D13557&lt;&gt;"",IF(COUNTIF('USPTO TMs'!A:A,D13557)&gt;0,"Yes","No"),"")</f>
        <v/>
      </c>
      <c r="C13557" s="11"/>
      <c r="D13557" s="11"/>
      <c r="E13557" s="11"/>
      <c r="F13557" s="11"/>
      <c r="G13557" s="11"/>
      <c r="H13557" s="11"/>
      <c r="I13557" s="15"/>
    </row>
    <row r="13558" spans="1:9" ht="16.5">
      <c r="A13558" s="10" t="b">
        <v>0</v>
      </c>
      <c r="B13558" s="11" t="str">
        <f>IF(D13558&lt;&gt;"",IF(COUNTIF('USPTO TMs'!A:A,D13558)&gt;0,"Yes","No"),"")</f>
        <v/>
      </c>
      <c r="C13558" s="11"/>
      <c r="D13558" s="11"/>
      <c r="E13558" s="11"/>
      <c r="F13558" s="11"/>
      <c r="G13558" s="11"/>
      <c r="H13558" s="11"/>
      <c r="I13558" s="15"/>
    </row>
    <row r="13559" spans="1:9" ht="16.5">
      <c r="A13559" s="10" t="b">
        <v>0</v>
      </c>
      <c r="B13559" s="11" t="str">
        <f>IF(D13559&lt;&gt;"",IF(COUNTIF('USPTO TMs'!A:A,D13559)&gt;0,"Yes","No"),"")</f>
        <v/>
      </c>
      <c r="C13559" s="11"/>
      <c r="D13559" s="11"/>
      <c r="E13559" s="11"/>
      <c r="F13559" s="11"/>
      <c r="G13559" s="11"/>
      <c r="H13559" s="11"/>
      <c r="I13559" s="15"/>
    </row>
    <row r="13560" spans="1:9" ht="16.5">
      <c r="A13560" s="10" t="b">
        <v>0</v>
      </c>
      <c r="B13560" s="11" t="str">
        <f>IF(D13560&lt;&gt;"",IF(COUNTIF('USPTO TMs'!A:A,D13560)&gt;0,"Yes","No"),"")</f>
        <v/>
      </c>
      <c r="C13560" s="11"/>
      <c r="D13560" s="11"/>
      <c r="E13560" s="11"/>
      <c r="F13560" s="11"/>
      <c r="G13560" s="11"/>
      <c r="H13560" s="11"/>
      <c r="I13560" s="15"/>
    </row>
    <row r="13561" spans="1:9" ht="16.5">
      <c r="A13561" s="10" t="b">
        <v>0</v>
      </c>
      <c r="B13561" s="11" t="str">
        <f>IF(D13561&lt;&gt;"",IF(COUNTIF('USPTO TMs'!A:A,D13561)&gt;0,"Yes","No"),"")</f>
        <v/>
      </c>
      <c r="C13561" s="11"/>
      <c r="D13561" s="11"/>
      <c r="E13561" s="11"/>
      <c r="F13561" s="11"/>
      <c r="G13561" s="11"/>
      <c r="H13561" s="11"/>
      <c r="I13561" s="15"/>
    </row>
    <row r="13562" spans="1:9" ht="16.5">
      <c r="A13562" s="10" t="b">
        <v>0</v>
      </c>
      <c r="B13562" s="11" t="str">
        <f>IF(D13562&lt;&gt;"",IF(COUNTIF('USPTO TMs'!A:A,D13562)&gt;0,"Yes","No"),"")</f>
        <v/>
      </c>
      <c r="C13562" s="11"/>
      <c r="D13562" s="11"/>
      <c r="E13562" s="11"/>
      <c r="F13562" s="11"/>
      <c r="G13562" s="11"/>
      <c r="H13562" s="11"/>
      <c r="I13562" s="15"/>
    </row>
    <row r="13563" spans="1:9" ht="16.5">
      <c r="A13563" s="10" t="b">
        <v>0</v>
      </c>
      <c r="B13563" s="11" t="str">
        <f>IF(D13563&lt;&gt;"",IF(COUNTIF('USPTO TMs'!A:A,D13563)&gt;0,"Yes","No"),"")</f>
        <v/>
      </c>
      <c r="C13563" s="11"/>
      <c r="D13563" s="11"/>
      <c r="E13563" s="11"/>
      <c r="F13563" s="11"/>
      <c r="G13563" s="11"/>
      <c r="H13563" s="11"/>
      <c r="I13563" s="15"/>
    </row>
    <row r="13564" spans="1:9" ht="16.5">
      <c r="A13564" s="10" t="b">
        <v>0</v>
      </c>
      <c r="B13564" s="11" t="str">
        <f>IF(D13564&lt;&gt;"",IF(COUNTIF('USPTO TMs'!A:A,D13564)&gt;0,"Yes","No"),"")</f>
        <v/>
      </c>
      <c r="C13564" s="11"/>
      <c r="D13564" s="11"/>
      <c r="E13564" s="11"/>
      <c r="F13564" s="11"/>
      <c r="G13564" s="11"/>
      <c r="H13564" s="11"/>
      <c r="I13564" s="15"/>
    </row>
    <row r="13565" spans="1:9" ht="16.5">
      <c r="A13565" s="10" t="b">
        <v>0</v>
      </c>
      <c r="B13565" s="11" t="str">
        <f>IF(D13565&lt;&gt;"",IF(COUNTIF('USPTO TMs'!A:A,D13565)&gt;0,"Yes","No"),"")</f>
        <v/>
      </c>
      <c r="C13565" s="11"/>
      <c r="D13565" s="11"/>
      <c r="E13565" s="11"/>
      <c r="F13565" s="11"/>
      <c r="G13565" s="11"/>
      <c r="H13565" s="11"/>
      <c r="I13565" s="15"/>
    </row>
    <row r="13566" spans="1:9" ht="16.5">
      <c r="A13566" s="10" t="b">
        <v>0</v>
      </c>
      <c r="B13566" s="11" t="str">
        <f>IF(D13566&lt;&gt;"",IF(COUNTIF('USPTO TMs'!A:A,D13566)&gt;0,"Yes","No"),"")</f>
        <v/>
      </c>
      <c r="C13566" s="11"/>
      <c r="D13566" s="11"/>
      <c r="E13566" s="11"/>
      <c r="F13566" s="11"/>
      <c r="G13566" s="11"/>
      <c r="H13566" s="11"/>
      <c r="I13566" s="15"/>
    </row>
    <row r="13567" spans="1:9" ht="16.5">
      <c r="A13567" s="10" t="b">
        <v>0</v>
      </c>
      <c r="B13567" s="11" t="str">
        <f>IF(D13567&lt;&gt;"",IF(COUNTIF('USPTO TMs'!A:A,D13567)&gt;0,"Yes","No"),"")</f>
        <v/>
      </c>
      <c r="C13567" s="11"/>
      <c r="D13567" s="11"/>
      <c r="E13567" s="11"/>
      <c r="F13567" s="11"/>
      <c r="G13567" s="11"/>
      <c r="H13567" s="11"/>
      <c r="I13567" s="15"/>
    </row>
    <row r="13568" spans="1:9" ht="16.5">
      <c r="A13568" s="10" t="b">
        <v>0</v>
      </c>
      <c r="B13568" s="11" t="str">
        <f>IF(D13568&lt;&gt;"",IF(COUNTIF('USPTO TMs'!A:A,D13568)&gt;0,"Yes","No"),"")</f>
        <v/>
      </c>
      <c r="C13568" s="11"/>
      <c r="D13568" s="11"/>
      <c r="E13568" s="11"/>
      <c r="F13568" s="11"/>
      <c r="G13568" s="11"/>
      <c r="H13568" s="11"/>
      <c r="I13568" s="15"/>
    </row>
    <row r="13569" spans="1:9" ht="16.5">
      <c r="A13569" s="10" t="b">
        <v>0</v>
      </c>
      <c r="B13569" s="11" t="str">
        <f>IF(D13569&lt;&gt;"",IF(COUNTIF('USPTO TMs'!A:A,D13569)&gt;0,"Yes","No"),"")</f>
        <v/>
      </c>
      <c r="C13569" s="11"/>
      <c r="D13569" s="11"/>
      <c r="E13569" s="11"/>
      <c r="F13569" s="11"/>
      <c r="G13569" s="11"/>
      <c r="H13569" s="11"/>
      <c r="I13569" s="15"/>
    </row>
    <row r="13570" spans="1:9" ht="16.5">
      <c r="A13570" s="10" t="b">
        <v>0</v>
      </c>
      <c r="B13570" s="11" t="str">
        <f>IF(D13570&lt;&gt;"",IF(COUNTIF('USPTO TMs'!A:A,D13570)&gt;0,"Yes","No"),"")</f>
        <v/>
      </c>
      <c r="C13570" s="11"/>
      <c r="D13570" s="11"/>
      <c r="E13570" s="11"/>
      <c r="F13570" s="11"/>
      <c r="G13570" s="11"/>
      <c r="H13570" s="11"/>
      <c r="I13570" s="15"/>
    </row>
    <row r="13571" spans="1:9" ht="16.5">
      <c r="A13571" s="10" t="b">
        <v>0</v>
      </c>
      <c r="B13571" s="11" t="str">
        <f>IF(D13571&lt;&gt;"",IF(COUNTIF('USPTO TMs'!A:A,D13571)&gt;0,"Yes","No"),"")</f>
        <v/>
      </c>
      <c r="C13571" s="11"/>
      <c r="D13571" s="11"/>
      <c r="E13571" s="11"/>
      <c r="F13571" s="11"/>
      <c r="G13571" s="11"/>
      <c r="H13571" s="11"/>
      <c r="I13571" s="15"/>
    </row>
    <row r="13572" spans="1:9" ht="16.5">
      <c r="A13572" s="10" t="b">
        <v>0</v>
      </c>
      <c r="B13572" s="11" t="str">
        <f>IF(D13572&lt;&gt;"",IF(COUNTIF('USPTO TMs'!A:A,D13572)&gt;0,"Yes","No"),"")</f>
        <v/>
      </c>
      <c r="C13572" s="11"/>
      <c r="D13572" s="11"/>
      <c r="E13572" s="11"/>
      <c r="F13572" s="11"/>
      <c r="G13572" s="11"/>
      <c r="H13572" s="11"/>
      <c r="I13572" s="15"/>
    </row>
    <row r="13573" spans="1:9" ht="16.5">
      <c r="A13573" s="10" t="b">
        <v>0</v>
      </c>
      <c r="B13573" s="11" t="str">
        <f>IF(D13573&lt;&gt;"",IF(COUNTIF('USPTO TMs'!A:A,D13573)&gt;0,"Yes","No"),"")</f>
        <v/>
      </c>
      <c r="C13573" s="11"/>
      <c r="D13573" s="11"/>
      <c r="E13573" s="11"/>
      <c r="F13573" s="11"/>
      <c r="G13573" s="11"/>
      <c r="H13573" s="11"/>
      <c r="I13573" s="15"/>
    </row>
    <row r="13574" spans="1:9" ht="16.5">
      <c r="A13574" s="10" t="b">
        <v>0</v>
      </c>
      <c r="B13574" s="11" t="str">
        <f>IF(D13574&lt;&gt;"",IF(COUNTIF('USPTO TMs'!A:A,D13574)&gt;0,"Yes","No"),"")</f>
        <v/>
      </c>
      <c r="C13574" s="11"/>
      <c r="D13574" s="11"/>
      <c r="E13574" s="11"/>
      <c r="F13574" s="11"/>
      <c r="G13574" s="11"/>
      <c r="H13574" s="11"/>
      <c r="I13574" s="15"/>
    </row>
    <row r="13575" spans="1:9" ht="16.5">
      <c r="A13575" s="10" t="b">
        <v>0</v>
      </c>
      <c r="B13575" s="11" t="str">
        <f>IF(D13575&lt;&gt;"",IF(COUNTIF('USPTO TMs'!A:A,D13575)&gt;0,"Yes","No"),"")</f>
        <v/>
      </c>
      <c r="C13575" s="11"/>
      <c r="D13575" s="11"/>
      <c r="E13575" s="11"/>
      <c r="F13575" s="11"/>
      <c r="G13575" s="11"/>
      <c r="H13575" s="11"/>
      <c r="I13575" s="15"/>
    </row>
    <row r="13576" spans="1:9" ht="16.5">
      <c r="A13576" s="10" t="b">
        <v>0</v>
      </c>
      <c r="B13576" s="11" t="str">
        <f>IF(D13576&lt;&gt;"",IF(COUNTIF('USPTO TMs'!A:A,D13576)&gt;0,"Yes","No"),"")</f>
        <v/>
      </c>
      <c r="C13576" s="11"/>
      <c r="D13576" s="11"/>
      <c r="E13576" s="11"/>
      <c r="F13576" s="11"/>
      <c r="G13576" s="11"/>
      <c r="H13576" s="11"/>
      <c r="I13576" s="15"/>
    </row>
    <row r="13577" spans="1:9" ht="16.5">
      <c r="A13577" s="10" t="b">
        <v>0</v>
      </c>
      <c r="B13577" s="11" t="str">
        <f>IF(D13577&lt;&gt;"",IF(COUNTIF('USPTO TMs'!A:A,D13577)&gt;0,"Yes","No"),"")</f>
        <v/>
      </c>
      <c r="C13577" s="11"/>
      <c r="D13577" s="11"/>
      <c r="E13577" s="11"/>
      <c r="F13577" s="11"/>
      <c r="G13577" s="11"/>
      <c r="H13577" s="11"/>
      <c r="I13577" s="15"/>
    </row>
    <row r="13578" spans="1:9" ht="16.5">
      <c r="A13578" s="10" t="b">
        <v>0</v>
      </c>
      <c r="B13578" s="11" t="str">
        <f>IF(D13578&lt;&gt;"",IF(COUNTIF('USPTO TMs'!A:A,D13578)&gt;0,"Yes","No"),"")</f>
        <v/>
      </c>
      <c r="C13578" s="11"/>
      <c r="D13578" s="11"/>
      <c r="E13578" s="11"/>
      <c r="F13578" s="11"/>
      <c r="G13578" s="11"/>
      <c r="H13578" s="11"/>
      <c r="I13578" s="15"/>
    </row>
    <row r="13579" spans="1:9" ht="16.5">
      <c r="A13579" s="10" t="b">
        <v>0</v>
      </c>
      <c r="B13579" s="11" t="str">
        <f>IF(D13579&lt;&gt;"",IF(COUNTIF('USPTO TMs'!A:A,D13579)&gt;0,"Yes","No"),"")</f>
        <v/>
      </c>
      <c r="C13579" s="11"/>
      <c r="D13579" s="11"/>
      <c r="E13579" s="11"/>
      <c r="F13579" s="11"/>
      <c r="G13579" s="11"/>
      <c r="H13579" s="11"/>
      <c r="I13579" s="15"/>
    </row>
    <row r="13580" spans="1:9" ht="16.5">
      <c r="A13580" s="10" t="b">
        <v>0</v>
      </c>
      <c r="B13580" s="11" t="str">
        <f>IF(D13580&lt;&gt;"",IF(COUNTIF('USPTO TMs'!A:A,D13580)&gt;0,"Yes","No"),"")</f>
        <v/>
      </c>
      <c r="C13580" s="11"/>
      <c r="D13580" s="11"/>
      <c r="E13580" s="11"/>
      <c r="F13580" s="11"/>
      <c r="G13580" s="11"/>
      <c r="H13580" s="11"/>
      <c r="I13580" s="15"/>
    </row>
    <row r="13581" spans="1:9" ht="16.5">
      <c r="A13581" s="10" t="b">
        <v>0</v>
      </c>
      <c r="B13581" s="11" t="str">
        <f>IF(D13581&lt;&gt;"",IF(COUNTIF('USPTO TMs'!A:A,D13581)&gt;0,"Yes","No"),"")</f>
        <v/>
      </c>
      <c r="C13581" s="11"/>
      <c r="D13581" s="11"/>
      <c r="E13581" s="11"/>
      <c r="F13581" s="11"/>
      <c r="G13581" s="11"/>
      <c r="H13581" s="11"/>
      <c r="I13581" s="15"/>
    </row>
    <row r="13582" spans="1:9" ht="16.5">
      <c r="A13582" s="10" t="b">
        <v>0</v>
      </c>
      <c r="B13582" s="11" t="str">
        <f>IF(D13582&lt;&gt;"",IF(COUNTIF('USPTO TMs'!A:A,D13582)&gt;0,"Yes","No"),"")</f>
        <v/>
      </c>
      <c r="C13582" s="11"/>
      <c r="D13582" s="11"/>
      <c r="E13582" s="11"/>
      <c r="F13582" s="11"/>
      <c r="G13582" s="11"/>
      <c r="H13582" s="11"/>
      <c r="I13582" s="15"/>
    </row>
    <row r="13583" spans="1:9" ht="16.5">
      <c r="A13583" s="10" t="b">
        <v>0</v>
      </c>
      <c r="B13583" s="11" t="str">
        <f>IF(D13583&lt;&gt;"",IF(COUNTIF('USPTO TMs'!A:A,D13583)&gt;0,"Yes","No"),"")</f>
        <v/>
      </c>
      <c r="C13583" s="11"/>
      <c r="D13583" s="11"/>
      <c r="E13583" s="11"/>
      <c r="F13583" s="11"/>
      <c r="G13583" s="11"/>
      <c r="H13583" s="11"/>
      <c r="I13583" s="15"/>
    </row>
    <row r="13584" spans="1:9" ht="16.5">
      <c r="A13584" s="10" t="b">
        <v>0</v>
      </c>
      <c r="B13584" s="11" t="str">
        <f>IF(D13584&lt;&gt;"",IF(COUNTIF('USPTO TMs'!A:A,D13584)&gt;0,"Yes","No"),"")</f>
        <v/>
      </c>
      <c r="C13584" s="11"/>
      <c r="D13584" s="11"/>
      <c r="E13584" s="11"/>
      <c r="F13584" s="11"/>
      <c r="G13584" s="11"/>
      <c r="H13584" s="11"/>
      <c r="I13584" s="15"/>
    </row>
    <row r="13585" spans="1:9" ht="16.5">
      <c r="A13585" s="10" t="b">
        <v>0</v>
      </c>
      <c r="B13585" s="11" t="str">
        <f>IF(D13585&lt;&gt;"",IF(COUNTIF('USPTO TMs'!A:A,D13585)&gt;0,"Yes","No"),"")</f>
        <v/>
      </c>
      <c r="C13585" s="11"/>
      <c r="D13585" s="11"/>
      <c r="E13585" s="11"/>
      <c r="F13585" s="11"/>
      <c r="G13585" s="11"/>
      <c r="H13585" s="11"/>
      <c r="I13585" s="15"/>
    </row>
    <row r="13586" spans="1:9" ht="16.5">
      <c r="A13586" s="10" t="b">
        <v>0</v>
      </c>
      <c r="B13586" s="11" t="str">
        <f>IF(D13586&lt;&gt;"",IF(COUNTIF('USPTO TMs'!A:A,D13586)&gt;0,"Yes","No"),"")</f>
        <v/>
      </c>
      <c r="C13586" s="11"/>
      <c r="D13586" s="11"/>
      <c r="E13586" s="11"/>
      <c r="F13586" s="11"/>
      <c r="G13586" s="11"/>
      <c r="H13586" s="11"/>
      <c r="I13586" s="15"/>
    </row>
    <row r="13587" spans="1:9" ht="16.5">
      <c r="A13587" s="10" t="b">
        <v>0</v>
      </c>
      <c r="B13587" s="11" t="str">
        <f>IF(D13587&lt;&gt;"",IF(COUNTIF('USPTO TMs'!A:A,D13587)&gt;0,"Yes","No"),"")</f>
        <v/>
      </c>
      <c r="C13587" s="11"/>
      <c r="D13587" s="11"/>
      <c r="E13587" s="11"/>
      <c r="F13587" s="11"/>
      <c r="G13587" s="11"/>
      <c r="H13587" s="11"/>
      <c r="I13587" s="15"/>
    </row>
    <row r="13588" spans="1:9" ht="16.5">
      <c r="A13588" s="10" t="b">
        <v>0</v>
      </c>
      <c r="B13588" s="11" t="str">
        <f>IF(D13588&lt;&gt;"",IF(COUNTIF('USPTO TMs'!A:A,D13588)&gt;0,"Yes","No"),"")</f>
        <v/>
      </c>
      <c r="C13588" s="11"/>
      <c r="D13588" s="11"/>
      <c r="E13588" s="11"/>
      <c r="F13588" s="11"/>
      <c r="G13588" s="11"/>
      <c r="H13588" s="11"/>
      <c r="I13588" s="15"/>
    </row>
    <row r="13589" spans="1:9" ht="16.5">
      <c r="A13589" s="10" t="b">
        <v>0</v>
      </c>
      <c r="B13589" s="11" t="str">
        <f>IF(D13589&lt;&gt;"",IF(COUNTIF('USPTO TMs'!A:A,D13589)&gt;0,"Yes","No"),"")</f>
        <v/>
      </c>
      <c r="C13589" s="11"/>
      <c r="D13589" s="11"/>
      <c r="E13589" s="11"/>
      <c r="F13589" s="11"/>
      <c r="G13589" s="11"/>
      <c r="H13589" s="11"/>
      <c r="I13589" s="15"/>
    </row>
    <row r="13590" spans="1:9" ht="16.5">
      <c r="A13590" s="10" t="b">
        <v>0</v>
      </c>
      <c r="B13590" s="11" t="str">
        <f>IF(D13590&lt;&gt;"",IF(COUNTIF('USPTO TMs'!A:A,D13590)&gt;0,"Yes","No"),"")</f>
        <v/>
      </c>
      <c r="C13590" s="11"/>
      <c r="D13590" s="11"/>
      <c r="E13590" s="11"/>
      <c r="F13590" s="11"/>
      <c r="G13590" s="11"/>
      <c r="H13590" s="11"/>
      <c r="I13590" s="15"/>
    </row>
    <row r="13591" spans="1:9" ht="16.5">
      <c r="A13591" s="10" t="b">
        <v>0</v>
      </c>
      <c r="B13591" s="11" t="str">
        <f>IF(D13591&lt;&gt;"",IF(COUNTIF('USPTO TMs'!A:A,D13591)&gt;0,"Yes","No"),"")</f>
        <v/>
      </c>
      <c r="C13591" s="11"/>
      <c r="D13591" s="11"/>
      <c r="E13591" s="11"/>
      <c r="F13591" s="11"/>
      <c r="G13591" s="11"/>
      <c r="H13591" s="11"/>
      <c r="I13591" s="15"/>
    </row>
    <row r="13592" spans="1:9" ht="16.5">
      <c r="A13592" s="10" t="b">
        <v>0</v>
      </c>
      <c r="B13592" s="11" t="str">
        <f>IF(D13592&lt;&gt;"",IF(COUNTIF('USPTO TMs'!A:A,D13592)&gt;0,"Yes","No"),"")</f>
        <v/>
      </c>
      <c r="C13592" s="11"/>
      <c r="D13592" s="11"/>
      <c r="E13592" s="11"/>
      <c r="F13592" s="11"/>
      <c r="G13592" s="11"/>
      <c r="H13592" s="11"/>
      <c r="I13592" s="15"/>
    </row>
    <row r="13593" spans="1:9" ht="16.5">
      <c r="A13593" s="10" t="b">
        <v>0</v>
      </c>
      <c r="B13593" s="11" t="str">
        <f>IF(D13593&lt;&gt;"",IF(COUNTIF('USPTO TMs'!A:A,D13593)&gt;0,"Yes","No"),"")</f>
        <v/>
      </c>
      <c r="C13593" s="11"/>
      <c r="D13593" s="11"/>
      <c r="E13593" s="11"/>
      <c r="F13593" s="11"/>
      <c r="G13593" s="11"/>
      <c r="H13593" s="11"/>
      <c r="I13593" s="15"/>
    </row>
    <row r="13594" spans="1:9" ht="16.5">
      <c r="A13594" s="10" t="b">
        <v>0</v>
      </c>
      <c r="B13594" s="11" t="str">
        <f>IF(D13594&lt;&gt;"",IF(COUNTIF('USPTO TMs'!A:A,D13594)&gt;0,"Yes","No"),"")</f>
        <v/>
      </c>
      <c r="C13594" s="11"/>
      <c r="D13594" s="11"/>
      <c r="E13594" s="11"/>
      <c r="F13594" s="11"/>
      <c r="G13594" s="11"/>
      <c r="H13594" s="11"/>
      <c r="I13594" s="15"/>
    </row>
    <row r="13595" spans="1:9" ht="16.5">
      <c r="A13595" s="10" t="b">
        <v>0</v>
      </c>
      <c r="B13595" s="11" t="str">
        <f>IF(D13595&lt;&gt;"",IF(COUNTIF('USPTO TMs'!A:A,D13595)&gt;0,"Yes","No"),"")</f>
        <v/>
      </c>
      <c r="C13595" s="11"/>
      <c r="D13595" s="11"/>
      <c r="E13595" s="11"/>
      <c r="F13595" s="11"/>
      <c r="G13595" s="11"/>
      <c r="H13595" s="11"/>
      <c r="I13595" s="15"/>
    </row>
    <row r="13596" spans="1:9" ht="16.5">
      <c r="A13596" s="10" t="b">
        <v>0</v>
      </c>
      <c r="B13596" s="11" t="str">
        <f>IF(D13596&lt;&gt;"",IF(COUNTIF('USPTO TMs'!A:A,D13596)&gt;0,"Yes","No"),"")</f>
        <v/>
      </c>
      <c r="C13596" s="11"/>
      <c r="D13596" s="11"/>
      <c r="E13596" s="11"/>
      <c r="F13596" s="11"/>
      <c r="G13596" s="11"/>
      <c r="H13596" s="11"/>
      <c r="I13596" s="15"/>
    </row>
    <row r="13597" spans="1:9" ht="16.5">
      <c r="A13597" s="10" t="b">
        <v>0</v>
      </c>
      <c r="B13597" s="11" t="str">
        <f>IF(D13597&lt;&gt;"",IF(COUNTIF('USPTO TMs'!A:A,D13597)&gt;0,"Yes","No"),"")</f>
        <v/>
      </c>
      <c r="C13597" s="11"/>
      <c r="D13597" s="11"/>
      <c r="E13597" s="11"/>
      <c r="F13597" s="11"/>
      <c r="G13597" s="11"/>
      <c r="H13597" s="11"/>
      <c r="I13597" s="15"/>
    </row>
    <row r="13598" spans="1:9" ht="16.5">
      <c r="A13598" s="10" t="b">
        <v>0</v>
      </c>
      <c r="B13598" s="11" t="str">
        <f>IF(D13598&lt;&gt;"",IF(COUNTIF('USPTO TMs'!A:A,D13598)&gt;0,"Yes","No"),"")</f>
        <v/>
      </c>
      <c r="C13598" s="11"/>
      <c r="D13598" s="11"/>
      <c r="E13598" s="11"/>
      <c r="F13598" s="11"/>
      <c r="G13598" s="11"/>
      <c r="H13598" s="11"/>
      <c r="I13598" s="15"/>
    </row>
    <row r="13599" spans="1:9" ht="16.5">
      <c r="A13599" s="10" t="b">
        <v>0</v>
      </c>
      <c r="B13599" s="11" t="str">
        <f>IF(D13599&lt;&gt;"",IF(COUNTIF('USPTO TMs'!A:A,D13599)&gt;0,"Yes","No"),"")</f>
        <v/>
      </c>
      <c r="C13599" s="11"/>
      <c r="D13599" s="11"/>
      <c r="E13599" s="11"/>
      <c r="F13599" s="11"/>
      <c r="G13599" s="11"/>
      <c r="H13599" s="11"/>
      <c r="I13599" s="15"/>
    </row>
    <row r="13600" spans="1:9" ht="16.5">
      <c r="A13600" s="10" t="b">
        <v>0</v>
      </c>
      <c r="B13600" s="11" t="str">
        <f>IF(D13600&lt;&gt;"",IF(COUNTIF('USPTO TMs'!A:A,D13600)&gt;0,"Yes","No"),"")</f>
        <v/>
      </c>
      <c r="C13600" s="11"/>
      <c r="D13600" s="11"/>
      <c r="E13600" s="11"/>
      <c r="F13600" s="11"/>
      <c r="G13600" s="11"/>
      <c r="H13600" s="11"/>
      <c r="I13600" s="15"/>
    </row>
    <row r="13601" spans="1:9" ht="16.5">
      <c r="A13601" s="10" t="b">
        <v>0</v>
      </c>
      <c r="B13601" s="11" t="str">
        <f>IF(D13601&lt;&gt;"",IF(COUNTIF('USPTO TMs'!A:A,D13601)&gt;0,"Yes","No"),"")</f>
        <v/>
      </c>
      <c r="C13601" s="11"/>
      <c r="D13601" s="11"/>
      <c r="E13601" s="11"/>
      <c r="F13601" s="11"/>
      <c r="G13601" s="11"/>
      <c r="H13601" s="11"/>
      <c r="I13601" s="15"/>
    </row>
    <row r="13602" spans="1:9" ht="16.5">
      <c r="A13602" s="10" t="b">
        <v>0</v>
      </c>
      <c r="B13602" s="11" t="str">
        <f>IF(D13602&lt;&gt;"",IF(COUNTIF('USPTO TMs'!A:A,D13602)&gt;0,"Yes","No"),"")</f>
        <v/>
      </c>
      <c r="C13602" s="11"/>
      <c r="D13602" s="11"/>
      <c r="E13602" s="11"/>
      <c r="F13602" s="11"/>
      <c r="G13602" s="11"/>
      <c r="H13602" s="11"/>
      <c r="I13602" s="15"/>
    </row>
    <row r="13603" spans="1:9" ht="16.5">
      <c r="A13603" s="10" t="b">
        <v>0</v>
      </c>
      <c r="B13603" s="11" t="str">
        <f>IF(D13603&lt;&gt;"",IF(COUNTIF('USPTO TMs'!A:A,D13603)&gt;0,"Yes","No"),"")</f>
        <v/>
      </c>
      <c r="C13603" s="11"/>
      <c r="D13603" s="11"/>
      <c r="E13603" s="11"/>
      <c r="F13603" s="11"/>
      <c r="G13603" s="11"/>
      <c r="H13603" s="11"/>
      <c r="I13603" s="15"/>
    </row>
    <row r="13604" spans="1:9" ht="16.5">
      <c r="A13604" s="10" t="b">
        <v>0</v>
      </c>
      <c r="B13604" s="11" t="str">
        <f>IF(D13604&lt;&gt;"",IF(COUNTIF('USPTO TMs'!A:A,D13604)&gt;0,"Yes","No"),"")</f>
        <v/>
      </c>
      <c r="C13604" s="11"/>
      <c r="D13604" s="11"/>
      <c r="E13604" s="11"/>
      <c r="F13604" s="11"/>
      <c r="G13604" s="11"/>
      <c r="H13604" s="11"/>
      <c r="I13604" s="15"/>
    </row>
    <row r="13605" spans="1:9" ht="16.5">
      <c r="A13605" s="10" t="b">
        <v>0</v>
      </c>
      <c r="B13605" s="11" t="str">
        <f>IF(D13605&lt;&gt;"",IF(COUNTIF('USPTO TMs'!A:A,D13605)&gt;0,"Yes","No"),"")</f>
        <v/>
      </c>
      <c r="C13605" s="11"/>
      <c r="D13605" s="11"/>
      <c r="E13605" s="11"/>
      <c r="F13605" s="11"/>
      <c r="G13605" s="11"/>
      <c r="H13605" s="11"/>
      <c r="I13605" s="15"/>
    </row>
    <row r="13606" spans="1:9" ht="16.5">
      <c r="A13606" s="10" t="b">
        <v>0</v>
      </c>
      <c r="B13606" s="11" t="str">
        <f>IF(D13606&lt;&gt;"",IF(COUNTIF('USPTO TMs'!A:A,D13606)&gt;0,"Yes","No"),"")</f>
        <v/>
      </c>
      <c r="C13606" s="11"/>
      <c r="D13606" s="11"/>
      <c r="E13606" s="11"/>
      <c r="F13606" s="11"/>
      <c r="G13606" s="11"/>
      <c r="H13606" s="11"/>
      <c r="I13606" s="15"/>
    </row>
    <row r="13607" spans="1:9" ht="16.5">
      <c r="A13607" s="10" t="b">
        <v>0</v>
      </c>
      <c r="B13607" s="11" t="str">
        <f>IF(D13607&lt;&gt;"",IF(COUNTIF('USPTO TMs'!A:A,D13607)&gt;0,"Yes","No"),"")</f>
        <v/>
      </c>
      <c r="C13607" s="11"/>
      <c r="D13607" s="11"/>
      <c r="E13607" s="11"/>
      <c r="F13607" s="11"/>
      <c r="G13607" s="11"/>
      <c r="H13607" s="11"/>
      <c r="I13607" s="15"/>
    </row>
    <row r="13608" spans="1:9" ht="16.5">
      <c r="A13608" s="10" t="b">
        <v>0</v>
      </c>
      <c r="B13608" s="11" t="str">
        <f>IF(D13608&lt;&gt;"",IF(COUNTIF('USPTO TMs'!A:A,D13608)&gt;0,"Yes","No"),"")</f>
        <v/>
      </c>
      <c r="C13608" s="11"/>
      <c r="D13608" s="11"/>
      <c r="E13608" s="11"/>
      <c r="F13608" s="11"/>
      <c r="G13608" s="11"/>
      <c r="H13608" s="11"/>
      <c r="I13608" s="15"/>
    </row>
    <row r="13609" spans="1:9" ht="16.5">
      <c r="A13609" s="10" t="b">
        <v>0</v>
      </c>
      <c r="B13609" s="11" t="str">
        <f>IF(D13609&lt;&gt;"",IF(COUNTIF('USPTO TMs'!A:A,D13609)&gt;0,"Yes","No"),"")</f>
        <v/>
      </c>
      <c r="C13609" s="11"/>
      <c r="D13609" s="11"/>
      <c r="E13609" s="11"/>
      <c r="F13609" s="11"/>
      <c r="G13609" s="11"/>
      <c r="H13609" s="11"/>
      <c r="I13609" s="15"/>
    </row>
    <row r="13610" spans="1:9" ht="16.5">
      <c r="A13610" s="10" t="b">
        <v>0</v>
      </c>
      <c r="B13610" s="11" t="str">
        <f>IF(D13610&lt;&gt;"",IF(COUNTIF('USPTO TMs'!A:A,D13610)&gt;0,"Yes","No"),"")</f>
        <v/>
      </c>
      <c r="C13610" s="11"/>
      <c r="D13610" s="11"/>
      <c r="E13610" s="11"/>
      <c r="F13610" s="11"/>
      <c r="G13610" s="11"/>
      <c r="H13610" s="11"/>
      <c r="I13610" s="15"/>
    </row>
    <row r="13611" spans="1:9" ht="16.5">
      <c r="A13611" s="10" t="b">
        <v>0</v>
      </c>
      <c r="B13611" s="11" t="str">
        <f>IF(D13611&lt;&gt;"",IF(COUNTIF('USPTO TMs'!A:A,D13611)&gt;0,"Yes","No"),"")</f>
        <v/>
      </c>
      <c r="C13611" s="11"/>
      <c r="D13611" s="11"/>
      <c r="E13611" s="11"/>
      <c r="F13611" s="11"/>
      <c r="G13611" s="11"/>
      <c r="H13611" s="11"/>
      <c r="I13611" s="15"/>
    </row>
    <row r="13612" spans="1:9" ht="16.5">
      <c r="A13612" s="10" t="b">
        <v>0</v>
      </c>
      <c r="B13612" s="11" t="str">
        <f>IF(D13612&lt;&gt;"",IF(COUNTIF('USPTO TMs'!A:A,D13612)&gt;0,"Yes","No"),"")</f>
        <v/>
      </c>
      <c r="C13612" s="11"/>
      <c r="D13612" s="11"/>
      <c r="E13612" s="11"/>
      <c r="F13612" s="11"/>
      <c r="G13612" s="11"/>
      <c r="H13612" s="11"/>
      <c r="I13612" s="15"/>
    </row>
    <row r="13613" spans="1:9" ht="16.5">
      <c r="A13613" s="10" t="b">
        <v>0</v>
      </c>
      <c r="B13613" s="11" t="str">
        <f>IF(D13613&lt;&gt;"",IF(COUNTIF('USPTO TMs'!A:A,D13613)&gt;0,"Yes","No"),"")</f>
        <v/>
      </c>
      <c r="C13613" s="11"/>
      <c r="D13613" s="11"/>
      <c r="E13613" s="11"/>
      <c r="F13613" s="11"/>
      <c r="G13613" s="11"/>
      <c r="H13613" s="11"/>
      <c r="I13613" s="15"/>
    </row>
    <row r="13614" spans="1:9" ht="16.5">
      <c r="A13614" s="10" t="b">
        <v>0</v>
      </c>
      <c r="B13614" s="11" t="str">
        <f>IF(D13614&lt;&gt;"",IF(COUNTIF('USPTO TMs'!A:A,D13614)&gt;0,"Yes","No"),"")</f>
        <v/>
      </c>
      <c r="C13614" s="11"/>
      <c r="D13614" s="11"/>
      <c r="E13614" s="11"/>
      <c r="F13614" s="11"/>
      <c r="G13614" s="11"/>
      <c r="H13614" s="11"/>
      <c r="I13614" s="15"/>
    </row>
    <row r="13615" spans="1:9" ht="16.5">
      <c r="A13615" s="10" t="b">
        <v>0</v>
      </c>
      <c r="B13615" s="11" t="str">
        <f>IF(D13615&lt;&gt;"",IF(COUNTIF('USPTO TMs'!A:A,D13615)&gt;0,"Yes","No"),"")</f>
        <v/>
      </c>
      <c r="C13615" s="11"/>
      <c r="D13615" s="11"/>
      <c r="E13615" s="11"/>
      <c r="F13615" s="11"/>
      <c r="G13615" s="11"/>
      <c r="H13615" s="11"/>
      <c r="I13615" s="15"/>
    </row>
    <row r="13616" spans="1:9" ht="16.5">
      <c r="A13616" s="10" t="b">
        <v>0</v>
      </c>
      <c r="B13616" s="11" t="str">
        <f>IF(D13616&lt;&gt;"",IF(COUNTIF('USPTO TMs'!A:A,D13616)&gt;0,"Yes","No"),"")</f>
        <v/>
      </c>
      <c r="C13616" s="11"/>
      <c r="D13616" s="11"/>
      <c r="E13616" s="11"/>
      <c r="F13616" s="11"/>
      <c r="G13616" s="11"/>
      <c r="H13616" s="11"/>
      <c r="I13616" s="15"/>
    </row>
    <row r="13617" spans="1:9" ht="16.5">
      <c r="A13617" s="10" t="b">
        <v>0</v>
      </c>
      <c r="B13617" s="11" t="str">
        <f>IF(D13617&lt;&gt;"",IF(COUNTIF('USPTO TMs'!A:A,D13617)&gt;0,"Yes","No"),"")</f>
        <v/>
      </c>
      <c r="C13617" s="11"/>
      <c r="D13617" s="11"/>
      <c r="E13617" s="11"/>
      <c r="F13617" s="11"/>
      <c r="G13617" s="11"/>
      <c r="H13617" s="11"/>
      <c r="I13617" s="15"/>
    </row>
    <row r="13618" spans="1:9" ht="16.5">
      <c r="A13618" s="10" t="b">
        <v>0</v>
      </c>
      <c r="B13618" s="11" t="str">
        <f>IF(D13618&lt;&gt;"",IF(COUNTIF('USPTO TMs'!A:A,D13618)&gt;0,"Yes","No"),"")</f>
        <v/>
      </c>
      <c r="C13618" s="11"/>
      <c r="D13618" s="11"/>
      <c r="E13618" s="11"/>
      <c r="F13618" s="11"/>
      <c r="G13618" s="11"/>
      <c r="H13618" s="11"/>
      <c r="I13618" s="15"/>
    </row>
    <row r="13619" spans="1:9" ht="16.5">
      <c r="A13619" s="10" t="b">
        <v>0</v>
      </c>
      <c r="B13619" s="11" t="str">
        <f>IF(D13619&lt;&gt;"",IF(COUNTIF('USPTO TMs'!A:A,D13619)&gt;0,"Yes","No"),"")</f>
        <v/>
      </c>
      <c r="C13619" s="11"/>
      <c r="D13619" s="11"/>
      <c r="E13619" s="11"/>
      <c r="F13619" s="11"/>
      <c r="G13619" s="11"/>
      <c r="H13619" s="11"/>
      <c r="I13619" s="15"/>
    </row>
    <row r="13620" spans="1:9" ht="16.5">
      <c r="A13620" s="10" t="b">
        <v>0</v>
      </c>
      <c r="B13620" s="11" t="str">
        <f>IF(D13620&lt;&gt;"",IF(COUNTIF('USPTO TMs'!A:A,D13620)&gt;0,"Yes","No"),"")</f>
        <v/>
      </c>
      <c r="C13620" s="11"/>
      <c r="D13620" s="11"/>
      <c r="E13620" s="11"/>
      <c r="F13620" s="11"/>
      <c r="G13620" s="11"/>
      <c r="H13620" s="11"/>
      <c r="I13620" s="15"/>
    </row>
    <row r="13621" spans="1:9" ht="16.5">
      <c r="A13621" s="10" t="b">
        <v>0</v>
      </c>
      <c r="B13621" s="11" t="str">
        <f>IF(D13621&lt;&gt;"",IF(COUNTIF('USPTO TMs'!A:A,D13621)&gt;0,"Yes","No"),"")</f>
        <v/>
      </c>
      <c r="C13621" s="11"/>
      <c r="D13621" s="11"/>
      <c r="E13621" s="11"/>
      <c r="F13621" s="11"/>
      <c r="G13621" s="11"/>
      <c r="H13621" s="11"/>
      <c r="I13621" s="15"/>
    </row>
    <row r="13622" spans="1:9" ht="16.5">
      <c r="A13622" s="10" t="b">
        <v>0</v>
      </c>
      <c r="B13622" s="11" t="str">
        <f>IF(D13622&lt;&gt;"",IF(COUNTIF('USPTO TMs'!A:A,D13622)&gt;0,"Yes","No"),"")</f>
        <v/>
      </c>
      <c r="C13622" s="11"/>
      <c r="D13622" s="11"/>
      <c r="E13622" s="11"/>
      <c r="F13622" s="11"/>
      <c r="G13622" s="11"/>
      <c r="H13622" s="11"/>
      <c r="I13622" s="15"/>
    </row>
    <row r="13623" spans="1:9" ht="16.5">
      <c r="A13623" s="10" t="b">
        <v>0</v>
      </c>
      <c r="B13623" s="11" t="str">
        <f>IF(D13623&lt;&gt;"",IF(COUNTIF('USPTO TMs'!A:A,D13623)&gt;0,"Yes","No"),"")</f>
        <v/>
      </c>
      <c r="C13623" s="11"/>
      <c r="D13623" s="11"/>
      <c r="E13623" s="11"/>
      <c r="F13623" s="11"/>
      <c r="G13623" s="11"/>
      <c r="H13623" s="11"/>
      <c r="I13623" s="15"/>
    </row>
    <row r="13624" spans="1:9" ht="16.5">
      <c r="A13624" s="10" t="b">
        <v>0</v>
      </c>
      <c r="B13624" s="11" t="str">
        <f>IF(D13624&lt;&gt;"",IF(COUNTIF('USPTO TMs'!A:A,D13624)&gt;0,"Yes","No"),"")</f>
        <v/>
      </c>
      <c r="C13624" s="11"/>
      <c r="D13624" s="11"/>
      <c r="E13624" s="11"/>
      <c r="F13624" s="11"/>
      <c r="G13624" s="11"/>
      <c r="H13624" s="11"/>
      <c r="I13624" s="15"/>
    </row>
    <row r="13625" spans="1:9" ht="16.5">
      <c r="A13625" s="10" t="b">
        <v>0</v>
      </c>
      <c r="B13625" s="11" t="str">
        <f>IF(D13625&lt;&gt;"",IF(COUNTIF('USPTO TMs'!A:A,D13625)&gt;0,"Yes","No"),"")</f>
        <v/>
      </c>
      <c r="C13625" s="11"/>
      <c r="D13625" s="11"/>
      <c r="E13625" s="11"/>
      <c r="F13625" s="11"/>
      <c r="G13625" s="11"/>
      <c r="H13625" s="11"/>
      <c r="I13625" s="15"/>
    </row>
    <row r="13626" spans="1:9" ht="16.5">
      <c r="A13626" s="10" t="b">
        <v>0</v>
      </c>
      <c r="B13626" s="11" t="str">
        <f>IF(D13626&lt;&gt;"",IF(COUNTIF('USPTO TMs'!A:A,D13626)&gt;0,"Yes","No"),"")</f>
        <v/>
      </c>
      <c r="C13626" s="11"/>
      <c r="D13626" s="11"/>
      <c r="E13626" s="11"/>
      <c r="F13626" s="11"/>
      <c r="G13626" s="11"/>
      <c r="H13626" s="11"/>
      <c r="I13626" s="15"/>
    </row>
    <row r="13627" spans="1:9" ht="16.5">
      <c r="A13627" s="10" t="b">
        <v>0</v>
      </c>
      <c r="B13627" s="11" t="str">
        <f>IF(D13627&lt;&gt;"",IF(COUNTIF('USPTO TMs'!A:A,D13627)&gt;0,"Yes","No"),"")</f>
        <v/>
      </c>
      <c r="C13627" s="11"/>
      <c r="D13627" s="11"/>
      <c r="E13627" s="11"/>
      <c r="F13627" s="11"/>
      <c r="G13627" s="11"/>
      <c r="H13627" s="11"/>
      <c r="I13627" s="15"/>
    </row>
    <row r="13628" spans="1:9" ht="16.5">
      <c r="A13628" s="10" t="b">
        <v>0</v>
      </c>
      <c r="B13628" s="11" t="str">
        <f>IF(D13628&lt;&gt;"",IF(COUNTIF('USPTO TMs'!A:A,D13628)&gt;0,"Yes","No"),"")</f>
        <v/>
      </c>
      <c r="C13628" s="11"/>
      <c r="D13628" s="11"/>
      <c r="E13628" s="11"/>
      <c r="F13628" s="11"/>
      <c r="G13628" s="11"/>
      <c r="H13628" s="11"/>
      <c r="I13628" s="15"/>
    </row>
    <row r="13629" spans="1:9" ht="16.5">
      <c r="A13629" s="10" t="b">
        <v>0</v>
      </c>
      <c r="B13629" s="11" t="str">
        <f>IF(D13629&lt;&gt;"",IF(COUNTIF('USPTO TMs'!A:A,D13629)&gt;0,"Yes","No"),"")</f>
        <v/>
      </c>
      <c r="C13629" s="11"/>
      <c r="D13629" s="11"/>
      <c r="E13629" s="11"/>
      <c r="F13629" s="11"/>
      <c r="G13629" s="11"/>
      <c r="H13629" s="11"/>
      <c r="I13629" s="15"/>
    </row>
    <row r="13630" spans="1:9" ht="16.5">
      <c r="A13630" s="10" t="b">
        <v>0</v>
      </c>
      <c r="B13630" s="11" t="str">
        <f>IF(D13630&lt;&gt;"",IF(COUNTIF('USPTO TMs'!A:A,D13630)&gt;0,"Yes","No"),"")</f>
        <v/>
      </c>
      <c r="C13630" s="11"/>
      <c r="D13630" s="11"/>
      <c r="E13630" s="11"/>
      <c r="F13630" s="11"/>
      <c r="G13630" s="11"/>
      <c r="H13630" s="11"/>
      <c r="I13630" s="15"/>
    </row>
    <row r="13631" spans="1:9" ht="16.5">
      <c r="A13631" s="10" t="b">
        <v>0</v>
      </c>
      <c r="B13631" s="11" t="str">
        <f>IF(D13631&lt;&gt;"",IF(COUNTIF('USPTO TMs'!A:A,D13631)&gt;0,"Yes","No"),"")</f>
        <v/>
      </c>
      <c r="C13631" s="11"/>
      <c r="D13631" s="11"/>
      <c r="E13631" s="11"/>
      <c r="F13631" s="11"/>
      <c r="G13631" s="11"/>
      <c r="H13631" s="11"/>
      <c r="I13631" s="15"/>
    </row>
    <row r="13632" spans="1:9" ht="16.5">
      <c r="A13632" s="10" t="b">
        <v>0</v>
      </c>
      <c r="B13632" s="11" t="str">
        <f>IF(D13632&lt;&gt;"",IF(COUNTIF('USPTO TMs'!A:A,D13632)&gt;0,"Yes","No"),"")</f>
        <v/>
      </c>
      <c r="C13632" s="11"/>
      <c r="D13632" s="11"/>
      <c r="E13632" s="11"/>
      <c r="F13632" s="11"/>
      <c r="G13632" s="11"/>
      <c r="H13632" s="11"/>
      <c r="I13632" s="15"/>
    </row>
    <row r="13633" spans="1:9" ht="16.5">
      <c r="A13633" s="10" t="b">
        <v>0</v>
      </c>
      <c r="B13633" s="11" t="str">
        <f>IF(D13633&lt;&gt;"",IF(COUNTIF('USPTO TMs'!A:A,D13633)&gt;0,"Yes","No"),"")</f>
        <v/>
      </c>
      <c r="C13633" s="11"/>
      <c r="D13633" s="11"/>
      <c r="E13633" s="11"/>
      <c r="F13633" s="11"/>
      <c r="G13633" s="11"/>
      <c r="H13633" s="11"/>
      <c r="I13633" s="15"/>
    </row>
    <row r="13634" spans="1:9" ht="16.5">
      <c r="A13634" s="10" t="b">
        <v>0</v>
      </c>
      <c r="B13634" s="11" t="str">
        <f>IF(D13634&lt;&gt;"",IF(COUNTIF('USPTO TMs'!A:A,D13634)&gt;0,"Yes","No"),"")</f>
        <v/>
      </c>
      <c r="C13634" s="11"/>
      <c r="D13634" s="11"/>
      <c r="E13634" s="11"/>
      <c r="F13634" s="11"/>
      <c r="G13634" s="11"/>
      <c r="H13634" s="11"/>
      <c r="I13634" s="15"/>
    </row>
    <row r="13635" spans="1:9" ht="16.5">
      <c r="A13635" s="10" t="b">
        <v>0</v>
      </c>
      <c r="B13635" s="11" t="str">
        <f>IF(D13635&lt;&gt;"",IF(COUNTIF('USPTO TMs'!A:A,D13635)&gt;0,"Yes","No"),"")</f>
        <v/>
      </c>
      <c r="C13635" s="11"/>
      <c r="D13635" s="11"/>
      <c r="E13635" s="11"/>
      <c r="F13635" s="11"/>
      <c r="G13635" s="11"/>
      <c r="H13635" s="11"/>
      <c r="I13635" s="15"/>
    </row>
    <row r="13636" spans="1:9" ht="16.5">
      <c r="A13636" s="10" t="b">
        <v>0</v>
      </c>
      <c r="B13636" s="11" t="str">
        <f>IF(D13636&lt;&gt;"",IF(COUNTIF('USPTO TMs'!A:A,D13636)&gt;0,"Yes","No"),"")</f>
        <v/>
      </c>
      <c r="C13636" s="11"/>
      <c r="D13636" s="11"/>
      <c r="E13636" s="11"/>
      <c r="F13636" s="11"/>
      <c r="G13636" s="11"/>
      <c r="H13636" s="11"/>
      <c r="I13636" s="15"/>
    </row>
    <row r="13637" spans="1:9" ht="16.5">
      <c r="A13637" s="10" t="b">
        <v>0</v>
      </c>
      <c r="B13637" s="11" t="str">
        <f>IF(D13637&lt;&gt;"",IF(COUNTIF('USPTO TMs'!A:A,D13637)&gt;0,"Yes","No"),"")</f>
        <v/>
      </c>
      <c r="C13637" s="11"/>
      <c r="D13637" s="11"/>
      <c r="E13637" s="11"/>
      <c r="F13637" s="11"/>
      <c r="G13637" s="11"/>
      <c r="H13637" s="11"/>
      <c r="I13637" s="15"/>
    </row>
    <row r="13638" spans="1:9" ht="16.5">
      <c r="A13638" s="10" t="b">
        <v>0</v>
      </c>
      <c r="B13638" s="11" t="str">
        <f>IF(D13638&lt;&gt;"",IF(COUNTIF('USPTO TMs'!A:A,D13638)&gt;0,"Yes","No"),"")</f>
        <v/>
      </c>
      <c r="C13638" s="11"/>
      <c r="D13638" s="11"/>
      <c r="E13638" s="11"/>
      <c r="F13638" s="11"/>
      <c r="G13638" s="11"/>
      <c r="H13638" s="11"/>
      <c r="I13638" s="15"/>
    </row>
    <row r="13639" spans="1:9" ht="16.5">
      <c r="A13639" s="10" t="b">
        <v>0</v>
      </c>
      <c r="B13639" s="11" t="str">
        <f>IF(D13639&lt;&gt;"",IF(COUNTIF('USPTO TMs'!A:A,D13639)&gt;0,"Yes","No"),"")</f>
        <v/>
      </c>
      <c r="C13639" s="11"/>
      <c r="D13639" s="11"/>
      <c r="E13639" s="11"/>
      <c r="F13639" s="11"/>
      <c r="G13639" s="11"/>
      <c r="H13639" s="11"/>
      <c r="I13639" s="15"/>
    </row>
    <row r="13640" spans="1:9" ht="16.5">
      <c r="A13640" s="10" t="b">
        <v>0</v>
      </c>
      <c r="B13640" s="11" t="str">
        <f>IF(D13640&lt;&gt;"",IF(COUNTIF('USPTO TMs'!A:A,D13640)&gt;0,"Yes","No"),"")</f>
        <v/>
      </c>
      <c r="C13640" s="11"/>
      <c r="D13640" s="11"/>
      <c r="E13640" s="11"/>
      <c r="F13640" s="11"/>
      <c r="G13640" s="11"/>
      <c r="H13640" s="11"/>
      <c r="I13640" s="15"/>
    </row>
    <row r="13641" spans="1:9" ht="16.5">
      <c r="A13641" s="10" t="b">
        <v>0</v>
      </c>
      <c r="B13641" s="11" t="str">
        <f>IF(D13641&lt;&gt;"",IF(COUNTIF('USPTO TMs'!A:A,D13641)&gt;0,"Yes","No"),"")</f>
        <v/>
      </c>
      <c r="C13641" s="11"/>
      <c r="D13641" s="11"/>
      <c r="E13641" s="11"/>
      <c r="F13641" s="11"/>
      <c r="G13641" s="11"/>
      <c r="H13641" s="11"/>
      <c r="I13641" s="15"/>
    </row>
    <row r="13642" spans="1:9" ht="16.5">
      <c r="A13642" s="10" t="b">
        <v>0</v>
      </c>
      <c r="B13642" s="11" t="str">
        <f>IF(D13642&lt;&gt;"",IF(COUNTIF('USPTO TMs'!A:A,D13642)&gt;0,"Yes","No"),"")</f>
        <v/>
      </c>
      <c r="C13642" s="11"/>
      <c r="D13642" s="11"/>
      <c r="E13642" s="11"/>
      <c r="F13642" s="11"/>
      <c r="G13642" s="11"/>
      <c r="H13642" s="11"/>
      <c r="I13642" s="15"/>
    </row>
    <row r="13643" spans="1:9" ht="16.5">
      <c r="A13643" s="10" t="b">
        <v>0</v>
      </c>
      <c r="B13643" s="11" t="str">
        <f>IF(D13643&lt;&gt;"",IF(COUNTIF('USPTO TMs'!A:A,D13643)&gt;0,"Yes","No"),"")</f>
        <v/>
      </c>
      <c r="C13643" s="11"/>
      <c r="D13643" s="11"/>
      <c r="E13643" s="11"/>
      <c r="F13643" s="11"/>
      <c r="G13643" s="11"/>
      <c r="H13643" s="11"/>
      <c r="I13643" s="15"/>
    </row>
    <row r="13644" spans="1:9" ht="16.5">
      <c r="A13644" s="10" t="b">
        <v>0</v>
      </c>
      <c r="B13644" s="11" t="str">
        <f>IF(D13644&lt;&gt;"",IF(COUNTIF('USPTO TMs'!A:A,D13644)&gt;0,"Yes","No"),"")</f>
        <v/>
      </c>
      <c r="C13644" s="11"/>
      <c r="D13644" s="11"/>
      <c r="E13644" s="11"/>
      <c r="F13644" s="11"/>
      <c r="G13644" s="11"/>
      <c r="H13644" s="11"/>
      <c r="I13644" s="15"/>
    </row>
    <row r="13645" spans="1:9" ht="16.5">
      <c r="A13645" s="10" t="b">
        <v>0</v>
      </c>
      <c r="B13645" s="11" t="str">
        <f>IF(D13645&lt;&gt;"",IF(COUNTIF('USPTO TMs'!A:A,D13645)&gt;0,"Yes","No"),"")</f>
        <v/>
      </c>
      <c r="C13645" s="11"/>
      <c r="D13645" s="11"/>
      <c r="E13645" s="11"/>
      <c r="F13645" s="11"/>
      <c r="G13645" s="11"/>
      <c r="H13645" s="11"/>
      <c r="I13645" s="15"/>
    </row>
    <row r="13646" spans="1:9" ht="16.5">
      <c r="A13646" s="10" t="b">
        <v>0</v>
      </c>
      <c r="B13646" s="11" t="str">
        <f>IF(D13646&lt;&gt;"",IF(COUNTIF('USPTO TMs'!A:A,D13646)&gt;0,"Yes","No"),"")</f>
        <v/>
      </c>
      <c r="C13646" s="11"/>
      <c r="D13646" s="11"/>
      <c r="E13646" s="11"/>
      <c r="F13646" s="11"/>
      <c r="G13646" s="11"/>
      <c r="H13646" s="11"/>
      <c r="I13646" s="15"/>
    </row>
    <row r="13647" spans="1:9" ht="16.5">
      <c r="A13647" s="10" t="b">
        <v>0</v>
      </c>
      <c r="B13647" s="11" t="str">
        <f>IF(D13647&lt;&gt;"",IF(COUNTIF('USPTO TMs'!A:A,D13647)&gt;0,"Yes","No"),"")</f>
        <v/>
      </c>
      <c r="C13647" s="11"/>
      <c r="D13647" s="11"/>
      <c r="E13647" s="11"/>
      <c r="F13647" s="11"/>
      <c r="G13647" s="11"/>
      <c r="H13647" s="11"/>
      <c r="I13647" s="15"/>
    </row>
    <row r="13648" spans="1:9" ht="16.5">
      <c r="A13648" s="10" t="b">
        <v>0</v>
      </c>
      <c r="B13648" s="11" t="str">
        <f>IF(D13648&lt;&gt;"",IF(COUNTIF('USPTO TMs'!A:A,D13648)&gt;0,"Yes","No"),"")</f>
        <v/>
      </c>
      <c r="C13648" s="11"/>
      <c r="D13648" s="11"/>
      <c r="E13648" s="11"/>
      <c r="F13648" s="11"/>
      <c r="G13648" s="11"/>
      <c r="H13648" s="11"/>
      <c r="I13648" s="15"/>
    </row>
    <row r="13649" spans="1:9" ht="16.5">
      <c r="A13649" s="10" t="b">
        <v>0</v>
      </c>
      <c r="B13649" s="11" t="str">
        <f>IF(D13649&lt;&gt;"",IF(COUNTIF('USPTO TMs'!A:A,D13649)&gt;0,"Yes","No"),"")</f>
        <v/>
      </c>
      <c r="C13649" s="11"/>
      <c r="D13649" s="11"/>
      <c r="E13649" s="11"/>
      <c r="F13649" s="11"/>
      <c r="G13649" s="11"/>
      <c r="H13649" s="11"/>
      <c r="I13649" s="15"/>
    </row>
    <row r="13650" spans="1:9" ht="16.5">
      <c r="A13650" s="10" t="b">
        <v>0</v>
      </c>
      <c r="B13650" s="11" t="str">
        <f>IF(D13650&lt;&gt;"",IF(COUNTIF('USPTO TMs'!A:A,D13650)&gt;0,"Yes","No"),"")</f>
        <v/>
      </c>
      <c r="C13650" s="11"/>
      <c r="D13650" s="11"/>
      <c r="E13650" s="11"/>
      <c r="F13650" s="11"/>
      <c r="G13650" s="11"/>
      <c r="H13650" s="11"/>
      <c r="I13650" s="15"/>
    </row>
    <row r="13651" spans="1:9" ht="16.5">
      <c r="A13651" s="10" t="b">
        <v>0</v>
      </c>
      <c r="B13651" s="11" t="str">
        <f>IF(D13651&lt;&gt;"",IF(COUNTIF('USPTO TMs'!A:A,D13651)&gt;0,"Yes","No"),"")</f>
        <v/>
      </c>
      <c r="C13651" s="11"/>
      <c r="D13651" s="11"/>
      <c r="E13651" s="11"/>
      <c r="F13651" s="11"/>
      <c r="G13651" s="11"/>
      <c r="H13651" s="11"/>
      <c r="I13651" s="15"/>
    </row>
    <row r="13652" spans="1:9" ht="16.5">
      <c r="A13652" s="10" t="b">
        <v>0</v>
      </c>
      <c r="B13652" s="11" t="str">
        <f>IF(D13652&lt;&gt;"",IF(COUNTIF('USPTO TMs'!A:A,D13652)&gt;0,"Yes","No"),"")</f>
        <v/>
      </c>
      <c r="C13652" s="11"/>
      <c r="D13652" s="11"/>
      <c r="E13652" s="11"/>
      <c r="F13652" s="11"/>
      <c r="G13652" s="11"/>
      <c r="H13652" s="11"/>
      <c r="I13652" s="15"/>
    </row>
    <row r="13653" spans="1:9" ht="16.5">
      <c r="A13653" s="10" t="b">
        <v>0</v>
      </c>
      <c r="B13653" s="11" t="str">
        <f>IF(D13653&lt;&gt;"",IF(COUNTIF('USPTO TMs'!A:A,D13653)&gt;0,"Yes","No"),"")</f>
        <v/>
      </c>
      <c r="C13653" s="11"/>
      <c r="D13653" s="11"/>
      <c r="E13653" s="11"/>
      <c r="F13653" s="11"/>
      <c r="G13653" s="11"/>
      <c r="H13653" s="11"/>
      <c r="I13653" s="15"/>
    </row>
    <row r="13654" spans="1:9" ht="16.5">
      <c r="A13654" s="10" t="b">
        <v>0</v>
      </c>
      <c r="B13654" s="11" t="str">
        <f>IF(D13654&lt;&gt;"",IF(COUNTIF('USPTO TMs'!A:A,D13654)&gt;0,"Yes","No"),"")</f>
        <v/>
      </c>
      <c r="C13654" s="11"/>
      <c r="D13654" s="11"/>
      <c r="E13654" s="11"/>
      <c r="F13654" s="11"/>
      <c r="G13654" s="11"/>
      <c r="H13654" s="11"/>
      <c r="I13654" s="15"/>
    </row>
    <row r="13655" spans="1:9" ht="16.5">
      <c r="A13655" s="10" t="b">
        <v>0</v>
      </c>
      <c r="B13655" s="11" t="str">
        <f>IF(D13655&lt;&gt;"",IF(COUNTIF('USPTO TMs'!A:A,D13655)&gt;0,"Yes","No"),"")</f>
        <v/>
      </c>
      <c r="C13655" s="11"/>
      <c r="D13655" s="11"/>
      <c r="E13655" s="11"/>
      <c r="F13655" s="11"/>
      <c r="G13655" s="11"/>
      <c r="H13655" s="11"/>
      <c r="I13655" s="15"/>
    </row>
    <row r="13656" spans="1:9" ht="16.5">
      <c r="A13656" s="10" t="b">
        <v>0</v>
      </c>
      <c r="B13656" s="11" t="str">
        <f>IF(D13656&lt;&gt;"",IF(COUNTIF('USPTO TMs'!A:A,D13656)&gt;0,"Yes","No"),"")</f>
        <v/>
      </c>
      <c r="C13656" s="11"/>
      <c r="D13656" s="11"/>
      <c r="E13656" s="11"/>
      <c r="F13656" s="11"/>
      <c r="G13656" s="11"/>
      <c r="H13656" s="11"/>
      <c r="I13656" s="15"/>
    </row>
    <row r="13657" spans="1:9" ht="16.5">
      <c r="A13657" s="10" t="b">
        <v>0</v>
      </c>
      <c r="B13657" s="11" t="str">
        <f>IF(D13657&lt;&gt;"",IF(COUNTIF('USPTO TMs'!A:A,D13657)&gt;0,"Yes","No"),"")</f>
        <v/>
      </c>
      <c r="C13657" s="11"/>
      <c r="D13657" s="11"/>
      <c r="E13657" s="11"/>
      <c r="F13657" s="11"/>
      <c r="G13657" s="11"/>
      <c r="H13657" s="11"/>
      <c r="I13657" s="15"/>
    </row>
    <row r="13658" spans="1:9" ht="16.5">
      <c r="A13658" s="10" t="b">
        <v>0</v>
      </c>
      <c r="B13658" s="11" t="str">
        <f>IF(D13658&lt;&gt;"",IF(COUNTIF('USPTO TMs'!A:A,D13658)&gt;0,"Yes","No"),"")</f>
        <v/>
      </c>
      <c r="C13658" s="11"/>
      <c r="D13658" s="11"/>
      <c r="E13658" s="11"/>
      <c r="F13658" s="11"/>
      <c r="G13658" s="11"/>
      <c r="H13658" s="11"/>
      <c r="I13658" s="15"/>
    </row>
    <row r="13659" spans="1:9" ht="16.5">
      <c r="A13659" s="10" t="b">
        <v>0</v>
      </c>
      <c r="B13659" s="11" t="str">
        <f>IF(D13659&lt;&gt;"",IF(COUNTIF('USPTO TMs'!A:A,D13659)&gt;0,"Yes","No"),"")</f>
        <v/>
      </c>
      <c r="C13659" s="11"/>
      <c r="D13659" s="11"/>
      <c r="E13659" s="11"/>
      <c r="F13659" s="11"/>
      <c r="G13659" s="11"/>
      <c r="H13659" s="11"/>
      <c r="I13659" s="15"/>
    </row>
    <row r="13660" spans="1:9" ht="16.5">
      <c r="A13660" s="10" t="b">
        <v>0</v>
      </c>
      <c r="B13660" s="11" t="str">
        <f>IF(D13660&lt;&gt;"",IF(COUNTIF('USPTO TMs'!A:A,D13660)&gt;0,"Yes","No"),"")</f>
        <v/>
      </c>
      <c r="C13660" s="11"/>
      <c r="D13660" s="11"/>
      <c r="E13660" s="11"/>
      <c r="F13660" s="11"/>
      <c r="G13660" s="11"/>
      <c r="H13660" s="11"/>
      <c r="I13660" s="15"/>
    </row>
    <row r="13661" spans="1:9" ht="16.5">
      <c r="A13661" s="10" t="b">
        <v>0</v>
      </c>
      <c r="B13661" s="11" t="str">
        <f>IF(D13661&lt;&gt;"",IF(COUNTIF('USPTO TMs'!A:A,D13661)&gt;0,"Yes","No"),"")</f>
        <v/>
      </c>
      <c r="C13661" s="11"/>
      <c r="D13661" s="11"/>
      <c r="E13661" s="11"/>
      <c r="F13661" s="11"/>
      <c r="G13661" s="11"/>
      <c r="H13661" s="11"/>
      <c r="I13661" s="15"/>
    </row>
    <row r="13662" spans="1:9" ht="16.5">
      <c r="A13662" s="10" t="b">
        <v>0</v>
      </c>
      <c r="B13662" s="11" t="str">
        <f>IF(D13662&lt;&gt;"",IF(COUNTIF('USPTO TMs'!A:A,D13662)&gt;0,"Yes","No"),"")</f>
        <v/>
      </c>
      <c r="C13662" s="11"/>
      <c r="D13662" s="11"/>
      <c r="E13662" s="11"/>
      <c r="F13662" s="11"/>
      <c r="G13662" s="11"/>
      <c r="H13662" s="11"/>
      <c r="I13662" s="15"/>
    </row>
    <row r="13663" spans="1:9" ht="16.5">
      <c r="A13663" s="10" t="b">
        <v>0</v>
      </c>
      <c r="B13663" s="11" t="str">
        <f>IF(D13663&lt;&gt;"",IF(COUNTIF('USPTO TMs'!A:A,D13663)&gt;0,"Yes","No"),"")</f>
        <v/>
      </c>
      <c r="C13663" s="11"/>
      <c r="D13663" s="11"/>
      <c r="E13663" s="11"/>
      <c r="F13663" s="11"/>
      <c r="G13663" s="11"/>
      <c r="H13663" s="11"/>
      <c r="I13663" s="15"/>
    </row>
    <row r="13664" spans="1:9" ht="16.5">
      <c r="A13664" s="10" t="b">
        <v>0</v>
      </c>
      <c r="B13664" s="11" t="str">
        <f>IF(D13664&lt;&gt;"",IF(COUNTIF('USPTO TMs'!A:A,D13664)&gt;0,"Yes","No"),"")</f>
        <v/>
      </c>
      <c r="C13664" s="11"/>
      <c r="D13664" s="11"/>
      <c r="E13664" s="11"/>
      <c r="F13664" s="11"/>
      <c r="G13664" s="11"/>
      <c r="H13664" s="11"/>
      <c r="I13664" s="15"/>
    </row>
    <row r="13665" spans="1:9" ht="16.5">
      <c r="A13665" s="10" t="b">
        <v>0</v>
      </c>
      <c r="B13665" s="11" t="str">
        <f>IF(D13665&lt;&gt;"",IF(COUNTIF('USPTO TMs'!A:A,D13665)&gt;0,"Yes","No"),"")</f>
        <v/>
      </c>
      <c r="C13665" s="11"/>
      <c r="D13665" s="11"/>
      <c r="E13665" s="11"/>
      <c r="F13665" s="11"/>
      <c r="G13665" s="11"/>
      <c r="H13665" s="11"/>
      <c r="I13665" s="15"/>
    </row>
    <row r="13666" spans="1:9" ht="16.5">
      <c r="A13666" s="10" t="b">
        <v>0</v>
      </c>
      <c r="B13666" s="11" t="str">
        <f>IF(D13666&lt;&gt;"",IF(COUNTIF('USPTO TMs'!A:A,D13666)&gt;0,"Yes","No"),"")</f>
        <v/>
      </c>
      <c r="C13666" s="11"/>
      <c r="D13666" s="11"/>
      <c r="E13666" s="11"/>
      <c r="F13666" s="11"/>
      <c r="G13666" s="11"/>
      <c r="H13666" s="11"/>
      <c r="I13666" s="15"/>
    </row>
    <row r="13667" spans="1:9" ht="16.5">
      <c r="A13667" s="10" t="b">
        <v>0</v>
      </c>
      <c r="B13667" s="11" t="str">
        <f>IF(D13667&lt;&gt;"",IF(COUNTIF('USPTO TMs'!A:A,D13667)&gt;0,"Yes","No"),"")</f>
        <v/>
      </c>
      <c r="C13667" s="11"/>
      <c r="D13667" s="11"/>
      <c r="E13667" s="11"/>
      <c r="F13667" s="11"/>
      <c r="G13667" s="11"/>
      <c r="H13667" s="11"/>
      <c r="I13667" s="15"/>
    </row>
    <row r="13668" spans="1:9" ht="16.5">
      <c r="A13668" s="10" t="b">
        <v>0</v>
      </c>
      <c r="B13668" s="11" t="str">
        <f>IF(D13668&lt;&gt;"",IF(COUNTIF('USPTO TMs'!A:A,D13668)&gt;0,"Yes","No"),"")</f>
        <v/>
      </c>
      <c r="C13668" s="11"/>
      <c r="D13668" s="11"/>
      <c r="E13668" s="11"/>
      <c r="F13668" s="11"/>
      <c r="G13668" s="11"/>
      <c r="H13668" s="11"/>
      <c r="I13668" s="15"/>
    </row>
    <row r="13669" spans="1:9" ht="16.5">
      <c r="A13669" s="10" t="b">
        <v>0</v>
      </c>
      <c r="B13669" s="11" t="str">
        <f>IF(D13669&lt;&gt;"",IF(COUNTIF('USPTO TMs'!A:A,D13669)&gt;0,"Yes","No"),"")</f>
        <v/>
      </c>
      <c r="C13669" s="11"/>
      <c r="D13669" s="11"/>
      <c r="E13669" s="11"/>
      <c r="F13669" s="11"/>
      <c r="G13669" s="11"/>
      <c r="H13669" s="11"/>
      <c r="I13669" s="15"/>
    </row>
    <row r="13670" spans="1:9" ht="16.5">
      <c r="A13670" s="10" t="b">
        <v>0</v>
      </c>
      <c r="B13670" s="11" t="str">
        <f>IF(D13670&lt;&gt;"",IF(COUNTIF('USPTO TMs'!A:A,D13670)&gt;0,"Yes","No"),"")</f>
        <v/>
      </c>
      <c r="C13670" s="11"/>
      <c r="D13670" s="11"/>
      <c r="E13670" s="11"/>
      <c r="F13670" s="11"/>
      <c r="G13670" s="11"/>
      <c r="H13670" s="11"/>
      <c r="I13670" s="15"/>
    </row>
    <row r="13671" spans="1:9" ht="16.5">
      <c r="A13671" s="10" t="b">
        <v>0</v>
      </c>
      <c r="B13671" s="11" t="str">
        <f>IF(D13671&lt;&gt;"",IF(COUNTIF('USPTO TMs'!A:A,D13671)&gt;0,"Yes","No"),"")</f>
        <v/>
      </c>
      <c r="C13671" s="11"/>
      <c r="D13671" s="11"/>
      <c r="E13671" s="11"/>
      <c r="F13671" s="11"/>
      <c r="G13671" s="11"/>
      <c r="H13671" s="11"/>
      <c r="I13671" s="15"/>
    </row>
    <row r="13672" spans="1:9" ht="16.5">
      <c r="A13672" s="10" t="b">
        <v>0</v>
      </c>
      <c r="B13672" s="11" t="str">
        <f>IF(D13672&lt;&gt;"",IF(COUNTIF('USPTO TMs'!A:A,D13672)&gt;0,"Yes","No"),"")</f>
        <v/>
      </c>
      <c r="C13672" s="11"/>
      <c r="D13672" s="11"/>
      <c r="E13672" s="11"/>
      <c r="F13672" s="11"/>
      <c r="G13672" s="11"/>
      <c r="H13672" s="11"/>
      <c r="I13672" s="15"/>
    </row>
    <row r="13673" spans="1:9" ht="16.5">
      <c r="A13673" s="10" t="b">
        <v>0</v>
      </c>
      <c r="B13673" s="11" t="str">
        <f>IF(D13673&lt;&gt;"",IF(COUNTIF('USPTO TMs'!A:A,D13673)&gt;0,"Yes","No"),"")</f>
        <v/>
      </c>
      <c r="C13673" s="11"/>
      <c r="D13673" s="11"/>
      <c r="E13673" s="11"/>
      <c r="F13673" s="11"/>
      <c r="G13673" s="11"/>
      <c r="H13673" s="11"/>
      <c r="I13673" s="15"/>
    </row>
    <row r="13674" spans="1:9" ht="16.5">
      <c r="A13674" s="10" t="b">
        <v>0</v>
      </c>
      <c r="B13674" s="11" t="str">
        <f>IF(D13674&lt;&gt;"",IF(COUNTIF('USPTO TMs'!A:A,D13674)&gt;0,"Yes","No"),"")</f>
        <v/>
      </c>
      <c r="C13674" s="11"/>
      <c r="D13674" s="11"/>
      <c r="E13674" s="11"/>
      <c r="F13674" s="11"/>
      <c r="G13674" s="11"/>
      <c r="H13674" s="11"/>
      <c r="I13674" s="15"/>
    </row>
    <row r="13675" spans="1:9" ht="16.5">
      <c r="A13675" s="10" t="b">
        <v>0</v>
      </c>
      <c r="B13675" s="11" t="str">
        <f>IF(D13675&lt;&gt;"",IF(COUNTIF('USPTO TMs'!A:A,D13675)&gt;0,"Yes","No"),"")</f>
        <v/>
      </c>
      <c r="C13675" s="11"/>
      <c r="D13675" s="11"/>
      <c r="E13675" s="11"/>
      <c r="F13675" s="11"/>
      <c r="G13675" s="11"/>
      <c r="H13675" s="11"/>
      <c r="I13675" s="15"/>
    </row>
    <row r="13676" spans="1:9" ht="16.5">
      <c r="A13676" s="10" t="b">
        <v>0</v>
      </c>
      <c r="B13676" s="11" t="str">
        <f>IF(D13676&lt;&gt;"",IF(COUNTIF('USPTO TMs'!A:A,D13676)&gt;0,"Yes","No"),"")</f>
        <v/>
      </c>
      <c r="C13676" s="11"/>
      <c r="D13676" s="11"/>
      <c r="E13676" s="11"/>
      <c r="F13676" s="11"/>
      <c r="G13676" s="11"/>
      <c r="H13676" s="11"/>
      <c r="I13676" s="15"/>
    </row>
    <row r="13677" spans="1:9" ht="16.5">
      <c r="A13677" s="10" t="b">
        <v>0</v>
      </c>
      <c r="B13677" s="11" t="str">
        <f>IF(D13677&lt;&gt;"",IF(COUNTIF('USPTO TMs'!A:A,D13677)&gt;0,"Yes","No"),"")</f>
        <v/>
      </c>
      <c r="C13677" s="11"/>
      <c r="D13677" s="11"/>
      <c r="E13677" s="11"/>
      <c r="F13677" s="11"/>
      <c r="G13677" s="11"/>
      <c r="H13677" s="11"/>
      <c r="I13677" s="15"/>
    </row>
    <row r="13678" spans="1:9" ht="16.5">
      <c r="A13678" s="10" t="b">
        <v>0</v>
      </c>
      <c r="B13678" s="11" t="str">
        <f>IF(D13678&lt;&gt;"",IF(COUNTIF('USPTO TMs'!A:A,D13678)&gt;0,"Yes","No"),"")</f>
        <v/>
      </c>
      <c r="C13678" s="11"/>
      <c r="D13678" s="11"/>
      <c r="E13678" s="11"/>
      <c r="F13678" s="11"/>
      <c r="G13678" s="11"/>
      <c r="H13678" s="11"/>
      <c r="I13678" s="15"/>
    </row>
    <row r="13679" spans="1:9" ht="16.5">
      <c r="A13679" s="10" t="b">
        <v>0</v>
      </c>
      <c r="B13679" s="11" t="str">
        <f>IF(D13679&lt;&gt;"",IF(COUNTIF('USPTO TMs'!A:A,D13679)&gt;0,"Yes","No"),"")</f>
        <v/>
      </c>
      <c r="C13679" s="11"/>
      <c r="D13679" s="11"/>
      <c r="E13679" s="11"/>
      <c r="F13679" s="11"/>
      <c r="G13679" s="11"/>
      <c r="H13679" s="11"/>
      <c r="I13679" s="15"/>
    </row>
    <row r="13680" spans="1:9" ht="16.5">
      <c r="A13680" s="10" t="b">
        <v>0</v>
      </c>
      <c r="B13680" s="11" t="str">
        <f>IF(D13680&lt;&gt;"",IF(COUNTIF('USPTO TMs'!A:A,D13680)&gt;0,"Yes","No"),"")</f>
        <v/>
      </c>
      <c r="C13680" s="11"/>
      <c r="D13680" s="11"/>
      <c r="E13680" s="11"/>
      <c r="F13680" s="11"/>
      <c r="G13680" s="11"/>
      <c r="H13680" s="11"/>
      <c r="I13680" s="15"/>
    </row>
    <row r="13681" spans="1:9" ht="16.5">
      <c r="A13681" s="10" t="b">
        <v>0</v>
      </c>
      <c r="B13681" s="11" t="str">
        <f>IF(D13681&lt;&gt;"",IF(COUNTIF('USPTO TMs'!A:A,D13681)&gt;0,"Yes","No"),"")</f>
        <v/>
      </c>
      <c r="C13681" s="11"/>
      <c r="D13681" s="11"/>
      <c r="E13681" s="11"/>
      <c r="F13681" s="11"/>
      <c r="G13681" s="11"/>
      <c r="H13681" s="11"/>
      <c r="I13681" s="15"/>
    </row>
    <row r="13682" spans="1:9" ht="16.5">
      <c r="A13682" s="10" t="b">
        <v>0</v>
      </c>
      <c r="B13682" s="11" t="str">
        <f>IF(D13682&lt;&gt;"",IF(COUNTIF('USPTO TMs'!A:A,D13682)&gt;0,"Yes","No"),"")</f>
        <v/>
      </c>
      <c r="C13682" s="11"/>
      <c r="D13682" s="11"/>
      <c r="E13682" s="11"/>
      <c r="F13682" s="11"/>
      <c r="G13682" s="11"/>
      <c r="H13682" s="11"/>
      <c r="I13682" s="15"/>
    </row>
    <row r="13683" spans="1:9" ht="16.5">
      <c r="A13683" s="10" t="b">
        <v>0</v>
      </c>
      <c r="B13683" s="11" t="str">
        <f>IF(D13683&lt;&gt;"",IF(COUNTIF('USPTO TMs'!A:A,D13683)&gt;0,"Yes","No"),"")</f>
        <v/>
      </c>
      <c r="C13683" s="11"/>
      <c r="D13683" s="11"/>
      <c r="E13683" s="11"/>
      <c r="F13683" s="11"/>
      <c r="G13683" s="11"/>
      <c r="H13683" s="11"/>
      <c r="I13683" s="15"/>
    </row>
    <row r="13684" spans="1:9" ht="16.5">
      <c r="A13684" s="10" t="b">
        <v>0</v>
      </c>
      <c r="B13684" s="11" t="str">
        <f>IF(D13684&lt;&gt;"",IF(COUNTIF('USPTO TMs'!A:A,D13684)&gt;0,"Yes","No"),"")</f>
        <v/>
      </c>
      <c r="C13684" s="11"/>
      <c r="D13684" s="11"/>
      <c r="E13684" s="11"/>
      <c r="F13684" s="11"/>
      <c r="G13684" s="11"/>
      <c r="H13684" s="11"/>
      <c r="I13684" s="15"/>
    </row>
    <row r="13685" spans="1:9" ht="16.5">
      <c r="A13685" s="10" t="b">
        <v>0</v>
      </c>
      <c r="B13685" s="11" t="str">
        <f>IF(D13685&lt;&gt;"",IF(COUNTIF('USPTO TMs'!A:A,D13685)&gt;0,"Yes","No"),"")</f>
        <v/>
      </c>
      <c r="C13685" s="11"/>
      <c r="D13685" s="11"/>
      <c r="E13685" s="11"/>
      <c r="F13685" s="11"/>
      <c r="G13685" s="11"/>
      <c r="H13685" s="11"/>
      <c r="I13685" s="15"/>
    </row>
    <row r="13686" spans="1:9" ht="16.5">
      <c r="A13686" s="10" t="b">
        <v>0</v>
      </c>
      <c r="B13686" s="11" t="str">
        <f>IF(D13686&lt;&gt;"",IF(COUNTIF('USPTO TMs'!A:A,D13686)&gt;0,"Yes","No"),"")</f>
        <v/>
      </c>
      <c r="C13686" s="11"/>
      <c r="D13686" s="11"/>
      <c r="E13686" s="11"/>
      <c r="F13686" s="11"/>
      <c r="G13686" s="11"/>
      <c r="H13686" s="11"/>
      <c r="I13686" s="15"/>
    </row>
    <row r="13687" spans="1:9" ht="16.5">
      <c r="A13687" s="10" t="b">
        <v>0</v>
      </c>
      <c r="B13687" s="11" t="str">
        <f>IF(D13687&lt;&gt;"",IF(COUNTIF('USPTO TMs'!A:A,D13687)&gt;0,"Yes","No"),"")</f>
        <v/>
      </c>
      <c r="C13687" s="11"/>
      <c r="D13687" s="11"/>
      <c r="E13687" s="11"/>
      <c r="F13687" s="11"/>
      <c r="G13687" s="11"/>
      <c r="H13687" s="11"/>
      <c r="I13687" s="15"/>
    </row>
    <row r="13688" spans="1:9" ht="16.5">
      <c r="A13688" s="10" t="b">
        <v>0</v>
      </c>
      <c r="B13688" s="11" t="str">
        <f>IF(D13688&lt;&gt;"",IF(COUNTIF('USPTO TMs'!A:A,D13688)&gt;0,"Yes","No"),"")</f>
        <v/>
      </c>
      <c r="C13688" s="11"/>
      <c r="D13688" s="11"/>
      <c r="E13688" s="11"/>
      <c r="F13688" s="11"/>
      <c r="G13688" s="11"/>
      <c r="H13688" s="11"/>
      <c r="I13688" s="15"/>
    </row>
    <row r="13689" spans="1:9" ht="16.5">
      <c r="A13689" s="10" t="b">
        <v>0</v>
      </c>
      <c r="B13689" s="11" t="str">
        <f>IF(D13689&lt;&gt;"",IF(COUNTIF('USPTO TMs'!A:A,D13689)&gt;0,"Yes","No"),"")</f>
        <v/>
      </c>
      <c r="C13689" s="11"/>
      <c r="D13689" s="11"/>
      <c r="E13689" s="11"/>
      <c r="F13689" s="11"/>
      <c r="G13689" s="11"/>
      <c r="H13689" s="11"/>
      <c r="I13689" s="15"/>
    </row>
    <row r="13690" spans="1:9" ht="16.5">
      <c r="A13690" s="10" t="b">
        <v>0</v>
      </c>
      <c r="B13690" s="11" t="str">
        <f>IF(D13690&lt;&gt;"",IF(COUNTIF('USPTO TMs'!A:A,D13690)&gt;0,"Yes","No"),"")</f>
        <v/>
      </c>
      <c r="C13690" s="11"/>
      <c r="D13690" s="11"/>
      <c r="E13690" s="11"/>
      <c r="F13690" s="11"/>
      <c r="G13690" s="11"/>
      <c r="H13690" s="11"/>
      <c r="I13690" s="15"/>
    </row>
    <row r="13691" spans="1:9" ht="16.5">
      <c r="A13691" s="10" t="b">
        <v>0</v>
      </c>
      <c r="B13691" s="11" t="str">
        <f>IF(D13691&lt;&gt;"",IF(COUNTIF('USPTO TMs'!A:A,D13691)&gt;0,"Yes","No"),"")</f>
        <v/>
      </c>
      <c r="C13691" s="11"/>
      <c r="D13691" s="11"/>
      <c r="E13691" s="11"/>
      <c r="F13691" s="11"/>
      <c r="G13691" s="11"/>
      <c r="H13691" s="11"/>
      <c r="I13691" s="15"/>
    </row>
    <row r="13692" spans="1:9" ht="16.5">
      <c r="A13692" s="10" t="b">
        <v>0</v>
      </c>
      <c r="B13692" s="11" t="str">
        <f>IF(D13692&lt;&gt;"",IF(COUNTIF('USPTO TMs'!A:A,D13692)&gt;0,"Yes","No"),"")</f>
        <v/>
      </c>
      <c r="C13692" s="11"/>
      <c r="D13692" s="11"/>
      <c r="E13692" s="11"/>
      <c r="F13692" s="11"/>
      <c r="G13692" s="11"/>
      <c r="H13692" s="11"/>
      <c r="I13692" s="15"/>
    </row>
    <row r="13693" spans="1:9" ht="16.5">
      <c r="A13693" s="10" t="b">
        <v>0</v>
      </c>
      <c r="B13693" s="11" t="str">
        <f>IF(D13693&lt;&gt;"",IF(COUNTIF('USPTO TMs'!A:A,D13693)&gt;0,"Yes","No"),"")</f>
        <v/>
      </c>
      <c r="C13693" s="11"/>
      <c r="D13693" s="11"/>
      <c r="E13693" s="11"/>
      <c r="F13693" s="11"/>
      <c r="G13693" s="11"/>
      <c r="H13693" s="11"/>
      <c r="I13693" s="15"/>
    </row>
    <row r="13694" spans="1:9" ht="16.5">
      <c r="A13694" s="10" t="b">
        <v>0</v>
      </c>
      <c r="B13694" s="11" t="str">
        <f>IF(D13694&lt;&gt;"",IF(COUNTIF('USPTO TMs'!A:A,D13694)&gt;0,"Yes","No"),"")</f>
        <v/>
      </c>
      <c r="C13694" s="11"/>
      <c r="D13694" s="11"/>
      <c r="E13694" s="11"/>
      <c r="F13694" s="11"/>
      <c r="G13694" s="11"/>
      <c r="H13694" s="11"/>
      <c r="I13694" s="15"/>
    </row>
    <row r="13695" spans="1:9" ht="16.5">
      <c r="A13695" s="10" t="b">
        <v>0</v>
      </c>
      <c r="B13695" s="11" t="str">
        <f>IF(D13695&lt;&gt;"",IF(COUNTIF('USPTO TMs'!A:A,D13695)&gt;0,"Yes","No"),"")</f>
        <v/>
      </c>
      <c r="C13695" s="11"/>
      <c r="D13695" s="11"/>
      <c r="E13695" s="11"/>
      <c r="F13695" s="11"/>
      <c r="G13695" s="11"/>
      <c r="H13695" s="11"/>
      <c r="I13695" s="15"/>
    </row>
    <row r="13696" spans="1:9" ht="16.5">
      <c r="A13696" s="10" t="b">
        <v>0</v>
      </c>
      <c r="B13696" s="11" t="str">
        <f>IF(D13696&lt;&gt;"",IF(COUNTIF('USPTO TMs'!A:A,D13696)&gt;0,"Yes","No"),"")</f>
        <v/>
      </c>
      <c r="C13696" s="11"/>
      <c r="D13696" s="11"/>
      <c r="E13696" s="11"/>
      <c r="F13696" s="11"/>
      <c r="G13696" s="11"/>
      <c r="H13696" s="11"/>
      <c r="I13696" s="15"/>
    </row>
    <row r="13697" spans="1:9" ht="16.5">
      <c r="A13697" s="10" t="b">
        <v>0</v>
      </c>
      <c r="B13697" s="11" t="str">
        <f>IF(D13697&lt;&gt;"",IF(COUNTIF('USPTO TMs'!A:A,D13697)&gt;0,"Yes","No"),"")</f>
        <v/>
      </c>
      <c r="C13697" s="11"/>
      <c r="D13697" s="11"/>
      <c r="E13697" s="11"/>
      <c r="F13697" s="11"/>
      <c r="G13697" s="11"/>
      <c r="H13697" s="11"/>
      <c r="I13697" s="15"/>
    </row>
    <row r="13698" spans="1:9" ht="16.5">
      <c r="A13698" s="10" t="b">
        <v>0</v>
      </c>
      <c r="B13698" s="11" t="str">
        <f>IF(D13698&lt;&gt;"",IF(COUNTIF('USPTO TMs'!A:A,D13698)&gt;0,"Yes","No"),"")</f>
        <v/>
      </c>
      <c r="C13698" s="11"/>
      <c r="D13698" s="11"/>
      <c r="E13698" s="11"/>
      <c r="F13698" s="11"/>
      <c r="G13698" s="11"/>
      <c r="H13698" s="11"/>
      <c r="I13698" s="15"/>
    </row>
    <row r="13699" spans="1:9" ht="16.5">
      <c r="A13699" s="10" t="b">
        <v>0</v>
      </c>
      <c r="B13699" s="11" t="str">
        <f>IF(D13699&lt;&gt;"",IF(COUNTIF('USPTO TMs'!A:A,D13699)&gt;0,"Yes","No"),"")</f>
        <v/>
      </c>
      <c r="C13699" s="11"/>
      <c r="D13699" s="11"/>
      <c r="E13699" s="11"/>
      <c r="F13699" s="11"/>
      <c r="G13699" s="11"/>
      <c r="H13699" s="11"/>
      <c r="I13699" s="15"/>
    </row>
    <row r="13700" spans="1:9" ht="16.5">
      <c r="A13700" s="10" t="b">
        <v>0</v>
      </c>
      <c r="B13700" s="11" t="str">
        <f>IF(D13700&lt;&gt;"",IF(COUNTIF('USPTO TMs'!A:A,D13700)&gt;0,"Yes","No"),"")</f>
        <v/>
      </c>
      <c r="C13700" s="11"/>
      <c r="D13700" s="11"/>
      <c r="E13700" s="11"/>
      <c r="F13700" s="11"/>
      <c r="G13700" s="11"/>
      <c r="H13700" s="11"/>
      <c r="I13700" s="15"/>
    </row>
    <row r="13701" spans="1:9" ht="16.5">
      <c r="A13701" s="10" t="b">
        <v>0</v>
      </c>
      <c r="B13701" s="11" t="str">
        <f>IF(D13701&lt;&gt;"",IF(COUNTIF('USPTO TMs'!A:A,D13701)&gt;0,"Yes","No"),"")</f>
        <v/>
      </c>
      <c r="C13701" s="11"/>
      <c r="D13701" s="11"/>
      <c r="E13701" s="11"/>
      <c r="F13701" s="11"/>
      <c r="G13701" s="11"/>
      <c r="H13701" s="11"/>
      <c r="I13701" s="15"/>
    </row>
    <row r="13702" spans="1:9" ht="16.5">
      <c r="A13702" s="10" t="b">
        <v>0</v>
      </c>
      <c r="B13702" s="11" t="str">
        <f>IF(D13702&lt;&gt;"",IF(COUNTIF('USPTO TMs'!A:A,D13702)&gt;0,"Yes","No"),"")</f>
        <v/>
      </c>
      <c r="C13702" s="11"/>
      <c r="D13702" s="11"/>
      <c r="E13702" s="11"/>
      <c r="F13702" s="11"/>
      <c r="G13702" s="11"/>
      <c r="H13702" s="11"/>
      <c r="I13702" s="15"/>
    </row>
    <row r="13703" spans="1:9" ht="16.5">
      <c r="A13703" s="10" t="b">
        <v>0</v>
      </c>
      <c r="B13703" s="11" t="str">
        <f>IF(D13703&lt;&gt;"",IF(COUNTIF('USPTO TMs'!A:A,D13703)&gt;0,"Yes","No"),"")</f>
        <v/>
      </c>
      <c r="C13703" s="11"/>
      <c r="D13703" s="11"/>
      <c r="E13703" s="11"/>
      <c r="F13703" s="11"/>
      <c r="G13703" s="11"/>
      <c r="H13703" s="11"/>
      <c r="I13703" s="15"/>
    </row>
    <row r="13704" spans="1:9" ht="16.5">
      <c r="A13704" s="10" t="b">
        <v>0</v>
      </c>
      <c r="B13704" s="11" t="str">
        <f>IF(D13704&lt;&gt;"",IF(COUNTIF('USPTO TMs'!A:A,D13704)&gt;0,"Yes","No"),"")</f>
        <v/>
      </c>
      <c r="C13704" s="11"/>
      <c r="D13704" s="11"/>
      <c r="E13704" s="11"/>
      <c r="F13704" s="11"/>
      <c r="G13704" s="11"/>
      <c r="H13704" s="11"/>
      <c r="I13704" s="15"/>
    </row>
    <row r="13705" spans="1:9" ht="16.5">
      <c r="A13705" s="10" t="b">
        <v>0</v>
      </c>
      <c r="B13705" s="11" t="str">
        <f>IF(D13705&lt;&gt;"",IF(COUNTIF('USPTO TMs'!A:A,D13705)&gt;0,"Yes","No"),"")</f>
        <v/>
      </c>
      <c r="C13705" s="11"/>
      <c r="D13705" s="11"/>
      <c r="E13705" s="11"/>
      <c r="F13705" s="11"/>
      <c r="G13705" s="11"/>
      <c r="H13705" s="11"/>
      <c r="I13705" s="15"/>
    </row>
    <row r="13706" spans="1:9" ht="16.5">
      <c r="A13706" s="10" t="b">
        <v>0</v>
      </c>
      <c r="B13706" s="11" t="str">
        <f>IF(D13706&lt;&gt;"",IF(COUNTIF('USPTO TMs'!A:A,D13706)&gt;0,"Yes","No"),"")</f>
        <v/>
      </c>
      <c r="C13706" s="11"/>
      <c r="D13706" s="11"/>
      <c r="E13706" s="11"/>
      <c r="F13706" s="11"/>
      <c r="G13706" s="11"/>
      <c r="H13706" s="11"/>
      <c r="I13706" s="15"/>
    </row>
    <row r="13707" spans="1:9" ht="16.5">
      <c r="A13707" s="10" t="b">
        <v>0</v>
      </c>
      <c r="B13707" s="11" t="str">
        <f>IF(D13707&lt;&gt;"",IF(COUNTIF('USPTO TMs'!A:A,D13707)&gt;0,"Yes","No"),"")</f>
        <v/>
      </c>
      <c r="C13707" s="11"/>
      <c r="D13707" s="11"/>
      <c r="E13707" s="11"/>
      <c r="F13707" s="11"/>
      <c r="G13707" s="11"/>
      <c r="H13707" s="11"/>
      <c r="I13707" s="15"/>
    </row>
    <row r="13708" spans="1:9" ht="16.5">
      <c r="A13708" s="10" t="b">
        <v>0</v>
      </c>
      <c r="B13708" s="11" t="str">
        <f>IF(D13708&lt;&gt;"",IF(COUNTIF('USPTO TMs'!A:A,D13708)&gt;0,"Yes","No"),"")</f>
        <v/>
      </c>
      <c r="C13708" s="11"/>
      <c r="D13708" s="11"/>
      <c r="E13708" s="11"/>
      <c r="F13708" s="11"/>
      <c r="G13708" s="11"/>
      <c r="H13708" s="11"/>
      <c r="I13708" s="15"/>
    </row>
    <row r="13709" spans="1:9" ht="16.5">
      <c r="A13709" s="10" t="b">
        <v>0</v>
      </c>
      <c r="B13709" s="11" t="str">
        <f>IF(D13709&lt;&gt;"",IF(COUNTIF('USPTO TMs'!A:A,D13709)&gt;0,"Yes","No"),"")</f>
        <v/>
      </c>
      <c r="C13709" s="11"/>
      <c r="D13709" s="11"/>
      <c r="E13709" s="11"/>
      <c r="F13709" s="11"/>
      <c r="G13709" s="11"/>
      <c r="H13709" s="11"/>
      <c r="I13709" s="15"/>
    </row>
    <row r="13710" spans="1:9" ht="16.5">
      <c r="A13710" s="10" t="b">
        <v>0</v>
      </c>
      <c r="B13710" s="11" t="str">
        <f>IF(D13710&lt;&gt;"",IF(COUNTIF('USPTO TMs'!A:A,D13710)&gt;0,"Yes","No"),"")</f>
        <v/>
      </c>
      <c r="C13710" s="11"/>
      <c r="D13710" s="11"/>
      <c r="E13710" s="11"/>
      <c r="F13710" s="11"/>
      <c r="G13710" s="11"/>
      <c r="H13710" s="11"/>
      <c r="I13710" s="15"/>
    </row>
    <row r="13711" spans="1:9" ht="16.5">
      <c r="A13711" s="10" t="b">
        <v>0</v>
      </c>
      <c r="B13711" s="11" t="str">
        <f>IF(D13711&lt;&gt;"",IF(COUNTIF('USPTO TMs'!A:A,D13711)&gt;0,"Yes","No"),"")</f>
        <v/>
      </c>
      <c r="C13711" s="11"/>
      <c r="D13711" s="11"/>
      <c r="E13711" s="11"/>
      <c r="F13711" s="11"/>
      <c r="G13711" s="11"/>
      <c r="H13711" s="11"/>
      <c r="I13711" s="15"/>
    </row>
    <row r="13712" spans="1:9" ht="16.5">
      <c r="A13712" s="10" t="b">
        <v>0</v>
      </c>
      <c r="B13712" s="11" t="str">
        <f>IF(D13712&lt;&gt;"",IF(COUNTIF('USPTO TMs'!A:A,D13712)&gt;0,"Yes","No"),"")</f>
        <v/>
      </c>
      <c r="C13712" s="11"/>
      <c r="D13712" s="11"/>
      <c r="E13712" s="11"/>
      <c r="F13712" s="11"/>
      <c r="G13712" s="11"/>
      <c r="H13712" s="11"/>
      <c r="I13712" s="15"/>
    </row>
    <row r="13713" spans="1:9" ht="16.5">
      <c r="A13713" s="10" t="b">
        <v>0</v>
      </c>
      <c r="B13713" s="11" t="str">
        <f>IF(D13713&lt;&gt;"",IF(COUNTIF('USPTO TMs'!A:A,D13713)&gt;0,"Yes","No"),"")</f>
        <v/>
      </c>
      <c r="C13713" s="11"/>
      <c r="D13713" s="11"/>
      <c r="E13713" s="11"/>
      <c r="F13713" s="11"/>
      <c r="G13713" s="11"/>
      <c r="H13713" s="11"/>
      <c r="I13713" s="15"/>
    </row>
    <row r="13714" spans="1:9" ht="16.5">
      <c r="A13714" s="10" t="b">
        <v>0</v>
      </c>
      <c r="B13714" s="11" t="str">
        <f>IF(D13714&lt;&gt;"",IF(COUNTIF('USPTO TMs'!A:A,D13714)&gt;0,"Yes","No"),"")</f>
        <v/>
      </c>
      <c r="C13714" s="11"/>
      <c r="D13714" s="11"/>
      <c r="E13714" s="11"/>
      <c r="F13714" s="11"/>
      <c r="G13714" s="11"/>
      <c r="H13714" s="11"/>
      <c r="I13714" s="15"/>
    </row>
    <row r="13715" spans="1:9" ht="16.5">
      <c r="A13715" s="10" t="b">
        <v>0</v>
      </c>
      <c r="B13715" s="11" t="str">
        <f>IF(D13715&lt;&gt;"",IF(COUNTIF('USPTO TMs'!A:A,D13715)&gt;0,"Yes","No"),"")</f>
        <v/>
      </c>
      <c r="C13715" s="11"/>
      <c r="D13715" s="11"/>
      <c r="E13715" s="11"/>
      <c r="F13715" s="11"/>
      <c r="G13715" s="11"/>
      <c r="H13715" s="11"/>
      <c r="I13715" s="15"/>
    </row>
    <row r="13716" spans="1:9" ht="16.5">
      <c r="A13716" s="10" t="b">
        <v>0</v>
      </c>
      <c r="B13716" s="11" t="str">
        <f>IF(D13716&lt;&gt;"",IF(COUNTIF('USPTO TMs'!A:A,D13716)&gt;0,"Yes","No"),"")</f>
        <v/>
      </c>
      <c r="C13716" s="11"/>
      <c r="D13716" s="11"/>
      <c r="E13716" s="11"/>
      <c r="F13716" s="11"/>
      <c r="G13716" s="11"/>
      <c r="H13716" s="11"/>
      <c r="I13716" s="15"/>
    </row>
    <row r="13717" spans="1:9" ht="16.5">
      <c r="A13717" s="10" t="b">
        <v>0</v>
      </c>
      <c r="B13717" s="11" t="str">
        <f>IF(D13717&lt;&gt;"",IF(COUNTIF('USPTO TMs'!A:A,D13717)&gt;0,"Yes","No"),"")</f>
        <v/>
      </c>
      <c r="C13717" s="11"/>
      <c r="D13717" s="11"/>
      <c r="E13717" s="11"/>
      <c r="F13717" s="11"/>
      <c r="G13717" s="11"/>
      <c r="H13717" s="11"/>
      <c r="I13717" s="15"/>
    </row>
    <row r="13718" spans="1:9" ht="16.5">
      <c r="A13718" s="10" t="b">
        <v>0</v>
      </c>
      <c r="B13718" s="11" t="str">
        <f>IF(D13718&lt;&gt;"",IF(COUNTIF('USPTO TMs'!A:A,D13718)&gt;0,"Yes","No"),"")</f>
        <v/>
      </c>
      <c r="C13718" s="11"/>
      <c r="D13718" s="11"/>
      <c r="E13718" s="11"/>
      <c r="F13718" s="11"/>
      <c r="G13718" s="11"/>
      <c r="H13718" s="11"/>
      <c r="I13718" s="15"/>
    </row>
    <row r="13719" spans="1:9" ht="16.5">
      <c r="A13719" s="10" t="b">
        <v>0</v>
      </c>
      <c r="B13719" s="11" t="str">
        <f>IF(D13719&lt;&gt;"",IF(COUNTIF('USPTO TMs'!A:A,D13719)&gt;0,"Yes","No"),"")</f>
        <v/>
      </c>
      <c r="C13719" s="11"/>
      <c r="D13719" s="11"/>
      <c r="E13719" s="11"/>
      <c r="F13719" s="11"/>
      <c r="G13719" s="11"/>
      <c r="H13719" s="11"/>
      <c r="I13719" s="15"/>
    </row>
    <row r="13720" spans="1:9" ht="16.5">
      <c r="A13720" s="10" t="b">
        <v>0</v>
      </c>
      <c r="B13720" s="11" t="str">
        <f>IF(D13720&lt;&gt;"",IF(COUNTIF('USPTO TMs'!A:A,D13720)&gt;0,"Yes","No"),"")</f>
        <v/>
      </c>
      <c r="C13720" s="11"/>
      <c r="D13720" s="11"/>
      <c r="E13720" s="11"/>
      <c r="F13720" s="11"/>
      <c r="G13720" s="11"/>
      <c r="H13720" s="11"/>
      <c r="I13720" s="15"/>
    </row>
    <row r="13721" spans="1:9" ht="16.5">
      <c r="A13721" s="10" t="b">
        <v>0</v>
      </c>
      <c r="B13721" s="11" t="str">
        <f>IF(D13721&lt;&gt;"",IF(COUNTIF('USPTO TMs'!A:A,D13721)&gt;0,"Yes","No"),"")</f>
        <v/>
      </c>
      <c r="C13721" s="11"/>
      <c r="D13721" s="11"/>
      <c r="E13721" s="11"/>
      <c r="F13721" s="11"/>
      <c r="G13721" s="11"/>
      <c r="H13721" s="11"/>
      <c r="I13721" s="15"/>
    </row>
    <row r="13722" spans="1:9" ht="16.5">
      <c r="A13722" s="10" t="b">
        <v>0</v>
      </c>
      <c r="B13722" s="11" t="str">
        <f>IF(D13722&lt;&gt;"",IF(COUNTIF('USPTO TMs'!A:A,D13722)&gt;0,"Yes","No"),"")</f>
        <v/>
      </c>
      <c r="C13722" s="11"/>
      <c r="D13722" s="11"/>
      <c r="E13722" s="11"/>
      <c r="F13722" s="11"/>
      <c r="G13722" s="11"/>
      <c r="H13722" s="11"/>
      <c r="I13722" s="15"/>
    </row>
    <row r="13723" spans="1:9" ht="16.5">
      <c r="A13723" s="10" t="b">
        <v>0</v>
      </c>
      <c r="B13723" s="11" t="str">
        <f>IF(D13723&lt;&gt;"",IF(COUNTIF('USPTO TMs'!A:A,D13723)&gt;0,"Yes","No"),"")</f>
        <v/>
      </c>
      <c r="C13723" s="11"/>
      <c r="D13723" s="11"/>
      <c r="E13723" s="11"/>
      <c r="F13723" s="11"/>
      <c r="G13723" s="11"/>
      <c r="H13723" s="11"/>
      <c r="I13723" s="15"/>
    </row>
    <row r="13724" spans="1:9" ht="16.5">
      <c r="A13724" s="10" t="b">
        <v>0</v>
      </c>
      <c r="B13724" s="11" t="str">
        <f>IF(D13724&lt;&gt;"",IF(COUNTIF('USPTO TMs'!A:A,D13724)&gt;0,"Yes","No"),"")</f>
        <v/>
      </c>
      <c r="C13724" s="11"/>
      <c r="D13724" s="11"/>
      <c r="E13724" s="11"/>
      <c r="F13724" s="11"/>
      <c r="G13724" s="11"/>
      <c r="H13724" s="11"/>
      <c r="I13724" s="15"/>
    </row>
    <row r="13725" spans="1:9" ht="16.5">
      <c r="A13725" s="10" t="b">
        <v>0</v>
      </c>
      <c r="B13725" s="11" t="str">
        <f>IF(D13725&lt;&gt;"",IF(COUNTIF('USPTO TMs'!A:A,D13725)&gt;0,"Yes","No"),"")</f>
        <v/>
      </c>
      <c r="C13725" s="11"/>
      <c r="D13725" s="11"/>
      <c r="E13725" s="11"/>
      <c r="F13725" s="11"/>
      <c r="G13725" s="11"/>
      <c r="H13725" s="11"/>
      <c r="I13725" s="15"/>
    </row>
    <row r="13726" spans="1:9" ht="16.5">
      <c r="A13726" s="10" t="b">
        <v>0</v>
      </c>
      <c r="B13726" s="11" t="str">
        <f>IF(D13726&lt;&gt;"",IF(COUNTIF('USPTO TMs'!A:A,D13726)&gt;0,"Yes","No"),"")</f>
        <v/>
      </c>
      <c r="C13726" s="11"/>
      <c r="D13726" s="11"/>
      <c r="E13726" s="11"/>
      <c r="F13726" s="11"/>
      <c r="G13726" s="11"/>
      <c r="H13726" s="11"/>
      <c r="I13726" s="15"/>
    </row>
    <row r="13727" spans="1:9" ht="16.5">
      <c r="A13727" s="10" t="b">
        <v>0</v>
      </c>
      <c r="B13727" s="11" t="str">
        <f>IF(D13727&lt;&gt;"",IF(COUNTIF('USPTO TMs'!A:A,D13727)&gt;0,"Yes","No"),"")</f>
        <v/>
      </c>
      <c r="C13727" s="11"/>
      <c r="D13727" s="11"/>
      <c r="E13727" s="11"/>
      <c r="F13727" s="11"/>
      <c r="G13727" s="11"/>
      <c r="H13727" s="11"/>
      <c r="I13727" s="15"/>
    </row>
    <row r="13728" spans="1:9" ht="16.5">
      <c r="A13728" s="10" t="b">
        <v>0</v>
      </c>
      <c r="B13728" s="11" t="str">
        <f>IF(D13728&lt;&gt;"",IF(COUNTIF('USPTO TMs'!A:A,D13728)&gt;0,"Yes","No"),"")</f>
        <v/>
      </c>
      <c r="C13728" s="11"/>
      <c r="D13728" s="11"/>
      <c r="E13728" s="11"/>
      <c r="F13728" s="11"/>
      <c r="G13728" s="11"/>
      <c r="H13728" s="11"/>
      <c r="I13728" s="15"/>
    </row>
    <row r="13729" spans="1:9" ht="16.5">
      <c r="A13729" s="10" t="b">
        <v>0</v>
      </c>
      <c r="B13729" s="11" t="str">
        <f>IF(D13729&lt;&gt;"",IF(COUNTIF('USPTO TMs'!A:A,D13729)&gt;0,"Yes","No"),"")</f>
        <v/>
      </c>
      <c r="C13729" s="11"/>
      <c r="D13729" s="11"/>
      <c r="E13729" s="11"/>
      <c r="F13729" s="11"/>
      <c r="G13729" s="11"/>
      <c r="H13729" s="11"/>
      <c r="I13729" s="15"/>
    </row>
    <row r="13730" spans="1:9" ht="16.5">
      <c r="A13730" s="10" t="b">
        <v>0</v>
      </c>
      <c r="B13730" s="11" t="str">
        <f>IF(D13730&lt;&gt;"",IF(COUNTIF('USPTO TMs'!A:A,D13730)&gt;0,"Yes","No"),"")</f>
        <v/>
      </c>
      <c r="C13730" s="11"/>
      <c r="D13730" s="11"/>
      <c r="E13730" s="11"/>
      <c r="F13730" s="11"/>
      <c r="G13730" s="11"/>
      <c r="H13730" s="11"/>
      <c r="I13730" s="15"/>
    </row>
    <row r="13731" spans="1:9" ht="16.5">
      <c r="A13731" s="10" t="b">
        <v>0</v>
      </c>
      <c r="B13731" s="11" t="str">
        <f>IF(D13731&lt;&gt;"",IF(COUNTIF('USPTO TMs'!A:A,D13731)&gt;0,"Yes","No"),"")</f>
        <v/>
      </c>
      <c r="C13731" s="11"/>
      <c r="D13731" s="11"/>
      <c r="E13731" s="11"/>
      <c r="F13731" s="11"/>
      <c r="G13731" s="11"/>
      <c r="H13731" s="11"/>
      <c r="I13731" s="15"/>
    </row>
    <row r="13732" spans="1:9" ht="16.5">
      <c r="A13732" s="10" t="b">
        <v>0</v>
      </c>
      <c r="B13732" s="11" t="str">
        <f>IF(D13732&lt;&gt;"",IF(COUNTIF('USPTO TMs'!A:A,D13732)&gt;0,"Yes","No"),"")</f>
        <v/>
      </c>
      <c r="C13732" s="11"/>
      <c r="D13732" s="11"/>
      <c r="E13732" s="11"/>
      <c r="F13732" s="11"/>
      <c r="G13732" s="11"/>
      <c r="H13732" s="11"/>
      <c r="I13732" s="15"/>
    </row>
    <row r="13733" spans="1:9" ht="16.5">
      <c r="A13733" s="10" t="b">
        <v>0</v>
      </c>
      <c r="B13733" s="11" t="str">
        <f>IF(D13733&lt;&gt;"",IF(COUNTIF('USPTO TMs'!A:A,D13733)&gt;0,"Yes","No"),"")</f>
        <v/>
      </c>
      <c r="C13733" s="11"/>
      <c r="D13733" s="11"/>
      <c r="E13733" s="11"/>
      <c r="F13733" s="11"/>
      <c r="G13733" s="11"/>
      <c r="H13733" s="11"/>
      <c r="I13733" s="15"/>
    </row>
    <row r="13734" spans="1:9" ht="16.5">
      <c r="A13734" s="10" t="b">
        <v>0</v>
      </c>
      <c r="B13734" s="11" t="str">
        <f>IF(D13734&lt;&gt;"",IF(COUNTIF('USPTO TMs'!A:A,D13734)&gt;0,"Yes","No"),"")</f>
        <v/>
      </c>
      <c r="C13734" s="11"/>
      <c r="D13734" s="11"/>
      <c r="E13734" s="11"/>
      <c r="F13734" s="11"/>
      <c r="G13734" s="11"/>
      <c r="H13734" s="11"/>
      <c r="I13734" s="15"/>
    </row>
    <row r="13735" spans="1:9" ht="16.5">
      <c r="A13735" s="10" t="b">
        <v>0</v>
      </c>
      <c r="B13735" s="11" t="str">
        <f>IF(D13735&lt;&gt;"",IF(COUNTIF('USPTO TMs'!A:A,D13735)&gt;0,"Yes","No"),"")</f>
        <v/>
      </c>
      <c r="C13735" s="11"/>
      <c r="D13735" s="11"/>
      <c r="E13735" s="11"/>
      <c r="F13735" s="11"/>
      <c r="G13735" s="11"/>
      <c r="H13735" s="11"/>
      <c r="I13735" s="15"/>
    </row>
    <row r="13736" spans="1:9" ht="16.5">
      <c r="A13736" s="10" t="b">
        <v>0</v>
      </c>
      <c r="B13736" s="11" t="str">
        <f>IF(D13736&lt;&gt;"",IF(COUNTIF('USPTO TMs'!A:A,D13736)&gt;0,"Yes","No"),"")</f>
        <v/>
      </c>
      <c r="C13736" s="11"/>
      <c r="D13736" s="11"/>
      <c r="E13736" s="11"/>
      <c r="F13736" s="11"/>
      <c r="G13736" s="11"/>
      <c r="H13736" s="11"/>
      <c r="I13736" s="15"/>
    </row>
    <row r="13737" spans="1:9" ht="16.5">
      <c r="A13737" s="10" t="b">
        <v>0</v>
      </c>
      <c r="B13737" s="11" t="str">
        <f>IF(D13737&lt;&gt;"",IF(COUNTIF('USPTO TMs'!A:A,D13737)&gt;0,"Yes","No"),"")</f>
        <v/>
      </c>
      <c r="C13737" s="11"/>
      <c r="D13737" s="11"/>
      <c r="E13737" s="11"/>
      <c r="F13737" s="11"/>
      <c r="G13737" s="11"/>
      <c r="H13737" s="11"/>
      <c r="I13737" s="15"/>
    </row>
    <row r="13738" spans="1:9" ht="16.5">
      <c r="A13738" s="10" t="b">
        <v>0</v>
      </c>
      <c r="B13738" s="11" t="str">
        <f>IF(D13738&lt;&gt;"",IF(COUNTIF('USPTO TMs'!A:A,D13738)&gt;0,"Yes","No"),"")</f>
        <v/>
      </c>
      <c r="C13738" s="11"/>
      <c r="D13738" s="11"/>
      <c r="E13738" s="11"/>
      <c r="F13738" s="11"/>
      <c r="G13738" s="11"/>
      <c r="H13738" s="11"/>
      <c r="I13738" s="15"/>
    </row>
    <row r="13739" spans="1:9" ht="16.5">
      <c r="A13739" s="10" t="b">
        <v>0</v>
      </c>
      <c r="B13739" s="11" t="str">
        <f>IF(D13739&lt;&gt;"",IF(COUNTIF('USPTO TMs'!A:A,D13739)&gt;0,"Yes","No"),"")</f>
        <v/>
      </c>
      <c r="C13739" s="11"/>
      <c r="D13739" s="11"/>
      <c r="E13739" s="11"/>
      <c r="F13739" s="11"/>
      <c r="G13739" s="11"/>
      <c r="H13739" s="11"/>
      <c r="I13739" s="15"/>
    </row>
    <row r="13740" spans="1:9" ht="16.5">
      <c r="A13740" s="10" t="b">
        <v>0</v>
      </c>
      <c r="B13740" s="11" t="str">
        <f>IF(D13740&lt;&gt;"",IF(COUNTIF('USPTO TMs'!A:A,D13740)&gt;0,"Yes","No"),"")</f>
        <v/>
      </c>
      <c r="C13740" s="11"/>
      <c r="D13740" s="11"/>
      <c r="E13740" s="11"/>
      <c r="F13740" s="11"/>
      <c r="G13740" s="11"/>
      <c r="H13740" s="11"/>
      <c r="I13740" s="15"/>
    </row>
    <row r="13741" spans="1:9" ht="16.5">
      <c r="A13741" s="10" t="b">
        <v>0</v>
      </c>
      <c r="B13741" s="11" t="str">
        <f>IF(D13741&lt;&gt;"",IF(COUNTIF('USPTO TMs'!A:A,D13741)&gt;0,"Yes","No"),"")</f>
        <v/>
      </c>
      <c r="C13741" s="11"/>
      <c r="D13741" s="11"/>
      <c r="E13741" s="11"/>
      <c r="F13741" s="11"/>
      <c r="G13741" s="11"/>
      <c r="H13741" s="11"/>
      <c r="I13741" s="15"/>
    </row>
    <row r="13742" spans="1:9" ht="16.5">
      <c r="A13742" s="10" t="b">
        <v>0</v>
      </c>
      <c r="B13742" s="11" t="str">
        <f>IF(D13742&lt;&gt;"",IF(COUNTIF('USPTO TMs'!A:A,D13742)&gt;0,"Yes","No"),"")</f>
        <v/>
      </c>
      <c r="C13742" s="11"/>
      <c r="D13742" s="11"/>
      <c r="E13742" s="11"/>
      <c r="F13742" s="11"/>
      <c r="G13742" s="11"/>
      <c r="H13742" s="11"/>
      <c r="I13742" s="15"/>
    </row>
    <row r="13743" spans="1:9" ht="16.5">
      <c r="A13743" s="10" t="b">
        <v>0</v>
      </c>
      <c r="B13743" s="11" t="str">
        <f>IF(D13743&lt;&gt;"",IF(COUNTIF('USPTO TMs'!A:A,D13743)&gt;0,"Yes","No"),"")</f>
        <v/>
      </c>
      <c r="C13743" s="11"/>
      <c r="D13743" s="11"/>
      <c r="E13743" s="11"/>
      <c r="F13743" s="11"/>
      <c r="G13743" s="11"/>
      <c r="H13743" s="11"/>
      <c r="I13743" s="15"/>
    </row>
    <row r="13744" spans="1:9" ht="16.5">
      <c r="A13744" s="10" t="b">
        <v>0</v>
      </c>
      <c r="B13744" s="11" t="str">
        <f>IF(D13744&lt;&gt;"",IF(COUNTIF('USPTO TMs'!A:A,D13744)&gt;0,"Yes","No"),"")</f>
        <v/>
      </c>
      <c r="C13744" s="11"/>
      <c r="D13744" s="11"/>
      <c r="E13744" s="11"/>
      <c r="F13744" s="11"/>
      <c r="G13744" s="11"/>
      <c r="H13744" s="11"/>
      <c r="I13744" s="15"/>
    </row>
    <row r="13745" spans="1:9" ht="16.5">
      <c r="A13745" s="10" t="b">
        <v>0</v>
      </c>
      <c r="B13745" s="11" t="str">
        <f>IF(D13745&lt;&gt;"",IF(COUNTIF('USPTO TMs'!A:A,D13745)&gt;0,"Yes","No"),"")</f>
        <v/>
      </c>
      <c r="C13745" s="11"/>
      <c r="D13745" s="11"/>
      <c r="E13745" s="11"/>
      <c r="F13745" s="11"/>
      <c r="G13745" s="11"/>
      <c r="H13745" s="11"/>
      <c r="I13745" s="15"/>
    </row>
    <row r="13746" spans="1:9" ht="16.5">
      <c r="A13746" s="10" t="b">
        <v>0</v>
      </c>
      <c r="B13746" s="11" t="str">
        <f>IF(D13746&lt;&gt;"",IF(COUNTIF('USPTO TMs'!A:A,D13746)&gt;0,"Yes","No"),"")</f>
        <v/>
      </c>
      <c r="C13746" s="11"/>
      <c r="D13746" s="11"/>
      <c r="E13746" s="11"/>
      <c r="F13746" s="11"/>
      <c r="G13746" s="11"/>
      <c r="H13746" s="11"/>
      <c r="I13746" s="15"/>
    </row>
    <row r="13747" spans="1:9" ht="16.5">
      <c r="A13747" s="10" t="b">
        <v>0</v>
      </c>
      <c r="B13747" s="11" t="str">
        <f>IF(D13747&lt;&gt;"",IF(COUNTIF('USPTO TMs'!A:A,D13747)&gt;0,"Yes","No"),"")</f>
        <v/>
      </c>
      <c r="C13747" s="11"/>
      <c r="D13747" s="11"/>
      <c r="E13747" s="11"/>
      <c r="F13747" s="11"/>
      <c r="G13747" s="11"/>
      <c r="H13747" s="11"/>
      <c r="I13747" s="15"/>
    </row>
    <row r="13748" spans="1:9" ht="16.5">
      <c r="A13748" s="10" t="b">
        <v>0</v>
      </c>
      <c r="B13748" s="11" t="str">
        <f>IF(D13748&lt;&gt;"",IF(COUNTIF('USPTO TMs'!A:A,D13748)&gt;0,"Yes","No"),"")</f>
        <v/>
      </c>
      <c r="C13748" s="11"/>
      <c r="D13748" s="11"/>
      <c r="E13748" s="11"/>
      <c r="F13748" s="11"/>
      <c r="G13748" s="11"/>
      <c r="H13748" s="11"/>
      <c r="I13748" s="15"/>
    </row>
    <row r="13749" spans="1:9" ht="16.5">
      <c r="A13749" s="10" t="b">
        <v>0</v>
      </c>
      <c r="B13749" s="11" t="str">
        <f>IF(D13749&lt;&gt;"",IF(COUNTIF('USPTO TMs'!A:A,D13749)&gt;0,"Yes","No"),"")</f>
        <v/>
      </c>
      <c r="C13749" s="11"/>
      <c r="D13749" s="11"/>
      <c r="E13749" s="11"/>
      <c r="F13749" s="11"/>
      <c r="G13749" s="11"/>
      <c r="H13749" s="11"/>
      <c r="I13749" s="15"/>
    </row>
    <row r="13750" spans="1:9" ht="16.5">
      <c r="A13750" s="10" t="b">
        <v>0</v>
      </c>
      <c r="B13750" s="11" t="str">
        <f>IF(D13750&lt;&gt;"",IF(COUNTIF('USPTO TMs'!A:A,D13750)&gt;0,"Yes","No"),"")</f>
        <v/>
      </c>
      <c r="C13750" s="11"/>
      <c r="D13750" s="11"/>
      <c r="E13750" s="11"/>
      <c r="F13750" s="11"/>
      <c r="G13750" s="11"/>
      <c r="H13750" s="11"/>
      <c r="I13750" s="15"/>
    </row>
    <row r="13751" spans="1:9" ht="16.5">
      <c r="A13751" s="10" t="b">
        <v>0</v>
      </c>
      <c r="B13751" s="11" t="str">
        <f>IF(D13751&lt;&gt;"",IF(COUNTIF('USPTO TMs'!A:A,D13751)&gt;0,"Yes","No"),"")</f>
        <v/>
      </c>
      <c r="C13751" s="11"/>
      <c r="D13751" s="11"/>
      <c r="E13751" s="11"/>
      <c r="F13751" s="11"/>
      <c r="G13751" s="11"/>
      <c r="H13751" s="11"/>
      <c r="I13751" s="15"/>
    </row>
    <row r="13752" spans="1:9" ht="16.5">
      <c r="A13752" s="10" t="b">
        <v>0</v>
      </c>
      <c r="B13752" s="11" t="str">
        <f>IF(D13752&lt;&gt;"",IF(COUNTIF('USPTO TMs'!A:A,D13752)&gt;0,"Yes","No"),"")</f>
        <v/>
      </c>
      <c r="C13752" s="11"/>
      <c r="D13752" s="11"/>
      <c r="E13752" s="11"/>
      <c r="F13752" s="11"/>
      <c r="G13752" s="11"/>
      <c r="H13752" s="11"/>
      <c r="I13752" s="15"/>
    </row>
    <row r="13753" spans="1:9" ht="16.5">
      <c r="A13753" s="10" t="b">
        <v>0</v>
      </c>
      <c r="B13753" s="11" t="str">
        <f>IF(D13753&lt;&gt;"",IF(COUNTIF('USPTO TMs'!A:A,D13753)&gt;0,"Yes","No"),"")</f>
        <v/>
      </c>
      <c r="C13753" s="11"/>
      <c r="D13753" s="11"/>
      <c r="E13753" s="11"/>
      <c r="F13753" s="11"/>
      <c r="G13753" s="11"/>
      <c r="H13753" s="11"/>
      <c r="I13753" s="15"/>
    </row>
    <row r="13754" spans="1:9" ht="16.5">
      <c r="A13754" s="10" t="b">
        <v>0</v>
      </c>
      <c r="B13754" s="11" t="str">
        <f>IF(D13754&lt;&gt;"",IF(COUNTIF('USPTO TMs'!A:A,D13754)&gt;0,"Yes","No"),"")</f>
        <v/>
      </c>
      <c r="C13754" s="11"/>
      <c r="D13754" s="11"/>
      <c r="E13754" s="11"/>
      <c r="F13754" s="11"/>
      <c r="G13754" s="11"/>
      <c r="H13754" s="11"/>
      <c r="I13754" s="15"/>
    </row>
    <row r="13755" spans="1:9" ht="16.5">
      <c r="A13755" s="10" t="b">
        <v>0</v>
      </c>
      <c r="B13755" s="11" t="str">
        <f>IF(D13755&lt;&gt;"",IF(COUNTIF('USPTO TMs'!A:A,D13755)&gt;0,"Yes","No"),"")</f>
        <v/>
      </c>
      <c r="C13755" s="11"/>
      <c r="D13755" s="11"/>
      <c r="E13755" s="11"/>
      <c r="F13755" s="11"/>
      <c r="G13755" s="11"/>
      <c r="H13755" s="11"/>
      <c r="I13755" s="15"/>
    </row>
    <row r="13756" spans="1:9" ht="16.5">
      <c r="A13756" s="10" t="b">
        <v>0</v>
      </c>
      <c r="B13756" s="11" t="str">
        <f>IF(D13756&lt;&gt;"",IF(COUNTIF('USPTO TMs'!A:A,D13756)&gt;0,"Yes","No"),"")</f>
        <v/>
      </c>
      <c r="C13756" s="11"/>
      <c r="D13756" s="11"/>
      <c r="E13756" s="11"/>
      <c r="F13756" s="11"/>
      <c r="G13756" s="11"/>
      <c r="H13756" s="11"/>
      <c r="I13756" s="15"/>
    </row>
    <row r="13757" spans="1:9" ht="16.5">
      <c r="A13757" s="10" t="b">
        <v>0</v>
      </c>
      <c r="B13757" s="11" t="str">
        <f>IF(D13757&lt;&gt;"",IF(COUNTIF('USPTO TMs'!A:A,D13757)&gt;0,"Yes","No"),"")</f>
        <v/>
      </c>
      <c r="C13757" s="11"/>
      <c r="D13757" s="11"/>
      <c r="E13757" s="11"/>
      <c r="F13757" s="11"/>
      <c r="G13757" s="11"/>
      <c r="H13757" s="11"/>
      <c r="I13757" s="15"/>
    </row>
    <row r="13758" spans="1:9" ht="16.5">
      <c r="A13758" s="10" t="b">
        <v>0</v>
      </c>
      <c r="B13758" s="11" t="str">
        <f>IF(D13758&lt;&gt;"",IF(COUNTIF('USPTO TMs'!A:A,D13758)&gt;0,"Yes","No"),"")</f>
        <v/>
      </c>
      <c r="C13758" s="11"/>
      <c r="D13758" s="11"/>
      <c r="E13758" s="11"/>
      <c r="F13758" s="11"/>
      <c r="G13758" s="11"/>
      <c r="H13758" s="11"/>
      <c r="I13758" s="15"/>
    </row>
    <row r="13759" spans="1:9" ht="16.5">
      <c r="A13759" s="10" t="b">
        <v>0</v>
      </c>
      <c r="B13759" s="11" t="str">
        <f>IF(D13759&lt;&gt;"",IF(COUNTIF('USPTO TMs'!A:A,D13759)&gt;0,"Yes","No"),"")</f>
        <v/>
      </c>
      <c r="C13759" s="11"/>
      <c r="D13759" s="11"/>
      <c r="E13759" s="11"/>
      <c r="F13759" s="11"/>
      <c r="G13759" s="11"/>
      <c r="H13759" s="11"/>
      <c r="I13759" s="15"/>
    </row>
    <row r="13760" spans="1:9" ht="16.5">
      <c r="A13760" s="10" t="b">
        <v>0</v>
      </c>
      <c r="B13760" s="11" t="str">
        <f>IF(D13760&lt;&gt;"",IF(COUNTIF('USPTO TMs'!A:A,D13760)&gt;0,"Yes","No"),"")</f>
        <v/>
      </c>
      <c r="C13760" s="11"/>
      <c r="D13760" s="11"/>
      <c r="E13760" s="11"/>
      <c r="F13760" s="11"/>
      <c r="G13760" s="11"/>
      <c r="H13760" s="11"/>
      <c r="I13760" s="15"/>
    </row>
    <row r="13761" spans="1:9" ht="16.5">
      <c r="A13761" s="10" t="b">
        <v>0</v>
      </c>
      <c r="B13761" s="11" t="str">
        <f>IF(D13761&lt;&gt;"",IF(COUNTIF('USPTO TMs'!A:A,D13761)&gt;0,"Yes","No"),"")</f>
        <v/>
      </c>
      <c r="C13761" s="11"/>
      <c r="D13761" s="11"/>
      <c r="E13761" s="11"/>
      <c r="F13761" s="11"/>
      <c r="G13761" s="11"/>
      <c r="H13761" s="11"/>
      <c r="I13761" s="15"/>
    </row>
    <row r="13762" spans="1:9" ht="16.5">
      <c r="A13762" s="10" t="b">
        <v>0</v>
      </c>
      <c r="B13762" s="11" t="str">
        <f>IF(D13762&lt;&gt;"",IF(COUNTIF('USPTO TMs'!A:A,D13762)&gt;0,"Yes","No"),"")</f>
        <v/>
      </c>
      <c r="C13762" s="11"/>
      <c r="D13762" s="11"/>
      <c r="E13762" s="11"/>
      <c r="F13762" s="11"/>
      <c r="G13762" s="11"/>
      <c r="H13762" s="11"/>
      <c r="I13762" s="15"/>
    </row>
    <row r="13763" spans="1:9" ht="16.5">
      <c r="A13763" s="10" t="b">
        <v>0</v>
      </c>
      <c r="B13763" s="11" t="str">
        <f>IF(D13763&lt;&gt;"",IF(COUNTIF('USPTO TMs'!A:A,D13763)&gt;0,"Yes","No"),"")</f>
        <v/>
      </c>
      <c r="C13763" s="11"/>
      <c r="D13763" s="11"/>
      <c r="E13763" s="11"/>
      <c r="F13763" s="11"/>
      <c r="G13763" s="11"/>
      <c r="H13763" s="11"/>
      <c r="I13763" s="15"/>
    </row>
    <row r="13764" spans="1:9" ht="16.5">
      <c r="A13764" s="10" t="b">
        <v>0</v>
      </c>
      <c r="B13764" s="11" t="str">
        <f>IF(D13764&lt;&gt;"",IF(COUNTIF('USPTO TMs'!A:A,D13764)&gt;0,"Yes","No"),"")</f>
        <v/>
      </c>
      <c r="C13764" s="11"/>
      <c r="D13764" s="11"/>
      <c r="E13764" s="11"/>
      <c r="F13764" s="11"/>
      <c r="G13764" s="11"/>
      <c r="H13764" s="11"/>
      <c r="I13764" s="15"/>
    </row>
    <row r="13765" spans="1:9" ht="16.5">
      <c r="A13765" s="10" t="b">
        <v>0</v>
      </c>
      <c r="B13765" s="11" t="str">
        <f>IF(D13765&lt;&gt;"",IF(COUNTIF('USPTO TMs'!A:A,D13765)&gt;0,"Yes","No"),"")</f>
        <v/>
      </c>
      <c r="C13765" s="11"/>
      <c r="D13765" s="11"/>
      <c r="E13765" s="11"/>
      <c r="F13765" s="11"/>
      <c r="G13765" s="11"/>
      <c r="H13765" s="11"/>
      <c r="I13765" s="15"/>
    </row>
    <row r="13766" spans="1:9" ht="16.5">
      <c r="A13766" s="10" t="b">
        <v>0</v>
      </c>
      <c r="B13766" s="11" t="str">
        <f>IF(D13766&lt;&gt;"",IF(COUNTIF('USPTO TMs'!A:A,D13766)&gt;0,"Yes","No"),"")</f>
        <v/>
      </c>
      <c r="C13766" s="11"/>
      <c r="D13766" s="11"/>
      <c r="E13766" s="11"/>
      <c r="F13766" s="11"/>
      <c r="G13766" s="11"/>
      <c r="H13766" s="11"/>
      <c r="I13766" s="15"/>
    </row>
    <row r="13767" spans="1:9" ht="16.5">
      <c r="A13767" s="10" t="b">
        <v>0</v>
      </c>
      <c r="B13767" s="11" t="str">
        <f>IF(D13767&lt;&gt;"",IF(COUNTIF('USPTO TMs'!A:A,D13767)&gt;0,"Yes","No"),"")</f>
        <v/>
      </c>
      <c r="C13767" s="11"/>
      <c r="D13767" s="11"/>
      <c r="E13767" s="11"/>
      <c r="F13767" s="11"/>
      <c r="G13767" s="11"/>
      <c r="H13767" s="11"/>
      <c r="I13767" s="15"/>
    </row>
    <row r="13768" spans="1:9" ht="16.5">
      <c r="A13768" s="10" t="b">
        <v>0</v>
      </c>
      <c r="B13768" s="11" t="str">
        <f>IF(D13768&lt;&gt;"",IF(COUNTIF('USPTO TMs'!A:A,D13768)&gt;0,"Yes","No"),"")</f>
        <v/>
      </c>
      <c r="C13768" s="11"/>
      <c r="D13768" s="11"/>
      <c r="E13768" s="11"/>
      <c r="F13768" s="11"/>
      <c r="G13768" s="11"/>
      <c r="H13768" s="11"/>
      <c r="I13768" s="15"/>
    </row>
    <row r="13769" spans="1:9" ht="16.5">
      <c r="A13769" s="10" t="b">
        <v>0</v>
      </c>
      <c r="B13769" s="11" t="str">
        <f>IF(D13769&lt;&gt;"",IF(COUNTIF('USPTO TMs'!A:A,D13769)&gt;0,"Yes","No"),"")</f>
        <v/>
      </c>
      <c r="C13769" s="11"/>
      <c r="D13769" s="11"/>
      <c r="E13769" s="11"/>
      <c r="F13769" s="11"/>
      <c r="G13769" s="11"/>
      <c r="H13769" s="11"/>
      <c r="I13769" s="15"/>
    </row>
    <row r="13770" spans="1:9" ht="16.5">
      <c r="A13770" s="10" t="b">
        <v>0</v>
      </c>
      <c r="B13770" s="11" t="str">
        <f>IF(D13770&lt;&gt;"",IF(COUNTIF('USPTO TMs'!A:A,D13770)&gt;0,"Yes","No"),"")</f>
        <v/>
      </c>
      <c r="C13770" s="11"/>
      <c r="D13770" s="11"/>
      <c r="E13770" s="11"/>
      <c r="F13770" s="11"/>
      <c r="G13770" s="11"/>
      <c r="H13770" s="11"/>
      <c r="I13770" s="15"/>
    </row>
    <row r="13771" spans="1:9" ht="16.5">
      <c r="A13771" s="10" t="b">
        <v>0</v>
      </c>
      <c r="B13771" s="11" t="str">
        <f>IF(D13771&lt;&gt;"",IF(COUNTIF('USPTO TMs'!A:A,D13771)&gt;0,"Yes","No"),"")</f>
        <v/>
      </c>
      <c r="C13771" s="11"/>
      <c r="D13771" s="11"/>
      <c r="E13771" s="11"/>
      <c r="F13771" s="11"/>
      <c r="G13771" s="11"/>
      <c r="H13771" s="11"/>
      <c r="I13771" s="15"/>
    </row>
    <row r="13772" spans="1:9" ht="16.5">
      <c r="A13772" s="10" t="b">
        <v>0</v>
      </c>
      <c r="B13772" s="11" t="str">
        <f>IF(D13772&lt;&gt;"",IF(COUNTIF('USPTO TMs'!A:A,D13772)&gt;0,"Yes","No"),"")</f>
        <v/>
      </c>
      <c r="C13772" s="11"/>
      <c r="D13772" s="11"/>
      <c r="E13772" s="11"/>
      <c r="F13772" s="11"/>
      <c r="G13772" s="11"/>
      <c r="H13772" s="11"/>
      <c r="I13772" s="15"/>
    </row>
    <row r="13773" spans="1:9" ht="16.5">
      <c r="A13773" s="10" t="b">
        <v>0</v>
      </c>
      <c r="B13773" s="11" t="str">
        <f>IF(D13773&lt;&gt;"",IF(COUNTIF('USPTO TMs'!A:A,D13773)&gt;0,"Yes","No"),"")</f>
        <v/>
      </c>
      <c r="C13773" s="11"/>
      <c r="D13773" s="11"/>
      <c r="E13773" s="11"/>
      <c r="F13773" s="11"/>
      <c r="G13773" s="11"/>
      <c r="H13773" s="11"/>
      <c r="I13773" s="15"/>
    </row>
    <row r="13774" spans="1:9" ht="16.5">
      <c r="A13774" s="10" t="b">
        <v>0</v>
      </c>
      <c r="B13774" s="11" t="str">
        <f>IF(D13774&lt;&gt;"",IF(COUNTIF('USPTO TMs'!A:A,D13774)&gt;0,"Yes","No"),"")</f>
        <v/>
      </c>
      <c r="C13774" s="11"/>
      <c r="D13774" s="11"/>
      <c r="E13774" s="11"/>
      <c r="F13774" s="11"/>
      <c r="G13774" s="11"/>
      <c r="H13774" s="11"/>
      <c r="I13774" s="15"/>
    </row>
    <row r="13775" spans="1:9" ht="16.5">
      <c r="A13775" s="10" t="b">
        <v>0</v>
      </c>
      <c r="B13775" s="11" t="str">
        <f>IF(D13775&lt;&gt;"",IF(COUNTIF('USPTO TMs'!A:A,D13775)&gt;0,"Yes","No"),"")</f>
        <v/>
      </c>
      <c r="C13775" s="11"/>
      <c r="D13775" s="11"/>
      <c r="E13775" s="11"/>
      <c r="F13775" s="11"/>
      <c r="G13775" s="11"/>
      <c r="H13775" s="11"/>
      <c r="I13775" s="15"/>
    </row>
    <row r="13776" spans="1:9" ht="16.5">
      <c r="A13776" s="10" t="b">
        <v>0</v>
      </c>
      <c r="B13776" s="11" t="str">
        <f>IF(D13776&lt;&gt;"",IF(COUNTIF('USPTO TMs'!A:A,D13776)&gt;0,"Yes","No"),"")</f>
        <v/>
      </c>
      <c r="C13776" s="11"/>
      <c r="D13776" s="11"/>
      <c r="E13776" s="11"/>
      <c r="F13776" s="11"/>
      <c r="G13776" s="11"/>
      <c r="H13776" s="11"/>
      <c r="I13776" s="15"/>
    </row>
    <row r="13777" spans="1:9" ht="16.5">
      <c r="A13777" s="10" t="b">
        <v>0</v>
      </c>
      <c r="B13777" s="11" t="str">
        <f>IF(D13777&lt;&gt;"",IF(COUNTIF('USPTO TMs'!A:A,D13777)&gt;0,"Yes","No"),"")</f>
        <v/>
      </c>
      <c r="C13777" s="11"/>
      <c r="D13777" s="11"/>
      <c r="E13777" s="11"/>
      <c r="F13777" s="11"/>
      <c r="G13777" s="11"/>
      <c r="H13777" s="11"/>
      <c r="I13777" s="15"/>
    </row>
    <row r="13778" spans="1:9" ht="16.5">
      <c r="A13778" s="10" t="b">
        <v>0</v>
      </c>
      <c r="B13778" s="11" t="str">
        <f>IF(D13778&lt;&gt;"",IF(COUNTIF('USPTO TMs'!A:A,D13778)&gt;0,"Yes","No"),"")</f>
        <v/>
      </c>
      <c r="C13778" s="11"/>
      <c r="D13778" s="11"/>
      <c r="E13778" s="11"/>
      <c r="F13778" s="11"/>
      <c r="G13778" s="11"/>
      <c r="H13778" s="11"/>
      <c r="I13778" s="15"/>
    </row>
    <row r="13779" spans="1:9" ht="16.5">
      <c r="A13779" s="10" t="b">
        <v>0</v>
      </c>
      <c r="B13779" s="11" t="str">
        <f>IF(D13779&lt;&gt;"",IF(COUNTIF('USPTO TMs'!A:A,D13779)&gt;0,"Yes","No"),"")</f>
        <v/>
      </c>
      <c r="C13779" s="11"/>
      <c r="D13779" s="11"/>
      <c r="E13779" s="11"/>
      <c r="F13779" s="11"/>
      <c r="G13779" s="11"/>
      <c r="H13779" s="11"/>
      <c r="I13779" s="15"/>
    </row>
    <row r="13780" spans="1:9" ht="16.5">
      <c r="A13780" s="10" t="b">
        <v>0</v>
      </c>
      <c r="B13780" s="11" t="str">
        <f>IF(D13780&lt;&gt;"",IF(COUNTIF('USPTO TMs'!A:A,D13780)&gt;0,"Yes","No"),"")</f>
        <v/>
      </c>
      <c r="C13780" s="11"/>
      <c r="D13780" s="11"/>
      <c r="E13780" s="11"/>
      <c r="F13780" s="11"/>
      <c r="G13780" s="11"/>
      <c r="H13780" s="11"/>
      <c r="I13780" s="15"/>
    </row>
    <row r="13781" spans="1:9" ht="16.5">
      <c r="A13781" s="10" t="b">
        <v>0</v>
      </c>
      <c r="B13781" s="11" t="str">
        <f>IF(D13781&lt;&gt;"",IF(COUNTIF('USPTO TMs'!A:A,D13781)&gt;0,"Yes","No"),"")</f>
        <v/>
      </c>
      <c r="C13781" s="11"/>
      <c r="D13781" s="11"/>
      <c r="E13781" s="11"/>
      <c r="F13781" s="11"/>
      <c r="G13781" s="11"/>
      <c r="H13781" s="11"/>
      <c r="I13781" s="15"/>
    </row>
    <row r="13782" spans="1:9" ht="16.5">
      <c r="A13782" s="10" t="b">
        <v>0</v>
      </c>
      <c r="B13782" s="11" t="str">
        <f>IF(D13782&lt;&gt;"",IF(COUNTIF('USPTO TMs'!A:A,D13782)&gt;0,"Yes","No"),"")</f>
        <v/>
      </c>
      <c r="C13782" s="11"/>
      <c r="D13782" s="11"/>
      <c r="E13782" s="11"/>
      <c r="F13782" s="11"/>
      <c r="G13782" s="11"/>
      <c r="H13782" s="11"/>
      <c r="I13782" s="15"/>
    </row>
    <row r="13783" spans="1:9" ht="16.5">
      <c r="A13783" s="10" t="b">
        <v>0</v>
      </c>
      <c r="B13783" s="11" t="str">
        <f>IF(D13783&lt;&gt;"",IF(COUNTIF('USPTO TMs'!A:A,D13783)&gt;0,"Yes","No"),"")</f>
        <v/>
      </c>
      <c r="C13783" s="11"/>
      <c r="D13783" s="11"/>
      <c r="E13783" s="11"/>
      <c r="F13783" s="11"/>
      <c r="G13783" s="11"/>
      <c r="H13783" s="11"/>
      <c r="I13783" s="15"/>
    </row>
    <row r="13784" spans="1:9" ht="16.5">
      <c r="A13784" s="10" t="b">
        <v>0</v>
      </c>
      <c r="B13784" s="11" t="str">
        <f>IF(D13784&lt;&gt;"",IF(COUNTIF('USPTO TMs'!A:A,D13784)&gt;0,"Yes","No"),"")</f>
        <v/>
      </c>
      <c r="C13784" s="11"/>
      <c r="D13784" s="11"/>
      <c r="E13784" s="11"/>
      <c r="F13784" s="11"/>
      <c r="G13784" s="11"/>
      <c r="H13784" s="11"/>
      <c r="I13784" s="15"/>
    </row>
    <row r="13785" spans="1:9" ht="16.5">
      <c r="A13785" s="10" t="b">
        <v>0</v>
      </c>
      <c r="B13785" s="11" t="str">
        <f>IF(D13785&lt;&gt;"",IF(COUNTIF('USPTO TMs'!A:A,D13785)&gt;0,"Yes","No"),"")</f>
        <v/>
      </c>
      <c r="C13785" s="11"/>
      <c r="D13785" s="11"/>
      <c r="E13785" s="11"/>
      <c r="F13785" s="11"/>
      <c r="G13785" s="11"/>
      <c r="H13785" s="11"/>
      <c r="I13785" s="15"/>
    </row>
    <row r="13786" spans="1:9" ht="16.5">
      <c r="A13786" s="10" t="b">
        <v>0</v>
      </c>
      <c r="B13786" s="11" t="str">
        <f>IF(D13786&lt;&gt;"",IF(COUNTIF('USPTO TMs'!A:A,D13786)&gt;0,"Yes","No"),"")</f>
        <v/>
      </c>
      <c r="C13786" s="11"/>
      <c r="D13786" s="11"/>
      <c r="E13786" s="11"/>
      <c r="F13786" s="11"/>
      <c r="G13786" s="11"/>
      <c r="H13786" s="11"/>
      <c r="I13786" s="15"/>
    </row>
    <row r="13787" spans="1:9" ht="16.5">
      <c r="A13787" s="10" t="b">
        <v>0</v>
      </c>
      <c r="B13787" s="11" t="str">
        <f>IF(D13787&lt;&gt;"",IF(COUNTIF('USPTO TMs'!A:A,D13787)&gt;0,"Yes","No"),"")</f>
        <v/>
      </c>
      <c r="C13787" s="11"/>
      <c r="D13787" s="11"/>
      <c r="E13787" s="11"/>
      <c r="F13787" s="11"/>
      <c r="G13787" s="11"/>
      <c r="H13787" s="11"/>
      <c r="I13787" s="15"/>
    </row>
    <row r="13788" spans="1:9" ht="16.5">
      <c r="A13788" s="10" t="b">
        <v>0</v>
      </c>
      <c r="B13788" s="11" t="str">
        <f>IF(D13788&lt;&gt;"",IF(COUNTIF('USPTO TMs'!A:A,D13788)&gt;0,"Yes","No"),"")</f>
        <v/>
      </c>
      <c r="C13788" s="11"/>
      <c r="D13788" s="11"/>
      <c r="E13788" s="11"/>
      <c r="F13788" s="11"/>
      <c r="G13788" s="11"/>
      <c r="H13788" s="11"/>
      <c r="I13788" s="15"/>
    </row>
    <row r="13789" spans="1:9" ht="16.5">
      <c r="A13789" s="10" t="b">
        <v>0</v>
      </c>
      <c r="B13789" s="11" t="str">
        <f>IF(D13789&lt;&gt;"",IF(COUNTIF('USPTO TMs'!A:A,D13789)&gt;0,"Yes","No"),"")</f>
        <v/>
      </c>
      <c r="C13789" s="11"/>
      <c r="D13789" s="11"/>
      <c r="E13789" s="11"/>
      <c r="F13789" s="11"/>
      <c r="G13789" s="11"/>
      <c r="H13789" s="11"/>
      <c r="I13789" s="15"/>
    </row>
    <row r="13790" spans="1:9" ht="16.5">
      <c r="A13790" s="10" t="b">
        <v>0</v>
      </c>
      <c r="B13790" s="11" t="str">
        <f>IF(D13790&lt;&gt;"",IF(COUNTIF('USPTO TMs'!A:A,D13790)&gt;0,"Yes","No"),"")</f>
        <v/>
      </c>
      <c r="C13790" s="11"/>
      <c r="D13790" s="11"/>
      <c r="E13790" s="11"/>
      <c r="F13790" s="11"/>
      <c r="G13790" s="11"/>
      <c r="H13790" s="11"/>
      <c r="I13790" s="15"/>
    </row>
    <row r="13791" spans="1:9" ht="16.5">
      <c r="A13791" s="10" t="b">
        <v>0</v>
      </c>
      <c r="B13791" s="11" t="str">
        <f>IF(D13791&lt;&gt;"",IF(COUNTIF('USPTO TMs'!A:A,D13791)&gt;0,"Yes","No"),"")</f>
        <v/>
      </c>
      <c r="C13791" s="11"/>
      <c r="D13791" s="11"/>
      <c r="E13791" s="11"/>
      <c r="F13791" s="11"/>
      <c r="G13791" s="11"/>
      <c r="H13791" s="11"/>
      <c r="I13791" s="15"/>
    </row>
    <row r="13792" spans="1:9" ht="16.5">
      <c r="A13792" s="10" t="b">
        <v>0</v>
      </c>
      <c r="B13792" s="11" t="str">
        <f>IF(D13792&lt;&gt;"",IF(COUNTIF('USPTO TMs'!A:A,D13792)&gt;0,"Yes","No"),"")</f>
        <v/>
      </c>
      <c r="C13792" s="11"/>
      <c r="D13792" s="11"/>
      <c r="E13792" s="11"/>
      <c r="F13792" s="11"/>
      <c r="G13792" s="11"/>
      <c r="H13792" s="11"/>
      <c r="I13792" s="15"/>
    </row>
    <row r="13793" spans="1:9" ht="16.5">
      <c r="A13793" s="10" t="b">
        <v>0</v>
      </c>
      <c r="B13793" s="11" t="str">
        <f>IF(D13793&lt;&gt;"",IF(COUNTIF('USPTO TMs'!A:A,D13793)&gt;0,"Yes","No"),"")</f>
        <v/>
      </c>
      <c r="C13793" s="11"/>
      <c r="D13793" s="11"/>
      <c r="E13793" s="11"/>
      <c r="F13793" s="11"/>
      <c r="G13793" s="11"/>
      <c r="H13793" s="11"/>
      <c r="I13793" s="15"/>
    </row>
    <row r="13794" spans="1:9" ht="16.5">
      <c r="A13794" s="10" t="b">
        <v>0</v>
      </c>
      <c r="B13794" s="11" t="str">
        <f>IF(D13794&lt;&gt;"",IF(COUNTIF('USPTO TMs'!A:A,D13794)&gt;0,"Yes","No"),"")</f>
        <v/>
      </c>
      <c r="C13794" s="11"/>
      <c r="D13794" s="11"/>
      <c r="E13794" s="11"/>
      <c r="F13794" s="11"/>
      <c r="G13794" s="11"/>
      <c r="H13794" s="11"/>
      <c r="I13794" s="15"/>
    </row>
    <row r="13795" spans="1:9" ht="16.5">
      <c r="A13795" s="10" t="b">
        <v>0</v>
      </c>
      <c r="B13795" s="11" t="str">
        <f>IF(D13795&lt;&gt;"",IF(COUNTIF('USPTO TMs'!A:A,D13795)&gt;0,"Yes","No"),"")</f>
        <v/>
      </c>
      <c r="C13795" s="11"/>
      <c r="D13795" s="11"/>
      <c r="E13795" s="11"/>
      <c r="F13795" s="11"/>
      <c r="G13795" s="11"/>
      <c r="H13795" s="11"/>
      <c r="I13795" s="15"/>
    </row>
    <row r="13796" spans="1:9" ht="16.5">
      <c r="A13796" s="10" t="b">
        <v>0</v>
      </c>
      <c r="B13796" s="11" t="str">
        <f>IF(D13796&lt;&gt;"",IF(COUNTIF('USPTO TMs'!A:A,D13796)&gt;0,"Yes","No"),"")</f>
        <v/>
      </c>
      <c r="C13796" s="11"/>
      <c r="D13796" s="11"/>
      <c r="E13796" s="11"/>
      <c r="F13796" s="11"/>
      <c r="G13796" s="11"/>
      <c r="H13796" s="11"/>
      <c r="I13796" s="15"/>
    </row>
    <row r="13797" spans="1:9" ht="16.5">
      <c r="A13797" s="10" t="b">
        <v>0</v>
      </c>
      <c r="B13797" s="11" t="str">
        <f>IF(D13797&lt;&gt;"",IF(COUNTIF('USPTO TMs'!A:A,D13797)&gt;0,"Yes","No"),"")</f>
        <v/>
      </c>
      <c r="C13797" s="11"/>
      <c r="D13797" s="11"/>
      <c r="E13797" s="11"/>
      <c r="F13797" s="11"/>
      <c r="G13797" s="11"/>
      <c r="H13797" s="11"/>
      <c r="I13797" s="15"/>
    </row>
    <row r="13798" spans="1:9" ht="16.5">
      <c r="A13798" s="10" t="b">
        <v>0</v>
      </c>
      <c r="B13798" s="11" t="str">
        <f>IF(D13798&lt;&gt;"",IF(COUNTIF('USPTO TMs'!A:A,D13798)&gt;0,"Yes","No"),"")</f>
        <v/>
      </c>
      <c r="C13798" s="11"/>
      <c r="D13798" s="11"/>
      <c r="E13798" s="11"/>
      <c r="F13798" s="11"/>
      <c r="G13798" s="11"/>
      <c r="H13798" s="11"/>
      <c r="I13798" s="15"/>
    </row>
    <row r="13799" spans="1:9" ht="16.5">
      <c r="A13799" s="10" t="b">
        <v>0</v>
      </c>
      <c r="B13799" s="11" t="str">
        <f>IF(D13799&lt;&gt;"",IF(COUNTIF('USPTO TMs'!A:A,D13799)&gt;0,"Yes","No"),"")</f>
        <v/>
      </c>
      <c r="C13799" s="11"/>
      <c r="D13799" s="11"/>
      <c r="E13799" s="11"/>
      <c r="F13799" s="11"/>
      <c r="G13799" s="11"/>
      <c r="H13799" s="11"/>
      <c r="I13799" s="15"/>
    </row>
    <row r="13800" spans="1:9" ht="16.5">
      <c r="A13800" s="10" t="b">
        <v>0</v>
      </c>
      <c r="B13800" s="11" t="str">
        <f>IF(D13800&lt;&gt;"",IF(COUNTIF('USPTO TMs'!A:A,D13800)&gt;0,"Yes","No"),"")</f>
        <v/>
      </c>
      <c r="C13800" s="11"/>
      <c r="D13800" s="11"/>
      <c r="E13800" s="11"/>
      <c r="F13800" s="11"/>
      <c r="G13800" s="11"/>
      <c r="H13800" s="11"/>
      <c r="I13800" s="15"/>
    </row>
    <row r="13801" spans="1:9" ht="16.5">
      <c r="A13801" s="10" t="b">
        <v>0</v>
      </c>
      <c r="B13801" s="11" t="str">
        <f>IF(D13801&lt;&gt;"",IF(COUNTIF('USPTO TMs'!A:A,D13801)&gt;0,"Yes","No"),"")</f>
        <v/>
      </c>
      <c r="C13801" s="11"/>
      <c r="D13801" s="11"/>
      <c r="E13801" s="11"/>
      <c r="F13801" s="11"/>
      <c r="G13801" s="11"/>
      <c r="H13801" s="11"/>
      <c r="I13801" s="15"/>
    </row>
    <row r="13802" spans="1:9" ht="16.5">
      <c r="A13802" s="10" t="b">
        <v>0</v>
      </c>
      <c r="B13802" s="11" t="str">
        <f>IF(D13802&lt;&gt;"",IF(COUNTIF('USPTO TMs'!A:A,D13802)&gt;0,"Yes","No"),"")</f>
        <v/>
      </c>
      <c r="C13802" s="11"/>
      <c r="D13802" s="11"/>
      <c r="E13802" s="11"/>
      <c r="F13802" s="11"/>
      <c r="G13802" s="11"/>
      <c r="H13802" s="11"/>
      <c r="I13802" s="15"/>
    </row>
    <row r="13803" spans="1:9" ht="16.5">
      <c r="A13803" s="10" t="b">
        <v>0</v>
      </c>
      <c r="B13803" s="11" t="str">
        <f>IF(D13803&lt;&gt;"",IF(COUNTIF('USPTO TMs'!A:A,D13803)&gt;0,"Yes","No"),"")</f>
        <v/>
      </c>
      <c r="C13803" s="11"/>
      <c r="D13803" s="11"/>
      <c r="E13803" s="11"/>
      <c r="F13803" s="11"/>
      <c r="G13803" s="11"/>
      <c r="H13803" s="11"/>
      <c r="I13803" s="15"/>
    </row>
    <row r="13804" spans="1:9" ht="16.5">
      <c r="A13804" s="10" t="b">
        <v>0</v>
      </c>
      <c r="B13804" s="11" t="str">
        <f>IF(D13804&lt;&gt;"",IF(COUNTIF('USPTO TMs'!A:A,D13804)&gt;0,"Yes","No"),"")</f>
        <v/>
      </c>
      <c r="C13804" s="11"/>
      <c r="D13804" s="11"/>
      <c r="E13804" s="11"/>
      <c r="F13804" s="11"/>
      <c r="G13804" s="11"/>
      <c r="H13804" s="11"/>
      <c r="I13804" s="15"/>
    </row>
    <row r="13805" spans="1:9" ht="16.5">
      <c r="A13805" s="10" t="b">
        <v>0</v>
      </c>
      <c r="B13805" s="11" t="str">
        <f>IF(D13805&lt;&gt;"",IF(COUNTIF('USPTO TMs'!A:A,D13805)&gt;0,"Yes","No"),"")</f>
        <v/>
      </c>
      <c r="C13805" s="11"/>
      <c r="D13805" s="11"/>
      <c r="E13805" s="11"/>
      <c r="F13805" s="11"/>
      <c r="G13805" s="11"/>
      <c r="H13805" s="11"/>
      <c r="I13805" s="15"/>
    </row>
    <row r="13806" spans="1:9" ht="16.5">
      <c r="A13806" s="10" t="b">
        <v>0</v>
      </c>
      <c r="B13806" s="11" t="str">
        <f>IF(D13806&lt;&gt;"",IF(COUNTIF('USPTO TMs'!A:A,D13806)&gt;0,"Yes","No"),"")</f>
        <v/>
      </c>
      <c r="C13806" s="11"/>
      <c r="D13806" s="11"/>
      <c r="E13806" s="11"/>
      <c r="F13806" s="11"/>
      <c r="G13806" s="11"/>
      <c r="H13806" s="11"/>
      <c r="I13806" s="15"/>
    </row>
    <row r="13807" spans="1:9" ht="16.5">
      <c r="A13807" s="10" t="b">
        <v>0</v>
      </c>
      <c r="B13807" s="11" t="str">
        <f>IF(D13807&lt;&gt;"",IF(COUNTIF('USPTO TMs'!A:A,D13807)&gt;0,"Yes","No"),"")</f>
        <v/>
      </c>
      <c r="C13807" s="11"/>
      <c r="D13807" s="11"/>
      <c r="E13807" s="11"/>
      <c r="F13807" s="11"/>
      <c r="G13807" s="11"/>
      <c r="H13807" s="11"/>
      <c r="I13807" s="15"/>
    </row>
    <row r="13808" spans="1:9" ht="16.5">
      <c r="A13808" s="10" t="b">
        <v>0</v>
      </c>
      <c r="B13808" s="11" t="str">
        <f>IF(D13808&lt;&gt;"",IF(COUNTIF('USPTO TMs'!A:A,D13808)&gt;0,"Yes","No"),"")</f>
        <v/>
      </c>
      <c r="C13808" s="11"/>
      <c r="D13808" s="11"/>
      <c r="E13808" s="11"/>
      <c r="F13808" s="11"/>
      <c r="G13808" s="11"/>
      <c r="H13808" s="11"/>
      <c r="I13808" s="15"/>
    </row>
    <row r="13809" spans="1:9" ht="16.5">
      <c r="A13809" s="10" t="b">
        <v>0</v>
      </c>
      <c r="B13809" s="11" t="str">
        <f>IF(D13809&lt;&gt;"",IF(COUNTIF('USPTO TMs'!A:A,D13809)&gt;0,"Yes","No"),"")</f>
        <v/>
      </c>
      <c r="C13809" s="11"/>
      <c r="D13809" s="11"/>
      <c r="E13809" s="11"/>
      <c r="F13809" s="11"/>
      <c r="G13809" s="11"/>
      <c r="H13809" s="11"/>
      <c r="I13809" s="15"/>
    </row>
    <row r="13810" spans="1:9" ht="16.5">
      <c r="A13810" s="10" t="b">
        <v>0</v>
      </c>
      <c r="B13810" s="11" t="str">
        <f>IF(D13810&lt;&gt;"",IF(COUNTIF('USPTO TMs'!A:A,D13810)&gt;0,"Yes","No"),"")</f>
        <v/>
      </c>
      <c r="C13810" s="11"/>
      <c r="D13810" s="11"/>
      <c r="E13810" s="11"/>
      <c r="F13810" s="11"/>
      <c r="G13810" s="11"/>
      <c r="H13810" s="11"/>
      <c r="I13810" s="15"/>
    </row>
    <row r="13811" spans="1:9" ht="16.5">
      <c r="A13811" s="10" t="b">
        <v>0</v>
      </c>
      <c r="B13811" s="11" t="str">
        <f>IF(D13811&lt;&gt;"",IF(COUNTIF('USPTO TMs'!A:A,D13811)&gt;0,"Yes","No"),"")</f>
        <v/>
      </c>
      <c r="C13811" s="11"/>
      <c r="D13811" s="11"/>
      <c r="E13811" s="11"/>
      <c r="F13811" s="11"/>
      <c r="G13811" s="11"/>
      <c r="H13811" s="11"/>
      <c r="I13811" s="15"/>
    </row>
    <row r="13812" spans="1:9" ht="16.5">
      <c r="A13812" s="10" t="b">
        <v>0</v>
      </c>
      <c r="B13812" s="11" t="str">
        <f>IF(D13812&lt;&gt;"",IF(COUNTIF('USPTO TMs'!A:A,D13812)&gt;0,"Yes","No"),"")</f>
        <v/>
      </c>
      <c r="C13812" s="11"/>
      <c r="D13812" s="11"/>
      <c r="E13812" s="11"/>
      <c r="F13812" s="11"/>
      <c r="G13812" s="11"/>
      <c r="H13812" s="11"/>
      <c r="I13812" s="15"/>
    </row>
    <row r="13813" spans="1:9" ht="16.5">
      <c r="A13813" s="10" t="b">
        <v>0</v>
      </c>
      <c r="B13813" s="11" t="str">
        <f>IF(D13813&lt;&gt;"",IF(COUNTIF('USPTO TMs'!A:A,D13813)&gt;0,"Yes","No"),"")</f>
        <v/>
      </c>
      <c r="C13813" s="11"/>
      <c r="D13813" s="11"/>
      <c r="E13813" s="11"/>
      <c r="F13813" s="11"/>
      <c r="G13813" s="11"/>
      <c r="H13813" s="11"/>
      <c r="I13813" s="15"/>
    </row>
    <row r="13814" spans="1:9" ht="16.5">
      <c r="A13814" s="10" t="b">
        <v>0</v>
      </c>
      <c r="B13814" s="11" t="str">
        <f>IF(D13814&lt;&gt;"",IF(COUNTIF('USPTO TMs'!A:A,D13814)&gt;0,"Yes","No"),"")</f>
        <v/>
      </c>
      <c r="C13814" s="11"/>
      <c r="D13814" s="11"/>
      <c r="E13814" s="11"/>
      <c r="F13814" s="11"/>
      <c r="G13814" s="11"/>
      <c r="H13814" s="11"/>
      <c r="I13814" s="15"/>
    </row>
    <row r="13815" spans="1:9" ht="16.5">
      <c r="A13815" s="10" t="b">
        <v>0</v>
      </c>
      <c r="B13815" s="11" t="str">
        <f>IF(D13815&lt;&gt;"",IF(COUNTIF('USPTO TMs'!A:A,D13815)&gt;0,"Yes","No"),"")</f>
        <v/>
      </c>
      <c r="C13815" s="11"/>
      <c r="D13815" s="11"/>
      <c r="E13815" s="11"/>
      <c r="F13815" s="11"/>
      <c r="G13815" s="11"/>
      <c r="H13815" s="11"/>
      <c r="I13815" s="15"/>
    </row>
    <row r="13816" spans="1:9" ht="16.5">
      <c r="A13816" s="10" t="b">
        <v>0</v>
      </c>
      <c r="B13816" s="11" t="str">
        <f>IF(D13816&lt;&gt;"",IF(COUNTIF('USPTO TMs'!A:A,D13816)&gt;0,"Yes","No"),"")</f>
        <v/>
      </c>
      <c r="C13816" s="11"/>
      <c r="D13816" s="11"/>
      <c r="E13816" s="11"/>
      <c r="F13816" s="11"/>
      <c r="G13816" s="11"/>
      <c r="H13816" s="11"/>
      <c r="I13816" s="15"/>
    </row>
    <row r="13817" spans="1:9" ht="16.5">
      <c r="A13817" s="10" t="b">
        <v>0</v>
      </c>
      <c r="B13817" s="11" t="str">
        <f>IF(D13817&lt;&gt;"",IF(COUNTIF('USPTO TMs'!A:A,D13817)&gt;0,"Yes","No"),"")</f>
        <v/>
      </c>
      <c r="C13817" s="11"/>
      <c r="D13817" s="11"/>
      <c r="E13817" s="11"/>
      <c r="F13817" s="11"/>
      <c r="G13817" s="11"/>
      <c r="H13817" s="11"/>
      <c r="I13817" s="15"/>
    </row>
    <row r="13818" spans="1:9" ht="16.5">
      <c r="A13818" s="10" t="b">
        <v>0</v>
      </c>
      <c r="B13818" s="11" t="str">
        <f>IF(D13818&lt;&gt;"",IF(COUNTIF('USPTO TMs'!A:A,D13818)&gt;0,"Yes","No"),"")</f>
        <v/>
      </c>
      <c r="C13818" s="11"/>
      <c r="D13818" s="11"/>
      <c r="E13818" s="11"/>
      <c r="F13818" s="11"/>
      <c r="G13818" s="11"/>
      <c r="H13818" s="11"/>
      <c r="I13818" s="15"/>
    </row>
    <row r="13819" spans="1:9" ht="16.5">
      <c r="A13819" s="10" t="b">
        <v>0</v>
      </c>
      <c r="B13819" s="11" t="str">
        <f>IF(D13819&lt;&gt;"",IF(COUNTIF('USPTO TMs'!A:A,D13819)&gt;0,"Yes","No"),"")</f>
        <v/>
      </c>
      <c r="C13819" s="11"/>
      <c r="D13819" s="11"/>
      <c r="E13819" s="11"/>
      <c r="F13819" s="11"/>
      <c r="G13819" s="11"/>
      <c r="H13819" s="11"/>
      <c r="I13819" s="15"/>
    </row>
    <row r="13820" spans="1:9" ht="16.5">
      <c r="A13820" s="10" t="b">
        <v>0</v>
      </c>
      <c r="B13820" s="11" t="str">
        <f>IF(D13820&lt;&gt;"",IF(COUNTIF('USPTO TMs'!A:A,D13820)&gt;0,"Yes","No"),"")</f>
        <v/>
      </c>
      <c r="C13820" s="11"/>
      <c r="D13820" s="11"/>
      <c r="E13820" s="11"/>
      <c r="F13820" s="11"/>
      <c r="G13820" s="11"/>
      <c r="H13820" s="11"/>
      <c r="I13820" s="15"/>
    </row>
    <row r="13821" spans="1:9" ht="16.5">
      <c r="A13821" s="10" t="b">
        <v>0</v>
      </c>
      <c r="B13821" s="11" t="str">
        <f>IF(D13821&lt;&gt;"",IF(COUNTIF('USPTO TMs'!A:A,D13821)&gt;0,"Yes","No"),"")</f>
        <v/>
      </c>
      <c r="C13821" s="11"/>
      <c r="D13821" s="11"/>
      <c r="E13821" s="11"/>
      <c r="F13821" s="11"/>
      <c r="G13821" s="11"/>
      <c r="H13821" s="11"/>
      <c r="I13821" s="15"/>
    </row>
    <row r="13822" spans="1:9" ht="16.5">
      <c r="A13822" s="10" t="b">
        <v>0</v>
      </c>
      <c r="B13822" s="11" t="str">
        <f>IF(D13822&lt;&gt;"",IF(COUNTIF('USPTO TMs'!A:A,D13822)&gt;0,"Yes","No"),"")</f>
        <v/>
      </c>
      <c r="C13822" s="11"/>
      <c r="D13822" s="11"/>
      <c r="E13822" s="11"/>
      <c r="F13822" s="11"/>
      <c r="G13822" s="11"/>
      <c r="H13822" s="11"/>
      <c r="I13822" s="15"/>
    </row>
    <row r="13823" spans="1:9" ht="16.5">
      <c r="A13823" s="10" t="b">
        <v>0</v>
      </c>
      <c r="B13823" s="11" t="str">
        <f>IF(D13823&lt;&gt;"",IF(COUNTIF('USPTO TMs'!A:A,D13823)&gt;0,"Yes","No"),"")</f>
        <v/>
      </c>
      <c r="C13823" s="11"/>
      <c r="D13823" s="11"/>
      <c r="E13823" s="11"/>
      <c r="F13823" s="11"/>
      <c r="G13823" s="11"/>
      <c r="H13823" s="11"/>
      <c r="I13823" s="15"/>
    </row>
    <row r="13824" spans="1:9" ht="16.5">
      <c r="A13824" s="10" t="b">
        <v>0</v>
      </c>
      <c r="B13824" s="11" t="str">
        <f>IF(D13824&lt;&gt;"",IF(COUNTIF('USPTO TMs'!A:A,D13824)&gt;0,"Yes","No"),"")</f>
        <v/>
      </c>
      <c r="C13824" s="11"/>
      <c r="D13824" s="11"/>
      <c r="E13824" s="11"/>
      <c r="F13824" s="11"/>
      <c r="G13824" s="11"/>
      <c r="H13824" s="11"/>
      <c r="I13824" s="15"/>
    </row>
    <row r="13825" spans="1:9" ht="16.5">
      <c r="A13825" s="10" t="b">
        <v>0</v>
      </c>
      <c r="B13825" s="11" t="str">
        <f>IF(D13825&lt;&gt;"",IF(COUNTIF('USPTO TMs'!A:A,D13825)&gt;0,"Yes","No"),"")</f>
        <v/>
      </c>
      <c r="C13825" s="11"/>
      <c r="D13825" s="11"/>
      <c r="E13825" s="11"/>
      <c r="F13825" s="11"/>
      <c r="G13825" s="11"/>
      <c r="H13825" s="11"/>
      <c r="I13825" s="15"/>
    </row>
    <row r="13826" spans="1:9" ht="16.5">
      <c r="A13826" s="10" t="b">
        <v>0</v>
      </c>
      <c r="B13826" s="11" t="str">
        <f>IF(D13826&lt;&gt;"",IF(COUNTIF('USPTO TMs'!A:A,D13826)&gt;0,"Yes","No"),"")</f>
        <v/>
      </c>
      <c r="C13826" s="11"/>
      <c r="D13826" s="11"/>
      <c r="E13826" s="11"/>
      <c r="F13826" s="11"/>
      <c r="G13826" s="11"/>
      <c r="H13826" s="11"/>
      <c r="I13826" s="15"/>
    </row>
    <row r="13827" spans="1:9" ht="16.5">
      <c r="A13827" s="10" t="b">
        <v>0</v>
      </c>
      <c r="B13827" s="11" t="str">
        <f>IF(D13827&lt;&gt;"",IF(COUNTIF('USPTO TMs'!A:A,D13827)&gt;0,"Yes","No"),"")</f>
        <v/>
      </c>
      <c r="C13827" s="11"/>
      <c r="D13827" s="11"/>
      <c r="E13827" s="11"/>
      <c r="F13827" s="11"/>
      <c r="G13827" s="11"/>
      <c r="H13827" s="11"/>
      <c r="I13827" s="15"/>
    </row>
    <row r="13828" spans="1:9" ht="16.5">
      <c r="A13828" s="10" t="b">
        <v>0</v>
      </c>
      <c r="B13828" s="11" t="str">
        <f>IF(D13828&lt;&gt;"",IF(COUNTIF('USPTO TMs'!A:A,D13828)&gt;0,"Yes","No"),"")</f>
        <v/>
      </c>
      <c r="C13828" s="11"/>
      <c r="D13828" s="11"/>
      <c r="E13828" s="11"/>
      <c r="F13828" s="11"/>
      <c r="G13828" s="11"/>
      <c r="H13828" s="11"/>
      <c r="I13828" s="15"/>
    </row>
    <row r="13829" spans="1:9" ht="16.5">
      <c r="A13829" s="10" t="b">
        <v>0</v>
      </c>
      <c r="B13829" s="11" t="str">
        <f>IF(D13829&lt;&gt;"",IF(COUNTIF('USPTO TMs'!A:A,D13829)&gt;0,"Yes","No"),"")</f>
        <v/>
      </c>
      <c r="C13829" s="11"/>
      <c r="D13829" s="11"/>
      <c r="E13829" s="11"/>
      <c r="F13829" s="11"/>
      <c r="G13829" s="11"/>
      <c r="H13829" s="11"/>
      <c r="I13829" s="15"/>
    </row>
    <row r="13830" spans="1:9" ht="16.5">
      <c r="A13830" s="10" t="b">
        <v>0</v>
      </c>
      <c r="B13830" s="11" t="str">
        <f>IF(D13830&lt;&gt;"",IF(COUNTIF('USPTO TMs'!A:A,D13830)&gt;0,"Yes","No"),"")</f>
        <v/>
      </c>
      <c r="C13830" s="11"/>
      <c r="D13830" s="11"/>
      <c r="E13830" s="11"/>
      <c r="F13830" s="11"/>
      <c r="G13830" s="11"/>
      <c r="H13830" s="11"/>
      <c r="I13830" s="15"/>
    </row>
    <row r="13831" spans="1:9" ht="16.5">
      <c r="A13831" s="10" t="b">
        <v>0</v>
      </c>
      <c r="B13831" s="11" t="str">
        <f>IF(D13831&lt;&gt;"",IF(COUNTIF('USPTO TMs'!A:A,D13831)&gt;0,"Yes","No"),"")</f>
        <v/>
      </c>
      <c r="C13831" s="11"/>
      <c r="D13831" s="11"/>
      <c r="E13831" s="11"/>
      <c r="F13831" s="11"/>
      <c r="G13831" s="11"/>
      <c r="H13831" s="11"/>
      <c r="I13831" s="15"/>
    </row>
    <row r="13832" spans="1:9" ht="16.5">
      <c r="A13832" s="10" t="b">
        <v>0</v>
      </c>
      <c r="B13832" s="11" t="str">
        <f>IF(D13832&lt;&gt;"",IF(COUNTIF('USPTO TMs'!A:A,D13832)&gt;0,"Yes","No"),"")</f>
        <v/>
      </c>
      <c r="C13832" s="11"/>
      <c r="D13832" s="11"/>
      <c r="E13832" s="11"/>
      <c r="F13832" s="11"/>
      <c r="G13832" s="11"/>
      <c r="H13832" s="11"/>
      <c r="I13832" s="15"/>
    </row>
    <row r="13833" spans="1:9" ht="16.5">
      <c r="A13833" s="10" t="b">
        <v>0</v>
      </c>
      <c r="B13833" s="11" t="str">
        <f>IF(D13833&lt;&gt;"",IF(COUNTIF('USPTO TMs'!A:A,D13833)&gt;0,"Yes","No"),"")</f>
        <v/>
      </c>
      <c r="C13833" s="11"/>
      <c r="D13833" s="11"/>
      <c r="E13833" s="11"/>
      <c r="F13833" s="11"/>
      <c r="G13833" s="11"/>
      <c r="H13833" s="11"/>
      <c r="I13833" s="15"/>
    </row>
    <row r="13834" spans="1:9" ht="16.5">
      <c r="A13834" s="10" t="b">
        <v>0</v>
      </c>
      <c r="B13834" s="11" t="str">
        <f>IF(D13834&lt;&gt;"",IF(COUNTIF('USPTO TMs'!A:A,D13834)&gt;0,"Yes","No"),"")</f>
        <v/>
      </c>
      <c r="C13834" s="11"/>
      <c r="D13834" s="11"/>
      <c r="E13834" s="11"/>
      <c r="F13834" s="11"/>
      <c r="G13834" s="11"/>
      <c r="H13834" s="11"/>
      <c r="I13834" s="15"/>
    </row>
    <row r="13835" spans="1:9" ht="16.5">
      <c r="A13835" s="10" t="b">
        <v>0</v>
      </c>
      <c r="B13835" s="11" t="str">
        <f>IF(D13835&lt;&gt;"",IF(COUNTIF('USPTO TMs'!A:A,D13835)&gt;0,"Yes","No"),"")</f>
        <v/>
      </c>
      <c r="C13835" s="11"/>
      <c r="D13835" s="11"/>
      <c r="E13835" s="11"/>
      <c r="F13835" s="11"/>
      <c r="G13835" s="11"/>
      <c r="H13835" s="11"/>
      <c r="I13835" s="15"/>
    </row>
    <row r="13836" spans="1:9" ht="16.5">
      <c r="A13836" s="10" t="b">
        <v>0</v>
      </c>
      <c r="B13836" s="11" t="str">
        <f>IF(D13836&lt;&gt;"",IF(COUNTIF('USPTO TMs'!A:A,D13836)&gt;0,"Yes","No"),"")</f>
        <v/>
      </c>
      <c r="C13836" s="11"/>
      <c r="D13836" s="11"/>
      <c r="E13836" s="11"/>
      <c r="F13836" s="11"/>
      <c r="G13836" s="11"/>
      <c r="H13836" s="11"/>
      <c r="I13836" s="15"/>
    </row>
    <row r="13837" spans="1:9" ht="16.5">
      <c r="A13837" s="10" t="b">
        <v>0</v>
      </c>
      <c r="B13837" s="11" t="str">
        <f>IF(D13837&lt;&gt;"",IF(COUNTIF('USPTO TMs'!A:A,D13837)&gt;0,"Yes","No"),"")</f>
        <v/>
      </c>
      <c r="C13837" s="11"/>
      <c r="D13837" s="11"/>
      <c r="E13837" s="11"/>
      <c r="F13837" s="11"/>
      <c r="G13837" s="11"/>
      <c r="H13837" s="11"/>
      <c r="I13837" s="15"/>
    </row>
    <row r="13838" spans="1:9" ht="16.5">
      <c r="A13838" s="10" t="b">
        <v>0</v>
      </c>
      <c r="B13838" s="11" t="str">
        <f>IF(D13838&lt;&gt;"",IF(COUNTIF('USPTO TMs'!A:A,D13838)&gt;0,"Yes","No"),"")</f>
        <v/>
      </c>
      <c r="C13838" s="11"/>
      <c r="D13838" s="11"/>
      <c r="E13838" s="11"/>
      <c r="F13838" s="11"/>
      <c r="G13838" s="11"/>
      <c r="H13838" s="11"/>
      <c r="I13838" s="15"/>
    </row>
    <row r="13839" spans="1:9" ht="16.5">
      <c r="A13839" s="10" t="b">
        <v>0</v>
      </c>
      <c r="B13839" s="11" t="str">
        <f>IF(D13839&lt;&gt;"",IF(COUNTIF('USPTO TMs'!A:A,D13839)&gt;0,"Yes","No"),"")</f>
        <v/>
      </c>
      <c r="C13839" s="11"/>
      <c r="D13839" s="11"/>
      <c r="E13839" s="11"/>
      <c r="F13839" s="11"/>
      <c r="G13839" s="11"/>
      <c r="H13839" s="11"/>
      <c r="I13839" s="15"/>
    </row>
    <row r="13840" spans="1:9" ht="16.5">
      <c r="A13840" s="10" t="b">
        <v>0</v>
      </c>
      <c r="B13840" s="11" t="str">
        <f>IF(D13840&lt;&gt;"",IF(COUNTIF('USPTO TMs'!A:A,D13840)&gt;0,"Yes","No"),"")</f>
        <v/>
      </c>
      <c r="C13840" s="11"/>
      <c r="D13840" s="11"/>
      <c r="E13840" s="11"/>
      <c r="F13840" s="11"/>
      <c r="G13840" s="11"/>
      <c r="H13840" s="11"/>
      <c r="I13840" s="15"/>
    </row>
    <row r="13841" spans="1:9" ht="16.5">
      <c r="A13841" s="10" t="b">
        <v>0</v>
      </c>
      <c r="B13841" s="11" t="str">
        <f>IF(D13841&lt;&gt;"",IF(COUNTIF('USPTO TMs'!A:A,D13841)&gt;0,"Yes","No"),"")</f>
        <v/>
      </c>
      <c r="C13841" s="11"/>
      <c r="D13841" s="11"/>
      <c r="E13841" s="11"/>
      <c r="F13841" s="11"/>
      <c r="G13841" s="11"/>
      <c r="H13841" s="11"/>
      <c r="I13841" s="15"/>
    </row>
    <row r="13842" spans="1:9" ht="16.5">
      <c r="A13842" s="10" t="b">
        <v>0</v>
      </c>
      <c r="B13842" s="11" t="str">
        <f>IF(D13842&lt;&gt;"",IF(COUNTIF('USPTO TMs'!A:A,D13842)&gt;0,"Yes","No"),"")</f>
        <v/>
      </c>
      <c r="C13842" s="11"/>
      <c r="D13842" s="11"/>
      <c r="E13842" s="11"/>
      <c r="F13842" s="11"/>
      <c r="G13842" s="11"/>
      <c r="H13842" s="11"/>
      <c r="I13842" s="15"/>
    </row>
    <row r="13843" spans="1:9" ht="16.5">
      <c r="A13843" s="10" t="b">
        <v>0</v>
      </c>
      <c r="B13843" s="11" t="str">
        <f>IF(D13843&lt;&gt;"",IF(COUNTIF('USPTO TMs'!A:A,D13843)&gt;0,"Yes","No"),"")</f>
        <v/>
      </c>
      <c r="C13843" s="11"/>
      <c r="D13843" s="11"/>
      <c r="E13843" s="11"/>
      <c r="F13843" s="11"/>
      <c r="G13843" s="11"/>
      <c r="H13843" s="11"/>
      <c r="I13843" s="15"/>
    </row>
    <row r="13844" spans="1:9" ht="16.5">
      <c r="A13844" s="10" t="b">
        <v>0</v>
      </c>
      <c r="B13844" s="11" t="str">
        <f>IF(D13844&lt;&gt;"",IF(COUNTIF('USPTO TMs'!A:A,D13844)&gt;0,"Yes","No"),"")</f>
        <v/>
      </c>
      <c r="C13844" s="11"/>
      <c r="D13844" s="11"/>
      <c r="E13844" s="11"/>
      <c r="F13844" s="11"/>
      <c r="G13844" s="11"/>
      <c r="H13844" s="11"/>
      <c r="I13844" s="15"/>
    </row>
    <row r="13845" spans="1:9" ht="16.5">
      <c r="A13845" s="10" t="b">
        <v>0</v>
      </c>
      <c r="B13845" s="11" t="str">
        <f>IF(D13845&lt;&gt;"",IF(COUNTIF('USPTO TMs'!A:A,D13845)&gt;0,"Yes","No"),"")</f>
        <v/>
      </c>
      <c r="C13845" s="11"/>
      <c r="D13845" s="11"/>
      <c r="E13845" s="11"/>
      <c r="F13845" s="11"/>
      <c r="G13845" s="11"/>
      <c r="H13845" s="11"/>
      <c r="I13845" s="15"/>
    </row>
    <row r="13846" spans="1:9" ht="16.5">
      <c r="A13846" s="10" t="b">
        <v>0</v>
      </c>
      <c r="B13846" s="11" t="str">
        <f>IF(D13846&lt;&gt;"",IF(COUNTIF('USPTO TMs'!A:A,D13846)&gt;0,"Yes","No"),"")</f>
        <v/>
      </c>
      <c r="C13846" s="11"/>
      <c r="D13846" s="11"/>
      <c r="E13846" s="11"/>
      <c r="F13846" s="11"/>
      <c r="G13846" s="11"/>
      <c r="H13846" s="11"/>
      <c r="I13846" s="15"/>
    </row>
    <row r="13847" spans="1:9" ht="16.5">
      <c r="A13847" s="10" t="b">
        <v>0</v>
      </c>
      <c r="B13847" s="11" t="str">
        <f>IF(D13847&lt;&gt;"",IF(COUNTIF('USPTO TMs'!A:A,D13847)&gt;0,"Yes","No"),"")</f>
        <v/>
      </c>
      <c r="C13847" s="11"/>
      <c r="D13847" s="11"/>
      <c r="E13847" s="11"/>
      <c r="F13847" s="11"/>
      <c r="G13847" s="11"/>
      <c r="H13847" s="11"/>
      <c r="I13847" s="15"/>
    </row>
    <row r="13848" spans="1:9" ht="16.5">
      <c r="A13848" s="10" t="b">
        <v>0</v>
      </c>
      <c r="B13848" s="11" t="str">
        <f>IF(D13848&lt;&gt;"",IF(COUNTIF('USPTO TMs'!A:A,D13848)&gt;0,"Yes","No"),"")</f>
        <v/>
      </c>
      <c r="C13848" s="11"/>
      <c r="D13848" s="11"/>
      <c r="E13848" s="11"/>
      <c r="F13848" s="11"/>
      <c r="G13848" s="11"/>
      <c r="H13848" s="11"/>
      <c r="I13848" s="15"/>
    </row>
    <row r="13849" spans="1:9" ht="16.5">
      <c r="A13849" s="10" t="b">
        <v>0</v>
      </c>
      <c r="B13849" s="11" t="str">
        <f>IF(D13849&lt;&gt;"",IF(COUNTIF('USPTO TMs'!A:A,D13849)&gt;0,"Yes","No"),"")</f>
        <v/>
      </c>
      <c r="C13849" s="11"/>
      <c r="D13849" s="11"/>
      <c r="E13849" s="11"/>
      <c r="F13849" s="11"/>
      <c r="G13849" s="11"/>
      <c r="H13849" s="11"/>
      <c r="I13849" s="15"/>
    </row>
    <row r="13850" spans="1:9" ht="16.5">
      <c r="A13850" s="10" t="b">
        <v>0</v>
      </c>
      <c r="B13850" s="11" t="str">
        <f>IF(D13850&lt;&gt;"",IF(COUNTIF('USPTO TMs'!A:A,D13850)&gt;0,"Yes","No"),"")</f>
        <v/>
      </c>
      <c r="C13850" s="11"/>
      <c r="D13850" s="11"/>
      <c r="E13850" s="11"/>
      <c r="F13850" s="11"/>
      <c r="G13850" s="11"/>
      <c r="H13850" s="11"/>
      <c r="I13850" s="15"/>
    </row>
    <row r="13851" spans="1:9" ht="16.5">
      <c r="A13851" s="10" t="b">
        <v>0</v>
      </c>
      <c r="B13851" s="11" t="str">
        <f>IF(D13851&lt;&gt;"",IF(COUNTIF('USPTO TMs'!A:A,D13851)&gt;0,"Yes","No"),"")</f>
        <v/>
      </c>
      <c r="C13851" s="11"/>
      <c r="D13851" s="11"/>
      <c r="E13851" s="11"/>
      <c r="F13851" s="11"/>
      <c r="G13851" s="11"/>
      <c r="H13851" s="11"/>
      <c r="I13851" s="15"/>
    </row>
    <row r="13852" spans="1:9" ht="16.5">
      <c r="A13852" s="10" t="b">
        <v>0</v>
      </c>
      <c r="B13852" s="11" t="str">
        <f>IF(D13852&lt;&gt;"",IF(COUNTIF('USPTO TMs'!A:A,D13852)&gt;0,"Yes","No"),"")</f>
        <v/>
      </c>
      <c r="C13852" s="11"/>
      <c r="D13852" s="11"/>
      <c r="E13852" s="11"/>
      <c r="F13852" s="11"/>
      <c r="G13852" s="11"/>
      <c r="H13852" s="11"/>
      <c r="I13852" s="15"/>
    </row>
    <row r="13853" spans="1:9" ht="16.5">
      <c r="A13853" s="10" t="b">
        <v>0</v>
      </c>
      <c r="B13853" s="11" t="str">
        <f>IF(D13853&lt;&gt;"",IF(COUNTIF('USPTO TMs'!A:A,D13853)&gt;0,"Yes","No"),"")</f>
        <v/>
      </c>
      <c r="C13853" s="11"/>
      <c r="D13853" s="11"/>
      <c r="E13853" s="11"/>
      <c r="F13853" s="11"/>
      <c r="G13853" s="11"/>
      <c r="H13853" s="11"/>
      <c r="I13853" s="15"/>
    </row>
    <row r="13854" spans="1:9" ht="16.5">
      <c r="A13854" s="10" t="b">
        <v>0</v>
      </c>
      <c r="B13854" s="11" t="str">
        <f>IF(D13854&lt;&gt;"",IF(COUNTIF('USPTO TMs'!A:A,D13854)&gt;0,"Yes","No"),"")</f>
        <v/>
      </c>
      <c r="C13854" s="11"/>
      <c r="D13854" s="11"/>
      <c r="E13854" s="11"/>
      <c r="F13854" s="11"/>
      <c r="G13854" s="11"/>
      <c r="H13854" s="11"/>
      <c r="I13854" s="15"/>
    </row>
    <row r="13855" spans="1:9" ht="16.5">
      <c r="A13855" s="10" t="b">
        <v>0</v>
      </c>
      <c r="B13855" s="11" t="str">
        <f>IF(D13855&lt;&gt;"",IF(COUNTIF('USPTO TMs'!A:A,D13855)&gt;0,"Yes","No"),"")</f>
        <v/>
      </c>
      <c r="C13855" s="11"/>
      <c r="D13855" s="11"/>
      <c r="E13855" s="11"/>
      <c r="F13855" s="11"/>
      <c r="G13855" s="11"/>
      <c r="H13855" s="11"/>
      <c r="I13855" s="15"/>
    </row>
    <row r="13856" spans="1:9" ht="16.5">
      <c r="A13856" s="10" t="b">
        <v>0</v>
      </c>
      <c r="B13856" s="11" t="str">
        <f>IF(D13856&lt;&gt;"",IF(COUNTIF('USPTO TMs'!A:A,D13856)&gt;0,"Yes","No"),"")</f>
        <v/>
      </c>
      <c r="C13856" s="11"/>
      <c r="D13856" s="11"/>
      <c r="E13856" s="11"/>
      <c r="F13856" s="11"/>
      <c r="G13856" s="11"/>
      <c r="H13856" s="11"/>
      <c r="I13856" s="15"/>
    </row>
    <row r="13857" spans="1:9" ht="16.5">
      <c r="A13857" s="10" t="b">
        <v>0</v>
      </c>
      <c r="B13857" s="11" t="str">
        <f>IF(D13857&lt;&gt;"",IF(COUNTIF('USPTO TMs'!A:A,D13857)&gt;0,"Yes","No"),"")</f>
        <v/>
      </c>
      <c r="C13857" s="11"/>
      <c r="D13857" s="11"/>
      <c r="E13857" s="11"/>
      <c r="F13857" s="11"/>
      <c r="G13857" s="11"/>
      <c r="H13857" s="11"/>
      <c r="I13857" s="15"/>
    </row>
    <row r="13858" spans="1:9" ht="16.5">
      <c r="A13858" s="10" t="b">
        <v>0</v>
      </c>
      <c r="B13858" s="11" t="str">
        <f>IF(D13858&lt;&gt;"",IF(COUNTIF('USPTO TMs'!A:A,D13858)&gt;0,"Yes","No"),"")</f>
        <v/>
      </c>
      <c r="C13858" s="11"/>
      <c r="D13858" s="11"/>
      <c r="E13858" s="11"/>
      <c r="F13858" s="11"/>
      <c r="G13858" s="11"/>
      <c r="H13858" s="11"/>
      <c r="I13858" s="15"/>
    </row>
    <row r="13859" spans="1:9" ht="16.5">
      <c r="A13859" s="10" t="b">
        <v>0</v>
      </c>
      <c r="B13859" s="11" t="str">
        <f>IF(D13859&lt;&gt;"",IF(COUNTIF('USPTO TMs'!A:A,D13859)&gt;0,"Yes","No"),"")</f>
        <v/>
      </c>
      <c r="C13859" s="11"/>
      <c r="D13859" s="11"/>
      <c r="E13859" s="11"/>
      <c r="F13859" s="11"/>
      <c r="G13859" s="11"/>
      <c r="H13859" s="11"/>
      <c r="I13859" s="15"/>
    </row>
    <row r="13860" spans="1:9" ht="16.5">
      <c r="A13860" s="10" t="b">
        <v>0</v>
      </c>
      <c r="B13860" s="11" t="str">
        <f>IF(D13860&lt;&gt;"",IF(COUNTIF('USPTO TMs'!A:A,D13860)&gt;0,"Yes","No"),"")</f>
        <v/>
      </c>
      <c r="C13860" s="11"/>
      <c r="D13860" s="11"/>
      <c r="E13860" s="11"/>
      <c r="F13860" s="11"/>
      <c r="G13860" s="11"/>
      <c r="H13860" s="11"/>
      <c r="I13860" s="15"/>
    </row>
    <row r="13861" spans="1:9" ht="16.5">
      <c r="A13861" s="10" t="b">
        <v>0</v>
      </c>
      <c r="B13861" s="11" t="str">
        <f>IF(D13861&lt;&gt;"",IF(COUNTIF('USPTO TMs'!A:A,D13861)&gt;0,"Yes","No"),"")</f>
        <v/>
      </c>
      <c r="C13861" s="11"/>
      <c r="D13861" s="11"/>
      <c r="E13861" s="11"/>
      <c r="F13861" s="11"/>
      <c r="G13861" s="11"/>
      <c r="H13861" s="11"/>
      <c r="I13861" s="15"/>
    </row>
    <row r="13862" spans="1:9" ht="16.5">
      <c r="A13862" s="10" t="b">
        <v>0</v>
      </c>
      <c r="B13862" s="11" t="str">
        <f>IF(D13862&lt;&gt;"",IF(COUNTIF('USPTO TMs'!A:A,D13862)&gt;0,"Yes","No"),"")</f>
        <v/>
      </c>
      <c r="C13862" s="11"/>
      <c r="D13862" s="11"/>
      <c r="E13862" s="11"/>
      <c r="F13862" s="11"/>
      <c r="G13862" s="11"/>
      <c r="H13862" s="11"/>
      <c r="I13862" s="15"/>
    </row>
    <row r="13863" spans="1:9" ht="16.5">
      <c r="A13863" s="10" t="b">
        <v>0</v>
      </c>
      <c r="B13863" s="11" t="str">
        <f>IF(D13863&lt;&gt;"",IF(COUNTIF('USPTO TMs'!A:A,D13863)&gt;0,"Yes","No"),"")</f>
        <v/>
      </c>
      <c r="C13863" s="11"/>
      <c r="D13863" s="11"/>
      <c r="E13863" s="11"/>
      <c r="F13863" s="11"/>
      <c r="G13863" s="11"/>
      <c r="H13863" s="11"/>
      <c r="I13863" s="15"/>
    </row>
    <row r="13864" spans="1:9" ht="16.5">
      <c r="A13864" s="10" t="b">
        <v>0</v>
      </c>
      <c r="B13864" s="11" t="str">
        <f>IF(D13864&lt;&gt;"",IF(COUNTIF('USPTO TMs'!A:A,D13864)&gt;0,"Yes","No"),"")</f>
        <v/>
      </c>
      <c r="C13864" s="11"/>
      <c r="D13864" s="11"/>
      <c r="E13864" s="11"/>
      <c r="F13864" s="11"/>
      <c r="G13864" s="11"/>
      <c r="H13864" s="11"/>
      <c r="I13864" s="15"/>
    </row>
    <row r="13865" spans="1:9" ht="16.5">
      <c r="A13865" s="10" t="b">
        <v>0</v>
      </c>
      <c r="B13865" s="11" t="str">
        <f>IF(D13865&lt;&gt;"",IF(COUNTIF('USPTO TMs'!A:A,D13865)&gt;0,"Yes","No"),"")</f>
        <v/>
      </c>
      <c r="C13865" s="11"/>
      <c r="D13865" s="11"/>
      <c r="E13865" s="11"/>
      <c r="F13865" s="11"/>
      <c r="G13865" s="11"/>
      <c r="H13865" s="11"/>
      <c r="I13865" s="15"/>
    </row>
    <row r="13866" spans="1:9" ht="16.5">
      <c r="A13866" s="10" t="b">
        <v>0</v>
      </c>
      <c r="B13866" s="11" t="str">
        <f>IF(D13866&lt;&gt;"",IF(COUNTIF('USPTO TMs'!A:A,D13866)&gt;0,"Yes","No"),"")</f>
        <v/>
      </c>
      <c r="C13866" s="11"/>
      <c r="D13866" s="11"/>
      <c r="E13866" s="11"/>
      <c r="F13866" s="11"/>
      <c r="G13866" s="11"/>
      <c r="H13866" s="11"/>
      <c r="I13866" s="15"/>
    </row>
    <row r="13867" spans="1:9" ht="16.5">
      <c r="A13867" s="10" t="b">
        <v>0</v>
      </c>
      <c r="B13867" s="11" t="str">
        <f>IF(D13867&lt;&gt;"",IF(COUNTIF('USPTO TMs'!A:A,D13867)&gt;0,"Yes","No"),"")</f>
        <v/>
      </c>
      <c r="C13867" s="11"/>
      <c r="D13867" s="11"/>
      <c r="E13867" s="11"/>
      <c r="F13867" s="11"/>
      <c r="G13867" s="11"/>
      <c r="H13867" s="11"/>
      <c r="I13867" s="15"/>
    </row>
    <row r="13868" spans="1:9" ht="16.5">
      <c r="A13868" s="10" t="b">
        <v>0</v>
      </c>
      <c r="B13868" s="11" t="str">
        <f>IF(D13868&lt;&gt;"",IF(COUNTIF('USPTO TMs'!A:A,D13868)&gt;0,"Yes","No"),"")</f>
        <v/>
      </c>
      <c r="C13868" s="11"/>
      <c r="D13868" s="11"/>
      <c r="E13868" s="11"/>
      <c r="F13868" s="11"/>
      <c r="G13868" s="11"/>
      <c r="H13868" s="11"/>
      <c r="I13868" s="15"/>
    </row>
    <row r="13869" spans="1:9" ht="16.5">
      <c r="A13869" s="10" t="b">
        <v>0</v>
      </c>
      <c r="B13869" s="11" t="str">
        <f>IF(D13869&lt;&gt;"",IF(COUNTIF('USPTO TMs'!A:A,D13869)&gt;0,"Yes","No"),"")</f>
        <v/>
      </c>
      <c r="C13869" s="11"/>
      <c r="D13869" s="11"/>
      <c r="E13869" s="11"/>
      <c r="F13869" s="11"/>
      <c r="G13869" s="11"/>
      <c r="H13869" s="11"/>
      <c r="I13869" s="15"/>
    </row>
    <row r="13870" spans="1:9" ht="16.5">
      <c r="A13870" s="10" t="b">
        <v>0</v>
      </c>
      <c r="B13870" s="11" t="str">
        <f>IF(D13870&lt;&gt;"",IF(COUNTIF('USPTO TMs'!A:A,D13870)&gt;0,"Yes","No"),"")</f>
        <v/>
      </c>
      <c r="C13870" s="11"/>
      <c r="D13870" s="11"/>
      <c r="E13870" s="11"/>
      <c r="F13870" s="11"/>
      <c r="G13870" s="11"/>
      <c r="H13870" s="11"/>
      <c r="I13870" s="15"/>
    </row>
    <row r="13871" spans="1:9" ht="16.5">
      <c r="A13871" s="10" t="b">
        <v>0</v>
      </c>
      <c r="B13871" s="11" t="str">
        <f>IF(D13871&lt;&gt;"",IF(COUNTIF('USPTO TMs'!A:A,D13871)&gt;0,"Yes","No"),"")</f>
        <v/>
      </c>
      <c r="C13871" s="11"/>
      <c r="D13871" s="11"/>
      <c r="E13871" s="11"/>
      <c r="F13871" s="11"/>
      <c r="G13871" s="11"/>
      <c r="H13871" s="11"/>
      <c r="I13871" s="15"/>
    </row>
    <row r="13872" spans="1:9" ht="16.5">
      <c r="A13872" s="10" t="b">
        <v>0</v>
      </c>
      <c r="B13872" s="11" t="str">
        <f>IF(D13872&lt;&gt;"",IF(COUNTIF('USPTO TMs'!A:A,D13872)&gt;0,"Yes","No"),"")</f>
        <v/>
      </c>
      <c r="C13872" s="11"/>
      <c r="D13872" s="11"/>
      <c r="E13872" s="11"/>
      <c r="F13872" s="11"/>
      <c r="G13872" s="11"/>
      <c r="H13872" s="11"/>
      <c r="I13872" s="15"/>
    </row>
    <row r="13873" spans="1:9" ht="16.5">
      <c r="A13873" s="10" t="b">
        <v>0</v>
      </c>
      <c r="B13873" s="11" t="str">
        <f>IF(D13873&lt;&gt;"",IF(COUNTIF('USPTO TMs'!A:A,D13873)&gt;0,"Yes","No"),"")</f>
        <v/>
      </c>
      <c r="C13873" s="11"/>
      <c r="D13873" s="11"/>
      <c r="E13873" s="11"/>
      <c r="F13873" s="11"/>
      <c r="G13873" s="11"/>
      <c r="H13873" s="11"/>
      <c r="I13873" s="15"/>
    </row>
    <row r="13874" spans="1:9" ht="16.5">
      <c r="A13874" s="10" t="b">
        <v>0</v>
      </c>
      <c r="B13874" s="11" t="str">
        <f>IF(D13874&lt;&gt;"",IF(COUNTIF('USPTO TMs'!A:A,D13874)&gt;0,"Yes","No"),"")</f>
        <v/>
      </c>
      <c r="C13874" s="11"/>
      <c r="D13874" s="11"/>
      <c r="E13874" s="11"/>
      <c r="F13874" s="11"/>
      <c r="G13874" s="11"/>
      <c r="H13874" s="11"/>
      <c r="I13874" s="15"/>
    </row>
    <row r="13875" spans="1:9" ht="16.5">
      <c r="A13875" s="10" t="b">
        <v>0</v>
      </c>
      <c r="B13875" s="11" t="str">
        <f>IF(D13875&lt;&gt;"",IF(COUNTIF('USPTO TMs'!A:A,D13875)&gt;0,"Yes","No"),"")</f>
        <v/>
      </c>
      <c r="C13875" s="11"/>
      <c r="D13875" s="11"/>
      <c r="E13875" s="11"/>
      <c r="F13875" s="11"/>
      <c r="G13875" s="11"/>
      <c r="H13875" s="11"/>
      <c r="I13875" s="15"/>
    </row>
    <row r="13876" spans="1:9" ht="16.5">
      <c r="A13876" s="10" t="b">
        <v>0</v>
      </c>
      <c r="B13876" s="11" t="str">
        <f>IF(D13876&lt;&gt;"",IF(COUNTIF('USPTO TMs'!A:A,D13876)&gt;0,"Yes","No"),"")</f>
        <v/>
      </c>
      <c r="C13876" s="11"/>
      <c r="D13876" s="11"/>
      <c r="E13876" s="11"/>
      <c r="F13876" s="11"/>
      <c r="G13876" s="11"/>
      <c r="H13876" s="11"/>
      <c r="I13876" s="15"/>
    </row>
    <row r="13877" spans="1:9" ht="16.5">
      <c r="A13877" s="10" t="b">
        <v>0</v>
      </c>
      <c r="B13877" s="11" t="str">
        <f>IF(D13877&lt;&gt;"",IF(COUNTIF('USPTO TMs'!A:A,D13877)&gt;0,"Yes","No"),"")</f>
        <v/>
      </c>
      <c r="C13877" s="11"/>
      <c r="D13877" s="11"/>
      <c r="E13877" s="11"/>
      <c r="F13877" s="11"/>
      <c r="G13877" s="11"/>
      <c r="H13877" s="11"/>
      <c r="I13877" s="15"/>
    </row>
    <row r="13878" spans="1:9" ht="16.5">
      <c r="A13878" s="10" t="b">
        <v>0</v>
      </c>
      <c r="B13878" s="11" t="str">
        <f>IF(D13878&lt;&gt;"",IF(COUNTIF('USPTO TMs'!A:A,D13878)&gt;0,"Yes","No"),"")</f>
        <v/>
      </c>
      <c r="C13878" s="11"/>
      <c r="D13878" s="11"/>
      <c r="E13878" s="11"/>
      <c r="F13878" s="11"/>
      <c r="G13878" s="11"/>
      <c r="H13878" s="11"/>
      <c r="I13878" s="15"/>
    </row>
    <row r="13879" spans="1:9" ht="16.5">
      <c r="A13879" s="10" t="b">
        <v>0</v>
      </c>
      <c r="B13879" s="11" t="str">
        <f>IF(D13879&lt;&gt;"",IF(COUNTIF('USPTO TMs'!A:A,D13879)&gt;0,"Yes","No"),"")</f>
        <v/>
      </c>
      <c r="C13879" s="11"/>
      <c r="D13879" s="11"/>
      <c r="E13879" s="11"/>
      <c r="F13879" s="11"/>
      <c r="G13879" s="11"/>
      <c r="H13879" s="11"/>
      <c r="I13879" s="15"/>
    </row>
    <row r="13880" spans="1:9" ht="16.5">
      <c r="A13880" s="10" t="b">
        <v>0</v>
      </c>
      <c r="B13880" s="11" t="str">
        <f>IF(D13880&lt;&gt;"",IF(COUNTIF('USPTO TMs'!A:A,D13880)&gt;0,"Yes","No"),"")</f>
        <v/>
      </c>
      <c r="C13880" s="11"/>
      <c r="D13880" s="11"/>
      <c r="E13880" s="11"/>
      <c r="F13880" s="11"/>
      <c r="G13880" s="11"/>
      <c r="H13880" s="11"/>
      <c r="I13880" s="15"/>
    </row>
    <row r="13881" spans="1:9" ht="16.5">
      <c r="A13881" s="10" t="b">
        <v>0</v>
      </c>
      <c r="B13881" s="11" t="str">
        <f>IF(D13881&lt;&gt;"",IF(COUNTIF('USPTO TMs'!A:A,D13881)&gt;0,"Yes","No"),"")</f>
        <v/>
      </c>
      <c r="C13881" s="11"/>
      <c r="D13881" s="11"/>
      <c r="E13881" s="11"/>
      <c r="F13881" s="11"/>
      <c r="G13881" s="11"/>
      <c r="H13881" s="11"/>
      <c r="I13881" s="15"/>
    </row>
    <row r="13882" spans="1:9" ht="16.5">
      <c r="A13882" s="10" t="b">
        <v>0</v>
      </c>
      <c r="B13882" s="11" t="str">
        <f>IF(D13882&lt;&gt;"",IF(COUNTIF('USPTO TMs'!A:A,D13882)&gt;0,"Yes","No"),"")</f>
        <v/>
      </c>
      <c r="C13882" s="11"/>
      <c r="D13882" s="11"/>
      <c r="E13882" s="11"/>
      <c r="F13882" s="11"/>
      <c r="G13882" s="11"/>
      <c r="H13882" s="11"/>
      <c r="I13882" s="15"/>
    </row>
    <row r="13883" spans="1:9" ht="16.5">
      <c r="A13883" s="10" t="b">
        <v>0</v>
      </c>
      <c r="B13883" s="11" t="str">
        <f>IF(D13883&lt;&gt;"",IF(COUNTIF('USPTO TMs'!A:A,D13883)&gt;0,"Yes","No"),"")</f>
        <v/>
      </c>
      <c r="C13883" s="11"/>
      <c r="D13883" s="11"/>
      <c r="E13883" s="11"/>
      <c r="F13883" s="11"/>
      <c r="G13883" s="11"/>
      <c r="H13883" s="11"/>
      <c r="I13883" s="15"/>
    </row>
    <row r="13884" spans="1:9" ht="16.5">
      <c r="A13884" s="10" t="b">
        <v>0</v>
      </c>
      <c r="B13884" s="11" t="str">
        <f>IF(D13884&lt;&gt;"",IF(COUNTIF('USPTO TMs'!A:A,D13884)&gt;0,"Yes","No"),"")</f>
        <v/>
      </c>
      <c r="C13884" s="11"/>
      <c r="D13884" s="11"/>
      <c r="E13884" s="11"/>
      <c r="F13884" s="11"/>
      <c r="G13884" s="11"/>
      <c r="H13884" s="11"/>
      <c r="I13884" s="15"/>
    </row>
    <row r="13885" spans="1:9" ht="16.5">
      <c r="A13885" s="10" t="b">
        <v>0</v>
      </c>
      <c r="B13885" s="11" t="str">
        <f>IF(D13885&lt;&gt;"",IF(COUNTIF('USPTO TMs'!A:A,D13885)&gt;0,"Yes","No"),"")</f>
        <v/>
      </c>
      <c r="C13885" s="11"/>
      <c r="D13885" s="11"/>
      <c r="E13885" s="11"/>
      <c r="F13885" s="11"/>
      <c r="G13885" s="11"/>
      <c r="H13885" s="11"/>
      <c r="I13885" s="15"/>
    </row>
    <row r="13886" spans="1:9" ht="16.5">
      <c r="A13886" s="10" t="b">
        <v>0</v>
      </c>
      <c r="B13886" s="11" t="str">
        <f>IF(D13886&lt;&gt;"",IF(COUNTIF('USPTO TMs'!A:A,D13886)&gt;0,"Yes","No"),"")</f>
        <v/>
      </c>
      <c r="C13886" s="11"/>
      <c r="D13886" s="11"/>
      <c r="E13886" s="11"/>
      <c r="F13886" s="11"/>
      <c r="G13886" s="11"/>
      <c r="H13886" s="11"/>
      <c r="I13886" s="15"/>
    </row>
    <row r="13887" spans="1:9" ht="16.5">
      <c r="A13887" s="10" t="b">
        <v>0</v>
      </c>
      <c r="B13887" s="11" t="str">
        <f>IF(D13887&lt;&gt;"",IF(COUNTIF('USPTO TMs'!A:A,D13887)&gt;0,"Yes","No"),"")</f>
        <v/>
      </c>
      <c r="C13887" s="11"/>
      <c r="D13887" s="11"/>
      <c r="E13887" s="11"/>
      <c r="F13887" s="11"/>
      <c r="G13887" s="11"/>
      <c r="H13887" s="11"/>
      <c r="I13887" s="15"/>
    </row>
    <row r="13888" spans="1:9" ht="16.5">
      <c r="A13888" s="10" t="b">
        <v>0</v>
      </c>
      <c r="B13888" s="11" t="str">
        <f>IF(D13888&lt;&gt;"",IF(COUNTIF('USPTO TMs'!A:A,D13888)&gt;0,"Yes","No"),"")</f>
        <v/>
      </c>
      <c r="C13888" s="11"/>
      <c r="D13888" s="11"/>
      <c r="E13888" s="11"/>
      <c r="F13888" s="11"/>
      <c r="G13888" s="11"/>
      <c r="H13888" s="11"/>
      <c r="I13888" s="15"/>
    </row>
    <row r="13889" spans="1:9" ht="16.5">
      <c r="A13889" s="10" t="b">
        <v>0</v>
      </c>
      <c r="B13889" s="11" t="str">
        <f>IF(D13889&lt;&gt;"",IF(COUNTIF('USPTO TMs'!A:A,D13889)&gt;0,"Yes","No"),"")</f>
        <v/>
      </c>
      <c r="C13889" s="11"/>
      <c r="D13889" s="11"/>
      <c r="E13889" s="11"/>
      <c r="F13889" s="11"/>
      <c r="G13889" s="11"/>
      <c r="H13889" s="11"/>
      <c r="I13889" s="15"/>
    </row>
    <row r="13890" spans="1:9" ht="16.5">
      <c r="A13890" s="10" t="b">
        <v>0</v>
      </c>
      <c r="B13890" s="11" t="str">
        <f>IF(D13890&lt;&gt;"",IF(COUNTIF('USPTO TMs'!A:A,D13890)&gt;0,"Yes","No"),"")</f>
        <v/>
      </c>
      <c r="C13890" s="11"/>
      <c r="D13890" s="11"/>
      <c r="E13890" s="11"/>
      <c r="F13890" s="11"/>
      <c r="G13890" s="11"/>
      <c r="H13890" s="11"/>
      <c r="I13890" s="15"/>
    </row>
    <row r="13891" spans="1:9" ht="16.5">
      <c r="A13891" s="10" t="b">
        <v>0</v>
      </c>
      <c r="B13891" s="11" t="str">
        <f>IF(D13891&lt;&gt;"",IF(COUNTIF('USPTO TMs'!A:A,D13891)&gt;0,"Yes","No"),"")</f>
        <v/>
      </c>
      <c r="C13891" s="11"/>
      <c r="D13891" s="11"/>
      <c r="E13891" s="11"/>
      <c r="F13891" s="11"/>
      <c r="G13891" s="11"/>
      <c r="H13891" s="11"/>
      <c r="I13891" s="15"/>
    </row>
    <row r="13892" spans="1:9" ht="16.5">
      <c r="A13892" s="10" t="b">
        <v>0</v>
      </c>
      <c r="B13892" s="11" t="str">
        <f>IF(D13892&lt;&gt;"",IF(COUNTIF('USPTO TMs'!A:A,D13892)&gt;0,"Yes","No"),"")</f>
        <v/>
      </c>
      <c r="C13892" s="11"/>
      <c r="D13892" s="11"/>
      <c r="E13892" s="11"/>
      <c r="F13892" s="11"/>
      <c r="G13892" s="11"/>
      <c r="H13892" s="11"/>
      <c r="I13892" s="15"/>
    </row>
    <row r="13893" spans="1:9" ht="16.5">
      <c r="A13893" s="10" t="b">
        <v>0</v>
      </c>
      <c r="B13893" s="11" t="str">
        <f>IF(D13893&lt;&gt;"",IF(COUNTIF('USPTO TMs'!A:A,D13893)&gt;0,"Yes","No"),"")</f>
        <v/>
      </c>
      <c r="C13893" s="11"/>
      <c r="D13893" s="11"/>
      <c r="E13893" s="11"/>
      <c r="F13893" s="11"/>
      <c r="G13893" s="11"/>
      <c r="H13893" s="11"/>
      <c r="I13893" s="15"/>
    </row>
    <row r="13894" spans="1:9" ht="16.5">
      <c r="A13894" s="10" t="b">
        <v>0</v>
      </c>
      <c r="B13894" s="11" t="str">
        <f>IF(D13894&lt;&gt;"",IF(COUNTIF('USPTO TMs'!A:A,D13894)&gt;0,"Yes","No"),"")</f>
        <v/>
      </c>
      <c r="C13894" s="11"/>
      <c r="D13894" s="11"/>
      <c r="E13894" s="11"/>
      <c r="F13894" s="11"/>
      <c r="G13894" s="11"/>
      <c r="H13894" s="11"/>
      <c r="I13894" s="15"/>
    </row>
    <row r="13895" spans="1:9" ht="16.5">
      <c r="A13895" s="10" t="b">
        <v>0</v>
      </c>
      <c r="B13895" s="11" t="str">
        <f>IF(D13895&lt;&gt;"",IF(COUNTIF('USPTO TMs'!A:A,D13895)&gt;0,"Yes","No"),"")</f>
        <v/>
      </c>
      <c r="C13895" s="11"/>
      <c r="D13895" s="11"/>
      <c r="E13895" s="11"/>
      <c r="F13895" s="11"/>
      <c r="G13895" s="11"/>
      <c r="H13895" s="11"/>
      <c r="I13895" s="15"/>
    </row>
    <row r="13896" spans="1:9" ht="16.5">
      <c r="A13896" s="10" t="b">
        <v>0</v>
      </c>
      <c r="B13896" s="11" t="str">
        <f>IF(D13896&lt;&gt;"",IF(COUNTIF('USPTO TMs'!A:A,D13896)&gt;0,"Yes","No"),"")</f>
        <v/>
      </c>
      <c r="C13896" s="11"/>
      <c r="D13896" s="11"/>
      <c r="E13896" s="11"/>
      <c r="F13896" s="11"/>
      <c r="G13896" s="11"/>
      <c r="H13896" s="11"/>
      <c r="I13896" s="15"/>
    </row>
    <row r="13897" spans="1:9" ht="16.5">
      <c r="A13897" s="10" t="b">
        <v>0</v>
      </c>
      <c r="B13897" s="11" t="str">
        <f>IF(D13897&lt;&gt;"",IF(COUNTIF('USPTO TMs'!A:A,D13897)&gt;0,"Yes","No"),"")</f>
        <v/>
      </c>
      <c r="C13897" s="11"/>
      <c r="D13897" s="11"/>
      <c r="E13897" s="11"/>
      <c r="F13897" s="11"/>
      <c r="G13897" s="11"/>
      <c r="H13897" s="11"/>
      <c r="I13897" s="15"/>
    </row>
    <row r="13898" spans="1:9" ht="16.5">
      <c r="A13898" s="10" t="b">
        <v>0</v>
      </c>
      <c r="B13898" s="11" t="str">
        <f>IF(D13898&lt;&gt;"",IF(COUNTIF('USPTO TMs'!A:A,D13898)&gt;0,"Yes","No"),"")</f>
        <v/>
      </c>
      <c r="C13898" s="11"/>
      <c r="D13898" s="11"/>
      <c r="E13898" s="11"/>
      <c r="F13898" s="11"/>
      <c r="G13898" s="11"/>
      <c r="H13898" s="11"/>
      <c r="I13898" s="15"/>
    </row>
    <row r="13899" spans="1:9" ht="16.5">
      <c r="A13899" s="10" t="b">
        <v>0</v>
      </c>
      <c r="B13899" s="11" t="str">
        <f>IF(D13899&lt;&gt;"",IF(COUNTIF('USPTO TMs'!A:A,D13899)&gt;0,"Yes","No"),"")</f>
        <v/>
      </c>
      <c r="C13899" s="11"/>
      <c r="D13899" s="11"/>
      <c r="E13899" s="11"/>
      <c r="F13899" s="11"/>
      <c r="G13899" s="11"/>
      <c r="H13899" s="11"/>
      <c r="I13899" s="15"/>
    </row>
    <row r="13900" spans="1:9" ht="16.5">
      <c r="A13900" s="10" t="b">
        <v>0</v>
      </c>
      <c r="B13900" s="11" t="str">
        <f>IF(D13900&lt;&gt;"",IF(COUNTIF('USPTO TMs'!A:A,D13900)&gt;0,"Yes","No"),"")</f>
        <v/>
      </c>
      <c r="C13900" s="11"/>
      <c r="D13900" s="11"/>
      <c r="E13900" s="11"/>
      <c r="F13900" s="11"/>
      <c r="G13900" s="11"/>
      <c r="H13900" s="11"/>
      <c r="I13900" s="15"/>
    </row>
    <row r="13901" spans="1:9" ht="16.5">
      <c r="A13901" s="10" t="b">
        <v>0</v>
      </c>
      <c r="B13901" s="11" t="str">
        <f>IF(D13901&lt;&gt;"",IF(COUNTIF('USPTO TMs'!A:A,D13901)&gt;0,"Yes","No"),"")</f>
        <v/>
      </c>
      <c r="C13901" s="11"/>
      <c r="D13901" s="11"/>
      <c r="E13901" s="11"/>
      <c r="F13901" s="11"/>
      <c r="G13901" s="11"/>
      <c r="H13901" s="11"/>
      <c r="I13901" s="15"/>
    </row>
    <row r="13902" spans="1:9" ht="16.5">
      <c r="A13902" s="10" t="b">
        <v>0</v>
      </c>
      <c r="B13902" s="11" t="str">
        <f>IF(D13902&lt;&gt;"",IF(COUNTIF('USPTO TMs'!A:A,D13902)&gt;0,"Yes","No"),"")</f>
        <v/>
      </c>
      <c r="C13902" s="11"/>
      <c r="D13902" s="11"/>
      <c r="E13902" s="11"/>
      <c r="F13902" s="11"/>
      <c r="G13902" s="11"/>
      <c r="H13902" s="11"/>
      <c r="I13902" s="15"/>
    </row>
    <row r="13903" spans="1:9" ht="16.5">
      <c r="A13903" s="10" t="b">
        <v>0</v>
      </c>
      <c r="B13903" s="11" t="str">
        <f>IF(D13903&lt;&gt;"",IF(COUNTIF('USPTO TMs'!A:A,D13903)&gt;0,"Yes","No"),"")</f>
        <v/>
      </c>
      <c r="C13903" s="11"/>
      <c r="D13903" s="11"/>
      <c r="E13903" s="11"/>
      <c r="F13903" s="11"/>
      <c r="G13903" s="11"/>
      <c r="H13903" s="11"/>
      <c r="I13903" s="15"/>
    </row>
    <row r="13904" spans="1:9" ht="16.5">
      <c r="A13904" s="10" t="b">
        <v>0</v>
      </c>
      <c r="B13904" s="11" t="str">
        <f>IF(D13904&lt;&gt;"",IF(COUNTIF('USPTO TMs'!A:A,D13904)&gt;0,"Yes","No"),"")</f>
        <v/>
      </c>
      <c r="C13904" s="11"/>
      <c r="D13904" s="11"/>
      <c r="E13904" s="11"/>
      <c r="F13904" s="11"/>
      <c r="G13904" s="11"/>
      <c r="H13904" s="11"/>
      <c r="I13904" s="15"/>
    </row>
    <row r="13905" spans="1:9" ht="16.5">
      <c r="A13905" s="10" t="b">
        <v>0</v>
      </c>
      <c r="B13905" s="11" t="str">
        <f>IF(D13905&lt;&gt;"",IF(COUNTIF('USPTO TMs'!A:A,D13905)&gt;0,"Yes","No"),"")</f>
        <v/>
      </c>
      <c r="C13905" s="11"/>
      <c r="D13905" s="11"/>
      <c r="E13905" s="11"/>
      <c r="F13905" s="11"/>
      <c r="G13905" s="11"/>
      <c r="H13905" s="11"/>
      <c r="I13905" s="15"/>
    </row>
    <row r="13906" spans="1:9" ht="16.5">
      <c r="A13906" s="10" t="b">
        <v>0</v>
      </c>
      <c r="B13906" s="11" t="str">
        <f>IF(D13906&lt;&gt;"",IF(COUNTIF('USPTO TMs'!A:A,D13906)&gt;0,"Yes","No"),"")</f>
        <v/>
      </c>
      <c r="C13906" s="11"/>
      <c r="D13906" s="11"/>
      <c r="E13906" s="11"/>
      <c r="F13906" s="11"/>
      <c r="G13906" s="11"/>
      <c r="H13906" s="11"/>
      <c r="I13906" s="15"/>
    </row>
    <row r="13907" spans="1:9" ht="16.5">
      <c r="A13907" s="10" t="b">
        <v>0</v>
      </c>
      <c r="B13907" s="11" t="str">
        <f>IF(D13907&lt;&gt;"",IF(COUNTIF('USPTO TMs'!A:A,D13907)&gt;0,"Yes","No"),"")</f>
        <v/>
      </c>
      <c r="C13907" s="11"/>
      <c r="D13907" s="11"/>
      <c r="E13907" s="11"/>
      <c r="F13907" s="11"/>
      <c r="G13907" s="11"/>
      <c r="H13907" s="11"/>
      <c r="I13907" s="15"/>
    </row>
    <row r="13908" spans="1:9" ht="16.5">
      <c r="A13908" s="10" t="b">
        <v>0</v>
      </c>
      <c r="B13908" s="11" t="str">
        <f>IF(D13908&lt;&gt;"",IF(COUNTIF('USPTO TMs'!A:A,D13908)&gt;0,"Yes","No"),"")</f>
        <v/>
      </c>
      <c r="C13908" s="11"/>
      <c r="D13908" s="11"/>
      <c r="E13908" s="11"/>
      <c r="F13908" s="11"/>
      <c r="G13908" s="11"/>
      <c r="H13908" s="11"/>
      <c r="I13908" s="15"/>
    </row>
    <row r="13909" spans="1:9" ht="16.5">
      <c r="A13909" s="10" t="b">
        <v>0</v>
      </c>
      <c r="B13909" s="11" t="str">
        <f>IF(D13909&lt;&gt;"",IF(COUNTIF('USPTO TMs'!A:A,D13909)&gt;0,"Yes","No"),"")</f>
        <v/>
      </c>
      <c r="C13909" s="11"/>
      <c r="D13909" s="11"/>
      <c r="E13909" s="11"/>
      <c r="F13909" s="11"/>
      <c r="G13909" s="11"/>
      <c r="H13909" s="11"/>
      <c r="I13909" s="15"/>
    </row>
    <row r="13910" spans="1:9" ht="16.5">
      <c r="A13910" s="10" t="b">
        <v>0</v>
      </c>
      <c r="B13910" s="11" t="str">
        <f>IF(D13910&lt;&gt;"",IF(COUNTIF('USPTO TMs'!A:A,D13910)&gt;0,"Yes","No"),"")</f>
        <v/>
      </c>
      <c r="C13910" s="11"/>
      <c r="D13910" s="11"/>
      <c r="E13910" s="11"/>
      <c r="F13910" s="11"/>
      <c r="G13910" s="11"/>
      <c r="H13910" s="11"/>
      <c r="I13910" s="15"/>
    </row>
    <row r="13911" spans="1:9" ht="16.5">
      <c r="A13911" s="10" t="b">
        <v>0</v>
      </c>
      <c r="B13911" s="11" t="str">
        <f>IF(D13911&lt;&gt;"",IF(COUNTIF('USPTO TMs'!A:A,D13911)&gt;0,"Yes","No"),"")</f>
        <v/>
      </c>
      <c r="C13911" s="11"/>
      <c r="D13911" s="11"/>
      <c r="E13911" s="11"/>
      <c r="F13911" s="11"/>
      <c r="G13911" s="11"/>
      <c r="H13911" s="11"/>
      <c r="I13911" s="15"/>
    </row>
    <row r="13912" spans="1:9" ht="16.5">
      <c r="A13912" s="10" t="b">
        <v>0</v>
      </c>
      <c r="B13912" s="11" t="str">
        <f>IF(D13912&lt;&gt;"",IF(COUNTIF('USPTO TMs'!A:A,D13912)&gt;0,"Yes","No"),"")</f>
        <v/>
      </c>
      <c r="C13912" s="11"/>
      <c r="D13912" s="11"/>
      <c r="E13912" s="11"/>
      <c r="F13912" s="11"/>
      <c r="G13912" s="11"/>
      <c r="H13912" s="11"/>
      <c r="I13912" s="15"/>
    </row>
    <row r="13913" spans="1:9" ht="16.5">
      <c r="A13913" s="10" t="b">
        <v>0</v>
      </c>
      <c r="B13913" s="11" t="str">
        <f>IF(D13913&lt;&gt;"",IF(COUNTIF('USPTO TMs'!A:A,D13913)&gt;0,"Yes","No"),"")</f>
        <v/>
      </c>
      <c r="C13913" s="11"/>
      <c r="D13913" s="11"/>
      <c r="E13913" s="11"/>
      <c r="F13913" s="11"/>
      <c r="G13913" s="11"/>
      <c r="H13913" s="11"/>
      <c r="I13913" s="15"/>
    </row>
    <row r="13914" spans="1:9" ht="16.5">
      <c r="A13914" s="10" t="b">
        <v>0</v>
      </c>
      <c r="B13914" s="11" t="str">
        <f>IF(D13914&lt;&gt;"",IF(COUNTIF('USPTO TMs'!A:A,D13914)&gt;0,"Yes","No"),"")</f>
        <v/>
      </c>
      <c r="C13914" s="11"/>
      <c r="D13914" s="11"/>
      <c r="E13914" s="11"/>
      <c r="F13914" s="11"/>
      <c r="G13914" s="11"/>
      <c r="H13914" s="11"/>
      <c r="I13914" s="15"/>
    </row>
    <row r="13915" spans="1:9" ht="16.5">
      <c r="A13915" s="10" t="b">
        <v>0</v>
      </c>
      <c r="B13915" s="11" t="str">
        <f>IF(D13915&lt;&gt;"",IF(COUNTIF('USPTO TMs'!A:A,D13915)&gt;0,"Yes","No"),"")</f>
        <v/>
      </c>
      <c r="C13915" s="11"/>
      <c r="D13915" s="11"/>
      <c r="E13915" s="11"/>
      <c r="F13915" s="11"/>
      <c r="G13915" s="11"/>
      <c r="H13915" s="11"/>
      <c r="I13915" s="15"/>
    </row>
    <row r="13916" spans="1:9" ht="16.5">
      <c r="A13916" s="10" t="b">
        <v>0</v>
      </c>
      <c r="B13916" s="11" t="str">
        <f>IF(D13916&lt;&gt;"",IF(COUNTIF('USPTO TMs'!A:A,D13916)&gt;0,"Yes","No"),"")</f>
        <v/>
      </c>
      <c r="C13916" s="11"/>
      <c r="D13916" s="11"/>
      <c r="E13916" s="11"/>
      <c r="F13916" s="11"/>
      <c r="G13916" s="11"/>
      <c r="H13916" s="11"/>
      <c r="I13916" s="15"/>
    </row>
    <row r="13917" spans="1:9" ht="16.5">
      <c r="A13917" s="10" t="b">
        <v>0</v>
      </c>
      <c r="B13917" s="11" t="str">
        <f>IF(D13917&lt;&gt;"",IF(COUNTIF('USPTO TMs'!A:A,D13917)&gt;0,"Yes","No"),"")</f>
        <v/>
      </c>
      <c r="C13917" s="11"/>
      <c r="D13917" s="11"/>
      <c r="E13917" s="11"/>
      <c r="F13917" s="11"/>
      <c r="G13917" s="11"/>
      <c r="H13917" s="11"/>
      <c r="I13917" s="15"/>
    </row>
    <row r="13918" spans="1:9" ht="16.5">
      <c r="A13918" s="10" t="b">
        <v>0</v>
      </c>
      <c r="B13918" s="11" t="str">
        <f>IF(D13918&lt;&gt;"",IF(COUNTIF('USPTO TMs'!A:A,D13918)&gt;0,"Yes","No"),"")</f>
        <v/>
      </c>
      <c r="C13918" s="11"/>
      <c r="D13918" s="11"/>
      <c r="E13918" s="11"/>
      <c r="F13918" s="11"/>
      <c r="G13918" s="11"/>
      <c r="H13918" s="11"/>
      <c r="I13918" s="15"/>
    </row>
    <row r="13919" spans="1:9" ht="16.5">
      <c r="A13919" s="10" t="b">
        <v>0</v>
      </c>
      <c r="B13919" s="11" t="str">
        <f>IF(D13919&lt;&gt;"",IF(COUNTIF('USPTO TMs'!A:A,D13919)&gt;0,"Yes","No"),"")</f>
        <v/>
      </c>
      <c r="C13919" s="11"/>
      <c r="D13919" s="11"/>
      <c r="E13919" s="11"/>
      <c r="F13919" s="11"/>
      <c r="G13919" s="11"/>
      <c r="H13919" s="11"/>
      <c r="I13919" s="15"/>
    </row>
    <row r="13920" spans="1:9" ht="16.5">
      <c r="A13920" s="10" t="b">
        <v>0</v>
      </c>
      <c r="B13920" s="11" t="str">
        <f>IF(D13920&lt;&gt;"",IF(COUNTIF('USPTO TMs'!A:A,D13920)&gt;0,"Yes","No"),"")</f>
        <v/>
      </c>
      <c r="C13920" s="11"/>
      <c r="D13920" s="11"/>
      <c r="E13920" s="11"/>
      <c r="F13920" s="11"/>
      <c r="G13920" s="11"/>
      <c r="H13920" s="11"/>
      <c r="I13920" s="15"/>
    </row>
    <row r="13921" spans="1:9" ht="16.5">
      <c r="A13921" s="10" t="b">
        <v>0</v>
      </c>
      <c r="B13921" s="11" t="str">
        <f>IF(D13921&lt;&gt;"",IF(COUNTIF('USPTO TMs'!A:A,D13921)&gt;0,"Yes","No"),"")</f>
        <v/>
      </c>
      <c r="C13921" s="11"/>
      <c r="D13921" s="11"/>
      <c r="E13921" s="11"/>
      <c r="F13921" s="11"/>
      <c r="G13921" s="11"/>
      <c r="H13921" s="11"/>
      <c r="I13921" s="15"/>
    </row>
    <row r="13922" spans="1:9" ht="16.5">
      <c r="A13922" s="10" t="b">
        <v>0</v>
      </c>
      <c r="B13922" s="11" t="str">
        <f>IF(D13922&lt;&gt;"",IF(COUNTIF('USPTO TMs'!A:A,D13922)&gt;0,"Yes","No"),"")</f>
        <v/>
      </c>
      <c r="C13922" s="11"/>
      <c r="D13922" s="11"/>
      <c r="E13922" s="11"/>
      <c r="F13922" s="11"/>
      <c r="G13922" s="11"/>
      <c r="H13922" s="11"/>
      <c r="I13922" s="15"/>
    </row>
    <row r="13923" spans="1:9" ht="16.5">
      <c r="A13923" s="10" t="b">
        <v>0</v>
      </c>
      <c r="B13923" s="11" t="str">
        <f>IF(D13923&lt;&gt;"",IF(COUNTIF('USPTO TMs'!A:A,D13923)&gt;0,"Yes","No"),"")</f>
        <v/>
      </c>
      <c r="C13923" s="11"/>
      <c r="D13923" s="11"/>
      <c r="E13923" s="11"/>
      <c r="F13923" s="11"/>
      <c r="G13923" s="11"/>
      <c r="H13923" s="11"/>
      <c r="I13923" s="15"/>
    </row>
    <row r="13924" spans="1:9" ht="16.5">
      <c r="A13924" s="10" t="b">
        <v>0</v>
      </c>
      <c r="B13924" s="11" t="str">
        <f>IF(D13924&lt;&gt;"",IF(COUNTIF('USPTO TMs'!A:A,D13924)&gt;0,"Yes","No"),"")</f>
        <v/>
      </c>
      <c r="C13924" s="11"/>
      <c r="D13924" s="11"/>
      <c r="E13924" s="11"/>
      <c r="F13924" s="11"/>
      <c r="G13924" s="11"/>
      <c r="H13924" s="11"/>
      <c r="I13924" s="15"/>
    </row>
    <row r="13925" spans="1:9" ht="16.5">
      <c r="A13925" s="10" t="b">
        <v>0</v>
      </c>
      <c r="B13925" s="11" t="str">
        <f>IF(D13925&lt;&gt;"",IF(COUNTIF('USPTO TMs'!A:A,D13925)&gt;0,"Yes","No"),"")</f>
        <v/>
      </c>
      <c r="C13925" s="11"/>
      <c r="D13925" s="11"/>
      <c r="E13925" s="11"/>
      <c r="F13925" s="11"/>
      <c r="G13925" s="11"/>
      <c r="H13925" s="11"/>
      <c r="I13925" s="15"/>
    </row>
    <row r="13926" spans="1:9" ht="16.5">
      <c r="A13926" s="10" t="b">
        <v>0</v>
      </c>
      <c r="B13926" s="11" t="str">
        <f>IF(D13926&lt;&gt;"",IF(COUNTIF('USPTO TMs'!A:A,D13926)&gt;0,"Yes","No"),"")</f>
        <v/>
      </c>
      <c r="C13926" s="11"/>
      <c r="D13926" s="11"/>
      <c r="E13926" s="11"/>
      <c r="F13926" s="11"/>
      <c r="G13926" s="11"/>
      <c r="H13926" s="11"/>
      <c r="I13926" s="15"/>
    </row>
    <row r="13927" spans="1:9" ht="16.5">
      <c r="A13927" s="10" t="b">
        <v>0</v>
      </c>
      <c r="B13927" s="11" t="str">
        <f>IF(D13927&lt;&gt;"",IF(COUNTIF('USPTO TMs'!A:A,D13927)&gt;0,"Yes","No"),"")</f>
        <v/>
      </c>
      <c r="C13927" s="11"/>
      <c r="D13927" s="11"/>
      <c r="E13927" s="11"/>
      <c r="F13927" s="11"/>
      <c r="G13927" s="11"/>
      <c r="H13927" s="11"/>
      <c r="I13927" s="15"/>
    </row>
    <row r="13928" spans="1:9" ht="16.5">
      <c r="A13928" s="10" t="b">
        <v>0</v>
      </c>
      <c r="B13928" s="11" t="str">
        <f>IF(D13928&lt;&gt;"",IF(COUNTIF('USPTO TMs'!A:A,D13928)&gt;0,"Yes","No"),"")</f>
        <v/>
      </c>
      <c r="C13928" s="11"/>
      <c r="D13928" s="11"/>
      <c r="E13928" s="11"/>
      <c r="F13928" s="11"/>
      <c r="G13928" s="11"/>
      <c r="H13928" s="11"/>
      <c r="I13928" s="15"/>
    </row>
    <row r="13929" spans="1:9" ht="16.5">
      <c r="A13929" s="10" t="b">
        <v>0</v>
      </c>
      <c r="B13929" s="11" t="str">
        <f>IF(D13929&lt;&gt;"",IF(COUNTIF('USPTO TMs'!A:A,D13929)&gt;0,"Yes","No"),"")</f>
        <v/>
      </c>
      <c r="C13929" s="11"/>
      <c r="D13929" s="11"/>
      <c r="E13929" s="11"/>
      <c r="F13929" s="11"/>
      <c r="G13929" s="11"/>
      <c r="H13929" s="11"/>
      <c r="I13929" s="15"/>
    </row>
    <row r="13930" spans="1:9" ht="16.5">
      <c r="A13930" s="10" t="b">
        <v>0</v>
      </c>
      <c r="B13930" s="11" t="str">
        <f>IF(D13930&lt;&gt;"",IF(COUNTIF('USPTO TMs'!A:A,D13930)&gt;0,"Yes","No"),"")</f>
        <v/>
      </c>
      <c r="C13930" s="11"/>
      <c r="D13930" s="11"/>
      <c r="E13930" s="11"/>
      <c r="F13930" s="11"/>
      <c r="G13930" s="11"/>
      <c r="H13930" s="11"/>
      <c r="I13930" s="15"/>
    </row>
    <row r="13931" spans="1:9" ht="16.5">
      <c r="A13931" s="10" t="b">
        <v>0</v>
      </c>
      <c r="B13931" s="11" t="str">
        <f>IF(D13931&lt;&gt;"",IF(COUNTIF('USPTO TMs'!A:A,D13931)&gt;0,"Yes","No"),"")</f>
        <v/>
      </c>
      <c r="C13931" s="11"/>
      <c r="D13931" s="11"/>
      <c r="E13931" s="11"/>
      <c r="F13931" s="11"/>
      <c r="G13931" s="11"/>
      <c r="H13931" s="11"/>
      <c r="I13931" s="15"/>
    </row>
    <row r="13932" spans="1:9" ht="16.5">
      <c r="A13932" s="10" t="b">
        <v>0</v>
      </c>
      <c r="B13932" s="11" t="str">
        <f>IF(D13932&lt;&gt;"",IF(COUNTIF('USPTO TMs'!A:A,D13932)&gt;0,"Yes","No"),"")</f>
        <v/>
      </c>
      <c r="C13932" s="11"/>
      <c r="D13932" s="11"/>
      <c r="E13932" s="11"/>
      <c r="F13932" s="11"/>
      <c r="G13932" s="11"/>
      <c r="H13932" s="11"/>
      <c r="I13932" s="15"/>
    </row>
    <row r="13933" spans="1:9" ht="16.5">
      <c r="A13933" s="10" t="b">
        <v>0</v>
      </c>
      <c r="B13933" s="11" t="str">
        <f>IF(D13933&lt;&gt;"",IF(COUNTIF('USPTO TMs'!A:A,D13933)&gt;0,"Yes","No"),"")</f>
        <v/>
      </c>
      <c r="C13933" s="11"/>
      <c r="D13933" s="11"/>
      <c r="E13933" s="11"/>
      <c r="F13933" s="11"/>
      <c r="G13933" s="11"/>
      <c r="H13933" s="11"/>
      <c r="I13933" s="15"/>
    </row>
    <row r="13934" spans="1:9" ht="16.5">
      <c r="A13934" s="10" t="b">
        <v>0</v>
      </c>
      <c r="B13934" s="11" t="str">
        <f>IF(D13934&lt;&gt;"",IF(COUNTIF('USPTO TMs'!A:A,D13934)&gt;0,"Yes","No"),"")</f>
        <v/>
      </c>
      <c r="C13934" s="11"/>
      <c r="D13934" s="11"/>
      <c r="E13934" s="11"/>
      <c r="F13934" s="11"/>
      <c r="G13934" s="11"/>
      <c r="H13934" s="11"/>
      <c r="I13934" s="15"/>
    </row>
    <row r="13935" spans="1:9" ht="16.5">
      <c r="A13935" s="10" t="b">
        <v>0</v>
      </c>
      <c r="B13935" s="11" t="str">
        <f>IF(D13935&lt;&gt;"",IF(COUNTIF('USPTO TMs'!A:A,D13935)&gt;0,"Yes","No"),"")</f>
        <v/>
      </c>
      <c r="C13935" s="11"/>
      <c r="D13935" s="11"/>
      <c r="E13935" s="11"/>
      <c r="F13935" s="11"/>
      <c r="G13935" s="11"/>
      <c r="H13935" s="11"/>
      <c r="I13935" s="15"/>
    </row>
    <row r="13936" spans="1:9" ht="16.5">
      <c r="A13936" s="10" t="b">
        <v>0</v>
      </c>
      <c r="B13936" s="11" t="str">
        <f>IF(D13936&lt;&gt;"",IF(COUNTIF('USPTO TMs'!A:A,D13936)&gt;0,"Yes","No"),"")</f>
        <v/>
      </c>
      <c r="C13936" s="11"/>
      <c r="D13936" s="11"/>
      <c r="E13936" s="11"/>
      <c r="F13936" s="11"/>
      <c r="G13936" s="11"/>
      <c r="H13936" s="11"/>
      <c r="I13936" s="15"/>
    </row>
    <row r="13937" spans="1:9" ht="16.5">
      <c r="A13937" s="10" t="b">
        <v>0</v>
      </c>
      <c r="B13937" s="11" t="str">
        <f>IF(D13937&lt;&gt;"",IF(COUNTIF('USPTO TMs'!A:A,D13937)&gt;0,"Yes","No"),"")</f>
        <v/>
      </c>
      <c r="C13937" s="11"/>
      <c r="D13937" s="11"/>
      <c r="E13937" s="11"/>
      <c r="F13937" s="11"/>
      <c r="G13937" s="11"/>
      <c r="H13937" s="11"/>
      <c r="I13937" s="15"/>
    </row>
    <row r="13938" spans="1:9" ht="16.5">
      <c r="A13938" s="10" t="b">
        <v>0</v>
      </c>
      <c r="B13938" s="11" t="str">
        <f>IF(D13938&lt;&gt;"",IF(COUNTIF('USPTO TMs'!A:A,D13938)&gt;0,"Yes","No"),"")</f>
        <v/>
      </c>
      <c r="C13938" s="11"/>
      <c r="D13938" s="11"/>
      <c r="E13938" s="11"/>
      <c r="F13938" s="11"/>
      <c r="G13938" s="11"/>
      <c r="H13938" s="11"/>
      <c r="I13938" s="15"/>
    </row>
    <row r="13939" spans="1:9" ht="16.5">
      <c r="A13939" s="10" t="b">
        <v>0</v>
      </c>
      <c r="B13939" s="11" t="str">
        <f>IF(D13939&lt;&gt;"",IF(COUNTIF('USPTO TMs'!A:A,D13939)&gt;0,"Yes","No"),"")</f>
        <v/>
      </c>
      <c r="C13939" s="11"/>
      <c r="D13939" s="11"/>
      <c r="E13939" s="11"/>
      <c r="F13939" s="11"/>
      <c r="G13939" s="11"/>
      <c r="H13939" s="11"/>
      <c r="I13939" s="15"/>
    </row>
    <row r="13940" spans="1:9" ht="16.5">
      <c r="A13940" s="10" t="b">
        <v>0</v>
      </c>
      <c r="B13940" s="11" t="str">
        <f>IF(D13940&lt;&gt;"",IF(COUNTIF('USPTO TMs'!A:A,D13940)&gt;0,"Yes","No"),"")</f>
        <v/>
      </c>
      <c r="C13940" s="11"/>
      <c r="D13940" s="11"/>
      <c r="E13940" s="11"/>
      <c r="F13940" s="11"/>
      <c r="G13940" s="11"/>
      <c r="H13940" s="11"/>
      <c r="I13940" s="15"/>
    </row>
    <row r="13941" spans="1:9" ht="16.5">
      <c r="A13941" s="10" t="b">
        <v>0</v>
      </c>
      <c r="B13941" s="11" t="str">
        <f>IF(D13941&lt;&gt;"",IF(COUNTIF('USPTO TMs'!A:A,D13941)&gt;0,"Yes","No"),"")</f>
        <v/>
      </c>
      <c r="C13941" s="11"/>
      <c r="D13941" s="11"/>
      <c r="E13941" s="11"/>
      <c r="F13941" s="11"/>
      <c r="G13941" s="11"/>
      <c r="H13941" s="11"/>
      <c r="I13941" s="15"/>
    </row>
    <row r="13942" spans="1:9" ht="16.5">
      <c r="A13942" s="10" t="b">
        <v>0</v>
      </c>
      <c r="B13942" s="11" t="str">
        <f>IF(D13942&lt;&gt;"",IF(COUNTIF('USPTO TMs'!A:A,D13942)&gt;0,"Yes","No"),"")</f>
        <v/>
      </c>
      <c r="C13942" s="11"/>
      <c r="D13942" s="11"/>
      <c r="E13942" s="11"/>
      <c r="F13942" s="11"/>
      <c r="G13942" s="11"/>
      <c r="H13942" s="11"/>
      <c r="I13942" s="15"/>
    </row>
    <row r="13943" spans="1:9" ht="16.5">
      <c r="A13943" s="10" t="b">
        <v>0</v>
      </c>
      <c r="B13943" s="11" t="str">
        <f>IF(D13943&lt;&gt;"",IF(COUNTIF('USPTO TMs'!A:A,D13943)&gt;0,"Yes","No"),"")</f>
        <v/>
      </c>
      <c r="C13943" s="11"/>
      <c r="D13943" s="11"/>
      <c r="E13943" s="11"/>
      <c r="F13943" s="11"/>
      <c r="G13943" s="11"/>
      <c r="H13943" s="11"/>
      <c r="I13943" s="15"/>
    </row>
    <row r="13944" spans="1:9" ht="16.5">
      <c r="A13944" s="10" t="b">
        <v>0</v>
      </c>
      <c r="B13944" s="11" t="str">
        <f>IF(D13944&lt;&gt;"",IF(COUNTIF('USPTO TMs'!A:A,D13944)&gt;0,"Yes","No"),"")</f>
        <v/>
      </c>
      <c r="C13944" s="11"/>
      <c r="D13944" s="11"/>
      <c r="E13944" s="11"/>
      <c r="F13944" s="11"/>
      <c r="G13944" s="11"/>
      <c r="H13944" s="11"/>
      <c r="I13944" s="15"/>
    </row>
    <row r="13945" spans="1:9" ht="16.5">
      <c r="A13945" s="10" t="b">
        <v>0</v>
      </c>
      <c r="B13945" s="11" t="str">
        <f>IF(D13945&lt;&gt;"",IF(COUNTIF('USPTO TMs'!A:A,D13945)&gt;0,"Yes","No"),"")</f>
        <v/>
      </c>
      <c r="C13945" s="11"/>
      <c r="D13945" s="11"/>
      <c r="E13945" s="11"/>
      <c r="F13945" s="11"/>
      <c r="G13945" s="11"/>
      <c r="H13945" s="11"/>
      <c r="I13945" s="15"/>
    </row>
    <row r="13946" spans="1:9" ht="16.5">
      <c r="A13946" s="10" t="b">
        <v>0</v>
      </c>
      <c r="B13946" s="11" t="str">
        <f>IF(D13946&lt;&gt;"",IF(COUNTIF('USPTO TMs'!A:A,D13946)&gt;0,"Yes","No"),"")</f>
        <v/>
      </c>
      <c r="C13946" s="11"/>
      <c r="D13946" s="11"/>
      <c r="E13946" s="11"/>
      <c r="F13946" s="11"/>
      <c r="G13946" s="11"/>
      <c r="H13946" s="11"/>
      <c r="I13946" s="15"/>
    </row>
    <row r="13947" spans="1:9" ht="16.5">
      <c r="A13947" s="10" t="b">
        <v>0</v>
      </c>
      <c r="B13947" s="11" t="str">
        <f>IF(D13947&lt;&gt;"",IF(COUNTIF('USPTO TMs'!A:A,D13947)&gt;0,"Yes","No"),"")</f>
        <v/>
      </c>
      <c r="C13947" s="11"/>
      <c r="D13947" s="11"/>
      <c r="E13947" s="11"/>
      <c r="F13947" s="11"/>
      <c r="G13947" s="11"/>
      <c r="H13947" s="11"/>
      <c r="I13947" s="15"/>
    </row>
    <row r="13948" spans="1:9" ht="16.5">
      <c r="A13948" s="10" t="b">
        <v>0</v>
      </c>
      <c r="B13948" s="11" t="str">
        <f>IF(D13948&lt;&gt;"",IF(COUNTIF('USPTO TMs'!A:A,D13948)&gt;0,"Yes","No"),"")</f>
        <v/>
      </c>
      <c r="C13948" s="11"/>
      <c r="D13948" s="11"/>
      <c r="E13948" s="11"/>
      <c r="F13948" s="11"/>
      <c r="G13948" s="11"/>
      <c r="H13948" s="11"/>
      <c r="I13948" s="15"/>
    </row>
    <row r="13949" spans="1:9" ht="16.5">
      <c r="A13949" s="10" t="b">
        <v>0</v>
      </c>
      <c r="B13949" s="11" t="str">
        <f>IF(D13949&lt;&gt;"",IF(COUNTIF('USPTO TMs'!A:A,D13949)&gt;0,"Yes","No"),"")</f>
        <v/>
      </c>
      <c r="C13949" s="11"/>
      <c r="D13949" s="11"/>
      <c r="E13949" s="11"/>
      <c r="F13949" s="11"/>
      <c r="G13949" s="11"/>
      <c r="H13949" s="11"/>
      <c r="I13949" s="15"/>
    </row>
    <row r="13950" spans="1:9" ht="16.5">
      <c r="A13950" s="10" t="b">
        <v>0</v>
      </c>
      <c r="B13950" s="11" t="str">
        <f>IF(D13950&lt;&gt;"",IF(COUNTIF('USPTO TMs'!A:A,D13950)&gt;0,"Yes","No"),"")</f>
        <v/>
      </c>
      <c r="C13950" s="11"/>
      <c r="D13950" s="11"/>
      <c r="E13950" s="11"/>
      <c r="F13950" s="11"/>
      <c r="G13950" s="11"/>
      <c r="H13950" s="11"/>
      <c r="I13950" s="15"/>
    </row>
    <row r="13951" spans="1:9" ht="16.5">
      <c r="A13951" s="10" t="b">
        <v>0</v>
      </c>
      <c r="B13951" s="11" t="str">
        <f>IF(D13951&lt;&gt;"",IF(COUNTIF('USPTO TMs'!A:A,D13951)&gt;0,"Yes","No"),"")</f>
        <v/>
      </c>
      <c r="C13951" s="11"/>
      <c r="D13951" s="11"/>
      <c r="E13951" s="11"/>
      <c r="F13951" s="11"/>
      <c r="G13951" s="11"/>
      <c r="H13951" s="11"/>
      <c r="I13951" s="15"/>
    </row>
    <row r="13952" spans="1:9" ht="16.5">
      <c r="A13952" s="10" t="b">
        <v>0</v>
      </c>
      <c r="B13952" s="11" t="str">
        <f>IF(D13952&lt;&gt;"",IF(COUNTIF('USPTO TMs'!A:A,D13952)&gt;0,"Yes","No"),"")</f>
        <v/>
      </c>
      <c r="C13952" s="11"/>
      <c r="D13952" s="11"/>
      <c r="E13952" s="11"/>
      <c r="F13952" s="11"/>
      <c r="G13952" s="11"/>
      <c r="H13952" s="11"/>
      <c r="I13952" s="15"/>
    </row>
    <row r="13953" spans="1:9" ht="16.5">
      <c r="A13953" s="10" t="b">
        <v>0</v>
      </c>
      <c r="B13953" s="11" t="str">
        <f>IF(D13953&lt;&gt;"",IF(COUNTIF('USPTO TMs'!A:A,D13953)&gt;0,"Yes","No"),"")</f>
        <v/>
      </c>
      <c r="C13953" s="11"/>
      <c r="D13953" s="11"/>
      <c r="E13953" s="11"/>
      <c r="F13953" s="11"/>
      <c r="G13953" s="11"/>
      <c r="H13953" s="11"/>
      <c r="I13953" s="15"/>
    </row>
    <row r="13954" spans="1:9" ht="16.5">
      <c r="A13954" s="10" t="b">
        <v>0</v>
      </c>
      <c r="B13954" s="11" t="str">
        <f>IF(D13954&lt;&gt;"",IF(COUNTIF('USPTO TMs'!A:A,D13954)&gt;0,"Yes","No"),"")</f>
        <v/>
      </c>
      <c r="C13954" s="11"/>
      <c r="D13954" s="11"/>
      <c r="E13954" s="11"/>
      <c r="F13954" s="11"/>
      <c r="G13954" s="11"/>
      <c r="H13954" s="11"/>
      <c r="I13954" s="15"/>
    </row>
    <row r="13955" spans="1:9" ht="16.5">
      <c r="A13955" s="10" t="b">
        <v>0</v>
      </c>
      <c r="B13955" s="11" t="str">
        <f>IF(D13955&lt;&gt;"",IF(COUNTIF('USPTO TMs'!A:A,D13955)&gt;0,"Yes","No"),"")</f>
        <v/>
      </c>
      <c r="C13955" s="11"/>
      <c r="D13955" s="11"/>
      <c r="E13955" s="11"/>
      <c r="F13955" s="11"/>
      <c r="G13955" s="11"/>
      <c r="H13955" s="11"/>
      <c r="I13955" s="15"/>
    </row>
    <row r="13956" spans="1:9" ht="16.5">
      <c r="A13956" s="10" t="b">
        <v>0</v>
      </c>
      <c r="B13956" s="11" t="str">
        <f>IF(D13956&lt;&gt;"",IF(COUNTIF('USPTO TMs'!A:A,D13956)&gt;0,"Yes","No"),"")</f>
        <v/>
      </c>
      <c r="C13956" s="11"/>
      <c r="D13956" s="11"/>
      <c r="E13956" s="11"/>
      <c r="F13956" s="11"/>
      <c r="G13956" s="11"/>
      <c r="H13956" s="11"/>
      <c r="I13956" s="15"/>
    </row>
    <row r="13957" spans="1:9" ht="16.5">
      <c r="A13957" s="10" t="b">
        <v>0</v>
      </c>
      <c r="B13957" s="11" t="str">
        <f>IF(D13957&lt;&gt;"",IF(COUNTIF('USPTO TMs'!A:A,D13957)&gt;0,"Yes","No"),"")</f>
        <v/>
      </c>
      <c r="C13957" s="11"/>
      <c r="D13957" s="11"/>
      <c r="E13957" s="11"/>
      <c r="F13957" s="11"/>
      <c r="G13957" s="11"/>
      <c r="H13957" s="11"/>
      <c r="I13957" s="15"/>
    </row>
    <row r="13958" spans="1:9" ht="16.5">
      <c r="A13958" s="10" t="b">
        <v>0</v>
      </c>
      <c r="B13958" s="11" t="str">
        <f>IF(D13958&lt;&gt;"",IF(COUNTIF('USPTO TMs'!A:A,D13958)&gt;0,"Yes","No"),"")</f>
        <v/>
      </c>
      <c r="C13958" s="11"/>
      <c r="D13958" s="11"/>
      <c r="E13958" s="11"/>
      <c r="F13958" s="11"/>
      <c r="G13958" s="11"/>
      <c r="H13958" s="11"/>
      <c r="I13958" s="15"/>
    </row>
    <row r="13959" spans="1:9" ht="16.5">
      <c r="A13959" s="10" t="b">
        <v>0</v>
      </c>
      <c r="B13959" s="11" t="str">
        <f>IF(D13959&lt;&gt;"",IF(COUNTIF('USPTO TMs'!A:A,D13959)&gt;0,"Yes","No"),"")</f>
        <v/>
      </c>
      <c r="C13959" s="11"/>
      <c r="D13959" s="11"/>
      <c r="E13959" s="11"/>
      <c r="F13959" s="11"/>
      <c r="G13959" s="11"/>
      <c r="H13959" s="11"/>
      <c r="I13959" s="15"/>
    </row>
    <row r="13960" spans="1:9" ht="16.5">
      <c r="A13960" s="10" t="b">
        <v>0</v>
      </c>
      <c r="B13960" s="11" t="str">
        <f>IF(D13960&lt;&gt;"",IF(COUNTIF('USPTO TMs'!A:A,D13960)&gt;0,"Yes","No"),"")</f>
        <v/>
      </c>
      <c r="C13960" s="11"/>
      <c r="D13960" s="11"/>
      <c r="E13960" s="11"/>
      <c r="F13960" s="11"/>
      <c r="G13960" s="11"/>
      <c r="H13960" s="11"/>
      <c r="I13960" s="15"/>
    </row>
    <row r="13961" spans="1:9" ht="16.5">
      <c r="A13961" s="10" t="b">
        <v>0</v>
      </c>
      <c r="B13961" s="11" t="str">
        <f>IF(D13961&lt;&gt;"",IF(COUNTIF('USPTO TMs'!A:A,D13961)&gt;0,"Yes","No"),"")</f>
        <v/>
      </c>
      <c r="C13961" s="11"/>
      <c r="D13961" s="11"/>
      <c r="E13961" s="11"/>
      <c r="F13961" s="11"/>
      <c r="G13961" s="11"/>
      <c r="H13961" s="11"/>
      <c r="I13961" s="15"/>
    </row>
    <row r="13962" spans="1:9" ht="16.5">
      <c r="A13962" s="10" t="b">
        <v>0</v>
      </c>
      <c r="B13962" s="11" t="str">
        <f>IF(D13962&lt;&gt;"",IF(COUNTIF('USPTO TMs'!A:A,D13962)&gt;0,"Yes","No"),"")</f>
        <v/>
      </c>
      <c r="C13962" s="11"/>
      <c r="D13962" s="11"/>
      <c r="E13962" s="11"/>
      <c r="F13962" s="11"/>
      <c r="G13962" s="11"/>
      <c r="H13962" s="11"/>
      <c r="I13962" s="15"/>
    </row>
    <row r="13963" spans="1:9" ht="16.5">
      <c r="A13963" s="10" t="b">
        <v>0</v>
      </c>
      <c r="B13963" s="11" t="str">
        <f>IF(D13963&lt;&gt;"",IF(COUNTIF('USPTO TMs'!A:A,D13963)&gt;0,"Yes","No"),"")</f>
        <v/>
      </c>
      <c r="C13963" s="11"/>
      <c r="D13963" s="11"/>
      <c r="E13963" s="11"/>
      <c r="F13963" s="11"/>
      <c r="G13963" s="11"/>
      <c r="H13963" s="11"/>
      <c r="I13963" s="15"/>
    </row>
    <row r="13964" spans="1:9" ht="16.5">
      <c r="A13964" s="10" t="b">
        <v>0</v>
      </c>
      <c r="B13964" s="11" t="str">
        <f>IF(D13964&lt;&gt;"",IF(COUNTIF('USPTO TMs'!A:A,D13964)&gt;0,"Yes","No"),"")</f>
        <v/>
      </c>
      <c r="C13964" s="11"/>
      <c r="D13964" s="11"/>
      <c r="E13964" s="11"/>
      <c r="F13964" s="11"/>
      <c r="G13964" s="11"/>
      <c r="H13964" s="11"/>
      <c r="I13964" s="15"/>
    </row>
    <row r="13965" spans="1:9" ht="16.5">
      <c r="A13965" s="10" t="b">
        <v>0</v>
      </c>
      <c r="B13965" s="11" t="str">
        <f>IF(D13965&lt;&gt;"",IF(COUNTIF('USPTO TMs'!A:A,D13965)&gt;0,"Yes","No"),"")</f>
        <v/>
      </c>
      <c r="C13965" s="11"/>
      <c r="D13965" s="11"/>
      <c r="E13965" s="11"/>
      <c r="F13965" s="11"/>
      <c r="G13965" s="11"/>
      <c r="H13965" s="11"/>
      <c r="I13965" s="15"/>
    </row>
    <row r="13966" spans="1:9" ht="16.5">
      <c r="A13966" s="10" t="b">
        <v>0</v>
      </c>
      <c r="B13966" s="11" t="str">
        <f>IF(D13966&lt;&gt;"",IF(COUNTIF('USPTO TMs'!A:A,D13966)&gt;0,"Yes","No"),"")</f>
        <v/>
      </c>
      <c r="C13966" s="11"/>
      <c r="D13966" s="11"/>
      <c r="E13966" s="11"/>
      <c r="F13966" s="11"/>
      <c r="G13966" s="11"/>
      <c r="H13966" s="11"/>
      <c r="I13966" s="15"/>
    </row>
    <row r="13967" spans="1:9" ht="16.5">
      <c r="A13967" s="10" t="b">
        <v>0</v>
      </c>
      <c r="B13967" s="11" t="str">
        <f>IF(D13967&lt;&gt;"",IF(COUNTIF('USPTO TMs'!A:A,D13967)&gt;0,"Yes","No"),"")</f>
        <v/>
      </c>
      <c r="C13967" s="11"/>
      <c r="D13967" s="11"/>
      <c r="E13967" s="11"/>
      <c r="F13967" s="11"/>
      <c r="G13967" s="11"/>
      <c r="H13967" s="11"/>
      <c r="I13967" s="15"/>
    </row>
    <row r="13968" spans="1:9" ht="16.5">
      <c r="A13968" s="10" t="b">
        <v>0</v>
      </c>
      <c r="B13968" s="11" t="str">
        <f>IF(D13968&lt;&gt;"",IF(COUNTIF('USPTO TMs'!A:A,D13968)&gt;0,"Yes","No"),"")</f>
        <v/>
      </c>
      <c r="C13968" s="11"/>
      <c r="D13968" s="11"/>
      <c r="E13968" s="11"/>
      <c r="F13968" s="11"/>
      <c r="G13968" s="11"/>
      <c r="H13968" s="11"/>
      <c r="I13968" s="15"/>
    </row>
    <row r="13969" spans="1:9" ht="16.5">
      <c r="A13969" s="10" t="b">
        <v>0</v>
      </c>
      <c r="B13969" s="11" t="str">
        <f>IF(D13969&lt;&gt;"",IF(COUNTIF('USPTO TMs'!A:A,D13969)&gt;0,"Yes","No"),"")</f>
        <v/>
      </c>
      <c r="C13969" s="11"/>
      <c r="D13969" s="11"/>
      <c r="E13969" s="11"/>
      <c r="F13969" s="11"/>
      <c r="G13969" s="11"/>
      <c r="H13969" s="11"/>
      <c r="I13969" s="15"/>
    </row>
    <row r="13970" spans="1:9" ht="16.5">
      <c r="A13970" s="10" t="b">
        <v>0</v>
      </c>
      <c r="B13970" s="11" t="str">
        <f>IF(D13970&lt;&gt;"",IF(COUNTIF('USPTO TMs'!A:A,D13970)&gt;0,"Yes","No"),"")</f>
        <v/>
      </c>
      <c r="C13970" s="11"/>
      <c r="D13970" s="11"/>
      <c r="E13970" s="11"/>
      <c r="F13970" s="11"/>
      <c r="G13970" s="11"/>
      <c r="H13970" s="11"/>
      <c r="I13970" s="15"/>
    </row>
    <row r="13971" spans="1:9" ht="16.5">
      <c r="A13971" s="10" t="b">
        <v>0</v>
      </c>
      <c r="B13971" s="11" t="str">
        <f>IF(D13971&lt;&gt;"",IF(COUNTIF('USPTO TMs'!A:A,D13971)&gt;0,"Yes","No"),"")</f>
        <v/>
      </c>
      <c r="C13971" s="11"/>
      <c r="D13971" s="11"/>
      <c r="E13971" s="11"/>
      <c r="F13971" s="11"/>
      <c r="G13971" s="11"/>
      <c r="H13971" s="11"/>
      <c r="I13971" s="15"/>
    </row>
    <row r="13972" spans="1:9" ht="16.5">
      <c r="A13972" s="10" t="b">
        <v>0</v>
      </c>
      <c r="B13972" s="11" t="str">
        <f>IF(D13972&lt;&gt;"",IF(COUNTIF('USPTO TMs'!A:A,D13972)&gt;0,"Yes","No"),"")</f>
        <v/>
      </c>
      <c r="C13972" s="11"/>
      <c r="D13972" s="11"/>
      <c r="E13972" s="11"/>
      <c r="F13972" s="11"/>
      <c r="G13972" s="11"/>
      <c r="H13972" s="11"/>
      <c r="I13972" s="15"/>
    </row>
    <row r="13973" spans="1:9" ht="16.5">
      <c r="A13973" s="10" t="b">
        <v>0</v>
      </c>
      <c r="B13973" s="11" t="str">
        <f>IF(D13973&lt;&gt;"",IF(COUNTIF('USPTO TMs'!A:A,D13973)&gt;0,"Yes","No"),"")</f>
        <v/>
      </c>
      <c r="C13973" s="11"/>
      <c r="D13973" s="11"/>
      <c r="E13973" s="11"/>
      <c r="F13973" s="11"/>
      <c r="G13973" s="11"/>
      <c r="H13973" s="11"/>
      <c r="I13973" s="15"/>
    </row>
    <row r="13974" spans="1:9" ht="16.5">
      <c r="A13974" s="10" t="b">
        <v>0</v>
      </c>
      <c r="B13974" s="11" t="str">
        <f>IF(D13974&lt;&gt;"",IF(COUNTIF('USPTO TMs'!A:A,D13974)&gt;0,"Yes","No"),"")</f>
        <v/>
      </c>
      <c r="C13974" s="11"/>
      <c r="D13974" s="11"/>
      <c r="E13974" s="11"/>
      <c r="F13974" s="11"/>
      <c r="G13974" s="11"/>
      <c r="H13974" s="11"/>
      <c r="I13974" s="15"/>
    </row>
    <row r="13975" spans="1:9" ht="16.5">
      <c r="A13975" s="10" t="b">
        <v>0</v>
      </c>
      <c r="B13975" s="11" t="str">
        <f>IF(D13975&lt;&gt;"",IF(COUNTIF('USPTO TMs'!A:A,D13975)&gt;0,"Yes","No"),"")</f>
        <v/>
      </c>
      <c r="C13975" s="11"/>
      <c r="D13975" s="11"/>
      <c r="E13975" s="11"/>
      <c r="F13975" s="11"/>
      <c r="G13975" s="11"/>
      <c r="H13975" s="11"/>
      <c r="I13975" s="15"/>
    </row>
    <row r="13976" spans="1:9" ht="16.5">
      <c r="A13976" s="10" t="b">
        <v>0</v>
      </c>
      <c r="B13976" s="11" t="str">
        <f>IF(D13976&lt;&gt;"",IF(COUNTIF('USPTO TMs'!A:A,D13976)&gt;0,"Yes","No"),"")</f>
        <v/>
      </c>
      <c r="C13976" s="11"/>
      <c r="D13976" s="11"/>
      <c r="E13976" s="11"/>
      <c r="F13976" s="11"/>
      <c r="G13976" s="11"/>
      <c r="H13976" s="11"/>
      <c r="I13976" s="15"/>
    </row>
    <row r="13977" spans="1:9" ht="16.5">
      <c r="A13977" s="10" t="b">
        <v>0</v>
      </c>
      <c r="B13977" s="11" t="str">
        <f>IF(D13977&lt;&gt;"",IF(COUNTIF('USPTO TMs'!A:A,D13977)&gt;0,"Yes","No"),"")</f>
        <v/>
      </c>
      <c r="C13977" s="11"/>
      <c r="D13977" s="11"/>
      <c r="E13977" s="11"/>
      <c r="F13977" s="11"/>
      <c r="G13977" s="11"/>
      <c r="H13977" s="11"/>
      <c r="I13977" s="15"/>
    </row>
    <row r="13978" spans="1:9" ht="16.5">
      <c r="A13978" s="10" t="b">
        <v>0</v>
      </c>
      <c r="B13978" s="11" t="str">
        <f>IF(D13978&lt;&gt;"",IF(COUNTIF('USPTO TMs'!A:A,D13978)&gt;0,"Yes","No"),"")</f>
        <v/>
      </c>
      <c r="C13978" s="11"/>
      <c r="D13978" s="11"/>
      <c r="E13978" s="11"/>
      <c r="F13978" s="11"/>
      <c r="G13978" s="11"/>
      <c r="H13978" s="11"/>
      <c r="I13978" s="15"/>
    </row>
    <row r="13979" spans="1:9" ht="16.5">
      <c r="A13979" s="10" t="b">
        <v>0</v>
      </c>
      <c r="B13979" s="11" t="str">
        <f>IF(D13979&lt;&gt;"",IF(COUNTIF('USPTO TMs'!A:A,D13979)&gt;0,"Yes","No"),"")</f>
        <v/>
      </c>
      <c r="C13979" s="11"/>
      <c r="D13979" s="11"/>
      <c r="E13979" s="11"/>
      <c r="F13979" s="11"/>
      <c r="G13979" s="11"/>
      <c r="H13979" s="11"/>
      <c r="I13979" s="15"/>
    </row>
    <row r="13980" spans="1:9" ht="16.5">
      <c r="A13980" s="10" t="b">
        <v>0</v>
      </c>
      <c r="B13980" s="11" t="str">
        <f>IF(D13980&lt;&gt;"",IF(COUNTIF('USPTO TMs'!A:A,D13980)&gt;0,"Yes","No"),"")</f>
        <v/>
      </c>
      <c r="C13980" s="11"/>
      <c r="D13980" s="11"/>
      <c r="E13980" s="11"/>
      <c r="F13980" s="11"/>
      <c r="G13980" s="11"/>
      <c r="H13980" s="11"/>
      <c r="I13980" s="15"/>
    </row>
    <row r="13981" spans="1:9" ht="16.5">
      <c r="A13981" s="10" t="b">
        <v>0</v>
      </c>
      <c r="B13981" s="11" t="str">
        <f>IF(D13981&lt;&gt;"",IF(COUNTIF('USPTO TMs'!A:A,D13981)&gt;0,"Yes","No"),"")</f>
        <v/>
      </c>
      <c r="C13981" s="11"/>
      <c r="D13981" s="11"/>
      <c r="E13981" s="11"/>
      <c r="F13981" s="11"/>
      <c r="G13981" s="11"/>
      <c r="H13981" s="11"/>
      <c r="I13981" s="15"/>
    </row>
    <row r="13982" spans="1:9" ht="16.5">
      <c r="A13982" s="10" t="b">
        <v>0</v>
      </c>
      <c r="B13982" s="11" t="str">
        <f>IF(D13982&lt;&gt;"",IF(COUNTIF('USPTO TMs'!A:A,D13982)&gt;0,"Yes","No"),"")</f>
        <v/>
      </c>
      <c r="C13982" s="11"/>
      <c r="D13982" s="11"/>
      <c r="E13982" s="11"/>
      <c r="F13982" s="11"/>
      <c r="G13982" s="11"/>
      <c r="H13982" s="11"/>
      <c r="I13982" s="15"/>
    </row>
    <row r="13983" spans="1:9" ht="16.5">
      <c r="A13983" s="10" t="b">
        <v>0</v>
      </c>
      <c r="B13983" s="11" t="str">
        <f>IF(D13983&lt;&gt;"",IF(COUNTIF('USPTO TMs'!A:A,D13983)&gt;0,"Yes","No"),"")</f>
        <v/>
      </c>
      <c r="C13983" s="11"/>
      <c r="D13983" s="11"/>
      <c r="E13983" s="11"/>
      <c r="F13983" s="11"/>
      <c r="G13983" s="11"/>
      <c r="H13983" s="11"/>
      <c r="I13983" s="15"/>
    </row>
    <row r="13984" spans="1:9" ht="16.5">
      <c r="A13984" s="10" t="b">
        <v>0</v>
      </c>
      <c r="B13984" s="11" t="str">
        <f>IF(D13984&lt;&gt;"",IF(COUNTIF('USPTO TMs'!A:A,D13984)&gt;0,"Yes","No"),"")</f>
        <v/>
      </c>
      <c r="C13984" s="11"/>
      <c r="D13984" s="11"/>
      <c r="E13984" s="11"/>
      <c r="F13984" s="11"/>
      <c r="G13984" s="11"/>
      <c r="H13984" s="11"/>
      <c r="I13984" s="15"/>
    </row>
    <row r="13985" spans="1:9" ht="16.5">
      <c r="A13985" s="10" t="b">
        <v>0</v>
      </c>
      <c r="B13985" s="11" t="str">
        <f>IF(D13985&lt;&gt;"",IF(COUNTIF('USPTO TMs'!A:A,D13985)&gt;0,"Yes","No"),"")</f>
        <v/>
      </c>
      <c r="C13985" s="11"/>
      <c r="D13985" s="11"/>
      <c r="E13985" s="11"/>
      <c r="F13985" s="11"/>
      <c r="G13985" s="11"/>
      <c r="H13985" s="11"/>
      <c r="I13985" s="15"/>
    </row>
    <row r="13986" spans="1:9" ht="16.5">
      <c r="A13986" s="10" t="b">
        <v>0</v>
      </c>
      <c r="B13986" s="11" t="str">
        <f>IF(D13986&lt;&gt;"",IF(COUNTIF('USPTO TMs'!A:A,D13986)&gt;0,"Yes","No"),"")</f>
        <v/>
      </c>
      <c r="C13986" s="11"/>
      <c r="D13986" s="11"/>
      <c r="E13986" s="11"/>
      <c r="F13986" s="11"/>
      <c r="G13986" s="11"/>
      <c r="H13986" s="11"/>
      <c r="I13986" s="15"/>
    </row>
    <row r="13987" spans="1:9" ht="16.5">
      <c r="A13987" s="10" t="b">
        <v>0</v>
      </c>
      <c r="B13987" s="11" t="str">
        <f>IF(D13987&lt;&gt;"",IF(COUNTIF('USPTO TMs'!A:A,D13987)&gt;0,"Yes","No"),"")</f>
        <v/>
      </c>
      <c r="C13987" s="11"/>
      <c r="D13987" s="11"/>
      <c r="E13987" s="11"/>
      <c r="F13987" s="11"/>
      <c r="G13987" s="11"/>
      <c r="H13987" s="11"/>
      <c r="I13987" s="15"/>
    </row>
    <row r="13988" spans="1:9" ht="16.5">
      <c r="A13988" s="10" t="b">
        <v>0</v>
      </c>
      <c r="B13988" s="11" t="str">
        <f>IF(D13988&lt;&gt;"",IF(COUNTIF('USPTO TMs'!A:A,D13988)&gt;0,"Yes","No"),"")</f>
        <v/>
      </c>
      <c r="C13988" s="11"/>
      <c r="D13988" s="11"/>
      <c r="E13988" s="11"/>
      <c r="F13988" s="11"/>
      <c r="G13988" s="11"/>
      <c r="H13988" s="11"/>
      <c r="I13988" s="15"/>
    </row>
    <row r="13989" spans="1:9" ht="16.5">
      <c r="A13989" s="10" t="b">
        <v>0</v>
      </c>
      <c r="B13989" s="11" t="str">
        <f>IF(D13989&lt;&gt;"",IF(COUNTIF('USPTO TMs'!A:A,D13989)&gt;0,"Yes","No"),"")</f>
        <v/>
      </c>
      <c r="C13989" s="11"/>
      <c r="D13989" s="11"/>
      <c r="E13989" s="11"/>
      <c r="F13989" s="11"/>
      <c r="G13989" s="11"/>
      <c r="H13989" s="11"/>
      <c r="I13989" s="15"/>
    </row>
    <row r="13990" spans="1:9" ht="16.5">
      <c r="A13990" s="10" t="b">
        <v>0</v>
      </c>
      <c r="B13990" s="11" t="str">
        <f>IF(D13990&lt;&gt;"",IF(COUNTIF('USPTO TMs'!A:A,D13990)&gt;0,"Yes","No"),"")</f>
        <v/>
      </c>
      <c r="C13990" s="11"/>
      <c r="D13990" s="11"/>
      <c r="E13990" s="11"/>
      <c r="F13990" s="11"/>
      <c r="G13990" s="11"/>
      <c r="H13990" s="11"/>
      <c r="I13990" s="15"/>
    </row>
    <row r="13991" spans="1:9" ht="16.5">
      <c r="A13991" s="10" t="b">
        <v>0</v>
      </c>
      <c r="B13991" s="11" t="str">
        <f>IF(D13991&lt;&gt;"",IF(COUNTIF('USPTO TMs'!A:A,D13991)&gt;0,"Yes","No"),"")</f>
        <v/>
      </c>
      <c r="C13991" s="11"/>
      <c r="D13991" s="11"/>
      <c r="E13991" s="11"/>
      <c r="F13991" s="11"/>
      <c r="G13991" s="11"/>
      <c r="H13991" s="11"/>
      <c r="I13991" s="15"/>
    </row>
    <row r="13992" spans="1:9" ht="16.5">
      <c r="A13992" s="10" t="b">
        <v>0</v>
      </c>
      <c r="B13992" s="11" t="str">
        <f>IF(D13992&lt;&gt;"",IF(COUNTIF('USPTO TMs'!A:A,D13992)&gt;0,"Yes","No"),"")</f>
        <v/>
      </c>
      <c r="C13992" s="11"/>
      <c r="D13992" s="11"/>
      <c r="E13992" s="11"/>
      <c r="F13992" s="11"/>
      <c r="G13992" s="11"/>
      <c r="H13992" s="11"/>
      <c r="I13992" s="15"/>
    </row>
    <row r="13993" spans="1:9" ht="16.5">
      <c r="A13993" s="10" t="b">
        <v>0</v>
      </c>
      <c r="B13993" s="11" t="str">
        <f>IF(D13993&lt;&gt;"",IF(COUNTIF('USPTO TMs'!A:A,D13993)&gt;0,"Yes","No"),"")</f>
        <v/>
      </c>
      <c r="C13993" s="11"/>
      <c r="D13993" s="11"/>
      <c r="E13993" s="11"/>
      <c r="F13993" s="11"/>
      <c r="G13993" s="11"/>
      <c r="H13993" s="11"/>
      <c r="I13993" s="15"/>
    </row>
    <row r="13994" spans="1:9" ht="16.5">
      <c r="A13994" s="10" t="b">
        <v>0</v>
      </c>
      <c r="B13994" s="11" t="str">
        <f>IF(D13994&lt;&gt;"",IF(COUNTIF('USPTO TMs'!A:A,D13994)&gt;0,"Yes","No"),"")</f>
        <v/>
      </c>
      <c r="C13994" s="11"/>
      <c r="D13994" s="11"/>
      <c r="E13994" s="11"/>
      <c r="F13994" s="11"/>
      <c r="G13994" s="11"/>
      <c r="H13994" s="11"/>
      <c r="I13994" s="15"/>
    </row>
    <row r="13995" spans="1:9" ht="16.5">
      <c r="A13995" s="10" t="b">
        <v>0</v>
      </c>
      <c r="B13995" s="11" t="str">
        <f>IF(D13995&lt;&gt;"",IF(COUNTIF('USPTO TMs'!A:A,D13995)&gt;0,"Yes","No"),"")</f>
        <v/>
      </c>
      <c r="C13995" s="11"/>
      <c r="D13995" s="11"/>
      <c r="E13995" s="11"/>
      <c r="F13995" s="11"/>
      <c r="G13995" s="11"/>
      <c r="H13995" s="11"/>
      <c r="I13995" s="15"/>
    </row>
    <row r="13996" spans="1:9" ht="16.5">
      <c r="A13996" s="10" t="b">
        <v>0</v>
      </c>
      <c r="B13996" s="11" t="str">
        <f>IF(D13996&lt;&gt;"",IF(COUNTIF('USPTO TMs'!A:A,D13996)&gt;0,"Yes","No"),"")</f>
        <v/>
      </c>
      <c r="C13996" s="11"/>
      <c r="D13996" s="11"/>
      <c r="E13996" s="11"/>
      <c r="F13996" s="11"/>
      <c r="G13996" s="11"/>
      <c r="H13996" s="11"/>
      <c r="I13996" s="15"/>
    </row>
    <row r="13997" spans="1:9" ht="16.5">
      <c r="A13997" s="10" t="b">
        <v>0</v>
      </c>
      <c r="B13997" s="11" t="str">
        <f>IF(D13997&lt;&gt;"",IF(COUNTIF('USPTO TMs'!A:A,D13997)&gt;0,"Yes","No"),"")</f>
        <v/>
      </c>
      <c r="C13997" s="11"/>
      <c r="D13997" s="11"/>
      <c r="E13997" s="11"/>
      <c r="F13997" s="11"/>
      <c r="G13997" s="11"/>
      <c r="H13997" s="11"/>
      <c r="I13997" s="15"/>
    </row>
    <row r="13998" spans="1:9" ht="16.5">
      <c r="A13998" s="10" t="b">
        <v>0</v>
      </c>
      <c r="B13998" s="11" t="str">
        <f>IF(D13998&lt;&gt;"",IF(COUNTIF('USPTO TMs'!A:A,D13998)&gt;0,"Yes","No"),"")</f>
        <v/>
      </c>
      <c r="C13998" s="11"/>
      <c r="D13998" s="11"/>
      <c r="E13998" s="11"/>
      <c r="F13998" s="11"/>
      <c r="G13998" s="11"/>
      <c r="H13998" s="11"/>
      <c r="I13998" s="15"/>
    </row>
    <row r="13999" spans="1:9" ht="16.5">
      <c r="A13999" s="10" t="b">
        <v>0</v>
      </c>
      <c r="B13999" s="11" t="str">
        <f>IF(D13999&lt;&gt;"",IF(COUNTIF('USPTO TMs'!A:A,D13999)&gt;0,"Yes","No"),"")</f>
        <v/>
      </c>
      <c r="C13999" s="11"/>
      <c r="D13999" s="11"/>
      <c r="E13999" s="11"/>
      <c r="F13999" s="11"/>
      <c r="G13999" s="11"/>
      <c r="H13999" s="11"/>
      <c r="I13999" s="15"/>
    </row>
    <row r="14000" spans="1:9" ht="16.5">
      <c r="A14000" s="10" t="b">
        <v>0</v>
      </c>
      <c r="B14000" s="11" t="str">
        <f>IF(D14000&lt;&gt;"",IF(COUNTIF('USPTO TMs'!A:A,D14000)&gt;0,"Yes","No"),"")</f>
        <v/>
      </c>
      <c r="C14000" s="11"/>
      <c r="D14000" s="11"/>
      <c r="E14000" s="11"/>
      <c r="F14000" s="11"/>
      <c r="G14000" s="11"/>
      <c r="H14000" s="11"/>
      <c r="I14000" s="15"/>
    </row>
    <row r="14001" spans="1:9" ht="16.5">
      <c r="A14001" s="10" t="b">
        <v>0</v>
      </c>
      <c r="B14001" s="11" t="str">
        <f>IF(D14001&lt;&gt;"",IF(COUNTIF('USPTO TMs'!A:A,D14001)&gt;0,"Yes","No"),"")</f>
        <v/>
      </c>
      <c r="C14001" s="11"/>
      <c r="D14001" s="11"/>
      <c r="E14001" s="11"/>
      <c r="F14001" s="11"/>
      <c r="G14001" s="11"/>
      <c r="H14001" s="11"/>
      <c r="I14001" s="15"/>
    </row>
    <row r="14002" spans="1:9" ht="16.5">
      <c r="A14002" s="10" t="b">
        <v>0</v>
      </c>
      <c r="B14002" s="11" t="str">
        <f>IF(D14002&lt;&gt;"",IF(COUNTIF('USPTO TMs'!A:A,D14002)&gt;0,"Yes","No"),"")</f>
        <v/>
      </c>
      <c r="C14002" s="11"/>
      <c r="D14002" s="11"/>
      <c r="E14002" s="11"/>
      <c r="F14002" s="11"/>
      <c r="G14002" s="11"/>
      <c r="H14002" s="11"/>
      <c r="I14002" s="15"/>
    </row>
    <row r="14003" spans="1:9" ht="16.5">
      <c r="A14003" s="10" t="b">
        <v>0</v>
      </c>
      <c r="B14003" s="11" t="str">
        <f>IF(D14003&lt;&gt;"",IF(COUNTIF('USPTO TMs'!A:A,D14003)&gt;0,"Yes","No"),"")</f>
        <v/>
      </c>
      <c r="C14003" s="11"/>
      <c r="D14003" s="11"/>
      <c r="E14003" s="11"/>
      <c r="F14003" s="11"/>
      <c r="G14003" s="11"/>
      <c r="H14003" s="11"/>
      <c r="I14003" s="15"/>
    </row>
    <row r="14004" spans="1:9" ht="16.5">
      <c r="A14004" s="10" t="b">
        <v>0</v>
      </c>
      <c r="B14004" s="11" t="str">
        <f>IF(D14004&lt;&gt;"",IF(COUNTIF('USPTO TMs'!A:A,D14004)&gt;0,"Yes","No"),"")</f>
        <v/>
      </c>
      <c r="C14004" s="11"/>
      <c r="D14004" s="11"/>
      <c r="E14004" s="11"/>
      <c r="F14004" s="11"/>
      <c r="G14004" s="11"/>
      <c r="H14004" s="11"/>
      <c r="I14004" s="15"/>
    </row>
    <row r="14005" spans="1:9" ht="16.5">
      <c r="A14005" s="10" t="b">
        <v>0</v>
      </c>
      <c r="B14005" s="11" t="str">
        <f>IF(D14005&lt;&gt;"",IF(COUNTIF('USPTO TMs'!A:A,D14005)&gt;0,"Yes","No"),"")</f>
        <v/>
      </c>
      <c r="C14005" s="11"/>
      <c r="D14005" s="11"/>
      <c r="E14005" s="11"/>
      <c r="F14005" s="11"/>
      <c r="G14005" s="11"/>
      <c r="H14005" s="11"/>
      <c r="I14005" s="15"/>
    </row>
    <row r="14006" spans="1:9" ht="16.5">
      <c r="A14006" s="10" t="b">
        <v>0</v>
      </c>
      <c r="B14006" s="11" t="str">
        <f>IF(D14006&lt;&gt;"",IF(COUNTIF('USPTO TMs'!A:A,D14006)&gt;0,"Yes","No"),"")</f>
        <v/>
      </c>
      <c r="C14006" s="11"/>
      <c r="D14006" s="11"/>
      <c r="E14006" s="11"/>
      <c r="F14006" s="11"/>
      <c r="G14006" s="11"/>
      <c r="H14006" s="11"/>
      <c r="I14006" s="15"/>
    </row>
    <row r="14007" spans="1:9" ht="16.5">
      <c r="A14007" s="10" t="b">
        <v>0</v>
      </c>
      <c r="B14007" s="11" t="str">
        <f>IF(D14007&lt;&gt;"",IF(COUNTIF('USPTO TMs'!A:A,D14007)&gt;0,"Yes","No"),"")</f>
        <v/>
      </c>
      <c r="C14007" s="11"/>
      <c r="D14007" s="11"/>
      <c r="E14007" s="11"/>
      <c r="F14007" s="11"/>
      <c r="G14007" s="11"/>
      <c r="H14007" s="11"/>
      <c r="I14007" s="15"/>
    </row>
    <row r="14008" spans="1:9" ht="16.5">
      <c r="A14008" s="10" t="b">
        <v>0</v>
      </c>
      <c r="B14008" s="11" t="str">
        <f>IF(D14008&lt;&gt;"",IF(COUNTIF('USPTO TMs'!A:A,D14008)&gt;0,"Yes","No"),"")</f>
        <v/>
      </c>
      <c r="C14008" s="11"/>
      <c r="D14008" s="11"/>
      <c r="E14008" s="11"/>
      <c r="F14008" s="11"/>
      <c r="G14008" s="11"/>
      <c r="H14008" s="11"/>
      <c r="I14008" s="15"/>
    </row>
    <row r="14009" spans="1:9" ht="16.5">
      <c r="A14009" s="10" t="b">
        <v>0</v>
      </c>
      <c r="B14009" s="11" t="str">
        <f>IF(D14009&lt;&gt;"",IF(COUNTIF('USPTO TMs'!A:A,D14009)&gt;0,"Yes","No"),"")</f>
        <v/>
      </c>
      <c r="C14009" s="11"/>
      <c r="D14009" s="11"/>
      <c r="E14009" s="11"/>
      <c r="F14009" s="11"/>
      <c r="G14009" s="11"/>
      <c r="H14009" s="11"/>
      <c r="I14009" s="15"/>
    </row>
    <row r="14010" spans="1:9" ht="16.5">
      <c r="A14010" s="10" t="b">
        <v>0</v>
      </c>
      <c r="B14010" s="11" t="str">
        <f>IF(D14010&lt;&gt;"",IF(COUNTIF('USPTO TMs'!A:A,D14010)&gt;0,"Yes","No"),"")</f>
        <v/>
      </c>
      <c r="C14010" s="11"/>
      <c r="D14010" s="11"/>
      <c r="E14010" s="11"/>
      <c r="F14010" s="11"/>
      <c r="G14010" s="11"/>
      <c r="H14010" s="11"/>
      <c r="I14010" s="15"/>
    </row>
    <row r="14011" spans="1:9" ht="16.5">
      <c r="A14011" s="10" t="b">
        <v>0</v>
      </c>
      <c r="B14011" s="11" t="str">
        <f>IF(D14011&lt;&gt;"",IF(COUNTIF('USPTO TMs'!A:A,D14011)&gt;0,"Yes","No"),"")</f>
        <v/>
      </c>
      <c r="C14011" s="11"/>
      <c r="D14011" s="11"/>
      <c r="E14011" s="11"/>
      <c r="F14011" s="11"/>
      <c r="G14011" s="11"/>
      <c r="H14011" s="11"/>
      <c r="I14011" s="15"/>
    </row>
    <row r="14012" spans="1:9" ht="16.5">
      <c r="A14012" s="10" t="b">
        <v>0</v>
      </c>
      <c r="B14012" s="11" t="str">
        <f>IF(D14012&lt;&gt;"",IF(COUNTIF('USPTO TMs'!A:A,D14012)&gt;0,"Yes","No"),"")</f>
        <v/>
      </c>
      <c r="C14012" s="11"/>
      <c r="D14012" s="11"/>
      <c r="E14012" s="11"/>
      <c r="F14012" s="11"/>
      <c r="G14012" s="11"/>
      <c r="H14012" s="11"/>
      <c r="I14012" s="15"/>
    </row>
    <row r="14013" spans="1:9" ht="16.5">
      <c r="A14013" s="10" t="b">
        <v>0</v>
      </c>
      <c r="B14013" s="11" t="str">
        <f>IF(D14013&lt;&gt;"",IF(COUNTIF('USPTO TMs'!A:A,D14013)&gt;0,"Yes","No"),"")</f>
        <v/>
      </c>
      <c r="C14013" s="11"/>
      <c r="D14013" s="11"/>
      <c r="E14013" s="11"/>
      <c r="F14013" s="11"/>
      <c r="G14013" s="11"/>
      <c r="H14013" s="11"/>
      <c r="I14013" s="15"/>
    </row>
    <row r="14014" spans="1:9" ht="16.5">
      <c r="A14014" s="10" t="b">
        <v>0</v>
      </c>
      <c r="B14014" s="11" t="str">
        <f>IF(D14014&lt;&gt;"",IF(COUNTIF('USPTO TMs'!A:A,D14014)&gt;0,"Yes","No"),"")</f>
        <v/>
      </c>
      <c r="C14014" s="11"/>
      <c r="D14014" s="11"/>
      <c r="E14014" s="11"/>
      <c r="F14014" s="11"/>
      <c r="G14014" s="11"/>
      <c r="H14014" s="11"/>
      <c r="I14014" s="15"/>
    </row>
    <row r="14015" spans="1:9" ht="16.5">
      <c r="A14015" s="10" t="b">
        <v>0</v>
      </c>
      <c r="B14015" s="11" t="str">
        <f>IF(D14015&lt;&gt;"",IF(COUNTIF('USPTO TMs'!A:A,D14015)&gt;0,"Yes","No"),"")</f>
        <v/>
      </c>
      <c r="C14015" s="11"/>
      <c r="D14015" s="11"/>
      <c r="E14015" s="11"/>
      <c r="F14015" s="11"/>
      <c r="G14015" s="11"/>
      <c r="H14015" s="11"/>
      <c r="I14015" s="15"/>
    </row>
    <row r="14016" spans="1:9" ht="16.5">
      <c r="A14016" s="10" t="b">
        <v>0</v>
      </c>
      <c r="B14016" s="11" t="str">
        <f>IF(D14016&lt;&gt;"",IF(COUNTIF('USPTO TMs'!A:A,D14016)&gt;0,"Yes","No"),"")</f>
        <v/>
      </c>
      <c r="C14016" s="11"/>
      <c r="D14016" s="11"/>
      <c r="E14016" s="11"/>
      <c r="F14016" s="11"/>
      <c r="G14016" s="11"/>
      <c r="H14016" s="11"/>
      <c r="I14016" s="15"/>
    </row>
    <row r="14017" spans="1:9" ht="16.5">
      <c r="A14017" s="10" t="b">
        <v>0</v>
      </c>
      <c r="B14017" s="11" t="str">
        <f>IF(D14017&lt;&gt;"",IF(COUNTIF('USPTO TMs'!A:A,D14017)&gt;0,"Yes","No"),"")</f>
        <v/>
      </c>
      <c r="C14017" s="11"/>
      <c r="D14017" s="11"/>
      <c r="E14017" s="11"/>
      <c r="F14017" s="11"/>
      <c r="G14017" s="11"/>
      <c r="H14017" s="11"/>
      <c r="I14017" s="15"/>
    </row>
    <row r="14018" spans="1:9" ht="16.5">
      <c r="A14018" s="10" t="b">
        <v>0</v>
      </c>
      <c r="B14018" s="11" t="str">
        <f>IF(D14018&lt;&gt;"",IF(COUNTIF('USPTO TMs'!A:A,D14018)&gt;0,"Yes","No"),"")</f>
        <v/>
      </c>
      <c r="C14018" s="11"/>
      <c r="D14018" s="11"/>
      <c r="E14018" s="11"/>
      <c r="F14018" s="11"/>
      <c r="G14018" s="11"/>
      <c r="H14018" s="11"/>
      <c r="I14018" s="15"/>
    </row>
    <row r="14019" spans="1:9" ht="16.5">
      <c r="A14019" s="10" t="b">
        <v>0</v>
      </c>
      <c r="B14019" s="11" t="str">
        <f>IF(D14019&lt;&gt;"",IF(COUNTIF('USPTO TMs'!A:A,D14019)&gt;0,"Yes","No"),"")</f>
        <v/>
      </c>
      <c r="C14019" s="11"/>
      <c r="D14019" s="11"/>
      <c r="E14019" s="11"/>
      <c r="F14019" s="11"/>
      <c r="G14019" s="11"/>
      <c r="H14019" s="11"/>
      <c r="I14019" s="15"/>
    </row>
    <row r="14020" spans="1:9" ht="16.5">
      <c r="A14020" s="10" t="b">
        <v>0</v>
      </c>
      <c r="B14020" s="11" t="str">
        <f>IF(D14020&lt;&gt;"",IF(COUNTIF('USPTO TMs'!A:A,D14020)&gt;0,"Yes","No"),"")</f>
        <v/>
      </c>
      <c r="C14020" s="11"/>
      <c r="D14020" s="11"/>
      <c r="E14020" s="11"/>
      <c r="F14020" s="11"/>
      <c r="G14020" s="11"/>
      <c r="H14020" s="11"/>
      <c r="I14020" s="15"/>
    </row>
    <row r="14021" spans="1:9" ht="16.5">
      <c r="A14021" s="10" t="b">
        <v>0</v>
      </c>
      <c r="B14021" s="11" t="str">
        <f>IF(D14021&lt;&gt;"",IF(COUNTIF('USPTO TMs'!A:A,D14021)&gt;0,"Yes","No"),"")</f>
        <v/>
      </c>
      <c r="C14021" s="11"/>
      <c r="D14021" s="11"/>
      <c r="E14021" s="11"/>
      <c r="F14021" s="11"/>
      <c r="G14021" s="11"/>
      <c r="H14021" s="11"/>
      <c r="I14021" s="15"/>
    </row>
    <row r="14022" spans="1:9" ht="16.5">
      <c r="A14022" s="10" t="b">
        <v>0</v>
      </c>
      <c r="B14022" s="11" t="str">
        <f>IF(D14022&lt;&gt;"",IF(COUNTIF('USPTO TMs'!A:A,D14022)&gt;0,"Yes","No"),"")</f>
        <v/>
      </c>
      <c r="C14022" s="11"/>
      <c r="D14022" s="11"/>
      <c r="E14022" s="11"/>
      <c r="F14022" s="11"/>
      <c r="G14022" s="11"/>
      <c r="H14022" s="11"/>
      <c r="I14022" s="15"/>
    </row>
    <row r="14023" spans="1:9" ht="16.5">
      <c r="A14023" s="10" t="b">
        <v>0</v>
      </c>
      <c r="B14023" s="11" t="str">
        <f>IF(D14023&lt;&gt;"",IF(COUNTIF('USPTO TMs'!A:A,D14023)&gt;0,"Yes","No"),"")</f>
        <v/>
      </c>
      <c r="C14023" s="11"/>
      <c r="D14023" s="11"/>
      <c r="E14023" s="11"/>
      <c r="F14023" s="11"/>
      <c r="G14023" s="11"/>
      <c r="H14023" s="11"/>
      <c r="I14023" s="15"/>
    </row>
    <row r="14024" spans="1:9" ht="16.5">
      <c r="A14024" s="10" t="b">
        <v>0</v>
      </c>
      <c r="B14024" s="11" t="str">
        <f>IF(D14024&lt;&gt;"",IF(COUNTIF('USPTO TMs'!A:A,D14024)&gt;0,"Yes","No"),"")</f>
        <v/>
      </c>
      <c r="C14024" s="11"/>
      <c r="D14024" s="11"/>
      <c r="E14024" s="11"/>
      <c r="F14024" s="11"/>
      <c r="G14024" s="11"/>
      <c r="H14024" s="11"/>
      <c r="I14024" s="15"/>
    </row>
    <row r="14025" spans="1:9" ht="16.5">
      <c r="A14025" s="10" t="b">
        <v>0</v>
      </c>
      <c r="B14025" s="11" t="str">
        <f>IF(D14025&lt;&gt;"",IF(COUNTIF('USPTO TMs'!A:A,D14025)&gt;0,"Yes","No"),"")</f>
        <v/>
      </c>
      <c r="C14025" s="11"/>
      <c r="D14025" s="11"/>
      <c r="E14025" s="11"/>
      <c r="F14025" s="11"/>
      <c r="G14025" s="11"/>
      <c r="H14025" s="11"/>
      <c r="I14025" s="15"/>
    </row>
    <row r="14026" spans="1:9" ht="16.5">
      <c r="A14026" s="10" t="b">
        <v>0</v>
      </c>
      <c r="B14026" s="11" t="str">
        <f>IF(D14026&lt;&gt;"",IF(COUNTIF('USPTO TMs'!A:A,D14026)&gt;0,"Yes","No"),"")</f>
        <v/>
      </c>
      <c r="C14026" s="11"/>
      <c r="D14026" s="11"/>
      <c r="E14026" s="11"/>
      <c r="F14026" s="11"/>
      <c r="G14026" s="11"/>
      <c r="H14026" s="11"/>
      <c r="I14026" s="15"/>
    </row>
    <row r="14027" spans="1:9" ht="16.5">
      <c r="A14027" s="10" t="b">
        <v>0</v>
      </c>
      <c r="B14027" s="11" t="str">
        <f>IF(D14027&lt;&gt;"",IF(COUNTIF('USPTO TMs'!A:A,D14027)&gt;0,"Yes","No"),"")</f>
        <v/>
      </c>
      <c r="C14027" s="11"/>
      <c r="D14027" s="11"/>
      <c r="E14027" s="11"/>
      <c r="F14027" s="11"/>
      <c r="G14027" s="11"/>
      <c r="H14027" s="11"/>
      <c r="I14027" s="15"/>
    </row>
    <row r="14028" spans="1:9" ht="16.5">
      <c r="A14028" s="10" t="b">
        <v>0</v>
      </c>
      <c r="B14028" s="11" t="str">
        <f>IF(D14028&lt;&gt;"",IF(COUNTIF('USPTO TMs'!A:A,D14028)&gt;0,"Yes","No"),"")</f>
        <v/>
      </c>
      <c r="C14028" s="11"/>
      <c r="D14028" s="11"/>
      <c r="E14028" s="11"/>
      <c r="F14028" s="11"/>
      <c r="G14028" s="11"/>
      <c r="H14028" s="11"/>
      <c r="I14028" s="15"/>
    </row>
    <row r="14029" spans="1:9" ht="16.5">
      <c r="A14029" s="10" t="b">
        <v>0</v>
      </c>
      <c r="B14029" s="11" t="str">
        <f>IF(D14029&lt;&gt;"",IF(COUNTIF('USPTO TMs'!A:A,D14029)&gt;0,"Yes","No"),"")</f>
        <v/>
      </c>
      <c r="C14029" s="11"/>
      <c r="D14029" s="11"/>
      <c r="E14029" s="11"/>
      <c r="F14029" s="11"/>
      <c r="G14029" s="11"/>
      <c r="H14029" s="11"/>
      <c r="I14029" s="15"/>
    </row>
    <row r="14030" spans="1:9" ht="16.5">
      <c r="A14030" s="10" t="b">
        <v>0</v>
      </c>
      <c r="B14030" s="11" t="str">
        <f>IF(D14030&lt;&gt;"",IF(COUNTIF('USPTO TMs'!A:A,D14030)&gt;0,"Yes","No"),"")</f>
        <v/>
      </c>
      <c r="C14030" s="11"/>
      <c r="D14030" s="11"/>
      <c r="E14030" s="11"/>
      <c r="F14030" s="11"/>
      <c r="G14030" s="11"/>
      <c r="H14030" s="11"/>
      <c r="I14030" s="15"/>
    </row>
    <row r="14031" spans="1:9" ht="16.5">
      <c r="A14031" s="10" t="b">
        <v>0</v>
      </c>
      <c r="B14031" s="11" t="str">
        <f>IF(D14031&lt;&gt;"",IF(COUNTIF('USPTO TMs'!A:A,D14031)&gt;0,"Yes","No"),"")</f>
        <v/>
      </c>
      <c r="C14031" s="11"/>
      <c r="D14031" s="11"/>
      <c r="E14031" s="11"/>
      <c r="F14031" s="11"/>
      <c r="G14031" s="11"/>
      <c r="H14031" s="11"/>
      <c r="I14031" s="15"/>
    </row>
    <row r="14032" spans="1:9" ht="16.5">
      <c r="A14032" s="10" t="b">
        <v>0</v>
      </c>
      <c r="B14032" s="11" t="str">
        <f>IF(D14032&lt;&gt;"",IF(COUNTIF('USPTO TMs'!A:A,D14032)&gt;0,"Yes","No"),"")</f>
        <v/>
      </c>
      <c r="C14032" s="11"/>
      <c r="D14032" s="11"/>
      <c r="E14032" s="11"/>
      <c r="F14032" s="11"/>
      <c r="G14032" s="11"/>
      <c r="H14032" s="11"/>
      <c r="I14032" s="15"/>
    </row>
    <row r="14033" spans="1:9" ht="16.5">
      <c r="A14033" s="10" t="b">
        <v>0</v>
      </c>
      <c r="B14033" s="11" t="str">
        <f>IF(D14033&lt;&gt;"",IF(COUNTIF('USPTO TMs'!A:A,D14033)&gt;0,"Yes","No"),"")</f>
        <v/>
      </c>
      <c r="C14033" s="11"/>
      <c r="D14033" s="11"/>
      <c r="E14033" s="11"/>
      <c r="F14033" s="11"/>
      <c r="G14033" s="11"/>
      <c r="H14033" s="11"/>
      <c r="I14033" s="15"/>
    </row>
    <row r="14034" spans="1:9" ht="16.5">
      <c r="A14034" s="10" t="b">
        <v>0</v>
      </c>
      <c r="B14034" s="11" t="str">
        <f>IF(D14034&lt;&gt;"",IF(COUNTIF('USPTO TMs'!A:A,D14034)&gt;0,"Yes","No"),"")</f>
        <v/>
      </c>
      <c r="C14034" s="11"/>
      <c r="D14034" s="11"/>
      <c r="E14034" s="11"/>
      <c r="F14034" s="11"/>
      <c r="G14034" s="11"/>
      <c r="H14034" s="11"/>
      <c r="I14034" s="15"/>
    </row>
    <row r="14035" spans="1:9" ht="16.5">
      <c r="A14035" s="10" t="b">
        <v>0</v>
      </c>
      <c r="B14035" s="11" t="str">
        <f>IF(D14035&lt;&gt;"",IF(COUNTIF('USPTO TMs'!A:A,D14035)&gt;0,"Yes","No"),"")</f>
        <v/>
      </c>
      <c r="C14035" s="11"/>
      <c r="D14035" s="11"/>
      <c r="E14035" s="11"/>
      <c r="F14035" s="11"/>
      <c r="G14035" s="11"/>
      <c r="H14035" s="11"/>
      <c r="I14035" s="15"/>
    </row>
    <row r="14036" spans="1:9" ht="16.5">
      <c r="A14036" s="10" t="b">
        <v>0</v>
      </c>
      <c r="B14036" s="11" t="str">
        <f>IF(D14036&lt;&gt;"",IF(COUNTIF('USPTO TMs'!A:A,D14036)&gt;0,"Yes","No"),"")</f>
        <v/>
      </c>
      <c r="C14036" s="11"/>
      <c r="D14036" s="11"/>
      <c r="E14036" s="11"/>
      <c r="F14036" s="11"/>
      <c r="G14036" s="11"/>
      <c r="H14036" s="11"/>
      <c r="I14036" s="15"/>
    </row>
    <row r="14037" spans="1:9" ht="16.5">
      <c r="A14037" s="10" t="b">
        <v>0</v>
      </c>
      <c r="B14037" s="11" t="str">
        <f>IF(D14037&lt;&gt;"",IF(COUNTIF('USPTO TMs'!A:A,D14037)&gt;0,"Yes","No"),"")</f>
        <v/>
      </c>
      <c r="C14037" s="11"/>
      <c r="D14037" s="11"/>
      <c r="E14037" s="11"/>
      <c r="F14037" s="11"/>
      <c r="G14037" s="11"/>
      <c r="H14037" s="11"/>
      <c r="I14037" s="15"/>
    </row>
    <row r="14038" spans="1:9" ht="16.5">
      <c r="A14038" s="10" t="b">
        <v>0</v>
      </c>
      <c r="B14038" s="11" t="str">
        <f>IF(D14038&lt;&gt;"",IF(COUNTIF('USPTO TMs'!A:A,D14038)&gt;0,"Yes","No"),"")</f>
        <v/>
      </c>
      <c r="C14038" s="11"/>
      <c r="D14038" s="11"/>
      <c r="E14038" s="11"/>
      <c r="F14038" s="11"/>
      <c r="G14038" s="11"/>
      <c r="H14038" s="11"/>
      <c r="I14038" s="15"/>
    </row>
    <row r="14039" spans="1:9" ht="16.5">
      <c r="A14039" s="10" t="b">
        <v>0</v>
      </c>
      <c r="B14039" s="11" t="str">
        <f>IF(D14039&lt;&gt;"",IF(COUNTIF('USPTO TMs'!A:A,D14039)&gt;0,"Yes","No"),"")</f>
        <v/>
      </c>
      <c r="C14039" s="11"/>
      <c r="D14039" s="11"/>
      <c r="E14039" s="11"/>
      <c r="F14039" s="11"/>
      <c r="G14039" s="11"/>
      <c r="H14039" s="11"/>
      <c r="I14039" s="15"/>
    </row>
    <row r="14040" spans="1:9" ht="16.5">
      <c r="A14040" s="10" t="b">
        <v>0</v>
      </c>
      <c r="B14040" s="11" t="str">
        <f>IF(D14040&lt;&gt;"",IF(COUNTIF('USPTO TMs'!A:A,D14040)&gt;0,"Yes","No"),"")</f>
        <v/>
      </c>
      <c r="C14040" s="11"/>
      <c r="D14040" s="11"/>
      <c r="E14040" s="11"/>
      <c r="F14040" s="11"/>
      <c r="G14040" s="11"/>
      <c r="H14040" s="11"/>
      <c r="I14040" s="15"/>
    </row>
    <row r="14041" spans="1:9" ht="16.5">
      <c r="A14041" s="10" t="b">
        <v>0</v>
      </c>
      <c r="B14041" s="11" t="str">
        <f>IF(D14041&lt;&gt;"",IF(COUNTIF('USPTO TMs'!A:A,D14041)&gt;0,"Yes","No"),"")</f>
        <v/>
      </c>
      <c r="C14041" s="11"/>
      <c r="D14041" s="11"/>
      <c r="E14041" s="11"/>
      <c r="F14041" s="11"/>
      <c r="G14041" s="11"/>
      <c r="H14041" s="11"/>
      <c r="I14041" s="15"/>
    </row>
    <row r="14042" spans="1:9" ht="16.5">
      <c r="A14042" s="10" t="b">
        <v>0</v>
      </c>
      <c r="B14042" s="11" t="str">
        <f>IF(D14042&lt;&gt;"",IF(COUNTIF('USPTO TMs'!A:A,D14042)&gt;0,"Yes","No"),"")</f>
        <v/>
      </c>
      <c r="C14042" s="11"/>
      <c r="D14042" s="11"/>
      <c r="E14042" s="11"/>
      <c r="F14042" s="11"/>
      <c r="G14042" s="11"/>
      <c r="H14042" s="11"/>
      <c r="I14042" s="15"/>
    </row>
    <row r="14043" spans="1:9" ht="16.5">
      <c r="A14043" s="10" t="b">
        <v>0</v>
      </c>
      <c r="B14043" s="11" t="str">
        <f>IF(D14043&lt;&gt;"",IF(COUNTIF('USPTO TMs'!A:A,D14043)&gt;0,"Yes","No"),"")</f>
        <v/>
      </c>
      <c r="C14043" s="11"/>
      <c r="D14043" s="11"/>
      <c r="E14043" s="11"/>
      <c r="F14043" s="11"/>
      <c r="G14043" s="11"/>
      <c r="H14043" s="11"/>
      <c r="I14043" s="15"/>
    </row>
    <row r="14044" spans="1:9" ht="16.5">
      <c r="A14044" s="10" t="b">
        <v>0</v>
      </c>
      <c r="B14044" s="11" t="str">
        <f>IF(D14044&lt;&gt;"",IF(COUNTIF('USPTO TMs'!A:A,D14044)&gt;0,"Yes","No"),"")</f>
        <v/>
      </c>
      <c r="C14044" s="11"/>
      <c r="D14044" s="11"/>
      <c r="E14044" s="11"/>
      <c r="F14044" s="11"/>
      <c r="G14044" s="11"/>
      <c r="H14044" s="11"/>
      <c r="I14044" s="15"/>
    </row>
    <row r="14045" spans="1:9" ht="16.5">
      <c r="A14045" s="10" t="b">
        <v>0</v>
      </c>
      <c r="B14045" s="11" t="str">
        <f>IF(D14045&lt;&gt;"",IF(COUNTIF('USPTO TMs'!A:A,D14045)&gt;0,"Yes","No"),"")</f>
        <v/>
      </c>
      <c r="C14045" s="11"/>
      <c r="D14045" s="11"/>
      <c r="E14045" s="11"/>
      <c r="F14045" s="11"/>
      <c r="G14045" s="11"/>
      <c r="H14045" s="11"/>
      <c r="I14045" s="15"/>
    </row>
    <row r="14046" spans="1:9" ht="16.5">
      <c r="A14046" s="10" t="b">
        <v>0</v>
      </c>
      <c r="B14046" s="11" t="str">
        <f>IF(D14046&lt;&gt;"",IF(COUNTIF('USPTO TMs'!A:A,D14046)&gt;0,"Yes","No"),"")</f>
        <v/>
      </c>
      <c r="C14046" s="11"/>
      <c r="D14046" s="11"/>
      <c r="E14046" s="11"/>
      <c r="F14046" s="11"/>
      <c r="G14046" s="11"/>
      <c r="H14046" s="11"/>
      <c r="I14046" s="15"/>
    </row>
    <row r="14047" spans="1:9" ht="16.5">
      <c r="A14047" s="10" t="b">
        <v>0</v>
      </c>
      <c r="B14047" s="11" t="str">
        <f>IF(D14047&lt;&gt;"",IF(COUNTIF('USPTO TMs'!A:A,D14047)&gt;0,"Yes","No"),"")</f>
        <v/>
      </c>
      <c r="C14047" s="11"/>
      <c r="D14047" s="11"/>
      <c r="E14047" s="11"/>
      <c r="F14047" s="11"/>
      <c r="G14047" s="11"/>
      <c r="H14047" s="11"/>
      <c r="I14047" s="15"/>
    </row>
    <row r="14048" spans="1:9" ht="16.5">
      <c r="A14048" s="10" t="b">
        <v>0</v>
      </c>
      <c r="B14048" s="11" t="str">
        <f>IF(D14048&lt;&gt;"",IF(COUNTIF('USPTO TMs'!A:A,D14048)&gt;0,"Yes","No"),"")</f>
        <v/>
      </c>
      <c r="C14048" s="11"/>
      <c r="D14048" s="11"/>
      <c r="E14048" s="11"/>
      <c r="F14048" s="11"/>
      <c r="G14048" s="11"/>
      <c r="H14048" s="11"/>
      <c r="I14048" s="15"/>
    </row>
    <row r="14049" spans="1:9" ht="16.5">
      <c r="A14049" s="10" t="b">
        <v>0</v>
      </c>
      <c r="B14049" s="11" t="str">
        <f>IF(D14049&lt;&gt;"",IF(COUNTIF('USPTO TMs'!A:A,D14049)&gt;0,"Yes","No"),"")</f>
        <v/>
      </c>
      <c r="C14049" s="11"/>
      <c r="D14049" s="11"/>
      <c r="E14049" s="11"/>
      <c r="F14049" s="11"/>
      <c r="G14049" s="11"/>
      <c r="H14049" s="11"/>
      <c r="I14049" s="15"/>
    </row>
    <row r="14050" spans="1:9" ht="16.5">
      <c r="A14050" s="10" t="b">
        <v>0</v>
      </c>
      <c r="B14050" s="11" t="str">
        <f>IF(D14050&lt;&gt;"",IF(COUNTIF('USPTO TMs'!A:A,D14050)&gt;0,"Yes","No"),"")</f>
        <v/>
      </c>
      <c r="C14050" s="11"/>
      <c r="D14050" s="11"/>
      <c r="E14050" s="11"/>
      <c r="F14050" s="11"/>
      <c r="G14050" s="11"/>
      <c r="H14050" s="11"/>
      <c r="I14050" s="15"/>
    </row>
    <row r="14051" spans="1:9" ht="16.5">
      <c r="A14051" s="10" t="b">
        <v>0</v>
      </c>
      <c r="B14051" s="11" t="str">
        <f>IF(D14051&lt;&gt;"",IF(COUNTIF('USPTO TMs'!A:A,D14051)&gt;0,"Yes","No"),"")</f>
        <v/>
      </c>
      <c r="C14051" s="11"/>
      <c r="D14051" s="11"/>
      <c r="E14051" s="11"/>
      <c r="F14051" s="11"/>
      <c r="G14051" s="11"/>
      <c r="H14051" s="11"/>
      <c r="I14051" s="15"/>
    </row>
    <row r="14052" spans="1:9" ht="16.5">
      <c r="A14052" s="10" t="b">
        <v>0</v>
      </c>
      <c r="B14052" s="11" t="str">
        <f>IF(D14052&lt;&gt;"",IF(COUNTIF('USPTO TMs'!A:A,D14052)&gt;0,"Yes","No"),"")</f>
        <v/>
      </c>
      <c r="C14052" s="11"/>
      <c r="D14052" s="11"/>
      <c r="E14052" s="11"/>
      <c r="F14052" s="11"/>
      <c r="G14052" s="11"/>
      <c r="H14052" s="11"/>
      <c r="I14052" s="15"/>
    </row>
    <row r="14053" spans="1:9" ht="16.5">
      <c r="A14053" s="10" t="b">
        <v>0</v>
      </c>
      <c r="B14053" s="11" t="str">
        <f>IF(D14053&lt;&gt;"",IF(COUNTIF('USPTO TMs'!A:A,D14053)&gt;0,"Yes","No"),"")</f>
        <v/>
      </c>
      <c r="C14053" s="11"/>
      <c r="D14053" s="11"/>
      <c r="E14053" s="11"/>
      <c r="F14053" s="11"/>
      <c r="G14053" s="11"/>
      <c r="H14053" s="11"/>
      <c r="I14053" s="15"/>
    </row>
    <row r="14054" spans="1:9" ht="16.5">
      <c r="A14054" s="10" t="b">
        <v>0</v>
      </c>
      <c r="B14054" s="11" t="str">
        <f>IF(D14054&lt;&gt;"",IF(COUNTIF('USPTO TMs'!A:A,D14054)&gt;0,"Yes","No"),"")</f>
        <v/>
      </c>
      <c r="C14054" s="11"/>
      <c r="D14054" s="11"/>
      <c r="E14054" s="11"/>
      <c r="F14054" s="11"/>
      <c r="G14054" s="11"/>
      <c r="H14054" s="11"/>
      <c r="I14054" s="15"/>
    </row>
    <row r="14055" spans="1:9" ht="16.5">
      <c r="A14055" s="10" t="b">
        <v>0</v>
      </c>
      <c r="B14055" s="11" t="str">
        <f>IF(D14055&lt;&gt;"",IF(COUNTIF('USPTO TMs'!A:A,D14055)&gt;0,"Yes","No"),"")</f>
        <v/>
      </c>
      <c r="C14055" s="11"/>
      <c r="D14055" s="11"/>
      <c r="E14055" s="11"/>
      <c r="F14055" s="11"/>
      <c r="G14055" s="11"/>
      <c r="H14055" s="11"/>
      <c r="I14055" s="15"/>
    </row>
    <row r="14056" spans="1:9" ht="16.5">
      <c r="A14056" s="10" t="b">
        <v>0</v>
      </c>
      <c r="B14056" s="11" t="str">
        <f>IF(D14056&lt;&gt;"",IF(COUNTIF('USPTO TMs'!A:A,D14056)&gt;0,"Yes","No"),"")</f>
        <v/>
      </c>
      <c r="C14056" s="11"/>
      <c r="D14056" s="11"/>
      <c r="E14056" s="11"/>
      <c r="F14056" s="11"/>
      <c r="G14056" s="11"/>
      <c r="H14056" s="11"/>
      <c r="I14056" s="15"/>
    </row>
    <row r="14057" spans="1:9" ht="16.5">
      <c r="A14057" s="10" t="b">
        <v>0</v>
      </c>
      <c r="B14057" s="11" t="str">
        <f>IF(D14057&lt;&gt;"",IF(COUNTIF('USPTO TMs'!A:A,D14057)&gt;0,"Yes","No"),"")</f>
        <v/>
      </c>
      <c r="C14057" s="11"/>
      <c r="D14057" s="11"/>
      <c r="E14057" s="11"/>
      <c r="F14057" s="11"/>
      <c r="G14057" s="11"/>
      <c r="H14057" s="11"/>
      <c r="I14057" s="15"/>
    </row>
    <row r="14058" spans="1:9" ht="16.5">
      <c r="A14058" s="10" t="b">
        <v>0</v>
      </c>
      <c r="B14058" s="11" t="str">
        <f>IF(D14058&lt;&gt;"",IF(COUNTIF('USPTO TMs'!A:A,D14058)&gt;0,"Yes","No"),"")</f>
        <v/>
      </c>
      <c r="C14058" s="11"/>
      <c r="D14058" s="11"/>
      <c r="E14058" s="11"/>
      <c r="F14058" s="11"/>
      <c r="G14058" s="11"/>
      <c r="H14058" s="11"/>
      <c r="I14058" s="15"/>
    </row>
    <row r="14059" spans="1:9" ht="16.5">
      <c r="A14059" s="10" t="b">
        <v>0</v>
      </c>
      <c r="B14059" s="11" t="str">
        <f>IF(D14059&lt;&gt;"",IF(COUNTIF('USPTO TMs'!A:A,D14059)&gt;0,"Yes","No"),"")</f>
        <v/>
      </c>
      <c r="C14059" s="11"/>
      <c r="D14059" s="11"/>
      <c r="E14059" s="11"/>
      <c r="F14059" s="11"/>
      <c r="G14059" s="11"/>
      <c r="H14059" s="11"/>
      <c r="I14059" s="15"/>
    </row>
    <row r="14060" spans="1:9" ht="16.5">
      <c r="A14060" s="10" t="b">
        <v>0</v>
      </c>
      <c r="B14060" s="11" t="str">
        <f>IF(D14060&lt;&gt;"",IF(COUNTIF('USPTO TMs'!A:A,D14060)&gt;0,"Yes","No"),"")</f>
        <v/>
      </c>
      <c r="C14060" s="11"/>
      <c r="D14060" s="11"/>
      <c r="E14060" s="11"/>
      <c r="F14060" s="11"/>
      <c r="G14060" s="11"/>
      <c r="H14060" s="11"/>
      <c r="I14060" s="15"/>
    </row>
    <row r="14061" spans="1:9" ht="16.5">
      <c r="A14061" s="10" t="b">
        <v>0</v>
      </c>
      <c r="B14061" s="11" t="str">
        <f>IF(D14061&lt;&gt;"",IF(COUNTIF('USPTO TMs'!A:A,D14061)&gt;0,"Yes","No"),"")</f>
        <v/>
      </c>
      <c r="C14061" s="11"/>
      <c r="D14061" s="11"/>
      <c r="E14061" s="11"/>
      <c r="F14061" s="11"/>
      <c r="G14061" s="11"/>
      <c r="H14061" s="11"/>
      <c r="I14061" s="15"/>
    </row>
    <row r="14062" spans="1:9" ht="16.5">
      <c r="A14062" s="10" t="b">
        <v>0</v>
      </c>
      <c r="B14062" s="11" t="str">
        <f>IF(D14062&lt;&gt;"",IF(COUNTIF('USPTO TMs'!A:A,D14062)&gt;0,"Yes","No"),"")</f>
        <v/>
      </c>
      <c r="C14062" s="11"/>
      <c r="D14062" s="11"/>
      <c r="E14062" s="11"/>
      <c r="F14062" s="11"/>
      <c r="G14062" s="11"/>
      <c r="H14062" s="11"/>
      <c r="I14062" s="15"/>
    </row>
    <row r="14063" spans="1:9" ht="16.5">
      <c r="A14063" s="10" t="b">
        <v>0</v>
      </c>
      <c r="B14063" s="11" t="str">
        <f>IF(D14063&lt;&gt;"",IF(COUNTIF('USPTO TMs'!A:A,D14063)&gt;0,"Yes","No"),"")</f>
        <v/>
      </c>
      <c r="C14063" s="11"/>
      <c r="D14063" s="11"/>
      <c r="E14063" s="11"/>
      <c r="F14063" s="11"/>
      <c r="G14063" s="11"/>
      <c r="H14063" s="11"/>
      <c r="I14063" s="15"/>
    </row>
    <row r="14064" spans="1:9" ht="16.5">
      <c r="A14064" s="10" t="b">
        <v>0</v>
      </c>
      <c r="B14064" s="11" t="str">
        <f>IF(D14064&lt;&gt;"",IF(COUNTIF('USPTO TMs'!A:A,D14064)&gt;0,"Yes","No"),"")</f>
        <v/>
      </c>
      <c r="C14064" s="11"/>
      <c r="D14064" s="11"/>
      <c r="E14064" s="11"/>
      <c r="F14064" s="11"/>
      <c r="G14064" s="11"/>
      <c r="H14064" s="11"/>
      <c r="I14064" s="15"/>
    </row>
    <row r="14065" spans="1:9" ht="16.5">
      <c r="A14065" s="10" t="b">
        <v>0</v>
      </c>
      <c r="B14065" s="11" t="str">
        <f>IF(D14065&lt;&gt;"",IF(COUNTIF('USPTO TMs'!A:A,D14065)&gt;0,"Yes","No"),"")</f>
        <v/>
      </c>
      <c r="C14065" s="11"/>
      <c r="D14065" s="11"/>
      <c r="E14065" s="11"/>
      <c r="F14065" s="11"/>
      <c r="G14065" s="11"/>
      <c r="H14065" s="11"/>
      <c r="I14065" s="15"/>
    </row>
    <row r="14066" spans="1:9" ht="16.5">
      <c r="A14066" s="10" t="b">
        <v>0</v>
      </c>
      <c r="B14066" s="11" t="str">
        <f>IF(D14066&lt;&gt;"",IF(COUNTIF('USPTO TMs'!A:A,D14066)&gt;0,"Yes","No"),"")</f>
        <v/>
      </c>
      <c r="C14066" s="11"/>
      <c r="D14066" s="11"/>
      <c r="E14066" s="11"/>
      <c r="F14066" s="11"/>
      <c r="G14066" s="11"/>
      <c r="H14066" s="11"/>
      <c r="I14066" s="15"/>
    </row>
    <row r="14067" spans="1:9" ht="16.5">
      <c r="A14067" s="10" t="b">
        <v>0</v>
      </c>
      <c r="B14067" s="11" t="str">
        <f>IF(D14067&lt;&gt;"",IF(COUNTIF('USPTO TMs'!A:A,D14067)&gt;0,"Yes","No"),"")</f>
        <v/>
      </c>
      <c r="C14067" s="11"/>
      <c r="D14067" s="11"/>
      <c r="E14067" s="11"/>
      <c r="F14067" s="11"/>
      <c r="G14067" s="11"/>
      <c r="H14067" s="11"/>
      <c r="I14067" s="15"/>
    </row>
    <row r="14068" spans="1:9" ht="16.5">
      <c r="A14068" s="10" t="b">
        <v>0</v>
      </c>
      <c r="B14068" s="11" t="str">
        <f>IF(D14068&lt;&gt;"",IF(COUNTIF('USPTO TMs'!A:A,D14068)&gt;0,"Yes","No"),"")</f>
        <v/>
      </c>
      <c r="C14068" s="11"/>
      <c r="D14068" s="11"/>
      <c r="E14068" s="11"/>
      <c r="F14068" s="11"/>
      <c r="G14068" s="11"/>
      <c r="H14068" s="11"/>
      <c r="I14068" s="15"/>
    </row>
    <row r="14069" spans="1:9" ht="16.5">
      <c r="A14069" s="10" t="b">
        <v>0</v>
      </c>
      <c r="B14069" s="11" t="str">
        <f>IF(D14069&lt;&gt;"",IF(COUNTIF('USPTO TMs'!A:A,D14069)&gt;0,"Yes","No"),"")</f>
        <v/>
      </c>
      <c r="C14069" s="11"/>
      <c r="D14069" s="11"/>
      <c r="E14069" s="11"/>
      <c r="F14069" s="11"/>
      <c r="G14069" s="11"/>
      <c r="H14069" s="11"/>
      <c r="I14069" s="15"/>
    </row>
    <row r="14070" spans="1:9" ht="16.5">
      <c r="A14070" s="10" t="b">
        <v>0</v>
      </c>
      <c r="B14070" s="11" t="str">
        <f>IF(D14070&lt;&gt;"",IF(COUNTIF('USPTO TMs'!A:A,D14070)&gt;0,"Yes","No"),"")</f>
        <v/>
      </c>
      <c r="C14070" s="11"/>
      <c r="D14070" s="11"/>
      <c r="E14070" s="11"/>
      <c r="F14070" s="11"/>
      <c r="G14070" s="11"/>
      <c r="H14070" s="11"/>
      <c r="I14070" s="15"/>
    </row>
    <row r="14071" spans="1:9" ht="16.5">
      <c r="A14071" s="10" t="b">
        <v>0</v>
      </c>
      <c r="B14071" s="11" t="str">
        <f>IF(D14071&lt;&gt;"",IF(COUNTIF('USPTO TMs'!A:A,D14071)&gt;0,"Yes","No"),"")</f>
        <v/>
      </c>
      <c r="C14071" s="11"/>
      <c r="D14071" s="11"/>
      <c r="E14071" s="11"/>
      <c r="F14071" s="11"/>
      <c r="G14071" s="11"/>
      <c r="H14071" s="11"/>
      <c r="I14071" s="15"/>
    </row>
    <row r="14072" spans="1:9" ht="16.5">
      <c r="A14072" s="10" t="b">
        <v>0</v>
      </c>
      <c r="B14072" s="11" t="str">
        <f>IF(D14072&lt;&gt;"",IF(COUNTIF('USPTO TMs'!A:A,D14072)&gt;0,"Yes","No"),"")</f>
        <v/>
      </c>
      <c r="C14072" s="11"/>
      <c r="D14072" s="11"/>
      <c r="E14072" s="11"/>
      <c r="F14072" s="11"/>
      <c r="G14072" s="11"/>
      <c r="H14072" s="11"/>
      <c r="I14072" s="15"/>
    </row>
    <row r="14073" spans="1:9" ht="16.5">
      <c r="A14073" s="10" t="b">
        <v>0</v>
      </c>
      <c r="B14073" s="11" t="str">
        <f>IF(D14073&lt;&gt;"",IF(COUNTIF('USPTO TMs'!A:A,D14073)&gt;0,"Yes","No"),"")</f>
        <v/>
      </c>
      <c r="C14073" s="11"/>
      <c r="D14073" s="11"/>
      <c r="E14073" s="11"/>
      <c r="F14073" s="11"/>
      <c r="G14073" s="11"/>
      <c r="H14073" s="11"/>
      <c r="I14073" s="15"/>
    </row>
    <row r="14074" spans="1:9" ht="16.5">
      <c r="A14074" s="10" t="b">
        <v>0</v>
      </c>
      <c r="B14074" s="11" t="str">
        <f>IF(D14074&lt;&gt;"",IF(COUNTIF('USPTO TMs'!A:A,D14074)&gt;0,"Yes","No"),"")</f>
        <v/>
      </c>
      <c r="C14074" s="11"/>
      <c r="D14074" s="11"/>
      <c r="E14074" s="11"/>
      <c r="F14074" s="11"/>
      <c r="G14074" s="11"/>
      <c r="H14074" s="11"/>
      <c r="I14074" s="15"/>
    </row>
    <row r="14075" spans="1:9" ht="16.5">
      <c r="A14075" s="10" t="b">
        <v>0</v>
      </c>
      <c r="B14075" s="11" t="str">
        <f>IF(D14075&lt;&gt;"",IF(COUNTIF('USPTO TMs'!A:A,D14075)&gt;0,"Yes","No"),"")</f>
        <v/>
      </c>
      <c r="C14075" s="11"/>
      <c r="D14075" s="11"/>
      <c r="E14075" s="11"/>
      <c r="F14075" s="11"/>
      <c r="G14075" s="11"/>
      <c r="H14075" s="11"/>
      <c r="I14075" s="15"/>
    </row>
    <row r="14076" spans="1:9" ht="16.5">
      <c r="A14076" s="10" t="b">
        <v>0</v>
      </c>
      <c r="B14076" s="11" t="str">
        <f>IF(D14076&lt;&gt;"",IF(COUNTIF('USPTO TMs'!A:A,D14076)&gt;0,"Yes","No"),"")</f>
        <v/>
      </c>
      <c r="C14076" s="11"/>
      <c r="D14076" s="11"/>
      <c r="E14076" s="11"/>
      <c r="F14076" s="11"/>
      <c r="G14076" s="11"/>
      <c r="H14076" s="11"/>
      <c r="I14076" s="15"/>
    </row>
    <row r="14077" spans="1:9" ht="16.5">
      <c r="A14077" s="10" t="b">
        <v>0</v>
      </c>
      <c r="B14077" s="11" t="str">
        <f>IF(D14077&lt;&gt;"",IF(COUNTIF('USPTO TMs'!A:A,D14077)&gt;0,"Yes","No"),"")</f>
        <v/>
      </c>
      <c r="C14077" s="11"/>
      <c r="D14077" s="11"/>
      <c r="E14077" s="11"/>
      <c r="F14077" s="11"/>
      <c r="G14077" s="11"/>
      <c r="H14077" s="11"/>
      <c r="I14077" s="15"/>
    </row>
    <row r="14078" spans="1:9" ht="16.5">
      <c r="A14078" s="10" t="b">
        <v>0</v>
      </c>
      <c r="B14078" s="11" t="str">
        <f>IF(D14078&lt;&gt;"",IF(COUNTIF('USPTO TMs'!A:A,D14078)&gt;0,"Yes","No"),"")</f>
        <v/>
      </c>
      <c r="C14078" s="11"/>
      <c r="D14078" s="11"/>
      <c r="E14078" s="11"/>
      <c r="F14078" s="11"/>
      <c r="G14078" s="11"/>
      <c r="H14078" s="11"/>
      <c r="I14078" s="15"/>
    </row>
    <row r="14079" spans="1:9" ht="16.5">
      <c r="A14079" s="10" t="b">
        <v>0</v>
      </c>
      <c r="B14079" s="11" t="str">
        <f>IF(D14079&lt;&gt;"",IF(COUNTIF('USPTO TMs'!A:A,D14079)&gt;0,"Yes","No"),"")</f>
        <v/>
      </c>
      <c r="C14079" s="11"/>
      <c r="D14079" s="11"/>
      <c r="E14079" s="11"/>
      <c r="F14079" s="11"/>
      <c r="G14079" s="11"/>
      <c r="H14079" s="11"/>
      <c r="I14079" s="15"/>
    </row>
    <row r="14080" spans="1:9" ht="16.5">
      <c r="A14080" s="10" t="b">
        <v>0</v>
      </c>
      <c r="B14080" s="11" t="str">
        <f>IF(D14080&lt;&gt;"",IF(COUNTIF('USPTO TMs'!A:A,D14080)&gt;0,"Yes","No"),"")</f>
        <v/>
      </c>
      <c r="C14080" s="11"/>
      <c r="D14080" s="11"/>
      <c r="E14080" s="11"/>
      <c r="F14080" s="11"/>
      <c r="G14080" s="11"/>
      <c r="H14080" s="11"/>
      <c r="I14080" s="15"/>
    </row>
    <row r="14081" spans="1:9" ht="16.5">
      <c r="A14081" s="10" t="b">
        <v>0</v>
      </c>
      <c r="B14081" s="11" t="str">
        <f>IF(D14081&lt;&gt;"",IF(COUNTIF('USPTO TMs'!A:A,D14081)&gt;0,"Yes","No"),"")</f>
        <v/>
      </c>
      <c r="C14081" s="11"/>
      <c r="D14081" s="11"/>
      <c r="E14081" s="11"/>
      <c r="F14081" s="11"/>
      <c r="G14081" s="11"/>
      <c r="H14081" s="11"/>
      <c r="I14081" s="15"/>
    </row>
    <row r="14082" spans="1:9" ht="16.5">
      <c r="A14082" s="10" t="b">
        <v>0</v>
      </c>
      <c r="B14082" s="11" t="str">
        <f>IF(D14082&lt;&gt;"",IF(COUNTIF('USPTO TMs'!A:A,D14082)&gt;0,"Yes","No"),"")</f>
        <v/>
      </c>
      <c r="C14082" s="11"/>
      <c r="D14082" s="11"/>
      <c r="E14082" s="11"/>
      <c r="F14082" s="11"/>
      <c r="G14082" s="11"/>
      <c r="H14082" s="11"/>
      <c r="I14082" s="15"/>
    </row>
    <row r="14083" spans="1:9" ht="16.5">
      <c r="A14083" s="10" t="b">
        <v>0</v>
      </c>
      <c r="B14083" s="11" t="str">
        <f>IF(D14083&lt;&gt;"",IF(COUNTIF('USPTO TMs'!A:A,D14083)&gt;0,"Yes","No"),"")</f>
        <v/>
      </c>
      <c r="C14083" s="11"/>
      <c r="D14083" s="11"/>
      <c r="E14083" s="11"/>
      <c r="F14083" s="11"/>
      <c r="G14083" s="11"/>
      <c r="H14083" s="11"/>
      <c r="I14083" s="15"/>
    </row>
    <row r="14084" spans="1:9" ht="16.5">
      <c r="A14084" s="10" t="b">
        <v>0</v>
      </c>
      <c r="B14084" s="11" t="str">
        <f>IF(D14084&lt;&gt;"",IF(COUNTIF('USPTO TMs'!A:A,D14084)&gt;0,"Yes","No"),"")</f>
        <v/>
      </c>
      <c r="C14084" s="11"/>
      <c r="D14084" s="11"/>
      <c r="E14084" s="11"/>
      <c r="F14084" s="11"/>
      <c r="G14084" s="11"/>
      <c r="H14084" s="11"/>
      <c r="I14084" s="15"/>
    </row>
    <row r="14085" spans="1:9" ht="16.5">
      <c r="A14085" s="10" t="b">
        <v>0</v>
      </c>
      <c r="B14085" s="11" t="str">
        <f>IF(D14085&lt;&gt;"",IF(COUNTIF('USPTO TMs'!A:A,D14085)&gt;0,"Yes","No"),"")</f>
        <v/>
      </c>
      <c r="C14085" s="11"/>
      <c r="D14085" s="11"/>
      <c r="E14085" s="11"/>
      <c r="F14085" s="11"/>
      <c r="G14085" s="11"/>
      <c r="H14085" s="11"/>
      <c r="I14085" s="15"/>
    </row>
    <row r="14086" spans="1:9" ht="16.5">
      <c r="A14086" s="10" t="b">
        <v>0</v>
      </c>
      <c r="B14086" s="11" t="str">
        <f>IF(D14086&lt;&gt;"",IF(COUNTIF('USPTO TMs'!A:A,D14086)&gt;0,"Yes","No"),"")</f>
        <v/>
      </c>
      <c r="C14086" s="11"/>
      <c r="D14086" s="11"/>
      <c r="E14086" s="11"/>
      <c r="F14086" s="11"/>
      <c r="G14086" s="11"/>
      <c r="H14086" s="11"/>
      <c r="I14086" s="15"/>
    </row>
    <row r="14087" spans="1:9" ht="16.5">
      <c r="A14087" s="10" t="b">
        <v>0</v>
      </c>
      <c r="B14087" s="11" t="str">
        <f>IF(D14087&lt;&gt;"",IF(COUNTIF('USPTO TMs'!A:A,D14087)&gt;0,"Yes","No"),"")</f>
        <v/>
      </c>
      <c r="C14087" s="11"/>
      <c r="D14087" s="11"/>
      <c r="E14087" s="11"/>
      <c r="F14087" s="11"/>
      <c r="G14087" s="11"/>
      <c r="H14087" s="11"/>
      <c r="I14087" s="15"/>
    </row>
    <row r="14088" spans="1:9" ht="16.5">
      <c r="A14088" s="10" t="b">
        <v>0</v>
      </c>
      <c r="B14088" s="11" t="str">
        <f>IF(D14088&lt;&gt;"",IF(COUNTIF('USPTO TMs'!A:A,D14088)&gt;0,"Yes","No"),"")</f>
        <v/>
      </c>
      <c r="C14088" s="11"/>
      <c r="D14088" s="11"/>
      <c r="E14088" s="11"/>
      <c r="F14088" s="11"/>
      <c r="G14088" s="11"/>
      <c r="H14088" s="11"/>
      <c r="I14088" s="15"/>
    </row>
    <row r="14089" spans="1:9" ht="16.5">
      <c r="A14089" s="10" t="b">
        <v>0</v>
      </c>
      <c r="B14089" s="11" t="str">
        <f>IF(D14089&lt;&gt;"",IF(COUNTIF('USPTO TMs'!A:A,D14089)&gt;0,"Yes","No"),"")</f>
        <v/>
      </c>
      <c r="C14089" s="11"/>
      <c r="D14089" s="11"/>
      <c r="E14089" s="11"/>
      <c r="F14089" s="11"/>
      <c r="G14089" s="11"/>
      <c r="H14089" s="11"/>
      <c r="I14089" s="15"/>
    </row>
    <row r="14090" spans="1:9" ht="16.5">
      <c r="A14090" s="10" t="b">
        <v>0</v>
      </c>
      <c r="B14090" s="11" t="str">
        <f>IF(D14090&lt;&gt;"",IF(COUNTIF('USPTO TMs'!A:A,D14090)&gt;0,"Yes","No"),"")</f>
        <v/>
      </c>
      <c r="C14090" s="11"/>
      <c r="D14090" s="11"/>
      <c r="E14090" s="11"/>
      <c r="F14090" s="11"/>
      <c r="G14090" s="11"/>
      <c r="H14090" s="11"/>
      <c r="I14090" s="15"/>
    </row>
    <row r="14091" spans="1:9" ht="16.5">
      <c r="A14091" s="10" t="b">
        <v>0</v>
      </c>
      <c r="B14091" s="11" t="str">
        <f>IF(D14091&lt;&gt;"",IF(COUNTIF('USPTO TMs'!A:A,D14091)&gt;0,"Yes","No"),"")</f>
        <v/>
      </c>
      <c r="C14091" s="11"/>
      <c r="D14091" s="11"/>
      <c r="E14091" s="11"/>
      <c r="F14091" s="11"/>
      <c r="G14091" s="11"/>
      <c r="H14091" s="11"/>
      <c r="I14091" s="15"/>
    </row>
    <row r="14092" spans="1:9" ht="16.5">
      <c r="A14092" s="10" t="b">
        <v>0</v>
      </c>
      <c r="B14092" s="11" t="str">
        <f>IF(D14092&lt;&gt;"",IF(COUNTIF('USPTO TMs'!A:A,D14092)&gt;0,"Yes","No"),"")</f>
        <v/>
      </c>
      <c r="C14092" s="11"/>
      <c r="D14092" s="11"/>
      <c r="E14092" s="11"/>
      <c r="F14092" s="11"/>
      <c r="G14092" s="11"/>
      <c r="H14092" s="11"/>
      <c r="I14092" s="15"/>
    </row>
    <row r="14093" spans="1:9" ht="16.5">
      <c r="A14093" s="10" t="b">
        <v>0</v>
      </c>
      <c r="B14093" s="11" t="str">
        <f>IF(D14093&lt;&gt;"",IF(COUNTIF('USPTO TMs'!A:A,D14093)&gt;0,"Yes","No"),"")</f>
        <v/>
      </c>
      <c r="C14093" s="11"/>
      <c r="D14093" s="11"/>
      <c r="E14093" s="11"/>
      <c r="F14093" s="11"/>
      <c r="G14093" s="11"/>
      <c r="H14093" s="11"/>
      <c r="I14093" s="15"/>
    </row>
    <row r="14094" spans="1:9" ht="16.5">
      <c r="A14094" s="10" t="b">
        <v>0</v>
      </c>
      <c r="B14094" s="11" t="str">
        <f>IF(D14094&lt;&gt;"",IF(COUNTIF('USPTO TMs'!A:A,D14094)&gt;0,"Yes","No"),"")</f>
        <v/>
      </c>
      <c r="C14094" s="11"/>
      <c r="D14094" s="11"/>
      <c r="E14094" s="11"/>
      <c r="F14094" s="11"/>
      <c r="G14094" s="11"/>
      <c r="H14094" s="11"/>
      <c r="I14094" s="15"/>
    </row>
    <row r="14095" spans="1:9" ht="16.5">
      <c r="A14095" s="10" t="b">
        <v>0</v>
      </c>
      <c r="B14095" s="11" t="str">
        <f>IF(D14095&lt;&gt;"",IF(COUNTIF('USPTO TMs'!A:A,D14095)&gt;0,"Yes","No"),"")</f>
        <v/>
      </c>
      <c r="C14095" s="11"/>
      <c r="D14095" s="11"/>
      <c r="E14095" s="11"/>
      <c r="F14095" s="11"/>
      <c r="G14095" s="11"/>
      <c r="H14095" s="11"/>
      <c r="I14095" s="15"/>
    </row>
    <row r="14096" spans="1:9" ht="16.5">
      <c r="A14096" s="10" t="b">
        <v>0</v>
      </c>
      <c r="B14096" s="11" t="str">
        <f>IF(D14096&lt;&gt;"",IF(COUNTIF('USPTO TMs'!A:A,D14096)&gt;0,"Yes","No"),"")</f>
        <v/>
      </c>
      <c r="C14096" s="11"/>
      <c r="D14096" s="11"/>
      <c r="E14096" s="11"/>
      <c r="F14096" s="11"/>
      <c r="G14096" s="11"/>
      <c r="H14096" s="11"/>
      <c r="I14096" s="15"/>
    </row>
    <row r="14097" spans="1:9" ht="16.5">
      <c r="A14097" s="10" t="b">
        <v>0</v>
      </c>
      <c r="B14097" s="11" t="str">
        <f>IF(D14097&lt;&gt;"",IF(COUNTIF('USPTO TMs'!A:A,D14097)&gt;0,"Yes","No"),"")</f>
        <v/>
      </c>
      <c r="C14097" s="11"/>
      <c r="D14097" s="11"/>
      <c r="E14097" s="11"/>
      <c r="F14097" s="11"/>
      <c r="G14097" s="11"/>
      <c r="H14097" s="11"/>
      <c r="I14097" s="15"/>
    </row>
    <row r="14098" spans="1:9" ht="16.5">
      <c r="A14098" s="10" t="b">
        <v>0</v>
      </c>
      <c r="B14098" s="11" t="str">
        <f>IF(D14098&lt;&gt;"",IF(COUNTIF('USPTO TMs'!A:A,D14098)&gt;0,"Yes","No"),"")</f>
        <v/>
      </c>
      <c r="C14098" s="11"/>
      <c r="D14098" s="11"/>
      <c r="E14098" s="11"/>
      <c r="F14098" s="11"/>
      <c r="G14098" s="11"/>
      <c r="H14098" s="11"/>
      <c r="I14098" s="15"/>
    </row>
    <row r="14099" spans="1:9" ht="16.5">
      <c r="A14099" s="10" t="b">
        <v>0</v>
      </c>
      <c r="B14099" s="11" t="str">
        <f>IF(D14099&lt;&gt;"",IF(COUNTIF('USPTO TMs'!A:A,D14099)&gt;0,"Yes","No"),"")</f>
        <v/>
      </c>
      <c r="C14099" s="11"/>
      <c r="D14099" s="11"/>
      <c r="E14099" s="11"/>
      <c r="F14099" s="11"/>
      <c r="G14099" s="11"/>
      <c r="H14099" s="11"/>
      <c r="I14099" s="15"/>
    </row>
    <row r="14100" spans="1:9" ht="16.5">
      <c r="A14100" s="10" t="b">
        <v>0</v>
      </c>
      <c r="B14100" s="11" t="str">
        <f>IF(D14100&lt;&gt;"",IF(COUNTIF('USPTO TMs'!A:A,D14100)&gt;0,"Yes","No"),"")</f>
        <v/>
      </c>
      <c r="C14100" s="11"/>
      <c r="D14100" s="11"/>
      <c r="E14100" s="11"/>
      <c r="F14100" s="11"/>
      <c r="G14100" s="11"/>
      <c r="H14100" s="11"/>
      <c r="I14100" s="15"/>
    </row>
    <row r="14101" spans="1:9" ht="16.5">
      <c r="A14101" s="10" t="b">
        <v>0</v>
      </c>
      <c r="B14101" s="11" t="str">
        <f>IF(D14101&lt;&gt;"",IF(COUNTIF('USPTO TMs'!A:A,D14101)&gt;0,"Yes","No"),"")</f>
        <v/>
      </c>
      <c r="C14101" s="11"/>
      <c r="D14101" s="11"/>
      <c r="E14101" s="11"/>
      <c r="F14101" s="11"/>
      <c r="G14101" s="11"/>
      <c r="H14101" s="11"/>
      <c r="I14101" s="15"/>
    </row>
    <row r="14102" spans="1:9" ht="16.5">
      <c r="A14102" s="10" t="b">
        <v>0</v>
      </c>
      <c r="B14102" s="11" t="str">
        <f>IF(D14102&lt;&gt;"",IF(COUNTIF('USPTO TMs'!A:A,D14102)&gt;0,"Yes","No"),"")</f>
        <v/>
      </c>
      <c r="C14102" s="11"/>
      <c r="D14102" s="11"/>
      <c r="E14102" s="11"/>
      <c r="F14102" s="11"/>
      <c r="G14102" s="11"/>
      <c r="H14102" s="11"/>
      <c r="I14102" s="15"/>
    </row>
    <row r="14103" spans="1:9" ht="16.5">
      <c r="A14103" s="10" t="b">
        <v>0</v>
      </c>
      <c r="B14103" s="11" t="str">
        <f>IF(D14103&lt;&gt;"",IF(COUNTIF('USPTO TMs'!A:A,D14103)&gt;0,"Yes","No"),"")</f>
        <v/>
      </c>
      <c r="C14103" s="11"/>
      <c r="D14103" s="11"/>
      <c r="E14103" s="11"/>
      <c r="F14103" s="11"/>
      <c r="G14103" s="11"/>
      <c r="H14103" s="11"/>
      <c r="I14103" s="15"/>
    </row>
    <row r="14104" spans="1:9" ht="16.5">
      <c r="A14104" s="10" t="b">
        <v>0</v>
      </c>
      <c r="B14104" s="11" t="str">
        <f>IF(D14104&lt;&gt;"",IF(COUNTIF('USPTO TMs'!A:A,D14104)&gt;0,"Yes","No"),"")</f>
        <v/>
      </c>
      <c r="C14104" s="11"/>
      <c r="D14104" s="11"/>
      <c r="E14104" s="11"/>
      <c r="F14104" s="11"/>
      <c r="G14104" s="11"/>
      <c r="H14104" s="11"/>
      <c r="I14104" s="15"/>
    </row>
    <row r="14105" spans="1:9" ht="16.5">
      <c r="A14105" s="10" t="b">
        <v>0</v>
      </c>
      <c r="B14105" s="11" t="str">
        <f>IF(D14105&lt;&gt;"",IF(COUNTIF('USPTO TMs'!A:A,D14105)&gt;0,"Yes","No"),"")</f>
        <v/>
      </c>
      <c r="C14105" s="11"/>
      <c r="D14105" s="11"/>
      <c r="E14105" s="11"/>
      <c r="F14105" s="11"/>
      <c r="G14105" s="11"/>
      <c r="H14105" s="11"/>
      <c r="I14105" s="15"/>
    </row>
    <row r="14106" spans="1:9" ht="16.5">
      <c r="A14106" s="10" t="b">
        <v>0</v>
      </c>
      <c r="B14106" s="11" t="str">
        <f>IF(D14106&lt;&gt;"",IF(COUNTIF('USPTO TMs'!A:A,D14106)&gt;0,"Yes","No"),"")</f>
        <v/>
      </c>
      <c r="C14106" s="11"/>
      <c r="D14106" s="11"/>
      <c r="E14106" s="11"/>
      <c r="F14106" s="11"/>
      <c r="G14106" s="11"/>
      <c r="H14106" s="11"/>
      <c r="I14106" s="15"/>
    </row>
    <row r="14107" spans="1:9" ht="16.5">
      <c r="A14107" s="10" t="b">
        <v>0</v>
      </c>
      <c r="B14107" s="11" t="str">
        <f>IF(D14107&lt;&gt;"",IF(COUNTIF('USPTO TMs'!A:A,D14107)&gt;0,"Yes","No"),"")</f>
        <v/>
      </c>
      <c r="C14107" s="11"/>
      <c r="D14107" s="11"/>
      <c r="E14107" s="11"/>
      <c r="F14107" s="11"/>
      <c r="G14107" s="11"/>
      <c r="H14107" s="11"/>
      <c r="I14107" s="15"/>
    </row>
    <row r="14108" spans="1:9" ht="16.5">
      <c r="A14108" s="10" t="b">
        <v>0</v>
      </c>
      <c r="B14108" s="11" t="str">
        <f>IF(D14108&lt;&gt;"",IF(COUNTIF('USPTO TMs'!A:A,D14108)&gt;0,"Yes","No"),"")</f>
        <v/>
      </c>
      <c r="C14108" s="11"/>
      <c r="D14108" s="11"/>
      <c r="E14108" s="11"/>
      <c r="F14108" s="11"/>
      <c r="G14108" s="11"/>
      <c r="H14108" s="11"/>
      <c r="I14108" s="15"/>
    </row>
    <row r="14109" spans="1:9" ht="16.5">
      <c r="A14109" s="10" t="b">
        <v>0</v>
      </c>
      <c r="B14109" s="11" t="str">
        <f>IF(D14109&lt;&gt;"",IF(COUNTIF('USPTO TMs'!A:A,D14109)&gt;0,"Yes","No"),"")</f>
        <v/>
      </c>
      <c r="C14109" s="11"/>
      <c r="D14109" s="11"/>
      <c r="E14109" s="11"/>
      <c r="F14109" s="11"/>
      <c r="G14109" s="11"/>
      <c r="H14109" s="11"/>
      <c r="I14109" s="15"/>
    </row>
    <row r="14110" spans="1:9" ht="16.5">
      <c r="A14110" s="10" t="b">
        <v>0</v>
      </c>
      <c r="B14110" s="11" t="str">
        <f>IF(D14110&lt;&gt;"",IF(COUNTIF('USPTO TMs'!A:A,D14110)&gt;0,"Yes","No"),"")</f>
        <v/>
      </c>
      <c r="C14110" s="11"/>
      <c r="D14110" s="11"/>
      <c r="E14110" s="11"/>
      <c r="F14110" s="11"/>
      <c r="G14110" s="11"/>
      <c r="H14110" s="11"/>
      <c r="I14110" s="15"/>
    </row>
    <row r="14111" spans="1:9" ht="16.5">
      <c r="A14111" s="10" t="b">
        <v>0</v>
      </c>
      <c r="B14111" s="11" t="str">
        <f>IF(D14111&lt;&gt;"",IF(COUNTIF('USPTO TMs'!A:A,D14111)&gt;0,"Yes","No"),"")</f>
        <v/>
      </c>
      <c r="C14111" s="11"/>
      <c r="D14111" s="11"/>
      <c r="E14111" s="11"/>
      <c r="F14111" s="11"/>
      <c r="G14111" s="11"/>
      <c r="H14111" s="11"/>
      <c r="I14111" s="15"/>
    </row>
    <row r="14112" spans="1:9" ht="16.5">
      <c r="A14112" s="10" t="b">
        <v>0</v>
      </c>
      <c r="B14112" s="11" t="str">
        <f>IF(D14112&lt;&gt;"",IF(COUNTIF('USPTO TMs'!A:A,D14112)&gt;0,"Yes","No"),"")</f>
        <v/>
      </c>
      <c r="C14112" s="11"/>
      <c r="D14112" s="11"/>
      <c r="E14112" s="11"/>
      <c r="F14112" s="11"/>
      <c r="G14112" s="11"/>
      <c r="H14112" s="11"/>
      <c r="I14112" s="15"/>
    </row>
    <row r="14113" spans="1:9" ht="16.5">
      <c r="A14113" s="10" t="b">
        <v>0</v>
      </c>
      <c r="B14113" s="11" t="str">
        <f>IF(D14113&lt;&gt;"",IF(COUNTIF('USPTO TMs'!A:A,D14113)&gt;0,"Yes","No"),"")</f>
        <v/>
      </c>
      <c r="C14113" s="11"/>
      <c r="D14113" s="11"/>
      <c r="E14113" s="11"/>
      <c r="F14113" s="11"/>
      <c r="G14113" s="11"/>
      <c r="H14113" s="11"/>
      <c r="I14113" s="15"/>
    </row>
    <row r="14114" spans="1:9" ht="16.5">
      <c r="A14114" s="10" t="b">
        <v>0</v>
      </c>
      <c r="B14114" s="11" t="str">
        <f>IF(D14114&lt;&gt;"",IF(COUNTIF('USPTO TMs'!A:A,D14114)&gt;0,"Yes","No"),"")</f>
        <v/>
      </c>
      <c r="C14114" s="11"/>
      <c r="D14114" s="11"/>
      <c r="E14114" s="11"/>
      <c r="F14114" s="11"/>
      <c r="G14114" s="11"/>
      <c r="H14114" s="11"/>
      <c r="I14114" s="15"/>
    </row>
    <row r="14115" spans="1:9" ht="16.5">
      <c r="A14115" s="10" t="b">
        <v>0</v>
      </c>
      <c r="B14115" s="11" t="str">
        <f>IF(D14115&lt;&gt;"",IF(COUNTIF('USPTO TMs'!A:A,D14115)&gt;0,"Yes","No"),"")</f>
        <v/>
      </c>
      <c r="C14115" s="11"/>
      <c r="D14115" s="11"/>
      <c r="E14115" s="11"/>
      <c r="F14115" s="11"/>
      <c r="G14115" s="11"/>
      <c r="H14115" s="11"/>
      <c r="I14115" s="15"/>
    </row>
    <row r="14116" spans="1:9" ht="16.5">
      <c r="A14116" s="10" t="b">
        <v>0</v>
      </c>
      <c r="B14116" s="11" t="str">
        <f>IF(D14116&lt;&gt;"",IF(COUNTIF('USPTO TMs'!A:A,D14116)&gt;0,"Yes","No"),"")</f>
        <v/>
      </c>
      <c r="C14116" s="11"/>
      <c r="D14116" s="11"/>
      <c r="E14116" s="11"/>
      <c r="F14116" s="11"/>
      <c r="G14116" s="11"/>
      <c r="H14116" s="11"/>
      <c r="I14116" s="15"/>
    </row>
    <row r="14117" spans="1:9" ht="16.5">
      <c r="A14117" s="10" t="b">
        <v>0</v>
      </c>
      <c r="B14117" s="11" t="str">
        <f>IF(D14117&lt;&gt;"",IF(COUNTIF('USPTO TMs'!A:A,D14117)&gt;0,"Yes","No"),"")</f>
        <v/>
      </c>
      <c r="C14117" s="11"/>
      <c r="D14117" s="11"/>
      <c r="E14117" s="11"/>
      <c r="F14117" s="11"/>
      <c r="G14117" s="11"/>
      <c r="H14117" s="11"/>
      <c r="I14117" s="15"/>
    </row>
    <row r="14118" spans="1:9" ht="16.5">
      <c r="A14118" s="10" t="b">
        <v>0</v>
      </c>
      <c r="B14118" s="11" t="str">
        <f>IF(D14118&lt;&gt;"",IF(COUNTIF('USPTO TMs'!A:A,D14118)&gt;0,"Yes","No"),"")</f>
        <v/>
      </c>
      <c r="C14118" s="11"/>
      <c r="D14118" s="11"/>
      <c r="E14118" s="11"/>
      <c r="F14118" s="11"/>
      <c r="G14118" s="11"/>
      <c r="H14118" s="11"/>
      <c r="I14118" s="15"/>
    </row>
    <row r="14119" spans="1:9" ht="16.5">
      <c r="A14119" s="10" t="b">
        <v>0</v>
      </c>
      <c r="B14119" s="11" t="str">
        <f>IF(D14119&lt;&gt;"",IF(COUNTIF('USPTO TMs'!A:A,D14119)&gt;0,"Yes","No"),"")</f>
        <v/>
      </c>
      <c r="C14119" s="11"/>
      <c r="D14119" s="11"/>
      <c r="E14119" s="11"/>
      <c r="F14119" s="11"/>
      <c r="G14119" s="11"/>
      <c r="H14119" s="11"/>
      <c r="I14119" s="15"/>
    </row>
    <row r="14120" spans="1:9" ht="16.5">
      <c r="A14120" s="10" t="b">
        <v>0</v>
      </c>
      <c r="B14120" s="11" t="str">
        <f>IF(D14120&lt;&gt;"",IF(COUNTIF('USPTO TMs'!A:A,D14120)&gt;0,"Yes","No"),"")</f>
        <v/>
      </c>
      <c r="C14120" s="11"/>
      <c r="D14120" s="11"/>
      <c r="E14120" s="11"/>
      <c r="F14120" s="11"/>
      <c r="G14120" s="11"/>
      <c r="H14120" s="11"/>
      <c r="I14120" s="15"/>
    </row>
    <row r="14121" spans="1:9" ht="16.5">
      <c r="A14121" s="10" t="b">
        <v>0</v>
      </c>
      <c r="B14121" s="11" t="str">
        <f>IF(D14121&lt;&gt;"",IF(COUNTIF('USPTO TMs'!A:A,D14121)&gt;0,"Yes","No"),"")</f>
        <v/>
      </c>
      <c r="C14121" s="11"/>
      <c r="D14121" s="11"/>
      <c r="E14121" s="11"/>
      <c r="F14121" s="11"/>
      <c r="G14121" s="11"/>
      <c r="H14121" s="11"/>
      <c r="I14121" s="15"/>
    </row>
    <row r="14122" spans="1:9" ht="16.5">
      <c r="A14122" s="10" t="b">
        <v>0</v>
      </c>
      <c r="B14122" s="11" t="str">
        <f>IF(D14122&lt;&gt;"",IF(COUNTIF('USPTO TMs'!A:A,D14122)&gt;0,"Yes","No"),"")</f>
        <v/>
      </c>
      <c r="C14122" s="11"/>
      <c r="D14122" s="11"/>
      <c r="E14122" s="11"/>
      <c r="F14122" s="11"/>
      <c r="G14122" s="11"/>
      <c r="H14122" s="11"/>
      <c r="I14122" s="15"/>
    </row>
    <row r="14123" spans="1:9" ht="16.5">
      <c r="A14123" s="10" t="b">
        <v>0</v>
      </c>
      <c r="B14123" s="11" t="str">
        <f>IF(D14123&lt;&gt;"",IF(COUNTIF('USPTO TMs'!A:A,D14123)&gt;0,"Yes","No"),"")</f>
        <v/>
      </c>
      <c r="C14123" s="11"/>
      <c r="D14123" s="11"/>
      <c r="E14123" s="11"/>
      <c r="F14123" s="11"/>
      <c r="G14123" s="11"/>
      <c r="H14123" s="11"/>
      <c r="I14123" s="15"/>
    </row>
    <row r="14124" spans="1:9" ht="16.5">
      <c r="A14124" s="10" t="b">
        <v>0</v>
      </c>
      <c r="B14124" s="11" t="str">
        <f>IF(D14124&lt;&gt;"",IF(COUNTIF('USPTO TMs'!A:A,D14124)&gt;0,"Yes","No"),"")</f>
        <v/>
      </c>
      <c r="C14124" s="11"/>
      <c r="D14124" s="11"/>
      <c r="E14124" s="11"/>
      <c r="F14124" s="11"/>
      <c r="G14124" s="11"/>
      <c r="H14124" s="11"/>
      <c r="I14124" s="15"/>
    </row>
    <row r="14125" spans="1:9" ht="16.5">
      <c r="A14125" s="10" t="b">
        <v>0</v>
      </c>
      <c r="B14125" s="11" t="str">
        <f>IF(D14125&lt;&gt;"",IF(COUNTIF('USPTO TMs'!A:A,D14125)&gt;0,"Yes","No"),"")</f>
        <v/>
      </c>
      <c r="C14125" s="11"/>
      <c r="D14125" s="11"/>
      <c r="E14125" s="11"/>
      <c r="F14125" s="11"/>
      <c r="G14125" s="11"/>
      <c r="H14125" s="11"/>
      <c r="I14125" s="15"/>
    </row>
    <row r="14126" spans="1:9" ht="16.5">
      <c r="A14126" s="10" t="b">
        <v>0</v>
      </c>
      <c r="B14126" s="11" t="str">
        <f>IF(D14126&lt;&gt;"",IF(COUNTIF('USPTO TMs'!A:A,D14126)&gt;0,"Yes","No"),"")</f>
        <v/>
      </c>
      <c r="C14126" s="11"/>
      <c r="D14126" s="11"/>
      <c r="E14126" s="11"/>
      <c r="F14126" s="11"/>
      <c r="G14126" s="11"/>
      <c r="H14126" s="11"/>
      <c r="I14126" s="15"/>
    </row>
    <row r="14127" spans="1:9" ht="16.5">
      <c r="A14127" s="10" t="b">
        <v>0</v>
      </c>
      <c r="B14127" s="11" t="str">
        <f>IF(D14127&lt;&gt;"",IF(COUNTIF('USPTO TMs'!A:A,D14127)&gt;0,"Yes","No"),"")</f>
        <v/>
      </c>
      <c r="C14127" s="11"/>
      <c r="D14127" s="11"/>
      <c r="E14127" s="11"/>
      <c r="F14127" s="11"/>
      <c r="G14127" s="11"/>
      <c r="H14127" s="11"/>
      <c r="I14127" s="15"/>
    </row>
    <row r="14128" spans="1:9" ht="16.5">
      <c r="A14128" s="10" t="b">
        <v>0</v>
      </c>
      <c r="B14128" s="11" t="str">
        <f>IF(D14128&lt;&gt;"",IF(COUNTIF('USPTO TMs'!A:A,D14128)&gt;0,"Yes","No"),"")</f>
        <v/>
      </c>
      <c r="C14128" s="11"/>
      <c r="D14128" s="11"/>
      <c r="E14128" s="11"/>
      <c r="F14128" s="11"/>
      <c r="G14128" s="11"/>
      <c r="H14128" s="11"/>
      <c r="I14128" s="15"/>
    </row>
    <row r="14129" spans="1:9" ht="16.5">
      <c r="A14129" s="10" t="b">
        <v>0</v>
      </c>
      <c r="B14129" s="11" t="str">
        <f>IF(D14129&lt;&gt;"",IF(COUNTIF('USPTO TMs'!A:A,D14129)&gt;0,"Yes","No"),"")</f>
        <v/>
      </c>
      <c r="C14129" s="11"/>
      <c r="D14129" s="11"/>
      <c r="E14129" s="11"/>
      <c r="F14129" s="11"/>
      <c r="G14129" s="11"/>
      <c r="H14129" s="11"/>
      <c r="I14129" s="15"/>
    </row>
    <row r="14130" spans="1:9" ht="16.5">
      <c r="A14130" s="10" t="b">
        <v>0</v>
      </c>
      <c r="B14130" s="11" t="str">
        <f>IF(D14130&lt;&gt;"",IF(COUNTIF('USPTO TMs'!A:A,D14130)&gt;0,"Yes","No"),"")</f>
        <v/>
      </c>
      <c r="C14130" s="11"/>
      <c r="D14130" s="11"/>
      <c r="E14130" s="11"/>
      <c r="F14130" s="11"/>
      <c r="G14130" s="11"/>
      <c r="H14130" s="11"/>
      <c r="I14130" s="15"/>
    </row>
    <row r="14131" spans="1:9" ht="16.5">
      <c r="A14131" s="10" t="b">
        <v>0</v>
      </c>
      <c r="B14131" s="11" t="str">
        <f>IF(D14131&lt;&gt;"",IF(COUNTIF('USPTO TMs'!A:A,D14131)&gt;0,"Yes","No"),"")</f>
        <v/>
      </c>
      <c r="C14131" s="11"/>
      <c r="D14131" s="11"/>
      <c r="E14131" s="11"/>
      <c r="F14131" s="11"/>
      <c r="G14131" s="11"/>
      <c r="H14131" s="11"/>
      <c r="I14131" s="15"/>
    </row>
    <row r="14132" spans="1:9" ht="16.5">
      <c r="A14132" s="10" t="b">
        <v>0</v>
      </c>
      <c r="B14132" s="11" t="str">
        <f>IF(D14132&lt;&gt;"",IF(COUNTIF('USPTO TMs'!A:A,D14132)&gt;0,"Yes","No"),"")</f>
        <v/>
      </c>
      <c r="C14132" s="11"/>
      <c r="D14132" s="11"/>
      <c r="E14132" s="11"/>
      <c r="F14132" s="11"/>
      <c r="G14132" s="11"/>
      <c r="H14132" s="11"/>
      <c r="I14132" s="15"/>
    </row>
    <row r="14133" spans="1:9" ht="16.5">
      <c r="A14133" s="10" t="b">
        <v>0</v>
      </c>
      <c r="B14133" s="11" t="str">
        <f>IF(D14133&lt;&gt;"",IF(COUNTIF('USPTO TMs'!A:A,D14133)&gt;0,"Yes","No"),"")</f>
        <v/>
      </c>
      <c r="C14133" s="11"/>
      <c r="D14133" s="11"/>
      <c r="E14133" s="11"/>
      <c r="F14133" s="11"/>
      <c r="G14133" s="11"/>
      <c r="H14133" s="11"/>
      <c r="I14133" s="15"/>
    </row>
    <row r="14134" spans="1:9" ht="16.5">
      <c r="A14134" s="10" t="b">
        <v>0</v>
      </c>
      <c r="B14134" s="11" t="str">
        <f>IF(D14134&lt;&gt;"",IF(COUNTIF('USPTO TMs'!A:A,D14134)&gt;0,"Yes","No"),"")</f>
        <v/>
      </c>
      <c r="C14134" s="11"/>
      <c r="D14134" s="11"/>
      <c r="E14134" s="11"/>
      <c r="F14134" s="11"/>
      <c r="G14134" s="11"/>
      <c r="H14134" s="11"/>
      <c r="I14134" s="15"/>
    </row>
    <row r="14135" spans="1:9" ht="16.5">
      <c r="A14135" s="10" t="b">
        <v>0</v>
      </c>
      <c r="B14135" s="11" t="str">
        <f>IF(D14135&lt;&gt;"",IF(COUNTIF('USPTO TMs'!A:A,D14135)&gt;0,"Yes","No"),"")</f>
        <v/>
      </c>
      <c r="C14135" s="11"/>
      <c r="D14135" s="11"/>
      <c r="E14135" s="11"/>
      <c r="F14135" s="11"/>
      <c r="G14135" s="11"/>
      <c r="H14135" s="11"/>
      <c r="I14135" s="15"/>
    </row>
    <row r="14136" spans="1:9" ht="16.5">
      <c r="A14136" s="10" t="b">
        <v>0</v>
      </c>
      <c r="B14136" s="11" t="str">
        <f>IF(D14136&lt;&gt;"",IF(COUNTIF('USPTO TMs'!A:A,D14136)&gt;0,"Yes","No"),"")</f>
        <v/>
      </c>
      <c r="C14136" s="11"/>
      <c r="D14136" s="11"/>
      <c r="E14136" s="11"/>
      <c r="F14136" s="11"/>
      <c r="G14136" s="11"/>
      <c r="H14136" s="11"/>
      <c r="I14136" s="15"/>
    </row>
    <row r="14137" spans="1:9" ht="16.5">
      <c r="A14137" s="10" t="b">
        <v>0</v>
      </c>
      <c r="B14137" s="11" t="str">
        <f>IF(D14137&lt;&gt;"",IF(COUNTIF('USPTO TMs'!A:A,D14137)&gt;0,"Yes","No"),"")</f>
        <v/>
      </c>
      <c r="C14137" s="11"/>
      <c r="D14137" s="11"/>
      <c r="E14137" s="11"/>
      <c r="F14137" s="11"/>
      <c r="G14137" s="11"/>
      <c r="H14137" s="11"/>
      <c r="I14137" s="15"/>
    </row>
    <row r="14138" spans="1:9" ht="16.5">
      <c r="A14138" s="10" t="b">
        <v>0</v>
      </c>
      <c r="B14138" s="11" t="str">
        <f>IF(D14138&lt;&gt;"",IF(COUNTIF('USPTO TMs'!A:A,D14138)&gt;0,"Yes","No"),"")</f>
        <v/>
      </c>
      <c r="C14138" s="11"/>
      <c r="D14138" s="11"/>
      <c r="E14138" s="11"/>
      <c r="F14138" s="11"/>
      <c r="G14138" s="11"/>
      <c r="H14138" s="11"/>
      <c r="I14138" s="15"/>
    </row>
    <row r="14139" spans="1:9" ht="16.5">
      <c r="A14139" s="10" t="b">
        <v>0</v>
      </c>
      <c r="B14139" s="11" t="str">
        <f>IF(D14139&lt;&gt;"",IF(COUNTIF('USPTO TMs'!A:A,D14139)&gt;0,"Yes","No"),"")</f>
        <v/>
      </c>
      <c r="C14139" s="11"/>
      <c r="D14139" s="11"/>
      <c r="E14139" s="11"/>
      <c r="F14139" s="11"/>
      <c r="G14139" s="11"/>
      <c r="H14139" s="11"/>
      <c r="I14139" s="15"/>
    </row>
    <row r="14140" spans="1:9" ht="16.5">
      <c r="A14140" s="10" t="b">
        <v>0</v>
      </c>
      <c r="B14140" s="11" t="str">
        <f>IF(D14140&lt;&gt;"",IF(COUNTIF('USPTO TMs'!A:A,D14140)&gt;0,"Yes","No"),"")</f>
        <v/>
      </c>
      <c r="C14140" s="11"/>
      <c r="D14140" s="11"/>
      <c r="E14140" s="11"/>
      <c r="F14140" s="11"/>
      <c r="G14140" s="11"/>
      <c r="H14140" s="11"/>
      <c r="I14140" s="15"/>
    </row>
    <row r="14141" spans="1:9" ht="16.5">
      <c r="A14141" s="10" t="b">
        <v>0</v>
      </c>
      <c r="B14141" s="11" t="str">
        <f>IF(D14141&lt;&gt;"",IF(COUNTIF('USPTO TMs'!A:A,D14141)&gt;0,"Yes","No"),"")</f>
        <v/>
      </c>
      <c r="C14141" s="11"/>
      <c r="D14141" s="11"/>
      <c r="E14141" s="11"/>
      <c r="F14141" s="11"/>
      <c r="G14141" s="11"/>
      <c r="H14141" s="11"/>
      <c r="I14141" s="15"/>
    </row>
    <row r="14142" spans="1:9" ht="16.5">
      <c r="A14142" s="10" t="b">
        <v>0</v>
      </c>
      <c r="B14142" s="11" t="str">
        <f>IF(D14142&lt;&gt;"",IF(COUNTIF('USPTO TMs'!A:A,D14142)&gt;0,"Yes","No"),"")</f>
        <v/>
      </c>
      <c r="C14142" s="11"/>
      <c r="D14142" s="11"/>
      <c r="E14142" s="11"/>
      <c r="F14142" s="11"/>
      <c r="G14142" s="11"/>
      <c r="H14142" s="11"/>
      <c r="I14142" s="15"/>
    </row>
    <row r="14143" spans="1:9" ht="16.5">
      <c r="A14143" s="10" t="b">
        <v>0</v>
      </c>
      <c r="B14143" s="11" t="str">
        <f>IF(D14143&lt;&gt;"",IF(COUNTIF('USPTO TMs'!A:A,D14143)&gt;0,"Yes","No"),"")</f>
        <v/>
      </c>
      <c r="C14143" s="11"/>
      <c r="D14143" s="11"/>
      <c r="E14143" s="11"/>
      <c r="F14143" s="11"/>
      <c r="G14143" s="11"/>
      <c r="H14143" s="11"/>
      <c r="I14143" s="15"/>
    </row>
    <row r="14144" spans="1:9" ht="16.5">
      <c r="A14144" s="10" t="b">
        <v>0</v>
      </c>
      <c r="B14144" s="11" t="str">
        <f>IF(D14144&lt;&gt;"",IF(COUNTIF('USPTO TMs'!A:A,D14144)&gt;0,"Yes","No"),"")</f>
        <v/>
      </c>
      <c r="C14144" s="11"/>
      <c r="D14144" s="11"/>
      <c r="E14144" s="11"/>
      <c r="F14144" s="11"/>
      <c r="G14144" s="11"/>
      <c r="H14144" s="11"/>
      <c r="I14144" s="15"/>
    </row>
    <row r="14145" spans="1:9" ht="16.5">
      <c r="A14145" s="10" t="b">
        <v>0</v>
      </c>
      <c r="B14145" s="11" t="str">
        <f>IF(D14145&lt;&gt;"",IF(COUNTIF('USPTO TMs'!A:A,D14145)&gt;0,"Yes","No"),"")</f>
        <v/>
      </c>
      <c r="C14145" s="11"/>
      <c r="D14145" s="11"/>
      <c r="E14145" s="11"/>
      <c r="F14145" s="11"/>
      <c r="G14145" s="11"/>
      <c r="H14145" s="11"/>
      <c r="I14145" s="15"/>
    </row>
    <row r="14146" spans="1:9" ht="16.5">
      <c r="A14146" s="10" t="b">
        <v>0</v>
      </c>
      <c r="B14146" s="11" t="str">
        <f>IF(D14146&lt;&gt;"",IF(COUNTIF('USPTO TMs'!A:A,D14146)&gt;0,"Yes","No"),"")</f>
        <v/>
      </c>
      <c r="C14146" s="11"/>
      <c r="D14146" s="11"/>
      <c r="E14146" s="11"/>
      <c r="F14146" s="11"/>
      <c r="G14146" s="11"/>
      <c r="H14146" s="11"/>
      <c r="I14146" s="15"/>
    </row>
    <row r="14147" spans="1:9" ht="16.5">
      <c r="A14147" s="10" t="b">
        <v>0</v>
      </c>
      <c r="B14147" s="11" t="str">
        <f>IF(D14147&lt;&gt;"",IF(COUNTIF('USPTO TMs'!A:A,D14147)&gt;0,"Yes","No"),"")</f>
        <v/>
      </c>
      <c r="C14147" s="11"/>
      <c r="D14147" s="11"/>
      <c r="E14147" s="11"/>
      <c r="F14147" s="11"/>
      <c r="G14147" s="11"/>
      <c r="H14147" s="11"/>
      <c r="I14147" s="15"/>
    </row>
    <row r="14148" spans="1:9" ht="16.5">
      <c r="A14148" s="10" t="b">
        <v>0</v>
      </c>
      <c r="B14148" s="11" t="str">
        <f>IF(D14148&lt;&gt;"",IF(COUNTIF('USPTO TMs'!A:A,D14148)&gt;0,"Yes","No"),"")</f>
        <v/>
      </c>
      <c r="C14148" s="11"/>
      <c r="D14148" s="11"/>
      <c r="E14148" s="11"/>
      <c r="F14148" s="11"/>
      <c r="G14148" s="11"/>
      <c r="H14148" s="11"/>
      <c r="I14148" s="15"/>
    </row>
    <row r="14149" spans="1:9" ht="16.5">
      <c r="A14149" s="10" t="b">
        <v>0</v>
      </c>
      <c r="B14149" s="11" t="str">
        <f>IF(D14149&lt;&gt;"",IF(COUNTIF('USPTO TMs'!A:A,D14149)&gt;0,"Yes","No"),"")</f>
        <v/>
      </c>
      <c r="C14149" s="11"/>
      <c r="D14149" s="11"/>
      <c r="E14149" s="11"/>
      <c r="F14149" s="11"/>
      <c r="G14149" s="11"/>
      <c r="H14149" s="11"/>
      <c r="I14149" s="15"/>
    </row>
    <row r="14150" spans="1:9" ht="16.5">
      <c r="A14150" s="10" t="b">
        <v>0</v>
      </c>
      <c r="B14150" s="11" t="str">
        <f>IF(D14150&lt;&gt;"",IF(COUNTIF('USPTO TMs'!A:A,D14150)&gt;0,"Yes","No"),"")</f>
        <v/>
      </c>
      <c r="C14150" s="11"/>
      <c r="D14150" s="11"/>
      <c r="E14150" s="11"/>
      <c r="F14150" s="11"/>
      <c r="G14150" s="11"/>
      <c r="H14150" s="11"/>
      <c r="I14150" s="15"/>
    </row>
    <row r="14151" spans="1:9" ht="16.5">
      <c r="A14151" s="10" t="b">
        <v>0</v>
      </c>
      <c r="B14151" s="11" t="str">
        <f>IF(D14151&lt;&gt;"",IF(COUNTIF('USPTO TMs'!A:A,D14151)&gt;0,"Yes","No"),"")</f>
        <v/>
      </c>
      <c r="C14151" s="11"/>
      <c r="D14151" s="11"/>
      <c r="E14151" s="11"/>
      <c r="F14151" s="11"/>
      <c r="G14151" s="11"/>
      <c r="H14151" s="11"/>
      <c r="I14151" s="15"/>
    </row>
    <row r="14152" spans="1:9" ht="16.5">
      <c r="A14152" s="10" t="b">
        <v>0</v>
      </c>
      <c r="B14152" s="11" t="str">
        <f>IF(D14152&lt;&gt;"",IF(COUNTIF('USPTO TMs'!A:A,D14152)&gt;0,"Yes","No"),"")</f>
        <v/>
      </c>
      <c r="C14152" s="11"/>
      <c r="D14152" s="11"/>
      <c r="E14152" s="11"/>
      <c r="F14152" s="11"/>
      <c r="G14152" s="11"/>
      <c r="H14152" s="11"/>
      <c r="I14152" s="15"/>
    </row>
    <row r="14153" spans="1:9" ht="16.5">
      <c r="A14153" s="10" t="b">
        <v>0</v>
      </c>
      <c r="B14153" s="11" t="str">
        <f>IF(D14153&lt;&gt;"",IF(COUNTIF('USPTO TMs'!A:A,D14153)&gt;0,"Yes","No"),"")</f>
        <v/>
      </c>
      <c r="C14153" s="11"/>
      <c r="D14153" s="11"/>
      <c r="E14153" s="11"/>
      <c r="F14153" s="11"/>
      <c r="G14153" s="11"/>
      <c r="H14153" s="11"/>
      <c r="I14153" s="15"/>
    </row>
    <row r="14154" spans="1:9" ht="16.5">
      <c r="A14154" s="10" t="b">
        <v>0</v>
      </c>
      <c r="B14154" s="11" t="str">
        <f>IF(D14154&lt;&gt;"",IF(COUNTIF('USPTO TMs'!A:A,D14154)&gt;0,"Yes","No"),"")</f>
        <v/>
      </c>
      <c r="C14154" s="11"/>
      <c r="D14154" s="11"/>
      <c r="E14154" s="11"/>
      <c r="F14154" s="11"/>
      <c r="G14154" s="11"/>
      <c r="H14154" s="11"/>
      <c r="I14154" s="15"/>
    </row>
    <row r="14155" spans="1:9" ht="16.5">
      <c r="A14155" s="10" t="b">
        <v>0</v>
      </c>
      <c r="B14155" s="11" t="str">
        <f>IF(D14155&lt;&gt;"",IF(COUNTIF('USPTO TMs'!A:A,D14155)&gt;0,"Yes","No"),"")</f>
        <v/>
      </c>
      <c r="C14155" s="11"/>
      <c r="D14155" s="11"/>
      <c r="E14155" s="11"/>
      <c r="F14155" s="11"/>
      <c r="G14155" s="11"/>
      <c r="H14155" s="11"/>
      <c r="I14155" s="15"/>
    </row>
    <row r="14156" spans="1:9" ht="16.5">
      <c r="A14156" s="10" t="b">
        <v>0</v>
      </c>
      <c r="B14156" s="11" t="str">
        <f>IF(D14156&lt;&gt;"",IF(COUNTIF('USPTO TMs'!A:A,D14156)&gt;0,"Yes","No"),"")</f>
        <v/>
      </c>
      <c r="C14156" s="11"/>
      <c r="D14156" s="11"/>
      <c r="E14156" s="11"/>
      <c r="F14156" s="11"/>
      <c r="G14156" s="11"/>
      <c r="H14156" s="11"/>
      <c r="I14156" s="15"/>
    </row>
    <row r="14157" spans="1:9" ht="16.5">
      <c r="A14157" s="10" t="b">
        <v>0</v>
      </c>
      <c r="B14157" s="11" t="str">
        <f>IF(D14157&lt;&gt;"",IF(COUNTIF('USPTO TMs'!A:A,D14157)&gt;0,"Yes","No"),"")</f>
        <v/>
      </c>
      <c r="C14157" s="11"/>
      <c r="D14157" s="11"/>
      <c r="E14157" s="11"/>
      <c r="F14157" s="11"/>
      <c r="G14157" s="11"/>
      <c r="H14157" s="11"/>
      <c r="I14157" s="15"/>
    </row>
    <row r="14158" spans="1:9" ht="16.5">
      <c r="A14158" s="10" t="b">
        <v>0</v>
      </c>
      <c r="B14158" s="11" t="str">
        <f>IF(D14158&lt;&gt;"",IF(COUNTIF('USPTO TMs'!A:A,D14158)&gt;0,"Yes","No"),"")</f>
        <v/>
      </c>
      <c r="C14158" s="11"/>
      <c r="D14158" s="11"/>
      <c r="E14158" s="11"/>
      <c r="F14158" s="11"/>
      <c r="G14158" s="11"/>
      <c r="H14158" s="11"/>
      <c r="I14158" s="15"/>
    </row>
    <row r="14159" spans="1:9" ht="16.5">
      <c r="A14159" s="10" t="b">
        <v>0</v>
      </c>
      <c r="B14159" s="11" t="str">
        <f>IF(D14159&lt;&gt;"",IF(COUNTIF('USPTO TMs'!A:A,D14159)&gt;0,"Yes","No"),"")</f>
        <v/>
      </c>
      <c r="C14159" s="11"/>
      <c r="D14159" s="11"/>
      <c r="E14159" s="11"/>
      <c r="F14159" s="11"/>
      <c r="G14159" s="11"/>
      <c r="H14159" s="11"/>
      <c r="I14159" s="15"/>
    </row>
    <row r="14160" spans="1:9" ht="16.5">
      <c r="A14160" s="10" t="b">
        <v>0</v>
      </c>
      <c r="B14160" s="11" t="str">
        <f>IF(D14160&lt;&gt;"",IF(COUNTIF('USPTO TMs'!A:A,D14160)&gt;0,"Yes","No"),"")</f>
        <v/>
      </c>
      <c r="C14160" s="11"/>
      <c r="D14160" s="11"/>
      <c r="E14160" s="11"/>
      <c r="F14160" s="11"/>
      <c r="G14160" s="11"/>
      <c r="H14160" s="11"/>
      <c r="I14160" s="15"/>
    </row>
    <row r="14161" spans="1:9" ht="16.5">
      <c r="A14161" s="10" t="b">
        <v>0</v>
      </c>
      <c r="B14161" s="11" t="str">
        <f>IF(D14161&lt;&gt;"",IF(COUNTIF('USPTO TMs'!A:A,D14161)&gt;0,"Yes","No"),"")</f>
        <v/>
      </c>
      <c r="C14161" s="11"/>
      <c r="D14161" s="11"/>
      <c r="E14161" s="11"/>
      <c r="F14161" s="11"/>
      <c r="G14161" s="11"/>
      <c r="H14161" s="11"/>
      <c r="I14161" s="15"/>
    </row>
    <row r="14162" spans="1:9" ht="16.5">
      <c r="A14162" s="10" t="b">
        <v>0</v>
      </c>
      <c r="B14162" s="11" t="str">
        <f>IF(D14162&lt;&gt;"",IF(COUNTIF('USPTO TMs'!A:A,D14162)&gt;0,"Yes","No"),"")</f>
        <v/>
      </c>
      <c r="C14162" s="11"/>
      <c r="D14162" s="11"/>
      <c r="E14162" s="11"/>
      <c r="F14162" s="11"/>
      <c r="G14162" s="11"/>
      <c r="H14162" s="11"/>
      <c r="I14162" s="15"/>
    </row>
    <row r="14163" spans="1:9" ht="16.5">
      <c r="A14163" s="10" t="b">
        <v>0</v>
      </c>
      <c r="B14163" s="11" t="str">
        <f>IF(D14163&lt;&gt;"",IF(COUNTIF('USPTO TMs'!A:A,D14163)&gt;0,"Yes","No"),"")</f>
        <v/>
      </c>
      <c r="C14163" s="11"/>
      <c r="D14163" s="11"/>
      <c r="E14163" s="11"/>
      <c r="F14163" s="11"/>
      <c r="G14163" s="11"/>
      <c r="H14163" s="11"/>
      <c r="I14163" s="15"/>
    </row>
    <row r="14164" spans="1:9" ht="16.5">
      <c r="A14164" s="10" t="b">
        <v>0</v>
      </c>
      <c r="B14164" s="11" t="str">
        <f>IF(D14164&lt;&gt;"",IF(COUNTIF('USPTO TMs'!A:A,D14164)&gt;0,"Yes","No"),"")</f>
        <v/>
      </c>
      <c r="C14164" s="11"/>
      <c r="D14164" s="11"/>
      <c r="E14164" s="11"/>
      <c r="F14164" s="11"/>
      <c r="G14164" s="11"/>
      <c r="H14164" s="11"/>
      <c r="I14164" s="15"/>
    </row>
    <row r="14165" spans="1:9" ht="16.5">
      <c r="A14165" s="10" t="b">
        <v>0</v>
      </c>
      <c r="B14165" s="11" t="str">
        <f>IF(D14165&lt;&gt;"",IF(COUNTIF('USPTO TMs'!A:A,D14165)&gt;0,"Yes","No"),"")</f>
        <v/>
      </c>
      <c r="C14165" s="11"/>
      <c r="D14165" s="11"/>
      <c r="E14165" s="11"/>
      <c r="F14165" s="11"/>
      <c r="G14165" s="11"/>
      <c r="H14165" s="11"/>
      <c r="I14165" s="15"/>
    </row>
    <row r="14166" spans="1:9" ht="16.5">
      <c r="A14166" s="10" t="b">
        <v>0</v>
      </c>
      <c r="B14166" s="11" t="str">
        <f>IF(D14166&lt;&gt;"",IF(COUNTIF('USPTO TMs'!A:A,D14166)&gt;0,"Yes","No"),"")</f>
        <v/>
      </c>
      <c r="C14166" s="11"/>
      <c r="D14166" s="11"/>
      <c r="E14166" s="11"/>
      <c r="F14166" s="11"/>
      <c r="G14166" s="11"/>
      <c r="H14166" s="11"/>
      <c r="I14166" s="15"/>
    </row>
    <row r="14167" spans="1:9" ht="16.5">
      <c r="A14167" s="10" t="b">
        <v>0</v>
      </c>
      <c r="B14167" s="11" t="str">
        <f>IF(D14167&lt;&gt;"",IF(COUNTIF('USPTO TMs'!A:A,D14167)&gt;0,"Yes","No"),"")</f>
        <v/>
      </c>
      <c r="C14167" s="11"/>
      <c r="D14167" s="11"/>
      <c r="E14167" s="11"/>
      <c r="F14167" s="11"/>
      <c r="G14167" s="11"/>
      <c r="H14167" s="11"/>
      <c r="I14167" s="15"/>
    </row>
    <row r="14168" spans="1:9" ht="16.5">
      <c r="A14168" s="10" t="b">
        <v>0</v>
      </c>
      <c r="B14168" s="11" t="str">
        <f>IF(D14168&lt;&gt;"",IF(COUNTIF('USPTO TMs'!A:A,D14168)&gt;0,"Yes","No"),"")</f>
        <v/>
      </c>
      <c r="C14168" s="11"/>
      <c r="D14168" s="11"/>
      <c r="E14168" s="11"/>
      <c r="F14168" s="11"/>
      <c r="G14168" s="11"/>
      <c r="H14168" s="11"/>
      <c r="I14168" s="15"/>
    </row>
    <row r="14169" spans="1:9" ht="16.5">
      <c r="A14169" s="10" t="b">
        <v>0</v>
      </c>
      <c r="B14169" s="11" t="str">
        <f>IF(D14169&lt;&gt;"",IF(COUNTIF('USPTO TMs'!A:A,D14169)&gt;0,"Yes","No"),"")</f>
        <v/>
      </c>
      <c r="C14169" s="11"/>
      <c r="D14169" s="11"/>
      <c r="E14169" s="11"/>
      <c r="F14169" s="11"/>
      <c r="G14169" s="11"/>
      <c r="H14169" s="11"/>
      <c r="I14169" s="15"/>
    </row>
    <row r="14170" spans="1:9" ht="16.5">
      <c r="A14170" s="10" t="b">
        <v>0</v>
      </c>
      <c r="B14170" s="11" t="str">
        <f>IF(D14170&lt;&gt;"",IF(COUNTIF('USPTO TMs'!A:A,D14170)&gt;0,"Yes","No"),"")</f>
        <v/>
      </c>
      <c r="C14170" s="11"/>
      <c r="D14170" s="11"/>
      <c r="E14170" s="11"/>
      <c r="F14170" s="11"/>
      <c r="G14170" s="11"/>
      <c r="H14170" s="11"/>
      <c r="I14170" s="15"/>
    </row>
    <row r="14171" spans="1:9" ht="16.5">
      <c r="A14171" s="10" t="b">
        <v>0</v>
      </c>
      <c r="B14171" s="11" t="str">
        <f>IF(D14171&lt;&gt;"",IF(COUNTIF('USPTO TMs'!A:A,D14171)&gt;0,"Yes","No"),"")</f>
        <v/>
      </c>
      <c r="C14171" s="11"/>
      <c r="D14171" s="11"/>
      <c r="E14171" s="11"/>
      <c r="F14171" s="11"/>
      <c r="G14171" s="11"/>
      <c r="H14171" s="11"/>
      <c r="I14171" s="15"/>
    </row>
    <row r="14172" spans="1:9" ht="16.5">
      <c r="A14172" s="10" t="b">
        <v>0</v>
      </c>
      <c r="B14172" s="11" t="str">
        <f>IF(D14172&lt;&gt;"",IF(COUNTIF('USPTO TMs'!A:A,D14172)&gt;0,"Yes","No"),"")</f>
        <v/>
      </c>
      <c r="C14172" s="11"/>
      <c r="D14172" s="11"/>
      <c r="E14172" s="11"/>
      <c r="F14172" s="11"/>
      <c r="G14172" s="11"/>
      <c r="H14172" s="11"/>
      <c r="I14172" s="15"/>
    </row>
    <row r="14173" spans="1:9" ht="16.5">
      <c r="A14173" s="10" t="b">
        <v>0</v>
      </c>
      <c r="B14173" s="11" t="str">
        <f>IF(D14173&lt;&gt;"",IF(COUNTIF('USPTO TMs'!A:A,D14173)&gt;0,"Yes","No"),"")</f>
        <v/>
      </c>
      <c r="C14173" s="11"/>
      <c r="D14173" s="11"/>
      <c r="E14173" s="11"/>
      <c r="F14173" s="11"/>
      <c r="G14173" s="11"/>
      <c r="H14173" s="11"/>
      <c r="I14173" s="15"/>
    </row>
    <row r="14174" spans="1:9" ht="16.5">
      <c r="A14174" s="10" t="b">
        <v>0</v>
      </c>
      <c r="B14174" s="11" t="str">
        <f>IF(D14174&lt;&gt;"",IF(COUNTIF('USPTO TMs'!A:A,D14174)&gt;0,"Yes","No"),"")</f>
        <v/>
      </c>
      <c r="C14174" s="11"/>
      <c r="D14174" s="11"/>
      <c r="E14174" s="11"/>
      <c r="F14174" s="11"/>
      <c r="G14174" s="11"/>
      <c r="H14174" s="11"/>
      <c r="I14174" s="15"/>
    </row>
    <row r="14175" spans="1:9" ht="16.5">
      <c r="A14175" s="10" t="b">
        <v>0</v>
      </c>
      <c r="B14175" s="11" t="str">
        <f>IF(D14175&lt;&gt;"",IF(COUNTIF('USPTO TMs'!A:A,D14175)&gt;0,"Yes","No"),"")</f>
        <v/>
      </c>
      <c r="C14175" s="11"/>
      <c r="D14175" s="11"/>
      <c r="E14175" s="11"/>
      <c r="F14175" s="11"/>
      <c r="G14175" s="11"/>
      <c r="H14175" s="11"/>
      <c r="I14175" s="15"/>
    </row>
    <row r="14176" spans="1:9" ht="16.5">
      <c r="A14176" s="10" t="b">
        <v>0</v>
      </c>
      <c r="B14176" s="11" t="str">
        <f>IF(D14176&lt;&gt;"",IF(COUNTIF('USPTO TMs'!A:A,D14176)&gt;0,"Yes","No"),"")</f>
        <v/>
      </c>
      <c r="C14176" s="11"/>
      <c r="D14176" s="11"/>
      <c r="E14176" s="11"/>
      <c r="F14176" s="11"/>
      <c r="G14176" s="11"/>
      <c r="H14176" s="11"/>
      <c r="I14176" s="15"/>
    </row>
    <row r="14177" spans="1:9" ht="16.5">
      <c r="A14177" s="10" t="b">
        <v>0</v>
      </c>
      <c r="B14177" s="11" t="str">
        <f>IF(D14177&lt;&gt;"",IF(COUNTIF('USPTO TMs'!A:A,D14177)&gt;0,"Yes","No"),"")</f>
        <v/>
      </c>
      <c r="C14177" s="11"/>
      <c r="D14177" s="11"/>
      <c r="E14177" s="11"/>
      <c r="F14177" s="11"/>
      <c r="G14177" s="11"/>
      <c r="H14177" s="11"/>
      <c r="I14177" s="15"/>
    </row>
    <row r="14178" spans="1:9" ht="16.5">
      <c r="A14178" s="10" t="b">
        <v>0</v>
      </c>
      <c r="B14178" s="11" t="str">
        <f>IF(D14178&lt;&gt;"",IF(COUNTIF('USPTO TMs'!A:A,D14178)&gt;0,"Yes","No"),"")</f>
        <v/>
      </c>
      <c r="C14178" s="11"/>
      <c r="D14178" s="11"/>
      <c r="E14178" s="11"/>
      <c r="F14178" s="11"/>
      <c r="G14178" s="11"/>
      <c r="H14178" s="11"/>
      <c r="I14178" s="15"/>
    </row>
    <row r="14179" spans="1:9" ht="16.5">
      <c r="A14179" s="10" t="b">
        <v>0</v>
      </c>
      <c r="B14179" s="11" t="str">
        <f>IF(D14179&lt;&gt;"",IF(COUNTIF('USPTO TMs'!A:A,D14179)&gt;0,"Yes","No"),"")</f>
        <v/>
      </c>
      <c r="C14179" s="11"/>
      <c r="D14179" s="11"/>
      <c r="E14179" s="11"/>
      <c r="F14179" s="11"/>
      <c r="G14179" s="11"/>
      <c r="H14179" s="11"/>
      <c r="I14179" s="15"/>
    </row>
    <row r="14180" spans="1:9" ht="16.5">
      <c r="A14180" s="10" t="b">
        <v>0</v>
      </c>
      <c r="B14180" s="11" t="str">
        <f>IF(D14180&lt;&gt;"",IF(COUNTIF('USPTO TMs'!A:A,D14180)&gt;0,"Yes","No"),"")</f>
        <v/>
      </c>
      <c r="C14180" s="11"/>
      <c r="D14180" s="11"/>
      <c r="E14180" s="11"/>
      <c r="F14180" s="11"/>
      <c r="G14180" s="11"/>
      <c r="H14180" s="11"/>
      <c r="I14180" s="15"/>
    </row>
    <row r="14181" spans="1:9" ht="16.5">
      <c r="A14181" s="10" t="b">
        <v>0</v>
      </c>
      <c r="B14181" s="11" t="str">
        <f>IF(D14181&lt;&gt;"",IF(COUNTIF('USPTO TMs'!A:A,D14181)&gt;0,"Yes","No"),"")</f>
        <v/>
      </c>
      <c r="C14181" s="11"/>
      <c r="D14181" s="11"/>
      <c r="E14181" s="11"/>
      <c r="F14181" s="11"/>
      <c r="G14181" s="11"/>
      <c r="H14181" s="11"/>
      <c r="I14181" s="15"/>
    </row>
    <row r="14182" spans="1:9" ht="16.5">
      <c r="A14182" s="10" t="b">
        <v>0</v>
      </c>
      <c r="B14182" s="11" t="str">
        <f>IF(D14182&lt;&gt;"",IF(COUNTIF('USPTO TMs'!A:A,D14182)&gt;0,"Yes","No"),"")</f>
        <v/>
      </c>
      <c r="C14182" s="11"/>
      <c r="D14182" s="11"/>
      <c r="E14182" s="11"/>
      <c r="F14182" s="11"/>
      <c r="G14182" s="11"/>
      <c r="H14182" s="11"/>
      <c r="I14182" s="15"/>
    </row>
    <row r="14183" spans="1:9" ht="16.5">
      <c r="A14183" s="10" t="b">
        <v>0</v>
      </c>
      <c r="B14183" s="11" t="str">
        <f>IF(D14183&lt;&gt;"",IF(COUNTIF('USPTO TMs'!A:A,D14183)&gt;0,"Yes","No"),"")</f>
        <v/>
      </c>
      <c r="C14183" s="11"/>
      <c r="D14183" s="11"/>
      <c r="E14183" s="11"/>
      <c r="F14183" s="11"/>
      <c r="G14183" s="11"/>
      <c r="H14183" s="11"/>
      <c r="I14183" s="15"/>
    </row>
    <row r="14184" spans="1:9" ht="16.5">
      <c r="A14184" s="10" t="b">
        <v>0</v>
      </c>
      <c r="B14184" s="11" t="str">
        <f>IF(D14184&lt;&gt;"",IF(COUNTIF('USPTO TMs'!A:A,D14184)&gt;0,"Yes","No"),"")</f>
        <v/>
      </c>
      <c r="C14184" s="11"/>
      <c r="D14184" s="11"/>
      <c r="E14184" s="11"/>
      <c r="F14184" s="11"/>
      <c r="G14184" s="11"/>
      <c r="H14184" s="11"/>
      <c r="I14184" s="15"/>
    </row>
    <row r="14185" spans="1:9" ht="16.5">
      <c r="A14185" s="10" t="b">
        <v>0</v>
      </c>
      <c r="B14185" s="11" t="str">
        <f>IF(D14185&lt;&gt;"",IF(COUNTIF('USPTO TMs'!A:A,D14185)&gt;0,"Yes","No"),"")</f>
        <v/>
      </c>
      <c r="C14185" s="11"/>
      <c r="D14185" s="11"/>
      <c r="E14185" s="11"/>
      <c r="F14185" s="11"/>
      <c r="G14185" s="11"/>
      <c r="H14185" s="11"/>
      <c r="I14185" s="15"/>
    </row>
    <row r="14186" spans="1:9" ht="16.5">
      <c r="A14186" s="10" t="b">
        <v>0</v>
      </c>
      <c r="B14186" s="11" t="str">
        <f>IF(D14186&lt;&gt;"",IF(COUNTIF('USPTO TMs'!A:A,D14186)&gt;0,"Yes","No"),"")</f>
        <v/>
      </c>
      <c r="C14186" s="11"/>
      <c r="D14186" s="11"/>
      <c r="E14186" s="11"/>
      <c r="F14186" s="11"/>
      <c r="G14186" s="11"/>
      <c r="H14186" s="11"/>
      <c r="I14186" s="15"/>
    </row>
    <row r="14187" spans="1:9" ht="16.5">
      <c r="A14187" s="10" t="b">
        <v>0</v>
      </c>
      <c r="B14187" s="11" t="str">
        <f>IF(D14187&lt;&gt;"",IF(COUNTIF('USPTO TMs'!A:A,D14187)&gt;0,"Yes","No"),"")</f>
        <v/>
      </c>
      <c r="C14187" s="11"/>
      <c r="D14187" s="11"/>
      <c r="E14187" s="11"/>
      <c r="F14187" s="11"/>
      <c r="G14187" s="11"/>
      <c r="H14187" s="11"/>
      <c r="I14187" s="15"/>
    </row>
    <row r="14188" spans="1:9" ht="16.5">
      <c r="A14188" s="10" t="b">
        <v>0</v>
      </c>
      <c r="B14188" s="11" t="str">
        <f>IF(D14188&lt;&gt;"",IF(COUNTIF('USPTO TMs'!A:A,D14188)&gt;0,"Yes","No"),"")</f>
        <v/>
      </c>
      <c r="C14188" s="11"/>
      <c r="D14188" s="11"/>
      <c r="E14188" s="11"/>
      <c r="F14188" s="11"/>
      <c r="G14188" s="11"/>
      <c r="H14188" s="11"/>
      <c r="I14188" s="15"/>
    </row>
    <row r="14189" spans="1:9" ht="16.5">
      <c r="A14189" s="10" t="b">
        <v>0</v>
      </c>
      <c r="B14189" s="11" t="str">
        <f>IF(D14189&lt;&gt;"",IF(COUNTIF('USPTO TMs'!A:A,D14189)&gt;0,"Yes","No"),"")</f>
        <v/>
      </c>
      <c r="C14189" s="11"/>
      <c r="D14189" s="11"/>
      <c r="E14189" s="11"/>
      <c r="F14189" s="11"/>
      <c r="G14189" s="11"/>
      <c r="H14189" s="11"/>
      <c r="I14189" s="15"/>
    </row>
    <row r="14190" spans="1:9" ht="16.5">
      <c r="A14190" s="10" t="b">
        <v>0</v>
      </c>
      <c r="B14190" s="11" t="str">
        <f>IF(D14190&lt;&gt;"",IF(COUNTIF('USPTO TMs'!A:A,D14190)&gt;0,"Yes","No"),"")</f>
        <v/>
      </c>
      <c r="C14190" s="11"/>
      <c r="D14190" s="11"/>
      <c r="E14190" s="11"/>
      <c r="F14190" s="11"/>
      <c r="G14190" s="11"/>
      <c r="H14190" s="11"/>
      <c r="I14190" s="15"/>
    </row>
    <row r="14191" spans="1:9" ht="16.5">
      <c r="A14191" s="10" t="b">
        <v>0</v>
      </c>
      <c r="B14191" s="11" t="str">
        <f>IF(D14191&lt;&gt;"",IF(COUNTIF('USPTO TMs'!A:A,D14191)&gt;0,"Yes","No"),"")</f>
        <v/>
      </c>
      <c r="C14191" s="11"/>
      <c r="D14191" s="11"/>
      <c r="E14191" s="11"/>
      <c r="F14191" s="11"/>
      <c r="G14191" s="11"/>
      <c r="H14191" s="11"/>
      <c r="I14191" s="15"/>
    </row>
    <row r="14192" spans="1:9" ht="16.5">
      <c r="A14192" s="10" t="b">
        <v>0</v>
      </c>
      <c r="B14192" s="11" t="str">
        <f>IF(D14192&lt;&gt;"",IF(COUNTIF('USPTO TMs'!A:A,D14192)&gt;0,"Yes","No"),"")</f>
        <v/>
      </c>
      <c r="C14192" s="11"/>
      <c r="D14192" s="11"/>
      <c r="E14192" s="11"/>
      <c r="F14192" s="11"/>
      <c r="G14192" s="11"/>
      <c r="H14192" s="11"/>
      <c r="I14192" s="15"/>
    </row>
    <row r="14193" spans="1:9" ht="16.5">
      <c r="A14193" s="10" t="b">
        <v>0</v>
      </c>
      <c r="B14193" s="11" t="str">
        <f>IF(D14193&lt;&gt;"",IF(COUNTIF('USPTO TMs'!A:A,D14193)&gt;0,"Yes","No"),"")</f>
        <v/>
      </c>
      <c r="C14193" s="11"/>
      <c r="D14193" s="11"/>
      <c r="E14193" s="11"/>
      <c r="F14193" s="11"/>
      <c r="G14193" s="11"/>
      <c r="H14193" s="11"/>
      <c r="I14193" s="15"/>
    </row>
    <row r="14194" spans="1:9" ht="16.5">
      <c r="A14194" s="10" t="b">
        <v>0</v>
      </c>
      <c r="B14194" s="11" t="str">
        <f>IF(D14194&lt;&gt;"",IF(COUNTIF('USPTO TMs'!A:A,D14194)&gt;0,"Yes","No"),"")</f>
        <v/>
      </c>
      <c r="C14194" s="11"/>
      <c r="D14194" s="11"/>
      <c r="E14194" s="11"/>
      <c r="F14194" s="11"/>
      <c r="G14194" s="11"/>
      <c r="H14194" s="11"/>
      <c r="I14194" s="15"/>
    </row>
    <row r="14195" spans="1:9" ht="16.5">
      <c r="A14195" s="10" t="b">
        <v>0</v>
      </c>
      <c r="B14195" s="11" t="str">
        <f>IF(D14195&lt;&gt;"",IF(COUNTIF('USPTO TMs'!A:A,D14195)&gt;0,"Yes","No"),"")</f>
        <v/>
      </c>
      <c r="C14195" s="11"/>
      <c r="D14195" s="11"/>
      <c r="E14195" s="11"/>
      <c r="F14195" s="11"/>
      <c r="G14195" s="11"/>
      <c r="H14195" s="11"/>
      <c r="I14195" s="15"/>
    </row>
    <row r="14196" spans="1:9" ht="16.5">
      <c r="A14196" s="10" t="b">
        <v>0</v>
      </c>
      <c r="B14196" s="11" t="str">
        <f>IF(D14196&lt;&gt;"",IF(COUNTIF('USPTO TMs'!A:A,D14196)&gt;0,"Yes","No"),"")</f>
        <v/>
      </c>
      <c r="C14196" s="11"/>
      <c r="D14196" s="11"/>
      <c r="E14196" s="11"/>
      <c r="F14196" s="11"/>
      <c r="G14196" s="11"/>
      <c r="H14196" s="11"/>
      <c r="I14196" s="15"/>
    </row>
    <row r="14197" spans="1:9" ht="16.5">
      <c r="A14197" s="10" t="b">
        <v>0</v>
      </c>
      <c r="B14197" s="11" t="str">
        <f>IF(D14197&lt;&gt;"",IF(COUNTIF('USPTO TMs'!A:A,D14197)&gt;0,"Yes","No"),"")</f>
        <v/>
      </c>
      <c r="C14197" s="11"/>
      <c r="D14197" s="11"/>
      <c r="E14197" s="11"/>
      <c r="F14197" s="11"/>
      <c r="G14197" s="11"/>
      <c r="H14197" s="11"/>
      <c r="I14197" s="15"/>
    </row>
    <row r="14198" spans="1:9" ht="16.5">
      <c r="A14198" s="10" t="b">
        <v>0</v>
      </c>
      <c r="B14198" s="11" t="str">
        <f>IF(D14198&lt;&gt;"",IF(COUNTIF('USPTO TMs'!A:A,D14198)&gt;0,"Yes","No"),"")</f>
        <v/>
      </c>
      <c r="C14198" s="11"/>
      <c r="D14198" s="11"/>
      <c r="E14198" s="11"/>
      <c r="F14198" s="11"/>
      <c r="G14198" s="11"/>
      <c r="H14198" s="11"/>
      <c r="I14198" s="15"/>
    </row>
    <row r="14199" spans="1:9" ht="16.5">
      <c r="A14199" s="10" t="b">
        <v>0</v>
      </c>
      <c r="B14199" s="11" t="str">
        <f>IF(D14199&lt;&gt;"",IF(COUNTIF('USPTO TMs'!A:A,D14199)&gt;0,"Yes","No"),"")</f>
        <v/>
      </c>
      <c r="C14199" s="11"/>
      <c r="D14199" s="11"/>
      <c r="E14199" s="11"/>
      <c r="F14199" s="11"/>
      <c r="G14199" s="11"/>
      <c r="H14199" s="11"/>
      <c r="I14199" s="15"/>
    </row>
    <row r="14200" spans="1:9" ht="16.5">
      <c r="A14200" s="10" t="b">
        <v>0</v>
      </c>
      <c r="B14200" s="11" t="str">
        <f>IF(D14200&lt;&gt;"",IF(COUNTIF('USPTO TMs'!A:A,D14200)&gt;0,"Yes","No"),"")</f>
        <v/>
      </c>
      <c r="C14200" s="11"/>
      <c r="D14200" s="11"/>
      <c r="E14200" s="11"/>
      <c r="F14200" s="11"/>
      <c r="G14200" s="11"/>
      <c r="H14200" s="11"/>
      <c r="I14200" s="15"/>
    </row>
    <row r="14201" spans="1:9" ht="16.5">
      <c r="A14201" s="10" t="b">
        <v>0</v>
      </c>
      <c r="B14201" s="11" t="str">
        <f>IF(D14201&lt;&gt;"",IF(COUNTIF('USPTO TMs'!A:A,D14201)&gt;0,"Yes","No"),"")</f>
        <v/>
      </c>
      <c r="C14201" s="11"/>
      <c r="D14201" s="11"/>
      <c r="E14201" s="11"/>
      <c r="F14201" s="11"/>
      <c r="G14201" s="11"/>
      <c r="H14201" s="11"/>
      <c r="I14201" s="15"/>
    </row>
    <row r="14202" spans="1:9" ht="16.5">
      <c r="A14202" s="10" t="b">
        <v>0</v>
      </c>
      <c r="B14202" s="11" t="str">
        <f>IF(D14202&lt;&gt;"",IF(COUNTIF('USPTO TMs'!A:A,D14202)&gt;0,"Yes","No"),"")</f>
        <v/>
      </c>
      <c r="C14202" s="11"/>
      <c r="D14202" s="11"/>
      <c r="E14202" s="11"/>
      <c r="F14202" s="11"/>
      <c r="G14202" s="11"/>
      <c r="H14202" s="11"/>
      <c r="I14202" s="15"/>
    </row>
    <row r="14203" spans="1:9" ht="16.5">
      <c r="A14203" s="10" t="b">
        <v>0</v>
      </c>
      <c r="B14203" s="11" t="str">
        <f>IF(D14203&lt;&gt;"",IF(COUNTIF('USPTO TMs'!A:A,D14203)&gt;0,"Yes","No"),"")</f>
        <v/>
      </c>
      <c r="C14203" s="11"/>
      <c r="D14203" s="11"/>
      <c r="E14203" s="11"/>
      <c r="F14203" s="11"/>
      <c r="G14203" s="11"/>
      <c r="H14203" s="11"/>
      <c r="I14203" s="15"/>
    </row>
    <row r="14204" spans="1:9" ht="16.5">
      <c r="A14204" s="10" t="b">
        <v>0</v>
      </c>
      <c r="B14204" s="11" t="str">
        <f>IF(D14204&lt;&gt;"",IF(COUNTIF('USPTO TMs'!A:A,D14204)&gt;0,"Yes","No"),"")</f>
        <v/>
      </c>
      <c r="C14204" s="11"/>
      <c r="D14204" s="11"/>
      <c r="E14204" s="11"/>
      <c r="F14204" s="11"/>
      <c r="G14204" s="11"/>
      <c r="H14204" s="11"/>
      <c r="I14204" s="15"/>
    </row>
    <row r="14205" spans="1:9" ht="16.5">
      <c r="A14205" s="10" t="b">
        <v>0</v>
      </c>
      <c r="B14205" s="11" t="str">
        <f>IF(D14205&lt;&gt;"",IF(COUNTIF('USPTO TMs'!A:A,D14205)&gt;0,"Yes","No"),"")</f>
        <v/>
      </c>
      <c r="C14205" s="11"/>
      <c r="D14205" s="11"/>
      <c r="E14205" s="11"/>
      <c r="F14205" s="11"/>
      <c r="G14205" s="11"/>
      <c r="H14205" s="11"/>
      <c r="I14205" s="15"/>
    </row>
    <row r="14206" spans="1:9" ht="16.5">
      <c r="A14206" s="10" t="b">
        <v>0</v>
      </c>
      <c r="B14206" s="11" t="str">
        <f>IF(D14206&lt;&gt;"",IF(COUNTIF('USPTO TMs'!A:A,D14206)&gt;0,"Yes","No"),"")</f>
        <v/>
      </c>
      <c r="C14206" s="11"/>
      <c r="D14206" s="11"/>
      <c r="E14206" s="11"/>
      <c r="F14206" s="11"/>
      <c r="G14206" s="11"/>
      <c r="H14206" s="11"/>
      <c r="I14206" s="15"/>
    </row>
    <row r="14207" spans="1:9" ht="16.5">
      <c r="A14207" s="10" t="b">
        <v>0</v>
      </c>
      <c r="B14207" s="11" t="str">
        <f>IF(D14207&lt;&gt;"",IF(COUNTIF('USPTO TMs'!A:A,D14207)&gt;0,"Yes","No"),"")</f>
        <v/>
      </c>
      <c r="C14207" s="11"/>
      <c r="D14207" s="11"/>
      <c r="E14207" s="11"/>
      <c r="F14207" s="11"/>
      <c r="G14207" s="11"/>
      <c r="H14207" s="11"/>
      <c r="I14207" s="15"/>
    </row>
    <row r="14208" spans="1:9" ht="16.5">
      <c r="A14208" s="10" t="b">
        <v>0</v>
      </c>
      <c r="B14208" s="11" t="str">
        <f>IF(D14208&lt;&gt;"",IF(COUNTIF('USPTO TMs'!A:A,D14208)&gt;0,"Yes","No"),"")</f>
        <v/>
      </c>
      <c r="C14208" s="11"/>
      <c r="D14208" s="11"/>
      <c r="E14208" s="11"/>
      <c r="F14208" s="11"/>
      <c r="G14208" s="11"/>
      <c r="H14208" s="11"/>
      <c r="I14208" s="15"/>
    </row>
    <row r="14209" spans="1:9" ht="16.5">
      <c r="A14209" s="10" t="b">
        <v>0</v>
      </c>
      <c r="B14209" s="11" t="str">
        <f>IF(D14209&lt;&gt;"",IF(COUNTIF('USPTO TMs'!A:A,D14209)&gt;0,"Yes","No"),"")</f>
        <v/>
      </c>
      <c r="C14209" s="11"/>
      <c r="D14209" s="11"/>
      <c r="E14209" s="11"/>
      <c r="F14209" s="11"/>
      <c r="G14209" s="11"/>
      <c r="H14209" s="11"/>
      <c r="I14209" s="15"/>
    </row>
    <row r="14210" spans="1:9" ht="16.5">
      <c r="A14210" s="10" t="b">
        <v>0</v>
      </c>
      <c r="B14210" s="11" t="str">
        <f>IF(D14210&lt;&gt;"",IF(COUNTIF('USPTO TMs'!A:A,D14210)&gt;0,"Yes","No"),"")</f>
        <v/>
      </c>
      <c r="C14210" s="11"/>
      <c r="D14210" s="11"/>
      <c r="E14210" s="11"/>
      <c r="F14210" s="11"/>
      <c r="G14210" s="11"/>
      <c r="H14210" s="11"/>
      <c r="I14210" s="15"/>
    </row>
    <row r="14211" spans="1:9" ht="16.5">
      <c r="A14211" s="10" t="b">
        <v>0</v>
      </c>
      <c r="B14211" s="11" t="str">
        <f>IF(D14211&lt;&gt;"",IF(COUNTIF('USPTO TMs'!A:A,D14211)&gt;0,"Yes","No"),"")</f>
        <v/>
      </c>
      <c r="C14211" s="11"/>
      <c r="D14211" s="11"/>
      <c r="E14211" s="11"/>
      <c r="F14211" s="11"/>
      <c r="G14211" s="11"/>
      <c r="H14211" s="11"/>
      <c r="I14211" s="15"/>
    </row>
    <row r="14212" spans="1:9" ht="16.5">
      <c r="A14212" s="10" t="b">
        <v>0</v>
      </c>
      <c r="B14212" s="11" t="str">
        <f>IF(D14212&lt;&gt;"",IF(COUNTIF('USPTO TMs'!A:A,D14212)&gt;0,"Yes","No"),"")</f>
        <v/>
      </c>
      <c r="C14212" s="11"/>
      <c r="D14212" s="11"/>
      <c r="E14212" s="11"/>
      <c r="F14212" s="11"/>
      <c r="G14212" s="11"/>
      <c r="H14212" s="11"/>
      <c r="I14212" s="15"/>
    </row>
    <row r="14213" spans="1:9" ht="16.5">
      <c r="A14213" s="10" t="b">
        <v>0</v>
      </c>
      <c r="B14213" s="11" t="str">
        <f>IF(D14213&lt;&gt;"",IF(COUNTIF('USPTO TMs'!A:A,D14213)&gt;0,"Yes","No"),"")</f>
        <v/>
      </c>
      <c r="C14213" s="11"/>
      <c r="D14213" s="11"/>
      <c r="E14213" s="11"/>
      <c r="F14213" s="11"/>
      <c r="G14213" s="11"/>
      <c r="H14213" s="11"/>
      <c r="I14213" s="15"/>
    </row>
    <row r="14214" spans="1:9" ht="16.5">
      <c r="A14214" s="10" t="b">
        <v>0</v>
      </c>
      <c r="B14214" s="11" t="str">
        <f>IF(D14214&lt;&gt;"",IF(COUNTIF('USPTO TMs'!A:A,D14214)&gt;0,"Yes","No"),"")</f>
        <v/>
      </c>
      <c r="C14214" s="11"/>
      <c r="D14214" s="11"/>
      <c r="E14214" s="11"/>
      <c r="F14214" s="11"/>
      <c r="G14214" s="11"/>
      <c r="H14214" s="11"/>
      <c r="I14214" s="15"/>
    </row>
    <row r="14215" spans="1:9" ht="16.5">
      <c r="A14215" s="10" t="b">
        <v>0</v>
      </c>
      <c r="B14215" s="11" t="str">
        <f>IF(D14215&lt;&gt;"",IF(COUNTIF('USPTO TMs'!A:A,D14215)&gt;0,"Yes","No"),"")</f>
        <v/>
      </c>
      <c r="C14215" s="11"/>
      <c r="D14215" s="11"/>
      <c r="E14215" s="11"/>
      <c r="F14215" s="11"/>
      <c r="G14215" s="11"/>
      <c r="H14215" s="11"/>
      <c r="I14215" s="15"/>
    </row>
    <row r="14216" spans="1:9" ht="16.5">
      <c r="A14216" s="10" t="b">
        <v>0</v>
      </c>
      <c r="B14216" s="11" t="str">
        <f>IF(D14216&lt;&gt;"",IF(COUNTIF('USPTO TMs'!A:A,D14216)&gt;0,"Yes","No"),"")</f>
        <v/>
      </c>
      <c r="C14216" s="11"/>
      <c r="D14216" s="11"/>
      <c r="E14216" s="11"/>
      <c r="F14216" s="11"/>
      <c r="G14216" s="11"/>
      <c r="H14216" s="11"/>
      <c r="I14216" s="15"/>
    </row>
    <row r="14217" spans="1:9" ht="16.5">
      <c r="A14217" s="10" t="b">
        <v>0</v>
      </c>
      <c r="B14217" s="11" t="str">
        <f>IF(D14217&lt;&gt;"",IF(COUNTIF('USPTO TMs'!A:A,D14217)&gt;0,"Yes","No"),"")</f>
        <v/>
      </c>
      <c r="C14217" s="11"/>
      <c r="D14217" s="11"/>
      <c r="E14217" s="11"/>
      <c r="F14217" s="11"/>
      <c r="G14217" s="11"/>
      <c r="H14217" s="11"/>
      <c r="I14217" s="15"/>
    </row>
    <row r="14218" spans="1:9" ht="16.5">
      <c r="A14218" s="10" t="b">
        <v>0</v>
      </c>
      <c r="B14218" s="11" t="str">
        <f>IF(D14218&lt;&gt;"",IF(COUNTIF('USPTO TMs'!A:A,D14218)&gt;0,"Yes","No"),"")</f>
        <v/>
      </c>
      <c r="C14218" s="11"/>
      <c r="D14218" s="11"/>
      <c r="E14218" s="11"/>
      <c r="F14218" s="11"/>
      <c r="G14218" s="11"/>
      <c r="H14218" s="11"/>
      <c r="I14218" s="15"/>
    </row>
    <row r="14219" spans="1:9" ht="16.5">
      <c r="A14219" s="10" t="b">
        <v>0</v>
      </c>
      <c r="B14219" s="11" t="str">
        <f>IF(D14219&lt;&gt;"",IF(COUNTIF('USPTO TMs'!A:A,D14219)&gt;0,"Yes","No"),"")</f>
        <v/>
      </c>
      <c r="C14219" s="11"/>
      <c r="D14219" s="11"/>
      <c r="E14219" s="11"/>
      <c r="F14219" s="11"/>
      <c r="G14219" s="11"/>
      <c r="H14219" s="11"/>
      <c r="I14219" s="15"/>
    </row>
    <row r="14220" spans="1:9" ht="16.5">
      <c r="A14220" s="10" t="b">
        <v>0</v>
      </c>
      <c r="B14220" s="11" t="str">
        <f>IF(D14220&lt;&gt;"",IF(COUNTIF('USPTO TMs'!A:A,D14220)&gt;0,"Yes","No"),"")</f>
        <v/>
      </c>
      <c r="C14220" s="11"/>
      <c r="D14220" s="11"/>
      <c r="E14220" s="11"/>
      <c r="F14220" s="11"/>
      <c r="G14220" s="11"/>
      <c r="H14220" s="11"/>
      <c r="I14220" s="15"/>
    </row>
    <row r="14221" spans="1:9" ht="16.5">
      <c r="A14221" s="10" t="b">
        <v>0</v>
      </c>
      <c r="B14221" s="11" t="str">
        <f>IF(D14221&lt;&gt;"",IF(COUNTIF('USPTO TMs'!A:A,D14221)&gt;0,"Yes","No"),"")</f>
        <v/>
      </c>
      <c r="C14221" s="11"/>
      <c r="D14221" s="11"/>
      <c r="E14221" s="11"/>
      <c r="F14221" s="11"/>
      <c r="G14221" s="11"/>
      <c r="H14221" s="11"/>
      <c r="I14221" s="15"/>
    </row>
    <row r="14222" spans="1:9" ht="16.5">
      <c r="A14222" s="10" t="b">
        <v>0</v>
      </c>
      <c r="B14222" s="11" t="str">
        <f>IF(D14222&lt;&gt;"",IF(COUNTIF('USPTO TMs'!A:A,D14222)&gt;0,"Yes","No"),"")</f>
        <v/>
      </c>
      <c r="C14222" s="11"/>
      <c r="D14222" s="11"/>
      <c r="E14222" s="11"/>
      <c r="F14222" s="11"/>
      <c r="G14222" s="11"/>
      <c r="H14222" s="11"/>
      <c r="I14222" s="15"/>
    </row>
    <row r="14223" spans="1:9" ht="16.5">
      <c r="A14223" s="10" t="b">
        <v>0</v>
      </c>
      <c r="B14223" s="11" t="str">
        <f>IF(D14223&lt;&gt;"",IF(COUNTIF('USPTO TMs'!A:A,D14223)&gt;0,"Yes","No"),"")</f>
        <v/>
      </c>
      <c r="C14223" s="11"/>
      <c r="D14223" s="11"/>
      <c r="E14223" s="11"/>
      <c r="F14223" s="11"/>
      <c r="G14223" s="11"/>
      <c r="H14223" s="11"/>
      <c r="I14223" s="15"/>
    </row>
    <row r="14224" spans="1:9" ht="16.5">
      <c r="A14224" s="10" t="b">
        <v>0</v>
      </c>
      <c r="B14224" s="11" t="str">
        <f>IF(D14224&lt;&gt;"",IF(COUNTIF('USPTO TMs'!A:A,D14224)&gt;0,"Yes","No"),"")</f>
        <v/>
      </c>
      <c r="C14224" s="11"/>
      <c r="D14224" s="11"/>
      <c r="E14224" s="11"/>
      <c r="F14224" s="11"/>
      <c r="G14224" s="11"/>
      <c r="H14224" s="11"/>
      <c r="I14224" s="15"/>
    </row>
    <row r="14225" spans="1:9" ht="16.5">
      <c r="A14225" s="10" t="b">
        <v>0</v>
      </c>
      <c r="B14225" s="11" t="str">
        <f>IF(D14225&lt;&gt;"",IF(COUNTIF('USPTO TMs'!A:A,D14225)&gt;0,"Yes","No"),"")</f>
        <v/>
      </c>
      <c r="C14225" s="11"/>
      <c r="D14225" s="11"/>
      <c r="E14225" s="11"/>
      <c r="F14225" s="11"/>
      <c r="G14225" s="11"/>
      <c r="H14225" s="11"/>
      <c r="I14225" s="15"/>
    </row>
    <row r="14226" spans="1:9" ht="16.5">
      <c r="A14226" s="10" t="b">
        <v>0</v>
      </c>
      <c r="B14226" s="11" t="str">
        <f>IF(D14226&lt;&gt;"",IF(COUNTIF('USPTO TMs'!A:A,D14226)&gt;0,"Yes","No"),"")</f>
        <v/>
      </c>
      <c r="C14226" s="11"/>
      <c r="D14226" s="11"/>
      <c r="E14226" s="11"/>
      <c r="F14226" s="11"/>
      <c r="G14226" s="11"/>
      <c r="H14226" s="11"/>
      <c r="I14226" s="15"/>
    </row>
    <row r="14227" spans="1:9" ht="16.5">
      <c r="A14227" s="10" t="b">
        <v>0</v>
      </c>
      <c r="B14227" s="11" t="str">
        <f>IF(D14227&lt;&gt;"",IF(COUNTIF('USPTO TMs'!A:A,D14227)&gt;0,"Yes","No"),"")</f>
        <v/>
      </c>
      <c r="C14227" s="11"/>
      <c r="D14227" s="11"/>
      <c r="E14227" s="11"/>
      <c r="F14227" s="11"/>
      <c r="G14227" s="11"/>
      <c r="H14227" s="11"/>
      <c r="I14227" s="15"/>
    </row>
    <row r="14228" spans="1:9" ht="16.5">
      <c r="A14228" s="10" t="b">
        <v>0</v>
      </c>
      <c r="B14228" s="11" t="str">
        <f>IF(D14228&lt;&gt;"",IF(COUNTIF('USPTO TMs'!A:A,D14228)&gt;0,"Yes","No"),"")</f>
        <v/>
      </c>
      <c r="C14228" s="11"/>
      <c r="D14228" s="11"/>
      <c r="E14228" s="11"/>
      <c r="F14228" s="11"/>
      <c r="G14228" s="11"/>
      <c r="H14228" s="11"/>
      <c r="I14228" s="15"/>
    </row>
    <row r="14229" spans="1:9" ht="16.5">
      <c r="A14229" s="10" t="b">
        <v>0</v>
      </c>
      <c r="B14229" s="11" t="str">
        <f>IF(D14229&lt;&gt;"",IF(COUNTIF('USPTO TMs'!A:A,D14229)&gt;0,"Yes","No"),"")</f>
        <v/>
      </c>
      <c r="C14229" s="11"/>
      <c r="D14229" s="11"/>
      <c r="E14229" s="11"/>
      <c r="F14229" s="11"/>
      <c r="G14229" s="11"/>
      <c r="H14229" s="11"/>
      <c r="I14229" s="15"/>
    </row>
    <row r="14230" spans="1:9" ht="16.5">
      <c r="A14230" s="10" t="b">
        <v>0</v>
      </c>
      <c r="B14230" s="11" t="str">
        <f>IF(D14230&lt;&gt;"",IF(COUNTIF('USPTO TMs'!A:A,D14230)&gt;0,"Yes","No"),"")</f>
        <v/>
      </c>
      <c r="C14230" s="11"/>
      <c r="D14230" s="11"/>
      <c r="E14230" s="11"/>
      <c r="F14230" s="11"/>
      <c r="G14230" s="11"/>
      <c r="H14230" s="11"/>
      <c r="I14230" s="15"/>
    </row>
    <row r="14231" spans="1:9" ht="16.5">
      <c r="A14231" s="10" t="b">
        <v>0</v>
      </c>
      <c r="B14231" s="11" t="str">
        <f>IF(D14231&lt;&gt;"",IF(COUNTIF('USPTO TMs'!A:A,D14231)&gt;0,"Yes","No"),"")</f>
        <v/>
      </c>
      <c r="C14231" s="11"/>
      <c r="D14231" s="11"/>
      <c r="E14231" s="11"/>
      <c r="F14231" s="11"/>
      <c r="G14231" s="11"/>
      <c r="H14231" s="11"/>
      <c r="I14231" s="15"/>
    </row>
    <row r="14232" spans="1:9" ht="16.5">
      <c r="A14232" s="10" t="b">
        <v>0</v>
      </c>
      <c r="B14232" s="11" t="str">
        <f>IF(D14232&lt;&gt;"",IF(COUNTIF('USPTO TMs'!A:A,D14232)&gt;0,"Yes","No"),"")</f>
        <v/>
      </c>
      <c r="C14232" s="11"/>
      <c r="D14232" s="11"/>
      <c r="E14232" s="11"/>
      <c r="F14232" s="11"/>
      <c r="G14232" s="11"/>
      <c r="H14232" s="11"/>
      <c r="I14232" s="15"/>
    </row>
    <row r="14233" spans="1:9" ht="16.5">
      <c r="A14233" s="10" t="b">
        <v>0</v>
      </c>
      <c r="B14233" s="11" t="str">
        <f>IF(D14233&lt;&gt;"",IF(COUNTIF('USPTO TMs'!A:A,D14233)&gt;0,"Yes","No"),"")</f>
        <v/>
      </c>
      <c r="C14233" s="11"/>
      <c r="D14233" s="11"/>
      <c r="E14233" s="11"/>
      <c r="F14233" s="11"/>
      <c r="G14233" s="11"/>
      <c r="H14233" s="11"/>
      <c r="I14233" s="15"/>
    </row>
    <row r="14234" spans="1:9" ht="16.5">
      <c r="A14234" s="10" t="b">
        <v>0</v>
      </c>
      <c r="B14234" s="11" t="str">
        <f>IF(D14234&lt;&gt;"",IF(COUNTIF('USPTO TMs'!A:A,D14234)&gt;0,"Yes","No"),"")</f>
        <v/>
      </c>
      <c r="C14234" s="11"/>
      <c r="D14234" s="11"/>
      <c r="E14234" s="11"/>
      <c r="F14234" s="11"/>
      <c r="G14234" s="11"/>
      <c r="H14234" s="11"/>
      <c r="I14234" s="15"/>
    </row>
    <row r="14235" spans="1:9" ht="16.5">
      <c r="A14235" s="10" t="b">
        <v>0</v>
      </c>
      <c r="B14235" s="11" t="str">
        <f>IF(D14235&lt;&gt;"",IF(COUNTIF('USPTO TMs'!A:A,D14235)&gt;0,"Yes","No"),"")</f>
        <v/>
      </c>
      <c r="C14235" s="11"/>
      <c r="D14235" s="11"/>
      <c r="E14235" s="11"/>
      <c r="F14235" s="11"/>
      <c r="G14235" s="11"/>
      <c r="H14235" s="11"/>
      <c r="I14235" s="15"/>
    </row>
    <row r="14236" spans="1:9" ht="16.5">
      <c r="A14236" s="10" t="b">
        <v>0</v>
      </c>
      <c r="B14236" s="11" t="str">
        <f>IF(D14236&lt;&gt;"",IF(COUNTIF('USPTO TMs'!A:A,D14236)&gt;0,"Yes","No"),"")</f>
        <v/>
      </c>
      <c r="C14236" s="11"/>
      <c r="D14236" s="11"/>
      <c r="E14236" s="11"/>
      <c r="F14236" s="11"/>
      <c r="G14236" s="11"/>
      <c r="H14236" s="11"/>
      <c r="I14236" s="15"/>
    </row>
    <row r="14237" spans="1:9" ht="16.5">
      <c r="A14237" s="10" t="b">
        <v>0</v>
      </c>
      <c r="B14237" s="11" t="str">
        <f>IF(D14237&lt;&gt;"",IF(COUNTIF('USPTO TMs'!A:A,D14237)&gt;0,"Yes","No"),"")</f>
        <v/>
      </c>
      <c r="C14237" s="11"/>
      <c r="D14237" s="11"/>
      <c r="E14237" s="11"/>
      <c r="F14237" s="11"/>
      <c r="G14237" s="11"/>
      <c r="H14237" s="11"/>
      <c r="I14237" s="15"/>
    </row>
    <row r="14238" spans="1:9" ht="16.5">
      <c r="A14238" s="10" t="b">
        <v>0</v>
      </c>
      <c r="B14238" s="11" t="str">
        <f>IF(D14238&lt;&gt;"",IF(COUNTIF('USPTO TMs'!A:A,D14238)&gt;0,"Yes","No"),"")</f>
        <v/>
      </c>
      <c r="C14238" s="11"/>
      <c r="D14238" s="11"/>
      <c r="E14238" s="11"/>
      <c r="F14238" s="11"/>
      <c r="G14238" s="11"/>
      <c r="H14238" s="11"/>
      <c r="I14238" s="15"/>
    </row>
    <row r="14239" spans="1:9" ht="16.5">
      <c r="A14239" s="10" t="b">
        <v>0</v>
      </c>
      <c r="B14239" s="11" t="str">
        <f>IF(D14239&lt;&gt;"",IF(COUNTIF('USPTO TMs'!A:A,D14239)&gt;0,"Yes","No"),"")</f>
        <v/>
      </c>
      <c r="C14239" s="11"/>
      <c r="D14239" s="11"/>
      <c r="E14239" s="11"/>
      <c r="F14239" s="11"/>
      <c r="G14239" s="11"/>
      <c r="H14239" s="11"/>
      <c r="I14239" s="15"/>
    </row>
    <row r="14240" spans="1:9" ht="16.5">
      <c r="A14240" s="10" t="b">
        <v>0</v>
      </c>
      <c r="B14240" s="11" t="str">
        <f>IF(D14240&lt;&gt;"",IF(COUNTIF('USPTO TMs'!A:A,D14240)&gt;0,"Yes","No"),"")</f>
        <v/>
      </c>
      <c r="C14240" s="11"/>
      <c r="D14240" s="11"/>
      <c r="E14240" s="11"/>
      <c r="F14240" s="11"/>
      <c r="G14240" s="11"/>
      <c r="H14240" s="11"/>
      <c r="I14240" s="15"/>
    </row>
    <row r="14241" spans="1:9" ht="16.5">
      <c r="A14241" s="10" t="b">
        <v>0</v>
      </c>
      <c r="B14241" s="11" t="str">
        <f>IF(D14241&lt;&gt;"",IF(COUNTIF('USPTO TMs'!A:A,D14241)&gt;0,"Yes","No"),"")</f>
        <v/>
      </c>
      <c r="C14241" s="11"/>
      <c r="D14241" s="11"/>
      <c r="E14241" s="11"/>
      <c r="F14241" s="11"/>
      <c r="G14241" s="11"/>
      <c r="H14241" s="11"/>
      <c r="I14241" s="15"/>
    </row>
    <row r="14242" spans="1:9" ht="16.5">
      <c r="A14242" s="10" t="b">
        <v>0</v>
      </c>
      <c r="B14242" s="11" t="str">
        <f>IF(D14242&lt;&gt;"",IF(COUNTIF('USPTO TMs'!A:A,D14242)&gt;0,"Yes","No"),"")</f>
        <v/>
      </c>
      <c r="C14242" s="11"/>
      <c r="D14242" s="11"/>
      <c r="E14242" s="11"/>
      <c r="F14242" s="11"/>
      <c r="G14242" s="11"/>
      <c r="H14242" s="11"/>
      <c r="I14242" s="15"/>
    </row>
    <row r="14243" spans="1:9" ht="16.5">
      <c r="A14243" s="10" t="b">
        <v>0</v>
      </c>
      <c r="B14243" s="11" t="str">
        <f>IF(D14243&lt;&gt;"",IF(COUNTIF('USPTO TMs'!A:A,D14243)&gt;0,"Yes","No"),"")</f>
        <v/>
      </c>
      <c r="C14243" s="11"/>
      <c r="D14243" s="11"/>
      <c r="E14243" s="11"/>
      <c r="F14243" s="11"/>
      <c r="G14243" s="11"/>
      <c r="H14243" s="11"/>
      <c r="I14243" s="15"/>
    </row>
    <row r="14244" spans="1:9" ht="16.5">
      <c r="A14244" s="10" t="b">
        <v>0</v>
      </c>
      <c r="B14244" s="11" t="str">
        <f>IF(D14244&lt;&gt;"",IF(COUNTIF('USPTO TMs'!A:A,D14244)&gt;0,"Yes","No"),"")</f>
        <v/>
      </c>
      <c r="C14244" s="11"/>
      <c r="D14244" s="11"/>
      <c r="E14244" s="11"/>
      <c r="F14244" s="11"/>
      <c r="G14244" s="11"/>
      <c r="H14244" s="11"/>
      <c r="I14244" s="15"/>
    </row>
    <row r="14245" spans="1:9" ht="16.5">
      <c r="A14245" s="10" t="b">
        <v>0</v>
      </c>
      <c r="B14245" s="11" t="str">
        <f>IF(D14245&lt;&gt;"",IF(COUNTIF('USPTO TMs'!A:A,D14245)&gt;0,"Yes","No"),"")</f>
        <v/>
      </c>
      <c r="C14245" s="11"/>
      <c r="D14245" s="11"/>
      <c r="E14245" s="11"/>
      <c r="F14245" s="11"/>
      <c r="G14245" s="11"/>
      <c r="H14245" s="11"/>
      <c r="I14245" s="15"/>
    </row>
    <row r="14246" spans="1:9" ht="16.5">
      <c r="A14246" s="10" t="b">
        <v>0</v>
      </c>
      <c r="B14246" s="11" t="str">
        <f>IF(D14246&lt;&gt;"",IF(COUNTIF('USPTO TMs'!A:A,D14246)&gt;0,"Yes","No"),"")</f>
        <v/>
      </c>
      <c r="C14246" s="11"/>
      <c r="D14246" s="11"/>
      <c r="E14246" s="11"/>
      <c r="F14246" s="11"/>
      <c r="G14246" s="11"/>
      <c r="H14246" s="11"/>
      <c r="I14246" s="15"/>
    </row>
    <row r="14247" spans="1:9" ht="16.5">
      <c r="A14247" s="10" t="b">
        <v>0</v>
      </c>
      <c r="B14247" s="11" t="str">
        <f>IF(D14247&lt;&gt;"",IF(COUNTIF('USPTO TMs'!A:A,D14247)&gt;0,"Yes","No"),"")</f>
        <v/>
      </c>
      <c r="C14247" s="11"/>
      <c r="D14247" s="11"/>
      <c r="E14247" s="11"/>
      <c r="F14247" s="11"/>
      <c r="G14247" s="11"/>
      <c r="H14247" s="11"/>
      <c r="I14247" s="15"/>
    </row>
    <row r="14248" spans="1:9" ht="16.5">
      <c r="A14248" s="10" t="b">
        <v>0</v>
      </c>
      <c r="B14248" s="11" t="str">
        <f>IF(D14248&lt;&gt;"",IF(COUNTIF('USPTO TMs'!A:A,D14248)&gt;0,"Yes","No"),"")</f>
        <v/>
      </c>
      <c r="C14248" s="11"/>
      <c r="D14248" s="11"/>
      <c r="E14248" s="11"/>
      <c r="F14248" s="11"/>
      <c r="G14248" s="11"/>
      <c r="H14248" s="11"/>
      <c r="I14248" s="15"/>
    </row>
    <row r="14249" spans="1:9" ht="16.5">
      <c r="A14249" s="10" t="b">
        <v>0</v>
      </c>
      <c r="B14249" s="11" t="str">
        <f>IF(D14249&lt;&gt;"",IF(COUNTIF('USPTO TMs'!A:A,D14249)&gt;0,"Yes","No"),"")</f>
        <v/>
      </c>
      <c r="C14249" s="11"/>
      <c r="D14249" s="11"/>
      <c r="E14249" s="11"/>
      <c r="F14249" s="11"/>
      <c r="G14249" s="11"/>
      <c r="H14249" s="11"/>
      <c r="I14249" s="15"/>
    </row>
    <row r="14250" spans="1:9" ht="16.5">
      <c r="A14250" s="10" t="b">
        <v>0</v>
      </c>
      <c r="B14250" s="11" t="str">
        <f>IF(D14250&lt;&gt;"",IF(COUNTIF('USPTO TMs'!A:A,D14250)&gt;0,"Yes","No"),"")</f>
        <v/>
      </c>
      <c r="C14250" s="11"/>
      <c r="D14250" s="11"/>
      <c r="E14250" s="11"/>
      <c r="F14250" s="11"/>
      <c r="G14250" s="11"/>
      <c r="H14250" s="11"/>
      <c r="I14250" s="15"/>
    </row>
    <row r="14251" spans="1:9" ht="16.5">
      <c r="A14251" s="10" t="b">
        <v>0</v>
      </c>
      <c r="B14251" s="11" t="str">
        <f>IF(D14251&lt;&gt;"",IF(COUNTIF('USPTO TMs'!A:A,D14251)&gt;0,"Yes","No"),"")</f>
        <v/>
      </c>
      <c r="C14251" s="11"/>
      <c r="D14251" s="11"/>
      <c r="E14251" s="11"/>
      <c r="F14251" s="11"/>
      <c r="G14251" s="11"/>
      <c r="H14251" s="11"/>
      <c r="I14251" s="15"/>
    </row>
    <row r="14252" spans="1:9" ht="16.5">
      <c r="A14252" s="10" t="b">
        <v>0</v>
      </c>
      <c r="B14252" s="11" t="str">
        <f>IF(D14252&lt;&gt;"",IF(COUNTIF('USPTO TMs'!A:A,D14252)&gt;0,"Yes","No"),"")</f>
        <v/>
      </c>
      <c r="C14252" s="11"/>
      <c r="D14252" s="11"/>
      <c r="E14252" s="11"/>
      <c r="F14252" s="11"/>
      <c r="G14252" s="11"/>
      <c r="H14252" s="11"/>
      <c r="I14252" s="15"/>
    </row>
    <row r="14253" spans="1:9" ht="16.5">
      <c r="A14253" s="10" t="b">
        <v>0</v>
      </c>
      <c r="B14253" s="11" t="str">
        <f>IF(D14253&lt;&gt;"",IF(COUNTIF('USPTO TMs'!A:A,D14253)&gt;0,"Yes","No"),"")</f>
        <v/>
      </c>
      <c r="C14253" s="11"/>
      <c r="D14253" s="11"/>
      <c r="E14253" s="11"/>
      <c r="F14253" s="11"/>
      <c r="G14253" s="11"/>
      <c r="H14253" s="11"/>
      <c r="I14253" s="15"/>
    </row>
    <row r="14254" spans="1:9" ht="16.5">
      <c r="A14254" s="10" t="b">
        <v>0</v>
      </c>
      <c r="B14254" s="11" t="str">
        <f>IF(D14254&lt;&gt;"",IF(COUNTIF('USPTO TMs'!A:A,D14254)&gt;0,"Yes","No"),"")</f>
        <v/>
      </c>
      <c r="C14254" s="11"/>
      <c r="D14254" s="11"/>
      <c r="E14254" s="11"/>
      <c r="F14254" s="11"/>
      <c r="G14254" s="11"/>
      <c r="H14254" s="11"/>
      <c r="I14254" s="15"/>
    </row>
    <row r="14255" spans="1:9" ht="16.5">
      <c r="A14255" s="10" t="b">
        <v>0</v>
      </c>
      <c r="B14255" s="11" t="str">
        <f>IF(D14255&lt;&gt;"",IF(COUNTIF('USPTO TMs'!A:A,D14255)&gt;0,"Yes","No"),"")</f>
        <v/>
      </c>
      <c r="C14255" s="11"/>
      <c r="D14255" s="11"/>
      <c r="E14255" s="11"/>
      <c r="F14255" s="11"/>
      <c r="G14255" s="11"/>
      <c r="H14255" s="11"/>
      <c r="I14255" s="15"/>
    </row>
    <row r="14256" spans="1:9" ht="16.5">
      <c r="A14256" s="10" t="b">
        <v>0</v>
      </c>
      <c r="B14256" s="11" t="str">
        <f>IF(D14256&lt;&gt;"",IF(COUNTIF('USPTO TMs'!A:A,D14256)&gt;0,"Yes","No"),"")</f>
        <v/>
      </c>
      <c r="C14256" s="11"/>
      <c r="D14256" s="11"/>
      <c r="E14256" s="11"/>
      <c r="F14256" s="11"/>
      <c r="G14256" s="11"/>
      <c r="H14256" s="11"/>
      <c r="I14256" s="15"/>
    </row>
    <row r="14257" spans="1:9" ht="16.5">
      <c r="A14257" s="10" t="b">
        <v>0</v>
      </c>
      <c r="B14257" s="11" t="str">
        <f>IF(D14257&lt;&gt;"",IF(COUNTIF('USPTO TMs'!A:A,D14257)&gt;0,"Yes","No"),"")</f>
        <v/>
      </c>
      <c r="C14257" s="11"/>
      <c r="D14257" s="11"/>
      <c r="E14257" s="11"/>
      <c r="F14257" s="11"/>
      <c r="G14257" s="11"/>
      <c r="H14257" s="11"/>
      <c r="I14257" s="15"/>
    </row>
    <row r="14258" spans="1:9" ht="16.5">
      <c r="A14258" s="10" t="b">
        <v>0</v>
      </c>
      <c r="B14258" s="11" t="str">
        <f>IF(D14258&lt;&gt;"",IF(COUNTIF('USPTO TMs'!A:A,D14258)&gt;0,"Yes","No"),"")</f>
        <v/>
      </c>
      <c r="C14258" s="11"/>
      <c r="D14258" s="11"/>
      <c r="E14258" s="11"/>
      <c r="F14258" s="11"/>
      <c r="G14258" s="11"/>
      <c r="H14258" s="11"/>
      <c r="I14258" s="15"/>
    </row>
    <row r="14259" spans="1:9" ht="16.5">
      <c r="A14259" s="10" t="b">
        <v>0</v>
      </c>
      <c r="B14259" s="11" t="str">
        <f>IF(D14259&lt;&gt;"",IF(COUNTIF('USPTO TMs'!A:A,D14259)&gt;0,"Yes","No"),"")</f>
        <v/>
      </c>
      <c r="C14259" s="11"/>
      <c r="D14259" s="11"/>
      <c r="E14259" s="11"/>
      <c r="F14259" s="11"/>
      <c r="G14259" s="11"/>
      <c r="H14259" s="11"/>
      <c r="I14259" s="15"/>
    </row>
    <row r="14260" spans="1:9" ht="16.5">
      <c r="A14260" s="10" t="b">
        <v>0</v>
      </c>
      <c r="B14260" s="11" t="str">
        <f>IF(D14260&lt;&gt;"",IF(COUNTIF('USPTO TMs'!A:A,D14260)&gt;0,"Yes","No"),"")</f>
        <v/>
      </c>
      <c r="C14260" s="11"/>
      <c r="D14260" s="11"/>
      <c r="E14260" s="11"/>
      <c r="F14260" s="11"/>
      <c r="G14260" s="11"/>
      <c r="H14260" s="11"/>
      <c r="I14260" s="15"/>
    </row>
    <row r="14261" spans="1:9" ht="16.5">
      <c r="A14261" s="10" t="b">
        <v>0</v>
      </c>
      <c r="B14261" s="11" t="str">
        <f>IF(D14261&lt;&gt;"",IF(COUNTIF('USPTO TMs'!A:A,D14261)&gt;0,"Yes","No"),"")</f>
        <v/>
      </c>
      <c r="C14261" s="11"/>
      <c r="D14261" s="11"/>
      <c r="E14261" s="11"/>
      <c r="F14261" s="11"/>
      <c r="G14261" s="11"/>
      <c r="H14261" s="11"/>
      <c r="I14261" s="15"/>
    </row>
    <row r="14262" spans="1:9" ht="16.5">
      <c r="A14262" s="10" t="b">
        <v>0</v>
      </c>
      <c r="B14262" s="11" t="str">
        <f>IF(D14262&lt;&gt;"",IF(COUNTIF('USPTO TMs'!A:A,D14262)&gt;0,"Yes","No"),"")</f>
        <v/>
      </c>
      <c r="C14262" s="11"/>
      <c r="D14262" s="11"/>
      <c r="E14262" s="11"/>
      <c r="F14262" s="11"/>
      <c r="G14262" s="11"/>
      <c r="H14262" s="11"/>
      <c r="I14262" s="15"/>
    </row>
    <row r="14263" spans="1:9" ht="16.5">
      <c r="A14263" s="10" t="b">
        <v>0</v>
      </c>
      <c r="B14263" s="11" t="str">
        <f>IF(D14263&lt;&gt;"",IF(COUNTIF('USPTO TMs'!A:A,D14263)&gt;0,"Yes","No"),"")</f>
        <v/>
      </c>
      <c r="C14263" s="11"/>
      <c r="D14263" s="11"/>
      <c r="E14263" s="11"/>
      <c r="F14263" s="11"/>
      <c r="G14263" s="11"/>
      <c r="H14263" s="11"/>
      <c r="I14263" s="15"/>
    </row>
    <row r="14264" spans="1:9" ht="16.5">
      <c r="A14264" s="10" t="b">
        <v>0</v>
      </c>
      <c r="B14264" s="11" t="str">
        <f>IF(D14264&lt;&gt;"",IF(COUNTIF('USPTO TMs'!A:A,D14264)&gt;0,"Yes","No"),"")</f>
        <v/>
      </c>
      <c r="C14264" s="11"/>
      <c r="D14264" s="11"/>
      <c r="E14264" s="11"/>
      <c r="F14264" s="11"/>
      <c r="G14264" s="11"/>
      <c r="H14264" s="11"/>
      <c r="I14264" s="15"/>
    </row>
    <row r="14265" spans="1:9" ht="16.5">
      <c r="A14265" s="10" t="b">
        <v>0</v>
      </c>
      <c r="B14265" s="11" t="str">
        <f>IF(D14265&lt;&gt;"",IF(COUNTIF('USPTO TMs'!A:A,D14265)&gt;0,"Yes","No"),"")</f>
        <v/>
      </c>
      <c r="C14265" s="11"/>
      <c r="D14265" s="11"/>
      <c r="E14265" s="11"/>
      <c r="F14265" s="11"/>
      <c r="G14265" s="11"/>
      <c r="H14265" s="11"/>
      <c r="I14265" s="15"/>
    </row>
    <row r="14266" spans="1:9" ht="16.5">
      <c r="A14266" s="10" t="b">
        <v>0</v>
      </c>
      <c r="B14266" s="11" t="str">
        <f>IF(D14266&lt;&gt;"",IF(COUNTIF('USPTO TMs'!A:A,D14266)&gt;0,"Yes","No"),"")</f>
        <v/>
      </c>
      <c r="C14266" s="11"/>
      <c r="D14266" s="11"/>
      <c r="E14266" s="11"/>
      <c r="F14266" s="11"/>
      <c r="G14266" s="11"/>
      <c r="H14266" s="11"/>
      <c r="I14266" s="15"/>
    </row>
    <row r="14267" spans="1:9" ht="16.5">
      <c r="A14267" s="10" t="b">
        <v>0</v>
      </c>
      <c r="B14267" s="11" t="str">
        <f>IF(D14267&lt;&gt;"",IF(COUNTIF('USPTO TMs'!A:A,D14267)&gt;0,"Yes","No"),"")</f>
        <v/>
      </c>
      <c r="C14267" s="11"/>
      <c r="D14267" s="11"/>
      <c r="E14267" s="11"/>
      <c r="F14267" s="11"/>
      <c r="G14267" s="11"/>
      <c r="H14267" s="11"/>
      <c r="I14267" s="15"/>
    </row>
    <row r="14268" spans="1:9" ht="16.5">
      <c r="A14268" s="10" t="b">
        <v>0</v>
      </c>
      <c r="B14268" s="11" t="str">
        <f>IF(D14268&lt;&gt;"",IF(COUNTIF('USPTO TMs'!A:A,D14268)&gt;0,"Yes","No"),"")</f>
        <v/>
      </c>
      <c r="C14268" s="11"/>
      <c r="D14268" s="11"/>
      <c r="E14268" s="11"/>
      <c r="F14268" s="11"/>
      <c r="G14268" s="11"/>
      <c r="H14268" s="11"/>
      <c r="I14268" s="15"/>
    </row>
    <row r="14269" spans="1:9" ht="16.5">
      <c r="A14269" s="10" t="b">
        <v>0</v>
      </c>
      <c r="B14269" s="11" t="str">
        <f>IF(D14269&lt;&gt;"",IF(COUNTIF('USPTO TMs'!A:A,D14269)&gt;0,"Yes","No"),"")</f>
        <v/>
      </c>
      <c r="C14269" s="11"/>
      <c r="D14269" s="11"/>
      <c r="E14269" s="11"/>
      <c r="F14269" s="11"/>
      <c r="G14269" s="11"/>
      <c r="H14269" s="11"/>
      <c r="I14269" s="15"/>
    </row>
    <row r="14270" spans="1:9" ht="16.5">
      <c r="A14270" s="10" t="b">
        <v>0</v>
      </c>
      <c r="B14270" s="11" t="str">
        <f>IF(D14270&lt;&gt;"",IF(COUNTIF('USPTO TMs'!A:A,D14270)&gt;0,"Yes","No"),"")</f>
        <v/>
      </c>
      <c r="C14270" s="11"/>
      <c r="D14270" s="11"/>
      <c r="E14270" s="11"/>
      <c r="F14270" s="11"/>
      <c r="G14270" s="11"/>
      <c r="H14270" s="11"/>
      <c r="I14270" s="15"/>
    </row>
    <row r="14271" spans="1:9" ht="16.5">
      <c r="A14271" s="10" t="b">
        <v>0</v>
      </c>
      <c r="B14271" s="11" t="str">
        <f>IF(D14271&lt;&gt;"",IF(COUNTIF('USPTO TMs'!A:A,D14271)&gt;0,"Yes","No"),"")</f>
        <v/>
      </c>
      <c r="C14271" s="11"/>
      <c r="D14271" s="11"/>
      <c r="E14271" s="11"/>
      <c r="F14271" s="11"/>
      <c r="G14271" s="11"/>
      <c r="H14271" s="11"/>
      <c r="I14271" s="15"/>
    </row>
    <row r="14272" spans="1:9" ht="16.5">
      <c r="A14272" s="10" t="b">
        <v>0</v>
      </c>
      <c r="B14272" s="11" t="str">
        <f>IF(D14272&lt;&gt;"",IF(COUNTIF('USPTO TMs'!A:A,D14272)&gt;0,"Yes","No"),"")</f>
        <v/>
      </c>
      <c r="C14272" s="11"/>
      <c r="D14272" s="11"/>
      <c r="E14272" s="11"/>
      <c r="F14272" s="11"/>
      <c r="G14272" s="11"/>
      <c r="H14272" s="11"/>
      <c r="I14272" s="15"/>
    </row>
    <row r="14273" spans="1:9" ht="16.5">
      <c r="A14273" s="10" t="b">
        <v>0</v>
      </c>
      <c r="B14273" s="11" t="str">
        <f>IF(D14273&lt;&gt;"",IF(COUNTIF('USPTO TMs'!A:A,D14273)&gt;0,"Yes","No"),"")</f>
        <v/>
      </c>
      <c r="C14273" s="11"/>
      <c r="D14273" s="11"/>
      <c r="E14273" s="11"/>
      <c r="F14273" s="11"/>
      <c r="G14273" s="11"/>
      <c r="H14273" s="11"/>
      <c r="I14273" s="15"/>
    </row>
    <row r="14274" spans="1:9" ht="16.5">
      <c r="A14274" s="10" t="b">
        <v>0</v>
      </c>
      <c r="B14274" s="11" t="str">
        <f>IF(D14274&lt;&gt;"",IF(COUNTIF('USPTO TMs'!A:A,D14274)&gt;0,"Yes","No"),"")</f>
        <v/>
      </c>
      <c r="C14274" s="11"/>
      <c r="D14274" s="11"/>
      <c r="E14274" s="11"/>
      <c r="F14274" s="11"/>
      <c r="G14274" s="11"/>
      <c r="H14274" s="11"/>
      <c r="I14274" s="15"/>
    </row>
    <row r="14275" spans="1:9" ht="16.5">
      <c r="A14275" s="10" t="b">
        <v>0</v>
      </c>
      <c r="B14275" s="11" t="str">
        <f>IF(D14275&lt;&gt;"",IF(COUNTIF('USPTO TMs'!A:A,D14275)&gt;0,"Yes","No"),"")</f>
        <v/>
      </c>
      <c r="C14275" s="11"/>
      <c r="D14275" s="11"/>
      <c r="E14275" s="11"/>
      <c r="F14275" s="11"/>
      <c r="G14275" s="11"/>
      <c r="H14275" s="11"/>
      <c r="I14275" s="15"/>
    </row>
    <row r="14276" spans="1:9" ht="16.5">
      <c r="A14276" s="10" t="b">
        <v>0</v>
      </c>
      <c r="B14276" s="11" t="str">
        <f>IF(D14276&lt;&gt;"",IF(COUNTIF('USPTO TMs'!A:A,D14276)&gt;0,"Yes","No"),"")</f>
        <v/>
      </c>
      <c r="C14276" s="11"/>
      <c r="D14276" s="11"/>
      <c r="E14276" s="11"/>
      <c r="F14276" s="11"/>
      <c r="G14276" s="11"/>
      <c r="H14276" s="11"/>
      <c r="I14276" s="15"/>
    </row>
    <row r="14277" spans="1:9" ht="16.5">
      <c r="A14277" s="10" t="b">
        <v>0</v>
      </c>
      <c r="B14277" s="11" t="str">
        <f>IF(D14277&lt;&gt;"",IF(COUNTIF('USPTO TMs'!A:A,D14277)&gt;0,"Yes","No"),"")</f>
        <v/>
      </c>
      <c r="C14277" s="11"/>
      <c r="D14277" s="11"/>
      <c r="E14277" s="11"/>
      <c r="F14277" s="11"/>
      <c r="G14277" s="11"/>
      <c r="H14277" s="11"/>
      <c r="I14277" s="15"/>
    </row>
    <row r="14278" spans="1:9" ht="16.5">
      <c r="A14278" s="10" t="b">
        <v>0</v>
      </c>
      <c r="B14278" s="11" t="str">
        <f>IF(D14278&lt;&gt;"",IF(COUNTIF('USPTO TMs'!A:A,D14278)&gt;0,"Yes","No"),"")</f>
        <v/>
      </c>
      <c r="C14278" s="11"/>
      <c r="D14278" s="11"/>
      <c r="E14278" s="11"/>
      <c r="F14278" s="11"/>
      <c r="G14278" s="11"/>
      <c r="H14278" s="11"/>
      <c r="I14278" s="15"/>
    </row>
    <row r="14279" spans="1:9" ht="16.5">
      <c r="A14279" s="10" t="b">
        <v>0</v>
      </c>
      <c r="B14279" s="11" t="str">
        <f>IF(D14279&lt;&gt;"",IF(COUNTIF('USPTO TMs'!A:A,D14279)&gt;0,"Yes","No"),"")</f>
        <v/>
      </c>
      <c r="C14279" s="11"/>
      <c r="D14279" s="11"/>
      <c r="E14279" s="11"/>
      <c r="F14279" s="11"/>
      <c r="G14279" s="11"/>
      <c r="H14279" s="11"/>
      <c r="I14279" s="15"/>
    </row>
    <row r="14280" spans="1:9" ht="16.5">
      <c r="A14280" s="10" t="b">
        <v>0</v>
      </c>
      <c r="B14280" s="11" t="str">
        <f>IF(D14280&lt;&gt;"",IF(COUNTIF('USPTO TMs'!A:A,D14280)&gt;0,"Yes","No"),"")</f>
        <v/>
      </c>
      <c r="C14280" s="11"/>
      <c r="D14280" s="11"/>
      <c r="E14280" s="11"/>
      <c r="F14280" s="11"/>
      <c r="G14280" s="11"/>
      <c r="H14280" s="11"/>
      <c r="I14280" s="15"/>
    </row>
    <row r="14281" spans="1:9" ht="16.5">
      <c r="A14281" s="10" t="b">
        <v>0</v>
      </c>
      <c r="B14281" s="11" t="str">
        <f>IF(D14281&lt;&gt;"",IF(COUNTIF('USPTO TMs'!A:A,D14281)&gt;0,"Yes","No"),"")</f>
        <v/>
      </c>
      <c r="C14281" s="11"/>
      <c r="D14281" s="11"/>
      <c r="E14281" s="11"/>
      <c r="F14281" s="11"/>
      <c r="G14281" s="11"/>
      <c r="H14281" s="11"/>
      <c r="I14281" s="15"/>
    </row>
    <row r="14282" spans="1:9" ht="16.5">
      <c r="A14282" s="10" t="b">
        <v>0</v>
      </c>
      <c r="B14282" s="11" t="str">
        <f>IF(D14282&lt;&gt;"",IF(COUNTIF('USPTO TMs'!A:A,D14282)&gt;0,"Yes","No"),"")</f>
        <v/>
      </c>
      <c r="C14282" s="11"/>
      <c r="D14282" s="11"/>
      <c r="E14282" s="11"/>
      <c r="F14282" s="11"/>
      <c r="G14282" s="11"/>
      <c r="H14282" s="11"/>
      <c r="I14282" s="15"/>
    </row>
    <row r="14283" spans="1:9" ht="16.5">
      <c r="A14283" s="10" t="b">
        <v>0</v>
      </c>
      <c r="B14283" s="11" t="str">
        <f>IF(D14283&lt;&gt;"",IF(COUNTIF('USPTO TMs'!A:A,D14283)&gt;0,"Yes","No"),"")</f>
        <v/>
      </c>
      <c r="C14283" s="11"/>
      <c r="D14283" s="11"/>
      <c r="E14283" s="11"/>
      <c r="F14283" s="11"/>
      <c r="G14283" s="11"/>
      <c r="H14283" s="11"/>
      <c r="I14283" s="15"/>
    </row>
    <row r="14284" spans="1:9" ht="16.5">
      <c r="A14284" s="10" t="b">
        <v>0</v>
      </c>
      <c r="B14284" s="11" t="str">
        <f>IF(D14284&lt;&gt;"",IF(COUNTIF('USPTO TMs'!A:A,D14284)&gt;0,"Yes","No"),"")</f>
        <v/>
      </c>
      <c r="C14284" s="11"/>
      <c r="D14284" s="11"/>
      <c r="E14284" s="11"/>
      <c r="F14284" s="11"/>
      <c r="G14284" s="11"/>
      <c r="H14284" s="11"/>
      <c r="I14284" s="15"/>
    </row>
    <row r="14285" spans="1:9" ht="16.5">
      <c r="A14285" s="10" t="b">
        <v>0</v>
      </c>
      <c r="B14285" s="11" t="str">
        <f>IF(D14285&lt;&gt;"",IF(COUNTIF('USPTO TMs'!A:A,D14285)&gt;0,"Yes","No"),"")</f>
        <v/>
      </c>
      <c r="C14285" s="11"/>
      <c r="D14285" s="11"/>
      <c r="E14285" s="11"/>
      <c r="F14285" s="11"/>
      <c r="G14285" s="11"/>
      <c r="H14285" s="11"/>
      <c r="I14285" s="15"/>
    </row>
    <row r="14286" spans="1:9" ht="16.5">
      <c r="A14286" s="10" t="b">
        <v>0</v>
      </c>
      <c r="B14286" s="11" t="str">
        <f>IF(D14286&lt;&gt;"",IF(COUNTIF('USPTO TMs'!A:A,D14286)&gt;0,"Yes","No"),"")</f>
        <v/>
      </c>
      <c r="C14286" s="11"/>
      <c r="D14286" s="11"/>
      <c r="E14286" s="11"/>
      <c r="F14286" s="11"/>
      <c r="G14286" s="11"/>
      <c r="H14286" s="11"/>
      <c r="I14286" s="15"/>
    </row>
    <row r="14287" spans="1:9" ht="16.5">
      <c r="A14287" s="10" t="b">
        <v>0</v>
      </c>
      <c r="B14287" s="11" t="str">
        <f>IF(D14287&lt;&gt;"",IF(COUNTIF('USPTO TMs'!A:A,D14287)&gt;0,"Yes","No"),"")</f>
        <v/>
      </c>
      <c r="C14287" s="11"/>
      <c r="D14287" s="11"/>
      <c r="E14287" s="11"/>
      <c r="F14287" s="11"/>
      <c r="G14287" s="11"/>
      <c r="H14287" s="11"/>
      <c r="I14287" s="15"/>
    </row>
    <row r="14288" spans="1:9" ht="16.5">
      <c r="A14288" s="10" t="b">
        <v>0</v>
      </c>
      <c r="B14288" s="11" t="str">
        <f>IF(D14288&lt;&gt;"",IF(COUNTIF('USPTO TMs'!A:A,D14288)&gt;0,"Yes","No"),"")</f>
        <v/>
      </c>
      <c r="C14288" s="11"/>
      <c r="D14288" s="11"/>
      <c r="E14288" s="11"/>
      <c r="F14288" s="11"/>
      <c r="G14288" s="11"/>
      <c r="H14288" s="11"/>
      <c r="I14288" s="15"/>
    </row>
    <row r="14289" spans="1:9" ht="16.5">
      <c r="A14289" s="10" t="b">
        <v>0</v>
      </c>
      <c r="B14289" s="11" t="str">
        <f>IF(D14289&lt;&gt;"",IF(COUNTIF('USPTO TMs'!A:A,D14289)&gt;0,"Yes","No"),"")</f>
        <v/>
      </c>
      <c r="C14289" s="11"/>
      <c r="D14289" s="11"/>
      <c r="E14289" s="11"/>
      <c r="F14289" s="11"/>
      <c r="G14289" s="11"/>
      <c r="H14289" s="11"/>
      <c r="I14289" s="15"/>
    </row>
    <row r="14290" spans="1:9" ht="16.5">
      <c r="A14290" s="10" t="b">
        <v>0</v>
      </c>
      <c r="B14290" s="11" t="str">
        <f>IF(D14290&lt;&gt;"",IF(COUNTIF('USPTO TMs'!A:A,D14290)&gt;0,"Yes","No"),"")</f>
        <v/>
      </c>
      <c r="C14290" s="11"/>
      <c r="D14290" s="11"/>
      <c r="E14290" s="11"/>
      <c r="F14290" s="11"/>
      <c r="G14290" s="11"/>
      <c r="H14290" s="11"/>
      <c r="I14290" s="15"/>
    </row>
    <row r="14291" spans="1:9" ht="16.5">
      <c r="A14291" s="10" t="b">
        <v>0</v>
      </c>
      <c r="B14291" s="11" t="str">
        <f>IF(D14291&lt;&gt;"",IF(COUNTIF('USPTO TMs'!A:A,D14291)&gt;0,"Yes","No"),"")</f>
        <v/>
      </c>
      <c r="C14291" s="11"/>
      <c r="D14291" s="11"/>
      <c r="E14291" s="11"/>
      <c r="F14291" s="11"/>
      <c r="G14291" s="11"/>
      <c r="H14291" s="11"/>
      <c r="I14291" s="15"/>
    </row>
    <row r="14292" spans="1:9" ht="16.5">
      <c r="A14292" s="10" t="b">
        <v>0</v>
      </c>
      <c r="B14292" s="11" t="str">
        <f>IF(D14292&lt;&gt;"",IF(COUNTIF('USPTO TMs'!A:A,D14292)&gt;0,"Yes","No"),"")</f>
        <v/>
      </c>
      <c r="C14292" s="11"/>
      <c r="D14292" s="11"/>
      <c r="E14292" s="11"/>
      <c r="F14292" s="11"/>
      <c r="G14292" s="11"/>
      <c r="H14292" s="11"/>
      <c r="I14292" s="15"/>
    </row>
    <row r="14293" spans="1:9" ht="16.5">
      <c r="A14293" s="10" t="b">
        <v>0</v>
      </c>
      <c r="B14293" s="11" t="str">
        <f>IF(D14293&lt;&gt;"",IF(COUNTIF('USPTO TMs'!A:A,D14293)&gt;0,"Yes","No"),"")</f>
        <v/>
      </c>
      <c r="C14293" s="11"/>
      <c r="D14293" s="11"/>
      <c r="E14293" s="11"/>
      <c r="F14293" s="11"/>
      <c r="G14293" s="11"/>
      <c r="H14293" s="11"/>
      <c r="I14293" s="15"/>
    </row>
    <row r="14294" spans="1:9" ht="16.5">
      <c r="A14294" s="10" t="b">
        <v>0</v>
      </c>
      <c r="B14294" s="11" t="str">
        <f>IF(D14294&lt;&gt;"",IF(COUNTIF('USPTO TMs'!A:A,D14294)&gt;0,"Yes","No"),"")</f>
        <v/>
      </c>
      <c r="C14294" s="11"/>
      <c r="D14294" s="11"/>
      <c r="E14294" s="11"/>
      <c r="F14294" s="11"/>
      <c r="G14294" s="11"/>
      <c r="H14294" s="11"/>
      <c r="I14294" s="15"/>
    </row>
    <row r="14295" spans="1:9" ht="16.5">
      <c r="A14295" s="10" t="b">
        <v>0</v>
      </c>
      <c r="B14295" s="11" t="str">
        <f>IF(D14295&lt;&gt;"",IF(COUNTIF('USPTO TMs'!A:A,D14295)&gt;0,"Yes","No"),"")</f>
        <v/>
      </c>
      <c r="C14295" s="11"/>
      <c r="D14295" s="11"/>
      <c r="E14295" s="11"/>
      <c r="F14295" s="11"/>
      <c r="G14295" s="11"/>
      <c r="H14295" s="11"/>
      <c r="I14295" s="15"/>
    </row>
    <row r="14296" spans="1:9" ht="16.5">
      <c r="A14296" s="10" t="b">
        <v>0</v>
      </c>
      <c r="B14296" s="11" t="str">
        <f>IF(D14296&lt;&gt;"",IF(COUNTIF('USPTO TMs'!A:A,D14296)&gt;0,"Yes","No"),"")</f>
        <v/>
      </c>
      <c r="C14296" s="11"/>
      <c r="D14296" s="11"/>
      <c r="E14296" s="11"/>
      <c r="F14296" s="11"/>
      <c r="G14296" s="11"/>
      <c r="H14296" s="11"/>
      <c r="I14296" s="15"/>
    </row>
    <row r="14297" spans="1:9" ht="16.5">
      <c r="A14297" s="10" t="b">
        <v>0</v>
      </c>
      <c r="B14297" s="11" t="str">
        <f>IF(D14297&lt;&gt;"",IF(COUNTIF('USPTO TMs'!A:A,D14297)&gt;0,"Yes","No"),"")</f>
        <v/>
      </c>
      <c r="C14297" s="11"/>
      <c r="D14297" s="11"/>
      <c r="E14297" s="11"/>
      <c r="F14297" s="11"/>
      <c r="G14297" s="11"/>
      <c r="H14297" s="11"/>
      <c r="I14297" s="15"/>
    </row>
    <row r="14298" spans="1:9" ht="16.5">
      <c r="A14298" s="10" t="b">
        <v>0</v>
      </c>
      <c r="B14298" s="11" t="str">
        <f>IF(D14298&lt;&gt;"",IF(COUNTIF('USPTO TMs'!A:A,D14298)&gt;0,"Yes","No"),"")</f>
        <v/>
      </c>
      <c r="C14298" s="11"/>
      <c r="D14298" s="11"/>
      <c r="E14298" s="11"/>
      <c r="F14298" s="11"/>
      <c r="G14298" s="11"/>
      <c r="H14298" s="11"/>
      <c r="I14298" s="15"/>
    </row>
    <row r="14299" spans="1:9" ht="16.5">
      <c r="A14299" s="10" t="b">
        <v>0</v>
      </c>
      <c r="B14299" s="11" t="str">
        <f>IF(D14299&lt;&gt;"",IF(COUNTIF('USPTO TMs'!A:A,D14299)&gt;0,"Yes","No"),"")</f>
        <v/>
      </c>
      <c r="C14299" s="11"/>
      <c r="D14299" s="11"/>
      <c r="E14299" s="11"/>
      <c r="F14299" s="11"/>
      <c r="G14299" s="11"/>
      <c r="H14299" s="11"/>
      <c r="I14299" s="15"/>
    </row>
    <row r="14300" spans="1:9" ht="16.5">
      <c r="A14300" s="10" t="b">
        <v>0</v>
      </c>
      <c r="B14300" s="11" t="str">
        <f>IF(D14300&lt;&gt;"",IF(COUNTIF('USPTO TMs'!A:A,D14300)&gt;0,"Yes","No"),"")</f>
        <v/>
      </c>
      <c r="C14300" s="11"/>
      <c r="D14300" s="11"/>
      <c r="E14300" s="11"/>
      <c r="F14300" s="11"/>
      <c r="G14300" s="11"/>
      <c r="H14300" s="11"/>
      <c r="I14300" s="15"/>
    </row>
    <row r="14301" spans="1:9" ht="16.5">
      <c r="A14301" s="10" t="b">
        <v>0</v>
      </c>
      <c r="B14301" s="11" t="str">
        <f>IF(D14301&lt;&gt;"",IF(COUNTIF('USPTO TMs'!A:A,D14301)&gt;0,"Yes","No"),"")</f>
        <v/>
      </c>
      <c r="C14301" s="11"/>
      <c r="D14301" s="11"/>
      <c r="E14301" s="11"/>
      <c r="F14301" s="11"/>
      <c r="G14301" s="11"/>
      <c r="H14301" s="11"/>
      <c r="I14301" s="15"/>
    </row>
    <row r="14302" spans="1:9" ht="16.5">
      <c r="A14302" s="10" t="b">
        <v>0</v>
      </c>
      <c r="B14302" s="11" t="str">
        <f>IF(D14302&lt;&gt;"",IF(COUNTIF('USPTO TMs'!A:A,D14302)&gt;0,"Yes","No"),"")</f>
        <v/>
      </c>
      <c r="C14302" s="11"/>
      <c r="D14302" s="11"/>
      <c r="E14302" s="11"/>
      <c r="F14302" s="11"/>
      <c r="G14302" s="11"/>
      <c r="H14302" s="11"/>
      <c r="I14302" s="15"/>
    </row>
    <row r="14303" spans="1:9" ht="16.5">
      <c r="A14303" s="10" t="b">
        <v>0</v>
      </c>
      <c r="B14303" s="11" t="str">
        <f>IF(D14303&lt;&gt;"",IF(COUNTIF('USPTO TMs'!A:A,D14303)&gt;0,"Yes","No"),"")</f>
        <v/>
      </c>
      <c r="C14303" s="11"/>
      <c r="D14303" s="11"/>
      <c r="E14303" s="11"/>
      <c r="F14303" s="11"/>
      <c r="G14303" s="11"/>
      <c r="H14303" s="11"/>
      <c r="I14303" s="15"/>
    </row>
    <row r="14304" spans="1:9" ht="16.5">
      <c r="A14304" s="10" t="b">
        <v>0</v>
      </c>
      <c r="B14304" s="11" t="str">
        <f>IF(D14304&lt;&gt;"",IF(COUNTIF('USPTO TMs'!A:A,D14304)&gt;0,"Yes","No"),"")</f>
        <v/>
      </c>
      <c r="C14304" s="11"/>
      <c r="D14304" s="11"/>
      <c r="E14304" s="11"/>
      <c r="F14304" s="11"/>
      <c r="G14304" s="11"/>
      <c r="H14304" s="11"/>
      <c r="I14304" s="15"/>
    </row>
    <row r="14305" spans="1:9" ht="16.5">
      <c r="A14305" s="10" t="b">
        <v>0</v>
      </c>
      <c r="B14305" s="11" t="str">
        <f>IF(D14305&lt;&gt;"",IF(COUNTIF('USPTO TMs'!A:A,D14305)&gt;0,"Yes","No"),"")</f>
        <v/>
      </c>
      <c r="C14305" s="11"/>
      <c r="D14305" s="11"/>
      <c r="E14305" s="11"/>
      <c r="F14305" s="11"/>
      <c r="G14305" s="11"/>
      <c r="H14305" s="11"/>
      <c r="I14305" s="15"/>
    </row>
    <row r="14306" spans="1:9" ht="16.5">
      <c r="A14306" s="10" t="b">
        <v>0</v>
      </c>
      <c r="B14306" s="11" t="str">
        <f>IF(D14306&lt;&gt;"",IF(COUNTIF('USPTO TMs'!A:A,D14306)&gt;0,"Yes","No"),"")</f>
        <v/>
      </c>
      <c r="C14306" s="11"/>
      <c r="D14306" s="11"/>
      <c r="E14306" s="11"/>
      <c r="F14306" s="11"/>
      <c r="G14306" s="11"/>
      <c r="H14306" s="11"/>
      <c r="I14306" s="15"/>
    </row>
    <row r="14307" spans="1:9" ht="16.5">
      <c r="A14307" s="10" t="b">
        <v>0</v>
      </c>
      <c r="B14307" s="11" t="str">
        <f>IF(D14307&lt;&gt;"",IF(COUNTIF('USPTO TMs'!A:A,D14307)&gt;0,"Yes","No"),"")</f>
        <v/>
      </c>
      <c r="C14307" s="11"/>
      <c r="D14307" s="11"/>
      <c r="E14307" s="11"/>
      <c r="F14307" s="11"/>
      <c r="G14307" s="11"/>
      <c r="H14307" s="11"/>
      <c r="I14307" s="15"/>
    </row>
    <row r="14308" spans="1:9" ht="16.5">
      <c r="A14308" s="10" t="b">
        <v>0</v>
      </c>
      <c r="B14308" s="11" t="str">
        <f>IF(D14308&lt;&gt;"",IF(COUNTIF('USPTO TMs'!A:A,D14308)&gt;0,"Yes","No"),"")</f>
        <v/>
      </c>
      <c r="C14308" s="11"/>
      <c r="D14308" s="11"/>
      <c r="E14308" s="11"/>
      <c r="F14308" s="11"/>
      <c r="G14308" s="11"/>
      <c r="H14308" s="11"/>
      <c r="I14308" s="15"/>
    </row>
    <row r="14309" spans="1:9" ht="16.5">
      <c r="A14309" s="10" t="b">
        <v>0</v>
      </c>
      <c r="B14309" s="11" t="str">
        <f>IF(D14309&lt;&gt;"",IF(COUNTIF('USPTO TMs'!A:A,D14309)&gt;0,"Yes","No"),"")</f>
        <v/>
      </c>
      <c r="C14309" s="11"/>
      <c r="D14309" s="11"/>
      <c r="E14309" s="11"/>
      <c r="F14309" s="11"/>
      <c r="G14309" s="11"/>
      <c r="H14309" s="11"/>
      <c r="I14309" s="15"/>
    </row>
    <row r="14310" spans="1:9" ht="16.5">
      <c r="A14310" s="10" t="b">
        <v>0</v>
      </c>
      <c r="B14310" s="11" t="str">
        <f>IF(D14310&lt;&gt;"",IF(COUNTIF('USPTO TMs'!A:A,D14310)&gt;0,"Yes","No"),"")</f>
        <v/>
      </c>
      <c r="C14310" s="11"/>
      <c r="D14310" s="11"/>
      <c r="E14310" s="11"/>
      <c r="F14310" s="11"/>
      <c r="G14310" s="11"/>
      <c r="H14310" s="11"/>
      <c r="I14310" s="15"/>
    </row>
    <row r="14311" spans="1:9" ht="16.5">
      <c r="A14311" s="10" t="b">
        <v>0</v>
      </c>
      <c r="B14311" s="11" t="str">
        <f>IF(D14311&lt;&gt;"",IF(COUNTIF('USPTO TMs'!A:A,D14311)&gt;0,"Yes","No"),"")</f>
        <v/>
      </c>
      <c r="C14311" s="11"/>
      <c r="D14311" s="11"/>
      <c r="E14311" s="11"/>
      <c r="F14311" s="11"/>
      <c r="G14311" s="11"/>
      <c r="H14311" s="11"/>
      <c r="I14311" s="15"/>
    </row>
    <row r="14312" spans="1:9" ht="16.5">
      <c r="A14312" s="10" t="b">
        <v>0</v>
      </c>
      <c r="B14312" s="11" t="str">
        <f>IF(D14312&lt;&gt;"",IF(COUNTIF('USPTO TMs'!A:A,D14312)&gt;0,"Yes","No"),"")</f>
        <v/>
      </c>
      <c r="C14312" s="11"/>
      <c r="D14312" s="11"/>
      <c r="E14312" s="11"/>
      <c r="F14312" s="11"/>
      <c r="G14312" s="11"/>
      <c r="H14312" s="11"/>
      <c r="I14312" s="15"/>
    </row>
    <row r="14313" spans="1:9" ht="16.5">
      <c r="A14313" s="10" t="b">
        <v>0</v>
      </c>
      <c r="B14313" s="11" t="str">
        <f>IF(D14313&lt;&gt;"",IF(COUNTIF('USPTO TMs'!A:A,D14313)&gt;0,"Yes","No"),"")</f>
        <v/>
      </c>
      <c r="C14313" s="11"/>
      <c r="D14313" s="11"/>
      <c r="E14313" s="11"/>
      <c r="F14313" s="11"/>
      <c r="G14313" s="11"/>
      <c r="H14313" s="11"/>
      <c r="I14313" s="15"/>
    </row>
    <row r="14314" spans="1:9" ht="16.5">
      <c r="A14314" s="10" t="b">
        <v>0</v>
      </c>
      <c r="B14314" s="11" t="str">
        <f>IF(D14314&lt;&gt;"",IF(COUNTIF('USPTO TMs'!A:A,D14314)&gt;0,"Yes","No"),"")</f>
        <v/>
      </c>
      <c r="C14314" s="11"/>
      <c r="D14314" s="11"/>
      <c r="E14314" s="11"/>
      <c r="F14314" s="11"/>
      <c r="G14314" s="11"/>
      <c r="H14314" s="11"/>
      <c r="I14314" s="15"/>
    </row>
    <row r="14315" spans="1:9" ht="16.5">
      <c r="A14315" s="10" t="b">
        <v>0</v>
      </c>
      <c r="B14315" s="11" t="str">
        <f>IF(D14315&lt;&gt;"",IF(COUNTIF('USPTO TMs'!A:A,D14315)&gt;0,"Yes","No"),"")</f>
        <v/>
      </c>
      <c r="C14315" s="11"/>
      <c r="D14315" s="11"/>
      <c r="E14315" s="11"/>
      <c r="F14315" s="11"/>
      <c r="G14315" s="11"/>
      <c r="H14315" s="11"/>
      <c r="I14315" s="15"/>
    </row>
    <row r="14316" spans="1:9" ht="16.5">
      <c r="A14316" s="10" t="b">
        <v>0</v>
      </c>
      <c r="B14316" s="11" t="str">
        <f>IF(D14316&lt;&gt;"",IF(COUNTIF('USPTO TMs'!A:A,D14316)&gt;0,"Yes","No"),"")</f>
        <v/>
      </c>
      <c r="C14316" s="11"/>
      <c r="D14316" s="11"/>
      <c r="E14316" s="11"/>
      <c r="F14316" s="11"/>
      <c r="G14316" s="11"/>
      <c r="H14316" s="11"/>
      <c r="I14316" s="15"/>
    </row>
    <row r="14317" spans="1:9" ht="16.5">
      <c r="A14317" s="10" t="b">
        <v>0</v>
      </c>
      <c r="B14317" s="11" t="str">
        <f>IF(D14317&lt;&gt;"",IF(COUNTIF('USPTO TMs'!A:A,D14317)&gt;0,"Yes","No"),"")</f>
        <v/>
      </c>
      <c r="C14317" s="11"/>
      <c r="D14317" s="11"/>
      <c r="E14317" s="11"/>
      <c r="F14317" s="11"/>
      <c r="G14317" s="11"/>
      <c r="H14317" s="11"/>
      <c r="I14317" s="15"/>
    </row>
    <row r="14318" spans="1:9" ht="16.5">
      <c r="A14318" s="10" t="b">
        <v>0</v>
      </c>
      <c r="B14318" s="11" t="str">
        <f>IF(D14318&lt;&gt;"",IF(COUNTIF('USPTO TMs'!A:A,D14318)&gt;0,"Yes","No"),"")</f>
        <v/>
      </c>
      <c r="C14318" s="11"/>
      <c r="D14318" s="11"/>
      <c r="E14318" s="11"/>
      <c r="F14318" s="11"/>
      <c r="G14318" s="11"/>
      <c r="H14318" s="11"/>
      <c r="I14318" s="15"/>
    </row>
    <row r="14319" spans="1:9" ht="16.5">
      <c r="A14319" s="10" t="b">
        <v>0</v>
      </c>
      <c r="B14319" s="11" t="str">
        <f>IF(D14319&lt;&gt;"",IF(COUNTIF('USPTO TMs'!A:A,D14319)&gt;0,"Yes","No"),"")</f>
        <v/>
      </c>
      <c r="C14319" s="11"/>
      <c r="D14319" s="11"/>
      <c r="E14319" s="11"/>
      <c r="F14319" s="11"/>
      <c r="G14319" s="11"/>
      <c r="H14319" s="11"/>
      <c r="I14319" s="15"/>
    </row>
    <row r="14320" spans="1:9" ht="16.5">
      <c r="A14320" s="10" t="b">
        <v>0</v>
      </c>
      <c r="B14320" s="11" t="str">
        <f>IF(D14320&lt;&gt;"",IF(COUNTIF('USPTO TMs'!A:A,D14320)&gt;0,"Yes","No"),"")</f>
        <v/>
      </c>
      <c r="C14320" s="11"/>
      <c r="D14320" s="11"/>
      <c r="E14320" s="11"/>
      <c r="F14320" s="11"/>
      <c r="G14320" s="11"/>
      <c r="H14320" s="11"/>
      <c r="I14320" s="15"/>
    </row>
    <row r="14321" spans="1:9" ht="16.5">
      <c r="A14321" s="10" t="b">
        <v>0</v>
      </c>
      <c r="B14321" s="11" t="str">
        <f>IF(D14321&lt;&gt;"",IF(COUNTIF('USPTO TMs'!A:A,D14321)&gt;0,"Yes","No"),"")</f>
        <v/>
      </c>
      <c r="C14321" s="11"/>
      <c r="D14321" s="11"/>
      <c r="E14321" s="11"/>
      <c r="F14321" s="11"/>
      <c r="G14321" s="11"/>
      <c r="H14321" s="11"/>
      <c r="I14321" s="15"/>
    </row>
    <row r="14322" spans="1:9" ht="16.5">
      <c r="A14322" s="10" t="b">
        <v>0</v>
      </c>
      <c r="B14322" s="11" t="str">
        <f>IF(D14322&lt;&gt;"",IF(COUNTIF('USPTO TMs'!A:A,D14322)&gt;0,"Yes","No"),"")</f>
        <v/>
      </c>
      <c r="C14322" s="11"/>
      <c r="D14322" s="11"/>
      <c r="E14322" s="11"/>
      <c r="F14322" s="11"/>
      <c r="G14322" s="11"/>
      <c r="H14322" s="11"/>
      <c r="I14322" s="15"/>
    </row>
    <row r="14323" spans="1:9" ht="16.5">
      <c r="A14323" s="10" t="b">
        <v>0</v>
      </c>
      <c r="B14323" s="11" t="str">
        <f>IF(D14323&lt;&gt;"",IF(COUNTIF('USPTO TMs'!A:A,D14323)&gt;0,"Yes","No"),"")</f>
        <v/>
      </c>
      <c r="C14323" s="11"/>
      <c r="D14323" s="11"/>
      <c r="E14323" s="11"/>
      <c r="F14323" s="11"/>
      <c r="G14323" s="11"/>
      <c r="H14323" s="11"/>
      <c r="I14323" s="15"/>
    </row>
    <row r="14324" spans="1:9" ht="16.5">
      <c r="A14324" s="10" t="b">
        <v>0</v>
      </c>
      <c r="B14324" s="11" t="str">
        <f>IF(D14324&lt;&gt;"",IF(COUNTIF('USPTO TMs'!A:A,D14324)&gt;0,"Yes","No"),"")</f>
        <v/>
      </c>
      <c r="C14324" s="11"/>
      <c r="D14324" s="11"/>
      <c r="E14324" s="11"/>
      <c r="F14324" s="11"/>
      <c r="G14324" s="11"/>
      <c r="H14324" s="11"/>
      <c r="I14324" s="15"/>
    </row>
    <row r="14325" spans="1:9" ht="16.5">
      <c r="A14325" s="10" t="b">
        <v>0</v>
      </c>
      <c r="B14325" s="11" t="str">
        <f>IF(D14325&lt;&gt;"",IF(COUNTIF('USPTO TMs'!A:A,D14325)&gt;0,"Yes","No"),"")</f>
        <v/>
      </c>
      <c r="C14325" s="11"/>
      <c r="D14325" s="11"/>
      <c r="E14325" s="11"/>
      <c r="F14325" s="11"/>
      <c r="G14325" s="11"/>
      <c r="H14325" s="11"/>
      <c r="I14325" s="15"/>
    </row>
    <row r="14326" spans="1:9" ht="16.5">
      <c r="A14326" s="10" t="b">
        <v>0</v>
      </c>
      <c r="B14326" s="11" t="str">
        <f>IF(D14326&lt;&gt;"",IF(COUNTIF('USPTO TMs'!A:A,D14326)&gt;0,"Yes","No"),"")</f>
        <v/>
      </c>
      <c r="C14326" s="11"/>
      <c r="D14326" s="11"/>
      <c r="E14326" s="11"/>
      <c r="F14326" s="11"/>
      <c r="G14326" s="11"/>
      <c r="H14326" s="11"/>
      <c r="I14326" s="15"/>
    </row>
    <row r="14327" spans="1:9" ht="16.5">
      <c r="A14327" s="10" t="b">
        <v>0</v>
      </c>
      <c r="B14327" s="11" t="str">
        <f>IF(D14327&lt;&gt;"",IF(COUNTIF('USPTO TMs'!A:A,D14327)&gt;0,"Yes","No"),"")</f>
        <v/>
      </c>
      <c r="C14327" s="11"/>
      <c r="D14327" s="11"/>
      <c r="E14327" s="11"/>
      <c r="F14327" s="11"/>
      <c r="G14327" s="11"/>
      <c r="H14327" s="11"/>
      <c r="I14327" s="15"/>
    </row>
    <row r="14328" spans="1:9" ht="16.5">
      <c r="A14328" s="10" t="b">
        <v>0</v>
      </c>
      <c r="B14328" s="11" t="str">
        <f>IF(D14328&lt;&gt;"",IF(COUNTIF('USPTO TMs'!A:A,D14328)&gt;0,"Yes","No"),"")</f>
        <v/>
      </c>
      <c r="C14328" s="11"/>
      <c r="D14328" s="11"/>
      <c r="E14328" s="11"/>
      <c r="F14328" s="11"/>
      <c r="G14328" s="11"/>
      <c r="H14328" s="11"/>
      <c r="I14328" s="15"/>
    </row>
    <row r="14329" spans="1:9" ht="16.5">
      <c r="A14329" s="10" t="b">
        <v>0</v>
      </c>
      <c r="B14329" s="11" t="str">
        <f>IF(D14329&lt;&gt;"",IF(COUNTIF('USPTO TMs'!A:A,D14329)&gt;0,"Yes","No"),"")</f>
        <v/>
      </c>
      <c r="C14329" s="11"/>
      <c r="D14329" s="11"/>
      <c r="E14329" s="11"/>
      <c r="F14329" s="11"/>
      <c r="G14329" s="11"/>
      <c r="H14329" s="11"/>
      <c r="I14329" s="15"/>
    </row>
    <row r="14330" spans="1:9" ht="16.5">
      <c r="A14330" s="10" t="b">
        <v>0</v>
      </c>
      <c r="B14330" s="11" t="str">
        <f>IF(D14330&lt;&gt;"",IF(COUNTIF('USPTO TMs'!A:A,D14330)&gt;0,"Yes","No"),"")</f>
        <v/>
      </c>
      <c r="C14330" s="11"/>
      <c r="D14330" s="11"/>
      <c r="E14330" s="11"/>
      <c r="F14330" s="11"/>
      <c r="G14330" s="11"/>
      <c r="H14330" s="11"/>
      <c r="I14330" s="15"/>
    </row>
    <row r="14331" spans="1:9" ht="16.5">
      <c r="A14331" s="10" t="b">
        <v>0</v>
      </c>
      <c r="B14331" s="11" t="str">
        <f>IF(D14331&lt;&gt;"",IF(COUNTIF('USPTO TMs'!A:A,D14331)&gt;0,"Yes","No"),"")</f>
        <v/>
      </c>
      <c r="C14331" s="11"/>
      <c r="D14331" s="11"/>
      <c r="E14331" s="11"/>
      <c r="F14331" s="11"/>
      <c r="G14331" s="11"/>
      <c r="H14331" s="11"/>
      <c r="I14331" s="15"/>
    </row>
    <row r="14332" spans="1:9" ht="16.5">
      <c r="A14332" s="10" t="b">
        <v>0</v>
      </c>
      <c r="B14332" s="11" t="str">
        <f>IF(D14332&lt;&gt;"",IF(COUNTIF('USPTO TMs'!A:A,D14332)&gt;0,"Yes","No"),"")</f>
        <v/>
      </c>
      <c r="C14332" s="11"/>
      <c r="D14332" s="11"/>
      <c r="E14332" s="11"/>
      <c r="F14332" s="11"/>
      <c r="G14332" s="11"/>
      <c r="H14332" s="11"/>
      <c r="I14332" s="15"/>
    </row>
    <row r="14333" spans="1:9" ht="16.5">
      <c r="A14333" s="10" t="b">
        <v>0</v>
      </c>
      <c r="B14333" s="11" t="str">
        <f>IF(D14333&lt;&gt;"",IF(COUNTIF('USPTO TMs'!A:A,D14333)&gt;0,"Yes","No"),"")</f>
        <v/>
      </c>
      <c r="C14333" s="11"/>
      <c r="D14333" s="11"/>
      <c r="E14333" s="11"/>
      <c r="F14333" s="11"/>
      <c r="G14333" s="11"/>
      <c r="H14333" s="11"/>
      <c r="I14333" s="15"/>
    </row>
    <row r="14334" spans="1:9" ht="16.5">
      <c r="A14334" s="10" t="b">
        <v>0</v>
      </c>
      <c r="B14334" s="11" t="str">
        <f>IF(D14334&lt;&gt;"",IF(COUNTIF('USPTO TMs'!A:A,D14334)&gt;0,"Yes","No"),"")</f>
        <v/>
      </c>
      <c r="C14334" s="11"/>
      <c r="D14334" s="11"/>
      <c r="E14334" s="11"/>
      <c r="F14334" s="11"/>
      <c r="G14334" s="11"/>
      <c r="H14334" s="11"/>
      <c r="I14334" s="15"/>
    </row>
    <row r="14335" spans="1:9" ht="16.5">
      <c r="A14335" s="10" t="b">
        <v>0</v>
      </c>
      <c r="B14335" s="11" t="str">
        <f>IF(D14335&lt;&gt;"",IF(COUNTIF('USPTO TMs'!A:A,D14335)&gt;0,"Yes","No"),"")</f>
        <v/>
      </c>
      <c r="C14335" s="11"/>
      <c r="D14335" s="11"/>
      <c r="E14335" s="11"/>
      <c r="F14335" s="11"/>
      <c r="G14335" s="11"/>
      <c r="H14335" s="11"/>
      <c r="I14335" s="15"/>
    </row>
    <row r="14336" spans="1:9" ht="16.5">
      <c r="A14336" s="10" t="b">
        <v>0</v>
      </c>
      <c r="B14336" s="11" t="str">
        <f>IF(D14336&lt;&gt;"",IF(COUNTIF('USPTO TMs'!A:A,D14336)&gt;0,"Yes","No"),"")</f>
        <v/>
      </c>
      <c r="C14336" s="11"/>
      <c r="D14336" s="11"/>
      <c r="E14336" s="11"/>
      <c r="F14336" s="11"/>
      <c r="G14336" s="11"/>
      <c r="H14336" s="11"/>
      <c r="I14336" s="15"/>
    </row>
    <row r="14337" spans="1:9" ht="16.5">
      <c r="A14337" s="10" t="b">
        <v>0</v>
      </c>
      <c r="B14337" s="11" t="str">
        <f>IF(D14337&lt;&gt;"",IF(COUNTIF('USPTO TMs'!A:A,D14337)&gt;0,"Yes","No"),"")</f>
        <v/>
      </c>
      <c r="C14337" s="11"/>
      <c r="D14337" s="11"/>
      <c r="E14337" s="11"/>
      <c r="F14337" s="11"/>
      <c r="G14337" s="11"/>
      <c r="H14337" s="11"/>
      <c r="I14337" s="15"/>
    </row>
    <row r="14338" spans="1:9" ht="16.5">
      <c r="A14338" s="10" t="b">
        <v>0</v>
      </c>
      <c r="B14338" s="11" t="str">
        <f>IF(D14338&lt;&gt;"",IF(COUNTIF('USPTO TMs'!A:A,D14338)&gt;0,"Yes","No"),"")</f>
        <v/>
      </c>
      <c r="C14338" s="11"/>
      <c r="D14338" s="11"/>
      <c r="E14338" s="11"/>
      <c r="F14338" s="11"/>
      <c r="G14338" s="11"/>
      <c r="H14338" s="11"/>
      <c r="I14338" s="15"/>
    </row>
    <row r="14339" spans="1:9" ht="16.5">
      <c r="A14339" s="10" t="b">
        <v>0</v>
      </c>
      <c r="B14339" s="11" t="str">
        <f>IF(D14339&lt;&gt;"",IF(COUNTIF('USPTO TMs'!A:A,D14339)&gt;0,"Yes","No"),"")</f>
        <v/>
      </c>
      <c r="C14339" s="11"/>
      <c r="D14339" s="11"/>
      <c r="E14339" s="11"/>
      <c r="F14339" s="11"/>
      <c r="G14339" s="11"/>
      <c r="H14339" s="11"/>
      <c r="I14339" s="15"/>
    </row>
    <row r="14340" spans="1:9" ht="16.5">
      <c r="A14340" s="10" t="b">
        <v>0</v>
      </c>
      <c r="B14340" s="11" t="str">
        <f>IF(D14340&lt;&gt;"",IF(COUNTIF('USPTO TMs'!A:A,D14340)&gt;0,"Yes","No"),"")</f>
        <v/>
      </c>
      <c r="C14340" s="11"/>
      <c r="D14340" s="11"/>
      <c r="E14340" s="11"/>
      <c r="F14340" s="11"/>
      <c r="G14340" s="11"/>
      <c r="H14340" s="11"/>
      <c r="I14340" s="15"/>
    </row>
    <row r="14341" spans="1:9" ht="16.5">
      <c r="A14341" s="10" t="b">
        <v>0</v>
      </c>
      <c r="B14341" s="11" t="str">
        <f>IF(D14341&lt;&gt;"",IF(COUNTIF('USPTO TMs'!A:A,D14341)&gt;0,"Yes","No"),"")</f>
        <v/>
      </c>
      <c r="C14341" s="11"/>
      <c r="D14341" s="11"/>
      <c r="E14341" s="11"/>
      <c r="F14341" s="11"/>
      <c r="G14341" s="11"/>
      <c r="H14341" s="11"/>
      <c r="I14341" s="15"/>
    </row>
    <row r="14342" spans="1:9" ht="16.5">
      <c r="A14342" s="10" t="b">
        <v>0</v>
      </c>
      <c r="B14342" s="11" t="str">
        <f>IF(D14342&lt;&gt;"",IF(COUNTIF('USPTO TMs'!A:A,D14342)&gt;0,"Yes","No"),"")</f>
        <v/>
      </c>
      <c r="C14342" s="11"/>
      <c r="D14342" s="11"/>
      <c r="E14342" s="11"/>
      <c r="F14342" s="11"/>
      <c r="G14342" s="11"/>
      <c r="H14342" s="11"/>
      <c r="I14342" s="15"/>
    </row>
    <row r="14343" spans="1:9" ht="16.5">
      <c r="A14343" s="10" t="b">
        <v>0</v>
      </c>
      <c r="B14343" s="11" t="str">
        <f>IF(D14343&lt;&gt;"",IF(COUNTIF('USPTO TMs'!A:A,D14343)&gt;0,"Yes","No"),"")</f>
        <v/>
      </c>
      <c r="C14343" s="11"/>
      <c r="D14343" s="11"/>
      <c r="E14343" s="11"/>
      <c r="F14343" s="11"/>
      <c r="G14343" s="11"/>
      <c r="H14343" s="11"/>
      <c r="I14343" s="15"/>
    </row>
    <row r="14344" spans="1:9" ht="16.5">
      <c r="A14344" s="10" t="b">
        <v>0</v>
      </c>
      <c r="B14344" s="11" t="str">
        <f>IF(D14344&lt;&gt;"",IF(COUNTIF('USPTO TMs'!A:A,D14344)&gt;0,"Yes","No"),"")</f>
        <v/>
      </c>
      <c r="C14344" s="11"/>
      <c r="D14344" s="11"/>
      <c r="E14344" s="11"/>
      <c r="F14344" s="11"/>
      <c r="G14344" s="11"/>
      <c r="H14344" s="11"/>
      <c r="I14344" s="15"/>
    </row>
    <row r="14345" spans="1:9" ht="16.5">
      <c r="A14345" s="10" t="b">
        <v>0</v>
      </c>
      <c r="B14345" s="11" t="str">
        <f>IF(D14345&lt;&gt;"",IF(COUNTIF('USPTO TMs'!A:A,D14345)&gt;0,"Yes","No"),"")</f>
        <v/>
      </c>
      <c r="C14345" s="11"/>
      <c r="D14345" s="11"/>
      <c r="E14345" s="11"/>
      <c r="F14345" s="11"/>
      <c r="G14345" s="11"/>
      <c r="H14345" s="11"/>
      <c r="I14345" s="15"/>
    </row>
    <row r="14346" spans="1:9" ht="16.5">
      <c r="A14346" s="10" t="b">
        <v>0</v>
      </c>
      <c r="B14346" s="11" t="str">
        <f>IF(D14346&lt;&gt;"",IF(COUNTIF('USPTO TMs'!A:A,D14346)&gt;0,"Yes","No"),"")</f>
        <v/>
      </c>
      <c r="C14346" s="11"/>
      <c r="D14346" s="11"/>
      <c r="E14346" s="11"/>
      <c r="F14346" s="11"/>
      <c r="G14346" s="11"/>
      <c r="H14346" s="11"/>
      <c r="I14346" s="15"/>
    </row>
    <row r="14347" spans="1:9" ht="16.5">
      <c r="A14347" s="10" t="b">
        <v>0</v>
      </c>
      <c r="B14347" s="11" t="str">
        <f>IF(D14347&lt;&gt;"",IF(COUNTIF('USPTO TMs'!A:A,D14347)&gt;0,"Yes","No"),"")</f>
        <v/>
      </c>
      <c r="C14347" s="11"/>
      <c r="D14347" s="11"/>
      <c r="E14347" s="11"/>
      <c r="F14347" s="11"/>
      <c r="G14347" s="11"/>
      <c r="H14347" s="11"/>
      <c r="I14347" s="15"/>
    </row>
    <row r="14348" spans="1:9" ht="16.5">
      <c r="A14348" s="10" t="b">
        <v>0</v>
      </c>
      <c r="B14348" s="11" t="str">
        <f>IF(D14348&lt;&gt;"",IF(COUNTIF('USPTO TMs'!A:A,D14348)&gt;0,"Yes","No"),"")</f>
        <v/>
      </c>
      <c r="C14348" s="11"/>
      <c r="D14348" s="11"/>
      <c r="E14348" s="11"/>
      <c r="F14348" s="11"/>
      <c r="G14348" s="11"/>
      <c r="H14348" s="11"/>
      <c r="I14348" s="15"/>
    </row>
    <row r="14349" spans="1:9" ht="16.5">
      <c r="A14349" s="10" t="b">
        <v>0</v>
      </c>
      <c r="B14349" s="11" t="str">
        <f>IF(D14349&lt;&gt;"",IF(COUNTIF('USPTO TMs'!A:A,D14349)&gt;0,"Yes","No"),"")</f>
        <v/>
      </c>
      <c r="C14349" s="11"/>
      <c r="D14349" s="11"/>
      <c r="E14349" s="11"/>
      <c r="F14349" s="11"/>
      <c r="G14349" s="11"/>
      <c r="H14349" s="11"/>
      <c r="I14349" s="15"/>
    </row>
    <row r="14350" spans="1:9" ht="16.5">
      <c r="A14350" s="10" t="b">
        <v>0</v>
      </c>
      <c r="B14350" s="11" t="str">
        <f>IF(D14350&lt;&gt;"",IF(COUNTIF('USPTO TMs'!A:A,D14350)&gt;0,"Yes","No"),"")</f>
        <v/>
      </c>
      <c r="C14350" s="11"/>
      <c r="D14350" s="11"/>
      <c r="E14350" s="11"/>
      <c r="F14350" s="11"/>
      <c r="G14350" s="11"/>
      <c r="H14350" s="11"/>
      <c r="I14350" s="15"/>
    </row>
    <row r="14351" spans="1:9" ht="16.5">
      <c r="A14351" s="10" t="b">
        <v>0</v>
      </c>
      <c r="B14351" s="11" t="str">
        <f>IF(D14351&lt;&gt;"",IF(COUNTIF('USPTO TMs'!A:A,D14351)&gt;0,"Yes","No"),"")</f>
        <v/>
      </c>
      <c r="C14351" s="11"/>
      <c r="D14351" s="11"/>
      <c r="E14351" s="11"/>
      <c r="F14351" s="11"/>
      <c r="G14351" s="11"/>
      <c r="H14351" s="11"/>
      <c r="I14351" s="15"/>
    </row>
    <row r="14352" spans="1:9" ht="16.5">
      <c r="A14352" s="10" t="b">
        <v>0</v>
      </c>
      <c r="B14352" s="11" t="str">
        <f>IF(D14352&lt;&gt;"",IF(COUNTIF('USPTO TMs'!A:A,D14352)&gt;0,"Yes","No"),"")</f>
        <v/>
      </c>
      <c r="C14352" s="11"/>
      <c r="D14352" s="11"/>
      <c r="E14352" s="11"/>
      <c r="F14352" s="11"/>
      <c r="G14352" s="11"/>
      <c r="H14352" s="11"/>
      <c r="I14352" s="15"/>
    </row>
    <row r="14353" spans="1:9" ht="16.5">
      <c r="A14353" s="10" t="b">
        <v>0</v>
      </c>
      <c r="B14353" s="11" t="str">
        <f>IF(D14353&lt;&gt;"",IF(COUNTIF('USPTO TMs'!A:A,D14353)&gt;0,"Yes","No"),"")</f>
        <v/>
      </c>
      <c r="C14353" s="11"/>
      <c r="D14353" s="11"/>
      <c r="E14353" s="11"/>
      <c r="F14353" s="11"/>
      <c r="G14353" s="11"/>
      <c r="H14353" s="11"/>
      <c r="I14353" s="15"/>
    </row>
    <row r="14354" spans="1:9" ht="16.5">
      <c r="A14354" s="10" t="b">
        <v>0</v>
      </c>
      <c r="B14354" s="11" t="str">
        <f>IF(D14354&lt;&gt;"",IF(COUNTIF('USPTO TMs'!A:A,D14354)&gt;0,"Yes","No"),"")</f>
        <v/>
      </c>
      <c r="C14354" s="11"/>
      <c r="D14354" s="11"/>
      <c r="E14354" s="11"/>
      <c r="F14354" s="11"/>
      <c r="G14354" s="11"/>
      <c r="H14354" s="11"/>
      <c r="I14354" s="15"/>
    </row>
    <row r="14355" spans="1:9" ht="16.5">
      <c r="A14355" s="10" t="b">
        <v>0</v>
      </c>
      <c r="B14355" s="11" t="str">
        <f>IF(D14355&lt;&gt;"",IF(COUNTIF('USPTO TMs'!A:A,D14355)&gt;0,"Yes","No"),"")</f>
        <v/>
      </c>
      <c r="C14355" s="11"/>
      <c r="D14355" s="11"/>
      <c r="E14355" s="11"/>
      <c r="F14355" s="11"/>
      <c r="G14355" s="11"/>
      <c r="H14355" s="11"/>
      <c r="I14355" s="15"/>
    </row>
    <row r="14356" spans="1:9" ht="16.5">
      <c r="A14356" s="10" t="b">
        <v>0</v>
      </c>
      <c r="B14356" s="11" t="str">
        <f>IF(D14356&lt;&gt;"",IF(COUNTIF('USPTO TMs'!A:A,D14356)&gt;0,"Yes","No"),"")</f>
        <v/>
      </c>
      <c r="C14356" s="11"/>
      <c r="D14356" s="11"/>
      <c r="E14356" s="11"/>
      <c r="F14356" s="11"/>
      <c r="G14356" s="11"/>
      <c r="H14356" s="11"/>
      <c r="I14356" s="15"/>
    </row>
    <row r="14357" spans="1:9" ht="16.5">
      <c r="A14357" s="10" t="b">
        <v>0</v>
      </c>
      <c r="B14357" s="11" t="str">
        <f>IF(D14357&lt;&gt;"",IF(COUNTIF('USPTO TMs'!A:A,D14357)&gt;0,"Yes","No"),"")</f>
        <v/>
      </c>
      <c r="C14357" s="11"/>
      <c r="D14357" s="11"/>
      <c r="E14357" s="11"/>
      <c r="F14357" s="11"/>
      <c r="G14357" s="11"/>
      <c r="H14357" s="11"/>
      <c r="I14357" s="15"/>
    </row>
    <row r="14358" spans="1:9" ht="16.5">
      <c r="A14358" s="10" t="b">
        <v>0</v>
      </c>
      <c r="B14358" s="11" t="str">
        <f>IF(D14358&lt;&gt;"",IF(COUNTIF('USPTO TMs'!A:A,D14358)&gt;0,"Yes","No"),"")</f>
        <v/>
      </c>
      <c r="C14358" s="11"/>
      <c r="D14358" s="11"/>
      <c r="E14358" s="11"/>
      <c r="F14358" s="11"/>
      <c r="G14358" s="11"/>
      <c r="H14358" s="11"/>
      <c r="I14358" s="15"/>
    </row>
    <row r="14359" spans="1:9" ht="16.5">
      <c r="A14359" s="10" t="b">
        <v>0</v>
      </c>
      <c r="B14359" s="11" t="str">
        <f>IF(D14359&lt;&gt;"",IF(COUNTIF('USPTO TMs'!A:A,D14359)&gt;0,"Yes","No"),"")</f>
        <v/>
      </c>
      <c r="C14359" s="11"/>
      <c r="D14359" s="11"/>
      <c r="E14359" s="11"/>
      <c r="F14359" s="11"/>
      <c r="G14359" s="11"/>
      <c r="H14359" s="11"/>
      <c r="I14359" s="15"/>
    </row>
    <row r="14360" spans="1:9" ht="16.5">
      <c r="A14360" s="10" t="b">
        <v>0</v>
      </c>
      <c r="B14360" s="11" t="str">
        <f>IF(D14360&lt;&gt;"",IF(COUNTIF('USPTO TMs'!A:A,D14360)&gt;0,"Yes","No"),"")</f>
        <v/>
      </c>
      <c r="C14360" s="11"/>
      <c r="D14360" s="11"/>
      <c r="E14360" s="11"/>
      <c r="F14360" s="11"/>
      <c r="G14360" s="11"/>
      <c r="H14360" s="11"/>
      <c r="I14360" s="15"/>
    </row>
    <row r="14361" spans="1:9" ht="16.5">
      <c r="A14361" s="10" t="b">
        <v>0</v>
      </c>
      <c r="B14361" s="11" t="str">
        <f>IF(D14361&lt;&gt;"",IF(COUNTIF('USPTO TMs'!A:A,D14361)&gt;0,"Yes","No"),"")</f>
        <v/>
      </c>
      <c r="C14361" s="11"/>
      <c r="D14361" s="11"/>
      <c r="E14361" s="11"/>
      <c r="F14361" s="11"/>
      <c r="G14361" s="11"/>
      <c r="H14361" s="11"/>
      <c r="I14361" s="15"/>
    </row>
    <row r="14362" spans="1:9" ht="16.5">
      <c r="A14362" s="10" t="b">
        <v>0</v>
      </c>
      <c r="B14362" s="11" t="str">
        <f>IF(D14362&lt;&gt;"",IF(COUNTIF('USPTO TMs'!A:A,D14362)&gt;0,"Yes","No"),"")</f>
        <v/>
      </c>
      <c r="C14362" s="11"/>
      <c r="D14362" s="11"/>
      <c r="E14362" s="11"/>
      <c r="F14362" s="11"/>
      <c r="G14362" s="11"/>
      <c r="H14362" s="11"/>
      <c r="I14362" s="15"/>
    </row>
    <row r="14363" spans="1:9" ht="16.5">
      <c r="A14363" s="10" t="b">
        <v>0</v>
      </c>
      <c r="B14363" s="11" t="str">
        <f>IF(D14363&lt;&gt;"",IF(COUNTIF('USPTO TMs'!A:A,D14363)&gt;0,"Yes","No"),"")</f>
        <v/>
      </c>
      <c r="C14363" s="11"/>
      <c r="D14363" s="11"/>
      <c r="E14363" s="11"/>
      <c r="F14363" s="11"/>
      <c r="G14363" s="11"/>
      <c r="H14363" s="11"/>
      <c r="I14363" s="15"/>
    </row>
    <row r="14364" spans="1:9" ht="16.5">
      <c r="A14364" s="10" t="b">
        <v>0</v>
      </c>
      <c r="B14364" s="11" t="str">
        <f>IF(D14364&lt;&gt;"",IF(COUNTIF('USPTO TMs'!A:A,D14364)&gt;0,"Yes","No"),"")</f>
        <v/>
      </c>
      <c r="C14364" s="11"/>
      <c r="D14364" s="11"/>
      <c r="E14364" s="11"/>
      <c r="F14364" s="11"/>
      <c r="G14364" s="11"/>
      <c r="H14364" s="11"/>
      <c r="I14364" s="15"/>
    </row>
    <row r="14365" spans="1:9" ht="16.5">
      <c r="A14365" s="10" t="b">
        <v>0</v>
      </c>
      <c r="B14365" s="11" t="str">
        <f>IF(D14365&lt;&gt;"",IF(COUNTIF('USPTO TMs'!A:A,D14365)&gt;0,"Yes","No"),"")</f>
        <v/>
      </c>
      <c r="C14365" s="11"/>
      <c r="D14365" s="11"/>
      <c r="E14365" s="11"/>
      <c r="F14365" s="11"/>
      <c r="G14365" s="11"/>
      <c r="H14365" s="11"/>
      <c r="I14365" s="15"/>
    </row>
    <row r="14366" spans="1:9" ht="16.5">
      <c r="A14366" s="10" t="b">
        <v>0</v>
      </c>
      <c r="B14366" s="11" t="str">
        <f>IF(D14366&lt;&gt;"",IF(COUNTIF('USPTO TMs'!A:A,D14366)&gt;0,"Yes","No"),"")</f>
        <v/>
      </c>
      <c r="C14366" s="11"/>
      <c r="D14366" s="11"/>
      <c r="E14366" s="11"/>
      <c r="F14366" s="11"/>
      <c r="G14366" s="11"/>
      <c r="H14366" s="11"/>
      <c r="I14366" s="15"/>
    </row>
    <row r="14367" spans="1:9" ht="16.5">
      <c r="A14367" s="10" t="b">
        <v>0</v>
      </c>
      <c r="B14367" s="11" t="str">
        <f>IF(D14367&lt;&gt;"",IF(COUNTIF('USPTO TMs'!A:A,D14367)&gt;0,"Yes","No"),"")</f>
        <v/>
      </c>
      <c r="C14367" s="11"/>
      <c r="D14367" s="11"/>
      <c r="E14367" s="11"/>
      <c r="F14367" s="11"/>
      <c r="G14367" s="11"/>
      <c r="H14367" s="11"/>
      <c r="I14367" s="15"/>
    </row>
    <row r="14368" spans="1:9" ht="16.5">
      <c r="A14368" s="10" t="b">
        <v>0</v>
      </c>
      <c r="B14368" s="11" t="str">
        <f>IF(D14368&lt;&gt;"",IF(COUNTIF('USPTO TMs'!A:A,D14368)&gt;0,"Yes","No"),"")</f>
        <v/>
      </c>
      <c r="C14368" s="11"/>
      <c r="D14368" s="11"/>
      <c r="E14368" s="11"/>
      <c r="F14368" s="11"/>
      <c r="G14368" s="11"/>
      <c r="H14368" s="11"/>
      <c r="I14368" s="15"/>
    </row>
    <row r="14369" spans="1:9" ht="16.5">
      <c r="A14369" s="10" t="b">
        <v>0</v>
      </c>
      <c r="B14369" s="11" t="str">
        <f>IF(D14369&lt;&gt;"",IF(COUNTIF('USPTO TMs'!A:A,D14369)&gt;0,"Yes","No"),"")</f>
        <v/>
      </c>
      <c r="C14369" s="11"/>
      <c r="D14369" s="11"/>
      <c r="E14369" s="11"/>
      <c r="F14369" s="11"/>
      <c r="G14369" s="11"/>
      <c r="H14369" s="11"/>
      <c r="I14369" s="15"/>
    </row>
    <row r="14370" spans="1:9" ht="16.5">
      <c r="A14370" s="10" t="b">
        <v>0</v>
      </c>
      <c r="B14370" s="11" t="str">
        <f>IF(D14370&lt;&gt;"",IF(COUNTIF('USPTO TMs'!A:A,D14370)&gt;0,"Yes","No"),"")</f>
        <v/>
      </c>
      <c r="C14370" s="11"/>
      <c r="D14370" s="11"/>
      <c r="E14370" s="11"/>
      <c r="F14370" s="11"/>
      <c r="G14370" s="11"/>
      <c r="H14370" s="11"/>
      <c r="I14370" s="15"/>
    </row>
    <row r="14371" spans="1:9" ht="16.5">
      <c r="A14371" s="10" t="b">
        <v>0</v>
      </c>
      <c r="B14371" s="11" t="str">
        <f>IF(D14371&lt;&gt;"",IF(COUNTIF('USPTO TMs'!A:A,D14371)&gt;0,"Yes","No"),"")</f>
        <v/>
      </c>
      <c r="C14371" s="11"/>
      <c r="D14371" s="11"/>
      <c r="E14371" s="11"/>
      <c r="F14371" s="11"/>
      <c r="G14371" s="11"/>
      <c r="H14371" s="11"/>
      <c r="I14371" s="15"/>
    </row>
    <row r="14372" spans="1:9" ht="16.5">
      <c r="A14372" s="10" t="b">
        <v>0</v>
      </c>
      <c r="B14372" s="11" t="str">
        <f>IF(D14372&lt;&gt;"",IF(COUNTIF('USPTO TMs'!A:A,D14372)&gt;0,"Yes","No"),"")</f>
        <v/>
      </c>
      <c r="C14372" s="11"/>
      <c r="D14372" s="11"/>
      <c r="E14372" s="11"/>
      <c r="F14372" s="11"/>
      <c r="G14372" s="11"/>
      <c r="H14372" s="11"/>
      <c r="I14372" s="15"/>
    </row>
    <row r="14373" spans="1:9" ht="16.5">
      <c r="A14373" s="10" t="b">
        <v>0</v>
      </c>
      <c r="B14373" s="11" t="str">
        <f>IF(D14373&lt;&gt;"",IF(COUNTIF('USPTO TMs'!A:A,D14373)&gt;0,"Yes","No"),"")</f>
        <v/>
      </c>
      <c r="C14373" s="11"/>
      <c r="D14373" s="11"/>
      <c r="E14373" s="11"/>
      <c r="F14373" s="11"/>
      <c r="G14373" s="11"/>
      <c r="H14373" s="11"/>
      <c r="I14373" s="15"/>
    </row>
    <row r="14374" spans="1:9" ht="16.5">
      <c r="A14374" s="10" t="b">
        <v>0</v>
      </c>
      <c r="B14374" s="11" t="str">
        <f>IF(D14374&lt;&gt;"",IF(COUNTIF('USPTO TMs'!A:A,D14374)&gt;0,"Yes","No"),"")</f>
        <v/>
      </c>
      <c r="C14374" s="11"/>
      <c r="D14374" s="11"/>
      <c r="E14374" s="11"/>
      <c r="F14374" s="11"/>
      <c r="G14374" s="11"/>
      <c r="H14374" s="11"/>
      <c r="I14374" s="15"/>
    </row>
    <row r="14375" spans="1:9" ht="16.5">
      <c r="A14375" s="10" t="b">
        <v>0</v>
      </c>
      <c r="B14375" s="11" t="str">
        <f>IF(D14375&lt;&gt;"",IF(COUNTIF('USPTO TMs'!A:A,D14375)&gt;0,"Yes","No"),"")</f>
        <v/>
      </c>
      <c r="C14375" s="11"/>
      <c r="D14375" s="11"/>
      <c r="E14375" s="11"/>
      <c r="F14375" s="11"/>
      <c r="G14375" s="11"/>
      <c r="H14375" s="11"/>
      <c r="I14375" s="15"/>
    </row>
    <row r="14376" spans="1:9" ht="16.5">
      <c r="A14376" s="10" t="b">
        <v>0</v>
      </c>
      <c r="B14376" s="11" t="str">
        <f>IF(D14376&lt;&gt;"",IF(COUNTIF('USPTO TMs'!A:A,D14376)&gt;0,"Yes","No"),"")</f>
        <v/>
      </c>
      <c r="C14376" s="11"/>
      <c r="D14376" s="11"/>
      <c r="E14376" s="11"/>
      <c r="F14376" s="11"/>
      <c r="G14376" s="11"/>
      <c r="H14376" s="11"/>
      <c r="I14376" s="15"/>
    </row>
    <row r="14377" spans="1:9" ht="16.5">
      <c r="A14377" s="10" t="b">
        <v>0</v>
      </c>
      <c r="B14377" s="11" t="str">
        <f>IF(D14377&lt;&gt;"",IF(COUNTIF('USPTO TMs'!A:A,D14377)&gt;0,"Yes","No"),"")</f>
        <v/>
      </c>
      <c r="C14377" s="11"/>
      <c r="D14377" s="11"/>
      <c r="E14377" s="11"/>
      <c r="F14377" s="11"/>
      <c r="G14377" s="11"/>
      <c r="H14377" s="11"/>
      <c r="I14377" s="15"/>
    </row>
    <row r="14378" spans="1:9" ht="16.5">
      <c r="A14378" s="10" t="b">
        <v>0</v>
      </c>
      <c r="B14378" s="11" t="str">
        <f>IF(D14378&lt;&gt;"",IF(COUNTIF('USPTO TMs'!A:A,D14378)&gt;0,"Yes","No"),"")</f>
        <v/>
      </c>
      <c r="C14378" s="11"/>
      <c r="D14378" s="11"/>
      <c r="E14378" s="11"/>
      <c r="F14378" s="11"/>
      <c r="G14378" s="11"/>
      <c r="H14378" s="11"/>
      <c r="I14378" s="15"/>
    </row>
    <row r="14379" spans="1:9" ht="16.5">
      <c r="A14379" s="10" t="b">
        <v>0</v>
      </c>
      <c r="B14379" s="11" t="str">
        <f>IF(D14379&lt;&gt;"",IF(COUNTIF('USPTO TMs'!A:A,D14379)&gt;0,"Yes","No"),"")</f>
        <v/>
      </c>
      <c r="C14379" s="11"/>
      <c r="D14379" s="11"/>
      <c r="E14379" s="11"/>
      <c r="F14379" s="11"/>
      <c r="G14379" s="11"/>
      <c r="H14379" s="11"/>
      <c r="I14379" s="15"/>
    </row>
    <row r="14380" spans="1:9" ht="16.5">
      <c r="A14380" s="10" t="b">
        <v>0</v>
      </c>
      <c r="B14380" s="11" t="str">
        <f>IF(D14380&lt;&gt;"",IF(COUNTIF('USPTO TMs'!A:A,D14380)&gt;0,"Yes","No"),"")</f>
        <v/>
      </c>
      <c r="C14380" s="11"/>
      <c r="D14380" s="11"/>
      <c r="E14380" s="11"/>
      <c r="F14380" s="11"/>
      <c r="G14380" s="11"/>
      <c r="H14380" s="11"/>
      <c r="I14380" s="15"/>
    </row>
    <row r="14381" spans="1:9" ht="16.5">
      <c r="A14381" s="10" t="b">
        <v>0</v>
      </c>
      <c r="B14381" s="11" t="str">
        <f>IF(D14381&lt;&gt;"",IF(COUNTIF('USPTO TMs'!A:A,D14381)&gt;0,"Yes","No"),"")</f>
        <v/>
      </c>
      <c r="C14381" s="11"/>
      <c r="D14381" s="11"/>
      <c r="E14381" s="11"/>
      <c r="F14381" s="11"/>
      <c r="G14381" s="11"/>
      <c r="H14381" s="11"/>
      <c r="I14381" s="15"/>
    </row>
    <row r="14382" spans="1:9" ht="16.5">
      <c r="A14382" s="10" t="b">
        <v>0</v>
      </c>
      <c r="B14382" s="11" t="str">
        <f>IF(D14382&lt;&gt;"",IF(COUNTIF('USPTO TMs'!A:A,D14382)&gt;0,"Yes","No"),"")</f>
        <v/>
      </c>
      <c r="C14382" s="11"/>
      <c r="D14382" s="11"/>
      <c r="E14382" s="11"/>
      <c r="F14382" s="11"/>
      <c r="G14382" s="11"/>
      <c r="H14382" s="11"/>
      <c r="I14382" s="15"/>
    </row>
    <row r="14383" spans="1:9" ht="16.5">
      <c r="A14383" s="10" t="b">
        <v>0</v>
      </c>
      <c r="B14383" s="11" t="str">
        <f>IF(D14383&lt;&gt;"",IF(COUNTIF('USPTO TMs'!A:A,D14383)&gt;0,"Yes","No"),"")</f>
        <v/>
      </c>
      <c r="C14383" s="11"/>
      <c r="D14383" s="11"/>
      <c r="E14383" s="11"/>
      <c r="F14383" s="11"/>
      <c r="G14383" s="11"/>
      <c r="H14383" s="11"/>
      <c r="I14383" s="15"/>
    </row>
    <row r="14384" spans="1:9" ht="16.5">
      <c r="A14384" s="10" t="b">
        <v>0</v>
      </c>
      <c r="B14384" s="11" t="str">
        <f>IF(D14384&lt;&gt;"",IF(COUNTIF('USPTO TMs'!A:A,D14384)&gt;0,"Yes","No"),"")</f>
        <v/>
      </c>
      <c r="C14384" s="11"/>
      <c r="D14384" s="11"/>
      <c r="E14384" s="11"/>
      <c r="F14384" s="11"/>
      <c r="G14384" s="11"/>
      <c r="H14384" s="11"/>
      <c r="I14384" s="15"/>
    </row>
    <row r="14385" spans="1:9" ht="16.5">
      <c r="A14385" s="10" t="b">
        <v>0</v>
      </c>
      <c r="B14385" s="11" t="str">
        <f>IF(D14385&lt;&gt;"",IF(COUNTIF('USPTO TMs'!A:A,D14385)&gt;0,"Yes","No"),"")</f>
        <v/>
      </c>
      <c r="C14385" s="11"/>
      <c r="D14385" s="11"/>
      <c r="E14385" s="11"/>
      <c r="F14385" s="11"/>
      <c r="G14385" s="11"/>
      <c r="H14385" s="11"/>
      <c r="I14385" s="15"/>
    </row>
    <row r="14386" spans="1:9" ht="16.5">
      <c r="A14386" s="10" t="b">
        <v>0</v>
      </c>
      <c r="B14386" s="11" t="str">
        <f>IF(D14386&lt;&gt;"",IF(COUNTIF('USPTO TMs'!A:A,D14386)&gt;0,"Yes","No"),"")</f>
        <v/>
      </c>
      <c r="C14386" s="11"/>
      <c r="D14386" s="11"/>
      <c r="E14386" s="11"/>
      <c r="F14386" s="11"/>
      <c r="G14386" s="11"/>
      <c r="H14386" s="11"/>
      <c r="I14386" s="15"/>
    </row>
    <row r="14387" spans="1:9" ht="16.5">
      <c r="A14387" s="10" t="b">
        <v>0</v>
      </c>
      <c r="B14387" s="11" t="str">
        <f>IF(D14387&lt;&gt;"",IF(COUNTIF('USPTO TMs'!A:A,D14387)&gt;0,"Yes","No"),"")</f>
        <v/>
      </c>
      <c r="C14387" s="11"/>
      <c r="D14387" s="11"/>
      <c r="E14387" s="11"/>
      <c r="F14387" s="11"/>
      <c r="G14387" s="11"/>
      <c r="H14387" s="11"/>
      <c r="I14387" s="15"/>
    </row>
    <row r="14388" spans="1:9" ht="16.5">
      <c r="A14388" s="10" t="b">
        <v>0</v>
      </c>
      <c r="B14388" s="11" t="str">
        <f>IF(D14388&lt;&gt;"",IF(COUNTIF('USPTO TMs'!A:A,D14388)&gt;0,"Yes","No"),"")</f>
        <v/>
      </c>
      <c r="C14388" s="11"/>
      <c r="D14388" s="11"/>
      <c r="E14388" s="11"/>
      <c r="F14388" s="11"/>
      <c r="G14388" s="11"/>
      <c r="H14388" s="11"/>
      <c r="I14388" s="15"/>
    </row>
    <row r="14389" spans="1:9" ht="16.5">
      <c r="A14389" s="10" t="b">
        <v>0</v>
      </c>
      <c r="B14389" s="11" t="str">
        <f>IF(D14389&lt;&gt;"",IF(COUNTIF('USPTO TMs'!A:A,D14389)&gt;0,"Yes","No"),"")</f>
        <v/>
      </c>
      <c r="C14389" s="11"/>
      <c r="D14389" s="11"/>
      <c r="E14389" s="11"/>
      <c r="F14389" s="11"/>
      <c r="G14389" s="11"/>
      <c r="H14389" s="11"/>
      <c r="I14389" s="15"/>
    </row>
    <row r="14390" spans="1:9" ht="16.5">
      <c r="A14390" s="10" t="b">
        <v>0</v>
      </c>
      <c r="B14390" s="11" t="str">
        <f>IF(D14390&lt;&gt;"",IF(COUNTIF('USPTO TMs'!A:A,D14390)&gt;0,"Yes","No"),"")</f>
        <v/>
      </c>
      <c r="C14390" s="11"/>
      <c r="D14390" s="11"/>
      <c r="E14390" s="11"/>
      <c r="F14390" s="11"/>
      <c r="G14390" s="11"/>
      <c r="H14390" s="11"/>
      <c r="I14390" s="15"/>
    </row>
    <row r="14391" spans="1:9" ht="16.5">
      <c r="A14391" s="10" t="b">
        <v>0</v>
      </c>
      <c r="B14391" s="11" t="str">
        <f>IF(D14391&lt;&gt;"",IF(COUNTIF('USPTO TMs'!A:A,D14391)&gt;0,"Yes","No"),"")</f>
        <v/>
      </c>
      <c r="C14391" s="11"/>
      <c r="D14391" s="11"/>
      <c r="E14391" s="11"/>
      <c r="F14391" s="11"/>
      <c r="G14391" s="11"/>
      <c r="H14391" s="11"/>
      <c r="I14391" s="15"/>
    </row>
    <row r="14392" spans="1:9" ht="16.5">
      <c r="A14392" s="10" t="b">
        <v>0</v>
      </c>
      <c r="B14392" s="11" t="str">
        <f>IF(D14392&lt;&gt;"",IF(COUNTIF('USPTO TMs'!A:A,D14392)&gt;0,"Yes","No"),"")</f>
        <v/>
      </c>
      <c r="C14392" s="11"/>
      <c r="D14392" s="11"/>
      <c r="E14392" s="11"/>
      <c r="F14392" s="11"/>
      <c r="G14392" s="11"/>
      <c r="H14392" s="11"/>
      <c r="I14392" s="15"/>
    </row>
    <row r="14393" spans="1:9" ht="16.5">
      <c r="A14393" s="10" t="b">
        <v>0</v>
      </c>
      <c r="B14393" s="11" t="str">
        <f>IF(D14393&lt;&gt;"",IF(COUNTIF('USPTO TMs'!A:A,D14393)&gt;0,"Yes","No"),"")</f>
        <v/>
      </c>
      <c r="C14393" s="11"/>
      <c r="D14393" s="11"/>
      <c r="E14393" s="11"/>
      <c r="F14393" s="11"/>
      <c r="G14393" s="11"/>
      <c r="H14393" s="11"/>
      <c r="I14393" s="15"/>
    </row>
    <row r="14394" spans="1:9" ht="16.5">
      <c r="A14394" s="10" t="b">
        <v>0</v>
      </c>
      <c r="B14394" s="11" t="str">
        <f>IF(D14394&lt;&gt;"",IF(COUNTIF('USPTO TMs'!A:A,D14394)&gt;0,"Yes","No"),"")</f>
        <v/>
      </c>
      <c r="C14394" s="11"/>
      <c r="D14394" s="11"/>
      <c r="E14394" s="11"/>
      <c r="F14394" s="11"/>
      <c r="G14394" s="11"/>
      <c r="H14394" s="11"/>
      <c r="I14394" s="15"/>
    </row>
    <row r="14395" spans="1:9" ht="16.5">
      <c r="A14395" s="10" t="b">
        <v>0</v>
      </c>
      <c r="B14395" s="11" t="str">
        <f>IF(D14395&lt;&gt;"",IF(COUNTIF('USPTO TMs'!A:A,D14395)&gt;0,"Yes","No"),"")</f>
        <v/>
      </c>
      <c r="C14395" s="11"/>
      <c r="D14395" s="11"/>
      <c r="E14395" s="11"/>
      <c r="F14395" s="11"/>
      <c r="G14395" s="11"/>
      <c r="H14395" s="11"/>
      <c r="I14395" s="15"/>
    </row>
    <row r="14396" spans="1:9" ht="16.5">
      <c r="A14396" s="10" t="b">
        <v>0</v>
      </c>
      <c r="B14396" s="11" t="str">
        <f>IF(D14396&lt;&gt;"",IF(COUNTIF('USPTO TMs'!A:A,D14396)&gt;0,"Yes","No"),"")</f>
        <v/>
      </c>
      <c r="C14396" s="11"/>
      <c r="D14396" s="11"/>
      <c r="E14396" s="11"/>
      <c r="F14396" s="11"/>
      <c r="G14396" s="11"/>
      <c r="H14396" s="11"/>
      <c r="I14396" s="15"/>
    </row>
    <row r="14397" spans="1:9" ht="16.5">
      <c r="A14397" s="10" t="b">
        <v>0</v>
      </c>
      <c r="B14397" s="11" t="str">
        <f>IF(D14397&lt;&gt;"",IF(COUNTIF('USPTO TMs'!A:A,D14397)&gt;0,"Yes","No"),"")</f>
        <v/>
      </c>
      <c r="C14397" s="11"/>
      <c r="D14397" s="11"/>
      <c r="E14397" s="11"/>
      <c r="F14397" s="11"/>
      <c r="G14397" s="11"/>
      <c r="H14397" s="11"/>
      <c r="I14397" s="15"/>
    </row>
    <row r="14398" spans="1:9" ht="16.5">
      <c r="A14398" s="10" t="b">
        <v>0</v>
      </c>
      <c r="B14398" s="11" t="str">
        <f>IF(D14398&lt;&gt;"",IF(COUNTIF('USPTO TMs'!A:A,D14398)&gt;0,"Yes","No"),"")</f>
        <v/>
      </c>
      <c r="C14398" s="11"/>
      <c r="D14398" s="11"/>
      <c r="E14398" s="11"/>
      <c r="F14398" s="11"/>
      <c r="G14398" s="11"/>
      <c r="H14398" s="11"/>
      <c r="I14398" s="15"/>
    </row>
    <row r="14399" spans="1:9" ht="16.5">
      <c r="A14399" s="10" t="b">
        <v>0</v>
      </c>
      <c r="B14399" s="11" t="str">
        <f>IF(D14399&lt;&gt;"",IF(COUNTIF('USPTO TMs'!A:A,D14399)&gt;0,"Yes","No"),"")</f>
        <v/>
      </c>
      <c r="C14399" s="11"/>
      <c r="D14399" s="11"/>
      <c r="E14399" s="11"/>
      <c r="F14399" s="11"/>
      <c r="G14399" s="11"/>
      <c r="H14399" s="11"/>
      <c r="I14399" s="15"/>
    </row>
    <row r="14400" spans="1:9" ht="16.5">
      <c r="A14400" s="10" t="b">
        <v>0</v>
      </c>
      <c r="B14400" s="11" t="str">
        <f>IF(D14400&lt;&gt;"",IF(COUNTIF('USPTO TMs'!A:A,D14400)&gt;0,"Yes","No"),"")</f>
        <v/>
      </c>
      <c r="C14400" s="11"/>
      <c r="D14400" s="11"/>
      <c r="E14400" s="11"/>
      <c r="F14400" s="11"/>
      <c r="G14400" s="11"/>
      <c r="H14400" s="11"/>
      <c r="I14400" s="15"/>
    </row>
    <row r="14401" spans="1:9" ht="16.5">
      <c r="A14401" s="10" t="b">
        <v>0</v>
      </c>
      <c r="B14401" s="11" t="str">
        <f>IF(D14401&lt;&gt;"",IF(COUNTIF('USPTO TMs'!A:A,D14401)&gt;0,"Yes","No"),"")</f>
        <v/>
      </c>
      <c r="C14401" s="11"/>
      <c r="D14401" s="11"/>
      <c r="E14401" s="11"/>
      <c r="F14401" s="11"/>
      <c r="G14401" s="11"/>
      <c r="H14401" s="11"/>
      <c r="I14401" s="15"/>
    </row>
    <row r="14402" spans="1:9" ht="16.5">
      <c r="A14402" s="10" t="b">
        <v>0</v>
      </c>
      <c r="B14402" s="11" t="str">
        <f>IF(D14402&lt;&gt;"",IF(COUNTIF('USPTO TMs'!A:A,D14402)&gt;0,"Yes","No"),"")</f>
        <v/>
      </c>
      <c r="C14402" s="11"/>
      <c r="D14402" s="11"/>
      <c r="E14402" s="11"/>
      <c r="F14402" s="11"/>
      <c r="G14402" s="11"/>
      <c r="H14402" s="11"/>
      <c r="I14402" s="15"/>
    </row>
    <row r="14403" spans="1:9" ht="16.5">
      <c r="A14403" s="10" t="b">
        <v>0</v>
      </c>
      <c r="B14403" s="11" t="str">
        <f>IF(D14403&lt;&gt;"",IF(COUNTIF('USPTO TMs'!A:A,D14403)&gt;0,"Yes","No"),"")</f>
        <v/>
      </c>
      <c r="C14403" s="11"/>
      <c r="D14403" s="11"/>
      <c r="E14403" s="11"/>
      <c r="F14403" s="11"/>
      <c r="G14403" s="11"/>
      <c r="H14403" s="11"/>
      <c r="I14403" s="15"/>
    </row>
    <row r="14404" spans="1:9" ht="16.5">
      <c r="A14404" s="10" t="b">
        <v>0</v>
      </c>
      <c r="B14404" s="11" t="str">
        <f>IF(D14404&lt;&gt;"",IF(COUNTIF('USPTO TMs'!A:A,D14404)&gt;0,"Yes","No"),"")</f>
        <v/>
      </c>
      <c r="C14404" s="11"/>
      <c r="D14404" s="11"/>
      <c r="E14404" s="11"/>
      <c r="F14404" s="11"/>
      <c r="G14404" s="11"/>
      <c r="H14404" s="11"/>
      <c r="I14404" s="15"/>
    </row>
    <row r="14405" spans="1:9" ht="16.5">
      <c r="A14405" s="10" t="b">
        <v>0</v>
      </c>
      <c r="B14405" s="11" t="str">
        <f>IF(D14405&lt;&gt;"",IF(COUNTIF('USPTO TMs'!A:A,D14405)&gt;0,"Yes","No"),"")</f>
        <v/>
      </c>
      <c r="C14405" s="11"/>
      <c r="D14405" s="11"/>
      <c r="E14405" s="11"/>
      <c r="F14405" s="11"/>
      <c r="G14405" s="11"/>
      <c r="H14405" s="11"/>
      <c r="I14405" s="15"/>
    </row>
    <row r="14406" spans="1:9" ht="16.5">
      <c r="A14406" s="10" t="b">
        <v>0</v>
      </c>
      <c r="B14406" s="11" t="str">
        <f>IF(D14406&lt;&gt;"",IF(COUNTIF('USPTO TMs'!A:A,D14406)&gt;0,"Yes","No"),"")</f>
        <v/>
      </c>
      <c r="C14406" s="11"/>
      <c r="D14406" s="11"/>
      <c r="E14406" s="11"/>
      <c r="F14406" s="11"/>
      <c r="G14406" s="11"/>
      <c r="H14406" s="11"/>
      <c r="I14406" s="15"/>
    </row>
    <row r="14407" spans="1:9" ht="16.5">
      <c r="A14407" s="10" t="b">
        <v>0</v>
      </c>
      <c r="B14407" s="11" t="str">
        <f>IF(D14407&lt;&gt;"",IF(COUNTIF('USPTO TMs'!A:A,D14407)&gt;0,"Yes","No"),"")</f>
        <v/>
      </c>
      <c r="C14407" s="11"/>
      <c r="D14407" s="11"/>
      <c r="E14407" s="11"/>
      <c r="F14407" s="11"/>
      <c r="G14407" s="11"/>
      <c r="H14407" s="11"/>
      <c r="I14407" s="15"/>
    </row>
    <row r="14408" spans="1:9" ht="16.5">
      <c r="A14408" s="10" t="b">
        <v>0</v>
      </c>
      <c r="B14408" s="11" t="str">
        <f>IF(D14408&lt;&gt;"",IF(COUNTIF('USPTO TMs'!A:A,D14408)&gt;0,"Yes","No"),"")</f>
        <v/>
      </c>
      <c r="C14408" s="11"/>
      <c r="D14408" s="11"/>
      <c r="E14408" s="11"/>
      <c r="F14408" s="11"/>
      <c r="G14408" s="11"/>
      <c r="H14408" s="11"/>
      <c r="I14408" s="15"/>
    </row>
    <row r="14409" spans="1:9" ht="16.5">
      <c r="A14409" s="10" t="b">
        <v>0</v>
      </c>
      <c r="B14409" s="11" t="str">
        <f>IF(D14409&lt;&gt;"",IF(COUNTIF('USPTO TMs'!A:A,D14409)&gt;0,"Yes","No"),"")</f>
        <v/>
      </c>
      <c r="C14409" s="11"/>
      <c r="D14409" s="11"/>
      <c r="E14409" s="11"/>
      <c r="F14409" s="11"/>
      <c r="G14409" s="11"/>
      <c r="H14409" s="11"/>
      <c r="I14409" s="15"/>
    </row>
    <row r="14410" spans="1:9" ht="16.5">
      <c r="A14410" s="10" t="b">
        <v>0</v>
      </c>
      <c r="B14410" s="11" t="str">
        <f>IF(D14410&lt;&gt;"",IF(COUNTIF('USPTO TMs'!A:A,D14410)&gt;0,"Yes","No"),"")</f>
        <v/>
      </c>
      <c r="C14410" s="11"/>
      <c r="D14410" s="11"/>
      <c r="E14410" s="11"/>
      <c r="F14410" s="11"/>
      <c r="G14410" s="11"/>
      <c r="H14410" s="11"/>
      <c r="I14410" s="15"/>
    </row>
    <row r="14411" spans="1:9" ht="16.5">
      <c r="A14411" s="10" t="b">
        <v>0</v>
      </c>
      <c r="B14411" s="11" t="str">
        <f>IF(D14411&lt;&gt;"",IF(COUNTIF('USPTO TMs'!A:A,D14411)&gt;0,"Yes","No"),"")</f>
        <v/>
      </c>
      <c r="C14411" s="11"/>
      <c r="D14411" s="11"/>
      <c r="E14411" s="11"/>
      <c r="F14411" s="11"/>
      <c r="G14411" s="11"/>
      <c r="H14411" s="11"/>
      <c r="I14411" s="15"/>
    </row>
    <row r="14412" spans="1:9" ht="16.5">
      <c r="A14412" s="10" t="b">
        <v>0</v>
      </c>
      <c r="B14412" s="11" t="str">
        <f>IF(D14412&lt;&gt;"",IF(COUNTIF('USPTO TMs'!A:A,D14412)&gt;0,"Yes","No"),"")</f>
        <v/>
      </c>
      <c r="C14412" s="11"/>
      <c r="D14412" s="11"/>
      <c r="E14412" s="11"/>
      <c r="F14412" s="11"/>
      <c r="G14412" s="11"/>
      <c r="H14412" s="11"/>
      <c r="I14412" s="15"/>
    </row>
    <row r="14413" spans="1:9" ht="16.5">
      <c r="A14413" s="10" t="b">
        <v>0</v>
      </c>
      <c r="B14413" s="11" t="str">
        <f>IF(D14413&lt;&gt;"",IF(COUNTIF('USPTO TMs'!A:A,D14413)&gt;0,"Yes","No"),"")</f>
        <v/>
      </c>
      <c r="C14413" s="11"/>
      <c r="D14413" s="11"/>
      <c r="E14413" s="11"/>
      <c r="F14413" s="11"/>
      <c r="G14413" s="11"/>
      <c r="H14413" s="11"/>
      <c r="I14413" s="15"/>
    </row>
    <row r="14414" spans="1:9" ht="16.5">
      <c r="A14414" s="10" t="b">
        <v>0</v>
      </c>
      <c r="B14414" s="11" t="str">
        <f>IF(D14414&lt;&gt;"",IF(COUNTIF('USPTO TMs'!A:A,D14414)&gt;0,"Yes","No"),"")</f>
        <v/>
      </c>
      <c r="C14414" s="11"/>
      <c r="D14414" s="11"/>
      <c r="E14414" s="11"/>
      <c r="F14414" s="11"/>
      <c r="G14414" s="11"/>
      <c r="H14414" s="11"/>
      <c r="I14414" s="15"/>
    </row>
    <row r="14415" spans="1:9" ht="16.5">
      <c r="A14415" s="10" t="b">
        <v>0</v>
      </c>
      <c r="B14415" s="11" t="str">
        <f>IF(D14415&lt;&gt;"",IF(COUNTIF('USPTO TMs'!A:A,D14415)&gt;0,"Yes","No"),"")</f>
        <v/>
      </c>
      <c r="C14415" s="11"/>
      <c r="D14415" s="11"/>
      <c r="E14415" s="11"/>
      <c r="F14415" s="11"/>
      <c r="G14415" s="11"/>
      <c r="H14415" s="11"/>
      <c r="I14415" s="15"/>
    </row>
    <row r="14416" spans="1:9" ht="16.5">
      <c r="A14416" s="10" t="b">
        <v>0</v>
      </c>
      <c r="B14416" s="11" t="str">
        <f>IF(D14416&lt;&gt;"",IF(COUNTIF('USPTO TMs'!A:A,D14416)&gt;0,"Yes","No"),"")</f>
        <v/>
      </c>
      <c r="C14416" s="11"/>
      <c r="D14416" s="11"/>
      <c r="E14416" s="11"/>
      <c r="F14416" s="11"/>
      <c r="G14416" s="11"/>
      <c r="H14416" s="11"/>
      <c r="I14416" s="15"/>
    </row>
    <row r="14417" spans="1:9" ht="16.5">
      <c r="A14417" s="10" t="b">
        <v>0</v>
      </c>
      <c r="B14417" s="11" t="str">
        <f>IF(D14417&lt;&gt;"",IF(COUNTIF('USPTO TMs'!A:A,D14417)&gt;0,"Yes","No"),"")</f>
        <v/>
      </c>
      <c r="C14417" s="11"/>
      <c r="D14417" s="11"/>
      <c r="E14417" s="11"/>
      <c r="F14417" s="11"/>
      <c r="G14417" s="11"/>
      <c r="H14417" s="11"/>
      <c r="I14417" s="15"/>
    </row>
    <row r="14418" spans="1:9" ht="16.5">
      <c r="A14418" s="10" t="b">
        <v>0</v>
      </c>
      <c r="B14418" s="11" t="str">
        <f>IF(D14418&lt;&gt;"",IF(COUNTIF('USPTO TMs'!A:A,D14418)&gt;0,"Yes","No"),"")</f>
        <v/>
      </c>
      <c r="C14418" s="11"/>
      <c r="D14418" s="11"/>
      <c r="E14418" s="11"/>
      <c r="F14418" s="11"/>
      <c r="G14418" s="11"/>
      <c r="H14418" s="11"/>
      <c r="I14418" s="15"/>
    </row>
    <row r="14419" spans="1:9" ht="16.5">
      <c r="A14419" s="10" t="b">
        <v>0</v>
      </c>
      <c r="B14419" s="11" t="str">
        <f>IF(D14419&lt;&gt;"",IF(COUNTIF('USPTO TMs'!A:A,D14419)&gt;0,"Yes","No"),"")</f>
        <v/>
      </c>
      <c r="C14419" s="11"/>
      <c r="D14419" s="11"/>
      <c r="E14419" s="11"/>
      <c r="F14419" s="11"/>
      <c r="G14419" s="11"/>
      <c r="H14419" s="11"/>
      <c r="I14419" s="15"/>
    </row>
    <row r="14420" spans="1:9" ht="16.5">
      <c r="A14420" s="10" t="b">
        <v>0</v>
      </c>
      <c r="B14420" s="11" t="str">
        <f>IF(D14420&lt;&gt;"",IF(COUNTIF('USPTO TMs'!A:A,D14420)&gt;0,"Yes","No"),"")</f>
        <v/>
      </c>
      <c r="C14420" s="11"/>
      <c r="D14420" s="11"/>
      <c r="E14420" s="11"/>
      <c r="F14420" s="11"/>
      <c r="G14420" s="11"/>
      <c r="H14420" s="11"/>
      <c r="I14420" s="15"/>
    </row>
    <row r="14421" spans="1:9" ht="16.5">
      <c r="A14421" s="10" t="b">
        <v>0</v>
      </c>
      <c r="B14421" s="11" t="str">
        <f>IF(D14421&lt;&gt;"",IF(COUNTIF('USPTO TMs'!A:A,D14421)&gt;0,"Yes","No"),"")</f>
        <v/>
      </c>
      <c r="C14421" s="11"/>
      <c r="D14421" s="11"/>
      <c r="E14421" s="11"/>
      <c r="F14421" s="11"/>
      <c r="G14421" s="11"/>
      <c r="H14421" s="11"/>
      <c r="I14421" s="15"/>
    </row>
    <row r="14422" spans="1:9" ht="16.5">
      <c r="A14422" s="10" t="b">
        <v>0</v>
      </c>
      <c r="B14422" s="11" t="str">
        <f>IF(D14422&lt;&gt;"",IF(COUNTIF('USPTO TMs'!A:A,D14422)&gt;0,"Yes","No"),"")</f>
        <v/>
      </c>
      <c r="C14422" s="11"/>
      <c r="D14422" s="11"/>
      <c r="E14422" s="11"/>
      <c r="F14422" s="11"/>
      <c r="G14422" s="11"/>
      <c r="H14422" s="11"/>
      <c r="I14422" s="15"/>
    </row>
    <row r="14423" spans="1:9" ht="16.5">
      <c r="A14423" s="10" t="b">
        <v>0</v>
      </c>
      <c r="B14423" s="11" t="str">
        <f>IF(D14423&lt;&gt;"",IF(COUNTIF('USPTO TMs'!A:A,D14423)&gt;0,"Yes","No"),"")</f>
        <v/>
      </c>
      <c r="C14423" s="11"/>
      <c r="D14423" s="11"/>
      <c r="E14423" s="11"/>
      <c r="F14423" s="11"/>
      <c r="G14423" s="11"/>
      <c r="H14423" s="11"/>
      <c r="I14423" s="15"/>
    </row>
    <row r="14424" spans="1:9" ht="16.5">
      <c r="A14424" s="10" t="b">
        <v>0</v>
      </c>
      <c r="B14424" s="11" t="str">
        <f>IF(D14424&lt;&gt;"",IF(COUNTIF('USPTO TMs'!A:A,D14424)&gt;0,"Yes","No"),"")</f>
        <v/>
      </c>
      <c r="C14424" s="11"/>
      <c r="D14424" s="11"/>
      <c r="E14424" s="11"/>
      <c r="F14424" s="11"/>
      <c r="G14424" s="11"/>
      <c r="H14424" s="11"/>
      <c r="I14424" s="15"/>
    </row>
    <row r="14425" spans="1:9" ht="16.5">
      <c r="A14425" s="10" t="b">
        <v>0</v>
      </c>
      <c r="B14425" s="11" t="str">
        <f>IF(D14425&lt;&gt;"",IF(COUNTIF('USPTO TMs'!A:A,D14425)&gt;0,"Yes","No"),"")</f>
        <v/>
      </c>
      <c r="C14425" s="11"/>
      <c r="D14425" s="11"/>
      <c r="E14425" s="11"/>
      <c r="F14425" s="11"/>
      <c r="G14425" s="11"/>
      <c r="H14425" s="11"/>
      <c r="I14425" s="15"/>
    </row>
    <row r="14426" spans="1:9" ht="16.5">
      <c r="A14426" s="10" t="b">
        <v>0</v>
      </c>
      <c r="B14426" s="11" t="str">
        <f>IF(D14426&lt;&gt;"",IF(COUNTIF('USPTO TMs'!A:A,D14426)&gt;0,"Yes","No"),"")</f>
        <v/>
      </c>
      <c r="C14426" s="11"/>
      <c r="D14426" s="11"/>
      <c r="E14426" s="11"/>
      <c r="F14426" s="11"/>
      <c r="G14426" s="11"/>
      <c r="H14426" s="11"/>
      <c r="I14426" s="15"/>
    </row>
    <row r="14427" spans="1:9" ht="16.5">
      <c r="A14427" s="10" t="b">
        <v>0</v>
      </c>
      <c r="B14427" s="11" t="str">
        <f>IF(D14427&lt;&gt;"",IF(COUNTIF('USPTO TMs'!A:A,D14427)&gt;0,"Yes","No"),"")</f>
        <v/>
      </c>
      <c r="C14427" s="11"/>
      <c r="D14427" s="11"/>
      <c r="E14427" s="11"/>
      <c r="F14427" s="11"/>
      <c r="G14427" s="11"/>
      <c r="H14427" s="11"/>
      <c r="I14427" s="15"/>
    </row>
    <row r="14428" spans="1:9" ht="16.5">
      <c r="A14428" s="10" t="b">
        <v>0</v>
      </c>
      <c r="B14428" s="11" t="str">
        <f>IF(D14428&lt;&gt;"",IF(COUNTIF('USPTO TMs'!A:A,D14428)&gt;0,"Yes","No"),"")</f>
        <v/>
      </c>
      <c r="C14428" s="11"/>
      <c r="D14428" s="11"/>
      <c r="E14428" s="11"/>
      <c r="F14428" s="11"/>
      <c r="G14428" s="11"/>
      <c r="H14428" s="11"/>
      <c r="I14428" s="15"/>
    </row>
    <row r="14429" spans="1:9" ht="16.5">
      <c r="A14429" s="10" t="b">
        <v>0</v>
      </c>
      <c r="B14429" s="11" t="str">
        <f>IF(D14429&lt;&gt;"",IF(COUNTIF('USPTO TMs'!A:A,D14429)&gt;0,"Yes","No"),"")</f>
        <v/>
      </c>
      <c r="C14429" s="11"/>
      <c r="D14429" s="11"/>
      <c r="E14429" s="11"/>
      <c r="F14429" s="11"/>
      <c r="G14429" s="11"/>
      <c r="H14429" s="11"/>
      <c r="I14429" s="15"/>
    </row>
    <row r="14430" spans="1:9" ht="16.5">
      <c r="A14430" s="10" t="b">
        <v>0</v>
      </c>
      <c r="B14430" s="11" t="str">
        <f>IF(D14430&lt;&gt;"",IF(COUNTIF('USPTO TMs'!A:A,D14430)&gt;0,"Yes","No"),"")</f>
        <v/>
      </c>
      <c r="C14430" s="11"/>
      <c r="D14430" s="11"/>
      <c r="E14430" s="11"/>
      <c r="F14430" s="11"/>
      <c r="G14430" s="11"/>
      <c r="H14430" s="11"/>
      <c r="I14430" s="15"/>
    </row>
    <row r="14431" spans="1:9" ht="16.5">
      <c r="A14431" s="10" t="b">
        <v>0</v>
      </c>
      <c r="B14431" s="11" t="str">
        <f>IF(D14431&lt;&gt;"",IF(COUNTIF('USPTO TMs'!A:A,D14431)&gt;0,"Yes","No"),"")</f>
        <v/>
      </c>
      <c r="C14431" s="11"/>
      <c r="D14431" s="11"/>
      <c r="E14431" s="11"/>
      <c r="F14431" s="11"/>
      <c r="G14431" s="11"/>
      <c r="H14431" s="11"/>
      <c r="I14431" s="15"/>
    </row>
    <row r="14432" spans="1:9" ht="16.5">
      <c r="A14432" s="10" t="b">
        <v>0</v>
      </c>
      <c r="B14432" s="11" t="str">
        <f>IF(D14432&lt;&gt;"",IF(COUNTIF('USPTO TMs'!A:A,D14432)&gt;0,"Yes","No"),"")</f>
        <v/>
      </c>
      <c r="C14432" s="11"/>
      <c r="D14432" s="11"/>
      <c r="E14432" s="11"/>
      <c r="F14432" s="11"/>
      <c r="G14432" s="11"/>
      <c r="H14432" s="11"/>
      <c r="I14432" s="15"/>
    </row>
    <row r="14433" spans="1:9" ht="16.5">
      <c r="A14433" s="10" t="b">
        <v>0</v>
      </c>
      <c r="B14433" s="11" t="str">
        <f>IF(D14433&lt;&gt;"",IF(COUNTIF('USPTO TMs'!A:A,D14433)&gt;0,"Yes","No"),"")</f>
        <v/>
      </c>
      <c r="C14433" s="11"/>
      <c r="D14433" s="11"/>
      <c r="E14433" s="11"/>
      <c r="F14433" s="11"/>
      <c r="G14433" s="11"/>
      <c r="H14433" s="11"/>
      <c r="I14433" s="15"/>
    </row>
    <row r="14434" spans="1:9" ht="16.5">
      <c r="A14434" s="10" t="b">
        <v>0</v>
      </c>
      <c r="B14434" s="11" t="str">
        <f>IF(D14434&lt;&gt;"",IF(COUNTIF('USPTO TMs'!A:A,D14434)&gt;0,"Yes","No"),"")</f>
        <v/>
      </c>
      <c r="C14434" s="11"/>
      <c r="D14434" s="11"/>
      <c r="E14434" s="11"/>
      <c r="F14434" s="11"/>
      <c r="G14434" s="11"/>
      <c r="H14434" s="11"/>
      <c r="I14434" s="15"/>
    </row>
    <row r="14435" spans="1:9" ht="16.5">
      <c r="A14435" s="10" t="b">
        <v>0</v>
      </c>
      <c r="B14435" s="11" t="str">
        <f>IF(D14435&lt;&gt;"",IF(COUNTIF('USPTO TMs'!A:A,D14435)&gt;0,"Yes","No"),"")</f>
        <v/>
      </c>
      <c r="C14435" s="11"/>
      <c r="D14435" s="11"/>
      <c r="E14435" s="11"/>
      <c r="F14435" s="11"/>
      <c r="G14435" s="11"/>
      <c r="H14435" s="11"/>
      <c r="I14435" s="15"/>
    </row>
    <row r="14436" spans="1:9" ht="16.5">
      <c r="A14436" s="10" t="b">
        <v>0</v>
      </c>
      <c r="B14436" s="11" t="str">
        <f>IF(D14436&lt;&gt;"",IF(COUNTIF('USPTO TMs'!A:A,D14436)&gt;0,"Yes","No"),"")</f>
        <v/>
      </c>
      <c r="C14436" s="11"/>
      <c r="D14436" s="11"/>
      <c r="E14436" s="11"/>
      <c r="F14436" s="11"/>
      <c r="G14436" s="11"/>
      <c r="H14436" s="11"/>
      <c r="I14436" s="15"/>
    </row>
    <row r="14437" spans="1:9" ht="16.5">
      <c r="A14437" s="10" t="b">
        <v>0</v>
      </c>
      <c r="B14437" s="11" t="str">
        <f>IF(D14437&lt;&gt;"",IF(COUNTIF('USPTO TMs'!A:A,D14437)&gt;0,"Yes","No"),"")</f>
        <v/>
      </c>
      <c r="C14437" s="11"/>
      <c r="D14437" s="11"/>
      <c r="E14437" s="11"/>
      <c r="F14437" s="11"/>
      <c r="G14437" s="11"/>
      <c r="H14437" s="11"/>
      <c r="I14437" s="15"/>
    </row>
    <row r="14438" spans="1:9" ht="16.5">
      <c r="A14438" s="10" t="b">
        <v>0</v>
      </c>
      <c r="B14438" s="11" t="str">
        <f>IF(D14438&lt;&gt;"",IF(COUNTIF('USPTO TMs'!A:A,D14438)&gt;0,"Yes","No"),"")</f>
        <v/>
      </c>
      <c r="C14438" s="11"/>
      <c r="D14438" s="11"/>
      <c r="E14438" s="11"/>
      <c r="F14438" s="11"/>
      <c r="G14438" s="11"/>
      <c r="H14438" s="11"/>
      <c r="I14438" s="15"/>
    </row>
    <row r="14439" spans="1:9" ht="16.5">
      <c r="A14439" s="10" t="b">
        <v>0</v>
      </c>
      <c r="B14439" s="11" t="str">
        <f>IF(D14439&lt;&gt;"",IF(COUNTIF('USPTO TMs'!A:A,D14439)&gt;0,"Yes","No"),"")</f>
        <v/>
      </c>
      <c r="C14439" s="11"/>
      <c r="D14439" s="11"/>
      <c r="E14439" s="11"/>
      <c r="F14439" s="11"/>
      <c r="G14439" s="11"/>
      <c r="H14439" s="11"/>
      <c r="I14439" s="15"/>
    </row>
    <row r="14440" spans="1:9" ht="16.5">
      <c r="A14440" s="10" t="b">
        <v>0</v>
      </c>
      <c r="B14440" s="11" t="str">
        <f>IF(D14440&lt;&gt;"",IF(COUNTIF('USPTO TMs'!A:A,D14440)&gt;0,"Yes","No"),"")</f>
        <v/>
      </c>
      <c r="C14440" s="11"/>
      <c r="D14440" s="11"/>
      <c r="E14440" s="11"/>
      <c r="F14440" s="11"/>
      <c r="G14440" s="11"/>
      <c r="H14440" s="11"/>
      <c r="I14440" s="15"/>
    </row>
    <row r="14441" spans="1:9" ht="16.5">
      <c r="A14441" s="10" t="b">
        <v>0</v>
      </c>
      <c r="B14441" s="11" t="str">
        <f>IF(D14441&lt;&gt;"",IF(COUNTIF('USPTO TMs'!A:A,D14441)&gt;0,"Yes","No"),"")</f>
        <v/>
      </c>
      <c r="C14441" s="11"/>
      <c r="D14441" s="11"/>
      <c r="E14441" s="11"/>
      <c r="F14441" s="11"/>
      <c r="G14441" s="11"/>
      <c r="H14441" s="11"/>
      <c r="I14441" s="15"/>
    </row>
    <row r="14442" spans="1:9" ht="16.5">
      <c r="A14442" s="10" t="b">
        <v>0</v>
      </c>
      <c r="B14442" s="11" t="str">
        <f>IF(D14442&lt;&gt;"",IF(COUNTIF('USPTO TMs'!A:A,D14442)&gt;0,"Yes","No"),"")</f>
        <v/>
      </c>
      <c r="C14442" s="11"/>
      <c r="D14442" s="11"/>
      <c r="E14442" s="11"/>
      <c r="F14442" s="11"/>
      <c r="G14442" s="11"/>
      <c r="H14442" s="11"/>
      <c r="I14442" s="15"/>
    </row>
    <row r="14443" spans="1:9" ht="16.5">
      <c r="A14443" s="10" t="b">
        <v>0</v>
      </c>
      <c r="B14443" s="11" t="str">
        <f>IF(D14443&lt;&gt;"",IF(COUNTIF('USPTO TMs'!A:A,D14443)&gt;0,"Yes","No"),"")</f>
        <v/>
      </c>
      <c r="C14443" s="11"/>
      <c r="D14443" s="11"/>
      <c r="E14443" s="11"/>
      <c r="F14443" s="11"/>
      <c r="G14443" s="11"/>
      <c r="H14443" s="11"/>
      <c r="I14443" s="15"/>
    </row>
    <row r="14444" spans="1:9" ht="16.5">
      <c r="A14444" s="10" t="b">
        <v>0</v>
      </c>
      <c r="B14444" s="11" t="str">
        <f>IF(D14444&lt;&gt;"",IF(COUNTIF('USPTO TMs'!A:A,D14444)&gt;0,"Yes","No"),"")</f>
        <v/>
      </c>
      <c r="C14444" s="11"/>
      <c r="D14444" s="11"/>
      <c r="E14444" s="11"/>
      <c r="F14444" s="11"/>
      <c r="G14444" s="11"/>
      <c r="H14444" s="11"/>
      <c r="I14444" s="15"/>
    </row>
    <row r="14445" spans="1:9" ht="16.5">
      <c r="A14445" s="10" t="b">
        <v>0</v>
      </c>
      <c r="B14445" s="11" t="str">
        <f>IF(D14445&lt;&gt;"",IF(COUNTIF('USPTO TMs'!A:A,D14445)&gt;0,"Yes","No"),"")</f>
        <v/>
      </c>
      <c r="C14445" s="11"/>
      <c r="D14445" s="11"/>
      <c r="E14445" s="11"/>
      <c r="F14445" s="11"/>
      <c r="G14445" s="11"/>
      <c r="H14445" s="11"/>
      <c r="I14445" s="15"/>
    </row>
    <row r="14446" spans="1:9" ht="16.5">
      <c r="A14446" s="10" t="b">
        <v>0</v>
      </c>
      <c r="B14446" s="11" t="str">
        <f>IF(D14446&lt;&gt;"",IF(COUNTIF('USPTO TMs'!A:A,D14446)&gt;0,"Yes","No"),"")</f>
        <v/>
      </c>
      <c r="C14446" s="11"/>
      <c r="D14446" s="11"/>
      <c r="E14446" s="11"/>
      <c r="F14446" s="11"/>
      <c r="G14446" s="11"/>
      <c r="H14446" s="11"/>
      <c r="I14446" s="15"/>
    </row>
    <row r="14447" spans="1:9" ht="16.5">
      <c r="A14447" s="10" t="b">
        <v>0</v>
      </c>
      <c r="B14447" s="11" t="str">
        <f>IF(D14447&lt;&gt;"",IF(COUNTIF('USPTO TMs'!A:A,D14447)&gt;0,"Yes","No"),"")</f>
        <v/>
      </c>
      <c r="C14447" s="11"/>
      <c r="D14447" s="11"/>
      <c r="E14447" s="11"/>
      <c r="F14447" s="11"/>
      <c r="G14447" s="11"/>
      <c r="H14447" s="11"/>
      <c r="I14447" s="15"/>
    </row>
    <row r="14448" spans="1:9" ht="16.5">
      <c r="A14448" s="10" t="b">
        <v>0</v>
      </c>
      <c r="B14448" s="11" t="str">
        <f>IF(D14448&lt;&gt;"",IF(COUNTIF('USPTO TMs'!A:A,D14448)&gt;0,"Yes","No"),"")</f>
        <v/>
      </c>
      <c r="C14448" s="11"/>
      <c r="D14448" s="11"/>
      <c r="E14448" s="11"/>
      <c r="F14448" s="11"/>
      <c r="G14448" s="11"/>
      <c r="H14448" s="11"/>
      <c r="I14448" s="15"/>
    </row>
    <row r="14449" spans="1:9" ht="16.5">
      <c r="A14449" s="10" t="b">
        <v>0</v>
      </c>
      <c r="B14449" s="11" t="str">
        <f>IF(D14449&lt;&gt;"",IF(COUNTIF('USPTO TMs'!A:A,D14449)&gt;0,"Yes","No"),"")</f>
        <v/>
      </c>
      <c r="C14449" s="11"/>
      <c r="D14449" s="11"/>
      <c r="E14449" s="11"/>
      <c r="F14449" s="11"/>
      <c r="G14449" s="11"/>
      <c r="H14449" s="11"/>
      <c r="I14449" s="15"/>
    </row>
    <row r="14450" spans="1:9" ht="16.5">
      <c r="A14450" s="10" t="b">
        <v>0</v>
      </c>
      <c r="B14450" s="11" t="str">
        <f>IF(D14450&lt;&gt;"",IF(COUNTIF('USPTO TMs'!A:A,D14450)&gt;0,"Yes","No"),"")</f>
        <v/>
      </c>
      <c r="C14450" s="11"/>
      <c r="D14450" s="11"/>
      <c r="E14450" s="11"/>
      <c r="F14450" s="11"/>
      <c r="G14450" s="11"/>
      <c r="H14450" s="11"/>
      <c r="I14450" s="15"/>
    </row>
    <row r="14451" spans="1:9" ht="16.5">
      <c r="A14451" s="10" t="b">
        <v>0</v>
      </c>
      <c r="B14451" s="11" t="str">
        <f>IF(D14451&lt;&gt;"",IF(COUNTIF('USPTO TMs'!A:A,D14451)&gt;0,"Yes","No"),"")</f>
        <v/>
      </c>
      <c r="C14451" s="11"/>
      <c r="D14451" s="11"/>
      <c r="E14451" s="11"/>
      <c r="F14451" s="11"/>
      <c r="G14451" s="11"/>
      <c r="H14451" s="11"/>
      <c r="I14451" s="15"/>
    </row>
    <row r="14452" spans="1:9" ht="16.5">
      <c r="A14452" s="10" t="b">
        <v>0</v>
      </c>
      <c r="B14452" s="11" t="str">
        <f>IF(D14452&lt;&gt;"",IF(COUNTIF('USPTO TMs'!A:A,D14452)&gt;0,"Yes","No"),"")</f>
        <v/>
      </c>
      <c r="C14452" s="11"/>
      <c r="D14452" s="11"/>
      <c r="E14452" s="11"/>
      <c r="F14452" s="11"/>
      <c r="G14452" s="11"/>
      <c r="H14452" s="11"/>
      <c r="I14452" s="15"/>
    </row>
    <row r="14453" spans="1:9" ht="16.5">
      <c r="A14453" s="10" t="b">
        <v>0</v>
      </c>
      <c r="B14453" s="11" t="str">
        <f>IF(D14453&lt;&gt;"",IF(COUNTIF('USPTO TMs'!A:A,D14453)&gt;0,"Yes","No"),"")</f>
        <v/>
      </c>
      <c r="C14453" s="11"/>
      <c r="D14453" s="11"/>
      <c r="E14453" s="11"/>
      <c r="F14453" s="11"/>
      <c r="G14453" s="11"/>
      <c r="H14453" s="11"/>
      <c r="I14453" s="15"/>
    </row>
    <row r="14454" spans="1:9" ht="16.5">
      <c r="A14454" s="10" t="b">
        <v>0</v>
      </c>
      <c r="B14454" s="11" t="str">
        <f>IF(D14454&lt;&gt;"",IF(COUNTIF('USPTO TMs'!A:A,D14454)&gt;0,"Yes","No"),"")</f>
        <v/>
      </c>
      <c r="C14454" s="11"/>
      <c r="D14454" s="11"/>
      <c r="E14454" s="11"/>
      <c r="F14454" s="11"/>
      <c r="G14454" s="11"/>
      <c r="H14454" s="11"/>
      <c r="I14454" s="15"/>
    </row>
    <row r="14455" spans="1:9" ht="16.5">
      <c r="A14455" s="10" t="b">
        <v>0</v>
      </c>
      <c r="B14455" s="11" t="str">
        <f>IF(D14455&lt;&gt;"",IF(COUNTIF('USPTO TMs'!A:A,D14455)&gt;0,"Yes","No"),"")</f>
        <v/>
      </c>
      <c r="C14455" s="11"/>
      <c r="D14455" s="11"/>
      <c r="E14455" s="11"/>
      <c r="F14455" s="11"/>
      <c r="G14455" s="11"/>
      <c r="H14455" s="11"/>
      <c r="I14455" s="15"/>
    </row>
    <row r="14456" spans="1:9" ht="16.5">
      <c r="A14456" s="10" t="b">
        <v>0</v>
      </c>
      <c r="B14456" s="11" t="str">
        <f>IF(D14456&lt;&gt;"",IF(COUNTIF('USPTO TMs'!A:A,D14456)&gt;0,"Yes","No"),"")</f>
        <v/>
      </c>
      <c r="C14456" s="11"/>
      <c r="D14456" s="11"/>
      <c r="E14456" s="11"/>
      <c r="F14456" s="11"/>
      <c r="G14456" s="11"/>
      <c r="H14456" s="11"/>
      <c r="I14456" s="15"/>
    </row>
    <row r="14457" spans="1:9" ht="16.5">
      <c r="A14457" s="10" t="b">
        <v>0</v>
      </c>
      <c r="B14457" s="11" t="str">
        <f>IF(D14457&lt;&gt;"",IF(COUNTIF('USPTO TMs'!A:A,D14457)&gt;0,"Yes","No"),"")</f>
        <v/>
      </c>
      <c r="C14457" s="11"/>
      <c r="D14457" s="11"/>
      <c r="E14457" s="11"/>
      <c r="F14457" s="11"/>
      <c r="G14457" s="11"/>
      <c r="H14457" s="11"/>
      <c r="I14457" s="15"/>
    </row>
    <row r="14458" spans="1:9" ht="16.5">
      <c r="A14458" s="10" t="b">
        <v>0</v>
      </c>
      <c r="B14458" s="11" t="str">
        <f>IF(D14458&lt;&gt;"",IF(COUNTIF('USPTO TMs'!A:A,D14458)&gt;0,"Yes","No"),"")</f>
        <v/>
      </c>
      <c r="C14458" s="11"/>
      <c r="D14458" s="11"/>
      <c r="E14458" s="11"/>
      <c r="F14458" s="11"/>
      <c r="G14458" s="11"/>
      <c r="H14458" s="11"/>
      <c r="I14458" s="15"/>
    </row>
    <row r="14459" spans="1:9" ht="16.5">
      <c r="A14459" s="10" t="b">
        <v>0</v>
      </c>
      <c r="B14459" s="11" t="str">
        <f>IF(D14459&lt;&gt;"",IF(COUNTIF('USPTO TMs'!A:A,D14459)&gt;0,"Yes","No"),"")</f>
        <v/>
      </c>
      <c r="C14459" s="11"/>
      <c r="D14459" s="11"/>
      <c r="E14459" s="11"/>
      <c r="F14459" s="11"/>
      <c r="G14459" s="11"/>
      <c r="H14459" s="11"/>
      <c r="I14459" s="15"/>
    </row>
    <row r="14460" spans="1:9" ht="16.5">
      <c r="A14460" s="10" t="b">
        <v>0</v>
      </c>
      <c r="B14460" s="11" t="str">
        <f>IF(D14460&lt;&gt;"",IF(COUNTIF('USPTO TMs'!A:A,D14460)&gt;0,"Yes","No"),"")</f>
        <v/>
      </c>
      <c r="C14460" s="11"/>
      <c r="D14460" s="11"/>
      <c r="E14460" s="11"/>
      <c r="F14460" s="11"/>
      <c r="G14460" s="11"/>
      <c r="H14460" s="11"/>
      <c r="I14460" s="15"/>
    </row>
    <row r="14461" spans="1:9" ht="16.5">
      <c r="A14461" s="10" t="b">
        <v>0</v>
      </c>
      <c r="B14461" s="11" t="str">
        <f>IF(D14461&lt;&gt;"",IF(COUNTIF('USPTO TMs'!A:A,D14461)&gt;0,"Yes","No"),"")</f>
        <v/>
      </c>
      <c r="C14461" s="11"/>
      <c r="D14461" s="11"/>
      <c r="E14461" s="11"/>
      <c r="F14461" s="11"/>
      <c r="G14461" s="11"/>
      <c r="H14461" s="11"/>
      <c r="I14461" s="15"/>
    </row>
    <row r="14462" spans="1:9" ht="16.5">
      <c r="A14462" s="10" t="b">
        <v>0</v>
      </c>
      <c r="B14462" s="11" t="str">
        <f>IF(D14462&lt;&gt;"",IF(COUNTIF('USPTO TMs'!A:A,D14462)&gt;0,"Yes","No"),"")</f>
        <v/>
      </c>
      <c r="C14462" s="11"/>
      <c r="D14462" s="11"/>
      <c r="E14462" s="11"/>
      <c r="F14462" s="11"/>
      <c r="G14462" s="11"/>
      <c r="H14462" s="11"/>
      <c r="I14462" s="15"/>
    </row>
    <row r="14463" spans="1:9" ht="16.5">
      <c r="A14463" s="10" t="b">
        <v>0</v>
      </c>
      <c r="B14463" s="11" t="str">
        <f>IF(D14463&lt;&gt;"",IF(COUNTIF('USPTO TMs'!A:A,D14463)&gt;0,"Yes","No"),"")</f>
        <v/>
      </c>
      <c r="C14463" s="11"/>
      <c r="D14463" s="11"/>
      <c r="E14463" s="11"/>
      <c r="F14463" s="11"/>
      <c r="G14463" s="11"/>
      <c r="H14463" s="11"/>
      <c r="I14463" s="15"/>
    </row>
    <row r="14464" spans="1:9" ht="16.5">
      <c r="A14464" s="10" t="b">
        <v>0</v>
      </c>
      <c r="B14464" s="11" t="str">
        <f>IF(D14464&lt;&gt;"",IF(COUNTIF('USPTO TMs'!A:A,D14464)&gt;0,"Yes","No"),"")</f>
        <v/>
      </c>
      <c r="C14464" s="11"/>
      <c r="D14464" s="11"/>
      <c r="E14464" s="11"/>
      <c r="F14464" s="11"/>
      <c r="G14464" s="11"/>
      <c r="H14464" s="11"/>
      <c r="I14464" s="15"/>
    </row>
    <row r="14465" spans="1:9" ht="16.5">
      <c r="A14465" s="10" t="b">
        <v>0</v>
      </c>
      <c r="B14465" s="11" t="str">
        <f>IF(D14465&lt;&gt;"",IF(COUNTIF('USPTO TMs'!A:A,D14465)&gt;0,"Yes","No"),"")</f>
        <v/>
      </c>
      <c r="C14465" s="11"/>
      <c r="D14465" s="11"/>
      <c r="E14465" s="11"/>
      <c r="F14465" s="11"/>
      <c r="G14465" s="11"/>
      <c r="H14465" s="11"/>
      <c r="I14465" s="15"/>
    </row>
    <row r="14466" spans="1:9" ht="16.5">
      <c r="A14466" s="10" t="b">
        <v>0</v>
      </c>
      <c r="B14466" s="11" t="str">
        <f>IF(D14466&lt;&gt;"",IF(COUNTIF('USPTO TMs'!A:A,D14466)&gt;0,"Yes","No"),"")</f>
        <v/>
      </c>
      <c r="C14466" s="11"/>
      <c r="D14466" s="11"/>
      <c r="E14466" s="11"/>
      <c r="F14466" s="11"/>
      <c r="G14466" s="11"/>
      <c r="H14466" s="11"/>
      <c r="I14466" s="15"/>
    </row>
    <row r="14467" spans="1:9" ht="16.5">
      <c r="A14467" s="10" t="b">
        <v>0</v>
      </c>
      <c r="B14467" s="11" t="str">
        <f>IF(D14467&lt;&gt;"",IF(COUNTIF('USPTO TMs'!A:A,D14467)&gt;0,"Yes","No"),"")</f>
        <v/>
      </c>
      <c r="C14467" s="11"/>
      <c r="D14467" s="11"/>
      <c r="E14467" s="11"/>
      <c r="F14467" s="11"/>
      <c r="G14467" s="11"/>
      <c r="H14467" s="11"/>
      <c r="I14467" s="15"/>
    </row>
    <row r="14468" spans="1:9" ht="16.5">
      <c r="A14468" s="10" t="b">
        <v>0</v>
      </c>
      <c r="B14468" s="11" t="str">
        <f>IF(D14468&lt;&gt;"",IF(COUNTIF('USPTO TMs'!A:A,D14468)&gt;0,"Yes","No"),"")</f>
        <v/>
      </c>
      <c r="C14468" s="11"/>
      <c r="D14468" s="11"/>
      <c r="E14468" s="11"/>
      <c r="F14468" s="11"/>
      <c r="G14468" s="11"/>
      <c r="H14468" s="11"/>
      <c r="I14468" s="15"/>
    </row>
    <row r="14469" spans="1:9" ht="16.5">
      <c r="A14469" s="10" t="b">
        <v>0</v>
      </c>
      <c r="B14469" s="11" t="str">
        <f>IF(D14469&lt;&gt;"",IF(COUNTIF('USPTO TMs'!A:A,D14469)&gt;0,"Yes","No"),"")</f>
        <v/>
      </c>
      <c r="C14469" s="11"/>
      <c r="D14469" s="11"/>
      <c r="E14469" s="11"/>
      <c r="F14469" s="11"/>
      <c r="G14469" s="11"/>
      <c r="H14469" s="11"/>
      <c r="I14469" s="15"/>
    </row>
    <row r="14470" spans="1:9" ht="16.5">
      <c r="A14470" s="10" t="b">
        <v>0</v>
      </c>
      <c r="B14470" s="11" t="str">
        <f>IF(D14470&lt;&gt;"",IF(COUNTIF('USPTO TMs'!A:A,D14470)&gt;0,"Yes","No"),"")</f>
        <v/>
      </c>
      <c r="C14470" s="11"/>
      <c r="D14470" s="11"/>
      <c r="E14470" s="11"/>
      <c r="F14470" s="11"/>
      <c r="G14470" s="11"/>
      <c r="H14470" s="11"/>
      <c r="I14470" s="15"/>
    </row>
    <row r="14471" spans="1:9" ht="16.5">
      <c r="A14471" s="10" t="b">
        <v>0</v>
      </c>
      <c r="B14471" s="11" t="str">
        <f>IF(D14471&lt;&gt;"",IF(COUNTIF('USPTO TMs'!A:A,D14471)&gt;0,"Yes","No"),"")</f>
        <v/>
      </c>
      <c r="C14471" s="11"/>
      <c r="D14471" s="11"/>
      <c r="E14471" s="11"/>
      <c r="F14471" s="11"/>
      <c r="G14471" s="11"/>
      <c r="H14471" s="11"/>
      <c r="I14471" s="15"/>
    </row>
    <row r="14472" spans="1:9" ht="16.5">
      <c r="A14472" s="10" t="b">
        <v>0</v>
      </c>
      <c r="B14472" s="11" t="str">
        <f>IF(D14472&lt;&gt;"",IF(COUNTIF('USPTO TMs'!A:A,D14472)&gt;0,"Yes","No"),"")</f>
        <v/>
      </c>
      <c r="C14472" s="11"/>
      <c r="D14472" s="11"/>
      <c r="E14472" s="11"/>
      <c r="F14472" s="11"/>
      <c r="G14472" s="11"/>
      <c r="H14472" s="11"/>
      <c r="I14472" s="15"/>
    </row>
    <row r="14473" spans="1:9" ht="16.5">
      <c r="A14473" s="10" t="b">
        <v>0</v>
      </c>
      <c r="B14473" s="11" t="str">
        <f>IF(D14473&lt;&gt;"",IF(COUNTIF('USPTO TMs'!A:A,D14473)&gt;0,"Yes","No"),"")</f>
        <v/>
      </c>
      <c r="C14473" s="11"/>
      <c r="D14473" s="11"/>
      <c r="E14473" s="11"/>
      <c r="F14473" s="11"/>
      <c r="G14473" s="11"/>
      <c r="H14473" s="11"/>
      <c r="I14473" s="15"/>
    </row>
    <row r="14474" spans="1:9" ht="16.5">
      <c r="A14474" s="10" t="b">
        <v>0</v>
      </c>
      <c r="B14474" s="11" t="str">
        <f>IF(D14474&lt;&gt;"",IF(COUNTIF('USPTO TMs'!A:A,D14474)&gt;0,"Yes","No"),"")</f>
        <v/>
      </c>
      <c r="C14474" s="11"/>
      <c r="D14474" s="11"/>
      <c r="E14474" s="11"/>
      <c r="F14474" s="11"/>
      <c r="G14474" s="11"/>
      <c r="H14474" s="11"/>
      <c r="I14474" s="15"/>
    </row>
    <row r="14475" spans="1:9" ht="16.5">
      <c r="A14475" s="10" t="b">
        <v>0</v>
      </c>
      <c r="B14475" s="11" t="str">
        <f>IF(D14475&lt;&gt;"",IF(COUNTIF('USPTO TMs'!A:A,D14475)&gt;0,"Yes","No"),"")</f>
        <v/>
      </c>
      <c r="C14475" s="11"/>
      <c r="D14475" s="11"/>
      <c r="E14475" s="11"/>
      <c r="F14475" s="11"/>
      <c r="G14475" s="11"/>
      <c r="H14475" s="11"/>
      <c r="I14475" s="15"/>
    </row>
    <row r="14476" spans="1:9" ht="16.5">
      <c r="A14476" s="10" t="b">
        <v>0</v>
      </c>
      <c r="B14476" s="11" t="str">
        <f>IF(D14476&lt;&gt;"",IF(COUNTIF('USPTO TMs'!A:A,D14476)&gt;0,"Yes","No"),"")</f>
        <v/>
      </c>
      <c r="C14476" s="11"/>
      <c r="D14476" s="11"/>
      <c r="E14476" s="11"/>
      <c r="F14476" s="11"/>
      <c r="G14476" s="11"/>
      <c r="H14476" s="11"/>
      <c r="I14476" s="15"/>
    </row>
    <row r="14477" spans="1:9" ht="16.5">
      <c r="A14477" s="10" t="b">
        <v>0</v>
      </c>
      <c r="B14477" s="11" t="str">
        <f>IF(D14477&lt;&gt;"",IF(COUNTIF('USPTO TMs'!A:A,D14477)&gt;0,"Yes","No"),"")</f>
        <v/>
      </c>
      <c r="C14477" s="11"/>
      <c r="D14477" s="11"/>
      <c r="E14477" s="11"/>
      <c r="F14477" s="11"/>
      <c r="G14477" s="11"/>
      <c r="H14477" s="11"/>
      <c r="I14477" s="15"/>
    </row>
    <row r="14478" spans="1:9" ht="16.5">
      <c r="A14478" s="10" t="b">
        <v>0</v>
      </c>
      <c r="B14478" s="11" t="str">
        <f>IF(D14478&lt;&gt;"",IF(COUNTIF('USPTO TMs'!A:A,D14478)&gt;0,"Yes","No"),"")</f>
        <v/>
      </c>
      <c r="C14478" s="11"/>
      <c r="D14478" s="11"/>
      <c r="E14478" s="11"/>
      <c r="F14478" s="11"/>
      <c r="G14478" s="11"/>
      <c r="H14478" s="11"/>
      <c r="I14478" s="15"/>
    </row>
    <row r="14479" spans="1:9" ht="16.5">
      <c r="A14479" s="10" t="b">
        <v>0</v>
      </c>
      <c r="B14479" s="11" t="str">
        <f>IF(D14479&lt;&gt;"",IF(COUNTIF('USPTO TMs'!A:A,D14479)&gt;0,"Yes","No"),"")</f>
        <v/>
      </c>
      <c r="C14479" s="11"/>
      <c r="D14479" s="11"/>
      <c r="E14479" s="11"/>
      <c r="F14479" s="11"/>
      <c r="G14479" s="11"/>
      <c r="H14479" s="11"/>
      <c r="I14479" s="15"/>
    </row>
    <row r="14480" spans="1:9" ht="16.5">
      <c r="A14480" s="10" t="b">
        <v>0</v>
      </c>
      <c r="B14480" s="11" t="str">
        <f>IF(D14480&lt;&gt;"",IF(COUNTIF('USPTO TMs'!A:A,D14480)&gt;0,"Yes","No"),"")</f>
        <v/>
      </c>
      <c r="C14480" s="11"/>
      <c r="D14480" s="11"/>
      <c r="E14480" s="11"/>
      <c r="F14480" s="11"/>
      <c r="G14480" s="11"/>
      <c r="H14480" s="11"/>
      <c r="I14480" s="15"/>
    </row>
    <row r="14481" spans="1:9" ht="16.5">
      <c r="A14481" s="10" t="b">
        <v>0</v>
      </c>
      <c r="B14481" s="11" t="str">
        <f>IF(D14481&lt;&gt;"",IF(COUNTIF('USPTO TMs'!A:A,D14481)&gt;0,"Yes","No"),"")</f>
        <v/>
      </c>
      <c r="C14481" s="11"/>
      <c r="D14481" s="11"/>
      <c r="E14481" s="11"/>
      <c r="F14481" s="11"/>
      <c r="G14481" s="11"/>
      <c r="H14481" s="11"/>
      <c r="I14481" s="15"/>
    </row>
    <row r="14482" spans="1:9" ht="16.5">
      <c r="A14482" s="10" t="b">
        <v>0</v>
      </c>
      <c r="B14482" s="11" t="str">
        <f>IF(D14482&lt;&gt;"",IF(COUNTIF('USPTO TMs'!A:A,D14482)&gt;0,"Yes","No"),"")</f>
        <v/>
      </c>
      <c r="C14482" s="11"/>
      <c r="D14482" s="11"/>
      <c r="E14482" s="11"/>
      <c r="F14482" s="11"/>
      <c r="G14482" s="11"/>
      <c r="H14482" s="11"/>
      <c r="I14482" s="15"/>
    </row>
    <row r="14483" spans="1:9" ht="16.5">
      <c r="A14483" s="10" t="b">
        <v>0</v>
      </c>
      <c r="B14483" s="11" t="str">
        <f>IF(D14483&lt;&gt;"",IF(COUNTIF('USPTO TMs'!A:A,D14483)&gt;0,"Yes","No"),"")</f>
        <v/>
      </c>
      <c r="C14483" s="11"/>
      <c r="D14483" s="11"/>
      <c r="E14483" s="11"/>
      <c r="F14483" s="11"/>
      <c r="G14483" s="11"/>
      <c r="H14483" s="11"/>
      <c r="I14483" s="15"/>
    </row>
    <row r="14484" spans="1:9" ht="16.5">
      <c r="A14484" s="10" t="b">
        <v>0</v>
      </c>
      <c r="B14484" s="11" t="str">
        <f>IF(D14484&lt;&gt;"",IF(COUNTIF('USPTO TMs'!A:A,D14484)&gt;0,"Yes","No"),"")</f>
        <v/>
      </c>
      <c r="C14484" s="11"/>
      <c r="D14484" s="11"/>
      <c r="E14484" s="11"/>
      <c r="F14484" s="11"/>
      <c r="G14484" s="11"/>
      <c r="H14484" s="11"/>
      <c r="I14484" s="15"/>
    </row>
    <row r="14485" spans="1:9" ht="16.5">
      <c r="A14485" s="10" t="b">
        <v>0</v>
      </c>
      <c r="B14485" s="11" t="str">
        <f>IF(D14485&lt;&gt;"",IF(COUNTIF('USPTO TMs'!A:A,D14485)&gt;0,"Yes","No"),"")</f>
        <v/>
      </c>
      <c r="C14485" s="11"/>
      <c r="D14485" s="11"/>
      <c r="E14485" s="11"/>
      <c r="F14485" s="11"/>
      <c r="G14485" s="11"/>
      <c r="H14485" s="11"/>
      <c r="I14485" s="15"/>
    </row>
    <row r="14486" spans="1:9" ht="16.5">
      <c r="A14486" s="10" t="b">
        <v>0</v>
      </c>
      <c r="B14486" s="11" t="str">
        <f>IF(D14486&lt;&gt;"",IF(COUNTIF('USPTO TMs'!A:A,D14486)&gt;0,"Yes","No"),"")</f>
        <v/>
      </c>
      <c r="C14486" s="11"/>
      <c r="D14486" s="11"/>
      <c r="E14486" s="11"/>
      <c r="F14486" s="11"/>
      <c r="G14486" s="11"/>
      <c r="H14486" s="11"/>
      <c r="I14486" s="15"/>
    </row>
    <row r="14487" spans="1:9" ht="16.5">
      <c r="A14487" s="10" t="b">
        <v>0</v>
      </c>
      <c r="B14487" s="11" t="str">
        <f>IF(D14487&lt;&gt;"",IF(COUNTIF('USPTO TMs'!A:A,D14487)&gt;0,"Yes","No"),"")</f>
        <v/>
      </c>
      <c r="C14487" s="11"/>
      <c r="D14487" s="11"/>
      <c r="E14487" s="11"/>
      <c r="F14487" s="11"/>
      <c r="G14487" s="11"/>
      <c r="H14487" s="11"/>
      <c r="I14487" s="15"/>
    </row>
    <row r="14488" spans="1:9" ht="16.5">
      <c r="A14488" s="10" t="b">
        <v>0</v>
      </c>
      <c r="B14488" s="11" t="str">
        <f>IF(D14488&lt;&gt;"",IF(COUNTIF('USPTO TMs'!A:A,D14488)&gt;0,"Yes","No"),"")</f>
        <v/>
      </c>
      <c r="C14488" s="11"/>
      <c r="D14488" s="11"/>
      <c r="E14488" s="11"/>
      <c r="F14488" s="11"/>
      <c r="G14488" s="11"/>
      <c r="H14488" s="11"/>
      <c r="I14488" s="15"/>
    </row>
    <row r="14489" spans="1:9" ht="16.5">
      <c r="A14489" s="10" t="b">
        <v>0</v>
      </c>
      <c r="B14489" s="11" t="str">
        <f>IF(D14489&lt;&gt;"",IF(COUNTIF('USPTO TMs'!A:A,D14489)&gt;0,"Yes","No"),"")</f>
        <v/>
      </c>
      <c r="C14489" s="11"/>
      <c r="D14489" s="11"/>
      <c r="E14489" s="11"/>
      <c r="F14489" s="11"/>
      <c r="G14489" s="11"/>
      <c r="H14489" s="11"/>
      <c r="I14489" s="15"/>
    </row>
    <row r="14490" spans="1:9" ht="16.5">
      <c r="A14490" s="10" t="b">
        <v>0</v>
      </c>
      <c r="B14490" s="11" t="str">
        <f>IF(D14490&lt;&gt;"",IF(COUNTIF('USPTO TMs'!A:A,D14490)&gt;0,"Yes","No"),"")</f>
        <v/>
      </c>
      <c r="C14490" s="11"/>
      <c r="D14490" s="11"/>
      <c r="E14490" s="11"/>
      <c r="F14490" s="11"/>
      <c r="G14490" s="11"/>
      <c r="H14490" s="11"/>
      <c r="I14490" s="15"/>
    </row>
    <row r="14491" spans="1:9" ht="16.5">
      <c r="A14491" s="10" t="b">
        <v>0</v>
      </c>
      <c r="B14491" s="11" t="str">
        <f>IF(D14491&lt;&gt;"",IF(COUNTIF('USPTO TMs'!A:A,D14491)&gt;0,"Yes","No"),"")</f>
        <v/>
      </c>
      <c r="C14491" s="11"/>
      <c r="D14491" s="11"/>
      <c r="E14491" s="11"/>
      <c r="F14491" s="11"/>
      <c r="G14491" s="11"/>
      <c r="H14491" s="11"/>
      <c r="I14491" s="15"/>
    </row>
    <row r="14492" spans="1:9" ht="16.5">
      <c r="A14492" s="10" t="b">
        <v>0</v>
      </c>
      <c r="B14492" s="11" t="str">
        <f>IF(D14492&lt;&gt;"",IF(COUNTIF('USPTO TMs'!A:A,D14492)&gt;0,"Yes","No"),"")</f>
        <v/>
      </c>
      <c r="C14492" s="11"/>
      <c r="D14492" s="11"/>
      <c r="E14492" s="11"/>
      <c r="F14492" s="11"/>
      <c r="G14492" s="11"/>
      <c r="H14492" s="11"/>
      <c r="I14492" s="15"/>
    </row>
    <row r="14493" spans="1:9" ht="16.5">
      <c r="A14493" s="10" t="b">
        <v>0</v>
      </c>
      <c r="B14493" s="11" t="str">
        <f>IF(D14493&lt;&gt;"",IF(COUNTIF('USPTO TMs'!A:A,D14493)&gt;0,"Yes","No"),"")</f>
        <v/>
      </c>
      <c r="C14493" s="11"/>
      <c r="D14493" s="11"/>
      <c r="E14493" s="11"/>
      <c r="F14493" s="11"/>
      <c r="G14493" s="11"/>
      <c r="H14493" s="11"/>
      <c r="I14493" s="15"/>
    </row>
    <row r="14494" spans="1:9" ht="16.5">
      <c r="A14494" s="10" t="b">
        <v>0</v>
      </c>
      <c r="B14494" s="11" t="str">
        <f>IF(D14494&lt;&gt;"",IF(COUNTIF('USPTO TMs'!A:A,D14494)&gt;0,"Yes","No"),"")</f>
        <v/>
      </c>
      <c r="C14494" s="11"/>
      <c r="D14494" s="11"/>
      <c r="E14494" s="11"/>
      <c r="F14494" s="11"/>
      <c r="G14494" s="11"/>
      <c r="H14494" s="11"/>
      <c r="I14494" s="15"/>
    </row>
    <row r="14495" spans="1:9" ht="16.5">
      <c r="A14495" s="10" t="b">
        <v>0</v>
      </c>
      <c r="B14495" s="11" t="str">
        <f>IF(D14495&lt;&gt;"",IF(COUNTIF('USPTO TMs'!A:A,D14495)&gt;0,"Yes","No"),"")</f>
        <v/>
      </c>
      <c r="C14495" s="11"/>
      <c r="D14495" s="11"/>
      <c r="E14495" s="11"/>
      <c r="F14495" s="11"/>
      <c r="G14495" s="11"/>
      <c r="H14495" s="11"/>
      <c r="I14495" s="15"/>
    </row>
    <row r="14496" spans="1:9" ht="16.5">
      <c r="A14496" s="10" t="b">
        <v>0</v>
      </c>
      <c r="B14496" s="11" t="str">
        <f>IF(D14496&lt;&gt;"",IF(COUNTIF('USPTO TMs'!A:A,D14496)&gt;0,"Yes","No"),"")</f>
        <v/>
      </c>
      <c r="C14496" s="11"/>
      <c r="D14496" s="11"/>
      <c r="E14496" s="11"/>
      <c r="F14496" s="11"/>
      <c r="G14496" s="11"/>
      <c r="H14496" s="11"/>
      <c r="I14496" s="15"/>
    </row>
    <row r="14497" spans="1:9" ht="16.5">
      <c r="A14497" s="10" t="b">
        <v>0</v>
      </c>
      <c r="B14497" s="11" t="str">
        <f>IF(D14497&lt;&gt;"",IF(COUNTIF('USPTO TMs'!A:A,D14497)&gt;0,"Yes","No"),"")</f>
        <v/>
      </c>
      <c r="C14497" s="11"/>
      <c r="D14497" s="11"/>
      <c r="E14497" s="11"/>
      <c r="F14497" s="11"/>
      <c r="G14497" s="11"/>
      <c r="H14497" s="11"/>
      <c r="I14497" s="15"/>
    </row>
    <row r="14498" spans="1:9" ht="16.5">
      <c r="A14498" s="10" t="b">
        <v>0</v>
      </c>
      <c r="B14498" s="11" t="str">
        <f>IF(D14498&lt;&gt;"",IF(COUNTIF('USPTO TMs'!A:A,D14498)&gt;0,"Yes","No"),"")</f>
        <v/>
      </c>
      <c r="C14498" s="11"/>
      <c r="D14498" s="11"/>
      <c r="E14498" s="11"/>
      <c r="F14498" s="11"/>
      <c r="G14498" s="11"/>
      <c r="H14498" s="11"/>
      <c r="I14498" s="15"/>
    </row>
    <row r="14499" spans="1:9" ht="16.5">
      <c r="A14499" s="10" t="b">
        <v>0</v>
      </c>
      <c r="B14499" s="11" t="str">
        <f>IF(D14499&lt;&gt;"",IF(COUNTIF('USPTO TMs'!A:A,D14499)&gt;0,"Yes","No"),"")</f>
        <v/>
      </c>
      <c r="C14499" s="11"/>
      <c r="D14499" s="11"/>
      <c r="E14499" s="11"/>
      <c r="F14499" s="11"/>
      <c r="G14499" s="11"/>
      <c r="H14499" s="11"/>
      <c r="I14499" s="15"/>
    </row>
    <row r="14500" spans="1:9" ht="16.5">
      <c r="A14500" s="10" t="b">
        <v>0</v>
      </c>
      <c r="B14500" s="11" t="str">
        <f>IF(D14500&lt;&gt;"",IF(COUNTIF('USPTO TMs'!A:A,D14500)&gt;0,"Yes","No"),"")</f>
        <v/>
      </c>
      <c r="C14500" s="11"/>
      <c r="D14500" s="11"/>
      <c r="E14500" s="11"/>
      <c r="F14500" s="11"/>
      <c r="G14500" s="11"/>
      <c r="H14500" s="11"/>
      <c r="I14500" s="15"/>
    </row>
    <row r="14501" spans="1:9" ht="16.5">
      <c r="A14501" s="10" t="b">
        <v>0</v>
      </c>
      <c r="B14501" s="11" t="str">
        <f>IF(D14501&lt;&gt;"",IF(COUNTIF('USPTO TMs'!A:A,D14501)&gt;0,"Yes","No"),"")</f>
        <v/>
      </c>
      <c r="C14501" s="11"/>
      <c r="D14501" s="11"/>
      <c r="E14501" s="11"/>
      <c r="F14501" s="11"/>
      <c r="G14501" s="11"/>
      <c r="H14501" s="11"/>
      <c r="I14501" s="15"/>
    </row>
    <row r="14502" spans="1:9" ht="16.5">
      <c r="A14502" s="10" t="b">
        <v>0</v>
      </c>
      <c r="B14502" s="11" t="str">
        <f>IF(D14502&lt;&gt;"",IF(COUNTIF('USPTO TMs'!A:A,D14502)&gt;0,"Yes","No"),"")</f>
        <v/>
      </c>
      <c r="C14502" s="11"/>
      <c r="D14502" s="11"/>
      <c r="E14502" s="11"/>
      <c r="F14502" s="11"/>
      <c r="G14502" s="11"/>
      <c r="H14502" s="11"/>
      <c r="I14502" s="15"/>
    </row>
    <row r="14503" spans="1:9" ht="16.5">
      <c r="A14503" s="10" t="b">
        <v>0</v>
      </c>
      <c r="B14503" s="11" t="str">
        <f>IF(D14503&lt;&gt;"",IF(COUNTIF('USPTO TMs'!A:A,D14503)&gt;0,"Yes","No"),"")</f>
        <v/>
      </c>
      <c r="C14503" s="11"/>
      <c r="D14503" s="11"/>
      <c r="E14503" s="11"/>
      <c r="F14503" s="11"/>
      <c r="G14503" s="11"/>
      <c r="H14503" s="11"/>
      <c r="I14503" s="15"/>
    </row>
    <row r="14504" spans="1:9" ht="16.5">
      <c r="A14504" s="10" t="b">
        <v>0</v>
      </c>
      <c r="B14504" s="11" t="str">
        <f>IF(D14504&lt;&gt;"",IF(COUNTIF('USPTO TMs'!A:A,D14504)&gt;0,"Yes","No"),"")</f>
        <v/>
      </c>
      <c r="C14504" s="11"/>
      <c r="D14504" s="11"/>
      <c r="E14504" s="11"/>
      <c r="F14504" s="11"/>
      <c r="G14504" s="11"/>
      <c r="H14504" s="11"/>
      <c r="I14504" s="15"/>
    </row>
    <row r="14505" spans="1:9" ht="16.5">
      <c r="A14505" s="10" t="b">
        <v>0</v>
      </c>
      <c r="B14505" s="11" t="str">
        <f>IF(D14505&lt;&gt;"",IF(COUNTIF('USPTO TMs'!A:A,D14505)&gt;0,"Yes","No"),"")</f>
        <v/>
      </c>
      <c r="C14505" s="11"/>
      <c r="D14505" s="11"/>
      <c r="E14505" s="11"/>
      <c r="F14505" s="11"/>
      <c r="G14505" s="11"/>
      <c r="H14505" s="11"/>
      <c r="I14505" s="15"/>
    </row>
    <row r="14506" spans="1:9" ht="16.5">
      <c r="A14506" s="10" t="b">
        <v>0</v>
      </c>
      <c r="B14506" s="11" t="str">
        <f>IF(D14506&lt;&gt;"",IF(COUNTIF('USPTO TMs'!A:A,D14506)&gt;0,"Yes","No"),"")</f>
        <v/>
      </c>
      <c r="C14506" s="11"/>
      <c r="D14506" s="11"/>
      <c r="E14506" s="11"/>
      <c r="F14506" s="11"/>
      <c r="G14506" s="11"/>
      <c r="H14506" s="11"/>
      <c r="I14506" s="15"/>
    </row>
    <row r="14507" spans="1:9" ht="16.5">
      <c r="A14507" s="10" t="b">
        <v>0</v>
      </c>
      <c r="B14507" s="11" t="str">
        <f>IF(D14507&lt;&gt;"",IF(COUNTIF('USPTO TMs'!A:A,D14507)&gt;0,"Yes","No"),"")</f>
        <v/>
      </c>
      <c r="C14507" s="11"/>
      <c r="D14507" s="11"/>
      <c r="E14507" s="11"/>
      <c r="F14507" s="11"/>
      <c r="G14507" s="11"/>
      <c r="H14507" s="11"/>
      <c r="I14507" s="15"/>
    </row>
    <row r="14508" spans="1:9" ht="16.5">
      <c r="A14508" s="10" t="b">
        <v>0</v>
      </c>
      <c r="B14508" s="11" t="str">
        <f>IF(D14508&lt;&gt;"",IF(COUNTIF('USPTO TMs'!A:A,D14508)&gt;0,"Yes","No"),"")</f>
        <v/>
      </c>
      <c r="C14508" s="11"/>
      <c r="D14508" s="11"/>
      <c r="E14508" s="11"/>
      <c r="F14508" s="11"/>
      <c r="G14508" s="11"/>
      <c r="H14508" s="11"/>
      <c r="I14508" s="15"/>
    </row>
    <row r="14509" spans="1:9" ht="16.5">
      <c r="A14509" s="10" t="b">
        <v>0</v>
      </c>
      <c r="B14509" s="11" t="str">
        <f>IF(D14509&lt;&gt;"",IF(COUNTIF('USPTO TMs'!A:A,D14509)&gt;0,"Yes","No"),"")</f>
        <v/>
      </c>
      <c r="C14509" s="11"/>
      <c r="D14509" s="11"/>
      <c r="E14509" s="11"/>
      <c r="F14509" s="11"/>
      <c r="G14509" s="11"/>
      <c r="H14509" s="11"/>
      <c r="I14509" s="15"/>
    </row>
    <row r="14510" spans="1:9" ht="16.5">
      <c r="A14510" s="10" t="b">
        <v>0</v>
      </c>
      <c r="B14510" s="11" t="str">
        <f>IF(D14510&lt;&gt;"",IF(COUNTIF('USPTO TMs'!A:A,D14510)&gt;0,"Yes","No"),"")</f>
        <v/>
      </c>
      <c r="C14510" s="11"/>
      <c r="D14510" s="11"/>
      <c r="E14510" s="11"/>
      <c r="F14510" s="11"/>
      <c r="G14510" s="11"/>
      <c r="H14510" s="11"/>
      <c r="I14510" s="15"/>
    </row>
    <row r="14511" spans="1:9" ht="16.5">
      <c r="A14511" s="10" t="b">
        <v>0</v>
      </c>
      <c r="B14511" s="11" t="str">
        <f>IF(D14511&lt;&gt;"",IF(COUNTIF('USPTO TMs'!A:A,D14511)&gt;0,"Yes","No"),"")</f>
        <v/>
      </c>
      <c r="C14511" s="11"/>
      <c r="D14511" s="11"/>
      <c r="E14511" s="11"/>
      <c r="F14511" s="11"/>
      <c r="G14511" s="11"/>
      <c r="H14511" s="11"/>
      <c r="I14511" s="15"/>
    </row>
    <row r="14512" spans="1:9" ht="16.5">
      <c r="A14512" s="10" t="b">
        <v>0</v>
      </c>
      <c r="B14512" s="11" t="str">
        <f>IF(D14512&lt;&gt;"",IF(COUNTIF('USPTO TMs'!A:A,D14512)&gt;0,"Yes","No"),"")</f>
        <v/>
      </c>
      <c r="C14512" s="11"/>
      <c r="D14512" s="11"/>
      <c r="E14512" s="11"/>
      <c r="F14512" s="11"/>
      <c r="G14512" s="11"/>
      <c r="H14512" s="11"/>
      <c r="I14512" s="15"/>
    </row>
    <row r="14513" spans="1:9" ht="16.5">
      <c r="A14513" s="10" t="b">
        <v>0</v>
      </c>
      <c r="B14513" s="11" t="str">
        <f>IF(D14513&lt;&gt;"",IF(COUNTIF('USPTO TMs'!A:A,D14513)&gt;0,"Yes","No"),"")</f>
        <v/>
      </c>
      <c r="C14513" s="11"/>
      <c r="D14513" s="11"/>
      <c r="E14513" s="11"/>
      <c r="F14513" s="11"/>
      <c r="G14513" s="11"/>
      <c r="H14513" s="11"/>
      <c r="I14513" s="15"/>
    </row>
    <row r="14514" spans="1:9" ht="16.5">
      <c r="A14514" s="10" t="b">
        <v>0</v>
      </c>
      <c r="B14514" s="11" t="str">
        <f>IF(D14514&lt;&gt;"",IF(COUNTIF('USPTO TMs'!A:A,D14514)&gt;0,"Yes","No"),"")</f>
        <v/>
      </c>
      <c r="C14514" s="11"/>
      <c r="D14514" s="11"/>
      <c r="E14514" s="11"/>
      <c r="F14514" s="11"/>
      <c r="G14514" s="11"/>
      <c r="H14514" s="11"/>
      <c r="I14514" s="15"/>
    </row>
    <row r="14515" spans="1:9" ht="16.5">
      <c r="A14515" s="10" t="b">
        <v>0</v>
      </c>
      <c r="B14515" s="11" t="str">
        <f>IF(D14515&lt;&gt;"",IF(COUNTIF('USPTO TMs'!A:A,D14515)&gt;0,"Yes","No"),"")</f>
        <v/>
      </c>
      <c r="C14515" s="11"/>
      <c r="D14515" s="11"/>
      <c r="E14515" s="11"/>
      <c r="F14515" s="11"/>
      <c r="G14515" s="11"/>
      <c r="H14515" s="11"/>
      <c r="I14515" s="15"/>
    </row>
    <row r="14516" spans="1:9" ht="16.5">
      <c r="A14516" s="10" t="b">
        <v>0</v>
      </c>
      <c r="B14516" s="11" t="str">
        <f>IF(D14516&lt;&gt;"",IF(COUNTIF('USPTO TMs'!A:A,D14516)&gt;0,"Yes","No"),"")</f>
        <v/>
      </c>
      <c r="C14516" s="11"/>
      <c r="D14516" s="11"/>
      <c r="E14516" s="11"/>
      <c r="F14516" s="11"/>
      <c r="G14516" s="11"/>
      <c r="H14516" s="11"/>
      <c r="I14516" s="15"/>
    </row>
    <row r="14517" spans="1:9" ht="16.5">
      <c r="A14517" s="10" t="b">
        <v>0</v>
      </c>
      <c r="B14517" s="11" t="str">
        <f>IF(D14517&lt;&gt;"",IF(COUNTIF('USPTO TMs'!A:A,D14517)&gt;0,"Yes","No"),"")</f>
        <v/>
      </c>
      <c r="C14517" s="11"/>
      <c r="D14517" s="11"/>
      <c r="E14517" s="11"/>
      <c r="F14517" s="11"/>
      <c r="G14517" s="11"/>
      <c r="H14517" s="11"/>
      <c r="I14517" s="15"/>
    </row>
    <row r="14518" spans="1:9" ht="16.5">
      <c r="A14518" s="10" t="b">
        <v>0</v>
      </c>
      <c r="B14518" s="11" t="str">
        <f>IF(D14518&lt;&gt;"",IF(COUNTIF('USPTO TMs'!A:A,D14518)&gt;0,"Yes","No"),"")</f>
        <v/>
      </c>
      <c r="C14518" s="11"/>
      <c r="D14518" s="11"/>
      <c r="E14518" s="11"/>
      <c r="F14518" s="11"/>
      <c r="G14518" s="11"/>
      <c r="H14518" s="11"/>
      <c r="I14518" s="15"/>
    </row>
    <row r="14519" spans="1:9" ht="16.5">
      <c r="A14519" s="10" t="b">
        <v>0</v>
      </c>
      <c r="B14519" s="11" t="str">
        <f>IF(D14519&lt;&gt;"",IF(COUNTIF('USPTO TMs'!A:A,D14519)&gt;0,"Yes","No"),"")</f>
        <v/>
      </c>
      <c r="C14519" s="11"/>
      <c r="D14519" s="11"/>
      <c r="E14519" s="11"/>
      <c r="F14519" s="11"/>
      <c r="G14519" s="11"/>
      <c r="H14519" s="11"/>
      <c r="I14519" s="15"/>
    </row>
    <row r="14520" spans="1:9" ht="16.5">
      <c r="A14520" s="10" t="b">
        <v>0</v>
      </c>
      <c r="B14520" s="11" t="str">
        <f>IF(D14520&lt;&gt;"",IF(COUNTIF('USPTO TMs'!A:A,D14520)&gt;0,"Yes","No"),"")</f>
        <v/>
      </c>
      <c r="C14520" s="11"/>
      <c r="D14520" s="11"/>
      <c r="E14520" s="11"/>
      <c r="F14520" s="11"/>
      <c r="G14520" s="11"/>
      <c r="H14520" s="11"/>
      <c r="I14520" s="15"/>
    </row>
    <row r="14521" spans="1:9" ht="16.5">
      <c r="A14521" s="10" t="b">
        <v>0</v>
      </c>
      <c r="B14521" s="11" t="str">
        <f>IF(D14521&lt;&gt;"",IF(COUNTIF('USPTO TMs'!A:A,D14521)&gt;0,"Yes","No"),"")</f>
        <v/>
      </c>
      <c r="C14521" s="11"/>
      <c r="D14521" s="11"/>
      <c r="E14521" s="11"/>
      <c r="F14521" s="11"/>
      <c r="G14521" s="11"/>
      <c r="H14521" s="11"/>
      <c r="I14521" s="15"/>
    </row>
    <row r="14522" spans="1:9" ht="16.5">
      <c r="A14522" s="10" t="b">
        <v>0</v>
      </c>
      <c r="B14522" s="11" t="str">
        <f>IF(D14522&lt;&gt;"",IF(COUNTIF('USPTO TMs'!A:A,D14522)&gt;0,"Yes","No"),"")</f>
        <v/>
      </c>
      <c r="C14522" s="11"/>
      <c r="D14522" s="11"/>
      <c r="E14522" s="11"/>
      <c r="F14522" s="11"/>
      <c r="G14522" s="11"/>
      <c r="H14522" s="11"/>
      <c r="I14522" s="15"/>
    </row>
    <row r="14523" spans="1:9" ht="16.5">
      <c r="A14523" s="10" t="b">
        <v>0</v>
      </c>
      <c r="B14523" s="11" t="str">
        <f>IF(D14523&lt;&gt;"",IF(COUNTIF('USPTO TMs'!A:A,D14523)&gt;0,"Yes","No"),"")</f>
        <v/>
      </c>
      <c r="C14523" s="11"/>
      <c r="D14523" s="11"/>
      <c r="E14523" s="11"/>
      <c r="F14523" s="11"/>
      <c r="G14523" s="11"/>
      <c r="H14523" s="11"/>
      <c r="I14523" s="15"/>
    </row>
    <row r="14524" spans="1:9" ht="16.5">
      <c r="A14524" s="10" t="b">
        <v>0</v>
      </c>
      <c r="B14524" s="11" t="str">
        <f>IF(D14524&lt;&gt;"",IF(COUNTIF('USPTO TMs'!A:A,D14524)&gt;0,"Yes","No"),"")</f>
        <v/>
      </c>
      <c r="C14524" s="11"/>
      <c r="D14524" s="11"/>
      <c r="E14524" s="11"/>
      <c r="F14524" s="11"/>
      <c r="G14524" s="11"/>
      <c r="H14524" s="11"/>
      <c r="I14524" s="15"/>
    </row>
    <row r="14525" spans="1:9" ht="16.5">
      <c r="A14525" s="10" t="b">
        <v>0</v>
      </c>
      <c r="B14525" s="11" t="str">
        <f>IF(D14525&lt;&gt;"",IF(COUNTIF('USPTO TMs'!A:A,D14525)&gt;0,"Yes","No"),"")</f>
        <v/>
      </c>
      <c r="C14525" s="11"/>
      <c r="D14525" s="11"/>
      <c r="E14525" s="11"/>
      <c r="F14525" s="11"/>
      <c r="G14525" s="11"/>
      <c r="H14525" s="11"/>
      <c r="I14525" s="15"/>
    </row>
    <row r="14526" spans="1:9" ht="16.5">
      <c r="A14526" s="10" t="b">
        <v>0</v>
      </c>
      <c r="B14526" s="11" t="str">
        <f>IF(D14526&lt;&gt;"",IF(COUNTIF('USPTO TMs'!A:A,D14526)&gt;0,"Yes","No"),"")</f>
        <v/>
      </c>
      <c r="C14526" s="11"/>
      <c r="D14526" s="11"/>
      <c r="E14526" s="11"/>
      <c r="F14526" s="11"/>
      <c r="G14526" s="11"/>
      <c r="H14526" s="11"/>
      <c r="I14526" s="15"/>
    </row>
    <row r="14527" spans="1:9" ht="16.5">
      <c r="A14527" s="10" t="b">
        <v>0</v>
      </c>
      <c r="B14527" s="11" t="str">
        <f>IF(D14527&lt;&gt;"",IF(COUNTIF('USPTO TMs'!A:A,D14527)&gt;0,"Yes","No"),"")</f>
        <v/>
      </c>
      <c r="C14527" s="11"/>
      <c r="D14527" s="11"/>
      <c r="E14527" s="11"/>
      <c r="F14527" s="11"/>
      <c r="G14527" s="11"/>
      <c r="H14527" s="11"/>
      <c r="I14527" s="15"/>
    </row>
    <row r="14528" spans="1:9" ht="16.5">
      <c r="A14528" s="10" t="b">
        <v>0</v>
      </c>
      <c r="B14528" s="11" t="str">
        <f>IF(D14528&lt;&gt;"",IF(COUNTIF('USPTO TMs'!A:A,D14528)&gt;0,"Yes","No"),"")</f>
        <v/>
      </c>
      <c r="C14528" s="11"/>
      <c r="D14528" s="11"/>
      <c r="E14528" s="11"/>
      <c r="F14528" s="11"/>
      <c r="G14528" s="11"/>
      <c r="H14528" s="11"/>
      <c r="I14528" s="15"/>
    </row>
    <row r="14529" spans="1:9" ht="16.5">
      <c r="A14529" s="10" t="b">
        <v>0</v>
      </c>
      <c r="B14529" s="11" t="str">
        <f>IF(D14529&lt;&gt;"",IF(COUNTIF('USPTO TMs'!A:A,D14529)&gt;0,"Yes","No"),"")</f>
        <v/>
      </c>
      <c r="C14529" s="11"/>
      <c r="D14529" s="11"/>
      <c r="E14529" s="11"/>
      <c r="F14529" s="11"/>
      <c r="G14529" s="11"/>
      <c r="H14529" s="11"/>
      <c r="I14529" s="15"/>
    </row>
    <row r="14530" spans="1:9" ht="16.5">
      <c r="A14530" s="10" t="b">
        <v>0</v>
      </c>
      <c r="B14530" s="11" t="str">
        <f>IF(D14530&lt;&gt;"",IF(COUNTIF('USPTO TMs'!A:A,D14530)&gt;0,"Yes","No"),"")</f>
        <v/>
      </c>
      <c r="C14530" s="11"/>
      <c r="D14530" s="11"/>
      <c r="E14530" s="11"/>
      <c r="F14530" s="11"/>
      <c r="G14530" s="11"/>
      <c r="H14530" s="11"/>
      <c r="I14530" s="15"/>
    </row>
    <row r="14531" spans="1:9" ht="16.5">
      <c r="A14531" s="10" t="b">
        <v>0</v>
      </c>
      <c r="B14531" s="11" t="str">
        <f>IF(D14531&lt;&gt;"",IF(COUNTIF('USPTO TMs'!A:A,D14531)&gt;0,"Yes","No"),"")</f>
        <v/>
      </c>
      <c r="C14531" s="11"/>
      <c r="D14531" s="11"/>
      <c r="E14531" s="11"/>
      <c r="F14531" s="11"/>
      <c r="G14531" s="11"/>
      <c r="H14531" s="11"/>
      <c r="I14531" s="15"/>
    </row>
    <row r="14532" spans="1:9" ht="16.5">
      <c r="A14532" s="10" t="b">
        <v>0</v>
      </c>
      <c r="B14532" s="11" t="str">
        <f>IF(D14532&lt;&gt;"",IF(COUNTIF('USPTO TMs'!A:A,D14532)&gt;0,"Yes","No"),"")</f>
        <v/>
      </c>
      <c r="C14532" s="11"/>
      <c r="D14532" s="11"/>
      <c r="E14532" s="11"/>
      <c r="F14532" s="11"/>
      <c r="G14532" s="11"/>
      <c r="H14532" s="11"/>
      <c r="I14532" s="15"/>
    </row>
    <row r="14533" spans="1:9" ht="16.5">
      <c r="A14533" s="10" t="b">
        <v>0</v>
      </c>
      <c r="B14533" s="11" t="str">
        <f>IF(D14533&lt;&gt;"",IF(COUNTIF('USPTO TMs'!A:A,D14533)&gt;0,"Yes","No"),"")</f>
        <v/>
      </c>
      <c r="C14533" s="11"/>
      <c r="D14533" s="11"/>
      <c r="E14533" s="11"/>
      <c r="F14533" s="11"/>
      <c r="G14533" s="11"/>
      <c r="H14533" s="11"/>
      <c r="I14533" s="15"/>
    </row>
    <row r="14534" spans="1:9" ht="16.5">
      <c r="A14534" s="10" t="b">
        <v>0</v>
      </c>
      <c r="B14534" s="11" t="str">
        <f>IF(D14534&lt;&gt;"",IF(COUNTIF('USPTO TMs'!A:A,D14534)&gt;0,"Yes","No"),"")</f>
        <v/>
      </c>
      <c r="C14534" s="11"/>
      <c r="D14534" s="11"/>
      <c r="E14534" s="11"/>
      <c r="F14534" s="11"/>
      <c r="G14534" s="11"/>
      <c r="H14534" s="11"/>
      <c r="I14534" s="15"/>
    </row>
    <row r="14535" spans="1:9" ht="16.5">
      <c r="A14535" s="10" t="b">
        <v>0</v>
      </c>
      <c r="B14535" s="11" t="str">
        <f>IF(D14535&lt;&gt;"",IF(COUNTIF('USPTO TMs'!A:A,D14535)&gt;0,"Yes","No"),"")</f>
        <v/>
      </c>
      <c r="C14535" s="11"/>
      <c r="D14535" s="11"/>
      <c r="E14535" s="11"/>
      <c r="F14535" s="11"/>
      <c r="G14535" s="11"/>
      <c r="H14535" s="11"/>
      <c r="I14535" s="15"/>
    </row>
    <row r="14536" spans="1:9" ht="16.5">
      <c r="A14536" s="10" t="b">
        <v>0</v>
      </c>
      <c r="B14536" s="11" t="str">
        <f>IF(D14536&lt;&gt;"",IF(COUNTIF('USPTO TMs'!A:A,D14536)&gt;0,"Yes","No"),"")</f>
        <v/>
      </c>
      <c r="C14536" s="11"/>
      <c r="D14536" s="11"/>
      <c r="E14536" s="11"/>
      <c r="F14536" s="11"/>
      <c r="G14536" s="11"/>
      <c r="H14536" s="11"/>
      <c r="I14536" s="15"/>
    </row>
    <row r="14537" spans="1:9" ht="16.5">
      <c r="A14537" s="10" t="b">
        <v>0</v>
      </c>
      <c r="B14537" s="11" t="str">
        <f>IF(D14537&lt;&gt;"",IF(COUNTIF('USPTO TMs'!A:A,D14537)&gt;0,"Yes","No"),"")</f>
        <v/>
      </c>
      <c r="C14537" s="11"/>
      <c r="D14537" s="11"/>
      <c r="E14537" s="11"/>
      <c r="F14537" s="11"/>
      <c r="G14537" s="11"/>
      <c r="H14537" s="11"/>
      <c r="I14537" s="15"/>
    </row>
    <row r="14538" spans="1:9" ht="16.5">
      <c r="A14538" s="10" t="b">
        <v>0</v>
      </c>
      <c r="B14538" s="11" t="str">
        <f>IF(D14538&lt;&gt;"",IF(COUNTIF('USPTO TMs'!A:A,D14538)&gt;0,"Yes","No"),"")</f>
        <v/>
      </c>
      <c r="C14538" s="11"/>
      <c r="D14538" s="11"/>
      <c r="E14538" s="11"/>
      <c r="F14538" s="11"/>
      <c r="G14538" s="11"/>
      <c r="H14538" s="11"/>
      <c r="I14538" s="15"/>
    </row>
    <row r="14539" spans="1:9" ht="16.5">
      <c r="A14539" s="10" t="b">
        <v>0</v>
      </c>
      <c r="B14539" s="11" t="str">
        <f>IF(D14539&lt;&gt;"",IF(COUNTIF('USPTO TMs'!A:A,D14539)&gt;0,"Yes","No"),"")</f>
        <v/>
      </c>
      <c r="C14539" s="11"/>
      <c r="D14539" s="11"/>
      <c r="E14539" s="11"/>
      <c r="F14539" s="11"/>
      <c r="G14539" s="11"/>
      <c r="H14539" s="11"/>
      <c r="I14539" s="15"/>
    </row>
    <row r="14540" spans="1:9" ht="16.5">
      <c r="A14540" s="10" t="b">
        <v>0</v>
      </c>
      <c r="B14540" s="11" t="str">
        <f>IF(D14540&lt;&gt;"",IF(COUNTIF('USPTO TMs'!A:A,D14540)&gt;0,"Yes","No"),"")</f>
        <v/>
      </c>
      <c r="C14540" s="11"/>
      <c r="D14540" s="11"/>
      <c r="E14540" s="11"/>
      <c r="F14540" s="11"/>
      <c r="G14540" s="11"/>
      <c r="H14540" s="11"/>
      <c r="I14540" s="15"/>
    </row>
    <row r="14541" spans="1:9" ht="16.5">
      <c r="A14541" s="10" t="b">
        <v>0</v>
      </c>
      <c r="B14541" s="11" t="str">
        <f>IF(D14541&lt;&gt;"",IF(COUNTIF('USPTO TMs'!A:A,D14541)&gt;0,"Yes","No"),"")</f>
        <v/>
      </c>
      <c r="C14541" s="11"/>
      <c r="D14541" s="11"/>
      <c r="E14541" s="11"/>
      <c r="F14541" s="11"/>
      <c r="G14541" s="11"/>
      <c r="H14541" s="11"/>
      <c r="I14541" s="15"/>
    </row>
    <row r="14542" spans="1:9" ht="16.5">
      <c r="A14542" s="10" t="b">
        <v>0</v>
      </c>
      <c r="B14542" s="11" t="str">
        <f>IF(D14542&lt;&gt;"",IF(COUNTIF('USPTO TMs'!A:A,D14542)&gt;0,"Yes","No"),"")</f>
        <v/>
      </c>
      <c r="C14542" s="11"/>
      <c r="D14542" s="11"/>
      <c r="E14542" s="11"/>
      <c r="F14542" s="11"/>
      <c r="G14542" s="11"/>
      <c r="H14542" s="11"/>
      <c r="I14542" s="15"/>
    </row>
    <row r="14543" spans="1:9" ht="16.5">
      <c r="A14543" s="10" t="b">
        <v>0</v>
      </c>
      <c r="B14543" s="11" t="str">
        <f>IF(D14543&lt;&gt;"",IF(COUNTIF('USPTO TMs'!A:A,D14543)&gt;0,"Yes","No"),"")</f>
        <v/>
      </c>
      <c r="C14543" s="11"/>
      <c r="D14543" s="11"/>
      <c r="E14543" s="11"/>
      <c r="F14543" s="11"/>
      <c r="G14543" s="11"/>
      <c r="H14543" s="11"/>
      <c r="I14543" s="15"/>
    </row>
    <row r="14544" spans="1:9" ht="16.5">
      <c r="A14544" s="10" t="b">
        <v>0</v>
      </c>
      <c r="B14544" s="11" t="str">
        <f>IF(D14544&lt;&gt;"",IF(COUNTIF('USPTO TMs'!A:A,D14544)&gt;0,"Yes","No"),"")</f>
        <v/>
      </c>
      <c r="C14544" s="11"/>
      <c r="D14544" s="11"/>
      <c r="E14544" s="11"/>
      <c r="F14544" s="11"/>
      <c r="G14544" s="11"/>
      <c r="H14544" s="11"/>
      <c r="I14544" s="15"/>
    </row>
    <row r="14545" spans="1:9" ht="16.5">
      <c r="A14545" s="10" t="b">
        <v>0</v>
      </c>
      <c r="B14545" s="11" t="str">
        <f>IF(D14545&lt;&gt;"",IF(COUNTIF('USPTO TMs'!A:A,D14545)&gt;0,"Yes","No"),"")</f>
        <v/>
      </c>
      <c r="C14545" s="11"/>
      <c r="D14545" s="11"/>
      <c r="E14545" s="11"/>
      <c r="F14545" s="11"/>
      <c r="G14545" s="11"/>
      <c r="H14545" s="11"/>
      <c r="I14545" s="15"/>
    </row>
    <row r="14546" spans="1:9" ht="16.5">
      <c r="A14546" s="10" t="b">
        <v>0</v>
      </c>
      <c r="B14546" s="11" t="str">
        <f>IF(D14546&lt;&gt;"",IF(COUNTIF('USPTO TMs'!A:A,D14546)&gt;0,"Yes","No"),"")</f>
        <v/>
      </c>
      <c r="C14546" s="11"/>
      <c r="D14546" s="11"/>
      <c r="E14546" s="11"/>
      <c r="F14546" s="11"/>
      <c r="G14546" s="11"/>
      <c r="H14546" s="11"/>
      <c r="I14546" s="15"/>
    </row>
    <row r="14547" spans="1:9" ht="16.5">
      <c r="A14547" s="10" t="b">
        <v>0</v>
      </c>
      <c r="B14547" s="11" t="str">
        <f>IF(D14547&lt;&gt;"",IF(COUNTIF('USPTO TMs'!A:A,D14547)&gt;0,"Yes","No"),"")</f>
        <v/>
      </c>
      <c r="C14547" s="11"/>
      <c r="D14547" s="11"/>
      <c r="E14547" s="11"/>
      <c r="F14547" s="11"/>
      <c r="G14547" s="11"/>
      <c r="H14547" s="11"/>
      <c r="I14547" s="15"/>
    </row>
    <row r="14548" spans="1:9" ht="16.5">
      <c r="A14548" s="10" t="b">
        <v>0</v>
      </c>
      <c r="B14548" s="11" t="str">
        <f>IF(D14548&lt;&gt;"",IF(COUNTIF('USPTO TMs'!A:A,D14548)&gt;0,"Yes","No"),"")</f>
        <v/>
      </c>
      <c r="C14548" s="11"/>
      <c r="D14548" s="11"/>
      <c r="E14548" s="11"/>
      <c r="F14548" s="11"/>
      <c r="G14548" s="11"/>
      <c r="H14548" s="11"/>
      <c r="I14548" s="15"/>
    </row>
    <row r="14549" spans="1:9" ht="16.5">
      <c r="A14549" s="10" t="b">
        <v>0</v>
      </c>
      <c r="B14549" s="11" t="str">
        <f>IF(D14549&lt;&gt;"",IF(COUNTIF('USPTO TMs'!A:A,D14549)&gt;0,"Yes","No"),"")</f>
        <v/>
      </c>
      <c r="C14549" s="11"/>
      <c r="D14549" s="11"/>
      <c r="E14549" s="11"/>
      <c r="F14549" s="11"/>
      <c r="G14549" s="11"/>
      <c r="H14549" s="11"/>
      <c r="I14549" s="15"/>
    </row>
    <row r="14550" spans="1:9" ht="16.5">
      <c r="A14550" s="10" t="b">
        <v>0</v>
      </c>
      <c r="B14550" s="11" t="str">
        <f>IF(D14550&lt;&gt;"",IF(COUNTIF('USPTO TMs'!A:A,D14550)&gt;0,"Yes","No"),"")</f>
        <v/>
      </c>
      <c r="C14550" s="11"/>
      <c r="D14550" s="11"/>
      <c r="E14550" s="11"/>
      <c r="F14550" s="11"/>
      <c r="G14550" s="11"/>
      <c r="H14550" s="11"/>
      <c r="I14550" s="15"/>
    </row>
    <row r="14551" spans="1:9" ht="16.5">
      <c r="A14551" s="10" t="b">
        <v>0</v>
      </c>
      <c r="B14551" s="11" t="str">
        <f>IF(D14551&lt;&gt;"",IF(COUNTIF('USPTO TMs'!A:A,D14551)&gt;0,"Yes","No"),"")</f>
        <v/>
      </c>
      <c r="C14551" s="11"/>
      <c r="D14551" s="11"/>
      <c r="E14551" s="11"/>
      <c r="F14551" s="11"/>
      <c r="G14551" s="11"/>
      <c r="H14551" s="11"/>
      <c r="I14551" s="15"/>
    </row>
    <row r="14552" spans="1:9" ht="16.5">
      <c r="A14552" s="10" t="b">
        <v>0</v>
      </c>
      <c r="B14552" s="11" t="str">
        <f>IF(D14552&lt;&gt;"",IF(COUNTIF('USPTO TMs'!A:A,D14552)&gt;0,"Yes","No"),"")</f>
        <v/>
      </c>
      <c r="C14552" s="11"/>
      <c r="D14552" s="11"/>
      <c r="E14552" s="11"/>
      <c r="F14552" s="11"/>
      <c r="G14552" s="11"/>
      <c r="H14552" s="11"/>
      <c r="I14552" s="15"/>
    </row>
    <row r="14553" spans="1:9" ht="16.5">
      <c r="A14553" s="10" t="b">
        <v>0</v>
      </c>
      <c r="B14553" s="11" t="str">
        <f>IF(D14553&lt;&gt;"",IF(COUNTIF('USPTO TMs'!A:A,D14553)&gt;0,"Yes","No"),"")</f>
        <v/>
      </c>
      <c r="C14553" s="11"/>
      <c r="D14553" s="11"/>
      <c r="E14553" s="11"/>
      <c r="F14553" s="11"/>
      <c r="G14553" s="11"/>
      <c r="H14553" s="11"/>
      <c r="I14553" s="15"/>
    </row>
    <row r="14554" spans="1:9" ht="16.5">
      <c r="A14554" s="10" t="b">
        <v>0</v>
      </c>
      <c r="B14554" s="11" t="str">
        <f>IF(D14554&lt;&gt;"",IF(COUNTIF('USPTO TMs'!A:A,D14554)&gt;0,"Yes","No"),"")</f>
        <v/>
      </c>
      <c r="C14554" s="11"/>
      <c r="D14554" s="11"/>
      <c r="E14554" s="11"/>
      <c r="F14554" s="11"/>
      <c r="G14554" s="11"/>
      <c r="H14554" s="11"/>
      <c r="I14554" s="15"/>
    </row>
    <row r="14555" spans="1:9" ht="16.5">
      <c r="A14555" s="10" t="b">
        <v>0</v>
      </c>
      <c r="B14555" s="11" t="str">
        <f>IF(D14555&lt;&gt;"",IF(COUNTIF('USPTO TMs'!A:A,D14555)&gt;0,"Yes","No"),"")</f>
        <v/>
      </c>
      <c r="C14555" s="11"/>
      <c r="D14555" s="11"/>
      <c r="E14555" s="11"/>
      <c r="F14555" s="11"/>
      <c r="G14555" s="11"/>
      <c r="H14555" s="11"/>
      <c r="I14555" s="15"/>
    </row>
    <row r="14556" spans="1:9" ht="16.5">
      <c r="A14556" s="10" t="b">
        <v>0</v>
      </c>
      <c r="B14556" s="11" t="str">
        <f>IF(D14556&lt;&gt;"",IF(COUNTIF('USPTO TMs'!A:A,D14556)&gt;0,"Yes","No"),"")</f>
        <v/>
      </c>
      <c r="C14556" s="11"/>
      <c r="D14556" s="11"/>
      <c r="E14556" s="11"/>
      <c r="F14556" s="11"/>
      <c r="G14556" s="11"/>
      <c r="H14556" s="11"/>
      <c r="I14556" s="15"/>
    </row>
    <row r="14557" spans="1:9" ht="16.5">
      <c r="A14557" s="10" t="b">
        <v>0</v>
      </c>
      <c r="B14557" s="11" t="str">
        <f>IF(D14557&lt;&gt;"",IF(COUNTIF('USPTO TMs'!A:A,D14557)&gt;0,"Yes","No"),"")</f>
        <v/>
      </c>
      <c r="C14557" s="11"/>
      <c r="D14557" s="11"/>
      <c r="E14557" s="11"/>
      <c r="F14557" s="11"/>
      <c r="G14557" s="11"/>
      <c r="H14557" s="11"/>
      <c r="I14557" s="15"/>
    </row>
    <row r="14558" spans="1:9" ht="16.5">
      <c r="A14558" s="10" t="b">
        <v>0</v>
      </c>
      <c r="B14558" s="11" t="str">
        <f>IF(D14558&lt;&gt;"",IF(COUNTIF('USPTO TMs'!A:A,D14558)&gt;0,"Yes","No"),"")</f>
        <v/>
      </c>
      <c r="C14558" s="11"/>
      <c r="D14558" s="11"/>
      <c r="E14558" s="11"/>
      <c r="F14558" s="11"/>
      <c r="G14558" s="11"/>
      <c r="H14558" s="11"/>
      <c r="I14558" s="15"/>
    </row>
    <row r="14559" spans="1:9" ht="16.5">
      <c r="A14559" s="10" t="b">
        <v>0</v>
      </c>
      <c r="B14559" s="11" t="str">
        <f>IF(D14559&lt;&gt;"",IF(COUNTIF('USPTO TMs'!A:A,D14559)&gt;0,"Yes","No"),"")</f>
        <v/>
      </c>
      <c r="C14559" s="11"/>
      <c r="D14559" s="11"/>
      <c r="E14559" s="11"/>
      <c r="F14559" s="11"/>
      <c r="G14559" s="11"/>
      <c r="H14559" s="11"/>
      <c r="I14559" s="15"/>
    </row>
    <row r="14560" spans="1:9" ht="16.5">
      <c r="A14560" s="10" t="b">
        <v>0</v>
      </c>
      <c r="B14560" s="11" t="str">
        <f>IF(D14560&lt;&gt;"",IF(COUNTIF('USPTO TMs'!A:A,D14560)&gt;0,"Yes","No"),"")</f>
        <v/>
      </c>
      <c r="C14560" s="11"/>
      <c r="D14560" s="11"/>
      <c r="E14560" s="11"/>
      <c r="F14560" s="11"/>
      <c r="G14560" s="11"/>
      <c r="H14560" s="11"/>
      <c r="I14560" s="15"/>
    </row>
    <row r="14561" spans="1:9" ht="16.5">
      <c r="A14561" s="10" t="b">
        <v>0</v>
      </c>
      <c r="B14561" s="11" t="str">
        <f>IF(D14561&lt;&gt;"",IF(COUNTIF('USPTO TMs'!A:A,D14561)&gt;0,"Yes","No"),"")</f>
        <v/>
      </c>
      <c r="C14561" s="11"/>
      <c r="D14561" s="11"/>
      <c r="E14561" s="11"/>
      <c r="F14561" s="11"/>
      <c r="G14561" s="11"/>
      <c r="H14561" s="11"/>
      <c r="I14561" s="15"/>
    </row>
    <row r="14562" spans="1:9" ht="16.5">
      <c r="A14562" s="10" t="b">
        <v>0</v>
      </c>
      <c r="B14562" s="11" t="str">
        <f>IF(D14562&lt;&gt;"",IF(COUNTIF('USPTO TMs'!A:A,D14562)&gt;0,"Yes","No"),"")</f>
        <v/>
      </c>
      <c r="C14562" s="11"/>
      <c r="D14562" s="11"/>
      <c r="E14562" s="11"/>
      <c r="F14562" s="11"/>
      <c r="G14562" s="11"/>
      <c r="H14562" s="11"/>
      <c r="I14562" s="15"/>
    </row>
    <row r="14563" spans="1:9" ht="16.5">
      <c r="A14563" s="10" t="b">
        <v>0</v>
      </c>
      <c r="B14563" s="11" t="str">
        <f>IF(D14563&lt;&gt;"",IF(COUNTIF('USPTO TMs'!A:A,D14563)&gt;0,"Yes","No"),"")</f>
        <v/>
      </c>
      <c r="C14563" s="11"/>
      <c r="D14563" s="11"/>
      <c r="E14563" s="11"/>
      <c r="F14563" s="11"/>
      <c r="G14563" s="11"/>
      <c r="H14563" s="11"/>
      <c r="I14563" s="15"/>
    </row>
    <row r="14564" spans="1:9" ht="16.5">
      <c r="A14564" s="10" t="b">
        <v>0</v>
      </c>
      <c r="B14564" s="11" t="str">
        <f>IF(D14564&lt;&gt;"",IF(COUNTIF('USPTO TMs'!A:A,D14564)&gt;0,"Yes","No"),"")</f>
        <v/>
      </c>
      <c r="C14564" s="11"/>
      <c r="D14564" s="11"/>
      <c r="E14564" s="11"/>
      <c r="F14564" s="11"/>
      <c r="G14564" s="11"/>
      <c r="H14564" s="11"/>
      <c r="I14564" s="15"/>
    </row>
    <row r="14565" spans="1:9" ht="16.5">
      <c r="A14565" s="10" t="b">
        <v>0</v>
      </c>
      <c r="B14565" s="11" t="str">
        <f>IF(D14565&lt;&gt;"",IF(COUNTIF('USPTO TMs'!A:A,D14565)&gt;0,"Yes","No"),"")</f>
        <v/>
      </c>
      <c r="C14565" s="11"/>
      <c r="D14565" s="11"/>
      <c r="E14565" s="11"/>
      <c r="F14565" s="11"/>
      <c r="G14565" s="11"/>
      <c r="H14565" s="11"/>
      <c r="I14565" s="15"/>
    </row>
    <row r="14566" spans="1:9" ht="16.5">
      <c r="A14566" s="10" t="b">
        <v>0</v>
      </c>
      <c r="B14566" s="11" t="str">
        <f>IF(D14566&lt;&gt;"",IF(COUNTIF('USPTO TMs'!A:A,D14566)&gt;0,"Yes","No"),"")</f>
        <v/>
      </c>
      <c r="C14566" s="11"/>
      <c r="D14566" s="11"/>
      <c r="E14566" s="11"/>
      <c r="F14566" s="11"/>
      <c r="G14566" s="11"/>
      <c r="H14566" s="11"/>
      <c r="I14566" s="15"/>
    </row>
    <row r="14567" spans="1:9" ht="16.5">
      <c r="A14567" s="10" t="b">
        <v>0</v>
      </c>
      <c r="B14567" s="11" t="str">
        <f>IF(D14567&lt;&gt;"",IF(COUNTIF('USPTO TMs'!A:A,D14567)&gt;0,"Yes","No"),"")</f>
        <v/>
      </c>
      <c r="C14567" s="11"/>
      <c r="D14567" s="11"/>
      <c r="E14567" s="11"/>
      <c r="F14567" s="11"/>
      <c r="G14567" s="11"/>
      <c r="H14567" s="11"/>
      <c r="I14567" s="15"/>
    </row>
    <row r="14568" spans="1:9" ht="16.5">
      <c r="A14568" s="10" t="b">
        <v>0</v>
      </c>
      <c r="B14568" s="11" t="str">
        <f>IF(D14568&lt;&gt;"",IF(COUNTIF('USPTO TMs'!A:A,D14568)&gt;0,"Yes","No"),"")</f>
        <v/>
      </c>
      <c r="C14568" s="11"/>
      <c r="D14568" s="11"/>
      <c r="E14568" s="11"/>
      <c r="F14568" s="11"/>
      <c r="G14568" s="11"/>
      <c r="H14568" s="11"/>
      <c r="I14568" s="15"/>
    </row>
    <row r="14569" spans="1:9" ht="16.5">
      <c r="A14569" s="10" t="b">
        <v>0</v>
      </c>
      <c r="B14569" s="11" t="str">
        <f>IF(D14569&lt;&gt;"",IF(COUNTIF('USPTO TMs'!A:A,D14569)&gt;0,"Yes","No"),"")</f>
        <v/>
      </c>
      <c r="C14569" s="11"/>
      <c r="D14569" s="11"/>
      <c r="E14569" s="11"/>
      <c r="F14569" s="11"/>
      <c r="G14569" s="11"/>
      <c r="H14569" s="11"/>
      <c r="I14569" s="15"/>
    </row>
    <row r="14570" spans="1:9" ht="16.5">
      <c r="A14570" s="10" t="b">
        <v>0</v>
      </c>
      <c r="B14570" s="11" t="str">
        <f>IF(D14570&lt;&gt;"",IF(COUNTIF('USPTO TMs'!A:A,D14570)&gt;0,"Yes","No"),"")</f>
        <v/>
      </c>
      <c r="C14570" s="11"/>
      <c r="D14570" s="11"/>
      <c r="E14570" s="11"/>
      <c r="F14570" s="11"/>
      <c r="G14570" s="11"/>
      <c r="H14570" s="11"/>
      <c r="I14570" s="15"/>
    </row>
    <row r="14571" spans="1:9" ht="16.5">
      <c r="A14571" s="10" t="b">
        <v>0</v>
      </c>
      <c r="B14571" s="11" t="str">
        <f>IF(D14571&lt;&gt;"",IF(COUNTIF('USPTO TMs'!A:A,D14571)&gt;0,"Yes","No"),"")</f>
        <v/>
      </c>
      <c r="C14571" s="11"/>
      <c r="D14571" s="11"/>
      <c r="E14571" s="11"/>
      <c r="F14571" s="11"/>
      <c r="G14571" s="11"/>
      <c r="H14571" s="11"/>
      <c r="I14571" s="15"/>
    </row>
    <row r="14572" spans="1:9" ht="16.5">
      <c r="A14572" s="10" t="b">
        <v>0</v>
      </c>
      <c r="B14572" s="11" t="str">
        <f>IF(D14572&lt;&gt;"",IF(COUNTIF('USPTO TMs'!A:A,D14572)&gt;0,"Yes","No"),"")</f>
        <v/>
      </c>
      <c r="C14572" s="11"/>
      <c r="D14572" s="11"/>
      <c r="E14572" s="11"/>
      <c r="F14572" s="11"/>
      <c r="G14572" s="11"/>
      <c r="H14572" s="11"/>
      <c r="I14572" s="15"/>
    </row>
    <row r="14573" spans="1:9" ht="16.5">
      <c r="A14573" s="10" t="b">
        <v>0</v>
      </c>
      <c r="B14573" s="11" t="str">
        <f>IF(D14573&lt;&gt;"",IF(COUNTIF('USPTO TMs'!A:A,D14573)&gt;0,"Yes","No"),"")</f>
        <v/>
      </c>
      <c r="C14573" s="11"/>
      <c r="D14573" s="11"/>
      <c r="E14573" s="11"/>
      <c r="F14573" s="11"/>
      <c r="G14573" s="11"/>
      <c r="H14573" s="11"/>
      <c r="I14573" s="15"/>
    </row>
    <row r="14574" spans="1:9" ht="16.5">
      <c r="A14574" s="10" t="b">
        <v>0</v>
      </c>
      <c r="B14574" s="11" t="str">
        <f>IF(D14574&lt;&gt;"",IF(COUNTIF('USPTO TMs'!A:A,D14574)&gt;0,"Yes","No"),"")</f>
        <v/>
      </c>
      <c r="C14574" s="11"/>
      <c r="D14574" s="11"/>
      <c r="E14574" s="11"/>
      <c r="F14574" s="11"/>
      <c r="G14574" s="11"/>
      <c r="H14574" s="11"/>
      <c r="I14574" s="15"/>
    </row>
    <row r="14575" spans="1:9" ht="16.5">
      <c r="A14575" s="10" t="b">
        <v>0</v>
      </c>
      <c r="B14575" s="11" t="str">
        <f>IF(D14575&lt;&gt;"",IF(COUNTIF('USPTO TMs'!A:A,D14575)&gt;0,"Yes","No"),"")</f>
        <v/>
      </c>
      <c r="C14575" s="11"/>
      <c r="D14575" s="11"/>
      <c r="E14575" s="11"/>
      <c r="F14575" s="11"/>
      <c r="G14575" s="11"/>
      <c r="H14575" s="11"/>
      <c r="I14575" s="15"/>
    </row>
    <row r="14576" spans="1:9" ht="16.5">
      <c r="A14576" s="10" t="b">
        <v>0</v>
      </c>
      <c r="B14576" s="11" t="str">
        <f>IF(D14576&lt;&gt;"",IF(COUNTIF('USPTO TMs'!A:A,D14576)&gt;0,"Yes","No"),"")</f>
        <v/>
      </c>
      <c r="C14576" s="11"/>
      <c r="D14576" s="11"/>
      <c r="E14576" s="11"/>
      <c r="F14576" s="11"/>
      <c r="G14576" s="11"/>
      <c r="H14576" s="11"/>
      <c r="I14576" s="15"/>
    </row>
    <row r="14577" spans="1:9" ht="16.5">
      <c r="A14577" s="10" t="b">
        <v>0</v>
      </c>
      <c r="B14577" s="11" t="str">
        <f>IF(D14577&lt;&gt;"",IF(COUNTIF('USPTO TMs'!A:A,D14577)&gt;0,"Yes","No"),"")</f>
        <v/>
      </c>
      <c r="C14577" s="11"/>
      <c r="D14577" s="11"/>
      <c r="E14577" s="11"/>
      <c r="F14577" s="11"/>
      <c r="G14577" s="11"/>
      <c r="H14577" s="11"/>
      <c r="I14577" s="15"/>
    </row>
    <row r="14578" spans="1:9" ht="16.5">
      <c r="A14578" s="10" t="b">
        <v>0</v>
      </c>
      <c r="B14578" s="11" t="str">
        <f>IF(D14578&lt;&gt;"",IF(COUNTIF('USPTO TMs'!A:A,D14578)&gt;0,"Yes","No"),"")</f>
        <v/>
      </c>
      <c r="C14578" s="11"/>
      <c r="D14578" s="11"/>
      <c r="E14578" s="11"/>
      <c r="F14578" s="11"/>
      <c r="G14578" s="11"/>
      <c r="H14578" s="11"/>
      <c r="I14578" s="15"/>
    </row>
    <row r="14579" spans="1:9" ht="16.5">
      <c r="A14579" s="10" t="b">
        <v>0</v>
      </c>
      <c r="B14579" s="11" t="str">
        <f>IF(D14579&lt;&gt;"",IF(COUNTIF('USPTO TMs'!A:A,D14579)&gt;0,"Yes","No"),"")</f>
        <v/>
      </c>
      <c r="C14579" s="11"/>
      <c r="D14579" s="11"/>
      <c r="E14579" s="11"/>
      <c r="F14579" s="11"/>
      <c r="G14579" s="11"/>
      <c r="H14579" s="11"/>
      <c r="I14579" s="15"/>
    </row>
    <row r="14580" spans="1:9" ht="16.5">
      <c r="A14580" s="10" t="b">
        <v>0</v>
      </c>
      <c r="B14580" s="11" t="str">
        <f>IF(D14580&lt;&gt;"",IF(COUNTIF('USPTO TMs'!A:A,D14580)&gt;0,"Yes","No"),"")</f>
        <v/>
      </c>
      <c r="C14580" s="11"/>
      <c r="D14580" s="11"/>
      <c r="E14580" s="11"/>
      <c r="F14580" s="11"/>
      <c r="G14580" s="11"/>
      <c r="H14580" s="11"/>
      <c r="I14580" s="15"/>
    </row>
    <row r="14581" spans="1:9" ht="16.5">
      <c r="A14581" s="10" t="b">
        <v>0</v>
      </c>
      <c r="B14581" s="11" t="str">
        <f>IF(D14581&lt;&gt;"",IF(COUNTIF('USPTO TMs'!A:A,D14581)&gt;0,"Yes","No"),"")</f>
        <v/>
      </c>
      <c r="C14581" s="11"/>
      <c r="D14581" s="11"/>
      <c r="E14581" s="11"/>
      <c r="F14581" s="11"/>
      <c r="G14581" s="11"/>
      <c r="H14581" s="11"/>
      <c r="I14581" s="15"/>
    </row>
    <row r="14582" spans="1:9" ht="16.5">
      <c r="A14582" s="10" t="b">
        <v>0</v>
      </c>
      <c r="B14582" s="11" t="str">
        <f>IF(D14582&lt;&gt;"",IF(COUNTIF('USPTO TMs'!A:A,D14582)&gt;0,"Yes","No"),"")</f>
        <v/>
      </c>
      <c r="C14582" s="11"/>
      <c r="D14582" s="11"/>
      <c r="E14582" s="11"/>
      <c r="F14582" s="11"/>
      <c r="G14582" s="11"/>
      <c r="H14582" s="11"/>
      <c r="I14582" s="15"/>
    </row>
    <row r="14583" spans="1:9" ht="16.5">
      <c r="A14583" s="10" t="b">
        <v>0</v>
      </c>
      <c r="B14583" s="11" t="str">
        <f>IF(D14583&lt;&gt;"",IF(COUNTIF('USPTO TMs'!A:A,D14583)&gt;0,"Yes","No"),"")</f>
        <v/>
      </c>
      <c r="C14583" s="11"/>
      <c r="D14583" s="11"/>
      <c r="E14583" s="11"/>
      <c r="F14583" s="11"/>
      <c r="G14583" s="11"/>
      <c r="H14583" s="11"/>
      <c r="I14583" s="15"/>
    </row>
    <row r="14584" spans="1:9" ht="16.5">
      <c r="A14584" s="10" t="b">
        <v>0</v>
      </c>
      <c r="B14584" s="11" t="str">
        <f>IF(D14584&lt;&gt;"",IF(COUNTIF('USPTO TMs'!A:A,D14584)&gt;0,"Yes","No"),"")</f>
        <v/>
      </c>
      <c r="C14584" s="11"/>
      <c r="D14584" s="11"/>
      <c r="E14584" s="11"/>
      <c r="F14584" s="11"/>
      <c r="G14584" s="11"/>
      <c r="H14584" s="11"/>
      <c r="I14584" s="15"/>
    </row>
    <row r="14585" spans="1:9" ht="16.5">
      <c r="A14585" s="10" t="b">
        <v>0</v>
      </c>
      <c r="B14585" s="11" t="str">
        <f>IF(D14585&lt;&gt;"",IF(COUNTIF('USPTO TMs'!A:A,D14585)&gt;0,"Yes","No"),"")</f>
        <v/>
      </c>
      <c r="C14585" s="11"/>
      <c r="D14585" s="11"/>
      <c r="E14585" s="11"/>
      <c r="F14585" s="11"/>
      <c r="G14585" s="11"/>
      <c r="H14585" s="11"/>
      <c r="I14585" s="15"/>
    </row>
    <row r="14586" spans="1:9" ht="16.5">
      <c r="A14586" s="10" t="b">
        <v>0</v>
      </c>
      <c r="B14586" s="11" t="str">
        <f>IF(D14586&lt;&gt;"",IF(COUNTIF('USPTO TMs'!A:A,D14586)&gt;0,"Yes","No"),"")</f>
        <v/>
      </c>
      <c r="C14586" s="11"/>
      <c r="D14586" s="11"/>
      <c r="E14586" s="11"/>
      <c r="F14586" s="11"/>
      <c r="G14586" s="11"/>
      <c r="H14586" s="11"/>
      <c r="I14586" s="15"/>
    </row>
    <row r="14587" spans="1:9" ht="16.5">
      <c r="A14587" s="10" t="b">
        <v>0</v>
      </c>
      <c r="B14587" s="11" t="str">
        <f>IF(D14587&lt;&gt;"",IF(COUNTIF('USPTO TMs'!A:A,D14587)&gt;0,"Yes","No"),"")</f>
        <v/>
      </c>
      <c r="C14587" s="11"/>
      <c r="D14587" s="11"/>
      <c r="E14587" s="11"/>
      <c r="F14587" s="11"/>
      <c r="G14587" s="11"/>
      <c r="H14587" s="11"/>
      <c r="I14587" s="15"/>
    </row>
    <row r="14588" spans="1:9" ht="16.5">
      <c r="A14588" s="10" t="b">
        <v>0</v>
      </c>
      <c r="B14588" s="11" t="str">
        <f>IF(D14588&lt;&gt;"",IF(COUNTIF('USPTO TMs'!A:A,D14588)&gt;0,"Yes","No"),"")</f>
        <v/>
      </c>
      <c r="C14588" s="11"/>
      <c r="D14588" s="11"/>
      <c r="E14588" s="11"/>
      <c r="F14588" s="11"/>
      <c r="G14588" s="11"/>
      <c r="H14588" s="11"/>
      <c r="I14588" s="15"/>
    </row>
    <row r="14589" spans="1:9" ht="16.5">
      <c r="A14589" s="10" t="b">
        <v>0</v>
      </c>
      <c r="B14589" s="11" t="str">
        <f>IF(D14589&lt;&gt;"",IF(COUNTIF('USPTO TMs'!A:A,D14589)&gt;0,"Yes","No"),"")</f>
        <v/>
      </c>
      <c r="C14589" s="11"/>
      <c r="D14589" s="11"/>
      <c r="E14589" s="11"/>
      <c r="F14589" s="11"/>
      <c r="G14589" s="11"/>
      <c r="H14589" s="11"/>
      <c r="I14589" s="15"/>
    </row>
    <row r="14590" spans="1:9" ht="16.5">
      <c r="A14590" s="10" t="b">
        <v>0</v>
      </c>
      <c r="B14590" s="11" t="str">
        <f>IF(D14590&lt;&gt;"",IF(COUNTIF('USPTO TMs'!A:A,D14590)&gt;0,"Yes","No"),"")</f>
        <v/>
      </c>
      <c r="C14590" s="11"/>
      <c r="D14590" s="11"/>
      <c r="E14590" s="11"/>
      <c r="F14590" s="11"/>
      <c r="G14590" s="11"/>
      <c r="H14590" s="11"/>
      <c r="I14590" s="15"/>
    </row>
    <row r="14591" spans="1:9" ht="16.5">
      <c r="A14591" s="10" t="b">
        <v>0</v>
      </c>
      <c r="B14591" s="11" t="str">
        <f>IF(D14591&lt;&gt;"",IF(COUNTIF('USPTO TMs'!A:A,D14591)&gt;0,"Yes","No"),"")</f>
        <v/>
      </c>
      <c r="C14591" s="11"/>
      <c r="D14591" s="11"/>
      <c r="E14591" s="11"/>
      <c r="F14591" s="11"/>
      <c r="G14591" s="11"/>
      <c r="H14591" s="11"/>
      <c r="I14591" s="15"/>
    </row>
    <row r="14592" spans="1:9" ht="16.5">
      <c r="A14592" s="10" t="b">
        <v>0</v>
      </c>
      <c r="B14592" s="11" t="str">
        <f>IF(D14592&lt;&gt;"",IF(COUNTIF('USPTO TMs'!A:A,D14592)&gt;0,"Yes","No"),"")</f>
        <v/>
      </c>
      <c r="C14592" s="11"/>
      <c r="D14592" s="11"/>
      <c r="E14592" s="11"/>
      <c r="F14592" s="11"/>
      <c r="G14592" s="11"/>
      <c r="H14592" s="11"/>
      <c r="I14592" s="15"/>
    </row>
    <row r="14593" spans="1:9" ht="16.5">
      <c r="A14593" s="10" t="b">
        <v>0</v>
      </c>
      <c r="B14593" s="11" t="str">
        <f>IF(D14593&lt;&gt;"",IF(COUNTIF('USPTO TMs'!A:A,D14593)&gt;0,"Yes","No"),"")</f>
        <v/>
      </c>
      <c r="C14593" s="11"/>
      <c r="D14593" s="11"/>
      <c r="E14593" s="11"/>
      <c r="F14593" s="11"/>
      <c r="G14593" s="11"/>
      <c r="H14593" s="11"/>
      <c r="I14593" s="15"/>
    </row>
    <row r="14594" spans="1:9" ht="16.5">
      <c r="A14594" s="10" t="b">
        <v>0</v>
      </c>
      <c r="B14594" s="11" t="str">
        <f>IF(D14594&lt;&gt;"",IF(COUNTIF('USPTO TMs'!A:A,D14594)&gt;0,"Yes","No"),"")</f>
        <v/>
      </c>
      <c r="C14594" s="11"/>
      <c r="D14594" s="11"/>
      <c r="E14594" s="11"/>
      <c r="F14594" s="11"/>
      <c r="G14594" s="11"/>
      <c r="H14594" s="11"/>
      <c r="I14594" s="15"/>
    </row>
    <row r="14595" spans="1:9" ht="16.5">
      <c r="A14595" s="10" t="b">
        <v>0</v>
      </c>
      <c r="B14595" s="11" t="str">
        <f>IF(D14595&lt;&gt;"",IF(COUNTIF('USPTO TMs'!A:A,D14595)&gt;0,"Yes","No"),"")</f>
        <v/>
      </c>
      <c r="C14595" s="11"/>
      <c r="D14595" s="11"/>
      <c r="E14595" s="11"/>
      <c r="F14595" s="11"/>
      <c r="G14595" s="11"/>
      <c r="H14595" s="11"/>
      <c r="I14595" s="15"/>
    </row>
    <row r="14596" spans="1:9" ht="16.5">
      <c r="A14596" s="10" t="b">
        <v>0</v>
      </c>
      <c r="B14596" s="11" t="str">
        <f>IF(D14596&lt;&gt;"",IF(COUNTIF('USPTO TMs'!A:A,D14596)&gt;0,"Yes","No"),"")</f>
        <v/>
      </c>
      <c r="C14596" s="11"/>
      <c r="D14596" s="11"/>
      <c r="E14596" s="11"/>
      <c r="F14596" s="11"/>
      <c r="G14596" s="11"/>
      <c r="H14596" s="11"/>
      <c r="I14596" s="15"/>
    </row>
    <row r="14597" spans="1:9" ht="16.5">
      <c r="A14597" s="10" t="b">
        <v>0</v>
      </c>
      <c r="B14597" s="11" t="str">
        <f>IF(D14597&lt;&gt;"",IF(COUNTIF('USPTO TMs'!A:A,D14597)&gt;0,"Yes","No"),"")</f>
        <v/>
      </c>
      <c r="C14597" s="11"/>
      <c r="D14597" s="11"/>
      <c r="E14597" s="11"/>
      <c r="F14597" s="11"/>
      <c r="G14597" s="11"/>
      <c r="H14597" s="11"/>
      <c r="I14597" s="15"/>
    </row>
    <row r="14598" spans="1:9" ht="16.5">
      <c r="A14598" s="10" t="b">
        <v>0</v>
      </c>
      <c r="B14598" s="11" t="str">
        <f>IF(D14598&lt;&gt;"",IF(COUNTIF('USPTO TMs'!A:A,D14598)&gt;0,"Yes","No"),"")</f>
        <v/>
      </c>
      <c r="C14598" s="11"/>
      <c r="D14598" s="11"/>
      <c r="E14598" s="11"/>
      <c r="F14598" s="11"/>
      <c r="G14598" s="11"/>
      <c r="H14598" s="11"/>
      <c r="I14598" s="15"/>
    </row>
    <row r="14599" spans="1:9" ht="16.5">
      <c r="A14599" s="10" t="b">
        <v>0</v>
      </c>
      <c r="B14599" s="11" t="str">
        <f>IF(D14599&lt;&gt;"",IF(COUNTIF('USPTO TMs'!A:A,D14599)&gt;0,"Yes","No"),"")</f>
        <v/>
      </c>
      <c r="C14599" s="11"/>
      <c r="D14599" s="11"/>
      <c r="E14599" s="11"/>
      <c r="F14599" s="11"/>
      <c r="G14599" s="11"/>
      <c r="H14599" s="11"/>
      <c r="I14599" s="15"/>
    </row>
    <row r="14600" spans="1:9" ht="16.5">
      <c r="A14600" s="10" t="b">
        <v>0</v>
      </c>
      <c r="B14600" s="11" t="str">
        <f>IF(D14600&lt;&gt;"",IF(COUNTIF('USPTO TMs'!A:A,D14600)&gt;0,"Yes","No"),"")</f>
        <v/>
      </c>
      <c r="C14600" s="11"/>
      <c r="D14600" s="11"/>
      <c r="E14600" s="11"/>
      <c r="F14600" s="11"/>
      <c r="G14600" s="11"/>
      <c r="H14600" s="11"/>
      <c r="I14600" s="15"/>
    </row>
    <row r="14601" spans="1:9" ht="16.5">
      <c r="A14601" s="10" t="b">
        <v>0</v>
      </c>
      <c r="B14601" s="11" t="str">
        <f>IF(D14601&lt;&gt;"",IF(COUNTIF('USPTO TMs'!A:A,D14601)&gt;0,"Yes","No"),"")</f>
        <v/>
      </c>
      <c r="C14601" s="11"/>
      <c r="D14601" s="11"/>
      <c r="E14601" s="11"/>
      <c r="F14601" s="11"/>
      <c r="G14601" s="11"/>
      <c r="H14601" s="11"/>
      <c r="I14601" s="15"/>
    </row>
    <row r="14602" spans="1:9" ht="16.5">
      <c r="A14602" s="10" t="b">
        <v>0</v>
      </c>
      <c r="B14602" s="11" t="str">
        <f>IF(D14602&lt;&gt;"",IF(COUNTIF('USPTO TMs'!A:A,D14602)&gt;0,"Yes","No"),"")</f>
        <v/>
      </c>
      <c r="C14602" s="11"/>
      <c r="D14602" s="11"/>
      <c r="E14602" s="11"/>
      <c r="F14602" s="11"/>
      <c r="G14602" s="11"/>
      <c r="H14602" s="11"/>
      <c r="I14602" s="15"/>
    </row>
    <row r="14603" spans="1:9" ht="16.5">
      <c r="A14603" s="10" t="b">
        <v>0</v>
      </c>
      <c r="B14603" s="11" t="str">
        <f>IF(D14603&lt;&gt;"",IF(COUNTIF('USPTO TMs'!A:A,D14603)&gt;0,"Yes","No"),"")</f>
        <v/>
      </c>
      <c r="C14603" s="11"/>
      <c r="D14603" s="11"/>
      <c r="E14603" s="11"/>
      <c r="F14603" s="11"/>
      <c r="G14603" s="11"/>
      <c r="H14603" s="11"/>
      <c r="I14603" s="15"/>
    </row>
    <row r="14604" spans="1:9" ht="16.5">
      <c r="A14604" s="10" t="b">
        <v>0</v>
      </c>
      <c r="B14604" s="11" t="str">
        <f>IF(D14604&lt;&gt;"",IF(COUNTIF('USPTO TMs'!A:A,D14604)&gt;0,"Yes","No"),"")</f>
        <v/>
      </c>
      <c r="C14604" s="11"/>
      <c r="D14604" s="11"/>
      <c r="E14604" s="11"/>
      <c r="F14604" s="11"/>
      <c r="G14604" s="11"/>
      <c r="H14604" s="11"/>
      <c r="I14604" s="15"/>
    </row>
    <row r="14605" spans="1:9" ht="16.5">
      <c r="A14605" s="10" t="b">
        <v>0</v>
      </c>
      <c r="B14605" s="11" t="str">
        <f>IF(D14605&lt;&gt;"",IF(COUNTIF('USPTO TMs'!A:A,D14605)&gt;0,"Yes","No"),"")</f>
        <v/>
      </c>
      <c r="C14605" s="11"/>
      <c r="D14605" s="11"/>
      <c r="E14605" s="11"/>
      <c r="F14605" s="11"/>
      <c r="G14605" s="11"/>
      <c r="H14605" s="11"/>
      <c r="I14605" s="15"/>
    </row>
    <row r="14606" spans="1:9" ht="16.5">
      <c r="A14606" s="10" t="b">
        <v>0</v>
      </c>
      <c r="B14606" s="11" t="str">
        <f>IF(D14606&lt;&gt;"",IF(COUNTIF('USPTO TMs'!A:A,D14606)&gt;0,"Yes","No"),"")</f>
        <v/>
      </c>
      <c r="C14606" s="11"/>
      <c r="D14606" s="11"/>
      <c r="E14606" s="11"/>
      <c r="F14606" s="11"/>
      <c r="G14606" s="11"/>
      <c r="H14606" s="11"/>
      <c r="I14606" s="15"/>
    </row>
    <row r="14607" spans="1:9" ht="16.5">
      <c r="A14607" s="10" t="b">
        <v>0</v>
      </c>
      <c r="B14607" s="11" t="str">
        <f>IF(D14607&lt;&gt;"",IF(COUNTIF('USPTO TMs'!A:A,D14607)&gt;0,"Yes","No"),"")</f>
        <v/>
      </c>
      <c r="C14607" s="11"/>
      <c r="D14607" s="11"/>
      <c r="E14607" s="11"/>
      <c r="F14607" s="11"/>
      <c r="G14607" s="11"/>
      <c r="H14607" s="11"/>
      <c r="I14607" s="15"/>
    </row>
    <row r="14608" spans="1:9" ht="16.5">
      <c r="A14608" s="10" t="b">
        <v>0</v>
      </c>
      <c r="B14608" s="11" t="str">
        <f>IF(D14608&lt;&gt;"",IF(COUNTIF('USPTO TMs'!A:A,D14608)&gt;0,"Yes","No"),"")</f>
        <v/>
      </c>
      <c r="C14608" s="11"/>
      <c r="D14608" s="11"/>
      <c r="E14608" s="11"/>
      <c r="F14608" s="11"/>
      <c r="G14608" s="11"/>
      <c r="H14608" s="11"/>
      <c r="I14608" s="15"/>
    </row>
    <row r="14609" spans="1:9" ht="16.5">
      <c r="A14609" s="10" t="b">
        <v>0</v>
      </c>
      <c r="B14609" s="11" t="str">
        <f>IF(D14609&lt;&gt;"",IF(COUNTIF('USPTO TMs'!A:A,D14609)&gt;0,"Yes","No"),"")</f>
        <v/>
      </c>
      <c r="C14609" s="11"/>
      <c r="D14609" s="11"/>
      <c r="E14609" s="11"/>
      <c r="F14609" s="11"/>
      <c r="G14609" s="11"/>
      <c r="H14609" s="11"/>
      <c r="I14609" s="15"/>
    </row>
    <row r="14610" spans="1:9" ht="16.5">
      <c r="A14610" s="10" t="b">
        <v>0</v>
      </c>
      <c r="B14610" s="11" t="str">
        <f>IF(D14610&lt;&gt;"",IF(COUNTIF('USPTO TMs'!A:A,D14610)&gt;0,"Yes","No"),"")</f>
        <v/>
      </c>
      <c r="C14610" s="11"/>
      <c r="D14610" s="11"/>
      <c r="E14610" s="11"/>
      <c r="F14610" s="11"/>
      <c r="G14610" s="11"/>
      <c r="H14610" s="11"/>
      <c r="I14610" s="15"/>
    </row>
    <row r="14611" spans="1:9" ht="16.5">
      <c r="A14611" s="10" t="b">
        <v>0</v>
      </c>
      <c r="B14611" s="11" t="str">
        <f>IF(D14611&lt;&gt;"",IF(COUNTIF('USPTO TMs'!A:A,D14611)&gt;0,"Yes","No"),"")</f>
        <v/>
      </c>
      <c r="C14611" s="11"/>
      <c r="D14611" s="11"/>
      <c r="E14611" s="11"/>
      <c r="F14611" s="11"/>
      <c r="G14611" s="11"/>
      <c r="H14611" s="11"/>
      <c r="I14611" s="15"/>
    </row>
    <row r="14612" spans="1:9" ht="16.5">
      <c r="A14612" s="10" t="b">
        <v>0</v>
      </c>
      <c r="B14612" s="11" t="str">
        <f>IF(D14612&lt;&gt;"",IF(COUNTIF('USPTO TMs'!A:A,D14612)&gt;0,"Yes","No"),"")</f>
        <v/>
      </c>
      <c r="C14612" s="11"/>
      <c r="D14612" s="11"/>
      <c r="E14612" s="11"/>
      <c r="F14612" s="11"/>
      <c r="G14612" s="11"/>
      <c r="H14612" s="11"/>
      <c r="I14612" s="15"/>
    </row>
    <row r="14613" spans="1:9" ht="16.5">
      <c r="A14613" s="10" t="b">
        <v>0</v>
      </c>
      <c r="B14613" s="11" t="str">
        <f>IF(D14613&lt;&gt;"",IF(COUNTIF('USPTO TMs'!A:A,D14613)&gt;0,"Yes","No"),"")</f>
        <v/>
      </c>
      <c r="C14613" s="11"/>
      <c r="D14613" s="11"/>
      <c r="E14613" s="11"/>
      <c r="F14613" s="11"/>
      <c r="G14613" s="11"/>
      <c r="H14613" s="11"/>
      <c r="I14613" s="15"/>
    </row>
    <row r="14614" spans="1:9" ht="16.5">
      <c r="A14614" s="10" t="b">
        <v>0</v>
      </c>
      <c r="B14614" s="11" t="str">
        <f>IF(D14614&lt;&gt;"",IF(COUNTIF('USPTO TMs'!A:A,D14614)&gt;0,"Yes","No"),"")</f>
        <v/>
      </c>
      <c r="C14614" s="11"/>
      <c r="D14614" s="11"/>
      <c r="E14614" s="11"/>
      <c r="F14614" s="11"/>
      <c r="G14614" s="11"/>
      <c r="H14614" s="11"/>
      <c r="I14614" s="15"/>
    </row>
    <row r="14615" spans="1:9" ht="16.5">
      <c r="A14615" s="10" t="b">
        <v>0</v>
      </c>
      <c r="B14615" s="11" t="str">
        <f>IF(D14615&lt;&gt;"",IF(COUNTIF('USPTO TMs'!A:A,D14615)&gt;0,"Yes","No"),"")</f>
        <v/>
      </c>
      <c r="C14615" s="11"/>
      <c r="D14615" s="11"/>
      <c r="E14615" s="11"/>
      <c r="F14615" s="11"/>
      <c r="G14615" s="11"/>
      <c r="H14615" s="11"/>
      <c r="I14615" s="15"/>
    </row>
    <row r="14616" spans="1:9" ht="16.5">
      <c r="A14616" s="10" t="b">
        <v>0</v>
      </c>
      <c r="B14616" s="11" t="str">
        <f>IF(D14616&lt;&gt;"",IF(COUNTIF('USPTO TMs'!A:A,D14616)&gt;0,"Yes","No"),"")</f>
        <v/>
      </c>
      <c r="C14616" s="11"/>
      <c r="D14616" s="11"/>
      <c r="E14616" s="11"/>
      <c r="F14616" s="11"/>
      <c r="G14616" s="11"/>
      <c r="H14616" s="11"/>
      <c r="I14616" s="15"/>
    </row>
    <row r="14617" spans="1:9" ht="16.5">
      <c r="A14617" s="10" t="b">
        <v>0</v>
      </c>
      <c r="B14617" s="11" t="str">
        <f>IF(D14617&lt;&gt;"",IF(COUNTIF('USPTO TMs'!A:A,D14617)&gt;0,"Yes","No"),"")</f>
        <v/>
      </c>
      <c r="C14617" s="11"/>
      <c r="D14617" s="11"/>
      <c r="E14617" s="11"/>
      <c r="F14617" s="11"/>
      <c r="G14617" s="11"/>
      <c r="H14617" s="11"/>
      <c r="I14617" s="15"/>
    </row>
    <row r="14618" spans="1:9" ht="16.5">
      <c r="A14618" s="10" t="b">
        <v>0</v>
      </c>
      <c r="B14618" s="11" t="str">
        <f>IF(D14618&lt;&gt;"",IF(COUNTIF('USPTO TMs'!A:A,D14618)&gt;0,"Yes","No"),"")</f>
        <v/>
      </c>
      <c r="C14618" s="11"/>
      <c r="D14618" s="11"/>
      <c r="E14618" s="11"/>
      <c r="F14618" s="11"/>
      <c r="G14618" s="11"/>
      <c r="H14618" s="11"/>
      <c r="I14618" s="15"/>
    </row>
    <row r="14619" spans="1:9" ht="16.5">
      <c r="A14619" s="10" t="b">
        <v>0</v>
      </c>
      <c r="B14619" s="11" t="str">
        <f>IF(D14619&lt;&gt;"",IF(COUNTIF('USPTO TMs'!A:A,D14619)&gt;0,"Yes","No"),"")</f>
        <v/>
      </c>
      <c r="C14619" s="11"/>
      <c r="D14619" s="11"/>
      <c r="E14619" s="11"/>
      <c r="F14619" s="11"/>
      <c r="G14619" s="11"/>
      <c r="H14619" s="11"/>
      <c r="I14619" s="15"/>
    </row>
    <row r="14620" spans="1:9" ht="16.5">
      <c r="A14620" s="10" t="b">
        <v>0</v>
      </c>
      <c r="B14620" s="11" t="str">
        <f>IF(D14620&lt;&gt;"",IF(COUNTIF('USPTO TMs'!A:A,D14620)&gt;0,"Yes","No"),"")</f>
        <v/>
      </c>
      <c r="C14620" s="11"/>
      <c r="D14620" s="11"/>
      <c r="E14620" s="11"/>
      <c r="F14620" s="11"/>
      <c r="G14620" s="11"/>
      <c r="H14620" s="11"/>
      <c r="I14620" s="15"/>
    </row>
    <row r="14621" spans="1:9" ht="16.5">
      <c r="A14621" s="10" t="b">
        <v>0</v>
      </c>
      <c r="B14621" s="11" t="str">
        <f>IF(D14621&lt;&gt;"",IF(COUNTIF('USPTO TMs'!A:A,D14621)&gt;0,"Yes","No"),"")</f>
        <v/>
      </c>
      <c r="C14621" s="11"/>
      <c r="D14621" s="11"/>
      <c r="E14621" s="11"/>
      <c r="F14621" s="11"/>
      <c r="G14621" s="11"/>
      <c r="H14621" s="11"/>
      <c r="I14621" s="15"/>
    </row>
    <row r="14622" spans="1:9" ht="16.5">
      <c r="A14622" s="10" t="b">
        <v>0</v>
      </c>
      <c r="B14622" s="11" t="str">
        <f>IF(D14622&lt;&gt;"",IF(COUNTIF('USPTO TMs'!A:A,D14622)&gt;0,"Yes","No"),"")</f>
        <v/>
      </c>
      <c r="C14622" s="11"/>
      <c r="D14622" s="11"/>
      <c r="E14622" s="11"/>
      <c r="F14622" s="11"/>
      <c r="G14622" s="11"/>
      <c r="H14622" s="11"/>
      <c r="I14622" s="15"/>
    </row>
    <row r="14623" spans="1:9" ht="16.5">
      <c r="A14623" s="10" t="b">
        <v>0</v>
      </c>
      <c r="B14623" s="11" t="str">
        <f>IF(D14623&lt;&gt;"",IF(COUNTIF('USPTO TMs'!A:A,D14623)&gt;0,"Yes","No"),"")</f>
        <v/>
      </c>
      <c r="C14623" s="11"/>
      <c r="D14623" s="11"/>
      <c r="E14623" s="11"/>
      <c r="F14623" s="11"/>
      <c r="G14623" s="11"/>
      <c r="H14623" s="11"/>
      <c r="I14623" s="15"/>
    </row>
    <row r="14624" spans="1:9" ht="16.5">
      <c r="A14624" s="10" t="b">
        <v>0</v>
      </c>
      <c r="B14624" s="11" t="str">
        <f>IF(D14624&lt;&gt;"",IF(COUNTIF('USPTO TMs'!A:A,D14624)&gt;0,"Yes","No"),"")</f>
        <v/>
      </c>
      <c r="C14624" s="11"/>
      <c r="D14624" s="11"/>
      <c r="E14624" s="11"/>
      <c r="F14624" s="11"/>
      <c r="G14624" s="11"/>
      <c r="H14624" s="11"/>
      <c r="I14624" s="15"/>
    </row>
    <row r="14625" spans="1:9" ht="16.5">
      <c r="A14625" s="10" t="b">
        <v>0</v>
      </c>
      <c r="B14625" s="11" t="str">
        <f>IF(D14625&lt;&gt;"",IF(COUNTIF('USPTO TMs'!A:A,D14625)&gt;0,"Yes","No"),"")</f>
        <v/>
      </c>
      <c r="C14625" s="11"/>
      <c r="D14625" s="11"/>
      <c r="E14625" s="11"/>
      <c r="F14625" s="11"/>
      <c r="G14625" s="11"/>
      <c r="H14625" s="11"/>
      <c r="I14625" s="15"/>
    </row>
    <row r="14626" spans="1:9" ht="16.5">
      <c r="A14626" s="10" t="b">
        <v>0</v>
      </c>
      <c r="B14626" s="11" t="str">
        <f>IF(D14626&lt;&gt;"",IF(COUNTIF('USPTO TMs'!A:A,D14626)&gt;0,"Yes","No"),"")</f>
        <v/>
      </c>
      <c r="C14626" s="11"/>
      <c r="D14626" s="11"/>
      <c r="E14626" s="11"/>
      <c r="F14626" s="11"/>
      <c r="G14626" s="11"/>
      <c r="H14626" s="11"/>
      <c r="I14626" s="15"/>
    </row>
    <row r="14627" spans="1:9" ht="16.5">
      <c r="A14627" s="10" t="b">
        <v>0</v>
      </c>
      <c r="B14627" s="11" t="str">
        <f>IF(D14627&lt;&gt;"",IF(COUNTIF('USPTO TMs'!A:A,D14627)&gt;0,"Yes","No"),"")</f>
        <v/>
      </c>
      <c r="C14627" s="11"/>
      <c r="D14627" s="11"/>
      <c r="E14627" s="11"/>
      <c r="F14627" s="11"/>
      <c r="G14627" s="11"/>
      <c r="H14627" s="11"/>
      <c r="I14627" s="15"/>
    </row>
    <row r="14628" spans="1:9" ht="16.5">
      <c r="A14628" s="10" t="b">
        <v>0</v>
      </c>
      <c r="B14628" s="11" t="str">
        <f>IF(D14628&lt;&gt;"",IF(COUNTIF('USPTO TMs'!A:A,D14628)&gt;0,"Yes","No"),"")</f>
        <v/>
      </c>
      <c r="C14628" s="11"/>
      <c r="D14628" s="11"/>
      <c r="E14628" s="11"/>
      <c r="F14628" s="11"/>
      <c r="G14628" s="11"/>
      <c r="H14628" s="11"/>
      <c r="I14628" s="15"/>
    </row>
    <row r="14629" spans="1:9" ht="16.5">
      <c r="A14629" s="10" t="b">
        <v>0</v>
      </c>
      <c r="B14629" s="11" t="str">
        <f>IF(D14629&lt;&gt;"",IF(COUNTIF('USPTO TMs'!A:A,D14629)&gt;0,"Yes","No"),"")</f>
        <v/>
      </c>
      <c r="C14629" s="11"/>
      <c r="D14629" s="11"/>
      <c r="E14629" s="11"/>
      <c r="F14629" s="11"/>
      <c r="G14629" s="11"/>
      <c r="H14629" s="11"/>
      <c r="I14629" s="15"/>
    </row>
    <row r="14630" spans="1:9" ht="16.5">
      <c r="A14630" s="10" t="b">
        <v>0</v>
      </c>
      <c r="B14630" s="11" t="str">
        <f>IF(D14630&lt;&gt;"",IF(COUNTIF('USPTO TMs'!A:A,D14630)&gt;0,"Yes","No"),"")</f>
        <v/>
      </c>
      <c r="C14630" s="11"/>
      <c r="D14630" s="11"/>
      <c r="E14630" s="11"/>
      <c r="F14630" s="11"/>
      <c r="G14630" s="11"/>
      <c r="H14630" s="11"/>
      <c r="I14630" s="15"/>
    </row>
    <row r="14631" spans="1:9" ht="16.5">
      <c r="A14631" s="10" t="b">
        <v>0</v>
      </c>
      <c r="B14631" s="11" t="str">
        <f>IF(D14631&lt;&gt;"",IF(COUNTIF('USPTO TMs'!A:A,D14631)&gt;0,"Yes","No"),"")</f>
        <v/>
      </c>
      <c r="C14631" s="11"/>
      <c r="D14631" s="11"/>
      <c r="E14631" s="11"/>
      <c r="F14631" s="11"/>
      <c r="G14631" s="11"/>
      <c r="H14631" s="11"/>
      <c r="I14631" s="15"/>
    </row>
    <row r="14632" spans="1:9" ht="16.5">
      <c r="A14632" s="10" t="b">
        <v>0</v>
      </c>
      <c r="B14632" s="11" t="str">
        <f>IF(D14632&lt;&gt;"",IF(COUNTIF('USPTO TMs'!A:A,D14632)&gt;0,"Yes","No"),"")</f>
        <v/>
      </c>
      <c r="C14632" s="11"/>
      <c r="D14632" s="11"/>
      <c r="E14632" s="11"/>
      <c r="F14632" s="11"/>
      <c r="G14632" s="11"/>
      <c r="H14632" s="11"/>
      <c r="I14632" s="15"/>
    </row>
    <row r="14633" spans="1:9" ht="16.5">
      <c r="A14633" s="10" t="b">
        <v>0</v>
      </c>
      <c r="B14633" s="11" t="str">
        <f>IF(D14633&lt;&gt;"",IF(COUNTIF('USPTO TMs'!A:A,D14633)&gt;0,"Yes","No"),"")</f>
        <v/>
      </c>
      <c r="C14633" s="11"/>
      <c r="D14633" s="11"/>
      <c r="E14633" s="11"/>
      <c r="F14633" s="11"/>
      <c r="G14633" s="11"/>
      <c r="H14633" s="11"/>
      <c r="I14633" s="15"/>
    </row>
    <row r="14634" spans="1:9" ht="16.5">
      <c r="A14634" s="10" t="b">
        <v>0</v>
      </c>
      <c r="B14634" s="11" t="str">
        <f>IF(D14634&lt;&gt;"",IF(COUNTIF('USPTO TMs'!A:A,D14634)&gt;0,"Yes","No"),"")</f>
        <v/>
      </c>
      <c r="C14634" s="11"/>
      <c r="D14634" s="11"/>
      <c r="E14634" s="11"/>
      <c r="F14634" s="11"/>
      <c r="G14634" s="11"/>
      <c r="H14634" s="11"/>
      <c r="I14634" s="15"/>
    </row>
    <row r="14635" spans="1:9" ht="16.5">
      <c r="A14635" s="10" t="b">
        <v>0</v>
      </c>
      <c r="B14635" s="11" t="str">
        <f>IF(D14635&lt;&gt;"",IF(COUNTIF('USPTO TMs'!A:A,D14635)&gt;0,"Yes","No"),"")</f>
        <v/>
      </c>
      <c r="C14635" s="11"/>
      <c r="D14635" s="11"/>
      <c r="E14635" s="11"/>
      <c r="F14635" s="11"/>
      <c r="G14635" s="11"/>
      <c r="H14635" s="11"/>
      <c r="I14635" s="15"/>
    </row>
    <row r="14636" spans="1:9" ht="16.5">
      <c r="A14636" s="10" t="b">
        <v>0</v>
      </c>
      <c r="B14636" s="11" t="str">
        <f>IF(D14636&lt;&gt;"",IF(COUNTIF('USPTO TMs'!A:A,D14636)&gt;0,"Yes","No"),"")</f>
        <v/>
      </c>
      <c r="C14636" s="11"/>
      <c r="D14636" s="11"/>
      <c r="E14636" s="11"/>
      <c r="F14636" s="11"/>
      <c r="G14636" s="11"/>
      <c r="H14636" s="11"/>
      <c r="I14636" s="15"/>
    </row>
    <row r="14637" spans="1:9" ht="16.5">
      <c r="A14637" s="10" t="b">
        <v>0</v>
      </c>
      <c r="B14637" s="11" t="str">
        <f>IF(D14637&lt;&gt;"",IF(COUNTIF('USPTO TMs'!A:A,D14637)&gt;0,"Yes","No"),"")</f>
        <v/>
      </c>
      <c r="C14637" s="11"/>
      <c r="D14637" s="11"/>
      <c r="E14637" s="11"/>
      <c r="F14637" s="11"/>
      <c r="G14637" s="11"/>
      <c r="H14637" s="11"/>
      <c r="I14637" s="15"/>
    </row>
    <row r="14638" spans="1:9" ht="16.5">
      <c r="A14638" s="10" t="b">
        <v>0</v>
      </c>
      <c r="B14638" s="11" t="str">
        <f>IF(D14638&lt;&gt;"",IF(COUNTIF('USPTO TMs'!A:A,D14638)&gt;0,"Yes","No"),"")</f>
        <v/>
      </c>
      <c r="C14638" s="11"/>
      <c r="D14638" s="11"/>
      <c r="E14638" s="11"/>
      <c r="F14638" s="11"/>
      <c r="G14638" s="11"/>
      <c r="H14638" s="11"/>
      <c r="I14638" s="15"/>
    </row>
    <row r="14639" spans="1:9" ht="16.5">
      <c r="A14639" s="10" t="b">
        <v>0</v>
      </c>
      <c r="B14639" s="11" t="str">
        <f>IF(D14639&lt;&gt;"",IF(COUNTIF('USPTO TMs'!A:A,D14639)&gt;0,"Yes","No"),"")</f>
        <v/>
      </c>
      <c r="C14639" s="11"/>
      <c r="D14639" s="11"/>
      <c r="E14639" s="11"/>
      <c r="F14639" s="11"/>
      <c r="G14639" s="11"/>
      <c r="H14639" s="11"/>
      <c r="I14639" s="15"/>
    </row>
    <row r="14640" spans="1:9" ht="16.5">
      <c r="A14640" s="10" t="b">
        <v>0</v>
      </c>
      <c r="B14640" s="11" t="str">
        <f>IF(D14640&lt;&gt;"",IF(COUNTIF('USPTO TMs'!A:A,D14640)&gt;0,"Yes","No"),"")</f>
        <v/>
      </c>
      <c r="C14640" s="11"/>
      <c r="D14640" s="11"/>
      <c r="E14640" s="11"/>
      <c r="F14640" s="11"/>
      <c r="G14640" s="11"/>
      <c r="H14640" s="11"/>
      <c r="I14640" s="15"/>
    </row>
    <row r="14641" spans="1:9" ht="16.5">
      <c r="A14641" s="10" t="b">
        <v>0</v>
      </c>
      <c r="B14641" s="11" t="str">
        <f>IF(D14641&lt;&gt;"",IF(COUNTIF('USPTO TMs'!A:A,D14641)&gt;0,"Yes","No"),"")</f>
        <v/>
      </c>
      <c r="C14641" s="11"/>
      <c r="D14641" s="11"/>
      <c r="E14641" s="11"/>
      <c r="F14641" s="11"/>
      <c r="G14641" s="11"/>
      <c r="H14641" s="11"/>
      <c r="I14641" s="15"/>
    </row>
    <row r="14642" spans="1:9" ht="16.5">
      <c r="A14642" s="10" t="b">
        <v>0</v>
      </c>
      <c r="B14642" s="11" t="str">
        <f>IF(D14642&lt;&gt;"",IF(COUNTIF('USPTO TMs'!A:A,D14642)&gt;0,"Yes","No"),"")</f>
        <v/>
      </c>
      <c r="C14642" s="11"/>
      <c r="D14642" s="11"/>
      <c r="E14642" s="11"/>
      <c r="F14642" s="11"/>
      <c r="G14642" s="11"/>
      <c r="H14642" s="11"/>
      <c r="I14642" s="15"/>
    </row>
    <row r="14643" spans="1:9" ht="16.5">
      <c r="A14643" s="10" t="b">
        <v>0</v>
      </c>
      <c r="B14643" s="11" t="str">
        <f>IF(D14643&lt;&gt;"",IF(COUNTIF('USPTO TMs'!A:A,D14643)&gt;0,"Yes","No"),"")</f>
        <v/>
      </c>
      <c r="C14643" s="11"/>
      <c r="D14643" s="11"/>
      <c r="E14643" s="11"/>
      <c r="F14643" s="11"/>
      <c r="G14643" s="11"/>
      <c r="H14643" s="11"/>
      <c r="I14643" s="15"/>
    </row>
    <row r="14644" spans="1:9" ht="16.5">
      <c r="A14644" s="10" t="b">
        <v>0</v>
      </c>
      <c r="B14644" s="11" t="str">
        <f>IF(D14644&lt;&gt;"",IF(COUNTIF('USPTO TMs'!A:A,D14644)&gt;0,"Yes","No"),"")</f>
        <v/>
      </c>
      <c r="C14644" s="11"/>
      <c r="D14644" s="11"/>
      <c r="E14644" s="11"/>
      <c r="F14644" s="11"/>
      <c r="G14644" s="11"/>
      <c r="H14644" s="11"/>
      <c r="I14644" s="15"/>
    </row>
    <row r="14645" spans="1:9" ht="16.5">
      <c r="A14645" s="10" t="b">
        <v>0</v>
      </c>
      <c r="B14645" s="11" t="str">
        <f>IF(D14645&lt;&gt;"",IF(COUNTIF('USPTO TMs'!A:A,D14645)&gt;0,"Yes","No"),"")</f>
        <v/>
      </c>
      <c r="C14645" s="11"/>
      <c r="D14645" s="11"/>
      <c r="E14645" s="11"/>
      <c r="F14645" s="11"/>
      <c r="G14645" s="11"/>
      <c r="H14645" s="11"/>
      <c r="I14645" s="15"/>
    </row>
    <row r="14646" spans="1:9" ht="16.5">
      <c r="A14646" s="10" t="b">
        <v>0</v>
      </c>
      <c r="B14646" s="11" t="str">
        <f>IF(D14646&lt;&gt;"",IF(COUNTIF('USPTO TMs'!A:A,D14646)&gt;0,"Yes","No"),"")</f>
        <v/>
      </c>
      <c r="C14646" s="11"/>
      <c r="D14646" s="11"/>
      <c r="E14646" s="11"/>
      <c r="F14646" s="11"/>
      <c r="G14646" s="11"/>
      <c r="H14646" s="11"/>
      <c r="I14646" s="15"/>
    </row>
    <row r="14647" spans="1:9" ht="16.5">
      <c r="A14647" s="10" t="b">
        <v>0</v>
      </c>
      <c r="B14647" s="11" t="str">
        <f>IF(D14647&lt;&gt;"",IF(COUNTIF('USPTO TMs'!A:A,D14647)&gt;0,"Yes","No"),"")</f>
        <v/>
      </c>
      <c r="C14647" s="11"/>
      <c r="D14647" s="11"/>
      <c r="E14647" s="11"/>
      <c r="F14647" s="11"/>
      <c r="G14647" s="11"/>
      <c r="H14647" s="11"/>
      <c r="I14647" s="15"/>
    </row>
    <row r="14648" spans="1:9" ht="16.5">
      <c r="A14648" s="10" t="b">
        <v>0</v>
      </c>
      <c r="B14648" s="11" t="str">
        <f>IF(D14648&lt;&gt;"",IF(COUNTIF('USPTO TMs'!A:A,D14648)&gt;0,"Yes","No"),"")</f>
        <v/>
      </c>
      <c r="C14648" s="11"/>
      <c r="D14648" s="11"/>
      <c r="E14648" s="11"/>
      <c r="F14648" s="11"/>
      <c r="G14648" s="11"/>
      <c r="H14648" s="11"/>
      <c r="I14648" s="15"/>
    </row>
    <row r="14649" spans="1:9" ht="16.5">
      <c r="A14649" s="10" t="b">
        <v>0</v>
      </c>
      <c r="B14649" s="11" t="str">
        <f>IF(D14649&lt;&gt;"",IF(COUNTIF('USPTO TMs'!A:A,D14649)&gt;0,"Yes","No"),"")</f>
        <v/>
      </c>
      <c r="C14649" s="11"/>
      <c r="D14649" s="11"/>
      <c r="E14649" s="11"/>
      <c r="F14649" s="11"/>
      <c r="G14649" s="11"/>
      <c r="H14649" s="11"/>
      <c r="I14649" s="15"/>
    </row>
    <row r="14650" spans="1:9" ht="16.5">
      <c r="A14650" s="10" t="b">
        <v>0</v>
      </c>
      <c r="B14650" s="11" t="str">
        <f>IF(D14650&lt;&gt;"",IF(COUNTIF('USPTO TMs'!A:A,D14650)&gt;0,"Yes","No"),"")</f>
        <v/>
      </c>
      <c r="C14650" s="11"/>
      <c r="D14650" s="11"/>
      <c r="E14650" s="11"/>
      <c r="F14650" s="11"/>
      <c r="G14650" s="11"/>
      <c r="H14650" s="11"/>
      <c r="I14650" s="15"/>
    </row>
    <row r="14651" spans="1:9" ht="16.5">
      <c r="A14651" s="10" t="b">
        <v>0</v>
      </c>
      <c r="B14651" s="11" t="str">
        <f>IF(D14651&lt;&gt;"",IF(COUNTIF('USPTO TMs'!A:A,D14651)&gt;0,"Yes","No"),"")</f>
        <v/>
      </c>
      <c r="C14651" s="11"/>
      <c r="D14651" s="11"/>
      <c r="E14651" s="11"/>
      <c r="F14651" s="11"/>
      <c r="G14651" s="11"/>
      <c r="H14651" s="11"/>
      <c r="I14651" s="15"/>
    </row>
    <row r="14652" spans="1:9" ht="16.5">
      <c r="A14652" s="10" t="b">
        <v>0</v>
      </c>
      <c r="B14652" s="11" t="str">
        <f>IF(D14652&lt;&gt;"",IF(COUNTIF('USPTO TMs'!A:A,D14652)&gt;0,"Yes","No"),"")</f>
        <v/>
      </c>
      <c r="C14652" s="11"/>
      <c r="D14652" s="11"/>
      <c r="E14652" s="11"/>
      <c r="F14652" s="11"/>
      <c r="G14652" s="11"/>
      <c r="H14652" s="11"/>
      <c r="I14652" s="15"/>
    </row>
    <row r="14653" spans="1:9" ht="16.5">
      <c r="A14653" s="10" t="b">
        <v>0</v>
      </c>
      <c r="B14653" s="11" t="str">
        <f>IF(D14653&lt;&gt;"",IF(COUNTIF('USPTO TMs'!A:A,D14653)&gt;0,"Yes","No"),"")</f>
        <v/>
      </c>
      <c r="C14653" s="11"/>
      <c r="D14653" s="11"/>
      <c r="E14653" s="11"/>
      <c r="F14653" s="11"/>
      <c r="G14653" s="11"/>
      <c r="H14653" s="11"/>
      <c r="I14653" s="15"/>
    </row>
    <row r="14654" spans="1:9" ht="16.5">
      <c r="A14654" s="10" t="b">
        <v>0</v>
      </c>
      <c r="B14654" s="11" t="str">
        <f>IF(D14654&lt;&gt;"",IF(COUNTIF('USPTO TMs'!A:A,D14654)&gt;0,"Yes","No"),"")</f>
        <v/>
      </c>
      <c r="C14654" s="11"/>
      <c r="D14654" s="11"/>
      <c r="E14654" s="11"/>
      <c r="F14654" s="11"/>
      <c r="G14654" s="11"/>
      <c r="H14654" s="11"/>
      <c r="I14654" s="15"/>
    </row>
    <row r="14655" spans="1:9" ht="16.5">
      <c r="A14655" s="10" t="b">
        <v>0</v>
      </c>
      <c r="B14655" s="11" t="str">
        <f>IF(D14655&lt;&gt;"",IF(COUNTIF('USPTO TMs'!A:A,D14655)&gt;0,"Yes","No"),"")</f>
        <v/>
      </c>
      <c r="C14655" s="11"/>
      <c r="D14655" s="11"/>
      <c r="E14655" s="11"/>
      <c r="F14655" s="11"/>
      <c r="G14655" s="11"/>
      <c r="H14655" s="11"/>
      <c r="I14655" s="15"/>
    </row>
    <row r="14656" spans="1:9" ht="16.5">
      <c r="A14656" s="10" t="b">
        <v>0</v>
      </c>
      <c r="B14656" s="11" t="str">
        <f>IF(D14656&lt;&gt;"",IF(COUNTIF('USPTO TMs'!A:A,D14656)&gt;0,"Yes","No"),"")</f>
        <v/>
      </c>
      <c r="C14656" s="11"/>
      <c r="D14656" s="11"/>
      <c r="E14656" s="11"/>
      <c r="F14656" s="11"/>
      <c r="G14656" s="11"/>
      <c r="H14656" s="11"/>
      <c r="I14656" s="15"/>
    </row>
    <row r="14657" spans="1:9" ht="16.5">
      <c r="A14657" s="10" t="b">
        <v>0</v>
      </c>
      <c r="B14657" s="11" t="str">
        <f>IF(D14657&lt;&gt;"",IF(COUNTIF('USPTO TMs'!A:A,D14657)&gt;0,"Yes","No"),"")</f>
        <v/>
      </c>
      <c r="C14657" s="11"/>
      <c r="D14657" s="11"/>
      <c r="E14657" s="11"/>
      <c r="F14657" s="11"/>
      <c r="G14657" s="11"/>
      <c r="H14657" s="11"/>
      <c r="I14657" s="15"/>
    </row>
    <row r="14658" spans="1:9" ht="16.5">
      <c r="A14658" s="10" t="b">
        <v>0</v>
      </c>
      <c r="B14658" s="11" t="str">
        <f>IF(D14658&lt;&gt;"",IF(COUNTIF('USPTO TMs'!A:A,D14658)&gt;0,"Yes","No"),"")</f>
        <v/>
      </c>
      <c r="C14658" s="11"/>
      <c r="D14658" s="11"/>
      <c r="E14658" s="11"/>
      <c r="F14658" s="11"/>
      <c r="G14658" s="11"/>
      <c r="H14658" s="11"/>
      <c r="I14658" s="15"/>
    </row>
    <row r="14659" spans="1:9" ht="16.5">
      <c r="A14659" s="10" t="b">
        <v>0</v>
      </c>
      <c r="B14659" s="11" t="str">
        <f>IF(D14659&lt;&gt;"",IF(COUNTIF('USPTO TMs'!A:A,D14659)&gt;0,"Yes","No"),"")</f>
        <v/>
      </c>
      <c r="C14659" s="11"/>
      <c r="D14659" s="11"/>
      <c r="E14659" s="11"/>
      <c r="F14659" s="11"/>
      <c r="G14659" s="11"/>
      <c r="H14659" s="11"/>
      <c r="I14659" s="15"/>
    </row>
    <row r="14660" spans="1:9" ht="16.5">
      <c r="A14660" s="10" t="b">
        <v>0</v>
      </c>
      <c r="B14660" s="11" t="str">
        <f>IF(D14660&lt;&gt;"",IF(COUNTIF('USPTO TMs'!A:A,D14660)&gt;0,"Yes","No"),"")</f>
        <v/>
      </c>
      <c r="C14660" s="11"/>
      <c r="D14660" s="11"/>
      <c r="E14660" s="11"/>
      <c r="F14660" s="11"/>
      <c r="G14660" s="11"/>
      <c r="H14660" s="11"/>
      <c r="I14660" s="15"/>
    </row>
    <row r="14661" spans="1:9" ht="16.5">
      <c r="A14661" s="10" t="b">
        <v>0</v>
      </c>
      <c r="B14661" s="11" t="str">
        <f>IF(D14661&lt;&gt;"",IF(COUNTIF('USPTO TMs'!A:A,D14661)&gt;0,"Yes","No"),"")</f>
        <v/>
      </c>
      <c r="C14661" s="11"/>
      <c r="D14661" s="11"/>
      <c r="E14661" s="11"/>
      <c r="F14661" s="11"/>
      <c r="G14661" s="11"/>
      <c r="H14661" s="11"/>
      <c r="I14661" s="15"/>
    </row>
    <row r="14662" spans="1:9" ht="16.5">
      <c r="A14662" s="10" t="b">
        <v>0</v>
      </c>
      <c r="B14662" s="11" t="str">
        <f>IF(D14662&lt;&gt;"",IF(COUNTIF('USPTO TMs'!A:A,D14662)&gt;0,"Yes","No"),"")</f>
        <v/>
      </c>
      <c r="C14662" s="11"/>
      <c r="D14662" s="11"/>
      <c r="E14662" s="11"/>
      <c r="F14662" s="11"/>
      <c r="G14662" s="11"/>
      <c r="H14662" s="11"/>
      <c r="I14662" s="15"/>
    </row>
    <row r="14663" spans="1:9" ht="16.5">
      <c r="A14663" s="10" t="b">
        <v>0</v>
      </c>
      <c r="B14663" s="11" t="str">
        <f>IF(D14663&lt;&gt;"",IF(COUNTIF('USPTO TMs'!A:A,D14663)&gt;0,"Yes","No"),"")</f>
        <v/>
      </c>
      <c r="C14663" s="11"/>
      <c r="D14663" s="11"/>
      <c r="E14663" s="11"/>
      <c r="F14663" s="11"/>
      <c r="G14663" s="11"/>
      <c r="H14663" s="11"/>
      <c r="I14663" s="15"/>
    </row>
    <row r="14664" spans="1:9" ht="16.5">
      <c r="A14664" s="10" t="b">
        <v>0</v>
      </c>
      <c r="B14664" s="11" t="str">
        <f>IF(D14664&lt;&gt;"",IF(COUNTIF('USPTO TMs'!A:A,D14664)&gt;0,"Yes","No"),"")</f>
        <v/>
      </c>
      <c r="C14664" s="11"/>
      <c r="D14664" s="11"/>
      <c r="E14664" s="11"/>
      <c r="F14664" s="11"/>
      <c r="G14664" s="11"/>
      <c r="H14664" s="11"/>
      <c r="I14664" s="15"/>
    </row>
    <row r="14665" spans="1:9" ht="16.5">
      <c r="A14665" s="10" t="b">
        <v>0</v>
      </c>
      <c r="B14665" s="11" t="str">
        <f>IF(D14665&lt;&gt;"",IF(COUNTIF('USPTO TMs'!A:A,D14665)&gt;0,"Yes","No"),"")</f>
        <v/>
      </c>
      <c r="C14665" s="11"/>
      <c r="D14665" s="11"/>
      <c r="E14665" s="11"/>
      <c r="F14665" s="11"/>
      <c r="G14665" s="11"/>
      <c r="H14665" s="11"/>
      <c r="I14665" s="15"/>
    </row>
    <row r="14666" spans="1:9" ht="16.5">
      <c r="A14666" s="10" t="b">
        <v>0</v>
      </c>
      <c r="B14666" s="11" t="str">
        <f>IF(D14666&lt;&gt;"",IF(COUNTIF('USPTO TMs'!A:A,D14666)&gt;0,"Yes","No"),"")</f>
        <v/>
      </c>
      <c r="C14666" s="11"/>
      <c r="D14666" s="11"/>
      <c r="E14666" s="11"/>
      <c r="F14666" s="11"/>
      <c r="G14666" s="11"/>
      <c r="H14666" s="11"/>
      <c r="I14666" s="15"/>
    </row>
    <row r="14667" spans="1:9" ht="16.5">
      <c r="A14667" s="10" t="b">
        <v>0</v>
      </c>
      <c r="B14667" s="11" t="str">
        <f>IF(D14667&lt;&gt;"",IF(COUNTIF('USPTO TMs'!A:A,D14667)&gt;0,"Yes","No"),"")</f>
        <v/>
      </c>
      <c r="C14667" s="11"/>
      <c r="D14667" s="11"/>
      <c r="E14667" s="11"/>
      <c r="F14667" s="11"/>
      <c r="G14667" s="11"/>
      <c r="H14667" s="11"/>
      <c r="I14667" s="15"/>
    </row>
    <row r="14668" spans="1:9" ht="16.5">
      <c r="A14668" s="10" t="b">
        <v>0</v>
      </c>
      <c r="B14668" s="11" t="str">
        <f>IF(D14668&lt;&gt;"",IF(COUNTIF('USPTO TMs'!A:A,D14668)&gt;0,"Yes","No"),"")</f>
        <v/>
      </c>
      <c r="C14668" s="11"/>
      <c r="D14668" s="11"/>
      <c r="E14668" s="11"/>
      <c r="F14668" s="11"/>
      <c r="G14668" s="11"/>
      <c r="H14668" s="11"/>
      <c r="I14668" s="15"/>
    </row>
    <row r="14669" spans="1:9" ht="16.5">
      <c r="A14669" s="10" t="b">
        <v>0</v>
      </c>
      <c r="B14669" s="11" t="str">
        <f>IF(D14669&lt;&gt;"",IF(COUNTIF('USPTO TMs'!A:A,D14669)&gt;0,"Yes","No"),"")</f>
        <v/>
      </c>
      <c r="C14669" s="11"/>
      <c r="D14669" s="11"/>
      <c r="E14669" s="11"/>
      <c r="F14669" s="11"/>
      <c r="G14669" s="11"/>
      <c r="H14669" s="11"/>
      <c r="I14669" s="15"/>
    </row>
    <row r="14670" spans="1:9" ht="16.5">
      <c r="A14670" s="10" t="b">
        <v>0</v>
      </c>
      <c r="B14670" s="11" t="str">
        <f>IF(D14670&lt;&gt;"",IF(COUNTIF('USPTO TMs'!A:A,D14670)&gt;0,"Yes","No"),"")</f>
        <v/>
      </c>
      <c r="C14670" s="11"/>
      <c r="D14670" s="11"/>
      <c r="E14670" s="11"/>
      <c r="F14670" s="11"/>
      <c r="G14670" s="11"/>
      <c r="H14670" s="11"/>
      <c r="I14670" s="15"/>
    </row>
    <row r="14671" spans="1:9" ht="16.5">
      <c r="A14671" s="10" t="b">
        <v>0</v>
      </c>
      <c r="B14671" s="11" t="str">
        <f>IF(D14671&lt;&gt;"",IF(COUNTIF('USPTO TMs'!A:A,D14671)&gt;0,"Yes","No"),"")</f>
        <v/>
      </c>
      <c r="C14671" s="11"/>
      <c r="D14671" s="11"/>
      <c r="E14671" s="11"/>
      <c r="F14671" s="11"/>
      <c r="G14671" s="11"/>
      <c r="H14671" s="11"/>
      <c r="I14671" s="15"/>
    </row>
    <row r="14672" spans="1:9" ht="16.5">
      <c r="A14672" s="10" t="b">
        <v>0</v>
      </c>
      <c r="B14672" s="11" t="str">
        <f>IF(D14672&lt;&gt;"",IF(COUNTIF('USPTO TMs'!A:A,D14672)&gt;0,"Yes","No"),"")</f>
        <v/>
      </c>
      <c r="C14672" s="11"/>
      <c r="D14672" s="11"/>
      <c r="E14672" s="11"/>
      <c r="F14672" s="11"/>
      <c r="G14672" s="11"/>
      <c r="H14672" s="11"/>
      <c r="I14672" s="15"/>
    </row>
    <row r="14673" spans="1:9" ht="16.5">
      <c r="A14673" s="10" t="b">
        <v>0</v>
      </c>
      <c r="B14673" s="11" t="str">
        <f>IF(D14673&lt;&gt;"",IF(COUNTIF('USPTO TMs'!A:A,D14673)&gt;0,"Yes","No"),"")</f>
        <v/>
      </c>
      <c r="C14673" s="11"/>
      <c r="D14673" s="11"/>
      <c r="E14673" s="11"/>
      <c r="F14673" s="11"/>
      <c r="G14673" s="11"/>
      <c r="H14673" s="11"/>
      <c r="I14673" s="15"/>
    </row>
    <row r="14674" spans="1:9" ht="16.5">
      <c r="A14674" s="10" t="b">
        <v>0</v>
      </c>
      <c r="B14674" s="11" t="str">
        <f>IF(D14674&lt;&gt;"",IF(COUNTIF('USPTO TMs'!A:A,D14674)&gt;0,"Yes","No"),"")</f>
        <v/>
      </c>
      <c r="C14674" s="11"/>
      <c r="D14674" s="11"/>
      <c r="E14674" s="11"/>
      <c r="F14674" s="11"/>
      <c r="G14674" s="11"/>
      <c r="H14674" s="11"/>
      <c r="I14674" s="15"/>
    </row>
    <row r="14675" spans="1:9" ht="16.5">
      <c r="A14675" s="10" t="b">
        <v>0</v>
      </c>
      <c r="B14675" s="11" t="str">
        <f>IF(D14675&lt;&gt;"",IF(COUNTIF('USPTO TMs'!A:A,D14675)&gt;0,"Yes","No"),"")</f>
        <v/>
      </c>
      <c r="C14675" s="11"/>
      <c r="D14675" s="11"/>
      <c r="E14675" s="11"/>
      <c r="F14675" s="11"/>
      <c r="G14675" s="11"/>
      <c r="H14675" s="11"/>
      <c r="I14675" s="15"/>
    </row>
    <row r="14676" spans="1:9" ht="16.5">
      <c r="A14676" s="10" t="b">
        <v>0</v>
      </c>
      <c r="B14676" s="11" t="str">
        <f>IF(D14676&lt;&gt;"",IF(COUNTIF('USPTO TMs'!A:A,D14676)&gt;0,"Yes","No"),"")</f>
        <v/>
      </c>
      <c r="C14676" s="11"/>
      <c r="D14676" s="11"/>
      <c r="E14676" s="11"/>
      <c r="F14676" s="11"/>
      <c r="G14676" s="11"/>
      <c r="H14676" s="11"/>
      <c r="I14676" s="15"/>
    </row>
    <row r="14677" spans="1:9" ht="16.5">
      <c r="A14677" s="10" t="b">
        <v>0</v>
      </c>
      <c r="B14677" s="11" t="str">
        <f>IF(D14677&lt;&gt;"",IF(COUNTIF('USPTO TMs'!A:A,D14677)&gt;0,"Yes","No"),"")</f>
        <v/>
      </c>
      <c r="C14677" s="11"/>
      <c r="D14677" s="11"/>
      <c r="E14677" s="11"/>
      <c r="F14677" s="11"/>
      <c r="G14677" s="11"/>
      <c r="H14677" s="11"/>
      <c r="I14677" s="15"/>
    </row>
    <row r="14678" spans="1:9" ht="16.5">
      <c r="A14678" s="10" t="b">
        <v>0</v>
      </c>
      <c r="B14678" s="11" t="str">
        <f>IF(D14678&lt;&gt;"",IF(COUNTIF('USPTO TMs'!A:A,D14678)&gt;0,"Yes","No"),"")</f>
        <v/>
      </c>
      <c r="C14678" s="11"/>
      <c r="D14678" s="11"/>
      <c r="E14678" s="11"/>
      <c r="F14678" s="11"/>
      <c r="G14678" s="11"/>
      <c r="H14678" s="11"/>
      <c r="I14678" s="15"/>
    </row>
    <row r="14679" spans="1:9" ht="16.5">
      <c r="A14679" s="10" t="b">
        <v>0</v>
      </c>
      <c r="B14679" s="11" t="str">
        <f>IF(D14679&lt;&gt;"",IF(COUNTIF('USPTO TMs'!A:A,D14679)&gt;0,"Yes","No"),"")</f>
        <v/>
      </c>
      <c r="C14679" s="11"/>
      <c r="D14679" s="11"/>
      <c r="E14679" s="11"/>
      <c r="F14679" s="11"/>
      <c r="G14679" s="11"/>
      <c r="H14679" s="11"/>
      <c r="I14679" s="15"/>
    </row>
    <row r="14680" spans="1:9" ht="16.5">
      <c r="A14680" s="10" t="b">
        <v>0</v>
      </c>
      <c r="B14680" s="11" t="str">
        <f>IF(D14680&lt;&gt;"",IF(COUNTIF('USPTO TMs'!A:A,D14680)&gt;0,"Yes","No"),"")</f>
        <v/>
      </c>
      <c r="C14680" s="11"/>
      <c r="D14680" s="11"/>
      <c r="E14680" s="11"/>
      <c r="F14680" s="11"/>
      <c r="G14680" s="11"/>
      <c r="H14680" s="11"/>
      <c r="I14680" s="15"/>
    </row>
    <row r="14681" spans="1:9" ht="16.5">
      <c r="A14681" s="10" t="b">
        <v>0</v>
      </c>
      <c r="B14681" s="11" t="str">
        <f>IF(D14681&lt;&gt;"",IF(COUNTIF('USPTO TMs'!A:A,D14681)&gt;0,"Yes","No"),"")</f>
        <v/>
      </c>
      <c r="C14681" s="11"/>
      <c r="D14681" s="11"/>
      <c r="E14681" s="11"/>
      <c r="F14681" s="11"/>
      <c r="G14681" s="11"/>
      <c r="H14681" s="11"/>
      <c r="I14681" s="15"/>
    </row>
    <row r="14682" spans="1:9" ht="16.5">
      <c r="A14682" s="10" t="b">
        <v>0</v>
      </c>
      <c r="B14682" s="11" t="str">
        <f>IF(D14682&lt;&gt;"",IF(COUNTIF('USPTO TMs'!A:A,D14682)&gt;0,"Yes","No"),"")</f>
        <v/>
      </c>
      <c r="C14682" s="11"/>
      <c r="D14682" s="11"/>
      <c r="E14682" s="11"/>
      <c r="F14682" s="11"/>
      <c r="G14682" s="11"/>
      <c r="H14682" s="11"/>
      <c r="I14682" s="15"/>
    </row>
    <row r="14683" spans="1:9" ht="16.5">
      <c r="A14683" s="10" t="b">
        <v>0</v>
      </c>
      <c r="B14683" s="11" t="str">
        <f>IF(D14683&lt;&gt;"",IF(COUNTIF('USPTO TMs'!A:A,D14683)&gt;0,"Yes","No"),"")</f>
        <v/>
      </c>
      <c r="C14683" s="11"/>
      <c r="D14683" s="11"/>
      <c r="E14683" s="11"/>
      <c r="F14683" s="11"/>
      <c r="G14683" s="11"/>
      <c r="H14683" s="11"/>
      <c r="I14683" s="15"/>
    </row>
    <row r="14684" spans="1:9" ht="16.5">
      <c r="A14684" s="10" t="b">
        <v>0</v>
      </c>
      <c r="B14684" s="11" t="str">
        <f>IF(D14684&lt;&gt;"",IF(COUNTIF('USPTO TMs'!A:A,D14684)&gt;0,"Yes","No"),"")</f>
        <v/>
      </c>
      <c r="C14684" s="11"/>
      <c r="D14684" s="11"/>
      <c r="E14684" s="11"/>
      <c r="F14684" s="11"/>
      <c r="G14684" s="11"/>
      <c r="H14684" s="11"/>
      <c r="I14684" s="15"/>
    </row>
    <row r="14685" spans="1:9" ht="16.5">
      <c r="A14685" s="10" t="b">
        <v>0</v>
      </c>
      <c r="B14685" s="11" t="str">
        <f>IF(D14685&lt;&gt;"",IF(COUNTIF('USPTO TMs'!A:A,D14685)&gt;0,"Yes","No"),"")</f>
        <v/>
      </c>
      <c r="C14685" s="11"/>
      <c r="D14685" s="11"/>
      <c r="E14685" s="11"/>
      <c r="F14685" s="11"/>
      <c r="G14685" s="11"/>
      <c r="H14685" s="11"/>
      <c r="I14685" s="15"/>
    </row>
    <row r="14686" spans="1:9" ht="16.5">
      <c r="A14686" s="10" t="b">
        <v>0</v>
      </c>
      <c r="B14686" s="11" t="str">
        <f>IF(D14686&lt;&gt;"",IF(COUNTIF('USPTO TMs'!A:A,D14686)&gt;0,"Yes","No"),"")</f>
        <v/>
      </c>
      <c r="C14686" s="11"/>
      <c r="D14686" s="11"/>
      <c r="E14686" s="11"/>
      <c r="F14686" s="11"/>
      <c r="G14686" s="11"/>
      <c r="H14686" s="11"/>
      <c r="I14686" s="15"/>
    </row>
    <row r="14687" spans="1:9" ht="16.5">
      <c r="A14687" s="10" t="b">
        <v>0</v>
      </c>
      <c r="B14687" s="11" t="str">
        <f>IF(D14687&lt;&gt;"",IF(COUNTIF('USPTO TMs'!A:A,D14687)&gt;0,"Yes","No"),"")</f>
        <v/>
      </c>
      <c r="C14687" s="11"/>
      <c r="D14687" s="11"/>
      <c r="E14687" s="11"/>
      <c r="F14687" s="11"/>
      <c r="G14687" s="11"/>
      <c r="H14687" s="11"/>
      <c r="I14687" s="15"/>
    </row>
    <row r="14688" spans="1:9" ht="16.5">
      <c r="A14688" s="10" t="b">
        <v>0</v>
      </c>
      <c r="B14688" s="11" t="str">
        <f>IF(D14688&lt;&gt;"",IF(COUNTIF('USPTO TMs'!A:A,D14688)&gt;0,"Yes","No"),"")</f>
        <v/>
      </c>
      <c r="C14688" s="11"/>
      <c r="D14688" s="11"/>
      <c r="E14688" s="11"/>
      <c r="F14688" s="11"/>
      <c r="G14688" s="11"/>
      <c r="H14688" s="11"/>
      <c r="I14688" s="15"/>
    </row>
    <row r="14689" spans="1:9" ht="16.5">
      <c r="A14689" s="10" t="b">
        <v>0</v>
      </c>
      <c r="B14689" s="11" t="str">
        <f>IF(D14689&lt;&gt;"",IF(COUNTIF('USPTO TMs'!A:A,D14689)&gt;0,"Yes","No"),"")</f>
        <v/>
      </c>
      <c r="C14689" s="11"/>
      <c r="D14689" s="11"/>
      <c r="E14689" s="11"/>
      <c r="F14689" s="11"/>
      <c r="G14689" s="11"/>
      <c r="H14689" s="11"/>
      <c r="I14689" s="15"/>
    </row>
    <row r="14690" spans="1:9" ht="16.5">
      <c r="A14690" s="10" t="b">
        <v>0</v>
      </c>
      <c r="B14690" s="11" t="str">
        <f>IF(D14690&lt;&gt;"",IF(COUNTIF('USPTO TMs'!A:A,D14690)&gt;0,"Yes","No"),"")</f>
        <v/>
      </c>
      <c r="C14690" s="11"/>
      <c r="D14690" s="11"/>
      <c r="E14690" s="11"/>
      <c r="F14690" s="11"/>
      <c r="G14690" s="11"/>
      <c r="H14690" s="11"/>
      <c r="I14690" s="15"/>
    </row>
    <row r="14691" spans="1:9" ht="16.5">
      <c r="A14691" s="10" t="b">
        <v>0</v>
      </c>
      <c r="B14691" s="11" t="str">
        <f>IF(D14691&lt;&gt;"",IF(COUNTIF('USPTO TMs'!A:A,D14691)&gt;0,"Yes","No"),"")</f>
        <v/>
      </c>
      <c r="C14691" s="11"/>
      <c r="D14691" s="11"/>
      <c r="E14691" s="11"/>
      <c r="F14691" s="11"/>
      <c r="G14691" s="11"/>
      <c r="H14691" s="11"/>
      <c r="I14691" s="15"/>
    </row>
    <row r="14692" spans="1:9" ht="16.5">
      <c r="A14692" s="10" t="b">
        <v>0</v>
      </c>
      <c r="B14692" s="11" t="str">
        <f>IF(D14692&lt;&gt;"",IF(COUNTIF('USPTO TMs'!A:A,D14692)&gt;0,"Yes","No"),"")</f>
        <v/>
      </c>
      <c r="C14692" s="11"/>
      <c r="D14692" s="11"/>
      <c r="E14692" s="11"/>
      <c r="F14692" s="11"/>
      <c r="G14692" s="11"/>
      <c r="H14692" s="11"/>
      <c r="I14692" s="15"/>
    </row>
    <row r="14693" spans="1:9" ht="16.5">
      <c r="A14693" s="10" t="b">
        <v>0</v>
      </c>
      <c r="B14693" s="11" t="str">
        <f>IF(D14693&lt;&gt;"",IF(COUNTIF('USPTO TMs'!A:A,D14693)&gt;0,"Yes","No"),"")</f>
        <v/>
      </c>
      <c r="C14693" s="11"/>
      <c r="D14693" s="11"/>
      <c r="E14693" s="11"/>
      <c r="F14693" s="11"/>
      <c r="G14693" s="11"/>
      <c r="H14693" s="11"/>
      <c r="I14693" s="15"/>
    </row>
    <row r="14694" spans="1:9" ht="16.5">
      <c r="A14694" s="10" t="b">
        <v>0</v>
      </c>
      <c r="B14694" s="11" t="str">
        <f>IF(D14694&lt;&gt;"",IF(COUNTIF('USPTO TMs'!A:A,D14694)&gt;0,"Yes","No"),"")</f>
        <v/>
      </c>
      <c r="C14694" s="11"/>
      <c r="D14694" s="11"/>
      <c r="E14694" s="11"/>
      <c r="F14694" s="11"/>
      <c r="G14694" s="11"/>
      <c r="H14694" s="11"/>
      <c r="I14694" s="15"/>
    </row>
    <row r="14695" spans="1:9" ht="16.5">
      <c r="A14695" s="10" t="b">
        <v>0</v>
      </c>
      <c r="B14695" s="11" t="str">
        <f>IF(D14695&lt;&gt;"",IF(COUNTIF('USPTO TMs'!A:A,D14695)&gt;0,"Yes","No"),"")</f>
        <v/>
      </c>
      <c r="C14695" s="11"/>
      <c r="D14695" s="11"/>
      <c r="E14695" s="11"/>
      <c r="F14695" s="11"/>
      <c r="G14695" s="11"/>
      <c r="H14695" s="11"/>
      <c r="I14695" s="15"/>
    </row>
    <row r="14696" spans="1:9" ht="16.5">
      <c r="A14696" s="10" t="b">
        <v>0</v>
      </c>
      <c r="B14696" s="11" t="str">
        <f>IF(D14696&lt;&gt;"",IF(COUNTIF('USPTO TMs'!A:A,D14696)&gt;0,"Yes","No"),"")</f>
        <v/>
      </c>
      <c r="C14696" s="11"/>
      <c r="D14696" s="11"/>
      <c r="E14696" s="11"/>
      <c r="F14696" s="11"/>
      <c r="G14696" s="11"/>
      <c r="H14696" s="11"/>
      <c r="I14696" s="15"/>
    </row>
    <row r="14697" spans="1:9" ht="16.5">
      <c r="A14697" s="10" t="b">
        <v>0</v>
      </c>
      <c r="B14697" s="11" t="str">
        <f>IF(D14697&lt;&gt;"",IF(COUNTIF('USPTO TMs'!A:A,D14697)&gt;0,"Yes","No"),"")</f>
        <v/>
      </c>
      <c r="C14697" s="11"/>
      <c r="D14697" s="11"/>
      <c r="E14697" s="11"/>
      <c r="F14697" s="11"/>
      <c r="G14697" s="11"/>
      <c r="H14697" s="11"/>
      <c r="I14697" s="15"/>
    </row>
    <row r="14698" spans="1:9" ht="16.5">
      <c r="A14698" s="10" t="b">
        <v>0</v>
      </c>
      <c r="B14698" s="11" t="str">
        <f>IF(D14698&lt;&gt;"",IF(COUNTIF('USPTO TMs'!A:A,D14698)&gt;0,"Yes","No"),"")</f>
        <v/>
      </c>
      <c r="C14698" s="11"/>
      <c r="D14698" s="11"/>
      <c r="E14698" s="11"/>
      <c r="F14698" s="11"/>
      <c r="G14698" s="11"/>
      <c r="H14698" s="11"/>
      <c r="I14698" s="15"/>
    </row>
    <row r="14699" spans="1:9" ht="16.5">
      <c r="A14699" s="10" t="b">
        <v>0</v>
      </c>
      <c r="B14699" s="11" t="str">
        <f>IF(D14699&lt;&gt;"",IF(COUNTIF('USPTO TMs'!A:A,D14699)&gt;0,"Yes","No"),"")</f>
        <v/>
      </c>
      <c r="C14699" s="11"/>
      <c r="D14699" s="11"/>
      <c r="E14699" s="11"/>
      <c r="F14699" s="11"/>
      <c r="G14699" s="11"/>
      <c r="H14699" s="11"/>
      <c r="I14699" s="15"/>
    </row>
    <row r="14700" spans="1:9" ht="16.5">
      <c r="A14700" s="10" t="b">
        <v>0</v>
      </c>
      <c r="B14700" s="11" t="str">
        <f>IF(D14700&lt;&gt;"",IF(COUNTIF('USPTO TMs'!A:A,D14700)&gt;0,"Yes","No"),"")</f>
        <v/>
      </c>
      <c r="C14700" s="11"/>
      <c r="D14700" s="11"/>
      <c r="E14700" s="11"/>
      <c r="F14700" s="11"/>
      <c r="G14700" s="11"/>
      <c r="H14700" s="11"/>
      <c r="I14700" s="15"/>
    </row>
    <row r="14701" spans="1:9" ht="16.5">
      <c r="A14701" s="10" t="b">
        <v>0</v>
      </c>
      <c r="B14701" s="11" t="str">
        <f>IF(D14701&lt;&gt;"",IF(COUNTIF('USPTO TMs'!A:A,D14701)&gt;0,"Yes","No"),"")</f>
        <v/>
      </c>
      <c r="C14701" s="11"/>
      <c r="D14701" s="11"/>
      <c r="E14701" s="11"/>
      <c r="F14701" s="11"/>
      <c r="G14701" s="11"/>
      <c r="H14701" s="11"/>
      <c r="I14701" s="15"/>
    </row>
    <row r="14702" spans="1:9" ht="16.5">
      <c r="A14702" s="10" t="b">
        <v>0</v>
      </c>
      <c r="B14702" s="11" t="str">
        <f>IF(D14702&lt;&gt;"",IF(COUNTIF('USPTO TMs'!A:A,D14702)&gt;0,"Yes","No"),"")</f>
        <v/>
      </c>
      <c r="C14702" s="11"/>
      <c r="D14702" s="11"/>
      <c r="E14702" s="11"/>
      <c r="F14702" s="11"/>
      <c r="G14702" s="11"/>
      <c r="H14702" s="11"/>
      <c r="I14702" s="15"/>
    </row>
    <row r="14703" spans="1:9" ht="16.5">
      <c r="A14703" s="10" t="b">
        <v>0</v>
      </c>
      <c r="B14703" s="11" t="str">
        <f>IF(D14703&lt;&gt;"",IF(COUNTIF('USPTO TMs'!A:A,D14703)&gt;0,"Yes","No"),"")</f>
        <v/>
      </c>
      <c r="C14703" s="11"/>
      <c r="D14703" s="11"/>
      <c r="E14703" s="11"/>
      <c r="F14703" s="11"/>
      <c r="G14703" s="11"/>
      <c r="H14703" s="11"/>
      <c r="I14703" s="15"/>
    </row>
    <row r="14704" spans="1:9" ht="16.5">
      <c r="A14704" s="10" t="b">
        <v>0</v>
      </c>
      <c r="B14704" s="11" t="str">
        <f>IF(D14704&lt;&gt;"",IF(COUNTIF('USPTO TMs'!A:A,D14704)&gt;0,"Yes","No"),"")</f>
        <v/>
      </c>
      <c r="C14704" s="11"/>
      <c r="D14704" s="11"/>
      <c r="E14704" s="11"/>
      <c r="F14704" s="11"/>
      <c r="G14704" s="11"/>
      <c r="H14704" s="11"/>
      <c r="I14704" s="15"/>
    </row>
    <row r="14705" spans="1:9" ht="16.5">
      <c r="A14705" s="10" t="b">
        <v>0</v>
      </c>
      <c r="B14705" s="11" t="str">
        <f>IF(D14705&lt;&gt;"",IF(COUNTIF('USPTO TMs'!A:A,D14705)&gt;0,"Yes","No"),"")</f>
        <v/>
      </c>
      <c r="C14705" s="11"/>
      <c r="D14705" s="11"/>
      <c r="E14705" s="11"/>
      <c r="F14705" s="11"/>
      <c r="G14705" s="11"/>
      <c r="H14705" s="11"/>
      <c r="I14705" s="15"/>
    </row>
    <row r="14706" spans="1:9" ht="16.5">
      <c r="A14706" s="10" t="b">
        <v>0</v>
      </c>
      <c r="B14706" s="11" t="str">
        <f>IF(D14706&lt;&gt;"",IF(COUNTIF('USPTO TMs'!A:A,D14706)&gt;0,"Yes","No"),"")</f>
        <v/>
      </c>
      <c r="C14706" s="11"/>
      <c r="D14706" s="11"/>
      <c r="E14706" s="11"/>
      <c r="F14706" s="11"/>
      <c r="G14706" s="11"/>
      <c r="H14706" s="11"/>
      <c r="I14706" s="15"/>
    </row>
    <row r="14707" spans="1:9" ht="16.5">
      <c r="A14707" s="10" t="b">
        <v>0</v>
      </c>
      <c r="B14707" s="11" t="str">
        <f>IF(D14707&lt;&gt;"",IF(COUNTIF('USPTO TMs'!A:A,D14707)&gt;0,"Yes","No"),"")</f>
        <v/>
      </c>
      <c r="C14707" s="11"/>
      <c r="D14707" s="11"/>
      <c r="E14707" s="11"/>
      <c r="F14707" s="11"/>
      <c r="G14707" s="11"/>
      <c r="H14707" s="11"/>
      <c r="I14707" s="15"/>
    </row>
    <row r="14708" spans="1:9" ht="16.5">
      <c r="A14708" s="10" t="b">
        <v>0</v>
      </c>
      <c r="B14708" s="11" t="str">
        <f>IF(D14708&lt;&gt;"",IF(COUNTIF('USPTO TMs'!A:A,D14708)&gt;0,"Yes","No"),"")</f>
        <v/>
      </c>
      <c r="C14708" s="11"/>
      <c r="D14708" s="11"/>
      <c r="E14708" s="11"/>
      <c r="F14708" s="11"/>
      <c r="G14708" s="11"/>
      <c r="H14708" s="11"/>
      <c r="I14708" s="15"/>
    </row>
    <row r="14709" spans="1:9" ht="16.5">
      <c r="A14709" s="10" t="b">
        <v>0</v>
      </c>
      <c r="B14709" s="11" t="str">
        <f>IF(D14709&lt;&gt;"",IF(COUNTIF('USPTO TMs'!A:A,D14709)&gt;0,"Yes","No"),"")</f>
        <v/>
      </c>
      <c r="C14709" s="11"/>
      <c r="D14709" s="11"/>
      <c r="E14709" s="11"/>
      <c r="F14709" s="11"/>
      <c r="G14709" s="11"/>
      <c r="H14709" s="11"/>
      <c r="I14709" s="15"/>
    </row>
    <row r="14710" spans="1:9" ht="16.5">
      <c r="A14710" s="10" t="b">
        <v>0</v>
      </c>
      <c r="B14710" s="11" t="str">
        <f>IF(D14710&lt;&gt;"",IF(COUNTIF('USPTO TMs'!A:A,D14710)&gt;0,"Yes","No"),"")</f>
        <v/>
      </c>
      <c r="C14710" s="11"/>
      <c r="D14710" s="11"/>
      <c r="E14710" s="11"/>
      <c r="F14710" s="11"/>
      <c r="G14710" s="11"/>
      <c r="H14710" s="11"/>
      <c r="I14710" s="15"/>
    </row>
    <row r="14711" spans="1:9" ht="16.5">
      <c r="A14711" s="10" t="b">
        <v>0</v>
      </c>
      <c r="B14711" s="11" t="str">
        <f>IF(D14711&lt;&gt;"",IF(COUNTIF('USPTO TMs'!A:A,D14711)&gt;0,"Yes","No"),"")</f>
        <v/>
      </c>
      <c r="C14711" s="11"/>
      <c r="D14711" s="11"/>
      <c r="E14711" s="11"/>
      <c r="F14711" s="11"/>
      <c r="G14711" s="11"/>
      <c r="H14711" s="11"/>
      <c r="I14711" s="15"/>
    </row>
    <row r="14712" spans="1:9" ht="16.5">
      <c r="A14712" s="10" t="b">
        <v>0</v>
      </c>
      <c r="B14712" s="11" t="str">
        <f>IF(D14712&lt;&gt;"",IF(COUNTIF('USPTO TMs'!A:A,D14712)&gt;0,"Yes","No"),"")</f>
        <v/>
      </c>
      <c r="C14712" s="11"/>
      <c r="D14712" s="11"/>
      <c r="E14712" s="11"/>
      <c r="F14712" s="11"/>
      <c r="G14712" s="11"/>
      <c r="H14712" s="11"/>
      <c r="I14712" s="15"/>
    </row>
    <row r="14713" spans="1:9" ht="16.5">
      <c r="A14713" s="10" t="b">
        <v>0</v>
      </c>
      <c r="B14713" s="11" t="str">
        <f>IF(D14713&lt;&gt;"",IF(COUNTIF('USPTO TMs'!A:A,D14713)&gt;0,"Yes","No"),"")</f>
        <v/>
      </c>
      <c r="C14713" s="11"/>
      <c r="D14713" s="11"/>
      <c r="E14713" s="11"/>
      <c r="F14713" s="11"/>
      <c r="G14713" s="11"/>
      <c r="H14713" s="11"/>
      <c r="I14713" s="15"/>
    </row>
    <row r="14714" spans="1:9" ht="16.5">
      <c r="A14714" s="10" t="b">
        <v>0</v>
      </c>
      <c r="B14714" s="11" t="str">
        <f>IF(D14714&lt;&gt;"",IF(COUNTIF('USPTO TMs'!A:A,D14714)&gt;0,"Yes","No"),"")</f>
        <v/>
      </c>
      <c r="C14714" s="11"/>
      <c r="D14714" s="11"/>
      <c r="E14714" s="11"/>
      <c r="F14714" s="11"/>
      <c r="G14714" s="11"/>
      <c r="H14714" s="11"/>
      <c r="I14714" s="15"/>
    </row>
    <row r="14715" spans="1:9" ht="16.5">
      <c r="A14715" s="10" t="b">
        <v>0</v>
      </c>
      <c r="B14715" s="11" t="str">
        <f>IF(D14715&lt;&gt;"",IF(COUNTIF('USPTO TMs'!A:A,D14715)&gt;0,"Yes","No"),"")</f>
        <v/>
      </c>
      <c r="C14715" s="11"/>
      <c r="D14715" s="11"/>
      <c r="E14715" s="11"/>
      <c r="F14715" s="11"/>
      <c r="G14715" s="11"/>
      <c r="H14715" s="11"/>
      <c r="I14715" s="15"/>
    </row>
    <row r="14716" spans="1:9" ht="16.5">
      <c r="A14716" s="10" t="b">
        <v>0</v>
      </c>
      <c r="B14716" s="11" t="str">
        <f>IF(D14716&lt;&gt;"",IF(COUNTIF('USPTO TMs'!A:A,D14716)&gt;0,"Yes","No"),"")</f>
        <v/>
      </c>
      <c r="C14716" s="11"/>
      <c r="D14716" s="11"/>
      <c r="E14716" s="11"/>
      <c r="F14716" s="11"/>
      <c r="G14716" s="11"/>
      <c r="H14716" s="11"/>
      <c r="I14716" s="15"/>
    </row>
    <row r="14717" spans="1:9" ht="16.5">
      <c r="A14717" s="10" t="b">
        <v>0</v>
      </c>
      <c r="B14717" s="11" t="str">
        <f>IF(D14717&lt;&gt;"",IF(COUNTIF('USPTO TMs'!A:A,D14717)&gt;0,"Yes","No"),"")</f>
        <v/>
      </c>
      <c r="C14717" s="11"/>
      <c r="D14717" s="11"/>
      <c r="E14717" s="11"/>
      <c r="F14717" s="11"/>
      <c r="G14717" s="11"/>
      <c r="H14717" s="11"/>
      <c r="I14717" s="15"/>
    </row>
    <row r="14718" spans="1:9" ht="16.5">
      <c r="A14718" s="10" t="b">
        <v>0</v>
      </c>
      <c r="B14718" s="11" t="str">
        <f>IF(D14718&lt;&gt;"",IF(COUNTIF('USPTO TMs'!A:A,D14718)&gt;0,"Yes","No"),"")</f>
        <v/>
      </c>
      <c r="C14718" s="11"/>
      <c r="D14718" s="11"/>
      <c r="E14718" s="11"/>
      <c r="F14718" s="11"/>
      <c r="G14718" s="11"/>
      <c r="H14718" s="11"/>
      <c r="I14718" s="15"/>
    </row>
    <row r="14719" spans="1:9" ht="16.5">
      <c r="A14719" s="10" t="b">
        <v>0</v>
      </c>
      <c r="B14719" s="11" t="str">
        <f>IF(D14719&lt;&gt;"",IF(COUNTIF('USPTO TMs'!A:A,D14719)&gt;0,"Yes","No"),"")</f>
        <v/>
      </c>
      <c r="C14719" s="11"/>
      <c r="D14719" s="11"/>
      <c r="E14719" s="11"/>
      <c r="F14719" s="11"/>
      <c r="G14719" s="11"/>
      <c r="H14719" s="11"/>
      <c r="I14719" s="15"/>
    </row>
    <row r="14720" spans="1:9" ht="16.5">
      <c r="A14720" s="10" t="b">
        <v>0</v>
      </c>
      <c r="B14720" s="11" t="str">
        <f>IF(D14720&lt;&gt;"",IF(COUNTIF('USPTO TMs'!A:A,D14720)&gt;0,"Yes","No"),"")</f>
        <v/>
      </c>
      <c r="C14720" s="11"/>
      <c r="D14720" s="11"/>
      <c r="E14720" s="11"/>
      <c r="F14720" s="11"/>
      <c r="G14720" s="11"/>
      <c r="H14720" s="11"/>
      <c r="I14720" s="15"/>
    </row>
    <row r="14721" spans="1:9" ht="16.5">
      <c r="A14721" s="10" t="b">
        <v>0</v>
      </c>
      <c r="B14721" s="11" t="str">
        <f>IF(D14721&lt;&gt;"",IF(COUNTIF('USPTO TMs'!A:A,D14721)&gt;0,"Yes","No"),"")</f>
        <v/>
      </c>
      <c r="C14721" s="11"/>
      <c r="D14721" s="11"/>
      <c r="E14721" s="11"/>
      <c r="F14721" s="11"/>
      <c r="G14721" s="11"/>
      <c r="H14721" s="11"/>
      <c r="I14721" s="15"/>
    </row>
    <row r="14722" spans="1:9" ht="16.5">
      <c r="A14722" s="10" t="b">
        <v>0</v>
      </c>
      <c r="B14722" s="11" t="str">
        <f>IF(D14722&lt;&gt;"",IF(COUNTIF('USPTO TMs'!A:A,D14722)&gt;0,"Yes","No"),"")</f>
        <v/>
      </c>
      <c r="C14722" s="11"/>
      <c r="D14722" s="11"/>
      <c r="E14722" s="11"/>
      <c r="F14722" s="11"/>
      <c r="G14722" s="11"/>
      <c r="H14722" s="11"/>
      <c r="I14722" s="15"/>
    </row>
    <row r="14723" spans="1:9" ht="16.5">
      <c r="A14723" s="10" t="b">
        <v>0</v>
      </c>
      <c r="B14723" s="11" t="str">
        <f>IF(D14723&lt;&gt;"",IF(COUNTIF('USPTO TMs'!A:A,D14723)&gt;0,"Yes","No"),"")</f>
        <v/>
      </c>
      <c r="C14723" s="11"/>
      <c r="D14723" s="11"/>
      <c r="E14723" s="11"/>
      <c r="F14723" s="11"/>
      <c r="G14723" s="11"/>
      <c r="H14723" s="11"/>
      <c r="I14723" s="15"/>
    </row>
    <row r="14724" spans="1:9" ht="16.5">
      <c r="A14724" s="10" t="b">
        <v>0</v>
      </c>
      <c r="B14724" s="11" t="str">
        <f>IF(D14724&lt;&gt;"",IF(COUNTIF('USPTO TMs'!A:A,D14724)&gt;0,"Yes","No"),"")</f>
        <v/>
      </c>
      <c r="C14724" s="11"/>
      <c r="D14724" s="11"/>
      <c r="E14724" s="11"/>
      <c r="F14724" s="11"/>
      <c r="G14724" s="11"/>
      <c r="H14724" s="11"/>
      <c r="I14724" s="15"/>
    </row>
    <row r="14725" spans="1:9" ht="16.5">
      <c r="A14725" s="10" t="b">
        <v>0</v>
      </c>
      <c r="B14725" s="11" t="str">
        <f>IF(D14725&lt;&gt;"",IF(COUNTIF('USPTO TMs'!A:A,D14725)&gt;0,"Yes","No"),"")</f>
        <v/>
      </c>
      <c r="C14725" s="11"/>
      <c r="D14725" s="11"/>
      <c r="E14725" s="11"/>
      <c r="F14725" s="11"/>
      <c r="G14725" s="11"/>
      <c r="H14725" s="11"/>
      <c r="I14725" s="15"/>
    </row>
    <row r="14726" spans="1:9" ht="16.5">
      <c r="A14726" s="10" t="b">
        <v>0</v>
      </c>
      <c r="B14726" s="11" t="str">
        <f>IF(D14726&lt;&gt;"",IF(COUNTIF('USPTO TMs'!A:A,D14726)&gt;0,"Yes","No"),"")</f>
        <v/>
      </c>
      <c r="C14726" s="11"/>
      <c r="D14726" s="11"/>
      <c r="E14726" s="11"/>
      <c r="F14726" s="11"/>
      <c r="G14726" s="11"/>
      <c r="H14726" s="11"/>
      <c r="I14726" s="15"/>
    </row>
    <row r="14727" spans="1:9" ht="16.5">
      <c r="A14727" s="10" t="b">
        <v>0</v>
      </c>
      <c r="B14727" s="11" t="str">
        <f>IF(D14727&lt;&gt;"",IF(COUNTIF('USPTO TMs'!A:A,D14727)&gt;0,"Yes","No"),"")</f>
        <v/>
      </c>
      <c r="C14727" s="11"/>
      <c r="D14727" s="11"/>
      <c r="E14727" s="11"/>
      <c r="F14727" s="11"/>
      <c r="G14727" s="11"/>
      <c r="H14727" s="11"/>
      <c r="I14727" s="15"/>
    </row>
    <row r="14728" spans="1:9" ht="16.5">
      <c r="A14728" s="10" t="b">
        <v>0</v>
      </c>
      <c r="B14728" s="11" t="str">
        <f>IF(D14728&lt;&gt;"",IF(COUNTIF('USPTO TMs'!A:A,D14728)&gt;0,"Yes","No"),"")</f>
        <v/>
      </c>
      <c r="C14728" s="11"/>
      <c r="D14728" s="11"/>
      <c r="E14728" s="11"/>
      <c r="F14728" s="11"/>
      <c r="G14728" s="11"/>
      <c r="H14728" s="11"/>
      <c r="I14728" s="15"/>
    </row>
    <row r="14729" spans="1:9" ht="16.5">
      <c r="A14729" s="10" t="b">
        <v>0</v>
      </c>
      <c r="B14729" s="11" t="str">
        <f>IF(D14729&lt;&gt;"",IF(COUNTIF('USPTO TMs'!A:A,D14729)&gt;0,"Yes","No"),"")</f>
        <v/>
      </c>
      <c r="C14729" s="11"/>
      <c r="D14729" s="11"/>
      <c r="E14729" s="11"/>
      <c r="F14729" s="11"/>
      <c r="G14729" s="11"/>
      <c r="H14729" s="11"/>
      <c r="I14729" s="15"/>
    </row>
    <row r="14730" spans="1:9" ht="16.5">
      <c r="A14730" s="10" t="b">
        <v>0</v>
      </c>
      <c r="B14730" s="11" t="str">
        <f>IF(D14730&lt;&gt;"",IF(COUNTIF('USPTO TMs'!A:A,D14730)&gt;0,"Yes","No"),"")</f>
        <v/>
      </c>
      <c r="C14730" s="11"/>
      <c r="D14730" s="11"/>
      <c r="E14730" s="11"/>
      <c r="F14730" s="11"/>
      <c r="G14730" s="11"/>
      <c r="H14730" s="11"/>
      <c r="I14730" s="15"/>
    </row>
    <row r="14731" spans="1:9" ht="16.5">
      <c r="A14731" s="10" t="b">
        <v>0</v>
      </c>
      <c r="B14731" s="11" t="str">
        <f>IF(D14731&lt;&gt;"",IF(COUNTIF('USPTO TMs'!A:A,D14731)&gt;0,"Yes","No"),"")</f>
        <v/>
      </c>
      <c r="C14731" s="11"/>
      <c r="D14731" s="11"/>
      <c r="E14731" s="11"/>
      <c r="F14731" s="11"/>
      <c r="G14731" s="11"/>
      <c r="H14731" s="11"/>
      <c r="I14731" s="15"/>
    </row>
    <row r="14732" spans="1:9" ht="16.5">
      <c r="A14732" s="10" t="b">
        <v>0</v>
      </c>
      <c r="B14732" s="11" t="str">
        <f>IF(D14732&lt;&gt;"",IF(COUNTIF('USPTO TMs'!A:A,D14732)&gt;0,"Yes","No"),"")</f>
        <v/>
      </c>
      <c r="C14732" s="11"/>
      <c r="D14732" s="11"/>
      <c r="E14732" s="11"/>
      <c r="F14732" s="11"/>
      <c r="G14732" s="11"/>
      <c r="H14732" s="11"/>
      <c r="I14732" s="15"/>
    </row>
    <row r="14733" spans="1:9" ht="16.5">
      <c r="A14733" s="10" t="b">
        <v>0</v>
      </c>
      <c r="B14733" s="11" t="str">
        <f>IF(D14733&lt;&gt;"",IF(COUNTIF('USPTO TMs'!A:A,D14733)&gt;0,"Yes","No"),"")</f>
        <v/>
      </c>
      <c r="C14733" s="11"/>
      <c r="D14733" s="11"/>
      <c r="E14733" s="11"/>
      <c r="F14733" s="11"/>
      <c r="G14733" s="11"/>
      <c r="H14733" s="11"/>
      <c r="I14733" s="15"/>
    </row>
    <row r="14734" spans="1:9" ht="16.5">
      <c r="A14734" s="10" t="b">
        <v>0</v>
      </c>
      <c r="B14734" s="11" t="str">
        <f>IF(D14734&lt;&gt;"",IF(COUNTIF('USPTO TMs'!A:A,D14734)&gt;0,"Yes","No"),"")</f>
        <v/>
      </c>
      <c r="C14734" s="11"/>
      <c r="D14734" s="11"/>
      <c r="E14734" s="11"/>
      <c r="F14734" s="11"/>
      <c r="G14734" s="11"/>
      <c r="H14734" s="11"/>
      <c r="I14734" s="15"/>
    </row>
    <row r="14735" spans="1:9" ht="16.5">
      <c r="A14735" s="10" t="b">
        <v>0</v>
      </c>
      <c r="B14735" s="11" t="str">
        <f>IF(D14735&lt;&gt;"",IF(COUNTIF('USPTO TMs'!A:A,D14735)&gt;0,"Yes","No"),"")</f>
        <v/>
      </c>
      <c r="C14735" s="11"/>
      <c r="D14735" s="11"/>
      <c r="E14735" s="11"/>
      <c r="F14735" s="11"/>
      <c r="G14735" s="11"/>
      <c r="H14735" s="11"/>
      <c r="I14735" s="15"/>
    </row>
    <row r="14736" spans="1:9" ht="16.5">
      <c r="A14736" s="10" t="b">
        <v>0</v>
      </c>
      <c r="B14736" s="11" t="str">
        <f>IF(D14736&lt;&gt;"",IF(COUNTIF('USPTO TMs'!A:A,D14736)&gt;0,"Yes","No"),"")</f>
        <v/>
      </c>
      <c r="C14736" s="11"/>
      <c r="D14736" s="11"/>
      <c r="E14736" s="11"/>
      <c r="F14736" s="11"/>
      <c r="G14736" s="11"/>
      <c r="H14736" s="11"/>
      <c r="I14736" s="15"/>
    </row>
    <row r="14737" spans="1:9" ht="16.5">
      <c r="A14737" s="10" t="b">
        <v>0</v>
      </c>
      <c r="B14737" s="11" t="str">
        <f>IF(D14737&lt;&gt;"",IF(COUNTIF('USPTO TMs'!A:A,D14737)&gt;0,"Yes","No"),"")</f>
        <v/>
      </c>
      <c r="C14737" s="11"/>
      <c r="D14737" s="11"/>
      <c r="E14737" s="11"/>
      <c r="F14737" s="11"/>
      <c r="G14737" s="11"/>
      <c r="H14737" s="11"/>
      <c r="I14737" s="15"/>
    </row>
    <row r="14738" spans="1:9" ht="16.5">
      <c r="A14738" s="10" t="b">
        <v>0</v>
      </c>
      <c r="B14738" s="11" t="str">
        <f>IF(D14738&lt;&gt;"",IF(COUNTIF('USPTO TMs'!A:A,D14738)&gt;0,"Yes","No"),"")</f>
        <v/>
      </c>
      <c r="C14738" s="11"/>
      <c r="D14738" s="11"/>
      <c r="E14738" s="11"/>
      <c r="F14738" s="11"/>
      <c r="G14738" s="11"/>
      <c r="H14738" s="11"/>
      <c r="I14738" s="15"/>
    </row>
    <row r="14739" spans="1:9" ht="16.5">
      <c r="A14739" s="10" t="b">
        <v>0</v>
      </c>
      <c r="B14739" s="11" t="str">
        <f>IF(D14739&lt;&gt;"",IF(COUNTIF('USPTO TMs'!A:A,D14739)&gt;0,"Yes","No"),"")</f>
        <v/>
      </c>
      <c r="C14739" s="11"/>
      <c r="D14739" s="11"/>
      <c r="E14739" s="11"/>
      <c r="F14739" s="11"/>
      <c r="G14739" s="11"/>
      <c r="H14739" s="11"/>
      <c r="I14739" s="15"/>
    </row>
    <row r="14740" spans="1:9" ht="16.5">
      <c r="A14740" s="10" t="b">
        <v>0</v>
      </c>
      <c r="B14740" s="11" t="str">
        <f>IF(D14740&lt;&gt;"",IF(COUNTIF('USPTO TMs'!A:A,D14740)&gt;0,"Yes","No"),"")</f>
        <v/>
      </c>
      <c r="C14740" s="11"/>
      <c r="D14740" s="11"/>
      <c r="E14740" s="11"/>
      <c r="F14740" s="11"/>
      <c r="G14740" s="11"/>
      <c r="H14740" s="11"/>
      <c r="I14740" s="15"/>
    </row>
    <row r="14741" spans="1:9" ht="16.5">
      <c r="A14741" s="10" t="b">
        <v>0</v>
      </c>
      <c r="B14741" s="11" t="str">
        <f>IF(D14741&lt;&gt;"",IF(COUNTIF('USPTO TMs'!A:A,D14741)&gt;0,"Yes","No"),"")</f>
        <v/>
      </c>
      <c r="C14741" s="11"/>
      <c r="D14741" s="11"/>
      <c r="E14741" s="11"/>
      <c r="F14741" s="11"/>
      <c r="G14741" s="11"/>
      <c r="H14741" s="11"/>
      <c r="I14741" s="15"/>
    </row>
    <row r="14742" spans="1:9" ht="16.5">
      <c r="A14742" s="10" t="b">
        <v>0</v>
      </c>
      <c r="B14742" s="11" t="str">
        <f>IF(D14742&lt;&gt;"",IF(COUNTIF('USPTO TMs'!A:A,D14742)&gt;0,"Yes","No"),"")</f>
        <v/>
      </c>
      <c r="C14742" s="11"/>
      <c r="D14742" s="11"/>
      <c r="E14742" s="11"/>
      <c r="F14742" s="11"/>
      <c r="G14742" s="11"/>
      <c r="H14742" s="11"/>
      <c r="I14742" s="15"/>
    </row>
    <row r="14743" spans="1:9" ht="16.5">
      <c r="A14743" s="10" t="b">
        <v>0</v>
      </c>
      <c r="B14743" s="11" t="str">
        <f>IF(D14743&lt;&gt;"",IF(COUNTIF('USPTO TMs'!A:A,D14743)&gt;0,"Yes","No"),"")</f>
        <v/>
      </c>
      <c r="C14743" s="11"/>
      <c r="D14743" s="11"/>
      <c r="E14743" s="11"/>
      <c r="F14743" s="11"/>
      <c r="G14743" s="11"/>
      <c r="H14743" s="11"/>
      <c r="I14743" s="15"/>
    </row>
    <row r="14744" spans="1:9" ht="16.5">
      <c r="A14744" s="10" t="b">
        <v>0</v>
      </c>
      <c r="B14744" s="11" t="str">
        <f>IF(D14744&lt;&gt;"",IF(COUNTIF('USPTO TMs'!A:A,D14744)&gt;0,"Yes","No"),"")</f>
        <v/>
      </c>
      <c r="C14744" s="11"/>
      <c r="D14744" s="11"/>
      <c r="E14744" s="11"/>
      <c r="F14744" s="11"/>
      <c r="G14744" s="11"/>
      <c r="H14744" s="11"/>
      <c r="I14744" s="15"/>
    </row>
    <row r="14745" spans="1:9" ht="16.5">
      <c r="A14745" s="10" t="b">
        <v>0</v>
      </c>
      <c r="B14745" s="11" t="str">
        <f>IF(D14745&lt;&gt;"",IF(COUNTIF('USPTO TMs'!A:A,D14745)&gt;0,"Yes","No"),"")</f>
        <v/>
      </c>
      <c r="C14745" s="11"/>
      <c r="D14745" s="11"/>
      <c r="E14745" s="11"/>
      <c r="F14745" s="11"/>
      <c r="G14745" s="11"/>
      <c r="H14745" s="11"/>
      <c r="I14745" s="15"/>
    </row>
    <row r="14746" spans="1:9" ht="16.5">
      <c r="A14746" s="10" t="b">
        <v>0</v>
      </c>
      <c r="B14746" s="11" t="str">
        <f>IF(D14746&lt;&gt;"",IF(COUNTIF('USPTO TMs'!A:A,D14746)&gt;0,"Yes","No"),"")</f>
        <v/>
      </c>
      <c r="C14746" s="11"/>
      <c r="D14746" s="11"/>
      <c r="E14746" s="11"/>
      <c r="F14746" s="11"/>
      <c r="G14746" s="11"/>
      <c r="H14746" s="11"/>
      <c r="I14746" s="15"/>
    </row>
    <row r="14747" spans="1:9" ht="16.5">
      <c r="A14747" s="10" t="b">
        <v>0</v>
      </c>
      <c r="B14747" s="11" t="str">
        <f>IF(D14747&lt;&gt;"",IF(COUNTIF('USPTO TMs'!A:A,D14747)&gt;0,"Yes","No"),"")</f>
        <v/>
      </c>
      <c r="C14747" s="11"/>
      <c r="D14747" s="11"/>
      <c r="E14747" s="11"/>
      <c r="F14747" s="11"/>
      <c r="G14747" s="11"/>
      <c r="H14747" s="11"/>
      <c r="I14747" s="15"/>
    </row>
    <row r="14748" spans="1:9" ht="16.5">
      <c r="A14748" s="10" t="b">
        <v>0</v>
      </c>
      <c r="B14748" s="11" t="str">
        <f>IF(D14748&lt;&gt;"",IF(COUNTIF('USPTO TMs'!A:A,D14748)&gt;0,"Yes","No"),"")</f>
        <v/>
      </c>
      <c r="C14748" s="11"/>
      <c r="D14748" s="11"/>
      <c r="E14748" s="11"/>
      <c r="F14748" s="11"/>
      <c r="G14748" s="11"/>
      <c r="H14748" s="11"/>
      <c r="I14748" s="15"/>
    </row>
    <row r="14749" spans="1:9" ht="16.5">
      <c r="A14749" s="10" t="b">
        <v>0</v>
      </c>
      <c r="B14749" s="11" t="str">
        <f>IF(D14749&lt;&gt;"",IF(COUNTIF('USPTO TMs'!A:A,D14749)&gt;0,"Yes","No"),"")</f>
        <v/>
      </c>
      <c r="C14749" s="11"/>
      <c r="D14749" s="11"/>
      <c r="E14749" s="11"/>
      <c r="F14749" s="11"/>
      <c r="G14749" s="11"/>
      <c r="H14749" s="11"/>
      <c r="I14749" s="15"/>
    </row>
    <row r="14750" spans="1:9" ht="16.5">
      <c r="A14750" s="10" t="b">
        <v>0</v>
      </c>
      <c r="B14750" s="11" t="str">
        <f>IF(D14750&lt;&gt;"",IF(COUNTIF('USPTO TMs'!A:A,D14750)&gt;0,"Yes","No"),"")</f>
        <v/>
      </c>
      <c r="C14750" s="11"/>
      <c r="D14750" s="11"/>
      <c r="E14750" s="11"/>
      <c r="F14750" s="11"/>
      <c r="G14750" s="11"/>
      <c r="H14750" s="11"/>
      <c r="I14750" s="15"/>
    </row>
    <row r="14751" spans="1:9" ht="16.5">
      <c r="A14751" s="10" t="b">
        <v>0</v>
      </c>
      <c r="B14751" s="11" t="str">
        <f>IF(D14751&lt;&gt;"",IF(COUNTIF('USPTO TMs'!A:A,D14751)&gt;0,"Yes","No"),"")</f>
        <v/>
      </c>
      <c r="C14751" s="11"/>
      <c r="D14751" s="11"/>
      <c r="E14751" s="11"/>
      <c r="F14751" s="11"/>
      <c r="G14751" s="11"/>
      <c r="H14751" s="11"/>
      <c r="I14751" s="15"/>
    </row>
    <row r="14752" spans="1:9" ht="16.5">
      <c r="A14752" s="10" t="b">
        <v>0</v>
      </c>
      <c r="B14752" s="11" t="str">
        <f>IF(D14752&lt;&gt;"",IF(COUNTIF('USPTO TMs'!A:A,D14752)&gt;0,"Yes","No"),"")</f>
        <v/>
      </c>
      <c r="C14752" s="11"/>
      <c r="D14752" s="11"/>
      <c r="E14752" s="11"/>
      <c r="F14752" s="11"/>
      <c r="G14752" s="11"/>
      <c r="H14752" s="11"/>
      <c r="I14752" s="15"/>
    </row>
    <row r="14753" spans="1:9" ht="16.5">
      <c r="A14753" s="10" t="b">
        <v>0</v>
      </c>
      <c r="B14753" s="11" t="str">
        <f>IF(D14753&lt;&gt;"",IF(COUNTIF('USPTO TMs'!A:A,D14753)&gt;0,"Yes","No"),"")</f>
        <v/>
      </c>
      <c r="C14753" s="11"/>
      <c r="D14753" s="11"/>
      <c r="E14753" s="11"/>
      <c r="F14753" s="11"/>
      <c r="G14753" s="11"/>
      <c r="H14753" s="11"/>
      <c r="I14753" s="15"/>
    </row>
    <row r="14754" spans="1:9" ht="16.5">
      <c r="A14754" s="10" t="b">
        <v>0</v>
      </c>
      <c r="B14754" s="11" t="str">
        <f>IF(D14754&lt;&gt;"",IF(COUNTIF('USPTO TMs'!A:A,D14754)&gt;0,"Yes","No"),"")</f>
        <v/>
      </c>
      <c r="C14754" s="11"/>
      <c r="D14754" s="11"/>
      <c r="E14754" s="11"/>
      <c r="F14754" s="11"/>
      <c r="G14754" s="11"/>
      <c r="H14754" s="11"/>
      <c r="I14754" s="15"/>
    </row>
    <row r="14755" spans="1:9" ht="16.5">
      <c r="A14755" s="10" t="b">
        <v>0</v>
      </c>
      <c r="B14755" s="11" t="str">
        <f>IF(D14755&lt;&gt;"",IF(COUNTIF('USPTO TMs'!A:A,D14755)&gt;0,"Yes","No"),"")</f>
        <v/>
      </c>
      <c r="C14755" s="11"/>
      <c r="D14755" s="11"/>
      <c r="E14755" s="11"/>
      <c r="F14755" s="11"/>
      <c r="G14755" s="11"/>
      <c r="H14755" s="11"/>
      <c r="I14755" s="15"/>
    </row>
    <row r="14756" spans="1:9" ht="16.5">
      <c r="A14756" s="10" t="b">
        <v>0</v>
      </c>
      <c r="B14756" s="11" t="str">
        <f>IF(D14756&lt;&gt;"",IF(COUNTIF('USPTO TMs'!A:A,D14756)&gt;0,"Yes","No"),"")</f>
        <v/>
      </c>
      <c r="C14756" s="11"/>
      <c r="D14756" s="11"/>
      <c r="E14756" s="11"/>
      <c r="F14756" s="11"/>
      <c r="G14756" s="11"/>
      <c r="H14756" s="11"/>
      <c r="I14756" s="15"/>
    </row>
    <row r="14757" spans="1:9" ht="16.5">
      <c r="A14757" s="10" t="b">
        <v>0</v>
      </c>
      <c r="B14757" s="11" t="str">
        <f>IF(D14757&lt;&gt;"",IF(COUNTIF('USPTO TMs'!A:A,D14757)&gt;0,"Yes","No"),"")</f>
        <v/>
      </c>
      <c r="C14757" s="11"/>
      <c r="D14757" s="11"/>
      <c r="E14757" s="11"/>
      <c r="F14757" s="11"/>
      <c r="G14757" s="11"/>
      <c r="H14757" s="11"/>
      <c r="I14757" s="15"/>
    </row>
    <row r="14758" spans="1:9" ht="16.5">
      <c r="A14758" s="10" t="b">
        <v>0</v>
      </c>
      <c r="B14758" s="11" t="str">
        <f>IF(D14758&lt;&gt;"",IF(COUNTIF('USPTO TMs'!A:A,D14758)&gt;0,"Yes","No"),"")</f>
        <v/>
      </c>
      <c r="C14758" s="11"/>
      <c r="D14758" s="11"/>
      <c r="E14758" s="11"/>
      <c r="F14758" s="11"/>
      <c r="G14758" s="11"/>
      <c r="H14758" s="11"/>
      <c r="I14758" s="15"/>
    </row>
    <row r="14759" spans="1:9" ht="16.5">
      <c r="A14759" s="10" t="b">
        <v>0</v>
      </c>
      <c r="B14759" s="11" t="str">
        <f>IF(D14759&lt;&gt;"",IF(COUNTIF('USPTO TMs'!A:A,D14759)&gt;0,"Yes","No"),"")</f>
        <v/>
      </c>
      <c r="C14759" s="11"/>
      <c r="D14759" s="11"/>
      <c r="E14759" s="11"/>
      <c r="F14759" s="11"/>
      <c r="G14759" s="11"/>
      <c r="H14759" s="11"/>
      <c r="I14759" s="15"/>
    </row>
    <row r="14760" spans="1:9" ht="16.5">
      <c r="A14760" s="10" t="b">
        <v>0</v>
      </c>
      <c r="B14760" s="11" t="str">
        <f>IF(D14760&lt;&gt;"",IF(COUNTIF('USPTO TMs'!A:A,D14760)&gt;0,"Yes","No"),"")</f>
        <v/>
      </c>
      <c r="C14760" s="11"/>
      <c r="D14760" s="11"/>
      <c r="E14760" s="11"/>
      <c r="F14760" s="11"/>
      <c r="G14760" s="11"/>
      <c r="H14760" s="11"/>
      <c r="I14760" s="15"/>
    </row>
    <row r="14761" spans="1:9" ht="16.5">
      <c r="A14761" s="10" t="b">
        <v>0</v>
      </c>
      <c r="B14761" s="11" t="str">
        <f>IF(D14761&lt;&gt;"",IF(COUNTIF('USPTO TMs'!A:A,D14761)&gt;0,"Yes","No"),"")</f>
        <v/>
      </c>
      <c r="C14761" s="11"/>
      <c r="D14761" s="11"/>
      <c r="E14761" s="11"/>
      <c r="F14761" s="11"/>
      <c r="G14761" s="11"/>
      <c r="H14761" s="11"/>
      <c r="I14761" s="15"/>
    </row>
    <row r="14762" spans="1:9" ht="16.5">
      <c r="A14762" s="10" t="b">
        <v>0</v>
      </c>
      <c r="B14762" s="11" t="str">
        <f>IF(D14762&lt;&gt;"",IF(COUNTIF('USPTO TMs'!A:A,D14762)&gt;0,"Yes","No"),"")</f>
        <v/>
      </c>
      <c r="C14762" s="11"/>
      <c r="D14762" s="11"/>
      <c r="E14762" s="11"/>
      <c r="F14762" s="11"/>
      <c r="G14762" s="11"/>
      <c r="H14762" s="11"/>
      <c r="I14762" s="15"/>
    </row>
    <row r="14763" spans="1:9" ht="16.5">
      <c r="A14763" s="10" t="b">
        <v>0</v>
      </c>
      <c r="B14763" s="11" t="str">
        <f>IF(D14763&lt;&gt;"",IF(COUNTIF('USPTO TMs'!A:A,D14763)&gt;0,"Yes","No"),"")</f>
        <v/>
      </c>
      <c r="C14763" s="11"/>
      <c r="D14763" s="11"/>
      <c r="E14763" s="11"/>
      <c r="F14763" s="11"/>
      <c r="G14763" s="11"/>
      <c r="H14763" s="11"/>
      <c r="I14763" s="15"/>
    </row>
    <row r="14764" spans="1:9" ht="16.5">
      <c r="A14764" s="10" t="b">
        <v>0</v>
      </c>
      <c r="B14764" s="11" t="str">
        <f>IF(D14764&lt;&gt;"",IF(COUNTIF('USPTO TMs'!A:A,D14764)&gt;0,"Yes","No"),"")</f>
        <v/>
      </c>
      <c r="C14764" s="11"/>
      <c r="D14764" s="11"/>
      <c r="E14764" s="11"/>
      <c r="F14764" s="11"/>
      <c r="G14764" s="11"/>
      <c r="H14764" s="11"/>
      <c r="I14764" s="15"/>
    </row>
    <row r="14765" spans="1:9" ht="16.5">
      <c r="A14765" s="10" t="b">
        <v>0</v>
      </c>
      <c r="B14765" s="11" t="str">
        <f>IF(D14765&lt;&gt;"",IF(COUNTIF('USPTO TMs'!A:A,D14765)&gt;0,"Yes","No"),"")</f>
        <v/>
      </c>
      <c r="C14765" s="11"/>
      <c r="D14765" s="11"/>
      <c r="E14765" s="11"/>
      <c r="F14765" s="11"/>
      <c r="G14765" s="11"/>
      <c r="H14765" s="11"/>
      <c r="I14765" s="15"/>
    </row>
    <row r="14766" spans="1:9" ht="16.5">
      <c r="A14766" s="10" t="b">
        <v>0</v>
      </c>
      <c r="B14766" s="11" t="str">
        <f>IF(D14766&lt;&gt;"",IF(COUNTIF('USPTO TMs'!A:A,D14766)&gt;0,"Yes","No"),"")</f>
        <v/>
      </c>
      <c r="C14766" s="11"/>
      <c r="D14766" s="11"/>
      <c r="E14766" s="11"/>
      <c r="F14766" s="11"/>
      <c r="G14766" s="11"/>
      <c r="H14766" s="11"/>
      <c r="I14766" s="15"/>
    </row>
    <row r="14767" spans="1:9" ht="16.5">
      <c r="A14767" s="10" t="b">
        <v>0</v>
      </c>
      <c r="B14767" s="11" t="str">
        <f>IF(D14767&lt;&gt;"",IF(COUNTIF('USPTO TMs'!A:A,D14767)&gt;0,"Yes","No"),"")</f>
        <v/>
      </c>
      <c r="C14767" s="11"/>
      <c r="D14767" s="11"/>
      <c r="E14767" s="11"/>
      <c r="F14767" s="11"/>
      <c r="G14767" s="11"/>
      <c r="H14767" s="11"/>
      <c r="I14767" s="15"/>
    </row>
    <row r="14768" spans="1:9" ht="16.5">
      <c r="A14768" s="10" t="b">
        <v>0</v>
      </c>
      <c r="B14768" s="11" t="str">
        <f>IF(D14768&lt;&gt;"",IF(COUNTIF('USPTO TMs'!A:A,D14768)&gt;0,"Yes","No"),"")</f>
        <v/>
      </c>
      <c r="C14768" s="11"/>
      <c r="D14768" s="11"/>
      <c r="E14768" s="11"/>
      <c r="F14768" s="11"/>
      <c r="G14768" s="11"/>
      <c r="H14768" s="11"/>
      <c r="I14768" s="15"/>
    </row>
    <row r="14769" spans="1:9" ht="16.5">
      <c r="A14769" s="10" t="b">
        <v>0</v>
      </c>
      <c r="B14769" s="11" t="str">
        <f>IF(D14769&lt;&gt;"",IF(COUNTIF('USPTO TMs'!A:A,D14769)&gt;0,"Yes","No"),"")</f>
        <v/>
      </c>
      <c r="C14769" s="11"/>
      <c r="D14769" s="11"/>
      <c r="E14769" s="11"/>
      <c r="F14769" s="11"/>
      <c r="G14769" s="11"/>
      <c r="H14769" s="11"/>
      <c r="I14769" s="15"/>
    </row>
    <row r="14770" spans="1:9" ht="16.5">
      <c r="A14770" s="10" t="b">
        <v>0</v>
      </c>
      <c r="B14770" s="11" t="str">
        <f>IF(D14770&lt;&gt;"",IF(COUNTIF('USPTO TMs'!A:A,D14770)&gt;0,"Yes","No"),"")</f>
        <v/>
      </c>
      <c r="C14770" s="11"/>
      <c r="D14770" s="11"/>
      <c r="E14770" s="11"/>
      <c r="F14770" s="11"/>
      <c r="G14770" s="11"/>
      <c r="H14770" s="11"/>
      <c r="I14770" s="15"/>
    </row>
    <row r="14771" spans="1:9" ht="16.5">
      <c r="A14771" s="10" t="b">
        <v>0</v>
      </c>
      <c r="B14771" s="11" t="str">
        <f>IF(D14771&lt;&gt;"",IF(COUNTIF('USPTO TMs'!A:A,D14771)&gt;0,"Yes","No"),"")</f>
        <v/>
      </c>
      <c r="C14771" s="11"/>
      <c r="D14771" s="11"/>
      <c r="E14771" s="11"/>
      <c r="F14771" s="11"/>
      <c r="G14771" s="11"/>
      <c r="H14771" s="11"/>
      <c r="I14771" s="15"/>
    </row>
    <row r="14772" spans="1:9" ht="16.5">
      <c r="A14772" s="10" t="b">
        <v>0</v>
      </c>
      <c r="B14772" s="11" t="str">
        <f>IF(D14772&lt;&gt;"",IF(COUNTIF('USPTO TMs'!A:A,D14772)&gt;0,"Yes","No"),"")</f>
        <v/>
      </c>
      <c r="C14772" s="11"/>
      <c r="D14772" s="11"/>
      <c r="E14772" s="11"/>
      <c r="F14772" s="11"/>
      <c r="G14772" s="11"/>
      <c r="H14772" s="11"/>
      <c r="I14772" s="15"/>
    </row>
    <row r="14773" spans="1:9" ht="16.5">
      <c r="A14773" s="10" t="b">
        <v>0</v>
      </c>
      <c r="B14773" s="11" t="str">
        <f>IF(D14773&lt;&gt;"",IF(COUNTIF('USPTO TMs'!A:A,D14773)&gt;0,"Yes","No"),"")</f>
        <v/>
      </c>
      <c r="C14773" s="11"/>
      <c r="D14773" s="11"/>
      <c r="E14773" s="11"/>
      <c r="F14773" s="11"/>
      <c r="G14773" s="11"/>
      <c r="H14773" s="11"/>
      <c r="I14773" s="15"/>
    </row>
    <row r="14774" spans="1:9" ht="16.5">
      <c r="A14774" s="10" t="b">
        <v>0</v>
      </c>
      <c r="B14774" s="11" t="str">
        <f>IF(D14774&lt;&gt;"",IF(COUNTIF('USPTO TMs'!A:A,D14774)&gt;0,"Yes","No"),"")</f>
        <v/>
      </c>
      <c r="C14774" s="11"/>
      <c r="D14774" s="11"/>
      <c r="E14774" s="11"/>
      <c r="F14774" s="11"/>
      <c r="G14774" s="11"/>
      <c r="H14774" s="11"/>
      <c r="I14774" s="15"/>
    </row>
    <row r="14775" spans="1:9" ht="16.5">
      <c r="A14775" s="10" t="b">
        <v>0</v>
      </c>
      <c r="B14775" s="11" t="str">
        <f>IF(D14775&lt;&gt;"",IF(COUNTIF('USPTO TMs'!A:A,D14775)&gt;0,"Yes","No"),"")</f>
        <v/>
      </c>
      <c r="C14775" s="11"/>
      <c r="D14775" s="11"/>
      <c r="E14775" s="11"/>
      <c r="F14775" s="11"/>
      <c r="G14775" s="11"/>
      <c r="H14775" s="11"/>
      <c r="I14775" s="15"/>
    </row>
    <row r="14776" spans="1:9" ht="16.5">
      <c r="A14776" s="10" t="b">
        <v>0</v>
      </c>
      <c r="B14776" s="11" t="str">
        <f>IF(D14776&lt;&gt;"",IF(COUNTIF('USPTO TMs'!A:A,D14776)&gt;0,"Yes","No"),"")</f>
        <v/>
      </c>
      <c r="C14776" s="11"/>
      <c r="D14776" s="11"/>
      <c r="E14776" s="11"/>
      <c r="F14776" s="11"/>
      <c r="G14776" s="11"/>
      <c r="H14776" s="11"/>
      <c r="I14776" s="15"/>
    </row>
    <row r="14777" spans="1:9" ht="16.5">
      <c r="A14777" s="10" t="b">
        <v>0</v>
      </c>
      <c r="B14777" s="11" t="str">
        <f>IF(D14777&lt;&gt;"",IF(COUNTIF('USPTO TMs'!A:A,D14777)&gt;0,"Yes","No"),"")</f>
        <v/>
      </c>
      <c r="C14777" s="11"/>
      <c r="D14777" s="11"/>
      <c r="E14777" s="11"/>
      <c r="F14777" s="11"/>
      <c r="G14777" s="11"/>
      <c r="H14777" s="11"/>
      <c r="I14777" s="15"/>
    </row>
    <row r="14778" spans="1:9" ht="16.5">
      <c r="A14778" s="10" t="b">
        <v>0</v>
      </c>
      <c r="B14778" s="11" t="str">
        <f>IF(D14778&lt;&gt;"",IF(COUNTIF('USPTO TMs'!A:A,D14778)&gt;0,"Yes","No"),"")</f>
        <v/>
      </c>
      <c r="C14778" s="11"/>
      <c r="D14778" s="11"/>
      <c r="E14778" s="11"/>
      <c r="F14778" s="11"/>
      <c r="G14778" s="11"/>
      <c r="H14778" s="11"/>
      <c r="I14778" s="15"/>
    </row>
    <row r="14779" spans="1:9" ht="16.5">
      <c r="A14779" s="10" t="b">
        <v>0</v>
      </c>
      <c r="B14779" s="11" t="str">
        <f>IF(D14779&lt;&gt;"",IF(COUNTIF('USPTO TMs'!A:A,D14779)&gt;0,"Yes","No"),"")</f>
        <v/>
      </c>
      <c r="C14779" s="11"/>
      <c r="D14779" s="11"/>
      <c r="E14779" s="11"/>
      <c r="F14779" s="11"/>
      <c r="G14779" s="11"/>
      <c r="H14779" s="11"/>
      <c r="I14779" s="15"/>
    </row>
    <row r="14780" spans="1:9" ht="16.5">
      <c r="A14780" s="10" t="b">
        <v>0</v>
      </c>
      <c r="B14780" s="11" t="str">
        <f>IF(D14780&lt;&gt;"",IF(COUNTIF('USPTO TMs'!A:A,D14780)&gt;0,"Yes","No"),"")</f>
        <v/>
      </c>
      <c r="C14780" s="11"/>
      <c r="D14780" s="11"/>
      <c r="E14780" s="11"/>
      <c r="F14780" s="11"/>
      <c r="G14780" s="11"/>
      <c r="H14780" s="11"/>
      <c r="I14780" s="15"/>
    </row>
    <row r="14781" spans="1:9" ht="16.5">
      <c r="A14781" s="10" t="b">
        <v>0</v>
      </c>
      <c r="B14781" s="11" t="str">
        <f>IF(D14781&lt;&gt;"",IF(COUNTIF('USPTO TMs'!A:A,D14781)&gt;0,"Yes","No"),"")</f>
        <v/>
      </c>
      <c r="C14781" s="11"/>
      <c r="D14781" s="11"/>
      <c r="E14781" s="11"/>
      <c r="F14781" s="11"/>
      <c r="G14781" s="11"/>
      <c r="H14781" s="11"/>
      <c r="I14781" s="15"/>
    </row>
    <row r="14782" spans="1:9" ht="16.5">
      <c r="A14782" s="10" t="b">
        <v>0</v>
      </c>
      <c r="B14782" s="11" t="str">
        <f>IF(D14782&lt;&gt;"",IF(COUNTIF('USPTO TMs'!A:A,D14782)&gt;0,"Yes","No"),"")</f>
        <v/>
      </c>
      <c r="C14782" s="11"/>
      <c r="D14782" s="11"/>
      <c r="E14782" s="11"/>
      <c r="F14782" s="11"/>
      <c r="G14782" s="11"/>
      <c r="H14782" s="11"/>
      <c r="I14782" s="15"/>
    </row>
    <row r="14783" spans="1:9" ht="16.5">
      <c r="A14783" s="10" t="b">
        <v>0</v>
      </c>
      <c r="B14783" s="11" t="str">
        <f>IF(D14783&lt;&gt;"",IF(COUNTIF('USPTO TMs'!A:A,D14783)&gt;0,"Yes","No"),"")</f>
        <v/>
      </c>
      <c r="C14783" s="11"/>
      <c r="D14783" s="11"/>
      <c r="E14783" s="11"/>
      <c r="F14783" s="11"/>
      <c r="G14783" s="11"/>
      <c r="H14783" s="11"/>
      <c r="I14783" s="15"/>
    </row>
    <row r="14784" spans="1:9" ht="16.5">
      <c r="A14784" s="10" t="b">
        <v>0</v>
      </c>
      <c r="B14784" s="11" t="str">
        <f>IF(D14784&lt;&gt;"",IF(COUNTIF('USPTO TMs'!A:A,D14784)&gt;0,"Yes","No"),"")</f>
        <v/>
      </c>
      <c r="C14784" s="11"/>
      <c r="D14784" s="11"/>
      <c r="E14784" s="11"/>
      <c r="F14784" s="11"/>
      <c r="G14784" s="11"/>
      <c r="H14784" s="11"/>
      <c r="I14784" s="15"/>
    </row>
    <row r="14785" spans="1:9" ht="16.5">
      <c r="A14785" s="10" t="b">
        <v>0</v>
      </c>
      <c r="B14785" s="11" t="str">
        <f>IF(D14785&lt;&gt;"",IF(COUNTIF('USPTO TMs'!A:A,D14785)&gt;0,"Yes","No"),"")</f>
        <v/>
      </c>
      <c r="C14785" s="11"/>
      <c r="D14785" s="11"/>
      <c r="E14785" s="11"/>
      <c r="F14785" s="11"/>
      <c r="G14785" s="11"/>
      <c r="H14785" s="11"/>
      <c r="I14785" s="15"/>
    </row>
    <row r="14786" spans="1:9" ht="16.5">
      <c r="A14786" s="10" t="b">
        <v>0</v>
      </c>
      <c r="B14786" s="11" t="str">
        <f>IF(D14786&lt;&gt;"",IF(COUNTIF('USPTO TMs'!A:A,D14786)&gt;0,"Yes","No"),"")</f>
        <v/>
      </c>
      <c r="C14786" s="11"/>
      <c r="D14786" s="11"/>
      <c r="E14786" s="11"/>
      <c r="F14786" s="11"/>
      <c r="G14786" s="11"/>
      <c r="H14786" s="11"/>
      <c r="I14786" s="15"/>
    </row>
    <row r="14787" spans="1:9" ht="16.5">
      <c r="A14787" s="10" t="b">
        <v>0</v>
      </c>
      <c r="B14787" s="11" t="str">
        <f>IF(D14787&lt;&gt;"",IF(COUNTIF('USPTO TMs'!A:A,D14787)&gt;0,"Yes","No"),"")</f>
        <v/>
      </c>
      <c r="C14787" s="11"/>
      <c r="D14787" s="11"/>
      <c r="E14787" s="11"/>
      <c r="F14787" s="11"/>
      <c r="G14787" s="11"/>
      <c r="H14787" s="11"/>
      <c r="I14787" s="15"/>
    </row>
    <row r="14788" spans="1:9" ht="16.5">
      <c r="A14788" s="10" t="b">
        <v>0</v>
      </c>
      <c r="B14788" s="11" t="str">
        <f>IF(D14788&lt;&gt;"",IF(COUNTIF('USPTO TMs'!A:A,D14788)&gt;0,"Yes","No"),"")</f>
        <v/>
      </c>
      <c r="C14788" s="11"/>
      <c r="D14788" s="11"/>
      <c r="E14788" s="11"/>
      <c r="F14788" s="11"/>
      <c r="G14788" s="11"/>
      <c r="H14788" s="11"/>
      <c r="I14788" s="15"/>
    </row>
    <row r="14789" spans="1:9" ht="16.5">
      <c r="A14789" s="10" t="b">
        <v>0</v>
      </c>
      <c r="B14789" s="11" t="str">
        <f>IF(D14789&lt;&gt;"",IF(COUNTIF('USPTO TMs'!A:A,D14789)&gt;0,"Yes","No"),"")</f>
        <v/>
      </c>
      <c r="C14789" s="11"/>
      <c r="D14789" s="11"/>
      <c r="E14789" s="11"/>
      <c r="F14789" s="11"/>
      <c r="G14789" s="11"/>
      <c r="H14789" s="11"/>
      <c r="I14789" s="15"/>
    </row>
    <row r="14790" spans="1:9" ht="16.5">
      <c r="A14790" s="10" t="b">
        <v>0</v>
      </c>
      <c r="B14790" s="11" t="str">
        <f>IF(D14790&lt;&gt;"",IF(COUNTIF('USPTO TMs'!A:A,D14790)&gt;0,"Yes","No"),"")</f>
        <v/>
      </c>
      <c r="C14790" s="11"/>
      <c r="D14790" s="11"/>
      <c r="E14790" s="11"/>
      <c r="F14790" s="11"/>
      <c r="G14790" s="11"/>
      <c r="H14790" s="11"/>
      <c r="I14790" s="15"/>
    </row>
    <row r="14791" spans="1:9" ht="16.5">
      <c r="A14791" s="10" t="b">
        <v>0</v>
      </c>
      <c r="B14791" s="11" t="str">
        <f>IF(D14791&lt;&gt;"",IF(COUNTIF('USPTO TMs'!A:A,D14791)&gt;0,"Yes","No"),"")</f>
        <v/>
      </c>
      <c r="C14791" s="11"/>
      <c r="D14791" s="11"/>
      <c r="E14791" s="11"/>
      <c r="F14791" s="11"/>
      <c r="G14791" s="11"/>
      <c r="H14791" s="11"/>
      <c r="I14791" s="15"/>
    </row>
    <row r="14792" spans="1:9" ht="16.5">
      <c r="A14792" s="10" t="b">
        <v>0</v>
      </c>
      <c r="B14792" s="11" t="str">
        <f>IF(D14792&lt;&gt;"",IF(COUNTIF('USPTO TMs'!A:A,D14792)&gt;0,"Yes","No"),"")</f>
        <v/>
      </c>
      <c r="C14792" s="11"/>
      <c r="D14792" s="11"/>
      <c r="E14792" s="11"/>
      <c r="F14792" s="11"/>
      <c r="G14792" s="11"/>
      <c r="H14792" s="11"/>
      <c r="I14792" s="15"/>
    </row>
    <row r="14793" spans="1:9" ht="16.5">
      <c r="A14793" s="10" t="b">
        <v>0</v>
      </c>
      <c r="B14793" s="11" t="str">
        <f>IF(D14793&lt;&gt;"",IF(COUNTIF('USPTO TMs'!A:A,D14793)&gt;0,"Yes","No"),"")</f>
        <v/>
      </c>
      <c r="C14793" s="11"/>
      <c r="D14793" s="11"/>
      <c r="E14793" s="11"/>
      <c r="F14793" s="11"/>
      <c r="G14793" s="11"/>
      <c r="H14793" s="11"/>
      <c r="I14793" s="15"/>
    </row>
    <row r="14794" spans="1:9" ht="16.5">
      <c r="A14794" s="10" t="b">
        <v>0</v>
      </c>
      <c r="B14794" s="11" t="str">
        <f>IF(D14794&lt;&gt;"",IF(COUNTIF('USPTO TMs'!A:A,D14794)&gt;0,"Yes","No"),"")</f>
        <v/>
      </c>
      <c r="C14794" s="11"/>
      <c r="D14794" s="11"/>
      <c r="E14794" s="11"/>
      <c r="F14794" s="11"/>
      <c r="G14794" s="11"/>
      <c r="H14794" s="11"/>
      <c r="I14794" s="15"/>
    </row>
    <row r="14795" spans="1:9" ht="16.5">
      <c r="A14795" s="10" t="b">
        <v>0</v>
      </c>
      <c r="B14795" s="11" t="str">
        <f>IF(D14795&lt;&gt;"",IF(COUNTIF('USPTO TMs'!A:A,D14795)&gt;0,"Yes","No"),"")</f>
        <v/>
      </c>
      <c r="C14795" s="11"/>
      <c r="D14795" s="11"/>
      <c r="E14795" s="11"/>
      <c r="F14795" s="11"/>
      <c r="G14795" s="11"/>
      <c r="H14795" s="11"/>
      <c r="I14795" s="15"/>
    </row>
    <row r="14796" spans="1:9" ht="16.5">
      <c r="A14796" s="10" t="b">
        <v>0</v>
      </c>
      <c r="B14796" s="11" t="str">
        <f>IF(D14796&lt;&gt;"",IF(COUNTIF('USPTO TMs'!A:A,D14796)&gt;0,"Yes","No"),"")</f>
        <v/>
      </c>
      <c r="C14796" s="11"/>
      <c r="D14796" s="11"/>
      <c r="E14796" s="11"/>
      <c r="F14796" s="11"/>
      <c r="G14796" s="11"/>
      <c r="H14796" s="11"/>
      <c r="I14796" s="15"/>
    </row>
    <row r="14797" spans="1:9" ht="16.5">
      <c r="A14797" s="10" t="b">
        <v>0</v>
      </c>
      <c r="B14797" s="11" t="str">
        <f>IF(D14797&lt;&gt;"",IF(COUNTIF('USPTO TMs'!A:A,D14797)&gt;0,"Yes","No"),"")</f>
        <v/>
      </c>
      <c r="C14797" s="11"/>
      <c r="D14797" s="11"/>
      <c r="E14797" s="11"/>
      <c r="F14797" s="11"/>
      <c r="G14797" s="11"/>
      <c r="H14797" s="11"/>
      <c r="I14797" s="15"/>
    </row>
    <row r="14798" spans="1:9" ht="16.5">
      <c r="A14798" s="10" t="b">
        <v>0</v>
      </c>
      <c r="B14798" s="11" t="str">
        <f>IF(D14798&lt;&gt;"",IF(COUNTIF('USPTO TMs'!A:A,D14798)&gt;0,"Yes","No"),"")</f>
        <v/>
      </c>
      <c r="C14798" s="11"/>
      <c r="D14798" s="11"/>
      <c r="E14798" s="11"/>
      <c r="F14798" s="11"/>
      <c r="G14798" s="11"/>
      <c r="H14798" s="11"/>
      <c r="I14798" s="15"/>
    </row>
    <row r="14799" spans="1:9" ht="16.5">
      <c r="A14799" s="10" t="b">
        <v>0</v>
      </c>
      <c r="B14799" s="11" t="str">
        <f>IF(D14799&lt;&gt;"",IF(COUNTIF('USPTO TMs'!A:A,D14799)&gt;0,"Yes","No"),"")</f>
        <v/>
      </c>
      <c r="C14799" s="11"/>
      <c r="D14799" s="11"/>
      <c r="E14799" s="11"/>
      <c r="F14799" s="11"/>
      <c r="G14799" s="11"/>
      <c r="H14799" s="11"/>
      <c r="I14799" s="15"/>
    </row>
    <row r="14800" spans="1:9" ht="16.5">
      <c r="A14800" s="10" t="b">
        <v>0</v>
      </c>
      <c r="B14800" s="11" t="str">
        <f>IF(D14800&lt;&gt;"",IF(COUNTIF('USPTO TMs'!A:A,D14800)&gt;0,"Yes","No"),"")</f>
        <v/>
      </c>
      <c r="C14800" s="11"/>
      <c r="D14800" s="11"/>
      <c r="E14800" s="11"/>
      <c r="F14800" s="11"/>
      <c r="G14800" s="11"/>
      <c r="H14800" s="11"/>
      <c r="I14800" s="15"/>
    </row>
    <row r="14801" spans="1:9" ht="16.5">
      <c r="A14801" s="10" t="b">
        <v>0</v>
      </c>
      <c r="B14801" s="11" t="str">
        <f>IF(D14801&lt;&gt;"",IF(COUNTIF('USPTO TMs'!A:A,D14801)&gt;0,"Yes","No"),"")</f>
        <v/>
      </c>
      <c r="C14801" s="11"/>
      <c r="D14801" s="11"/>
      <c r="E14801" s="11"/>
      <c r="F14801" s="11"/>
      <c r="G14801" s="11"/>
      <c r="H14801" s="11"/>
      <c r="I14801" s="15"/>
    </row>
    <row r="14802" spans="1:9" ht="16.5">
      <c r="A14802" s="10" t="b">
        <v>0</v>
      </c>
      <c r="B14802" s="11" t="str">
        <f>IF(D14802&lt;&gt;"",IF(COUNTIF('USPTO TMs'!A:A,D14802)&gt;0,"Yes","No"),"")</f>
        <v/>
      </c>
      <c r="C14802" s="11"/>
      <c r="D14802" s="11"/>
      <c r="E14802" s="11"/>
      <c r="F14802" s="11"/>
      <c r="G14802" s="11"/>
      <c r="H14802" s="11"/>
      <c r="I14802" s="15"/>
    </row>
    <row r="14803" spans="1:9" ht="16.5">
      <c r="A14803" s="10" t="b">
        <v>0</v>
      </c>
      <c r="B14803" s="11" t="str">
        <f>IF(D14803&lt;&gt;"",IF(COUNTIF('USPTO TMs'!A:A,D14803)&gt;0,"Yes","No"),"")</f>
        <v/>
      </c>
      <c r="C14803" s="11"/>
      <c r="D14803" s="11"/>
      <c r="E14803" s="11"/>
      <c r="F14803" s="11"/>
      <c r="G14803" s="11"/>
      <c r="H14803" s="11"/>
      <c r="I14803" s="15"/>
    </row>
    <row r="14804" spans="1:9" ht="16.5">
      <c r="A14804" s="10" t="b">
        <v>0</v>
      </c>
      <c r="B14804" s="11" t="str">
        <f>IF(D14804&lt;&gt;"",IF(COUNTIF('USPTO TMs'!A:A,D14804)&gt;0,"Yes","No"),"")</f>
        <v/>
      </c>
      <c r="C14804" s="11"/>
      <c r="D14804" s="11"/>
      <c r="E14804" s="11"/>
      <c r="F14804" s="11"/>
      <c r="G14804" s="11"/>
      <c r="H14804" s="11"/>
      <c r="I14804" s="15"/>
    </row>
    <row r="14805" spans="1:9" ht="16.5">
      <c r="A14805" s="10" t="b">
        <v>0</v>
      </c>
      <c r="B14805" s="11" t="str">
        <f>IF(D14805&lt;&gt;"",IF(COUNTIF('USPTO TMs'!A:A,D14805)&gt;0,"Yes","No"),"")</f>
        <v/>
      </c>
      <c r="C14805" s="11"/>
      <c r="D14805" s="11"/>
      <c r="E14805" s="11"/>
      <c r="F14805" s="11"/>
      <c r="G14805" s="11"/>
      <c r="H14805" s="11"/>
      <c r="I14805" s="15"/>
    </row>
    <row r="14806" spans="1:9" ht="16.5">
      <c r="A14806" s="10" t="b">
        <v>0</v>
      </c>
      <c r="B14806" s="11" t="str">
        <f>IF(D14806&lt;&gt;"",IF(COUNTIF('USPTO TMs'!A:A,D14806)&gt;0,"Yes","No"),"")</f>
        <v/>
      </c>
      <c r="C14806" s="11"/>
      <c r="D14806" s="11"/>
      <c r="E14806" s="11"/>
      <c r="F14806" s="11"/>
      <c r="G14806" s="11"/>
      <c r="H14806" s="11"/>
      <c r="I14806" s="15"/>
    </row>
    <row r="14807" spans="1:9" ht="16.5">
      <c r="A14807" s="10" t="b">
        <v>0</v>
      </c>
      <c r="B14807" s="11" t="str">
        <f>IF(D14807&lt;&gt;"",IF(COUNTIF('USPTO TMs'!A:A,D14807)&gt;0,"Yes","No"),"")</f>
        <v/>
      </c>
      <c r="C14807" s="11"/>
      <c r="D14807" s="11"/>
      <c r="E14807" s="11"/>
      <c r="F14807" s="11"/>
      <c r="G14807" s="11"/>
      <c r="H14807" s="11"/>
      <c r="I14807" s="15"/>
    </row>
    <row r="14808" spans="1:9" ht="16.5">
      <c r="A14808" s="10" t="b">
        <v>0</v>
      </c>
      <c r="B14808" s="11" t="str">
        <f>IF(D14808&lt;&gt;"",IF(COUNTIF('USPTO TMs'!A:A,D14808)&gt;0,"Yes","No"),"")</f>
        <v/>
      </c>
      <c r="C14808" s="11"/>
      <c r="D14808" s="11"/>
      <c r="E14808" s="11"/>
      <c r="F14808" s="11"/>
      <c r="G14808" s="11"/>
      <c r="H14808" s="11"/>
      <c r="I14808" s="15"/>
    </row>
    <row r="14809" spans="1:9" ht="16.5">
      <c r="A14809" s="10" t="b">
        <v>0</v>
      </c>
      <c r="B14809" s="11" t="str">
        <f>IF(D14809&lt;&gt;"",IF(COUNTIF('USPTO TMs'!A:A,D14809)&gt;0,"Yes","No"),"")</f>
        <v/>
      </c>
      <c r="C14809" s="11"/>
      <c r="D14809" s="11"/>
      <c r="E14809" s="11"/>
      <c r="F14809" s="11"/>
      <c r="G14809" s="11"/>
      <c r="H14809" s="11"/>
      <c r="I14809" s="15"/>
    </row>
    <row r="14810" spans="1:9" ht="16.5">
      <c r="A14810" s="10" t="b">
        <v>0</v>
      </c>
      <c r="B14810" s="11" t="str">
        <f>IF(D14810&lt;&gt;"",IF(COUNTIF('USPTO TMs'!A:A,D14810)&gt;0,"Yes","No"),"")</f>
        <v/>
      </c>
      <c r="C14810" s="11"/>
      <c r="D14810" s="11"/>
      <c r="E14810" s="11"/>
      <c r="F14810" s="11"/>
      <c r="G14810" s="11"/>
      <c r="H14810" s="11"/>
      <c r="I14810" s="15"/>
    </row>
    <row r="14811" spans="1:9" ht="16.5">
      <c r="A14811" s="10" t="b">
        <v>0</v>
      </c>
      <c r="B14811" s="11" t="str">
        <f>IF(D14811&lt;&gt;"",IF(COUNTIF('USPTO TMs'!A:A,D14811)&gt;0,"Yes","No"),"")</f>
        <v/>
      </c>
      <c r="C14811" s="11"/>
      <c r="D14811" s="11"/>
      <c r="E14811" s="11"/>
      <c r="F14811" s="11"/>
      <c r="G14811" s="11"/>
      <c r="H14811" s="11"/>
      <c r="I14811" s="15"/>
    </row>
    <row r="14812" spans="1:9" ht="16.5">
      <c r="A14812" s="10" t="b">
        <v>0</v>
      </c>
      <c r="B14812" s="11" t="str">
        <f>IF(D14812&lt;&gt;"",IF(COUNTIF('USPTO TMs'!A:A,D14812)&gt;0,"Yes","No"),"")</f>
        <v/>
      </c>
      <c r="C14812" s="11"/>
      <c r="D14812" s="11"/>
      <c r="E14812" s="11"/>
      <c r="F14812" s="11"/>
      <c r="G14812" s="11"/>
      <c r="H14812" s="11"/>
      <c r="I14812" s="15"/>
    </row>
    <row r="14813" spans="1:9" ht="16.5">
      <c r="A14813" s="10" t="b">
        <v>0</v>
      </c>
      <c r="B14813" s="11" t="str">
        <f>IF(D14813&lt;&gt;"",IF(COUNTIF('USPTO TMs'!A:A,D14813)&gt;0,"Yes","No"),"")</f>
        <v/>
      </c>
      <c r="C14813" s="11"/>
      <c r="D14813" s="11"/>
      <c r="E14813" s="11"/>
      <c r="F14813" s="11"/>
      <c r="G14813" s="11"/>
      <c r="H14813" s="11"/>
      <c r="I14813" s="15"/>
    </row>
    <row r="14814" spans="1:9" ht="16.5">
      <c r="A14814" s="10" t="b">
        <v>0</v>
      </c>
      <c r="B14814" s="11" t="str">
        <f>IF(D14814&lt;&gt;"",IF(COUNTIF('USPTO TMs'!A:A,D14814)&gt;0,"Yes","No"),"")</f>
        <v/>
      </c>
      <c r="C14814" s="11"/>
      <c r="D14814" s="11"/>
      <c r="E14814" s="11"/>
      <c r="F14814" s="11"/>
      <c r="G14814" s="11"/>
      <c r="H14814" s="11"/>
      <c r="I14814" s="15"/>
    </row>
    <row r="14815" spans="1:9" ht="16.5">
      <c r="A14815" s="10" t="b">
        <v>0</v>
      </c>
      <c r="B14815" s="11" t="str">
        <f>IF(D14815&lt;&gt;"",IF(COUNTIF('USPTO TMs'!A:A,D14815)&gt;0,"Yes","No"),"")</f>
        <v/>
      </c>
      <c r="C14815" s="11"/>
      <c r="D14815" s="11"/>
      <c r="E14815" s="11"/>
      <c r="F14815" s="11"/>
      <c r="G14815" s="11"/>
      <c r="H14815" s="11"/>
      <c r="I14815" s="15"/>
    </row>
    <row r="14816" spans="1:9" ht="16.5">
      <c r="A14816" s="10" t="b">
        <v>0</v>
      </c>
      <c r="B14816" s="11" t="str">
        <f>IF(D14816&lt;&gt;"",IF(COUNTIF('USPTO TMs'!A:A,D14816)&gt;0,"Yes","No"),"")</f>
        <v/>
      </c>
      <c r="C14816" s="11"/>
      <c r="D14816" s="11"/>
      <c r="E14816" s="11"/>
      <c r="F14816" s="11"/>
      <c r="G14816" s="11"/>
      <c r="H14816" s="11"/>
      <c r="I14816" s="15"/>
    </row>
    <row r="14817" spans="1:9" ht="16.5">
      <c r="A14817" s="10" t="b">
        <v>0</v>
      </c>
      <c r="B14817" s="11" t="str">
        <f>IF(D14817&lt;&gt;"",IF(COUNTIF('USPTO TMs'!A:A,D14817)&gt;0,"Yes","No"),"")</f>
        <v/>
      </c>
      <c r="C14817" s="11"/>
      <c r="D14817" s="11"/>
      <c r="E14817" s="11"/>
      <c r="F14817" s="11"/>
      <c r="G14817" s="11"/>
      <c r="H14817" s="11"/>
      <c r="I14817" s="15"/>
    </row>
    <row r="14818" spans="1:9" ht="16.5">
      <c r="A14818" s="10" t="b">
        <v>0</v>
      </c>
      <c r="B14818" s="11" t="str">
        <f>IF(D14818&lt;&gt;"",IF(COUNTIF('USPTO TMs'!A:A,D14818)&gt;0,"Yes","No"),"")</f>
        <v/>
      </c>
      <c r="C14818" s="11"/>
      <c r="D14818" s="11"/>
      <c r="E14818" s="11"/>
      <c r="F14818" s="11"/>
      <c r="G14818" s="11"/>
      <c r="H14818" s="11"/>
      <c r="I14818" s="15"/>
    </row>
    <row r="14819" spans="1:9" ht="16.5">
      <c r="A14819" s="10" t="b">
        <v>0</v>
      </c>
      <c r="B14819" s="11" t="str">
        <f>IF(D14819&lt;&gt;"",IF(COUNTIF('USPTO TMs'!A:A,D14819)&gt;0,"Yes","No"),"")</f>
        <v/>
      </c>
      <c r="C14819" s="11"/>
      <c r="D14819" s="11"/>
      <c r="E14819" s="11"/>
      <c r="F14819" s="11"/>
      <c r="G14819" s="11"/>
      <c r="H14819" s="11"/>
      <c r="I14819" s="15"/>
    </row>
    <row r="14820" spans="1:9" ht="16.5">
      <c r="A14820" s="10" t="b">
        <v>0</v>
      </c>
      <c r="B14820" s="11" t="str">
        <f>IF(D14820&lt;&gt;"",IF(COUNTIF('USPTO TMs'!A:A,D14820)&gt;0,"Yes","No"),"")</f>
        <v/>
      </c>
      <c r="C14820" s="11"/>
      <c r="D14820" s="11"/>
      <c r="E14820" s="11"/>
      <c r="F14820" s="11"/>
      <c r="G14820" s="11"/>
      <c r="H14820" s="11"/>
      <c r="I14820" s="15"/>
    </row>
    <row r="14821" spans="1:9" ht="16.5">
      <c r="A14821" s="10" t="b">
        <v>0</v>
      </c>
      <c r="B14821" s="11" t="str">
        <f>IF(D14821&lt;&gt;"",IF(COUNTIF('USPTO TMs'!A:A,D14821)&gt;0,"Yes","No"),"")</f>
        <v/>
      </c>
      <c r="C14821" s="11"/>
      <c r="D14821" s="11"/>
      <c r="E14821" s="11"/>
      <c r="F14821" s="11"/>
      <c r="G14821" s="11"/>
      <c r="H14821" s="11"/>
      <c r="I14821" s="15"/>
    </row>
    <row r="14822" spans="1:9" ht="16.5">
      <c r="A14822" s="10" t="b">
        <v>0</v>
      </c>
      <c r="B14822" s="11" t="str">
        <f>IF(D14822&lt;&gt;"",IF(COUNTIF('USPTO TMs'!A:A,D14822)&gt;0,"Yes","No"),"")</f>
        <v/>
      </c>
      <c r="C14822" s="11"/>
      <c r="D14822" s="11"/>
      <c r="E14822" s="11"/>
      <c r="F14822" s="11"/>
      <c r="G14822" s="11"/>
      <c r="H14822" s="11"/>
      <c r="I14822" s="15"/>
    </row>
    <row r="14823" spans="1:9" ht="16.5">
      <c r="A14823" s="10" t="b">
        <v>0</v>
      </c>
      <c r="B14823" s="11" t="str">
        <f>IF(D14823&lt;&gt;"",IF(COUNTIF('USPTO TMs'!A:A,D14823)&gt;0,"Yes","No"),"")</f>
        <v/>
      </c>
      <c r="C14823" s="11"/>
      <c r="D14823" s="11"/>
      <c r="E14823" s="11"/>
      <c r="F14823" s="11"/>
      <c r="G14823" s="11"/>
      <c r="H14823" s="11"/>
      <c r="I14823" s="15"/>
    </row>
    <row r="14824" spans="1:9" ht="16.5">
      <c r="A14824" s="10" t="b">
        <v>0</v>
      </c>
      <c r="B14824" s="11" t="str">
        <f>IF(D14824&lt;&gt;"",IF(COUNTIF('USPTO TMs'!A:A,D14824)&gt;0,"Yes","No"),"")</f>
        <v/>
      </c>
      <c r="C14824" s="11"/>
      <c r="D14824" s="11"/>
      <c r="E14824" s="11"/>
      <c r="F14824" s="11"/>
      <c r="G14824" s="11"/>
      <c r="H14824" s="11"/>
      <c r="I14824" s="15"/>
    </row>
    <row r="14825" spans="1:9" ht="16.5">
      <c r="A14825" s="10" t="b">
        <v>0</v>
      </c>
      <c r="B14825" s="11" t="str">
        <f>IF(D14825&lt;&gt;"",IF(COUNTIF('USPTO TMs'!A:A,D14825)&gt;0,"Yes","No"),"")</f>
        <v/>
      </c>
      <c r="C14825" s="11"/>
      <c r="D14825" s="11"/>
      <c r="E14825" s="11"/>
      <c r="F14825" s="11"/>
      <c r="G14825" s="11"/>
      <c r="H14825" s="11"/>
      <c r="I14825" s="15"/>
    </row>
    <row r="14826" spans="1:9" ht="16.5">
      <c r="A14826" s="10" t="b">
        <v>0</v>
      </c>
      <c r="B14826" s="11" t="str">
        <f>IF(D14826&lt;&gt;"",IF(COUNTIF('USPTO TMs'!A:A,D14826)&gt;0,"Yes","No"),"")</f>
        <v/>
      </c>
      <c r="C14826" s="11"/>
      <c r="D14826" s="11"/>
      <c r="E14826" s="11"/>
      <c r="F14826" s="11"/>
      <c r="G14826" s="11"/>
      <c r="H14826" s="11"/>
      <c r="I14826" s="15"/>
    </row>
    <row r="14827" spans="1:9" ht="16.5">
      <c r="A14827" s="10" t="b">
        <v>0</v>
      </c>
      <c r="B14827" s="11" t="str">
        <f>IF(D14827&lt;&gt;"",IF(COUNTIF('USPTO TMs'!A:A,D14827)&gt;0,"Yes","No"),"")</f>
        <v/>
      </c>
      <c r="C14827" s="11"/>
      <c r="D14827" s="11"/>
      <c r="E14827" s="11"/>
      <c r="F14827" s="11"/>
      <c r="G14827" s="11"/>
      <c r="H14827" s="11"/>
      <c r="I14827" s="15"/>
    </row>
    <row r="14828" spans="1:9" ht="16.5">
      <c r="A14828" s="10" t="b">
        <v>0</v>
      </c>
      <c r="B14828" s="11" t="str">
        <f>IF(D14828&lt;&gt;"",IF(COUNTIF('USPTO TMs'!A:A,D14828)&gt;0,"Yes","No"),"")</f>
        <v/>
      </c>
      <c r="C14828" s="11"/>
      <c r="D14828" s="11"/>
      <c r="E14828" s="11"/>
      <c r="F14828" s="11"/>
      <c r="G14828" s="11"/>
      <c r="H14828" s="11"/>
      <c r="I14828" s="15"/>
    </row>
    <row r="14829" spans="1:9" ht="16.5">
      <c r="A14829" s="10" t="b">
        <v>0</v>
      </c>
      <c r="B14829" s="11" t="str">
        <f>IF(D14829&lt;&gt;"",IF(COUNTIF('USPTO TMs'!A:A,D14829)&gt;0,"Yes","No"),"")</f>
        <v/>
      </c>
      <c r="C14829" s="11"/>
      <c r="D14829" s="11"/>
      <c r="E14829" s="11"/>
      <c r="F14829" s="11"/>
      <c r="G14829" s="11"/>
      <c r="H14829" s="11"/>
      <c r="I14829" s="15"/>
    </row>
    <row r="14830" spans="1:9" ht="16.5">
      <c r="A14830" s="10" t="b">
        <v>0</v>
      </c>
      <c r="B14830" s="11" t="str">
        <f>IF(D14830&lt;&gt;"",IF(COUNTIF('USPTO TMs'!A:A,D14830)&gt;0,"Yes","No"),"")</f>
        <v/>
      </c>
      <c r="C14830" s="11"/>
      <c r="D14830" s="11"/>
      <c r="E14830" s="11"/>
      <c r="F14830" s="11"/>
      <c r="G14830" s="11"/>
      <c r="H14830" s="11"/>
      <c r="I14830" s="15"/>
    </row>
    <row r="14831" spans="1:9" ht="16.5">
      <c r="A14831" s="10" t="b">
        <v>0</v>
      </c>
      <c r="B14831" s="11" t="str">
        <f>IF(D14831&lt;&gt;"",IF(COUNTIF('USPTO TMs'!A:A,D14831)&gt;0,"Yes","No"),"")</f>
        <v/>
      </c>
      <c r="C14831" s="11"/>
      <c r="D14831" s="11"/>
      <c r="E14831" s="11"/>
      <c r="F14831" s="11"/>
      <c r="G14831" s="11"/>
      <c r="H14831" s="11"/>
      <c r="I14831" s="15"/>
    </row>
    <row r="14832" spans="1:9" ht="16.5">
      <c r="A14832" s="10" t="b">
        <v>0</v>
      </c>
      <c r="B14832" s="11" t="str">
        <f>IF(D14832&lt;&gt;"",IF(COUNTIF('USPTO TMs'!A:A,D14832)&gt;0,"Yes","No"),"")</f>
        <v/>
      </c>
      <c r="C14832" s="11"/>
      <c r="D14832" s="11"/>
      <c r="E14832" s="11"/>
      <c r="F14832" s="11"/>
      <c r="G14832" s="11"/>
      <c r="H14832" s="11"/>
      <c r="I14832" s="15"/>
    </row>
    <row r="14833" spans="1:9" ht="16.5">
      <c r="A14833" s="10" t="b">
        <v>0</v>
      </c>
      <c r="B14833" s="11" t="str">
        <f>IF(D14833&lt;&gt;"",IF(COUNTIF('USPTO TMs'!A:A,D14833)&gt;0,"Yes","No"),"")</f>
        <v/>
      </c>
      <c r="C14833" s="11"/>
      <c r="D14833" s="11"/>
      <c r="E14833" s="11"/>
      <c r="F14833" s="11"/>
      <c r="G14833" s="11"/>
      <c r="H14833" s="11"/>
      <c r="I14833" s="15"/>
    </row>
    <row r="14834" spans="1:9" ht="16.5">
      <c r="A14834" s="10" t="b">
        <v>0</v>
      </c>
      <c r="B14834" s="11" t="str">
        <f>IF(D14834&lt;&gt;"",IF(COUNTIF('USPTO TMs'!A:A,D14834)&gt;0,"Yes","No"),"")</f>
        <v/>
      </c>
      <c r="C14834" s="11"/>
      <c r="D14834" s="11"/>
      <c r="E14834" s="11"/>
      <c r="F14834" s="11"/>
      <c r="G14834" s="11"/>
      <c r="H14834" s="11"/>
      <c r="I14834" s="15"/>
    </row>
    <row r="14835" spans="1:9" ht="16.5">
      <c r="A14835" s="10" t="b">
        <v>0</v>
      </c>
      <c r="B14835" s="11" t="str">
        <f>IF(D14835&lt;&gt;"",IF(COUNTIF('USPTO TMs'!A:A,D14835)&gt;0,"Yes","No"),"")</f>
        <v/>
      </c>
      <c r="C14835" s="11"/>
      <c r="D14835" s="11"/>
      <c r="E14835" s="11"/>
      <c r="F14835" s="11"/>
      <c r="G14835" s="11"/>
      <c r="H14835" s="11"/>
      <c r="I14835" s="15"/>
    </row>
    <row r="14836" spans="1:9" ht="16.5">
      <c r="A14836" s="10" t="b">
        <v>0</v>
      </c>
      <c r="B14836" s="11" t="str">
        <f>IF(D14836&lt;&gt;"",IF(COUNTIF('USPTO TMs'!A:A,D14836)&gt;0,"Yes","No"),"")</f>
        <v/>
      </c>
      <c r="C14836" s="11"/>
      <c r="D14836" s="11"/>
      <c r="E14836" s="11"/>
      <c r="F14836" s="11"/>
      <c r="G14836" s="11"/>
      <c r="H14836" s="11"/>
      <c r="I14836" s="15"/>
    </row>
    <row r="14837" spans="1:9" ht="16.5">
      <c r="A14837" s="10" t="b">
        <v>0</v>
      </c>
      <c r="B14837" s="11" t="str">
        <f>IF(D14837&lt;&gt;"",IF(COUNTIF('USPTO TMs'!A:A,D14837)&gt;0,"Yes","No"),"")</f>
        <v/>
      </c>
      <c r="C14837" s="11"/>
      <c r="D14837" s="11"/>
      <c r="E14837" s="11"/>
      <c r="F14837" s="11"/>
      <c r="G14837" s="11"/>
      <c r="H14837" s="11"/>
      <c r="I14837" s="15"/>
    </row>
    <row r="14838" spans="1:9" ht="16.5">
      <c r="A14838" s="10" t="b">
        <v>0</v>
      </c>
      <c r="B14838" s="11" t="str">
        <f>IF(D14838&lt;&gt;"",IF(COUNTIF('USPTO TMs'!A:A,D14838)&gt;0,"Yes","No"),"")</f>
        <v/>
      </c>
      <c r="C14838" s="11"/>
      <c r="D14838" s="11"/>
      <c r="E14838" s="11"/>
      <c r="F14838" s="11"/>
      <c r="G14838" s="11"/>
      <c r="H14838" s="11"/>
      <c r="I14838" s="15"/>
    </row>
    <row r="14839" spans="1:9" ht="16.5">
      <c r="A14839" s="10" t="b">
        <v>0</v>
      </c>
      <c r="B14839" s="11" t="str">
        <f>IF(D14839&lt;&gt;"",IF(COUNTIF('USPTO TMs'!A:A,D14839)&gt;0,"Yes","No"),"")</f>
        <v/>
      </c>
      <c r="C14839" s="11"/>
      <c r="D14839" s="11"/>
      <c r="E14839" s="11"/>
      <c r="F14839" s="11"/>
      <c r="G14839" s="11"/>
      <c r="H14839" s="11"/>
      <c r="I14839" s="15"/>
    </row>
    <row r="14840" spans="1:9" ht="16.5">
      <c r="A14840" s="10" t="b">
        <v>0</v>
      </c>
      <c r="B14840" s="11" t="str">
        <f>IF(D14840&lt;&gt;"",IF(COUNTIF('USPTO TMs'!A:A,D14840)&gt;0,"Yes","No"),"")</f>
        <v/>
      </c>
      <c r="C14840" s="11"/>
      <c r="D14840" s="11"/>
      <c r="E14840" s="11"/>
      <c r="F14840" s="11"/>
      <c r="G14840" s="11"/>
      <c r="H14840" s="11"/>
      <c r="I14840" s="15"/>
    </row>
    <row r="14841" spans="1:9" ht="16.5">
      <c r="A14841" s="10" t="b">
        <v>0</v>
      </c>
      <c r="B14841" s="11" t="str">
        <f>IF(D14841&lt;&gt;"",IF(COUNTIF('USPTO TMs'!A:A,D14841)&gt;0,"Yes","No"),"")</f>
        <v/>
      </c>
      <c r="C14841" s="11"/>
      <c r="D14841" s="11"/>
      <c r="E14841" s="11"/>
      <c r="F14841" s="11"/>
      <c r="G14841" s="11"/>
      <c r="H14841" s="11"/>
      <c r="I14841" s="15"/>
    </row>
    <row r="14842" spans="1:9" ht="16.5">
      <c r="A14842" s="10" t="b">
        <v>0</v>
      </c>
      <c r="B14842" s="11" t="str">
        <f>IF(D14842&lt;&gt;"",IF(COUNTIF('USPTO TMs'!A:A,D14842)&gt;0,"Yes","No"),"")</f>
        <v/>
      </c>
      <c r="C14842" s="11"/>
      <c r="D14842" s="11"/>
      <c r="E14842" s="11"/>
      <c r="F14842" s="11"/>
      <c r="G14842" s="11"/>
      <c r="H14842" s="11"/>
      <c r="I14842" s="15"/>
    </row>
    <row r="14843" spans="1:9" ht="16.5">
      <c r="A14843" s="10" t="b">
        <v>0</v>
      </c>
      <c r="B14843" s="11" t="str">
        <f>IF(D14843&lt;&gt;"",IF(COUNTIF('USPTO TMs'!A:A,D14843)&gt;0,"Yes","No"),"")</f>
        <v/>
      </c>
      <c r="C14843" s="11"/>
      <c r="D14843" s="11"/>
      <c r="E14843" s="11"/>
      <c r="F14843" s="11"/>
      <c r="G14843" s="11"/>
      <c r="H14843" s="11"/>
      <c r="I14843" s="15"/>
    </row>
    <row r="14844" spans="1:9" ht="16.5">
      <c r="A14844" s="10" t="b">
        <v>0</v>
      </c>
      <c r="B14844" s="11" t="str">
        <f>IF(D14844&lt;&gt;"",IF(COUNTIF('USPTO TMs'!A:A,D14844)&gt;0,"Yes","No"),"")</f>
        <v/>
      </c>
      <c r="C14844" s="11"/>
      <c r="D14844" s="11"/>
      <c r="E14844" s="11"/>
      <c r="F14844" s="11"/>
      <c r="G14844" s="11"/>
      <c r="H14844" s="11"/>
      <c r="I14844" s="15"/>
    </row>
    <row r="14845" spans="1:9" ht="16.5">
      <c r="A14845" s="10" t="b">
        <v>0</v>
      </c>
      <c r="B14845" s="11" t="str">
        <f>IF(D14845&lt;&gt;"",IF(COUNTIF('USPTO TMs'!A:A,D14845)&gt;0,"Yes","No"),"")</f>
        <v/>
      </c>
      <c r="C14845" s="11"/>
      <c r="D14845" s="11"/>
      <c r="E14845" s="11"/>
      <c r="F14845" s="11"/>
      <c r="G14845" s="11"/>
      <c r="H14845" s="11"/>
      <c r="I14845" s="15"/>
    </row>
    <row r="14846" spans="1:9" ht="16.5">
      <c r="A14846" s="10" t="b">
        <v>0</v>
      </c>
      <c r="B14846" s="11" t="str">
        <f>IF(D14846&lt;&gt;"",IF(COUNTIF('USPTO TMs'!A:A,D14846)&gt;0,"Yes","No"),"")</f>
        <v/>
      </c>
      <c r="C14846" s="11"/>
      <c r="D14846" s="11"/>
      <c r="E14846" s="11"/>
      <c r="F14846" s="11"/>
      <c r="G14846" s="11"/>
      <c r="H14846" s="11"/>
      <c r="I14846" s="15"/>
    </row>
    <row r="14847" spans="1:9" ht="16.5">
      <c r="A14847" s="10" t="b">
        <v>0</v>
      </c>
      <c r="B14847" s="11" t="str">
        <f>IF(D14847&lt;&gt;"",IF(COUNTIF('USPTO TMs'!A:A,D14847)&gt;0,"Yes","No"),"")</f>
        <v/>
      </c>
      <c r="C14847" s="11"/>
      <c r="D14847" s="11"/>
      <c r="E14847" s="11"/>
      <c r="F14847" s="11"/>
      <c r="G14847" s="11"/>
      <c r="H14847" s="11"/>
      <c r="I14847" s="15"/>
    </row>
    <row r="14848" spans="1:9" ht="16.5">
      <c r="A14848" s="10" t="b">
        <v>0</v>
      </c>
      <c r="B14848" s="11" t="str">
        <f>IF(D14848&lt;&gt;"",IF(COUNTIF('USPTO TMs'!A:A,D14848)&gt;0,"Yes","No"),"")</f>
        <v/>
      </c>
      <c r="C14848" s="11"/>
      <c r="D14848" s="11"/>
      <c r="E14848" s="11"/>
      <c r="F14848" s="11"/>
      <c r="G14848" s="11"/>
      <c r="H14848" s="11"/>
      <c r="I14848" s="15"/>
    </row>
    <row r="14849" spans="1:9" ht="16.5">
      <c r="A14849" s="10" t="b">
        <v>0</v>
      </c>
      <c r="B14849" s="11" t="str">
        <f>IF(D14849&lt;&gt;"",IF(COUNTIF('USPTO TMs'!A:A,D14849)&gt;0,"Yes","No"),"")</f>
        <v/>
      </c>
      <c r="C14849" s="11"/>
      <c r="D14849" s="11"/>
      <c r="E14849" s="11"/>
      <c r="F14849" s="11"/>
      <c r="G14849" s="11"/>
      <c r="H14849" s="11"/>
      <c r="I14849" s="15"/>
    </row>
    <row r="14850" spans="1:9" ht="16.5">
      <c r="A14850" s="10" t="b">
        <v>0</v>
      </c>
      <c r="B14850" s="11" t="str">
        <f>IF(D14850&lt;&gt;"",IF(COUNTIF('USPTO TMs'!A:A,D14850)&gt;0,"Yes","No"),"")</f>
        <v/>
      </c>
      <c r="C14850" s="11"/>
      <c r="D14850" s="11"/>
      <c r="E14850" s="11"/>
      <c r="F14850" s="11"/>
      <c r="G14850" s="11"/>
      <c r="H14850" s="11"/>
      <c r="I14850" s="15"/>
    </row>
    <row r="14851" spans="1:9" ht="16.5">
      <c r="A14851" s="10" t="b">
        <v>0</v>
      </c>
      <c r="B14851" s="11" t="str">
        <f>IF(D14851&lt;&gt;"",IF(COUNTIF('USPTO TMs'!A:A,D14851)&gt;0,"Yes","No"),"")</f>
        <v/>
      </c>
      <c r="C14851" s="11"/>
      <c r="D14851" s="11"/>
      <c r="E14851" s="11"/>
      <c r="F14851" s="11"/>
      <c r="G14851" s="11"/>
      <c r="H14851" s="11"/>
      <c r="I14851" s="15"/>
    </row>
    <row r="14852" spans="1:9" ht="16.5">
      <c r="A14852" s="10" t="b">
        <v>0</v>
      </c>
      <c r="B14852" s="11" t="str">
        <f>IF(D14852&lt;&gt;"",IF(COUNTIF('USPTO TMs'!A:A,D14852)&gt;0,"Yes","No"),"")</f>
        <v/>
      </c>
      <c r="C14852" s="11"/>
      <c r="D14852" s="11"/>
      <c r="E14852" s="11"/>
      <c r="F14852" s="11"/>
      <c r="G14852" s="11"/>
      <c r="H14852" s="11"/>
      <c r="I14852" s="15"/>
    </row>
    <row r="14853" spans="1:9" ht="16.5">
      <c r="A14853" s="10" t="b">
        <v>0</v>
      </c>
      <c r="B14853" s="11" t="str">
        <f>IF(D14853&lt;&gt;"",IF(COUNTIF('USPTO TMs'!A:A,D14853)&gt;0,"Yes","No"),"")</f>
        <v/>
      </c>
      <c r="C14853" s="11"/>
      <c r="D14853" s="11"/>
      <c r="E14853" s="11"/>
      <c r="F14853" s="11"/>
      <c r="G14853" s="11"/>
      <c r="H14853" s="11"/>
      <c r="I14853" s="15"/>
    </row>
    <row r="14854" spans="1:9" ht="16.5">
      <c r="A14854" s="10" t="b">
        <v>0</v>
      </c>
      <c r="B14854" s="11" t="str">
        <f>IF(D14854&lt;&gt;"",IF(COUNTIF('USPTO TMs'!A:A,D14854)&gt;0,"Yes","No"),"")</f>
        <v/>
      </c>
      <c r="C14854" s="11"/>
      <c r="D14854" s="11"/>
      <c r="E14854" s="11"/>
      <c r="F14854" s="11"/>
      <c r="G14854" s="11"/>
      <c r="H14854" s="11"/>
      <c r="I14854" s="15"/>
    </row>
    <row r="14855" spans="1:9" ht="16.5">
      <c r="A14855" s="10" t="b">
        <v>0</v>
      </c>
      <c r="B14855" s="11" t="str">
        <f>IF(D14855&lt;&gt;"",IF(COUNTIF('USPTO TMs'!A:A,D14855)&gt;0,"Yes","No"),"")</f>
        <v/>
      </c>
      <c r="C14855" s="11"/>
      <c r="D14855" s="11"/>
      <c r="E14855" s="11"/>
      <c r="F14855" s="11"/>
      <c r="G14855" s="11"/>
      <c r="H14855" s="11"/>
      <c r="I14855" s="15"/>
    </row>
    <row r="14856" spans="1:9" ht="16.5">
      <c r="A14856" s="10" t="b">
        <v>0</v>
      </c>
      <c r="B14856" s="11" t="str">
        <f>IF(D14856&lt;&gt;"",IF(COUNTIF('USPTO TMs'!A:A,D14856)&gt;0,"Yes","No"),"")</f>
        <v/>
      </c>
      <c r="C14856" s="11"/>
      <c r="D14856" s="11"/>
      <c r="E14856" s="11"/>
      <c r="F14856" s="11"/>
      <c r="G14856" s="11"/>
      <c r="H14856" s="11"/>
      <c r="I14856" s="15"/>
    </row>
    <row r="14857" spans="1:9" ht="16.5">
      <c r="A14857" s="10" t="b">
        <v>0</v>
      </c>
      <c r="B14857" s="11" t="str">
        <f>IF(D14857&lt;&gt;"",IF(COUNTIF('USPTO TMs'!A:A,D14857)&gt;0,"Yes","No"),"")</f>
        <v/>
      </c>
      <c r="C14857" s="11"/>
      <c r="D14857" s="11"/>
      <c r="E14857" s="11"/>
      <c r="F14857" s="11"/>
      <c r="G14857" s="11"/>
      <c r="H14857" s="11"/>
      <c r="I14857" s="15"/>
    </row>
    <row r="14858" spans="1:9" ht="16.5">
      <c r="A14858" s="10" t="b">
        <v>0</v>
      </c>
      <c r="B14858" s="11" t="str">
        <f>IF(D14858&lt;&gt;"",IF(COUNTIF('USPTO TMs'!A:A,D14858)&gt;0,"Yes","No"),"")</f>
        <v/>
      </c>
      <c r="C14858" s="11"/>
      <c r="D14858" s="11"/>
      <c r="E14858" s="11"/>
      <c r="F14858" s="11"/>
      <c r="G14858" s="11"/>
      <c r="H14858" s="11"/>
      <c r="I14858" s="15"/>
    </row>
    <row r="14859" spans="1:9" ht="16.5">
      <c r="A14859" s="10" t="b">
        <v>0</v>
      </c>
      <c r="B14859" s="11" t="str">
        <f>IF(D14859&lt;&gt;"",IF(COUNTIF('USPTO TMs'!A:A,D14859)&gt;0,"Yes","No"),"")</f>
        <v/>
      </c>
      <c r="C14859" s="11"/>
      <c r="D14859" s="11"/>
      <c r="E14859" s="11"/>
      <c r="F14859" s="11"/>
      <c r="G14859" s="11"/>
      <c r="H14859" s="11"/>
      <c r="I14859" s="15"/>
    </row>
    <row r="14860" spans="1:9" ht="16.5">
      <c r="A14860" s="10" t="b">
        <v>0</v>
      </c>
      <c r="B14860" s="11" t="str">
        <f>IF(D14860&lt;&gt;"",IF(COUNTIF('USPTO TMs'!A:A,D14860)&gt;0,"Yes","No"),"")</f>
        <v/>
      </c>
      <c r="C14860" s="11"/>
      <c r="D14860" s="11"/>
      <c r="E14860" s="11"/>
      <c r="F14860" s="11"/>
      <c r="G14860" s="11"/>
      <c r="H14860" s="11"/>
      <c r="I14860" s="15"/>
    </row>
    <row r="14861" spans="1:9" ht="16.5">
      <c r="A14861" s="10" t="b">
        <v>0</v>
      </c>
      <c r="B14861" s="11" t="str">
        <f>IF(D14861&lt;&gt;"",IF(COUNTIF('USPTO TMs'!A:A,D14861)&gt;0,"Yes","No"),"")</f>
        <v/>
      </c>
      <c r="C14861" s="11"/>
      <c r="D14861" s="11"/>
      <c r="E14861" s="11"/>
      <c r="F14861" s="11"/>
      <c r="G14861" s="11"/>
      <c r="H14861" s="11"/>
      <c r="I14861" s="15"/>
    </row>
    <row r="14862" spans="1:9" ht="16.5">
      <c r="A14862" s="10" t="b">
        <v>0</v>
      </c>
      <c r="B14862" s="11" t="str">
        <f>IF(D14862&lt;&gt;"",IF(COUNTIF('USPTO TMs'!A:A,D14862)&gt;0,"Yes","No"),"")</f>
        <v/>
      </c>
      <c r="C14862" s="11"/>
      <c r="D14862" s="11"/>
      <c r="E14862" s="11"/>
      <c r="F14862" s="11"/>
      <c r="G14862" s="11"/>
      <c r="H14862" s="11"/>
      <c r="I14862" s="15"/>
    </row>
    <row r="14863" spans="1:9" ht="16.5">
      <c r="A14863" s="10" t="b">
        <v>0</v>
      </c>
      <c r="B14863" s="11" t="str">
        <f>IF(D14863&lt;&gt;"",IF(COUNTIF('USPTO TMs'!A:A,D14863)&gt;0,"Yes","No"),"")</f>
        <v/>
      </c>
      <c r="C14863" s="11"/>
      <c r="D14863" s="11"/>
      <c r="E14863" s="11"/>
      <c r="F14863" s="11"/>
      <c r="G14863" s="11"/>
      <c r="H14863" s="11"/>
      <c r="I14863" s="15"/>
    </row>
    <row r="14864" spans="1:9" ht="16.5">
      <c r="A14864" s="10" t="b">
        <v>0</v>
      </c>
      <c r="B14864" s="11" t="str">
        <f>IF(D14864&lt;&gt;"",IF(COUNTIF('USPTO TMs'!A:A,D14864)&gt;0,"Yes","No"),"")</f>
        <v/>
      </c>
      <c r="C14864" s="11"/>
      <c r="D14864" s="11"/>
      <c r="E14864" s="11"/>
      <c r="F14864" s="11"/>
      <c r="G14864" s="11"/>
      <c r="H14864" s="11"/>
      <c r="I14864" s="15"/>
    </row>
    <row r="14865" spans="1:9" ht="16.5">
      <c r="A14865" s="10" t="b">
        <v>0</v>
      </c>
      <c r="B14865" s="11" t="str">
        <f>IF(D14865&lt;&gt;"",IF(COUNTIF('USPTO TMs'!A:A,D14865)&gt;0,"Yes","No"),"")</f>
        <v/>
      </c>
      <c r="C14865" s="11"/>
      <c r="D14865" s="11"/>
      <c r="E14865" s="11"/>
      <c r="F14865" s="11"/>
      <c r="G14865" s="11"/>
      <c r="H14865" s="11"/>
      <c r="I14865" s="15"/>
    </row>
    <row r="14866" spans="1:9" ht="16.5">
      <c r="A14866" s="10" t="b">
        <v>0</v>
      </c>
      <c r="B14866" s="11" t="str">
        <f>IF(D14866&lt;&gt;"",IF(COUNTIF('USPTO TMs'!A:A,D14866)&gt;0,"Yes","No"),"")</f>
        <v/>
      </c>
      <c r="C14866" s="11"/>
      <c r="D14866" s="11"/>
      <c r="E14866" s="11"/>
      <c r="F14866" s="11"/>
      <c r="G14866" s="11"/>
      <c r="H14866" s="11"/>
      <c r="I14866" s="15"/>
    </row>
    <row r="14867" spans="1:9" ht="16.5">
      <c r="A14867" s="10" t="b">
        <v>0</v>
      </c>
      <c r="B14867" s="11" t="str">
        <f>IF(D14867&lt;&gt;"",IF(COUNTIF('USPTO TMs'!A:A,D14867)&gt;0,"Yes","No"),"")</f>
        <v/>
      </c>
      <c r="C14867" s="11"/>
      <c r="D14867" s="11"/>
      <c r="E14867" s="11"/>
      <c r="F14867" s="11"/>
      <c r="G14867" s="11"/>
      <c r="H14867" s="11"/>
      <c r="I14867" s="15"/>
    </row>
    <row r="14868" spans="1:9" ht="16.5">
      <c r="A14868" s="10" t="b">
        <v>0</v>
      </c>
      <c r="B14868" s="11" t="str">
        <f>IF(D14868&lt;&gt;"",IF(COUNTIF('USPTO TMs'!A:A,D14868)&gt;0,"Yes","No"),"")</f>
        <v/>
      </c>
      <c r="C14868" s="11"/>
      <c r="D14868" s="11"/>
      <c r="E14868" s="11"/>
      <c r="F14868" s="11"/>
      <c r="G14868" s="11"/>
      <c r="H14868" s="11"/>
      <c r="I14868" s="15"/>
    </row>
    <row r="14869" spans="1:9" ht="16.5">
      <c r="A14869" s="10" t="b">
        <v>0</v>
      </c>
      <c r="B14869" s="11" t="str">
        <f>IF(D14869&lt;&gt;"",IF(COUNTIF('USPTO TMs'!A:A,D14869)&gt;0,"Yes","No"),"")</f>
        <v/>
      </c>
      <c r="C14869" s="11"/>
      <c r="D14869" s="11"/>
      <c r="E14869" s="11"/>
      <c r="F14869" s="11"/>
      <c r="G14869" s="11"/>
      <c r="H14869" s="11"/>
      <c r="I14869" s="15"/>
    </row>
    <row r="14870" spans="1:9" ht="16.5">
      <c r="A14870" s="10" t="b">
        <v>0</v>
      </c>
      <c r="B14870" s="11" t="str">
        <f>IF(D14870&lt;&gt;"",IF(COUNTIF('USPTO TMs'!A:A,D14870)&gt;0,"Yes","No"),"")</f>
        <v/>
      </c>
      <c r="C14870" s="11"/>
      <c r="D14870" s="11"/>
      <c r="E14870" s="11"/>
      <c r="F14870" s="11"/>
      <c r="G14870" s="11"/>
      <c r="H14870" s="11"/>
      <c r="I14870" s="15"/>
    </row>
    <row r="14871" spans="1:9" ht="16.5">
      <c r="A14871" s="10" t="b">
        <v>0</v>
      </c>
      <c r="B14871" s="11" t="str">
        <f>IF(D14871&lt;&gt;"",IF(COUNTIF('USPTO TMs'!A:A,D14871)&gt;0,"Yes","No"),"")</f>
        <v/>
      </c>
      <c r="C14871" s="11"/>
      <c r="D14871" s="11"/>
      <c r="E14871" s="11"/>
      <c r="F14871" s="11"/>
      <c r="G14871" s="11"/>
      <c r="H14871" s="11"/>
      <c r="I14871" s="15"/>
    </row>
    <row r="14872" spans="1:9" ht="16.5">
      <c r="A14872" s="10" t="b">
        <v>0</v>
      </c>
      <c r="B14872" s="11" t="str">
        <f>IF(D14872&lt;&gt;"",IF(COUNTIF('USPTO TMs'!A:A,D14872)&gt;0,"Yes","No"),"")</f>
        <v/>
      </c>
      <c r="C14872" s="11"/>
      <c r="D14872" s="11"/>
      <c r="E14872" s="11"/>
      <c r="F14872" s="11"/>
      <c r="G14872" s="11"/>
      <c r="H14872" s="11"/>
      <c r="I14872" s="15"/>
    </row>
    <row r="14873" spans="1:9" ht="16.5">
      <c r="A14873" s="10" t="b">
        <v>0</v>
      </c>
      <c r="B14873" s="11" t="str">
        <f>IF(D14873&lt;&gt;"",IF(COUNTIF('USPTO TMs'!A:A,D14873)&gt;0,"Yes","No"),"")</f>
        <v/>
      </c>
      <c r="C14873" s="11"/>
      <c r="D14873" s="11"/>
      <c r="E14873" s="11"/>
      <c r="F14873" s="11"/>
      <c r="G14873" s="11"/>
      <c r="H14873" s="11"/>
      <c r="I14873" s="15"/>
    </row>
    <row r="14874" spans="1:9" ht="16.5">
      <c r="A14874" s="10" t="b">
        <v>0</v>
      </c>
      <c r="B14874" s="11" t="str">
        <f>IF(D14874&lt;&gt;"",IF(COUNTIF('USPTO TMs'!A:A,D14874)&gt;0,"Yes","No"),"")</f>
        <v/>
      </c>
      <c r="C14874" s="11"/>
      <c r="D14874" s="11"/>
      <c r="E14874" s="11"/>
      <c r="F14874" s="11"/>
      <c r="G14874" s="11"/>
      <c r="H14874" s="11"/>
      <c r="I14874" s="15"/>
    </row>
    <row r="14875" spans="1:9" ht="16.5">
      <c r="A14875" s="10" t="b">
        <v>0</v>
      </c>
      <c r="B14875" s="11" t="str">
        <f>IF(D14875&lt;&gt;"",IF(COUNTIF('USPTO TMs'!A:A,D14875)&gt;0,"Yes","No"),"")</f>
        <v/>
      </c>
      <c r="C14875" s="11"/>
      <c r="D14875" s="11"/>
      <c r="E14875" s="11"/>
      <c r="F14875" s="11"/>
      <c r="G14875" s="11"/>
      <c r="H14875" s="11"/>
      <c r="I14875" s="15"/>
    </row>
    <row r="14876" spans="1:9" ht="16.5">
      <c r="A14876" s="10" t="b">
        <v>0</v>
      </c>
      <c r="B14876" s="11" t="str">
        <f>IF(D14876&lt;&gt;"",IF(COUNTIF('USPTO TMs'!A:A,D14876)&gt;0,"Yes","No"),"")</f>
        <v/>
      </c>
      <c r="C14876" s="11"/>
      <c r="D14876" s="11"/>
      <c r="E14876" s="11"/>
      <c r="F14876" s="11"/>
      <c r="G14876" s="11"/>
      <c r="H14876" s="11"/>
      <c r="I14876" s="15"/>
    </row>
    <row r="14877" spans="1:9" ht="16.5">
      <c r="A14877" s="10" t="b">
        <v>0</v>
      </c>
      <c r="B14877" s="11" t="str">
        <f>IF(D14877&lt;&gt;"",IF(COUNTIF('USPTO TMs'!A:A,D14877)&gt;0,"Yes","No"),"")</f>
        <v/>
      </c>
      <c r="C14877" s="11"/>
      <c r="D14877" s="11"/>
      <c r="E14877" s="11"/>
      <c r="F14877" s="11"/>
      <c r="G14877" s="11"/>
      <c r="H14877" s="11"/>
      <c r="I14877" s="15"/>
    </row>
    <row r="14878" spans="1:9" ht="16.5">
      <c r="A14878" s="10" t="b">
        <v>0</v>
      </c>
      <c r="B14878" s="11" t="str">
        <f>IF(D14878&lt;&gt;"",IF(COUNTIF('USPTO TMs'!A:A,D14878)&gt;0,"Yes","No"),"")</f>
        <v/>
      </c>
      <c r="C14878" s="11"/>
      <c r="D14878" s="11"/>
      <c r="E14878" s="11"/>
      <c r="F14878" s="11"/>
      <c r="G14878" s="11"/>
      <c r="H14878" s="11"/>
      <c r="I14878" s="15"/>
    </row>
    <row r="14879" spans="1:9" ht="16.5">
      <c r="A14879" s="10" t="b">
        <v>0</v>
      </c>
      <c r="B14879" s="11" t="str">
        <f>IF(D14879&lt;&gt;"",IF(COUNTIF('USPTO TMs'!A:A,D14879)&gt;0,"Yes","No"),"")</f>
        <v/>
      </c>
      <c r="C14879" s="11"/>
      <c r="D14879" s="11"/>
      <c r="E14879" s="11"/>
      <c r="F14879" s="11"/>
      <c r="G14879" s="11"/>
      <c r="H14879" s="11"/>
      <c r="I14879" s="15"/>
    </row>
    <row r="14880" spans="1:9" ht="16.5">
      <c r="A14880" s="10" t="b">
        <v>0</v>
      </c>
      <c r="B14880" s="11" t="str">
        <f>IF(D14880&lt;&gt;"",IF(COUNTIF('USPTO TMs'!A:A,D14880)&gt;0,"Yes","No"),"")</f>
        <v/>
      </c>
      <c r="C14880" s="11"/>
      <c r="D14880" s="11"/>
      <c r="E14880" s="11"/>
      <c r="F14880" s="11"/>
      <c r="G14880" s="11"/>
      <c r="H14880" s="11"/>
      <c r="I14880" s="15"/>
    </row>
    <row r="14881" spans="1:9" ht="16.5">
      <c r="A14881" s="10" t="b">
        <v>0</v>
      </c>
      <c r="B14881" s="11" t="str">
        <f>IF(D14881&lt;&gt;"",IF(COUNTIF('USPTO TMs'!A:A,D14881)&gt;0,"Yes","No"),"")</f>
        <v/>
      </c>
      <c r="C14881" s="11"/>
      <c r="D14881" s="11"/>
      <c r="E14881" s="11"/>
      <c r="F14881" s="11"/>
      <c r="G14881" s="11"/>
      <c r="H14881" s="11"/>
      <c r="I14881" s="15"/>
    </row>
    <row r="14882" spans="1:9" ht="16.5">
      <c r="A14882" s="10" t="b">
        <v>0</v>
      </c>
      <c r="B14882" s="11" t="str">
        <f>IF(D14882&lt;&gt;"",IF(COUNTIF('USPTO TMs'!A:A,D14882)&gt;0,"Yes","No"),"")</f>
        <v/>
      </c>
      <c r="C14882" s="11"/>
      <c r="D14882" s="11"/>
      <c r="E14882" s="11"/>
      <c r="F14882" s="11"/>
      <c r="G14882" s="11"/>
      <c r="H14882" s="11"/>
      <c r="I14882" s="15"/>
    </row>
    <row r="14883" spans="1:9" ht="16.5">
      <c r="A14883" s="10" t="b">
        <v>0</v>
      </c>
      <c r="B14883" s="11" t="str">
        <f>IF(D14883&lt;&gt;"",IF(COUNTIF('USPTO TMs'!A:A,D14883)&gt;0,"Yes","No"),"")</f>
        <v/>
      </c>
      <c r="C14883" s="11"/>
      <c r="D14883" s="11"/>
      <c r="E14883" s="11"/>
      <c r="F14883" s="11"/>
      <c r="G14883" s="11"/>
      <c r="H14883" s="11"/>
      <c r="I14883" s="15"/>
    </row>
    <row r="14884" spans="1:9" ht="16.5">
      <c r="A14884" s="10" t="b">
        <v>0</v>
      </c>
      <c r="B14884" s="11" t="str">
        <f>IF(D14884&lt;&gt;"",IF(COUNTIF('USPTO TMs'!A:A,D14884)&gt;0,"Yes","No"),"")</f>
        <v/>
      </c>
      <c r="C14884" s="11"/>
      <c r="D14884" s="11"/>
      <c r="E14884" s="11"/>
      <c r="F14884" s="11"/>
      <c r="G14884" s="11"/>
      <c r="H14884" s="11"/>
      <c r="I14884" s="15"/>
    </row>
    <row r="14885" spans="1:9" ht="16.5">
      <c r="A14885" s="10" t="b">
        <v>0</v>
      </c>
      <c r="B14885" s="11" t="str">
        <f>IF(D14885&lt;&gt;"",IF(COUNTIF('USPTO TMs'!A:A,D14885)&gt;0,"Yes","No"),"")</f>
        <v/>
      </c>
      <c r="C14885" s="11"/>
      <c r="D14885" s="11"/>
      <c r="E14885" s="11"/>
      <c r="F14885" s="11"/>
      <c r="G14885" s="11"/>
      <c r="H14885" s="11"/>
      <c r="I14885" s="15"/>
    </row>
    <row r="14886" spans="1:9" ht="16.5">
      <c r="A14886" s="10" t="b">
        <v>0</v>
      </c>
      <c r="B14886" s="11" t="str">
        <f>IF(D14886&lt;&gt;"",IF(COUNTIF('USPTO TMs'!A:A,D14886)&gt;0,"Yes","No"),"")</f>
        <v/>
      </c>
      <c r="C14886" s="11"/>
      <c r="D14886" s="11"/>
      <c r="E14886" s="11"/>
      <c r="F14886" s="11"/>
      <c r="G14886" s="11"/>
      <c r="H14886" s="11"/>
      <c r="I14886" s="15"/>
    </row>
    <row r="14887" spans="1:9" ht="16.5">
      <c r="A14887" s="10" t="b">
        <v>0</v>
      </c>
      <c r="B14887" s="11" t="str">
        <f>IF(D14887&lt;&gt;"",IF(COUNTIF('USPTO TMs'!A:A,D14887)&gt;0,"Yes","No"),"")</f>
        <v/>
      </c>
      <c r="C14887" s="11"/>
      <c r="D14887" s="11"/>
      <c r="E14887" s="11"/>
      <c r="F14887" s="11"/>
      <c r="G14887" s="11"/>
      <c r="H14887" s="11"/>
      <c r="I14887" s="15"/>
    </row>
    <row r="14888" spans="1:9" ht="16.5">
      <c r="A14888" s="10" t="b">
        <v>0</v>
      </c>
      <c r="B14888" s="11" t="str">
        <f>IF(D14888&lt;&gt;"",IF(COUNTIF('USPTO TMs'!A:A,D14888)&gt;0,"Yes","No"),"")</f>
        <v/>
      </c>
      <c r="C14888" s="11"/>
      <c r="D14888" s="11"/>
      <c r="E14888" s="11"/>
      <c r="F14888" s="11"/>
      <c r="G14888" s="11"/>
      <c r="H14888" s="11"/>
      <c r="I14888" s="15"/>
    </row>
    <row r="14889" spans="1:9" ht="16.5">
      <c r="A14889" s="10" t="b">
        <v>0</v>
      </c>
      <c r="B14889" s="11" t="str">
        <f>IF(D14889&lt;&gt;"",IF(COUNTIF('USPTO TMs'!A:A,D14889)&gt;0,"Yes","No"),"")</f>
        <v/>
      </c>
      <c r="C14889" s="11"/>
      <c r="D14889" s="11"/>
      <c r="E14889" s="11"/>
      <c r="F14889" s="11"/>
      <c r="G14889" s="11"/>
      <c r="H14889" s="11"/>
      <c r="I14889" s="15"/>
    </row>
    <row r="14890" spans="1:9" ht="16.5">
      <c r="A14890" s="10" t="b">
        <v>0</v>
      </c>
      <c r="B14890" s="11" t="str">
        <f>IF(D14890&lt;&gt;"",IF(COUNTIF('USPTO TMs'!A:A,D14890)&gt;0,"Yes","No"),"")</f>
        <v/>
      </c>
      <c r="C14890" s="11"/>
      <c r="D14890" s="11"/>
      <c r="E14890" s="11"/>
      <c r="F14890" s="11"/>
      <c r="G14890" s="11"/>
      <c r="H14890" s="11"/>
      <c r="I14890" s="15"/>
    </row>
    <row r="14891" spans="1:9" ht="16.5">
      <c r="A14891" s="10" t="b">
        <v>0</v>
      </c>
      <c r="B14891" s="11" t="str">
        <f>IF(D14891&lt;&gt;"",IF(COUNTIF('USPTO TMs'!A:A,D14891)&gt;0,"Yes","No"),"")</f>
        <v/>
      </c>
      <c r="C14891" s="11"/>
      <c r="D14891" s="11"/>
      <c r="E14891" s="11"/>
      <c r="F14891" s="11"/>
      <c r="G14891" s="11"/>
      <c r="H14891" s="11"/>
      <c r="I14891" s="15"/>
    </row>
    <row r="14892" spans="1:9" ht="16.5">
      <c r="A14892" s="10" t="b">
        <v>0</v>
      </c>
      <c r="B14892" s="11" t="str">
        <f>IF(D14892&lt;&gt;"",IF(COUNTIF('USPTO TMs'!A:A,D14892)&gt;0,"Yes","No"),"")</f>
        <v/>
      </c>
      <c r="C14892" s="11"/>
      <c r="D14892" s="11"/>
      <c r="E14892" s="11"/>
      <c r="F14892" s="11"/>
      <c r="G14892" s="11"/>
      <c r="H14892" s="11"/>
      <c r="I14892" s="15"/>
    </row>
    <row r="14893" spans="1:9" ht="16.5">
      <c r="A14893" s="10" t="b">
        <v>0</v>
      </c>
      <c r="B14893" s="11" t="str">
        <f>IF(D14893&lt;&gt;"",IF(COUNTIF('USPTO TMs'!A:A,D14893)&gt;0,"Yes","No"),"")</f>
        <v/>
      </c>
      <c r="C14893" s="11"/>
      <c r="D14893" s="11"/>
      <c r="E14893" s="11"/>
      <c r="F14893" s="11"/>
      <c r="G14893" s="11"/>
      <c r="H14893" s="11"/>
      <c r="I14893" s="15"/>
    </row>
    <row r="14894" spans="1:9" ht="16.5">
      <c r="A14894" s="10" t="b">
        <v>0</v>
      </c>
      <c r="B14894" s="11" t="str">
        <f>IF(D14894&lt;&gt;"",IF(COUNTIF('USPTO TMs'!A:A,D14894)&gt;0,"Yes","No"),"")</f>
        <v/>
      </c>
      <c r="C14894" s="11"/>
      <c r="D14894" s="11"/>
      <c r="E14894" s="11"/>
      <c r="F14894" s="11"/>
      <c r="G14894" s="11"/>
      <c r="H14894" s="11"/>
      <c r="I14894" s="15"/>
    </row>
    <row r="14895" spans="1:9" ht="16.5">
      <c r="A14895" s="10" t="b">
        <v>0</v>
      </c>
      <c r="B14895" s="11" t="str">
        <f>IF(D14895&lt;&gt;"",IF(COUNTIF('USPTO TMs'!A:A,D14895)&gt;0,"Yes","No"),"")</f>
        <v/>
      </c>
      <c r="C14895" s="11"/>
      <c r="D14895" s="11"/>
      <c r="E14895" s="11"/>
      <c r="F14895" s="11"/>
      <c r="G14895" s="11"/>
      <c r="H14895" s="11"/>
      <c r="I14895" s="15"/>
    </row>
    <row r="14896" spans="1:9" ht="16.5">
      <c r="A14896" s="10" t="b">
        <v>0</v>
      </c>
      <c r="B14896" s="11" t="str">
        <f>IF(D14896&lt;&gt;"",IF(COUNTIF('USPTO TMs'!A:A,D14896)&gt;0,"Yes","No"),"")</f>
        <v/>
      </c>
      <c r="C14896" s="11"/>
      <c r="D14896" s="11"/>
      <c r="E14896" s="11"/>
      <c r="F14896" s="11"/>
      <c r="G14896" s="11"/>
      <c r="H14896" s="11"/>
      <c r="I14896" s="15"/>
    </row>
    <row r="14897" spans="1:9" ht="16.5">
      <c r="A14897" s="10" t="b">
        <v>0</v>
      </c>
      <c r="B14897" s="11" t="str">
        <f>IF(D14897&lt;&gt;"",IF(COUNTIF('USPTO TMs'!A:A,D14897)&gt;0,"Yes","No"),"")</f>
        <v/>
      </c>
      <c r="C14897" s="11"/>
      <c r="D14897" s="11"/>
      <c r="E14897" s="11"/>
      <c r="F14897" s="11"/>
      <c r="G14897" s="11"/>
      <c r="H14897" s="11"/>
      <c r="I14897" s="15"/>
    </row>
    <row r="14898" spans="1:9" ht="16.5">
      <c r="A14898" s="10" t="b">
        <v>0</v>
      </c>
      <c r="B14898" s="11" t="str">
        <f>IF(D14898&lt;&gt;"",IF(COUNTIF('USPTO TMs'!A:A,D14898)&gt;0,"Yes","No"),"")</f>
        <v/>
      </c>
      <c r="C14898" s="11"/>
      <c r="D14898" s="11"/>
      <c r="E14898" s="11"/>
      <c r="F14898" s="11"/>
      <c r="G14898" s="11"/>
      <c r="H14898" s="11"/>
      <c r="I14898" s="15"/>
    </row>
    <row r="14899" spans="1:9" ht="16.5">
      <c r="A14899" s="10" t="b">
        <v>0</v>
      </c>
      <c r="B14899" s="11" t="str">
        <f>IF(D14899&lt;&gt;"",IF(COUNTIF('USPTO TMs'!A:A,D14899)&gt;0,"Yes","No"),"")</f>
        <v/>
      </c>
      <c r="C14899" s="11"/>
      <c r="D14899" s="11"/>
      <c r="E14899" s="11"/>
      <c r="F14899" s="11"/>
      <c r="G14899" s="11"/>
      <c r="H14899" s="11"/>
      <c r="I14899" s="15"/>
    </row>
    <row r="14900" spans="1:9" ht="16.5">
      <c r="A14900" s="10" t="b">
        <v>0</v>
      </c>
      <c r="B14900" s="11" t="str">
        <f>IF(D14900&lt;&gt;"",IF(COUNTIF('USPTO TMs'!A:A,D14900)&gt;0,"Yes","No"),"")</f>
        <v/>
      </c>
      <c r="C14900" s="11"/>
      <c r="D14900" s="11"/>
      <c r="E14900" s="11"/>
      <c r="F14900" s="11"/>
      <c r="G14900" s="11"/>
      <c r="H14900" s="11"/>
      <c r="I14900" s="15"/>
    </row>
    <row r="14901" spans="1:9" ht="16.5">
      <c r="A14901" s="10" t="b">
        <v>0</v>
      </c>
      <c r="B14901" s="11" t="str">
        <f>IF(D14901&lt;&gt;"",IF(COUNTIF('USPTO TMs'!A:A,D14901)&gt;0,"Yes","No"),"")</f>
        <v/>
      </c>
      <c r="C14901" s="11"/>
      <c r="D14901" s="11"/>
      <c r="E14901" s="11"/>
      <c r="F14901" s="11"/>
      <c r="G14901" s="11"/>
      <c r="H14901" s="11"/>
      <c r="I14901" s="15"/>
    </row>
    <row r="14902" spans="1:9" ht="16.5">
      <c r="A14902" s="10" t="b">
        <v>0</v>
      </c>
      <c r="B14902" s="11" t="str">
        <f>IF(D14902&lt;&gt;"",IF(COUNTIF('USPTO TMs'!A:A,D14902)&gt;0,"Yes","No"),"")</f>
        <v/>
      </c>
      <c r="C14902" s="11"/>
      <c r="D14902" s="11"/>
      <c r="E14902" s="11"/>
      <c r="F14902" s="11"/>
      <c r="G14902" s="11"/>
      <c r="H14902" s="11"/>
      <c r="I14902" s="15"/>
    </row>
    <row r="14903" spans="1:9" ht="16.5">
      <c r="A14903" s="10" t="b">
        <v>0</v>
      </c>
      <c r="B14903" s="11" t="str">
        <f>IF(D14903&lt;&gt;"",IF(COUNTIF('USPTO TMs'!A:A,D14903)&gt;0,"Yes","No"),"")</f>
        <v/>
      </c>
      <c r="C14903" s="11"/>
      <c r="D14903" s="11"/>
      <c r="E14903" s="11"/>
      <c r="F14903" s="11"/>
      <c r="G14903" s="11"/>
      <c r="H14903" s="11"/>
      <c r="I14903" s="15"/>
    </row>
    <row r="14904" spans="1:9" ht="16.5">
      <c r="A14904" s="10" t="b">
        <v>0</v>
      </c>
      <c r="B14904" s="11" t="str">
        <f>IF(D14904&lt;&gt;"",IF(COUNTIF('USPTO TMs'!A:A,D14904)&gt;0,"Yes","No"),"")</f>
        <v/>
      </c>
      <c r="C14904" s="11"/>
      <c r="D14904" s="11"/>
      <c r="E14904" s="11"/>
      <c r="F14904" s="11"/>
      <c r="G14904" s="11"/>
      <c r="H14904" s="11"/>
      <c r="I14904" s="15"/>
    </row>
    <row r="14905" spans="1:9" ht="16.5">
      <c r="A14905" s="10" t="b">
        <v>0</v>
      </c>
      <c r="B14905" s="11" t="str">
        <f>IF(D14905&lt;&gt;"",IF(COUNTIF('USPTO TMs'!A:A,D14905)&gt;0,"Yes","No"),"")</f>
        <v/>
      </c>
      <c r="C14905" s="11"/>
      <c r="D14905" s="11"/>
      <c r="E14905" s="11"/>
      <c r="F14905" s="11"/>
      <c r="G14905" s="11"/>
      <c r="H14905" s="11"/>
      <c r="I14905" s="15"/>
    </row>
    <row r="14906" spans="1:9" ht="16.5">
      <c r="A14906" s="10" t="b">
        <v>0</v>
      </c>
      <c r="B14906" s="11" t="str">
        <f>IF(D14906&lt;&gt;"",IF(COUNTIF('USPTO TMs'!A:A,D14906)&gt;0,"Yes","No"),"")</f>
        <v/>
      </c>
      <c r="C14906" s="11"/>
      <c r="D14906" s="11"/>
      <c r="E14906" s="11"/>
      <c r="F14906" s="11"/>
      <c r="G14906" s="11"/>
      <c r="H14906" s="11"/>
      <c r="I14906" s="15"/>
    </row>
    <row r="14907" spans="1:9" ht="16.5">
      <c r="A14907" s="10" t="b">
        <v>0</v>
      </c>
      <c r="B14907" s="11" t="str">
        <f>IF(D14907&lt;&gt;"",IF(COUNTIF('USPTO TMs'!A:A,D14907)&gt;0,"Yes","No"),"")</f>
        <v/>
      </c>
      <c r="C14907" s="11"/>
      <c r="D14907" s="11"/>
      <c r="E14907" s="11"/>
      <c r="F14907" s="11"/>
      <c r="G14907" s="11"/>
      <c r="H14907" s="11"/>
      <c r="I14907" s="15"/>
    </row>
    <row r="14908" spans="1:9" ht="16.5">
      <c r="A14908" s="10" t="b">
        <v>0</v>
      </c>
      <c r="B14908" s="11" t="str">
        <f>IF(D14908&lt;&gt;"",IF(COUNTIF('USPTO TMs'!A:A,D14908)&gt;0,"Yes","No"),"")</f>
        <v/>
      </c>
      <c r="C14908" s="11"/>
      <c r="D14908" s="11"/>
      <c r="E14908" s="11"/>
      <c r="F14908" s="11"/>
      <c r="G14908" s="11"/>
      <c r="H14908" s="11"/>
      <c r="I14908" s="15"/>
    </row>
    <row r="14909" spans="1:9" ht="16.5">
      <c r="A14909" s="10" t="b">
        <v>0</v>
      </c>
      <c r="B14909" s="11" t="str">
        <f>IF(D14909&lt;&gt;"",IF(COUNTIF('USPTO TMs'!A:A,D14909)&gt;0,"Yes","No"),"")</f>
        <v/>
      </c>
      <c r="C14909" s="11"/>
      <c r="D14909" s="11"/>
      <c r="E14909" s="11"/>
      <c r="F14909" s="11"/>
      <c r="G14909" s="11"/>
      <c r="H14909" s="11"/>
      <c r="I14909" s="15"/>
    </row>
    <row r="14910" spans="1:9" ht="16.5">
      <c r="A14910" s="10" t="b">
        <v>0</v>
      </c>
      <c r="B14910" s="11" t="str">
        <f>IF(D14910&lt;&gt;"",IF(COUNTIF('USPTO TMs'!A:A,D14910)&gt;0,"Yes","No"),"")</f>
        <v/>
      </c>
      <c r="C14910" s="11"/>
      <c r="D14910" s="11"/>
      <c r="E14910" s="11"/>
      <c r="F14910" s="11"/>
      <c r="G14910" s="11"/>
      <c r="H14910" s="11"/>
      <c r="I14910" s="15"/>
    </row>
    <row r="14911" spans="1:9" ht="16.5">
      <c r="A14911" s="10" t="b">
        <v>0</v>
      </c>
      <c r="B14911" s="11" t="str">
        <f>IF(D14911&lt;&gt;"",IF(COUNTIF('USPTO TMs'!A:A,D14911)&gt;0,"Yes","No"),"")</f>
        <v/>
      </c>
      <c r="C14911" s="11"/>
      <c r="D14911" s="11"/>
      <c r="E14911" s="11"/>
      <c r="F14911" s="11"/>
      <c r="G14911" s="11"/>
      <c r="H14911" s="11"/>
      <c r="I14911" s="15"/>
    </row>
    <row r="14912" spans="1:9" ht="16.5">
      <c r="A14912" s="10" t="b">
        <v>0</v>
      </c>
      <c r="B14912" s="11" t="str">
        <f>IF(D14912&lt;&gt;"",IF(COUNTIF('USPTO TMs'!A:A,D14912)&gt;0,"Yes","No"),"")</f>
        <v/>
      </c>
      <c r="C14912" s="11"/>
      <c r="D14912" s="11"/>
      <c r="E14912" s="11"/>
      <c r="F14912" s="11"/>
      <c r="G14912" s="11"/>
      <c r="H14912" s="11"/>
      <c r="I14912" s="15"/>
    </row>
    <row r="14913" spans="1:9" ht="16.5">
      <c r="A14913" s="10" t="b">
        <v>0</v>
      </c>
      <c r="B14913" s="11" t="str">
        <f>IF(D14913&lt;&gt;"",IF(COUNTIF('USPTO TMs'!A:A,D14913)&gt;0,"Yes","No"),"")</f>
        <v/>
      </c>
      <c r="C14913" s="11"/>
      <c r="D14913" s="11"/>
      <c r="E14913" s="11"/>
      <c r="F14913" s="11"/>
      <c r="G14913" s="11"/>
      <c r="H14913" s="11"/>
      <c r="I14913" s="15"/>
    </row>
    <row r="14914" spans="1:9" ht="16.5">
      <c r="A14914" s="10" t="b">
        <v>0</v>
      </c>
      <c r="B14914" s="11" t="str">
        <f>IF(D14914&lt;&gt;"",IF(COUNTIF('USPTO TMs'!A:A,D14914)&gt;0,"Yes","No"),"")</f>
        <v/>
      </c>
      <c r="C14914" s="11"/>
      <c r="D14914" s="11"/>
      <c r="E14914" s="11"/>
      <c r="F14914" s="11"/>
      <c r="G14914" s="11"/>
      <c r="H14914" s="11"/>
      <c r="I14914" s="15"/>
    </row>
    <row r="14915" spans="1:9" ht="16.5">
      <c r="A14915" s="10" t="b">
        <v>0</v>
      </c>
      <c r="B14915" s="11" t="str">
        <f>IF(D14915&lt;&gt;"",IF(COUNTIF('USPTO TMs'!A:A,D14915)&gt;0,"Yes","No"),"")</f>
        <v/>
      </c>
      <c r="C14915" s="11"/>
      <c r="D14915" s="11"/>
      <c r="E14915" s="11"/>
      <c r="F14915" s="11"/>
      <c r="G14915" s="11"/>
      <c r="H14915" s="11"/>
      <c r="I14915" s="15"/>
    </row>
    <row r="14916" spans="1:9" ht="16.5">
      <c r="A14916" s="10" t="b">
        <v>0</v>
      </c>
      <c r="B14916" s="11" t="str">
        <f>IF(D14916&lt;&gt;"",IF(COUNTIF('USPTO TMs'!A:A,D14916)&gt;0,"Yes","No"),"")</f>
        <v/>
      </c>
      <c r="C14916" s="11"/>
      <c r="D14916" s="11"/>
      <c r="E14916" s="11"/>
      <c r="F14916" s="11"/>
      <c r="G14916" s="11"/>
      <c r="H14916" s="11"/>
      <c r="I14916" s="15"/>
    </row>
    <row r="14917" spans="1:9" ht="16.5">
      <c r="A14917" s="10" t="b">
        <v>0</v>
      </c>
      <c r="B14917" s="11" t="str">
        <f>IF(D14917&lt;&gt;"",IF(COUNTIF('USPTO TMs'!A:A,D14917)&gt;0,"Yes","No"),"")</f>
        <v/>
      </c>
      <c r="C14917" s="11"/>
      <c r="D14917" s="11"/>
      <c r="E14917" s="11"/>
      <c r="F14917" s="11"/>
      <c r="G14917" s="11"/>
      <c r="H14917" s="11"/>
      <c r="I14917" s="15"/>
    </row>
    <row r="14918" spans="1:9" ht="16.5">
      <c r="A14918" s="10" t="b">
        <v>0</v>
      </c>
      <c r="B14918" s="11" t="str">
        <f>IF(D14918&lt;&gt;"",IF(COUNTIF('USPTO TMs'!A:A,D14918)&gt;0,"Yes","No"),"")</f>
        <v/>
      </c>
      <c r="C14918" s="11"/>
      <c r="D14918" s="11"/>
      <c r="E14918" s="11"/>
      <c r="F14918" s="11"/>
      <c r="G14918" s="11"/>
      <c r="H14918" s="11"/>
      <c r="I14918" s="15"/>
    </row>
    <row r="14919" spans="1:9" ht="16.5">
      <c r="A14919" s="10" t="b">
        <v>0</v>
      </c>
      <c r="B14919" s="11" t="str">
        <f>IF(D14919&lt;&gt;"",IF(COUNTIF('USPTO TMs'!A:A,D14919)&gt;0,"Yes","No"),"")</f>
        <v/>
      </c>
      <c r="C14919" s="11"/>
      <c r="D14919" s="11"/>
      <c r="E14919" s="11"/>
      <c r="F14919" s="11"/>
      <c r="G14919" s="11"/>
      <c r="H14919" s="11"/>
      <c r="I14919" s="15"/>
    </row>
    <row r="14920" spans="1:9" ht="16.5">
      <c r="A14920" s="10" t="b">
        <v>0</v>
      </c>
      <c r="B14920" s="11" t="str">
        <f>IF(D14920&lt;&gt;"",IF(COUNTIF('USPTO TMs'!A:A,D14920)&gt;0,"Yes","No"),"")</f>
        <v/>
      </c>
      <c r="C14920" s="11"/>
      <c r="D14920" s="11"/>
      <c r="E14920" s="11"/>
      <c r="F14920" s="11"/>
      <c r="G14920" s="11"/>
      <c r="H14920" s="11"/>
      <c r="I14920" s="15"/>
    </row>
    <row r="14921" spans="1:9" ht="16.5">
      <c r="A14921" s="10" t="b">
        <v>0</v>
      </c>
      <c r="B14921" s="11" t="str">
        <f>IF(D14921&lt;&gt;"",IF(COUNTIF('USPTO TMs'!A:A,D14921)&gt;0,"Yes","No"),"")</f>
        <v/>
      </c>
      <c r="C14921" s="11"/>
      <c r="D14921" s="11"/>
      <c r="E14921" s="11"/>
      <c r="F14921" s="11"/>
      <c r="G14921" s="11"/>
      <c r="H14921" s="11"/>
      <c r="I14921" s="15"/>
    </row>
    <row r="14922" spans="1:9" ht="16.5">
      <c r="A14922" s="10" t="b">
        <v>0</v>
      </c>
      <c r="B14922" s="11" t="str">
        <f>IF(D14922&lt;&gt;"",IF(COUNTIF('USPTO TMs'!A:A,D14922)&gt;0,"Yes","No"),"")</f>
        <v/>
      </c>
      <c r="C14922" s="11"/>
      <c r="D14922" s="11"/>
      <c r="E14922" s="11"/>
      <c r="F14922" s="11"/>
      <c r="G14922" s="11"/>
      <c r="H14922" s="11"/>
      <c r="I14922" s="15"/>
    </row>
    <row r="14923" spans="1:9" ht="16.5">
      <c r="A14923" s="10" t="b">
        <v>0</v>
      </c>
      <c r="B14923" s="11" t="str">
        <f>IF(D14923&lt;&gt;"",IF(COUNTIF('USPTO TMs'!A:A,D14923)&gt;0,"Yes","No"),"")</f>
        <v/>
      </c>
      <c r="C14923" s="11"/>
      <c r="D14923" s="11"/>
      <c r="E14923" s="11"/>
      <c r="F14923" s="11"/>
      <c r="G14923" s="11"/>
      <c r="H14923" s="11"/>
      <c r="I14923" s="15"/>
    </row>
    <row r="14924" spans="1:9" ht="16.5">
      <c r="A14924" s="10" t="b">
        <v>0</v>
      </c>
      <c r="B14924" s="11" t="str">
        <f>IF(D14924&lt;&gt;"",IF(COUNTIF('USPTO TMs'!A:A,D14924)&gt;0,"Yes","No"),"")</f>
        <v/>
      </c>
      <c r="C14924" s="11"/>
      <c r="D14924" s="11"/>
      <c r="E14924" s="11"/>
      <c r="F14924" s="11"/>
      <c r="G14924" s="11"/>
      <c r="H14924" s="11"/>
      <c r="I14924" s="15"/>
    </row>
    <row r="14925" spans="1:9" ht="16.5">
      <c r="A14925" s="10" t="b">
        <v>0</v>
      </c>
      <c r="B14925" s="11" t="str">
        <f>IF(D14925&lt;&gt;"",IF(COUNTIF('USPTO TMs'!A:A,D14925)&gt;0,"Yes","No"),"")</f>
        <v/>
      </c>
      <c r="C14925" s="11"/>
      <c r="D14925" s="11"/>
      <c r="E14925" s="11"/>
      <c r="F14925" s="11"/>
      <c r="G14925" s="11"/>
      <c r="H14925" s="11"/>
      <c r="I14925" s="15"/>
    </row>
    <row r="14926" spans="1:9" ht="16.5">
      <c r="A14926" s="10" t="b">
        <v>0</v>
      </c>
      <c r="B14926" s="11" t="str">
        <f>IF(D14926&lt;&gt;"",IF(COUNTIF('USPTO TMs'!A:A,D14926)&gt;0,"Yes","No"),"")</f>
        <v/>
      </c>
      <c r="C14926" s="11"/>
      <c r="D14926" s="11"/>
      <c r="E14926" s="11"/>
      <c r="F14926" s="11"/>
      <c r="G14926" s="11"/>
      <c r="H14926" s="11"/>
      <c r="I14926" s="15"/>
    </row>
    <row r="14927" spans="1:9" ht="16.5">
      <c r="A14927" s="10" t="b">
        <v>0</v>
      </c>
      <c r="B14927" s="11" t="str">
        <f>IF(D14927&lt;&gt;"",IF(COUNTIF('USPTO TMs'!A:A,D14927)&gt;0,"Yes","No"),"")</f>
        <v/>
      </c>
      <c r="C14927" s="11"/>
      <c r="D14927" s="11"/>
      <c r="E14927" s="11"/>
      <c r="F14927" s="11"/>
      <c r="G14927" s="11"/>
      <c r="H14927" s="11"/>
      <c r="I14927" s="15"/>
    </row>
    <row r="14928" spans="1:9" ht="16.5">
      <c r="A14928" s="10" t="b">
        <v>0</v>
      </c>
      <c r="B14928" s="11" t="str">
        <f>IF(D14928&lt;&gt;"",IF(COUNTIF('USPTO TMs'!A:A,D14928)&gt;0,"Yes","No"),"")</f>
        <v/>
      </c>
      <c r="C14928" s="11"/>
      <c r="D14928" s="11"/>
      <c r="E14928" s="11"/>
      <c r="F14928" s="11"/>
      <c r="G14928" s="11"/>
      <c r="H14928" s="11"/>
      <c r="I14928" s="15"/>
    </row>
    <row r="14929" spans="1:9" ht="16.5">
      <c r="A14929" s="10" t="b">
        <v>0</v>
      </c>
      <c r="B14929" s="11" t="str">
        <f>IF(D14929&lt;&gt;"",IF(COUNTIF('USPTO TMs'!A:A,D14929)&gt;0,"Yes","No"),"")</f>
        <v/>
      </c>
      <c r="C14929" s="11"/>
      <c r="D14929" s="11"/>
      <c r="E14929" s="11"/>
      <c r="F14929" s="11"/>
      <c r="G14929" s="11"/>
      <c r="H14929" s="11"/>
      <c r="I14929" s="15"/>
    </row>
    <row r="14930" spans="1:9" ht="16.5">
      <c r="A14930" s="10" t="b">
        <v>0</v>
      </c>
      <c r="B14930" s="11" t="str">
        <f>IF(D14930&lt;&gt;"",IF(COUNTIF('USPTO TMs'!A:A,D14930)&gt;0,"Yes","No"),"")</f>
        <v/>
      </c>
      <c r="C14930" s="11"/>
      <c r="D14930" s="11"/>
      <c r="E14930" s="11"/>
      <c r="F14930" s="11"/>
      <c r="G14930" s="11"/>
      <c r="H14930" s="11"/>
      <c r="I14930" s="15"/>
    </row>
    <row r="14931" spans="1:9" ht="16.5">
      <c r="A14931" s="10" t="b">
        <v>0</v>
      </c>
      <c r="B14931" s="11" t="str">
        <f>IF(D14931&lt;&gt;"",IF(COUNTIF('USPTO TMs'!A:A,D14931)&gt;0,"Yes","No"),"")</f>
        <v/>
      </c>
      <c r="C14931" s="11"/>
      <c r="D14931" s="11"/>
      <c r="E14931" s="11"/>
      <c r="F14931" s="11"/>
      <c r="G14931" s="11"/>
      <c r="H14931" s="11"/>
      <c r="I14931" s="15"/>
    </row>
    <row r="14932" spans="1:9" ht="16.5">
      <c r="A14932" s="10" t="b">
        <v>0</v>
      </c>
      <c r="B14932" s="11" t="str">
        <f>IF(D14932&lt;&gt;"",IF(COUNTIF('USPTO TMs'!A:A,D14932)&gt;0,"Yes","No"),"")</f>
        <v/>
      </c>
      <c r="C14932" s="11"/>
      <c r="D14932" s="11"/>
      <c r="E14932" s="11"/>
      <c r="F14932" s="11"/>
      <c r="G14932" s="11"/>
      <c r="H14932" s="11"/>
      <c r="I14932" s="15"/>
    </row>
    <row r="14933" spans="1:9" ht="16.5">
      <c r="A14933" s="10" t="b">
        <v>0</v>
      </c>
      <c r="B14933" s="11" t="str">
        <f>IF(D14933&lt;&gt;"",IF(COUNTIF('USPTO TMs'!A:A,D14933)&gt;0,"Yes","No"),"")</f>
        <v/>
      </c>
      <c r="C14933" s="11"/>
      <c r="D14933" s="11"/>
      <c r="E14933" s="11"/>
      <c r="F14933" s="11"/>
      <c r="G14933" s="11"/>
      <c r="H14933" s="11"/>
      <c r="I14933" s="15"/>
    </row>
    <row r="14934" spans="1:9" ht="16.5">
      <c r="A14934" s="10" t="b">
        <v>0</v>
      </c>
      <c r="B14934" s="11" t="str">
        <f>IF(D14934&lt;&gt;"",IF(COUNTIF('USPTO TMs'!A:A,D14934)&gt;0,"Yes","No"),"")</f>
        <v/>
      </c>
      <c r="C14934" s="11"/>
      <c r="D14934" s="11"/>
      <c r="E14934" s="11"/>
      <c r="F14934" s="11"/>
      <c r="G14934" s="11"/>
      <c r="H14934" s="11"/>
      <c r="I14934" s="15"/>
    </row>
    <row r="14935" spans="1:9" ht="16.5">
      <c r="A14935" s="10" t="b">
        <v>0</v>
      </c>
      <c r="B14935" s="11" t="str">
        <f>IF(D14935&lt;&gt;"",IF(COUNTIF('USPTO TMs'!A:A,D14935)&gt;0,"Yes","No"),"")</f>
        <v/>
      </c>
      <c r="C14935" s="11"/>
      <c r="D14935" s="11"/>
      <c r="E14935" s="11"/>
      <c r="F14935" s="11"/>
      <c r="G14935" s="11"/>
      <c r="H14935" s="11"/>
      <c r="I14935" s="15"/>
    </row>
    <row r="14936" spans="1:9" ht="16.5">
      <c r="A14936" s="10" t="b">
        <v>0</v>
      </c>
      <c r="B14936" s="11" t="str">
        <f>IF(D14936&lt;&gt;"",IF(COUNTIF('USPTO TMs'!A:A,D14936)&gt;0,"Yes","No"),"")</f>
        <v/>
      </c>
      <c r="C14936" s="11"/>
      <c r="D14936" s="11"/>
      <c r="E14936" s="11"/>
      <c r="F14936" s="11"/>
      <c r="G14936" s="11"/>
      <c r="H14936" s="11"/>
      <c r="I14936" s="15"/>
    </row>
    <row r="14937" spans="1:9" ht="16.5">
      <c r="A14937" s="10" t="b">
        <v>0</v>
      </c>
      <c r="B14937" s="11" t="str">
        <f>IF(D14937&lt;&gt;"",IF(COUNTIF('USPTO TMs'!A:A,D14937)&gt;0,"Yes","No"),"")</f>
        <v/>
      </c>
      <c r="C14937" s="11"/>
      <c r="D14937" s="11"/>
      <c r="E14937" s="11"/>
      <c r="F14937" s="11"/>
      <c r="G14937" s="11"/>
      <c r="H14937" s="11"/>
      <c r="I14937" s="15"/>
    </row>
    <row r="14938" spans="1:9" ht="16.5">
      <c r="A14938" s="10" t="b">
        <v>0</v>
      </c>
      <c r="B14938" s="11" t="str">
        <f>IF(D14938&lt;&gt;"",IF(COUNTIF('USPTO TMs'!A:A,D14938)&gt;0,"Yes","No"),"")</f>
        <v/>
      </c>
      <c r="C14938" s="11"/>
      <c r="D14938" s="11"/>
      <c r="E14938" s="11"/>
      <c r="F14938" s="11"/>
      <c r="G14938" s="11"/>
      <c r="H14938" s="11"/>
      <c r="I14938" s="15"/>
    </row>
    <row r="14939" spans="1:9" ht="16.5">
      <c r="A14939" s="10" t="b">
        <v>0</v>
      </c>
      <c r="B14939" s="11" t="str">
        <f>IF(D14939&lt;&gt;"",IF(COUNTIF('USPTO TMs'!A:A,D14939)&gt;0,"Yes","No"),"")</f>
        <v/>
      </c>
      <c r="C14939" s="11"/>
      <c r="D14939" s="11"/>
      <c r="E14939" s="11"/>
      <c r="F14939" s="11"/>
      <c r="G14939" s="11"/>
      <c r="H14939" s="11"/>
      <c r="I14939" s="15"/>
    </row>
    <row r="14940" spans="1:9" ht="16.5">
      <c r="A14940" s="10" t="b">
        <v>0</v>
      </c>
      <c r="B14940" s="11" t="str">
        <f>IF(D14940&lt;&gt;"",IF(COUNTIF('USPTO TMs'!A:A,D14940)&gt;0,"Yes","No"),"")</f>
        <v/>
      </c>
      <c r="C14940" s="11"/>
      <c r="D14940" s="11"/>
      <c r="E14940" s="11"/>
      <c r="F14940" s="11"/>
      <c r="G14940" s="11"/>
      <c r="H14940" s="11"/>
      <c r="I14940" s="15"/>
    </row>
    <row r="14941" spans="1:9" ht="16.5">
      <c r="A14941" s="10" t="b">
        <v>0</v>
      </c>
      <c r="B14941" s="11" t="str">
        <f>IF(D14941&lt;&gt;"",IF(COUNTIF('USPTO TMs'!A:A,D14941)&gt;0,"Yes","No"),"")</f>
        <v/>
      </c>
      <c r="C14941" s="11"/>
      <c r="D14941" s="11"/>
      <c r="E14941" s="11"/>
      <c r="F14941" s="11"/>
      <c r="G14941" s="11"/>
      <c r="H14941" s="11"/>
      <c r="I14941" s="15"/>
    </row>
    <row r="14942" spans="1:9" ht="16.5">
      <c r="A14942" s="10" t="b">
        <v>0</v>
      </c>
      <c r="B14942" s="11" t="str">
        <f>IF(D14942&lt;&gt;"",IF(COUNTIF('USPTO TMs'!A:A,D14942)&gt;0,"Yes","No"),"")</f>
        <v/>
      </c>
      <c r="C14942" s="11"/>
      <c r="D14942" s="11"/>
      <c r="E14942" s="11"/>
      <c r="F14942" s="11"/>
      <c r="G14942" s="11"/>
      <c r="H14942" s="11"/>
      <c r="I14942" s="15"/>
    </row>
    <row r="14943" spans="1:9" ht="16.5">
      <c r="A14943" s="10" t="b">
        <v>0</v>
      </c>
      <c r="B14943" s="11" t="str">
        <f>IF(D14943&lt;&gt;"",IF(COUNTIF('USPTO TMs'!A:A,D14943)&gt;0,"Yes","No"),"")</f>
        <v/>
      </c>
      <c r="C14943" s="11"/>
      <c r="D14943" s="11"/>
      <c r="E14943" s="11"/>
      <c r="F14943" s="11"/>
      <c r="G14943" s="11"/>
      <c r="H14943" s="11"/>
      <c r="I14943" s="15"/>
    </row>
    <row r="14944" spans="1:9" ht="16.5">
      <c r="A14944" s="10" t="b">
        <v>0</v>
      </c>
      <c r="B14944" s="11" t="str">
        <f>IF(D14944&lt;&gt;"",IF(COUNTIF('USPTO TMs'!A:A,D14944)&gt;0,"Yes","No"),"")</f>
        <v/>
      </c>
      <c r="C14944" s="11"/>
      <c r="D14944" s="11"/>
      <c r="E14944" s="11"/>
      <c r="F14944" s="11"/>
      <c r="G14944" s="11"/>
      <c r="H14944" s="11"/>
      <c r="I14944" s="15"/>
    </row>
    <row r="14945" spans="1:9" ht="16.5">
      <c r="A14945" s="10" t="b">
        <v>0</v>
      </c>
      <c r="B14945" s="11" t="str">
        <f>IF(D14945&lt;&gt;"",IF(COUNTIF('USPTO TMs'!A:A,D14945)&gt;0,"Yes","No"),"")</f>
        <v/>
      </c>
      <c r="C14945" s="11"/>
      <c r="D14945" s="11"/>
      <c r="E14945" s="11"/>
      <c r="F14945" s="11"/>
      <c r="G14945" s="11"/>
      <c r="H14945" s="11"/>
      <c r="I14945" s="15"/>
    </row>
    <row r="14946" spans="1:9" ht="16.5">
      <c r="A14946" s="10" t="b">
        <v>0</v>
      </c>
      <c r="B14946" s="11" t="str">
        <f>IF(D14946&lt;&gt;"",IF(COUNTIF('USPTO TMs'!A:A,D14946)&gt;0,"Yes","No"),"")</f>
        <v/>
      </c>
      <c r="C14946" s="11"/>
      <c r="D14946" s="11"/>
      <c r="E14946" s="11"/>
      <c r="F14946" s="11"/>
      <c r="G14946" s="11"/>
      <c r="H14946" s="11"/>
      <c r="I14946" s="15"/>
    </row>
    <row r="14947" spans="1:9" ht="16.5">
      <c r="A14947" s="10" t="b">
        <v>0</v>
      </c>
      <c r="B14947" s="11" t="str">
        <f>IF(D14947&lt;&gt;"",IF(COUNTIF('USPTO TMs'!A:A,D14947)&gt;0,"Yes","No"),"")</f>
        <v/>
      </c>
      <c r="C14947" s="11"/>
      <c r="D14947" s="11"/>
      <c r="E14947" s="11"/>
      <c r="F14947" s="11"/>
      <c r="G14947" s="11"/>
      <c r="H14947" s="11"/>
      <c r="I14947" s="15"/>
    </row>
    <row r="14948" spans="1:9" ht="16.5">
      <c r="A14948" s="10" t="b">
        <v>0</v>
      </c>
      <c r="B14948" s="11" t="str">
        <f>IF(D14948&lt;&gt;"",IF(COUNTIF('USPTO TMs'!A:A,D14948)&gt;0,"Yes","No"),"")</f>
        <v/>
      </c>
      <c r="C14948" s="11"/>
      <c r="D14948" s="11"/>
      <c r="E14948" s="11"/>
      <c r="F14948" s="11"/>
      <c r="G14948" s="11"/>
      <c r="H14948" s="11"/>
      <c r="I14948" s="15"/>
    </row>
    <row r="14949" spans="1:9" ht="16.5">
      <c r="A14949" s="10" t="b">
        <v>0</v>
      </c>
      <c r="B14949" s="11" t="str">
        <f>IF(D14949&lt;&gt;"",IF(COUNTIF('USPTO TMs'!A:A,D14949)&gt;0,"Yes","No"),"")</f>
        <v/>
      </c>
      <c r="C14949" s="11"/>
      <c r="D14949" s="11"/>
      <c r="E14949" s="11"/>
      <c r="F14949" s="11"/>
      <c r="G14949" s="11"/>
      <c r="H14949" s="11"/>
      <c r="I14949" s="15"/>
    </row>
    <row r="14950" spans="1:9" ht="16.5">
      <c r="A14950" s="10" t="b">
        <v>0</v>
      </c>
      <c r="B14950" s="11" t="str">
        <f>IF(D14950&lt;&gt;"",IF(COUNTIF('USPTO TMs'!A:A,D14950)&gt;0,"Yes","No"),"")</f>
        <v/>
      </c>
      <c r="C14950" s="11"/>
      <c r="D14950" s="11"/>
      <c r="E14950" s="11"/>
      <c r="F14950" s="11"/>
      <c r="G14950" s="11"/>
      <c r="H14950" s="11"/>
      <c r="I14950" s="15"/>
    </row>
    <row r="14951" spans="1:9" ht="16.5">
      <c r="A14951" s="10" t="b">
        <v>0</v>
      </c>
      <c r="B14951" s="11" t="str">
        <f>IF(D14951&lt;&gt;"",IF(COUNTIF('USPTO TMs'!A:A,D14951)&gt;0,"Yes","No"),"")</f>
        <v/>
      </c>
      <c r="C14951" s="11"/>
      <c r="D14951" s="11"/>
      <c r="E14951" s="11"/>
      <c r="F14951" s="11"/>
      <c r="G14951" s="11"/>
      <c r="H14951" s="11"/>
      <c r="I14951" s="15"/>
    </row>
    <row r="14952" spans="1:9" ht="16.5">
      <c r="A14952" s="10" t="b">
        <v>0</v>
      </c>
      <c r="B14952" s="11" t="str">
        <f>IF(D14952&lt;&gt;"",IF(COUNTIF('USPTO TMs'!A:A,D14952)&gt;0,"Yes","No"),"")</f>
        <v/>
      </c>
      <c r="C14952" s="11"/>
      <c r="D14952" s="11"/>
      <c r="E14952" s="11"/>
      <c r="F14952" s="11"/>
      <c r="G14952" s="11"/>
      <c r="H14952" s="11"/>
      <c r="I14952" s="15"/>
    </row>
    <row r="14953" spans="1:9" ht="16.5">
      <c r="A14953" s="10" t="b">
        <v>0</v>
      </c>
      <c r="B14953" s="11" t="str">
        <f>IF(D14953&lt;&gt;"",IF(COUNTIF('USPTO TMs'!A:A,D14953)&gt;0,"Yes","No"),"")</f>
        <v/>
      </c>
      <c r="C14953" s="11"/>
      <c r="D14953" s="11"/>
      <c r="E14953" s="11"/>
      <c r="F14953" s="11"/>
      <c r="G14953" s="11"/>
      <c r="H14953" s="11"/>
      <c r="I14953" s="15"/>
    </row>
    <row r="14954" spans="1:9" ht="16.5">
      <c r="A14954" s="10" t="b">
        <v>0</v>
      </c>
      <c r="B14954" s="11" t="str">
        <f>IF(D14954&lt;&gt;"",IF(COUNTIF('USPTO TMs'!A:A,D14954)&gt;0,"Yes","No"),"")</f>
        <v/>
      </c>
      <c r="C14954" s="11"/>
      <c r="D14954" s="11"/>
      <c r="E14954" s="11"/>
      <c r="F14954" s="11"/>
      <c r="G14954" s="11"/>
      <c r="H14954" s="11"/>
      <c r="I14954" s="15"/>
    </row>
    <row r="14955" spans="1:9" ht="16.5">
      <c r="A14955" s="10" t="b">
        <v>0</v>
      </c>
      <c r="B14955" s="11" t="str">
        <f>IF(D14955&lt;&gt;"",IF(COUNTIF('USPTO TMs'!A:A,D14955)&gt;0,"Yes","No"),"")</f>
        <v/>
      </c>
      <c r="C14955" s="11"/>
      <c r="D14955" s="11"/>
      <c r="E14955" s="11"/>
      <c r="F14955" s="11"/>
      <c r="G14955" s="11"/>
      <c r="H14955" s="11"/>
      <c r="I14955" s="15"/>
    </row>
    <row r="14956" spans="1:9" ht="16.5">
      <c r="A14956" s="10" t="b">
        <v>0</v>
      </c>
      <c r="B14956" s="11" t="str">
        <f>IF(D14956&lt;&gt;"",IF(COUNTIF('USPTO TMs'!A:A,D14956)&gt;0,"Yes","No"),"")</f>
        <v/>
      </c>
      <c r="C14956" s="11"/>
      <c r="D14956" s="11"/>
      <c r="E14956" s="11"/>
      <c r="F14956" s="11"/>
      <c r="G14956" s="11"/>
      <c r="H14956" s="11"/>
      <c r="I14956" s="15"/>
    </row>
    <row r="14957" spans="1:9" ht="16.5">
      <c r="A14957" s="10" t="b">
        <v>0</v>
      </c>
      <c r="B14957" s="11" t="str">
        <f>IF(D14957&lt;&gt;"",IF(COUNTIF('USPTO TMs'!A:A,D14957)&gt;0,"Yes","No"),"")</f>
        <v/>
      </c>
      <c r="C14957" s="11"/>
      <c r="D14957" s="11"/>
      <c r="E14957" s="11"/>
      <c r="F14957" s="11"/>
      <c r="G14957" s="11"/>
      <c r="H14957" s="11"/>
      <c r="I14957" s="15"/>
    </row>
    <row r="14958" spans="1:9" ht="16.5">
      <c r="A14958" s="10" t="b">
        <v>0</v>
      </c>
      <c r="B14958" s="11" t="str">
        <f>IF(D14958&lt;&gt;"",IF(COUNTIF('USPTO TMs'!A:A,D14958)&gt;0,"Yes","No"),"")</f>
        <v/>
      </c>
      <c r="C14958" s="11"/>
      <c r="D14958" s="11"/>
      <c r="E14958" s="11"/>
      <c r="F14958" s="11"/>
      <c r="G14958" s="11"/>
      <c r="H14958" s="11"/>
      <c r="I14958" s="15"/>
    </row>
    <row r="14959" spans="1:9" ht="16.5">
      <c r="A14959" s="10" t="b">
        <v>0</v>
      </c>
      <c r="B14959" s="11" t="str">
        <f>IF(D14959&lt;&gt;"",IF(COUNTIF('USPTO TMs'!A:A,D14959)&gt;0,"Yes","No"),"")</f>
        <v/>
      </c>
      <c r="C14959" s="11"/>
      <c r="D14959" s="11"/>
      <c r="E14959" s="11"/>
      <c r="F14959" s="11"/>
      <c r="G14959" s="11"/>
      <c r="H14959" s="11"/>
      <c r="I14959" s="15"/>
    </row>
    <row r="14960" spans="1:9" ht="16.5">
      <c r="A14960" s="10" t="b">
        <v>0</v>
      </c>
      <c r="B14960" s="11" t="str">
        <f>IF(D14960&lt;&gt;"",IF(COUNTIF('USPTO TMs'!A:A,D14960)&gt;0,"Yes","No"),"")</f>
        <v/>
      </c>
      <c r="C14960" s="11"/>
      <c r="D14960" s="11"/>
      <c r="E14960" s="11"/>
      <c r="F14960" s="11"/>
      <c r="G14960" s="11"/>
      <c r="H14960" s="11"/>
      <c r="I14960" s="15"/>
    </row>
    <row r="14961" spans="1:9" ht="16.5">
      <c r="A14961" s="10" t="b">
        <v>0</v>
      </c>
      <c r="B14961" s="11" t="str">
        <f>IF(D14961&lt;&gt;"",IF(COUNTIF('USPTO TMs'!A:A,D14961)&gt;0,"Yes","No"),"")</f>
        <v/>
      </c>
      <c r="C14961" s="11"/>
      <c r="D14961" s="11"/>
      <c r="E14961" s="11"/>
      <c r="F14961" s="11"/>
      <c r="G14961" s="11"/>
      <c r="H14961" s="11"/>
      <c r="I14961" s="15"/>
    </row>
    <row r="14962" spans="1:9" ht="16.5">
      <c r="A14962" s="10" t="b">
        <v>0</v>
      </c>
      <c r="B14962" s="11" t="str">
        <f>IF(D14962&lt;&gt;"",IF(COUNTIF('USPTO TMs'!A:A,D14962)&gt;0,"Yes","No"),"")</f>
        <v/>
      </c>
      <c r="C14962" s="11"/>
      <c r="D14962" s="11"/>
      <c r="E14962" s="11"/>
      <c r="F14962" s="11"/>
      <c r="G14962" s="11"/>
      <c r="H14962" s="11"/>
      <c r="I14962" s="15"/>
    </row>
    <row r="14963" spans="1:9" ht="16.5">
      <c r="A14963" s="10" t="b">
        <v>0</v>
      </c>
      <c r="B14963" s="11" t="str">
        <f>IF(D14963&lt;&gt;"",IF(COUNTIF('USPTO TMs'!A:A,D14963)&gt;0,"Yes","No"),"")</f>
        <v/>
      </c>
      <c r="C14963" s="11"/>
      <c r="D14963" s="11"/>
      <c r="E14963" s="11"/>
      <c r="F14963" s="11"/>
      <c r="G14963" s="11"/>
      <c r="H14963" s="11"/>
      <c r="I14963" s="15"/>
    </row>
    <row r="14964" spans="1:9" ht="16.5">
      <c r="A14964" s="10" t="b">
        <v>0</v>
      </c>
      <c r="B14964" s="11" t="str">
        <f>IF(D14964&lt;&gt;"",IF(COUNTIF('USPTO TMs'!A:A,D14964)&gt;0,"Yes","No"),"")</f>
        <v/>
      </c>
      <c r="C14964" s="11"/>
      <c r="D14964" s="11"/>
      <c r="E14964" s="11"/>
      <c r="F14964" s="11"/>
      <c r="G14964" s="11"/>
      <c r="H14964" s="11"/>
      <c r="I14964" s="15"/>
    </row>
    <row r="14965" spans="1:9" ht="16.5">
      <c r="A14965" s="10" t="b">
        <v>0</v>
      </c>
      <c r="B14965" s="11" t="str">
        <f>IF(D14965&lt;&gt;"",IF(COUNTIF('USPTO TMs'!A:A,D14965)&gt;0,"Yes","No"),"")</f>
        <v/>
      </c>
      <c r="C14965" s="11"/>
      <c r="D14965" s="11"/>
      <c r="E14965" s="11"/>
      <c r="F14965" s="11"/>
      <c r="G14965" s="11"/>
      <c r="H14965" s="11"/>
      <c r="I14965" s="15"/>
    </row>
    <row r="14966" spans="1:9" ht="16.5">
      <c r="A14966" s="10" t="b">
        <v>0</v>
      </c>
      <c r="B14966" s="11" t="str">
        <f>IF(D14966&lt;&gt;"",IF(COUNTIF('USPTO TMs'!A:A,D14966)&gt;0,"Yes","No"),"")</f>
        <v/>
      </c>
      <c r="C14966" s="11"/>
      <c r="D14966" s="11"/>
      <c r="E14966" s="11"/>
      <c r="F14966" s="11"/>
      <c r="G14966" s="11"/>
      <c r="H14966" s="11"/>
      <c r="I14966" s="15"/>
    </row>
    <row r="14967" spans="1:9" ht="16.5">
      <c r="A14967" s="10" t="b">
        <v>0</v>
      </c>
      <c r="B14967" s="11" t="str">
        <f>IF(D14967&lt;&gt;"",IF(COUNTIF('USPTO TMs'!A:A,D14967)&gt;0,"Yes","No"),"")</f>
        <v/>
      </c>
      <c r="C14967" s="11"/>
      <c r="D14967" s="11"/>
      <c r="E14967" s="11"/>
      <c r="F14967" s="11"/>
      <c r="G14967" s="11"/>
      <c r="H14967" s="11"/>
      <c r="I14967" s="15"/>
    </row>
    <row r="14968" spans="1:9" ht="16.5">
      <c r="A14968" s="10" t="b">
        <v>0</v>
      </c>
      <c r="B14968" s="11" t="str">
        <f>IF(D14968&lt;&gt;"",IF(COUNTIF('USPTO TMs'!A:A,D14968)&gt;0,"Yes","No"),"")</f>
        <v/>
      </c>
      <c r="C14968" s="11"/>
      <c r="D14968" s="11"/>
      <c r="E14968" s="11"/>
      <c r="F14968" s="11"/>
      <c r="G14968" s="11"/>
      <c r="H14968" s="11"/>
      <c r="I14968" s="15"/>
    </row>
    <row r="14969" spans="1:9" ht="16.5">
      <c r="A14969" s="10" t="b">
        <v>0</v>
      </c>
      <c r="B14969" s="11" t="str">
        <f>IF(D14969&lt;&gt;"",IF(COUNTIF('USPTO TMs'!A:A,D14969)&gt;0,"Yes","No"),"")</f>
        <v/>
      </c>
      <c r="C14969" s="11"/>
      <c r="D14969" s="11"/>
      <c r="E14969" s="11"/>
      <c r="F14969" s="11"/>
      <c r="G14969" s="11"/>
      <c r="H14969" s="11"/>
      <c r="I14969" s="15"/>
    </row>
    <row r="14970" spans="1:9" ht="16.5">
      <c r="A14970" s="10" t="b">
        <v>0</v>
      </c>
      <c r="B14970" s="11" t="str">
        <f>IF(D14970&lt;&gt;"",IF(COUNTIF('USPTO TMs'!A:A,D14970)&gt;0,"Yes","No"),"")</f>
        <v/>
      </c>
      <c r="C14970" s="11"/>
      <c r="D14970" s="11"/>
      <c r="E14970" s="11"/>
      <c r="F14970" s="11"/>
      <c r="G14970" s="11"/>
      <c r="H14970" s="11"/>
      <c r="I14970" s="15"/>
    </row>
    <row r="14971" spans="1:9" ht="16.5">
      <c r="A14971" s="10" t="b">
        <v>0</v>
      </c>
      <c r="B14971" s="11" t="str">
        <f>IF(D14971&lt;&gt;"",IF(COUNTIF('USPTO TMs'!A:A,D14971)&gt;0,"Yes","No"),"")</f>
        <v/>
      </c>
      <c r="C14971" s="11"/>
      <c r="D14971" s="11"/>
      <c r="E14971" s="11"/>
      <c r="F14971" s="11"/>
      <c r="G14971" s="11"/>
      <c r="H14971" s="11"/>
      <c r="I14971" s="15"/>
    </row>
    <row r="14972" spans="1:9" ht="16.5">
      <c r="A14972" s="10" t="b">
        <v>0</v>
      </c>
      <c r="B14972" s="11" t="str">
        <f>IF(D14972&lt;&gt;"",IF(COUNTIF('USPTO TMs'!A:A,D14972)&gt;0,"Yes","No"),"")</f>
        <v/>
      </c>
      <c r="C14972" s="11"/>
      <c r="D14972" s="11"/>
      <c r="E14972" s="11"/>
      <c r="F14972" s="11"/>
      <c r="G14972" s="11"/>
      <c r="H14972" s="11"/>
      <c r="I14972" s="15"/>
    </row>
    <row r="14973" spans="1:9" ht="16.5">
      <c r="A14973" s="10" t="b">
        <v>0</v>
      </c>
      <c r="B14973" s="11" t="str">
        <f>IF(D14973&lt;&gt;"",IF(COUNTIF('USPTO TMs'!A:A,D14973)&gt;0,"Yes","No"),"")</f>
        <v/>
      </c>
      <c r="C14973" s="11"/>
      <c r="D14973" s="11"/>
      <c r="E14973" s="11"/>
      <c r="F14973" s="11"/>
      <c r="G14973" s="11"/>
      <c r="H14973" s="11"/>
      <c r="I14973" s="15"/>
    </row>
    <row r="14974" spans="1:9" ht="16.5">
      <c r="A14974" s="10" t="b">
        <v>0</v>
      </c>
      <c r="B14974" s="11" t="str">
        <f>IF(D14974&lt;&gt;"",IF(COUNTIF('USPTO TMs'!A:A,D14974)&gt;0,"Yes","No"),"")</f>
        <v/>
      </c>
      <c r="C14974" s="11"/>
      <c r="D14974" s="11"/>
      <c r="E14974" s="11"/>
      <c r="F14974" s="11"/>
      <c r="G14974" s="11"/>
      <c r="H14974" s="11"/>
      <c r="I14974" s="15"/>
    </row>
    <row r="14975" spans="1:9" ht="16.5">
      <c r="A14975" s="10" t="b">
        <v>0</v>
      </c>
      <c r="B14975" s="11" t="str">
        <f>IF(D14975&lt;&gt;"",IF(COUNTIF('USPTO TMs'!A:A,D14975)&gt;0,"Yes","No"),"")</f>
        <v/>
      </c>
      <c r="C14975" s="11"/>
      <c r="D14975" s="11"/>
      <c r="E14975" s="11"/>
      <c r="F14975" s="11"/>
      <c r="G14975" s="11"/>
      <c r="H14975" s="11"/>
      <c r="I14975" s="15"/>
    </row>
    <row r="14976" spans="1:9" ht="16.5">
      <c r="A14976" s="10" t="b">
        <v>0</v>
      </c>
      <c r="B14976" s="11" t="str">
        <f>IF(D14976&lt;&gt;"",IF(COUNTIF('USPTO TMs'!A:A,D14976)&gt;0,"Yes","No"),"")</f>
        <v/>
      </c>
      <c r="C14976" s="11"/>
      <c r="D14976" s="11"/>
      <c r="E14976" s="11"/>
      <c r="F14976" s="11"/>
      <c r="G14976" s="11"/>
      <c r="H14976" s="11"/>
      <c r="I14976" s="15"/>
    </row>
    <row r="14977" spans="1:9" ht="16.5">
      <c r="A14977" s="10" t="b">
        <v>0</v>
      </c>
      <c r="B14977" s="11" t="str">
        <f>IF(D14977&lt;&gt;"",IF(COUNTIF('USPTO TMs'!A:A,D14977)&gt;0,"Yes","No"),"")</f>
        <v/>
      </c>
      <c r="C14977" s="11"/>
      <c r="D14977" s="11"/>
      <c r="E14977" s="11"/>
      <c r="F14977" s="11"/>
      <c r="G14977" s="11"/>
      <c r="H14977" s="11"/>
      <c r="I14977" s="15"/>
    </row>
    <row r="14978" spans="1:9" ht="16.5">
      <c r="A14978" s="10" t="b">
        <v>0</v>
      </c>
      <c r="B14978" s="11" t="str">
        <f>IF(D14978&lt;&gt;"",IF(COUNTIF('USPTO TMs'!A:A,D14978)&gt;0,"Yes","No"),"")</f>
        <v/>
      </c>
      <c r="C14978" s="11"/>
      <c r="D14978" s="11"/>
      <c r="E14978" s="11"/>
      <c r="F14978" s="11"/>
      <c r="G14978" s="11"/>
      <c r="H14978" s="11"/>
      <c r="I14978" s="15"/>
    </row>
    <row r="14979" spans="1:9" ht="16.5">
      <c r="A14979" s="10" t="b">
        <v>0</v>
      </c>
      <c r="B14979" s="11" t="str">
        <f>IF(D14979&lt;&gt;"",IF(COUNTIF('USPTO TMs'!A:A,D14979)&gt;0,"Yes","No"),"")</f>
        <v/>
      </c>
      <c r="C14979" s="11"/>
      <c r="D14979" s="11"/>
      <c r="E14979" s="11"/>
      <c r="F14979" s="11"/>
      <c r="G14979" s="11"/>
      <c r="H14979" s="11"/>
      <c r="I14979" s="15"/>
    </row>
    <row r="14980" spans="1:9" ht="16.5">
      <c r="A14980" s="10" t="b">
        <v>0</v>
      </c>
      <c r="B14980" s="11" t="str">
        <f>IF(D14980&lt;&gt;"",IF(COUNTIF('USPTO TMs'!A:A,D14980)&gt;0,"Yes","No"),"")</f>
        <v/>
      </c>
      <c r="C14980" s="11"/>
      <c r="D14980" s="11"/>
      <c r="E14980" s="11"/>
      <c r="F14980" s="11"/>
      <c r="G14980" s="11"/>
      <c r="H14980" s="11"/>
      <c r="I14980" s="15"/>
    </row>
    <row r="14981" spans="1:9" ht="16.5">
      <c r="A14981" s="10" t="b">
        <v>0</v>
      </c>
      <c r="B14981" s="11" t="str">
        <f>IF(D14981&lt;&gt;"",IF(COUNTIF('USPTO TMs'!A:A,D14981)&gt;0,"Yes","No"),"")</f>
        <v/>
      </c>
      <c r="C14981" s="11"/>
      <c r="D14981" s="11"/>
      <c r="E14981" s="11"/>
      <c r="F14981" s="11"/>
      <c r="G14981" s="11"/>
      <c r="H14981" s="11"/>
      <c r="I14981" s="15"/>
    </row>
    <row r="14982" spans="1:9" ht="16.5">
      <c r="A14982" s="10" t="b">
        <v>0</v>
      </c>
      <c r="B14982" s="11" t="str">
        <f>IF(D14982&lt;&gt;"",IF(COUNTIF('USPTO TMs'!A:A,D14982)&gt;0,"Yes","No"),"")</f>
        <v/>
      </c>
      <c r="C14982" s="11"/>
      <c r="D14982" s="11"/>
      <c r="E14982" s="11"/>
      <c r="F14982" s="11"/>
      <c r="G14982" s="11"/>
      <c r="H14982" s="11"/>
      <c r="I14982" s="15"/>
    </row>
    <row r="14983" spans="1:9" ht="16.5">
      <c r="A14983" s="10" t="b">
        <v>0</v>
      </c>
      <c r="B14983" s="11" t="str">
        <f>IF(D14983&lt;&gt;"",IF(COUNTIF('USPTO TMs'!A:A,D14983)&gt;0,"Yes","No"),"")</f>
        <v/>
      </c>
      <c r="C14983" s="11"/>
      <c r="D14983" s="11"/>
      <c r="E14983" s="11"/>
      <c r="F14983" s="11"/>
      <c r="G14983" s="11"/>
      <c r="H14983" s="11"/>
      <c r="I14983" s="15"/>
    </row>
    <row r="14984" spans="1:9" ht="16.5">
      <c r="A14984" s="10" t="b">
        <v>0</v>
      </c>
      <c r="B14984" s="11" t="str">
        <f>IF(D14984&lt;&gt;"",IF(COUNTIF('USPTO TMs'!A:A,D14984)&gt;0,"Yes","No"),"")</f>
        <v/>
      </c>
      <c r="C14984" s="11"/>
      <c r="D14984" s="11"/>
      <c r="E14984" s="11"/>
      <c r="F14984" s="11"/>
      <c r="G14984" s="11"/>
      <c r="H14984" s="11"/>
      <c r="I14984" s="15"/>
    </row>
    <row r="14985" spans="1:9" ht="16.5">
      <c r="A14985" s="10" t="b">
        <v>0</v>
      </c>
      <c r="B14985" s="11" t="str">
        <f>IF(D14985&lt;&gt;"",IF(COUNTIF('USPTO TMs'!A:A,D14985)&gt;0,"Yes","No"),"")</f>
        <v/>
      </c>
      <c r="C14985" s="11"/>
      <c r="D14985" s="11"/>
      <c r="E14985" s="11"/>
      <c r="F14985" s="11"/>
      <c r="G14985" s="11"/>
      <c r="H14985" s="11"/>
      <c r="I14985" s="15"/>
    </row>
    <row r="14986" spans="1:9" ht="16.5">
      <c r="A14986" s="10" t="b">
        <v>0</v>
      </c>
      <c r="B14986" s="11" t="str">
        <f>IF(D14986&lt;&gt;"",IF(COUNTIF('USPTO TMs'!A:A,D14986)&gt;0,"Yes","No"),"")</f>
        <v/>
      </c>
      <c r="C14986" s="11"/>
      <c r="D14986" s="11"/>
      <c r="E14986" s="11"/>
      <c r="F14986" s="11"/>
      <c r="G14986" s="11"/>
      <c r="H14986" s="11"/>
      <c r="I14986" s="15"/>
    </row>
    <row r="14987" spans="1:9" ht="16.5">
      <c r="A14987" s="10" t="b">
        <v>0</v>
      </c>
      <c r="B14987" s="11" t="str">
        <f>IF(D14987&lt;&gt;"",IF(COUNTIF('USPTO TMs'!A:A,D14987)&gt;0,"Yes","No"),"")</f>
        <v/>
      </c>
      <c r="C14987" s="11"/>
      <c r="D14987" s="11"/>
      <c r="E14987" s="11"/>
      <c r="F14987" s="11"/>
      <c r="G14987" s="11"/>
      <c r="H14987" s="11"/>
      <c r="I14987" s="15"/>
    </row>
    <row r="14988" spans="1:9" ht="16.5">
      <c r="A14988" s="10" t="b">
        <v>0</v>
      </c>
      <c r="B14988" s="11" t="str">
        <f>IF(D14988&lt;&gt;"",IF(COUNTIF('USPTO TMs'!A:A,D14988)&gt;0,"Yes","No"),"")</f>
        <v/>
      </c>
      <c r="C14988" s="11"/>
      <c r="D14988" s="11"/>
      <c r="E14988" s="11"/>
      <c r="F14988" s="11"/>
      <c r="G14988" s="11"/>
      <c r="H14988" s="11"/>
      <c r="I14988" s="15"/>
    </row>
    <row r="14989" spans="1:9" ht="16.5">
      <c r="A14989" s="10" t="b">
        <v>0</v>
      </c>
      <c r="B14989" s="11" t="str">
        <f>IF(D14989&lt;&gt;"",IF(COUNTIF('USPTO TMs'!A:A,D14989)&gt;0,"Yes","No"),"")</f>
        <v/>
      </c>
      <c r="C14989" s="11"/>
      <c r="D14989" s="11"/>
      <c r="E14989" s="11"/>
      <c r="F14989" s="11"/>
      <c r="G14989" s="11"/>
      <c r="H14989" s="11"/>
      <c r="I14989" s="15"/>
    </row>
    <row r="14990" spans="1:9" ht="16.5">
      <c r="A14990" s="10" t="b">
        <v>0</v>
      </c>
      <c r="B14990" s="11" t="str">
        <f>IF(D14990&lt;&gt;"",IF(COUNTIF('USPTO TMs'!A:A,D14990)&gt;0,"Yes","No"),"")</f>
        <v/>
      </c>
      <c r="C14990" s="11"/>
      <c r="D14990" s="11"/>
      <c r="E14990" s="11"/>
      <c r="F14990" s="11"/>
      <c r="G14990" s="11"/>
      <c r="H14990" s="11"/>
      <c r="I14990" s="15"/>
    </row>
    <row r="14991" spans="1:9" ht="16.5">
      <c r="A14991" s="10" t="b">
        <v>0</v>
      </c>
      <c r="B14991" s="11" t="str">
        <f>IF(D14991&lt;&gt;"",IF(COUNTIF('USPTO TMs'!A:A,D14991)&gt;0,"Yes","No"),"")</f>
        <v/>
      </c>
      <c r="C14991" s="11"/>
      <c r="D14991" s="11"/>
      <c r="E14991" s="11"/>
      <c r="F14991" s="11"/>
      <c r="G14991" s="11"/>
      <c r="H14991" s="11"/>
      <c r="I14991" s="15"/>
    </row>
    <row r="14992" spans="1:9" ht="16.5">
      <c r="A14992" s="10" t="b">
        <v>0</v>
      </c>
      <c r="B14992" s="11" t="str">
        <f>IF(D14992&lt;&gt;"",IF(COUNTIF('USPTO TMs'!A:A,D14992)&gt;0,"Yes","No"),"")</f>
        <v/>
      </c>
      <c r="C14992" s="11"/>
      <c r="D14992" s="11"/>
      <c r="E14992" s="11"/>
      <c r="F14992" s="11"/>
      <c r="G14992" s="11"/>
      <c r="H14992" s="11"/>
      <c r="I14992" s="15"/>
    </row>
    <row r="14993" spans="1:9" ht="16.5">
      <c r="A14993" s="10" t="b">
        <v>0</v>
      </c>
      <c r="B14993" s="11" t="str">
        <f>IF(D14993&lt;&gt;"",IF(COUNTIF('USPTO TMs'!A:A,D14993)&gt;0,"Yes","No"),"")</f>
        <v/>
      </c>
      <c r="C14993" s="11"/>
      <c r="D14993" s="11"/>
      <c r="E14993" s="11"/>
      <c r="F14993" s="11"/>
      <c r="G14993" s="11"/>
      <c r="H14993" s="11"/>
      <c r="I14993" s="15"/>
    </row>
    <row r="14994" spans="1:9" ht="16.5">
      <c r="A14994" s="10" t="b">
        <v>0</v>
      </c>
      <c r="B14994" s="11" t="str">
        <f>IF(D14994&lt;&gt;"",IF(COUNTIF('USPTO TMs'!A:A,D14994)&gt;0,"Yes","No"),"")</f>
        <v/>
      </c>
      <c r="C14994" s="11"/>
      <c r="D14994" s="11"/>
      <c r="E14994" s="11"/>
      <c r="F14994" s="11"/>
      <c r="G14994" s="11"/>
      <c r="H14994" s="11"/>
      <c r="I14994" s="15"/>
    </row>
    <row r="14995" spans="1:9" ht="16.5">
      <c r="A14995" s="10" t="b">
        <v>0</v>
      </c>
      <c r="B14995" s="11" t="str">
        <f>IF(D14995&lt;&gt;"",IF(COUNTIF('USPTO TMs'!A:A,D14995)&gt;0,"Yes","No"),"")</f>
        <v/>
      </c>
      <c r="C14995" s="11"/>
      <c r="D14995" s="11"/>
      <c r="E14995" s="11"/>
      <c r="F14995" s="11"/>
      <c r="G14995" s="11"/>
      <c r="H14995" s="11"/>
      <c r="I14995" s="15"/>
    </row>
    <row r="14996" spans="1:9" ht="16.5">
      <c r="A14996" s="10" t="b">
        <v>0</v>
      </c>
      <c r="B14996" s="11" t="str">
        <f>IF(D14996&lt;&gt;"",IF(COUNTIF('USPTO TMs'!A:A,D14996)&gt;0,"Yes","No"),"")</f>
        <v/>
      </c>
      <c r="C14996" s="11"/>
      <c r="D14996" s="11"/>
      <c r="E14996" s="11"/>
      <c r="F14996" s="11"/>
      <c r="G14996" s="11"/>
      <c r="H14996" s="11"/>
      <c r="I14996" s="15"/>
    </row>
    <row r="14997" spans="1:9" ht="16.5">
      <c r="A14997" s="10" t="b">
        <v>0</v>
      </c>
      <c r="B14997" s="11" t="str">
        <f>IF(D14997&lt;&gt;"",IF(COUNTIF('USPTO TMs'!A:A,D14997)&gt;0,"Yes","No"),"")</f>
        <v/>
      </c>
      <c r="C14997" s="11"/>
      <c r="D14997" s="11"/>
      <c r="E14997" s="11"/>
      <c r="F14997" s="11"/>
      <c r="G14997" s="11"/>
      <c r="H14997" s="11"/>
      <c r="I14997" s="15"/>
    </row>
    <row r="14998" spans="1:9" ht="16.5">
      <c r="A14998" s="10" t="b">
        <v>0</v>
      </c>
      <c r="B14998" s="11" t="str">
        <f>IF(D14998&lt;&gt;"",IF(COUNTIF('USPTO TMs'!A:A,D14998)&gt;0,"Yes","No"),"")</f>
        <v/>
      </c>
      <c r="C14998" s="11"/>
      <c r="D14998" s="11"/>
      <c r="E14998" s="11"/>
      <c r="F14998" s="11"/>
      <c r="G14998" s="11"/>
      <c r="H14998" s="11"/>
      <c r="I14998" s="15"/>
    </row>
    <row r="14999" spans="1:9" ht="16.5">
      <c r="A14999" s="10" t="b">
        <v>0</v>
      </c>
      <c r="B14999" s="11" t="str">
        <f>IF(D14999&lt;&gt;"",IF(COUNTIF('USPTO TMs'!A:A,D14999)&gt;0,"Yes","No"),"")</f>
        <v/>
      </c>
      <c r="C14999" s="11"/>
      <c r="D14999" s="11"/>
      <c r="E14999" s="11"/>
      <c r="F14999" s="11"/>
      <c r="G14999" s="11"/>
      <c r="H14999" s="11"/>
      <c r="I14999" s="15"/>
    </row>
    <row r="15000" spans="1:9" ht="16.5">
      <c r="A15000" s="10" t="b">
        <v>0</v>
      </c>
      <c r="B15000" s="11" t="str">
        <f>IF(D15000&lt;&gt;"",IF(COUNTIF('USPTO TMs'!A:A,D15000)&gt;0,"Yes","No"),"")</f>
        <v/>
      </c>
      <c r="C15000" s="11"/>
      <c r="D15000" s="11"/>
      <c r="E15000" s="11"/>
      <c r="F15000" s="11"/>
      <c r="G15000" s="11"/>
      <c r="H15000" s="11"/>
      <c r="I15000" s="15"/>
    </row>
    <row r="15001" spans="1:9" ht="16.5">
      <c r="A15001" s="10" t="b">
        <v>0</v>
      </c>
      <c r="B15001" s="11" t="str">
        <f>IF(D15001&lt;&gt;"",IF(COUNTIF('USPTO TMs'!A:A,D15001)&gt;0,"Yes","No"),"")</f>
        <v/>
      </c>
      <c r="C15001" s="11"/>
      <c r="D15001" s="11"/>
      <c r="E15001" s="11"/>
      <c r="F15001" s="11"/>
      <c r="G15001" s="11"/>
      <c r="H15001" s="11"/>
      <c r="I15001" s="15"/>
    </row>
    <row r="15002" spans="1:9" ht="16.5">
      <c r="A15002" s="10" t="b">
        <v>0</v>
      </c>
      <c r="B15002" s="11" t="str">
        <f>IF(D15002&lt;&gt;"",IF(COUNTIF('USPTO TMs'!A:A,D15002)&gt;0,"Yes","No"),"")</f>
        <v/>
      </c>
      <c r="C15002" s="11"/>
      <c r="D15002" s="11"/>
      <c r="E15002" s="11"/>
      <c r="F15002" s="11"/>
      <c r="G15002" s="11"/>
      <c r="H15002" s="11"/>
      <c r="I15002" s="15"/>
    </row>
    <row r="15003" spans="1:9" ht="16.5">
      <c r="A15003" s="10" t="b">
        <v>0</v>
      </c>
      <c r="B15003" s="11" t="str">
        <f>IF(D15003&lt;&gt;"",IF(COUNTIF('USPTO TMs'!A:A,D15003)&gt;0,"Yes","No"),"")</f>
        <v/>
      </c>
      <c r="C15003" s="11"/>
      <c r="D15003" s="11"/>
      <c r="E15003" s="11"/>
      <c r="F15003" s="11"/>
      <c r="G15003" s="11"/>
      <c r="H15003" s="11"/>
      <c r="I15003" s="15"/>
    </row>
    <row r="15004" spans="1:9" ht="16.5">
      <c r="A15004" s="10" t="b">
        <v>0</v>
      </c>
      <c r="B15004" s="11" t="str">
        <f>IF(D15004&lt;&gt;"",IF(COUNTIF('USPTO TMs'!A:A,D15004)&gt;0,"Yes","No"),"")</f>
        <v/>
      </c>
      <c r="C15004" s="11"/>
      <c r="D15004" s="11"/>
      <c r="E15004" s="11"/>
      <c r="F15004" s="11"/>
      <c r="G15004" s="11"/>
      <c r="H15004" s="11"/>
      <c r="I15004" s="15"/>
    </row>
    <row r="15005" spans="1:9" ht="16.5">
      <c r="A15005" s="10" t="b">
        <v>0</v>
      </c>
      <c r="B15005" s="11" t="str">
        <f>IF(D15005&lt;&gt;"",IF(COUNTIF('USPTO TMs'!A:A,D15005)&gt;0,"Yes","No"),"")</f>
        <v/>
      </c>
      <c r="C15005" s="11"/>
      <c r="D15005" s="11"/>
      <c r="E15005" s="11"/>
      <c r="F15005" s="11"/>
      <c r="G15005" s="11"/>
      <c r="H15005" s="11"/>
      <c r="I15005" s="15"/>
    </row>
    <row r="15006" spans="1:9" ht="16.5">
      <c r="A15006" s="10" t="b">
        <v>0</v>
      </c>
      <c r="B15006" s="11" t="str">
        <f>IF(D15006&lt;&gt;"",IF(COUNTIF('USPTO TMs'!A:A,D15006)&gt;0,"Yes","No"),"")</f>
        <v/>
      </c>
      <c r="C15006" s="11"/>
      <c r="D15006" s="11"/>
      <c r="E15006" s="11"/>
      <c r="F15006" s="11"/>
      <c r="G15006" s="11"/>
      <c r="H15006" s="11"/>
      <c r="I15006" s="15"/>
    </row>
    <row r="15007" spans="1:9" ht="16.5">
      <c r="A15007" s="10" t="b">
        <v>0</v>
      </c>
      <c r="B15007" s="11" t="str">
        <f>IF(D15007&lt;&gt;"",IF(COUNTIF('USPTO TMs'!A:A,D15007)&gt;0,"Yes","No"),"")</f>
        <v/>
      </c>
      <c r="C15007" s="11"/>
      <c r="D15007" s="11"/>
      <c r="E15007" s="11"/>
      <c r="F15007" s="11"/>
      <c r="G15007" s="11"/>
      <c r="H15007" s="11"/>
      <c r="I15007" s="15"/>
    </row>
    <row r="15008" spans="1:9" ht="16.5">
      <c r="A15008" s="10" t="b">
        <v>0</v>
      </c>
      <c r="B15008" s="11" t="str">
        <f>IF(D15008&lt;&gt;"",IF(COUNTIF('USPTO TMs'!A:A,D15008)&gt;0,"Yes","No"),"")</f>
        <v/>
      </c>
      <c r="C15008" s="11"/>
      <c r="D15008" s="11"/>
      <c r="E15008" s="11"/>
      <c r="F15008" s="11"/>
      <c r="G15008" s="11"/>
      <c r="H15008" s="11"/>
      <c r="I15008" s="15"/>
    </row>
    <row r="15009" spans="1:9" ht="16.5">
      <c r="A15009" s="10" t="b">
        <v>0</v>
      </c>
      <c r="B15009" s="11" t="str">
        <f>IF(D15009&lt;&gt;"",IF(COUNTIF('USPTO TMs'!A:A,D15009)&gt;0,"Yes","No"),"")</f>
        <v/>
      </c>
      <c r="C15009" s="11"/>
      <c r="D15009" s="11"/>
      <c r="E15009" s="11"/>
      <c r="F15009" s="11"/>
      <c r="G15009" s="11"/>
      <c r="H15009" s="11"/>
      <c r="I15009" s="15"/>
    </row>
    <row r="15010" spans="1:9" ht="16.5">
      <c r="A15010" s="10" t="b">
        <v>0</v>
      </c>
      <c r="B15010" s="11" t="str">
        <f>IF(D15010&lt;&gt;"",IF(COUNTIF('USPTO TMs'!A:A,D15010)&gt;0,"Yes","No"),"")</f>
        <v/>
      </c>
      <c r="C15010" s="11"/>
      <c r="D15010" s="11"/>
      <c r="E15010" s="11"/>
      <c r="F15010" s="11"/>
      <c r="G15010" s="11"/>
      <c r="H15010" s="11"/>
      <c r="I15010" s="15"/>
    </row>
    <row r="15011" spans="1:9" ht="16.5">
      <c r="A15011" s="10" t="b">
        <v>0</v>
      </c>
      <c r="B15011" s="11" t="str">
        <f>IF(D15011&lt;&gt;"",IF(COUNTIF('USPTO TMs'!A:A,D15011)&gt;0,"Yes","No"),"")</f>
        <v/>
      </c>
      <c r="C15011" s="11"/>
      <c r="D15011" s="11"/>
      <c r="E15011" s="11"/>
      <c r="F15011" s="11"/>
      <c r="G15011" s="11"/>
      <c r="H15011" s="11"/>
      <c r="I15011" s="15"/>
    </row>
    <row r="15012" spans="1:9" ht="16.5">
      <c r="A15012" s="10" t="b">
        <v>0</v>
      </c>
      <c r="B15012" s="11" t="str">
        <f>IF(D15012&lt;&gt;"",IF(COUNTIF('USPTO TMs'!A:A,D15012)&gt;0,"Yes","No"),"")</f>
        <v/>
      </c>
      <c r="C15012" s="11"/>
      <c r="D15012" s="11"/>
      <c r="E15012" s="11"/>
      <c r="F15012" s="11"/>
      <c r="G15012" s="11"/>
      <c r="H15012" s="11"/>
      <c r="I15012" s="15"/>
    </row>
    <row r="15013" spans="1:9" ht="16.5">
      <c r="A15013" s="10" t="b">
        <v>0</v>
      </c>
      <c r="B15013" s="11" t="str">
        <f>IF(D15013&lt;&gt;"",IF(COUNTIF('USPTO TMs'!A:A,D15013)&gt;0,"Yes","No"),"")</f>
        <v/>
      </c>
      <c r="C15013" s="11"/>
      <c r="D15013" s="11"/>
      <c r="E15013" s="11"/>
      <c r="F15013" s="11"/>
      <c r="G15013" s="11"/>
      <c r="H15013" s="11"/>
      <c r="I15013" s="15"/>
    </row>
    <row r="15014" spans="1:9" ht="16.5">
      <c r="A15014" s="10" t="b">
        <v>0</v>
      </c>
      <c r="B15014" s="11" t="str">
        <f>IF(D15014&lt;&gt;"",IF(COUNTIF('USPTO TMs'!A:A,D15014)&gt;0,"Yes","No"),"")</f>
        <v/>
      </c>
      <c r="C15014" s="11"/>
      <c r="D15014" s="11"/>
      <c r="E15014" s="11"/>
      <c r="F15014" s="11"/>
      <c r="G15014" s="11"/>
      <c r="H15014" s="11"/>
      <c r="I15014" s="15"/>
    </row>
    <row r="15015" spans="1:9" ht="16.5">
      <c r="A15015" s="10" t="b">
        <v>0</v>
      </c>
      <c r="B15015" s="11" t="str">
        <f>IF(D15015&lt;&gt;"",IF(COUNTIF('USPTO TMs'!A:A,D15015)&gt;0,"Yes","No"),"")</f>
        <v/>
      </c>
      <c r="C15015" s="11"/>
      <c r="D15015" s="11"/>
      <c r="E15015" s="11"/>
      <c r="F15015" s="11"/>
      <c r="G15015" s="11"/>
      <c r="H15015" s="11"/>
      <c r="I15015" s="15"/>
    </row>
    <row r="15016" spans="1:9" ht="16.5">
      <c r="A15016" s="10" t="b">
        <v>0</v>
      </c>
      <c r="B15016" s="11" t="str">
        <f>IF(D15016&lt;&gt;"",IF(COUNTIF('USPTO TMs'!A:A,D15016)&gt;0,"Yes","No"),"")</f>
        <v/>
      </c>
      <c r="C15016" s="11"/>
      <c r="D15016" s="11"/>
      <c r="E15016" s="11"/>
      <c r="F15016" s="11"/>
      <c r="G15016" s="11"/>
      <c r="H15016" s="11"/>
      <c r="I15016" s="15"/>
    </row>
    <row r="15017" spans="1:9" ht="16.5">
      <c r="A15017" s="10" t="b">
        <v>0</v>
      </c>
      <c r="B15017" s="11" t="str">
        <f>IF(D15017&lt;&gt;"",IF(COUNTIF('USPTO TMs'!A:A,D15017)&gt;0,"Yes","No"),"")</f>
        <v/>
      </c>
      <c r="C15017" s="11"/>
      <c r="D15017" s="11"/>
      <c r="E15017" s="11"/>
      <c r="F15017" s="11"/>
      <c r="G15017" s="11"/>
      <c r="H15017" s="11"/>
      <c r="I15017" s="15"/>
    </row>
    <row r="15018" spans="1:9" ht="16.5">
      <c r="A15018" s="10" t="b">
        <v>0</v>
      </c>
      <c r="B15018" s="11" t="str">
        <f>IF(D15018&lt;&gt;"",IF(COUNTIF('USPTO TMs'!A:A,D15018)&gt;0,"Yes","No"),"")</f>
        <v/>
      </c>
      <c r="C15018" s="11"/>
      <c r="D15018" s="11"/>
      <c r="E15018" s="11"/>
      <c r="F15018" s="11"/>
      <c r="G15018" s="11"/>
      <c r="H15018" s="11"/>
      <c r="I15018" s="15"/>
    </row>
    <row r="15019" spans="1:9" ht="16.5">
      <c r="A15019" s="10" t="b">
        <v>0</v>
      </c>
      <c r="B15019" s="11" t="str">
        <f>IF(D15019&lt;&gt;"",IF(COUNTIF('USPTO TMs'!A:A,D15019)&gt;0,"Yes","No"),"")</f>
        <v/>
      </c>
      <c r="C15019" s="11"/>
      <c r="D15019" s="11"/>
      <c r="E15019" s="11"/>
      <c r="F15019" s="11"/>
      <c r="G15019" s="11"/>
      <c r="H15019" s="11"/>
      <c r="I15019" s="15"/>
    </row>
    <row r="15020" spans="1:9" ht="16.5">
      <c r="A15020" s="10" t="b">
        <v>0</v>
      </c>
      <c r="B15020" s="11" t="str">
        <f>IF(D15020&lt;&gt;"",IF(COUNTIF('USPTO TMs'!A:A,D15020)&gt;0,"Yes","No"),"")</f>
        <v/>
      </c>
      <c r="C15020" s="11"/>
      <c r="D15020" s="11"/>
      <c r="E15020" s="11"/>
      <c r="F15020" s="11"/>
      <c r="G15020" s="11"/>
      <c r="H15020" s="11"/>
      <c r="I15020" s="15"/>
    </row>
    <row r="15021" spans="1:9" ht="16.5">
      <c r="A15021" s="10" t="b">
        <v>0</v>
      </c>
      <c r="B15021" s="11" t="str">
        <f>IF(D15021&lt;&gt;"",IF(COUNTIF('USPTO TMs'!A:A,D15021)&gt;0,"Yes","No"),"")</f>
        <v/>
      </c>
      <c r="C15021" s="11"/>
      <c r="D15021" s="11"/>
      <c r="E15021" s="11"/>
      <c r="F15021" s="11"/>
      <c r="G15021" s="11"/>
      <c r="H15021" s="11"/>
      <c r="I15021" s="15"/>
    </row>
    <row r="15022" spans="1:9" ht="16.5">
      <c r="A15022" s="10" t="b">
        <v>0</v>
      </c>
      <c r="B15022" s="11" t="str">
        <f>IF(D15022&lt;&gt;"",IF(COUNTIF('USPTO TMs'!A:A,D15022)&gt;0,"Yes","No"),"")</f>
        <v/>
      </c>
      <c r="C15022" s="11"/>
      <c r="D15022" s="11"/>
      <c r="E15022" s="11"/>
      <c r="F15022" s="11"/>
      <c r="G15022" s="11"/>
      <c r="H15022" s="11"/>
      <c r="I15022" s="15"/>
    </row>
    <row r="15023" spans="1:9" ht="16.5">
      <c r="A15023" s="10" t="b">
        <v>0</v>
      </c>
      <c r="B15023" s="11" t="str">
        <f>IF(D15023&lt;&gt;"",IF(COUNTIF('USPTO TMs'!A:A,D15023)&gt;0,"Yes","No"),"")</f>
        <v/>
      </c>
      <c r="C15023" s="11"/>
      <c r="D15023" s="11"/>
      <c r="E15023" s="11"/>
      <c r="F15023" s="11"/>
      <c r="G15023" s="11"/>
      <c r="H15023" s="11"/>
      <c r="I15023" s="15"/>
    </row>
    <row r="15024" spans="1:9" ht="16.5">
      <c r="A15024" s="10" t="b">
        <v>0</v>
      </c>
      <c r="B15024" s="11" t="str">
        <f>IF(D15024&lt;&gt;"",IF(COUNTIF('USPTO TMs'!A:A,D15024)&gt;0,"Yes","No"),"")</f>
        <v/>
      </c>
      <c r="C15024" s="11"/>
      <c r="D15024" s="11"/>
      <c r="E15024" s="11"/>
      <c r="F15024" s="11"/>
      <c r="G15024" s="11"/>
      <c r="H15024" s="11"/>
      <c r="I15024" s="15"/>
    </row>
    <row r="15025" spans="1:9" ht="16.5">
      <c r="A15025" s="10" t="b">
        <v>0</v>
      </c>
      <c r="B15025" s="11" t="str">
        <f>IF(D15025&lt;&gt;"",IF(COUNTIF('USPTO TMs'!A:A,D15025)&gt;0,"Yes","No"),"")</f>
        <v/>
      </c>
      <c r="C15025" s="11"/>
      <c r="D15025" s="11"/>
      <c r="E15025" s="11"/>
      <c r="F15025" s="11"/>
      <c r="G15025" s="11"/>
      <c r="H15025" s="11"/>
      <c r="I15025" s="15"/>
    </row>
    <row r="15026" spans="1:9" ht="16.5">
      <c r="A15026" s="10" t="b">
        <v>0</v>
      </c>
      <c r="B15026" s="11" t="str">
        <f>IF(D15026&lt;&gt;"",IF(COUNTIF('USPTO TMs'!A:A,D15026)&gt;0,"Yes","No"),"")</f>
        <v/>
      </c>
      <c r="C15026" s="11"/>
      <c r="D15026" s="11"/>
      <c r="E15026" s="11"/>
      <c r="F15026" s="11"/>
      <c r="G15026" s="11"/>
      <c r="H15026" s="11"/>
      <c r="I15026" s="15"/>
    </row>
    <row r="15027" spans="1:9" ht="16.5">
      <c r="A15027" s="10" t="b">
        <v>0</v>
      </c>
      <c r="B15027" s="11" t="str">
        <f>IF(D15027&lt;&gt;"",IF(COUNTIF('USPTO TMs'!A:A,D15027)&gt;0,"Yes","No"),"")</f>
        <v/>
      </c>
      <c r="C15027" s="11"/>
      <c r="D15027" s="11"/>
      <c r="E15027" s="11"/>
      <c r="F15027" s="11"/>
      <c r="G15027" s="11"/>
      <c r="H15027" s="11"/>
      <c r="I15027" s="15"/>
    </row>
    <row r="15028" spans="1:9" ht="16.5">
      <c r="A15028" s="10" t="b">
        <v>0</v>
      </c>
      <c r="B15028" s="11" t="str">
        <f>IF(D15028&lt;&gt;"",IF(COUNTIF('USPTO TMs'!A:A,D15028)&gt;0,"Yes","No"),"")</f>
        <v/>
      </c>
      <c r="C15028" s="11"/>
      <c r="D15028" s="11"/>
      <c r="E15028" s="11"/>
      <c r="F15028" s="11"/>
      <c r="G15028" s="11"/>
      <c r="H15028" s="11"/>
      <c r="I15028" s="15"/>
    </row>
    <row r="15029" spans="1:9" ht="16.5">
      <c r="A15029" s="10" t="b">
        <v>0</v>
      </c>
      <c r="B15029" s="11" t="str">
        <f>IF(D15029&lt;&gt;"",IF(COUNTIF('USPTO TMs'!A:A,D15029)&gt;0,"Yes","No"),"")</f>
        <v/>
      </c>
      <c r="C15029" s="11"/>
      <c r="D15029" s="11"/>
      <c r="E15029" s="11"/>
      <c r="F15029" s="11"/>
      <c r="G15029" s="11"/>
      <c r="H15029" s="11"/>
      <c r="I15029" s="15"/>
    </row>
    <row r="15030" spans="1:9" ht="16.5">
      <c r="A15030" s="10" t="b">
        <v>0</v>
      </c>
      <c r="B15030" s="11" t="str">
        <f>IF(D15030&lt;&gt;"",IF(COUNTIF('USPTO TMs'!A:A,D15030)&gt;0,"Yes","No"),"")</f>
        <v/>
      </c>
      <c r="C15030" s="11"/>
      <c r="D15030" s="11"/>
      <c r="E15030" s="11"/>
      <c r="F15030" s="11"/>
      <c r="G15030" s="11"/>
      <c r="H15030" s="11"/>
      <c r="I15030" s="15"/>
    </row>
    <row r="15031" spans="1:9" ht="16.5">
      <c r="A15031" s="10" t="b">
        <v>0</v>
      </c>
      <c r="B15031" s="11" t="str">
        <f>IF(D15031&lt;&gt;"",IF(COUNTIF('USPTO TMs'!A:A,D15031)&gt;0,"Yes","No"),"")</f>
        <v/>
      </c>
      <c r="C15031" s="11"/>
      <c r="D15031" s="11"/>
      <c r="E15031" s="11"/>
      <c r="F15031" s="11"/>
      <c r="G15031" s="11"/>
      <c r="H15031" s="11"/>
      <c r="I15031" s="15"/>
    </row>
    <row r="15032" spans="1:9" ht="16.5">
      <c r="A15032" s="10" t="b">
        <v>0</v>
      </c>
      <c r="B15032" s="11" t="str">
        <f>IF(D15032&lt;&gt;"",IF(COUNTIF('USPTO TMs'!A:A,D15032)&gt;0,"Yes","No"),"")</f>
        <v/>
      </c>
      <c r="C15032" s="11"/>
      <c r="D15032" s="11"/>
      <c r="E15032" s="11"/>
      <c r="F15032" s="11"/>
      <c r="G15032" s="11"/>
      <c r="H15032" s="11"/>
      <c r="I15032" s="15"/>
    </row>
    <row r="15033" spans="1:9" ht="16.5">
      <c r="A15033" s="10" t="b">
        <v>0</v>
      </c>
      <c r="B15033" s="11" t="str">
        <f>IF(D15033&lt;&gt;"",IF(COUNTIF('USPTO TMs'!A:A,D15033)&gt;0,"Yes","No"),"")</f>
        <v/>
      </c>
      <c r="C15033" s="11"/>
      <c r="D15033" s="11"/>
      <c r="E15033" s="11"/>
      <c r="F15033" s="11"/>
      <c r="G15033" s="11"/>
      <c r="H15033" s="11"/>
      <c r="I15033" s="15"/>
    </row>
    <row r="15034" spans="1:9" ht="16.5">
      <c r="A15034" s="10" t="b">
        <v>0</v>
      </c>
      <c r="B15034" s="11" t="str">
        <f>IF(D15034&lt;&gt;"",IF(COUNTIF('USPTO TMs'!A:A,D15034)&gt;0,"Yes","No"),"")</f>
        <v/>
      </c>
      <c r="C15034" s="11"/>
      <c r="D15034" s="11"/>
      <c r="E15034" s="11"/>
      <c r="F15034" s="11"/>
      <c r="G15034" s="11"/>
      <c r="H15034" s="11"/>
      <c r="I15034" s="15"/>
    </row>
    <row r="15035" spans="1:9" ht="16.5">
      <c r="A15035" s="10" t="b">
        <v>0</v>
      </c>
      <c r="B15035" s="11" t="str">
        <f>IF(D15035&lt;&gt;"",IF(COUNTIF('USPTO TMs'!A:A,D15035)&gt;0,"Yes","No"),"")</f>
        <v/>
      </c>
      <c r="C15035" s="11"/>
      <c r="D15035" s="11"/>
      <c r="E15035" s="11"/>
      <c r="F15035" s="11"/>
      <c r="G15035" s="11"/>
      <c r="H15035" s="11"/>
      <c r="I15035" s="15"/>
    </row>
    <row r="15036" spans="1:9" ht="16.5">
      <c r="A15036" s="10" t="b">
        <v>0</v>
      </c>
      <c r="B15036" s="11" t="str">
        <f>IF(D15036&lt;&gt;"",IF(COUNTIF('USPTO TMs'!A:A,D15036)&gt;0,"Yes","No"),"")</f>
        <v/>
      </c>
      <c r="C15036" s="11"/>
      <c r="D15036" s="11"/>
      <c r="E15036" s="11"/>
      <c r="F15036" s="11"/>
      <c r="G15036" s="11"/>
      <c r="H15036" s="11"/>
      <c r="I15036" s="15"/>
    </row>
    <row r="15037" spans="1:9" ht="16.5">
      <c r="A15037" s="10" t="b">
        <v>0</v>
      </c>
      <c r="B15037" s="11" t="str">
        <f>IF(D15037&lt;&gt;"",IF(COUNTIF('USPTO TMs'!A:A,D15037)&gt;0,"Yes","No"),"")</f>
        <v/>
      </c>
      <c r="C15037" s="11"/>
      <c r="D15037" s="11"/>
      <c r="E15037" s="11"/>
      <c r="F15037" s="11"/>
      <c r="G15037" s="11"/>
      <c r="H15037" s="11"/>
      <c r="I15037" s="15"/>
    </row>
    <row r="15038" spans="1:9" ht="16.5">
      <c r="A15038" s="10" t="b">
        <v>0</v>
      </c>
      <c r="B15038" s="11" t="str">
        <f>IF(D15038&lt;&gt;"",IF(COUNTIF('USPTO TMs'!A:A,D15038)&gt;0,"Yes","No"),"")</f>
        <v/>
      </c>
      <c r="C15038" s="11"/>
      <c r="D15038" s="11"/>
      <c r="E15038" s="11"/>
      <c r="F15038" s="11"/>
      <c r="G15038" s="11"/>
      <c r="H15038" s="11"/>
      <c r="I15038" s="15"/>
    </row>
    <row r="15039" spans="1:9" ht="16.5">
      <c r="A15039" s="10" t="b">
        <v>0</v>
      </c>
      <c r="B15039" s="11" t="str">
        <f>IF(D15039&lt;&gt;"",IF(COUNTIF('USPTO TMs'!A:A,D15039)&gt;0,"Yes","No"),"")</f>
        <v/>
      </c>
      <c r="C15039" s="11"/>
      <c r="D15039" s="11"/>
      <c r="E15039" s="11"/>
      <c r="F15039" s="11"/>
      <c r="G15039" s="11"/>
      <c r="H15039" s="11"/>
      <c r="I15039" s="15"/>
    </row>
    <row r="15040" spans="1:9" ht="16.5">
      <c r="A15040" s="10" t="b">
        <v>0</v>
      </c>
      <c r="B15040" s="11" t="str">
        <f>IF(D15040&lt;&gt;"",IF(COUNTIF('USPTO TMs'!A:A,D15040)&gt;0,"Yes","No"),"")</f>
        <v/>
      </c>
      <c r="C15040" s="11"/>
      <c r="D15040" s="11"/>
      <c r="E15040" s="11"/>
      <c r="F15040" s="11"/>
      <c r="G15040" s="11"/>
      <c r="H15040" s="11"/>
      <c r="I15040" s="15"/>
    </row>
    <row r="15041" spans="1:9" ht="16.5">
      <c r="A15041" s="10" t="b">
        <v>0</v>
      </c>
      <c r="B15041" s="11" t="str">
        <f>IF(D15041&lt;&gt;"",IF(COUNTIF('USPTO TMs'!A:A,D15041)&gt;0,"Yes","No"),"")</f>
        <v/>
      </c>
      <c r="C15041" s="11"/>
      <c r="D15041" s="11"/>
      <c r="E15041" s="11"/>
      <c r="F15041" s="11"/>
      <c r="G15041" s="11"/>
      <c r="H15041" s="11"/>
      <c r="I15041" s="15"/>
    </row>
    <row r="15042" spans="1:9" ht="16.5">
      <c r="A15042" s="10" t="b">
        <v>0</v>
      </c>
      <c r="B15042" s="11" t="str">
        <f>IF(D15042&lt;&gt;"",IF(COUNTIF('USPTO TMs'!A:A,D15042)&gt;0,"Yes","No"),"")</f>
        <v/>
      </c>
      <c r="C15042" s="11"/>
      <c r="D15042" s="11"/>
      <c r="E15042" s="11"/>
      <c r="F15042" s="11"/>
      <c r="G15042" s="11"/>
      <c r="H15042" s="11"/>
      <c r="I15042" s="15"/>
    </row>
    <row r="15043" spans="1:9" ht="16.5">
      <c r="A15043" s="10" t="b">
        <v>0</v>
      </c>
      <c r="B15043" s="11" t="str">
        <f>IF(D15043&lt;&gt;"",IF(COUNTIF('USPTO TMs'!A:A,D15043)&gt;0,"Yes","No"),"")</f>
        <v/>
      </c>
      <c r="C15043" s="11"/>
      <c r="D15043" s="11"/>
      <c r="E15043" s="11"/>
      <c r="F15043" s="11"/>
      <c r="G15043" s="11"/>
      <c r="H15043" s="11"/>
      <c r="I15043" s="15"/>
    </row>
    <row r="15044" spans="1:9" ht="16.5">
      <c r="A15044" s="10" t="b">
        <v>0</v>
      </c>
      <c r="B15044" s="11" t="str">
        <f>IF(D15044&lt;&gt;"",IF(COUNTIF('USPTO TMs'!A:A,D15044)&gt;0,"Yes","No"),"")</f>
        <v/>
      </c>
      <c r="C15044" s="11"/>
      <c r="D15044" s="11"/>
      <c r="E15044" s="11"/>
      <c r="F15044" s="11"/>
      <c r="G15044" s="11"/>
      <c r="H15044" s="11"/>
      <c r="I15044" s="15"/>
    </row>
    <row r="15045" spans="1:9" ht="16.5">
      <c r="A15045" s="10" t="b">
        <v>0</v>
      </c>
      <c r="B15045" s="11" t="str">
        <f>IF(D15045&lt;&gt;"",IF(COUNTIF('USPTO TMs'!A:A,D15045)&gt;0,"Yes","No"),"")</f>
        <v/>
      </c>
      <c r="C15045" s="11"/>
      <c r="D15045" s="11"/>
      <c r="E15045" s="11"/>
      <c r="F15045" s="11"/>
      <c r="G15045" s="11"/>
      <c r="H15045" s="11"/>
      <c r="I15045" s="15"/>
    </row>
    <row r="15046" spans="1:9" ht="16.5">
      <c r="A15046" s="10" t="b">
        <v>0</v>
      </c>
      <c r="B15046" s="11" t="str">
        <f>IF(D15046&lt;&gt;"",IF(COUNTIF('USPTO TMs'!A:A,D15046)&gt;0,"Yes","No"),"")</f>
        <v/>
      </c>
      <c r="C15046" s="11"/>
      <c r="D15046" s="11"/>
      <c r="E15046" s="11"/>
      <c r="F15046" s="11"/>
      <c r="G15046" s="11"/>
      <c r="H15046" s="11"/>
      <c r="I15046" s="15"/>
    </row>
    <row r="15047" spans="1:9" ht="16.5">
      <c r="A15047" s="10" t="b">
        <v>0</v>
      </c>
      <c r="B15047" s="11" t="str">
        <f>IF(D15047&lt;&gt;"",IF(COUNTIF('USPTO TMs'!A:A,D15047)&gt;0,"Yes","No"),"")</f>
        <v/>
      </c>
      <c r="C15047" s="11"/>
      <c r="D15047" s="11"/>
      <c r="E15047" s="11"/>
      <c r="F15047" s="11"/>
      <c r="G15047" s="11"/>
      <c r="H15047" s="11"/>
      <c r="I15047" s="15"/>
    </row>
    <row r="15048" spans="1:9" ht="16.5">
      <c r="A15048" s="10" t="b">
        <v>0</v>
      </c>
      <c r="B15048" s="11" t="str">
        <f>IF(D15048&lt;&gt;"",IF(COUNTIF('USPTO TMs'!A:A,D15048)&gt;0,"Yes","No"),"")</f>
        <v/>
      </c>
      <c r="C15048" s="11"/>
      <c r="D15048" s="11"/>
      <c r="E15048" s="11"/>
      <c r="F15048" s="11"/>
      <c r="G15048" s="11"/>
      <c r="H15048" s="11"/>
      <c r="I15048" s="15"/>
    </row>
    <row r="15049" spans="1:9" ht="16.5">
      <c r="A15049" s="10" t="b">
        <v>0</v>
      </c>
      <c r="B15049" s="11" t="str">
        <f>IF(D15049&lt;&gt;"",IF(COUNTIF('USPTO TMs'!A:A,D15049)&gt;0,"Yes","No"),"")</f>
        <v/>
      </c>
      <c r="C15049" s="11"/>
      <c r="D15049" s="11"/>
      <c r="E15049" s="11"/>
      <c r="F15049" s="11"/>
      <c r="G15049" s="11"/>
      <c r="H15049" s="11"/>
      <c r="I15049" s="15"/>
    </row>
    <row r="15050" spans="1:9" ht="16.5">
      <c r="A15050" s="10" t="b">
        <v>0</v>
      </c>
      <c r="B15050" s="11" t="str">
        <f>IF(D15050&lt;&gt;"",IF(COUNTIF('USPTO TMs'!A:A,D15050)&gt;0,"Yes","No"),"")</f>
        <v/>
      </c>
      <c r="C15050" s="11"/>
      <c r="D15050" s="11"/>
      <c r="E15050" s="11"/>
      <c r="F15050" s="11"/>
      <c r="G15050" s="11"/>
      <c r="H15050" s="11"/>
      <c r="I15050" s="15"/>
    </row>
    <row r="15051" spans="1:9" ht="16.5">
      <c r="A15051" s="10" t="b">
        <v>0</v>
      </c>
      <c r="B15051" s="11" t="str">
        <f>IF(D15051&lt;&gt;"",IF(COUNTIF('USPTO TMs'!A:A,D15051)&gt;0,"Yes","No"),"")</f>
        <v/>
      </c>
      <c r="C15051" s="11"/>
      <c r="D15051" s="11"/>
      <c r="E15051" s="11"/>
      <c r="F15051" s="11"/>
      <c r="G15051" s="11"/>
      <c r="H15051" s="11"/>
      <c r="I15051" s="15"/>
    </row>
    <row r="15052" spans="1:9" ht="16.5">
      <c r="A15052" s="10" t="b">
        <v>0</v>
      </c>
      <c r="B15052" s="11" t="str">
        <f>IF(D15052&lt;&gt;"",IF(COUNTIF('USPTO TMs'!A:A,D15052)&gt;0,"Yes","No"),"")</f>
        <v/>
      </c>
      <c r="C15052" s="11"/>
      <c r="D15052" s="11"/>
      <c r="E15052" s="11"/>
      <c r="F15052" s="11"/>
      <c r="G15052" s="11"/>
      <c r="H15052" s="11"/>
      <c r="I15052" s="15"/>
    </row>
    <row r="15053" spans="1:9" ht="16.5">
      <c r="A15053" s="10" t="b">
        <v>0</v>
      </c>
      <c r="B15053" s="11" t="str">
        <f>IF(D15053&lt;&gt;"",IF(COUNTIF('USPTO TMs'!A:A,D15053)&gt;0,"Yes","No"),"")</f>
        <v/>
      </c>
      <c r="C15053" s="11"/>
      <c r="D15053" s="11"/>
      <c r="E15053" s="11"/>
      <c r="F15053" s="11"/>
      <c r="G15053" s="11"/>
      <c r="H15053" s="11"/>
      <c r="I15053" s="15"/>
    </row>
    <row r="15054" spans="1:9" ht="16.5">
      <c r="A15054" s="10" t="b">
        <v>0</v>
      </c>
      <c r="B15054" s="11" t="str">
        <f>IF(D15054&lt;&gt;"",IF(COUNTIF('USPTO TMs'!A:A,D15054)&gt;0,"Yes","No"),"")</f>
        <v/>
      </c>
      <c r="C15054" s="11"/>
      <c r="D15054" s="11"/>
      <c r="E15054" s="11"/>
      <c r="F15054" s="11"/>
      <c r="G15054" s="11"/>
      <c r="H15054" s="11"/>
      <c r="I15054" s="15"/>
    </row>
    <row r="15055" spans="1:9" ht="16.5">
      <c r="A15055" s="10" t="b">
        <v>0</v>
      </c>
      <c r="B15055" s="11" t="str">
        <f>IF(D15055&lt;&gt;"",IF(COUNTIF('USPTO TMs'!A:A,D15055)&gt;0,"Yes","No"),"")</f>
        <v/>
      </c>
      <c r="C15055" s="11"/>
      <c r="D15055" s="11"/>
      <c r="E15055" s="11"/>
      <c r="F15055" s="11"/>
      <c r="G15055" s="11"/>
      <c r="H15055" s="11"/>
      <c r="I15055" s="15"/>
    </row>
    <row r="15056" spans="1:9" ht="16.5">
      <c r="A15056" s="10" t="b">
        <v>0</v>
      </c>
      <c r="B15056" s="11" t="str">
        <f>IF(D15056&lt;&gt;"",IF(COUNTIF('USPTO TMs'!A:A,D15056)&gt;0,"Yes","No"),"")</f>
        <v/>
      </c>
      <c r="C15056" s="11"/>
      <c r="D15056" s="11"/>
      <c r="E15056" s="11"/>
      <c r="F15056" s="11"/>
      <c r="G15056" s="11"/>
      <c r="H15056" s="11"/>
      <c r="I15056" s="15"/>
    </row>
    <row r="15057" spans="1:9" ht="16.5">
      <c r="A15057" s="10" t="b">
        <v>0</v>
      </c>
      <c r="B15057" s="11" t="str">
        <f>IF(D15057&lt;&gt;"",IF(COUNTIF('USPTO TMs'!A:A,D15057)&gt;0,"Yes","No"),"")</f>
        <v/>
      </c>
      <c r="C15057" s="11"/>
      <c r="D15057" s="11"/>
      <c r="E15057" s="11"/>
      <c r="F15057" s="11"/>
      <c r="G15057" s="11"/>
      <c r="H15057" s="11"/>
      <c r="I15057" s="15"/>
    </row>
    <row r="15058" spans="1:9" ht="16.5">
      <c r="A15058" s="10" t="b">
        <v>0</v>
      </c>
      <c r="B15058" s="11" t="str">
        <f>IF(D15058&lt;&gt;"",IF(COUNTIF('USPTO TMs'!A:A,D15058)&gt;0,"Yes","No"),"")</f>
        <v/>
      </c>
      <c r="C15058" s="11"/>
      <c r="D15058" s="11"/>
      <c r="E15058" s="11"/>
      <c r="F15058" s="11"/>
      <c r="G15058" s="11"/>
      <c r="H15058" s="11"/>
      <c r="I15058" s="15"/>
    </row>
    <row r="15059" spans="1:9" ht="16.5">
      <c r="A15059" s="10" t="b">
        <v>0</v>
      </c>
      <c r="B15059" s="11" t="str">
        <f>IF(D15059&lt;&gt;"",IF(COUNTIF('USPTO TMs'!A:A,D15059)&gt;0,"Yes","No"),"")</f>
        <v/>
      </c>
      <c r="C15059" s="11"/>
      <c r="D15059" s="11"/>
      <c r="E15059" s="11"/>
      <c r="F15059" s="11"/>
      <c r="G15059" s="11"/>
      <c r="H15059" s="11"/>
      <c r="I15059" s="15"/>
    </row>
    <row r="15060" spans="1:9" ht="16.5">
      <c r="A15060" s="10" t="b">
        <v>0</v>
      </c>
      <c r="B15060" s="11" t="str">
        <f>IF(D15060&lt;&gt;"",IF(COUNTIF('USPTO TMs'!A:A,D15060)&gt;0,"Yes","No"),"")</f>
        <v/>
      </c>
      <c r="C15060" s="11"/>
      <c r="D15060" s="11"/>
      <c r="E15060" s="11"/>
      <c r="F15060" s="11"/>
      <c r="G15060" s="11"/>
      <c r="H15060" s="11"/>
      <c r="I15060" s="15"/>
    </row>
    <row r="15061" spans="1:9" ht="16.5">
      <c r="A15061" s="10" t="b">
        <v>0</v>
      </c>
      <c r="B15061" s="11" t="str">
        <f>IF(D15061&lt;&gt;"",IF(COUNTIF('USPTO TMs'!A:A,D15061)&gt;0,"Yes","No"),"")</f>
        <v/>
      </c>
      <c r="C15061" s="11"/>
      <c r="D15061" s="11"/>
      <c r="E15061" s="11"/>
      <c r="F15061" s="11"/>
      <c r="G15061" s="11"/>
      <c r="H15061" s="11"/>
      <c r="I15061" s="15"/>
    </row>
    <row r="15062" spans="1:9" ht="16.5">
      <c r="A15062" s="10" t="b">
        <v>0</v>
      </c>
      <c r="B15062" s="11" t="str">
        <f>IF(D15062&lt;&gt;"",IF(COUNTIF('USPTO TMs'!A:A,D15062)&gt;0,"Yes","No"),"")</f>
        <v/>
      </c>
      <c r="C15062" s="11"/>
      <c r="D15062" s="11"/>
      <c r="E15062" s="11"/>
      <c r="F15062" s="11"/>
      <c r="G15062" s="11"/>
      <c r="H15062" s="11"/>
      <c r="I15062" s="15"/>
    </row>
    <row r="15063" spans="1:9" ht="16.5">
      <c r="A15063" s="10" t="b">
        <v>0</v>
      </c>
      <c r="B15063" s="11" t="str">
        <f>IF(D15063&lt;&gt;"",IF(COUNTIF('USPTO TMs'!A:A,D15063)&gt;0,"Yes","No"),"")</f>
        <v/>
      </c>
      <c r="C15063" s="11"/>
      <c r="D15063" s="11"/>
      <c r="E15063" s="11"/>
      <c r="F15063" s="11"/>
      <c r="G15063" s="11"/>
      <c r="H15063" s="11"/>
      <c r="I15063" s="15"/>
    </row>
    <row r="15064" spans="1:9" ht="16.5">
      <c r="A15064" s="10" t="b">
        <v>0</v>
      </c>
      <c r="B15064" s="11" t="str">
        <f>IF(D15064&lt;&gt;"",IF(COUNTIF('USPTO TMs'!A:A,D15064)&gt;0,"Yes","No"),"")</f>
        <v/>
      </c>
      <c r="C15064" s="11"/>
      <c r="D15064" s="11"/>
      <c r="E15064" s="11"/>
      <c r="F15064" s="11"/>
      <c r="G15064" s="11"/>
      <c r="H15064" s="11"/>
      <c r="I15064" s="15"/>
    </row>
    <row r="15065" spans="1:9" ht="16.5">
      <c r="A15065" s="10" t="b">
        <v>0</v>
      </c>
      <c r="B15065" s="11" t="str">
        <f>IF(D15065&lt;&gt;"",IF(COUNTIF('USPTO TMs'!A:A,D15065)&gt;0,"Yes","No"),"")</f>
        <v/>
      </c>
      <c r="C15065" s="11"/>
      <c r="D15065" s="11"/>
      <c r="E15065" s="11"/>
      <c r="F15065" s="11"/>
      <c r="G15065" s="11"/>
      <c r="H15065" s="11"/>
      <c r="I15065" s="15"/>
    </row>
    <row r="15066" spans="1:9" ht="16.5">
      <c r="A15066" s="10" t="b">
        <v>0</v>
      </c>
      <c r="B15066" s="11" t="str">
        <f>IF(D15066&lt;&gt;"",IF(COUNTIF('USPTO TMs'!A:A,D15066)&gt;0,"Yes","No"),"")</f>
        <v/>
      </c>
      <c r="C15066" s="11"/>
      <c r="D15066" s="11"/>
      <c r="E15066" s="11"/>
      <c r="F15066" s="11"/>
      <c r="G15066" s="11"/>
      <c r="H15066" s="11"/>
      <c r="I15066" s="15"/>
    </row>
    <row r="15067" spans="1:9" ht="16.5">
      <c r="A15067" s="10" t="b">
        <v>0</v>
      </c>
      <c r="B15067" s="11" t="str">
        <f>IF(D15067&lt;&gt;"",IF(COUNTIF('USPTO TMs'!A:A,D15067)&gt;0,"Yes","No"),"")</f>
        <v/>
      </c>
      <c r="C15067" s="11"/>
      <c r="D15067" s="11"/>
      <c r="E15067" s="11"/>
      <c r="F15067" s="11"/>
      <c r="G15067" s="11"/>
      <c r="H15067" s="11"/>
      <c r="I15067" s="15"/>
    </row>
    <row r="15068" spans="1:9" ht="16.5">
      <c r="A15068" s="10" t="b">
        <v>0</v>
      </c>
      <c r="B15068" s="11" t="str">
        <f>IF(D15068&lt;&gt;"",IF(COUNTIF('USPTO TMs'!A:A,D15068)&gt;0,"Yes","No"),"")</f>
        <v/>
      </c>
      <c r="C15068" s="11"/>
      <c r="D15068" s="11"/>
      <c r="E15068" s="11"/>
      <c r="F15068" s="11"/>
      <c r="G15068" s="11"/>
      <c r="H15068" s="11"/>
      <c r="I15068" s="15"/>
    </row>
    <row r="15069" spans="1:9" ht="16.5">
      <c r="A15069" s="10" t="b">
        <v>0</v>
      </c>
      <c r="B15069" s="11" t="str">
        <f>IF(D15069&lt;&gt;"",IF(COUNTIF('USPTO TMs'!A:A,D15069)&gt;0,"Yes","No"),"")</f>
        <v/>
      </c>
      <c r="C15069" s="11"/>
      <c r="D15069" s="11"/>
      <c r="E15069" s="11"/>
      <c r="F15069" s="11"/>
      <c r="G15069" s="11"/>
      <c r="H15069" s="11"/>
      <c r="I15069" s="15"/>
    </row>
    <row r="15070" spans="1:9" ht="16.5">
      <c r="A15070" s="10" t="b">
        <v>0</v>
      </c>
      <c r="B15070" s="11" t="str">
        <f>IF(D15070&lt;&gt;"",IF(COUNTIF('USPTO TMs'!A:A,D15070)&gt;0,"Yes","No"),"")</f>
        <v/>
      </c>
      <c r="C15070" s="11"/>
      <c r="D15070" s="11"/>
      <c r="E15070" s="11"/>
      <c r="F15070" s="11"/>
      <c r="G15070" s="11"/>
      <c r="H15070" s="11"/>
      <c r="I15070" s="15"/>
    </row>
    <row r="15071" spans="1:9" ht="16.5">
      <c r="A15071" s="10" t="b">
        <v>0</v>
      </c>
      <c r="B15071" s="11" t="str">
        <f>IF(D15071&lt;&gt;"",IF(COUNTIF('USPTO TMs'!A:A,D15071)&gt;0,"Yes","No"),"")</f>
        <v/>
      </c>
      <c r="C15071" s="11"/>
      <c r="D15071" s="11"/>
      <c r="E15071" s="11"/>
      <c r="F15071" s="11"/>
      <c r="G15071" s="11"/>
      <c r="H15071" s="11"/>
      <c r="I15071" s="15"/>
    </row>
    <row r="15072" spans="1:9" ht="16.5">
      <c r="A15072" s="10" t="b">
        <v>0</v>
      </c>
      <c r="B15072" s="11" t="str">
        <f>IF(D15072&lt;&gt;"",IF(COUNTIF('USPTO TMs'!A:A,D15072)&gt;0,"Yes","No"),"")</f>
        <v/>
      </c>
      <c r="C15072" s="11"/>
      <c r="D15072" s="11"/>
      <c r="E15072" s="11"/>
      <c r="F15072" s="11"/>
      <c r="G15072" s="11"/>
      <c r="H15072" s="11"/>
      <c r="I15072" s="15"/>
    </row>
    <row r="15073" spans="1:9" ht="16.5">
      <c r="A15073" s="10" t="b">
        <v>0</v>
      </c>
      <c r="B15073" s="11" t="str">
        <f>IF(D15073&lt;&gt;"",IF(COUNTIF('USPTO TMs'!A:A,D15073)&gt;0,"Yes","No"),"")</f>
        <v/>
      </c>
      <c r="C15073" s="11"/>
      <c r="D15073" s="11"/>
      <c r="E15073" s="11"/>
      <c r="F15073" s="11"/>
      <c r="G15073" s="11"/>
      <c r="H15073" s="11"/>
      <c r="I15073" s="15"/>
    </row>
    <row r="15074" spans="1:9" ht="16.5">
      <c r="A15074" s="10" t="b">
        <v>0</v>
      </c>
      <c r="B15074" s="11" t="str">
        <f>IF(D15074&lt;&gt;"",IF(COUNTIF('USPTO TMs'!A:A,D15074)&gt;0,"Yes","No"),"")</f>
        <v/>
      </c>
      <c r="C15074" s="11"/>
      <c r="D15074" s="11"/>
      <c r="E15074" s="11"/>
      <c r="F15074" s="11"/>
      <c r="G15074" s="11"/>
      <c r="H15074" s="11"/>
      <c r="I15074" s="15"/>
    </row>
    <row r="15075" spans="1:9" ht="16.5">
      <c r="A15075" s="10" t="b">
        <v>0</v>
      </c>
      <c r="B15075" s="11" t="str">
        <f>IF(D15075&lt;&gt;"",IF(COUNTIF('USPTO TMs'!A:A,D15075)&gt;0,"Yes","No"),"")</f>
        <v/>
      </c>
      <c r="C15075" s="11"/>
      <c r="D15075" s="11"/>
      <c r="E15075" s="11"/>
      <c r="F15075" s="11"/>
      <c r="G15075" s="11"/>
      <c r="H15075" s="11"/>
      <c r="I15075" s="15"/>
    </row>
    <row r="15076" spans="1:9" ht="16.5">
      <c r="A15076" s="10" t="b">
        <v>0</v>
      </c>
      <c r="B15076" s="11" t="str">
        <f>IF(D15076&lt;&gt;"",IF(COUNTIF('USPTO TMs'!A:A,D15076)&gt;0,"Yes","No"),"")</f>
        <v/>
      </c>
      <c r="C15076" s="11"/>
      <c r="D15076" s="11"/>
      <c r="E15076" s="11"/>
      <c r="F15076" s="11"/>
      <c r="G15076" s="11"/>
      <c r="H15076" s="11"/>
      <c r="I15076" s="15"/>
    </row>
    <row r="15077" spans="1:9" ht="16.5">
      <c r="A15077" s="10" t="b">
        <v>0</v>
      </c>
      <c r="B15077" s="11" t="str">
        <f>IF(D15077&lt;&gt;"",IF(COUNTIF('USPTO TMs'!A:A,D15077)&gt;0,"Yes","No"),"")</f>
        <v/>
      </c>
      <c r="C15077" s="11"/>
      <c r="D15077" s="11"/>
      <c r="E15077" s="11"/>
      <c r="F15077" s="11"/>
      <c r="G15077" s="11"/>
      <c r="H15077" s="11"/>
      <c r="I15077" s="15"/>
    </row>
    <row r="15078" spans="1:9" ht="16.5">
      <c r="A15078" s="10" t="b">
        <v>0</v>
      </c>
      <c r="B15078" s="11" t="str">
        <f>IF(D15078&lt;&gt;"",IF(COUNTIF('USPTO TMs'!A:A,D15078)&gt;0,"Yes","No"),"")</f>
        <v/>
      </c>
      <c r="C15078" s="11"/>
      <c r="D15078" s="11"/>
      <c r="E15078" s="11"/>
      <c r="F15078" s="11"/>
      <c r="G15078" s="11"/>
      <c r="H15078" s="11"/>
      <c r="I15078" s="15"/>
    </row>
    <row r="15079" spans="1:9" ht="16.5">
      <c r="A15079" s="10" t="b">
        <v>0</v>
      </c>
      <c r="B15079" s="11" t="str">
        <f>IF(D15079&lt;&gt;"",IF(COUNTIF('USPTO TMs'!A:A,D15079)&gt;0,"Yes","No"),"")</f>
        <v/>
      </c>
      <c r="C15079" s="11"/>
      <c r="D15079" s="11"/>
      <c r="E15079" s="11"/>
      <c r="F15079" s="11"/>
      <c r="G15079" s="11"/>
      <c r="H15079" s="11"/>
      <c r="I15079" s="15"/>
    </row>
    <row r="15080" spans="1:9" ht="16.5">
      <c r="A15080" s="10" t="b">
        <v>0</v>
      </c>
      <c r="B15080" s="11" t="str">
        <f>IF(D15080&lt;&gt;"",IF(COUNTIF('USPTO TMs'!A:A,D15080)&gt;0,"Yes","No"),"")</f>
        <v/>
      </c>
      <c r="C15080" s="11"/>
      <c r="D15080" s="11"/>
      <c r="E15080" s="11"/>
      <c r="F15080" s="11"/>
      <c r="G15080" s="11"/>
      <c r="H15080" s="11"/>
      <c r="I15080" s="15"/>
    </row>
    <row r="15081" spans="1:9" ht="16.5">
      <c r="A15081" s="10" t="b">
        <v>0</v>
      </c>
      <c r="B15081" s="11" t="str">
        <f>IF(D15081&lt;&gt;"",IF(COUNTIF('USPTO TMs'!A:A,D15081)&gt;0,"Yes","No"),"")</f>
        <v/>
      </c>
      <c r="C15081" s="11"/>
      <c r="D15081" s="11"/>
      <c r="E15081" s="11"/>
      <c r="F15081" s="11"/>
      <c r="G15081" s="11"/>
      <c r="H15081" s="11"/>
      <c r="I15081" s="15"/>
    </row>
    <row r="15082" spans="1:9" ht="16.5">
      <c r="A15082" s="10" t="b">
        <v>0</v>
      </c>
      <c r="B15082" s="11" t="str">
        <f>IF(D15082&lt;&gt;"",IF(COUNTIF('USPTO TMs'!A:A,D15082)&gt;0,"Yes","No"),"")</f>
        <v/>
      </c>
      <c r="C15082" s="11"/>
      <c r="D15082" s="11"/>
      <c r="E15082" s="11"/>
      <c r="F15082" s="11"/>
      <c r="G15082" s="11"/>
      <c r="H15082" s="11"/>
      <c r="I15082" s="15"/>
    </row>
    <row r="15083" spans="1:9" ht="16.5">
      <c r="A15083" s="10" t="b">
        <v>0</v>
      </c>
      <c r="B15083" s="11" t="str">
        <f>IF(D15083&lt;&gt;"",IF(COUNTIF('USPTO TMs'!A:A,D15083)&gt;0,"Yes","No"),"")</f>
        <v/>
      </c>
      <c r="C15083" s="11"/>
      <c r="D15083" s="11"/>
      <c r="E15083" s="11"/>
      <c r="F15083" s="11"/>
      <c r="G15083" s="11"/>
      <c r="H15083" s="11"/>
      <c r="I15083" s="15"/>
    </row>
    <row r="15084" spans="1:9" ht="16.5">
      <c r="A15084" s="10" t="b">
        <v>0</v>
      </c>
      <c r="B15084" s="11" t="str">
        <f>IF(D15084&lt;&gt;"",IF(COUNTIF('USPTO TMs'!A:A,D15084)&gt;0,"Yes","No"),"")</f>
        <v/>
      </c>
      <c r="C15084" s="11"/>
      <c r="D15084" s="11"/>
      <c r="E15084" s="11"/>
      <c r="F15084" s="11"/>
      <c r="G15084" s="11"/>
      <c r="H15084" s="11"/>
      <c r="I15084" s="15"/>
    </row>
    <row r="15085" spans="1:9" ht="16.5">
      <c r="A15085" s="10" t="b">
        <v>0</v>
      </c>
      <c r="B15085" s="11" t="str">
        <f>IF(D15085&lt;&gt;"",IF(COUNTIF('USPTO TMs'!A:A,D15085)&gt;0,"Yes","No"),"")</f>
        <v/>
      </c>
      <c r="C15085" s="11"/>
      <c r="D15085" s="11"/>
      <c r="E15085" s="11"/>
      <c r="F15085" s="11"/>
      <c r="G15085" s="11"/>
      <c r="H15085" s="11"/>
      <c r="I15085" s="15"/>
    </row>
    <row r="15086" spans="1:9" ht="16.5">
      <c r="A15086" s="10" t="b">
        <v>0</v>
      </c>
      <c r="B15086" s="11" t="str">
        <f>IF(D15086&lt;&gt;"",IF(COUNTIF('USPTO TMs'!A:A,D15086)&gt;0,"Yes","No"),"")</f>
        <v/>
      </c>
      <c r="C15086" s="11"/>
      <c r="D15086" s="11"/>
      <c r="E15086" s="11"/>
      <c r="F15086" s="11"/>
      <c r="G15086" s="11"/>
      <c r="H15086" s="11"/>
      <c r="I15086" s="15"/>
    </row>
    <row r="15087" spans="1:9" ht="16.5">
      <c r="A15087" s="10" t="b">
        <v>0</v>
      </c>
      <c r="B15087" s="11" t="str">
        <f>IF(D15087&lt;&gt;"",IF(COUNTIF('USPTO TMs'!A:A,D15087)&gt;0,"Yes","No"),"")</f>
        <v/>
      </c>
      <c r="C15087" s="11"/>
      <c r="D15087" s="11"/>
      <c r="E15087" s="11"/>
      <c r="F15087" s="11"/>
      <c r="G15087" s="11"/>
      <c r="H15087" s="11"/>
      <c r="I15087" s="15"/>
    </row>
    <row r="15088" spans="1:9" ht="16.5">
      <c r="A15088" s="10" t="b">
        <v>0</v>
      </c>
      <c r="B15088" s="11" t="str">
        <f>IF(D15088&lt;&gt;"",IF(COUNTIF('USPTO TMs'!A:A,D15088)&gt;0,"Yes","No"),"")</f>
        <v/>
      </c>
      <c r="C15088" s="11"/>
      <c r="D15088" s="11"/>
      <c r="E15088" s="11"/>
      <c r="F15088" s="11"/>
      <c r="G15088" s="11"/>
      <c r="H15088" s="11"/>
      <c r="I15088" s="15"/>
    </row>
    <row r="15089" spans="1:9" ht="16.5">
      <c r="A15089" s="10" t="b">
        <v>0</v>
      </c>
      <c r="B15089" s="11" t="str">
        <f>IF(D15089&lt;&gt;"",IF(COUNTIF('USPTO TMs'!A:A,D15089)&gt;0,"Yes","No"),"")</f>
        <v/>
      </c>
      <c r="C15089" s="11"/>
      <c r="D15089" s="11"/>
      <c r="E15089" s="11"/>
      <c r="F15089" s="11"/>
      <c r="G15089" s="11"/>
      <c r="H15089" s="11"/>
      <c r="I15089" s="15"/>
    </row>
    <row r="15090" spans="1:9" ht="16.5">
      <c r="A15090" s="10" t="b">
        <v>0</v>
      </c>
      <c r="B15090" s="11" t="str">
        <f>IF(D15090&lt;&gt;"",IF(COUNTIF('USPTO TMs'!A:A,D15090)&gt;0,"Yes","No"),"")</f>
        <v/>
      </c>
      <c r="C15090" s="11"/>
      <c r="D15090" s="11"/>
      <c r="E15090" s="11"/>
      <c r="F15090" s="11"/>
      <c r="G15090" s="11"/>
      <c r="H15090" s="11"/>
      <c r="I15090" s="15"/>
    </row>
    <row r="15091" spans="1:9" ht="16.5">
      <c r="A15091" s="10" t="b">
        <v>0</v>
      </c>
      <c r="B15091" s="11" t="str">
        <f>IF(D15091&lt;&gt;"",IF(COUNTIF('USPTO TMs'!A:A,D15091)&gt;0,"Yes","No"),"")</f>
        <v/>
      </c>
      <c r="C15091" s="11"/>
      <c r="D15091" s="11"/>
      <c r="E15091" s="11"/>
      <c r="F15091" s="11"/>
      <c r="G15091" s="11"/>
      <c r="H15091" s="11"/>
      <c r="I15091" s="15"/>
    </row>
    <row r="15092" spans="1:9" ht="16.5">
      <c r="A15092" s="10" t="b">
        <v>0</v>
      </c>
      <c r="B15092" s="11" t="str">
        <f>IF(D15092&lt;&gt;"",IF(COUNTIF('USPTO TMs'!A:A,D15092)&gt;0,"Yes","No"),"")</f>
        <v/>
      </c>
      <c r="C15092" s="11"/>
      <c r="D15092" s="11"/>
      <c r="E15092" s="11"/>
      <c r="F15092" s="11"/>
      <c r="G15092" s="11"/>
      <c r="H15092" s="11"/>
      <c r="I15092" s="15"/>
    </row>
    <row r="15093" spans="1:9" ht="16.5">
      <c r="A15093" s="10" t="b">
        <v>0</v>
      </c>
      <c r="B15093" s="11" t="str">
        <f>IF(D15093&lt;&gt;"",IF(COUNTIF('USPTO TMs'!A:A,D15093)&gt;0,"Yes","No"),"")</f>
        <v/>
      </c>
      <c r="C15093" s="11"/>
      <c r="D15093" s="11"/>
      <c r="E15093" s="11"/>
      <c r="F15093" s="11"/>
      <c r="G15093" s="11"/>
      <c r="H15093" s="11"/>
      <c r="I15093" s="15"/>
    </row>
    <row r="15094" spans="1:9" ht="16.5">
      <c r="A15094" s="10" t="b">
        <v>0</v>
      </c>
      <c r="B15094" s="11" t="str">
        <f>IF(D15094&lt;&gt;"",IF(COUNTIF('USPTO TMs'!A:A,D15094)&gt;0,"Yes","No"),"")</f>
        <v/>
      </c>
      <c r="C15094" s="11"/>
      <c r="D15094" s="11"/>
      <c r="E15094" s="11"/>
      <c r="F15094" s="11"/>
      <c r="G15094" s="11"/>
      <c r="H15094" s="11"/>
      <c r="I15094" s="15"/>
    </row>
    <row r="15095" spans="1:9" ht="16.5">
      <c r="A15095" s="10" t="b">
        <v>0</v>
      </c>
      <c r="B15095" s="11" t="str">
        <f>IF(D15095&lt;&gt;"",IF(COUNTIF('USPTO TMs'!A:A,D15095)&gt;0,"Yes","No"),"")</f>
        <v/>
      </c>
      <c r="C15095" s="11"/>
      <c r="D15095" s="11"/>
      <c r="E15095" s="11"/>
      <c r="F15095" s="11"/>
      <c r="G15095" s="11"/>
      <c r="H15095" s="11"/>
      <c r="I15095" s="15"/>
    </row>
    <row r="15096" spans="1:9" ht="16.5">
      <c r="A15096" s="10" t="b">
        <v>0</v>
      </c>
      <c r="B15096" s="11" t="str">
        <f>IF(D15096&lt;&gt;"",IF(COUNTIF('USPTO TMs'!A:A,D15096)&gt;0,"Yes","No"),"")</f>
        <v/>
      </c>
      <c r="C15096" s="11"/>
      <c r="D15096" s="11"/>
      <c r="E15096" s="11"/>
      <c r="F15096" s="11"/>
      <c r="G15096" s="11"/>
      <c r="H15096" s="11"/>
      <c r="I15096" s="15"/>
    </row>
    <row r="15097" spans="1:9" ht="16.5">
      <c r="A15097" s="10" t="b">
        <v>0</v>
      </c>
      <c r="B15097" s="11" t="str">
        <f>IF(D15097&lt;&gt;"",IF(COUNTIF('USPTO TMs'!A:A,D15097)&gt;0,"Yes","No"),"")</f>
        <v/>
      </c>
      <c r="C15097" s="11"/>
      <c r="D15097" s="11"/>
      <c r="E15097" s="11"/>
      <c r="F15097" s="11"/>
      <c r="G15097" s="11"/>
      <c r="H15097" s="11"/>
      <c r="I15097" s="15"/>
    </row>
    <row r="15098" spans="1:9" ht="16.5">
      <c r="A15098" s="10" t="b">
        <v>0</v>
      </c>
      <c r="B15098" s="11" t="str">
        <f>IF(D15098&lt;&gt;"",IF(COUNTIF('USPTO TMs'!A:A,D15098)&gt;0,"Yes","No"),"")</f>
        <v/>
      </c>
      <c r="C15098" s="11"/>
      <c r="D15098" s="11"/>
      <c r="E15098" s="11"/>
      <c r="F15098" s="11"/>
      <c r="G15098" s="11"/>
      <c r="H15098" s="11"/>
      <c r="I15098" s="15"/>
    </row>
    <row r="15099" spans="1:9" ht="16.5">
      <c r="A15099" s="10" t="b">
        <v>0</v>
      </c>
      <c r="B15099" s="11" t="str">
        <f>IF(D15099&lt;&gt;"",IF(COUNTIF('USPTO TMs'!A:A,D15099)&gt;0,"Yes","No"),"")</f>
        <v/>
      </c>
      <c r="C15099" s="11"/>
      <c r="D15099" s="11"/>
      <c r="E15099" s="11"/>
      <c r="F15099" s="11"/>
      <c r="G15099" s="11"/>
      <c r="H15099" s="11"/>
      <c r="I15099" s="15"/>
    </row>
    <row r="15100" spans="1:9" ht="16.5">
      <c r="A15100" s="10" t="b">
        <v>0</v>
      </c>
      <c r="B15100" s="11" t="str">
        <f>IF(D15100&lt;&gt;"",IF(COUNTIF('USPTO TMs'!A:A,D15100)&gt;0,"Yes","No"),"")</f>
        <v/>
      </c>
      <c r="C15100" s="11"/>
      <c r="D15100" s="11"/>
      <c r="E15100" s="11"/>
      <c r="F15100" s="11"/>
      <c r="G15100" s="11"/>
      <c r="H15100" s="11"/>
      <c r="I15100" s="15"/>
    </row>
    <row r="15101" spans="1:9" ht="16.5">
      <c r="A15101" s="10" t="b">
        <v>0</v>
      </c>
      <c r="B15101" s="11" t="str">
        <f>IF(D15101&lt;&gt;"",IF(COUNTIF('USPTO TMs'!A:A,D15101)&gt;0,"Yes","No"),"")</f>
        <v/>
      </c>
      <c r="C15101" s="11"/>
      <c r="D15101" s="11"/>
      <c r="E15101" s="11"/>
      <c r="F15101" s="11"/>
      <c r="G15101" s="11"/>
      <c r="H15101" s="11"/>
      <c r="I15101" s="15"/>
    </row>
    <row r="15102" spans="1:9" ht="16.5">
      <c r="A15102" s="10" t="b">
        <v>0</v>
      </c>
      <c r="B15102" s="11" t="str">
        <f>IF(D15102&lt;&gt;"",IF(COUNTIF('USPTO TMs'!A:A,D15102)&gt;0,"Yes","No"),"")</f>
        <v/>
      </c>
      <c r="C15102" s="11"/>
      <c r="D15102" s="11"/>
      <c r="E15102" s="11"/>
      <c r="F15102" s="11"/>
      <c r="G15102" s="11"/>
      <c r="H15102" s="11"/>
      <c r="I15102" s="15"/>
    </row>
    <row r="15103" spans="1:9" ht="16.5">
      <c r="A15103" s="10" t="b">
        <v>0</v>
      </c>
      <c r="B15103" s="11" t="str">
        <f>IF(D15103&lt;&gt;"",IF(COUNTIF('USPTO TMs'!A:A,D15103)&gt;0,"Yes","No"),"")</f>
        <v/>
      </c>
      <c r="C15103" s="11"/>
      <c r="D15103" s="11"/>
      <c r="E15103" s="11"/>
      <c r="F15103" s="11"/>
      <c r="G15103" s="11"/>
      <c r="H15103" s="11"/>
      <c r="I15103" s="15"/>
    </row>
    <row r="15104" spans="1:9" ht="16.5">
      <c r="A15104" s="10" t="b">
        <v>0</v>
      </c>
      <c r="B15104" s="11" t="str">
        <f>IF(D15104&lt;&gt;"",IF(COUNTIF('USPTO TMs'!A:A,D15104)&gt;0,"Yes","No"),"")</f>
        <v/>
      </c>
      <c r="C15104" s="11"/>
      <c r="D15104" s="11"/>
      <c r="E15104" s="11"/>
      <c r="F15104" s="11"/>
      <c r="G15104" s="11"/>
      <c r="H15104" s="11"/>
      <c r="I15104" s="15"/>
    </row>
    <row r="15105" spans="1:9" ht="16.5">
      <c r="A15105" s="10" t="b">
        <v>0</v>
      </c>
      <c r="B15105" s="11" t="str">
        <f>IF(D15105&lt;&gt;"",IF(COUNTIF('USPTO TMs'!A:A,D15105)&gt;0,"Yes","No"),"")</f>
        <v/>
      </c>
      <c r="C15105" s="11"/>
      <c r="D15105" s="11"/>
      <c r="E15105" s="11"/>
      <c r="F15105" s="11"/>
      <c r="G15105" s="11"/>
      <c r="H15105" s="11"/>
      <c r="I15105" s="15"/>
    </row>
    <row r="15106" spans="1:9" ht="16.5">
      <c r="A15106" s="10" t="b">
        <v>0</v>
      </c>
      <c r="B15106" s="11" t="str">
        <f>IF(D15106&lt;&gt;"",IF(COUNTIF('USPTO TMs'!A:A,D15106)&gt;0,"Yes","No"),"")</f>
        <v/>
      </c>
      <c r="C15106" s="11"/>
      <c r="D15106" s="11"/>
      <c r="E15106" s="11"/>
      <c r="F15106" s="11"/>
      <c r="G15106" s="11"/>
      <c r="H15106" s="11"/>
      <c r="I15106" s="15"/>
    </row>
    <row r="15107" spans="1:9" ht="16.5">
      <c r="A15107" s="10" t="b">
        <v>0</v>
      </c>
      <c r="B15107" s="11" t="str">
        <f>IF(D15107&lt;&gt;"",IF(COUNTIF('USPTO TMs'!A:A,D15107)&gt;0,"Yes","No"),"")</f>
        <v/>
      </c>
      <c r="C15107" s="11"/>
      <c r="D15107" s="11"/>
      <c r="E15107" s="11"/>
      <c r="F15107" s="11"/>
      <c r="G15107" s="11"/>
      <c r="H15107" s="11"/>
      <c r="I15107" s="15"/>
    </row>
    <row r="15108" spans="1:9" ht="16.5">
      <c r="A15108" s="10" t="b">
        <v>0</v>
      </c>
      <c r="B15108" s="11" t="str">
        <f>IF(D15108&lt;&gt;"",IF(COUNTIF('USPTO TMs'!A:A,D15108)&gt;0,"Yes","No"),"")</f>
        <v/>
      </c>
      <c r="C15108" s="11"/>
      <c r="D15108" s="11"/>
      <c r="E15108" s="11"/>
      <c r="F15108" s="11"/>
      <c r="G15108" s="11"/>
      <c r="H15108" s="11"/>
      <c r="I15108" s="15"/>
    </row>
    <row r="15109" spans="1:9" ht="16.5">
      <c r="A15109" s="10" t="b">
        <v>0</v>
      </c>
      <c r="B15109" s="11" t="str">
        <f>IF(D15109&lt;&gt;"",IF(COUNTIF('USPTO TMs'!A:A,D15109)&gt;0,"Yes","No"),"")</f>
        <v/>
      </c>
      <c r="C15109" s="11"/>
      <c r="D15109" s="11"/>
      <c r="E15109" s="11"/>
      <c r="F15109" s="11"/>
      <c r="G15109" s="11"/>
      <c r="H15109" s="11"/>
      <c r="I15109" s="15"/>
    </row>
    <row r="15110" spans="1:9" ht="16.5">
      <c r="A15110" s="10" t="b">
        <v>0</v>
      </c>
      <c r="B15110" s="11" t="str">
        <f>IF(D15110&lt;&gt;"",IF(COUNTIF('USPTO TMs'!A:A,D15110)&gt;0,"Yes","No"),"")</f>
        <v/>
      </c>
      <c r="C15110" s="11"/>
      <c r="D15110" s="11"/>
      <c r="E15110" s="11"/>
      <c r="F15110" s="11"/>
      <c r="G15110" s="11"/>
      <c r="H15110" s="11"/>
      <c r="I15110" s="15"/>
    </row>
    <row r="15111" spans="1:9" ht="16.5">
      <c r="A15111" s="10" t="b">
        <v>0</v>
      </c>
      <c r="B15111" s="11" t="str">
        <f>IF(D15111&lt;&gt;"",IF(COUNTIF('USPTO TMs'!A:A,D15111)&gt;0,"Yes","No"),"")</f>
        <v/>
      </c>
      <c r="C15111" s="11"/>
      <c r="D15111" s="11"/>
      <c r="E15111" s="11"/>
      <c r="F15111" s="11"/>
      <c r="G15111" s="11"/>
      <c r="H15111" s="11"/>
      <c r="I15111" s="15"/>
    </row>
    <row r="15112" spans="1:9" ht="16.5">
      <c r="A15112" s="10" t="b">
        <v>0</v>
      </c>
      <c r="B15112" s="11" t="str">
        <f>IF(D15112&lt;&gt;"",IF(COUNTIF('USPTO TMs'!A:A,D15112)&gt;0,"Yes","No"),"")</f>
        <v/>
      </c>
      <c r="C15112" s="11"/>
      <c r="D15112" s="11"/>
      <c r="E15112" s="11"/>
      <c r="F15112" s="11"/>
      <c r="G15112" s="11"/>
      <c r="H15112" s="11"/>
      <c r="I15112" s="15"/>
    </row>
    <row r="15113" spans="1:9" ht="16.5">
      <c r="A15113" s="10" t="b">
        <v>0</v>
      </c>
      <c r="B15113" s="11" t="str">
        <f>IF(D15113&lt;&gt;"",IF(COUNTIF('USPTO TMs'!A:A,D15113)&gt;0,"Yes","No"),"")</f>
        <v/>
      </c>
      <c r="C15113" s="11"/>
      <c r="D15113" s="11"/>
      <c r="E15113" s="11"/>
      <c r="F15113" s="11"/>
      <c r="G15113" s="11"/>
      <c r="H15113" s="11"/>
      <c r="I15113" s="15"/>
    </row>
    <row r="15114" spans="1:9" ht="16.5">
      <c r="A15114" s="10" t="b">
        <v>0</v>
      </c>
      <c r="B15114" s="11" t="str">
        <f>IF(D15114&lt;&gt;"",IF(COUNTIF('USPTO TMs'!A:A,D15114)&gt;0,"Yes","No"),"")</f>
        <v/>
      </c>
      <c r="C15114" s="11"/>
      <c r="D15114" s="11"/>
      <c r="E15114" s="11"/>
      <c r="F15114" s="11"/>
      <c r="G15114" s="11"/>
      <c r="H15114" s="11"/>
      <c r="I15114" s="15"/>
    </row>
    <row r="15115" spans="1:9" ht="16.5">
      <c r="A15115" s="10" t="b">
        <v>0</v>
      </c>
      <c r="B15115" s="11" t="str">
        <f>IF(D15115&lt;&gt;"",IF(COUNTIF('USPTO TMs'!A:A,D15115)&gt;0,"Yes","No"),"")</f>
        <v/>
      </c>
      <c r="C15115" s="11"/>
      <c r="D15115" s="11"/>
      <c r="E15115" s="11"/>
      <c r="F15115" s="11"/>
      <c r="G15115" s="11"/>
      <c r="H15115" s="11"/>
      <c r="I15115" s="15"/>
    </row>
    <row r="15116" spans="1:9" ht="16.5">
      <c r="A15116" s="10" t="b">
        <v>0</v>
      </c>
      <c r="B15116" s="11" t="str">
        <f>IF(D15116&lt;&gt;"",IF(COUNTIF('USPTO TMs'!A:A,D15116)&gt;0,"Yes","No"),"")</f>
        <v/>
      </c>
      <c r="C15116" s="11"/>
      <c r="D15116" s="11"/>
      <c r="E15116" s="11"/>
      <c r="F15116" s="11"/>
      <c r="G15116" s="11"/>
      <c r="H15116" s="11"/>
      <c r="I15116" s="15"/>
    </row>
    <row r="15117" spans="1:9" ht="16.5">
      <c r="A15117" s="10" t="b">
        <v>0</v>
      </c>
      <c r="B15117" s="11" t="str">
        <f>IF(D15117&lt;&gt;"",IF(COUNTIF('USPTO TMs'!A:A,D15117)&gt;0,"Yes","No"),"")</f>
        <v/>
      </c>
      <c r="C15117" s="11"/>
      <c r="D15117" s="11"/>
      <c r="E15117" s="11"/>
      <c r="F15117" s="11"/>
      <c r="G15117" s="11"/>
      <c r="H15117" s="11"/>
      <c r="I15117" s="15"/>
    </row>
    <row r="15118" spans="1:9" ht="16.5">
      <c r="A15118" s="10" t="b">
        <v>0</v>
      </c>
      <c r="B15118" s="11" t="str">
        <f>IF(D15118&lt;&gt;"",IF(COUNTIF('USPTO TMs'!A:A,D15118)&gt;0,"Yes","No"),"")</f>
        <v/>
      </c>
      <c r="C15118" s="11"/>
      <c r="D15118" s="11"/>
      <c r="E15118" s="11"/>
      <c r="F15118" s="11"/>
      <c r="G15118" s="11"/>
      <c r="H15118" s="11"/>
      <c r="I15118" s="15"/>
    </row>
    <row r="15119" spans="1:9" ht="16.5">
      <c r="A15119" s="10" t="b">
        <v>0</v>
      </c>
      <c r="B15119" s="11" t="str">
        <f>IF(D15119&lt;&gt;"",IF(COUNTIF('USPTO TMs'!A:A,D15119)&gt;0,"Yes","No"),"")</f>
        <v/>
      </c>
      <c r="C15119" s="11"/>
      <c r="D15119" s="11"/>
      <c r="E15119" s="11"/>
      <c r="F15119" s="11"/>
      <c r="G15119" s="11"/>
      <c r="H15119" s="11"/>
      <c r="I15119" s="15"/>
    </row>
    <row r="15120" spans="1:9" ht="16.5">
      <c r="A15120" s="10" t="b">
        <v>0</v>
      </c>
      <c r="B15120" s="11" t="str">
        <f>IF(D15120&lt;&gt;"",IF(COUNTIF('USPTO TMs'!A:A,D15120)&gt;0,"Yes","No"),"")</f>
        <v/>
      </c>
      <c r="C15120" s="11"/>
      <c r="D15120" s="11"/>
      <c r="E15120" s="11"/>
      <c r="F15120" s="11"/>
      <c r="G15120" s="11"/>
      <c r="H15120" s="11"/>
      <c r="I15120" s="15"/>
    </row>
    <row r="15121" spans="1:9" ht="16.5">
      <c r="A15121" s="10" t="b">
        <v>0</v>
      </c>
      <c r="B15121" s="11" t="str">
        <f>IF(D15121&lt;&gt;"",IF(COUNTIF('USPTO TMs'!A:A,D15121)&gt;0,"Yes","No"),"")</f>
        <v/>
      </c>
      <c r="C15121" s="11"/>
      <c r="D15121" s="11"/>
      <c r="E15121" s="11"/>
      <c r="F15121" s="11"/>
      <c r="G15121" s="11"/>
      <c r="H15121" s="11"/>
      <c r="I15121" s="15"/>
    </row>
    <row r="15122" spans="1:9" ht="16.5">
      <c r="A15122" s="10" t="b">
        <v>0</v>
      </c>
      <c r="B15122" s="11" t="str">
        <f>IF(D15122&lt;&gt;"",IF(COUNTIF('USPTO TMs'!A:A,D15122)&gt;0,"Yes","No"),"")</f>
        <v/>
      </c>
      <c r="C15122" s="11"/>
      <c r="D15122" s="11"/>
      <c r="E15122" s="11"/>
      <c r="F15122" s="11"/>
      <c r="G15122" s="11"/>
      <c r="H15122" s="11"/>
      <c r="I15122" s="15"/>
    </row>
    <row r="15123" spans="1:9" ht="16.5">
      <c r="A15123" s="10" t="b">
        <v>0</v>
      </c>
      <c r="B15123" s="11" t="str">
        <f>IF(D15123&lt;&gt;"",IF(COUNTIF('USPTO TMs'!A:A,D15123)&gt;0,"Yes","No"),"")</f>
        <v/>
      </c>
      <c r="C15123" s="11"/>
      <c r="D15123" s="11"/>
      <c r="E15123" s="11"/>
      <c r="F15123" s="11"/>
      <c r="G15123" s="11"/>
      <c r="H15123" s="11"/>
      <c r="I15123" s="15"/>
    </row>
    <row r="15124" spans="1:9" ht="16.5">
      <c r="A15124" s="10" t="b">
        <v>0</v>
      </c>
      <c r="B15124" s="11" t="str">
        <f>IF(D15124&lt;&gt;"",IF(COUNTIF('USPTO TMs'!A:A,D15124)&gt;0,"Yes","No"),"")</f>
        <v/>
      </c>
      <c r="C15124" s="11"/>
      <c r="D15124" s="11"/>
      <c r="E15124" s="11"/>
      <c r="F15124" s="11"/>
      <c r="G15124" s="11"/>
      <c r="H15124" s="11"/>
      <c r="I15124" s="15"/>
    </row>
    <row r="15125" spans="1:9" ht="16.5">
      <c r="A15125" s="10" t="b">
        <v>0</v>
      </c>
      <c r="B15125" s="11" t="str">
        <f>IF(D15125&lt;&gt;"",IF(COUNTIF('USPTO TMs'!A:A,D15125)&gt;0,"Yes","No"),"")</f>
        <v/>
      </c>
      <c r="C15125" s="11"/>
      <c r="D15125" s="11"/>
      <c r="E15125" s="11"/>
      <c r="F15125" s="11"/>
      <c r="G15125" s="11"/>
      <c r="H15125" s="11"/>
      <c r="I15125" s="15"/>
    </row>
    <row r="15126" spans="1:9" ht="16.5">
      <c r="A15126" s="10" t="b">
        <v>0</v>
      </c>
      <c r="B15126" s="11" t="str">
        <f>IF(D15126&lt;&gt;"",IF(COUNTIF('USPTO TMs'!A:A,D15126)&gt;0,"Yes","No"),"")</f>
        <v/>
      </c>
      <c r="C15126" s="11"/>
      <c r="D15126" s="11"/>
      <c r="E15126" s="11"/>
      <c r="F15126" s="11"/>
      <c r="G15126" s="11"/>
      <c r="H15126" s="11"/>
      <c r="I15126" s="15"/>
    </row>
    <row r="15127" spans="1:9" ht="16.5">
      <c r="A15127" s="10" t="b">
        <v>0</v>
      </c>
      <c r="B15127" s="11" t="str">
        <f>IF(D15127&lt;&gt;"",IF(COUNTIF('USPTO TMs'!A:A,D15127)&gt;0,"Yes","No"),"")</f>
        <v/>
      </c>
      <c r="C15127" s="11"/>
      <c r="D15127" s="11"/>
      <c r="E15127" s="11"/>
      <c r="F15127" s="11"/>
      <c r="G15127" s="11"/>
      <c r="H15127" s="11"/>
      <c r="I15127" s="15"/>
    </row>
    <row r="15128" spans="1:9" ht="16.5">
      <c r="A15128" s="10" t="b">
        <v>0</v>
      </c>
      <c r="B15128" s="11" t="str">
        <f>IF(D15128&lt;&gt;"",IF(COUNTIF('USPTO TMs'!A:A,D15128)&gt;0,"Yes","No"),"")</f>
        <v/>
      </c>
      <c r="C15128" s="11"/>
      <c r="D15128" s="11"/>
      <c r="E15128" s="11"/>
      <c r="F15128" s="11"/>
      <c r="G15128" s="11"/>
      <c r="H15128" s="11"/>
      <c r="I15128" s="15"/>
    </row>
    <row r="15129" spans="1:9" ht="16.5">
      <c r="A15129" s="10" t="b">
        <v>0</v>
      </c>
      <c r="B15129" s="11" t="str">
        <f>IF(D15129&lt;&gt;"",IF(COUNTIF('USPTO TMs'!A:A,D15129)&gt;0,"Yes","No"),"")</f>
        <v/>
      </c>
      <c r="C15129" s="11"/>
      <c r="D15129" s="11"/>
      <c r="E15129" s="11"/>
      <c r="F15129" s="11"/>
      <c r="G15129" s="11"/>
      <c r="H15129" s="11"/>
      <c r="I15129" s="15"/>
    </row>
    <row r="15130" spans="1:9" ht="16.5">
      <c r="A15130" s="10" t="b">
        <v>0</v>
      </c>
      <c r="B15130" s="11" t="str">
        <f>IF(D15130&lt;&gt;"",IF(COUNTIF('USPTO TMs'!A:A,D15130)&gt;0,"Yes","No"),"")</f>
        <v/>
      </c>
      <c r="C15130" s="11"/>
      <c r="D15130" s="11"/>
      <c r="E15130" s="11"/>
      <c r="F15130" s="11"/>
      <c r="G15130" s="11"/>
      <c r="H15130" s="11"/>
      <c r="I15130" s="15"/>
    </row>
    <row r="15131" spans="1:9" ht="16.5">
      <c r="A15131" s="10" t="b">
        <v>0</v>
      </c>
      <c r="B15131" s="11" t="str">
        <f>IF(D15131&lt;&gt;"",IF(COUNTIF('USPTO TMs'!A:A,D15131)&gt;0,"Yes","No"),"")</f>
        <v/>
      </c>
      <c r="C15131" s="11"/>
      <c r="D15131" s="11"/>
      <c r="E15131" s="11"/>
      <c r="F15131" s="11"/>
      <c r="G15131" s="11"/>
      <c r="H15131" s="11"/>
      <c r="I15131" s="15"/>
    </row>
    <row r="15132" spans="1:9" ht="16.5">
      <c r="A15132" s="10" t="b">
        <v>0</v>
      </c>
      <c r="B15132" s="11" t="str">
        <f>IF(D15132&lt;&gt;"",IF(COUNTIF('USPTO TMs'!A:A,D15132)&gt;0,"Yes","No"),"")</f>
        <v/>
      </c>
      <c r="C15132" s="11"/>
      <c r="D15132" s="11"/>
      <c r="E15132" s="11"/>
      <c r="F15132" s="11"/>
      <c r="G15132" s="11"/>
      <c r="H15132" s="11"/>
      <c r="I15132" s="15"/>
    </row>
    <row r="15133" spans="1:9" ht="16.5">
      <c r="A15133" s="10" t="b">
        <v>0</v>
      </c>
      <c r="B15133" s="11" t="str">
        <f>IF(D15133&lt;&gt;"",IF(COUNTIF('USPTO TMs'!A:A,D15133)&gt;0,"Yes","No"),"")</f>
        <v/>
      </c>
      <c r="C15133" s="11"/>
      <c r="D15133" s="11"/>
      <c r="E15133" s="11"/>
      <c r="F15133" s="11"/>
      <c r="G15133" s="11"/>
      <c r="H15133" s="11"/>
      <c r="I15133" s="15"/>
    </row>
    <row r="15134" spans="1:9" ht="16.5">
      <c r="A15134" s="10" t="b">
        <v>0</v>
      </c>
      <c r="B15134" s="11" t="str">
        <f>IF(D15134&lt;&gt;"",IF(COUNTIF('USPTO TMs'!A:A,D15134)&gt;0,"Yes","No"),"")</f>
        <v/>
      </c>
      <c r="C15134" s="11"/>
      <c r="D15134" s="11"/>
      <c r="E15134" s="11"/>
      <c r="F15134" s="11"/>
      <c r="G15134" s="11"/>
      <c r="H15134" s="11"/>
      <c r="I15134" s="15"/>
    </row>
    <row r="15135" spans="1:9" ht="16.5">
      <c r="A15135" s="10" t="b">
        <v>0</v>
      </c>
      <c r="B15135" s="11" t="str">
        <f>IF(D15135&lt;&gt;"",IF(COUNTIF('USPTO TMs'!A:A,D15135)&gt;0,"Yes","No"),"")</f>
        <v/>
      </c>
      <c r="C15135" s="11"/>
      <c r="D15135" s="11"/>
      <c r="E15135" s="11"/>
      <c r="F15135" s="11"/>
      <c r="G15135" s="11"/>
      <c r="H15135" s="11"/>
      <c r="I15135" s="15"/>
    </row>
    <row r="15136" spans="1:9" ht="16.5">
      <c r="A15136" s="10" t="b">
        <v>0</v>
      </c>
      <c r="B15136" s="11" t="str">
        <f>IF(D15136&lt;&gt;"",IF(COUNTIF('USPTO TMs'!A:A,D15136)&gt;0,"Yes","No"),"")</f>
        <v/>
      </c>
      <c r="C15136" s="11"/>
      <c r="D15136" s="11"/>
      <c r="E15136" s="11"/>
      <c r="F15136" s="11"/>
      <c r="G15136" s="11"/>
      <c r="H15136" s="11"/>
      <c r="I15136" s="15"/>
    </row>
    <row r="15137" spans="1:9" ht="16.5">
      <c r="A15137" s="10" t="b">
        <v>0</v>
      </c>
      <c r="B15137" s="11" t="str">
        <f>IF(D15137&lt;&gt;"",IF(COUNTIF('USPTO TMs'!A:A,D15137)&gt;0,"Yes","No"),"")</f>
        <v/>
      </c>
      <c r="C15137" s="11"/>
      <c r="D15137" s="11"/>
      <c r="E15137" s="11"/>
      <c r="F15137" s="11"/>
      <c r="G15137" s="11"/>
      <c r="H15137" s="11"/>
      <c r="I15137" s="15"/>
    </row>
    <row r="15138" spans="1:9" ht="16.5">
      <c r="A15138" s="10" t="b">
        <v>0</v>
      </c>
      <c r="B15138" s="11" t="str">
        <f>IF(D15138&lt;&gt;"",IF(COUNTIF('USPTO TMs'!A:A,D15138)&gt;0,"Yes","No"),"")</f>
        <v/>
      </c>
      <c r="C15138" s="11"/>
      <c r="D15138" s="11"/>
      <c r="E15138" s="11"/>
      <c r="F15138" s="11"/>
      <c r="G15138" s="11"/>
      <c r="H15138" s="11"/>
      <c r="I15138" s="15"/>
    </row>
    <row r="15139" spans="1:9" ht="16.5">
      <c r="A15139" s="10" t="b">
        <v>0</v>
      </c>
      <c r="B15139" s="11" t="str">
        <f>IF(D15139&lt;&gt;"",IF(COUNTIF('USPTO TMs'!A:A,D15139)&gt;0,"Yes","No"),"")</f>
        <v/>
      </c>
      <c r="C15139" s="11"/>
      <c r="D15139" s="11"/>
      <c r="E15139" s="11"/>
      <c r="F15139" s="11"/>
      <c r="G15139" s="11"/>
      <c r="H15139" s="11"/>
      <c r="I15139" s="15"/>
    </row>
    <row r="15140" spans="1:9" ht="16.5">
      <c r="A15140" s="10" t="b">
        <v>0</v>
      </c>
      <c r="B15140" s="11" t="str">
        <f>IF(D15140&lt;&gt;"",IF(COUNTIF('USPTO TMs'!A:A,D15140)&gt;0,"Yes","No"),"")</f>
        <v/>
      </c>
      <c r="C15140" s="11"/>
      <c r="D15140" s="11"/>
      <c r="E15140" s="11"/>
      <c r="F15140" s="11"/>
      <c r="G15140" s="11"/>
      <c r="H15140" s="11"/>
      <c r="I15140" s="15"/>
    </row>
    <row r="15141" spans="1:9" ht="16.5">
      <c r="A15141" s="10" t="b">
        <v>0</v>
      </c>
      <c r="B15141" s="11" t="str">
        <f>IF(D15141&lt;&gt;"",IF(COUNTIF('USPTO TMs'!A:A,D15141)&gt;0,"Yes","No"),"")</f>
        <v/>
      </c>
      <c r="C15141" s="11"/>
      <c r="D15141" s="11"/>
      <c r="E15141" s="11"/>
      <c r="F15141" s="11"/>
      <c r="G15141" s="11"/>
      <c r="H15141" s="11"/>
      <c r="I15141" s="15"/>
    </row>
    <row r="15142" spans="1:9" ht="16.5">
      <c r="A15142" s="10" t="b">
        <v>0</v>
      </c>
      <c r="B15142" s="11" t="str">
        <f>IF(D15142&lt;&gt;"",IF(COUNTIF('USPTO TMs'!A:A,D15142)&gt;0,"Yes","No"),"")</f>
        <v/>
      </c>
      <c r="C15142" s="11"/>
      <c r="D15142" s="11"/>
      <c r="E15142" s="11"/>
      <c r="F15142" s="11"/>
      <c r="G15142" s="11"/>
      <c r="H15142" s="11"/>
      <c r="I15142" s="15"/>
    </row>
    <row r="15143" spans="1:9" ht="16.5">
      <c r="A15143" s="10" t="b">
        <v>0</v>
      </c>
      <c r="B15143" s="11" t="str">
        <f>IF(D15143&lt;&gt;"",IF(COUNTIF('USPTO TMs'!A:A,D15143)&gt;0,"Yes","No"),"")</f>
        <v/>
      </c>
      <c r="C15143" s="11"/>
      <c r="D15143" s="11"/>
      <c r="E15143" s="11"/>
      <c r="F15143" s="11"/>
      <c r="G15143" s="11"/>
      <c r="H15143" s="11"/>
      <c r="I15143" s="15"/>
    </row>
    <row r="15144" spans="1:9" ht="16.5">
      <c r="A15144" s="10" t="b">
        <v>0</v>
      </c>
      <c r="B15144" s="11" t="str">
        <f>IF(D15144&lt;&gt;"",IF(COUNTIF('USPTO TMs'!A:A,D15144)&gt;0,"Yes","No"),"")</f>
        <v/>
      </c>
      <c r="C15144" s="11"/>
      <c r="D15144" s="11"/>
      <c r="E15144" s="11"/>
      <c r="F15144" s="11"/>
      <c r="G15144" s="11"/>
      <c r="H15144" s="11"/>
      <c r="I15144" s="15"/>
    </row>
    <row r="15145" spans="1:9" ht="16.5">
      <c r="A15145" s="10" t="b">
        <v>0</v>
      </c>
      <c r="B15145" s="11" t="str">
        <f>IF(D15145&lt;&gt;"",IF(COUNTIF('USPTO TMs'!A:A,D15145)&gt;0,"Yes","No"),"")</f>
        <v/>
      </c>
      <c r="C15145" s="11"/>
      <c r="D15145" s="11"/>
      <c r="E15145" s="11"/>
      <c r="F15145" s="11"/>
      <c r="G15145" s="11"/>
      <c r="H15145" s="11"/>
      <c r="I15145" s="15"/>
    </row>
    <row r="15146" spans="1:9" ht="16.5">
      <c r="A15146" s="10" t="b">
        <v>0</v>
      </c>
      <c r="B15146" s="11" t="str">
        <f>IF(D15146&lt;&gt;"",IF(COUNTIF('USPTO TMs'!A:A,D15146)&gt;0,"Yes","No"),"")</f>
        <v/>
      </c>
      <c r="C15146" s="11"/>
      <c r="D15146" s="11"/>
      <c r="E15146" s="11"/>
      <c r="F15146" s="11"/>
      <c r="G15146" s="11"/>
      <c r="H15146" s="11"/>
      <c r="I15146" s="15"/>
    </row>
    <row r="15147" spans="1:9" ht="16.5">
      <c r="A15147" s="10" t="b">
        <v>0</v>
      </c>
      <c r="B15147" s="11" t="str">
        <f>IF(D15147&lt;&gt;"",IF(COUNTIF('USPTO TMs'!A:A,D15147)&gt;0,"Yes","No"),"")</f>
        <v/>
      </c>
      <c r="C15147" s="11"/>
      <c r="D15147" s="11"/>
      <c r="E15147" s="11"/>
      <c r="F15147" s="11"/>
      <c r="G15147" s="11"/>
      <c r="H15147" s="11"/>
      <c r="I15147" s="15"/>
    </row>
    <row r="15148" spans="1:9" ht="16.5">
      <c r="A15148" s="10" t="b">
        <v>0</v>
      </c>
      <c r="B15148" s="11" t="str">
        <f>IF(D15148&lt;&gt;"",IF(COUNTIF('USPTO TMs'!A:A,D15148)&gt;0,"Yes","No"),"")</f>
        <v/>
      </c>
      <c r="C15148" s="11"/>
      <c r="D15148" s="11"/>
      <c r="E15148" s="11"/>
      <c r="F15148" s="11"/>
      <c r="G15148" s="11"/>
      <c r="H15148" s="11"/>
      <c r="I15148" s="15"/>
    </row>
    <row r="15149" spans="1:9" ht="16.5">
      <c r="A15149" s="10" t="b">
        <v>0</v>
      </c>
      <c r="B15149" s="11" t="str">
        <f>IF(D15149&lt;&gt;"",IF(COUNTIF('USPTO TMs'!A:A,D15149)&gt;0,"Yes","No"),"")</f>
        <v/>
      </c>
      <c r="C15149" s="11"/>
      <c r="D15149" s="11"/>
      <c r="E15149" s="11"/>
      <c r="F15149" s="11"/>
      <c r="G15149" s="11"/>
      <c r="H15149" s="11"/>
      <c r="I15149" s="15"/>
    </row>
    <row r="15150" spans="1:9" ht="16.5">
      <c r="A15150" s="10" t="b">
        <v>0</v>
      </c>
      <c r="B15150" s="11" t="str">
        <f>IF(D15150&lt;&gt;"",IF(COUNTIF('USPTO TMs'!A:A,D15150)&gt;0,"Yes","No"),"")</f>
        <v/>
      </c>
      <c r="C15150" s="11"/>
      <c r="D15150" s="11"/>
      <c r="E15150" s="11"/>
      <c r="F15150" s="11"/>
      <c r="G15150" s="11"/>
      <c r="H15150" s="11"/>
      <c r="I15150" s="15"/>
    </row>
    <row r="15151" spans="1:9" ht="16.5">
      <c r="A15151" s="10" t="b">
        <v>0</v>
      </c>
      <c r="B15151" s="11" t="str">
        <f>IF(D15151&lt;&gt;"",IF(COUNTIF('USPTO TMs'!A:A,D15151)&gt;0,"Yes","No"),"")</f>
        <v/>
      </c>
      <c r="C15151" s="11"/>
      <c r="D15151" s="11"/>
      <c r="E15151" s="11"/>
      <c r="F15151" s="11"/>
      <c r="G15151" s="11"/>
      <c r="H15151" s="11"/>
      <c r="I15151" s="15"/>
    </row>
    <row r="15152" spans="1:9" ht="16.5">
      <c r="A15152" s="10" t="b">
        <v>0</v>
      </c>
      <c r="B15152" s="11" t="str">
        <f>IF(D15152&lt;&gt;"",IF(COUNTIF('USPTO TMs'!A:A,D15152)&gt;0,"Yes","No"),"")</f>
        <v/>
      </c>
      <c r="C15152" s="11"/>
      <c r="D15152" s="11"/>
      <c r="E15152" s="11"/>
      <c r="F15152" s="11"/>
      <c r="G15152" s="11"/>
      <c r="H15152" s="11"/>
      <c r="I15152" s="15"/>
    </row>
    <row r="15153" spans="1:9" ht="16.5">
      <c r="A15153" s="10" t="b">
        <v>0</v>
      </c>
      <c r="B15153" s="11" t="str">
        <f>IF(D15153&lt;&gt;"",IF(COUNTIF('USPTO TMs'!A:A,D15153)&gt;0,"Yes","No"),"")</f>
        <v/>
      </c>
      <c r="C15153" s="11"/>
      <c r="D15153" s="11"/>
      <c r="E15153" s="11"/>
      <c r="F15153" s="11"/>
      <c r="G15153" s="11"/>
      <c r="H15153" s="11"/>
      <c r="I15153" s="15"/>
    </row>
    <row r="15154" spans="1:9" ht="16.5">
      <c r="A15154" s="10" t="b">
        <v>0</v>
      </c>
      <c r="B15154" s="11" t="str">
        <f>IF(D15154&lt;&gt;"",IF(COUNTIF('USPTO TMs'!A:A,D15154)&gt;0,"Yes","No"),"")</f>
        <v/>
      </c>
      <c r="C15154" s="11"/>
      <c r="D15154" s="11"/>
      <c r="E15154" s="11"/>
      <c r="F15154" s="11"/>
      <c r="G15154" s="11"/>
      <c r="H15154" s="11"/>
      <c r="I15154" s="15"/>
    </row>
    <row r="15155" spans="1:9" ht="16.5">
      <c r="A15155" s="10" t="b">
        <v>0</v>
      </c>
      <c r="B15155" s="11" t="str">
        <f>IF(D15155&lt;&gt;"",IF(COUNTIF('USPTO TMs'!A:A,D15155)&gt;0,"Yes","No"),"")</f>
        <v/>
      </c>
      <c r="C15155" s="11"/>
      <c r="D15155" s="11"/>
      <c r="E15155" s="11"/>
      <c r="F15155" s="11"/>
      <c r="G15155" s="11"/>
      <c r="H15155" s="11"/>
      <c r="I15155" s="15"/>
    </row>
    <row r="15156" spans="1:9" ht="16.5">
      <c r="A15156" s="10" t="b">
        <v>0</v>
      </c>
      <c r="B15156" s="11" t="str">
        <f>IF(D15156&lt;&gt;"",IF(COUNTIF('USPTO TMs'!A:A,D15156)&gt;0,"Yes","No"),"")</f>
        <v/>
      </c>
      <c r="C15156" s="11"/>
      <c r="D15156" s="11"/>
      <c r="E15156" s="11"/>
      <c r="F15156" s="11"/>
      <c r="G15156" s="11"/>
      <c r="H15156" s="11"/>
      <c r="I15156" s="15"/>
    </row>
    <row r="15157" spans="1:9" ht="16.5">
      <c r="A15157" s="10" t="b">
        <v>0</v>
      </c>
      <c r="B15157" s="11" t="str">
        <f>IF(D15157&lt;&gt;"",IF(COUNTIF('USPTO TMs'!A:A,D15157)&gt;0,"Yes","No"),"")</f>
        <v/>
      </c>
      <c r="C15157" s="11"/>
      <c r="D15157" s="11"/>
      <c r="E15157" s="11"/>
      <c r="F15157" s="11"/>
      <c r="G15157" s="11"/>
      <c r="H15157" s="11"/>
      <c r="I15157" s="15"/>
    </row>
    <row r="15158" spans="1:9" ht="16.5">
      <c r="A15158" s="10" t="b">
        <v>0</v>
      </c>
      <c r="B15158" s="11" t="str">
        <f>IF(D15158&lt;&gt;"",IF(COUNTIF('USPTO TMs'!A:A,D15158)&gt;0,"Yes","No"),"")</f>
        <v/>
      </c>
      <c r="C15158" s="11"/>
      <c r="D15158" s="11"/>
      <c r="E15158" s="11"/>
      <c r="F15158" s="11"/>
      <c r="G15158" s="11"/>
      <c r="H15158" s="11"/>
      <c r="I15158" s="15"/>
    </row>
    <row r="15159" spans="1:9" ht="16.5">
      <c r="A15159" s="10" t="b">
        <v>0</v>
      </c>
      <c r="B15159" s="11" t="str">
        <f>IF(D15159&lt;&gt;"",IF(COUNTIF('USPTO TMs'!A:A,D15159)&gt;0,"Yes","No"),"")</f>
        <v/>
      </c>
      <c r="C15159" s="11"/>
      <c r="D15159" s="11"/>
      <c r="E15159" s="11"/>
      <c r="F15159" s="11"/>
      <c r="G15159" s="11"/>
      <c r="H15159" s="11"/>
      <c r="I15159" s="15"/>
    </row>
    <row r="15160" spans="1:9" ht="16.5">
      <c r="A15160" s="10" t="b">
        <v>0</v>
      </c>
      <c r="B15160" s="11" t="str">
        <f>IF(D15160&lt;&gt;"",IF(COUNTIF('USPTO TMs'!A:A,D15160)&gt;0,"Yes","No"),"")</f>
        <v/>
      </c>
      <c r="C15160" s="11"/>
      <c r="D15160" s="11"/>
      <c r="E15160" s="11"/>
      <c r="F15160" s="11"/>
      <c r="G15160" s="11"/>
      <c r="H15160" s="11"/>
      <c r="I15160" s="15"/>
    </row>
    <row r="15161" spans="1:9" ht="16.5">
      <c r="A15161" s="10" t="b">
        <v>0</v>
      </c>
      <c r="B15161" s="11" t="str">
        <f>IF(D15161&lt;&gt;"",IF(COUNTIF('USPTO TMs'!A:A,D15161)&gt;0,"Yes","No"),"")</f>
        <v/>
      </c>
      <c r="C15161" s="11"/>
      <c r="D15161" s="11"/>
      <c r="E15161" s="11"/>
      <c r="F15161" s="11"/>
      <c r="G15161" s="11"/>
      <c r="H15161" s="11"/>
      <c r="I15161" s="15"/>
    </row>
    <row r="15162" spans="1:9" ht="16.5">
      <c r="A15162" s="10" t="b">
        <v>0</v>
      </c>
      <c r="B15162" s="11" t="str">
        <f>IF(D15162&lt;&gt;"",IF(COUNTIF('USPTO TMs'!A:A,D15162)&gt;0,"Yes","No"),"")</f>
        <v/>
      </c>
      <c r="C15162" s="11"/>
      <c r="D15162" s="11"/>
      <c r="E15162" s="11"/>
      <c r="F15162" s="11"/>
      <c r="G15162" s="11"/>
      <c r="H15162" s="11"/>
      <c r="I15162" s="15"/>
    </row>
    <row r="15163" spans="1:9" ht="16.5">
      <c r="A15163" s="10" t="b">
        <v>0</v>
      </c>
      <c r="B15163" s="11" t="str">
        <f>IF(D15163&lt;&gt;"",IF(COUNTIF('USPTO TMs'!A:A,D15163)&gt;0,"Yes","No"),"")</f>
        <v/>
      </c>
      <c r="C15163" s="11"/>
      <c r="D15163" s="11"/>
      <c r="E15163" s="11"/>
      <c r="F15163" s="11"/>
      <c r="G15163" s="11"/>
      <c r="H15163" s="11"/>
      <c r="I15163" s="15"/>
    </row>
    <row r="15164" spans="1:9" ht="16.5">
      <c r="A15164" s="10" t="b">
        <v>0</v>
      </c>
      <c r="B15164" s="11" t="str">
        <f>IF(D15164&lt;&gt;"",IF(COUNTIF('USPTO TMs'!A:A,D15164)&gt;0,"Yes","No"),"")</f>
        <v/>
      </c>
      <c r="C15164" s="11"/>
      <c r="D15164" s="11"/>
      <c r="E15164" s="11"/>
      <c r="F15164" s="11"/>
      <c r="G15164" s="11"/>
      <c r="H15164" s="11"/>
      <c r="I15164" s="15"/>
    </row>
    <row r="15165" spans="1:9" ht="16.5">
      <c r="A15165" s="10" t="b">
        <v>0</v>
      </c>
      <c r="B15165" s="11" t="str">
        <f>IF(D15165&lt;&gt;"",IF(COUNTIF('USPTO TMs'!A:A,D15165)&gt;0,"Yes","No"),"")</f>
        <v/>
      </c>
      <c r="C15165" s="11"/>
      <c r="D15165" s="11"/>
      <c r="E15165" s="11"/>
      <c r="F15165" s="11"/>
      <c r="G15165" s="11"/>
      <c r="H15165" s="11"/>
      <c r="I15165" s="15"/>
    </row>
    <row r="15166" spans="1:9" ht="16.5">
      <c r="A15166" s="10" t="b">
        <v>0</v>
      </c>
      <c r="B15166" s="11" t="str">
        <f>IF(D15166&lt;&gt;"",IF(COUNTIF('USPTO TMs'!A:A,D15166)&gt;0,"Yes","No"),"")</f>
        <v/>
      </c>
      <c r="C15166" s="11"/>
      <c r="D15166" s="11"/>
      <c r="E15166" s="11"/>
      <c r="F15166" s="11"/>
      <c r="G15166" s="11"/>
      <c r="H15166" s="11"/>
      <c r="I15166" s="15"/>
    </row>
    <row r="15167" spans="1:9" ht="16.5">
      <c r="A15167" s="10" t="b">
        <v>0</v>
      </c>
      <c r="B15167" s="11" t="str">
        <f>IF(D15167&lt;&gt;"",IF(COUNTIF('USPTO TMs'!A:A,D15167)&gt;0,"Yes","No"),"")</f>
        <v/>
      </c>
      <c r="C15167" s="11"/>
      <c r="D15167" s="11"/>
      <c r="E15167" s="11"/>
      <c r="F15167" s="11"/>
      <c r="G15167" s="11"/>
      <c r="H15167" s="11"/>
      <c r="I15167" s="15"/>
    </row>
    <row r="15168" spans="1:9" ht="16.5">
      <c r="A15168" s="10" t="b">
        <v>0</v>
      </c>
      <c r="B15168" s="11" t="str">
        <f>IF(D15168&lt;&gt;"",IF(COUNTIF('USPTO TMs'!A:A,D15168)&gt;0,"Yes","No"),"")</f>
        <v/>
      </c>
      <c r="C15168" s="11"/>
      <c r="D15168" s="11"/>
      <c r="E15168" s="11"/>
      <c r="F15168" s="11"/>
      <c r="G15168" s="11"/>
      <c r="H15168" s="11"/>
      <c r="I15168" s="15"/>
    </row>
    <row r="15169" spans="1:9" ht="16.5">
      <c r="A15169" s="10" t="b">
        <v>0</v>
      </c>
      <c r="B15169" s="11" t="str">
        <f>IF(D15169&lt;&gt;"",IF(COUNTIF('USPTO TMs'!A:A,D15169)&gt;0,"Yes","No"),"")</f>
        <v/>
      </c>
      <c r="C15169" s="11"/>
      <c r="D15169" s="11"/>
      <c r="E15169" s="11"/>
      <c r="F15169" s="11"/>
      <c r="G15169" s="11"/>
      <c r="H15169" s="11"/>
      <c r="I15169" s="15"/>
    </row>
    <row r="15170" spans="1:9" ht="16.5">
      <c r="A15170" s="10" t="b">
        <v>0</v>
      </c>
      <c r="B15170" s="11" t="str">
        <f>IF(D15170&lt;&gt;"",IF(COUNTIF('USPTO TMs'!A:A,D15170)&gt;0,"Yes","No"),"")</f>
        <v/>
      </c>
      <c r="C15170" s="11"/>
      <c r="D15170" s="11"/>
      <c r="E15170" s="11"/>
      <c r="F15170" s="11"/>
      <c r="G15170" s="11"/>
      <c r="H15170" s="11"/>
      <c r="I15170" s="15"/>
    </row>
    <row r="15171" spans="1:9" ht="16.5">
      <c r="A15171" s="10" t="b">
        <v>0</v>
      </c>
      <c r="B15171" s="11" t="str">
        <f>IF(D15171&lt;&gt;"",IF(COUNTIF('USPTO TMs'!A:A,D15171)&gt;0,"Yes","No"),"")</f>
        <v/>
      </c>
      <c r="C15171" s="11"/>
      <c r="D15171" s="11"/>
      <c r="E15171" s="11"/>
      <c r="F15171" s="11"/>
      <c r="G15171" s="11"/>
      <c r="H15171" s="11"/>
      <c r="I15171" s="15"/>
    </row>
    <row r="15172" spans="1:9" ht="16.5">
      <c r="A15172" s="10" t="b">
        <v>0</v>
      </c>
      <c r="B15172" s="11" t="str">
        <f>IF(D15172&lt;&gt;"",IF(COUNTIF('USPTO TMs'!A:A,D15172)&gt;0,"Yes","No"),"")</f>
        <v/>
      </c>
      <c r="C15172" s="11"/>
      <c r="D15172" s="11"/>
      <c r="E15172" s="11"/>
      <c r="F15172" s="11"/>
      <c r="G15172" s="11"/>
      <c r="H15172" s="11"/>
      <c r="I15172" s="15"/>
    </row>
    <row r="15173" spans="1:9" ht="16.5">
      <c r="A15173" s="10" t="b">
        <v>0</v>
      </c>
      <c r="B15173" s="11" t="str">
        <f>IF(D15173&lt;&gt;"",IF(COUNTIF('USPTO TMs'!A:A,D15173)&gt;0,"Yes","No"),"")</f>
        <v/>
      </c>
      <c r="C15173" s="11"/>
      <c r="D15173" s="11"/>
      <c r="E15173" s="11"/>
      <c r="F15173" s="11"/>
      <c r="G15173" s="11"/>
      <c r="H15173" s="11"/>
      <c r="I15173" s="15"/>
    </row>
    <row r="15174" spans="1:9" ht="16.5">
      <c r="A15174" s="10" t="b">
        <v>0</v>
      </c>
      <c r="B15174" s="11" t="str">
        <f>IF(D15174&lt;&gt;"",IF(COUNTIF('USPTO TMs'!A:A,D15174)&gt;0,"Yes","No"),"")</f>
        <v/>
      </c>
      <c r="C15174" s="11"/>
      <c r="D15174" s="11"/>
      <c r="E15174" s="11"/>
      <c r="F15174" s="11"/>
      <c r="G15174" s="11"/>
      <c r="H15174" s="11"/>
      <c r="I15174" s="15"/>
    </row>
    <row r="15175" spans="1:9" ht="16.5">
      <c r="A15175" s="10" t="b">
        <v>0</v>
      </c>
      <c r="B15175" s="11" t="str">
        <f>IF(D15175&lt;&gt;"",IF(COUNTIF('USPTO TMs'!A:A,D15175)&gt;0,"Yes","No"),"")</f>
        <v/>
      </c>
      <c r="C15175" s="11"/>
      <c r="D15175" s="11"/>
      <c r="E15175" s="11"/>
      <c r="F15175" s="11"/>
      <c r="G15175" s="11"/>
      <c r="H15175" s="11"/>
      <c r="I15175" s="15"/>
    </row>
    <row r="15176" spans="1:9" ht="16.5">
      <c r="A15176" s="10" t="b">
        <v>0</v>
      </c>
      <c r="B15176" s="11" t="str">
        <f>IF(D15176&lt;&gt;"",IF(COUNTIF('USPTO TMs'!A:A,D15176)&gt;0,"Yes","No"),"")</f>
        <v/>
      </c>
      <c r="C15176" s="11"/>
      <c r="D15176" s="11"/>
      <c r="E15176" s="11"/>
      <c r="F15176" s="11"/>
      <c r="G15176" s="11"/>
      <c r="H15176" s="11"/>
      <c r="I15176" s="15"/>
    </row>
    <row r="15177" spans="1:9" ht="16.5">
      <c r="A15177" s="10" t="b">
        <v>0</v>
      </c>
      <c r="B15177" s="11" t="str">
        <f>IF(D15177&lt;&gt;"",IF(COUNTIF('USPTO TMs'!A:A,D15177)&gt;0,"Yes","No"),"")</f>
        <v/>
      </c>
      <c r="C15177" s="11"/>
      <c r="D15177" s="11"/>
      <c r="E15177" s="11"/>
      <c r="F15177" s="11"/>
      <c r="G15177" s="11"/>
      <c r="H15177" s="11"/>
      <c r="I15177" s="15"/>
    </row>
    <row r="15178" spans="1:9" ht="16.5">
      <c r="A15178" s="10" t="b">
        <v>0</v>
      </c>
      <c r="B15178" s="11" t="str">
        <f>IF(D15178&lt;&gt;"",IF(COUNTIF('USPTO TMs'!A:A,D15178)&gt;0,"Yes","No"),"")</f>
        <v/>
      </c>
      <c r="C15178" s="11"/>
      <c r="D15178" s="11"/>
      <c r="E15178" s="11"/>
      <c r="F15178" s="11"/>
      <c r="G15178" s="11"/>
      <c r="H15178" s="11"/>
      <c r="I15178" s="15"/>
    </row>
    <row r="15179" spans="1:9" ht="16.5">
      <c r="A15179" s="10" t="b">
        <v>0</v>
      </c>
      <c r="B15179" s="11" t="str">
        <f>IF(D15179&lt;&gt;"",IF(COUNTIF('USPTO TMs'!A:A,D15179)&gt;0,"Yes","No"),"")</f>
        <v/>
      </c>
      <c r="C15179" s="11"/>
      <c r="D15179" s="11"/>
      <c r="E15179" s="11"/>
      <c r="F15179" s="11"/>
      <c r="G15179" s="11"/>
      <c r="H15179" s="11"/>
      <c r="I15179" s="15"/>
    </row>
    <row r="15180" spans="1:9" ht="16.5">
      <c r="A15180" s="10" t="b">
        <v>0</v>
      </c>
      <c r="B15180" s="11" t="str">
        <f>IF(D15180&lt;&gt;"",IF(COUNTIF('USPTO TMs'!A:A,D15180)&gt;0,"Yes","No"),"")</f>
        <v/>
      </c>
      <c r="C15180" s="11"/>
      <c r="D15180" s="11"/>
      <c r="E15180" s="11"/>
      <c r="F15180" s="11"/>
      <c r="G15180" s="11"/>
      <c r="H15180" s="11"/>
      <c r="I15180" s="15"/>
    </row>
    <row r="15181" spans="1:9" ht="16.5">
      <c r="A15181" s="10" t="b">
        <v>0</v>
      </c>
      <c r="B15181" s="11" t="str">
        <f>IF(D15181&lt;&gt;"",IF(COUNTIF('USPTO TMs'!A:A,D15181)&gt;0,"Yes","No"),"")</f>
        <v/>
      </c>
      <c r="C15181" s="11"/>
      <c r="D15181" s="11"/>
      <c r="E15181" s="11"/>
      <c r="F15181" s="11"/>
      <c r="G15181" s="11"/>
      <c r="H15181" s="11"/>
      <c r="I15181" s="15"/>
    </row>
    <row r="15182" spans="1:9" ht="16.5">
      <c r="A15182" s="10" t="b">
        <v>0</v>
      </c>
      <c r="B15182" s="11" t="str">
        <f>IF(D15182&lt;&gt;"",IF(COUNTIF('USPTO TMs'!A:A,D15182)&gt;0,"Yes","No"),"")</f>
        <v/>
      </c>
      <c r="C15182" s="11"/>
      <c r="D15182" s="11"/>
      <c r="E15182" s="11"/>
      <c r="F15182" s="11"/>
      <c r="G15182" s="11"/>
      <c r="H15182" s="11"/>
      <c r="I15182" s="15"/>
    </row>
    <row r="15183" spans="1:9" ht="16.5">
      <c r="A15183" s="10" t="b">
        <v>0</v>
      </c>
      <c r="B15183" s="11" t="str">
        <f>IF(D15183&lt;&gt;"",IF(COUNTIF('USPTO TMs'!A:A,D15183)&gt;0,"Yes","No"),"")</f>
        <v/>
      </c>
      <c r="C15183" s="11"/>
      <c r="D15183" s="11"/>
      <c r="E15183" s="11"/>
      <c r="F15183" s="11"/>
      <c r="G15183" s="11"/>
      <c r="H15183" s="11"/>
      <c r="I15183" s="15"/>
    </row>
    <row r="15184" spans="1:9" ht="16.5">
      <c r="A15184" s="10" t="b">
        <v>0</v>
      </c>
      <c r="B15184" s="11" t="str">
        <f>IF(D15184&lt;&gt;"",IF(COUNTIF('USPTO TMs'!A:A,D15184)&gt;0,"Yes","No"),"")</f>
        <v/>
      </c>
      <c r="C15184" s="11"/>
      <c r="D15184" s="11"/>
      <c r="E15184" s="11"/>
      <c r="F15184" s="11"/>
      <c r="G15184" s="11"/>
      <c r="H15184" s="11"/>
      <c r="I15184" s="15"/>
    </row>
    <row r="15185" spans="1:9" ht="16.5">
      <c r="A15185" s="10" t="b">
        <v>0</v>
      </c>
      <c r="B15185" s="11" t="str">
        <f>IF(D15185&lt;&gt;"",IF(COUNTIF('USPTO TMs'!A:A,D15185)&gt;0,"Yes","No"),"")</f>
        <v/>
      </c>
      <c r="C15185" s="11"/>
      <c r="D15185" s="11"/>
      <c r="E15185" s="11"/>
      <c r="F15185" s="11"/>
      <c r="G15185" s="11"/>
      <c r="H15185" s="11"/>
      <c r="I15185" s="15"/>
    </row>
    <row r="15186" spans="1:9" ht="16.5">
      <c r="A15186" s="10" t="b">
        <v>0</v>
      </c>
      <c r="B15186" s="11" t="str">
        <f>IF(D15186&lt;&gt;"",IF(COUNTIF('USPTO TMs'!A:A,D15186)&gt;0,"Yes","No"),"")</f>
        <v/>
      </c>
      <c r="C15186" s="11"/>
      <c r="D15186" s="11"/>
      <c r="E15186" s="11"/>
      <c r="F15186" s="11"/>
      <c r="G15186" s="11"/>
      <c r="H15186" s="11"/>
      <c r="I15186" s="15"/>
    </row>
    <row r="15187" spans="1:9" ht="16.5">
      <c r="A15187" s="10" t="b">
        <v>0</v>
      </c>
      <c r="B15187" s="11" t="str">
        <f>IF(D15187&lt;&gt;"",IF(COUNTIF('USPTO TMs'!A:A,D15187)&gt;0,"Yes","No"),"")</f>
        <v/>
      </c>
      <c r="C15187" s="11"/>
      <c r="D15187" s="11"/>
      <c r="E15187" s="11"/>
      <c r="F15187" s="11"/>
      <c r="G15187" s="11"/>
      <c r="H15187" s="11"/>
      <c r="I15187" s="15"/>
    </row>
    <row r="15188" spans="1:9" ht="16.5">
      <c r="A15188" s="10" t="b">
        <v>0</v>
      </c>
      <c r="B15188" s="11" t="str">
        <f>IF(D15188&lt;&gt;"",IF(COUNTIF('USPTO TMs'!A:A,D15188)&gt;0,"Yes","No"),"")</f>
        <v/>
      </c>
      <c r="C15188" s="11"/>
      <c r="D15188" s="11"/>
      <c r="E15188" s="11"/>
      <c r="F15188" s="11"/>
      <c r="G15188" s="11"/>
      <c r="H15188" s="11"/>
      <c r="I15188" s="15"/>
    </row>
    <row r="15189" spans="1:9" ht="16.5">
      <c r="A15189" s="10" t="b">
        <v>0</v>
      </c>
      <c r="B15189" s="11" t="str">
        <f>IF(D15189&lt;&gt;"",IF(COUNTIF('USPTO TMs'!A:A,D15189)&gt;0,"Yes","No"),"")</f>
        <v/>
      </c>
      <c r="C15189" s="11"/>
      <c r="D15189" s="11"/>
      <c r="E15189" s="11"/>
      <c r="F15189" s="11"/>
      <c r="G15189" s="11"/>
      <c r="H15189" s="11"/>
      <c r="I15189" s="15"/>
    </row>
    <row r="15190" spans="1:9" ht="16.5">
      <c r="A15190" s="10" t="b">
        <v>0</v>
      </c>
      <c r="B15190" s="11" t="str">
        <f>IF(D15190&lt;&gt;"",IF(COUNTIF('USPTO TMs'!A:A,D15190)&gt;0,"Yes","No"),"")</f>
        <v/>
      </c>
      <c r="C15190" s="11"/>
      <c r="D15190" s="11"/>
      <c r="E15190" s="11"/>
      <c r="F15190" s="11"/>
      <c r="G15190" s="11"/>
      <c r="H15190" s="11"/>
      <c r="I15190" s="15"/>
    </row>
    <row r="15191" spans="1:9" ht="16.5">
      <c r="A15191" s="10" t="b">
        <v>0</v>
      </c>
      <c r="B15191" s="11" t="str">
        <f>IF(D15191&lt;&gt;"",IF(COUNTIF('USPTO TMs'!A:A,D15191)&gt;0,"Yes","No"),"")</f>
        <v/>
      </c>
      <c r="C15191" s="11"/>
      <c r="D15191" s="11"/>
      <c r="E15191" s="11"/>
      <c r="F15191" s="11"/>
      <c r="G15191" s="11"/>
      <c r="H15191" s="11"/>
      <c r="I15191" s="15"/>
    </row>
    <row r="15192" spans="1:9" ht="16.5">
      <c r="A15192" s="10" t="b">
        <v>0</v>
      </c>
      <c r="B15192" s="11" t="str">
        <f>IF(D15192&lt;&gt;"",IF(COUNTIF('USPTO TMs'!A:A,D15192)&gt;0,"Yes","No"),"")</f>
        <v/>
      </c>
      <c r="C15192" s="11"/>
      <c r="D15192" s="11"/>
      <c r="E15192" s="11"/>
      <c r="F15192" s="11"/>
      <c r="G15192" s="11"/>
      <c r="H15192" s="11"/>
      <c r="I15192" s="15"/>
    </row>
    <row r="15193" spans="1:9" ht="16.5">
      <c r="A15193" s="10" t="b">
        <v>0</v>
      </c>
      <c r="B15193" s="11" t="str">
        <f>IF(D15193&lt;&gt;"",IF(COUNTIF('USPTO TMs'!A:A,D15193)&gt;0,"Yes","No"),"")</f>
        <v/>
      </c>
      <c r="C15193" s="11"/>
      <c r="D15193" s="11"/>
      <c r="E15193" s="11"/>
      <c r="F15193" s="11"/>
      <c r="G15193" s="11"/>
      <c r="H15193" s="11"/>
      <c r="I15193" s="15"/>
    </row>
    <row r="15194" spans="1:9" ht="16.5">
      <c r="A15194" s="10" t="b">
        <v>0</v>
      </c>
      <c r="B15194" s="11" t="str">
        <f>IF(D15194&lt;&gt;"",IF(COUNTIF('USPTO TMs'!A:A,D15194)&gt;0,"Yes","No"),"")</f>
        <v/>
      </c>
      <c r="C15194" s="11"/>
      <c r="D15194" s="11"/>
      <c r="E15194" s="11"/>
      <c r="F15194" s="11"/>
      <c r="G15194" s="11"/>
      <c r="H15194" s="11"/>
      <c r="I15194" s="15"/>
    </row>
    <row r="15195" spans="1:9" ht="16.5">
      <c r="A15195" s="10" t="b">
        <v>0</v>
      </c>
      <c r="B15195" s="11" t="str">
        <f>IF(D15195&lt;&gt;"",IF(COUNTIF('USPTO TMs'!A:A,D15195)&gt;0,"Yes","No"),"")</f>
        <v/>
      </c>
      <c r="C15195" s="11"/>
      <c r="D15195" s="11"/>
      <c r="E15195" s="11"/>
      <c r="F15195" s="11"/>
      <c r="G15195" s="11"/>
      <c r="H15195" s="11"/>
      <c r="I15195" s="15"/>
    </row>
    <row r="15196" spans="1:9" ht="16.5">
      <c r="A15196" s="10" t="b">
        <v>0</v>
      </c>
      <c r="B15196" s="11" t="str">
        <f>IF(D15196&lt;&gt;"",IF(COUNTIF('USPTO TMs'!A:A,D15196)&gt;0,"Yes","No"),"")</f>
        <v/>
      </c>
      <c r="C15196" s="11"/>
      <c r="D15196" s="11"/>
      <c r="E15196" s="11"/>
      <c r="F15196" s="11"/>
      <c r="G15196" s="11"/>
      <c r="H15196" s="11"/>
      <c r="I15196" s="15"/>
    </row>
    <row r="15197" spans="1:9" ht="16.5">
      <c r="A15197" s="10" t="b">
        <v>0</v>
      </c>
      <c r="B15197" s="11" t="str">
        <f>IF(D15197&lt;&gt;"",IF(COUNTIF('USPTO TMs'!A:A,D15197)&gt;0,"Yes","No"),"")</f>
        <v/>
      </c>
      <c r="C15197" s="11"/>
      <c r="D15197" s="11"/>
      <c r="E15197" s="11"/>
      <c r="F15197" s="11"/>
      <c r="G15197" s="11"/>
      <c r="H15197" s="11"/>
      <c r="I15197" s="15"/>
    </row>
    <row r="15198" spans="1:9" ht="16.5">
      <c r="A15198" s="10" t="b">
        <v>0</v>
      </c>
      <c r="B15198" s="11" t="str">
        <f>IF(D15198&lt;&gt;"",IF(COUNTIF('USPTO TMs'!A:A,D15198)&gt;0,"Yes","No"),"")</f>
        <v/>
      </c>
      <c r="C15198" s="11"/>
      <c r="D15198" s="11"/>
      <c r="E15198" s="11"/>
      <c r="F15198" s="11"/>
      <c r="G15198" s="11"/>
      <c r="H15198" s="11"/>
      <c r="I15198" s="15"/>
    </row>
    <row r="15199" spans="1:9" ht="16.5">
      <c r="A15199" s="10" t="b">
        <v>0</v>
      </c>
      <c r="B15199" s="11" t="str">
        <f>IF(D15199&lt;&gt;"",IF(COUNTIF('USPTO TMs'!A:A,D15199)&gt;0,"Yes","No"),"")</f>
        <v/>
      </c>
      <c r="C15199" s="11"/>
      <c r="D15199" s="11"/>
      <c r="E15199" s="11"/>
      <c r="F15199" s="11"/>
      <c r="G15199" s="11"/>
      <c r="H15199" s="11"/>
      <c r="I15199" s="15"/>
    </row>
    <row r="15200" spans="1:9" ht="16.5">
      <c r="A15200" s="10" t="b">
        <v>0</v>
      </c>
      <c r="B15200" s="11" t="str">
        <f>IF(D15200&lt;&gt;"",IF(COUNTIF('USPTO TMs'!A:A,D15200)&gt;0,"Yes","No"),"")</f>
        <v/>
      </c>
      <c r="C15200" s="11"/>
      <c r="D15200" s="11"/>
      <c r="E15200" s="11"/>
      <c r="F15200" s="11"/>
      <c r="G15200" s="11"/>
      <c r="H15200" s="11"/>
      <c r="I15200" s="15"/>
    </row>
    <row r="15201" spans="1:9" ht="16.5">
      <c r="A15201" s="10" t="b">
        <v>0</v>
      </c>
      <c r="B15201" s="11" t="str">
        <f>IF(D15201&lt;&gt;"",IF(COUNTIF('USPTO TMs'!A:A,D15201)&gt;0,"Yes","No"),"")</f>
        <v/>
      </c>
      <c r="C15201" s="11"/>
      <c r="D15201" s="11"/>
      <c r="E15201" s="11"/>
      <c r="F15201" s="11"/>
      <c r="G15201" s="11"/>
      <c r="H15201" s="11"/>
      <c r="I15201" s="15"/>
    </row>
    <row r="15202" spans="1:9" ht="16.5">
      <c r="A15202" s="10" t="b">
        <v>0</v>
      </c>
      <c r="B15202" s="11" t="str">
        <f>IF(D15202&lt;&gt;"",IF(COUNTIF('USPTO TMs'!A:A,D15202)&gt;0,"Yes","No"),"")</f>
        <v/>
      </c>
      <c r="C15202" s="11"/>
      <c r="D15202" s="11"/>
      <c r="E15202" s="11"/>
      <c r="F15202" s="11"/>
      <c r="G15202" s="11"/>
      <c r="H15202" s="11"/>
      <c r="I15202" s="15"/>
    </row>
    <row r="15203" spans="1:9" ht="16.5">
      <c r="A15203" s="10" t="b">
        <v>0</v>
      </c>
      <c r="B15203" s="11" t="str">
        <f>IF(D15203&lt;&gt;"",IF(COUNTIF('USPTO TMs'!A:A,D15203)&gt;0,"Yes","No"),"")</f>
        <v/>
      </c>
      <c r="C15203" s="11"/>
      <c r="D15203" s="11"/>
      <c r="E15203" s="11"/>
      <c r="F15203" s="11"/>
      <c r="G15203" s="11"/>
      <c r="H15203" s="11"/>
      <c r="I15203" s="15"/>
    </row>
    <row r="15204" spans="1:9" ht="16.5">
      <c r="A15204" s="10" t="b">
        <v>0</v>
      </c>
      <c r="B15204" s="11" t="str">
        <f>IF(D15204&lt;&gt;"",IF(COUNTIF('USPTO TMs'!A:A,D15204)&gt;0,"Yes","No"),"")</f>
        <v/>
      </c>
      <c r="C15204" s="11"/>
      <c r="D15204" s="11"/>
      <c r="E15204" s="11"/>
      <c r="F15204" s="11"/>
      <c r="G15204" s="11"/>
      <c r="H15204" s="11"/>
      <c r="I15204" s="15"/>
    </row>
    <row r="15205" spans="1:9" ht="16.5">
      <c r="A15205" s="10" t="b">
        <v>0</v>
      </c>
      <c r="B15205" s="11" t="str">
        <f>IF(D15205&lt;&gt;"",IF(COUNTIF('USPTO TMs'!A:A,D15205)&gt;0,"Yes","No"),"")</f>
        <v/>
      </c>
      <c r="C15205" s="11"/>
      <c r="D15205" s="11"/>
      <c r="E15205" s="11"/>
      <c r="F15205" s="11"/>
      <c r="G15205" s="11"/>
      <c r="H15205" s="11"/>
      <c r="I15205" s="15"/>
    </row>
    <row r="15206" spans="1:9" ht="16.5">
      <c r="A15206" s="10" t="b">
        <v>0</v>
      </c>
      <c r="B15206" s="11" t="str">
        <f>IF(D15206&lt;&gt;"",IF(COUNTIF('USPTO TMs'!A:A,D15206)&gt;0,"Yes","No"),"")</f>
        <v/>
      </c>
      <c r="C15206" s="11"/>
      <c r="D15206" s="11"/>
      <c r="E15206" s="11"/>
      <c r="F15206" s="11"/>
      <c r="G15206" s="11"/>
      <c r="H15206" s="11"/>
      <c r="I15206" s="15"/>
    </row>
    <row r="15207" spans="1:9" ht="16.5">
      <c r="A15207" s="10" t="b">
        <v>0</v>
      </c>
      <c r="B15207" s="11" t="str">
        <f>IF(D15207&lt;&gt;"",IF(COUNTIF('USPTO TMs'!A:A,D15207)&gt;0,"Yes","No"),"")</f>
        <v/>
      </c>
      <c r="C15207" s="11"/>
      <c r="D15207" s="11"/>
      <c r="E15207" s="11"/>
      <c r="F15207" s="11"/>
      <c r="G15207" s="11"/>
      <c r="H15207" s="11"/>
      <c r="I15207" s="15"/>
    </row>
    <row r="15208" spans="1:9" ht="16.5">
      <c r="A15208" s="10" t="b">
        <v>0</v>
      </c>
      <c r="B15208" s="11" t="str">
        <f>IF(D15208&lt;&gt;"",IF(COUNTIF('USPTO TMs'!A:A,D15208)&gt;0,"Yes","No"),"")</f>
        <v/>
      </c>
      <c r="C15208" s="11"/>
      <c r="D15208" s="11"/>
      <c r="E15208" s="11"/>
      <c r="F15208" s="11"/>
      <c r="G15208" s="11"/>
      <c r="H15208" s="11"/>
      <c r="I15208" s="15"/>
    </row>
    <row r="15209" spans="1:9" ht="16.5">
      <c r="A15209" s="10" t="b">
        <v>0</v>
      </c>
      <c r="B15209" s="11" t="str">
        <f>IF(D15209&lt;&gt;"",IF(COUNTIF('USPTO TMs'!A:A,D15209)&gt;0,"Yes","No"),"")</f>
        <v/>
      </c>
      <c r="C15209" s="11"/>
      <c r="D15209" s="11"/>
      <c r="E15209" s="11"/>
      <c r="F15209" s="11"/>
      <c r="G15209" s="11"/>
      <c r="H15209" s="11"/>
      <c r="I15209" s="15"/>
    </row>
    <row r="15210" spans="1:9" ht="16.5">
      <c r="A15210" s="10" t="b">
        <v>0</v>
      </c>
      <c r="B15210" s="11" t="str">
        <f>IF(D15210&lt;&gt;"",IF(COUNTIF('USPTO TMs'!A:A,D15210)&gt;0,"Yes","No"),"")</f>
        <v/>
      </c>
      <c r="C15210" s="11"/>
      <c r="D15210" s="11"/>
      <c r="E15210" s="11"/>
      <c r="F15210" s="11"/>
      <c r="G15210" s="11"/>
      <c r="H15210" s="11"/>
      <c r="I15210" s="15"/>
    </row>
    <row r="15211" spans="1:9" ht="16.5">
      <c r="A15211" s="10" t="b">
        <v>0</v>
      </c>
      <c r="B15211" s="11" t="str">
        <f>IF(D15211&lt;&gt;"",IF(COUNTIF('USPTO TMs'!A:A,D15211)&gt;0,"Yes","No"),"")</f>
        <v/>
      </c>
      <c r="C15211" s="11"/>
      <c r="D15211" s="11"/>
      <c r="E15211" s="11"/>
      <c r="F15211" s="11"/>
      <c r="G15211" s="11"/>
      <c r="H15211" s="11"/>
      <c r="I15211" s="15"/>
    </row>
    <row r="15212" spans="1:9" ht="16.5">
      <c r="A15212" s="10" t="b">
        <v>0</v>
      </c>
      <c r="B15212" s="11" t="str">
        <f>IF(D15212&lt;&gt;"",IF(COUNTIF('USPTO TMs'!A:A,D15212)&gt;0,"Yes","No"),"")</f>
        <v/>
      </c>
      <c r="C15212" s="11"/>
      <c r="D15212" s="11"/>
      <c r="E15212" s="11"/>
      <c r="F15212" s="11"/>
      <c r="G15212" s="11"/>
      <c r="H15212" s="11"/>
      <c r="I15212" s="15"/>
    </row>
    <row r="15213" spans="1:9" ht="16.5">
      <c r="A15213" s="10" t="b">
        <v>0</v>
      </c>
      <c r="B15213" s="11" t="str">
        <f>IF(D15213&lt;&gt;"",IF(COUNTIF('USPTO TMs'!A:A,D15213)&gt;0,"Yes","No"),"")</f>
        <v/>
      </c>
      <c r="C15213" s="11"/>
      <c r="D15213" s="11"/>
      <c r="E15213" s="11"/>
      <c r="F15213" s="11"/>
      <c r="G15213" s="11"/>
      <c r="H15213" s="11"/>
      <c r="I15213" s="15"/>
    </row>
    <row r="15214" spans="1:9" ht="16.5">
      <c r="A15214" s="10" t="b">
        <v>0</v>
      </c>
      <c r="B15214" s="11" t="str">
        <f>IF(D15214&lt;&gt;"",IF(COUNTIF('USPTO TMs'!A:A,D15214)&gt;0,"Yes","No"),"")</f>
        <v/>
      </c>
      <c r="C15214" s="11"/>
      <c r="D15214" s="11"/>
      <c r="E15214" s="11"/>
      <c r="F15214" s="11"/>
      <c r="G15214" s="11"/>
      <c r="H15214" s="11"/>
      <c r="I15214" s="15"/>
    </row>
    <row r="15215" spans="1:9" ht="16.5">
      <c r="A15215" s="10" t="b">
        <v>0</v>
      </c>
      <c r="B15215" s="11" t="str">
        <f>IF(D15215&lt;&gt;"",IF(COUNTIF('USPTO TMs'!A:A,D15215)&gt;0,"Yes","No"),"")</f>
        <v/>
      </c>
      <c r="C15215" s="11"/>
      <c r="D15215" s="11"/>
      <c r="E15215" s="11"/>
      <c r="F15215" s="11"/>
      <c r="G15215" s="11"/>
      <c r="H15215" s="11"/>
      <c r="I15215" s="15"/>
    </row>
    <row r="15216" spans="1:9" ht="16.5">
      <c r="A15216" s="10" t="b">
        <v>0</v>
      </c>
      <c r="B15216" s="11" t="str">
        <f>IF(D15216&lt;&gt;"",IF(COUNTIF('USPTO TMs'!A:A,D15216)&gt;0,"Yes","No"),"")</f>
        <v/>
      </c>
      <c r="C15216" s="11"/>
      <c r="D15216" s="11"/>
      <c r="E15216" s="11"/>
      <c r="F15216" s="11"/>
      <c r="G15216" s="11"/>
      <c r="H15216" s="11"/>
      <c r="I15216" s="15"/>
    </row>
    <row r="15217" spans="1:9" ht="16.5">
      <c r="A15217" s="10" t="b">
        <v>0</v>
      </c>
      <c r="B15217" s="11" t="str">
        <f>IF(D15217&lt;&gt;"",IF(COUNTIF('USPTO TMs'!A:A,D15217)&gt;0,"Yes","No"),"")</f>
        <v/>
      </c>
      <c r="C15217" s="11"/>
      <c r="D15217" s="11"/>
      <c r="E15217" s="11"/>
      <c r="F15217" s="11"/>
      <c r="G15217" s="11"/>
      <c r="H15217" s="11"/>
      <c r="I15217" s="15"/>
    </row>
    <row r="15218" spans="1:9" ht="16.5">
      <c r="A15218" s="10" t="b">
        <v>0</v>
      </c>
      <c r="B15218" s="11" t="str">
        <f>IF(D15218&lt;&gt;"",IF(COUNTIF('USPTO TMs'!A:A,D15218)&gt;0,"Yes","No"),"")</f>
        <v/>
      </c>
      <c r="C15218" s="11"/>
      <c r="D15218" s="11"/>
      <c r="E15218" s="11"/>
      <c r="F15218" s="11"/>
      <c r="G15218" s="11"/>
      <c r="H15218" s="11"/>
      <c r="I15218" s="15"/>
    </row>
    <row r="15219" spans="1:9" ht="16.5">
      <c r="A15219" s="10" t="b">
        <v>0</v>
      </c>
      <c r="B15219" s="11" t="str">
        <f>IF(D15219&lt;&gt;"",IF(COUNTIF('USPTO TMs'!A:A,D15219)&gt;0,"Yes","No"),"")</f>
        <v/>
      </c>
      <c r="C15219" s="11"/>
      <c r="D15219" s="11"/>
      <c r="E15219" s="11"/>
      <c r="F15219" s="11"/>
      <c r="G15219" s="11"/>
      <c r="H15219" s="11"/>
      <c r="I15219" s="15"/>
    </row>
    <row r="15220" spans="1:9" ht="16.5">
      <c r="A15220" s="10" t="b">
        <v>0</v>
      </c>
      <c r="B15220" s="11" t="str">
        <f>IF(D15220&lt;&gt;"",IF(COUNTIF('USPTO TMs'!A:A,D15220)&gt;0,"Yes","No"),"")</f>
        <v/>
      </c>
      <c r="C15220" s="11"/>
      <c r="D15220" s="11"/>
      <c r="E15220" s="11"/>
      <c r="F15220" s="11"/>
      <c r="G15220" s="11"/>
      <c r="H15220" s="11"/>
      <c r="I15220" s="15"/>
    </row>
    <row r="15221" spans="1:9" ht="16.5">
      <c r="A15221" s="10" t="b">
        <v>0</v>
      </c>
      <c r="B15221" s="11" t="str">
        <f>IF(D15221&lt;&gt;"",IF(COUNTIF('USPTO TMs'!A:A,D15221)&gt;0,"Yes","No"),"")</f>
        <v/>
      </c>
      <c r="C15221" s="11"/>
      <c r="D15221" s="11"/>
      <c r="E15221" s="11"/>
      <c r="F15221" s="11"/>
      <c r="G15221" s="11"/>
      <c r="H15221" s="11"/>
      <c r="I15221" s="15"/>
    </row>
    <row r="15222" spans="1:9" ht="16.5">
      <c r="A15222" s="10" t="b">
        <v>0</v>
      </c>
      <c r="B15222" s="11" t="str">
        <f>IF(D15222&lt;&gt;"",IF(COUNTIF('USPTO TMs'!A:A,D15222)&gt;0,"Yes","No"),"")</f>
        <v/>
      </c>
      <c r="C15222" s="11"/>
      <c r="D15222" s="11"/>
      <c r="E15222" s="11"/>
      <c r="F15222" s="11"/>
      <c r="G15222" s="11"/>
      <c r="H15222" s="11"/>
      <c r="I15222" s="15"/>
    </row>
    <row r="15223" spans="1:9" ht="16.5">
      <c r="A15223" s="10" t="b">
        <v>0</v>
      </c>
      <c r="B15223" s="11" t="str">
        <f>IF(D15223&lt;&gt;"",IF(COUNTIF('USPTO TMs'!A:A,D15223)&gt;0,"Yes","No"),"")</f>
        <v/>
      </c>
      <c r="C15223" s="11"/>
      <c r="D15223" s="11"/>
      <c r="E15223" s="11"/>
      <c r="F15223" s="11"/>
      <c r="G15223" s="11"/>
      <c r="H15223" s="11"/>
      <c r="I15223" s="15"/>
    </row>
    <row r="15224" spans="1:9" ht="16.5">
      <c r="A15224" s="10" t="b">
        <v>0</v>
      </c>
      <c r="B15224" s="11" t="str">
        <f>IF(D15224&lt;&gt;"",IF(COUNTIF('USPTO TMs'!A:A,D15224)&gt;0,"Yes","No"),"")</f>
        <v/>
      </c>
      <c r="C15224" s="11"/>
      <c r="D15224" s="11"/>
      <c r="E15224" s="11"/>
      <c r="F15224" s="11"/>
      <c r="G15224" s="11"/>
      <c r="H15224" s="11"/>
      <c r="I15224" s="15"/>
    </row>
    <row r="15225" spans="1:9" ht="16.5">
      <c r="A15225" s="10" t="b">
        <v>0</v>
      </c>
      <c r="B15225" s="11" t="str">
        <f>IF(D15225&lt;&gt;"",IF(COUNTIF('USPTO TMs'!A:A,D15225)&gt;0,"Yes","No"),"")</f>
        <v/>
      </c>
      <c r="C15225" s="11"/>
      <c r="D15225" s="11"/>
      <c r="E15225" s="11"/>
      <c r="F15225" s="11"/>
      <c r="G15225" s="11"/>
      <c r="H15225" s="11"/>
      <c r="I15225" s="15"/>
    </row>
    <row r="15226" spans="1:9" ht="16.5">
      <c r="A15226" s="10" t="b">
        <v>0</v>
      </c>
      <c r="B15226" s="11" t="str">
        <f>IF(D15226&lt;&gt;"",IF(COUNTIF('USPTO TMs'!A:A,D15226)&gt;0,"Yes","No"),"")</f>
        <v/>
      </c>
      <c r="C15226" s="11"/>
      <c r="D15226" s="11"/>
      <c r="E15226" s="11"/>
      <c r="F15226" s="11"/>
      <c r="G15226" s="11"/>
      <c r="H15226" s="11"/>
      <c r="I15226" s="15"/>
    </row>
    <row r="15227" spans="1:9" ht="16.5">
      <c r="A15227" s="10" t="b">
        <v>0</v>
      </c>
      <c r="B15227" s="11" t="str">
        <f>IF(D15227&lt;&gt;"",IF(COUNTIF('USPTO TMs'!A:A,D15227)&gt;0,"Yes","No"),"")</f>
        <v/>
      </c>
      <c r="C15227" s="11"/>
      <c r="D15227" s="11"/>
      <c r="E15227" s="11"/>
      <c r="F15227" s="11"/>
      <c r="G15227" s="11"/>
      <c r="H15227" s="11"/>
      <c r="I15227" s="15"/>
    </row>
    <row r="15228" spans="1:9" ht="16.5">
      <c r="A15228" s="10" t="b">
        <v>0</v>
      </c>
      <c r="B15228" s="11" t="str">
        <f>IF(D15228&lt;&gt;"",IF(COUNTIF('USPTO TMs'!A:A,D15228)&gt;0,"Yes","No"),"")</f>
        <v/>
      </c>
      <c r="C15228" s="11"/>
      <c r="D15228" s="11"/>
      <c r="E15228" s="11"/>
      <c r="F15228" s="11"/>
      <c r="G15228" s="11"/>
      <c r="H15228" s="11"/>
      <c r="I15228" s="15"/>
    </row>
    <row r="15229" spans="1:9" ht="16.5">
      <c r="A15229" s="10" t="b">
        <v>0</v>
      </c>
      <c r="B15229" s="11" t="str">
        <f>IF(D15229&lt;&gt;"",IF(COUNTIF('USPTO TMs'!A:A,D15229)&gt;0,"Yes","No"),"")</f>
        <v/>
      </c>
      <c r="C15229" s="11"/>
      <c r="D15229" s="11"/>
      <c r="E15229" s="11"/>
      <c r="F15229" s="11"/>
      <c r="G15229" s="11"/>
      <c r="H15229" s="11"/>
      <c r="I15229" s="15"/>
    </row>
    <row r="15230" spans="1:9" ht="16.5">
      <c r="A15230" s="10" t="b">
        <v>0</v>
      </c>
      <c r="B15230" s="11" t="str">
        <f>IF(D15230&lt;&gt;"",IF(COUNTIF('USPTO TMs'!A:A,D15230)&gt;0,"Yes","No"),"")</f>
        <v/>
      </c>
      <c r="C15230" s="11"/>
      <c r="D15230" s="11"/>
      <c r="E15230" s="11"/>
      <c r="F15230" s="11"/>
      <c r="G15230" s="11"/>
      <c r="H15230" s="11"/>
      <c r="I15230" s="15"/>
    </row>
    <row r="15231" spans="1:9" ht="16.5">
      <c r="A15231" s="10" t="b">
        <v>0</v>
      </c>
      <c r="B15231" s="11" t="str">
        <f>IF(D15231&lt;&gt;"",IF(COUNTIF('USPTO TMs'!A:A,D15231)&gt;0,"Yes","No"),"")</f>
        <v/>
      </c>
      <c r="C15231" s="11"/>
      <c r="D15231" s="11"/>
      <c r="E15231" s="11"/>
      <c r="F15231" s="11"/>
      <c r="G15231" s="11"/>
      <c r="H15231" s="11"/>
      <c r="I15231" s="15"/>
    </row>
    <row r="15232" spans="1:9" ht="16.5">
      <c r="A15232" s="10" t="b">
        <v>0</v>
      </c>
      <c r="B15232" s="11" t="str">
        <f>IF(D15232&lt;&gt;"",IF(COUNTIF('USPTO TMs'!A:A,D15232)&gt;0,"Yes","No"),"")</f>
        <v/>
      </c>
      <c r="C15232" s="11"/>
      <c r="D15232" s="11"/>
      <c r="E15232" s="11"/>
      <c r="F15232" s="11"/>
      <c r="G15232" s="11"/>
      <c r="H15232" s="11"/>
      <c r="I15232" s="15"/>
    </row>
    <row r="15233" spans="1:9" ht="16.5">
      <c r="A15233" s="10" t="b">
        <v>0</v>
      </c>
      <c r="B15233" s="11" t="str">
        <f>IF(D15233&lt;&gt;"",IF(COUNTIF('USPTO TMs'!A:A,D15233)&gt;0,"Yes","No"),"")</f>
        <v/>
      </c>
      <c r="C15233" s="11"/>
      <c r="D15233" s="11"/>
      <c r="E15233" s="11"/>
      <c r="F15233" s="11"/>
      <c r="G15233" s="11"/>
      <c r="H15233" s="11"/>
      <c r="I15233" s="15"/>
    </row>
    <row r="15234" spans="1:9" ht="16.5">
      <c r="A15234" s="10" t="b">
        <v>0</v>
      </c>
      <c r="B15234" s="11" t="str">
        <f>IF(D15234&lt;&gt;"",IF(COUNTIF('USPTO TMs'!A:A,D15234)&gt;0,"Yes","No"),"")</f>
        <v/>
      </c>
      <c r="C15234" s="11"/>
      <c r="D15234" s="11"/>
      <c r="E15234" s="11"/>
      <c r="F15234" s="11"/>
      <c r="G15234" s="11"/>
      <c r="H15234" s="11"/>
      <c r="I15234" s="15"/>
    </row>
    <row r="15235" spans="1:9" ht="16.5">
      <c r="A15235" s="10" t="b">
        <v>0</v>
      </c>
      <c r="B15235" s="11" t="str">
        <f>IF(D15235&lt;&gt;"",IF(COUNTIF('USPTO TMs'!A:A,D15235)&gt;0,"Yes","No"),"")</f>
        <v/>
      </c>
      <c r="C15235" s="11"/>
      <c r="D15235" s="11"/>
      <c r="E15235" s="11"/>
      <c r="F15235" s="11"/>
      <c r="G15235" s="11"/>
      <c r="H15235" s="11"/>
      <c r="I15235" s="15"/>
    </row>
    <row r="15236" spans="1:9" ht="16.5">
      <c r="A15236" s="10" t="b">
        <v>0</v>
      </c>
      <c r="B15236" s="11" t="str">
        <f>IF(D15236&lt;&gt;"",IF(COUNTIF('USPTO TMs'!A:A,D15236)&gt;0,"Yes","No"),"")</f>
        <v/>
      </c>
      <c r="C15236" s="11"/>
      <c r="D15236" s="11"/>
      <c r="E15236" s="11"/>
      <c r="F15236" s="11"/>
      <c r="G15236" s="11"/>
      <c r="H15236" s="11"/>
      <c r="I15236" s="15"/>
    </row>
    <row r="15237" spans="1:9" ht="16.5">
      <c r="A15237" s="10" t="b">
        <v>0</v>
      </c>
      <c r="B15237" s="11" t="str">
        <f>IF(D15237&lt;&gt;"",IF(COUNTIF('USPTO TMs'!A:A,D15237)&gt;0,"Yes","No"),"")</f>
        <v/>
      </c>
      <c r="C15237" s="11"/>
      <c r="D15237" s="11"/>
      <c r="E15237" s="11"/>
      <c r="F15237" s="11"/>
      <c r="G15237" s="11"/>
      <c r="H15237" s="11"/>
      <c r="I15237" s="15"/>
    </row>
    <row r="15238" spans="1:9" ht="16.5">
      <c r="A15238" s="10" t="b">
        <v>0</v>
      </c>
      <c r="B15238" s="11" t="str">
        <f>IF(D15238&lt;&gt;"",IF(COUNTIF('USPTO TMs'!A:A,D15238)&gt;0,"Yes","No"),"")</f>
        <v/>
      </c>
      <c r="C15238" s="11"/>
      <c r="D15238" s="11"/>
      <c r="E15238" s="11"/>
      <c r="F15238" s="11"/>
      <c r="G15238" s="11"/>
      <c r="H15238" s="11"/>
      <c r="I15238" s="15"/>
    </row>
    <row r="15239" spans="1:9" ht="16.5">
      <c r="A15239" s="10" t="b">
        <v>0</v>
      </c>
      <c r="B15239" s="11" t="str">
        <f>IF(D15239&lt;&gt;"",IF(COUNTIF('USPTO TMs'!A:A,D15239)&gt;0,"Yes","No"),"")</f>
        <v/>
      </c>
      <c r="C15239" s="11"/>
      <c r="D15239" s="11"/>
      <c r="E15239" s="11"/>
      <c r="F15239" s="11"/>
      <c r="G15239" s="11"/>
      <c r="H15239" s="11"/>
      <c r="I15239" s="15"/>
    </row>
    <row r="15240" spans="1:9" ht="16.5">
      <c r="A15240" s="10" t="b">
        <v>0</v>
      </c>
      <c r="B15240" s="11" t="str">
        <f>IF(D15240&lt;&gt;"",IF(COUNTIF('USPTO TMs'!A:A,D15240)&gt;0,"Yes","No"),"")</f>
        <v/>
      </c>
      <c r="C15240" s="11"/>
      <c r="D15240" s="11"/>
      <c r="E15240" s="11"/>
      <c r="F15240" s="11"/>
      <c r="G15240" s="11"/>
      <c r="H15240" s="11"/>
      <c r="I15240" s="15"/>
    </row>
    <row r="15241" spans="1:9" ht="16.5">
      <c r="A15241" s="10" t="b">
        <v>0</v>
      </c>
      <c r="B15241" s="11" t="str">
        <f>IF(D15241&lt;&gt;"",IF(COUNTIF('USPTO TMs'!A:A,D15241)&gt;0,"Yes","No"),"")</f>
        <v/>
      </c>
      <c r="C15241" s="11"/>
      <c r="D15241" s="11"/>
      <c r="E15241" s="11"/>
      <c r="F15241" s="11"/>
      <c r="G15241" s="11"/>
      <c r="H15241" s="11"/>
      <c r="I15241" s="15"/>
    </row>
    <row r="15242" spans="1:9" ht="16.5">
      <c r="A15242" s="10" t="b">
        <v>0</v>
      </c>
      <c r="B15242" s="11" t="str">
        <f>IF(D15242&lt;&gt;"",IF(COUNTIF('USPTO TMs'!A:A,D15242)&gt;0,"Yes","No"),"")</f>
        <v/>
      </c>
      <c r="C15242" s="11"/>
      <c r="D15242" s="11"/>
      <c r="E15242" s="11"/>
      <c r="F15242" s="11"/>
      <c r="G15242" s="11"/>
      <c r="H15242" s="11"/>
      <c r="I15242" s="15"/>
    </row>
    <row r="15243" spans="1:9" ht="16.5">
      <c r="A15243" s="10" t="b">
        <v>0</v>
      </c>
      <c r="B15243" s="11" t="str">
        <f>IF(D15243&lt;&gt;"",IF(COUNTIF('USPTO TMs'!A:A,D15243)&gt;0,"Yes","No"),"")</f>
        <v/>
      </c>
      <c r="C15243" s="11"/>
      <c r="D15243" s="11"/>
      <c r="E15243" s="11"/>
      <c r="F15243" s="11"/>
      <c r="G15243" s="11"/>
      <c r="H15243" s="11"/>
      <c r="I15243" s="15"/>
    </row>
    <row r="15244" spans="1:9" ht="16.5">
      <c r="A15244" s="10" t="b">
        <v>0</v>
      </c>
      <c r="B15244" s="11" t="str">
        <f>IF(D15244&lt;&gt;"",IF(COUNTIF('USPTO TMs'!A:A,D15244)&gt;0,"Yes","No"),"")</f>
        <v/>
      </c>
      <c r="C15244" s="11"/>
      <c r="D15244" s="11"/>
      <c r="E15244" s="11"/>
      <c r="F15244" s="11"/>
      <c r="G15244" s="11"/>
      <c r="H15244" s="11"/>
      <c r="I15244" s="15"/>
    </row>
    <row r="15245" spans="1:9" ht="16.5">
      <c r="A15245" s="10" t="b">
        <v>0</v>
      </c>
      <c r="B15245" s="11" t="str">
        <f>IF(D15245&lt;&gt;"",IF(COUNTIF('USPTO TMs'!A:A,D15245)&gt;0,"Yes","No"),"")</f>
        <v/>
      </c>
      <c r="C15245" s="11"/>
      <c r="D15245" s="11"/>
      <c r="E15245" s="11"/>
      <c r="F15245" s="11"/>
      <c r="G15245" s="11"/>
      <c r="H15245" s="11"/>
      <c r="I15245" s="15"/>
    </row>
    <row r="15246" spans="1:9" ht="16.5">
      <c r="A15246" s="10" t="b">
        <v>0</v>
      </c>
      <c r="B15246" s="11" t="str">
        <f>IF(D15246&lt;&gt;"",IF(COUNTIF('USPTO TMs'!A:A,D15246)&gt;0,"Yes","No"),"")</f>
        <v/>
      </c>
      <c r="C15246" s="11"/>
      <c r="D15246" s="11"/>
      <c r="E15246" s="11"/>
      <c r="F15246" s="11"/>
      <c r="G15246" s="11"/>
      <c r="H15246" s="11"/>
      <c r="I15246" s="15"/>
    </row>
    <row r="15247" spans="1:9" ht="16.5">
      <c r="A15247" s="10" t="b">
        <v>0</v>
      </c>
      <c r="B15247" s="11" t="str">
        <f>IF(D15247&lt;&gt;"",IF(COUNTIF('USPTO TMs'!A:A,D15247)&gt;0,"Yes","No"),"")</f>
        <v/>
      </c>
      <c r="C15247" s="11"/>
      <c r="D15247" s="11"/>
      <c r="E15247" s="11"/>
      <c r="F15247" s="11"/>
      <c r="G15247" s="11"/>
      <c r="H15247" s="11"/>
      <c r="I15247" s="15"/>
    </row>
    <row r="15248" spans="1:9" ht="16.5">
      <c r="A15248" s="10" t="b">
        <v>0</v>
      </c>
      <c r="B15248" s="11" t="str">
        <f>IF(D15248&lt;&gt;"",IF(COUNTIF('USPTO TMs'!A:A,D15248)&gt;0,"Yes","No"),"")</f>
        <v/>
      </c>
      <c r="C15248" s="11"/>
      <c r="D15248" s="11"/>
      <c r="E15248" s="11"/>
      <c r="F15248" s="11"/>
      <c r="G15248" s="11"/>
      <c r="H15248" s="11"/>
      <c r="I15248" s="15"/>
    </row>
    <row r="15249" spans="1:9" ht="16.5">
      <c r="A15249" s="10" t="b">
        <v>0</v>
      </c>
      <c r="B15249" s="11" t="str">
        <f>IF(D15249&lt;&gt;"",IF(COUNTIF('USPTO TMs'!A:A,D15249)&gt;0,"Yes","No"),"")</f>
        <v/>
      </c>
      <c r="C15249" s="11"/>
      <c r="D15249" s="11"/>
      <c r="E15249" s="11"/>
      <c r="F15249" s="11"/>
      <c r="G15249" s="11"/>
      <c r="H15249" s="11"/>
      <c r="I15249" s="15"/>
    </row>
    <row r="15250" spans="1:9" ht="16.5">
      <c r="A15250" s="10" t="b">
        <v>0</v>
      </c>
      <c r="B15250" s="11" t="str">
        <f>IF(D15250&lt;&gt;"",IF(COUNTIF('USPTO TMs'!A:A,D15250)&gt;0,"Yes","No"),"")</f>
        <v/>
      </c>
      <c r="C15250" s="11"/>
      <c r="D15250" s="11"/>
      <c r="E15250" s="11"/>
      <c r="F15250" s="11"/>
      <c r="G15250" s="11"/>
      <c r="H15250" s="11"/>
      <c r="I15250" s="15"/>
    </row>
    <row r="15251" spans="1:9" ht="16.5">
      <c r="A15251" s="10" t="b">
        <v>0</v>
      </c>
      <c r="B15251" s="11" t="str">
        <f>IF(D15251&lt;&gt;"",IF(COUNTIF('USPTO TMs'!A:A,D15251)&gt;0,"Yes","No"),"")</f>
        <v/>
      </c>
      <c r="C15251" s="11"/>
      <c r="D15251" s="11"/>
      <c r="E15251" s="11"/>
      <c r="F15251" s="11"/>
      <c r="G15251" s="11"/>
      <c r="H15251" s="11"/>
      <c r="I15251" s="15"/>
    </row>
    <row r="15252" spans="1:9" ht="16.5">
      <c r="A15252" s="10" t="b">
        <v>0</v>
      </c>
      <c r="B15252" s="11" t="str">
        <f>IF(D15252&lt;&gt;"",IF(COUNTIF('USPTO TMs'!A:A,D15252)&gt;0,"Yes","No"),"")</f>
        <v/>
      </c>
      <c r="C15252" s="11"/>
      <c r="D15252" s="11"/>
      <c r="E15252" s="11"/>
      <c r="F15252" s="11"/>
      <c r="G15252" s="11"/>
      <c r="H15252" s="11"/>
      <c r="I15252" s="15"/>
    </row>
    <row r="15253" spans="1:9" ht="16.5">
      <c r="A15253" s="10" t="b">
        <v>0</v>
      </c>
      <c r="B15253" s="11" t="str">
        <f>IF(D15253&lt;&gt;"",IF(COUNTIF('USPTO TMs'!A:A,D15253)&gt;0,"Yes","No"),"")</f>
        <v/>
      </c>
      <c r="C15253" s="11"/>
      <c r="D15253" s="11"/>
      <c r="E15253" s="11"/>
      <c r="F15253" s="11"/>
      <c r="G15253" s="11"/>
      <c r="H15253" s="11"/>
      <c r="I15253" s="15"/>
    </row>
    <row r="15254" spans="1:9" ht="16.5">
      <c r="A15254" s="10" t="b">
        <v>0</v>
      </c>
      <c r="B15254" s="11" t="str">
        <f>IF(D15254&lt;&gt;"",IF(COUNTIF('USPTO TMs'!A:A,D15254)&gt;0,"Yes","No"),"")</f>
        <v/>
      </c>
      <c r="C15254" s="11"/>
      <c r="D15254" s="11"/>
      <c r="E15254" s="11"/>
      <c r="F15254" s="11"/>
      <c r="G15254" s="11"/>
      <c r="H15254" s="11"/>
      <c r="I15254" s="15"/>
    </row>
    <row r="15255" spans="1:9" ht="16.5">
      <c r="A15255" s="10" t="b">
        <v>0</v>
      </c>
      <c r="B15255" s="11" t="str">
        <f>IF(D15255&lt;&gt;"",IF(COUNTIF('USPTO TMs'!A:A,D15255)&gt;0,"Yes","No"),"")</f>
        <v/>
      </c>
      <c r="C15255" s="11"/>
      <c r="D15255" s="11"/>
      <c r="E15255" s="11"/>
      <c r="F15255" s="11"/>
      <c r="G15255" s="11"/>
      <c r="H15255" s="11"/>
      <c r="I15255" s="15"/>
    </row>
    <row r="15256" spans="1:9" ht="16.5">
      <c r="A15256" s="10" t="b">
        <v>0</v>
      </c>
      <c r="B15256" s="11" t="str">
        <f>IF(D15256&lt;&gt;"",IF(COUNTIF('USPTO TMs'!A:A,D15256)&gt;0,"Yes","No"),"")</f>
        <v/>
      </c>
      <c r="C15256" s="11"/>
      <c r="D15256" s="11"/>
      <c r="E15256" s="11"/>
      <c r="F15256" s="11"/>
      <c r="G15256" s="11"/>
      <c r="H15256" s="11"/>
      <c r="I15256" s="15"/>
    </row>
    <row r="15257" spans="1:9" ht="16.5">
      <c r="A15257" s="10" t="b">
        <v>0</v>
      </c>
      <c r="B15257" s="11" t="str">
        <f>IF(D15257&lt;&gt;"",IF(COUNTIF('USPTO TMs'!A:A,D15257)&gt;0,"Yes","No"),"")</f>
        <v/>
      </c>
      <c r="C15257" s="11"/>
      <c r="D15257" s="11"/>
      <c r="E15257" s="11"/>
      <c r="F15257" s="11"/>
      <c r="G15257" s="11"/>
      <c r="H15257" s="11"/>
      <c r="I15257" s="15"/>
    </row>
    <row r="15258" spans="1:9" ht="16.5">
      <c r="A15258" s="10" t="b">
        <v>0</v>
      </c>
      <c r="B15258" s="11" t="str">
        <f>IF(D15258&lt;&gt;"",IF(COUNTIF('USPTO TMs'!A:A,D15258)&gt;0,"Yes","No"),"")</f>
        <v/>
      </c>
      <c r="C15258" s="11"/>
      <c r="D15258" s="11"/>
      <c r="E15258" s="11"/>
      <c r="F15258" s="11"/>
      <c r="G15258" s="11"/>
      <c r="H15258" s="11"/>
      <c r="I15258" s="15"/>
    </row>
    <row r="15259" spans="1:9" ht="16.5">
      <c r="A15259" s="10" t="b">
        <v>0</v>
      </c>
      <c r="B15259" s="11" t="str">
        <f>IF(D15259&lt;&gt;"",IF(COUNTIF('USPTO TMs'!A:A,D15259)&gt;0,"Yes","No"),"")</f>
        <v/>
      </c>
      <c r="C15259" s="11"/>
      <c r="D15259" s="11"/>
      <c r="E15259" s="11"/>
      <c r="F15259" s="11"/>
      <c r="G15259" s="11"/>
      <c r="H15259" s="11"/>
      <c r="I15259" s="15"/>
    </row>
    <row r="15260" spans="1:9" ht="16.5">
      <c r="A15260" s="10" t="b">
        <v>0</v>
      </c>
      <c r="B15260" s="11" t="str">
        <f>IF(D15260&lt;&gt;"",IF(COUNTIF('USPTO TMs'!A:A,D15260)&gt;0,"Yes","No"),"")</f>
        <v/>
      </c>
      <c r="C15260" s="11"/>
      <c r="D15260" s="11"/>
      <c r="E15260" s="11"/>
      <c r="F15260" s="11"/>
      <c r="G15260" s="11"/>
      <c r="H15260" s="11"/>
      <c r="I15260" s="15"/>
    </row>
    <row r="15261" spans="1:9" ht="16.5">
      <c r="A15261" s="10" t="b">
        <v>0</v>
      </c>
      <c r="B15261" s="11" t="str">
        <f>IF(D15261&lt;&gt;"",IF(COUNTIF('USPTO TMs'!A:A,D15261)&gt;0,"Yes","No"),"")</f>
        <v/>
      </c>
      <c r="C15261" s="11"/>
      <c r="D15261" s="11"/>
      <c r="E15261" s="11"/>
      <c r="F15261" s="11"/>
      <c r="G15261" s="11"/>
      <c r="H15261" s="11"/>
      <c r="I15261" s="15"/>
    </row>
    <row r="15262" spans="1:9" ht="16.5">
      <c r="A15262" s="10" t="b">
        <v>0</v>
      </c>
      <c r="B15262" s="11" t="str">
        <f>IF(D15262&lt;&gt;"",IF(COUNTIF('USPTO TMs'!A:A,D15262)&gt;0,"Yes","No"),"")</f>
        <v/>
      </c>
      <c r="C15262" s="11"/>
      <c r="D15262" s="11"/>
      <c r="E15262" s="11"/>
      <c r="F15262" s="11"/>
      <c r="G15262" s="11"/>
      <c r="H15262" s="11"/>
      <c r="I15262" s="15"/>
    </row>
    <row r="15263" spans="1:9" ht="16.5">
      <c r="A15263" s="10" t="b">
        <v>0</v>
      </c>
      <c r="B15263" s="11" t="str">
        <f>IF(D15263&lt;&gt;"",IF(COUNTIF('USPTO TMs'!A:A,D15263)&gt;0,"Yes","No"),"")</f>
        <v/>
      </c>
      <c r="C15263" s="11"/>
      <c r="D15263" s="11"/>
      <c r="E15263" s="11"/>
      <c r="F15263" s="11"/>
      <c r="G15263" s="11"/>
      <c r="H15263" s="11"/>
      <c r="I15263" s="15"/>
    </row>
    <row r="15264" spans="1:9" ht="16.5">
      <c r="A15264" s="10" t="b">
        <v>0</v>
      </c>
      <c r="B15264" s="11" t="str">
        <f>IF(D15264&lt;&gt;"",IF(COUNTIF('USPTO TMs'!A:A,D15264)&gt;0,"Yes","No"),"")</f>
        <v/>
      </c>
      <c r="C15264" s="11"/>
      <c r="D15264" s="11"/>
      <c r="E15264" s="11"/>
      <c r="F15264" s="11"/>
      <c r="G15264" s="11"/>
      <c r="H15264" s="11"/>
      <c r="I15264" s="15"/>
    </row>
    <row r="15265" spans="1:9" ht="16.5">
      <c r="A15265" s="10" t="b">
        <v>0</v>
      </c>
      <c r="B15265" s="11" t="str">
        <f>IF(D15265&lt;&gt;"",IF(COUNTIF('USPTO TMs'!A:A,D15265)&gt;0,"Yes","No"),"")</f>
        <v/>
      </c>
      <c r="C15265" s="11"/>
      <c r="D15265" s="11"/>
      <c r="E15265" s="11"/>
      <c r="F15265" s="11"/>
      <c r="G15265" s="11"/>
      <c r="H15265" s="11"/>
      <c r="I15265" s="15"/>
    </row>
    <row r="15266" spans="1:9" ht="16.5">
      <c r="A15266" s="10" t="b">
        <v>0</v>
      </c>
      <c r="B15266" s="11" t="str">
        <f>IF(D15266&lt;&gt;"",IF(COUNTIF('USPTO TMs'!A:A,D15266)&gt;0,"Yes","No"),"")</f>
        <v/>
      </c>
      <c r="C15266" s="11"/>
      <c r="D15266" s="11"/>
      <c r="E15266" s="11"/>
      <c r="F15266" s="11"/>
      <c r="G15266" s="11"/>
      <c r="H15266" s="11"/>
      <c r="I15266" s="15"/>
    </row>
    <row r="15267" spans="1:9" ht="16.5">
      <c r="A15267" s="10" t="b">
        <v>0</v>
      </c>
      <c r="B15267" s="11" t="str">
        <f>IF(D15267&lt;&gt;"",IF(COUNTIF('USPTO TMs'!A:A,D15267)&gt;0,"Yes","No"),"")</f>
        <v/>
      </c>
      <c r="C15267" s="11"/>
      <c r="D15267" s="11"/>
      <c r="E15267" s="11"/>
      <c r="F15267" s="11"/>
      <c r="G15267" s="11"/>
      <c r="H15267" s="11"/>
      <c r="I15267" s="15"/>
    </row>
    <row r="15268" spans="1:9" ht="16.5">
      <c r="A15268" s="10" t="b">
        <v>0</v>
      </c>
      <c r="B15268" s="11" t="str">
        <f>IF(D15268&lt;&gt;"",IF(COUNTIF('USPTO TMs'!A:A,D15268)&gt;0,"Yes","No"),"")</f>
        <v/>
      </c>
      <c r="C15268" s="11"/>
      <c r="D15268" s="11"/>
      <c r="E15268" s="11"/>
      <c r="F15268" s="11"/>
      <c r="G15268" s="11"/>
      <c r="H15268" s="11"/>
      <c r="I15268" s="15"/>
    </row>
    <row r="15269" spans="1:9" ht="16.5">
      <c r="A15269" s="10" t="b">
        <v>0</v>
      </c>
      <c r="B15269" s="11" t="str">
        <f>IF(D15269&lt;&gt;"",IF(COUNTIF('USPTO TMs'!A:A,D15269)&gt;0,"Yes","No"),"")</f>
        <v/>
      </c>
      <c r="C15269" s="11"/>
      <c r="D15269" s="11"/>
      <c r="E15269" s="11"/>
      <c r="F15269" s="11"/>
      <c r="G15269" s="11"/>
      <c r="H15269" s="11"/>
      <c r="I15269" s="15"/>
    </row>
    <row r="15270" spans="1:9" ht="16.5">
      <c r="A15270" s="10" t="b">
        <v>0</v>
      </c>
      <c r="B15270" s="11" t="str">
        <f>IF(D15270&lt;&gt;"",IF(COUNTIF('USPTO TMs'!A:A,D15270)&gt;0,"Yes","No"),"")</f>
        <v/>
      </c>
      <c r="C15270" s="11"/>
      <c r="D15270" s="11"/>
      <c r="E15270" s="11"/>
      <c r="F15270" s="11"/>
      <c r="G15270" s="11"/>
      <c r="H15270" s="11"/>
      <c r="I15270" s="15"/>
    </row>
    <row r="15271" spans="1:9" ht="16.5">
      <c r="A15271" s="10" t="b">
        <v>0</v>
      </c>
      <c r="B15271" s="11" t="str">
        <f>IF(D15271&lt;&gt;"",IF(COUNTIF('USPTO TMs'!A:A,D15271)&gt;0,"Yes","No"),"")</f>
        <v/>
      </c>
      <c r="C15271" s="11"/>
      <c r="D15271" s="11"/>
      <c r="E15271" s="11"/>
      <c r="F15271" s="11"/>
      <c r="G15271" s="11"/>
      <c r="H15271" s="11"/>
      <c r="I15271" s="15"/>
    </row>
    <row r="15272" spans="1:9" ht="16.5">
      <c r="A15272" s="10" t="b">
        <v>0</v>
      </c>
      <c r="B15272" s="11" t="str">
        <f>IF(D15272&lt;&gt;"",IF(COUNTIF('USPTO TMs'!A:A,D15272)&gt;0,"Yes","No"),"")</f>
        <v/>
      </c>
      <c r="C15272" s="11"/>
      <c r="D15272" s="11"/>
      <c r="E15272" s="11"/>
      <c r="F15272" s="11"/>
      <c r="G15272" s="11"/>
      <c r="H15272" s="11"/>
      <c r="I15272" s="15"/>
    </row>
    <row r="15273" spans="1:9" ht="16.5">
      <c r="A15273" s="10" t="b">
        <v>0</v>
      </c>
      <c r="B15273" s="11" t="str">
        <f>IF(D15273&lt;&gt;"",IF(COUNTIF('USPTO TMs'!A:A,D15273)&gt;0,"Yes","No"),"")</f>
        <v/>
      </c>
      <c r="C15273" s="11"/>
      <c r="D15273" s="11"/>
      <c r="E15273" s="11"/>
      <c r="F15273" s="11"/>
      <c r="G15273" s="11"/>
      <c r="H15273" s="11"/>
      <c r="I15273" s="15"/>
    </row>
    <row r="15274" spans="1:9" ht="16.5">
      <c r="A15274" s="10" t="b">
        <v>0</v>
      </c>
      <c r="B15274" s="11" t="str">
        <f>IF(D15274&lt;&gt;"",IF(COUNTIF('USPTO TMs'!A:A,D15274)&gt;0,"Yes","No"),"")</f>
        <v/>
      </c>
      <c r="C15274" s="11"/>
      <c r="D15274" s="11"/>
      <c r="E15274" s="11"/>
      <c r="F15274" s="11"/>
      <c r="G15274" s="11"/>
      <c r="H15274" s="11"/>
      <c r="I15274" s="15"/>
    </row>
    <row r="15275" spans="1:9" ht="16.5">
      <c r="A15275" s="10" t="b">
        <v>0</v>
      </c>
      <c r="B15275" s="11" t="str">
        <f>IF(D15275&lt;&gt;"",IF(COUNTIF('USPTO TMs'!A:A,D15275)&gt;0,"Yes","No"),"")</f>
        <v/>
      </c>
      <c r="C15275" s="11"/>
      <c r="D15275" s="11"/>
      <c r="E15275" s="11"/>
      <c r="F15275" s="11"/>
      <c r="G15275" s="11"/>
      <c r="H15275" s="11"/>
      <c r="I15275" s="15"/>
    </row>
    <row r="15276" spans="1:9" ht="16.5">
      <c r="A15276" s="10" t="b">
        <v>0</v>
      </c>
      <c r="B15276" s="11" t="str">
        <f>IF(D15276&lt;&gt;"",IF(COUNTIF('USPTO TMs'!A:A,D15276)&gt;0,"Yes","No"),"")</f>
        <v/>
      </c>
      <c r="C15276" s="11"/>
      <c r="D15276" s="11"/>
      <c r="E15276" s="11"/>
      <c r="F15276" s="11"/>
      <c r="G15276" s="11"/>
      <c r="H15276" s="11"/>
      <c r="I15276" s="15"/>
    </row>
    <row r="15277" spans="1:9" ht="16.5">
      <c r="A15277" s="10" t="b">
        <v>0</v>
      </c>
      <c r="B15277" s="11" t="str">
        <f>IF(D15277&lt;&gt;"",IF(COUNTIF('USPTO TMs'!A:A,D15277)&gt;0,"Yes","No"),"")</f>
        <v/>
      </c>
      <c r="C15277" s="11"/>
      <c r="D15277" s="11"/>
      <c r="E15277" s="11"/>
      <c r="F15277" s="11"/>
      <c r="G15277" s="11"/>
      <c r="H15277" s="11"/>
      <c r="I15277" s="15"/>
    </row>
    <row r="15278" spans="1:9" ht="16.5">
      <c r="A15278" s="10" t="b">
        <v>0</v>
      </c>
      <c r="B15278" s="11" t="str">
        <f>IF(D15278&lt;&gt;"",IF(COUNTIF('USPTO TMs'!A:A,D15278)&gt;0,"Yes","No"),"")</f>
        <v/>
      </c>
      <c r="C15278" s="11"/>
      <c r="D15278" s="11"/>
      <c r="E15278" s="11"/>
      <c r="F15278" s="11"/>
      <c r="G15278" s="11"/>
      <c r="H15278" s="11"/>
      <c r="I15278" s="15"/>
    </row>
    <row r="15279" spans="1:9" ht="16.5">
      <c r="A15279" s="10" t="b">
        <v>0</v>
      </c>
      <c r="B15279" s="11" t="str">
        <f>IF(D15279&lt;&gt;"",IF(COUNTIF('USPTO TMs'!A:A,D15279)&gt;0,"Yes","No"),"")</f>
        <v/>
      </c>
      <c r="C15279" s="11"/>
      <c r="D15279" s="11"/>
      <c r="E15279" s="11"/>
      <c r="F15279" s="11"/>
      <c r="G15279" s="11"/>
      <c r="H15279" s="11"/>
      <c r="I15279" s="15"/>
    </row>
    <row r="15280" spans="1:9" ht="16.5">
      <c r="A15280" s="10" t="b">
        <v>0</v>
      </c>
      <c r="B15280" s="11" t="str">
        <f>IF(D15280&lt;&gt;"",IF(COUNTIF('USPTO TMs'!A:A,D15280)&gt;0,"Yes","No"),"")</f>
        <v/>
      </c>
      <c r="C15280" s="11"/>
      <c r="D15280" s="11"/>
      <c r="E15280" s="11"/>
      <c r="F15280" s="11"/>
      <c r="G15280" s="11"/>
      <c r="H15280" s="11"/>
      <c r="I15280" s="15"/>
    </row>
    <row r="15281" spans="1:9" ht="16.5">
      <c r="A15281" s="10" t="b">
        <v>0</v>
      </c>
      <c r="B15281" s="11" t="str">
        <f>IF(D15281&lt;&gt;"",IF(COUNTIF('USPTO TMs'!A:A,D15281)&gt;0,"Yes","No"),"")</f>
        <v/>
      </c>
      <c r="C15281" s="11"/>
      <c r="D15281" s="11"/>
      <c r="E15281" s="11"/>
      <c r="F15281" s="11"/>
      <c r="G15281" s="11"/>
      <c r="H15281" s="11"/>
      <c r="I15281" s="15"/>
    </row>
    <row r="15282" spans="1:9" ht="16.5">
      <c r="A15282" s="10" t="b">
        <v>0</v>
      </c>
      <c r="B15282" s="11" t="str">
        <f>IF(D15282&lt;&gt;"",IF(COUNTIF('USPTO TMs'!A:A,D15282)&gt;0,"Yes","No"),"")</f>
        <v/>
      </c>
      <c r="C15282" s="11"/>
      <c r="D15282" s="11"/>
      <c r="E15282" s="11"/>
      <c r="F15282" s="11"/>
      <c r="G15282" s="11"/>
      <c r="H15282" s="11"/>
      <c r="I15282" s="15"/>
    </row>
    <row r="15283" spans="1:9" ht="16.5">
      <c r="A15283" s="10" t="b">
        <v>0</v>
      </c>
      <c r="B15283" s="11" t="str">
        <f>IF(D15283&lt;&gt;"",IF(COUNTIF('USPTO TMs'!A:A,D15283)&gt;0,"Yes","No"),"")</f>
        <v/>
      </c>
      <c r="C15283" s="11"/>
      <c r="D15283" s="11"/>
      <c r="E15283" s="11"/>
      <c r="F15283" s="11"/>
      <c r="G15283" s="11"/>
      <c r="H15283" s="11"/>
      <c r="I15283" s="15"/>
    </row>
    <row r="15284" spans="1:9" ht="16.5">
      <c r="A15284" s="10" t="b">
        <v>0</v>
      </c>
      <c r="B15284" s="11" t="str">
        <f>IF(D15284&lt;&gt;"",IF(COUNTIF('USPTO TMs'!A:A,D15284)&gt;0,"Yes","No"),"")</f>
        <v/>
      </c>
      <c r="C15284" s="11"/>
      <c r="D15284" s="11"/>
      <c r="E15284" s="11"/>
      <c r="F15284" s="11"/>
      <c r="G15284" s="11"/>
      <c r="H15284" s="11"/>
      <c r="I15284" s="15"/>
    </row>
    <row r="15285" spans="1:9" ht="16.5">
      <c r="A15285" s="10" t="b">
        <v>0</v>
      </c>
      <c r="B15285" s="11" t="str">
        <f>IF(D15285&lt;&gt;"",IF(COUNTIF('USPTO TMs'!A:A,D15285)&gt;0,"Yes","No"),"")</f>
        <v/>
      </c>
      <c r="C15285" s="11"/>
      <c r="D15285" s="11"/>
      <c r="E15285" s="11"/>
      <c r="F15285" s="11"/>
      <c r="G15285" s="11"/>
      <c r="H15285" s="11"/>
      <c r="I15285" s="15"/>
    </row>
    <row r="15286" spans="1:9" ht="16.5">
      <c r="A15286" s="10" t="b">
        <v>0</v>
      </c>
      <c r="B15286" s="11" t="str">
        <f>IF(D15286&lt;&gt;"",IF(COUNTIF('USPTO TMs'!A:A,D15286)&gt;0,"Yes","No"),"")</f>
        <v/>
      </c>
      <c r="C15286" s="11"/>
      <c r="D15286" s="11"/>
      <c r="E15286" s="11"/>
      <c r="F15286" s="11"/>
      <c r="G15286" s="11"/>
      <c r="H15286" s="11"/>
      <c r="I15286" s="15"/>
    </row>
    <row r="15287" spans="1:9" ht="16.5">
      <c r="A15287" s="10" t="b">
        <v>0</v>
      </c>
      <c r="B15287" s="11" t="str">
        <f>IF(D15287&lt;&gt;"",IF(COUNTIF('USPTO TMs'!A:A,D15287)&gt;0,"Yes","No"),"")</f>
        <v/>
      </c>
      <c r="C15287" s="11"/>
      <c r="D15287" s="11"/>
      <c r="E15287" s="11"/>
      <c r="F15287" s="11"/>
      <c r="G15287" s="11"/>
      <c r="H15287" s="11"/>
      <c r="I15287" s="15"/>
    </row>
    <row r="15288" spans="1:9" ht="16.5">
      <c r="A15288" s="10" t="b">
        <v>0</v>
      </c>
      <c r="B15288" s="11" t="str">
        <f>IF(D15288&lt;&gt;"",IF(COUNTIF('USPTO TMs'!A:A,D15288)&gt;0,"Yes","No"),"")</f>
        <v/>
      </c>
      <c r="C15288" s="11"/>
      <c r="D15288" s="11"/>
      <c r="E15288" s="11"/>
      <c r="F15288" s="11"/>
      <c r="G15288" s="11"/>
      <c r="H15288" s="11"/>
      <c r="I15288" s="15"/>
    </row>
    <row r="15289" spans="1:9" ht="16.5">
      <c r="A15289" s="10" t="b">
        <v>0</v>
      </c>
      <c r="B15289" s="11" t="str">
        <f>IF(D15289&lt;&gt;"",IF(COUNTIF('USPTO TMs'!A:A,D15289)&gt;0,"Yes","No"),"")</f>
        <v/>
      </c>
      <c r="C15289" s="11"/>
      <c r="D15289" s="11"/>
      <c r="E15289" s="11"/>
      <c r="F15289" s="11"/>
      <c r="G15289" s="11"/>
      <c r="H15289" s="11"/>
      <c r="I15289" s="15"/>
    </row>
    <row r="15290" spans="1:9" ht="16.5">
      <c r="A15290" s="10" t="b">
        <v>0</v>
      </c>
      <c r="B15290" s="11" t="str">
        <f>IF(D15290&lt;&gt;"",IF(COUNTIF('USPTO TMs'!A:A,D15290)&gt;0,"Yes","No"),"")</f>
        <v/>
      </c>
      <c r="C15290" s="11"/>
      <c r="D15290" s="11"/>
      <c r="E15290" s="11"/>
      <c r="F15290" s="11"/>
      <c r="G15290" s="11"/>
      <c r="H15290" s="11"/>
      <c r="I15290" s="15"/>
    </row>
    <row r="15291" spans="1:9" ht="16.5">
      <c r="A15291" s="10" t="b">
        <v>0</v>
      </c>
      <c r="B15291" s="11" t="str">
        <f>IF(D15291&lt;&gt;"",IF(COUNTIF('USPTO TMs'!A:A,D15291)&gt;0,"Yes","No"),"")</f>
        <v/>
      </c>
      <c r="C15291" s="11"/>
      <c r="D15291" s="11"/>
      <c r="E15291" s="11"/>
      <c r="F15291" s="11"/>
      <c r="G15291" s="11"/>
      <c r="H15291" s="11"/>
      <c r="I15291" s="15"/>
    </row>
    <row r="15292" spans="1:9" ht="16.5">
      <c r="A15292" s="10" t="b">
        <v>0</v>
      </c>
      <c r="B15292" s="11" t="str">
        <f>IF(D15292&lt;&gt;"",IF(COUNTIF('USPTO TMs'!A:A,D15292)&gt;0,"Yes","No"),"")</f>
        <v/>
      </c>
      <c r="C15292" s="11"/>
      <c r="D15292" s="11"/>
      <c r="E15292" s="11"/>
      <c r="F15292" s="11"/>
      <c r="G15292" s="11"/>
      <c r="H15292" s="11"/>
      <c r="I15292" s="15"/>
    </row>
    <row r="15293" spans="1:9" ht="16.5">
      <c r="A15293" s="10" t="b">
        <v>0</v>
      </c>
      <c r="B15293" s="11" t="str">
        <f>IF(D15293&lt;&gt;"",IF(COUNTIF('USPTO TMs'!A:A,D15293)&gt;0,"Yes","No"),"")</f>
        <v/>
      </c>
      <c r="C15293" s="11"/>
      <c r="D15293" s="11"/>
      <c r="E15293" s="11"/>
      <c r="F15293" s="11"/>
      <c r="G15293" s="11"/>
      <c r="H15293" s="11"/>
      <c r="I15293" s="15"/>
    </row>
    <row r="15294" spans="1:9" ht="16.5">
      <c r="A15294" s="10" t="b">
        <v>0</v>
      </c>
      <c r="B15294" s="11" t="str">
        <f>IF(D15294&lt;&gt;"",IF(COUNTIF('USPTO TMs'!A:A,D15294)&gt;0,"Yes","No"),"")</f>
        <v/>
      </c>
      <c r="C15294" s="11"/>
      <c r="D15294" s="11"/>
      <c r="E15294" s="11"/>
      <c r="F15294" s="11"/>
      <c r="G15294" s="11"/>
      <c r="H15294" s="11"/>
      <c r="I15294" s="15"/>
    </row>
    <row r="15295" spans="1:9" ht="16.5">
      <c r="A15295" s="10" t="b">
        <v>0</v>
      </c>
      <c r="B15295" s="11" t="str">
        <f>IF(D15295&lt;&gt;"",IF(COUNTIF('USPTO TMs'!A:A,D15295)&gt;0,"Yes","No"),"")</f>
        <v/>
      </c>
      <c r="C15295" s="11"/>
      <c r="D15295" s="11"/>
      <c r="E15295" s="11"/>
      <c r="F15295" s="11"/>
      <c r="G15295" s="11"/>
      <c r="H15295" s="11"/>
      <c r="I15295" s="15"/>
    </row>
    <row r="15296" spans="1:9" ht="16.5">
      <c r="A15296" s="10" t="b">
        <v>0</v>
      </c>
      <c r="B15296" s="11" t="str">
        <f>IF(D15296&lt;&gt;"",IF(COUNTIF('USPTO TMs'!A:A,D15296)&gt;0,"Yes","No"),"")</f>
        <v/>
      </c>
      <c r="C15296" s="11"/>
      <c r="D15296" s="11"/>
      <c r="E15296" s="11"/>
      <c r="F15296" s="11"/>
      <c r="G15296" s="11"/>
      <c r="H15296" s="11"/>
      <c r="I15296" s="15"/>
    </row>
    <row r="15297" spans="1:9" ht="16.5">
      <c r="A15297" s="10" t="b">
        <v>0</v>
      </c>
      <c r="B15297" s="11" t="str">
        <f>IF(D15297&lt;&gt;"",IF(COUNTIF('USPTO TMs'!A:A,D15297)&gt;0,"Yes","No"),"")</f>
        <v/>
      </c>
      <c r="C15297" s="11"/>
      <c r="D15297" s="11"/>
      <c r="E15297" s="11"/>
      <c r="F15297" s="11"/>
      <c r="G15297" s="11"/>
      <c r="H15297" s="11"/>
      <c r="I15297" s="15"/>
    </row>
    <row r="15298" spans="1:9" ht="16.5">
      <c r="A15298" s="10" t="b">
        <v>0</v>
      </c>
      <c r="B15298" s="11" t="str">
        <f>IF(D15298&lt;&gt;"",IF(COUNTIF('USPTO TMs'!A:A,D15298)&gt;0,"Yes","No"),"")</f>
        <v/>
      </c>
      <c r="C15298" s="11"/>
      <c r="D15298" s="11"/>
      <c r="E15298" s="11"/>
      <c r="F15298" s="11"/>
      <c r="G15298" s="11"/>
      <c r="H15298" s="11"/>
      <c r="I15298" s="15"/>
    </row>
    <row r="15299" spans="1:9" ht="16.5">
      <c r="A15299" s="10" t="b">
        <v>0</v>
      </c>
      <c r="B15299" s="11" t="str">
        <f>IF(D15299&lt;&gt;"",IF(COUNTIF('USPTO TMs'!A:A,D15299)&gt;0,"Yes","No"),"")</f>
        <v/>
      </c>
      <c r="C15299" s="11"/>
      <c r="D15299" s="11"/>
      <c r="E15299" s="11"/>
      <c r="F15299" s="11"/>
      <c r="G15299" s="11"/>
      <c r="H15299" s="11"/>
      <c r="I15299" s="15"/>
    </row>
    <row r="15300" spans="1:9" ht="16.5">
      <c r="A15300" s="10" t="b">
        <v>0</v>
      </c>
      <c r="B15300" s="11" t="str">
        <f>IF(D15300&lt;&gt;"",IF(COUNTIF('USPTO TMs'!A:A,D15300)&gt;0,"Yes","No"),"")</f>
        <v/>
      </c>
      <c r="C15300" s="11"/>
      <c r="D15300" s="11"/>
      <c r="E15300" s="11"/>
      <c r="F15300" s="11"/>
      <c r="G15300" s="11"/>
      <c r="H15300" s="11"/>
      <c r="I15300" s="15"/>
    </row>
    <row r="15301" spans="1:9" ht="16.5">
      <c r="A15301" s="10" t="b">
        <v>0</v>
      </c>
      <c r="B15301" s="11" t="str">
        <f>IF(D15301&lt;&gt;"",IF(COUNTIF('USPTO TMs'!A:A,D15301)&gt;0,"Yes","No"),"")</f>
        <v/>
      </c>
      <c r="C15301" s="11"/>
      <c r="D15301" s="11"/>
      <c r="E15301" s="11"/>
      <c r="F15301" s="11"/>
      <c r="G15301" s="11"/>
      <c r="H15301" s="11"/>
      <c r="I15301" s="15"/>
    </row>
    <row r="15302" spans="1:9" ht="16.5">
      <c r="A15302" s="10" t="b">
        <v>0</v>
      </c>
      <c r="B15302" s="11" t="str">
        <f>IF(D15302&lt;&gt;"",IF(COUNTIF('USPTO TMs'!A:A,D15302)&gt;0,"Yes","No"),"")</f>
        <v/>
      </c>
      <c r="C15302" s="11"/>
      <c r="D15302" s="11"/>
      <c r="E15302" s="11"/>
      <c r="F15302" s="11"/>
      <c r="G15302" s="11"/>
      <c r="H15302" s="11"/>
      <c r="I15302" s="15"/>
    </row>
    <row r="15303" spans="1:9" ht="16.5">
      <c r="A15303" s="10" t="b">
        <v>0</v>
      </c>
      <c r="B15303" s="11" t="str">
        <f>IF(D15303&lt;&gt;"",IF(COUNTIF('USPTO TMs'!A:A,D15303)&gt;0,"Yes","No"),"")</f>
        <v/>
      </c>
      <c r="C15303" s="11"/>
      <c r="D15303" s="11"/>
      <c r="E15303" s="11"/>
      <c r="F15303" s="11"/>
      <c r="G15303" s="11"/>
      <c r="H15303" s="11"/>
      <c r="I15303" s="15"/>
    </row>
    <row r="15304" spans="1:9" ht="16.5">
      <c r="A15304" s="10" t="b">
        <v>0</v>
      </c>
      <c r="B15304" s="11" t="str">
        <f>IF(D15304&lt;&gt;"",IF(COUNTIF('USPTO TMs'!A:A,D15304)&gt;0,"Yes","No"),"")</f>
        <v/>
      </c>
      <c r="C15304" s="11"/>
      <c r="D15304" s="11"/>
      <c r="E15304" s="11"/>
      <c r="F15304" s="11"/>
      <c r="G15304" s="11"/>
      <c r="H15304" s="11"/>
      <c r="I15304" s="15"/>
    </row>
    <row r="15305" spans="1:9" ht="16.5">
      <c r="A15305" s="10" t="b">
        <v>0</v>
      </c>
      <c r="B15305" s="11" t="str">
        <f>IF(D15305&lt;&gt;"",IF(COUNTIF('USPTO TMs'!A:A,D15305)&gt;0,"Yes","No"),"")</f>
        <v/>
      </c>
      <c r="C15305" s="11"/>
      <c r="D15305" s="11"/>
      <c r="E15305" s="11"/>
      <c r="F15305" s="11"/>
      <c r="G15305" s="11"/>
      <c r="H15305" s="11"/>
      <c r="I15305" s="15"/>
    </row>
    <row r="15306" spans="1:9" ht="16.5">
      <c r="A15306" s="10" t="b">
        <v>0</v>
      </c>
      <c r="B15306" s="11" t="str">
        <f>IF(D15306&lt;&gt;"",IF(COUNTIF('USPTO TMs'!A:A,D15306)&gt;0,"Yes","No"),"")</f>
        <v/>
      </c>
      <c r="C15306" s="11"/>
      <c r="D15306" s="11"/>
      <c r="E15306" s="11"/>
      <c r="F15306" s="11"/>
      <c r="G15306" s="11"/>
      <c r="H15306" s="11"/>
      <c r="I15306" s="15"/>
    </row>
    <row r="15307" spans="1:9" ht="16.5">
      <c r="A15307" s="10" t="b">
        <v>0</v>
      </c>
      <c r="B15307" s="11" t="str">
        <f>IF(D15307&lt;&gt;"",IF(COUNTIF('USPTO TMs'!A:A,D15307)&gt;0,"Yes","No"),"")</f>
        <v/>
      </c>
      <c r="C15307" s="11"/>
      <c r="D15307" s="11"/>
      <c r="E15307" s="11"/>
      <c r="F15307" s="11"/>
      <c r="G15307" s="11"/>
      <c r="H15307" s="11"/>
      <c r="I15307" s="15"/>
    </row>
    <row r="15308" spans="1:9" ht="16.5">
      <c r="A15308" s="10" t="b">
        <v>0</v>
      </c>
      <c r="B15308" s="11" t="str">
        <f>IF(D15308&lt;&gt;"",IF(COUNTIF('USPTO TMs'!A:A,D15308)&gt;0,"Yes","No"),"")</f>
        <v/>
      </c>
      <c r="C15308" s="11"/>
      <c r="D15308" s="11"/>
      <c r="E15308" s="11"/>
      <c r="F15308" s="11"/>
      <c r="G15308" s="11"/>
      <c r="H15308" s="11"/>
      <c r="I15308" s="15"/>
    </row>
    <row r="15309" spans="1:9" ht="16.5">
      <c r="A15309" s="10" t="b">
        <v>0</v>
      </c>
      <c r="B15309" s="11" t="str">
        <f>IF(D15309&lt;&gt;"",IF(COUNTIF('USPTO TMs'!A:A,D15309)&gt;0,"Yes","No"),"")</f>
        <v/>
      </c>
      <c r="C15309" s="11"/>
      <c r="D15309" s="11"/>
      <c r="E15309" s="11"/>
      <c r="F15309" s="11"/>
      <c r="G15309" s="11"/>
      <c r="H15309" s="11"/>
      <c r="I15309" s="15"/>
    </row>
    <row r="15310" spans="1:9" ht="16.5">
      <c r="A15310" s="10" t="b">
        <v>0</v>
      </c>
      <c r="B15310" s="11" t="str">
        <f>IF(D15310&lt;&gt;"",IF(COUNTIF('USPTO TMs'!A:A,D15310)&gt;0,"Yes","No"),"")</f>
        <v/>
      </c>
      <c r="C15310" s="11"/>
      <c r="D15310" s="11"/>
      <c r="E15310" s="11"/>
      <c r="F15310" s="11"/>
      <c r="G15310" s="11"/>
      <c r="H15310" s="11"/>
      <c r="I15310" s="15"/>
    </row>
    <row r="15311" spans="1:9" ht="16.5">
      <c r="A15311" s="10" t="b">
        <v>0</v>
      </c>
      <c r="B15311" s="11" t="str">
        <f>IF(D15311&lt;&gt;"",IF(COUNTIF('USPTO TMs'!A:A,D15311)&gt;0,"Yes","No"),"")</f>
        <v/>
      </c>
      <c r="C15311" s="11"/>
      <c r="D15311" s="11"/>
      <c r="E15311" s="11"/>
      <c r="F15311" s="11"/>
      <c r="G15311" s="11"/>
      <c r="H15311" s="11"/>
      <c r="I15311" s="15"/>
    </row>
    <row r="15312" spans="1:9" ht="16.5">
      <c r="A15312" s="10" t="b">
        <v>0</v>
      </c>
      <c r="B15312" s="11" t="str">
        <f>IF(D15312&lt;&gt;"",IF(COUNTIF('USPTO TMs'!A:A,D15312)&gt;0,"Yes","No"),"")</f>
        <v/>
      </c>
      <c r="C15312" s="11"/>
      <c r="D15312" s="11"/>
      <c r="E15312" s="11"/>
      <c r="F15312" s="11"/>
      <c r="G15312" s="11"/>
      <c r="H15312" s="11"/>
      <c r="I15312" s="15"/>
    </row>
    <row r="15313" spans="1:9" ht="16.5">
      <c r="A15313" s="10" t="b">
        <v>0</v>
      </c>
      <c r="B15313" s="11" t="str">
        <f>IF(D15313&lt;&gt;"",IF(COUNTIF('USPTO TMs'!A:A,D15313)&gt;0,"Yes","No"),"")</f>
        <v/>
      </c>
      <c r="C15313" s="11"/>
      <c r="D15313" s="11"/>
      <c r="E15313" s="11"/>
      <c r="F15313" s="11"/>
      <c r="G15313" s="11"/>
      <c r="H15313" s="11"/>
      <c r="I15313" s="15"/>
    </row>
    <row r="15314" spans="1:9" ht="16.5">
      <c r="A15314" s="10" t="b">
        <v>0</v>
      </c>
      <c r="B15314" s="11" t="str">
        <f>IF(D15314&lt;&gt;"",IF(COUNTIF('USPTO TMs'!A:A,D15314)&gt;0,"Yes","No"),"")</f>
        <v/>
      </c>
      <c r="C15314" s="11"/>
      <c r="D15314" s="11"/>
      <c r="E15314" s="11"/>
      <c r="F15314" s="11"/>
      <c r="G15314" s="11"/>
      <c r="H15314" s="11"/>
      <c r="I15314" s="15"/>
    </row>
    <row r="15315" spans="1:9" ht="16.5">
      <c r="A15315" s="10" t="b">
        <v>0</v>
      </c>
      <c r="B15315" s="11" t="str">
        <f>IF(D15315&lt;&gt;"",IF(COUNTIF('USPTO TMs'!A:A,D15315)&gt;0,"Yes","No"),"")</f>
        <v/>
      </c>
      <c r="C15315" s="11"/>
      <c r="D15315" s="11"/>
      <c r="E15315" s="11"/>
      <c r="F15315" s="11"/>
      <c r="G15315" s="11"/>
      <c r="H15315" s="11"/>
      <c r="I15315" s="15"/>
    </row>
    <row r="15316" spans="1:9" ht="16.5">
      <c r="A15316" s="10" t="b">
        <v>0</v>
      </c>
      <c r="B15316" s="11" t="str">
        <f>IF(D15316&lt;&gt;"",IF(COUNTIF('USPTO TMs'!A:A,D15316)&gt;0,"Yes","No"),"")</f>
        <v/>
      </c>
      <c r="C15316" s="11"/>
      <c r="D15316" s="11"/>
      <c r="E15316" s="11"/>
      <c r="F15316" s="11"/>
      <c r="G15316" s="11"/>
      <c r="H15316" s="11"/>
      <c r="I15316" s="15"/>
    </row>
    <row r="15317" spans="1:9" ht="16.5">
      <c r="A15317" s="10" t="b">
        <v>0</v>
      </c>
      <c r="B15317" s="11" t="str">
        <f>IF(D15317&lt;&gt;"",IF(COUNTIF('USPTO TMs'!A:A,D15317)&gt;0,"Yes","No"),"")</f>
        <v/>
      </c>
      <c r="C15317" s="11"/>
      <c r="D15317" s="11"/>
      <c r="E15317" s="11"/>
      <c r="F15317" s="11"/>
      <c r="G15317" s="11"/>
      <c r="H15317" s="11"/>
      <c r="I15317" s="15"/>
    </row>
    <row r="15318" spans="1:9" ht="16.5">
      <c r="A15318" s="10" t="b">
        <v>0</v>
      </c>
      <c r="B15318" s="11" t="str">
        <f>IF(D15318&lt;&gt;"",IF(COUNTIF('USPTO TMs'!A:A,D15318)&gt;0,"Yes","No"),"")</f>
        <v/>
      </c>
      <c r="C15318" s="11"/>
      <c r="D15318" s="11"/>
      <c r="E15318" s="11"/>
      <c r="F15318" s="11"/>
      <c r="G15318" s="11"/>
      <c r="H15318" s="11"/>
      <c r="I15318" s="15"/>
    </row>
    <row r="15319" spans="1:9" ht="16.5">
      <c r="A15319" s="10" t="b">
        <v>0</v>
      </c>
      <c r="B15319" s="11" t="str">
        <f>IF(D15319&lt;&gt;"",IF(COUNTIF('USPTO TMs'!A:A,D15319)&gt;0,"Yes","No"),"")</f>
        <v/>
      </c>
      <c r="C15319" s="11"/>
      <c r="D15319" s="11"/>
      <c r="E15319" s="11"/>
      <c r="F15319" s="11"/>
      <c r="G15319" s="11"/>
      <c r="H15319" s="11"/>
      <c r="I15319" s="15"/>
    </row>
    <row r="15320" spans="1:9" ht="16.5">
      <c r="A15320" s="10" t="b">
        <v>0</v>
      </c>
      <c r="B15320" s="11" t="str">
        <f>IF(D15320&lt;&gt;"",IF(COUNTIF('USPTO TMs'!A:A,D15320)&gt;0,"Yes","No"),"")</f>
        <v/>
      </c>
      <c r="C15320" s="11"/>
      <c r="D15320" s="11"/>
      <c r="E15320" s="11"/>
      <c r="F15320" s="11"/>
      <c r="G15320" s="11"/>
      <c r="H15320" s="11"/>
      <c r="I15320" s="15"/>
    </row>
    <row r="15321" spans="1:9" ht="16.5">
      <c r="A15321" s="10" t="b">
        <v>0</v>
      </c>
      <c r="B15321" s="11" t="str">
        <f>IF(D15321&lt;&gt;"",IF(COUNTIF('USPTO TMs'!A:A,D15321)&gt;0,"Yes","No"),"")</f>
        <v/>
      </c>
      <c r="C15321" s="11"/>
      <c r="D15321" s="11"/>
      <c r="E15321" s="11"/>
      <c r="F15321" s="11"/>
      <c r="G15321" s="11"/>
      <c r="H15321" s="11"/>
      <c r="I15321" s="15"/>
    </row>
    <row r="15322" spans="1:9" ht="16.5">
      <c r="A15322" s="10" t="b">
        <v>0</v>
      </c>
      <c r="B15322" s="11" t="str">
        <f>IF(D15322&lt;&gt;"",IF(COUNTIF('USPTO TMs'!A:A,D15322)&gt;0,"Yes","No"),"")</f>
        <v/>
      </c>
      <c r="C15322" s="11"/>
      <c r="D15322" s="11"/>
      <c r="E15322" s="11"/>
      <c r="F15322" s="11"/>
      <c r="G15322" s="11"/>
      <c r="H15322" s="11"/>
      <c r="I15322" s="15"/>
    </row>
    <row r="15323" spans="1:9" ht="16.5">
      <c r="A15323" s="10" t="b">
        <v>0</v>
      </c>
      <c r="B15323" s="11" t="str">
        <f>IF(D15323&lt;&gt;"",IF(COUNTIF('USPTO TMs'!A:A,D15323)&gt;0,"Yes","No"),"")</f>
        <v/>
      </c>
      <c r="C15323" s="11"/>
      <c r="D15323" s="11"/>
      <c r="E15323" s="11"/>
      <c r="F15323" s="11"/>
      <c r="G15323" s="11"/>
      <c r="H15323" s="11"/>
      <c r="I15323" s="15"/>
    </row>
    <row r="15324" spans="1:9" ht="16.5">
      <c r="A15324" s="10" t="b">
        <v>0</v>
      </c>
      <c r="B15324" s="11" t="str">
        <f>IF(D15324&lt;&gt;"",IF(COUNTIF('USPTO TMs'!A:A,D15324)&gt;0,"Yes","No"),"")</f>
        <v/>
      </c>
      <c r="C15324" s="11"/>
      <c r="D15324" s="11"/>
      <c r="E15324" s="11"/>
      <c r="F15324" s="11"/>
      <c r="G15324" s="11"/>
      <c r="H15324" s="11"/>
      <c r="I15324" s="15"/>
    </row>
    <row r="15325" spans="1:9" ht="16.5">
      <c r="A15325" s="10" t="b">
        <v>0</v>
      </c>
      <c r="B15325" s="11" t="str">
        <f>IF(D15325&lt;&gt;"",IF(COUNTIF('USPTO TMs'!A:A,D15325)&gt;0,"Yes","No"),"")</f>
        <v/>
      </c>
      <c r="C15325" s="11"/>
      <c r="D15325" s="11"/>
      <c r="E15325" s="11"/>
      <c r="F15325" s="11"/>
      <c r="G15325" s="11"/>
      <c r="H15325" s="11"/>
      <c r="I15325" s="15"/>
    </row>
    <row r="15326" spans="1:9" ht="16.5">
      <c r="A15326" s="10" t="b">
        <v>0</v>
      </c>
      <c r="B15326" s="11" t="str">
        <f>IF(D15326&lt;&gt;"",IF(COUNTIF('USPTO TMs'!A:A,D15326)&gt;0,"Yes","No"),"")</f>
        <v/>
      </c>
      <c r="C15326" s="11"/>
      <c r="D15326" s="11"/>
      <c r="E15326" s="11"/>
      <c r="F15326" s="11"/>
      <c r="G15326" s="11"/>
      <c r="H15326" s="11"/>
      <c r="I15326" s="15"/>
    </row>
    <row r="15327" spans="1:9" ht="16.5">
      <c r="A15327" s="10" t="b">
        <v>0</v>
      </c>
      <c r="B15327" s="11" t="str">
        <f>IF(D15327&lt;&gt;"",IF(COUNTIF('USPTO TMs'!A:A,D15327)&gt;0,"Yes","No"),"")</f>
        <v/>
      </c>
      <c r="C15327" s="11"/>
      <c r="D15327" s="11"/>
      <c r="E15327" s="11"/>
      <c r="F15327" s="11"/>
      <c r="G15327" s="11"/>
      <c r="H15327" s="11"/>
      <c r="I15327" s="15"/>
    </row>
    <row r="15328" spans="1:9" ht="16.5">
      <c r="A15328" s="10" t="b">
        <v>0</v>
      </c>
      <c r="B15328" s="11" t="str">
        <f>IF(D15328&lt;&gt;"",IF(COUNTIF('USPTO TMs'!A:A,D15328)&gt;0,"Yes","No"),"")</f>
        <v/>
      </c>
      <c r="C15328" s="11"/>
      <c r="D15328" s="11"/>
      <c r="E15328" s="11"/>
      <c r="F15328" s="11"/>
      <c r="G15328" s="11"/>
      <c r="H15328" s="11"/>
      <c r="I15328" s="15"/>
    </row>
    <row r="15329" spans="1:9" ht="16.5">
      <c r="A15329" s="10" t="b">
        <v>0</v>
      </c>
      <c r="B15329" s="11" t="str">
        <f>IF(D15329&lt;&gt;"",IF(COUNTIF('USPTO TMs'!A:A,D15329)&gt;0,"Yes","No"),"")</f>
        <v/>
      </c>
      <c r="C15329" s="11"/>
      <c r="D15329" s="11"/>
      <c r="E15329" s="11"/>
      <c r="F15329" s="11"/>
      <c r="G15329" s="11"/>
      <c r="H15329" s="11"/>
      <c r="I15329" s="15"/>
    </row>
    <row r="15330" spans="1:9" ht="16.5">
      <c r="A15330" s="10" t="b">
        <v>0</v>
      </c>
      <c r="B15330" s="11" t="str">
        <f>IF(D15330&lt;&gt;"",IF(COUNTIF('USPTO TMs'!A:A,D15330)&gt;0,"Yes","No"),"")</f>
        <v/>
      </c>
      <c r="C15330" s="11"/>
      <c r="D15330" s="11"/>
      <c r="E15330" s="11"/>
      <c r="F15330" s="11"/>
      <c r="G15330" s="11"/>
      <c r="H15330" s="11"/>
      <c r="I15330" s="15"/>
    </row>
    <row r="15331" spans="1:9" ht="16.5">
      <c r="A15331" s="10" t="b">
        <v>0</v>
      </c>
      <c r="B15331" s="11" t="str">
        <f>IF(D15331&lt;&gt;"",IF(COUNTIF('USPTO TMs'!A:A,D15331)&gt;0,"Yes","No"),"")</f>
        <v/>
      </c>
      <c r="C15331" s="11"/>
      <c r="D15331" s="11"/>
      <c r="E15331" s="11"/>
      <c r="F15331" s="11"/>
      <c r="G15331" s="11"/>
      <c r="H15331" s="11"/>
      <c r="I15331" s="15"/>
    </row>
    <row r="15332" spans="1:9" ht="16.5">
      <c r="A15332" s="10" t="b">
        <v>0</v>
      </c>
      <c r="B15332" s="11" t="str">
        <f>IF(D15332&lt;&gt;"",IF(COUNTIF('USPTO TMs'!A:A,D15332)&gt;0,"Yes","No"),"")</f>
        <v/>
      </c>
      <c r="C15332" s="11"/>
      <c r="D15332" s="11"/>
      <c r="E15332" s="11"/>
      <c r="F15332" s="11"/>
      <c r="G15332" s="11"/>
      <c r="H15332" s="11"/>
      <c r="I15332" s="15"/>
    </row>
    <row r="15333" spans="1:9" ht="16.5">
      <c r="A15333" s="10" t="b">
        <v>0</v>
      </c>
      <c r="B15333" s="11" t="str">
        <f>IF(D15333&lt;&gt;"",IF(COUNTIF('USPTO TMs'!A:A,D15333)&gt;0,"Yes","No"),"")</f>
        <v/>
      </c>
      <c r="C15333" s="11"/>
      <c r="D15333" s="11"/>
      <c r="E15333" s="11"/>
      <c r="F15333" s="11"/>
      <c r="G15333" s="11"/>
      <c r="H15333" s="11"/>
      <c r="I15333" s="15"/>
    </row>
    <row r="15334" spans="1:9" ht="16.5">
      <c r="A15334" s="10" t="b">
        <v>0</v>
      </c>
      <c r="B15334" s="11" t="str">
        <f>IF(D15334&lt;&gt;"",IF(COUNTIF('USPTO TMs'!A:A,D15334)&gt;0,"Yes","No"),"")</f>
        <v/>
      </c>
      <c r="C15334" s="11"/>
      <c r="D15334" s="11"/>
      <c r="E15334" s="11"/>
      <c r="F15334" s="11"/>
      <c r="G15334" s="11"/>
      <c r="H15334" s="11"/>
      <c r="I15334" s="15"/>
    </row>
    <row r="15335" spans="1:9" ht="16.5">
      <c r="A15335" s="10" t="b">
        <v>0</v>
      </c>
      <c r="B15335" s="11" t="str">
        <f>IF(D15335&lt;&gt;"",IF(COUNTIF('USPTO TMs'!A:A,D15335)&gt;0,"Yes","No"),"")</f>
        <v/>
      </c>
      <c r="C15335" s="11"/>
      <c r="D15335" s="11"/>
      <c r="E15335" s="11"/>
      <c r="F15335" s="11"/>
      <c r="G15335" s="11"/>
      <c r="H15335" s="11"/>
      <c r="I15335" s="15"/>
    </row>
    <row r="15336" spans="1:9" ht="16.5">
      <c r="A15336" s="10" t="b">
        <v>0</v>
      </c>
      <c r="B15336" s="11" t="str">
        <f>IF(D15336&lt;&gt;"",IF(COUNTIF('USPTO TMs'!A:A,D15336)&gt;0,"Yes","No"),"")</f>
        <v/>
      </c>
      <c r="C15336" s="11"/>
      <c r="D15336" s="11"/>
      <c r="E15336" s="11"/>
      <c r="F15336" s="11"/>
      <c r="G15336" s="11"/>
      <c r="H15336" s="11"/>
      <c r="I15336" s="15"/>
    </row>
    <row r="15337" spans="1:9" ht="16.5">
      <c r="A15337" s="10" t="b">
        <v>0</v>
      </c>
      <c r="B15337" s="11" t="str">
        <f>IF(D15337&lt;&gt;"",IF(COUNTIF('USPTO TMs'!A:A,D15337)&gt;0,"Yes","No"),"")</f>
        <v/>
      </c>
      <c r="C15337" s="11"/>
      <c r="D15337" s="11"/>
      <c r="E15337" s="11"/>
      <c r="F15337" s="11"/>
      <c r="G15337" s="11"/>
      <c r="H15337" s="11"/>
      <c r="I15337" s="15"/>
    </row>
    <row r="15338" spans="1:9" ht="16.5">
      <c r="A15338" s="10" t="b">
        <v>0</v>
      </c>
      <c r="B15338" s="11" t="str">
        <f>IF(D15338&lt;&gt;"",IF(COUNTIF('USPTO TMs'!A:A,D15338)&gt;0,"Yes","No"),"")</f>
        <v/>
      </c>
      <c r="C15338" s="11"/>
      <c r="D15338" s="11"/>
      <c r="E15338" s="11"/>
      <c r="F15338" s="11"/>
      <c r="G15338" s="11"/>
      <c r="H15338" s="11"/>
      <c r="I15338" s="15"/>
    </row>
    <row r="15339" spans="1:9" ht="16.5">
      <c r="A15339" s="10" t="b">
        <v>0</v>
      </c>
      <c r="B15339" s="11" t="str">
        <f>IF(D15339&lt;&gt;"",IF(COUNTIF('USPTO TMs'!A:A,D15339)&gt;0,"Yes","No"),"")</f>
        <v/>
      </c>
      <c r="C15339" s="11"/>
      <c r="D15339" s="11"/>
      <c r="E15339" s="11"/>
      <c r="F15339" s="11"/>
      <c r="G15339" s="11"/>
      <c r="H15339" s="11"/>
      <c r="I15339" s="15"/>
    </row>
    <row r="15340" spans="1:9" ht="16.5">
      <c r="A15340" s="10" t="b">
        <v>0</v>
      </c>
      <c r="B15340" s="11" t="str">
        <f>IF(D15340&lt;&gt;"",IF(COUNTIF('USPTO TMs'!A:A,D15340)&gt;0,"Yes","No"),"")</f>
        <v/>
      </c>
      <c r="C15340" s="11"/>
      <c r="D15340" s="11"/>
      <c r="E15340" s="11"/>
      <c r="F15340" s="11"/>
      <c r="G15340" s="11"/>
      <c r="H15340" s="11"/>
      <c r="I15340" s="15"/>
    </row>
    <row r="15341" spans="1:9" ht="16.5">
      <c r="A15341" s="10" t="b">
        <v>0</v>
      </c>
      <c r="B15341" s="11" t="str">
        <f>IF(D15341&lt;&gt;"",IF(COUNTIF('USPTO TMs'!A:A,D15341)&gt;0,"Yes","No"),"")</f>
        <v/>
      </c>
      <c r="C15341" s="11"/>
      <c r="D15341" s="11"/>
      <c r="E15341" s="11"/>
      <c r="F15341" s="11"/>
      <c r="G15341" s="11"/>
      <c r="H15341" s="11"/>
      <c r="I15341" s="15"/>
    </row>
    <row r="15342" spans="1:9" ht="16.5">
      <c r="A15342" s="10" t="b">
        <v>0</v>
      </c>
      <c r="B15342" s="11" t="str">
        <f>IF(D15342&lt;&gt;"",IF(COUNTIF('USPTO TMs'!A:A,D15342)&gt;0,"Yes","No"),"")</f>
        <v/>
      </c>
      <c r="C15342" s="11"/>
      <c r="D15342" s="11"/>
      <c r="E15342" s="11"/>
      <c r="F15342" s="11"/>
      <c r="G15342" s="11"/>
      <c r="H15342" s="11"/>
      <c r="I15342" s="15"/>
    </row>
    <row r="15343" spans="1:9" ht="16.5">
      <c r="A15343" s="10" t="b">
        <v>0</v>
      </c>
      <c r="B15343" s="11" t="str">
        <f>IF(D15343&lt;&gt;"",IF(COUNTIF('USPTO TMs'!A:A,D15343)&gt;0,"Yes","No"),"")</f>
        <v/>
      </c>
      <c r="C15343" s="11"/>
      <c r="D15343" s="11"/>
      <c r="E15343" s="11"/>
      <c r="F15343" s="11"/>
      <c r="G15343" s="11"/>
      <c r="H15343" s="11"/>
      <c r="I15343" s="15"/>
    </row>
    <row r="15344" spans="1:9" ht="16.5">
      <c r="A15344" s="10" t="b">
        <v>0</v>
      </c>
      <c r="B15344" s="11" t="str">
        <f>IF(D15344&lt;&gt;"",IF(COUNTIF('USPTO TMs'!A:A,D15344)&gt;0,"Yes","No"),"")</f>
        <v/>
      </c>
      <c r="C15344" s="11"/>
      <c r="D15344" s="11"/>
      <c r="E15344" s="11"/>
      <c r="F15344" s="11"/>
      <c r="G15344" s="11"/>
      <c r="H15344" s="11"/>
      <c r="I15344" s="15"/>
    </row>
    <row r="15345" spans="1:9" ht="16.5">
      <c r="A15345" s="10" t="b">
        <v>0</v>
      </c>
      <c r="B15345" s="11" t="str">
        <f>IF(D15345&lt;&gt;"",IF(COUNTIF('USPTO TMs'!A:A,D15345)&gt;0,"Yes","No"),"")</f>
        <v/>
      </c>
      <c r="C15345" s="11"/>
      <c r="D15345" s="11"/>
      <c r="E15345" s="11"/>
      <c r="F15345" s="11"/>
      <c r="G15345" s="11"/>
      <c r="H15345" s="11"/>
      <c r="I15345" s="15"/>
    </row>
    <row r="15346" spans="1:9" ht="16.5">
      <c r="A15346" s="10" t="b">
        <v>0</v>
      </c>
      <c r="B15346" s="11" t="str">
        <f>IF(D15346&lt;&gt;"",IF(COUNTIF('USPTO TMs'!A:A,D15346)&gt;0,"Yes","No"),"")</f>
        <v/>
      </c>
      <c r="C15346" s="11"/>
      <c r="D15346" s="11"/>
      <c r="E15346" s="11"/>
      <c r="F15346" s="11"/>
      <c r="G15346" s="11"/>
      <c r="H15346" s="11"/>
      <c r="I15346" s="15"/>
    </row>
    <row r="15347" spans="1:9" ht="16.5">
      <c r="A15347" s="10" t="b">
        <v>0</v>
      </c>
      <c r="B15347" s="11" t="str">
        <f>IF(D15347&lt;&gt;"",IF(COUNTIF('USPTO TMs'!A:A,D15347)&gt;0,"Yes","No"),"")</f>
        <v/>
      </c>
      <c r="C15347" s="11"/>
      <c r="D15347" s="11"/>
      <c r="E15347" s="11"/>
      <c r="F15347" s="11"/>
      <c r="G15347" s="11"/>
      <c r="H15347" s="11"/>
      <c r="I15347" s="15"/>
    </row>
    <row r="15348" spans="1:9" ht="16.5">
      <c r="A15348" s="10" t="b">
        <v>0</v>
      </c>
      <c r="B15348" s="11" t="str">
        <f>IF(D15348&lt;&gt;"",IF(COUNTIF('USPTO TMs'!A:A,D15348)&gt;0,"Yes","No"),"")</f>
        <v/>
      </c>
      <c r="C15348" s="11"/>
      <c r="D15348" s="11"/>
      <c r="E15348" s="11"/>
      <c r="F15348" s="11"/>
      <c r="G15348" s="11"/>
      <c r="H15348" s="11"/>
      <c r="I15348" s="15"/>
    </row>
    <row r="15349" spans="1:9" ht="16.5">
      <c r="A15349" s="10" t="b">
        <v>0</v>
      </c>
      <c r="B15349" s="11" t="str">
        <f>IF(D15349&lt;&gt;"",IF(COUNTIF('USPTO TMs'!A:A,D15349)&gt;0,"Yes","No"),"")</f>
        <v/>
      </c>
      <c r="C15349" s="11"/>
      <c r="D15349" s="11"/>
      <c r="E15349" s="11"/>
      <c r="F15349" s="11"/>
      <c r="G15349" s="11"/>
      <c r="H15349" s="11"/>
      <c r="I15349" s="15"/>
    </row>
    <row r="15350" spans="1:9" ht="16.5">
      <c r="A15350" s="10" t="b">
        <v>0</v>
      </c>
      <c r="B15350" s="11" t="str">
        <f>IF(D15350&lt;&gt;"",IF(COUNTIF('USPTO TMs'!A:A,D15350)&gt;0,"Yes","No"),"")</f>
        <v/>
      </c>
      <c r="C15350" s="11"/>
      <c r="D15350" s="11"/>
      <c r="E15350" s="11"/>
      <c r="F15350" s="11"/>
      <c r="G15350" s="11"/>
      <c r="H15350" s="11"/>
      <c r="I15350" s="15"/>
    </row>
    <row r="15351" spans="1:9" ht="16.5">
      <c r="A15351" s="10" t="b">
        <v>0</v>
      </c>
      <c r="B15351" s="11" t="str">
        <f>IF(D15351&lt;&gt;"",IF(COUNTIF('USPTO TMs'!A:A,D15351)&gt;0,"Yes","No"),"")</f>
        <v/>
      </c>
      <c r="C15351" s="11"/>
      <c r="D15351" s="11"/>
      <c r="E15351" s="11"/>
      <c r="F15351" s="11"/>
      <c r="G15351" s="11"/>
      <c r="H15351" s="11"/>
      <c r="I15351" s="15"/>
    </row>
    <row r="15352" spans="1:9" ht="16.5">
      <c r="A15352" s="10" t="b">
        <v>0</v>
      </c>
      <c r="B15352" s="11" t="str">
        <f>IF(D15352&lt;&gt;"",IF(COUNTIF('USPTO TMs'!A:A,D15352)&gt;0,"Yes","No"),"")</f>
        <v/>
      </c>
      <c r="C15352" s="11"/>
      <c r="D15352" s="11"/>
      <c r="E15352" s="11"/>
      <c r="F15352" s="11"/>
      <c r="G15352" s="11"/>
      <c r="H15352" s="11"/>
      <c r="I15352" s="15"/>
    </row>
    <row r="15353" spans="1:9" ht="16.5">
      <c r="A15353" s="10" t="b">
        <v>0</v>
      </c>
      <c r="B15353" s="11" t="str">
        <f>IF(D15353&lt;&gt;"",IF(COUNTIF('USPTO TMs'!A:A,D15353)&gt;0,"Yes","No"),"")</f>
        <v/>
      </c>
      <c r="C15353" s="11"/>
      <c r="D15353" s="11"/>
      <c r="E15353" s="11"/>
      <c r="F15353" s="11"/>
      <c r="G15353" s="11"/>
      <c r="H15353" s="11"/>
      <c r="I15353" s="15"/>
    </row>
    <row r="15354" spans="1:9" ht="16.5">
      <c r="A15354" s="10" t="b">
        <v>0</v>
      </c>
      <c r="B15354" s="11" t="str">
        <f>IF(D15354&lt;&gt;"",IF(COUNTIF('USPTO TMs'!A:A,D15354)&gt;0,"Yes","No"),"")</f>
        <v/>
      </c>
      <c r="C15354" s="11"/>
      <c r="D15354" s="11"/>
      <c r="E15354" s="11"/>
      <c r="F15354" s="11"/>
      <c r="G15354" s="11"/>
      <c r="H15354" s="11"/>
      <c r="I15354" s="15"/>
    </row>
    <row r="15355" spans="1:9" ht="16.5">
      <c r="A15355" s="10" t="b">
        <v>0</v>
      </c>
      <c r="B15355" s="11" t="str">
        <f>IF(D15355&lt;&gt;"",IF(COUNTIF('USPTO TMs'!A:A,D15355)&gt;0,"Yes","No"),"")</f>
        <v/>
      </c>
      <c r="C15355" s="11"/>
      <c r="D15355" s="11"/>
      <c r="E15355" s="11"/>
      <c r="F15355" s="11"/>
      <c r="G15355" s="11"/>
      <c r="H15355" s="11"/>
      <c r="I15355" s="15"/>
    </row>
    <row r="15356" spans="1:9" ht="16.5">
      <c r="A15356" s="10" t="b">
        <v>0</v>
      </c>
      <c r="B15356" s="11" t="str">
        <f>IF(D15356&lt;&gt;"",IF(COUNTIF('USPTO TMs'!A:A,D15356)&gt;0,"Yes","No"),"")</f>
        <v/>
      </c>
      <c r="C15356" s="11"/>
      <c r="D15356" s="11"/>
      <c r="E15356" s="11"/>
      <c r="F15356" s="11"/>
      <c r="G15356" s="11"/>
      <c r="H15356" s="11"/>
      <c r="I15356" s="15"/>
    </row>
    <row r="15357" spans="1:9" ht="16.5">
      <c r="A15357" s="10" t="b">
        <v>0</v>
      </c>
      <c r="B15357" s="11" t="str">
        <f>IF(D15357&lt;&gt;"",IF(COUNTIF('USPTO TMs'!A:A,D15357)&gt;0,"Yes","No"),"")</f>
        <v/>
      </c>
      <c r="C15357" s="11"/>
      <c r="D15357" s="11"/>
      <c r="E15357" s="11"/>
      <c r="F15357" s="11"/>
      <c r="G15357" s="11"/>
      <c r="H15357" s="11"/>
      <c r="I15357" s="15"/>
    </row>
    <row r="15358" spans="1:9" ht="16.5">
      <c r="A15358" s="10" t="b">
        <v>0</v>
      </c>
      <c r="B15358" s="11" t="str">
        <f>IF(D15358&lt;&gt;"",IF(COUNTIF('USPTO TMs'!A:A,D15358)&gt;0,"Yes","No"),"")</f>
        <v/>
      </c>
      <c r="C15358" s="11"/>
      <c r="D15358" s="11"/>
      <c r="E15358" s="11"/>
      <c r="F15358" s="11"/>
      <c r="G15358" s="11"/>
      <c r="H15358" s="11"/>
      <c r="I15358" s="15"/>
    </row>
    <row r="15359" spans="1:9" ht="16.5">
      <c r="A15359" s="10" t="b">
        <v>0</v>
      </c>
      <c r="B15359" s="11" t="str">
        <f>IF(D15359&lt;&gt;"",IF(COUNTIF('USPTO TMs'!A:A,D15359)&gt;0,"Yes","No"),"")</f>
        <v/>
      </c>
      <c r="C15359" s="11"/>
      <c r="D15359" s="11"/>
      <c r="E15359" s="11"/>
      <c r="F15359" s="11"/>
      <c r="G15359" s="11"/>
      <c r="H15359" s="11"/>
      <c r="I15359" s="15"/>
    </row>
    <row r="15360" spans="1:9" ht="16.5">
      <c r="A15360" s="10" t="b">
        <v>0</v>
      </c>
      <c r="B15360" s="11" t="str">
        <f>IF(D15360&lt;&gt;"",IF(COUNTIF('USPTO TMs'!A:A,D15360)&gt;0,"Yes","No"),"")</f>
        <v/>
      </c>
      <c r="C15360" s="11"/>
      <c r="D15360" s="11"/>
      <c r="E15360" s="11"/>
      <c r="F15360" s="11"/>
      <c r="G15360" s="11"/>
      <c r="H15360" s="11"/>
      <c r="I15360" s="15"/>
    </row>
    <row r="15361" spans="1:9" ht="16.5">
      <c r="A15361" s="10" t="b">
        <v>0</v>
      </c>
      <c r="B15361" s="11" t="str">
        <f>IF(D15361&lt;&gt;"",IF(COUNTIF('USPTO TMs'!A:A,D15361)&gt;0,"Yes","No"),"")</f>
        <v/>
      </c>
      <c r="C15361" s="11"/>
      <c r="D15361" s="11"/>
      <c r="E15361" s="11"/>
      <c r="F15361" s="11"/>
      <c r="G15361" s="11"/>
      <c r="H15361" s="11"/>
      <c r="I15361" s="15"/>
    </row>
    <row r="15362" spans="1:9" ht="16.5">
      <c r="A15362" s="10" t="b">
        <v>0</v>
      </c>
      <c r="B15362" s="11" t="str">
        <f>IF(D15362&lt;&gt;"",IF(COUNTIF('USPTO TMs'!A:A,D15362)&gt;0,"Yes","No"),"")</f>
        <v/>
      </c>
      <c r="C15362" s="11"/>
      <c r="D15362" s="11"/>
      <c r="E15362" s="11"/>
      <c r="F15362" s="11"/>
      <c r="G15362" s="11"/>
      <c r="H15362" s="11"/>
      <c r="I15362" s="15"/>
    </row>
    <row r="15363" spans="1:9" ht="16.5">
      <c r="A15363" s="10" t="b">
        <v>0</v>
      </c>
      <c r="B15363" s="11" t="str">
        <f>IF(D15363&lt;&gt;"",IF(COUNTIF('USPTO TMs'!A:A,D15363)&gt;0,"Yes","No"),"")</f>
        <v/>
      </c>
      <c r="C15363" s="11"/>
      <c r="D15363" s="11"/>
      <c r="E15363" s="11"/>
      <c r="F15363" s="11"/>
      <c r="G15363" s="11"/>
      <c r="H15363" s="11"/>
      <c r="I15363" s="15"/>
    </row>
    <row r="15364" spans="1:9" ht="16.5">
      <c r="A15364" s="10" t="b">
        <v>0</v>
      </c>
      <c r="B15364" s="11" t="str">
        <f>IF(D15364&lt;&gt;"",IF(COUNTIF('USPTO TMs'!A:A,D15364)&gt;0,"Yes","No"),"")</f>
        <v/>
      </c>
      <c r="C15364" s="11"/>
      <c r="D15364" s="11"/>
      <c r="E15364" s="11"/>
      <c r="F15364" s="11"/>
      <c r="G15364" s="11"/>
      <c r="H15364" s="11"/>
      <c r="I15364" s="15"/>
    </row>
    <row r="15365" spans="1:9" ht="16.5">
      <c r="A15365" s="10" t="b">
        <v>0</v>
      </c>
      <c r="B15365" s="11" t="str">
        <f>IF(D15365&lt;&gt;"",IF(COUNTIF('USPTO TMs'!A:A,D15365)&gt;0,"Yes","No"),"")</f>
        <v/>
      </c>
      <c r="C15365" s="11"/>
      <c r="D15365" s="11"/>
      <c r="E15365" s="11"/>
      <c r="F15365" s="11"/>
      <c r="G15365" s="11"/>
      <c r="H15365" s="11"/>
      <c r="I15365" s="15"/>
    </row>
    <row r="15366" spans="1:9" ht="16.5">
      <c r="A15366" s="10" t="b">
        <v>0</v>
      </c>
      <c r="B15366" s="11" t="str">
        <f>IF(D15366&lt;&gt;"",IF(COUNTIF('USPTO TMs'!A:A,D15366)&gt;0,"Yes","No"),"")</f>
        <v/>
      </c>
      <c r="C15366" s="11"/>
      <c r="D15366" s="11"/>
      <c r="E15366" s="11"/>
      <c r="F15366" s="11"/>
      <c r="G15366" s="11"/>
      <c r="H15366" s="11"/>
      <c r="I15366" s="15"/>
    </row>
    <row r="15367" spans="1:9" ht="16.5">
      <c r="A15367" s="10" t="b">
        <v>0</v>
      </c>
      <c r="B15367" s="11" t="str">
        <f>IF(D15367&lt;&gt;"",IF(COUNTIF('USPTO TMs'!A:A,D15367)&gt;0,"Yes","No"),"")</f>
        <v/>
      </c>
      <c r="C15367" s="11"/>
      <c r="D15367" s="11"/>
      <c r="E15367" s="11"/>
      <c r="F15367" s="11"/>
      <c r="G15367" s="11"/>
      <c r="H15367" s="11"/>
      <c r="I15367" s="15"/>
    </row>
    <row r="15368" spans="1:9" ht="16.5">
      <c r="A15368" s="10" t="b">
        <v>0</v>
      </c>
      <c r="B15368" s="11" t="str">
        <f>IF(D15368&lt;&gt;"",IF(COUNTIF('USPTO TMs'!A:A,D15368)&gt;0,"Yes","No"),"")</f>
        <v/>
      </c>
      <c r="C15368" s="11"/>
      <c r="D15368" s="11"/>
      <c r="E15368" s="11"/>
      <c r="F15368" s="11"/>
      <c r="G15368" s="11"/>
      <c r="H15368" s="11"/>
      <c r="I15368" s="15"/>
    </row>
    <row r="15369" spans="1:9" ht="16.5">
      <c r="A15369" s="10" t="b">
        <v>0</v>
      </c>
      <c r="B15369" s="11" t="str">
        <f>IF(D15369&lt;&gt;"",IF(COUNTIF('USPTO TMs'!A:A,D15369)&gt;0,"Yes","No"),"")</f>
        <v/>
      </c>
      <c r="C15369" s="11"/>
      <c r="D15369" s="11"/>
      <c r="E15369" s="11"/>
      <c r="F15369" s="11"/>
      <c r="G15369" s="11"/>
      <c r="H15369" s="11"/>
      <c r="I15369" s="15"/>
    </row>
    <row r="15370" spans="1:9" ht="16.5">
      <c r="A15370" s="10" t="b">
        <v>0</v>
      </c>
      <c r="B15370" s="11" t="str">
        <f>IF(D15370&lt;&gt;"",IF(COUNTIF('USPTO TMs'!A:A,D15370)&gt;0,"Yes","No"),"")</f>
        <v/>
      </c>
      <c r="C15370" s="11"/>
      <c r="D15370" s="11"/>
      <c r="E15370" s="11"/>
      <c r="F15370" s="11"/>
      <c r="G15370" s="11"/>
      <c r="H15370" s="11"/>
      <c r="I15370" s="15"/>
    </row>
    <row r="15371" spans="1:9" ht="16.5">
      <c r="A15371" s="10" t="b">
        <v>0</v>
      </c>
      <c r="B15371" s="11" t="str">
        <f>IF(D15371&lt;&gt;"",IF(COUNTIF('USPTO TMs'!A:A,D15371)&gt;0,"Yes","No"),"")</f>
        <v/>
      </c>
      <c r="C15371" s="11"/>
      <c r="D15371" s="11"/>
      <c r="E15371" s="11"/>
      <c r="F15371" s="11"/>
      <c r="G15371" s="11"/>
      <c r="H15371" s="11"/>
      <c r="I15371" s="15"/>
    </row>
    <row r="15372" spans="1:9" ht="16.5">
      <c r="A15372" s="10" t="b">
        <v>0</v>
      </c>
      <c r="B15372" s="11" t="str">
        <f>IF(D15372&lt;&gt;"",IF(COUNTIF('USPTO TMs'!A:A,D15372)&gt;0,"Yes","No"),"")</f>
        <v/>
      </c>
      <c r="C15372" s="11"/>
      <c r="D15372" s="11"/>
      <c r="E15372" s="11"/>
      <c r="F15372" s="11"/>
      <c r="G15372" s="11"/>
      <c r="H15372" s="11"/>
      <c r="I15372" s="15"/>
    </row>
    <row r="15373" spans="1:9" ht="16.5">
      <c r="A15373" s="10" t="b">
        <v>0</v>
      </c>
      <c r="B15373" s="11" t="str">
        <f>IF(D15373&lt;&gt;"",IF(COUNTIF('USPTO TMs'!A:A,D15373)&gt;0,"Yes","No"),"")</f>
        <v/>
      </c>
      <c r="C15373" s="11"/>
      <c r="D15373" s="11"/>
      <c r="E15373" s="11"/>
      <c r="F15373" s="11"/>
      <c r="G15373" s="11"/>
      <c r="H15373" s="11"/>
      <c r="I15373" s="15"/>
    </row>
    <row r="15374" spans="1:9" ht="16.5">
      <c r="A15374" s="10" t="b">
        <v>0</v>
      </c>
      <c r="B15374" s="11" t="str">
        <f>IF(D15374&lt;&gt;"",IF(COUNTIF('USPTO TMs'!A:A,D15374)&gt;0,"Yes","No"),"")</f>
        <v/>
      </c>
      <c r="C15374" s="11"/>
      <c r="D15374" s="11"/>
      <c r="E15374" s="11"/>
      <c r="F15374" s="11"/>
      <c r="G15374" s="11"/>
      <c r="H15374" s="11"/>
      <c r="I15374" s="15"/>
    </row>
    <row r="15375" spans="1:9" ht="16.5">
      <c r="A15375" s="10" t="b">
        <v>0</v>
      </c>
      <c r="B15375" s="11" t="str">
        <f>IF(D15375&lt;&gt;"",IF(COUNTIF('USPTO TMs'!A:A,D15375)&gt;0,"Yes","No"),"")</f>
        <v/>
      </c>
      <c r="C15375" s="11"/>
      <c r="D15375" s="11"/>
      <c r="E15375" s="11"/>
      <c r="F15375" s="11"/>
      <c r="G15375" s="11"/>
      <c r="H15375" s="11"/>
      <c r="I15375" s="15"/>
    </row>
    <row r="15376" spans="1:9" ht="16.5">
      <c r="A15376" s="10" t="b">
        <v>0</v>
      </c>
      <c r="B15376" s="11" t="str">
        <f>IF(D15376&lt;&gt;"",IF(COUNTIF('USPTO TMs'!A:A,D15376)&gt;0,"Yes","No"),"")</f>
        <v/>
      </c>
      <c r="C15376" s="11"/>
      <c r="D15376" s="11"/>
      <c r="E15376" s="11"/>
      <c r="F15376" s="11"/>
      <c r="G15376" s="11"/>
      <c r="H15376" s="11"/>
      <c r="I15376" s="15"/>
    </row>
    <row r="15377" spans="1:9" ht="16.5">
      <c r="A15377" s="10" t="b">
        <v>0</v>
      </c>
      <c r="B15377" s="11" t="str">
        <f>IF(D15377&lt;&gt;"",IF(COUNTIF('USPTO TMs'!A:A,D15377)&gt;0,"Yes","No"),"")</f>
        <v/>
      </c>
      <c r="C15377" s="11"/>
      <c r="D15377" s="11"/>
      <c r="E15377" s="11"/>
      <c r="F15377" s="11"/>
      <c r="G15377" s="11"/>
      <c r="H15377" s="11"/>
      <c r="I15377" s="15"/>
    </row>
    <row r="15378" spans="1:9" ht="16.5">
      <c r="A15378" s="10" t="b">
        <v>0</v>
      </c>
      <c r="B15378" s="11" t="str">
        <f>IF(D15378&lt;&gt;"",IF(COUNTIF('USPTO TMs'!A:A,D15378)&gt;0,"Yes","No"),"")</f>
        <v/>
      </c>
      <c r="C15378" s="11"/>
      <c r="D15378" s="11"/>
      <c r="E15378" s="11"/>
      <c r="F15378" s="11"/>
      <c r="G15378" s="11"/>
      <c r="H15378" s="11"/>
      <c r="I15378" s="15"/>
    </row>
    <row r="15379" spans="1:9" ht="16.5">
      <c r="A15379" s="10" t="b">
        <v>0</v>
      </c>
      <c r="B15379" s="11" t="str">
        <f>IF(D15379&lt;&gt;"",IF(COUNTIF('USPTO TMs'!A:A,D15379)&gt;0,"Yes","No"),"")</f>
        <v/>
      </c>
      <c r="C15379" s="11"/>
      <c r="D15379" s="11"/>
      <c r="E15379" s="11"/>
      <c r="F15379" s="11"/>
      <c r="G15379" s="11"/>
      <c r="H15379" s="11"/>
      <c r="I15379" s="15"/>
    </row>
    <row r="15380" spans="1:9" ht="16.5">
      <c r="A15380" s="10" t="b">
        <v>0</v>
      </c>
      <c r="B15380" s="11" t="str">
        <f>IF(D15380&lt;&gt;"",IF(COUNTIF('USPTO TMs'!A:A,D15380)&gt;0,"Yes","No"),"")</f>
        <v/>
      </c>
      <c r="C15380" s="11"/>
      <c r="D15380" s="11"/>
      <c r="E15380" s="11"/>
      <c r="F15380" s="11"/>
      <c r="G15380" s="11"/>
      <c r="H15380" s="11"/>
      <c r="I15380" s="15"/>
    </row>
    <row r="15381" spans="1:9" ht="16.5">
      <c r="A15381" s="10" t="b">
        <v>0</v>
      </c>
      <c r="B15381" s="11" t="str">
        <f>IF(D15381&lt;&gt;"",IF(COUNTIF('USPTO TMs'!A:A,D15381)&gt;0,"Yes","No"),"")</f>
        <v/>
      </c>
      <c r="C15381" s="11"/>
      <c r="D15381" s="11"/>
      <c r="E15381" s="11"/>
      <c r="F15381" s="11"/>
      <c r="G15381" s="11"/>
      <c r="H15381" s="11"/>
      <c r="I15381" s="15"/>
    </row>
    <row r="15382" spans="1:9" ht="16.5">
      <c r="A15382" s="10" t="b">
        <v>0</v>
      </c>
      <c r="B15382" s="11" t="str">
        <f>IF(D15382&lt;&gt;"",IF(COUNTIF('USPTO TMs'!A:A,D15382)&gt;0,"Yes","No"),"")</f>
        <v/>
      </c>
      <c r="C15382" s="11"/>
      <c r="D15382" s="11"/>
      <c r="E15382" s="11"/>
      <c r="F15382" s="11"/>
      <c r="G15382" s="11"/>
      <c r="H15382" s="11"/>
      <c r="I15382" s="15"/>
    </row>
    <row r="15383" spans="1:9" ht="16.5">
      <c r="A15383" s="10" t="b">
        <v>0</v>
      </c>
      <c r="B15383" s="11" t="str">
        <f>IF(D15383&lt;&gt;"",IF(COUNTIF('USPTO TMs'!A:A,D15383)&gt;0,"Yes","No"),"")</f>
        <v/>
      </c>
      <c r="C15383" s="11"/>
      <c r="D15383" s="11"/>
      <c r="E15383" s="11"/>
      <c r="F15383" s="11"/>
      <c r="G15383" s="11"/>
      <c r="H15383" s="11"/>
      <c r="I15383" s="15"/>
    </row>
    <row r="15384" spans="1:9" ht="16.5">
      <c r="A15384" s="10" t="b">
        <v>0</v>
      </c>
      <c r="B15384" s="11" t="str">
        <f>IF(D15384&lt;&gt;"",IF(COUNTIF('USPTO TMs'!A:A,D15384)&gt;0,"Yes","No"),"")</f>
        <v/>
      </c>
      <c r="C15384" s="11"/>
      <c r="D15384" s="11"/>
      <c r="E15384" s="11"/>
      <c r="F15384" s="11"/>
      <c r="G15384" s="11"/>
      <c r="H15384" s="11"/>
      <c r="I15384" s="15"/>
    </row>
    <row r="15385" spans="1:9" ht="16.5">
      <c r="A15385" s="10" t="b">
        <v>0</v>
      </c>
      <c r="B15385" s="11" t="str">
        <f>IF(D15385&lt;&gt;"",IF(COUNTIF('USPTO TMs'!A:A,D15385)&gt;0,"Yes","No"),"")</f>
        <v/>
      </c>
      <c r="C15385" s="11"/>
      <c r="D15385" s="11"/>
      <c r="E15385" s="11"/>
      <c r="F15385" s="11"/>
      <c r="G15385" s="11"/>
      <c r="H15385" s="11"/>
      <c r="I15385" s="15"/>
    </row>
    <row r="15386" spans="1:9" ht="16.5">
      <c r="A15386" s="10" t="b">
        <v>0</v>
      </c>
      <c r="B15386" s="11" t="str">
        <f>IF(D15386&lt;&gt;"",IF(COUNTIF('USPTO TMs'!A:A,D15386)&gt;0,"Yes","No"),"")</f>
        <v/>
      </c>
      <c r="C15386" s="11"/>
      <c r="D15386" s="11"/>
      <c r="E15386" s="11"/>
      <c r="F15386" s="11"/>
      <c r="G15386" s="11"/>
      <c r="H15386" s="11"/>
      <c r="I15386" s="15"/>
    </row>
    <row r="15387" spans="1:9" ht="16.5">
      <c r="A15387" s="10" t="b">
        <v>0</v>
      </c>
      <c r="B15387" s="11" t="str">
        <f>IF(D15387&lt;&gt;"",IF(COUNTIF('USPTO TMs'!A:A,D15387)&gt;0,"Yes","No"),"")</f>
        <v/>
      </c>
      <c r="C15387" s="11"/>
      <c r="D15387" s="11"/>
      <c r="E15387" s="11"/>
      <c r="F15387" s="11"/>
      <c r="G15387" s="11"/>
      <c r="H15387" s="11"/>
      <c r="I15387" s="15"/>
    </row>
    <row r="15388" spans="1:9" ht="16.5">
      <c r="A15388" s="10" t="b">
        <v>0</v>
      </c>
      <c r="B15388" s="11" t="str">
        <f>IF(D15388&lt;&gt;"",IF(COUNTIF('USPTO TMs'!A:A,D15388)&gt;0,"Yes","No"),"")</f>
        <v/>
      </c>
      <c r="C15388" s="11"/>
      <c r="D15388" s="11"/>
      <c r="E15388" s="11"/>
      <c r="F15388" s="11"/>
      <c r="G15388" s="11"/>
      <c r="H15388" s="11"/>
      <c r="I15388" s="15"/>
    </row>
    <row r="15389" spans="1:9" ht="16.5">
      <c r="A15389" s="10" t="b">
        <v>0</v>
      </c>
      <c r="B15389" s="11" t="str">
        <f>IF(D15389&lt;&gt;"",IF(COUNTIF('USPTO TMs'!A:A,D15389)&gt;0,"Yes","No"),"")</f>
        <v/>
      </c>
      <c r="C15389" s="11"/>
      <c r="D15389" s="11"/>
      <c r="E15389" s="11"/>
      <c r="F15389" s="11"/>
      <c r="G15389" s="11"/>
      <c r="H15389" s="11"/>
      <c r="I15389" s="15"/>
    </row>
    <row r="15390" spans="1:9" ht="16.5">
      <c r="A15390" s="10" t="b">
        <v>0</v>
      </c>
      <c r="B15390" s="11" t="str">
        <f>IF(D15390&lt;&gt;"",IF(COUNTIF('USPTO TMs'!A:A,D15390)&gt;0,"Yes","No"),"")</f>
        <v/>
      </c>
      <c r="C15390" s="11"/>
      <c r="D15390" s="11"/>
      <c r="E15390" s="11"/>
      <c r="F15390" s="11"/>
      <c r="G15390" s="11"/>
      <c r="H15390" s="11"/>
      <c r="I15390" s="15"/>
    </row>
    <row r="15391" spans="1:9" ht="16.5">
      <c r="A15391" s="10" t="b">
        <v>0</v>
      </c>
      <c r="B15391" s="11" t="str">
        <f>IF(D15391&lt;&gt;"",IF(COUNTIF('USPTO TMs'!A:A,D15391)&gt;0,"Yes","No"),"")</f>
        <v/>
      </c>
      <c r="C15391" s="11"/>
      <c r="D15391" s="11"/>
      <c r="E15391" s="11"/>
      <c r="F15391" s="11"/>
      <c r="G15391" s="11"/>
      <c r="H15391" s="11"/>
      <c r="I15391" s="15"/>
    </row>
    <row r="15392" spans="1:9" ht="16.5">
      <c r="A15392" s="10" t="b">
        <v>0</v>
      </c>
      <c r="B15392" s="11" t="str">
        <f>IF(D15392&lt;&gt;"",IF(COUNTIF('USPTO TMs'!A:A,D15392)&gt;0,"Yes","No"),"")</f>
        <v/>
      </c>
      <c r="C15392" s="11"/>
      <c r="D15392" s="11"/>
      <c r="E15392" s="11"/>
      <c r="F15392" s="11"/>
      <c r="G15392" s="11"/>
      <c r="H15392" s="11"/>
      <c r="I15392" s="15"/>
    </row>
    <row r="15393" spans="1:9" ht="16.5">
      <c r="A15393" s="10" t="b">
        <v>0</v>
      </c>
      <c r="B15393" s="11" t="str">
        <f>IF(D15393&lt;&gt;"",IF(COUNTIF('USPTO TMs'!A:A,D15393)&gt;0,"Yes","No"),"")</f>
        <v/>
      </c>
      <c r="C15393" s="11"/>
      <c r="D15393" s="11"/>
      <c r="E15393" s="11"/>
      <c r="F15393" s="11"/>
      <c r="G15393" s="11"/>
      <c r="H15393" s="11"/>
      <c r="I15393" s="15"/>
    </row>
    <row r="15394" spans="1:9" ht="16.5">
      <c r="A15394" s="10" t="b">
        <v>0</v>
      </c>
      <c r="B15394" s="11" t="str">
        <f>IF(D15394&lt;&gt;"",IF(COUNTIF('USPTO TMs'!A:A,D15394)&gt;0,"Yes","No"),"")</f>
        <v/>
      </c>
      <c r="C15394" s="11"/>
      <c r="D15394" s="11"/>
      <c r="E15394" s="11"/>
      <c r="F15394" s="11"/>
      <c r="G15394" s="11"/>
      <c r="H15394" s="11"/>
      <c r="I15394" s="15"/>
    </row>
    <row r="15395" spans="1:9" ht="16.5">
      <c r="A15395" s="10" t="b">
        <v>0</v>
      </c>
      <c r="B15395" s="11" t="str">
        <f>IF(D15395&lt;&gt;"",IF(COUNTIF('USPTO TMs'!A:A,D15395)&gt;0,"Yes","No"),"")</f>
        <v/>
      </c>
      <c r="C15395" s="11"/>
      <c r="D15395" s="11"/>
      <c r="E15395" s="11"/>
      <c r="F15395" s="11"/>
      <c r="G15395" s="11"/>
      <c r="H15395" s="11"/>
      <c r="I15395" s="15"/>
    </row>
    <row r="15396" spans="1:9" ht="16.5">
      <c r="A15396" s="10" t="b">
        <v>0</v>
      </c>
      <c r="B15396" s="11" t="str">
        <f>IF(D15396&lt;&gt;"",IF(COUNTIF('USPTO TMs'!A:A,D15396)&gt;0,"Yes","No"),"")</f>
        <v/>
      </c>
      <c r="C15396" s="11"/>
      <c r="D15396" s="11"/>
      <c r="E15396" s="11"/>
      <c r="F15396" s="11"/>
      <c r="G15396" s="11"/>
      <c r="H15396" s="11"/>
      <c r="I15396" s="15"/>
    </row>
    <row r="15397" spans="1:9" ht="16.5">
      <c r="A15397" s="10" t="b">
        <v>0</v>
      </c>
      <c r="B15397" s="11" t="str">
        <f>IF(D15397&lt;&gt;"",IF(COUNTIF('USPTO TMs'!A:A,D15397)&gt;0,"Yes","No"),"")</f>
        <v/>
      </c>
      <c r="C15397" s="11"/>
      <c r="D15397" s="11"/>
      <c r="E15397" s="11"/>
      <c r="F15397" s="11"/>
      <c r="G15397" s="11"/>
      <c r="H15397" s="11"/>
      <c r="I15397" s="15"/>
    </row>
    <row r="15398" spans="1:9" ht="16.5">
      <c r="A15398" s="10" t="b">
        <v>0</v>
      </c>
      <c r="B15398" s="11" t="str">
        <f>IF(D15398&lt;&gt;"",IF(COUNTIF('USPTO TMs'!A:A,D15398)&gt;0,"Yes","No"),"")</f>
        <v/>
      </c>
      <c r="C15398" s="11"/>
      <c r="D15398" s="11"/>
      <c r="E15398" s="11"/>
      <c r="F15398" s="11"/>
      <c r="G15398" s="11"/>
      <c r="H15398" s="11"/>
      <c r="I15398" s="15"/>
    </row>
    <row r="15399" spans="1:9" ht="16.5">
      <c r="A15399" s="10" t="b">
        <v>0</v>
      </c>
      <c r="B15399" s="11" t="str">
        <f>IF(D15399&lt;&gt;"",IF(COUNTIF('USPTO TMs'!A:A,D15399)&gt;0,"Yes","No"),"")</f>
        <v/>
      </c>
      <c r="C15399" s="11"/>
      <c r="D15399" s="11"/>
      <c r="E15399" s="11"/>
      <c r="F15399" s="11"/>
      <c r="G15399" s="11"/>
      <c r="H15399" s="11"/>
      <c r="I15399" s="15"/>
    </row>
    <row r="15400" spans="1:9" ht="16.5">
      <c r="A15400" s="10" t="b">
        <v>0</v>
      </c>
      <c r="B15400" s="11" t="str">
        <f>IF(D15400&lt;&gt;"",IF(COUNTIF('USPTO TMs'!A:A,D15400)&gt;0,"Yes","No"),"")</f>
        <v/>
      </c>
      <c r="C15400" s="11"/>
      <c r="D15400" s="11"/>
      <c r="E15400" s="11"/>
      <c r="F15400" s="11"/>
      <c r="G15400" s="11"/>
      <c r="H15400" s="11"/>
      <c r="I15400" s="15"/>
    </row>
    <row r="15401" spans="1:9" ht="16.5">
      <c r="A15401" s="10" t="b">
        <v>0</v>
      </c>
      <c r="B15401" s="11" t="str">
        <f>IF(D15401&lt;&gt;"",IF(COUNTIF('USPTO TMs'!A:A,D15401)&gt;0,"Yes","No"),"")</f>
        <v/>
      </c>
      <c r="C15401" s="11"/>
      <c r="D15401" s="11"/>
      <c r="E15401" s="11"/>
      <c r="F15401" s="11"/>
      <c r="G15401" s="11"/>
      <c r="H15401" s="11"/>
      <c r="I15401" s="15"/>
    </row>
    <row r="15402" spans="1:9" ht="16.5">
      <c r="A15402" s="10" t="b">
        <v>0</v>
      </c>
      <c r="B15402" s="11" t="str">
        <f>IF(D15402&lt;&gt;"",IF(COUNTIF('USPTO TMs'!A:A,D15402)&gt;0,"Yes","No"),"")</f>
        <v/>
      </c>
      <c r="C15402" s="11"/>
      <c r="D15402" s="11"/>
      <c r="E15402" s="11"/>
      <c r="F15402" s="11"/>
      <c r="G15402" s="11"/>
      <c r="H15402" s="11"/>
      <c r="I15402" s="15"/>
    </row>
    <row r="15403" spans="1:9" ht="16.5">
      <c r="A15403" s="10" t="b">
        <v>0</v>
      </c>
      <c r="B15403" s="11" t="str">
        <f>IF(D15403&lt;&gt;"",IF(COUNTIF('USPTO TMs'!A:A,D15403)&gt;0,"Yes","No"),"")</f>
        <v/>
      </c>
      <c r="C15403" s="11"/>
      <c r="D15403" s="11"/>
      <c r="E15403" s="11"/>
      <c r="F15403" s="11"/>
      <c r="G15403" s="11"/>
      <c r="H15403" s="11"/>
      <c r="I15403" s="15"/>
    </row>
    <row r="15404" spans="1:9" ht="16.5">
      <c r="A15404" s="10" t="b">
        <v>0</v>
      </c>
      <c r="B15404" s="11" t="str">
        <f>IF(D15404&lt;&gt;"",IF(COUNTIF('USPTO TMs'!A:A,D15404)&gt;0,"Yes","No"),"")</f>
        <v/>
      </c>
      <c r="C15404" s="11"/>
      <c r="D15404" s="11"/>
      <c r="E15404" s="11"/>
      <c r="F15404" s="11"/>
      <c r="G15404" s="11"/>
      <c r="H15404" s="11"/>
      <c r="I15404" s="15"/>
    </row>
    <row r="15405" spans="1:9" ht="16.5">
      <c r="A15405" s="10" t="b">
        <v>0</v>
      </c>
      <c r="B15405" s="11" t="str">
        <f>IF(D15405&lt;&gt;"",IF(COUNTIF('USPTO TMs'!A:A,D15405)&gt;0,"Yes","No"),"")</f>
        <v/>
      </c>
      <c r="C15405" s="11"/>
      <c r="D15405" s="11"/>
      <c r="E15405" s="11"/>
      <c r="F15405" s="11"/>
      <c r="G15405" s="11"/>
      <c r="H15405" s="11"/>
      <c r="I15405" s="15"/>
    </row>
    <row r="15406" spans="1:9" ht="16.5">
      <c r="A15406" s="10" t="b">
        <v>0</v>
      </c>
      <c r="B15406" s="11" t="str">
        <f>IF(D15406&lt;&gt;"",IF(COUNTIF('USPTO TMs'!A:A,D15406)&gt;0,"Yes","No"),"")</f>
        <v/>
      </c>
      <c r="C15406" s="11"/>
      <c r="D15406" s="11"/>
      <c r="E15406" s="11"/>
      <c r="F15406" s="11"/>
      <c r="G15406" s="11"/>
      <c r="H15406" s="11"/>
      <c r="I15406" s="15"/>
    </row>
    <row r="15407" spans="1:9" ht="16.5">
      <c r="A15407" s="10" t="b">
        <v>0</v>
      </c>
      <c r="B15407" s="11" t="str">
        <f>IF(D15407&lt;&gt;"",IF(COUNTIF('USPTO TMs'!A:A,D15407)&gt;0,"Yes","No"),"")</f>
        <v/>
      </c>
      <c r="C15407" s="11"/>
      <c r="D15407" s="11"/>
      <c r="E15407" s="11"/>
      <c r="F15407" s="11"/>
      <c r="G15407" s="11"/>
      <c r="H15407" s="11"/>
      <c r="I15407" s="15"/>
    </row>
    <row r="15408" spans="1:9" ht="16.5">
      <c r="A15408" s="10" t="b">
        <v>0</v>
      </c>
      <c r="B15408" s="11" t="str">
        <f>IF(D15408&lt;&gt;"",IF(COUNTIF('USPTO TMs'!A:A,D15408)&gt;0,"Yes","No"),"")</f>
        <v/>
      </c>
      <c r="C15408" s="11"/>
      <c r="D15408" s="11"/>
      <c r="E15408" s="11"/>
      <c r="F15408" s="11"/>
      <c r="G15408" s="11"/>
      <c r="H15408" s="11"/>
      <c r="I15408" s="15"/>
    </row>
    <row r="15409" spans="1:9" ht="16.5">
      <c r="A15409" s="10" t="b">
        <v>0</v>
      </c>
      <c r="B15409" s="11" t="str">
        <f>IF(D15409&lt;&gt;"",IF(COUNTIF('USPTO TMs'!A:A,D15409)&gt;0,"Yes","No"),"")</f>
        <v/>
      </c>
      <c r="C15409" s="11"/>
      <c r="D15409" s="11"/>
      <c r="E15409" s="11"/>
      <c r="F15409" s="11"/>
      <c r="G15409" s="11"/>
      <c r="H15409" s="11"/>
      <c r="I15409" s="15"/>
    </row>
    <row r="15410" spans="1:9" ht="16.5">
      <c r="A15410" s="10" t="b">
        <v>0</v>
      </c>
      <c r="B15410" s="11" t="str">
        <f>IF(D15410&lt;&gt;"",IF(COUNTIF('USPTO TMs'!A:A,D15410)&gt;0,"Yes","No"),"")</f>
        <v/>
      </c>
      <c r="C15410" s="11"/>
      <c r="D15410" s="11"/>
      <c r="E15410" s="11"/>
      <c r="F15410" s="11"/>
      <c r="G15410" s="11"/>
      <c r="H15410" s="11"/>
      <c r="I15410" s="15"/>
    </row>
    <row r="15411" spans="1:9" ht="16.5">
      <c r="A15411" s="10" t="b">
        <v>0</v>
      </c>
      <c r="B15411" s="11" t="str">
        <f>IF(D15411&lt;&gt;"",IF(COUNTIF('USPTO TMs'!A:A,D15411)&gt;0,"Yes","No"),"")</f>
        <v/>
      </c>
      <c r="C15411" s="11"/>
      <c r="D15411" s="11"/>
      <c r="E15411" s="11"/>
      <c r="F15411" s="11"/>
      <c r="G15411" s="11"/>
      <c r="H15411" s="11"/>
      <c r="I15411" s="15"/>
    </row>
    <row r="15412" spans="1:9" ht="16.5">
      <c r="A15412" s="10" t="b">
        <v>0</v>
      </c>
      <c r="B15412" s="11" t="str">
        <f>IF(D15412&lt;&gt;"",IF(COUNTIF('USPTO TMs'!A:A,D15412)&gt;0,"Yes","No"),"")</f>
        <v/>
      </c>
      <c r="C15412" s="11"/>
      <c r="D15412" s="11"/>
      <c r="E15412" s="11"/>
      <c r="F15412" s="11"/>
      <c r="G15412" s="11"/>
      <c r="H15412" s="11"/>
      <c r="I15412" s="15"/>
    </row>
    <row r="15413" spans="1:9" ht="16.5">
      <c r="A15413" s="10" t="b">
        <v>0</v>
      </c>
      <c r="B15413" s="11" t="str">
        <f>IF(D15413&lt;&gt;"",IF(COUNTIF('USPTO TMs'!A:A,D15413)&gt;0,"Yes","No"),"")</f>
        <v/>
      </c>
      <c r="C15413" s="11"/>
      <c r="D15413" s="11"/>
      <c r="E15413" s="11"/>
      <c r="F15413" s="11"/>
      <c r="G15413" s="11"/>
      <c r="H15413" s="11"/>
      <c r="I15413" s="15"/>
    </row>
    <row r="15414" spans="1:9" ht="16.5">
      <c r="A15414" s="10" t="b">
        <v>0</v>
      </c>
      <c r="B15414" s="11" t="str">
        <f>IF(D15414&lt;&gt;"",IF(COUNTIF('USPTO TMs'!A:A,D15414)&gt;0,"Yes","No"),"")</f>
        <v/>
      </c>
      <c r="C15414" s="11"/>
      <c r="D15414" s="11"/>
      <c r="E15414" s="11"/>
      <c r="F15414" s="11"/>
      <c r="G15414" s="11"/>
      <c r="H15414" s="11"/>
      <c r="I15414" s="15"/>
    </row>
    <row r="15415" spans="1:9" ht="16.5">
      <c r="A15415" s="10" t="b">
        <v>0</v>
      </c>
      <c r="B15415" s="11" t="str">
        <f>IF(D15415&lt;&gt;"",IF(COUNTIF('USPTO TMs'!A:A,D15415)&gt;0,"Yes","No"),"")</f>
        <v/>
      </c>
      <c r="C15415" s="11"/>
      <c r="D15415" s="11"/>
      <c r="E15415" s="11"/>
      <c r="F15415" s="11"/>
      <c r="G15415" s="11"/>
      <c r="H15415" s="11"/>
      <c r="I15415" s="15"/>
    </row>
    <row r="15416" spans="1:9" ht="16.5">
      <c r="A15416" s="10" t="b">
        <v>0</v>
      </c>
      <c r="B15416" s="11" t="str">
        <f>IF(D15416&lt;&gt;"",IF(COUNTIF('USPTO TMs'!A:A,D15416)&gt;0,"Yes","No"),"")</f>
        <v/>
      </c>
      <c r="C15416" s="11"/>
      <c r="D15416" s="11"/>
      <c r="E15416" s="11"/>
      <c r="F15416" s="11"/>
      <c r="G15416" s="11"/>
      <c r="H15416" s="11"/>
      <c r="I15416" s="15"/>
    </row>
    <row r="15417" spans="1:9" ht="16.5">
      <c r="A15417" s="10" t="b">
        <v>0</v>
      </c>
      <c r="B15417" s="11" t="str">
        <f>IF(D15417&lt;&gt;"",IF(COUNTIF('USPTO TMs'!A:A,D15417)&gt;0,"Yes","No"),"")</f>
        <v/>
      </c>
      <c r="C15417" s="11"/>
      <c r="D15417" s="11"/>
      <c r="E15417" s="11"/>
      <c r="F15417" s="11"/>
      <c r="G15417" s="11"/>
      <c r="H15417" s="11"/>
      <c r="I15417" s="15"/>
    </row>
    <row r="15418" spans="1:9" ht="16.5">
      <c r="A15418" s="10" t="b">
        <v>0</v>
      </c>
      <c r="B15418" s="11" t="str">
        <f>IF(D15418&lt;&gt;"",IF(COUNTIF('USPTO TMs'!A:A,D15418)&gt;0,"Yes","No"),"")</f>
        <v/>
      </c>
      <c r="C15418" s="11"/>
      <c r="D15418" s="11"/>
      <c r="E15418" s="11"/>
      <c r="F15418" s="11"/>
      <c r="G15418" s="11"/>
      <c r="H15418" s="11"/>
      <c r="I15418" s="15"/>
    </row>
    <row r="15419" spans="1:9" ht="16.5">
      <c r="A15419" s="10" t="b">
        <v>0</v>
      </c>
      <c r="B15419" s="11" t="str">
        <f>IF(D15419&lt;&gt;"",IF(COUNTIF('USPTO TMs'!A:A,D15419)&gt;0,"Yes","No"),"")</f>
        <v/>
      </c>
      <c r="C15419" s="11"/>
      <c r="D15419" s="11"/>
      <c r="E15419" s="11"/>
      <c r="F15419" s="11"/>
      <c r="G15419" s="11"/>
      <c r="H15419" s="11"/>
      <c r="I15419" s="15"/>
    </row>
    <row r="15420" spans="1:9" ht="16.5">
      <c r="A15420" s="10" t="b">
        <v>0</v>
      </c>
      <c r="B15420" s="11" t="str">
        <f>IF(D15420&lt;&gt;"",IF(COUNTIF('USPTO TMs'!A:A,D15420)&gt;0,"Yes","No"),"")</f>
        <v/>
      </c>
      <c r="C15420" s="11"/>
      <c r="D15420" s="11"/>
      <c r="E15420" s="11"/>
      <c r="F15420" s="11"/>
      <c r="G15420" s="11"/>
      <c r="H15420" s="11"/>
      <c r="I15420" s="15"/>
    </row>
    <row r="15421" spans="1:9" ht="16.5">
      <c r="A15421" s="10" t="b">
        <v>0</v>
      </c>
      <c r="B15421" s="11" t="str">
        <f>IF(D15421&lt;&gt;"",IF(COUNTIF('USPTO TMs'!A:A,D15421)&gt;0,"Yes","No"),"")</f>
        <v/>
      </c>
      <c r="C15421" s="11"/>
      <c r="D15421" s="11"/>
      <c r="E15421" s="11"/>
      <c r="F15421" s="11"/>
      <c r="G15421" s="11"/>
      <c r="H15421" s="11"/>
      <c r="I15421" s="15"/>
    </row>
    <row r="15422" spans="1:9" ht="16.5">
      <c r="A15422" s="10" t="b">
        <v>0</v>
      </c>
      <c r="B15422" s="11" t="str">
        <f>IF(D15422&lt;&gt;"",IF(COUNTIF('USPTO TMs'!A:A,D15422)&gt;0,"Yes","No"),"")</f>
        <v/>
      </c>
      <c r="C15422" s="11"/>
      <c r="D15422" s="11"/>
      <c r="E15422" s="11"/>
      <c r="F15422" s="11"/>
      <c r="G15422" s="11"/>
      <c r="H15422" s="11"/>
      <c r="I15422" s="15"/>
    </row>
    <row r="15423" spans="1:9" ht="16.5">
      <c r="A15423" s="10" t="b">
        <v>0</v>
      </c>
      <c r="B15423" s="11" t="str">
        <f>IF(D15423&lt;&gt;"",IF(COUNTIF('USPTO TMs'!A:A,D15423)&gt;0,"Yes","No"),"")</f>
        <v/>
      </c>
      <c r="C15423" s="11"/>
      <c r="D15423" s="11"/>
      <c r="E15423" s="11"/>
      <c r="F15423" s="11"/>
      <c r="G15423" s="11"/>
      <c r="H15423" s="11"/>
      <c r="I15423" s="15"/>
    </row>
    <row r="15424" spans="1:9" ht="16.5">
      <c r="A15424" s="10" t="b">
        <v>0</v>
      </c>
      <c r="B15424" s="11" t="str">
        <f>IF(D15424&lt;&gt;"",IF(COUNTIF('USPTO TMs'!A:A,D15424)&gt;0,"Yes","No"),"")</f>
        <v/>
      </c>
      <c r="C15424" s="11"/>
      <c r="D15424" s="11"/>
      <c r="E15424" s="11"/>
      <c r="F15424" s="11"/>
      <c r="G15424" s="11"/>
      <c r="H15424" s="11"/>
      <c r="I15424" s="15"/>
    </row>
    <row r="15425" spans="1:9" ht="16.5">
      <c r="A15425" s="10" t="b">
        <v>0</v>
      </c>
      <c r="B15425" s="11" t="str">
        <f>IF(D15425&lt;&gt;"",IF(COUNTIF('USPTO TMs'!A:A,D15425)&gt;0,"Yes","No"),"")</f>
        <v/>
      </c>
      <c r="C15425" s="11"/>
      <c r="D15425" s="11"/>
      <c r="E15425" s="11"/>
      <c r="F15425" s="11"/>
      <c r="G15425" s="11"/>
      <c r="H15425" s="11"/>
      <c r="I15425" s="15"/>
    </row>
    <row r="15426" spans="1:9" ht="16.5">
      <c r="A15426" s="10" t="b">
        <v>0</v>
      </c>
      <c r="B15426" s="11" t="str">
        <f>IF(D15426&lt;&gt;"",IF(COUNTIF('USPTO TMs'!A:A,D15426)&gt;0,"Yes","No"),"")</f>
        <v/>
      </c>
      <c r="C15426" s="11"/>
      <c r="D15426" s="11"/>
      <c r="E15426" s="11"/>
      <c r="F15426" s="11"/>
      <c r="G15426" s="11"/>
      <c r="H15426" s="11"/>
      <c r="I15426" s="15"/>
    </row>
    <row r="15427" spans="1:9" ht="16.5">
      <c r="A15427" s="10" t="b">
        <v>0</v>
      </c>
      <c r="B15427" s="11" t="str">
        <f>IF(D15427&lt;&gt;"",IF(COUNTIF('USPTO TMs'!A:A,D15427)&gt;0,"Yes","No"),"")</f>
        <v/>
      </c>
      <c r="C15427" s="11"/>
      <c r="D15427" s="11"/>
      <c r="E15427" s="11"/>
      <c r="F15427" s="11"/>
      <c r="G15427" s="11"/>
      <c r="H15427" s="11"/>
      <c r="I15427" s="15"/>
    </row>
    <row r="15428" spans="1:9" ht="16.5">
      <c r="A15428" s="10" t="b">
        <v>0</v>
      </c>
      <c r="B15428" s="11" t="str">
        <f>IF(D15428&lt;&gt;"",IF(COUNTIF('USPTO TMs'!A:A,D15428)&gt;0,"Yes","No"),"")</f>
        <v/>
      </c>
      <c r="C15428" s="11"/>
      <c r="D15428" s="11"/>
      <c r="E15428" s="11"/>
      <c r="F15428" s="11"/>
      <c r="G15428" s="11"/>
      <c r="H15428" s="11"/>
      <c r="I15428" s="15"/>
    </row>
    <row r="15429" spans="1:9" ht="16.5">
      <c r="A15429" s="10" t="b">
        <v>0</v>
      </c>
      <c r="B15429" s="11" t="str">
        <f>IF(D15429&lt;&gt;"",IF(COUNTIF('USPTO TMs'!A:A,D15429)&gt;0,"Yes","No"),"")</f>
        <v/>
      </c>
      <c r="C15429" s="11"/>
      <c r="D15429" s="11"/>
      <c r="E15429" s="11"/>
      <c r="F15429" s="11"/>
      <c r="G15429" s="11"/>
      <c r="H15429" s="11"/>
      <c r="I15429" s="15"/>
    </row>
    <row r="15430" spans="1:9" ht="16.5">
      <c r="A15430" s="10" t="b">
        <v>0</v>
      </c>
      <c r="B15430" s="11" t="str">
        <f>IF(D15430&lt;&gt;"",IF(COUNTIF('USPTO TMs'!A:A,D15430)&gt;0,"Yes","No"),"")</f>
        <v/>
      </c>
      <c r="C15430" s="11"/>
      <c r="D15430" s="11"/>
      <c r="E15430" s="11"/>
      <c r="F15430" s="11"/>
      <c r="G15430" s="11"/>
      <c r="H15430" s="11"/>
      <c r="I15430" s="15"/>
    </row>
    <row r="15431" spans="1:9" ht="16.5">
      <c r="A15431" s="10" t="b">
        <v>0</v>
      </c>
      <c r="B15431" s="11" t="str">
        <f>IF(D15431&lt;&gt;"",IF(COUNTIF('USPTO TMs'!A:A,D15431)&gt;0,"Yes","No"),"")</f>
        <v/>
      </c>
      <c r="C15431" s="11"/>
      <c r="D15431" s="11"/>
      <c r="E15431" s="11"/>
      <c r="F15431" s="11"/>
      <c r="G15431" s="11"/>
      <c r="H15431" s="11"/>
      <c r="I15431" s="15"/>
    </row>
    <row r="15432" spans="1:9" ht="16.5">
      <c r="A15432" s="10" t="b">
        <v>0</v>
      </c>
      <c r="B15432" s="11" t="str">
        <f>IF(D15432&lt;&gt;"",IF(COUNTIF('USPTO TMs'!A:A,D15432)&gt;0,"Yes","No"),"")</f>
        <v/>
      </c>
      <c r="C15432" s="11"/>
      <c r="D15432" s="11"/>
      <c r="E15432" s="11"/>
      <c r="F15432" s="11"/>
      <c r="G15432" s="11"/>
      <c r="H15432" s="11"/>
      <c r="I15432" s="15"/>
    </row>
    <row r="15433" spans="1:9" ht="16.5">
      <c r="A15433" s="10" t="b">
        <v>0</v>
      </c>
      <c r="B15433" s="11" t="str">
        <f>IF(D15433&lt;&gt;"",IF(COUNTIF('USPTO TMs'!A:A,D15433)&gt;0,"Yes","No"),"")</f>
        <v/>
      </c>
      <c r="C15433" s="11"/>
      <c r="D15433" s="11"/>
      <c r="E15433" s="11"/>
      <c r="F15433" s="11"/>
      <c r="G15433" s="11"/>
      <c r="H15433" s="11"/>
      <c r="I15433" s="15"/>
    </row>
    <row r="15434" spans="1:9" ht="16.5">
      <c r="A15434" s="10" t="b">
        <v>0</v>
      </c>
      <c r="B15434" s="11" t="str">
        <f>IF(D15434&lt;&gt;"",IF(COUNTIF('USPTO TMs'!A:A,D15434)&gt;0,"Yes","No"),"")</f>
        <v/>
      </c>
      <c r="C15434" s="11"/>
      <c r="D15434" s="11"/>
      <c r="E15434" s="11"/>
      <c r="F15434" s="11"/>
      <c r="G15434" s="11"/>
      <c r="H15434" s="11"/>
      <c r="I15434" s="15"/>
    </row>
    <row r="15435" spans="1:9" ht="16.5">
      <c r="A15435" s="10" t="b">
        <v>0</v>
      </c>
      <c r="B15435" s="11" t="str">
        <f>IF(D15435&lt;&gt;"",IF(COUNTIF('USPTO TMs'!A:A,D15435)&gt;0,"Yes","No"),"")</f>
        <v/>
      </c>
      <c r="C15435" s="11"/>
      <c r="D15435" s="11"/>
      <c r="E15435" s="11"/>
      <c r="F15435" s="11"/>
      <c r="G15435" s="11"/>
      <c r="H15435" s="11"/>
      <c r="I15435" s="15"/>
    </row>
    <row r="15436" spans="1:9" ht="16.5">
      <c r="A15436" s="10" t="b">
        <v>0</v>
      </c>
      <c r="B15436" s="11" t="str">
        <f>IF(D15436&lt;&gt;"",IF(COUNTIF('USPTO TMs'!A:A,D15436)&gt;0,"Yes","No"),"")</f>
        <v/>
      </c>
      <c r="C15436" s="11"/>
      <c r="D15436" s="11"/>
      <c r="E15436" s="11"/>
      <c r="F15436" s="11"/>
      <c r="G15436" s="11"/>
      <c r="H15436" s="11"/>
      <c r="I15436" s="15"/>
    </row>
    <row r="15437" spans="1:9" ht="16.5">
      <c r="A15437" s="10" t="b">
        <v>0</v>
      </c>
      <c r="B15437" s="11" t="str">
        <f>IF(D15437&lt;&gt;"",IF(COUNTIF('USPTO TMs'!A:A,D15437)&gt;0,"Yes","No"),"")</f>
        <v/>
      </c>
      <c r="C15437" s="11"/>
      <c r="D15437" s="11"/>
      <c r="E15437" s="11"/>
      <c r="F15437" s="11"/>
      <c r="G15437" s="11"/>
      <c r="H15437" s="11"/>
      <c r="I15437" s="15"/>
    </row>
    <row r="15438" spans="1:9" ht="16.5">
      <c r="A15438" s="10" t="b">
        <v>0</v>
      </c>
      <c r="B15438" s="11" t="str">
        <f>IF(D15438&lt;&gt;"",IF(COUNTIF('USPTO TMs'!A:A,D15438)&gt;0,"Yes","No"),"")</f>
        <v/>
      </c>
      <c r="C15438" s="11"/>
      <c r="D15438" s="11"/>
      <c r="E15438" s="11"/>
      <c r="F15438" s="11"/>
      <c r="G15438" s="11"/>
      <c r="H15438" s="11"/>
      <c r="I15438" s="15"/>
    </row>
    <row r="15439" spans="1:9" ht="16.5">
      <c r="A15439" s="10" t="b">
        <v>0</v>
      </c>
      <c r="B15439" s="11" t="str">
        <f>IF(D15439&lt;&gt;"",IF(COUNTIF('USPTO TMs'!A:A,D15439)&gt;0,"Yes","No"),"")</f>
        <v/>
      </c>
      <c r="C15439" s="11"/>
      <c r="D15439" s="11"/>
      <c r="E15439" s="11"/>
      <c r="F15439" s="11"/>
      <c r="G15439" s="11"/>
      <c r="H15439" s="11"/>
      <c r="I15439" s="15"/>
    </row>
    <row r="15440" spans="1:9" ht="16.5">
      <c r="A15440" s="10" t="b">
        <v>0</v>
      </c>
      <c r="B15440" s="11" t="str">
        <f>IF(D15440&lt;&gt;"",IF(COUNTIF('USPTO TMs'!A:A,D15440)&gt;0,"Yes","No"),"")</f>
        <v/>
      </c>
      <c r="C15440" s="11"/>
      <c r="D15440" s="11"/>
      <c r="E15440" s="11"/>
      <c r="F15440" s="11"/>
      <c r="G15440" s="11"/>
      <c r="H15440" s="11"/>
      <c r="I15440" s="15"/>
    </row>
    <row r="15441" spans="1:9" ht="16.5">
      <c r="A15441" s="10" t="b">
        <v>0</v>
      </c>
      <c r="B15441" s="11" t="str">
        <f>IF(D15441&lt;&gt;"",IF(COUNTIF('USPTO TMs'!A:A,D15441)&gt;0,"Yes","No"),"")</f>
        <v/>
      </c>
      <c r="C15441" s="11"/>
      <c r="D15441" s="11"/>
      <c r="E15441" s="11"/>
      <c r="F15441" s="11"/>
      <c r="G15441" s="11"/>
      <c r="H15441" s="11"/>
      <c r="I15441" s="15"/>
    </row>
    <row r="15442" spans="1:9" ht="16.5">
      <c r="A15442" s="10" t="b">
        <v>0</v>
      </c>
      <c r="B15442" s="11" t="str">
        <f>IF(D15442&lt;&gt;"",IF(COUNTIF('USPTO TMs'!A:A,D15442)&gt;0,"Yes","No"),"")</f>
        <v/>
      </c>
      <c r="C15442" s="11"/>
      <c r="D15442" s="11"/>
      <c r="E15442" s="11"/>
      <c r="F15442" s="11"/>
      <c r="G15442" s="11"/>
      <c r="H15442" s="11"/>
      <c r="I15442" s="15"/>
    </row>
    <row r="15443" spans="1:9" ht="16.5">
      <c r="A15443" s="10" t="b">
        <v>0</v>
      </c>
      <c r="B15443" s="11" t="str">
        <f>IF(D15443&lt;&gt;"",IF(COUNTIF('USPTO TMs'!A:A,D15443)&gt;0,"Yes","No"),"")</f>
        <v/>
      </c>
      <c r="C15443" s="11"/>
      <c r="D15443" s="11"/>
      <c r="E15443" s="11"/>
      <c r="F15443" s="11"/>
      <c r="G15443" s="11"/>
      <c r="H15443" s="11"/>
      <c r="I15443" s="15"/>
    </row>
    <row r="15444" spans="1:9" ht="16.5">
      <c r="A15444" s="10" t="b">
        <v>0</v>
      </c>
      <c r="B15444" s="11" t="str">
        <f>IF(D15444&lt;&gt;"",IF(COUNTIF('USPTO TMs'!A:A,D15444)&gt;0,"Yes","No"),"")</f>
        <v/>
      </c>
      <c r="C15444" s="11"/>
      <c r="D15444" s="11"/>
      <c r="E15444" s="11"/>
      <c r="F15444" s="11"/>
      <c r="G15444" s="11"/>
      <c r="H15444" s="11"/>
      <c r="I15444" s="15"/>
    </row>
    <row r="15445" spans="1:9" ht="16.5">
      <c r="A15445" s="10" t="b">
        <v>0</v>
      </c>
      <c r="B15445" s="11" t="str">
        <f>IF(D15445&lt;&gt;"",IF(COUNTIF('USPTO TMs'!A:A,D15445)&gt;0,"Yes","No"),"")</f>
        <v/>
      </c>
      <c r="C15445" s="11"/>
      <c r="D15445" s="11"/>
      <c r="E15445" s="11"/>
      <c r="F15445" s="11"/>
      <c r="G15445" s="11"/>
      <c r="H15445" s="11"/>
      <c r="I15445" s="15"/>
    </row>
    <row r="15446" spans="1:9" ht="16.5">
      <c r="A15446" s="10" t="b">
        <v>0</v>
      </c>
      <c r="B15446" s="11" t="str">
        <f>IF(D15446&lt;&gt;"",IF(COUNTIF('USPTO TMs'!A:A,D15446)&gt;0,"Yes","No"),"")</f>
        <v/>
      </c>
      <c r="C15446" s="11"/>
      <c r="D15446" s="11"/>
      <c r="E15446" s="11"/>
      <c r="F15446" s="11"/>
      <c r="G15446" s="11"/>
      <c r="H15446" s="11"/>
      <c r="I15446" s="15"/>
    </row>
    <row r="15447" spans="1:9" ht="16.5">
      <c r="A15447" s="10" t="b">
        <v>0</v>
      </c>
      <c r="B15447" s="11" t="str">
        <f>IF(D15447&lt;&gt;"",IF(COUNTIF('USPTO TMs'!A:A,D15447)&gt;0,"Yes","No"),"")</f>
        <v/>
      </c>
      <c r="C15447" s="11"/>
      <c r="D15447" s="11"/>
      <c r="E15447" s="11"/>
      <c r="F15447" s="11"/>
      <c r="G15447" s="11"/>
      <c r="H15447" s="11"/>
      <c r="I15447" s="15"/>
    </row>
    <row r="15448" spans="1:9" ht="16.5">
      <c r="A15448" s="10" t="b">
        <v>0</v>
      </c>
      <c r="B15448" s="11" t="str">
        <f>IF(D15448&lt;&gt;"",IF(COUNTIF('USPTO TMs'!A:A,D15448)&gt;0,"Yes","No"),"")</f>
        <v/>
      </c>
      <c r="C15448" s="11"/>
      <c r="D15448" s="11"/>
      <c r="E15448" s="11"/>
      <c r="F15448" s="11"/>
      <c r="G15448" s="11"/>
      <c r="H15448" s="11"/>
      <c r="I15448" s="15"/>
    </row>
    <row r="15449" spans="1:9" ht="16.5">
      <c r="A15449" s="10" t="b">
        <v>0</v>
      </c>
      <c r="B15449" s="11" t="str">
        <f>IF(D15449&lt;&gt;"",IF(COUNTIF('USPTO TMs'!A:A,D15449)&gt;0,"Yes","No"),"")</f>
        <v/>
      </c>
      <c r="C15449" s="11"/>
      <c r="D15449" s="11"/>
      <c r="E15449" s="11"/>
      <c r="F15449" s="11"/>
      <c r="G15449" s="11"/>
      <c r="H15449" s="11"/>
      <c r="I15449" s="15"/>
    </row>
    <row r="15450" spans="1:9" ht="16.5">
      <c r="A15450" s="10" t="b">
        <v>0</v>
      </c>
      <c r="B15450" s="11" t="str">
        <f>IF(D15450&lt;&gt;"",IF(COUNTIF('USPTO TMs'!A:A,D15450)&gt;0,"Yes","No"),"")</f>
        <v/>
      </c>
      <c r="C15450" s="11"/>
      <c r="D15450" s="11"/>
      <c r="E15450" s="11"/>
      <c r="F15450" s="11"/>
      <c r="G15450" s="11"/>
      <c r="H15450" s="11"/>
      <c r="I15450" s="15"/>
    </row>
    <row r="15451" spans="1:9" ht="16.5">
      <c r="A15451" s="10" t="b">
        <v>0</v>
      </c>
      <c r="B15451" s="11" t="str">
        <f>IF(D15451&lt;&gt;"",IF(COUNTIF('USPTO TMs'!A:A,D15451)&gt;0,"Yes","No"),"")</f>
        <v/>
      </c>
      <c r="C15451" s="11"/>
      <c r="D15451" s="11"/>
      <c r="E15451" s="11"/>
      <c r="F15451" s="11"/>
      <c r="G15451" s="11"/>
      <c r="H15451" s="11"/>
      <c r="I15451" s="15"/>
    </row>
    <row r="15452" spans="1:9" ht="16.5">
      <c r="A15452" s="10" t="b">
        <v>0</v>
      </c>
      <c r="B15452" s="11" t="str">
        <f>IF(D15452&lt;&gt;"",IF(COUNTIF('USPTO TMs'!A:A,D15452)&gt;0,"Yes","No"),"")</f>
        <v/>
      </c>
      <c r="C15452" s="11"/>
      <c r="D15452" s="11"/>
      <c r="E15452" s="11"/>
      <c r="F15452" s="11"/>
      <c r="G15452" s="11"/>
      <c r="H15452" s="11"/>
      <c r="I15452" s="15"/>
    </row>
    <row r="15453" spans="1:9" ht="16.5">
      <c r="A15453" s="10" t="b">
        <v>0</v>
      </c>
      <c r="B15453" s="11" t="str">
        <f>IF(D15453&lt;&gt;"",IF(COUNTIF('USPTO TMs'!A:A,D15453)&gt;0,"Yes","No"),"")</f>
        <v/>
      </c>
      <c r="C15453" s="11"/>
      <c r="D15453" s="11"/>
      <c r="E15453" s="11"/>
      <c r="F15453" s="11"/>
      <c r="G15453" s="11"/>
      <c r="H15453" s="11"/>
      <c r="I15453" s="15"/>
    </row>
    <row r="15454" spans="1:9" ht="16.5">
      <c r="A15454" s="10" t="b">
        <v>0</v>
      </c>
      <c r="B15454" s="11" t="str">
        <f>IF(D15454&lt;&gt;"",IF(COUNTIF('USPTO TMs'!A:A,D15454)&gt;0,"Yes","No"),"")</f>
        <v/>
      </c>
      <c r="C15454" s="11"/>
      <c r="D15454" s="11"/>
      <c r="E15454" s="11"/>
      <c r="F15454" s="11"/>
      <c r="G15454" s="11"/>
      <c r="H15454" s="11"/>
      <c r="I15454" s="15"/>
    </row>
    <row r="15455" spans="1:9" ht="16.5">
      <c r="A15455" s="10" t="b">
        <v>0</v>
      </c>
      <c r="B15455" s="11" t="str">
        <f>IF(D15455&lt;&gt;"",IF(COUNTIF('USPTO TMs'!A:A,D15455)&gt;0,"Yes","No"),"")</f>
        <v/>
      </c>
      <c r="C15455" s="11"/>
      <c r="D15455" s="11"/>
      <c r="E15455" s="11"/>
      <c r="F15455" s="11"/>
      <c r="G15455" s="11"/>
      <c r="H15455" s="11"/>
      <c r="I15455" s="15"/>
    </row>
    <row r="15456" spans="1:9" ht="16.5">
      <c r="A15456" s="10" t="b">
        <v>0</v>
      </c>
      <c r="B15456" s="11" t="str">
        <f>IF(D15456&lt;&gt;"",IF(COUNTIF('USPTO TMs'!A:A,D15456)&gt;0,"Yes","No"),"")</f>
        <v/>
      </c>
      <c r="C15456" s="11"/>
      <c r="D15456" s="11"/>
      <c r="E15456" s="11"/>
      <c r="F15456" s="11"/>
      <c r="G15456" s="11"/>
      <c r="H15456" s="11"/>
      <c r="I15456" s="15"/>
    </row>
    <row r="15457" spans="1:9" ht="16.5">
      <c r="A15457" s="10" t="b">
        <v>0</v>
      </c>
      <c r="B15457" s="11" t="str">
        <f>IF(D15457&lt;&gt;"",IF(COUNTIF('USPTO TMs'!A:A,D15457)&gt;0,"Yes","No"),"")</f>
        <v/>
      </c>
      <c r="C15457" s="11"/>
      <c r="D15457" s="11"/>
      <c r="E15457" s="11"/>
      <c r="F15457" s="11"/>
      <c r="G15457" s="11"/>
      <c r="H15457" s="11"/>
      <c r="I15457" s="15"/>
    </row>
    <row r="15458" spans="1:9" ht="16.5">
      <c r="A15458" s="10" t="b">
        <v>0</v>
      </c>
      <c r="B15458" s="11" t="str">
        <f>IF(D15458&lt;&gt;"",IF(COUNTIF('USPTO TMs'!A:A,D15458)&gt;0,"Yes","No"),"")</f>
        <v/>
      </c>
      <c r="C15458" s="11"/>
      <c r="D15458" s="11"/>
      <c r="E15458" s="11"/>
      <c r="F15458" s="11"/>
      <c r="G15458" s="11"/>
      <c r="H15458" s="11"/>
      <c r="I15458" s="15"/>
    </row>
    <row r="15459" spans="1:9" ht="16.5">
      <c r="A15459" s="10" t="b">
        <v>0</v>
      </c>
      <c r="B15459" s="11" t="str">
        <f>IF(D15459&lt;&gt;"",IF(COUNTIF('USPTO TMs'!A:A,D15459)&gt;0,"Yes","No"),"")</f>
        <v/>
      </c>
      <c r="C15459" s="11"/>
      <c r="D15459" s="11"/>
      <c r="E15459" s="11"/>
      <c r="F15459" s="11"/>
      <c r="G15459" s="11"/>
      <c r="H15459" s="11"/>
      <c r="I15459" s="15"/>
    </row>
    <row r="15460" spans="1:9" ht="16.5">
      <c r="A15460" s="10" t="b">
        <v>0</v>
      </c>
      <c r="B15460" s="11" t="str">
        <f>IF(D15460&lt;&gt;"",IF(COUNTIF('USPTO TMs'!A:A,D15460)&gt;0,"Yes","No"),"")</f>
        <v/>
      </c>
      <c r="C15460" s="11"/>
      <c r="D15460" s="11"/>
      <c r="E15460" s="11"/>
      <c r="F15460" s="11"/>
      <c r="G15460" s="11"/>
      <c r="H15460" s="11"/>
      <c r="I15460" s="15"/>
    </row>
    <row r="15461" spans="1:9" ht="16.5">
      <c r="A15461" s="10" t="b">
        <v>0</v>
      </c>
      <c r="B15461" s="11" t="str">
        <f>IF(D15461&lt;&gt;"",IF(COUNTIF('USPTO TMs'!A:A,D15461)&gt;0,"Yes","No"),"")</f>
        <v/>
      </c>
      <c r="C15461" s="11"/>
      <c r="D15461" s="11"/>
      <c r="E15461" s="11"/>
      <c r="F15461" s="11"/>
      <c r="G15461" s="11"/>
      <c r="H15461" s="11"/>
      <c r="I15461" s="15"/>
    </row>
    <row r="15462" spans="1:9" ht="16.5">
      <c r="A15462" s="10" t="b">
        <v>0</v>
      </c>
      <c r="B15462" s="11" t="str">
        <f>IF(D15462&lt;&gt;"",IF(COUNTIF('USPTO TMs'!A:A,D15462)&gt;0,"Yes","No"),"")</f>
        <v/>
      </c>
      <c r="C15462" s="11"/>
      <c r="D15462" s="11"/>
      <c r="E15462" s="11"/>
      <c r="F15462" s="11"/>
      <c r="G15462" s="11"/>
      <c r="H15462" s="11"/>
      <c r="I15462" s="15"/>
    </row>
    <row r="15463" spans="1:9" ht="16.5">
      <c r="A15463" s="10" t="b">
        <v>0</v>
      </c>
      <c r="B15463" s="11" t="str">
        <f>IF(D15463&lt;&gt;"",IF(COUNTIF('USPTO TMs'!A:A,D15463)&gt;0,"Yes","No"),"")</f>
        <v/>
      </c>
      <c r="C15463" s="11"/>
      <c r="D15463" s="11"/>
      <c r="E15463" s="11"/>
      <c r="F15463" s="11"/>
      <c r="G15463" s="11"/>
      <c r="H15463" s="11"/>
      <c r="I15463" s="15"/>
    </row>
    <row r="15464" spans="1:9" ht="16.5">
      <c r="A15464" s="10" t="b">
        <v>0</v>
      </c>
      <c r="B15464" s="11" t="str">
        <f>IF(D15464&lt;&gt;"",IF(COUNTIF('USPTO TMs'!A:A,D15464)&gt;0,"Yes","No"),"")</f>
        <v/>
      </c>
      <c r="C15464" s="11"/>
      <c r="D15464" s="11"/>
      <c r="E15464" s="11"/>
      <c r="F15464" s="11"/>
      <c r="G15464" s="11"/>
      <c r="H15464" s="11"/>
      <c r="I15464" s="15"/>
    </row>
    <row r="15465" spans="1:9" ht="16.5">
      <c r="A15465" s="10" t="b">
        <v>0</v>
      </c>
      <c r="B15465" s="11" t="str">
        <f>IF(D15465&lt;&gt;"",IF(COUNTIF('USPTO TMs'!A:A,D15465)&gt;0,"Yes","No"),"")</f>
        <v/>
      </c>
      <c r="C15465" s="11"/>
      <c r="D15465" s="11"/>
      <c r="E15465" s="11"/>
      <c r="F15465" s="11"/>
      <c r="G15465" s="11"/>
      <c r="H15465" s="11"/>
      <c r="I15465" s="15"/>
    </row>
    <row r="15466" spans="1:9" ht="16.5">
      <c r="A15466" s="10" t="b">
        <v>0</v>
      </c>
      <c r="B15466" s="11" t="str">
        <f>IF(D15466&lt;&gt;"",IF(COUNTIF('USPTO TMs'!A:A,D15466)&gt;0,"Yes","No"),"")</f>
        <v/>
      </c>
      <c r="C15466" s="11"/>
      <c r="D15466" s="11"/>
      <c r="E15466" s="11"/>
      <c r="F15466" s="11"/>
      <c r="G15466" s="11"/>
      <c r="H15466" s="11"/>
      <c r="I15466" s="15"/>
    </row>
    <row r="15467" spans="1:9" ht="16.5">
      <c r="A15467" s="10" t="b">
        <v>0</v>
      </c>
      <c r="B15467" s="11" t="str">
        <f>IF(D15467&lt;&gt;"",IF(COUNTIF('USPTO TMs'!A:A,D15467)&gt;0,"Yes","No"),"")</f>
        <v/>
      </c>
      <c r="C15467" s="11"/>
      <c r="D15467" s="11"/>
      <c r="E15467" s="11"/>
      <c r="F15467" s="11"/>
      <c r="G15467" s="11"/>
      <c r="H15467" s="11"/>
      <c r="I15467" s="15"/>
    </row>
    <row r="15468" spans="1:9" ht="16.5">
      <c r="A15468" s="10" t="b">
        <v>0</v>
      </c>
      <c r="B15468" s="11" t="str">
        <f>IF(D15468&lt;&gt;"",IF(COUNTIF('USPTO TMs'!A:A,D15468)&gt;0,"Yes","No"),"")</f>
        <v/>
      </c>
      <c r="C15468" s="11"/>
      <c r="D15468" s="11"/>
      <c r="E15468" s="11"/>
      <c r="F15468" s="11"/>
      <c r="G15468" s="11"/>
      <c r="H15468" s="11"/>
      <c r="I15468" s="15"/>
    </row>
    <row r="15469" spans="1:9" ht="16.5">
      <c r="A15469" s="10" t="b">
        <v>0</v>
      </c>
      <c r="B15469" s="11" t="str">
        <f>IF(D15469&lt;&gt;"",IF(COUNTIF('USPTO TMs'!A:A,D15469)&gt;0,"Yes","No"),"")</f>
        <v/>
      </c>
      <c r="C15469" s="11"/>
      <c r="D15469" s="11"/>
      <c r="E15469" s="11"/>
      <c r="F15469" s="11"/>
      <c r="G15469" s="11"/>
      <c r="H15469" s="11"/>
      <c r="I15469" s="15"/>
    </row>
    <row r="15470" spans="1:9" ht="16.5">
      <c r="A15470" s="10" t="b">
        <v>0</v>
      </c>
      <c r="B15470" s="11" t="str">
        <f>IF(D15470&lt;&gt;"",IF(COUNTIF('USPTO TMs'!A:A,D15470)&gt;0,"Yes","No"),"")</f>
        <v/>
      </c>
      <c r="C15470" s="11"/>
      <c r="D15470" s="11"/>
      <c r="E15470" s="11"/>
      <c r="F15470" s="11"/>
      <c r="G15470" s="11"/>
      <c r="H15470" s="11"/>
      <c r="I15470" s="15"/>
    </row>
    <row r="15471" spans="1:9" ht="16.5">
      <c r="A15471" s="10" t="b">
        <v>0</v>
      </c>
      <c r="B15471" s="11" t="str">
        <f>IF(D15471&lt;&gt;"",IF(COUNTIF('USPTO TMs'!A:A,D15471)&gt;0,"Yes","No"),"")</f>
        <v/>
      </c>
      <c r="C15471" s="11"/>
      <c r="D15471" s="11"/>
      <c r="E15471" s="11"/>
      <c r="F15471" s="11"/>
      <c r="G15471" s="11"/>
      <c r="H15471" s="11"/>
      <c r="I15471" s="15"/>
    </row>
    <row r="15472" spans="1:9" ht="16.5">
      <c r="A15472" s="10" t="b">
        <v>0</v>
      </c>
      <c r="B15472" s="11" t="str">
        <f>IF(D15472&lt;&gt;"",IF(COUNTIF('USPTO TMs'!A:A,D15472)&gt;0,"Yes","No"),"")</f>
        <v/>
      </c>
      <c r="C15472" s="11"/>
      <c r="D15472" s="11"/>
      <c r="E15472" s="11"/>
      <c r="F15472" s="11"/>
      <c r="G15472" s="11"/>
      <c r="H15472" s="11"/>
      <c r="I15472" s="15"/>
    </row>
    <row r="15473" spans="1:9" ht="16.5">
      <c r="A15473" s="10" t="b">
        <v>0</v>
      </c>
      <c r="B15473" s="11" t="str">
        <f>IF(D15473&lt;&gt;"",IF(COUNTIF('USPTO TMs'!A:A,D15473)&gt;0,"Yes","No"),"")</f>
        <v/>
      </c>
      <c r="C15473" s="11"/>
      <c r="D15473" s="11"/>
      <c r="E15473" s="11"/>
      <c r="F15473" s="11"/>
      <c r="G15473" s="11"/>
      <c r="H15473" s="11"/>
      <c r="I15473" s="15"/>
    </row>
    <row r="15474" spans="1:9" ht="16.5">
      <c r="A15474" s="10" t="b">
        <v>0</v>
      </c>
      <c r="B15474" s="11" t="str">
        <f>IF(D15474&lt;&gt;"",IF(COUNTIF('USPTO TMs'!A:A,D15474)&gt;0,"Yes","No"),"")</f>
        <v/>
      </c>
      <c r="C15474" s="11"/>
      <c r="D15474" s="11"/>
      <c r="E15474" s="11"/>
      <c r="F15474" s="11"/>
      <c r="G15474" s="11"/>
      <c r="H15474" s="11"/>
      <c r="I15474" s="15"/>
    </row>
    <row r="15475" spans="1:9" ht="16.5">
      <c r="A15475" s="10" t="b">
        <v>0</v>
      </c>
      <c r="B15475" s="11" t="str">
        <f>IF(D15475&lt;&gt;"",IF(COUNTIF('USPTO TMs'!A:A,D15475)&gt;0,"Yes","No"),"")</f>
        <v/>
      </c>
      <c r="C15475" s="11"/>
      <c r="D15475" s="11"/>
      <c r="E15475" s="11"/>
      <c r="F15475" s="11"/>
      <c r="G15475" s="11"/>
      <c r="H15475" s="11"/>
      <c r="I15475" s="15"/>
    </row>
    <row r="15476" spans="1:9" ht="16.5">
      <c r="A15476" s="10" t="b">
        <v>0</v>
      </c>
      <c r="B15476" s="11" t="str">
        <f>IF(D15476&lt;&gt;"",IF(COUNTIF('USPTO TMs'!A:A,D15476)&gt;0,"Yes","No"),"")</f>
        <v/>
      </c>
      <c r="C15476" s="11"/>
      <c r="D15476" s="11"/>
      <c r="E15476" s="11"/>
      <c r="F15476" s="11"/>
      <c r="G15476" s="11"/>
      <c r="H15476" s="11"/>
      <c r="I15476" s="15"/>
    </row>
    <row r="15477" spans="1:9" ht="16.5">
      <c r="A15477" s="10" t="b">
        <v>0</v>
      </c>
      <c r="B15477" s="11" t="str">
        <f>IF(D15477&lt;&gt;"",IF(COUNTIF('USPTO TMs'!A:A,D15477)&gt;0,"Yes","No"),"")</f>
        <v/>
      </c>
      <c r="C15477" s="11"/>
      <c r="D15477" s="11"/>
      <c r="E15477" s="11"/>
      <c r="F15477" s="11"/>
      <c r="G15477" s="11"/>
      <c r="H15477" s="11"/>
      <c r="I15477" s="15"/>
    </row>
    <row r="15478" spans="1:9" ht="16.5">
      <c r="A15478" s="10" t="b">
        <v>0</v>
      </c>
      <c r="B15478" s="11" t="str">
        <f>IF(D15478&lt;&gt;"",IF(COUNTIF('USPTO TMs'!A:A,D15478)&gt;0,"Yes","No"),"")</f>
        <v/>
      </c>
      <c r="C15478" s="11"/>
      <c r="D15478" s="11"/>
      <c r="E15478" s="11"/>
      <c r="F15478" s="11"/>
      <c r="G15478" s="11"/>
      <c r="H15478" s="11"/>
      <c r="I15478" s="15"/>
    </row>
    <row r="15479" spans="1:9" ht="16.5">
      <c r="A15479" s="10" t="b">
        <v>0</v>
      </c>
      <c r="B15479" s="11" t="str">
        <f>IF(D15479&lt;&gt;"",IF(COUNTIF('USPTO TMs'!A:A,D15479)&gt;0,"Yes","No"),"")</f>
        <v/>
      </c>
      <c r="C15479" s="11"/>
      <c r="D15479" s="11"/>
      <c r="E15479" s="11"/>
      <c r="F15479" s="11"/>
      <c r="G15479" s="11"/>
      <c r="H15479" s="11"/>
      <c r="I15479" s="15"/>
    </row>
    <row r="15480" spans="1:9" ht="16.5">
      <c r="A15480" s="10" t="b">
        <v>0</v>
      </c>
      <c r="B15480" s="11" t="str">
        <f>IF(D15480&lt;&gt;"",IF(COUNTIF('USPTO TMs'!A:A,D15480)&gt;0,"Yes","No"),"")</f>
        <v/>
      </c>
      <c r="C15480" s="11"/>
      <c r="D15480" s="11"/>
      <c r="E15480" s="11"/>
      <c r="F15480" s="11"/>
      <c r="G15480" s="11"/>
      <c r="H15480" s="11"/>
      <c r="I15480" s="15"/>
    </row>
    <row r="15481" spans="1:9" ht="16.5">
      <c r="A15481" s="10" t="b">
        <v>0</v>
      </c>
      <c r="B15481" s="11" t="str">
        <f>IF(D15481&lt;&gt;"",IF(COUNTIF('USPTO TMs'!A:A,D15481)&gt;0,"Yes","No"),"")</f>
        <v/>
      </c>
      <c r="C15481" s="11"/>
      <c r="D15481" s="11"/>
      <c r="E15481" s="11"/>
      <c r="F15481" s="11"/>
      <c r="G15481" s="11"/>
      <c r="H15481" s="11"/>
      <c r="I15481" s="15"/>
    </row>
    <row r="15482" spans="1:9" ht="16.5">
      <c r="A15482" s="10" t="b">
        <v>0</v>
      </c>
      <c r="B15482" s="11" t="str">
        <f>IF(D15482&lt;&gt;"",IF(COUNTIF('USPTO TMs'!A:A,D15482)&gt;0,"Yes","No"),"")</f>
        <v/>
      </c>
      <c r="C15482" s="11"/>
      <c r="D15482" s="11"/>
      <c r="E15482" s="11"/>
      <c r="F15482" s="11"/>
      <c r="G15482" s="11"/>
      <c r="H15482" s="11"/>
      <c r="I15482" s="15"/>
    </row>
    <row r="15483" spans="1:9" ht="16.5">
      <c r="A15483" s="10" t="b">
        <v>0</v>
      </c>
      <c r="B15483" s="11" t="str">
        <f>IF(D15483&lt;&gt;"",IF(COUNTIF('USPTO TMs'!A:A,D15483)&gt;0,"Yes","No"),"")</f>
        <v/>
      </c>
      <c r="C15483" s="11"/>
      <c r="D15483" s="11"/>
      <c r="E15483" s="11"/>
      <c r="F15483" s="11"/>
      <c r="G15483" s="11"/>
      <c r="H15483" s="11"/>
      <c r="I15483" s="15"/>
    </row>
    <row r="15484" spans="1:9" ht="16.5">
      <c r="A15484" s="10" t="b">
        <v>0</v>
      </c>
      <c r="B15484" s="11" t="str">
        <f>IF(D15484&lt;&gt;"",IF(COUNTIF('USPTO TMs'!A:A,D15484)&gt;0,"Yes","No"),"")</f>
        <v/>
      </c>
      <c r="C15484" s="11"/>
      <c r="D15484" s="11"/>
      <c r="E15484" s="11"/>
      <c r="F15484" s="11"/>
      <c r="G15484" s="11"/>
      <c r="H15484" s="11"/>
      <c r="I15484" s="15"/>
    </row>
    <row r="15485" spans="1:9" ht="16.5">
      <c r="A15485" s="10" t="b">
        <v>0</v>
      </c>
      <c r="B15485" s="11" t="str">
        <f>IF(D15485&lt;&gt;"",IF(COUNTIF('USPTO TMs'!A:A,D15485)&gt;0,"Yes","No"),"")</f>
        <v/>
      </c>
      <c r="C15485" s="11"/>
      <c r="D15485" s="11"/>
      <c r="E15485" s="11"/>
      <c r="F15485" s="11"/>
      <c r="G15485" s="11"/>
      <c r="H15485" s="11"/>
      <c r="I15485" s="15"/>
    </row>
    <row r="15486" spans="1:9" ht="16.5">
      <c r="A15486" s="10" t="b">
        <v>0</v>
      </c>
      <c r="B15486" s="11" t="str">
        <f>IF(D15486&lt;&gt;"",IF(COUNTIF('USPTO TMs'!A:A,D15486)&gt;0,"Yes","No"),"")</f>
        <v/>
      </c>
      <c r="C15486" s="11"/>
      <c r="D15486" s="11"/>
      <c r="E15486" s="11"/>
      <c r="F15486" s="11"/>
      <c r="G15486" s="11"/>
      <c r="H15486" s="11"/>
      <c r="I15486" s="15"/>
    </row>
    <row r="15487" spans="1:9" ht="16.5">
      <c r="A15487" s="10" t="b">
        <v>0</v>
      </c>
      <c r="B15487" s="11" t="str">
        <f>IF(D15487&lt;&gt;"",IF(COUNTIF('USPTO TMs'!A:A,D15487)&gt;0,"Yes","No"),"")</f>
        <v/>
      </c>
      <c r="C15487" s="11"/>
      <c r="D15487" s="11"/>
      <c r="E15487" s="11"/>
      <c r="F15487" s="11"/>
      <c r="G15487" s="11"/>
      <c r="H15487" s="11"/>
      <c r="I15487" s="15"/>
    </row>
    <row r="15488" spans="1:9" ht="16.5">
      <c r="A15488" s="10" t="b">
        <v>0</v>
      </c>
      <c r="B15488" s="11" t="str">
        <f>IF(D15488&lt;&gt;"",IF(COUNTIF('USPTO TMs'!A:A,D15488)&gt;0,"Yes","No"),"")</f>
        <v/>
      </c>
      <c r="C15488" s="11"/>
      <c r="D15488" s="11"/>
      <c r="E15488" s="11"/>
      <c r="F15488" s="11"/>
      <c r="G15488" s="11"/>
      <c r="H15488" s="11"/>
      <c r="I15488" s="15"/>
    </row>
    <row r="15489" spans="1:9" ht="16.5">
      <c r="A15489" s="10" t="b">
        <v>0</v>
      </c>
      <c r="B15489" s="11" t="str">
        <f>IF(D15489&lt;&gt;"",IF(COUNTIF('USPTO TMs'!A:A,D15489)&gt;0,"Yes","No"),"")</f>
        <v/>
      </c>
      <c r="C15489" s="11"/>
      <c r="D15489" s="11"/>
      <c r="E15489" s="11"/>
      <c r="F15489" s="11"/>
      <c r="G15489" s="11"/>
      <c r="H15489" s="11"/>
      <c r="I15489" s="15"/>
    </row>
    <row r="15490" spans="1:9" ht="16.5">
      <c r="A15490" s="10" t="b">
        <v>0</v>
      </c>
      <c r="B15490" s="11" t="str">
        <f>IF(D15490&lt;&gt;"",IF(COUNTIF('USPTO TMs'!A:A,D15490)&gt;0,"Yes","No"),"")</f>
        <v/>
      </c>
      <c r="C15490" s="11"/>
      <c r="D15490" s="11"/>
      <c r="E15490" s="11"/>
      <c r="F15490" s="11"/>
      <c r="G15490" s="11"/>
      <c r="H15490" s="11"/>
      <c r="I15490" s="15"/>
    </row>
    <row r="15491" spans="1:9" ht="16.5">
      <c r="A15491" s="10" t="b">
        <v>0</v>
      </c>
      <c r="B15491" s="11" t="str">
        <f>IF(D15491&lt;&gt;"",IF(COUNTIF('USPTO TMs'!A:A,D15491)&gt;0,"Yes","No"),"")</f>
        <v/>
      </c>
      <c r="C15491" s="11"/>
      <c r="D15491" s="11"/>
      <c r="E15491" s="11"/>
      <c r="F15491" s="11"/>
      <c r="G15491" s="11"/>
      <c r="H15491" s="11"/>
      <c r="I15491" s="15"/>
    </row>
    <row r="15492" spans="1:9" ht="16.5">
      <c r="A15492" s="10" t="b">
        <v>0</v>
      </c>
      <c r="B15492" s="11" t="str">
        <f>IF(D15492&lt;&gt;"",IF(COUNTIF('USPTO TMs'!A:A,D15492)&gt;0,"Yes","No"),"")</f>
        <v/>
      </c>
      <c r="C15492" s="11"/>
      <c r="D15492" s="11"/>
      <c r="E15492" s="11"/>
      <c r="F15492" s="11"/>
      <c r="G15492" s="11"/>
      <c r="H15492" s="11"/>
      <c r="I15492" s="15"/>
    </row>
    <row r="15493" spans="1:9" ht="16.5">
      <c r="A15493" s="10" t="b">
        <v>0</v>
      </c>
      <c r="B15493" s="11" t="str">
        <f>IF(D15493&lt;&gt;"",IF(COUNTIF('USPTO TMs'!A:A,D15493)&gt;0,"Yes","No"),"")</f>
        <v/>
      </c>
      <c r="C15493" s="11"/>
      <c r="D15493" s="11"/>
      <c r="E15493" s="11"/>
      <c r="F15493" s="11"/>
      <c r="G15493" s="11"/>
      <c r="H15493" s="11"/>
      <c r="I15493" s="15"/>
    </row>
    <row r="15494" spans="1:9" ht="16.5">
      <c r="A15494" s="10" t="b">
        <v>0</v>
      </c>
      <c r="B15494" s="11" t="str">
        <f>IF(D15494&lt;&gt;"",IF(COUNTIF('USPTO TMs'!A:A,D15494)&gt;0,"Yes","No"),"")</f>
        <v/>
      </c>
      <c r="C15494" s="11"/>
      <c r="D15494" s="11"/>
      <c r="E15494" s="11"/>
      <c r="F15494" s="11"/>
      <c r="G15494" s="11"/>
      <c r="H15494" s="11"/>
      <c r="I15494" s="15"/>
    </row>
    <row r="15495" spans="1:9" ht="16.5">
      <c r="A15495" s="10" t="b">
        <v>0</v>
      </c>
      <c r="B15495" s="11" t="str">
        <f>IF(D15495&lt;&gt;"",IF(COUNTIF('USPTO TMs'!A:A,D15495)&gt;0,"Yes","No"),"")</f>
        <v/>
      </c>
      <c r="C15495" s="11"/>
      <c r="D15495" s="11"/>
      <c r="E15495" s="11"/>
      <c r="F15495" s="11"/>
      <c r="G15495" s="11"/>
      <c r="H15495" s="11"/>
      <c r="I15495" s="15"/>
    </row>
    <row r="15496" spans="1:9" ht="16.5">
      <c r="A15496" s="10" t="b">
        <v>0</v>
      </c>
      <c r="B15496" s="11" t="str">
        <f>IF(D15496&lt;&gt;"",IF(COUNTIF('USPTO TMs'!A:A,D15496)&gt;0,"Yes","No"),"")</f>
        <v/>
      </c>
      <c r="C15496" s="11"/>
      <c r="D15496" s="11"/>
      <c r="E15496" s="11"/>
      <c r="F15496" s="11"/>
      <c r="G15496" s="11"/>
      <c r="H15496" s="11"/>
      <c r="I15496" s="15"/>
    </row>
    <row r="15497" spans="1:9" ht="16.5">
      <c r="A15497" s="10" t="b">
        <v>0</v>
      </c>
      <c r="B15497" s="11" t="str">
        <f>IF(D15497&lt;&gt;"",IF(COUNTIF('USPTO TMs'!A:A,D15497)&gt;0,"Yes","No"),"")</f>
        <v/>
      </c>
      <c r="C15497" s="11"/>
      <c r="D15497" s="11"/>
      <c r="E15497" s="11"/>
      <c r="F15497" s="11"/>
      <c r="G15497" s="11"/>
      <c r="H15497" s="11"/>
      <c r="I15497" s="15"/>
    </row>
    <row r="15498" spans="1:9" ht="16.5">
      <c r="A15498" s="10" t="b">
        <v>0</v>
      </c>
      <c r="B15498" s="11" t="str">
        <f>IF(D15498&lt;&gt;"",IF(COUNTIF('USPTO TMs'!A:A,D15498)&gt;0,"Yes","No"),"")</f>
        <v/>
      </c>
      <c r="C15498" s="11"/>
      <c r="D15498" s="11"/>
      <c r="E15498" s="11"/>
      <c r="F15498" s="11"/>
      <c r="G15498" s="11"/>
      <c r="H15498" s="11"/>
      <c r="I15498" s="15"/>
    </row>
    <row r="15499" spans="1:9" ht="16.5">
      <c r="A15499" s="10" t="b">
        <v>0</v>
      </c>
      <c r="B15499" s="11" t="str">
        <f>IF(D15499&lt;&gt;"",IF(COUNTIF('USPTO TMs'!A:A,D15499)&gt;0,"Yes","No"),"")</f>
        <v/>
      </c>
      <c r="C15499" s="11"/>
      <c r="D15499" s="11"/>
      <c r="E15499" s="11"/>
      <c r="F15499" s="11"/>
      <c r="G15499" s="11"/>
      <c r="H15499" s="11"/>
      <c r="I15499" s="15"/>
    </row>
    <row r="15500" spans="1:9" ht="16.5">
      <c r="A15500" s="10" t="b">
        <v>0</v>
      </c>
      <c r="B15500" s="11" t="str">
        <f>IF(D15500&lt;&gt;"",IF(COUNTIF('USPTO TMs'!A:A,D15500)&gt;0,"Yes","No"),"")</f>
        <v/>
      </c>
      <c r="C15500" s="11"/>
      <c r="D15500" s="11"/>
      <c r="E15500" s="11"/>
      <c r="F15500" s="11"/>
      <c r="G15500" s="11"/>
      <c r="H15500" s="11"/>
      <c r="I15500" s="15"/>
    </row>
    <row r="15501" spans="1:9" ht="16.5">
      <c r="A15501" s="10" t="b">
        <v>0</v>
      </c>
      <c r="B15501" s="11" t="str">
        <f>IF(D15501&lt;&gt;"",IF(COUNTIF('USPTO TMs'!A:A,D15501)&gt;0,"Yes","No"),"")</f>
        <v/>
      </c>
      <c r="C15501" s="11"/>
      <c r="D15501" s="11"/>
      <c r="E15501" s="11"/>
      <c r="F15501" s="11"/>
      <c r="G15501" s="11"/>
      <c r="H15501" s="11"/>
      <c r="I15501" s="15"/>
    </row>
    <row r="15502" spans="1:9" ht="16.5">
      <c r="A15502" s="10" t="b">
        <v>0</v>
      </c>
      <c r="B15502" s="11" t="str">
        <f>IF(D15502&lt;&gt;"",IF(COUNTIF('USPTO TMs'!A:A,D15502)&gt;0,"Yes","No"),"")</f>
        <v/>
      </c>
      <c r="C15502" s="11"/>
      <c r="D15502" s="11"/>
      <c r="E15502" s="11"/>
      <c r="F15502" s="11"/>
      <c r="G15502" s="11"/>
      <c r="H15502" s="11"/>
      <c r="I15502" s="15"/>
    </row>
    <row r="15503" spans="1:9" ht="16.5">
      <c r="A15503" s="10" t="b">
        <v>0</v>
      </c>
      <c r="B15503" s="11" t="str">
        <f>IF(D15503&lt;&gt;"",IF(COUNTIF('USPTO TMs'!A:A,D15503)&gt;0,"Yes","No"),"")</f>
        <v/>
      </c>
      <c r="C15503" s="11"/>
      <c r="D15503" s="11"/>
      <c r="E15503" s="11"/>
      <c r="F15503" s="11"/>
      <c r="G15503" s="11"/>
      <c r="H15503" s="11"/>
      <c r="I15503" s="15"/>
    </row>
    <row r="15504" spans="1:9" ht="16.5">
      <c r="A15504" s="10" t="b">
        <v>0</v>
      </c>
      <c r="B15504" s="11" t="str">
        <f>IF(D15504&lt;&gt;"",IF(COUNTIF('USPTO TMs'!A:A,D15504)&gt;0,"Yes","No"),"")</f>
        <v/>
      </c>
      <c r="C15504" s="11"/>
      <c r="D15504" s="11"/>
      <c r="E15504" s="11"/>
      <c r="F15504" s="11"/>
      <c r="G15504" s="11"/>
      <c r="H15504" s="11"/>
      <c r="I15504" s="15"/>
    </row>
    <row r="15505" spans="1:9" ht="16.5">
      <c r="A15505" s="10" t="b">
        <v>0</v>
      </c>
      <c r="B15505" s="11" t="str">
        <f>IF(D15505&lt;&gt;"",IF(COUNTIF('USPTO TMs'!A:A,D15505)&gt;0,"Yes","No"),"")</f>
        <v/>
      </c>
      <c r="C15505" s="11"/>
      <c r="D15505" s="11"/>
      <c r="E15505" s="11"/>
      <c r="F15505" s="11"/>
      <c r="G15505" s="11"/>
      <c r="H15505" s="11"/>
      <c r="I15505" s="15"/>
    </row>
    <row r="15506" spans="1:9" ht="16.5">
      <c r="A15506" s="10" t="b">
        <v>0</v>
      </c>
      <c r="B15506" s="11" t="str">
        <f>IF(D15506&lt;&gt;"",IF(COUNTIF('USPTO TMs'!A:A,D15506)&gt;0,"Yes","No"),"")</f>
        <v/>
      </c>
      <c r="C15506" s="11"/>
      <c r="D15506" s="11"/>
      <c r="E15506" s="11"/>
      <c r="F15506" s="11"/>
      <c r="G15506" s="11"/>
      <c r="H15506" s="11"/>
      <c r="I15506" s="15"/>
    </row>
    <row r="15507" spans="1:9" ht="16.5">
      <c r="A15507" s="10" t="b">
        <v>0</v>
      </c>
      <c r="B15507" s="11" t="str">
        <f>IF(D15507&lt;&gt;"",IF(COUNTIF('USPTO TMs'!A:A,D15507)&gt;0,"Yes","No"),"")</f>
        <v/>
      </c>
      <c r="C15507" s="11"/>
      <c r="D15507" s="11"/>
      <c r="E15507" s="11"/>
      <c r="F15507" s="11"/>
      <c r="G15507" s="11"/>
      <c r="H15507" s="11"/>
      <c r="I15507" s="15"/>
    </row>
    <row r="15508" spans="1:9" ht="16.5">
      <c r="A15508" s="10" t="b">
        <v>0</v>
      </c>
      <c r="B15508" s="11" t="str">
        <f>IF(D15508&lt;&gt;"",IF(COUNTIF('USPTO TMs'!A:A,D15508)&gt;0,"Yes","No"),"")</f>
        <v/>
      </c>
      <c r="C15508" s="11"/>
      <c r="D15508" s="11"/>
      <c r="E15508" s="11"/>
      <c r="F15508" s="11"/>
      <c r="G15508" s="11"/>
      <c r="H15508" s="11"/>
      <c r="I15508" s="15"/>
    </row>
    <row r="15509" spans="1:9" ht="16.5">
      <c r="A15509" s="10" t="b">
        <v>0</v>
      </c>
      <c r="B15509" s="11" t="str">
        <f>IF(D15509&lt;&gt;"",IF(COUNTIF('USPTO TMs'!A:A,D15509)&gt;0,"Yes","No"),"")</f>
        <v/>
      </c>
      <c r="C15509" s="11"/>
      <c r="D15509" s="11"/>
      <c r="E15509" s="11"/>
      <c r="F15509" s="11"/>
      <c r="G15509" s="11"/>
      <c r="H15509" s="11"/>
      <c r="I15509" s="15"/>
    </row>
    <row r="15510" spans="1:9" ht="16.5">
      <c r="A15510" s="10" t="b">
        <v>0</v>
      </c>
      <c r="B15510" s="11" t="str">
        <f>IF(D15510&lt;&gt;"",IF(COUNTIF('USPTO TMs'!A:A,D15510)&gt;0,"Yes","No"),"")</f>
        <v/>
      </c>
      <c r="C15510" s="11"/>
      <c r="D15510" s="11"/>
      <c r="E15510" s="11"/>
      <c r="F15510" s="11"/>
      <c r="G15510" s="11"/>
      <c r="H15510" s="11"/>
      <c r="I15510" s="15"/>
    </row>
    <row r="15511" spans="1:9" ht="16.5">
      <c r="A15511" s="10" t="b">
        <v>0</v>
      </c>
      <c r="B15511" s="11" t="str">
        <f>IF(D15511&lt;&gt;"",IF(COUNTIF('USPTO TMs'!A:A,D15511)&gt;0,"Yes","No"),"")</f>
        <v/>
      </c>
      <c r="C15511" s="11"/>
      <c r="D15511" s="11"/>
      <c r="E15511" s="11"/>
      <c r="F15511" s="11"/>
      <c r="G15511" s="11"/>
      <c r="H15511" s="11"/>
      <c r="I15511" s="15"/>
    </row>
    <row r="15512" spans="1:9" ht="16.5">
      <c r="A15512" s="10" t="b">
        <v>0</v>
      </c>
      <c r="B15512" s="11" t="str">
        <f>IF(D15512&lt;&gt;"",IF(COUNTIF('USPTO TMs'!A:A,D15512)&gt;0,"Yes","No"),"")</f>
        <v/>
      </c>
      <c r="C15512" s="11"/>
      <c r="D15512" s="11"/>
      <c r="E15512" s="11"/>
      <c r="F15512" s="11"/>
      <c r="G15512" s="11"/>
      <c r="H15512" s="11"/>
      <c r="I15512" s="15"/>
    </row>
    <row r="15513" spans="1:9" ht="16.5">
      <c r="A15513" s="10" t="b">
        <v>0</v>
      </c>
      <c r="B15513" s="11" t="str">
        <f>IF(D15513&lt;&gt;"",IF(COUNTIF('USPTO TMs'!A:A,D15513)&gt;0,"Yes","No"),"")</f>
        <v/>
      </c>
      <c r="C15513" s="11"/>
      <c r="D15513" s="11"/>
      <c r="E15513" s="11"/>
      <c r="F15513" s="11"/>
      <c r="G15513" s="11"/>
      <c r="H15513" s="11"/>
      <c r="I15513" s="15"/>
    </row>
    <row r="15514" spans="1:9" ht="16.5">
      <c r="A15514" s="10" t="b">
        <v>0</v>
      </c>
      <c r="B15514" s="11" t="str">
        <f>IF(D15514&lt;&gt;"",IF(COUNTIF('USPTO TMs'!A:A,D15514)&gt;0,"Yes","No"),"")</f>
        <v/>
      </c>
      <c r="C15514" s="11"/>
      <c r="D15514" s="11"/>
      <c r="E15514" s="11"/>
      <c r="F15514" s="11"/>
      <c r="G15514" s="11"/>
      <c r="H15514" s="11"/>
      <c r="I15514" s="15"/>
    </row>
    <row r="15515" spans="1:9" ht="16.5">
      <c r="A15515" s="10" t="b">
        <v>0</v>
      </c>
      <c r="B15515" s="11" t="str">
        <f>IF(D15515&lt;&gt;"",IF(COUNTIF('USPTO TMs'!A:A,D15515)&gt;0,"Yes","No"),"")</f>
        <v/>
      </c>
      <c r="C15515" s="11"/>
      <c r="D15515" s="11"/>
      <c r="E15515" s="11"/>
      <c r="F15515" s="11"/>
      <c r="G15515" s="11"/>
      <c r="H15515" s="11"/>
      <c r="I15515" s="15"/>
    </row>
    <row r="15516" spans="1:9" ht="16.5">
      <c r="A15516" s="10" t="b">
        <v>0</v>
      </c>
      <c r="B15516" s="11" t="str">
        <f>IF(D15516&lt;&gt;"",IF(COUNTIF('USPTO TMs'!A:A,D15516)&gt;0,"Yes","No"),"")</f>
        <v/>
      </c>
      <c r="C15516" s="11"/>
      <c r="D15516" s="11"/>
      <c r="E15516" s="11"/>
      <c r="F15516" s="11"/>
      <c r="G15516" s="11"/>
      <c r="H15516" s="11"/>
      <c r="I15516" s="15"/>
    </row>
    <row r="15517" spans="1:9" ht="16.5">
      <c r="A15517" s="10" t="b">
        <v>0</v>
      </c>
      <c r="B15517" s="11" t="str">
        <f>IF(D15517&lt;&gt;"",IF(COUNTIF('USPTO TMs'!A:A,D15517)&gt;0,"Yes","No"),"")</f>
        <v/>
      </c>
      <c r="C15517" s="11"/>
      <c r="D15517" s="11"/>
      <c r="E15517" s="11"/>
      <c r="F15517" s="11"/>
      <c r="G15517" s="11"/>
      <c r="H15517" s="11"/>
      <c r="I15517" s="15"/>
    </row>
    <row r="15518" spans="1:9" ht="16.5">
      <c r="A15518" s="10" t="b">
        <v>0</v>
      </c>
      <c r="B15518" s="11" t="str">
        <f>IF(D15518&lt;&gt;"",IF(COUNTIF('USPTO TMs'!A:A,D15518)&gt;0,"Yes","No"),"")</f>
        <v/>
      </c>
      <c r="C15518" s="11"/>
      <c r="D15518" s="11"/>
      <c r="E15518" s="11"/>
      <c r="F15518" s="11"/>
      <c r="G15518" s="11"/>
      <c r="H15518" s="11"/>
      <c r="I15518" s="15"/>
    </row>
    <row r="15519" spans="1:9" ht="16.5">
      <c r="A15519" s="10" t="b">
        <v>0</v>
      </c>
      <c r="B15519" s="11" t="str">
        <f>IF(D15519&lt;&gt;"",IF(COUNTIF('USPTO TMs'!A:A,D15519)&gt;0,"Yes","No"),"")</f>
        <v/>
      </c>
      <c r="C15519" s="11"/>
      <c r="D15519" s="11"/>
      <c r="E15519" s="11"/>
      <c r="F15519" s="11"/>
      <c r="G15519" s="11"/>
      <c r="H15519" s="11"/>
      <c r="I15519" s="15"/>
    </row>
    <row r="15520" spans="1:9" ht="16.5">
      <c r="A15520" s="10" t="b">
        <v>0</v>
      </c>
      <c r="B15520" s="11" t="str">
        <f>IF(D15520&lt;&gt;"",IF(COUNTIF('USPTO TMs'!A:A,D15520)&gt;0,"Yes","No"),"")</f>
        <v/>
      </c>
      <c r="C15520" s="11"/>
      <c r="D15520" s="11"/>
      <c r="E15520" s="11"/>
      <c r="F15520" s="11"/>
      <c r="G15520" s="11"/>
      <c r="H15520" s="11"/>
      <c r="I15520" s="15"/>
    </row>
    <row r="15521" spans="1:9" ht="16.5">
      <c r="A15521" s="10" t="b">
        <v>0</v>
      </c>
      <c r="B15521" s="11" t="str">
        <f>IF(D15521&lt;&gt;"",IF(COUNTIF('USPTO TMs'!A:A,D15521)&gt;0,"Yes","No"),"")</f>
        <v/>
      </c>
      <c r="C15521" s="11"/>
      <c r="D15521" s="11"/>
      <c r="E15521" s="11"/>
      <c r="F15521" s="11"/>
      <c r="G15521" s="11"/>
      <c r="H15521" s="11"/>
      <c r="I15521" s="15"/>
    </row>
    <row r="15522" spans="1:9" ht="16.5">
      <c r="A15522" s="10" t="b">
        <v>0</v>
      </c>
      <c r="B15522" s="11" t="str">
        <f>IF(D15522&lt;&gt;"",IF(COUNTIF('USPTO TMs'!A:A,D15522)&gt;0,"Yes","No"),"")</f>
        <v/>
      </c>
      <c r="C15522" s="11"/>
      <c r="D15522" s="11"/>
      <c r="E15522" s="11"/>
      <c r="F15522" s="11"/>
      <c r="G15522" s="11"/>
      <c r="H15522" s="11"/>
      <c r="I15522" s="15"/>
    </row>
    <row r="15523" spans="1:9" ht="16.5">
      <c r="A15523" s="10" t="b">
        <v>0</v>
      </c>
      <c r="B15523" s="11" t="str">
        <f>IF(D15523&lt;&gt;"",IF(COUNTIF('USPTO TMs'!A:A,D15523)&gt;0,"Yes","No"),"")</f>
        <v/>
      </c>
      <c r="C15523" s="11"/>
      <c r="D15523" s="11"/>
      <c r="E15523" s="11"/>
      <c r="F15523" s="11"/>
      <c r="G15523" s="11"/>
      <c r="H15523" s="11"/>
      <c r="I15523" s="15"/>
    </row>
    <row r="15524" spans="1:9" ht="16.5">
      <c r="A15524" s="10" t="b">
        <v>0</v>
      </c>
      <c r="B15524" s="11" t="str">
        <f>IF(D15524&lt;&gt;"",IF(COUNTIF('USPTO TMs'!A:A,D15524)&gt;0,"Yes","No"),"")</f>
        <v/>
      </c>
      <c r="C15524" s="11"/>
      <c r="D15524" s="11"/>
      <c r="E15524" s="11"/>
      <c r="F15524" s="11"/>
      <c r="G15524" s="11"/>
      <c r="H15524" s="11"/>
      <c r="I15524" s="15"/>
    </row>
    <row r="15525" spans="1:9" ht="16.5">
      <c r="A15525" s="10" t="b">
        <v>0</v>
      </c>
      <c r="B15525" s="11" t="str">
        <f>IF(D15525&lt;&gt;"",IF(COUNTIF('USPTO TMs'!A:A,D15525)&gt;0,"Yes","No"),"")</f>
        <v/>
      </c>
      <c r="C15525" s="11"/>
      <c r="D15525" s="11"/>
      <c r="E15525" s="11"/>
      <c r="F15525" s="11"/>
      <c r="G15525" s="11"/>
      <c r="H15525" s="11"/>
      <c r="I15525" s="15"/>
    </row>
    <row r="15526" spans="1:9" ht="16.5">
      <c r="A15526" s="10" t="b">
        <v>0</v>
      </c>
      <c r="B15526" s="11" t="str">
        <f>IF(D15526&lt;&gt;"",IF(COUNTIF('USPTO TMs'!A:A,D15526)&gt;0,"Yes","No"),"")</f>
        <v/>
      </c>
      <c r="C15526" s="11"/>
      <c r="D15526" s="11"/>
      <c r="E15526" s="11"/>
      <c r="F15526" s="11"/>
      <c r="G15526" s="11"/>
      <c r="H15526" s="11"/>
      <c r="I15526" s="15"/>
    </row>
    <row r="15527" spans="1:9" ht="16.5">
      <c r="A15527" s="10" t="b">
        <v>0</v>
      </c>
      <c r="B15527" s="11" t="str">
        <f>IF(D15527&lt;&gt;"",IF(COUNTIF('USPTO TMs'!A:A,D15527)&gt;0,"Yes","No"),"")</f>
        <v/>
      </c>
      <c r="C15527" s="11"/>
      <c r="D15527" s="11"/>
      <c r="E15527" s="11"/>
      <c r="F15527" s="11"/>
      <c r="G15527" s="11"/>
      <c r="H15527" s="11"/>
      <c r="I15527" s="15"/>
    </row>
    <row r="15528" spans="1:9" ht="16.5">
      <c r="A15528" s="10" t="b">
        <v>0</v>
      </c>
      <c r="B15528" s="11" t="str">
        <f>IF(D15528&lt;&gt;"",IF(COUNTIF('USPTO TMs'!A:A,D15528)&gt;0,"Yes","No"),"")</f>
        <v/>
      </c>
      <c r="C15528" s="11"/>
      <c r="D15528" s="11"/>
      <c r="E15528" s="11"/>
      <c r="F15528" s="11"/>
      <c r="G15528" s="11"/>
      <c r="H15528" s="11"/>
      <c r="I15528" s="15"/>
    </row>
    <row r="15529" spans="1:9" ht="16.5">
      <c r="A15529" s="10" t="b">
        <v>0</v>
      </c>
      <c r="B15529" s="11" t="str">
        <f>IF(D15529&lt;&gt;"",IF(COUNTIF('USPTO TMs'!A:A,D15529)&gt;0,"Yes","No"),"")</f>
        <v/>
      </c>
      <c r="C15529" s="11"/>
      <c r="D15529" s="11"/>
      <c r="E15529" s="11"/>
      <c r="F15529" s="11"/>
      <c r="G15529" s="11"/>
      <c r="H15529" s="11"/>
      <c r="I15529" s="15"/>
    </row>
    <row r="15530" spans="1:9" ht="16.5">
      <c r="A15530" s="10" t="b">
        <v>0</v>
      </c>
      <c r="B15530" s="11" t="str">
        <f>IF(D15530&lt;&gt;"",IF(COUNTIF('USPTO TMs'!A:A,D15530)&gt;0,"Yes","No"),"")</f>
        <v/>
      </c>
      <c r="C15530" s="11"/>
      <c r="D15530" s="11"/>
      <c r="E15530" s="11"/>
      <c r="F15530" s="11"/>
      <c r="G15530" s="11"/>
      <c r="H15530" s="11"/>
      <c r="I15530" s="15"/>
    </row>
    <row r="15531" spans="1:9" ht="16.5">
      <c r="A15531" s="10" t="b">
        <v>0</v>
      </c>
      <c r="B15531" s="11" t="str">
        <f>IF(D15531&lt;&gt;"",IF(COUNTIF('USPTO TMs'!A:A,D15531)&gt;0,"Yes","No"),"")</f>
        <v/>
      </c>
      <c r="C15531" s="11"/>
      <c r="D15531" s="11"/>
      <c r="E15531" s="11"/>
      <c r="F15531" s="11"/>
      <c r="G15531" s="11"/>
      <c r="H15531" s="11"/>
      <c r="I15531" s="15"/>
    </row>
    <row r="15532" spans="1:9" ht="16.5">
      <c r="A15532" s="10" t="b">
        <v>0</v>
      </c>
      <c r="B15532" s="11" t="str">
        <f>IF(D15532&lt;&gt;"",IF(COUNTIF('USPTO TMs'!A:A,D15532)&gt;0,"Yes","No"),"")</f>
        <v/>
      </c>
      <c r="C15532" s="11"/>
      <c r="D15532" s="11"/>
      <c r="E15532" s="11"/>
      <c r="F15532" s="11"/>
      <c r="G15532" s="11"/>
      <c r="H15532" s="11"/>
      <c r="I15532" s="15"/>
    </row>
    <row r="15533" spans="1:9" ht="16.5">
      <c r="A15533" s="10" t="b">
        <v>0</v>
      </c>
      <c r="B15533" s="11" t="str">
        <f>IF(D15533&lt;&gt;"",IF(COUNTIF('USPTO TMs'!A:A,D15533)&gt;0,"Yes","No"),"")</f>
        <v/>
      </c>
      <c r="C15533" s="11"/>
      <c r="D15533" s="11"/>
      <c r="E15533" s="11"/>
      <c r="F15533" s="11"/>
      <c r="G15533" s="11"/>
      <c r="H15533" s="11"/>
      <c r="I15533" s="15"/>
    </row>
    <row r="15534" spans="1:9" ht="16.5">
      <c r="A15534" s="10" t="b">
        <v>0</v>
      </c>
      <c r="B15534" s="11" t="str">
        <f>IF(D15534&lt;&gt;"",IF(COUNTIF('USPTO TMs'!A:A,D15534)&gt;0,"Yes","No"),"")</f>
        <v/>
      </c>
      <c r="C15534" s="11"/>
      <c r="D15534" s="11"/>
      <c r="E15534" s="11"/>
      <c r="F15534" s="11"/>
      <c r="G15534" s="11"/>
      <c r="H15534" s="11"/>
      <c r="I15534" s="15"/>
    </row>
    <row r="15535" spans="1:9" ht="16.5">
      <c r="A15535" s="10" t="b">
        <v>0</v>
      </c>
      <c r="B15535" s="11" t="str">
        <f>IF(D15535&lt;&gt;"",IF(COUNTIF('USPTO TMs'!A:A,D15535)&gt;0,"Yes","No"),"")</f>
        <v/>
      </c>
      <c r="C15535" s="11"/>
      <c r="D15535" s="11"/>
      <c r="E15535" s="11"/>
      <c r="F15535" s="11"/>
      <c r="G15535" s="11"/>
      <c r="H15535" s="11"/>
      <c r="I15535" s="15"/>
    </row>
    <row r="15536" spans="1:9" ht="16.5">
      <c r="A15536" s="10" t="b">
        <v>0</v>
      </c>
      <c r="B15536" s="11" t="str">
        <f>IF(D15536&lt;&gt;"",IF(COUNTIF('USPTO TMs'!A:A,D15536)&gt;0,"Yes","No"),"")</f>
        <v/>
      </c>
      <c r="C15536" s="11"/>
      <c r="D15536" s="11"/>
      <c r="E15536" s="11"/>
      <c r="F15536" s="11"/>
      <c r="G15536" s="11"/>
      <c r="H15536" s="11"/>
      <c r="I15536" s="15"/>
    </row>
    <row r="15537" spans="1:9" ht="16.5">
      <c r="A15537" s="10" t="b">
        <v>0</v>
      </c>
      <c r="B15537" s="11" t="str">
        <f>IF(D15537&lt;&gt;"",IF(COUNTIF('USPTO TMs'!A:A,D15537)&gt;0,"Yes","No"),"")</f>
        <v/>
      </c>
      <c r="C15537" s="11"/>
      <c r="D15537" s="11"/>
      <c r="E15537" s="11"/>
      <c r="F15537" s="11"/>
      <c r="G15537" s="11"/>
      <c r="H15537" s="11"/>
      <c r="I15537" s="15"/>
    </row>
    <row r="15538" spans="1:9" ht="16.5">
      <c r="A15538" s="10" t="b">
        <v>0</v>
      </c>
      <c r="B15538" s="11" t="str">
        <f>IF(D15538&lt;&gt;"",IF(COUNTIF('USPTO TMs'!A:A,D15538)&gt;0,"Yes","No"),"")</f>
        <v/>
      </c>
      <c r="C15538" s="11"/>
      <c r="D15538" s="11"/>
      <c r="E15538" s="11"/>
      <c r="F15538" s="11"/>
      <c r="G15538" s="11"/>
      <c r="H15538" s="11"/>
      <c r="I15538" s="15"/>
    </row>
    <row r="15539" spans="1:9" ht="16.5">
      <c r="A15539" s="10" t="b">
        <v>0</v>
      </c>
      <c r="B15539" s="11" t="str">
        <f>IF(D15539&lt;&gt;"",IF(COUNTIF('USPTO TMs'!A:A,D15539)&gt;0,"Yes","No"),"")</f>
        <v/>
      </c>
      <c r="C15539" s="11"/>
      <c r="D15539" s="11"/>
      <c r="E15539" s="11"/>
      <c r="F15539" s="11"/>
      <c r="G15539" s="11"/>
      <c r="H15539" s="11"/>
      <c r="I15539" s="15"/>
    </row>
    <row r="15540" spans="1:9" ht="16.5">
      <c r="A15540" s="10" t="b">
        <v>0</v>
      </c>
      <c r="B15540" s="11" t="str">
        <f>IF(D15540&lt;&gt;"",IF(COUNTIF('USPTO TMs'!A:A,D15540)&gt;0,"Yes","No"),"")</f>
        <v/>
      </c>
      <c r="C15540" s="11"/>
      <c r="D15540" s="11"/>
      <c r="E15540" s="11"/>
      <c r="F15540" s="11"/>
      <c r="G15540" s="11"/>
      <c r="H15540" s="11"/>
      <c r="I15540" s="15"/>
    </row>
    <row r="15541" spans="1:9" ht="16.5">
      <c r="A15541" s="10" t="b">
        <v>0</v>
      </c>
      <c r="B15541" s="11" t="str">
        <f>IF(D15541&lt;&gt;"",IF(COUNTIF('USPTO TMs'!A:A,D15541)&gt;0,"Yes","No"),"")</f>
        <v/>
      </c>
      <c r="C15541" s="11"/>
      <c r="D15541" s="11"/>
      <c r="E15541" s="11"/>
      <c r="F15541" s="11"/>
      <c r="G15541" s="11"/>
      <c r="H15541" s="11"/>
      <c r="I15541" s="15"/>
    </row>
    <row r="15542" spans="1:9" ht="16.5">
      <c r="A15542" s="10" t="b">
        <v>0</v>
      </c>
      <c r="B15542" s="11" t="str">
        <f>IF(D15542&lt;&gt;"",IF(COUNTIF('USPTO TMs'!A:A,D15542)&gt;0,"Yes","No"),"")</f>
        <v/>
      </c>
      <c r="C15542" s="11"/>
      <c r="D15542" s="11"/>
      <c r="E15542" s="11"/>
      <c r="F15542" s="11"/>
      <c r="G15542" s="11"/>
      <c r="H15542" s="11"/>
      <c r="I15542" s="15"/>
    </row>
    <row r="15543" spans="1:9" ht="16.5">
      <c r="A15543" s="10" t="b">
        <v>0</v>
      </c>
      <c r="B15543" s="11" t="str">
        <f>IF(D15543&lt;&gt;"",IF(COUNTIF('USPTO TMs'!A:A,D15543)&gt;0,"Yes","No"),"")</f>
        <v/>
      </c>
      <c r="C15543" s="11"/>
      <c r="D15543" s="11"/>
      <c r="E15543" s="11"/>
      <c r="F15543" s="11"/>
      <c r="G15543" s="11"/>
      <c r="H15543" s="11"/>
      <c r="I15543" s="15"/>
    </row>
    <row r="15544" spans="1:9" ht="16.5">
      <c r="A15544" s="10" t="b">
        <v>0</v>
      </c>
      <c r="B15544" s="11" t="str">
        <f>IF(D15544&lt;&gt;"",IF(COUNTIF('USPTO TMs'!A:A,D15544)&gt;0,"Yes","No"),"")</f>
        <v/>
      </c>
      <c r="C15544" s="11"/>
      <c r="D15544" s="11"/>
      <c r="E15544" s="11"/>
      <c r="F15544" s="11"/>
      <c r="G15544" s="11"/>
      <c r="H15544" s="11"/>
      <c r="I15544" s="15"/>
    </row>
    <row r="15545" spans="1:9" ht="16.5">
      <c r="A15545" s="10" t="b">
        <v>0</v>
      </c>
      <c r="B15545" s="11" t="str">
        <f>IF(D15545&lt;&gt;"",IF(COUNTIF('USPTO TMs'!A:A,D15545)&gt;0,"Yes","No"),"")</f>
        <v/>
      </c>
      <c r="C15545" s="11"/>
      <c r="D15545" s="11"/>
      <c r="E15545" s="11"/>
      <c r="F15545" s="11"/>
      <c r="G15545" s="11"/>
      <c r="H15545" s="11"/>
      <c r="I15545" s="15"/>
    </row>
    <row r="15546" spans="1:9" ht="16.5">
      <c r="A15546" s="10" t="b">
        <v>0</v>
      </c>
      <c r="B15546" s="11" t="str">
        <f>IF(D15546&lt;&gt;"",IF(COUNTIF('USPTO TMs'!A:A,D15546)&gt;0,"Yes","No"),"")</f>
        <v/>
      </c>
      <c r="C15546" s="11"/>
      <c r="D15546" s="11"/>
      <c r="E15546" s="11"/>
      <c r="F15546" s="11"/>
      <c r="G15546" s="11"/>
      <c r="H15546" s="11"/>
      <c r="I15546" s="15"/>
    </row>
    <row r="15547" spans="1:9" ht="16.5">
      <c r="A15547" s="10" t="b">
        <v>0</v>
      </c>
      <c r="B15547" s="11" t="str">
        <f>IF(D15547&lt;&gt;"",IF(COUNTIF('USPTO TMs'!A:A,D15547)&gt;0,"Yes","No"),"")</f>
        <v/>
      </c>
      <c r="C15547" s="11"/>
      <c r="D15547" s="11"/>
      <c r="E15547" s="11"/>
      <c r="F15547" s="11"/>
      <c r="G15547" s="11"/>
      <c r="H15547" s="11"/>
      <c r="I15547" s="15"/>
    </row>
    <row r="15548" spans="1:9" ht="16.5">
      <c r="A15548" s="10" t="b">
        <v>0</v>
      </c>
      <c r="B15548" s="11" t="str">
        <f>IF(D15548&lt;&gt;"",IF(COUNTIF('USPTO TMs'!A:A,D15548)&gt;0,"Yes","No"),"")</f>
        <v/>
      </c>
      <c r="C15548" s="11"/>
      <c r="D15548" s="11"/>
      <c r="E15548" s="11"/>
      <c r="F15548" s="11"/>
      <c r="G15548" s="11"/>
      <c r="H15548" s="11"/>
      <c r="I15548" s="15"/>
    </row>
    <row r="15549" spans="1:9" ht="16.5">
      <c r="A15549" s="10" t="b">
        <v>0</v>
      </c>
      <c r="B15549" s="11" t="str">
        <f>IF(D15549&lt;&gt;"",IF(COUNTIF('USPTO TMs'!A:A,D15549)&gt;0,"Yes","No"),"")</f>
        <v/>
      </c>
      <c r="C15549" s="11"/>
      <c r="D15549" s="11"/>
      <c r="E15549" s="11"/>
      <c r="F15549" s="11"/>
      <c r="G15549" s="11"/>
      <c r="H15549" s="11"/>
      <c r="I15549" s="15"/>
    </row>
    <row r="15550" spans="1:9" ht="16.5">
      <c r="A15550" s="10" t="b">
        <v>0</v>
      </c>
      <c r="B15550" s="11" t="str">
        <f>IF(D15550&lt;&gt;"",IF(COUNTIF('USPTO TMs'!A:A,D15550)&gt;0,"Yes","No"),"")</f>
        <v/>
      </c>
      <c r="C15550" s="11"/>
      <c r="D15550" s="11"/>
      <c r="E15550" s="11"/>
      <c r="F15550" s="11"/>
      <c r="G15550" s="11"/>
      <c r="H15550" s="11"/>
      <c r="I15550" s="15"/>
    </row>
    <row r="15551" spans="1:9" ht="16.5">
      <c r="A15551" s="10" t="b">
        <v>0</v>
      </c>
      <c r="B15551" s="11" t="str">
        <f>IF(D15551&lt;&gt;"",IF(COUNTIF('USPTO TMs'!A:A,D15551)&gt;0,"Yes","No"),"")</f>
        <v/>
      </c>
      <c r="C15551" s="11"/>
      <c r="D15551" s="11"/>
      <c r="E15551" s="11"/>
      <c r="F15551" s="11"/>
      <c r="G15551" s="11"/>
      <c r="H15551" s="11"/>
      <c r="I15551" s="15"/>
    </row>
    <row r="15552" spans="1:9" ht="16.5">
      <c r="A15552" s="10" t="b">
        <v>0</v>
      </c>
      <c r="B15552" s="11" t="str">
        <f>IF(D15552&lt;&gt;"",IF(COUNTIF('USPTO TMs'!A:A,D15552)&gt;0,"Yes","No"),"")</f>
        <v/>
      </c>
      <c r="C15552" s="11"/>
      <c r="D15552" s="11"/>
      <c r="E15552" s="11"/>
      <c r="F15552" s="11"/>
      <c r="G15552" s="11"/>
      <c r="H15552" s="11"/>
      <c r="I15552" s="15"/>
    </row>
    <row r="15553" spans="1:9" ht="16.5">
      <c r="A15553" s="10" t="b">
        <v>0</v>
      </c>
      <c r="B15553" s="11" t="str">
        <f>IF(D15553&lt;&gt;"",IF(COUNTIF('USPTO TMs'!A:A,D15553)&gt;0,"Yes","No"),"")</f>
        <v/>
      </c>
      <c r="C15553" s="11"/>
      <c r="D15553" s="11"/>
      <c r="E15553" s="11"/>
      <c r="F15553" s="11"/>
      <c r="G15553" s="11"/>
      <c r="H15553" s="11"/>
      <c r="I15553" s="15"/>
    </row>
    <row r="15554" spans="1:9" ht="16.5">
      <c r="A15554" s="10" t="b">
        <v>0</v>
      </c>
      <c r="B15554" s="11" t="str">
        <f>IF(D15554&lt;&gt;"",IF(COUNTIF('USPTO TMs'!A:A,D15554)&gt;0,"Yes","No"),"")</f>
        <v/>
      </c>
      <c r="C15554" s="11"/>
      <c r="D15554" s="11"/>
      <c r="E15554" s="11"/>
      <c r="F15554" s="11"/>
      <c r="G15554" s="11"/>
      <c r="H15554" s="11"/>
      <c r="I15554" s="15"/>
    </row>
    <row r="15555" spans="1:9" ht="16.5">
      <c r="A15555" s="10" t="b">
        <v>0</v>
      </c>
      <c r="B15555" s="11" t="str">
        <f>IF(D15555&lt;&gt;"",IF(COUNTIF('USPTO TMs'!A:A,D15555)&gt;0,"Yes","No"),"")</f>
        <v/>
      </c>
      <c r="C15555" s="11"/>
      <c r="D15555" s="11"/>
      <c r="E15555" s="11"/>
      <c r="F15555" s="11"/>
      <c r="G15555" s="11"/>
      <c r="H15555" s="11"/>
      <c r="I15555" s="15"/>
    </row>
    <row r="15556" spans="1:9" ht="16.5">
      <c r="A15556" s="10" t="b">
        <v>0</v>
      </c>
      <c r="B15556" s="11" t="str">
        <f>IF(D15556&lt;&gt;"",IF(COUNTIF('USPTO TMs'!A:A,D15556)&gt;0,"Yes","No"),"")</f>
        <v/>
      </c>
      <c r="C15556" s="11"/>
      <c r="D15556" s="11"/>
      <c r="E15556" s="11"/>
      <c r="F15556" s="11"/>
      <c r="G15556" s="11"/>
      <c r="H15556" s="11"/>
      <c r="I15556" s="15"/>
    </row>
    <row r="15557" spans="1:9" ht="16.5">
      <c r="A15557" s="10" t="b">
        <v>0</v>
      </c>
      <c r="B15557" s="11" t="str">
        <f>IF(D15557&lt;&gt;"",IF(COUNTIF('USPTO TMs'!A:A,D15557)&gt;0,"Yes","No"),"")</f>
        <v/>
      </c>
      <c r="C15557" s="11"/>
      <c r="D15557" s="11"/>
      <c r="E15557" s="11"/>
      <c r="F15557" s="11"/>
      <c r="G15557" s="11"/>
      <c r="H15557" s="11"/>
      <c r="I15557" s="15"/>
    </row>
    <row r="15558" spans="1:9" ht="16.5">
      <c r="A15558" s="10" t="b">
        <v>0</v>
      </c>
      <c r="B15558" s="11" t="str">
        <f>IF(D15558&lt;&gt;"",IF(COUNTIF('USPTO TMs'!A:A,D15558)&gt;0,"Yes","No"),"")</f>
        <v/>
      </c>
      <c r="C15558" s="11"/>
      <c r="D15558" s="11"/>
      <c r="E15558" s="11"/>
      <c r="F15558" s="11"/>
      <c r="G15558" s="11"/>
      <c r="H15558" s="11"/>
      <c r="I15558" s="15"/>
    </row>
    <row r="15559" spans="1:9" ht="16.5">
      <c r="A15559" s="10" t="b">
        <v>0</v>
      </c>
      <c r="B15559" s="11" t="str">
        <f>IF(D15559&lt;&gt;"",IF(COUNTIF('USPTO TMs'!A:A,D15559)&gt;0,"Yes","No"),"")</f>
        <v/>
      </c>
      <c r="C15559" s="11"/>
      <c r="D15559" s="11"/>
      <c r="E15559" s="11"/>
      <c r="F15559" s="11"/>
      <c r="G15559" s="11"/>
      <c r="H15559" s="11"/>
      <c r="I15559" s="15"/>
    </row>
    <row r="15560" spans="1:9" ht="16.5">
      <c r="A15560" s="10" t="b">
        <v>0</v>
      </c>
      <c r="B15560" s="11" t="str">
        <f>IF(D15560&lt;&gt;"",IF(COUNTIF('USPTO TMs'!A:A,D15560)&gt;0,"Yes","No"),"")</f>
        <v/>
      </c>
      <c r="C15560" s="11"/>
      <c r="D15560" s="11"/>
      <c r="E15560" s="11"/>
      <c r="F15560" s="11"/>
      <c r="G15560" s="11"/>
      <c r="H15560" s="11"/>
      <c r="I15560" s="15"/>
    </row>
    <row r="15561" spans="1:9" ht="16.5">
      <c r="A15561" s="10" t="b">
        <v>0</v>
      </c>
      <c r="B15561" s="11" t="str">
        <f>IF(D15561&lt;&gt;"",IF(COUNTIF('USPTO TMs'!A:A,D15561)&gt;0,"Yes","No"),"")</f>
        <v/>
      </c>
      <c r="C15561" s="11"/>
      <c r="D15561" s="11"/>
      <c r="E15561" s="11"/>
      <c r="F15561" s="11"/>
      <c r="G15561" s="11"/>
      <c r="H15561" s="11"/>
      <c r="I15561" s="15"/>
    </row>
    <row r="15562" spans="1:9" ht="16.5">
      <c r="A15562" s="10" t="b">
        <v>0</v>
      </c>
      <c r="B15562" s="11" t="str">
        <f>IF(D15562&lt;&gt;"",IF(COUNTIF('USPTO TMs'!A:A,D15562)&gt;0,"Yes","No"),"")</f>
        <v/>
      </c>
      <c r="C15562" s="11"/>
      <c r="D15562" s="11"/>
      <c r="E15562" s="11"/>
      <c r="F15562" s="11"/>
      <c r="G15562" s="11"/>
      <c r="H15562" s="11"/>
      <c r="I15562" s="15"/>
    </row>
    <row r="15563" spans="1:9" ht="16.5">
      <c r="A15563" s="10" t="b">
        <v>0</v>
      </c>
      <c r="B15563" s="11" t="str">
        <f>IF(D15563&lt;&gt;"",IF(COUNTIF('USPTO TMs'!A:A,D15563)&gt;0,"Yes","No"),"")</f>
        <v/>
      </c>
      <c r="C15563" s="11"/>
      <c r="D15563" s="11"/>
      <c r="E15563" s="11"/>
      <c r="F15563" s="11"/>
      <c r="G15563" s="11"/>
      <c r="H15563" s="11"/>
      <c r="I15563" s="15"/>
    </row>
    <row r="15564" spans="1:9" ht="16.5">
      <c r="A15564" s="10" t="b">
        <v>0</v>
      </c>
      <c r="B15564" s="11" t="str">
        <f>IF(D15564&lt;&gt;"",IF(COUNTIF('USPTO TMs'!A:A,D15564)&gt;0,"Yes","No"),"")</f>
        <v/>
      </c>
      <c r="C15564" s="11"/>
      <c r="D15564" s="11"/>
      <c r="E15564" s="11"/>
      <c r="F15564" s="11"/>
      <c r="G15564" s="11"/>
      <c r="H15564" s="11"/>
      <c r="I15564" s="15"/>
    </row>
    <row r="15565" spans="1:9" ht="16.5">
      <c r="A15565" s="10" t="b">
        <v>0</v>
      </c>
      <c r="B15565" s="11" t="str">
        <f>IF(D15565&lt;&gt;"",IF(COUNTIF('USPTO TMs'!A:A,D15565)&gt;0,"Yes","No"),"")</f>
        <v/>
      </c>
      <c r="C15565" s="11"/>
      <c r="D15565" s="11"/>
      <c r="E15565" s="11"/>
      <c r="F15565" s="11"/>
      <c r="G15565" s="11"/>
      <c r="H15565" s="11"/>
      <c r="I15565" s="15"/>
    </row>
    <row r="15566" spans="1:9" ht="16.5">
      <c r="A15566" s="10" t="b">
        <v>0</v>
      </c>
      <c r="B15566" s="11" t="str">
        <f>IF(D15566&lt;&gt;"",IF(COUNTIF('USPTO TMs'!A:A,D15566)&gt;0,"Yes","No"),"")</f>
        <v/>
      </c>
      <c r="C15566" s="11"/>
      <c r="D15566" s="11"/>
      <c r="E15566" s="11"/>
      <c r="F15566" s="11"/>
      <c r="G15566" s="11"/>
      <c r="H15566" s="11"/>
      <c r="I15566" s="15"/>
    </row>
    <row r="15567" spans="1:9" ht="16.5">
      <c r="A15567" s="10" t="b">
        <v>0</v>
      </c>
      <c r="B15567" s="11" t="str">
        <f>IF(D15567&lt;&gt;"",IF(COUNTIF('USPTO TMs'!A:A,D15567)&gt;0,"Yes","No"),"")</f>
        <v/>
      </c>
      <c r="C15567" s="11"/>
      <c r="D15567" s="11"/>
      <c r="E15567" s="11"/>
      <c r="F15567" s="11"/>
      <c r="G15567" s="11"/>
      <c r="H15567" s="11"/>
      <c r="I15567" s="15"/>
    </row>
    <row r="15568" spans="1:9" ht="16.5">
      <c r="A15568" s="10" t="b">
        <v>0</v>
      </c>
      <c r="B15568" s="11" t="str">
        <f>IF(D15568&lt;&gt;"",IF(COUNTIF('USPTO TMs'!A:A,D15568)&gt;0,"Yes","No"),"")</f>
        <v/>
      </c>
      <c r="C15568" s="11"/>
      <c r="D15568" s="11"/>
      <c r="E15568" s="11"/>
      <c r="F15568" s="11"/>
      <c r="G15568" s="11"/>
      <c r="H15568" s="11"/>
      <c r="I15568" s="15"/>
    </row>
    <row r="15569" spans="1:9" ht="16.5">
      <c r="A15569" s="10" t="b">
        <v>0</v>
      </c>
      <c r="B15569" s="11" t="str">
        <f>IF(D15569&lt;&gt;"",IF(COUNTIF('USPTO TMs'!A:A,D15569)&gt;0,"Yes","No"),"")</f>
        <v/>
      </c>
      <c r="C15569" s="11"/>
      <c r="D15569" s="11"/>
      <c r="E15569" s="11"/>
      <c r="F15569" s="11"/>
      <c r="G15569" s="11"/>
      <c r="H15569" s="11"/>
      <c r="I15569" s="15"/>
    </row>
    <row r="15570" spans="1:9" ht="16.5">
      <c r="A15570" s="10" t="b">
        <v>0</v>
      </c>
      <c r="B15570" s="11" t="str">
        <f>IF(D15570&lt;&gt;"",IF(COUNTIF('USPTO TMs'!A:A,D15570)&gt;0,"Yes","No"),"")</f>
        <v/>
      </c>
      <c r="C15570" s="11"/>
      <c r="D15570" s="11"/>
      <c r="E15570" s="11"/>
      <c r="F15570" s="11"/>
      <c r="G15570" s="11"/>
      <c r="H15570" s="11"/>
      <c r="I15570" s="15"/>
    </row>
    <row r="15571" spans="1:9" ht="16.5">
      <c r="A15571" s="10" t="b">
        <v>0</v>
      </c>
      <c r="B15571" s="11" t="str">
        <f>IF(D15571&lt;&gt;"",IF(COUNTIF('USPTO TMs'!A:A,D15571)&gt;0,"Yes","No"),"")</f>
        <v/>
      </c>
      <c r="C15571" s="11"/>
      <c r="D15571" s="11"/>
      <c r="E15571" s="11"/>
      <c r="F15571" s="11"/>
      <c r="G15571" s="11"/>
      <c r="H15571" s="11"/>
      <c r="I15571" s="15"/>
    </row>
    <row r="15572" spans="1:9" ht="16.5">
      <c r="A15572" s="10" t="b">
        <v>0</v>
      </c>
      <c r="B15572" s="11" t="str">
        <f>IF(D15572&lt;&gt;"",IF(COUNTIF('USPTO TMs'!A:A,D15572)&gt;0,"Yes","No"),"")</f>
        <v/>
      </c>
      <c r="C15572" s="11"/>
      <c r="D15572" s="11"/>
      <c r="E15572" s="11"/>
      <c r="F15572" s="11"/>
      <c r="G15572" s="11"/>
      <c r="H15572" s="11"/>
      <c r="I15572" s="15"/>
    </row>
    <row r="15573" spans="1:9" ht="16.5">
      <c r="A15573" s="10" t="b">
        <v>0</v>
      </c>
      <c r="B15573" s="11" t="str">
        <f>IF(D15573&lt;&gt;"",IF(COUNTIF('USPTO TMs'!A:A,D15573)&gt;0,"Yes","No"),"")</f>
        <v/>
      </c>
      <c r="C15573" s="11"/>
      <c r="D15573" s="11"/>
      <c r="E15573" s="11"/>
      <c r="F15573" s="11"/>
      <c r="G15573" s="11"/>
      <c r="H15573" s="11"/>
      <c r="I15573" s="15"/>
    </row>
    <row r="15574" spans="1:9" ht="16.5">
      <c r="A15574" s="10" t="b">
        <v>0</v>
      </c>
      <c r="B15574" s="11" t="str">
        <f>IF(D15574&lt;&gt;"",IF(COUNTIF('USPTO TMs'!A:A,D15574)&gt;0,"Yes","No"),"")</f>
        <v/>
      </c>
      <c r="C15574" s="11"/>
      <c r="D15574" s="11"/>
      <c r="E15574" s="11"/>
      <c r="F15574" s="11"/>
      <c r="G15574" s="11"/>
      <c r="H15574" s="11"/>
      <c r="I15574" s="15"/>
    </row>
    <row r="15575" spans="1:9" ht="16.5">
      <c r="A15575" s="10" t="b">
        <v>0</v>
      </c>
      <c r="B15575" s="11" t="str">
        <f>IF(D15575&lt;&gt;"",IF(COUNTIF('USPTO TMs'!A:A,D15575)&gt;0,"Yes","No"),"")</f>
        <v/>
      </c>
      <c r="C15575" s="11"/>
      <c r="D15575" s="11"/>
      <c r="E15575" s="11"/>
      <c r="F15575" s="11"/>
      <c r="G15575" s="11"/>
      <c r="H15575" s="11"/>
      <c r="I15575" s="15"/>
    </row>
    <row r="15576" spans="1:9" ht="16.5">
      <c r="A15576" s="10" t="b">
        <v>0</v>
      </c>
      <c r="B15576" s="11" t="str">
        <f>IF(D15576&lt;&gt;"",IF(COUNTIF('USPTO TMs'!A:A,D15576)&gt;0,"Yes","No"),"")</f>
        <v/>
      </c>
      <c r="C15576" s="11"/>
      <c r="D15576" s="11"/>
      <c r="E15576" s="11"/>
      <c r="F15576" s="11"/>
      <c r="G15576" s="11"/>
      <c r="H15576" s="11"/>
      <c r="I15576" s="15"/>
    </row>
    <row r="15577" spans="1:9" ht="16.5">
      <c r="A15577" s="10" t="b">
        <v>0</v>
      </c>
      <c r="B15577" s="11" t="str">
        <f>IF(D15577&lt;&gt;"",IF(COUNTIF('USPTO TMs'!A:A,D15577)&gt;0,"Yes","No"),"")</f>
        <v/>
      </c>
      <c r="C15577" s="11"/>
      <c r="D15577" s="11"/>
      <c r="E15577" s="11"/>
      <c r="F15577" s="11"/>
      <c r="G15577" s="11"/>
      <c r="H15577" s="11"/>
      <c r="I15577" s="15"/>
    </row>
    <row r="15578" spans="1:9" ht="16.5">
      <c r="A15578" s="10" t="b">
        <v>0</v>
      </c>
      <c r="B15578" s="11" t="str">
        <f>IF(D15578&lt;&gt;"",IF(COUNTIF('USPTO TMs'!A:A,D15578)&gt;0,"Yes","No"),"")</f>
        <v/>
      </c>
      <c r="C15578" s="11"/>
      <c r="D15578" s="11"/>
      <c r="E15578" s="11"/>
      <c r="F15578" s="11"/>
      <c r="G15578" s="11"/>
      <c r="H15578" s="11"/>
      <c r="I15578" s="15"/>
    </row>
    <row r="15579" spans="1:9" ht="16.5">
      <c r="A15579" s="10" t="b">
        <v>0</v>
      </c>
      <c r="B15579" s="11" t="str">
        <f>IF(D15579&lt;&gt;"",IF(COUNTIF('USPTO TMs'!A:A,D15579)&gt;0,"Yes","No"),"")</f>
        <v/>
      </c>
      <c r="C15579" s="11"/>
      <c r="D15579" s="11"/>
      <c r="E15579" s="11"/>
      <c r="F15579" s="11"/>
      <c r="G15579" s="11"/>
      <c r="H15579" s="11"/>
      <c r="I15579" s="15"/>
    </row>
    <row r="15580" spans="1:9" ht="16.5">
      <c r="A15580" s="10" t="b">
        <v>0</v>
      </c>
      <c r="B15580" s="11" t="str">
        <f>IF(D15580&lt;&gt;"",IF(COUNTIF('USPTO TMs'!A:A,D15580)&gt;0,"Yes","No"),"")</f>
        <v/>
      </c>
      <c r="C15580" s="11"/>
      <c r="D15580" s="11"/>
      <c r="E15580" s="11"/>
      <c r="F15580" s="11"/>
      <c r="G15580" s="11"/>
      <c r="H15580" s="11"/>
      <c r="I15580" s="15"/>
    </row>
    <row r="15581" spans="1:9" ht="16.5">
      <c r="A15581" s="10" t="b">
        <v>0</v>
      </c>
      <c r="B15581" s="11" t="str">
        <f>IF(D15581&lt;&gt;"",IF(COUNTIF('USPTO TMs'!A:A,D15581)&gt;0,"Yes","No"),"")</f>
        <v/>
      </c>
      <c r="C15581" s="11"/>
      <c r="D15581" s="11"/>
      <c r="E15581" s="11"/>
      <c r="F15581" s="11"/>
      <c r="G15581" s="11"/>
      <c r="H15581" s="11"/>
      <c r="I15581" s="15"/>
    </row>
    <row r="15582" spans="1:9" ht="16.5">
      <c r="A15582" s="10" t="b">
        <v>0</v>
      </c>
      <c r="B15582" s="11" t="str">
        <f>IF(D15582&lt;&gt;"",IF(COUNTIF('USPTO TMs'!A:A,D15582)&gt;0,"Yes","No"),"")</f>
        <v/>
      </c>
      <c r="C15582" s="11"/>
      <c r="D15582" s="11"/>
      <c r="E15582" s="11"/>
      <c r="F15582" s="11"/>
      <c r="G15582" s="11"/>
      <c r="H15582" s="11"/>
      <c r="I15582" s="15"/>
    </row>
    <row r="15583" spans="1:9" ht="16.5">
      <c r="A15583" s="10" t="b">
        <v>0</v>
      </c>
      <c r="B15583" s="11" t="str">
        <f>IF(D15583&lt;&gt;"",IF(COUNTIF('USPTO TMs'!A:A,D15583)&gt;0,"Yes","No"),"")</f>
        <v/>
      </c>
      <c r="C15583" s="11"/>
      <c r="D15583" s="11"/>
      <c r="E15583" s="11"/>
      <c r="F15583" s="11"/>
      <c r="G15583" s="11"/>
      <c r="H15583" s="11"/>
      <c r="I15583" s="15"/>
    </row>
    <row r="15584" spans="1:9" ht="16.5">
      <c r="A15584" s="10" t="b">
        <v>0</v>
      </c>
      <c r="B15584" s="11" t="str">
        <f>IF(D15584&lt;&gt;"",IF(COUNTIF('USPTO TMs'!A:A,D15584)&gt;0,"Yes","No"),"")</f>
        <v/>
      </c>
      <c r="C15584" s="11"/>
      <c r="D15584" s="11"/>
      <c r="E15584" s="11"/>
      <c r="F15584" s="11"/>
      <c r="G15584" s="11"/>
      <c r="H15584" s="11"/>
      <c r="I15584" s="15"/>
    </row>
    <row r="15585" spans="1:9" ht="16.5">
      <c r="A15585" s="10" t="b">
        <v>0</v>
      </c>
      <c r="B15585" s="11" t="str">
        <f>IF(D15585&lt;&gt;"",IF(COUNTIF('USPTO TMs'!A:A,D15585)&gt;0,"Yes","No"),"")</f>
        <v/>
      </c>
      <c r="C15585" s="11"/>
      <c r="D15585" s="11"/>
      <c r="E15585" s="11"/>
      <c r="F15585" s="11"/>
      <c r="G15585" s="11"/>
      <c r="H15585" s="11"/>
      <c r="I15585" s="15"/>
    </row>
    <row r="15586" spans="1:9" ht="16.5">
      <c r="A15586" s="10" t="b">
        <v>0</v>
      </c>
      <c r="B15586" s="11" t="str">
        <f>IF(D15586&lt;&gt;"",IF(COUNTIF('USPTO TMs'!A:A,D15586)&gt;0,"Yes","No"),"")</f>
        <v/>
      </c>
      <c r="C15586" s="11"/>
      <c r="D15586" s="11"/>
      <c r="E15586" s="11"/>
      <c r="F15586" s="11"/>
      <c r="G15586" s="11"/>
      <c r="H15586" s="11"/>
      <c r="I15586" s="15"/>
    </row>
    <row r="15587" spans="1:9" ht="16.5">
      <c r="A15587" s="10" t="b">
        <v>0</v>
      </c>
      <c r="B15587" s="11" t="str">
        <f>IF(D15587&lt;&gt;"",IF(COUNTIF('USPTO TMs'!A:A,D15587)&gt;0,"Yes","No"),"")</f>
        <v/>
      </c>
      <c r="C15587" s="11"/>
      <c r="D15587" s="11"/>
      <c r="E15587" s="11"/>
      <c r="F15587" s="11"/>
      <c r="G15587" s="11"/>
      <c r="H15587" s="11"/>
      <c r="I15587" s="15"/>
    </row>
    <row r="15588" spans="1:9" ht="16.5">
      <c r="A15588" s="10" t="b">
        <v>0</v>
      </c>
      <c r="B15588" s="11" t="str">
        <f>IF(D15588&lt;&gt;"",IF(COUNTIF('USPTO TMs'!A:A,D15588)&gt;0,"Yes","No"),"")</f>
        <v/>
      </c>
      <c r="C15588" s="11"/>
      <c r="D15588" s="11"/>
      <c r="E15588" s="11"/>
      <c r="F15588" s="11"/>
      <c r="G15588" s="11"/>
      <c r="H15588" s="11"/>
      <c r="I15588" s="15"/>
    </row>
    <row r="15589" spans="1:9" ht="16.5">
      <c r="A15589" s="10" t="b">
        <v>0</v>
      </c>
      <c r="B15589" s="11" t="str">
        <f>IF(D15589&lt;&gt;"",IF(COUNTIF('USPTO TMs'!A:A,D15589)&gt;0,"Yes","No"),"")</f>
        <v/>
      </c>
      <c r="C15589" s="11"/>
      <c r="D15589" s="11"/>
      <c r="E15589" s="11"/>
      <c r="F15589" s="11"/>
      <c r="G15589" s="11"/>
      <c r="H15589" s="11"/>
      <c r="I15589" s="15"/>
    </row>
    <row r="15590" spans="1:9" ht="16.5">
      <c r="A15590" s="10" t="b">
        <v>0</v>
      </c>
      <c r="B15590" s="11" t="str">
        <f>IF(D15590&lt;&gt;"",IF(COUNTIF('USPTO TMs'!A:A,D15590)&gt;0,"Yes","No"),"")</f>
        <v/>
      </c>
      <c r="C15590" s="11"/>
      <c r="D15590" s="11"/>
      <c r="E15590" s="11"/>
      <c r="F15590" s="11"/>
      <c r="G15590" s="11"/>
      <c r="H15590" s="11"/>
      <c r="I15590" s="15"/>
    </row>
    <row r="15591" spans="1:9" ht="16.5">
      <c r="A15591" s="10" t="b">
        <v>0</v>
      </c>
      <c r="B15591" s="11" t="str">
        <f>IF(D15591&lt;&gt;"",IF(COUNTIF('USPTO TMs'!A:A,D15591)&gt;0,"Yes","No"),"")</f>
        <v/>
      </c>
      <c r="C15591" s="11"/>
      <c r="D15591" s="11"/>
      <c r="E15591" s="11"/>
      <c r="F15591" s="11"/>
      <c r="G15591" s="11"/>
      <c r="H15591" s="11"/>
      <c r="I15591" s="15"/>
    </row>
    <row r="15592" spans="1:9" ht="16.5">
      <c r="A15592" s="10" t="b">
        <v>0</v>
      </c>
      <c r="B15592" s="11" t="str">
        <f>IF(D15592&lt;&gt;"",IF(COUNTIF('USPTO TMs'!A:A,D15592)&gt;0,"Yes","No"),"")</f>
        <v/>
      </c>
      <c r="C15592" s="11"/>
      <c r="D15592" s="11"/>
      <c r="E15592" s="11"/>
      <c r="F15592" s="11"/>
      <c r="G15592" s="11"/>
      <c r="H15592" s="11"/>
      <c r="I15592" s="15"/>
    </row>
    <row r="15593" spans="1:9" ht="16.5">
      <c r="A15593" s="10" t="b">
        <v>0</v>
      </c>
      <c r="B15593" s="11" t="str">
        <f>IF(D15593&lt;&gt;"",IF(COUNTIF('USPTO TMs'!A:A,D15593)&gt;0,"Yes","No"),"")</f>
        <v/>
      </c>
      <c r="C15593" s="11"/>
      <c r="D15593" s="11"/>
      <c r="E15593" s="11"/>
      <c r="F15593" s="11"/>
      <c r="G15593" s="11"/>
      <c r="H15593" s="11"/>
      <c r="I15593" s="15"/>
    </row>
    <row r="15594" spans="1:9" ht="16.5">
      <c r="A15594" s="10" t="b">
        <v>0</v>
      </c>
      <c r="B15594" s="11" t="str">
        <f>IF(D15594&lt;&gt;"",IF(COUNTIF('USPTO TMs'!A:A,D15594)&gt;0,"Yes","No"),"")</f>
        <v/>
      </c>
      <c r="C15594" s="11"/>
      <c r="D15594" s="11"/>
      <c r="E15594" s="11"/>
      <c r="F15594" s="11"/>
      <c r="G15594" s="11"/>
      <c r="H15594" s="11"/>
      <c r="I15594" s="15"/>
    </row>
    <row r="15595" spans="1:9" ht="16.5">
      <c r="A15595" s="10" t="b">
        <v>0</v>
      </c>
      <c r="B15595" s="11" t="str">
        <f>IF(D15595&lt;&gt;"",IF(COUNTIF('USPTO TMs'!A:A,D15595)&gt;0,"Yes","No"),"")</f>
        <v/>
      </c>
      <c r="C15595" s="11"/>
      <c r="D15595" s="11"/>
      <c r="E15595" s="11"/>
      <c r="F15595" s="11"/>
      <c r="G15595" s="11"/>
      <c r="H15595" s="11"/>
      <c r="I15595" s="15"/>
    </row>
    <row r="15596" spans="1:9" ht="16.5">
      <c r="A15596" s="10" t="b">
        <v>0</v>
      </c>
      <c r="B15596" s="11" t="str">
        <f>IF(D15596&lt;&gt;"",IF(COUNTIF('USPTO TMs'!A:A,D15596)&gt;0,"Yes","No"),"")</f>
        <v/>
      </c>
      <c r="C15596" s="11"/>
      <c r="D15596" s="11"/>
      <c r="E15596" s="11"/>
      <c r="F15596" s="11"/>
      <c r="G15596" s="11"/>
      <c r="H15596" s="11"/>
      <c r="I15596" s="15"/>
    </row>
    <row r="15597" spans="1:9" ht="16.5">
      <c r="A15597" s="10" t="b">
        <v>0</v>
      </c>
      <c r="B15597" s="11" t="str">
        <f>IF(D15597&lt;&gt;"",IF(COUNTIF('USPTO TMs'!A:A,D15597)&gt;0,"Yes","No"),"")</f>
        <v/>
      </c>
      <c r="C15597" s="11"/>
      <c r="D15597" s="11"/>
      <c r="E15597" s="11"/>
      <c r="F15597" s="11"/>
      <c r="G15597" s="11"/>
      <c r="H15597" s="11"/>
      <c r="I15597" s="15"/>
    </row>
    <row r="15598" spans="1:9" ht="16.5">
      <c r="A15598" s="10" t="b">
        <v>0</v>
      </c>
      <c r="B15598" s="11" t="str">
        <f>IF(D15598&lt;&gt;"",IF(COUNTIF('USPTO TMs'!A:A,D15598)&gt;0,"Yes","No"),"")</f>
        <v/>
      </c>
      <c r="C15598" s="11"/>
      <c r="D15598" s="11"/>
      <c r="E15598" s="11"/>
      <c r="F15598" s="11"/>
      <c r="G15598" s="11"/>
      <c r="H15598" s="11"/>
      <c r="I15598" s="15"/>
    </row>
    <row r="15599" spans="1:9" ht="16.5">
      <c r="A15599" s="10" t="b">
        <v>0</v>
      </c>
      <c r="B15599" s="11" t="str">
        <f>IF(D15599&lt;&gt;"",IF(COUNTIF('USPTO TMs'!A:A,D15599)&gt;0,"Yes","No"),"")</f>
        <v/>
      </c>
      <c r="C15599" s="11"/>
      <c r="D15599" s="11"/>
      <c r="E15599" s="11"/>
      <c r="F15599" s="11"/>
      <c r="G15599" s="11"/>
      <c r="H15599" s="11"/>
      <c r="I15599" s="15"/>
    </row>
    <row r="15600" spans="1:9" ht="16.5">
      <c r="A15600" s="10" t="b">
        <v>0</v>
      </c>
      <c r="B15600" s="11" t="str">
        <f>IF(D15600&lt;&gt;"",IF(COUNTIF('USPTO TMs'!A:A,D15600)&gt;0,"Yes","No"),"")</f>
        <v/>
      </c>
      <c r="C15600" s="11"/>
      <c r="D15600" s="11"/>
      <c r="E15600" s="11"/>
      <c r="F15600" s="11"/>
      <c r="G15600" s="11"/>
      <c r="H15600" s="11"/>
      <c r="I15600" s="15"/>
    </row>
    <row r="15601" spans="1:9" ht="16.5">
      <c r="A15601" s="10" t="b">
        <v>0</v>
      </c>
      <c r="B15601" s="11" t="str">
        <f>IF(D15601&lt;&gt;"",IF(COUNTIF('USPTO TMs'!A:A,D15601)&gt;0,"Yes","No"),"")</f>
        <v/>
      </c>
      <c r="C15601" s="11"/>
      <c r="D15601" s="11"/>
      <c r="E15601" s="11"/>
      <c r="F15601" s="11"/>
      <c r="G15601" s="11"/>
      <c r="H15601" s="11"/>
      <c r="I15601" s="15"/>
    </row>
    <row r="15602" spans="1:9" ht="16.5">
      <c r="A15602" s="10" t="b">
        <v>0</v>
      </c>
      <c r="B15602" s="11" t="str">
        <f>IF(D15602&lt;&gt;"",IF(COUNTIF('USPTO TMs'!A:A,D15602)&gt;0,"Yes","No"),"")</f>
        <v/>
      </c>
      <c r="C15602" s="11"/>
      <c r="D15602" s="11"/>
      <c r="E15602" s="11"/>
      <c r="F15602" s="11"/>
      <c r="G15602" s="11"/>
      <c r="H15602" s="11"/>
      <c r="I15602" s="15"/>
    </row>
    <row r="15603" spans="1:9" ht="16.5">
      <c r="A15603" s="10" t="b">
        <v>0</v>
      </c>
      <c r="B15603" s="11" t="str">
        <f>IF(D15603&lt;&gt;"",IF(COUNTIF('USPTO TMs'!A:A,D15603)&gt;0,"Yes","No"),"")</f>
        <v/>
      </c>
      <c r="C15603" s="11"/>
      <c r="D15603" s="11"/>
      <c r="E15603" s="11"/>
      <c r="F15603" s="11"/>
      <c r="G15603" s="11"/>
      <c r="H15603" s="11"/>
      <c r="I15603" s="15"/>
    </row>
    <row r="15604" spans="1:9" ht="16.5">
      <c r="A15604" s="10" t="b">
        <v>0</v>
      </c>
      <c r="B15604" s="11" t="str">
        <f>IF(D15604&lt;&gt;"",IF(COUNTIF('USPTO TMs'!A:A,D15604)&gt;0,"Yes","No"),"")</f>
        <v/>
      </c>
      <c r="C15604" s="11"/>
      <c r="D15604" s="11"/>
      <c r="E15604" s="11"/>
      <c r="F15604" s="11"/>
      <c r="G15604" s="11"/>
      <c r="H15604" s="11"/>
      <c r="I15604" s="15"/>
    </row>
    <row r="15605" spans="1:9" ht="16.5">
      <c r="A15605" s="10" t="b">
        <v>0</v>
      </c>
      <c r="B15605" s="11" t="str">
        <f>IF(D15605&lt;&gt;"",IF(COUNTIF('USPTO TMs'!A:A,D15605)&gt;0,"Yes","No"),"")</f>
        <v/>
      </c>
      <c r="C15605" s="11"/>
      <c r="D15605" s="11"/>
      <c r="E15605" s="11"/>
      <c r="F15605" s="11"/>
      <c r="G15605" s="11"/>
      <c r="H15605" s="11"/>
      <c r="I15605" s="15"/>
    </row>
    <row r="15606" spans="1:9" ht="16.5">
      <c r="A15606" s="10" t="b">
        <v>0</v>
      </c>
      <c r="B15606" s="11" t="str">
        <f>IF(D15606&lt;&gt;"",IF(COUNTIF('USPTO TMs'!A:A,D15606)&gt;0,"Yes","No"),"")</f>
        <v/>
      </c>
      <c r="C15606" s="11"/>
      <c r="D15606" s="11"/>
      <c r="E15606" s="11"/>
      <c r="F15606" s="11"/>
      <c r="G15606" s="11"/>
      <c r="H15606" s="11"/>
      <c r="I15606" s="15"/>
    </row>
    <row r="15607" spans="1:9" ht="16.5">
      <c r="A15607" s="10" t="b">
        <v>0</v>
      </c>
      <c r="B15607" s="11" t="str">
        <f>IF(D15607&lt;&gt;"",IF(COUNTIF('USPTO TMs'!A:A,D15607)&gt;0,"Yes","No"),"")</f>
        <v/>
      </c>
      <c r="C15607" s="11"/>
      <c r="D15607" s="11"/>
      <c r="E15607" s="11"/>
      <c r="F15607" s="11"/>
      <c r="G15607" s="11"/>
      <c r="H15607" s="11"/>
      <c r="I15607" s="15"/>
    </row>
    <row r="15608" spans="1:9" ht="16.5">
      <c r="A15608" s="10" t="b">
        <v>0</v>
      </c>
      <c r="B15608" s="11" t="str">
        <f>IF(D15608&lt;&gt;"",IF(COUNTIF('USPTO TMs'!A:A,D15608)&gt;0,"Yes","No"),"")</f>
        <v/>
      </c>
      <c r="C15608" s="11"/>
      <c r="D15608" s="11"/>
      <c r="E15608" s="11"/>
      <c r="F15608" s="11"/>
      <c r="G15608" s="11"/>
      <c r="H15608" s="11"/>
      <c r="I15608" s="15"/>
    </row>
    <row r="15609" spans="1:9" ht="16.5">
      <c r="A15609" s="10" t="b">
        <v>0</v>
      </c>
      <c r="B15609" s="11" t="str">
        <f>IF(D15609&lt;&gt;"",IF(COUNTIF('USPTO TMs'!A:A,D15609)&gt;0,"Yes","No"),"")</f>
        <v/>
      </c>
      <c r="C15609" s="11"/>
      <c r="D15609" s="11"/>
      <c r="E15609" s="11"/>
      <c r="F15609" s="11"/>
      <c r="G15609" s="11"/>
      <c r="H15609" s="11"/>
      <c r="I15609" s="15"/>
    </row>
    <row r="15610" spans="1:9" ht="16.5">
      <c r="A15610" s="10" t="b">
        <v>0</v>
      </c>
      <c r="B15610" s="11" t="str">
        <f>IF(D15610&lt;&gt;"",IF(COUNTIF('USPTO TMs'!A:A,D15610)&gt;0,"Yes","No"),"")</f>
        <v/>
      </c>
      <c r="C15610" s="11"/>
      <c r="D15610" s="11"/>
      <c r="E15610" s="11"/>
      <c r="F15610" s="11"/>
      <c r="G15610" s="11"/>
      <c r="H15610" s="11"/>
      <c r="I15610" s="15"/>
    </row>
    <row r="15611" spans="1:9" ht="16.5">
      <c r="A15611" s="10" t="b">
        <v>0</v>
      </c>
      <c r="B15611" s="11" t="str">
        <f>IF(D15611&lt;&gt;"",IF(COUNTIF('USPTO TMs'!A:A,D15611)&gt;0,"Yes","No"),"")</f>
        <v/>
      </c>
      <c r="C15611" s="11"/>
      <c r="D15611" s="11"/>
      <c r="E15611" s="11"/>
      <c r="F15611" s="11"/>
      <c r="G15611" s="11"/>
      <c r="H15611" s="11"/>
      <c r="I15611" s="15"/>
    </row>
    <row r="15612" spans="1:9" ht="16.5">
      <c r="A15612" s="10" t="b">
        <v>0</v>
      </c>
      <c r="B15612" s="11" t="str">
        <f>IF(D15612&lt;&gt;"",IF(COUNTIF('USPTO TMs'!A:A,D15612)&gt;0,"Yes","No"),"")</f>
        <v/>
      </c>
      <c r="C15612" s="11"/>
      <c r="D15612" s="11"/>
      <c r="E15612" s="11"/>
      <c r="F15612" s="11"/>
      <c r="G15612" s="11"/>
      <c r="H15612" s="11"/>
      <c r="I15612" s="15"/>
    </row>
    <row r="15613" spans="1:9" ht="16.5">
      <c r="A15613" s="10" t="b">
        <v>0</v>
      </c>
      <c r="B15613" s="11" t="str">
        <f>IF(D15613&lt;&gt;"",IF(COUNTIF('USPTO TMs'!A:A,D15613)&gt;0,"Yes","No"),"")</f>
        <v/>
      </c>
      <c r="C15613" s="11"/>
      <c r="D15613" s="11"/>
      <c r="E15613" s="11"/>
      <c r="F15613" s="11"/>
      <c r="G15613" s="11"/>
      <c r="H15613" s="11"/>
      <c r="I15613" s="15"/>
    </row>
    <row r="15614" spans="1:9" ht="16.5">
      <c r="A15614" s="10" t="b">
        <v>0</v>
      </c>
      <c r="B15614" s="11" t="str">
        <f>IF(D15614&lt;&gt;"",IF(COUNTIF('USPTO TMs'!A:A,D15614)&gt;0,"Yes","No"),"")</f>
        <v/>
      </c>
      <c r="C15614" s="11"/>
      <c r="D15614" s="11"/>
      <c r="E15614" s="11"/>
      <c r="F15614" s="11"/>
      <c r="G15614" s="11"/>
      <c r="H15614" s="11"/>
      <c r="I15614" s="15"/>
    </row>
    <row r="15615" spans="1:9" ht="16.5">
      <c r="A15615" s="10" t="b">
        <v>0</v>
      </c>
      <c r="B15615" s="11" t="str">
        <f>IF(D15615&lt;&gt;"",IF(COUNTIF('USPTO TMs'!A:A,D15615)&gt;0,"Yes","No"),"")</f>
        <v/>
      </c>
      <c r="C15615" s="11"/>
      <c r="D15615" s="11"/>
      <c r="E15615" s="11"/>
      <c r="F15615" s="11"/>
      <c r="G15615" s="11"/>
      <c r="H15615" s="11"/>
      <c r="I15615" s="15"/>
    </row>
    <row r="15616" spans="1:9" ht="16.5">
      <c r="A15616" s="10" t="b">
        <v>0</v>
      </c>
      <c r="B15616" s="11" t="str">
        <f>IF(D15616&lt;&gt;"",IF(COUNTIF('USPTO TMs'!A:A,D15616)&gt;0,"Yes","No"),"")</f>
        <v/>
      </c>
      <c r="C15616" s="11"/>
      <c r="D15616" s="11"/>
      <c r="E15616" s="11"/>
      <c r="F15616" s="11"/>
      <c r="G15616" s="11"/>
      <c r="H15616" s="11"/>
      <c r="I15616" s="15"/>
    </row>
    <row r="15617" spans="1:9" ht="16.5">
      <c r="A15617" s="10" t="b">
        <v>0</v>
      </c>
      <c r="B15617" s="11" t="str">
        <f>IF(D15617&lt;&gt;"",IF(COUNTIF('USPTO TMs'!A:A,D15617)&gt;0,"Yes","No"),"")</f>
        <v/>
      </c>
      <c r="C15617" s="11"/>
      <c r="D15617" s="11"/>
      <c r="E15617" s="11"/>
      <c r="F15617" s="11"/>
      <c r="G15617" s="11"/>
      <c r="H15617" s="11"/>
      <c r="I15617" s="15"/>
    </row>
    <row r="15618" spans="1:9" ht="16.5">
      <c r="A15618" s="10" t="b">
        <v>0</v>
      </c>
      <c r="B15618" s="11" t="str">
        <f>IF(D15618&lt;&gt;"",IF(COUNTIF('USPTO TMs'!A:A,D15618)&gt;0,"Yes","No"),"")</f>
        <v/>
      </c>
      <c r="C15618" s="11"/>
      <c r="D15618" s="11"/>
      <c r="E15618" s="11"/>
      <c r="F15618" s="11"/>
      <c r="G15618" s="11"/>
      <c r="H15618" s="11"/>
      <c r="I15618" s="15"/>
    </row>
    <row r="15619" spans="1:9" ht="16.5">
      <c r="A15619" s="10" t="b">
        <v>0</v>
      </c>
      <c r="B15619" s="11" t="str">
        <f>IF(D15619&lt;&gt;"",IF(COUNTIF('USPTO TMs'!A:A,D15619)&gt;0,"Yes","No"),"")</f>
        <v/>
      </c>
      <c r="C15619" s="11"/>
      <c r="D15619" s="11"/>
      <c r="E15619" s="11"/>
      <c r="F15619" s="11"/>
      <c r="G15619" s="11"/>
      <c r="H15619" s="11"/>
      <c r="I15619" s="15"/>
    </row>
    <row r="15620" spans="1:9" ht="16.5">
      <c r="A15620" s="10" t="b">
        <v>0</v>
      </c>
      <c r="B15620" s="11" t="str">
        <f>IF(D15620&lt;&gt;"",IF(COUNTIF('USPTO TMs'!A:A,D15620)&gt;0,"Yes","No"),"")</f>
        <v/>
      </c>
      <c r="C15620" s="11"/>
      <c r="D15620" s="11"/>
      <c r="E15620" s="11"/>
      <c r="F15620" s="11"/>
      <c r="G15620" s="11"/>
      <c r="H15620" s="11"/>
      <c r="I15620" s="15"/>
    </row>
    <row r="15621" spans="1:9" ht="16.5">
      <c r="A15621" s="10" t="b">
        <v>0</v>
      </c>
      <c r="B15621" s="11" t="str">
        <f>IF(D15621&lt;&gt;"",IF(COUNTIF('USPTO TMs'!A:A,D15621)&gt;0,"Yes","No"),"")</f>
        <v/>
      </c>
      <c r="C15621" s="11"/>
      <c r="D15621" s="11"/>
      <c r="E15621" s="11"/>
      <c r="F15621" s="11"/>
      <c r="G15621" s="11"/>
      <c r="H15621" s="11"/>
      <c r="I15621" s="15"/>
    </row>
    <row r="15622" spans="1:9" ht="16.5">
      <c r="A15622" s="10" t="b">
        <v>0</v>
      </c>
      <c r="B15622" s="11" t="str">
        <f>IF(D15622&lt;&gt;"",IF(COUNTIF('USPTO TMs'!A:A,D15622)&gt;0,"Yes","No"),"")</f>
        <v/>
      </c>
      <c r="C15622" s="11"/>
      <c r="D15622" s="11"/>
      <c r="E15622" s="11"/>
      <c r="F15622" s="11"/>
      <c r="G15622" s="11"/>
      <c r="H15622" s="11"/>
      <c r="I15622" s="15"/>
    </row>
    <row r="15623" spans="1:9" ht="16.5">
      <c r="A15623" s="10" t="b">
        <v>0</v>
      </c>
      <c r="B15623" s="11" t="str">
        <f>IF(D15623&lt;&gt;"",IF(COUNTIF('USPTO TMs'!A:A,D15623)&gt;0,"Yes","No"),"")</f>
        <v/>
      </c>
      <c r="C15623" s="11"/>
      <c r="D15623" s="11"/>
      <c r="E15623" s="11"/>
      <c r="F15623" s="11"/>
      <c r="G15623" s="11"/>
      <c r="H15623" s="11"/>
      <c r="I15623" s="15"/>
    </row>
    <row r="15624" spans="1:9" ht="16.5">
      <c r="A15624" s="10" t="b">
        <v>0</v>
      </c>
      <c r="B15624" s="11" t="str">
        <f>IF(D15624&lt;&gt;"",IF(COUNTIF('USPTO TMs'!A:A,D15624)&gt;0,"Yes","No"),"")</f>
        <v/>
      </c>
      <c r="C15624" s="11"/>
      <c r="D15624" s="11"/>
      <c r="E15624" s="11"/>
      <c r="F15624" s="11"/>
      <c r="G15624" s="11"/>
      <c r="H15624" s="11"/>
      <c r="I15624" s="15"/>
    </row>
    <row r="15625" spans="1:9" ht="16.5">
      <c r="A15625" s="10" t="b">
        <v>0</v>
      </c>
      <c r="B15625" s="11" t="str">
        <f>IF(D15625&lt;&gt;"",IF(COUNTIF('USPTO TMs'!A:A,D15625)&gt;0,"Yes","No"),"")</f>
        <v/>
      </c>
      <c r="C15625" s="11"/>
      <c r="D15625" s="11"/>
      <c r="E15625" s="11"/>
      <c r="F15625" s="11"/>
      <c r="G15625" s="11"/>
      <c r="H15625" s="11"/>
      <c r="I15625" s="15"/>
    </row>
    <row r="15626" spans="1:9" ht="16.5">
      <c r="A15626" s="10" t="b">
        <v>0</v>
      </c>
      <c r="B15626" s="11" t="str">
        <f>IF(D15626&lt;&gt;"",IF(COUNTIF('USPTO TMs'!A:A,D15626)&gt;0,"Yes","No"),"")</f>
        <v/>
      </c>
      <c r="C15626" s="11"/>
      <c r="D15626" s="11"/>
      <c r="E15626" s="11"/>
      <c r="F15626" s="11"/>
      <c r="G15626" s="11"/>
      <c r="H15626" s="11"/>
      <c r="I15626" s="15"/>
    </row>
    <row r="15627" spans="1:9" ht="16.5">
      <c r="A15627" s="10" t="b">
        <v>0</v>
      </c>
      <c r="B15627" s="11" t="str">
        <f>IF(D15627&lt;&gt;"",IF(COUNTIF('USPTO TMs'!A:A,D15627)&gt;0,"Yes","No"),"")</f>
        <v/>
      </c>
      <c r="C15627" s="11"/>
      <c r="D15627" s="11"/>
      <c r="E15627" s="11"/>
      <c r="F15627" s="11"/>
      <c r="G15627" s="11"/>
      <c r="H15627" s="11"/>
      <c r="I15627" s="15"/>
    </row>
    <row r="15628" spans="1:9" ht="16.5">
      <c r="A15628" s="10" t="b">
        <v>0</v>
      </c>
      <c r="B15628" s="11" t="str">
        <f>IF(D15628&lt;&gt;"",IF(COUNTIF('USPTO TMs'!A:A,D15628)&gt;0,"Yes","No"),"")</f>
        <v/>
      </c>
      <c r="C15628" s="11"/>
      <c r="D15628" s="11"/>
      <c r="E15628" s="11"/>
      <c r="F15628" s="11"/>
      <c r="G15628" s="11"/>
      <c r="H15628" s="11"/>
      <c r="I15628" s="15"/>
    </row>
    <row r="15629" spans="1:9" ht="16.5">
      <c r="A15629" s="10" t="b">
        <v>0</v>
      </c>
      <c r="B15629" s="11" t="str">
        <f>IF(D15629&lt;&gt;"",IF(COUNTIF('USPTO TMs'!A:A,D15629)&gt;0,"Yes","No"),"")</f>
        <v/>
      </c>
      <c r="C15629" s="11"/>
      <c r="D15629" s="11"/>
      <c r="E15629" s="11"/>
      <c r="F15629" s="11"/>
      <c r="G15629" s="11"/>
      <c r="H15629" s="11"/>
      <c r="I15629" s="15"/>
    </row>
    <row r="15630" spans="1:9" ht="16.5">
      <c r="A15630" s="10" t="b">
        <v>0</v>
      </c>
      <c r="B15630" s="11" t="str">
        <f>IF(D15630&lt;&gt;"",IF(COUNTIF('USPTO TMs'!A:A,D15630)&gt;0,"Yes","No"),"")</f>
        <v/>
      </c>
      <c r="C15630" s="11"/>
      <c r="D15630" s="11"/>
      <c r="E15630" s="11"/>
      <c r="F15630" s="11"/>
      <c r="G15630" s="11"/>
      <c r="H15630" s="11"/>
      <c r="I15630" s="15"/>
    </row>
    <row r="15631" spans="1:9" ht="16.5">
      <c r="A15631" s="10" t="b">
        <v>0</v>
      </c>
      <c r="B15631" s="11" t="str">
        <f>IF(D15631&lt;&gt;"",IF(COUNTIF('USPTO TMs'!A:A,D15631)&gt;0,"Yes","No"),"")</f>
        <v/>
      </c>
      <c r="C15631" s="11"/>
      <c r="D15631" s="11"/>
      <c r="E15631" s="11"/>
      <c r="F15631" s="11"/>
      <c r="G15631" s="11"/>
      <c r="H15631" s="11"/>
      <c r="I15631" s="15"/>
    </row>
    <row r="15632" spans="1:9" ht="16.5">
      <c r="A15632" s="10" t="b">
        <v>0</v>
      </c>
      <c r="B15632" s="11" t="str">
        <f>IF(D15632&lt;&gt;"",IF(COUNTIF('USPTO TMs'!A:A,D15632)&gt;0,"Yes","No"),"")</f>
        <v/>
      </c>
      <c r="C15632" s="11"/>
      <c r="D15632" s="11"/>
      <c r="E15632" s="11"/>
      <c r="F15632" s="11"/>
      <c r="G15632" s="11"/>
      <c r="H15632" s="11"/>
      <c r="I15632" s="15"/>
    </row>
    <row r="15633" spans="1:9" ht="16.5">
      <c r="A15633" s="10" t="b">
        <v>0</v>
      </c>
      <c r="B15633" s="11" t="str">
        <f>IF(D15633&lt;&gt;"",IF(COUNTIF('USPTO TMs'!A:A,D15633)&gt;0,"Yes","No"),"")</f>
        <v/>
      </c>
      <c r="C15633" s="11"/>
      <c r="D15633" s="11"/>
      <c r="E15633" s="11"/>
      <c r="F15633" s="11"/>
      <c r="G15633" s="11"/>
      <c r="H15633" s="11"/>
      <c r="I15633" s="15"/>
    </row>
    <row r="15634" spans="1:9" ht="16.5">
      <c r="A15634" s="10" t="b">
        <v>0</v>
      </c>
      <c r="B15634" s="11" t="str">
        <f>IF(D15634&lt;&gt;"",IF(COUNTIF('USPTO TMs'!A:A,D15634)&gt;0,"Yes","No"),"")</f>
        <v/>
      </c>
      <c r="C15634" s="11"/>
      <c r="D15634" s="11"/>
      <c r="E15634" s="11"/>
      <c r="F15634" s="11"/>
      <c r="G15634" s="11"/>
      <c r="H15634" s="11"/>
      <c r="I15634" s="15"/>
    </row>
    <row r="15635" spans="1:9" ht="16.5">
      <c r="A15635" s="10" t="b">
        <v>0</v>
      </c>
      <c r="B15635" s="11" t="str">
        <f>IF(D15635&lt;&gt;"",IF(COUNTIF('USPTO TMs'!A:A,D15635)&gt;0,"Yes","No"),"")</f>
        <v/>
      </c>
      <c r="C15635" s="11"/>
      <c r="D15635" s="11"/>
      <c r="E15635" s="11"/>
      <c r="F15635" s="11"/>
      <c r="G15635" s="11"/>
      <c r="H15635" s="11"/>
      <c r="I15635" s="15"/>
    </row>
    <row r="15636" spans="1:9" ht="16.5">
      <c r="A15636" s="10" t="b">
        <v>0</v>
      </c>
      <c r="B15636" s="11" t="str">
        <f>IF(D15636&lt;&gt;"",IF(COUNTIF('USPTO TMs'!A:A,D15636)&gt;0,"Yes","No"),"")</f>
        <v/>
      </c>
      <c r="C15636" s="11"/>
      <c r="D15636" s="11"/>
      <c r="E15636" s="11"/>
      <c r="F15636" s="11"/>
      <c r="G15636" s="11"/>
      <c r="H15636" s="11"/>
      <c r="I15636" s="15"/>
    </row>
    <row r="15637" spans="1:9" ht="16.5">
      <c r="A15637" s="10" t="b">
        <v>0</v>
      </c>
      <c r="B15637" s="11" t="str">
        <f>IF(D15637&lt;&gt;"",IF(COUNTIF('USPTO TMs'!A:A,D15637)&gt;0,"Yes","No"),"")</f>
        <v/>
      </c>
      <c r="C15637" s="11"/>
      <c r="D15637" s="11"/>
      <c r="E15637" s="11"/>
      <c r="F15637" s="11"/>
      <c r="G15637" s="11"/>
      <c r="H15637" s="11"/>
      <c r="I15637" s="15"/>
    </row>
    <row r="15638" spans="1:9" ht="16.5">
      <c r="A15638" s="10" t="b">
        <v>0</v>
      </c>
      <c r="B15638" s="11" t="str">
        <f>IF(D15638&lt;&gt;"",IF(COUNTIF('USPTO TMs'!A:A,D15638)&gt;0,"Yes","No"),"")</f>
        <v/>
      </c>
      <c r="C15638" s="11"/>
      <c r="D15638" s="11"/>
      <c r="E15638" s="11"/>
      <c r="F15638" s="11"/>
      <c r="G15638" s="11"/>
      <c r="H15638" s="11"/>
      <c r="I15638" s="15"/>
    </row>
    <row r="15639" spans="1:9" ht="16.5">
      <c r="A15639" s="10" t="b">
        <v>0</v>
      </c>
      <c r="B15639" s="11" t="str">
        <f>IF(D15639&lt;&gt;"",IF(COUNTIF('USPTO TMs'!A:A,D15639)&gt;0,"Yes","No"),"")</f>
        <v/>
      </c>
      <c r="C15639" s="11"/>
      <c r="D15639" s="11"/>
      <c r="E15639" s="11"/>
      <c r="F15639" s="11"/>
      <c r="G15639" s="11"/>
      <c r="H15639" s="11"/>
      <c r="I15639" s="15"/>
    </row>
    <row r="15640" spans="1:9" ht="16.5">
      <c r="A15640" s="10" t="b">
        <v>0</v>
      </c>
      <c r="B15640" s="11" t="str">
        <f>IF(D15640&lt;&gt;"",IF(COUNTIF('USPTO TMs'!A:A,D15640)&gt;0,"Yes","No"),"")</f>
        <v/>
      </c>
      <c r="C15640" s="11"/>
      <c r="D15640" s="11"/>
      <c r="E15640" s="11"/>
      <c r="F15640" s="11"/>
      <c r="G15640" s="11"/>
      <c r="H15640" s="11"/>
      <c r="I15640" s="15"/>
    </row>
    <row r="15641" spans="1:9" ht="16.5">
      <c r="A15641" s="10" t="b">
        <v>0</v>
      </c>
      <c r="B15641" s="11" t="str">
        <f>IF(D15641&lt;&gt;"",IF(COUNTIF('USPTO TMs'!A:A,D15641)&gt;0,"Yes","No"),"")</f>
        <v/>
      </c>
      <c r="C15641" s="11"/>
      <c r="D15641" s="11"/>
      <c r="E15641" s="11"/>
      <c r="F15641" s="11"/>
      <c r="G15641" s="11"/>
      <c r="H15641" s="11"/>
      <c r="I15641" s="15"/>
    </row>
    <row r="15642" spans="1:9" ht="16.5">
      <c r="A15642" s="10" t="b">
        <v>0</v>
      </c>
      <c r="B15642" s="11" t="str">
        <f>IF(D15642&lt;&gt;"",IF(COUNTIF('USPTO TMs'!A:A,D15642)&gt;0,"Yes","No"),"")</f>
        <v/>
      </c>
      <c r="C15642" s="11"/>
      <c r="D15642" s="11"/>
      <c r="E15642" s="11"/>
      <c r="F15642" s="11"/>
      <c r="G15642" s="11"/>
      <c r="H15642" s="11"/>
      <c r="I15642" s="15"/>
    </row>
    <row r="15643" spans="1:9" ht="16.5">
      <c r="A15643" s="10" t="b">
        <v>0</v>
      </c>
      <c r="B15643" s="11" t="str">
        <f>IF(D15643&lt;&gt;"",IF(COUNTIF('USPTO TMs'!A:A,D15643)&gt;0,"Yes","No"),"")</f>
        <v/>
      </c>
      <c r="C15643" s="11"/>
      <c r="D15643" s="11"/>
      <c r="E15643" s="11"/>
      <c r="F15643" s="11"/>
      <c r="G15643" s="11"/>
      <c r="H15643" s="11"/>
      <c r="I15643" s="15"/>
    </row>
    <row r="15644" spans="1:9" ht="16.5">
      <c r="A15644" s="10" t="b">
        <v>0</v>
      </c>
      <c r="B15644" s="11" t="str">
        <f>IF(D15644&lt;&gt;"",IF(COUNTIF('USPTO TMs'!A:A,D15644)&gt;0,"Yes","No"),"")</f>
        <v/>
      </c>
      <c r="C15644" s="11"/>
      <c r="D15644" s="11"/>
      <c r="E15644" s="11"/>
      <c r="F15644" s="11"/>
      <c r="G15644" s="11"/>
      <c r="H15644" s="11"/>
      <c r="I15644" s="15"/>
    </row>
    <row r="15645" spans="1:9" ht="16.5">
      <c r="A15645" s="10" t="b">
        <v>0</v>
      </c>
      <c r="B15645" s="11" t="str">
        <f>IF(D15645&lt;&gt;"",IF(COUNTIF('USPTO TMs'!A:A,D15645)&gt;0,"Yes","No"),"")</f>
        <v/>
      </c>
      <c r="C15645" s="11"/>
      <c r="D15645" s="11"/>
      <c r="E15645" s="11"/>
      <c r="F15645" s="11"/>
      <c r="G15645" s="11"/>
      <c r="H15645" s="11"/>
      <c r="I15645" s="15"/>
    </row>
    <row r="15646" spans="1:9" ht="16.5">
      <c r="A15646" s="10" t="b">
        <v>0</v>
      </c>
      <c r="B15646" s="11" t="str">
        <f>IF(D15646&lt;&gt;"",IF(COUNTIF('USPTO TMs'!A:A,D15646)&gt;0,"Yes","No"),"")</f>
        <v/>
      </c>
      <c r="C15646" s="11"/>
      <c r="D15646" s="11"/>
      <c r="E15646" s="11"/>
      <c r="F15646" s="11"/>
      <c r="G15646" s="11"/>
      <c r="H15646" s="11"/>
      <c r="I15646" s="15"/>
    </row>
    <row r="15647" spans="1:9" ht="16.5">
      <c r="A15647" s="10" t="b">
        <v>0</v>
      </c>
      <c r="B15647" s="11" t="str">
        <f>IF(D15647&lt;&gt;"",IF(COUNTIF('USPTO TMs'!A:A,D15647)&gt;0,"Yes","No"),"")</f>
        <v/>
      </c>
      <c r="C15647" s="11"/>
      <c r="D15647" s="11"/>
      <c r="E15647" s="11"/>
      <c r="F15647" s="11"/>
      <c r="G15647" s="11"/>
      <c r="H15647" s="11"/>
      <c r="I15647" s="15"/>
    </row>
    <row r="15648" spans="1:9" ht="16.5">
      <c r="A15648" s="10" t="b">
        <v>0</v>
      </c>
      <c r="B15648" s="11" t="str">
        <f>IF(D15648&lt;&gt;"",IF(COUNTIF('USPTO TMs'!A:A,D15648)&gt;0,"Yes","No"),"")</f>
        <v/>
      </c>
      <c r="C15648" s="11"/>
      <c r="D15648" s="11"/>
      <c r="E15648" s="11"/>
      <c r="F15648" s="11"/>
      <c r="G15648" s="11"/>
      <c r="H15648" s="11"/>
      <c r="I15648" s="15"/>
    </row>
    <row r="15649" spans="1:9" ht="16.5">
      <c r="A15649" s="10" t="b">
        <v>0</v>
      </c>
      <c r="B15649" s="11" t="str">
        <f>IF(D15649&lt;&gt;"",IF(COUNTIF('USPTO TMs'!A:A,D15649)&gt;0,"Yes","No"),"")</f>
        <v/>
      </c>
      <c r="C15649" s="11"/>
      <c r="D15649" s="11"/>
      <c r="E15649" s="11"/>
      <c r="F15649" s="11"/>
      <c r="G15649" s="11"/>
      <c r="H15649" s="11"/>
      <c r="I15649" s="15"/>
    </row>
    <row r="15650" spans="1:9" ht="16.5">
      <c r="A15650" s="10" t="b">
        <v>0</v>
      </c>
      <c r="B15650" s="11" t="str">
        <f>IF(D15650&lt;&gt;"",IF(COUNTIF('USPTO TMs'!A:A,D15650)&gt;0,"Yes","No"),"")</f>
        <v/>
      </c>
      <c r="C15650" s="11"/>
      <c r="D15650" s="11"/>
      <c r="E15650" s="11"/>
      <c r="F15650" s="11"/>
      <c r="G15650" s="11"/>
      <c r="H15650" s="11"/>
      <c r="I15650" s="15"/>
    </row>
    <row r="15651" spans="1:9" ht="16.5">
      <c r="A15651" s="10" t="b">
        <v>0</v>
      </c>
      <c r="B15651" s="11" t="str">
        <f>IF(D15651&lt;&gt;"",IF(COUNTIF('USPTO TMs'!A:A,D15651)&gt;0,"Yes","No"),"")</f>
        <v/>
      </c>
      <c r="C15651" s="11"/>
      <c r="D15651" s="11"/>
      <c r="E15651" s="11"/>
      <c r="F15651" s="11"/>
      <c r="G15651" s="11"/>
      <c r="H15651" s="11"/>
      <c r="I15651" s="15"/>
    </row>
    <row r="15652" spans="1:9" ht="16.5">
      <c r="A15652" s="10" t="b">
        <v>0</v>
      </c>
      <c r="B15652" s="11" t="str">
        <f>IF(D15652&lt;&gt;"",IF(COUNTIF('USPTO TMs'!A:A,D15652)&gt;0,"Yes","No"),"")</f>
        <v/>
      </c>
      <c r="C15652" s="11"/>
      <c r="D15652" s="11"/>
      <c r="E15652" s="11"/>
      <c r="F15652" s="11"/>
      <c r="G15652" s="11"/>
      <c r="H15652" s="11"/>
      <c r="I15652" s="15"/>
    </row>
    <row r="15653" spans="1:9" ht="16.5">
      <c r="A15653" s="10" t="b">
        <v>0</v>
      </c>
      <c r="B15653" s="11" t="str">
        <f>IF(D15653&lt;&gt;"",IF(COUNTIF('USPTO TMs'!A:A,D15653)&gt;0,"Yes","No"),"")</f>
        <v/>
      </c>
      <c r="C15653" s="11"/>
      <c r="D15653" s="11"/>
      <c r="E15653" s="11"/>
      <c r="F15653" s="11"/>
      <c r="G15653" s="11"/>
      <c r="H15653" s="11"/>
      <c r="I15653" s="15"/>
    </row>
    <row r="15654" spans="1:9" ht="16.5">
      <c r="A15654" s="10" t="b">
        <v>0</v>
      </c>
      <c r="B15654" s="11" t="str">
        <f>IF(D15654&lt;&gt;"",IF(COUNTIF('USPTO TMs'!A:A,D15654)&gt;0,"Yes","No"),"")</f>
        <v/>
      </c>
      <c r="C15654" s="11"/>
      <c r="D15654" s="11"/>
      <c r="E15654" s="11"/>
      <c r="F15654" s="11"/>
      <c r="G15654" s="11"/>
      <c r="H15654" s="11"/>
      <c r="I15654" s="15"/>
    </row>
    <row r="15655" spans="1:9" ht="16.5">
      <c r="A15655" s="10" t="b">
        <v>0</v>
      </c>
      <c r="B15655" s="11" t="str">
        <f>IF(D15655&lt;&gt;"",IF(COUNTIF('USPTO TMs'!A:A,D15655)&gt;0,"Yes","No"),"")</f>
        <v/>
      </c>
      <c r="C15655" s="11"/>
      <c r="D15655" s="11"/>
      <c r="E15655" s="11"/>
      <c r="F15655" s="11"/>
      <c r="G15655" s="11"/>
      <c r="H15655" s="11"/>
      <c r="I15655" s="15"/>
    </row>
    <row r="15656" spans="1:9" ht="16.5">
      <c r="A15656" s="10" t="b">
        <v>0</v>
      </c>
      <c r="B15656" s="11" t="str">
        <f>IF(D15656&lt;&gt;"",IF(COUNTIF('USPTO TMs'!A:A,D15656)&gt;0,"Yes","No"),"")</f>
        <v/>
      </c>
      <c r="C15656" s="11"/>
      <c r="D15656" s="11"/>
      <c r="E15656" s="11"/>
      <c r="F15656" s="11"/>
      <c r="G15656" s="11"/>
      <c r="H15656" s="11"/>
      <c r="I15656" s="15"/>
    </row>
    <row r="15657" spans="1:9" ht="16.5">
      <c r="A15657" s="10" t="b">
        <v>0</v>
      </c>
      <c r="B15657" s="11" t="str">
        <f>IF(D15657&lt;&gt;"",IF(COUNTIF('USPTO TMs'!A:A,D15657)&gt;0,"Yes","No"),"")</f>
        <v/>
      </c>
      <c r="C15657" s="11"/>
      <c r="D15657" s="11"/>
      <c r="E15657" s="11"/>
      <c r="F15657" s="11"/>
      <c r="G15657" s="11"/>
      <c r="H15657" s="11"/>
      <c r="I15657" s="15"/>
    </row>
    <row r="15658" spans="1:9" ht="16.5">
      <c r="A15658" s="10" t="b">
        <v>0</v>
      </c>
      <c r="B15658" s="11" t="str">
        <f>IF(D15658&lt;&gt;"",IF(COUNTIF('USPTO TMs'!A:A,D15658)&gt;0,"Yes","No"),"")</f>
        <v/>
      </c>
      <c r="C15658" s="11"/>
      <c r="D15658" s="11"/>
      <c r="E15658" s="11"/>
      <c r="F15658" s="11"/>
      <c r="G15658" s="11"/>
      <c r="H15658" s="11"/>
      <c r="I15658" s="15"/>
    </row>
    <row r="15659" spans="1:9" ht="16.5">
      <c r="A15659" s="10" t="b">
        <v>0</v>
      </c>
      <c r="B15659" s="11" t="str">
        <f>IF(D15659&lt;&gt;"",IF(COUNTIF('USPTO TMs'!A:A,D15659)&gt;0,"Yes","No"),"")</f>
        <v/>
      </c>
      <c r="C15659" s="11"/>
      <c r="D15659" s="11"/>
      <c r="E15659" s="11"/>
      <c r="F15659" s="11"/>
      <c r="G15659" s="11"/>
      <c r="H15659" s="11"/>
      <c r="I15659" s="15"/>
    </row>
    <row r="15660" spans="1:9" ht="16.5">
      <c r="A15660" s="10" t="b">
        <v>0</v>
      </c>
      <c r="B15660" s="11" t="str">
        <f>IF(D15660&lt;&gt;"",IF(COUNTIF('USPTO TMs'!A:A,D15660)&gt;0,"Yes","No"),"")</f>
        <v/>
      </c>
      <c r="C15660" s="11"/>
      <c r="D15660" s="11"/>
      <c r="E15660" s="11"/>
      <c r="F15660" s="11"/>
      <c r="G15660" s="11"/>
      <c r="H15660" s="11"/>
      <c r="I15660" s="15"/>
    </row>
    <row r="15661" spans="1:9" ht="16.5">
      <c r="A15661" s="10" t="b">
        <v>0</v>
      </c>
      <c r="B15661" s="11" t="str">
        <f>IF(D15661&lt;&gt;"",IF(COUNTIF('USPTO TMs'!A:A,D15661)&gt;0,"Yes","No"),"")</f>
        <v/>
      </c>
      <c r="C15661" s="11"/>
      <c r="D15661" s="11"/>
      <c r="E15661" s="11"/>
      <c r="F15661" s="11"/>
      <c r="G15661" s="11"/>
      <c r="H15661" s="11"/>
      <c r="I15661" s="15"/>
    </row>
    <row r="15662" spans="1:9" ht="16.5">
      <c r="A15662" s="10" t="b">
        <v>0</v>
      </c>
      <c r="B15662" s="11" t="str">
        <f>IF(D15662&lt;&gt;"",IF(COUNTIF('USPTO TMs'!A:A,D15662)&gt;0,"Yes","No"),"")</f>
        <v/>
      </c>
      <c r="C15662" s="11"/>
      <c r="D15662" s="11"/>
      <c r="E15662" s="11"/>
      <c r="F15662" s="11"/>
      <c r="G15662" s="11"/>
      <c r="H15662" s="11"/>
      <c r="I15662" s="15"/>
    </row>
    <row r="15663" spans="1:9" ht="16.5">
      <c r="A15663" s="10" t="b">
        <v>0</v>
      </c>
      <c r="B15663" s="11" t="str">
        <f>IF(D15663&lt;&gt;"",IF(COUNTIF('USPTO TMs'!A:A,D15663)&gt;0,"Yes","No"),"")</f>
        <v/>
      </c>
      <c r="C15663" s="11"/>
      <c r="D15663" s="11"/>
      <c r="E15663" s="11"/>
      <c r="F15663" s="11"/>
      <c r="G15663" s="11"/>
      <c r="H15663" s="11"/>
      <c r="I15663" s="15"/>
    </row>
    <row r="15664" spans="1:9" ht="16.5">
      <c r="A15664" s="10" t="b">
        <v>0</v>
      </c>
      <c r="B15664" s="11" t="str">
        <f>IF(D15664&lt;&gt;"",IF(COUNTIF('USPTO TMs'!A:A,D15664)&gt;0,"Yes","No"),"")</f>
        <v/>
      </c>
      <c r="C15664" s="11"/>
      <c r="D15664" s="11"/>
      <c r="E15664" s="11"/>
      <c r="F15664" s="11"/>
      <c r="G15664" s="11"/>
      <c r="H15664" s="11"/>
      <c r="I15664" s="15"/>
    </row>
    <row r="15665" spans="1:9" ht="16.5">
      <c r="A15665" s="10" t="b">
        <v>0</v>
      </c>
      <c r="B15665" s="11" t="str">
        <f>IF(D15665&lt;&gt;"",IF(COUNTIF('USPTO TMs'!A:A,D15665)&gt;0,"Yes","No"),"")</f>
        <v/>
      </c>
      <c r="C15665" s="11"/>
      <c r="D15665" s="11"/>
      <c r="E15665" s="11"/>
      <c r="F15665" s="11"/>
      <c r="G15665" s="11"/>
      <c r="H15665" s="11"/>
      <c r="I15665" s="15"/>
    </row>
    <row r="15666" spans="1:9" ht="16.5">
      <c r="A15666" s="10" t="b">
        <v>0</v>
      </c>
      <c r="B15666" s="11" t="str">
        <f>IF(D15666&lt;&gt;"",IF(COUNTIF('USPTO TMs'!A:A,D15666)&gt;0,"Yes","No"),"")</f>
        <v/>
      </c>
      <c r="C15666" s="11"/>
      <c r="D15666" s="11"/>
      <c r="E15666" s="11"/>
      <c r="F15666" s="11"/>
      <c r="G15666" s="11"/>
      <c r="H15666" s="11"/>
      <c r="I15666" s="15"/>
    </row>
    <row r="15667" spans="1:9" ht="16.5">
      <c r="A15667" s="10" t="b">
        <v>0</v>
      </c>
      <c r="B15667" s="11" t="str">
        <f>IF(D15667&lt;&gt;"",IF(COUNTIF('USPTO TMs'!A:A,D15667)&gt;0,"Yes","No"),"")</f>
        <v/>
      </c>
      <c r="C15667" s="11"/>
      <c r="D15667" s="11"/>
      <c r="E15667" s="11"/>
      <c r="F15667" s="11"/>
      <c r="G15667" s="11"/>
      <c r="H15667" s="11"/>
      <c r="I15667" s="15"/>
    </row>
    <row r="15668" spans="1:9" ht="16.5">
      <c r="A15668" s="10" t="b">
        <v>0</v>
      </c>
      <c r="B15668" s="11" t="str">
        <f>IF(D15668&lt;&gt;"",IF(COUNTIF('USPTO TMs'!A:A,D15668)&gt;0,"Yes","No"),"")</f>
        <v/>
      </c>
      <c r="C15668" s="11"/>
      <c r="D15668" s="11"/>
      <c r="E15668" s="11"/>
      <c r="F15668" s="11"/>
      <c r="G15668" s="11"/>
      <c r="H15668" s="11"/>
      <c r="I15668" s="15"/>
    </row>
    <row r="15669" spans="1:9" ht="16.5">
      <c r="A15669" s="10" t="b">
        <v>0</v>
      </c>
      <c r="B15669" s="11" t="str">
        <f>IF(D15669&lt;&gt;"",IF(COUNTIF('USPTO TMs'!A:A,D15669)&gt;0,"Yes","No"),"")</f>
        <v/>
      </c>
      <c r="C15669" s="11"/>
      <c r="D15669" s="11"/>
      <c r="E15669" s="11"/>
      <c r="F15669" s="11"/>
      <c r="G15669" s="11"/>
      <c r="H15669" s="11"/>
      <c r="I15669" s="15"/>
    </row>
    <row r="15670" spans="1:9" ht="16.5">
      <c r="A15670" s="10" t="b">
        <v>0</v>
      </c>
      <c r="B15670" s="11" t="str">
        <f>IF(D15670&lt;&gt;"",IF(COUNTIF('USPTO TMs'!A:A,D15670)&gt;0,"Yes","No"),"")</f>
        <v/>
      </c>
      <c r="C15670" s="11"/>
      <c r="D15670" s="11"/>
      <c r="E15670" s="11"/>
      <c r="F15670" s="11"/>
      <c r="G15670" s="11"/>
      <c r="H15670" s="11"/>
      <c r="I15670" s="15"/>
    </row>
    <row r="15671" spans="1:9" ht="16.5">
      <c r="A15671" s="10" t="b">
        <v>0</v>
      </c>
      <c r="B15671" s="11" t="str">
        <f>IF(D15671&lt;&gt;"",IF(COUNTIF('USPTO TMs'!A:A,D15671)&gt;0,"Yes","No"),"")</f>
        <v/>
      </c>
      <c r="C15671" s="11"/>
      <c r="D15671" s="11"/>
      <c r="E15671" s="11"/>
      <c r="F15671" s="11"/>
      <c r="G15671" s="11"/>
      <c r="H15671" s="11"/>
      <c r="I15671" s="15"/>
    </row>
    <row r="15672" spans="1:9" ht="16.5">
      <c r="A15672" s="10" t="b">
        <v>0</v>
      </c>
      <c r="B15672" s="11" t="str">
        <f>IF(D15672&lt;&gt;"",IF(COUNTIF('USPTO TMs'!A:A,D15672)&gt;0,"Yes","No"),"")</f>
        <v/>
      </c>
      <c r="C15672" s="11"/>
      <c r="D15672" s="11"/>
      <c r="E15672" s="11"/>
      <c r="F15672" s="11"/>
      <c r="G15672" s="11"/>
      <c r="H15672" s="11"/>
      <c r="I15672" s="15"/>
    </row>
    <row r="15673" spans="1:9" ht="16.5">
      <c r="A15673" s="10" t="b">
        <v>0</v>
      </c>
      <c r="B15673" s="11" t="str">
        <f>IF(D15673&lt;&gt;"",IF(COUNTIF('USPTO TMs'!A:A,D15673)&gt;0,"Yes","No"),"")</f>
        <v/>
      </c>
      <c r="C15673" s="11"/>
      <c r="D15673" s="11"/>
      <c r="E15673" s="11"/>
      <c r="F15673" s="11"/>
      <c r="G15673" s="11"/>
      <c r="H15673" s="11"/>
      <c r="I15673" s="15"/>
    </row>
    <row r="15674" spans="1:9" ht="16.5">
      <c r="A15674" s="10" t="b">
        <v>0</v>
      </c>
      <c r="B15674" s="11" t="str">
        <f>IF(D15674&lt;&gt;"",IF(COUNTIF('USPTO TMs'!A:A,D15674)&gt;0,"Yes","No"),"")</f>
        <v/>
      </c>
      <c r="C15674" s="11"/>
      <c r="D15674" s="11"/>
      <c r="E15674" s="11"/>
      <c r="F15674" s="11"/>
      <c r="G15674" s="11"/>
      <c r="H15674" s="11"/>
      <c r="I15674" s="15"/>
    </row>
    <row r="15675" spans="1:9" ht="16.5">
      <c r="A15675" s="10" t="b">
        <v>0</v>
      </c>
      <c r="B15675" s="11" t="str">
        <f>IF(D15675&lt;&gt;"",IF(COUNTIF('USPTO TMs'!A:A,D15675)&gt;0,"Yes","No"),"")</f>
        <v/>
      </c>
      <c r="C15675" s="11"/>
      <c r="D15675" s="11"/>
      <c r="E15675" s="11"/>
      <c r="F15675" s="11"/>
      <c r="G15675" s="11"/>
      <c r="H15675" s="11"/>
      <c r="I15675" s="15"/>
    </row>
    <row r="15676" spans="1:9" ht="16.5">
      <c r="A15676" s="10" t="b">
        <v>0</v>
      </c>
      <c r="B15676" s="11" t="str">
        <f>IF(D15676&lt;&gt;"",IF(COUNTIF('USPTO TMs'!A:A,D15676)&gt;0,"Yes","No"),"")</f>
        <v/>
      </c>
      <c r="C15676" s="11"/>
      <c r="D15676" s="11"/>
      <c r="E15676" s="11"/>
      <c r="F15676" s="11"/>
      <c r="G15676" s="11"/>
      <c r="H15676" s="11"/>
      <c r="I15676" s="15"/>
    </row>
    <row r="15677" spans="1:9" ht="16.5">
      <c r="A15677" s="10" t="b">
        <v>0</v>
      </c>
      <c r="B15677" s="11" t="str">
        <f>IF(D15677&lt;&gt;"",IF(COUNTIF('USPTO TMs'!A:A,D15677)&gt;0,"Yes","No"),"")</f>
        <v/>
      </c>
      <c r="C15677" s="11"/>
      <c r="D15677" s="11"/>
      <c r="E15677" s="11"/>
      <c r="F15677" s="11"/>
      <c r="G15677" s="11"/>
      <c r="H15677" s="11"/>
      <c r="I15677" s="15"/>
    </row>
    <row r="15678" spans="1:9" ht="16.5">
      <c r="A15678" s="10" t="b">
        <v>0</v>
      </c>
      <c r="B15678" s="11" t="str">
        <f>IF(D15678&lt;&gt;"",IF(COUNTIF('USPTO TMs'!A:A,D15678)&gt;0,"Yes","No"),"")</f>
        <v/>
      </c>
      <c r="C15678" s="11"/>
      <c r="D15678" s="11"/>
      <c r="E15678" s="11"/>
      <c r="F15678" s="11"/>
      <c r="G15678" s="11"/>
      <c r="H15678" s="11"/>
      <c r="I15678" s="15"/>
    </row>
    <row r="15679" spans="1:9" ht="16.5">
      <c r="A15679" s="10" t="b">
        <v>0</v>
      </c>
      <c r="B15679" s="11" t="str">
        <f>IF(D15679&lt;&gt;"",IF(COUNTIF('USPTO TMs'!A:A,D15679)&gt;0,"Yes","No"),"")</f>
        <v/>
      </c>
      <c r="C15679" s="11"/>
      <c r="D15679" s="11"/>
      <c r="E15679" s="11"/>
      <c r="F15679" s="11"/>
      <c r="G15679" s="11"/>
      <c r="H15679" s="11"/>
      <c r="I15679" s="15"/>
    </row>
    <row r="15680" spans="1:9" ht="16.5">
      <c r="A15680" s="10" t="b">
        <v>0</v>
      </c>
      <c r="B15680" s="11" t="str">
        <f>IF(D15680&lt;&gt;"",IF(COUNTIF('USPTO TMs'!A:A,D15680)&gt;0,"Yes","No"),"")</f>
        <v/>
      </c>
      <c r="C15680" s="11"/>
      <c r="D15680" s="11"/>
      <c r="E15680" s="11"/>
      <c r="F15680" s="11"/>
      <c r="G15680" s="11"/>
      <c r="H15680" s="11"/>
      <c r="I15680" s="15"/>
    </row>
    <row r="15681" spans="1:9" ht="16.5">
      <c r="A15681" s="10" t="b">
        <v>0</v>
      </c>
      <c r="B15681" s="11" t="str">
        <f>IF(D15681&lt;&gt;"",IF(COUNTIF('USPTO TMs'!A:A,D15681)&gt;0,"Yes","No"),"")</f>
        <v/>
      </c>
      <c r="C15681" s="11"/>
      <c r="D15681" s="11"/>
      <c r="E15681" s="11"/>
      <c r="F15681" s="11"/>
      <c r="G15681" s="11"/>
      <c r="H15681" s="11"/>
      <c r="I15681" s="15"/>
    </row>
    <row r="15682" spans="1:9" ht="16.5">
      <c r="A15682" s="10" t="b">
        <v>0</v>
      </c>
      <c r="B15682" s="11" t="str">
        <f>IF(D15682&lt;&gt;"",IF(COUNTIF('USPTO TMs'!A:A,D15682)&gt;0,"Yes","No"),"")</f>
        <v/>
      </c>
      <c r="C15682" s="11"/>
      <c r="D15682" s="11"/>
      <c r="E15682" s="11"/>
      <c r="F15682" s="11"/>
      <c r="G15682" s="11"/>
      <c r="H15682" s="11"/>
      <c r="I15682" s="15"/>
    </row>
    <row r="15683" spans="1:9" ht="16.5">
      <c r="A15683" s="10" t="b">
        <v>0</v>
      </c>
      <c r="B15683" s="11" t="str">
        <f>IF(D15683&lt;&gt;"",IF(COUNTIF('USPTO TMs'!A:A,D15683)&gt;0,"Yes","No"),"")</f>
        <v/>
      </c>
      <c r="C15683" s="11"/>
      <c r="D15683" s="11"/>
      <c r="E15683" s="11"/>
      <c r="F15683" s="11"/>
      <c r="G15683" s="11"/>
      <c r="H15683" s="11"/>
      <c r="I15683" s="15"/>
    </row>
    <row r="15684" spans="1:9" ht="16.5">
      <c r="A15684" s="10" t="b">
        <v>0</v>
      </c>
      <c r="B15684" s="11" t="str">
        <f>IF(D15684&lt;&gt;"",IF(COUNTIF('USPTO TMs'!A:A,D15684)&gt;0,"Yes","No"),"")</f>
        <v/>
      </c>
      <c r="C15684" s="11"/>
      <c r="D15684" s="11"/>
      <c r="E15684" s="11"/>
      <c r="F15684" s="11"/>
      <c r="G15684" s="11"/>
      <c r="H15684" s="11"/>
      <c r="I15684" s="15"/>
    </row>
    <row r="15685" spans="1:9" ht="16.5">
      <c r="A15685" s="10" t="b">
        <v>0</v>
      </c>
      <c r="B15685" s="11" t="str">
        <f>IF(D15685&lt;&gt;"",IF(COUNTIF('USPTO TMs'!A:A,D15685)&gt;0,"Yes","No"),"")</f>
        <v/>
      </c>
      <c r="C15685" s="11"/>
      <c r="D15685" s="11"/>
      <c r="E15685" s="11"/>
      <c r="F15685" s="11"/>
      <c r="G15685" s="11"/>
      <c r="H15685" s="11"/>
      <c r="I15685" s="15"/>
    </row>
    <row r="15686" spans="1:9" ht="16.5">
      <c r="A15686" s="10" t="b">
        <v>0</v>
      </c>
      <c r="B15686" s="11" t="str">
        <f>IF(D15686&lt;&gt;"",IF(COUNTIF('USPTO TMs'!A:A,D15686)&gt;0,"Yes","No"),"")</f>
        <v/>
      </c>
      <c r="C15686" s="11"/>
      <c r="D15686" s="11"/>
      <c r="E15686" s="11"/>
      <c r="F15686" s="11"/>
      <c r="G15686" s="11"/>
      <c r="H15686" s="11"/>
      <c r="I15686" s="15"/>
    </row>
    <row r="15687" spans="1:9" ht="16.5">
      <c r="A15687" s="10" t="b">
        <v>0</v>
      </c>
      <c r="B15687" s="11" t="str">
        <f>IF(D15687&lt;&gt;"",IF(COUNTIF('USPTO TMs'!A:A,D15687)&gt;0,"Yes","No"),"")</f>
        <v/>
      </c>
      <c r="C15687" s="11"/>
      <c r="D15687" s="11"/>
      <c r="E15687" s="11"/>
      <c r="F15687" s="11"/>
      <c r="G15687" s="11"/>
      <c r="H15687" s="11"/>
      <c r="I15687" s="15"/>
    </row>
    <row r="15688" spans="1:9" ht="16.5">
      <c r="A15688" s="10" t="b">
        <v>0</v>
      </c>
      <c r="B15688" s="11" t="str">
        <f>IF(D15688&lt;&gt;"",IF(COUNTIF('USPTO TMs'!A:A,D15688)&gt;0,"Yes","No"),"")</f>
        <v/>
      </c>
      <c r="C15688" s="11"/>
      <c r="D15688" s="11"/>
      <c r="E15688" s="11"/>
      <c r="F15688" s="11"/>
      <c r="G15688" s="11"/>
      <c r="H15688" s="11"/>
      <c r="I15688" s="15"/>
    </row>
    <row r="15689" spans="1:9" ht="16.5">
      <c r="A15689" s="10" t="b">
        <v>0</v>
      </c>
      <c r="B15689" s="11" t="str">
        <f>IF(D15689&lt;&gt;"",IF(COUNTIF('USPTO TMs'!A:A,D15689)&gt;0,"Yes","No"),"")</f>
        <v/>
      </c>
      <c r="C15689" s="11"/>
      <c r="D15689" s="11"/>
      <c r="E15689" s="11"/>
      <c r="F15689" s="11"/>
      <c r="G15689" s="11"/>
      <c r="H15689" s="11"/>
      <c r="I15689" s="15"/>
    </row>
    <row r="15690" spans="1:9" ht="16.5">
      <c r="A15690" s="10" t="b">
        <v>0</v>
      </c>
      <c r="B15690" s="11" t="str">
        <f>IF(D15690&lt;&gt;"",IF(COUNTIF('USPTO TMs'!A:A,D15690)&gt;0,"Yes","No"),"")</f>
        <v/>
      </c>
      <c r="C15690" s="11"/>
      <c r="D15690" s="11"/>
      <c r="E15690" s="11"/>
      <c r="F15690" s="11"/>
      <c r="G15690" s="11"/>
      <c r="H15690" s="11"/>
      <c r="I15690" s="15"/>
    </row>
    <row r="15691" spans="1:9" ht="16.5">
      <c r="A15691" s="10" t="b">
        <v>0</v>
      </c>
      <c r="B15691" s="11" t="str">
        <f>IF(D15691&lt;&gt;"",IF(COUNTIF('USPTO TMs'!A:A,D15691)&gt;0,"Yes","No"),"")</f>
        <v/>
      </c>
      <c r="C15691" s="11"/>
      <c r="D15691" s="11"/>
      <c r="E15691" s="11"/>
      <c r="F15691" s="11"/>
      <c r="G15691" s="11"/>
      <c r="H15691" s="11"/>
      <c r="I15691" s="15"/>
    </row>
    <row r="15692" spans="1:9" ht="16.5">
      <c r="A15692" s="10" t="b">
        <v>0</v>
      </c>
      <c r="B15692" s="11" t="str">
        <f>IF(D15692&lt;&gt;"",IF(COUNTIF('USPTO TMs'!A:A,D15692)&gt;0,"Yes","No"),"")</f>
        <v/>
      </c>
      <c r="C15692" s="11"/>
      <c r="D15692" s="11"/>
      <c r="E15692" s="11"/>
      <c r="F15692" s="11"/>
      <c r="G15692" s="11"/>
      <c r="H15692" s="11"/>
      <c r="I15692" s="15"/>
    </row>
    <row r="15693" spans="1:9" ht="16.5">
      <c r="A15693" s="10" t="b">
        <v>0</v>
      </c>
      <c r="B15693" s="11" t="str">
        <f>IF(D15693&lt;&gt;"",IF(COUNTIF('USPTO TMs'!A:A,D15693)&gt;0,"Yes","No"),"")</f>
        <v/>
      </c>
      <c r="C15693" s="11"/>
      <c r="D15693" s="11"/>
      <c r="E15693" s="11"/>
      <c r="F15693" s="11"/>
      <c r="G15693" s="11"/>
      <c r="H15693" s="11"/>
      <c r="I15693" s="15"/>
    </row>
    <row r="15694" spans="1:9" ht="16.5">
      <c r="A15694" s="10" t="b">
        <v>0</v>
      </c>
      <c r="B15694" s="11" t="str">
        <f>IF(D15694&lt;&gt;"",IF(COUNTIF('USPTO TMs'!A:A,D15694)&gt;0,"Yes","No"),"")</f>
        <v/>
      </c>
      <c r="C15694" s="11"/>
      <c r="D15694" s="11"/>
      <c r="E15694" s="11"/>
      <c r="F15694" s="11"/>
      <c r="G15694" s="11"/>
      <c r="H15694" s="11"/>
      <c r="I15694" s="15"/>
    </row>
    <row r="15695" spans="1:9" ht="16.5">
      <c r="A15695" s="10" t="b">
        <v>0</v>
      </c>
      <c r="B15695" s="11" t="str">
        <f>IF(D15695&lt;&gt;"",IF(COUNTIF('USPTO TMs'!A:A,D15695)&gt;0,"Yes","No"),"")</f>
        <v/>
      </c>
      <c r="C15695" s="11"/>
      <c r="D15695" s="11"/>
      <c r="E15695" s="11"/>
      <c r="F15695" s="11"/>
      <c r="G15695" s="11"/>
      <c r="H15695" s="11"/>
      <c r="I15695" s="15"/>
    </row>
    <row r="15696" spans="1:9" ht="16.5">
      <c r="A15696" s="10" t="b">
        <v>0</v>
      </c>
      <c r="B15696" s="11" t="str">
        <f>IF(D15696&lt;&gt;"",IF(COUNTIF('USPTO TMs'!A:A,D15696)&gt;0,"Yes","No"),"")</f>
        <v/>
      </c>
      <c r="C15696" s="11"/>
      <c r="D15696" s="11"/>
      <c r="E15696" s="11"/>
      <c r="F15696" s="11"/>
      <c r="G15696" s="11"/>
      <c r="H15696" s="11"/>
      <c r="I15696" s="15"/>
    </row>
    <row r="15697" spans="1:9" ht="16.5">
      <c r="A15697" s="10" t="b">
        <v>0</v>
      </c>
      <c r="B15697" s="11" t="str">
        <f>IF(D15697&lt;&gt;"",IF(COUNTIF('USPTO TMs'!A:A,D15697)&gt;0,"Yes","No"),"")</f>
        <v/>
      </c>
      <c r="C15697" s="11"/>
      <c r="D15697" s="11"/>
      <c r="E15697" s="11"/>
      <c r="F15697" s="11"/>
      <c r="G15697" s="11"/>
      <c r="H15697" s="11"/>
      <c r="I15697" s="15"/>
    </row>
    <row r="15698" spans="1:9" ht="16.5">
      <c r="A15698" s="10" t="b">
        <v>0</v>
      </c>
      <c r="B15698" s="11" t="str">
        <f>IF(D15698&lt;&gt;"",IF(COUNTIF('USPTO TMs'!A:A,D15698)&gt;0,"Yes","No"),"")</f>
        <v/>
      </c>
      <c r="C15698" s="11"/>
      <c r="D15698" s="11"/>
      <c r="E15698" s="11"/>
      <c r="F15698" s="11"/>
      <c r="G15698" s="11"/>
      <c r="H15698" s="11"/>
      <c r="I15698" s="15"/>
    </row>
    <row r="15699" spans="1:9" ht="16.5">
      <c r="A15699" s="10" t="b">
        <v>0</v>
      </c>
      <c r="B15699" s="11" t="str">
        <f>IF(D15699&lt;&gt;"",IF(COUNTIF('USPTO TMs'!A:A,D15699)&gt;0,"Yes","No"),"")</f>
        <v/>
      </c>
      <c r="C15699" s="11"/>
      <c r="D15699" s="11"/>
      <c r="E15699" s="11"/>
      <c r="F15699" s="11"/>
      <c r="G15699" s="11"/>
      <c r="H15699" s="11"/>
      <c r="I15699" s="15"/>
    </row>
    <row r="15700" spans="1:9" ht="16.5">
      <c r="A15700" s="10" t="b">
        <v>0</v>
      </c>
      <c r="B15700" s="11" t="str">
        <f>IF(D15700&lt;&gt;"",IF(COUNTIF('USPTO TMs'!A:A,D15700)&gt;0,"Yes","No"),"")</f>
        <v/>
      </c>
      <c r="C15700" s="11"/>
      <c r="D15700" s="11"/>
      <c r="E15700" s="11"/>
      <c r="F15700" s="11"/>
      <c r="G15700" s="11"/>
      <c r="H15700" s="11"/>
      <c r="I15700" s="15"/>
    </row>
    <row r="15701" spans="1:9" ht="16.5">
      <c r="A15701" s="10" t="b">
        <v>0</v>
      </c>
      <c r="B15701" s="11" t="str">
        <f>IF(D15701&lt;&gt;"",IF(COUNTIF('USPTO TMs'!A:A,D15701)&gt;0,"Yes","No"),"")</f>
        <v/>
      </c>
      <c r="C15701" s="11"/>
      <c r="D15701" s="11"/>
      <c r="E15701" s="11"/>
      <c r="F15701" s="11"/>
      <c r="G15701" s="11"/>
      <c r="H15701" s="11"/>
      <c r="I15701" s="15"/>
    </row>
    <row r="15702" spans="1:9" ht="16.5">
      <c r="A15702" s="10" t="b">
        <v>0</v>
      </c>
      <c r="B15702" s="11" t="str">
        <f>IF(D15702&lt;&gt;"",IF(COUNTIF('USPTO TMs'!A:A,D15702)&gt;0,"Yes","No"),"")</f>
        <v/>
      </c>
      <c r="C15702" s="11"/>
      <c r="D15702" s="11"/>
      <c r="E15702" s="11"/>
      <c r="F15702" s="11"/>
      <c r="G15702" s="11"/>
      <c r="H15702" s="11"/>
      <c r="I15702" s="15"/>
    </row>
    <row r="15703" spans="1:9" ht="16.5">
      <c r="A15703" s="10" t="b">
        <v>0</v>
      </c>
      <c r="B15703" s="11" t="str">
        <f>IF(D15703&lt;&gt;"",IF(COUNTIF('USPTO TMs'!A:A,D15703)&gt;0,"Yes","No"),"")</f>
        <v/>
      </c>
      <c r="C15703" s="11"/>
      <c r="D15703" s="11"/>
      <c r="E15703" s="11"/>
      <c r="F15703" s="11"/>
      <c r="G15703" s="11"/>
      <c r="H15703" s="11"/>
      <c r="I15703" s="15"/>
    </row>
    <row r="15704" spans="1:9" ht="16.5">
      <c r="A15704" s="10" t="b">
        <v>0</v>
      </c>
      <c r="B15704" s="11" t="str">
        <f>IF(D15704&lt;&gt;"",IF(COUNTIF('USPTO TMs'!A:A,D15704)&gt;0,"Yes","No"),"")</f>
        <v/>
      </c>
      <c r="C15704" s="11"/>
      <c r="D15704" s="11"/>
      <c r="E15704" s="11"/>
      <c r="F15704" s="11"/>
      <c r="G15704" s="11"/>
      <c r="H15704" s="11"/>
      <c r="I15704" s="15"/>
    </row>
    <row r="15705" spans="1:9" ht="16.5">
      <c r="A15705" s="10" t="b">
        <v>0</v>
      </c>
      <c r="B15705" s="11" t="str">
        <f>IF(D15705&lt;&gt;"",IF(COUNTIF('USPTO TMs'!A:A,D15705)&gt;0,"Yes","No"),"")</f>
        <v/>
      </c>
      <c r="C15705" s="11"/>
      <c r="D15705" s="11"/>
      <c r="E15705" s="11"/>
      <c r="F15705" s="11"/>
      <c r="G15705" s="11"/>
      <c r="H15705" s="11"/>
      <c r="I15705" s="15"/>
    </row>
    <row r="15706" spans="1:9" ht="16.5">
      <c r="A15706" s="10" t="b">
        <v>0</v>
      </c>
      <c r="B15706" s="11" t="str">
        <f>IF(D15706&lt;&gt;"",IF(COUNTIF('USPTO TMs'!A:A,D15706)&gt;0,"Yes","No"),"")</f>
        <v/>
      </c>
      <c r="C15706" s="11"/>
      <c r="D15706" s="11"/>
      <c r="E15706" s="11"/>
      <c r="F15706" s="11"/>
      <c r="G15706" s="11"/>
      <c r="H15706" s="11"/>
      <c r="I15706" s="15"/>
    </row>
    <row r="15707" spans="1:9" ht="16.5">
      <c r="A15707" s="10" t="b">
        <v>0</v>
      </c>
      <c r="B15707" s="11" t="str">
        <f>IF(D15707&lt;&gt;"",IF(COUNTIF('USPTO TMs'!A:A,D15707)&gt;0,"Yes","No"),"")</f>
        <v/>
      </c>
      <c r="C15707" s="11"/>
      <c r="D15707" s="11"/>
      <c r="E15707" s="11"/>
      <c r="F15707" s="11"/>
      <c r="G15707" s="11"/>
      <c r="H15707" s="11"/>
      <c r="I15707" s="15"/>
    </row>
    <row r="15708" spans="1:9" ht="16.5">
      <c r="A15708" s="10" t="b">
        <v>0</v>
      </c>
      <c r="B15708" s="11" t="str">
        <f>IF(D15708&lt;&gt;"",IF(COUNTIF('USPTO TMs'!A:A,D15708)&gt;0,"Yes","No"),"")</f>
        <v/>
      </c>
      <c r="C15708" s="11"/>
      <c r="D15708" s="11"/>
      <c r="E15708" s="11"/>
      <c r="F15708" s="11"/>
      <c r="G15708" s="11"/>
      <c r="H15708" s="11"/>
      <c r="I15708" s="15"/>
    </row>
    <row r="15709" spans="1:9" ht="16.5">
      <c r="A15709" s="10" t="b">
        <v>0</v>
      </c>
      <c r="B15709" s="11" t="str">
        <f>IF(D15709&lt;&gt;"",IF(COUNTIF('USPTO TMs'!A:A,D15709)&gt;0,"Yes","No"),"")</f>
        <v/>
      </c>
      <c r="C15709" s="11"/>
      <c r="D15709" s="11"/>
      <c r="E15709" s="11"/>
      <c r="F15709" s="11"/>
      <c r="G15709" s="11"/>
      <c r="H15709" s="11"/>
      <c r="I15709" s="15"/>
    </row>
    <row r="15710" spans="1:9" ht="16.5">
      <c r="A15710" s="10" t="b">
        <v>0</v>
      </c>
      <c r="B15710" s="11" t="str">
        <f>IF(D15710&lt;&gt;"",IF(COUNTIF('USPTO TMs'!A:A,D15710)&gt;0,"Yes","No"),"")</f>
        <v/>
      </c>
      <c r="C15710" s="11"/>
      <c r="D15710" s="11"/>
      <c r="E15710" s="11"/>
      <c r="F15710" s="11"/>
      <c r="G15710" s="11"/>
      <c r="H15710" s="11"/>
      <c r="I15710" s="15"/>
    </row>
    <row r="15711" spans="1:9" ht="16.5">
      <c r="A15711" s="10" t="b">
        <v>0</v>
      </c>
      <c r="B15711" s="11" t="str">
        <f>IF(D15711&lt;&gt;"",IF(COUNTIF('USPTO TMs'!A:A,D15711)&gt;0,"Yes","No"),"")</f>
        <v/>
      </c>
      <c r="C15711" s="11"/>
      <c r="D15711" s="11"/>
      <c r="E15711" s="11"/>
      <c r="F15711" s="11"/>
      <c r="G15711" s="11"/>
      <c r="H15711" s="11"/>
      <c r="I15711" s="15"/>
    </row>
    <row r="15712" spans="1:9" ht="16.5">
      <c r="A15712" s="10" t="b">
        <v>0</v>
      </c>
      <c r="B15712" s="11" t="str">
        <f>IF(D15712&lt;&gt;"",IF(COUNTIF('USPTO TMs'!A:A,D15712)&gt;0,"Yes","No"),"")</f>
        <v/>
      </c>
      <c r="C15712" s="11"/>
      <c r="D15712" s="11"/>
      <c r="E15712" s="11"/>
      <c r="F15712" s="11"/>
      <c r="G15712" s="11"/>
      <c r="H15712" s="11"/>
      <c r="I15712" s="15"/>
    </row>
    <row r="15713" spans="1:9" ht="16.5">
      <c r="A15713" s="10" t="b">
        <v>0</v>
      </c>
      <c r="B15713" s="11" t="str">
        <f>IF(D15713&lt;&gt;"",IF(COUNTIF('USPTO TMs'!A:A,D15713)&gt;0,"Yes","No"),"")</f>
        <v/>
      </c>
      <c r="C15713" s="11"/>
      <c r="D15713" s="11"/>
      <c r="E15713" s="11"/>
      <c r="F15713" s="11"/>
      <c r="G15713" s="11"/>
      <c r="H15713" s="11"/>
      <c r="I15713" s="15"/>
    </row>
    <row r="15714" spans="1:9" ht="16.5">
      <c r="A15714" s="10" t="b">
        <v>0</v>
      </c>
      <c r="B15714" s="11" t="str">
        <f>IF(D15714&lt;&gt;"",IF(COUNTIF('USPTO TMs'!A:A,D15714)&gt;0,"Yes","No"),"")</f>
        <v/>
      </c>
      <c r="C15714" s="11"/>
      <c r="D15714" s="11"/>
      <c r="E15714" s="11"/>
      <c r="F15714" s="11"/>
      <c r="G15714" s="11"/>
      <c r="H15714" s="11"/>
      <c r="I15714" s="15"/>
    </row>
    <row r="15715" spans="1:9" ht="16.5">
      <c r="A15715" s="10" t="b">
        <v>0</v>
      </c>
      <c r="B15715" s="11" t="str">
        <f>IF(D15715&lt;&gt;"",IF(COUNTIF('USPTO TMs'!A:A,D15715)&gt;0,"Yes","No"),"")</f>
        <v/>
      </c>
      <c r="C15715" s="11"/>
      <c r="D15715" s="11"/>
      <c r="E15715" s="11"/>
      <c r="F15715" s="11"/>
      <c r="G15715" s="11"/>
      <c r="H15715" s="11"/>
      <c r="I15715" s="15"/>
    </row>
    <row r="15716" spans="1:9" ht="16.5">
      <c r="A15716" s="10" t="b">
        <v>0</v>
      </c>
      <c r="B15716" s="11" t="str">
        <f>IF(D15716&lt;&gt;"",IF(COUNTIF('USPTO TMs'!A:A,D15716)&gt;0,"Yes","No"),"")</f>
        <v/>
      </c>
      <c r="C15716" s="11"/>
      <c r="D15716" s="11"/>
      <c r="E15716" s="11"/>
      <c r="F15716" s="11"/>
      <c r="G15716" s="11"/>
      <c r="H15716" s="11"/>
      <c r="I15716" s="15"/>
    </row>
    <row r="15717" spans="1:9" ht="16.5">
      <c r="A15717" s="10" t="b">
        <v>0</v>
      </c>
      <c r="B15717" s="11" t="str">
        <f>IF(D15717&lt;&gt;"",IF(COUNTIF('USPTO TMs'!A:A,D15717)&gt;0,"Yes","No"),"")</f>
        <v/>
      </c>
      <c r="C15717" s="11"/>
      <c r="D15717" s="11"/>
      <c r="E15717" s="11"/>
      <c r="F15717" s="11"/>
      <c r="G15717" s="11"/>
      <c r="H15717" s="11"/>
      <c r="I15717" s="15"/>
    </row>
    <row r="15718" spans="1:9" ht="16.5">
      <c r="A15718" s="10" t="b">
        <v>0</v>
      </c>
      <c r="B15718" s="11" t="str">
        <f>IF(D15718&lt;&gt;"",IF(COUNTIF('USPTO TMs'!A:A,D15718)&gt;0,"Yes","No"),"")</f>
        <v/>
      </c>
      <c r="C15718" s="11"/>
      <c r="D15718" s="11"/>
      <c r="E15718" s="11"/>
      <c r="F15718" s="11"/>
      <c r="G15718" s="11"/>
      <c r="H15718" s="11"/>
      <c r="I15718" s="15"/>
    </row>
    <row r="15719" spans="1:9" ht="16.5">
      <c r="A15719" s="10" t="b">
        <v>0</v>
      </c>
      <c r="B15719" s="11" t="str">
        <f>IF(D15719&lt;&gt;"",IF(COUNTIF('USPTO TMs'!A:A,D15719)&gt;0,"Yes","No"),"")</f>
        <v/>
      </c>
      <c r="C15719" s="11"/>
      <c r="D15719" s="11"/>
      <c r="E15719" s="11"/>
      <c r="F15719" s="11"/>
      <c r="G15719" s="11"/>
      <c r="H15719" s="11"/>
      <c r="I15719" s="15"/>
    </row>
    <row r="15720" spans="1:9" ht="16.5">
      <c r="A15720" s="10" t="b">
        <v>0</v>
      </c>
      <c r="B15720" s="11" t="str">
        <f>IF(D15720&lt;&gt;"",IF(COUNTIF('USPTO TMs'!A:A,D15720)&gt;0,"Yes","No"),"")</f>
        <v/>
      </c>
      <c r="C15720" s="11"/>
      <c r="D15720" s="11"/>
      <c r="E15720" s="11"/>
      <c r="F15720" s="11"/>
      <c r="G15720" s="11"/>
      <c r="H15720" s="11"/>
      <c r="I15720" s="15"/>
    </row>
    <row r="15721" spans="1:9" ht="16.5">
      <c r="A15721" s="10" t="b">
        <v>0</v>
      </c>
      <c r="B15721" s="11" t="str">
        <f>IF(D15721&lt;&gt;"",IF(COUNTIF('USPTO TMs'!A:A,D15721)&gt;0,"Yes","No"),"")</f>
        <v/>
      </c>
      <c r="C15721" s="11"/>
      <c r="D15721" s="11"/>
      <c r="E15721" s="11"/>
      <c r="F15721" s="11"/>
      <c r="G15721" s="11"/>
      <c r="H15721" s="11"/>
      <c r="I15721" s="15"/>
    </row>
    <row r="15722" spans="1:9" ht="16.5">
      <c r="A15722" s="10" t="b">
        <v>0</v>
      </c>
      <c r="B15722" s="11" t="str">
        <f>IF(D15722&lt;&gt;"",IF(COUNTIF('USPTO TMs'!A:A,D15722)&gt;0,"Yes","No"),"")</f>
        <v/>
      </c>
      <c r="C15722" s="11"/>
      <c r="D15722" s="11"/>
      <c r="E15722" s="11"/>
      <c r="F15722" s="11"/>
      <c r="G15722" s="11"/>
      <c r="H15722" s="11"/>
      <c r="I15722" s="15"/>
    </row>
    <row r="15723" spans="1:9" ht="16.5">
      <c r="A15723" s="10" t="b">
        <v>0</v>
      </c>
      <c r="B15723" s="11" t="str">
        <f>IF(D15723&lt;&gt;"",IF(COUNTIF('USPTO TMs'!A:A,D15723)&gt;0,"Yes","No"),"")</f>
        <v/>
      </c>
      <c r="C15723" s="11"/>
      <c r="D15723" s="11"/>
      <c r="E15723" s="11"/>
      <c r="F15723" s="11"/>
      <c r="G15723" s="11"/>
      <c r="H15723" s="11"/>
      <c r="I15723" s="15"/>
    </row>
    <row r="15724" spans="1:9" ht="16.5">
      <c r="A15724" s="10" t="b">
        <v>0</v>
      </c>
      <c r="B15724" s="11" t="str">
        <f>IF(D15724&lt;&gt;"",IF(COUNTIF('USPTO TMs'!A:A,D15724)&gt;0,"Yes","No"),"")</f>
        <v/>
      </c>
      <c r="C15724" s="11"/>
      <c r="D15724" s="11"/>
      <c r="E15724" s="11"/>
      <c r="F15724" s="11"/>
      <c r="G15724" s="11"/>
      <c r="H15724" s="11"/>
      <c r="I15724" s="15"/>
    </row>
    <row r="15725" spans="1:9" ht="16.5">
      <c r="A15725" s="10" t="b">
        <v>0</v>
      </c>
      <c r="B15725" s="11" t="str">
        <f>IF(D15725&lt;&gt;"",IF(COUNTIF('USPTO TMs'!A:A,D15725)&gt;0,"Yes","No"),"")</f>
        <v/>
      </c>
      <c r="C15725" s="11"/>
      <c r="D15725" s="11"/>
      <c r="E15725" s="11"/>
      <c r="F15725" s="11"/>
      <c r="G15725" s="11"/>
      <c r="H15725" s="11"/>
      <c r="I15725" s="15"/>
    </row>
    <row r="15726" spans="1:9" ht="16.5">
      <c r="A15726" s="10" t="b">
        <v>0</v>
      </c>
      <c r="B15726" s="11" t="str">
        <f>IF(D15726&lt;&gt;"",IF(COUNTIF('USPTO TMs'!A:A,D15726)&gt;0,"Yes","No"),"")</f>
        <v/>
      </c>
      <c r="C15726" s="11"/>
      <c r="D15726" s="11"/>
      <c r="E15726" s="11"/>
      <c r="F15726" s="11"/>
      <c r="G15726" s="11"/>
      <c r="H15726" s="11"/>
      <c r="I15726" s="15"/>
    </row>
    <row r="15727" spans="1:9" ht="16.5">
      <c r="A15727" s="10" t="b">
        <v>0</v>
      </c>
      <c r="B15727" s="11" t="str">
        <f>IF(D15727&lt;&gt;"",IF(COUNTIF('USPTO TMs'!A:A,D15727)&gt;0,"Yes","No"),"")</f>
        <v/>
      </c>
      <c r="C15727" s="11"/>
      <c r="D15727" s="11"/>
      <c r="E15727" s="11"/>
      <c r="F15727" s="11"/>
      <c r="G15727" s="11"/>
      <c r="H15727" s="11"/>
      <c r="I15727" s="15"/>
    </row>
    <row r="15728" spans="1:9" ht="16.5">
      <c r="A15728" s="10" t="b">
        <v>0</v>
      </c>
      <c r="B15728" s="11" t="str">
        <f>IF(D15728&lt;&gt;"",IF(COUNTIF('USPTO TMs'!A:A,D15728)&gt;0,"Yes","No"),"")</f>
        <v/>
      </c>
      <c r="C15728" s="11"/>
      <c r="D15728" s="11"/>
      <c r="E15728" s="11"/>
      <c r="F15728" s="11"/>
      <c r="G15728" s="11"/>
      <c r="H15728" s="11"/>
      <c r="I15728" s="15"/>
    </row>
    <row r="15729" spans="1:9" ht="16.5">
      <c r="A15729" s="10" t="b">
        <v>0</v>
      </c>
      <c r="B15729" s="11" t="str">
        <f>IF(D15729&lt;&gt;"",IF(COUNTIF('USPTO TMs'!A:A,D15729)&gt;0,"Yes","No"),"")</f>
        <v/>
      </c>
      <c r="C15729" s="11"/>
      <c r="D15729" s="11"/>
      <c r="E15729" s="11"/>
      <c r="F15729" s="11"/>
      <c r="G15729" s="11"/>
      <c r="H15729" s="11"/>
      <c r="I15729" s="15"/>
    </row>
    <row r="15730" spans="1:9" ht="16.5">
      <c r="A15730" s="10" t="b">
        <v>0</v>
      </c>
      <c r="B15730" s="11" t="str">
        <f>IF(D15730&lt;&gt;"",IF(COUNTIF('USPTO TMs'!A:A,D15730)&gt;0,"Yes","No"),"")</f>
        <v/>
      </c>
      <c r="C15730" s="11"/>
      <c r="D15730" s="11"/>
      <c r="E15730" s="11"/>
      <c r="F15730" s="11"/>
      <c r="G15730" s="11"/>
      <c r="H15730" s="11"/>
      <c r="I15730" s="15"/>
    </row>
    <row r="15731" spans="1:9" ht="16.5">
      <c r="A15731" s="10" t="b">
        <v>0</v>
      </c>
      <c r="B15731" s="11" t="str">
        <f>IF(D15731&lt;&gt;"",IF(COUNTIF('USPTO TMs'!A:A,D15731)&gt;0,"Yes","No"),"")</f>
        <v/>
      </c>
      <c r="C15731" s="11"/>
      <c r="D15731" s="11"/>
      <c r="E15731" s="11"/>
      <c r="F15731" s="11"/>
      <c r="G15731" s="11"/>
      <c r="H15731" s="11"/>
      <c r="I15731" s="15"/>
    </row>
    <row r="15732" spans="1:9" ht="16.5">
      <c r="A15732" s="10" t="b">
        <v>0</v>
      </c>
      <c r="B15732" s="11" t="str">
        <f>IF(D15732&lt;&gt;"",IF(COUNTIF('USPTO TMs'!A:A,D15732)&gt;0,"Yes","No"),"")</f>
        <v/>
      </c>
      <c r="C15732" s="11"/>
      <c r="D15732" s="11"/>
      <c r="E15732" s="11"/>
      <c r="F15732" s="11"/>
      <c r="G15732" s="11"/>
      <c r="H15732" s="11"/>
      <c r="I15732" s="15"/>
    </row>
    <row r="15733" spans="1:9" ht="16.5">
      <c r="A15733" s="10" t="b">
        <v>0</v>
      </c>
      <c r="B15733" s="11" t="str">
        <f>IF(D15733&lt;&gt;"",IF(COUNTIF('USPTO TMs'!A:A,D15733)&gt;0,"Yes","No"),"")</f>
        <v/>
      </c>
      <c r="C15733" s="11"/>
      <c r="D15733" s="11"/>
      <c r="E15733" s="11"/>
      <c r="F15733" s="11"/>
      <c r="G15733" s="11"/>
      <c r="H15733" s="11"/>
      <c r="I15733" s="15"/>
    </row>
    <row r="15734" spans="1:9" ht="16.5">
      <c r="A15734" s="10" t="b">
        <v>0</v>
      </c>
      <c r="B15734" s="11" t="str">
        <f>IF(D15734&lt;&gt;"",IF(COUNTIF('USPTO TMs'!A:A,D15734)&gt;0,"Yes","No"),"")</f>
        <v/>
      </c>
      <c r="C15734" s="11"/>
      <c r="D15734" s="11"/>
      <c r="E15734" s="11"/>
      <c r="F15734" s="11"/>
      <c r="G15734" s="11"/>
      <c r="H15734" s="11"/>
      <c r="I15734" s="15"/>
    </row>
    <row r="15735" spans="1:9" ht="16.5">
      <c r="A15735" s="10" t="b">
        <v>0</v>
      </c>
      <c r="B15735" s="11" t="str">
        <f>IF(D15735&lt;&gt;"",IF(COUNTIF('USPTO TMs'!A:A,D15735)&gt;0,"Yes","No"),"")</f>
        <v/>
      </c>
      <c r="C15735" s="11"/>
      <c r="D15735" s="11"/>
      <c r="E15735" s="11"/>
      <c r="F15735" s="11"/>
      <c r="G15735" s="11"/>
      <c r="H15735" s="11"/>
      <c r="I15735" s="15"/>
    </row>
    <row r="15736" spans="1:9" ht="16.5">
      <c r="A15736" s="10" t="b">
        <v>0</v>
      </c>
      <c r="B15736" s="11" t="str">
        <f>IF(D15736&lt;&gt;"",IF(COUNTIF('USPTO TMs'!A:A,D15736)&gt;0,"Yes","No"),"")</f>
        <v/>
      </c>
      <c r="C15736" s="11"/>
      <c r="D15736" s="11"/>
      <c r="E15736" s="11"/>
      <c r="F15736" s="11"/>
      <c r="G15736" s="11"/>
      <c r="H15736" s="11"/>
      <c r="I15736" s="15"/>
    </row>
    <row r="15737" spans="1:9" ht="16.5">
      <c r="A15737" s="10" t="b">
        <v>0</v>
      </c>
      <c r="B15737" s="11" t="str">
        <f>IF(D15737&lt;&gt;"",IF(COUNTIF('USPTO TMs'!A:A,D15737)&gt;0,"Yes","No"),"")</f>
        <v/>
      </c>
      <c r="C15737" s="11"/>
      <c r="D15737" s="11"/>
      <c r="E15737" s="11"/>
      <c r="F15737" s="11"/>
      <c r="G15737" s="11"/>
      <c r="H15737" s="11"/>
      <c r="I15737" s="15"/>
    </row>
    <row r="15738" spans="1:9" ht="16.5">
      <c r="A15738" s="10" t="b">
        <v>0</v>
      </c>
      <c r="B15738" s="11" t="str">
        <f>IF(D15738&lt;&gt;"",IF(COUNTIF('USPTO TMs'!A:A,D15738)&gt;0,"Yes","No"),"")</f>
        <v/>
      </c>
      <c r="C15738" s="11"/>
      <c r="D15738" s="11"/>
      <c r="E15738" s="11"/>
      <c r="F15738" s="11"/>
      <c r="G15738" s="11"/>
      <c r="H15738" s="11"/>
      <c r="I15738" s="15"/>
    </row>
    <row r="15739" spans="1:9" ht="16.5">
      <c r="A15739" s="10" t="b">
        <v>0</v>
      </c>
      <c r="B15739" s="11" t="str">
        <f>IF(D15739&lt;&gt;"",IF(COUNTIF('USPTO TMs'!A:A,D15739)&gt;0,"Yes","No"),"")</f>
        <v/>
      </c>
      <c r="C15739" s="11"/>
      <c r="D15739" s="11"/>
      <c r="E15739" s="11"/>
      <c r="F15739" s="11"/>
      <c r="G15739" s="11"/>
      <c r="H15739" s="11"/>
      <c r="I15739" s="15"/>
    </row>
    <row r="15740" spans="1:9" ht="16.5">
      <c r="A15740" s="10" t="b">
        <v>0</v>
      </c>
      <c r="B15740" s="11" t="str">
        <f>IF(D15740&lt;&gt;"",IF(COUNTIF('USPTO TMs'!A:A,D15740)&gt;0,"Yes","No"),"")</f>
        <v/>
      </c>
      <c r="C15740" s="11"/>
      <c r="D15740" s="11"/>
      <c r="E15740" s="11"/>
      <c r="F15740" s="11"/>
      <c r="G15740" s="11"/>
      <c r="H15740" s="11"/>
      <c r="I15740" s="15"/>
    </row>
    <row r="15741" spans="1:9" ht="16.5">
      <c r="A15741" s="10" t="b">
        <v>0</v>
      </c>
      <c r="B15741" s="11" t="str">
        <f>IF(D15741&lt;&gt;"",IF(COUNTIF('USPTO TMs'!A:A,D15741)&gt;0,"Yes","No"),"")</f>
        <v/>
      </c>
      <c r="C15741" s="11"/>
      <c r="D15741" s="11"/>
      <c r="E15741" s="11"/>
      <c r="F15741" s="11"/>
      <c r="G15741" s="11"/>
      <c r="H15741" s="11"/>
      <c r="I15741" s="15"/>
    </row>
    <row r="15742" spans="1:9" ht="16.5">
      <c r="A15742" s="10" t="b">
        <v>0</v>
      </c>
      <c r="B15742" s="11" t="str">
        <f>IF(D15742&lt;&gt;"",IF(COUNTIF('USPTO TMs'!A:A,D15742)&gt;0,"Yes","No"),"")</f>
        <v/>
      </c>
      <c r="C15742" s="11"/>
      <c r="D15742" s="11"/>
      <c r="E15742" s="11"/>
      <c r="F15742" s="11"/>
      <c r="G15742" s="11"/>
      <c r="H15742" s="11"/>
      <c r="I15742" s="15"/>
    </row>
    <row r="15743" spans="1:9" ht="16.5">
      <c r="A15743" s="10" t="b">
        <v>0</v>
      </c>
      <c r="B15743" s="11" t="str">
        <f>IF(D15743&lt;&gt;"",IF(COUNTIF('USPTO TMs'!A:A,D15743)&gt;0,"Yes","No"),"")</f>
        <v/>
      </c>
      <c r="C15743" s="11"/>
      <c r="D15743" s="11"/>
      <c r="E15743" s="11"/>
      <c r="F15743" s="11"/>
      <c r="G15743" s="11"/>
      <c r="H15743" s="11"/>
      <c r="I15743" s="15"/>
    </row>
    <row r="15744" spans="1:9" ht="16.5">
      <c r="A15744" s="10" t="b">
        <v>0</v>
      </c>
      <c r="B15744" s="11" t="str">
        <f>IF(D15744&lt;&gt;"",IF(COUNTIF('USPTO TMs'!A:A,D15744)&gt;0,"Yes","No"),"")</f>
        <v/>
      </c>
      <c r="C15744" s="11"/>
      <c r="D15744" s="11"/>
      <c r="E15744" s="11"/>
      <c r="F15744" s="11"/>
      <c r="G15744" s="11"/>
      <c r="H15744" s="11"/>
      <c r="I15744" s="15"/>
    </row>
    <row r="15745" spans="1:9" ht="16.5">
      <c r="A15745" s="10" t="b">
        <v>0</v>
      </c>
      <c r="B15745" s="11" t="str">
        <f>IF(D15745&lt;&gt;"",IF(COUNTIF('USPTO TMs'!A:A,D15745)&gt;0,"Yes","No"),"")</f>
        <v/>
      </c>
      <c r="C15745" s="11"/>
      <c r="D15745" s="11"/>
      <c r="E15745" s="11"/>
      <c r="F15745" s="11"/>
      <c r="G15745" s="11"/>
      <c r="H15745" s="11"/>
      <c r="I15745" s="15"/>
    </row>
    <row r="15746" spans="1:9" ht="16.5">
      <c r="A15746" s="10" t="b">
        <v>0</v>
      </c>
      <c r="B15746" s="11" t="str">
        <f>IF(D15746&lt;&gt;"",IF(COUNTIF('USPTO TMs'!A:A,D15746)&gt;0,"Yes","No"),"")</f>
        <v/>
      </c>
      <c r="C15746" s="11"/>
      <c r="D15746" s="11"/>
      <c r="E15746" s="11"/>
      <c r="F15746" s="11"/>
      <c r="G15746" s="11"/>
      <c r="H15746" s="11"/>
      <c r="I15746" s="15"/>
    </row>
    <row r="15747" spans="1:9" ht="16.5">
      <c r="A15747" s="10" t="b">
        <v>0</v>
      </c>
      <c r="B15747" s="11" t="str">
        <f>IF(D15747&lt;&gt;"",IF(COUNTIF('USPTO TMs'!A:A,D15747)&gt;0,"Yes","No"),"")</f>
        <v/>
      </c>
      <c r="C15747" s="11"/>
      <c r="D15747" s="11"/>
      <c r="E15747" s="11"/>
      <c r="F15747" s="11"/>
      <c r="G15747" s="11"/>
      <c r="H15747" s="11"/>
      <c r="I15747" s="15"/>
    </row>
    <row r="15748" spans="1:9" ht="16.5">
      <c r="A15748" s="10" t="b">
        <v>0</v>
      </c>
      <c r="B15748" s="11" t="str">
        <f>IF(D15748&lt;&gt;"",IF(COUNTIF('USPTO TMs'!A:A,D15748)&gt;0,"Yes","No"),"")</f>
        <v/>
      </c>
      <c r="C15748" s="11"/>
      <c r="D15748" s="11"/>
      <c r="E15748" s="11"/>
      <c r="F15748" s="11"/>
      <c r="G15748" s="11"/>
      <c r="H15748" s="11"/>
      <c r="I15748" s="15"/>
    </row>
    <row r="15749" spans="1:9" ht="16.5">
      <c r="A15749" s="10" t="b">
        <v>0</v>
      </c>
      <c r="B15749" s="11" t="str">
        <f>IF(D15749&lt;&gt;"",IF(COUNTIF('USPTO TMs'!A:A,D15749)&gt;0,"Yes","No"),"")</f>
        <v/>
      </c>
      <c r="C15749" s="11"/>
      <c r="D15749" s="11"/>
      <c r="E15749" s="11"/>
      <c r="F15749" s="11"/>
      <c r="G15749" s="11"/>
      <c r="H15749" s="11"/>
      <c r="I15749" s="15"/>
    </row>
    <row r="15750" spans="1:9" ht="16.5">
      <c r="A15750" s="10" t="b">
        <v>0</v>
      </c>
      <c r="B15750" s="11" t="str">
        <f>IF(D15750&lt;&gt;"",IF(COUNTIF('USPTO TMs'!A:A,D15750)&gt;0,"Yes","No"),"")</f>
        <v/>
      </c>
      <c r="C15750" s="11"/>
      <c r="D15750" s="11"/>
      <c r="E15750" s="11"/>
      <c r="F15750" s="11"/>
      <c r="G15750" s="11"/>
      <c r="H15750" s="11"/>
      <c r="I15750" s="15"/>
    </row>
    <row r="15751" spans="1:9" ht="16.5">
      <c r="A15751" s="10" t="b">
        <v>0</v>
      </c>
      <c r="B15751" s="11" t="str">
        <f>IF(D15751&lt;&gt;"",IF(COUNTIF('USPTO TMs'!A:A,D15751)&gt;0,"Yes","No"),"")</f>
        <v/>
      </c>
      <c r="C15751" s="11"/>
      <c r="D15751" s="11"/>
      <c r="E15751" s="11"/>
      <c r="F15751" s="11"/>
      <c r="G15751" s="11"/>
      <c r="H15751" s="11"/>
      <c r="I15751" s="15"/>
    </row>
    <row r="15752" spans="1:9" ht="16.5">
      <c r="A15752" s="10" t="b">
        <v>0</v>
      </c>
      <c r="B15752" s="11" t="str">
        <f>IF(D15752&lt;&gt;"",IF(COUNTIF('USPTO TMs'!A:A,D15752)&gt;0,"Yes","No"),"")</f>
        <v/>
      </c>
      <c r="C15752" s="11"/>
      <c r="D15752" s="11"/>
      <c r="E15752" s="11"/>
      <c r="F15752" s="11"/>
      <c r="G15752" s="11"/>
      <c r="H15752" s="11"/>
      <c r="I15752" s="15"/>
    </row>
    <row r="15753" spans="1:9" ht="16.5">
      <c r="A15753" s="10" t="b">
        <v>0</v>
      </c>
      <c r="B15753" s="11" t="str">
        <f>IF(D15753&lt;&gt;"",IF(COUNTIF('USPTO TMs'!A:A,D15753)&gt;0,"Yes","No"),"")</f>
        <v/>
      </c>
      <c r="C15753" s="11"/>
      <c r="D15753" s="11"/>
      <c r="E15753" s="11"/>
      <c r="F15753" s="11"/>
      <c r="G15753" s="11"/>
      <c r="H15753" s="11"/>
      <c r="I15753" s="15"/>
    </row>
    <row r="15754" spans="1:9" ht="16.5">
      <c r="A15754" s="10" t="b">
        <v>0</v>
      </c>
      <c r="B15754" s="11" t="str">
        <f>IF(D15754&lt;&gt;"",IF(COUNTIF('USPTO TMs'!A:A,D15754)&gt;0,"Yes","No"),"")</f>
        <v/>
      </c>
      <c r="C15754" s="11"/>
      <c r="D15754" s="11"/>
      <c r="E15754" s="11"/>
      <c r="F15754" s="11"/>
      <c r="G15754" s="11"/>
      <c r="H15754" s="11"/>
      <c r="I15754" s="15"/>
    </row>
    <row r="15755" spans="1:9" ht="16.5">
      <c r="A15755" s="10" t="b">
        <v>0</v>
      </c>
      <c r="B15755" s="11" t="str">
        <f>IF(D15755&lt;&gt;"",IF(COUNTIF('USPTO TMs'!A:A,D15755)&gt;0,"Yes","No"),"")</f>
        <v/>
      </c>
      <c r="C15755" s="11"/>
      <c r="D15755" s="11"/>
      <c r="E15755" s="11"/>
      <c r="F15755" s="11"/>
      <c r="G15755" s="11"/>
      <c r="H15755" s="11"/>
      <c r="I15755" s="15"/>
    </row>
    <row r="15756" spans="1:9" ht="16.5">
      <c r="A15756" s="10" t="b">
        <v>0</v>
      </c>
      <c r="B15756" s="11" t="str">
        <f>IF(D15756&lt;&gt;"",IF(COUNTIF('USPTO TMs'!A:A,D15756)&gt;0,"Yes","No"),"")</f>
        <v/>
      </c>
      <c r="C15756" s="11"/>
      <c r="D15756" s="11"/>
      <c r="E15756" s="11"/>
      <c r="F15756" s="11"/>
      <c r="G15756" s="11"/>
      <c r="H15756" s="11"/>
      <c r="I15756" s="15"/>
    </row>
    <row r="15757" spans="1:9" ht="16.5">
      <c r="A15757" s="10" t="b">
        <v>0</v>
      </c>
      <c r="B15757" s="11" t="str">
        <f>IF(D15757&lt;&gt;"",IF(COUNTIF('USPTO TMs'!A:A,D15757)&gt;0,"Yes","No"),"")</f>
        <v/>
      </c>
      <c r="C15757" s="11"/>
      <c r="D15757" s="11"/>
      <c r="E15757" s="11"/>
      <c r="F15757" s="11"/>
      <c r="G15757" s="11"/>
      <c r="H15757" s="11"/>
      <c r="I15757" s="15"/>
    </row>
    <row r="15758" spans="1:9" ht="16.5">
      <c r="A15758" s="10" t="b">
        <v>0</v>
      </c>
      <c r="B15758" s="11" t="str">
        <f>IF(D15758&lt;&gt;"",IF(COUNTIF('USPTO TMs'!A:A,D15758)&gt;0,"Yes","No"),"")</f>
        <v/>
      </c>
      <c r="C15758" s="11"/>
      <c r="D15758" s="11"/>
      <c r="E15758" s="11"/>
      <c r="F15758" s="11"/>
      <c r="G15758" s="11"/>
      <c r="H15758" s="11"/>
      <c r="I15758" s="15"/>
    </row>
    <row r="15759" spans="1:9" ht="16.5">
      <c r="A15759" s="10" t="b">
        <v>0</v>
      </c>
      <c r="B15759" s="11" t="str">
        <f>IF(D15759&lt;&gt;"",IF(COUNTIF('USPTO TMs'!A:A,D15759)&gt;0,"Yes","No"),"")</f>
        <v/>
      </c>
      <c r="C15759" s="11"/>
      <c r="D15759" s="11"/>
      <c r="E15759" s="11"/>
      <c r="F15759" s="11"/>
      <c r="G15759" s="11"/>
      <c r="H15759" s="11"/>
      <c r="I15759" s="15"/>
    </row>
    <row r="15760" spans="1:9" ht="16.5">
      <c r="A15760" s="10" t="b">
        <v>0</v>
      </c>
      <c r="B15760" s="11" t="str">
        <f>IF(D15760&lt;&gt;"",IF(COUNTIF('USPTO TMs'!A:A,D15760)&gt;0,"Yes","No"),"")</f>
        <v/>
      </c>
      <c r="C15760" s="11"/>
      <c r="D15760" s="11"/>
      <c r="E15760" s="11"/>
      <c r="F15760" s="11"/>
      <c r="G15760" s="11"/>
      <c r="H15760" s="11"/>
      <c r="I15760" s="15"/>
    </row>
    <row r="15761" spans="1:9" ht="16.5">
      <c r="A15761" s="10" t="b">
        <v>0</v>
      </c>
      <c r="B15761" s="11" t="str">
        <f>IF(D15761&lt;&gt;"",IF(COUNTIF('USPTO TMs'!A:A,D15761)&gt;0,"Yes","No"),"")</f>
        <v/>
      </c>
      <c r="C15761" s="11"/>
      <c r="D15761" s="11"/>
      <c r="E15761" s="11"/>
      <c r="F15761" s="11"/>
      <c r="G15761" s="11"/>
      <c r="H15761" s="11"/>
      <c r="I15761" s="15"/>
    </row>
    <row r="15762" spans="1:9" ht="16.5">
      <c r="A15762" s="10" t="b">
        <v>0</v>
      </c>
      <c r="B15762" s="11" t="str">
        <f>IF(D15762&lt;&gt;"",IF(COUNTIF('USPTO TMs'!A:A,D15762)&gt;0,"Yes","No"),"")</f>
        <v/>
      </c>
      <c r="C15762" s="11"/>
      <c r="D15762" s="11"/>
      <c r="E15762" s="11"/>
      <c r="F15762" s="11"/>
      <c r="G15762" s="11"/>
      <c r="H15762" s="11"/>
      <c r="I15762" s="15"/>
    </row>
    <row r="15763" spans="1:9" ht="16.5">
      <c r="A15763" s="10" t="b">
        <v>0</v>
      </c>
      <c r="B15763" s="11" t="str">
        <f>IF(D15763&lt;&gt;"",IF(COUNTIF('USPTO TMs'!A:A,D15763)&gt;0,"Yes","No"),"")</f>
        <v/>
      </c>
      <c r="C15763" s="11"/>
      <c r="D15763" s="11"/>
      <c r="E15763" s="11"/>
      <c r="F15763" s="11"/>
      <c r="G15763" s="11"/>
      <c r="H15763" s="11"/>
      <c r="I15763" s="15"/>
    </row>
    <row r="15764" spans="1:9" ht="16.5">
      <c r="A15764" s="10" t="b">
        <v>0</v>
      </c>
      <c r="B15764" s="11" t="str">
        <f>IF(D15764&lt;&gt;"",IF(COUNTIF('USPTO TMs'!A:A,D15764)&gt;0,"Yes","No"),"")</f>
        <v/>
      </c>
      <c r="C15764" s="11"/>
      <c r="D15764" s="11"/>
      <c r="E15764" s="11"/>
      <c r="F15764" s="11"/>
      <c r="G15764" s="11"/>
      <c r="H15764" s="11"/>
      <c r="I15764" s="15"/>
    </row>
    <row r="15765" spans="1:9" ht="16.5">
      <c r="A15765" s="10" t="b">
        <v>0</v>
      </c>
      <c r="B15765" s="11" t="str">
        <f>IF(D15765&lt;&gt;"",IF(COUNTIF('USPTO TMs'!A:A,D15765)&gt;0,"Yes","No"),"")</f>
        <v/>
      </c>
      <c r="C15765" s="11"/>
      <c r="D15765" s="11"/>
      <c r="E15765" s="11"/>
      <c r="F15765" s="11"/>
      <c r="G15765" s="11"/>
      <c r="H15765" s="11"/>
      <c r="I15765" s="15"/>
    </row>
    <row r="15766" spans="1:9" ht="16.5">
      <c r="A15766" s="10" t="b">
        <v>0</v>
      </c>
      <c r="B15766" s="11" t="str">
        <f>IF(D15766&lt;&gt;"",IF(COUNTIF('USPTO TMs'!A:A,D15766)&gt;0,"Yes","No"),"")</f>
        <v/>
      </c>
      <c r="C15766" s="11"/>
      <c r="D15766" s="11"/>
      <c r="E15766" s="11"/>
      <c r="F15766" s="11"/>
      <c r="G15766" s="11"/>
      <c r="H15766" s="11"/>
      <c r="I15766" s="15"/>
    </row>
    <row r="15767" spans="1:9" ht="16.5">
      <c r="A15767" s="10" t="b">
        <v>0</v>
      </c>
      <c r="B15767" s="11" t="str">
        <f>IF(D15767&lt;&gt;"",IF(COUNTIF('USPTO TMs'!A:A,D15767)&gt;0,"Yes","No"),"")</f>
        <v/>
      </c>
      <c r="C15767" s="11"/>
      <c r="D15767" s="11"/>
      <c r="E15767" s="11"/>
      <c r="F15767" s="11"/>
      <c r="G15767" s="11"/>
      <c r="H15767" s="11"/>
      <c r="I15767" s="15"/>
    </row>
    <row r="15768" spans="1:9" ht="16.5">
      <c r="A15768" s="10" t="b">
        <v>0</v>
      </c>
      <c r="B15768" s="11" t="str">
        <f>IF(D15768&lt;&gt;"",IF(COUNTIF('USPTO TMs'!A:A,D15768)&gt;0,"Yes","No"),"")</f>
        <v/>
      </c>
      <c r="C15768" s="11"/>
      <c r="D15768" s="11"/>
      <c r="E15768" s="11"/>
      <c r="F15768" s="11"/>
      <c r="G15768" s="11"/>
      <c r="H15768" s="11"/>
      <c r="I15768" s="15"/>
    </row>
    <row r="15769" spans="1:9" ht="16.5">
      <c r="A15769" s="10" t="b">
        <v>0</v>
      </c>
      <c r="B15769" s="11" t="str">
        <f>IF(D15769&lt;&gt;"",IF(COUNTIF('USPTO TMs'!A:A,D15769)&gt;0,"Yes","No"),"")</f>
        <v/>
      </c>
      <c r="C15769" s="11"/>
      <c r="D15769" s="11"/>
      <c r="E15769" s="11"/>
      <c r="F15769" s="11"/>
      <c r="G15769" s="11"/>
      <c r="H15769" s="11"/>
      <c r="I15769" s="15"/>
    </row>
    <row r="15770" spans="1:9" ht="16.5">
      <c r="A15770" s="10" t="b">
        <v>0</v>
      </c>
      <c r="B15770" s="11" t="str">
        <f>IF(D15770&lt;&gt;"",IF(COUNTIF('USPTO TMs'!A:A,D15770)&gt;0,"Yes","No"),"")</f>
        <v/>
      </c>
      <c r="C15770" s="11"/>
      <c r="D15770" s="11"/>
      <c r="E15770" s="11"/>
      <c r="F15770" s="11"/>
      <c r="G15770" s="11"/>
      <c r="H15770" s="11"/>
      <c r="I15770" s="15"/>
    </row>
    <row r="15771" spans="1:9" ht="16.5">
      <c r="A15771" s="10" t="b">
        <v>0</v>
      </c>
      <c r="B15771" s="11" t="str">
        <f>IF(D15771&lt;&gt;"",IF(COUNTIF('USPTO TMs'!A:A,D15771)&gt;0,"Yes","No"),"")</f>
        <v/>
      </c>
      <c r="C15771" s="11"/>
      <c r="D15771" s="11"/>
      <c r="E15771" s="11"/>
      <c r="F15771" s="11"/>
      <c r="G15771" s="11"/>
      <c r="H15771" s="11"/>
      <c r="I15771" s="15"/>
    </row>
    <row r="15772" spans="1:9" ht="16.5">
      <c r="A15772" s="10" t="b">
        <v>0</v>
      </c>
      <c r="B15772" s="11" t="str">
        <f>IF(D15772&lt;&gt;"",IF(COUNTIF('USPTO TMs'!A:A,D15772)&gt;0,"Yes","No"),"")</f>
        <v/>
      </c>
      <c r="C15772" s="11"/>
      <c r="D15772" s="11"/>
      <c r="E15772" s="11"/>
      <c r="F15772" s="11"/>
      <c r="G15772" s="11"/>
      <c r="H15772" s="11"/>
      <c r="I15772" s="15"/>
    </row>
    <row r="15773" spans="1:9" ht="16.5">
      <c r="A15773" s="10" t="b">
        <v>0</v>
      </c>
      <c r="B15773" s="11" t="str">
        <f>IF(D15773&lt;&gt;"",IF(COUNTIF('USPTO TMs'!A:A,D15773)&gt;0,"Yes","No"),"")</f>
        <v/>
      </c>
      <c r="C15773" s="11"/>
      <c r="D15773" s="11"/>
      <c r="E15773" s="11"/>
      <c r="F15773" s="11"/>
      <c r="G15773" s="11"/>
      <c r="H15773" s="11"/>
      <c r="I15773" s="15"/>
    </row>
    <row r="15774" spans="1:9" ht="16.5">
      <c r="A15774" s="10" t="b">
        <v>0</v>
      </c>
      <c r="B15774" s="11" t="str">
        <f>IF(D15774&lt;&gt;"",IF(COUNTIF('USPTO TMs'!A:A,D15774)&gt;0,"Yes","No"),"")</f>
        <v/>
      </c>
      <c r="C15774" s="11"/>
      <c r="D15774" s="11"/>
      <c r="E15774" s="11"/>
      <c r="F15774" s="11"/>
      <c r="G15774" s="11"/>
      <c r="H15774" s="11"/>
      <c r="I15774" s="15"/>
    </row>
    <row r="15775" spans="1:9" ht="16.5">
      <c r="A15775" s="10" t="b">
        <v>0</v>
      </c>
      <c r="B15775" s="11" t="str">
        <f>IF(D15775&lt;&gt;"",IF(COUNTIF('USPTO TMs'!A:A,D15775)&gt;0,"Yes","No"),"")</f>
        <v/>
      </c>
      <c r="C15775" s="11"/>
      <c r="D15775" s="11"/>
      <c r="E15775" s="11"/>
      <c r="F15775" s="11"/>
      <c r="G15775" s="11"/>
      <c r="H15775" s="11"/>
      <c r="I15775" s="15"/>
    </row>
    <row r="15776" spans="1:9" ht="16.5">
      <c r="A15776" s="10" t="b">
        <v>0</v>
      </c>
      <c r="B15776" s="11" t="str">
        <f>IF(D15776&lt;&gt;"",IF(COUNTIF('USPTO TMs'!A:A,D15776)&gt;0,"Yes","No"),"")</f>
        <v/>
      </c>
      <c r="C15776" s="11"/>
      <c r="D15776" s="11"/>
      <c r="E15776" s="11"/>
      <c r="F15776" s="11"/>
      <c r="G15776" s="11"/>
      <c r="H15776" s="11"/>
      <c r="I15776" s="15"/>
    </row>
    <row r="15777" spans="1:9" ht="16.5">
      <c r="A15777" s="10" t="b">
        <v>0</v>
      </c>
      <c r="B15777" s="11" t="str">
        <f>IF(D15777&lt;&gt;"",IF(COUNTIF('USPTO TMs'!A:A,D15777)&gt;0,"Yes","No"),"")</f>
        <v/>
      </c>
      <c r="C15777" s="11"/>
      <c r="D15777" s="11"/>
      <c r="E15777" s="11"/>
      <c r="F15777" s="11"/>
      <c r="G15777" s="11"/>
      <c r="H15777" s="11"/>
      <c r="I15777" s="15"/>
    </row>
    <row r="15778" spans="1:9" ht="16.5">
      <c r="A15778" s="10" t="b">
        <v>0</v>
      </c>
      <c r="B15778" s="11" t="str">
        <f>IF(D15778&lt;&gt;"",IF(COUNTIF('USPTO TMs'!A:A,D15778)&gt;0,"Yes","No"),"")</f>
        <v/>
      </c>
      <c r="C15778" s="11"/>
      <c r="D15778" s="11"/>
      <c r="E15778" s="11"/>
      <c r="F15778" s="11"/>
      <c r="G15778" s="11"/>
      <c r="H15778" s="11"/>
      <c r="I15778" s="15"/>
    </row>
    <row r="15779" spans="1:9" ht="16.5">
      <c r="A15779" s="10" t="b">
        <v>0</v>
      </c>
      <c r="B15779" s="11" t="str">
        <f>IF(D15779&lt;&gt;"",IF(COUNTIF('USPTO TMs'!A:A,D15779)&gt;0,"Yes","No"),"")</f>
        <v/>
      </c>
      <c r="C15779" s="11"/>
      <c r="D15779" s="11"/>
      <c r="E15779" s="11"/>
      <c r="F15779" s="11"/>
      <c r="G15779" s="11"/>
      <c r="H15779" s="11"/>
      <c r="I15779" s="15"/>
    </row>
    <row r="15780" spans="1:9" ht="16.5">
      <c r="A15780" s="10" t="b">
        <v>0</v>
      </c>
      <c r="B15780" s="11" t="str">
        <f>IF(D15780&lt;&gt;"",IF(COUNTIF('USPTO TMs'!A:A,D15780)&gt;0,"Yes","No"),"")</f>
        <v/>
      </c>
      <c r="C15780" s="11"/>
      <c r="D15780" s="11"/>
      <c r="E15780" s="11"/>
      <c r="F15780" s="11"/>
      <c r="G15780" s="11"/>
      <c r="H15780" s="11"/>
      <c r="I15780" s="15"/>
    </row>
    <row r="15781" spans="1:9" ht="16.5">
      <c r="A15781" s="10" t="b">
        <v>0</v>
      </c>
      <c r="B15781" s="11" t="str">
        <f>IF(D15781&lt;&gt;"",IF(COUNTIF('USPTO TMs'!A:A,D15781)&gt;0,"Yes","No"),"")</f>
        <v/>
      </c>
      <c r="C15781" s="11"/>
      <c r="D15781" s="11"/>
      <c r="E15781" s="11"/>
      <c r="F15781" s="11"/>
      <c r="G15781" s="11"/>
      <c r="H15781" s="11"/>
      <c r="I15781" s="15"/>
    </row>
    <row r="15782" spans="1:9" ht="16.5">
      <c r="A15782" s="10" t="b">
        <v>0</v>
      </c>
      <c r="B15782" s="11" t="str">
        <f>IF(D15782&lt;&gt;"",IF(COUNTIF('USPTO TMs'!A:A,D15782)&gt;0,"Yes","No"),"")</f>
        <v/>
      </c>
      <c r="C15782" s="11"/>
      <c r="D15782" s="11"/>
      <c r="E15782" s="11"/>
      <c r="F15782" s="11"/>
      <c r="G15782" s="11"/>
      <c r="H15782" s="11"/>
      <c r="I15782" s="15"/>
    </row>
    <row r="15783" spans="1:9" ht="16.5">
      <c r="A15783" s="10" t="b">
        <v>0</v>
      </c>
      <c r="B15783" s="11" t="str">
        <f>IF(D15783&lt;&gt;"",IF(COUNTIF('USPTO TMs'!A:A,D15783)&gt;0,"Yes","No"),"")</f>
        <v/>
      </c>
      <c r="C15783" s="11"/>
      <c r="D15783" s="11"/>
      <c r="E15783" s="11"/>
      <c r="F15783" s="11"/>
      <c r="G15783" s="11"/>
      <c r="H15783" s="11"/>
      <c r="I15783" s="15"/>
    </row>
    <row r="15784" spans="1:9" ht="16.5">
      <c r="A15784" s="10" t="b">
        <v>0</v>
      </c>
      <c r="B15784" s="11" t="str">
        <f>IF(D15784&lt;&gt;"",IF(COUNTIF('USPTO TMs'!A:A,D15784)&gt;0,"Yes","No"),"")</f>
        <v/>
      </c>
      <c r="C15784" s="11"/>
      <c r="D15784" s="11"/>
      <c r="E15784" s="11"/>
      <c r="F15784" s="11"/>
      <c r="G15784" s="11"/>
      <c r="H15784" s="11"/>
      <c r="I15784" s="15"/>
    </row>
    <row r="15785" spans="1:9" ht="16.5">
      <c r="A15785" s="10" t="b">
        <v>0</v>
      </c>
      <c r="B15785" s="11" t="str">
        <f>IF(D15785&lt;&gt;"",IF(COUNTIF('USPTO TMs'!A:A,D15785)&gt;0,"Yes","No"),"")</f>
        <v/>
      </c>
      <c r="C15785" s="11"/>
      <c r="D15785" s="11"/>
      <c r="E15785" s="11"/>
      <c r="F15785" s="11"/>
      <c r="G15785" s="11"/>
      <c r="H15785" s="11"/>
      <c r="I15785" s="15"/>
    </row>
    <row r="15786" spans="1:9" ht="16.5">
      <c r="A15786" s="10" t="b">
        <v>0</v>
      </c>
      <c r="B15786" s="11" t="str">
        <f>IF(D15786&lt;&gt;"",IF(COUNTIF('USPTO TMs'!A:A,D15786)&gt;0,"Yes","No"),"")</f>
        <v/>
      </c>
      <c r="C15786" s="11"/>
      <c r="D15786" s="11"/>
      <c r="E15786" s="11"/>
      <c r="F15786" s="11"/>
      <c r="G15786" s="11"/>
      <c r="H15786" s="11"/>
      <c r="I15786" s="15"/>
    </row>
    <row r="15787" spans="1:9" ht="16.5">
      <c r="A15787" s="10" t="b">
        <v>0</v>
      </c>
      <c r="B15787" s="11" t="str">
        <f>IF(D15787&lt;&gt;"",IF(COUNTIF('USPTO TMs'!A:A,D15787)&gt;0,"Yes","No"),"")</f>
        <v/>
      </c>
      <c r="C15787" s="11"/>
      <c r="D15787" s="11"/>
      <c r="E15787" s="11"/>
      <c r="F15787" s="11"/>
      <c r="G15787" s="11"/>
      <c r="H15787" s="11"/>
      <c r="I15787" s="15"/>
    </row>
    <row r="15788" spans="1:9" ht="16.5">
      <c r="A15788" s="10" t="b">
        <v>0</v>
      </c>
      <c r="B15788" s="11" t="str">
        <f>IF(D15788&lt;&gt;"",IF(COUNTIF('USPTO TMs'!A:A,D15788)&gt;0,"Yes","No"),"")</f>
        <v/>
      </c>
      <c r="C15788" s="11"/>
      <c r="D15788" s="11"/>
      <c r="E15788" s="11"/>
      <c r="F15788" s="11"/>
      <c r="G15788" s="11"/>
      <c r="H15788" s="11"/>
      <c r="I15788" s="15"/>
    </row>
    <row r="15789" spans="1:9" ht="16.5">
      <c r="A15789" s="10" t="b">
        <v>0</v>
      </c>
      <c r="B15789" s="11" t="str">
        <f>IF(D15789&lt;&gt;"",IF(COUNTIF('USPTO TMs'!A:A,D15789)&gt;0,"Yes","No"),"")</f>
        <v/>
      </c>
      <c r="C15789" s="11"/>
      <c r="D15789" s="11"/>
      <c r="E15789" s="11"/>
      <c r="F15789" s="11"/>
      <c r="G15789" s="11"/>
      <c r="H15789" s="11"/>
      <c r="I15789" s="15"/>
    </row>
    <row r="15790" spans="1:9" ht="16.5">
      <c r="A15790" s="10" t="b">
        <v>0</v>
      </c>
      <c r="B15790" s="11" t="str">
        <f>IF(D15790&lt;&gt;"",IF(COUNTIF('USPTO TMs'!A:A,D15790)&gt;0,"Yes","No"),"")</f>
        <v/>
      </c>
      <c r="C15790" s="11"/>
      <c r="D15790" s="11"/>
      <c r="E15790" s="11"/>
      <c r="F15790" s="11"/>
      <c r="G15790" s="11"/>
      <c r="H15790" s="11"/>
      <c r="I15790" s="15"/>
    </row>
    <row r="15791" spans="1:9" ht="16.5">
      <c r="A15791" s="10" t="b">
        <v>0</v>
      </c>
      <c r="B15791" s="11" t="str">
        <f>IF(D15791&lt;&gt;"",IF(COUNTIF('USPTO TMs'!A:A,D15791)&gt;0,"Yes","No"),"")</f>
        <v/>
      </c>
      <c r="C15791" s="11"/>
      <c r="D15791" s="11"/>
      <c r="E15791" s="11"/>
      <c r="F15791" s="11"/>
      <c r="G15791" s="11"/>
      <c r="H15791" s="11"/>
      <c r="I15791" s="15"/>
    </row>
    <row r="15792" spans="1:9" ht="16.5">
      <c r="A15792" s="10" t="b">
        <v>0</v>
      </c>
      <c r="B15792" s="11" t="str">
        <f>IF(D15792&lt;&gt;"",IF(COUNTIF('USPTO TMs'!A:A,D15792)&gt;0,"Yes","No"),"")</f>
        <v/>
      </c>
      <c r="C15792" s="11"/>
      <c r="D15792" s="11"/>
      <c r="E15792" s="11"/>
      <c r="F15792" s="11"/>
      <c r="G15792" s="11"/>
      <c r="H15792" s="11"/>
      <c r="I15792" s="15"/>
    </row>
    <row r="15793" spans="1:9" ht="16.5">
      <c r="A15793" s="10" t="b">
        <v>0</v>
      </c>
      <c r="B15793" s="11" t="str">
        <f>IF(D15793&lt;&gt;"",IF(COUNTIF('USPTO TMs'!A:A,D15793)&gt;0,"Yes","No"),"")</f>
        <v/>
      </c>
      <c r="C15793" s="11"/>
      <c r="D15793" s="11"/>
      <c r="E15793" s="11"/>
      <c r="F15793" s="11"/>
      <c r="G15793" s="11"/>
      <c r="H15793" s="11"/>
      <c r="I15793" s="15"/>
    </row>
    <row r="15794" spans="1:9" ht="16.5">
      <c r="A15794" s="10" t="b">
        <v>0</v>
      </c>
      <c r="B15794" s="11" t="str">
        <f>IF(D15794&lt;&gt;"",IF(COUNTIF('USPTO TMs'!A:A,D15794)&gt;0,"Yes","No"),"")</f>
        <v/>
      </c>
      <c r="C15794" s="11"/>
      <c r="D15794" s="11"/>
      <c r="E15794" s="11"/>
      <c r="F15794" s="11"/>
      <c r="G15794" s="11"/>
      <c r="H15794" s="11"/>
      <c r="I15794" s="15"/>
    </row>
    <row r="15795" spans="1:9" ht="16.5">
      <c r="A15795" s="10" t="b">
        <v>0</v>
      </c>
      <c r="B15795" s="11" t="str">
        <f>IF(D15795&lt;&gt;"",IF(COUNTIF('USPTO TMs'!A:A,D15795)&gt;0,"Yes","No"),"")</f>
        <v/>
      </c>
      <c r="C15795" s="11"/>
      <c r="D15795" s="11"/>
      <c r="E15795" s="11"/>
      <c r="F15795" s="11"/>
      <c r="G15795" s="11"/>
      <c r="H15795" s="11"/>
      <c r="I15795" s="15"/>
    </row>
    <row r="15796" spans="1:9" ht="16.5">
      <c r="A15796" s="10" t="b">
        <v>0</v>
      </c>
      <c r="B15796" s="11" t="str">
        <f>IF(D15796&lt;&gt;"",IF(COUNTIF('USPTO TMs'!A:A,D15796)&gt;0,"Yes","No"),"")</f>
        <v/>
      </c>
      <c r="C15796" s="11"/>
      <c r="D15796" s="11"/>
      <c r="E15796" s="11"/>
      <c r="F15796" s="11"/>
      <c r="G15796" s="11"/>
      <c r="H15796" s="11"/>
      <c r="I15796" s="15"/>
    </row>
    <row r="15797" spans="1:9" ht="16.5">
      <c r="A15797" s="10" t="b">
        <v>0</v>
      </c>
      <c r="B15797" s="11" t="str">
        <f>IF(D15797&lt;&gt;"",IF(COUNTIF('USPTO TMs'!A:A,D15797)&gt;0,"Yes","No"),"")</f>
        <v/>
      </c>
      <c r="C15797" s="11"/>
      <c r="D15797" s="11"/>
      <c r="E15797" s="11"/>
      <c r="F15797" s="11"/>
      <c r="G15797" s="11"/>
      <c r="H15797" s="11"/>
      <c r="I15797" s="15"/>
    </row>
    <row r="15798" spans="1:9" ht="16.5">
      <c r="A15798" s="10" t="b">
        <v>0</v>
      </c>
      <c r="B15798" s="11" t="str">
        <f>IF(D15798&lt;&gt;"",IF(COUNTIF('USPTO TMs'!A:A,D15798)&gt;0,"Yes","No"),"")</f>
        <v/>
      </c>
      <c r="C15798" s="11"/>
      <c r="D15798" s="11"/>
      <c r="E15798" s="11"/>
      <c r="F15798" s="11"/>
      <c r="G15798" s="11"/>
      <c r="H15798" s="11"/>
      <c r="I15798" s="15"/>
    </row>
    <row r="15799" spans="1:9" ht="16.5">
      <c r="A15799" s="10" t="b">
        <v>0</v>
      </c>
      <c r="B15799" s="11" t="str">
        <f>IF(D15799&lt;&gt;"",IF(COUNTIF('USPTO TMs'!A:A,D15799)&gt;0,"Yes","No"),"")</f>
        <v/>
      </c>
      <c r="C15799" s="11"/>
      <c r="D15799" s="11"/>
      <c r="E15799" s="11"/>
      <c r="F15799" s="11"/>
      <c r="G15799" s="11"/>
      <c r="H15799" s="11"/>
      <c r="I15799" s="15"/>
    </row>
    <row r="15800" spans="1:9" ht="16.5">
      <c r="A15800" s="10" t="b">
        <v>0</v>
      </c>
      <c r="B15800" s="11" t="str">
        <f>IF(D15800&lt;&gt;"",IF(COUNTIF('USPTO TMs'!A:A,D15800)&gt;0,"Yes","No"),"")</f>
        <v/>
      </c>
      <c r="C15800" s="11"/>
      <c r="D15800" s="11"/>
      <c r="E15800" s="11"/>
      <c r="F15800" s="11"/>
      <c r="G15800" s="11"/>
      <c r="H15800" s="11"/>
      <c r="I15800" s="15"/>
    </row>
    <row r="15801" spans="1:9" ht="16.5">
      <c r="A15801" s="10" t="b">
        <v>0</v>
      </c>
      <c r="B15801" s="11" t="str">
        <f>IF(D15801&lt;&gt;"",IF(COUNTIF('USPTO TMs'!A:A,D15801)&gt;0,"Yes","No"),"")</f>
        <v/>
      </c>
      <c r="C15801" s="11"/>
      <c r="D15801" s="11"/>
      <c r="E15801" s="11"/>
      <c r="F15801" s="11"/>
      <c r="G15801" s="11"/>
      <c r="H15801" s="11"/>
      <c r="I15801" s="15"/>
    </row>
    <row r="15802" spans="1:9" ht="16.5">
      <c r="A15802" s="10" t="b">
        <v>0</v>
      </c>
      <c r="B15802" s="11" t="str">
        <f>IF(D15802&lt;&gt;"",IF(COUNTIF('USPTO TMs'!A:A,D15802)&gt;0,"Yes","No"),"")</f>
        <v/>
      </c>
      <c r="C15802" s="11"/>
      <c r="D15802" s="11"/>
      <c r="E15802" s="11"/>
      <c r="F15802" s="11"/>
      <c r="G15802" s="11"/>
      <c r="H15802" s="11"/>
      <c r="I15802" s="15"/>
    </row>
    <row r="15803" spans="1:9" ht="16.5">
      <c r="A15803" s="10" t="b">
        <v>0</v>
      </c>
      <c r="B15803" s="11" t="str">
        <f>IF(D15803&lt;&gt;"",IF(COUNTIF('USPTO TMs'!A:A,D15803)&gt;0,"Yes","No"),"")</f>
        <v/>
      </c>
      <c r="C15803" s="11"/>
      <c r="D15803" s="11"/>
      <c r="E15803" s="11"/>
      <c r="F15803" s="11"/>
      <c r="G15803" s="11"/>
      <c r="H15803" s="11"/>
      <c r="I15803" s="15"/>
    </row>
    <row r="15804" spans="1:9" ht="16.5">
      <c r="A15804" s="10" t="b">
        <v>0</v>
      </c>
      <c r="B15804" s="11" t="str">
        <f>IF(D15804&lt;&gt;"",IF(COUNTIF('USPTO TMs'!A:A,D15804)&gt;0,"Yes","No"),"")</f>
        <v/>
      </c>
      <c r="C15804" s="11"/>
      <c r="D15804" s="11"/>
      <c r="E15804" s="11"/>
      <c r="F15804" s="11"/>
      <c r="G15804" s="11"/>
      <c r="H15804" s="11"/>
      <c r="I15804" s="15"/>
    </row>
    <row r="15805" spans="1:9" ht="16.5">
      <c r="A15805" s="10" t="b">
        <v>0</v>
      </c>
      <c r="B15805" s="11" t="str">
        <f>IF(D15805&lt;&gt;"",IF(COUNTIF('USPTO TMs'!A:A,D15805)&gt;0,"Yes","No"),"")</f>
        <v/>
      </c>
      <c r="C15805" s="11"/>
      <c r="D15805" s="11"/>
      <c r="E15805" s="11"/>
      <c r="F15805" s="11"/>
      <c r="G15805" s="11"/>
      <c r="H15805" s="11"/>
      <c r="I15805" s="15"/>
    </row>
    <row r="15806" spans="1:9" ht="16.5">
      <c r="A15806" s="10" t="b">
        <v>0</v>
      </c>
      <c r="B15806" s="11" t="str">
        <f>IF(D15806&lt;&gt;"",IF(COUNTIF('USPTO TMs'!A:A,D15806)&gt;0,"Yes","No"),"")</f>
        <v/>
      </c>
      <c r="C15806" s="11"/>
      <c r="D15806" s="11"/>
      <c r="E15806" s="11"/>
      <c r="F15806" s="11"/>
      <c r="G15806" s="11"/>
      <c r="H15806" s="11"/>
      <c r="I15806" s="15"/>
    </row>
    <row r="15807" spans="1:9" ht="16.5">
      <c r="A15807" s="10" t="b">
        <v>0</v>
      </c>
      <c r="B15807" s="11" t="str">
        <f>IF(D15807&lt;&gt;"",IF(COUNTIF('USPTO TMs'!A:A,D15807)&gt;0,"Yes","No"),"")</f>
        <v/>
      </c>
      <c r="C15807" s="11"/>
      <c r="D15807" s="11"/>
      <c r="E15807" s="11"/>
      <c r="F15807" s="11"/>
      <c r="G15807" s="11"/>
      <c r="H15807" s="11"/>
      <c r="I15807" s="15"/>
    </row>
    <row r="15808" spans="1:9" ht="16.5">
      <c r="A15808" s="10" t="b">
        <v>0</v>
      </c>
      <c r="B15808" s="11" t="str">
        <f>IF(D15808&lt;&gt;"",IF(COUNTIF('USPTO TMs'!A:A,D15808)&gt;0,"Yes","No"),"")</f>
        <v/>
      </c>
      <c r="C15808" s="11"/>
      <c r="D15808" s="11"/>
      <c r="E15808" s="11"/>
      <c r="F15808" s="11"/>
      <c r="G15808" s="11"/>
      <c r="H15808" s="11"/>
      <c r="I15808" s="15"/>
    </row>
    <row r="15809" spans="1:9" ht="16.5">
      <c r="A15809" s="10" t="b">
        <v>0</v>
      </c>
      <c r="B15809" s="11" t="str">
        <f>IF(D15809&lt;&gt;"",IF(COUNTIF('USPTO TMs'!A:A,D15809)&gt;0,"Yes","No"),"")</f>
        <v/>
      </c>
      <c r="C15809" s="11"/>
      <c r="D15809" s="11"/>
      <c r="E15809" s="11"/>
      <c r="F15809" s="11"/>
      <c r="G15809" s="11"/>
      <c r="H15809" s="11"/>
      <c r="I15809" s="15"/>
    </row>
    <row r="15810" spans="1:9" ht="16.5">
      <c r="A15810" s="10" t="b">
        <v>0</v>
      </c>
      <c r="B15810" s="11" t="str">
        <f>IF(D15810&lt;&gt;"",IF(COUNTIF('USPTO TMs'!A:A,D15810)&gt;0,"Yes","No"),"")</f>
        <v/>
      </c>
      <c r="C15810" s="11"/>
      <c r="D15810" s="11"/>
      <c r="E15810" s="11"/>
      <c r="F15810" s="11"/>
      <c r="G15810" s="11"/>
      <c r="H15810" s="11"/>
      <c r="I15810" s="15"/>
    </row>
    <row r="15811" spans="1:9" ht="16.5">
      <c r="A15811" s="10" t="b">
        <v>0</v>
      </c>
      <c r="B15811" s="11" t="str">
        <f>IF(D15811&lt;&gt;"",IF(COUNTIF('USPTO TMs'!A:A,D15811)&gt;0,"Yes","No"),"")</f>
        <v/>
      </c>
      <c r="C15811" s="11"/>
      <c r="D15811" s="11"/>
      <c r="E15811" s="11"/>
      <c r="F15811" s="11"/>
      <c r="G15811" s="11"/>
      <c r="H15811" s="11"/>
      <c r="I15811" s="15"/>
    </row>
    <row r="15812" spans="1:9" ht="16.5">
      <c r="A15812" s="10" t="b">
        <v>0</v>
      </c>
      <c r="B15812" s="11" t="str">
        <f>IF(D15812&lt;&gt;"",IF(COUNTIF('USPTO TMs'!A:A,D15812)&gt;0,"Yes","No"),"")</f>
        <v/>
      </c>
      <c r="C15812" s="11"/>
      <c r="D15812" s="11"/>
      <c r="E15812" s="11"/>
      <c r="F15812" s="11"/>
      <c r="G15812" s="11"/>
      <c r="H15812" s="11"/>
      <c r="I15812" s="15"/>
    </row>
    <row r="15813" spans="1:9" ht="16.5">
      <c r="A15813" s="10" t="b">
        <v>0</v>
      </c>
      <c r="B15813" s="11" t="str">
        <f>IF(D15813&lt;&gt;"",IF(COUNTIF('USPTO TMs'!A:A,D15813)&gt;0,"Yes","No"),"")</f>
        <v/>
      </c>
      <c r="C15813" s="11"/>
      <c r="D15813" s="11"/>
      <c r="E15813" s="11"/>
      <c r="F15813" s="11"/>
      <c r="G15813" s="11"/>
      <c r="H15813" s="11"/>
      <c r="I15813" s="15"/>
    </row>
    <row r="15814" spans="1:9" ht="16.5">
      <c r="A15814" s="10" t="b">
        <v>0</v>
      </c>
      <c r="B15814" s="11" t="str">
        <f>IF(D15814&lt;&gt;"",IF(COUNTIF('USPTO TMs'!A:A,D15814)&gt;0,"Yes","No"),"")</f>
        <v/>
      </c>
      <c r="C15814" s="11"/>
      <c r="D15814" s="11"/>
      <c r="E15814" s="11"/>
      <c r="F15814" s="11"/>
      <c r="G15814" s="11"/>
      <c r="H15814" s="11"/>
      <c r="I15814" s="15"/>
    </row>
    <row r="15815" spans="1:9" ht="16.5">
      <c r="A15815" s="10" t="b">
        <v>0</v>
      </c>
      <c r="B15815" s="11" t="str">
        <f>IF(D15815&lt;&gt;"",IF(COUNTIF('USPTO TMs'!A:A,D15815)&gt;0,"Yes","No"),"")</f>
        <v/>
      </c>
      <c r="C15815" s="11"/>
      <c r="D15815" s="11"/>
      <c r="E15815" s="11"/>
      <c r="F15815" s="11"/>
      <c r="G15815" s="11"/>
      <c r="H15815" s="11"/>
      <c r="I15815" s="15"/>
    </row>
    <row r="15816" spans="1:9" ht="16.5">
      <c r="A15816" s="10" t="b">
        <v>0</v>
      </c>
      <c r="B15816" s="11" t="str">
        <f>IF(D15816&lt;&gt;"",IF(COUNTIF('USPTO TMs'!A:A,D15816)&gt;0,"Yes","No"),"")</f>
        <v/>
      </c>
      <c r="C15816" s="11"/>
      <c r="D15816" s="11"/>
      <c r="E15816" s="11"/>
      <c r="F15816" s="11"/>
      <c r="G15816" s="11"/>
      <c r="H15816" s="11"/>
      <c r="I15816" s="15"/>
    </row>
    <row r="15817" spans="1:9" ht="16.5">
      <c r="A15817" s="10" t="b">
        <v>0</v>
      </c>
      <c r="B15817" s="11" t="str">
        <f>IF(D15817&lt;&gt;"",IF(COUNTIF('USPTO TMs'!A:A,D15817)&gt;0,"Yes","No"),"")</f>
        <v/>
      </c>
      <c r="C15817" s="11"/>
      <c r="D15817" s="11"/>
      <c r="E15817" s="11"/>
      <c r="F15817" s="11"/>
      <c r="G15817" s="11"/>
      <c r="H15817" s="11"/>
      <c r="I15817" s="15"/>
    </row>
    <row r="15818" spans="1:9" ht="16.5">
      <c r="A15818" s="10" t="b">
        <v>0</v>
      </c>
      <c r="B15818" s="11" t="str">
        <f>IF(D15818&lt;&gt;"",IF(COUNTIF('USPTO TMs'!A:A,D15818)&gt;0,"Yes","No"),"")</f>
        <v/>
      </c>
      <c r="C15818" s="11"/>
      <c r="D15818" s="11"/>
      <c r="E15818" s="11"/>
      <c r="F15818" s="11"/>
      <c r="G15818" s="11"/>
      <c r="H15818" s="11"/>
      <c r="I15818" s="15"/>
    </row>
    <row r="15819" spans="1:9" ht="16.5">
      <c r="A15819" s="10" t="b">
        <v>0</v>
      </c>
      <c r="B15819" s="11" t="str">
        <f>IF(D15819&lt;&gt;"",IF(COUNTIF('USPTO TMs'!A:A,D15819)&gt;0,"Yes","No"),"")</f>
        <v/>
      </c>
      <c r="C15819" s="11"/>
      <c r="D15819" s="11"/>
      <c r="E15819" s="11"/>
      <c r="F15819" s="11"/>
      <c r="G15819" s="11"/>
      <c r="H15819" s="11"/>
      <c r="I15819" s="15"/>
    </row>
    <row r="15820" spans="1:9" ht="16.5">
      <c r="A15820" s="10" t="b">
        <v>0</v>
      </c>
      <c r="B15820" s="11" t="str">
        <f>IF(D15820&lt;&gt;"",IF(COUNTIF('USPTO TMs'!A:A,D15820)&gt;0,"Yes","No"),"")</f>
        <v/>
      </c>
      <c r="C15820" s="11"/>
      <c r="D15820" s="11"/>
      <c r="E15820" s="11"/>
      <c r="F15820" s="11"/>
      <c r="G15820" s="11"/>
      <c r="H15820" s="11"/>
      <c r="I15820" s="15"/>
    </row>
    <row r="15821" spans="1:9" ht="16.5">
      <c r="A15821" s="10" t="b">
        <v>0</v>
      </c>
      <c r="B15821" s="11" t="str">
        <f>IF(D15821&lt;&gt;"",IF(COUNTIF('USPTO TMs'!A:A,D15821)&gt;0,"Yes","No"),"")</f>
        <v/>
      </c>
      <c r="C15821" s="11"/>
      <c r="D15821" s="11"/>
      <c r="E15821" s="11"/>
      <c r="F15821" s="11"/>
      <c r="G15821" s="11"/>
      <c r="H15821" s="11"/>
      <c r="I15821" s="15"/>
    </row>
    <row r="15822" spans="1:9" ht="16.5">
      <c r="A15822" s="10" t="b">
        <v>0</v>
      </c>
      <c r="B15822" s="11" t="str">
        <f>IF(D15822&lt;&gt;"",IF(COUNTIF('USPTO TMs'!A:A,D15822)&gt;0,"Yes","No"),"")</f>
        <v/>
      </c>
      <c r="C15822" s="11"/>
      <c r="D15822" s="11"/>
      <c r="E15822" s="11"/>
      <c r="F15822" s="11"/>
      <c r="G15822" s="11"/>
      <c r="H15822" s="11"/>
      <c r="I15822" s="15"/>
    </row>
    <row r="15823" spans="1:9" ht="16.5">
      <c r="A15823" s="10" t="b">
        <v>0</v>
      </c>
      <c r="B15823" s="11" t="str">
        <f>IF(D15823&lt;&gt;"",IF(COUNTIF('USPTO TMs'!A:A,D15823)&gt;0,"Yes","No"),"")</f>
        <v/>
      </c>
      <c r="C15823" s="11"/>
      <c r="D15823" s="11"/>
      <c r="E15823" s="11"/>
      <c r="F15823" s="11"/>
      <c r="G15823" s="11"/>
      <c r="H15823" s="11"/>
      <c r="I15823" s="15"/>
    </row>
    <row r="15824" spans="1:9" ht="16.5">
      <c r="A15824" s="10" t="b">
        <v>0</v>
      </c>
      <c r="B15824" s="11" t="str">
        <f>IF(D15824&lt;&gt;"",IF(COUNTIF('USPTO TMs'!A:A,D15824)&gt;0,"Yes","No"),"")</f>
        <v/>
      </c>
      <c r="C15824" s="11"/>
      <c r="D15824" s="11"/>
      <c r="E15824" s="11"/>
      <c r="F15824" s="11"/>
      <c r="G15824" s="11"/>
      <c r="H15824" s="11"/>
      <c r="I15824" s="15"/>
    </row>
    <row r="15825" spans="1:9" ht="16.5">
      <c r="A15825" s="10" t="b">
        <v>0</v>
      </c>
      <c r="B15825" s="11" t="str">
        <f>IF(D15825&lt;&gt;"",IF(COUNTIF('USPTO TMs'!A:A,D15825)&gt;0,"Yes","No"),"")</f>
        <v/>
      </c>
      <c r="C15825" s="11"/>
      <c r="D15825" s="11"/>
      <c r="E15825" s="11"/>
      <c r="F15825" s="11"/>
      <c r="G15825" s="11"/>
      <c r="H15825" s="11"/>
      <c r="I15825" s="15"/>
    </row>
    <row r="15826" spans="1:9" ht="16.5">
      <c r="A15826" s="10" t="b">
        <v>0</v>
      </c>
      <c r="B15826" s="11" t="str">
        <f>IF(D15826&lt;&gt;"",IF(COUNTIF('USPTO TMs'!A:A,D15826)&gt;0,"Yes","No"),"")</f>
        <v/>
      </c>
      <c r="C15826" s="11"/>
      <c r="D15826" s="11"/>
      <c r="E15826" s="11"/>
      <c r="F15826" s="11"/>
      <c r="G15826" s="11"/>
      <c r="H15826" s="11"/>
      <c r="I15826" s="15"/>
    </row>
    <row r="15827" spans="1:9" ht="16.5">
      <c r="A15827" s="10" t="b">
        <v>0</v>
      </c>
      <c r="B15827" s="11" t="str">
        <f>IF(D15827&lt;&gt;"",IF(COUNTIF('USPTO TMs'!A:A,D15827)&gt;0,"Yes","No"),"")</f>
        <v/>
      </c>
      <c r="C15827" s="11"/>
      <c r="D15827" s="11"/>
      <c r="E15827" s="11"/>
      <c r="F15827" s="11"/>
      <c r="G15827" s="11"/>
      <c r="H15827" s="11"/>
      <c r="I15827" s="15"/>
    </row>
    <row r="15828" spans="1:9" ht="16.5">
      <c r="A15828" s="10" t="b">
        <v>0</v>
      </c>
      <c r="B15828" s="11" t="str">
        <f>IF(D15828&lt;&gt;"",IF(COUNTIF('USPTO TMs'!A:A,D15828)&gt;0,"Yes","No"),"")</f>
        <v/>
      </c>
      <c r="C15828" s="11"/>
      <c r="D15828" s="11"/>
      <c r="E15828" s="11"/>
      <c r="F15828" s="11"/>
      <c r="G15828" s="11"/>
      <c r="H15828" s="11"/>
      <c r="I15828" s="15"/>
    </row>
    <row r="15829" spans="1:9" ht="16.5">
      <c r="A15829" s="10" t="b">
        <v>0</v>
      </c>
      <c r="B15829" s="11" t="str">
        <f>IF(D15829&lt;&gt;"",IF(COUNTIF('USPTO TMs'!A:A,D15829)&gt;0,"Yes","No"),"")</f>
        <v/>
      </c>
      <c r="C15829" s="11"/>
      <c r="D15829" s="11"/>
      <c r="E15829" s="11"/>
      <c r="F15829" s="11"/>
      <c r="G15829" s="11"/>
      <c r="H15829" s="11"/>
      <c r="I15829" s="15"/>
    </row>
    <row r="15830" spans="1:9" ht="16.5">
      <c r="A15830" s="10" t="b">
        <v>0</v>
      </c>
      <c r="B15830" s="11" t="str">
        <f>IF(D15830&lt;&gt;"",IF(COUNTIF('USPTO TMs'!A:A,D15830)&gt;0,"Yes","No"),"")</f>
        <v/>
      </c>
      <c r="C15830" s="11"/>
      <c r="D15830" s="11"/>
      <c r="E15830" s="11"/>
      <c r="F15830" s="11"/>
      <c r="G15830" s="11"/>
      <c r="H15830" s="11"/>
      <c r="I15830" s="15"/>
    </row>
    <row r="15831" spans="1:9" ht="16.5">
      <c r="A15831" s="10" t="b">
        <v>0</v>
      </c>
      <c r="B15831" s="11" t="str">
        <f>IF(D15831&lt;&gt;"",IF(COUNTIF('USPTO TMs'!A:A,D15831)&gt;0,"Yes","No"),"")</f>
        <v/>
      </c>
      <c r="C15831" s="11"/>
      <c r="D15831" s="11"/>
      <c r="E15831" s="11"/>
      <c r="F15831" s="11"/>
      <c r="G15831" s="11"/>
      <c r="H15831" s="11"/>
      <c r="I15831" s="15"/>
    </row>
    <row r="15832" spans="1:9" ht="16.5">
      <c r="A15832" s="10" t="b">
        <v>0</v>
      </c>
      <c r="B15832" s="11" t="str">
        <f>IF(D15832&lt;&gt;"",IF(COUNTIF('USPTO TMs'!A:A,D15832)&gt;0,"Yes","No"),"")</f>
        <v/>
      </c>
      <c r="C15832" s="11"/>
      <c r="D15832" s="11"/>
      <c r="E15832" s="11"/>
      <c r="F15832" s="11"/>
      <c r="G15832" s="11"/>
      <c r="H15832" s="11"/>
      <c r="I15832" s="15"/>
    </row>
    <row r="15833" spans="1:9" ht="16.5">
      <c r="A15833" s="10" t="b">
        <v>0</v>
      </c>
      <c r="B15833" s="11" t="str">
        <f>IF(D15833&lt;&gt;"",IF(COUNTIF('USPTO TMs'!A:A,D15833)&gt;0,"Yes","No"),"")</f>
        <v/>
      </c>
      <c r="C15833" s="11"/>
      <c r="D15833" s="11"/>
      <c r="E15833" s="11"/>
      <c r="F15833" s="11"/>
      <c r="G15833" s="11"/>
      <c r="H15833" s="11"/>
      <c r="I15833" s="15"/>
    </row>
    <row r="15834" spans="1:9" ht="16.5">
      <c r="A15834" s="10" t="b">
        <v>0</v>
      </c>
      <c r="B15834" s="11" t="str">
        <f>IF(D15834&lt;&gt;"",IF(COUNTIF('USPTO TMs'!A:A,D15834)&gt;0,"Yes","No"),"")</f>
        <v/>
      </c>
      <c r="C15834" s="11"/>
      <c r="D15834" s="11"/>
      <c r="E15834" s="11"/>
      <c r="F15834" s="11"/>
      <c r="G15834" s="11"/>
      <c r="H15834" s="11"/>
      <c r="I15834" s="15"/>
    </row>
    <row r="15835" spans="1:9" ht="16.5">
      <c r="A15835" s="10" t="b">
        <v>0</v>
      </c>
      <c r="B15835" s="11" t="str">
        <f>IF(D15835&lt;&gt;"",IF(COUNTIF('USPTO TMs'!A:A,D15835)&gt;0,"Yes","No"),"")</f>
        <v/>
      </c>
      <c r="C15835" s="11"/>
      <c r="D15835" s="11"/>
      <c r="E15835" s="11"/>
      <c r="F15835" s="11"/>
      <c r="G15835" s="11"/>
      <c r="H15835" s="11"/>
      <c r="I15835" s="15"/>
    </row>
    <row r="15836" spans="1:9" ht="16.5">
      <c r="A15836" s="10" t="b">
        <v>0</v>
      </c>
      <c r="B15836" s="11" t="str">
        <f>IF(D15836&lt;&gt;"",IF(COUNTIF('USPTO TMs'!A:A,D15836)&gt;0,"Yes","No"),"")</f>
        <v/>
      </c>
      <c r="C15836" s="11"/>
      <c r="D15836" s="11"/>
      <c r="E15836" s="11"/>
      <c r="F15836" s="11"/>
      <c r="G15836" s="11"/>
      <c r="H15836" s="11"/>
      <c r="I15836" s="15"/>
    </row>
    <row r="15837" spans="1:9" ht="16.5">
      <c r="A15837" s="10" t="b">
        <v>0</v>
      </c>
      <c r="B15837" s="11" t="str">
        <f>IF(D15837&lt;&gt;"",IF(COUNTIF('USPTO TMs'!A:A,D15837)&gt;0,"Yes","No"),"")</f>
        <v/>
      </c>
      <c r="C15837" s="11"/>
      <c r="D15837" s="11"/>
      <c r="E15837" s="11"/>
      <c r="F15837" s="11"/>
      <c r="G15837" s="11"/>
      <c r="H15837" s="11"/>
      <c r="I15837" s="15"/>
    </row>
    <row r="15838" spans="1:9" ht="16.5">
      <c r="A15838" s="10" t="b">
        <v>0</v>
      </c>
      <c r="B15838" s="11" t="str">
        <f>IF(D15838&lt;&gt;"",IF(COUNTIF('USPTO TMs'!A:A,D15838)&gt;0,"Yes","No"),"")</f>
        <v/>
      </c>
      <c r="C15838" s="11"/>
      <c r="D15838" s="11"/>
      <c r="E15838" s="11"/>
      <c r="F15838" s="11"/>
      <c r="G15838" s="11"/>
      <c r="H15838" s="11"/>
      <c r="I15838" s="15"/>
    </row>
    <row r="15839" spans="1:9" ht="16.5">
      <c r="A15839" s="10" t="b">
        <v>0</v>
      </c>
      <c r="B15839" s="11" t="str">
        <f>IF(D15839&lt;&gt;"",IF(COUNTIF('USPTO TMs'!A:A,D15839)&gt;0,"Yes","No"),"")</f>
        <v/>
      </c>
      <c r="C15839" s="11"/>
      <c r="D15839" s="11"/>
      <c r="E15839" s="11"/>
      <c r="F15839" s="11"/>
      <c r="G15839" s="11"/>
      <c r="H15839" s="11"/>
      <c r="I15839" s="15"/>
    </row>
    <row r="15840" spans="1:9" ht="16.5">
      <c r="A15840" s="10" t="b">
        <v>0</v>
      </c>
      <c r="B15840" s="11" t="str">
        <f>IF(D15840&lt;&gt;"",IF(COUNTIF('USPTO TMs'!A:A,D15840)&gt;0,"Yes","No"),"")</f>
        <v/>
      </c>
      <c r="C15840" s="11"/>
      <c r="D15840" s="11"/>
      <c r="E15840" s="11"/>
      <c r="F15840" s="11"/>
      <c r="G15840" s="11"/>
      <c r="H15840" s="11"/>
      <c r="I15840" s="15"/>
    </row>
    <row r="15841" spans="1:9" ht="16.5">
      <c r="A15841" s="10" t="b">
        <v>0</v>
      </c>
      <c r="B15841" s="11" t="str">
        <f>IF(D15841&lt;&gt;"",IF(COUNTIF('USPTO TMs'!A:A,D15841)&gt;0,"Yes","No"),"")</f>
        <v/>
      </c>
      <c r="C15841" s="11"/>
      <c r="D15841" s="11"/>
      <c r="E15841" s="11"/>
      <c r="F15841" s="11"/>
      <c r="G15841" s="11"/>
      <c r="H15841" s="11"/>
      <c r="I15841" s="15"/>
    </row>
    <row r="15842" spans="1:9" ht="16.5">
      <c r="A15842" s="10" t="b">
        <v>0</v>
      </c>
      <c r="B15842" s="11" t="str">
        <f>IF(D15842&lt;&gt;"",IF(COUNTIF('USPTO TMs'!A:A,D15842)&gt;0,"Yes","No"),"")</f>
        <v/>
      </c>
      <c r="C15842" s="11"/>
      <c r="D15842" s="11"/>
      <c r="E15842" s="11"/>
      <c r="F15842" s="11"/>
      <c r="G15842" s="11"/>
      <c r="H15842" s="11"/>
      <c r="I15842" s="15"/>
    </row>
    <row r="15843" spans="1:9" ht="16.5">
      <c r="A15843" s="10" t="b">
        <v>0</v>
      </c>
      <c r="B15843" s="11" t="str">
        <f>IF(D15843&lt;&gt;"",IF(COUNTIF('USPTO TMs'!A:A,D15843)&gt;0,"Yes","No"),"")</f>
        <v/>
      </c>
      <c r="C15843" s="11"/>
      <c r="D15843" s="11"/>
      <c r="E15843" s="11"/>
      <c r="F15843" s="11"/>
      <c r="G15843" s="11"/>
      <c r="H15843" s="11"/>
      <c r="I15843" s="15"/>
    </row>
    <row r="15844" spans="1:9" ht="16.5">
      <c r="A15844" s="10" t="b">
        <v>0</v>
      </c>
      <c r="B15844" s="11" t="str">
        <f>IF(D15844&lt;&gt;"",IF(COUNTIF('USPTO TMs'!A:A,D15844)&gt;0,"Yes","No"),"")</f>
        <v/>
      </c>
      <c r="C15844" s="11"/>
      <c r="D15844" s="11"/>
      <c r="E15844" s="11"/>
      <c r="F15844" s="11"/>
      <c r="G15844" s="11"/>
      <c r="H15844" s="11"/>
      <c r="I15844" s="15"/>
    </row>
    <row r="15845" spans="1:9" ht="16.5">
      <c r="A15845" s="10" t="b">
        <v>0</v>
      </c>
      <c r="B15845" s="11" t="str">
        <f>IF(D15845&lt;&gt;"",IF(COUNTIF('USPTO TMs'!A:A,D15845)&gt;0,"Yes","No"),"")</f>
        <v/>
      </c>
      <c r="C15845" s="11"/>
      <c r="D15845" s="11"/>
      <c r="E15845" s="11"/>
      <c r="F15845" s="11"/>
      <c r="G15845" s="11"/>
      <c r="H15845" s="11"/>
      <c r="I15845" s="15"/>
    </row>
    <row r="15846" spans="1:9" ht="16.5">
      <c r="A15846" s="10" t="b">
        <v>0</v>
      </c>
      <c r="B15846" s="11" t="str">
        <f>IF(D15846&lt;&gt;"",IF(COUNTIF('USPTO TMs'!A:A,D15846)&gt;0,"Yes","No"),"")</f>
        <v/>
      </c>
      <c r="C15846" s="11"/>
      <c r="D15846" s="11"/>
      <c r="E15846" s="11"/>
      <c r="F15846" s="11"/>
      <c r="G15846" s="11"/>
      <c r="H15846" s="11"/>
      <c r="I15846" s="15"/>
    </row>
    <row r="15847" spans="1:9" ht="16.5">
      <c r="A15847" s="10" t="b">
        <v>0</v>
      </c>
      <c r="B15847" s="11" t="str">
        <f>IF(D15847&lt;&gt;"",IF(COUNTIF('USPTO TMs'!A:A,D15847)&gt;0,"Yes","No"),"")</f>
        <v/>
      </c>
      <c r="C15847" s="11"/>
      <c r="D15847" s="11"/>
      <c r="E15847" s="11"/>
      <c r="F15847" s="11"/>
      <c r="G15847" s="11"/>
      <c r="H15847" s="11"/>
      <c r="I15847" s="15"/>
    </row>
    <row r="15848" spans="1:9" ht="16.5">
      <c r="A15848" s="10" t="b">
        <v>0</v>
      </c>
      <c r="B15848" s="11" t="str">
        <f>IF(D15848&lt;&gt;"",IF(COUNTIF('USPTO TMs'!A:A,D15848)&gt;0,"Yes","No"),"")</f>
        <v/>
      </c>
      <c r="C15848" s="11"/>
      <c r="D15848" s="11"/>
      <c r="E15848" s="11"/>
      <c r="F15848" s="11"/>
      <c r="G15848" s="11"/>
      <c r="H15848" s="11"/>
      <c r="I15848" s="15"/>
    </row>
    <row r="15849" spans="1:9" ht="16.5">
      <c r="A15849" s="10" t="b">
        <v>0</v>
      </c>
      <c r="B15849" s="11" t="str">
        <f>IF(D15849&lt;&gt;"",IF(COUNTIF('USPTO TMs'!A:A,D15849)&gt;0,"Yes","No"),"")</f>
        <v/>
      </c>
      <c r="C15849" s="11"/>
      <c r="D15849" s="11"/>
      <c r="E15849" s="11"/>
      <c r="F15849" s="11"/>
      <c r="G15849" s="11"/>
      <c r="H15849" s="11"/>
      <c r="I15849" s="15"/>
    </row>
    <row r="15850" spans="1:9" ht="16.5">
      <c r="A15850" s="10" t="b">
        <v>0</v>
      </c>
      <c r="B15850" s="11" t="str">
        <f>IF(D15850&lt;&gt;"",IF(COUNTIF('USPTO TMs'!A:A,D15850)&gt;0,"Yes","No"),"")</f>
        <v/>
      </c>
      <c r="C15850" s="11"/>
      <c r="D15850" s="11"/>
      <c r="E15850" s="11"/>
      <c r="F15850" s="11"/>
      <c r="G15850" s="11"/>
      <c r="H15850" s="11"/>
      <c r="I15850" s="15"/>
    </row>
    <row r="15851" spans="1:9" ht="16.5">
      <c r="A15851" s="10" t="b">
        <v>0</v>
      </c>
      <c r="B15851" s="11" t="str">
        <f>IF(D15851&lt;&gt;"",IF(COUNTIF('USPTO TMs'!A:A,D15851)&gt;0,"Yes","No"),"")</f>
        <v/>
      </c>
      <c r="C15851" s="11"/>
      <c r="D15851" s="11"/>
      <c r="E15851" s="11"/>
      <c r="F15851" s="11"/>
      <c r="G15851" s="11"/>
      <c r="H15851" s="11"/>
      <c r="I15851" s="15"/>
    </row>
    <row r="15852" spans="1:9" ht="16.5">
      <c r="A15852" s="10" t="b">
        <v>0</v>
      </c>
      <c r="B15852" s="11" t="str">
        <f>IF(D15852&lt;&gt;"",IF(COUNTIF('USPTO TMs'!A:A,D15852)&gt;0,"Yes","No"),"")</f>
        <v/>
      </c>
      <c r="C15852" s="11"/>
      <c r="D15852" s="11"/>
      <c r="E15852" s="11"/>
      <c r="F15852" s="11"/>
      <c r="G15852" s="11"/>
      <c r="H15852" s="11"/>
      <c r="I15852" s="15"/>
    </row>
    <row r="15853" spans="1:9" ht="16.5">
      <c r="A15853" s="10" t="b">
        <v>0</v>
      </c>
      <c r="B15853" s="11" t="str">
        <f>IF(D15853&lt;&gt;"",IF(COUNTIF('USPTO TMs'!A:A,D15853)&gt;0,"Yes","No"),"")</f>
        <v/>
      </c>
      <c r="C15853" s="11"/>
      <c r="D15853" s="11"/>
      <c r="E15853" s="11"/>
      <c r="F15853" s="11"/>
      <c r="G15853" s="11"/>
      <c r="H15853" s="11"/>
      <c r="I15853" s="15"/>
    </row>
    <row r="15854" spans="1:9" ht="16.5">
      <c r="A15854" s="10" t="b">
        <v>0</v>
      </c>
      <c r="B15854" s="11" t="str">
        <f>IF(D15854&lt;&gt;"",IF(COUNTIF('USPTO TMs'!A:A,D15854)&gt;0,"Yes","No"),"")</f>
        <v/>
      </c>
      <c r="C15854" s="11"/>
      <c r="D15854" s="11"/>
      <c r="E15854" s="11"/>
      <c r="F15854" s="11"/>
      <c r="G15854" s="11"/>
      <c r="H15854" s="11"/>
      <c r="I15854" s="15"/>
    </row>
    <row r="15855" spans="1:9" ht="16.5">
      <c r="A15855" s="10" t="b">
        <v>0</v>
      </c>
      <c r="B15855" s="11" t="str">
        <f>IF(D15855&lt;&gt;"",IF(COUNTIF('USPTO TMs'!A:A,D15855)&gt;0,"Yes","No"),"")</f>
        <v/>
      </c>
      <c r="C15855" s="11"/>
      <c r="D15855" s="11"/>
      <c r="E15855" s="11"/>
      <c r="F15855" s="11"/>
      <c r="G15855" s="11"/>
      <c r="H15855" s="11"/>
      <c r="I15855" s="15"/>
    </row>
    <row r="15856" spans="1:9" ht="16.5">
      <c r="A15856" s="10" t="b">
        <v>0</v>
      </c>
      <c r="B15856" s="11" t="str">
        <f>IF(D15856&lt;&gt;"",IF(COUNTIF('USPTO TMs'!A:A,D15856)&gt;0,"Yes","No"),"")</f>
        <v/>
      </c>
      <c r="C15856" s="11"/>
      <c r="D15856" s="11"/>
      <c r="E15856" s="11"/>
      <c r="F15856" s="11"/>
      <c r="G15856" s="11"/>
      <c r="H15856" s="11"/>
      <c r="I15856" s="15"/>
    </row>
    <row r="15857" spans="1:9" ht="16.5">
      <c r="A15857" s="10" t="b">
        <v>0</v>
      </c>
      <c r="B15857" s="11" t="str">
        <f>IF(D15857&lt;&gt;"",IF(COUNTIF('USPTO TMs'!A:A,D15857)&gt;0,"Yes","No"),"")</f>
        <v/>
      </c>
      <c r="C15857" s="11"/>
      <c r="D15857" s="11"/>
      <c r="E15857" s="11"/>
      <c r="F15857" s="11"/>
      <c r="G15857" s="11"/>
      <c r="H15857" s="11"/>
      <c r="I15857" s="15"/>
    </row>
    <row r="15858" spans="1:9" ht="16.5">
      <c r="A15858" s="10" t="b">
        <v>0</v>
      </c>
      <c r="B15858" s="11" t="str">
        <f>IF(D15858&lt;&gt;"",IF(COUNTIF('USPTO TMs'!A:A,D15858)&gt;0,"Yes","No"),"")</f>
        <v/>
      </c>
      <c r="C15858" s="11"/>
      <c r="D15858" s="11"/>
      <c r="E15858" s="11"/>
      <c r="F15858" s="11"/>
      <c r="G15858" s="11"/>
      <c r="H15858" s="11"/>
      <c r="I15858" s="15"/>
    </row>
    <row r="15859" spans="1:9" ht="16.5">
      <c r="A15859" s="10" t="b">
        <v>0</v>
      </c>
      <c r="B15859" s="11" t="str">
        <f>IF(D15859&lt;&gt;"",IF(COUNTIF('USPTO TMs'!A:A,D15859)&gt;0,"Yes","No"),"")</f>
        <v/>
      </c>
      <c r="C15859" s="11"/>
      <c r="D15859" s="11"/>
      <c r="E15859" s="11"/>
      <c r="F15859" s="11"/>
      <c r="G15859" s="11"/>
      <c r="H15859" s="11"/>
      <c r="I15859" s="15"/>
    </row>
    <row r="15860" spans="1:9" ht="16.5">
      <c r="A15860" s="10" t="b">
        <v>0</v>
      </c>
      <c r="B15860" s="11" t="str">
        <f>IF(D15860&lt;&gt;"",IF(COUNTIF('USPTO TMs'!A:A,D15860)&gt;0,"Yes","No"),"")</f>
        <v/>
      </c>
      <c r="C15860" s="11"/>
      <c r="D15860" s="11"/>
      <c r="E15860" s="11"/>
      <c r="F15860" s="11"/>
      <c r="G15860" s="11"/>
      <c r="H15860" s="11"/>
      <c r="I15860" s="15"/>
    </row>
    <row r="15861" spans="1:9" ht="16.5">
      <c r="A15861" s="10" t="b">
        <v>0</v>
      </c>
      <c r="B15861" s="11" t="str">
        <f>IF(D15861&lt;&gt;"",IF(COUNTIF('USPTO TMs'!A:A,D15861)&gt;0,"Yes","No"),"")</f>
        <v/>
      </c>
      <c r="C15861" s="11"/>
      <c r="D15861" s="11"/>
      <c r="E15861" s="11"/>
      <c r="F15861" s="11"/>
      <c r="G15861" s="11"/>
      <c r="H15861" s="11"/>
      <c r="I15861" s="15"/>
    </row>
    <row r="15862" spans="1:9" ht="16.5">
      <c r="A15862" s="10" t="b">
        <v>0</v>
      </c>
      <c r="B15862" s="11" t="str">
        <f>IF(D15862&lt;&gt;"",IF(COUNTIF('USPTO TMs'!A:A,D15862)&gt;0,"Yes","No"),"")</f>
        <v/>
      </c>
      <c r="C15862" s="11"/>
      <c r="D15862" s="11"/>
      <c r="E15862" s="11"/>
      <c r="F15862" s="11"/>
      <c r="G15862" s="11"/>
      <c r="H15862" s="11"/>
      <c r="I15862" s="15"/>
    </row>
    <row r="15863" spans="1:9" ht="16.5">
      <c r="A15863" s="10" t="b">
        <v>0</v>
      </c>
      <c r="B15863" s="11" t="str">
        <f>IF(D15863&lt;&gt;"",IF(COUNTIF('USPTO TMs'!A:A,D15863)&gt;0,"Yes","No"),"")</f>
        <v/>
      </c>
      <c r="C15863" s="11"/>
      <c r="D15863" s="11"/>
      <c r="E15863" s="11"/>
      <c r="F15863" s="11"/>
      <c r="G15863" s="11"/>
      <c r="H15863" s="11"/>
      <c r="I15863" s="15"/>
    </row>
    <row r="15864" spans="1:9" ht="16.5">
      <c r="A15864" s="10" t="b">
        <v>0</v>
      </c>
      <c r="B15864" s="11" t="str">
        <f>IF(D15864&lt;&gt;"",IF(COUNTIF('USPTO TMs'!A:A,D15864)&gt;0,"Yes","No"),"")</f>
        <v/>
      </c>
      <c r="C15864" s="11"/>
      <c r="D15864" s="11"/>
      <c r="E15864" s="11"/>
      <c r="F15864" s="11"/>
      <c r="G15864" s="11"/>
      <c r="H15864" s="11"/>
      <c r="I15864" s="15"/>
    </row>
    <row r="15865" spans="1:9" ht="16.5">
      <c r="A15865" s="10" t="b">
        <v>0</v>
      </c>
      <c r="B15865" s="11" t="str">
        <f>IF(D15865&lt;&gt;"",IF(COUNTIF('USPTO TMs'!A:A,D15865)&gt;0,"Yes","No"),"")</f>
        <v/>
      </c>
      <c r="C15865" s="11"/>
      <c r="D15865" s="11"/>
      <c r="E15865" s="11"/>
      <c r="F15865" s="11"/>
      <c r="G15865" s="11"/>
      <c r="H15865" s="11"/>
      <c r="I15865" s="15"/>
    </row>
    <row r="15866" spans="1:9" ht="16.5">
      <c r="A15866" s="10" t="b">
        <v>0</v>
      </c>
      <c r="B15866" s="11" t="str">
        <f>IF(D15866&lt;&gt;"",IF(COUNTIF('USPTO TMs'!A:A,D15866)&gt;0,"Yes","No"),"")</f>
        <v/>
      </c>
      <c r="C15866" s="11"/>
      <c r="D15866" s="11"/>
      <c r="E15866" s="11"/>
      <c r="F15866" s="11"/>
      <c r="G15866" s="11"/>
      <c r="H15866" s="11"/>
      <c r="I15866" s="15"/>
    </row>
    <row r="15867" spans="1:9" ht="16.5">
      <c r="A15867" s="10" t="b">
        <v>0</v>
      </c>
      <c r="B15867" s="11" t="str">
        <f>IF(D15867&lt;&gt;"",IF(COUNTIF('USPTO TMs'!A:A,D15867)&gt;0,"Yes","No"),"")</f>
        <v/>
      </c>
      <c r="C15867" s="11"/>
      <c r="D15867" s="11"/>
      <c r="E15867" s="11"/>
      <c r="F15867" s="11"/>
      <c r="G15867" s="11"/>
      <c r="H15867" s="11"/>
      <c r="I15867" s="15"/>
    </row>
    <row r="15868" spans="1:9" ht="16.5">
      <c r="A15868" s="10" t="b">
        <v>0</v>
      </c>
      <c r="B15868" s="11" t="str">
        <f>IF(D15868&lt;&gt;"",IF(COUNTIF('USPTO TMs'!A:A,D15868)&gt;0,"Yes","No"),"")</f>
        <v/>
      </c>
      <c r="C15868" s="11"/>
      <c r="D15868" s="11"/>
      <c r="E15868" s="11"/>
      <c r="F15868" s="11"/>
      <c r="G15868" s="11"/>
      <c r="H15868" s="11"/>
      <c r="I15868" s="15"/>
    </row>
    <row r="15869" spans="1:9" ht="16.5">
      <c r="A15869" s="10" t="b">
        <v>0</v>
      </c>
      <c r="B15869" s="11" t="str">
        <f>IF(D15869&lt;&gt;"",IF(COUNTIF('USPTO TMs'!A:A,D15869)&gt;0,"Yes","No"),"")</f>
        <v/>
      </c>
      <c r="C15869" s="11"/>
      <c r="D15869" s="11"/>
      <c r="E15869" s="11"/>
      <c r="F15869" s="11"/>
      <c r="G15869" s="11"/>
      <c r="H15869" s="11"/>
      <c r="I15869" s="15"/>
    </row>
    <row r="15870" spans="1:9" ht="16.5">
      <c r="A15870" s="10" t="b">
        <v>0</v>
      </c>
      <c r="B15870" s="11" t="str">
        <f>IF(D15870&lt;&gt;"",IF(COUNTIF('USPTO TMs'!A:A,D15870)&gt;0,"Yes","No"),"")</f>
        <v/>
      </c>
      <c r="C15870" s="11"/>
      <c r="D15870" s="11"/>
      <c r="E15870" s="11"/>
      <c r="F15870" s="11"/>
      <c r="G15870" s="11"/>
      <c r="H15870" s="11"/>
      <c r="I15870" s="15"/>
    </row>
    <row r="15871" spans="1:9" ht="16.5">
      <c r="A15871" s="10" t="b">
        <v>0</v>
      </c>
      <c r="B15871" s="11" t="str">
        <f>IF(D15871&lt;&gt;"",IF(COUNTIF('USPTO TMs'!A:A,D15871)&gt;0,"Yes","No"),"")</f>
        <v/>
      </c>
      <c r="C15871" s="11"/>
      <c r="D15871" s="11"/>
      <c r="E15871" s="11"/>
      <c r="F15871" s="11"/>
      <c r="G15871" s="11"/>
      <c r="H15871" s="11"/>
      <c r="I15871" s="15"/>
    </row>
    <row r="15872" spans="1:9" ht="16.5">
      <c r="A15872" s="10" t="b">
        <v>0</v>
      </c>
      <c r="B15872" s="11" t="str">
        <f>IF(D15872&lt;&gt;"",IF(COUNTIF('USPTO TMs'!A:A,D15872)&gt;0,"Yes","No"),"")</f>
        <v/>
      </c>
      <c r="C15872" s="11"/>
      <c r="D15872" s="11"/>
      <c r="E15872" s="11"/>
      <c r="F15872" s="11"/>
      <c r="G15872" s="11"/>
      <c r="H15872" s="11"/>
      <c r="I15872" s="15"/>
    </row>
    <row r="15873" spans="1:9" ht="16.5">
      <c r="A15873" s="10" t="b">
        <v>0</v>
      </c>
      <c r="B15873" s="11" t="str">
        <f>IF(D15873&lt;&gt;"",IF(COUNTIF('USPTO TMs'!A:A,D15873)&gt;0,"Yes","No"),"")</f>
        <v/>
      </c>
      <c r="C15873" s="11"/>
      <c r="D15873" s="11"/>
      <c r="E15873" s="11"/>
      <c r="F15873" s="11"/>
      <c r="G15873" s="11"/>
      <c r="H15873" s="11"/>
      <c r="I15873" s="15"/>
    </row>
    <row r="15874" spans="1:9" ht="16.5">
      <c r="A15874" s="10" t="b">
        <v>0</v>
      </c>
      <c r="B15874" s="11" t="str">
        <f>IF(D15874&lt;&gt;"",IF(COUNTIF('USPTO TMs'!A:A,D15874)&gt;0,"Yes","No"),"")</f>
        <v/>
      </c>
      <c r="C15874" s="11"/>
      <c r="D15874" s="11"/>
      <c r="E15874" s="11"/>
      <c r="F15874" s="11"/>
      <c r="G15874" s="11"/>
      <c r="H15874" s="11"/>
      <c r="I15874" s="15"/>
    </row>
    <row r="15875" spans="1:9" ht="16.5">
      <c r="A15875" s="10" t="b">
        <v>0</v>
      </c>
      <c r="B15875" s="11" t="str">
        <f>IF(D15875&lt;&gt;"",IF(COUNTIF('USPTO TMs'!A:A,D15875)&gt;0,"Yes","No"),"")</f>
        <v/>
      </c>
      <c r="C15875" s="11"/>
      <c r="D15875" s="11"/>
      <c r="E15875" s="11"/>
      <c r="F15875" s="11"/>
      <c r="G15875" s="11"/>
      <c r="H15875" s="11"/>
      <c r="I15875" s="15"/>
    </row>
    <row r="15876" spans="1:9" ht="16.5">
      <c r="A15876" s="10" t="b">
        <v>0</v>
      </c>
      <c r="B15876" s="11" t="str">
        <f>IF(D15876&lt;&gt;"",IF(COUNTIF('USPTO TMs'!A:A,D15876)&gt;0,"Yes","No"),"")</f>
        <v/>
      </c>
      <c r="C15876" s="11"/>
      <c r="D15876" s="11"/>
      <c r="E15876" s="11"/>
      <c r="F15876" s="11"/>
      <c r="G15876" s="11"/>
      <c r="H15876" s="11"/>
      <c r="I15876" s="15"/>
    </row>
    <row r="15877" spans="1:9" ht="16.5">
      <c r="A15877" s="10" t="b">
        <v>0</v>
      </c>
      <c r="B15877" s="11" t="str">
        <f>IF(D15877&lt;&gt;"",IF(COUNTIF('USPTO TMs'!A:A,D15877)&gt;0,"Yes","No"),"")</f>
        <v/>
      </c>
      <c r="C15877" s="11"/>
      <c r="D15877" s="11"/>
      <c r="E15877" s="11"/>
      <c r="F15877" s="11"/>
      <c r="G15877" s="11"/>
      <c r="H15877" s="11"/>
      <c r="I15877" s="15"/>
    </row>
    <row r="15878" spans="1:9" ht="16.5">
      <c r="A15878" s="10" t="b">
        <v>0</v>
      </c>
      <c r="B15878" s="11" t="str">
        <f>IF(D15878&lt;&gt;"",IF(COUNTIF('USPTO TMs'!A:A,D15878)&gt;0,"Yes","No"),"")</f>
        <v/>
      </c>
      <c r="C15878" s="11"/>
      <c r="D15878" s="11"/>
      <c r="E15878" s="11"/>
      <c r="F15878" s="11"/>
      <c r="G15878" s="11"/>
      <c r="H15878" s="11"/>
      <c r="I15878" s="15"/>
    </row>
    <row r="15879" spans="1:9" ht="16.5">
      <c r="A15879" s="10" t="b">
        <v>0</v>
      </c>
      <c r="B15879" s="11" t="str">
        <f>IF(D15879&lt;&gt;"",IF(COUNTIF('USPTO TMs'!A:A,D15879)&gt;0,"Yes","No"),"")</f>
        <v/>
      </c>
      <c r="C15879" s="11"/>
      <c r="D15879" s="11"/>
      <c r="E15879" s="11"/>
      <c r="F15879" s="11"/>
      <c r="G15879" s="11"/>
      <c r="H15879" s="11"/>
      <c r="I15879" s="15"/>
    </row>
    <row r="15880" spans="1:9" ht="16.5">
      <c r="A15880" s="10" t="b">
        <v>0</v>
      </c>
      <c r="B15880" s="11" t="str">
        <f>IF(D15880&lt;&gt;"",IF(COUNTIF('USPTO TMs'!A:A,D15880)&gt;0,"Yes","No"),"")</f>
        <v/>
      </c>
      <c r="C15880" s="11"/>
      <c r="D15880" s="11"/>
      <c r="E15880" s="11"/>
      <c r="F15880" s="11"/>
      <c r="G15880" s="11"/>
      <c r="H15880" s="11"/>
      <c r="I15880" s="15"/>
    </row>
    <row r="15881" spans="1:9" ht="16.5">
      <c r="A15881" s="10" t="b">
        <v>0</v>
      </c>
      <c r="B15881" s="11" t="str">
        <f>IF(D15881&lt;&gt;"",IF(COUNTIF('USPTO TMs'!A:A,D15881)&gt;0,"Yes","No"),"")</f>
        <v/>
      </c>
      <c r="C15881" s="11"/>
      <c r="D15881" s="11"/>
      <c r="E15881" s="11"/>
      <c r="F15881" s="11"/>
      <c r="G15881" s="11"/>
      <c r="H15881" s="11"/>
      <c r="I15881" s="15"/>
    </row>
    <row r="15882" spans="1:9" ht="16.5">
      <c r="A15882" s="10" t="b">
        <v>0</v>
      </c>
      <c r="B15882" s="11" t="str">
        <f>IF(D15882&lt;&gt;"",IF(COUNTIF('USPTO TMs'!A:A,D15882)&gt;0,"Yes","No"),"")</f>
        <v/>
      </c>
      <c r="C15882" s="11"/>
      <c r="D15882" s="11"/>
      <c r="E15882" s="11"/>
      <c r="F15882" s="11"/>
      <c r="G15882" s="11"/>
      <c r="H15882" s="11"/>
      <c r="I15882" s="15"/>
    </row>
    <row r="15883" spans="1:9" ht="16.5">
      <c r="A15883" s="10" t="b">
        <v>0</v>
      </c>
      <c r="B15883" s="11" t="str">
        <f>IF(D15883&lt;&gt;"",IF(COUNTIF('USPTO TMs'!A:A,D15883)&gt;0,"Yes","No"),"")</f>
        <v/>
      </c>
      <c r="C15883" s="11"/>
      <c r="D15883" s="11"/>
      <c r="E15883" s="11"/>
      <c r="F15883" s="11"/>
      <c r="G15883" s="11"/>
      <c r="H15883" s="11"/>
      <c r="I15883" s="15"/>
    </row>
    <row r="15884" spans="1:9" ht="16.5">
      <c r="A15884" s="10" t="b">
        <v>0</v>
      </c>
      <c r="B15884" s="11" t="str">
        <f>IF(D15884&lt;&gt;"",IF(COUNTIF('USPTO TMs'!A:A,D15884)&gt;0,"Yes","No"),"")</f>
        <v/>
      </c>
      <c r="C15884" s="11"/>
      <c r="D15884" s="11"/>
      <c r="E15884" s="11"/>
      <c r="F15884" s="11"/>
      <c r="G15884" s="11"/>
      <c r="H15884" s="11"/>
      <c r="I15884" s="15"/>
    </row>
    <row r="15885" spans="1:9" ht="16.5">
      <c r="A15885" s="10" t="b">
        <v>0</v>
      </c>
      <c r="B15885" s="11" t="str">
        <f>IF(D15885&lt;&gt;"",IF(COUNTIF('USPTO TMs'!A:A,D15885)&gt;0,"Yes","No"),"")</f>
        <v/>
      </c>
      <c r="C15885" s="11"/>
      <c r="D15885" s="11"/>
      <c r="E15885" s="11"/>
      <c r="F15885" s="11"/>
      <c r="G15885" s="11"/>
      <c r="H15885" s="11"/>
      <c r="I15885" s="15"/>
    </row>
    <row r="15886" spans="1:9" ht="16.5">
      <c r="A15886" s="10" t="b">
        <v>0</v>
      </c>
      <c r="B15886" s="11" t="str">
        <f>IF(D15886&lt;&gt;"",IF(COUNTIF('USPTO TMs'!A:A,D15886)&gt;0,"Yes","No"),"")</f>
        <v/>
      </c>
      <c r="C15886" s="11"/>
      <c r="D15886" s="11"/>
      <c r="E15886" s="11"/>
      <c r="F15886" s="11"/>
      <c r="G15886" s="11"/>
      <c r="H15886" s="11"/>
      <c r="I15886" s="15"/>
    </row>
    <row r="15887" spans="1:9" ht="16.5">
      <c r="A15887" s="10" t="b">
        <v>0</v>
      </c>
      <c r="B15887" s="11" t="str">
        <f>IF(D15887&lt;&gt;"",IF(COUNTIF('USPTO TMs'!A:A,D15887)&gt;0,"Yes","No"),"")</f>
        <v/>
      </c>
      <c r="C15887" s="11"/>
      <c r="D15887" s="11"/>
      <c r="E15887" s="11"/>
      <c r="F15887" s="11"/>
      <c r="G15887" s="11"/>
      <c r="H15887" s="11"/>
      <c r="I15887" s="15"/>
    </row>
    <row r="15888" spans="1:9" ht="16.5">
      <c r="A15888" s="10" t="b">
        <v>0</v>
      </c>
      <c r="B15888" s="11" t="str">
        <f>IF(D15888&lt;&gt;"",IF(COUNTIF('USPTO TMs'!A:A,D15888)&gt;0,"Yes","No"),"")</f>
        <v/>
      </c>
      <c r="C15888" s="11"/>
      <c r="D15888" s="11"/>
      <c r="E15888" s="11"/>
      <c r="F15888" s="11"/>
      <c r="G15888" s="11"/>
      <c r="H15888" s="11"/>
      <c r="I15888" s="15"/>
    </row>
    <row r="15889" spans="1:9" ht="16.5">
      <c r="A15889" s="10" t="b">
        <v>0</v>
      </c>
      <c r="B15889" s="11" t="str">
        <f>IF(D15889&lt;&gt;"",IF(COUNTIF('USPTO TMs'!A:A,D15889)&gt;0,"Yes","No"),"")</f>
        <v/>
      </c>
      <c r="C15889" s="11"/>
      <c r="D15889" s="11"/>
      <c r="E15889" s="11"/>
      <c r="F15889" s="11"/>
      <c r="G15889" s="11"/>
      <c r="H15889" s="11"/>
      <c r="I15889" s="15"/>
    </row>
    <row r="15890" spans="1:9" ht="16.5">
      <c r="A15890" s="10" t="b">
        <v>0</v>
      </c>
      <c r="B15890" s="11" t="str">
        <f>IF(D15890&lt;&gt;"",IF(COUNTIF('USPTO TMs'!A:A,D15890)&gt;0,"Yes","No"),"")</f>
        <v/>
      </c>
      <c r="C15890" s="11"/>
      <c r="D15890" s="11"/>
      <c r="E15890" s="11"/>
      <c r="F15890" s="11"/>
      <c r="G15890" s="11"/>
      <c r="H15890" s="11"/>
      <c r="I15890" s="15"/>
    </row>
    <row r="15891" spans="1:9" ht="16.5">
      <c r="A15891" s="10" t="b">
        <v>0</v>
      </c>
      <c r="B15891" s="11" t="str">
        <f>IF(D15891&lt;&gt;"",IF(COUNTIF('USPTO TMs'!A:A,D15891)&gt;0,"Yes","No"),"")</f>
        <v/>
      </c>
      <c r="C15891" s="11"/>
      <c r="D15891" s="11"/>
      <c r="E15891" s="11"/>
      <c r="F15891" s="11"/>
      <c r="G15891" s="11"/>
      <c r="H15891" s="11"/>
      <c r="I15891" s="15"/>
    </row>
    <row r="15892" spans="1:9" ht="16.5">
      <c r="A15892" s="10" t="b">
        <v>0</v>
      </c>
      <c r="B15892" s="11" t="str">
        <f>IF(D15892&lt;&gt;"",IF(COUNTIF('USPTO TMs'!A:A,D15892)&gt;0,"Yes","No"),"")</f>
        <v/>
      </c>
      <c r="C15892" s="11"/>
      <c r="D15892" s="11"/>
      <c r="E15892" s="11"/>
      <c r="F15892" s="11"/>
      <c r="G15892" s="11"/>
      <c r="H15892" s="11"/>
      <c r="I15892" s="15"/>
    </row>
    <row r="15893" spans="1:9" ht="16.5">
      <c r="A15893" s="10" t="b">
        <v>0</v>
      </c>
      <c r="B15893" s="11" t="str">
        <f>IF(D15893&lt;&gt;"",IF(COUNTIF('USPTO TMs'!A:A,D15893)&gt;0,"Yes","No"),"")</f>
        <v/>
      </c>
      <c r="C15893" s="11"/>
      <c r="D15893" s="11"/>
      <c r="E15893" s="11"/>
      <c r="F15893" s="11"/>
      <c r="G15893" s="11"/>
      <c r="H15893" s="11"/>
      <c r="I15893" s="15"/>
    </row>
    <row r="15894" spans="1:9" ht="16.5">
      <c r="A15894" s="10" t="b">
        <v>0</v>
      </c>
      <c r="B15894" s="11" t="str">
        <f>IF(D15894&lt;&gt;"",IF(COUNTIF('USPTO TMs'!A:A,D15894)&gt;0,"Yes","No"),"")</f>
        <v/>
      </c>
      <c r="C15894" s="11"/>
      <c r="D15894" s="11"/>
      <c r="E15894" s="11"/>
      <c r="F15894" s="11"/>
      <c r="G15894" s="11"/>
      <c r="H15894" s="11"/>
      <c r="I15894" s="15"/>
    </row>
    <row r="15895" spans="1:9" ht="16.5">
      <c r="A15895" s="10" t="b">
        <v>0</v>
      </c>
      <c r="B15895" s="11" t="str">
        <f>IF(D15895&lt;&gt;"",IF(COUNTIF('USPTO TMs'!A:A,D15895)&gt;0,"Yes","No"),"")</f>
        <v/>
      </c>
      <c r="C15895" s="11"/>
      <c r="D15895" s="11"/>
      <c r="E15895" s="11"/>
      <c r="F15895" s="11"/>
      <c r="G15895" s="11"/>
      <c r="H15895" s="11"/>
      <c r="I15895" s="15"/>
    </row>
    <row r="15896" spans="1:9" ht="16.5">
      <c r="A15896" s="10" t="b">
        <v>0</v>
      </c>
      <c r="B15896" s="11" t="str">
        <f>IF(D15896&lt;&gt;"",IF(COUNTIF('USPTO TMs'!A:A,D15896)&gt;0,"Yes","No"),"")</f>
        <v/>
      </c>
      <c r="C15896" s="11"/>
      <c r="D15896" s="11"/>
      <c r="E15896" s="11"/>
      <c r="F15896" s="11"/>
      <c r="G15896" s="11"/>
      <c r="H15896" s="11"/>
      <c r="I15896" s="15"/>
    </row>
    <row r="15897" spans="1:9" ht="16.5">
      <c r="A15897" s="10" t="b">
        <v>0</v>
      </c>
      <c r="B15897" s="11" t="str">
        <f>IF(D15897&lt;&gt;"",IF(COUNTIF('USPTO TMs'!A:A,D15897)&gt;0,"Yes","No"),"")</f>
        <v/>
      </c>
      <c r="C15897" s="11"/>
      <c r="D15897" s="11"/>
      <c r="E15897" s="11"/>
      <c r="F15897" s="11"/>
      <c r="G15897" s="11"/>
      <c r="H15897" s="11"/>
      <c r="I15897" s="15"/>
    </row>
    <row r="15898" spans="1:9" ht="16.5">
      <c r="A15898" s="10" t="b">
        <v>0</v>
      </c>
      <c r="B15898" s="11" t="str">
        <f>IF(D15898&lt;&gt;"",IF(COUNTIF('USPTO TMs'!A:A,D15898)&gt;0,"Yes","No"),"")</f>
        <v/>
      </c>
      <c r="C15898" s="11"/>
      <c r="D15898" s="11"/>
      <c r="E15898" s="11"/>
      <c r="F15898" s="11"/>
      <c r="G15898" s="11"/>
      <c r="H15898" s="11"/>
      <c r="I15898" s="15"/>
    </row>
    <row r="15899" spans="1:9" ht="16.5">
      <c r="A15899" s="10" t="b">
        <v>0</v>
      </c>
      <c r="B15899" s="11" t="str">
        <f>IF(D15899&lt;&gt;"",IF(COUNTIF('USPTO TMs'!A:A,D15899)&gt;0,"Yes","No"),"")</f>
        <v/>
      </c>
      <c r="C15899" s="11"/>
      <c r="D15899" s="11"/>
      <c r="E15899" s="11"/>
      <c r="F15899" s="11"/>
      <c r="G15899" s="11"/>
      <c r="H15899" s="11"/>
      <c r="I15899" s="15"/>
    </row>
    <row r="15900" spans="1:9" ht="16.5">
      <c r="A15900" s="10" t="b">
        <v>0</v>
      </c>
      <c r="B15900" s="11" t="str">
        <f>IF(D15900&lt;&gt;"",IF(COUNTIF('USPTO TMs'!A:A,D15900)&gt;0,"Yes","No"),"")</f>
        <v/>
      </c>
      <c r="C15900" s="11"/>
      <c r="D15900" s="11"/>
      <c r="E15900" s="11"/>
      <c r="F15900" s="11"/>
      <c r="G15900" s="11"/>
      <c r="H15900" s="11"/>
      <c r="I15900" s="15"/>
    </row>
    <row r="15901" spans="1:9" ht="16.5">
      <c r="A15901" s="10" t="b">
        <v>0</v>
      </c>
      <c r="B15901" s="11" t="str">
        <f>IF(D15901&lt;&gt;"",IF(COUNTIF('USPTO TMs'!A:A,D15901)&gt;0,"Yes","No"),"")</f>
        <v/>
      </c>
      <c r="C15901" s="11"/>
      <c r="D15901" s="11"/>
      <c r="E15901" s="11"/>
      <c r="F15901" s="11"/>
      <c r="G15901" s="11"/>
      <c r="H15901" s="11"/>
      <c r="I15901" s="15"/>
    </row>
    <row r="15902" spans="1:9" ht="16.5">
      <c r="A15902" s="10" t="b">
        <v>0</v>
      </c>
      <c r="B15902" s="11" t="str">
        <f>IF(D15902&lt;&gt;"",IF(COUNTIF('USPTO TMs'!A:A,D15902)&gt;0,"Yes","No"),"")</f>
        <v/>
      </c>
      <c r="C15902" s="11"/>
      <c r="D15902" s="11"/>
      <c r="E15902" s="11"/>
      <c r="F15902" s="11"/>
      <c r="G15902" s="11"/>
      <c r="H15902" s="11"/>
      <c r="I15902" s="15"/>
    </row>
    <row r="15903" spans="1:9" ht="16.5">
      <c r="A15903" s="10" t="b">
        <v>0</v>
      </c>
      <c r="B15903" s="11" t="str">
        <f>IF(D15903&lt;&gt;"",IF(COUNTIF('USPTO TMs'!A:A,D15903)&gt;0,"Yes","No"),"")</f>
        <v/>
      </c>
      <c r="C15903" s="11"/>
      <c r="D15903" s="11"/>
      <c r="E15903" s="11"/>
      <c r="F15903" s="11"/>
      <c r="G15903" s="11"/>
      <c r="H15903" s="11"/>
      <c r="I15903" s="15"/>
    </row>
    <row r="15904" spans="1:9" ht="16.5">
      <c r="A15904" s="10" t="b">
        <v>0</v>
      </c>
      <c r="B15904" s="11" t="str">
        <f>IF(D15904&lt;&gt;"",IF(COUNTIF('USPTO TMs'!A:A,D15904)&gt;0,"Yes","No"),"")</f>
        <v/>
      </c>
      <c r="C15904" s="11"/>
      <c r="D15904" s="11"/>
      <c r="E15904" s="11"/>
      <c r="F15904" s="11"/>
      <c r="G15904" s="11"/>
      <c r="H15904" s="11"/>
      <c r="I15904" s="15"/>
    </row>
    <row r="15905" spans="1:9" ht="16.5">
      <c r="A15905" s="10" t="b">
        <v>0</v>
      </c>
      <c r="B15905" s="11" t="str">
        <f>IF(D15905&lt;&gt;"",IF(COUNTIF('USPTO TMs'!A:A,D15905)&gt;0,"Yes","No"),"")</f>
        <v/>
      </c>
      <c r="C15905" s="11"/>
      <c r="D15905" s="11"/>
      <c r="E15905" s="11"/>
      <c r="F15905" s="11"/>
      <c r="G15905" s="11"/>
      <c r="H15905" s="11"/>
      <c r="I15905" s="15"/>
    </row>
    <row r="15906" spans="1:9" ht="16.5">
      <c r="A15906" s="10" t="b">
        <v>0</v>
      </c>
      <c r="B15906" s="11" t="str">
        <f>IF(D15906&lt;&gt;"",IF(COUNTIF('USPTO TMs'!A:A,D15906)&gt;0,"Yes","No"),"")</f>
        <v/>
      </c>
      <c r="C15906" s="11"/>
      <c r="D15906" s="11"/>
      <c r="E15906" s="11"/>
      <c r="F15906" s="11"/>
      <c r="G15906" s="11"/>
      <c r="H15906" s="11"/>
      <c r="I15906" s="15"/>
    </row>
    <row r="15907" spans="1:9" ht="16.5">
      <c r="A15907" s="10" t="b">
        <v>0</v>
      </c>
      <c r="B15907" s="11" t="str">
        <f>IF(D15907&lt;&gt;"",IF(COUNTIF('USPTO TMs'!A:A,D15907)&gt;0,"Yes","No"),"")</f>
        <v/>
      </c>
      <c r="C15907" s="11"/>
      <c r="D15907" s="11"/>
      <c r="E15907" s="11"/>
      <c r="F15907" s="11"/>
      <c r="G15907" s="11"/>
      <c r="H15907" s="11"/>
      <c r="I15907" s="15"/>
    </row>
    <row r="15908" spans="1:9" ht="16.5">
      <c r="A15908" s="10" t="b">
        <v>0</v>
      </c>
      <c r="B15908" s="11" t="str">
        <f>IF(D15908&lt;&gt;"",IF(COUNTIF('USPTO TMs'!A:A,D15908)&gt;0,"Yes","No"),"")</f>
        <v/>
      </c>
      <c r="C15908" s="11"/>
      <c r="D15908" s="11"/>
      <c r="E15908" s="11"/>
      <c r="F15908" s="11"/>
      <c r="G15908" s="11"/>
      <c r="H15908" s="11"/>
      <c r="I15908" s="15"/>
    </row>
    <row r="15909" spans="1:9" ht="16.5">
      <c r="A15909" s="10" t="b">
        <v>0</v>
      </c>
      <c r="B15909" s="11" t="str">
        <f>IF(D15909&lt;&gt;"",IF(COUNTIF('USPTO TMs'!A:A,D15909)&gt;0,"Yes","No"),"")</f>
        <v/>
      </c>
      <c r="C15909" s="11"/>
      <c r="D15909" s="11"/>
      <c r="E15909" s="11"/>
      <c r="F15909" s="11"/>
      <c r="G15909" s="11"/>
      <c r="H15909" s="11"/>
      <c r="I15909" s="15"/>
    </row>
    <row r="15910" spans="1:9" ht="16.5">
      <c r="A15910" s="10" t="b">
        <v>0</v>
      </c>
      <c r="B15910" s="11" t="str">
        <f>IF(D15910&lt;&gt;"",IF(COUNTIF('USPTO TMs'!A:A,D15910)&gt;0,"Yes","No"),"")</f>
        <v/>
      </c>
      <c r="C15910" s="11"/>
      <c r="D15910" s="11"/>
      <c r="E15910" s="11"/>
      <c r="F15910" s="11"/>
      <c r="G15910" s="11"/>
      <c r="H15910" s="11"/>
      <c r="I15910" s="15"/>
    </row>
    <row r="15911" spans="1:9" ht="16.5">
      <c r="A15911" s="10" t="b">
        <v>0</v>
      </c>
      <c r="B15911" s="11" t="str">
        <f>IF(D15911&lt;&gt;"",IF(COUNTIF('USPTO TMs'!A:A,D15911)&gt;0,"Yes","No"),"")</f>
        <v/>
      </c>
      <c r="C15911" s="11"/>
      <c r="D15911" s="11"/>
      <c r="E15911" s="11"/>
      <c r="F15911" s="11"/>
      <c r="G15911" s="11"/>
      <c r="H15911" s="11"/>
      <c r="I15911" s="15"/>
    </row>
    <row r="15912" spans="1:9" ht="16.5">
      <c r="A15912" s="10" t="b">
        <v>0</v>
      </c>
      <c r="B15912" s="11" t="str">
        <f>IF(D15912&lt;&gt;"",IF(COUNTIF('USPTO TMs'!A:A,D15912)&gt;0,"Yes","No"),"")</f>
        <v/>
      </c>
      <c r="C15912" s="11"/>
      <c r="D15912" s="11"/>
      <c r="E15912" s="11"/>
      <c r="F15912" s="11"/>
      <c r="G15912" s="11"/>
      <c r="H15912" s="11"/>
      <c r="I15912" s="15"/>
    </row>
    <row r="15913" spans="1:9" ht="16.5">
      <c r="A15913" s="10" t="b">
        <v>0</v>
      </c>
      <c r="B15913" s="11" t="str">
        <f>IF(D15913&lt;&gt;"",IF(COUNTIF('USPTO TMs'!A:A,D15913)&gt;0,"Yes","No"),"")</f>
        <v/>
      </c>
      <c r="C15913" s="11"/>
      <c r="D15913" s="11"/>
      <c r="E15913" s="11"/>
      <c r="F15913" s="11"/>
      <c r="G15913" s="11"/>
      <c r="H15913" s="11"/>
      <c r="I15913" s="15"/>
    </row>
    <row r="15914" spans="1:9" ht="16.5">
      <c r="A15914" s="10" t="b">
        <v>0</v>
      </c>
      <c r="B15914" s="11" t="str">
        <f>IF(D15914&lt;&gt;"",IF(COUNTIF('USPTO TMs'!A:A,D15914)&gt;0,"Yes","No"),"")</f>
        <v/>
      </c>
      <c r="C15914" s="11"/>
      <c r="D15914" s="11"/>
      <c r="E15914" s="11"/>
      <c r="F15914" s="11"/>
      <c r="G15914" s="11"/>
      <c r="H15914" s="11"/>
      <c r="I15914" s="15"/>
    </row>
    <row r="15915" spans="1:9" ht="16.5">
      <c r="A15915" s="10" t="b">
        <v>0</v>
      </c>
      <c r="B15915" s="11" t="str">
        <f>IF(D15915&lt;&gt;"",IF(COUNTIF('USPTO TMs'!A:A,D15915)&gt;0,"Yes","No"),"")</f>
        <v/>
      </c>
      <c r="C15915" s="11"/>
      <c r="D15915" s="11"/>
      <c r="E15915" s="11"/>
      <c r="F15915" s="11"/>
      <c r="G15915" s="11"/>
      <c r="H15915" s="11"/>
      <c r="I15915" s="15"/>
    </row>
    <row r="15916" spans="1:9" ht="16.5">
      <c r="A15916" s="10" t="b">
        <v>0</v>
      </c>
      <c r="B15916" s="11" t="str">
        <f>IF(D15916&lt;&gt;"",IF(COUNTIF('USPTO TMs'!A:A,D15916)&gt;0,"Yes","No"),"")</f>
        <v/>
      </c>
      <c r="C15916" s="11"/>
      <c r="D15916" s="11"/>
      <c r="E15916" s="11"/>
      <c r="F15916" s="11"/>
      <c r="G15916" s="11"/>
      <c r="H15916" s="11"/>
      <c r="I15916" s="15"/>
    </row>
    <row r="15917" spans="1:9" ht="16.5">
      <c r="A15917" s="10" t="b">
        <v>0</v>
      </c>
      <c r="B15917" s="11" t="str">
        <f>IF(D15917&lt;&gt;"",IF(COUNTIF('USPTO TMs'!A:A,D15917)&gt;0,"Yes","No"),"")</f>
        <v/>
      </c>
      <c r="C15917" s="11"/>
      <c r="D15917" s="11"/>
      <c r="E15917" s="11"/>
      <c r="F15917" s="11"/>
      <c r="G15917" s="11"/>
      <c r="H15917" s="11"/>
      <c r="I15917" s="15"/>
    </row>
    <row r="15918" spans="1:9" ht="16.5">
      <c r="A15918" s="10" t="b">
        <v>0</v>
      </c>
      <c r="B15918" s="11" t="str">
        <f>IF(D15918&lt;&gt;"",IF(COUNTIF('USPTO TMs'!A:A,D15918)&gt;0,"Yes","No"),"")</f>
        <v/>
      </c>
      <c r="C15918" s="11"/>
      <c r="D15918" s="11"/>
      <c r="E15918" s="11"/>
      <c r="F15918" s="11"/>
      <c r="G15918" s="11"/>
      <c r="H15918" s="11"/>
      <c r="I15918" s="15"/>
    </row>
    <row r="15919" spans="1:9" ht="16.5">
      <c r="A15919" s="10" t="b">
        <v>0</v>
      </c>
      <c r="B15919" s="11" t="str">
        <f>IF(D15919&lt;&gt;"",IF(COUNTIF('USPTO TMs'!A:A,D15919)&gt;0,"Yes","No"),"")</f>
        <v/>
      </c>
      <c r="C15919" s="11"/>
      <c r="D15919" s="11"/>
      <c r="E15919" s="11"/>
      <c r="F15919" s="11"/>
      <c r="G15919" s="11"/>
      <c r="H15919" s="11"/>
      <c r="I15919" s="15"/>
    </row>
    <row r="15920" spans="1:9" ht="16.5">
      <c r="A15920" s="10" t="b">
        <v>0</v>
      </c>
      <c r="B15920" s="11" t="str">
        <f>IF(D15920&lt;&gt;"",IF(COUNTIF('USPTO TMs'!A:A,D15920)&gt;0,"Yes","No"),"")</f>
        <v/>
      </c>
      <c r="C15920" s="11"/>
      <c r="D15920" s="11"/>
      <c r="E15920" s="11"/>
      <c r="F15920" s="11"/>
      <c r="G15920" s="11"/>
      <c r="H15920" s="11"/>
      <c r="I15920" s="15"/>
    </row>
    <row r="15921" spans="1:9" ht="16.5">
      <c r="A15921" s="10" t="b">
        <v>0</v>
      </c>
      <c r="B15921" s="11" t="str">
        <f>IF(D15921&lt;&gt;"",IF(COUNTIF('USPTO TMs'!A:A,D15921)&gt;0,"Yes","No"),"")</f>
        <v/>
      </c>
      <c r="C15921" s="11"/>
      <c r="D15921" s="11"/>
      <c r="E15921" s="11"/>
      <c r="F15921" s="11"/>
      <c r="G15921" s="11"/>
      <c r="H15921" s="11"/>
      <c r="I15921" s="15"/>
    </row>
    <row r="15922" spans="1:9" ht="16.5">
      <c r="A15922" s="10" t="b">
        <v>0</v>
      </c>
      <c r="B15922" s="11" t="str">
        <f>IF(D15922&lt;&gt;"",IF(COUNTIF('USPTO TMs'!A:A,D15922)&gt;0,"Yes","No"),"")</f>
        <v/>
      </c>
      <c r="C15922" s="11"/>
      <c r="D15922" s="11"/>
      <c r="E15922" s="11"/>
      <c r="F15922" s="11"/>
      <c r="G15922" s="11"/>
      <c r="H15922" s="11"/>
      <c r="I15922" s="15"/>
    </row>
    <row r="15923" spans="1:9" ht="16.5">
      <c r="A15923" s="10" t="b">
        <v>0</v>
      </c>
      <c r="B15923" s="11" t="str">
        <f>IF(D15923&lt;&gt;"",IF(COUNTIF('USPTO TMs'!A:A,D15923)&gt;0,"Yes","No"),"")</f>
        <v/>
      </c>
      <c r="C15923" s="11"/>
      <c r="D15923" s="11"/>
      <c r="E15923" s="11"/>
      <c r="F15923" s="11"/>
      <c r="G15923" s="11"/>
      <c r="H15923" s="11"/>
      <c r="I15923" s="15"/>
    </row>
    <row r="15924" spans="1:9" ht="16.5">
      <c r="A15924" s="10" t="b">
        <v>0</v>
      </c>
      <c r="B15924" s="11" t="str">
        <f>IF(D15924&lt;&gt;"",IF(COUNTIF('USPTO TMs'!A:A,D15924)&gt;0,"Yes","No"),"")</f>
        <v/>
      </c>
      <c r="C15924" s="11"/>
      <c r="D15924" s="11"/>
      <c r="E15924" s="11"/>
      <c r="F15924" s="11"/>
      <c r="G15924" s="11"/>
      <c r="H15924" s="11"/>
      <c r="I15924" s="15"/>
    </row>
    <row r="15925" spans="1:9" ht="16.5">
      <c r="A15925" s="10" t="b">
        <v>0</v>
      </c>
      <c r="B15925" s="11" t="str">
        <f>IF(D15925&lt;&gt;"",IF(COUNTIF('USPTO TMs'!A:A,D15925)&gt;0,"Yes","No"),"")</f>
        <v/>
      </c>
      <c r="C15925" s="11"/>
      <c r="D15925" s="11"/>
      <c r="E15925" s="11"/>
      <c r="F15925" s="11"/>
      <c r="G15925" s="11"/>
      <c r="H15925" s="11"/>
      <c r="I15925" s="15"/>
    </row>
    <row r="15926" spans="1:9" ht="16.5">
      <c r="A15926" s="10" t="b">
        <v>0</v>
      </c>
      <c r="B15926" s="11" t="str">
        <f>IF(D15926&lt;&gt;"",IF(COUNTIF('USPTO TMs'!A:A,D15926)&gt;0,"Yes","No"),"")</f>
        <v/>
      </c>
      <c r="C15926" s="11"/>
      <c r="D15926" s="11"/>
      <c r="E15926" s="11"/>
      <c r="F15926" s="11"/>
      <c r="G15926" s="11"/>
      <c r="H15926" s="11"/>
      <c r="I15926" s="15"/>
    </row>
    <row r="15927" spans="1:9" ht="16.5">
      <c r="A15927" s="10" t="b">
        <v>0</v>
      </c>
      <c r="B15927" s="11" t="str">
        <f>IF(D15927&lt;&gt;"",IF(COUNTIF('USPTO TMs'!A:A,D15927)&gt;0,"Yes","No"),"")</f>
        <v/>
      </c>
      <c r="C15927" s="11"/>
      <c r="D15927" s="11"/>
      <c r="E15927" s="11"/>
      <c r="F15927" s="11"/>
      <c r="G15927" s="11"/>
      <c r="H15927" s="11"/>
      <c r="I15927" s="15"/>
    </row>
    <row r="15928" spans="1:9" ht="16.5">
      <c r="A15928" s="10" t="b">
        <v>0</v>
      </c>
      <c r="B15928" s="11" t="str">
        <f>IF(D15928&lt;&gt;"",IF(COUNTIF('USPTO TMs'!A:A,D15928)&gt;0,"Yes","No"),"")</f>
        <v/>
      </c>
      <c r="C15928" s="11"/>
      <c r="D15928" s="11"/>
      <c r="E15928" s="11"/>
      <c r="F15928" s="11"/>
      <c r="G15928" s="11"/>
      <c r="H15928" s="11"/>
      <c r="I15928" s="15"/>
    </row>
    <row r="15929" spans="1:9" ht="16.5">
      <c r="A15929" s="10" t="b">
        <v>0</v>
      </c>
      <c r="B15929" s="11" t="str">
        <f>IF(D15929&lt;&gt;"",IF(COUNTIF('USPTO TMs'!A:A,D15929)&gt;0,"Yes","No"),"")</f>
        <v/>
      </c>
      <c r="C15929" s="11"/>
      <c r="D15929" s="11"/>
      <c r="E15929" s="11"/>
      <c r="F15929" s="11"/>
      <c r="G15929" s="11"/>
      <c r="H15929" s="11"/>
      <c r="I15929" s="15"/>
    </row>
    <row r="15930" spans="1:9" ht="16.5">
      <c r="A15930" s="10" t="b">
        <v>0</v>
      </c>
      <c r="B15930" s="11" t="str">
        <f>IF(D15930&lt;&gt;"",IF(COUNTIF('USPTO TMs'!A:A,D15930)&gt;0,"Yes","No"),"")</f>
        <v/>
      </c>
      <c r="C15930" s="11"/>
      <c r="D15930" s="11"/>
      <c r="E15930" s="11"/>
      <c r="F15930" s="11"/>
      <c r="G15930" s="11"/>
      <c r="H15930" s="11"/>
      <c r="I15930" s="15"/>
    </row>
    <row r="15931" spans="1:9" ht="16.5">
      <c r="A15931" s="10" t="b">
        <v>0</v>
      </c>
      <c r="B15931" s="11" t="str">
        <f>IF(D15931&lt;&gt;"",IF(COUNTIF('USPTO TMs'!A:A,D15931)&gt;0,"Yes","No"),"")</f>
        <v/>
      </c>
      <c r="C15931" s="11"/>
      <c r="D15931" s="11"/>
      <c r="E15931" s="11"/>
      <c r="F15931" s="11"/>
      <c r="G15931" s="11"/>
      <c r="H15931" s="11"/>
      <c r="I15931" s="15"/>
    </row>
    <row r="15932" spans="1:9" ht="16.5">
      <c r="A15932" s="10" t="b">
        <v>0</v>
      </c>
      <c r="B15932" s="11" t="str">
        <f>IF(D15932&lt;&gt;"",IF(COUNTIF('USPTO TMs'!A:A,D15932)&gt;0,"Yes","No"),"")</f>
        <v/>
      </c>
      <c r="C15932" s="11"/>
      <c r="D15932" s="11"/>
      <c r="E15932" s="11"/>
      <c r="F15932" s="11"/>
      <c r="G15932" s="11"/>
      <c r="H15932" s="11"/>
      <c r="I15932" s="15"/>
    </row>
    <row r="15933" spans="1:9" ht="16.5">
      <c r="A15933" s="10" t="b">
        <v>0</v>
      </c>
      <c r="B15933" s="11" t="str">
        <f>IF(D15933&lt;&gt;"",IF(COUNTIF('USPTO TMs'!A:A,D15933)&gt;0,"Yes","No"),"")</f>
        <v/>
      </c>
      <c r="C15933" s="11"/>
      <c r="D15933" s="11"/>
      <c r="E15933" s="11"/>
      <c r="F15933" s="11"/>
      <c r="G15933" s="11"/>
      <c r="H15933" s="11"/>
      <c r="I15933" s="15"/>
    </row>
    <row r="15934" spans="1:9" ht="16.5">
      <c r="A15934" s="10" t="b">
        <v>0</v>
      </c>
      <c r="B15934" s="11" t="str">
        <f>IF(D15934&lt;&gt;"",IF(COUNTIF('USPTO TMs'!A:A,D15934)&gt;0,"Yes","No"),"")</f>
        <v/>
      </c>
      <c r="C15934" s="11"/>
      <c r="D15934" s="11"/>
      <c r="E15934" s="11"/>
      <c r="F15934" s="11"/>
      <c r="G15934" s="11"/>
      <c r="H15934" s="11"/>
      <c r="I15934" s="15"/>
    </row>
    <row r="15935" spans="1:9" ht="16.5">
      <c r="A15935" s="10" t="b">
        <v>0</v>
      </c>
      <c r="B15935" s="11" t="str">
        <f>IF(D15935&lt;&gt;"",IF(COUNTIF('USPTO TMs'!A:A,D15935)&gt;0,"Yes","No"),"")</f>
        <v/>
      </c>
      <c r="C15935" s="11"/>
      <c r="D15935" s="11"/>
      <c r="E15935" s="11"/>
      <c r="F15935" s="11"/>
      <c r="G15935" s="11"/>
      <c r="H15935" s="11"/>
      <c r="I15935" s="15"/>
    </row>
    <row r="15936" spans="1:9" ht="16.5">
      <c r="A15936" s="10" t="b">
        <v>0</v>
      </c>
      <c r="B15936" s="11" t="str">
        <f>IF(D15936&lt;&gt;"",IF(COUNTIF('USPTO TMs'!A:A,D15936)&gt;0,"Yes","No"),"")</f>
        <v/>
      </c>
      <c r="C15936" s="11"/>
      <c r="D15936" s="11"/>
      <c r="E15936" s="11"/>
      <c r="F15936" s="11"/>
      <c r="G15936" s="11"/>
      <c r="H15936" s="11"/>
      <c r="I15936" s="15"/>
    </row>
    <row r="15937" spans="1:9" ht="16.5">
      <c r="A15937" s="10" t="b">
        <v>0</v>
      </c>
      <c r="B15937" s="11" t="str">
        <f>IF(D15937&lt;&gt;"",IF(COUNTIF('USPTO TMs'!A:A,D15937)&gt;0,"Yes","No"),"")</f>
        <v/>
      </c>
      <c r="C15937" s="11"/>
      <c r="D15937" s="11"/>
      <c r="E15937" s="11"/>
      <c r="F15937" s="11"/>
      <c r="G15937" s="11"/>
      <c r="H15937" s="11"/>
      <c r="I15937" s="15"/>
    </row>
    <row r="15938" spans="1:9" ht="16.5">
      <c r="A15938" s="10" t="b">
        <v>0</v>
      </c>
      <c r="B15938" s="11" t="str">
        <f>IF(D15938&lt;&gt;"",IF(COUNTIF('USPTO TMs'!A:A,D15938)&gt;0,"Yes","No"),"")</f>
        <v/>
      </c>
      <c r="C15938" s="11"/>
      <c r="D15938" s="11"/>
      <c r="E15938" s="11"/>
      <c r="F15938" s="11"/>
      <c r="G15938" s="11"/>
      <c r="H15938" s="11"/>
      <c r="I15938" s="15"/>
    </row>
    <row r="15939" spans="1:9" ht="16.5">
      <c r="A15939" s="10" t="b">
        <v>0</v>
      </c>
      <c r="B15939" s="11" t="str">
        <f>IF(D15939&lt;&gt;"",IF(COUNTIF('USPTO TMs'!A:A,D15939)&gt;0,"Yes","No"),"")</f>
        <v/>
      </c>
      <c r="C15939" s="11"/>
      <c r="D15939" s="11"/>
      <c r="E15939" s="11"/>
      <c r="F15939" s="11"/>
      <c r="G15939" s="11"/>
      <c r="H15939" s="11"/>
      <c r="I15939" s="15"/>
    </row>
    <row r="15940" spans="1:9" ht="16.5">
      <c r="A15940" s="10" t="b">
        <v>0</v>
      </c>
      <c r="B15940" s="11" t="str">
        <f>IF(D15940&lt;&gt;"",IF(COUNTIF('USPTO TMs'!A:A,D15940)&gt;0,"Yes","No"),"")</f>
        <v/>
      </c>
      <c r="C15940" s="11"/>
      <c r="D15940" s="11"/>
      <c r="E15940" s="11"/>
      <c r="F15940" s="11"/>
      <c r="G15940" s="11"/>
      <c r="H15940" s="11"/>
      <c r="I15940" s="15"/>
    </row>
    <row r="15941" spans="1:9" ht="16.5">
      <c r="A15941" s="10" t="b">
        <v>0</v>
      </c>
      <c r="B15941" s="11" t="str">
        <f>IF(D15941&lt;&gt;"",IF(COUNTIF('USPTO TMs'!A:A,D15941)&gt;0,"Yes","No"),"")</f>
        <v/>
      </c>
      <c r="C15941" s="11"/>
      <c r="D15941" s="11"/>
      <c r="E15941" s="11"/>
      <c r="F15941" s="11"/>
      <c r="G15941" s="11"/>
      <c r="H15941" s="11"/>
      <c r="I15941" s="15"/>
    </row>
    <row r="15942" spans="1:9" ht="16.5">
      <c r="A15942" s="10" t="b">
        <v>0</v>
      </c>
      <c r="B15942" s="11" t="str">
        <f>IF(D15942&lt;&gt;"",IF(COUNTIF('USPTO TMs'!A:A,D15942)&gt;0,"Yes","No"),"")</f>
        <v/>
      </c>
      <c r="C15942" s="11"/>
      <c r="D15942" s="11"/>
      <c r="E15942" s="11"/>
      <c r="F15942" s="11"/>
      <c r="G15942" s="11"/>
      <c r="H15942" s="11"/>
      <c r="I15942" s="15"/>
    </row>
    <row r="15943" spans="1:9" ht="16.5">
      <c r="A15943" s="10" t="b">
        <v>0</v>
      </c>
      <c r="B15943" s="11" t="str">
        <f>IF(D15943&lt;&gt;"",IF(COUNTIF('USPTO TMs'!A:A,D15943)&gt;0,"Yes","No"),"")</f>
        <v/>
      </c>
      <c r="C15943" s="11"/>
      <c r="D15943" s="11"/>
      <c r="E15943" s="11"/>
      <c r="F15943" s="11"/>
      <c r="G15943" s="11"/>
      <c r="H15943" s="11"/>
      <c r="I15943" s="15"/>
    </row>
    <row r="15944" spans="1:9" ht="16.5">
      <c r="A15944" s="10" t="b">
        <v>0</v>
      </c>
      <c r="B15944" s="11" t="str">
        <f>IF(D15944&lt;&gt;"",IF(COUNTIF('USPTO TMs'!A:A,D15944)&gt;0,"Yes","No"),"")</f>
        <v/>
      </c>
      <c r="C15944" s="11"/>
      <c r="D15944" s="11"/>
      <c r="E15944" s="11"/>
      <c r="F15944" s="11"/>
      <c r="G15944" s="11"/>
      <c r="H15944" s="11"/>
      <c r="I15944" s="15"/>
    </row>
    <row r="15945" spans="1:9" ht="16.5">
      <c r="A15945" s="10" t="b">
        <v>0</v>
      </c>
      <c r="B15945" s="11" t="str">
        <f>IF(D15945&lt;&gt;"",IF(COUNTIF('USPTO TMs'!A:A,D15945)&gt;0,"Yes","No"),"")</f>
        <v/>
      </c>
      <c r="C15945" s="11"/>
      <c r="D15945" s="11"/>
      <c r="E15945" s="11"/>
      <c r="F15945" s="11"/>
      <c r="G15945" s="11"/>
      <c r="H15945" s="11"/>
      <c r="I15945" s="15"/>
    </row>
    <row r="15946" spans="1:9" ht="16.5">
      <c r="A15946" s="10" t="b">
        <v>0</v>
      </c>
      <c r="B15946" s="11" t="str">
        <f>IF(D15946&lt;&gt;"",IF(COUNTIF('USPTO TMs'!A:A,D15946)&gt;0,"Yes","No"),"")</f>
        <v/>
      </c>
      <c r="C15946" s="11"/>
      <c r="D15946" s="11"/>
      <c r="E15946" s="11"/>
      <c r="F15946" s="11"/>
      <c r="G15946" s="11"/>
      <c r="H15946" s="11"/>
      <c r="I15946" s="15"/>
    </row>
    <row r="15947" spans="1:9" ht="16.5">
      <c r="A15947" s="10" t="b">
        <v>0</v>
      </c>
      <c r="B15947" s="11" t="str">
        <f>IF(D15947&lt;&gt;"",IF(COUNTIF('USPTO TMs'!A:A,D15947)&gt;0,"Yes","No"),"")</f>
        <v/>
      </c>
      <c r="C15947" s="11"/>
      <c r="D15947" s="11"/>
      <c r="E15947" s="11"/>
      <c r="F15947" s="11"/>
      <c r="G15947" s="11"/>
      <c r="H15947" s="11"/>
      <c r="I15947" s="15"/>
    </row>
    <row r="15948" spans="1:9" ht="16.5">
      <c r="A15948" s="10" t="b">
        <v>0</v>
      </c>
      <c r="B15948" s="11" t="str">
        <f>IF(D15948&lt;&gt;"",IF(COUNTIF('USPTO TMs'!A:A,D15948)&gt;0,"Yes","No"),"")</f>
        <v/>
      </c>
      <c r="C15948" s="11"/>
      <c r="D15948" s="11"/>
      <c r="E15948" s="11"/>
      <c r="F15948" s="11"/>
      <c r="G15948" s="11"/>
      <c r="H15948" s="11"/>
      <c r="I15948" s="15"/>
    </row>
    <row r="15949" spans="1:9" ht="16.5">
      <c r="A15949" s="10" t="b">
        <v>0</v>
      </c>
      <c r="B15949" s="11" t="str">
        <f>IF(D15949&lt;&gt;"",IF(COUNTIF('USPTO TMs'!A:A,D15949)&gt;0,"Yes","No"),"")</f>
        <v/>
      </c>
      <c r="C15949" s="11"/>
      <c r="D15949" s="11"/>
      <c r="E15949" s="11"/>
      <c r="F15949" s="11"/>
      <c r="G15949" s="11"/>
      <c r="H15949" s="11"/>
      <c r="I15949" s="15"/>
    </row>
    <row r="15950" spans="1:9" ht="16.5">
      <c r="A15950" s="10" t="b">
        <v>0</v>
      </c>
      <c r="B15950" s="11" t="str">
        <f>IF(D15950&lt;&gt;"",IF(COUNTIF('USPTO TMs'!A:A,D15950)&gt;0,"Yes","No"),"")</f>
        <v/>
      </c>
      <c r="C15950" s="11"/>
      <c r="D15950" s="11"/>
      <c r="E15950" s="11"/>
      <c r="F15950" s="11"/>
      <c r="G15950" s="11"/>
      <c r="H15950" s="11"/>
      <c r="I15950" s="15"/>
    </row>
    <row r="15951" spans="1:9" ht="16.5">
      <c r="A15951" s="10" t="b">
        <v>0</v>
      </c>
      <c r="B15951" s="11" t="str">
        <f>IF(D15951&lt;&gt;"",IF(COUNTIF('USPTO TMs'!A:A,D15951)&gt;0,"Yes","No"),"")</f>
        <v/>
      </c>
      <c r="C15951" s="11"/>
      <c r="D15951" s="11"/>
      <c r="E15951" s="11"/>
      <c r="F15951" s="11"/>
      <c r="G15951" s="11"/>
      <c r="H15951" s="11"/>
      <c r="I15951" s="15"/>
    </row>
    <row r="15952" spans="1:9" ht="16.5">
      <c r="A15952" s="10" t="b">
        <v>0</v>
      </c>
      <c r="B15952" s="11" t="str">
        <f>IF(D15952&lt;&gt;"",IF(COUNTIF('USPTO TMs'!A:A,D15952)&gt;0,"Yes","No"),"")</f>
        <v/>
      </c>
      <c r="C15952" s="11"/>
      <c r="D15952" s="11"/>
      <c r="E15952" s="11"/>
      <c r="F15952" s="11"/>
      <c r="G15952" s="11"/>
      <c r="H15952" s="11"/>
      <c r="I15952" s="15"/>
    </row>
    <row r="15953" spans="1:9" ht="16.5">
      <c r="A15953" s="10" t="b">
        <v>0</v>
      </c>
      <c r="B15953" s="11" t="str">
        <f>IF(D15953&lt;&gt;"",IF(COUNTIF('USPTO TMs'!A:A,D15953)&gt;0,"Yes","No"),"")</f>
        <v/>
      </c>
      <c r="C15953" s="11"/>
      <c r="D15953" s="11"/>
      <c r="E15953" s="11"/>
      <c r="F15953" s="11"/>
      <c r="G15953" s="11"/>
      <c r="H15953" s="11"/>
      <c r="I15953" s="15"/>
    </row>
    <row r="15954" spans="1:9" ht="16.5">
      <c r="A15954" s="10" t="b">
        <v>0</v>
      </c>
      <c r="B15954" s="11" t="str">
        <f>IF(D15954&lt;&gt;"",IF(COUNTIF('USPTO TMs'!A:A,D15954)&gt;0,"Yes","No"),"")</f>
        <v/>
      </c>
      <c r="C15954" s="11"/>
      <c r="D15954" s="11"/>
      <c r="E15954" s="11"/>
      <c r="F15954" s="11"/>
      <c r="G15954" s="11"/>
      <c r="H15954" s="11"/>
      <c r="I15954" s="15"/>
    </row>
    <row r="15955" spans="1:9" ht="16.5">
      <c r="A15955" s="10" t="b">
        <v>0</v>
      </c>
      <c r="B15955" s="11" t="str">
        <f>IF(D15955&lt;&gt;"",IF(COUNTIF('USPTO TMs'!A:A,D15955)&gt;0,"Yes","No"),"")</f>
        <v/>
      </c>
      <c r="C15955" s="11"/>
      <c r="D15955" s="11"/>
      <c r="E15955" s="11"/>
      <c r="F15955" s="11"/>
      <c r="G15955" s="11"/>
      <c r="H15955" s="11"/>
      <c r="I15955" s="15"/>
    </row>
    <row r="15956" spans="1:9" ht="16.5">
      <c r="A15956" s="10" t="b">
        <v>0</v>
      </c>
      <c r="B15956" s="11" t="str">
        <f>IF(D15956&lt;&gt;"",IF(COUNTIF('USPTO TMs'!A:A,D15956)&gt;0,"Yes","No"),"")</f>
        <v/>
      </c>
      <c r="C15956" s="11"/>
      <c r="D15956" s="11"/>
      <c r="E15956" s="11"/>
      <c r="F15956" s="11"/>
      <c r="G15956" s="11"/>
      <c r="H15956" s="11"/>
      <c r="I15956" s="15"/>
    </row>
    <row r="15957" spans="1:9" ht="16.5">
      <c r="A15957" s="10" t="b">
        <v>0</v>
      </c>
      <c r="B15957" s="11" t="str">
        <f>IF(D15957&lt;&gt;"",IF(COUNTIF('USPTO TMs'!A:A,D15957)&gt;0,"Yes","No"),"")</f>
        <v/>
      </c>
      <c r="C15957" s="11"/>
      <c r="D15957" s="11"/>
      <c r="E15957" s="11"/>
      <c r="F15957" s="11"/>
      <c r="G15957" s="11"/>
      <c r="H15957" s="11"/>
      <c r="I15957" s="15"/>
    </row>
    <row r="15958" spans="1:9" ht="16.5">
      <c r="A15958" s="10" t="b">
        <v>0</v>
      </c>
      <c r="B15958" s="11" t="str">
        <f>IF(D15958&lt;&gt;"",IF(COUNTIF('USPTO TMs'!A:A,D15958)&gt;0,"Yes","No"),"")</f>
        <v/>
      </c>
      <c r="C15958" s="11"/>
      <c r="D15958" s="11"/>
      <c r="E15958" s="11"/>
      <c r="F15958" s="11"/>
      <c r="G15958" s="11"/>
      <c r="H15958" s="11"/>
      <c r="I15958" s="15"/>
    </row>
    <row r="15959" spans="1:9" ht="16.5">
      <c r="A15959" s="10" t="b">
        <v>0</v>
      </c>
      <c r="B15959" s="11" t="str">
        <f>IF(D15959&lt;&gt;"",IF(COUNTIF('USPTO TMs'!A:A,D15959)&gt;0,"Yes","No"),"")</f>
        <v/>
      </c>
      <c r="C15959" s="11"/>
      <c r="D15959" s="11"/>
      <c r="E15959" s="11"/>
      <c r="F15959" s="11"/>
      <c r="G15959" s="11"/>
      <c r="H15959" s="11"/>
      <c r="I15959" s="15"/>
    </row>
    <row r="15960" spans="1:9" ht="16.5">
      <c r="A15960" s="10" t="b">
        <v>0</v>
      </c>
      <c r="B15960" s="11" t="str">
        <f>IF(D15960&lt;&gt;"",IF(COUNTIF('USPTO TMs'!A:A,D15960)&gt;0,"Yes","No"),"")</f>
        <v/>
      </c>
      <c r="C15960" s="11"/>
      <c r="D15960" s="11"/>
      <c r="E15960" s="11"/>
      <c r="F15960" s="11"/>
      <c r="G15960" s="11"/>
      <c r="H15960" s="11"/>
      <c r="I15960" s="15"/>
    </row>
    <row r="15961" spans="1:9" ht="16.5">
      <c r="A15961" s="10" t="b">
        <v>0</v>
      </c>
      <c r="B15961" s="11" t="str">
        <f>IF(D15961&lt;&gt;"",IF(COUNTIF('USPTO TMs'!A:A,D15961)&gt;0,"Yes","No"),"")</f>
        <v/>
      </c>
      <c r="C15961" s="11"/>
      <c r="D15961" s="11"/>
      <c r="E15961" s="11"/>
      <c r="F15961" s="11"/>
      <c r="G15961" s="11"/>
      <c r="H15961" s="11"/>
      <c r="I15961" s="15"/>
    </row>
    <row r="15962" spans="1:9" ht="16.5">
      <c r="A15962" s="10" t="b">
        <v>0</v>
      </c>
      <c r="B15962" s="11" t="str">
        <f>IF(D15962&lt;&gt;"",IF(COUNTIF('USPTO TMs'!A:A,D15962)&gt;0,"Yes","No"),"")</f>
        <v/>
      </c>
      <c r="C15962" s="11"/>
      <c r="D15962" s="11"/>
      <c r="E15962" s="11"/>
      <c r="F15962" s="11"/>
      <c r="G15962" s="11"/>
      <c r="H15962" s="11"/>
      <c r="I15962" s="15"/>
    </row>
    <row r="15963" spans="1:9" ht="16.5">
      <c r="A15963" s="10" t="b">
        <v>0</v>
      </c>
      <c r="B15963" s="11" t="str">
        <f>IF(D15963&lt;&gt;"",IF(COUNTIF('USPTO TMs'!A:A,D15963)&gt;0,"Yes","No"),"")</f>
        <v/>
      </c>
      <c r="C15963" s="11"/>
      <c r="D15963" s="11"/>
      <c r="E15963" s="11"/>
      <c r="F15963" s="11"/>
      <c r="G15963" s="11"/>
      <c r="H15963" s="11"/>
      <c r="I15963" s="15"/>
    </row>
    <row r="15964" spans="1:9" ht="16.5">
      <c r="A15964" s="10" t="b">
        <v>0</v>
      </c>
      <c r="B15964" s="11" t="str">
        <f>IF(D15964&lt;&gt;"",IF(COUNTIF('USPTO TMs'!A:A,D15964)&gt;0,"Yes","No"),"")</f>
        <v/>
      </c>
      <c r="C15964" s="11"/>
      <c r="D15964" s="11"/>
      <c r="E15964" s="11"/>
      <c r="F15964" s="11"/>
      <c r="G15964" s="11"/>
      <c r="H15964" s="11"/>
      <c r="I15964" s="15"/>
    </row>
    <row r="15965" spans="1:9" ht="16.5">
      <c r="A15965" s="10" t="b">
        <v>0</v>
      </c>
      <c r="B15965" s="11" t="str">
        <f>IF(D15965&lt;&gt;"",IF(COUNTIF('USPTO TMs'!A:A,D15965)&gt;0,"Yes","No"),"")</f>
        <v/>
      </c>
      <c r="C15965" s="11"/>
      <c r="D15965" s="11"/>
      <c r="E15965" s="11"/>
      <c r="F15965" s="11"/>
      <c r="G15965" s="11"/>
      <c r="H15965" s="11"/>
      <c r="I15965" s="15"/>
    </row>
    <row r="15966" spans="1:9" ht="16.5">
      <c r="A15966" s="10" t="b">
        <v>0</v>
      </c>
      <c r="B15966" s="11" t="str">
        <f>IF(D15966&lt;&gt;"",IF(COUNTIF('USPTO TMs'!A:A,D15966)&gt;0,"Yes","No"),"")</f>
        <v/>
      </c>
      <c r="C15966" s="11"/>
      <c r="D15966" s="11"/>
      <c r="E15966" s="11"/>
      <c r="F15966" s="11"/>
      <c r="G15966" s="11"/>
      <c r="H15966" s="11"/>
      <c r="I15966" s="15"/>
    </row>
    <row r="15967" spans="1:9" ht="16.5">
      <c r="A15967" s="10" t="b">
        <v>0</v>
      </c>
      <c r="B15967" s="11" t="str">
        <f>IF(D15967&lt;&gt;"",IF(COUNTIF('USPTO TMs'!A:A,D15967)&gt;0,"Yes","No"),"")</f>
        <v/>
      </c>
      <c r="C15967" s="11"/>
      <c r="D15967" s="11"/>
      <c r="E15967" s="11"/>
      <c r="F15967" s="11"/>
      <c r="G15967" s="11"/>
      <c r="H15967" s="11"/>
      <c r="I15967" s="15"/>
    </row>
    <row r="15968" spans="1:9" ht="16.5">
      <c r="A15968" s="10" t="b">
        <v>0</v>
      </c>
      <c r="B15968" s="11" t="str">
        <f>IF(D15968&lt;&gt;"",IF(COUNTIF('USPTO TMs'!A:A,D15968)&gt;0,"Yes","No"),"")</f>
        <v/>
      </c>
      <c r="C15968" s="11"/>
      <c r="D15968" s="11"/>
      <c r="E15968" s="11"/>
      <c r="F15968" s="11"/>
      <c r="G15968" s="11"/>
      <c r="H15968" s="11"/>
      <c r="I15968" s="15"/>
    </row>
    <row r="15969" spans="1:9" ht="16.5">
      <c r="A15969" s="10" t="b">
        <v>0</v>
      </c>
      <c r="B15969" s="11" t="str">
        <f>IF(D15969&lt;&gt;"",IF(COUNTIF('USPTO TMs'!A:A,D15969)&gt;0,"Yes","No"),"")</f>
        <v/>
      </c>
      <c r="C15969" s="11"/>
      <c r="D15969" s="11"/>
      <c r="E15969" s="11"/>
      <c r="F15969" s="11"/>
      <c r="G15969" s="11"/>
      <c r="H15969" s="11"/>
      <c r="I15969" s="15"/>
    </row>
    <row r="15970" spans="1:9" ht="16.5">
      <c r="A15970" s="10" t="b">
        <v>0</v>
      </c>
      <c r="B15970" s="11" t="str">
        <f>IF(D15970&lt;&gt;"",IF(COUNTIF('USPTO TMs'!A:A,D15970)&gt;0,"Yes","No"),"")</f>
        <v/>
      </c>
      <c r="C15970" s="11"/>
      <c r="D15970" s="11"/>
      <c r="E15970" s="11"/>
      <c r="F15970" s="11"/>
      <c r="G15970" s="11"/>
      <c r="H15970" s="11"/>
      <c r="I15970" s="15"/>
    </row>
    <row r="15971" spans="1:9" ht="16.5">
      <c r="A15971" s="10" t="b">
        <v>0</v>
      </c>
      <c r="B15971" s="11" t="str">
        <f>IF(D15971&lt;&gt;"",IF(COUNTIF('USPTO TMs'!A:A,D15971)&gt;0,"Yes","No"),"")</f>
        <v/>
      </c>
      <c r="C15971" s="11"/>
      <c r="D15971" s="11"/>
      <c r="E15971" s="11"/>
      <c r="F15971" s="11"/>
      <c r="G15971" s="11"/>
      <c r="H15971" s="11"/>
      <c r="I15971" s="15"/>
    </row>
    <row r="15972" spans="1:9" ht="16.5">
      <c r="A15972" s="10" t="b">
        <v>0</v>
      </c>
      <c r="B15972" s="11" t="str">
        <f>IF(D15972&lt;&gt;"",IF(COUNTIF('USPTO TMs'!A:A,D15972)&gt;0,"Yes","No"),"")</f>
        <v/>
      </c>
      <c r="C15972" s="11"/>
      <c r="D15972" s="11"/>
      <c r="E15972" s="11"/>
      <c r="F15972" s="11"/>
      <c r="G15972" s="11"/>
      <c r="H15972" s="11"/>
      <c r="I15972" s="15"/>
    </row>
    <row r="15973" spans="1:9" ht="16.5">
      <c r="A15973" s="10" t="b">
        <v>0</v>
      </c>
      <c r="B15973" s="11" t="str">
        <f>IF(D15973&lt;&gt;"",IF(COUNTIF('USPTO TMs'!A:A,D15973)&gt;0,"Yes","No"),"")</f>
        <v/>
      </c>
      <c r="C15973" s="11"/>
      <c r="D15973" s="11"/>
      <c r="E15973" s="11"/>
      <c r="F15973" s="11"/>
      <c r="G15973" s="11"/>
      <c r="H15973" s="11"/>
      <c r="I15973" s="15"/>
    </row>
    <row r="15974" spans="1:9" ht="16.5">
      <c r="A15974" s="10" t="b">
        <v>0</v>
      </c>
      <c r="B15974" s="11" t="str">
        <f>IF(D15974&lt;&gt;"",IF(COUNTIF('USPTO TMs'!A:A,D15974)&gt;0,"Yes","No"),"")</f>
        <v/>
      </c>
      <c r="C15974" s="11"/>
      <c r="D15974" s="11"/>
      <c r="E15974" s="11"/>
      <c r="F15974" s="11"/>
      <c r="G15974" s="11"/>
      <c r="H15974" s="11"/>
      <c r="I15974" s="15"/>
    </row>
    <row r="15975" spans="1:9" ht="16.5">
      <c r="A15975" s="10" t="b">
        <v>0</v>
      </c>
      <c r="B15975" s="11" t="str">
        <f>IF(D15975&lt;&gt;"",IF(COUNTIF('USPTO TMs'!A:A,D15975)&gt;0,"Yes","No"),"")</f>
        <v/>
      </c>
      <c r="C15975" s="11"/>
      <c r="D15975" s="11"/>
      <c r="E15975" s="11"/>
      <c r="F15975" s="11"/>
      <c r="G15975" s="11"/>
      <c r="H15975" s="11"/>
      <c r="I15975" s="15"/>
    </row>
    <row r="15976" spans="1:9" ht="16.5">
      <c r="A15976" s="10" t="b">
        <v>0</v>
      </c>
      <c r="B15976" s="11" t="str">
        <f>IF(D15976&lt;&gt;"",IF(COUNTIF('USPTO TMs'!A:A,D15976)&gt;0,"Yes","No"),"")</f>
        <v/>
      </c>
      <c r="C15976" s="11"/>
      <c r="D15976" s="11"/>
      <c r="E15976" s="11"/>
      <c r="F15976" s="11"/>
      <c r="G15976" s="11"/>
      <c r="H15976" s="11"/>
      <c r="I15976" s="15"/>
    </row>
    <row r="15977" spans="1:9" ht="16.5">
      <c r="A15977" s="10" t="b">
        <v>0</v>
      </c>
      <c r="B15977" s="11" t="str">
        <f>IF(D15977&lt;&gt;"",IF(COUNTIF('USPTO TMs'!A:A,D15977)&gt;0,"Yes","No"),"")</f>
        <v/>
      </c>
      <c r="C15977" s="11"/>
      <c r="D15977" s="11"/>
      <c r="E15977" s="11"/>
      <c r="F15977" s="11"/>
      <c r="G15977" s="11"/>
      <c r="H15977" s="11"/>
      <c r="I15977" s="15"/>
    </row>
    <row r="15978" spans="1:9" ht="16.5">
      <c r="A15978" s="10" t="b">
        <v>0</v>
      </c>
      <c r="B15978" s="11" t="str">
        <f>IF(D15978&lt;&gt;"",IF(COUNTIF('USPTO TMs'!A:A,D15978)&gt;0,"Yes","No"),"")</f>
        <v/>
      </c>
      <c r="C15978" s="11"/>
      <c r="D15978" s="11"/>
      <c r="E15978" s="11"/>
      <c r="F15978" s="11"/>
      <c r="G15978" s="11"/>
      <c r="H15978" s="11"/>
      <c r="I15978" s="15"/>
    </row>
    <row r="15979" spans="1:9" ht="16.5">
      <c r="A15979" s="10" t="b">
        <v>0</v>
      </c>
      <c r="B15979" s="11" t="str">
        <f>IF(D15979&lt;&gt;"",IF(COUNTIF('USPTO TMs'!A:A,D15979)&gt;0,"Yes","No"),"")</f>
        <v/>
      </c>
      <c r="C15979" s="11"/>
      <c r="D15979" s="11"/>
      <c r="E15979" s="11"/>
      <c r="F15979" s="11"/>
      <c r="G15979" s="11"/>
      <c r="H15979" s="11"/>
      <c r="I15979" s="15"/>
    </row>
    <row r="15980" spans="1:9" ht="16.5">
      <c r="A15980" s="10" t="b">
        <v>0</v>
      </c>
      <c r="B15980" s="11" t="str">
        <f>IF(D15980&lt;&gt;"",IF(COUNTIF('USPTO TMs'!A:A,D15980)&gt;0,"Yes","No"),"")</f>
        <v/>
      </c>
      <c r="C15980" s="11"/>
      <c r="D15980" s="11"/>
      <c r="E15980" s="11"/>
      <c r="F15980" s="11"/>
      <c r="G15980" s="11"/>
      <c r="H15980" s="11"/>
      <c r="I15980" s="15"/>
    </row>
    <row r="15981" spans="1:9" ht="16.5">
      <c r="A15981" s="10" t="b">
        <v>0</v>
      </c>
      <c r="B15981" s="11" t="str">
        <f>IF(D15981&lt;&gt;"",IF(COUNTIF('USPTO TMs'!A:A,D15981)&gt;0,"Yes","No"),"")</f>
        <v/>
      </c>
      <c r="C15981" s="11"/>
      <c r="D15981" s="11"/>
      <c r="E15981" s="11"/>
      <c r="F15981" s="11"/>
      <c r="G15981" s="11"/>
      <c r="H15981" s="11"/>
      <c r="I15981" s="15"/>
    </row>
    <row r="15982" spans="1:9" ht="16.5">
      <c r="A15982" s="10" t="b">
        <v>0</v>
      </c>
      <c r="B15982" s="11" t="str">
        <f>IF(D15982&lt;&gt;"",IF(COUNTIF('USPTO TMs'!A:A,D15982)&gt;0,"Yes","No"),"")</f>
        <v/>
      </c>
      <c r="C15982" s="11"/>
      <c r="D15982" s="11"/>
      <c r="E15982" s="11"/>
      <c r="F15982" s="11"/>
      <c r="G15982" s="11"/>
      <c r="H15982" s="11"/>
      <c r="I15982" s="15"/>
    </row>
    <row r="15983" spans="1:9" ht="16.5">
      <c r="A15983" s="10" t="b">
        <v>0</v>
      </c>
      <c r="B15983" s="11" t="str">
        <f>IF(D15983&lt;&gt;"",IF(COUNTIF('USPTO TMs'!A:A,D15983)&gt;0,"Yes","No"),"")</f>
        <v/>
      </c>
      <c r="C15983" s="11"/>
      <c r="D15983" s="11"/>
      <c r="E15983" s="11"/>
      <c r="F15983" s="11"/>
      <c r="G15983" s="11"/>
      <c r="H15983" s="11"/>
      <c r="I15983" s="15"/>
    </row>
    <row r="15984" spans="1:9" ht="16.5">
      <c r="A15984" s="10" t="b">
        <v>0</v>
      </c>
      <c r="B15984" s="11" t="str">
        <f>IF(D15984&lt;&gt;"",IF(COUNTIF('USPTO TMs'!A:A,D15984)&gt;0,"Yes","No"),"")</f>
        <v/>
      </c>
      <c r="C15984" s="11"/>
      <c r="D15984" s="11"/>
      <c r="E15984" s="11"/>
      <c r="F15984" s="11"/>
      <c r="G15984" s="11"/>
      <c r="H15984" s="11"/>
      <c r="I15984" s="15"/>
    </row>
    <row r="15985" spans="1:9" ht="16.5">
      <c r="A15985" s="10" t="b">
        <v>0</v>
      </c>
      <c r="B15985" s="11" t="str">
        <f>IF(D15985&lt;&gt;"",IF(COUNTIF('USPTO TMs'!A:A,D15985)&gt;0,"Yes","No"),"")</f>
        <v/>
      </c>
      <c r="C15985" s="11"/>
      <c r="D15985" s="11"/>
      <c r="E15985" s="11"/>
      <c r="F15985" s="11"/>
      <c r="G15985" s="11"/>
      <c r="H15985" s="11"/>
      <c r="I15985" s="15"/>
    </row>
    <row r="15986" spans="1:9" ht="16.5">
      <c r="A15986" s="10" t="b">
        <v>0</v>
      </c>
      <c r="B15986" s="11" t="str">
        <f>IF(D15986&lt;&gt;"",IF(COUNTIF('USPTO TMs'!A:A,D15986)&gt;0,"Yes","No"),"")</f>
        <v/>
      </c>
      <c r="C15986" s="11"/>
      <c r="D15986" s="11"/>
      <c r="E15986" s="11"/>
      <c r="F15986" s="11"/>
      <c r="G15986" s="11"/>
      <c r="H15986" s="11"/>
      <c r="I15986" s="15"/>
    </row>
    <row r="15987" spans="1:9" ht="16.5">
      <c r="A15987" s="10" t="b">
        <v>0</v>
      </c>
      <c r="B15987" s="11" t="str">
        <f>IF(D15987&lt;&gt;"",IF(COUNTIF('USPTO TMs'!A:A,D15987)&gt;0,"Yes","No"),"")</f>
        <v/>
      </c>
      <c r="C15987" s="11"/>
      <c r="D15987" s="11"/>
      <c r="E15987" s="11"/>
      <c r="F15987" s="11"/>
      <c r="G15987" s="11"/>
      <c r="H15987" s="11"/>
      <c r="I15987" s="15"/>
    </row>
    <row r="15988" spans="1:9" ht="16.5">
      <c r="A15988" s="10" t="b">
        <v>0</v>
      </c>
      <c r="B15988" s="11" t="str">
        <f>IF(D15988&lt;&gt;"",IF(COUNTIF('USPTO TMs'!A:A,D15988)&gt;0,"Yes","No"),"")</f>
        <v/>
      </c>
      <c r="C15988" s="11"/>
      <c r="D15988" s="11"/>
      <c r="E15988" s="11"/>
      <c r="F15988" s="11"/>
      <c r="G15988" s="11"/>
      <c r="H15988" s="11"/>
      <c r="I15988" s="15"/>
    </row>
    <row r="15989" spans="1:9" ht="16.5">
      <c r="A15989" s="10" t="b">
        <v>0</v>
      </c>
      <c r="B15989" s="11" t="str">
        <f>IF(D15989&lt;&gt;"",IF(COUNTIF('USPTO TMs'!A:A,D15989)&gt;0,"Yes","No"),"")</f>
        <v/>
      </c>
      <c r="C15989" s="11"/>
      <c r="D15989" s="11"/>
      <c r="E15989" s="11"/>
      <c r="F15989" s="11"/>
      <c r="G15989" s="11"/>
      <c r="H15989" s="11"/>
      <c r="I15989" s="15"/>
    </row>
    <row r="15990" spans="1:9" ht="16.5">
      <c r="A15990" s="10" t="b">
        <v>0</v>
      </c>
      <c r="B15990" s="11" t="str">
        <f>IF(D15990&lt;&gt;"",IF(COUNTIF('USPTO TMs'!A:A,D15990)&gt;0,"Yes","No"),"")</f>
        <v/>
      </c>
      <c r="C15990" s="11"/>
      <c r="D15990" s="11"/>
      <c r="E15990" s="11"/>
      <c r="F15990" s="11"/>
      <c r="G15990" s="11"/>
      <c r="H15990" s="11"/>
      <c r="I15990" s="15"/>
    </row>
    <row r="15991" spans="1:9" ht="16.5">
      <c r="A15991" s="10" t="b">
        <v>0</v>
      </c>
      <c r="B15991" s="11" t="str">
        <f>IF(D15991&lt;&gt;"",IF(COUNTIF('USPTO TMs'!A:A,D15991)&gt;0,"Yes","No"),"")</f>
        <v/>
      </c>
      <c r="C15991" s="11"/>
      <c r="D15991" s="11"/>
      <c r="E15991" s="11"/>
      <c r="F15991" s="11"/>
      <c r="G15991" s="11"/>
      <c r="H15991" s="11"/>
      <c r="I15991" s="15"/>
    </row>
    <row r="15992" spans="1:9" ht="16.5">
      <c r="A15992" s="10" t="b">
        <v>0</v>
      </c>
      <c r="B15992" s="11" t="str">
        <f>IF(D15992&lt;&gt;"",IF(COUNTIF('USPTO TMs'!A:A,D15992)&gt;0,"Yes","No"),"")</f>
        <v/>
      </c>
      <c r="C15992" s="11"/>
      <c r="D15992" s="11"/>
      <c r="E15992" s="11"/>
      <c r="F15992" s="11"/>
      <c r="G15992" s="11"/>
      <c r="H15992" s="11"/>
      <c r="I15992" s="15"/>
    </row>
    <row r="15993" spans="1:9" ht="16.5">
      <c r="A15993" s="10" t="b">
        <v>0</v>
      </c>
      <c r="B15993" s="11" t="str">
        <f>IF(D15993&lt;&gt;"",IF(COUNTIF('USPTO TMs'!A:A,D15993)&gt;0,"Yes","No"),"")</f>
        <v/>
      </c>
      <c r="C15993" s="11"/>
      <c r="D15993" s="11"/>
      <c r="E15993" s="11"/>
      <c r="F15993" s="11"/>
      <c r="G15993" s="11"/>
      <c r="H15993" s="11"/>
      <c r="I15993" s="15"/>
    </row>
    <row r="15994" spans="1:9" ht="16.5">
      <c r="A15994" s="10" t="b">
        <v>0</v>
      </c>
      <c r="B15994" s="11" t="str">
        <f>IF(D15994&lt;&gt;"",IF(COUNTIF('USPTO TMs'!A:A,D15994)&gt;0,"Yes","No"),"")</f>
        <v/>
      </c>
      <c r="C15994" s="11"/>
      <c r="D15994" s="11"/>
      <c r="E15994" s="11"/>
      <c r="F15994" s="11"/>
      <c r="G15994" s="11"/>
      <c r="H15994" s="11"/>
      <c r="I15994" s="15"/>
    </row>
    <row r="15995" spans="1:9" ht="16.5">
      <c r="A15995" s="10" t="b">
        <v>0</v>
      </c>
      <c r="B15995" s="11" t="str">
        <f>IF(D15995&lt;&gt;"",IF(COUNTIF('USPTO TMs'!A:A,D15995)&gt;0,"Yes","No"),"")</f>
        <v/>
      </c>
      <c r="C15995" s="11"/>
      <c r="D15995" s="11"/>
      <c r="E15995" s="11"/>
      <c r="F15995" s="11"/>
      <c r="G15995" s="11"/>
      <c r="H15995" s="11"/>
      <c r="I15995" s="15"/>
    </row>
    <row r="15996" spans="1:9" ht="16.5">
      <c r="A15996" s="10" t="b">
        <v>0</v>
      </c>
      <c r="B15996" s="11" t="str">
        <f>IF(D15996&lt;&gt;"",IF(COUNTIF('USPTO TMs'!A:A,D15996)&gt;0,"Yes","No"),"")</f>
        <v/>
      </c>
      <c r="C15996" s="11"/>
      <c r="D15996" s="11"/>
      <c r="E15996" s="11"/>
      <c r="F15996" s="11"/>
      <c r="G15996" s="11"/>
      <c r="H15996" s="11"/>
      <c r="I15996" s="15"/>
    </row>
    <row r="15997" spans="1:9" ht="16.5">
      <c r="A15997" s="10" t="b">
        <v>0</v>
      </c>
      <c r="B15997" s="11" t="str">
        <f>IF(D15997&lt;&gt;"",IF(COUNTIF('USPTO TMs'!A:A,D15997)&gt;0,"Yes","No"),"")</f>
        <v/>
      </c>
      <c r="C15997" s="11"/>
      <c r="D15997" s="11"/>
      <c r="E15997" s="11"/>
      <c r="F15997" s="11"/>
      <c r="G15997" s="11"/>
      <c r="H15997" s="11"/>
      <c r="I15997" s="15"/>
    </row>
    <row r="15998" spans="1:9" ht="16.5">
      <c r="A15998" s="10" t="b">
        <v>0</v>
      </c>
      <c r="B15998" s="11" t="str">
        <f>IF(D15998&lt;&gt;"",IF(COUNTIF('USPTO TMs'!A:A,D15998)&gt;0,"Yes","No"),"")</f>
        <v/>
      </c>
      <c r="C15998" s="11"/>
      <c r="D15998" s="11"/>
      <c r="E15998" s="11"/>
      <c r="F15998" s="11"/>
      <c r="G15998" s="11"/>
      <c r="H15998" s="11"/>
      <c r="I15998" s="15"/>
    </row>
    <row r="15999" spans="1:9" ht="16.5">
      <c r="A15999" s="10" t="b">
        <v>0</v>
      </c>
      <c r="B15999" s="11" t="str">
        <f>IF(D15999&lt;&gt;"",IF(COUNTIF('USPTO TMs'!A:A,D15999)&gt;0,"Yes","No"),"")</f>
        <v/>
      </c>
      <c r="C15999" s="11"/>
      <c r="D15999" s="11"/>
      <c r="E15999" s="11"/>
      <c r="F15999" s="11"/>
      <c r="G15999" s="11"/>
      <c r="H15999" s="11"/>
      <c r="I15999" s="15"/>
    </row>
    <row r="16000" spans="1:9" ht="16.5">
      <c r="A16000" s="10" t="b">
        <v>0</v>
      </c>
      <c r="B16000" s="11" t="str">
        <f>IF(D16000&lt;&gt;"",IF(COUNTIF('USPTO TMs'!A:A,D16000)&gt;0,"Yes","No"),"")</f>
        <v/>
      </c>
      <c r="C16000" s="11"/>
      <c r="D16000" s="11"/>
      <c r="E16000" s="11"/>
      <c r="F16000" s="11"/>
      <c r="G16000" s="11"/>
      <c r="H16000" s="11"/>
      <c r="I16000" s="15"/>
    </row>
    <row r="16001" spans="1:9" ht="16.5">
      <c r="A16001" s="10" t="b">
        <v>0</v>
      </c>
      <c r="B16001" s="11" t="str">
        <f>IF(D16001&lt;&gt;"",IF(COUNTIF('USPTO TMs'!A:A,D16001)&gt;0,"Yes","No"),"")</f>
        <v/>
      </c>
      <c r="C16001" s="11"/>
      <c r="D16001" s="11"/>
      <c r="E16001" s="11"/>
      <c r="F16001" s="11"/>
      <c r="G16001" s="11"/>
      <c r="H16001" s="11"/>
      <c r="I16001" s="15"/>
    </row>
    <row r="16002" spans="1:9" ht="16.5">
      <c r="A16002" s="10" t="b">
        <v>0</v>
      </c>
      <c r="B16002" s="11" t="str">
        <f>IF(D16002&lt;&gt;"",IF(COUNTIF('USPTO TMs'!A:A,D16002)&gt;0,"Yes","No"),"")</f>
        <v/>
      </c>
      <c r="C16002" s="11"/>
      <c r="D16002" s="11"/>
      <c r="E16002" s="11"/>
      <c r="F16002" s="11"/>
      <c r="G16002" s="11"/>
      <c r="H16002" s="11"/>
      <c r="I16002" s="15"/>
    </row>
    <row r="16003" spans="1:9" ht="16.5">
      <c r="A16003" s="10" t="b">
        <v>0</v>
      </c>
      <c r="B16003" s="11" t="str">
        <f>IF(D16003&lt;&gt;"",IF(COUNTIF('USPTO TMs'!A:A,D16003)&gt;0,"Yes","No"),"")</f>
        <v/>
      </c>
      <c r="C16003" s="11"/>
      <c r="D16003" s="11"/>
      <c r="E16003" s="11"/>
      <c r="F16003" s="11"/>
      <c r="G16003" s="11"/>
      <c r="H16003" s="11"/>
      <c r="I16003" s="15"/>
    </row>
    <row r="16004" spans="1:9" ht="16.5">
      <c r="A16004" s="10" t="b">
        <v>0</v>
      </c>
      <c r="B16004" s="11" t="str">
        <f>IF(D16004&lt;&gt;"",IF(COUNTIF('USPTO TMs'!A:A,D16004)&gt;0,"Yes","No"),"")</f>
        <v/>
      </c>
      <c r="C16004" s="11"/>
      <c r="D16004" s="11"/>
      <c r="E16004" s="11"/>
      <c r="F16004" s="11"/>
      <c r="G16004" s="11"/>
      <c r="H16004" s="11"/>
      <c r="I16004" s="15"/>
    </row>
    <row r="16005" spans="1:9" ht="16.5">
      <c r="A16005" s="10" t="b">
        <v>0</v>
      </c>
      <c r="B16005" s="11" t="str">
        <f>IF(D16005&lt;&gt;"",IF(COUNTIF('USPTO TMs'!A:A,D16005)&gt;0,"Yes","No"),"")</f>
        <v/>
      </c>
      <c r="C16005" s="11"/>
      <c r="D16005" s="11"/>
      <c r="E16005" s="11"/>
      <c r="F16005" s="11"/>
      <c r="G16005" s="11"/>
      <c r="H16005" s="11"/>
      <c r="I16005" s="15"/>
    </row>
    <row r="16006" spans="1:9" ht="16.5">
      <c r="A16006" s="10" t="b">
        <v>0</v>
      </c>
      <c r="B16006" s="11" t="str">
        <f>IF(D16006&lt;&gt;"",IF(COUNTIF('USPTO TMs'!A:A,D16006)&gt;0,"Yes","No"),"")</f>
        <v/>
      </c>
      <c r="C16006" s="11"/>
      <c r="D16006" s="11"/>
      <c r="E16006" s="11"/>
      <c r="F16006" s="11"/>
      <c r="G16006" s="11"/>
      <c r="H16006" s="11"/>
      <c r="I16006" s="15"/>
    </row>
    <row r="16007" spans="1:9" ht="16.5">
      <c r="A16007" s="10" t="b">
        <v>0</v>
      </c>
      <c r="B16007" s="11" t="str">
        <f>IF(D16007&lt;&gt;"",IF(COUNTIF('USPTO TMs'!A:A,D16007)&gt;0,"Yes","No"),"")</f>
        <v/>
      </c>
      <c r="C16007" s="11"/>
      <c r="D16007" s="11"/>
      <c r="E16007" s="11"/>
      <c r="F16007" s="11"/>
      <c r="G16007" s="11"/>
      <c r="H16007" s="11"/>
      <c r="I16007" s="15"/>
    </row>
    <row r="16008" spans="1:9" ht="16.5">
      <c r="A16008" s="10" t="b">
        <v>0</v>
      </c>
      <c r="B16008" s="11" t="str">
        <f>IF(D16008&lt;&gt;"",IF(COUNTIF('USPTO TMs'!A:A,D16008)&gt;0,"Yes","No"),"")</f>
        <v/>
      </c>
      <c r="C16008" s="11"/>
      <c r="D16008" s="11"/>
      <c r="E16008" s="11"/>
      <c r="F16008" s="11"/>
      <c r="G16008" s="11"/>
      <c r="H16008" s="11"/>
      <c r="I16008" s="15"/>
    </row>
    <row r="16009" spans="1:9" ht="16.5">
      <c r="A16009" s="10" t="b">
        <v>0</v>
      </c>
      <c r="B16009" s="11" t="str">
        <f>IF(D16009&lt;&gt;"",IF(COUNTIF('USPTO TMs'!A:A,D16009)&gt;0,"Yes","No"),"")</f>
        <v/>
      </c>
      <c r="C16009" s="11"/>
      <c r="D16009" s="11"/>
      <c r="E16009" s="11"/>
      <c r="F16009" s="11"/>
      <c r="G16009" s="11"/>
      <c r="H16009" s="11"/>
      <c r="I16009" s="15"/>
    </row>
    <row r="16010" spans="1:9" ht="16.5">
      <c r="A16010" s="10" t="b">
        <v>0</v>
      </c>
      <c r="B16010" s="11" t="str">
        <f>IF(D16010&lt;&gt;"",IF(COUNTIF('USPTO TMs'!A:A,D16010)&gt;0,"Yes","No"),"")</f>
        <v/>
      </c>
      <c r="C16010" s="11"/>
      <c r="D16010" s="11"/>
      <c r="E16010" s="11"/>
      <c r="F16010" s="11"/>
      <c r="G16010" s="11"/>
      <c r="H16010" s="11"/>
      <c r="I16010" s="15"/>
    </row>
    <row r="16011" spans="1:9" ht="16.5">
      <c r="A16011" s="10" t="b">
        <v>0</v>
      </c>
      <c r="B16011" s="11" t="str">
        <f>IF(D16011&lt;&gt;"",IF(COUNTIF('USPTO TMs'!A:A,D16011)&gt;0,"Yes","No"),"")</f>
        <v/>
      </c>
      <c r="C16011" s="11"/>
      <c r="D16011" s="11"/>
      <c r="E16011" s="11"/>
      <c r="F16011" s="11"/>
      <c r="G16011" s="11"/>
      <c r="H16011" s="11"/>
      <c r="I16011" s="15"/>
    </row>
    <row r="16012" spans="1:9" ht="16.5">
      <c r="A16012" s="10" t="b">
        <v>0</v>
      </c>
      <c r="B16012" s="11" t="str">
        <f>IF(D16012&lt;&gt;"",IF(COUNTIF('USPTO TMs'!A:A,D16012)&gt;0,"Yes","No"),"")</f>
        <v/>
      </c>
      <c r="C16012" s="11"/>
      <c r="D16012" s="11"/>
      <c r="E16012" s="11"/>
      <c r="F16012" s="11"/>
      <c r="G16012" s="11"/>
      <c r="H16012" s="11"/>
      <c r="I16012" s="15"/>
    </row>
    <row r="16013" spans="1:9" ht="16.5">
      <c r="A16013" s="10" t="b">
        <v>0</v>
      </c>
      <c r="B16013" s="11" t="str">
        <f>IF(D16013&lt;&gt;"",IF(COUNTIF('USPTO TMs'!A:A,D16013)&gt;0,"Yes","No"),"")</f>
        <v/>
      </c>
      <c r="C16013" s="11"/>
      <c r="D16013" s="11"/>
      <c r="E16013" s="11"/>
      <c r="F16013" s="11"/>
      <c r="G16013" s="11"/>
      <c r="H16013" s="11"/>
      <c r="I16013" s="15"/>
    </row>
    <row r="16014" spans="1:9" ht="16.5">
      <c r="A16014" s="10" t="b">
        <v>0</v>
      </c>
      <c r="B16014" s="11" t="str">
        <f>IF(D16014&lt;&gt;"",IF(COUNTIF('USPTO TMs'!A:A,D16014)&gt;0,"Yes","No"),"")</f>
        <v/>
      </c>
      <c r="C16014" s="11"/>
      <c r="D16014" s="11"/>
      <c r="E16014" s="11"/>
      <c r="F16014" s="11"/>
      <c r="G16014" s="11"/>
      <c r="H16014" s="11"/>
      <c r="I16014" s="15"/>
    </row>
    <row r="16015" spans="1:9" ht="16.5">
      <c r="A16015" s="10" t="b">
        <v>0</v>
      </c>
      <c r="B16015" s="11" t="str">
        <f>IF(D16015&lt;&gt;"",IF(COUNTIF('USPTO TMs'!A:A,D16015)&gt;0,"Yes","No"),"")</f>
        <v/>
      </c>
      <c r="C16015" s="11"/>
      <c r="D16015" s="11"/>
      <c r="E16015" s="11"/>
      <c r="F16015" s="11"/>
      <c r="G16015" s="11"/>
      <c r="H16015" s="11"/>
      <c r="I16015" s="15"/>
    </row>
    <row r="16016" spans="1:9" ht="16.5">
      <c r="A16016" s="10" t="b">
        <v>0</v>
      </c>
      <c r="B16016" s="11" t="str">
        <f>IF(D16016&lt;&gt;"",IF(COUNTIF('USPTO TMs'!A:A,D16016)&gt;0,"Yes","No"),"")</f>
        <v/>
      </c>
      <c r="C16016" s="11"/>
      <c r="D16016" s="11"/>
      <c r="E16016" s="11"/>
      <c r="F16016" s="11"/>
      <c r="G16016" s="11"/>
      <c r="H16016" s="11"/>
      <c r="I16016" s="15"/>
    </row>
    <row r="16017" spans="1:9" ht="16.5">
      <c r="A16017" s="10" t="b">
        <v>0</v>
      </c>
      <c r="B16017" s="11" t="str">
        <f>IF(D16017&lt;&gt;"",IF(COUNTIF('USPTO TMs'!A:A,D16017)&gt;0,"Yes","No"),"")</f>
        <v/>
      </c>
      <c r="C16017" s="11"/>
      <c r="D16017" s="11"/>
      <c r="E16017" s="11"/>
      <c r="F16017" s="11"/>
      <c r="G16017" s="11"/>
      <c r="H16017" s="11"/>
      <c r="I16017" s="15"/>
    </row>
    <row r="16018" spans="1:9" ht="16.5">
      <c r="A16018" s="10" t="b">
        <v>0</v>
      </c>
      <c r="B16018" s="11" t="str">
        <f>IF(D16018&lt;&gt;"",IF(COUNTIF('USPTO TMs'!A:A,D16018)&gt;0,"Yes","No"),"")</f>
        <v/>
      </c>
      <c r="C16018" s="11"/>
      <c r="D16018" s="11"/>
      <c r="E16018" s="11"/>
      <c r="F16018" s="11"/>
      <c r="G16018" s="11"/>
      <c r="H16018" s="11"/>
      <c r="I16018" s="15"/>
    </row>
    <row r="16019" spans="1:9" ht="16.5">
      <c r="A16019" s="10" t="b">
        <v>0</v>
      </c>
      <c r="B16019" s="11" t="str">
        <f>IF(D16019&lt;&gt;"",IF(COUNTIF('USPTO TMs'!A:A,D16019)&gt;0,"Yes","No"),"")</f>
        <v/>
      </c>
      <c r="C16019" s="11"/>
      <c r="D16019" s="11"/>
      <c r="E16019" s="11"/>
      <c r="F16019" s="11"/>
      <c r="G16019" s="11"/>
      <c r="H16019" s="11"/>
      <c r="I16019" s="15"/>
    </row>
    <row r="16020" spans="1:9" ht="16.5">
      <c r="A16020" s="10" t="b">
        <v>0</v>
      </c>
      <c r="B16020" s="11" t="str">
        <f>IF(D16020&lt;&gt;"",IF(COUNTIF('USPTO TMs'!A:A,D16020)&gt;0,"Yes","No"),"")</f>
        <v/>
      </c>
      <c r="C16020" s="11"/>
      <c r="D16020" s="11"/>
      <c r="E16020" s="11"/>
      <c r="F16020" s="11"/>
      <c r="G16020" s="11"/>
      <c r="H16020" s="11"/>
      <c r="I16020" s="15"/>
    </row>
    <row r="16021" spans="1:9" ht="16.5">
      <c r="A16021" s="10" t="b">
        <v>0</v>
      </c>
      <c r="B16021" s="11" t="str">
        <f>IF(D16021&lt;&gt;"",IF(COUNTIF('USPTO TMs'!A:A,D16021)&gt;0,"Yes","No"),"")</f>
        <v/>
      </c>
      <c r="C16021" s="11"/>
      <c r="D16021" s="11"/>
      <c r="E16021" s="11"/>
      <c r="F16021" s="11"/>
      <c r="G16021" s="11"/>
      <c r="H16021" s="11"/>
      <c r="I16021" s="15"/>
    </row>
    <row r="16022" spans="1:9" ht="16.5">
      <c r="A16022" s="10" t="b">
        <v>0</v>
      </c>
      <c r="B16022" s="11" t="str">
        <f>IF(D16022&lt;&gt;"",IF(COUNTIF('USPTO TMs'!A:A,D16022)&gt;0,"Yes","No"),"")</f>
        <v/>
      </c>
      <c r="C16022" s="11"/>
      <c r="D16022" s="11"/>
      <c r="E16022" s="11"/>
      <c r="F16022" s="11"/>
      <c r="G16022" s="11"/>
      <c r="H16022" s="11"/>
      <c r="I16022" s="15"/>
    </row>
    <row r="16023" spans="1:9" ht="16.5">
      <c r="A16023" s="10" t="b">
        <v>0</v>
      </c>
      <c r="B16023" s="11" t="str">
        <f>IF(D16023&lt;&gt;"",IF(COUNTIF('USPTO TMs'!A:A,D16023)&gt;0,"Yes","No"),"")</f>
        <v/>
      </c>
      <c r="C16023" s="11"/>
      <c r="D16023" s="11"/>
      <c r="E16023" s="11"/>
      <c r="F16023" s="11"/>
      <c r="G16023" s="11"/>
      <c r="H16023" s="11"/>
      <c r="I16023" s="15"/>
    </row>
    <row r="16024" spans="1:9" ht="16.5">
      <c r="A16024" s="10" t="b">
        <v>0</v>
      </c>
      <c r="B16024" s="11" t="str">
        <f>IF(D16024&lt;&gt;"",IF(COUNTIF('USPTO TMs'!A:A,D16024)&gt;0,"Yes","No"),"")</f>
        <v/>
      </c>
      <c r="C16024" s="11"/>
      <c r="D16024" s="11"/>
      <c r="E16024" s="11"/>
      <c r="F16024" s="11"/>
      <c r="G16024" s="11"/>
      <c r="H16024" s="11"/>
      <c r="I16024" s="15"/>
    </row>
    <row r="16025" spans="1:9" ht="16.5">
      <c r="A16025" s="10" t="b">
        <v>0</v>
      </c>
      <c r="B16025" s="11" t="str">
        <f>IF(D16025&lt;&gt;"",IF(COUNTIF('USPTO TMs'!A:A,D16025)&gt;0,"Yes","No"),"")</f>
        <v/>
      </c>
      <c r="C16025" s="11"/>
      <c r="D16025" s="11"/>
      <c r="E16025" s="11"/>
      <c r="F16025" s="11"/>
      <c r="G16025" s="11"/>
      <c r="H16025" s="11"/>
      <c r="I16025" s="15"/>
    </row>
    <row r="16026" spans="1:9" ht="16.5">
      <c r="A16026" s="10" t="b">
        <v>0</v>
      </c>
      <c r="B16026" s="11" t="str">
        <f>IF(D16026&lt;&gt;"",IF(COUNTIF('USPTO TMs'!A:A,D16026)&gt;0,"Yes","No"),"")</f>
        <v/>
      </c>
      <c r="C16026" s="11"/>
      <c r="D16026" s="11"/>
      <c r="E16026" s="11"/>
      <c r="F16026" s="11"/>
      <c r="G16026" s="11"/>
      <c r="H16026" s="11"/>
      <c r="I16026" s="15"/>
    </row>
    <row r="16027" spans="1:9" ht="16.5">
      <c r="A16027" s="10" t="b">
        <v>0</v>
      </c>
      <c r="B16027" s="11" t="str">
        <f>IF(D16027&lt;&gt;"",IF(COUNTIF('USPTO TMs'!A:A,D16027)&gt;0,"Yes","No"),"")</f>
        <v/>
      </c>
      <c r="C16027" s="11"/>
      <c r="D16027" s="11"/>
      <c r="E16027" s="11"/>
      <c r="F16027" s="11"/>
      <c r="G16027" s="11"/>
      <c r="H16027" s="11"/>
      <c r="I16027" s="15"/>
    </row>
    <row r="16028" spans="1:9" ht="16.5">
      <c r="A16028" s="10" t="b">
        <v>0</v>
      </c>
      <c r="B16028" s="11" t="str">
        <f>IF(D16028&lt;&gt;"",IF(COUNTIF('USPTO TMs'!A:A,D16028)&gt;0,"Yes","No"),"")</f>
        <v/>
      </c>
      <c r="C16028" s="11"/>
      <c r="D16028" s="11"/>
      <c r="E16028" s="11"/>
      <c r="F16028" s="11"/>
      <c r="G16028" s="11"/>
      <c r="H16028" s="11"/>
      <c r="I16028" s="15"/>
    </row>
    <row r="16029" spans="1:9" ht="16.5">
      <c r="A16029" s="10" t="b">
        <v>0</v>
      </c>
      <c r="B16029" s="11" t="str">
        <f>IF(D16029&lt;&gt;"",IF(COUNTIF('USPTO TMs'!A:A,D16029)&gt;0,"Yes","No"),"")</f>
        <v/>
      </c>
      <c r="C16029" s="11"/>
      <c r="D16029" s="11"/>
      <c r="E16029" s="11"/>
      <c r="F16029" s="11"/>
      <c r="G16029" s="11"/>
      <c r="H16029" s="11"/>
      <c r="I16029" s="15"/>
    </row>
    <row r="16030" spans="1:9" ht="16.5">
      <c r="A16030" s="10" t="b">
        <v>0</v>
      </c>
      <c r="B16030" s="11" t="str">
        <f>IF(D16030&lt;&gt;"",IF(COUNTIF('USPTO TMs'!A:A,D16030)&gt;0,"Yes","No"),"")</f>
        <v/>
      </c>
      <c r="C16030" s="11"/>
      <c r="D16030" s="11"/>
      <c r="E16030" s="11"/>
      <c r="F16030" s="11"/>
      <c r="G16030" s="11"/>
      <c r="H16030" s="11"/>
      <c r="I16030" s="15"/>
    </row>
    <row r="16031" spans="1:9" ht="16.5">
      <c r="A16031" s="10" t="b">
        <v>0</v>
      </c>
      <c r="B16031" s="11" t="str">
        <f>IF(D16031&lt;&gt;"",IF(COUNTIF('USPTO TMs'!A:A,D16031)&gt;0,"Yes","No"),"")</f>
        <v/>
      </c>
      <c r="C16031" s="11"/>
      <c r="D16031" s="11"/>
      <c r="E16031" s="11"/>
      <c r="F16031" s="11"/>
      <c r="G16031" s="11"/>
      <c r="H16031" s="11"/>
      <c r="I16031" s="15"/>
    </row>
    <row r="16032" spans="1:9" ht="16.5">
      <c r="A16032" s="10" t="b">
        <v>0</v>
      </c>
      <c r="B16032" s="11" t="str">
        <f>IF(D16032&lt;&gt;"",IF(COUNTIF('USPTO TMs'!A:A,D16032)&gt;0,"Yes","No"),"")</f>
        <v/>
      </c>
      <c r="C16032" s="11"/>
      <c r="D16032" s="11"/>
      <c r="E16032" s="11"/>
      <c r="F16032" s="11"/>
      <c r="G16032" s="11"/>
      <c r="H16032" s="11"/>
      <c r="I16032" s="15"/>
    </row>
    <row r="16033" spans="1:9" ht="16.5">
      <c r="A16033" s="10" t="b">
        <v>0</v>
      </c>
      <c r="B16033" s="11" t="str">
        <f>IF(D16033&lt;&gt;"",IF(COUNTIF('USPTO TMs'!A:A,D16033)&gt;0,"Yes","No"),"")</f>
        <v/>
      </c>
      <c r="C16033" s="11"/>
      <c r="D16033" s="11"/>
      <c r="E16033" s="11"/>
      <c r="F16033" s="11"/>
      <c r="G16033" s="11"/>
      <c r="H16033" s="11"/>
      <c r="I16033" s="15"/>
    </row>
    <row r="16034" spans="1:9" ht="16.5">
      <c r="A16034" s="10" t="b">
        <v>0</v>
      </c>
      <c r="B16034" s="11" t="str">
        <f>IF(D16034&lt;&gt;"",IF(COUNTIF('USPTO TMs'!A:A,D16034)&gt;0,"Yes","No"),"")</f>
        <v/>
      </c>
      <c r="C16034" s="11"/>
      <c r="D16034" s="11"/>
      <c r="E16034" s="11"/>
      <c r="F16034" s="11"/>
      <c r="G16034" s="11"/>
      <c r="H16034" s="11"/>
      <c r="I16034" s="15"/>
    </row>
    <row r="16035" spans="1:9" ht="16.5">
      <c r="A16035" s="10" t="b">
        <v>0</v>
      </c>
      <c r="B16035" s="11" t="str">
        <f>IF(D16035&lt;&gt;"",IF(COUNTIF('USPTO TMs'!A:A,D16035)&gt;0,"Yes","No"),"")</f>
        <v/>
      </c>
      <c r="C16035" s="11"/>
      <c r="D16035" s="11"/>
      <c r="E16035" s="11"/>
      <c r="F16035" s="11"/>
      <c r="G16035" s="11"/>
      <c r="H16035" s="11"/>
      <c r="I16035" s="15"/>
    </row>
    <row r="16036" spans="1:9" ht="16.5">
      <c r="A16036" s="10" t="b">
        <v>0</v>
      </c>
      <c r="B16036" s="11" t="str">
        <f>IF(D16036&lt;&gt;"",IF(COUNTIF('USPTO TMs'!A:A,D16036)&gt;0,"Yes","No"),"")</f>
        <v/>
      </c>
      <c r="C16036" s="11"/>
      <c r="D16036" s="11"/>
      <c r="E16036" s="11"/>
      <c r="F16036" s="11"/>
      <c r="G16036" s="11"/>
      <c r="H16036" s="11"/>
      <c r="I16036" s="15"/>
    </row>
    <row r="16037" spans="1:9" ht="16.5">
      <c r="A16037" s="10" t="b">
        <v>0</v>
      </c>
      <c r="B16037" s="11" t="str">
        <f>IF(D16037&lt;&gt;"",IF(COUNTIF('USPTO TMs'!A:A,D16037)&gt;0,"Yes","No"),"")</f>
        <v/>
      </c>
      <c r="C16037" s="11"/>
      <c r="D16037" s="11"/>
      <c r="E16037" s="11"/>
      <c r="F16037" s="11"/>
      <c r="G16037" s="11"/>
      <c r="H16037" s="11"/>
      <c r="I16037" s="15"/>
    </row>
    <row r="16038" spans="1:9" ht="16.5">
      <c r="A16038" s="10" t="b">
        <v>0</v>
      </c>
      <c r="B16038" s="11" t="str">
        <f>IF(D16038&lt;&gt;"",IF(COUNTIF('USPTO TMs'!A:A,D16038)&gt;0,"Yes","No"),"")</f>
        <v/>
      </c>
      <c r="C16038" s="11"/>
      <c r="D16038" s="11"/>
      <c r="E16038" s="11"/>
      <c r="F16038" s="11"/>
      <c r="G16038" s="11"/>
      <c r="H16038" s="11"/>
      <c r="I16038" s="15"/>
    </row>
    <row r="16039" spans="1:9" ht="16.5">
      <c r="A16039" s="10" t="b">
        <v>0</v>
      </c>
      <c r="B16039" s="11" t="str">
        <f>IF(D16039&lt;&gt;"",IF(COUNTIF('USPTO TMs'!A:A,D16039)&gt;0,"Yes","No"),"")</f>
        <v/>
      </c>
      <c r="C16039" s="11"/>
      <c r="D16039" s="11"/>
      <c r="E16039" s="11"/>
      <c r="F16039" s="11"/>
      <c r="G16039" s="11"/>
      <c r="H16039" s="11"/>
      <c r="I16039" s="15"/>
    </row>
    <row r="16040" spans="1:9" ht="16.5">
      <c r="A16040" s="10" t="b">
        <v>0</v>
      </c>
      <c r="B16040" s="11" t="str">
        <f>IF(D16040&lt;&gt;"",IF(COUNTIF('USPTO TMs'!A:A,D16040)&gt;0,"Yes","No"),"")</f>
        <v/>
      </c>
      <c r="C16040" s="11"/>
      <c r="D16040" s="11"/>
      <c r="E16040" s="11"/>
      <c r="F16040" s="11"/>
      <c r="G16040" s="11"/>
      <c r="H16040" s="11"/>
      <c r="I16040" s="15"/>
    </row>
    <row r="16041" spans="1:9" ht="16.5">
      <c r="A16041" s="10" t="b">
        <v>0</v>
      </c>
      <c r="B16041" s="11" t="str">
        <f>IF(D16041&lt;&gt;"",IF(COUNTIF('USPTO TMs'!A:A,D16041)&gt;0,"Yes","No"),"")</f>
        <v/>
      </c>
      <c r="C16041" s="11"/>
      <c r="D16041" s="11"/>
      <c r="E16041" s="11"/>
      <c r="F16041" s="11"/>
      <c r="G16041" s="11"/>
      <c r="H16041" s="11"/>
      <c r="I16041" s="15"/>
    </row>
    <row r="16042" spans="1:9" ht="16.5">
      <c r="A16042" s="10" t="b">
        <v>0</v>
      </c>
      <c r="B16042" s="11" t="str">
        <f>IF(D16042&lt;&gt;"",IF(COUNTIF('USPTO TMs'!A:A,D16042)&gt;0,"Yes","No"),"")</f>
        <v/>
      </c>
      <c r="C16042" s="11"/>
      <c r="D16042" s="11"/>
      <c r="E16042" s="11"/>
      <c r="F16042" s="11"/>
      <c r="G16042" s="11"/>
      <c r="H16042" s="11"/>
      <c r="I16042" s="15"/>
    </row>
    <row r="16043" spans="1:9" ht="16.5">
      <c r="A16043" s="10" t="b">
        <v>0</v>
      </c>
      <c r="B16043" s="11" t="str">
        <f>IF(D16043&lt;&gt;"",IF(COUNTIF('USPTO TMs'!A:A,D16043)&gt;0,"Yes","No"),"")</f>
        <v/>
      </c>
      <c r="C16043" s="11"/>
      <c r="D16043" s="11"/>
      <c r="E16043" s="11"/>
      <c r="F16043" s="11"/>
      <c r="G16043" s="11"/>
      <c r="H16043" s="11"/>
      <c r="I16043" s="15"/>
    </row>
    <row r="16044" spans="1:9" ht="16.5">
      <c r="A16044" s="10" t="b">
        <v>0</v>
      </c>
      <c r="B16044" s="11" t="str">
        <f>IF(D16044&lt;&gt;"",IF(COUNTIF('USPTO TMs'!A:A,D16044)&gt;0,"Yes","No"),"")</f>
        <v/>
      </c>
      <c r="C16044" s="11"/>
      <c r="D16044" s="11"/>
      <c r="E16044" s="11"/>
      <c r="F16044" s="11"/>
      <c r="G16044" s="11"/>
      <c r="H16044" s="11"/>
      <c r="I16044" s="15"/>
    </row>
    <row r="16045" spans="1:9" ht="16.5">
      <c r="A16045" s="10" t="b">
        <v>0</v>
      </c>
      <c r="B16045" s="11" t="str">
        <f>IF(D16045&lt;&gt;"",IF(COUNTIF('USPTO TMs'!A:A,D16045)&gt;0,"Yes","No"),"")</f>
        <v/>
      </c>
      <c r="C16045" s="11"/>
      <c r="D16045" s="11"/>
      <c r="E16045" s="11"/>
      <c r="F16045" s="11"/>
      <c r="G16045" s="11"/>
      <c r="H16045" s="11"/>
      <c r="I16045" s="15"/>
    </row>
    <row r="16046" spans="1:9" ht="16.5">
      <c r="A16046" s="10" t="b">
        <v>0</v>
      </c>
      <c r="B16046" s="11" t="str">
        <f>IF(D16046&lt;&gt;"",IF(COUNTIF('USPTO TMs'!A:A,D16046)&gt;0,"Yes","No"),"")</f>
        <v/>
      </c>
      <c r="C16046" s="11"/>
      <c r="D16046" s="11"/>
      <c r="E16046" s="11"/>
      <c r="F16046" s="11"/>
      <c r="G16046" s="11"/>
      <c r="H16046" s="11"/>
      <c r="I16046" s="15"/>
    </row>
    <row r="16047" spans="1:9" ht="16.5">
      <c r="A16047" s="10" t="b">
        <v>0</v>
      </c>
      <c r="B16047" s="11" t="str">
        <f>IF(D16047&lt;&gt;"",IF(COUNTIF('USPTO TMs'!A:A,D16047)&gt;0,"Yes","No"),"")</f>
        <v/>
      </c>
      <c r="C16047" s="11"/>
      <c r="D16047" s="11"/>
      <c r="E16047" s="11"/>
      <c r="F16047" s="11"/>
      <c r="G16047" s="11"/>
      <c r="H16047" s="11"/>
      <c r="I16047" s="15"/>
    </row>
    <row r="16048" spans="1:9" ht="16.5">
      <c r="A16048" s="10" t="b">
        <v>0</v>
      </c>
      <c r="B16048" s="11" t="str">
        <f>IF(D16048&lt;&gt;"",IF(COUNTIF('USPTO TMs'!A:A,D16048)&gt;0,"Yes","No"),"")</f>
        <v/>
      </c>
      <c r="C16048" s="11"/>
      <c r="D16048" s="11"/>
      <c r="E16048" s="11"/>
      <c r="F16048" s="11"/>
      <c r="G16048" s="11"/>
      <c r="H16048" s="11"/>
      <c r="I16048" s="15"/>
    </row>
    <row r="16049" spans="1:9" ht="16.5">
      <c r="A16049" s="10" t="b">
        <v>0</v>
      </c>
      <c r="B16049" s="11" t="str">
        <f>IF(D16049&lt;&gt;"",IF(COUNTIF('USPTO TMs'!A:A,D16049)&gt;0,"Yes","No"),"")</f>
        <v/>
      </c>
      <c r="C16049" s="11"/>
      <c r="D16049" s="11"/>
      <c r="E16049" s="11"/>
      <c r="F16049" s="11"/>
      <c r="G16049" s="11"/>
      <c r="H16049" s="11"/>
      <c r="I16049" s="15"/>
    </row>
    <row r="16050" spans="1:9" ht="16.5">
      <c r="A16050" s="10" t="b">
        <v>0</v>
      </c>
      <c r="B16050" s="11" t="str">
        <f>IF(D16050&lt;&gt;"",IF(COUNTIF('USPTO TMs'!A:A,D16050)&gt;0,"Yes","No"),"")</f>
        <v/>
      </c>
      <c r="C16050" s="11"/>
      <c r="D16050" s="11"/>
      <c r="E16050" s="11"/>
      <c r="F16050" s="11"/>
      <c r="G16050" s="11"/>
      <c r="H16050" s="11"/>
      <c r="I16050" s="15"/>
    </row>
    <row r="16051" spans="1:9" ht="16.5">
      <c r="A16051" s="10" t="b">
        <v>0</v>
      </c>
      <c r="B16051" s="11" t="str">
        <f>IF(D16051&lt;&gt;"",IF(COUNTIF('USPTO TMs'!A:A,D16051)&gt;0,"Yes","No"),"")</f>
        <v/>
      </c>
      <c r="C16051" s="11"/>
      <c r="D16051" s="11"/>
      <c r="E16051" s="11"/>
      <c r="F16051" s="11"/>
      <c r="G16051" s="11"/>
      <c r="H16051" s="11"/>
      <c r="I16051" s="15"/>
    </row>
    <row r="16052" spans="1:9" ht="16.5">
      <c r="A16052" s="10" t="b">
        <v>0</v>
      </c>
      <c r="B16052" s="11" t="str">
        <f>IF(D16052&lt;&gt;"",IF(COUNTIF('USPTO TMs'!A:A,D16052)&gt;0,"Yes","No"),"")</f>
        <v/>
      </c>
      <c r="C16052" s="11"/>
      <c r="D16052" s="11"/>
      <c r="E16052" s="11"/>
      <c r="F16052" s="11"/>
      <c r="G16052" s="11"/>
      <c r="H16052" s="11"/>
      <c r="I16052" s="15"/>
    </row>
    <row r="16053" spans="1:9" ht="16.5">
      <c r="A16053" s="10" t="b">
        <v>0</v>
      </c>
      <c r="B16053" s="11" t="str">
        <f>IF(D16053&lt;&gt;"",IF(COUNTIF('USPTO TMs'!A:A,D16053)&gt;0,"Yes","No"),"")</f>
        <v/>
      </c>
      <c r="C16053" s="11"/>
      <c r="D16053" s="11"/>
      <c r="E16053" s="11"/>
      <c r="F16053" s="11"/>
      <c r="G16053" s="11"/>
      <c r="H16053" s="11"/>
      <c r="I16053" s="15"/>
    </row>
    <row r="16054" spans="1:9" ht="16.5">
      <c r="A16054" s="10" t="b">
        <v>0</v>
      </c>
      <c r="B16054" s="11" t="str">
        <f>IF(D16054&lt;&gt;"",IF(COUNTIF('USPTO TMs'!A:A,D16054)&gt;0,"Yes","No"),"")</f>
        <v/>
      </c>
      <c r="C16054" s="11"/>
      <c r="D16054" s="11"/>
      <c r="E16054" s="11"/>
      <c r="F16054" s="11"/>
      <c r="G16054" s="11"/>
      <c r="H16054" s="11"/>
      <c r="I16054" s="15"/>
    </row>
    <row r="16055" spans="1:9" ht="16.5">
      <c r="A16055" s="10" t="b">
        <v>0</v>
      </c>
      <c r="B16055" s="11" t="str">
        <f>IF(D16055&lt;&gt;"",IF(COUNTIF('USPTO TMs'!A:A,D16055)&gt;0,"Yes","No"),"")</f>
        <v/>
      </c>
      <c r="C16055" s="11"/>
      <c r="D16055" s="11"/>
      <c r="E16055" s="11"/>
      <c r="F16055" s="11"/>
      <c r="G16055" s="11"/>
      <c r="H16055" s="11"/>
      <c r="I16055" s="15"/>
    </row>
    <row r="16056" spans="1:9" ht="16.5">
      <c r="A16056" s="10" t="b">
        <v>0</v>
      </c>
      <c r="B16056" s="11" t="str">
        <f>IF(D16056&lt;&gt;"",IF(COUNTIF('USPTO TMs'!A:A,D16056)&gt;0,"Yes","No"),"")</f>
        <v/>
      </c>
      <c r="C16056" s="11"/>
      <c r="D16056" s="11"/>
      <c r="E16056" s="11"/>
      <c r="F16056" s="11"/>
      <c r="G16056" s="11"/>
      <c r="H16056" s="11"/>
      <c r="I16056" s="15"/>
    </row>
    <row r="16057" spans="1:9" ht="16.5">
      <c r="A16057" s="10" t="b">
        <v>0</v>
      </c>
      <c r="B16057" s="11" t="str">
        <f>IF(D16057&lt;&gt;"",IF(COUNTIF('USPTO TMs'!A:A,D16057)&gt;0,"Yes","No"),"")</f>
        <v/>
      </c>
      <c r="C16057" s="11"/>
      <c r="D16057" s="11"/>
      <c r="E16057" s="11"/>
      <c r="F16057" s="11"/>
      <c r="G16057" s="11"/>
      <c r="H16057" s="11"/>
      <c r="I16057" s="15"/>
    </row>
    <row r="16058" spans="1:9" ht="16.5">
      <c r="A16058" s="10" t="b">
        <v>0</v>
      </c>
      <c r="B16058" s="11" t="str">
        <f>IF(D16058&lt;&gt;"",IF(COUNTIF('USPTO TMs'!A:A,D16058)&gt;0,"Yes","No"),"")</f>
        <v/>
      </c>
      <c r="C16058" s="11"/>
      <c r="D16058" s="11"/>
      <c r="E16058" s="11"/>
      <c r="F16058" s="11"/>
      <c r="G16058" s="11"/>
      <c r="H16058" s="11"/>
      <c r="I16058" s="15"/>
    </row>
    <row r="16059" spans="1:9" ht="16.5">
      <c r="A16059" s="10" t="b">
        <v>0</v>
      </c>
      <c r="B16059" s="11" t="str">
        <f>IF(D16059&lt;&gt;"",IF(COUNTIF('USPTO TMs'!A:A,D16059)&gt;0,"Yes","No"),"")</f>
        <v/>
      </c>
      <c r="C16059" s="11"/>
      <c r="D16059" s="11"/>
      <c r="E16059" s="11"/>
      <c r="F16059" s="11"/>
      <c r="G16059" s="11"/>
      <c r="H16059" s="11"/>
      <c r="I16059" s="15"/>
    </row>
    <row r="16060" spans="1:9" ht="16.5">
      <c r="A16060" s="10" t="b">
        <v>0</v>
      </c>
      <c r="B16060" s="11" t="str">
        <f>IF(D16060&lt;&gt;"",IF(COUNTIF('USPTO TMs'!A:A,D16060)&gt;0,"Yes","No"),"")</f>
        <v/>
      </c>
      <c r="C16060" s="11"/>
      <c r="D16060" s="11"/>
      <c r="E16060" s="11"/>
      <c r="F16060" s="11"/>
      <c r="G16060" s="11"/>
      <c r="H16060" s="11"/>
      <c r="I16060" s="15"/>
    </row>
    <row r="16061" spans="1:9" ht="16.5">
      <c r="A16061" s="10" t="b">
        <v>0</v>
      </c>
      <c r="B16061" s="11" t="str">
        <f>IF(D16061&lt;&gt;"",IF(COUNTIF('USPTO TMs'!A:A,D16061)&gt;0,"Yes","No"),"")</f>
        <v/>
      </c>
      <c r="C16061" s="11"/>
      <c r="D16061" s="11"/>
      <c r="E16061" s="11"/>
      <c r="F16061" s="11"/>
      <c r="G16061" s="11"/>
      <c r="H16061" s="11"/>
      <c r="I16061" s="15"/>
    </row>
    <row r="16062" spans="1:9" ht="16.5">
      <c r="A16062" s="10" t="b">
        <v>0</v>
      </c>
      <c r="B16062" s="11" t="str">
        <f>IF(D16062&lt;&gt;"",IF(COUNTIF('USPTO TMs'!A:A,D16062)&gt;0,"Yes","No"),"")</f>
        <v/>
      </c>
      <c r="C16062" s="11"/>
      <c r="D16062" s="11"/>
      <c r="E16062" s="11"/>
      <c r="F16062" s="11"/>
      <c r="G16062" s="11"/>
      <c r="H16062" s="11"/>
      <c r="I16062" s="15"/>
    </row>
    <row r="16063" spans="1:9" ht="16.5">
      <c r="A16063" s="10" t="b">
        <v>0</v>
      </c>
      <c r="B16063" s="11" t="str">
        <f>IF(D16063&lt;&gt;"",IF(COUNTIF('USPTO TMs'!A:A,D16063)&gt;0,"Yes","No"),"")</f>
        <v/>
      </c>
      <c r="C16063" s="11"/>
      <c r="D16063" s="11"/>
      <c r="E16063" s="11"/>
      <c r="F16063" s="11"/>
      <c r="G16063" s="11"/>
      <c r="H16063" s="11"/>
      <c r="I16063" s="15"/>
    </row>
    <row r="16064" spans="1:9" ht="16.5">
      <c r="A16064" s="10" t="b">
        <v>0</v>
      </c>
      <c r="B16064" s="11" t="str">
        <f>IF(D16064&lt;&gt;"",IF(COUNTIF('USPTO TMs'!A:A,D16064)&gt;0,"Yes","No"),"")</f>
        <v/>
      </c>
      <c r="C16064" s="11"/>
      <c r="D16064" s="11"/>
      <c r="E16064" s="11"/>
      <c r="F16064" s="11"/>
      <c r="G16064" s="11"/>
      <c r="H16064" s="11"/>
      <c r="I16064" s="15"/>
    </row>
    <row r="16065" spans="1:9" ht="16.5">
      <c r="A16065" s="10" t="b">
        <v>0</v>
      </c>
      <c r="B16065" s="11" t="str">
        <f>IF(D16065&lt;&gt;"",IF(COUNTIF('USPTO TMs'!A:A,D16065)&gt;0,"Yes","No"),"")</f>
        <v/>
      </c>
      <c r="C16065" s="11"/>
      <c r="D16065" s="11"/>
      <c r="E16065" s="11"/>
      <c r="F16065" s="11"/>
      <c r="G16065" s="11"/>
      <c r="H16065" s="11"/>
      <c r="I16065" s="15"/>
    </row>
    <row r="16066" spans="1:9" ht="16.5">
      <c r="A16066" s="10" t="b">
        <v>0</v>
      </c>
      <c r="B16066" s="11" t="str">
        <f>IF(D16066&lt;&gt;"",IF(COUNTIF('USPTO TMs'!A:A,D16066)&gt;0,"Yes","No"),"")</f>
        <v/>
      </c>
      <c r="C16066" s="11"/>
      <c r="D16066" s="11"/>
      <c r="E16066" s="11"/>
      <c r="F16066" s="11"/>
      <c r="G16066" s="11"/>
      <c r="H16066" s="11"/>
      <c r="I16066" s="15"/>
    </row>
    <row r="16067" spans="1:9" ht="16.5">
      <c r="A16067" s="10" t="b">
        <v>0</v>
      </c>
      <c r="B16067" s="11" t="str">
        <f>IF(D16067&lt;&gt;"",IF(COUNTIF('USPTO TMs'!A:A,D16067)&gt;0,"Yes","No"),"")</f>
        <v/>
      </c>
      <c r="C16067" s="11"/>
      <c r="D16067" s="11"/>
      <c r="E16067" s="11"/>
      <c r="F16067" s="11"/>
      <c r="G16067" s="11"/>
      <c r="H16067" s="11"/>
      <c r="I16067" s="15"/>
    </row>
    <row r="16068" spans="1:9" ht="16.5">
      <c r="A16068" s="10" t="b">
        <v>0</v>
      </c>
      <c r="B16068" s="11" t="str">
        <f>IF(D16068&lt;&gt;"",IF(COUNTIF('USPTO TMs'!A:A,D16068)&gt;0,"Yes","No"),"")</f>
        <v/>
      </c>
      <c r="C16068" s="11"/>
      <c r="D16068" s="11"/>
      <c r="E16068" s="11"/>
      <c r="F16068" s="11"/>
      <c r="G16068" s="11"/>
      <c r="H16068" s="11"/>
      <c r="I16068" s="15"/>
    </row>
    <row r="16069" spans="1:9" ht="16.5">
      <c r="A16069" s="10" t="b">
        <v>0</v>
      </c>
      <c r="B16069" s="11" t="str">
        <f>IF(D16069&lt;&gt;"",IF(COUNTIF('USPTO TMs'!A:A,D16069)&gt;0,"Yes","No"),"")</f>
        <v/>
      </c>
      <c r="C16069" s="11"/>
      <c r="D16069" s="11"/>
      <c r="E16069" s="11"/>
      <c r="F16069" s="11"/>
      <c r="G16069" s="11"/>
      <c r="H16069" s="11"/>
      <c r="I16069" s="15"/>
    </row>
    <row r="16070" spans="1:9" ht="16.5">
      <c r="A16070" s="10" t="b">
        <v>0</v>
      </c>
      <c r="B16070" s="11" t="str">
        <f>IF(D16070&lt;&gt;"",IF(COUNTIF('USPTO TMs'!A:A,D16070)&gt;0,"Yes","No"),"")</f>
        <v/>
      </c>
      <c r="C16070" s="11"/>
      <c r="D16070" s="11"/>
      <c r="E16070" s="11"/>
      <c r="F16070" s="11"/>
      <c r="G16070" s="11"/>
      <c r="H16070" s="11"/>
      <c r="I16070" s="15"/>
    </row>
    <row r="16071" spans="1:9" ht="16.5">
      <c r="A16071" s="10" t="b">
        <v>0</v>
      </c>
      <c r="B16071" s="11" t="str">
        <f>IF(D16071&lt;&gt;"",IF(COUNTIF('USPTO TMs'!A:A,D16071)&gt;0,"Yes","No"),"")</f>
        <v/>
      </c>
      <c r="C16071" s="11"/>
      <c r="D16071" s="11"/>
      <c r="E16071" s="11"/>
      <c r="F16071" s="11"/>
      <c r="G16071" s="11"/>
      <c r="H16071" s="11"/>
      <c r="I16071" s="15"/>
    </row>
    <row r="16072" spans="1:9" ht="16.5">
      <c r="A16072" s="10" t="b">
        <v>0</v>
      </c>
      <c r="B16072" s="11" t="str">
        <f>IF(D16072&lt;&gt;"",IF(COUNTIF('USPTO TMs'!A:A,D16072)&gt;0,"Yes","No"),"")</f>
        <v/>
      </c>
      <c r="C16072" s="11"/>
      <c r="D16072" s="11"/>
      <c r="E16072" s="11"/>
      <c r="F16072" s="11"/>
      <c r="G16072" s="11"/>
      <c r="H16072" s="11"/>
      <c r="I16072" s="15"/>
    </row>
    <row r="16073" spans="1:9" ht="16.5">
      <c r="A16073" s="10" t="b">
        <v>0</v>
      </c>
      <c r="B16073" s="11" t="str">
        <f>IF(D16073&lt;&gt;"",IF(COUNTIF('USPTO TMs'!A:A,D16073)&gt;0,"Yes","No"),"")</f>
        <v/>
      </c>
      <c r="C16073" s="11"/>
      <c r="D16073" s="11"/>
      <c r="E16073" s="11"/>
      <c r="F16073" s="11"/>
      <c r="G16073" s="11"/>
      <c r="H16073" s="11"/>
      <c r="I16073" s="15"/>
    </row>
    <row r="16074" spans="1:9" ht="16.5">
      <c r="A16074" s="10" t="b">
        <v>0</v>
      </c>
      <c r="B16074" s="11" t="str">
        <f>IF(D16074&lt;&gt;"",IF(COUNTIF('USPTO TMs'!A:A,D16074)&gt;0,"Yes","No"),"")</f>
        <v/>
      </c>
      <c r="C16074" s="11"/>
      <c r="D16074" s="11"/>
      <c r="E16074" s="11"/>
      <c r="F16074" s="11"/>
      <c r="G16074" s="11"/>
      <c r="H16074" s="11"/>
      <c r="I16074" s="15"/>
    </row>
    <row r="16075" spans="1:9" ht="16.5">
      <c r="A16075" s="10" t="b">
        <v>0</v>
      </c>
      <c r="B16075" s="11" t="str">
        <f>IF(D16075&lt;&gt;"",IF(COUNTIF('USPTO TMs'!A:A,D16075)&gt;0,"Yes","No"),"")</f>
        <v/>
      </c>
      <c r="C16075" s="11"/>
      <c r="D16075" s="11"/>
      <c r="E16075" s="11"/>
      <c r="F16075" s="11"/>
      <c r="G16075" s="11"/>
      <c r="H16075" s="11"/>
      <c r="I16075" s="15"/>
    </row>
    <row r="16076" spans="1:9" ht="16.5">
      <c r="A16076" s="10" t="b">
        <v>0</v>
      </c>
      <c r="B16076" s="11" t="str">
        <f>IF(D16076&lt;&gt;"",IF(COUNTIF('USPTO TMs'!A:A,D16076)&gt;0,"Yes","No"),"")</f>
        <v/>
      </c>
      <c r="C16076" s="11"/>
      <c r="D16076" s="11"/>
      <c r="E16076" s="11"/>
      <c r="F16076" s="11"/>
      <c r="G16076" s="11"/>
      <c r="H16076" s="11"/>
      <c r="I16076" s="15"/>
    </row>
    <row r="16077" spans="1:9" ht="16.5">
      <c r="A16077" s="10" t="b">
        <v>0</v>
      </c>
      <c r="B16077" s="11" t="str">
        <f>IF(D16077&lt;&gt;"",IF(COUNTIF('USPTO TMs'!A:A,D16077)&gt;0,"Yes","No"),"")</f>
        <v/>
      </c>
      <c r="C16077" s="11"/>
      <c r="D16077" s="11"/>
      <c r="E16077" s="11"/>
      <c r="F16077" s="11"/>
      <c r="G16077" s="11"/>
      <c r="H16077" s="11"/>
      <c r="I16077" s="15"/>
    </row>
    <row r="16078" spans="1:9" ht="16.5">
      <c r="A16078" s="10" t="b">
        <v>0</v>
      </c>
      <c r="B16078" s="11" t="str">
        <f>IF(D16078&lt;&gt;"",IF(COUNTIF('USPTO TMs'!A:A,D16078)&gt;0,"Yes","No"),"")</f>
        <v/>
      </c>
      <c r="C16078" s="11"/>
      <c r="D16078" s="11"/>
      <c r="E16078" s="11"/>
      <c r="F16078" s="11"/>
      <c r="G16078" s="11"/>
      <c r="H16078" s="11"/>
      <c r="I16078" s="15"/>
    </row>
    <row r="16079" spans="1:9" ht="16.5">
      <c r="A16079" s="10" t="b">
        <v>0</v>
      </c>
      <c r="B16079" s="11" t="str">
        <f>IF(D16079&lt;&gt;"",IF(COUNTIF('USPTO TMs'!A:A,D16079)&gt;0,"Yes","No"),"")</f>
        <v/>
      </c>
      <c r="C16079" s="11"/>
      <c r="D16079" s="11"/>
      <c r="E16079" s="11"/>
      <c r="F16079" s="11"/>
      <c r="G16079" s="11"/>
      <c r="H16079" s="11"/>
      <c r="I16079" s="15"/>
    </row>
    <row r="16080" spans="1:9" ht="16.5">
      <c r="A16080" s="10" t="b">
        <v>0</v>
      </c>
      <c r="B16080" s="11" t="str">
        <f>IF(D16080&lt;&gt;"",IF(COUNTIF('USPTO TMs'!A:A,D16080)&gt;0,"Yes","No"),"")</f>
        <v/>
      </c>
      <c r="C16080" s="11"/>
      <c r="D16080" s="11"/>
      <c r="E16080" s="11"/>
      <c r="F16080" s="11"/>
      <c r="G16080" s="11"/>
      <c r="H16080" s="11"/>
      <c r="I16080" s="15"/>
    </row>
    <row r="16081" spans="1:9" ht="16.5">
      <c r="A16081" s="10" t="b">
        <v>0</v>
      </c>
      <c r="B16081" s="11" t="str">
        <f>IF(D16081&lt;&gt;"",IF(COUNTIF('USPTO TMs'!A:A,D16081)&gt;0,"Yes","No"),"")</f>
        <v/>
      </c>
      <c r="C16081" s="11"/>
      <c r="D16081" s="11"/>
      <c r="E16081" s="11"/>
      <c r="F16081" s="11"/>
      <c r="G16081" s="11"/>
      <c r="H16081" s="11"/>
      <c r="I16081" s="15"/>
    </row>
    <row r="16082" spans="1:9" ht="16.5">
      <c r="A16082" s="10" t="b">
        <v>0</v>
      </c>
      <c r="B16082" s="11" t="str">
        <f>IF(D16082&lt;&gt;"",IF(COUNTIF('USPTO TMs'!A:A,D16082)&gt;0,"Yes","No"),"")</f>
        <v/>
      </c>
      <c r="C16082" s="11"/>
      <c r="D16082" s="11"/>
      <c r="E16082" s="11"/>
      <c r="F16082" s="11"/>
      <c r="G16082" s="11"/>
      <c r="H16082" s="11"/>
      <c r="I16082" s="15"/>
    </row>
    <row r="16083" spans="1:9" ht="16.5">
      <c r="A16083" s="10" t="b">
        <v>0</v>
      </c>
      <c r="B16083" s="11" t="str">
        <f>IF(D16083&lt;&gt;"",IF(COUNTIF('USPTO TMs'!A:A,D16083)&gt;0,"Yes","No"),"")</f>
        <v/>
      </c>
      <c r="C16083" s="11"/>
      <c r="D16083" s="11"/>
      <c r="E16083" s="11"/>
      <c r="F16083" s="11"/>
      <c r="G16083" s="11"/>
      <c r="H16083" s="11"/>
      <c r="I16083" s="15"/>
    </row>
    <row r="16084" spans="1:9" ht="16.5">
      <c r="A16084" s="10" t="b">
        <v>0</v>
      </c>
      <c r="B16084" s="11" t="str">
        <f>IF(D16084&lt;&gt;"",IF(COUNTIF('USPTO TMs'!A:A,D16084)&gt;0,"Yes","No"),"")</f>
        <v/>
      </c>
      <c r="C16084" s="11"/>
      <c r="D16084" s="11"/>
      <c r="E16084" s="11"/>
      <c r="F16084" s="11"/>
      <c r="G16084" s="11"/>
      <c r="H16084" s="11"/>
      <c r="I16084" s="15"/>
    </row>
    <row r="16085" spans="1:9" ht="16.5">
      <c r="A16085" s="10" t="b">
        <v>0</v>
      </c>
      <c r="B16085" s="11" t="str">
        <f>IF(D16085&lt;&gt;"",IF(COUNTIF('USPTO TMs'!A:A,D16085)&gt;0,"Yes","No"),"")</f>
        <v/>
      </c>
      <c r="C16085" s="11"/>
      <c r="D16085" s="11"/>
      <c r="E16085" s="11"/>
      <c r="F16085" s="11"/>
      <c r="G16085" s="11"/>
      <c r="H16085" s="11"/>
      <c r="I16085" s="15"/>
    </row>
    <row r="16086" spans="1:9" ht="16.5">
      <c r="A16086" s="10" t="b">
        <v>0</v>
      </c>
      <c r="B16086" s="11" t="str">
        <f>IF(D16086&lt;&gt;"",IF(COUNTIF('USPTO TMs'!A:A,D16086)&gt;0,"Yes","No"),"")</f>
        <v/>
      </c>
      <c r="C16086" s="11"/>
      <c r="D16086" s="11"/>
      <c r="E16086" s="11"/>
      <c r="F16086" s="11"/>
      <c r="G16086" s="11"/>
      <c r="H16086" s="11"/>
      <c r="I16086" s="15"/>
    </row>
    <row r="16087" spans="1:9" ht="16.5">
      <c r="A16087" s="10" t="b">
        <v>0</v>
      </c>
      <c r="B16087" s="11" t="str">
        <f>IF(D16087&lt;&gt;"",IF(COUNTIF('USPTO TMs'!A:A,D16087)&gt;0,"Yes","No"),"")</f>
        <v/>
      </c>
      <c r="C16087" s="11"/>
      <c r="D16087" s="11"/>
      <c r="E16087" s="11"/>
      <c r="F16087" s="11"/>
      <c r="G16087" s="11"/>
      <c r="H16087" s="11"/>
      <c r="I16087" s="15"/>
    </row>
    <row r="16088" spans="1:9" ht="16.5">
      <c r="A16088" s="10" t="b">
        <v>0</v>
      </c>
      <c r="B16088" s="11" t="str">
        <f>IF(D16088&lt;&gt;"",IF(COUNTIF('USPTO TMs'!A:A,D16088)&gt;0,"Yes","No"),"")</f>
        <v/>
      </c>
      <c r="C16088" s="11"/>
      <c r="D16088" s="11"/>
      <c r="E16088" s="11"/>
      <c r="F16088" s="11"/>
      <c r="G16088" s="11"/>
      <c r="H16088" s="11"/>
      <c r="I16088" s="15"/>
    </row>
    <row r="16089" spans="1:9" ht="16.5">
      <c r="A16089" s="10" t="b">
        <v>0</v>
      </c>
      <c r="B16089" s="11" t="str">
        <f>IF(D16089&lt;&gt;"",IF(COUNTIF('USPTO TMs'!A:A,D16089)&gt;0,"Yes","No"),"")</f>
        <v/>
      </c>
      <c r="C16089" s="11"/>
      <c r="D16089" s="11"/>
      <c r="E16089" s="11"/>
      <c r="F16089" s="11"/>
      <c r="G16089" s="11"/>
      <c r="H16089" s="11"/>
      <c r="I16089" s="15"/>
    </row>
    <row r="16090" spans="1:9" ht="16.5">
      <c r="A16090" s="10" t="b">
        <v>0</v>
      </c>
      <c r="B16090" s="11" t="str">
        <f>IF(D16090&lt;&gt;"",IF(COUNTIF('USPTO TMs'!A:A,D16090)&gt;0,"Yes","No"),"")</f>
        <v/>
      </c>
      <c r="C16090" s="11"/>
      <c r="D16090" s="11"/>
      <c r="E16090" s="11"/>
      <c r="F16090" s="11"/>
      <c r="G16090" s="11"/>
      <c r="H16090" s="11"/>
      <c r="I16090" s="15"/>
    </row>
    <row r="16091" spans="1:9" ht="16.5">
      <c r="A16091" s="10" t="b">
        <v>0</v>
      </c>
      <c r="B16091" s="11" t="str">
        <f>IF(D16091&lt;&gt;"",IF(COUNTIF('USPTO TMs'!A:A,D16091)&gt;0,"Yes","No"),"")</f>
        <v/>
      </c>
      <c r="C16091" s="11"/>
      <c r="D16091" s="11"/>
      <c r="E16091" s="11"/>
      <c r="F16091" s="11"/>
      <c r="G16091" s="11"/>
      <c r="H16091" s="11"/>
      <c r="I16091" s="15"/>
    </row>
    <row r="16092" spans="1:9" ht="16.5">
      <c r="A16092" s="10" t="b">
        <v>0</v>
      </c>
      <c r="B16092" s="11" t="str">
        <f>IF(D16092&lt;&gt;"",IF(COUNTIF('USPTO TMs'!A:A,D16092)&gt;0,"Yes","No"),"")</f>
        <v/>
      </c>
      <c r="C16092" s="11"/>
      <c r="D16092" s="11"/>
      <c r="E16092" s="11"/>
      <c r="F16092" s="11"/>
      <c r="G16092" s="11"/>
      <c r="H16092" s="11"/>
      <c r="I16092" s="15"/>
    </row>
    <row r="16093" spans="1:9" ht="16.5">
      <c r="A16093" s="10" t="b">
        <v>0</v>
      </c>
      <c r="B16093" s="11" t="str">
        <f>IF(D16093&lt;&gt;"",IF(COUNTIF('USPTO TMs'!A:A,D16093)&gt;0,"Yes","No"),"")</f>
        <v/>
      </c>
      <c r="C16093" s="11"/>
      <c r="D16093" s="11"/>
      <c r="E16093" s="11"/>
      <c r="F16093" s="11"/>
      <c r="G16093" s="11"/>
      <c r="H16093" s="11"/>
      <c r="I16093" s="15"/>
    </row>
    <row r="16094" spans="1:9" ht="16.5">
      <c r="A16094" s="10" t="b">
        <v>0</v>
      </c>
      <c r="B16094" s="11" t="str">
        <f>IF(D16094&lt;&gt;"",IF(COUNTIF('USPTO TMs'!A:A,D16094)&gt;0,"Yes","No"),"")</f>
        <v/>
      </c>
      <c r="C16094" s="11"/>
      <c r="D16094" s="11"/>
      <c r="E16094" s="11"/>
      <c r="F16094" s="11"/>
      <c r="G16094" s="11"/>
      <c r="H16094" s="11"/>
      <c r="I16094" s="15"/>
    </row>
    <row r="16095" spans="1:9" ht="16.5">
      <c r="A16095" s="10" t="b">
        <v>0</v>
      </c>
      <c r="B16095" s="11" t="str">
        <f>IF(D16095&lt;&gt;"",IF(COUNTIF('USPTO TMs'!A:A,D16095)&gt;0,"Yes","No"),"")</f>
        <v/>
      </c>
      <c r="C16095" s="11"/>
      <c r="D16095" s="11"/>
      <c r="E16095" s="11"/>
      <c r="F16095" s="11"/>
      <c r="G16095" s="11"/>
      <c r="H16095" s="11"/>
      <c r="I16095" s="15"/>
    </row>
    <row r="16096" spans="1:9" ht="16.5">
      <c r="A16096" s="10" t="b">
        <v>0</v>
      </c>
      <c r="B16096" s="11" t="str">
        <f>IF(D16096&lt;&gt;"",IF(COUNTIF('USPTO TMs'!A:A,D16096)&gt;0,"Yes","No"),"")</f>
        <v/>
      </c>
      <c r="C16096" s="11"/>
      <c r="D16096" s="11"/>
      <c r="E16096" s="11"/>
      <c r="F16096" s="11"/>
      <c r="G16096" s="11"/>
      <c r="H16096" s="11"/>
      <c r="I16096" s="15"/>
    </row>
    <row r="16097" spans="1:9" ht="16.5">
      <c r="A16097" s="10" t="b">
        <v>0</v>
      </c>
      <c r="B16097" s="11" t="str">
        <f>IF(D16097&lt;&gt;"",IF(COUNTIF('USPTO TMs'!A:A,D16097)&gt;0,"Yes","No"),"")</f>
        <v/>
      </c>
      <c r="C16097" s="11"/>
      <c r="D16097" s="11"/>
      <c r="E16097" s="11"/>
      <c r="F16097" s="11"/>
      <c r="G16097" s="11"/>
      <c r="H16097" s="11"/>
      <c r="I16097" s="15"/>
    </row>
    <row r="16098" spans="1:9" ht="16.5">
      <c r="A16098" s="10" t="b">
        <v>0</v>
      </c>
      <c r="B16098" s="11" t="str">
        <f>IF(D16098&lt;&gt;"",IF(COUNTIF('USPTO TMs'!A:A,D16098)&gt;0,"Yes","No"),"")</f>
        <v/>
      </c>
      <c r="C16098" s="11"/>
      <c r="D16098" s="11"/>
      <c r="E16098" s="11"/>
      <c r="F16098" s="11"/>
      <c r="G16098" s="11"/>
      <c r="H16098" s="11"/>
      <c r="I16098" s="15"/>
    </row>
    <row r="16099" spans="1:9" ht="16.5">
      <c r="A16099" s="10" t="b">
        <v>0</v>
      </c>
      <c r="B16099" s="11" t="str">
        <f>IF(D16099&lt;&gt;"",IF(COUNTIF('USPTO TMs'!A:A,D16099)&gt;0,"Yes","No"),"")</f>
        <v/>
      </c>
      <c r="C16099" s="11"/>
      <c r="D16099" s="11"/>
      <c r="E16099" s="11"/>
      <c r="F16099" s="11"/>
      <c r="G16099" s="11"/>
      <c r="H16099" s="11"/>
      <c r="I16099" s="15"/>
    </row>
    <row r="16100" spans="1:9" ht="16.5">
      <c r="A16100" s="10" t="b">
        <v>0</v>
      </c>
      <c r="B16100" s="11" t="str">
        <f>IF(D16100&lt;&gt;"",IF(COUNTIF('USPTO TMs'!A:A,D16100)&gt;0,"Yes","No"),"")</f>
        <v/>
      </c>
      <c r="C16100" s="11"/>
      <c r="D16100" s="11"/>
      <c r="E16100" s="11"/>
      <c r="F16100" s="11"/>
      <c r="G16100" s="11"/>
      <c r="H16100" s="11"/>
      <c r="I16100" s="15"/>
    </row>
    <row r="16101" spans="1:9" ht="16.5">
      <c r="A16101" s="10" t="b">
        <v>0</v>
      </c>
      <c r="B16101" s="11" t="str">
        <f>IF(D16101&lt;&gt;"",IF(COUNTIF('USPTO TMs'!A:A,D16101)&gt;0,"Yes","No"),"")</f>
        <v/>
      </c>
      <c r="C16101" s="11"/>
      <c r="D16101" s="11"/>
      <c r="E16101" s="11"/>
      <c r="F16101" s="11"/>
      <c r="G16101" s="11"/>
      <c r="H16101" s="11"/>
      <c r="I16101" s="15"/>
    </row>
    <row r="16102" spans="1:9" ht="16.5">
      <c r="A16102" s="10" t="b">
        <v>0</v>
      </c>
      <c r="B16102" s="11" t="str">
        <f>IF(D16102&lt;&gt;"",IF(COUNTIF('USPTO TMs'!A:A,D16102)&gt;0,"Yes","No"),"")</f>
        <v/>
      </c>
      <c r="C16102" s="11"/>
      <c r="D16102" s="11"/>
      <c r="E16102" s="11"/>
      <c r="F16102" s="11"/>
      <c r="G16102" s="11"/>
      <c r="H16102" s="11"/>
      <c r="I16102" s="15"/>
    </row>
    <row r="16103" spans="1:9" ht="16.5">
      <c r="A16103" s="10" t="b">
        <v>0</v>
      </c>
      <c r="B16103" s="11" t="str">
        <f>IF(D16103&lt;&gt;"",IF(COUNTIF('USPTO TMs'!A:A,D16103)&gt;0,"Yes","No"),"")</f>
        <v/>
      </c>
      <c r="C16103" s="11"/>
      <c r="D16103" s="11"/>
      <c r="E16103" s="11"/>
      <c r="F16103" s="11"/>
      <c r="G16103" s="11"/>
      <c r="H16103" s="11"/>
      <c r="I16103" s="15"/>
    </row>
    <row r="16104" spans="1:9" ht="16.5">
      <c r="A16104" s="10" t="b">
        <v>0</v>
      </c>
      <c r="B16104" s="11" t="str">
        <f>IF(D16104&lt;&gt;"",IF(COUNTIF('USPTO TMs'!A:A,D16104)&gt;0,"Yes","No"),"")</f>
        <v/>
      </c>
      <c r="C16104" s="11"/>
      <c r="D16104" s="11"/>
      <c r="E16104" s="11"/>
      <c r="F16104" s="11"/>
      <c r="G16104" s="11"/>
      <c r="H16104" s="11"/>
      <c r="I16104" s="15"/>
    </row>
    <row r="16105" spans="1:9" ht="16.5">
      <c r="A16105" s="10" t="b">
        <v>0</v>
      </c>
      <c r="B16105" s="11" t="str">
        <f>IF(D16105&lt;&gt;"",IF(COUNTIF('USPTO TMs'!A:A,D16105)&gt;0,"Yes","No"),"")</f>
        <v/>
      </c>
      <c r="C16105" s="11"/>
      <c r="D16105" s="11"/>
      <c r="E16105" s="11"/>
      <c r="F16105" s="11"/>
      <c r="G16105" s="11"/>
      <c r="H16105" s="11"/>
      <c r="I16105" s="15"/>
    </row>
    <row r="16106" spans="1:9" ht="16.5">
      <c r="A16106" s="10" t="b">
        <v>0</v>
      </c>
      <c r="B16106" s="11" t="str">
        <f>IF(D16106&lt;&gt;"",IF(COUNTIF('USPTO TMs'!A:A,D16106)&gt;0,"Yes","No"),"")</f>
        <v/>
      </c>
      <c r="C16106" s="11"/>
      <c r="D16106" s="11"/>
      <c r="E16106" s="11"/>
      <c r="F16106" s="11"/>
      <c r="G16106" s="11"/>
      <c r="H16106" s="11"/>
      <c r="I16106" s="15"/>
    </row>
    <row r="16107" spans="1:9" ht="16.5">
      <c r="A16107" s="10" t="b">
        <v>0</v>
      </c>
      <c r="B16107" s="11" t="str">
        <f>IF(D16107&lt;&gt;"",IF(COUNTIF('USPTO TMs'!A:A,D16107)&gt;0,"Yes","No"),"")</f>
        <v/>
      </c>
      <c r="C16107" s="11"/>
      <c r="D16107" s="11"/>
      <c r="E16107" s="11"/>
      <c r="F16107" s="11"/>
      <c r="G16107" s="11"/>
      <c r="H16107" s="11"/>
      <c r="I16107" s="15"/>
    </row>
    <row r="16108" spans="1:9" ht="16.5">
      <c r="A16108" s="10" t="b">
        <v>0</v>
      </c>
      <c r="B16108" s="11" t="str">
        <f>IF(D16108&lt;&gt;"",IF(COUNTIF('USPTO TMs'!A:A,D16108)&gt;0,"Yes","No"),"")</f>
        <v/>
      </c>
      <c r="C16108" s="11"/>
      <c r="D16108" s="11"/>
      <c r="E16108" s="11"/>
      <c r="F16108" s="11"/>
      <c r="G16108" s="11"/>
      <c r="H16108" s="11"/>
      <c r="I16108" s="15"/>
    </row>
    <row r="16109" spans="1:9" ht="16.5">
      <c r="A16109" s="10" t="b">
        <v>0</v>
      </c>
      <c r="B16109" s="11" t="str">
        <f>IF(D16109&lt;&gt;"",IF(COUNTIF('USPTO TMs'!A:A,D16109)&gt;0,"Yes","No"),"")</f>
        <v/>
      </c>
      <c r="C16109" s="11"/>
      <c r="D16109" s="11"/>
      <c r="E16109" s="11"/>
      <c r="F16109" s="11"/>
      <c r="G16109" s="11"/>
      <c r="H16109" s="11"/>
      <c r="I16109" s="15"/>
    </row>
    <row r="16110" spans="1:9" ht="16.5">
      <c r="A16110" s="10" t="b">
        <v>0</v>
      </c>
      <c r="B16110" s="11" t="str">
        <f>IF(D16110&lt;&gt;"",IF(COUNTIF('USPTO TMs'!A:A,D16110)&gt;0,"Yes","No"),"")</f>
        <v/>
      </c>
      <c r="C16110" s="11"/>
      <c r="D16110" s="11"/>
      <c r="E16110" s="11"/>
      <c r="F16110" s="11"/>
      <c r="G16110" s="11"/>
      <c r="H16110" s="11"/>
      <c r="I16110" s="15"/>
    </row>
    <row r="16111" spans="1:9" ht="16.5">
      <c r="A16111" s="10" t="b">
        <v>0</v>
      </c>
      <c r="B16111" s="11" t="str">
        <f>IF(D16111&lt;&gt;"",IF(COUNTIF('USPTO TMs'!A:A,D16111)&gt;0,"Yes","No"),"")</f>
        <v/>
      </c>
      <c r="C16111" s="11"/>
      <c r="D16111" s="11"/>
      <c r="E16111" s="11"/>
      <c r="F16111" s="11"/>
      <c r="G16111" s="11"/>
      <c r="H16111" s="11"/>
      <c r="I16111" s="15"/>
    </row>
    <row r="16112" spans="1:9" ht="16.5">
      <c r="A16112" s="10" t="b">
        <v>0</v>
      </c>
      <c r="B16112" s="11" t="str">
        <f>IF(D16112&lt;&gt;"",IF(COUNTIF('USPTO TMs'!A:A,D16112)&gt;0,"Yes","No"),"")</f>
        <v/>
      </c>
      <c r="C16112" s="11"/>
      <c r="D16112" s="11"/>
      <c r="E16112" s="11"/>
      <c r="F16112" s="11"/>
      <c r="G16112" s="11"/>
      <c r="H16112" s="11"/>
      <c r="I16112" s="15"/>
    </row>
    <row r="16113" spans="1:9" ht="16.5">
      <c r="A16113" s="10" t="b">
        <v>0</v>
      </c>
      <c r="B16113" s="11" t="str">
        <f>IF(D16113&lt;&gt;"",IF(COUNTIF('USPTO TMs'!A:A,D16113)&gt;0,"Yes","No"),"")</f>
        <v/>
      </c>
      <c r="C16113" s="11"/>
      <c r="D16113" s="11"/>
      <c r="E16113" s="11"/>
      <c r="F16113" s="11"/>
      <c r="G16113" s="11"/>
      <c r="H16113" s="11"/>
      <c r="I16113" s="15"/>
    </row>
    <row r="16114" spans="1:9" ht="16.5">
      <c r="A16114" s="10" t="b">
        <v>0</v>
      </c>
      <c r="B16114" s="11" t="str">
        <f>IF(D16114&lt;&gt;"",IF(COUNTIF('USPTO TMs'!A:A,D16114)&gt;0,"Yes","No"),"")</f>
        <v/>
      </c>
      <c r="C16114" s="11"/>
      <c r="D16114" s="11"/>
      <c r="E16114" s="11"/>
      <c r="F16114" s="11"/>
      <c r="G16114" s="11"/>
      <c r="H16114" s="11"/>
      <c r="I16114" s="15"/>
    </row>
    <row r="16115" spans="1:9" ht="16.5">
      <c r="A16115" s="10" t="b">
        <v>0</v>
      </c>
      <c r="B16115" s="11" t="str">
        <f>IF(D16115&lt;&gt;"",IF(COUNTIF('USPTO TMs'!A:A,D16115)&gt;0,"Yes","No"),"")</f>
        <v/>
      </c>
      <c r="C16115" s="11"/>
      <c r="D16115" s="11"/>
      <c r="E16115" s="11"/>
      <c r="F16115" s="11"/>
      <c r="G16115" s="11"/>
      <c r="H16115" s="11"/>
      <c r="I16115" s="15"/>
    </row>
    <row r="16116" spans="1:9" ht="16.5">
      <c r="A16116" s="10" t="b">
        <v>0</v>
      </c>
      <c r="B16116" s="11" t="str">
        <f>IF(D16116&lt;&gt;"",IF(COUNTIF('USPTO TMs'!A:A,D16116)&gt;0,"Yes","No"),"")</f>
        <v/>
      </c>
      <c r="C16116" s="11"/>
      <c r="D16116" s="11"/>
      <c r="E16116" s="11"/>
      <c r="F16116" s="11"/>
      <c r="G16116" s="11"/>
      <c r="H16116" s="11"/>
      <c r="I16116" s="15"/>
    </row>
    <row r="16117" spans="1:9" ht="16.5">
      <c r="A16117" s="10" t="b">
        <v>0</v>
      </c>
      <c r="B16117" s="11" t="str">
        <f>IF(D16117&lt;&gt;"",IF(COUNTIF('USPTO TMs'!A:A,D16117)&gt;0,"Yes","No"),"")</f>
        <v/>
      </c>
      <c r="C16117" s="11"/>
      <c r="D16117" s="11"/>
      <c r="E16117" s="11"/>
      <c r="F16117" s="11"/>
      <c r="G16117" s="11"/>
      <c r="H16117" s="11"/>
      <c r="I16117" s="15"/>
    </row>
    <row r="16118" spans="1:9" ht="16.5">
      <c r="A16118" s="10" t="b">
        <v>0</v>
      </c>
      <c r="B16118" s="11" t="str">
        <f>IF(D16118&lt;&gt;"",IF(COUNTIF('USPTO TMs'!A:A,D16118)&gt;0,"Yes","No"),"")</f>
        <v/>
      </c>
      <c r="C16118" s="11"/>
      <c r="D16118" s="11"/>
      <c r="E16118" s="11"/>
      <c r="F16118" s="11"/>
      <c r="G16118" s="11"/>
      <c r="H16118" s="11"/>
      <c r="I16118" s="15"/>
    </row>
    <row r="16119" spans="1:9" ht="16.5">
      <c r="A16119" s="10" t="b">
        <v>0</v>
      </c>
      <c r="B16119" s="11" t="str">
        <f>IF(D16119&lt;&gt;"",IF(COUNTIF('USPTO TMs'!A:A,D16119)&gt;0,"Yes","No"),"")</f>
        <v/>
      </c>
      <c r="C16119" s="11"/>
      <c r="D16119" s="11"/>
      <c r="E16119" s="11"/>
      <c r="F16119" s="11"/>
      <c r="G16119" s="11"/>
      <c r="H16119" s="11"/>
      <c r="I16119" s="15"/>
    </row>
    <row r="16120" spans="1:9" ht="16.5">
      <c r="A16120" s="10" t="b">
        <v>0</v>
      </c>
      <c r="B16120" s="11" t="str">
        <f>IF(D16120&lt;&gt;"",IF(COUNTIF('USPTO TMs'!A:A,D16120)&gt;0,"Yes","No"),"")</f>
        <v/>
      </c>
      <c r="C16120" s="11"/>
      <c r="D16120" s="11"/>
      <c r="E16120" s="11"/>
      <c r="F16120" s="11"/>
      <c r="G16120" s="11"/>
      <c r="H16120" s="11"/>
      <c r="I16120" s="15"/>
    </row>
    <row r="16121" spans="1:9" ht="16.5">
      <c r="A16121" s="10" t="b">
        <v>0</v>
      </c>
      <c r="B16121" s="11" t="str">
        <f>IF(D16121&lt;&gt;"",IF(COUNTIF('USPTO TMs'!A:A,D16121)&gt;0,"Yes","No"),"")</f>
        <v/>
      </c>
      <c r="C16121" s="11"/>
      <c r="D16121" s="11"/>
      <c r="E16121" s="11"/>
      <c r="F16121" s="11"/>
      <c r="G16121" s="11"/>
      <c r="H16121" s="11"/>
      <c r="I16121" s="15"/>
    </row>
    <row r="16122" spans="1:9" ht="16.5">
      <c r="A16122" s="10" t="b">
        <v>0</v>
      </c>
      <c r="B16122" s="11" t="str">
        <f>IF(D16122&lt;&gt;"",IF(COUNTIF('USPTO TMs'!A:A,D16122)&gt;0,"Yes","No"),"")</f>
        <v/>
      </c>
      <c r="C16122" s="11"/>
      <c r="D16122" s="11"/>
      <c r="E16122" s="11"/>
      <c r="F16122" s="11"/>
      <c r="G16122" s="11"/>
      <c r="H16122" s="11"/>
      <c r="I16122" s="15"/>
    </row>
    <row r="16123" spans="1:9" ht="16.5">
      <c r="A16123" s="10" t="b">
        <v>0</v>
      </c>
      <c r="B16123" s="11" t="str">
        <f>IF(D16123&lt;&gt;"",IF(COUNTIF('USPTO TMs'!A:A,D16123)&gt;0,"Yes","No"),"")</f>
        <v/>
      </c>
      <c r="C16123" s="11"/>
      <c r="D16123" s="11"/>
      <c r="E16123" s="11"/>
      <c r="F16123" s="11"/>
      <c r="G16123" s="11"/>
      <c r="H16123" s="11"/>
      <c r="I16123" s="15"/>
    </row>
    <row r="16124" spans="1:9" ht="16.5">
      <c r="A16124" s="10" t="b">
        <v>0</v>
      </c>
      <c r="B16124" s="11" t="str">
        <f>IF(D16124&lt;&gt;"",IF(COUNTIF('USPTO TMs'!A:A,D16124)&gt;0,"Yes","No"),"")</f>
        <v/>
      </c>
      <c r="C16124" s="11"/>
      <c r="D16124" s="11"/>
      <c r="E16124" s="11"/>
      <c r="F16124" s="11"/>
      <c r="G16124" s="11"/>
      <c r="H16124" s="11"/>
      <c r="I16124" s="15"/>
    </row>
    <row r="16125" spans="1:9" ht="16.5">
      <c r="A16125" s="10" t="b">
        <v>0</v>
      </c>
      <c r="B16125" s="11" t="str">
        <f>IF(D16125&lt;&gt;"",IF(COUNTIF('USPTO TMs'!A:A,D16125)&gt;0,"Yes","No"),"")</f>
        <v/>
      </c>
      <c r="C16125" s="11"/>
      <c r="D16125" s="11"/>
      <c r="E16125" s="11"/>
      <c r="F16125" s="11"/>
      <c r="G16125" s="11"/>
      <c r="H16125" s="11"/>
      <c r="I16125" s="15"/>
    </row>
    <row r="16126" spans="1:9" ht="16.5">
      <c r="A16126" s="10" t="b">
        <v>0</v>
      </c>
      <c r="B16126" s="11" t="str">
        <f>IF(D16126&lt;&gt;"",IF(COUNTIF('USPTO TMs'!A:A,D16126)&gt;0,"Yes","No"),"")</f>
        <v/>
      </c>
      <c r="C16126" s="11"/>
      <c r="D16126" s="11"/>
      <c r="E16126" s="11"/>
      <c r="F16126" s="11"/>
      <c r="G16126" s="11"/>
      <c r="H16126" s="11"/>
      <c r="I16126" s="15"/>
    </row>
    <row r="16127" spans="1:9" ht="16.5">
      <c r="A16127" s="10" t="b">
        <v>0</v>
      </c>
      <c r="B16127" s="11" t="str">
        <f>IF(D16127&lt;&gt;"",IF(COUNTIF('USPTO TMs'!A:A,D16127)&gt;0,"Yes","No"),"")</f>
        <v/>
      </c>
      <c r="C16127" s="11"/>
      <c r="D16127" s="11"/>
      <c r="E16127" s="11"/>
      <c r="F16127" s="11"/>
      <c r="G16127" s="11"/>
      <c r="H16127" s="11"/>
      <c r="I16127" s="15"/>
    </row>
    <row r="16128" spans="1:9" ht="16.5">
      <c r="A16128" s="10" t="b">
        <v>0</v>
      </c>
      <c r="B16128" s="11" t="str">
        <f>IF(D16128&lt;&gt;"",IF(COUNTIF('USPTO TMs'!A:A,D16128)&gt;0,"Yes","No"),"")</f>
        <v/>
      </c>
      <c r="C16128" s="11"/>
      <c r="D16128" s="11"/>
      <c r="E16128" s="11"/>
      <c r="F16128" s="11"/>
      <c r="G16128" s="11"/>
      <c r="H16128" s="11"/>
      <c r="I16128" s="15"/>
    </row>
    <row r="16129" spans="1:9" ht="16.5">
      <c r="A16129" s="10" t="b">
        <v>0</v>
      </c>
      <c r="B16129" s="11" t="str">
        <f>IF(D16129&lt;&gt;"",IF(COUNTIF('USPTO TMs'!A:A,D16129)&gt;0,"Yes","No"),"")</f>
        <v/>
      </c>
      <c r="C16129" s="11"/>
      <c r="D16129" s="11"/>
      <c r="E16129" s="11"/>
      <c r="F16129" s="11"/>
      <c r="G16129" s="11"/>
      <c r="H16129" s="11"/>
      <c r="I16129" s="15"/>
    </row>
    <row r="16130" spans="1:9" ht="16.5">
      <c r="A16130" s="10" t="b">
        <v>0</v>
      </c>
      <c r="B16130" s="11" t="str">
        <f>IF(D16130&lt;&gt;"",IF(COUNTIF('USPTO TMs'!A:A,D16130)&gt;0,"Yes","No"),"")</f>
        <v/>
      </c>
      <c r="C16130" s="11"/>
      <c r="D16130" s="11"/>
      <c r="E16130" s="11"/>
      <c r="F16130" s="11"/>
      <c r="G16130" s="11"/>
      <c r="H16130" s="11"/>
      <c r="I16130" s="15"/>
    </row>
    <row r="16131" spans="1:9" ht="16.5">
      <c r="A16131" s="10" t="b">
        <v>0</v>
      </c>
      <c r="B16131" s="11" t="str">
        <f>IF(D16131&lt;&gt;"",IF(COUNTIF('USPTO TMs'!A:A,D16131)&gt;0,"Yes","No"),"")</f>
        <v/>
      </c>
      <c r="C16131" s="11"/>
      <c r="D16131" s="11"/>
      <c r="E16131" s="11"/>
      <c r="F16131" s="11"/>
      <c r="G16131" s="11"/>
      <c r="H16131" s="11"/>
      <c r="I16131" s="15"/>
    </row>
    <row r="16132" spans="1:9" ht="16.5">
      <c r="A16132" s="10" t="b">
        <v>0</v>
      </c>
      <c r="B16132" s="11" t="str">
        <f>IF(D16132&lt;&gt;"",IF(COUNTIF('USPTO TMs'!A:A,D16132)&gt;0,"Yes","No"),"")</f>
        <v/>
      </c>
      <c r="C16132" s="11"/>
      <c r="D16132" s="11"/>
      <c r="E16132" s="11"/>
      <c r="F16132" s="11"/>
      <c r="G16132" s="11"/>
      <c r="H16132" s="11"/>
      <c r="I16132" s="15"/>
    </row>
    <row r="16133" spans="1:9" ht="16.5">
      <c r="A16133" s="10" t="b">
        <v>0</v>
      </c>
      <c r="B16133" s="11" t="str">
        <f>IF(D16133&lt;&gt;"",IF(COUNTIF('USPTO TMs'!A:A,D16133)&gt;0,"Yes","No"),"")</f>
        <v/>
      </c>
      <c r="C16133" s="11"/>
      <c r="D16133" s="11"/>
      <c r="E16133" s="11"/>
      <c r="F16133" s="11"/>
      <c r="G16133" s="11"/>
      <c r="H16133" s="11"/>
      <c r="I16133" s="15"/>
    </row>
    <row r="16134" spans="1:9" ht="16.5">
      <c r="A16134" s="10" t="b">
        <v>0</v>
      </c>
      <c r="B16134" s="11" t="str">
        <f>IF(D16134&lt;&gt;"",IF(COUNTIF('USPTO TMs'!A:A,D16134)&gt;0,"Yes","No"),"")</f>
        <v/>
      </c>
      <c r="C16134" s="11"/>
      <c r="D16134" s="11"/>
      <c r="E16134" s="11"/>
      <c r="F16134" s="11"/>
      <c r="G16134" s="11"/>
      <c r="H16134" s="11"/>
      <c r="I16134" s="15"/>
    </row>
    <row r="16135" spans="1:9" ht="16.5">
      <c r="A16135" s="10" t="b">
        <v>0</v>
      </c>
      <c r="B16135" s="11" t="str">
        <f>IF(D16135&lt;&gt;"",IF(COUNTIF('USPTO TMs'!A:A,D16135)&gt;0,"Yes","No"),"")</f>
        <v/>
      </c>
      <c r="C16135" s="11"/>
      <c r="D16135" s="11"/>
      <c r="E16135" s="11"/>
      <c r="F16135" s="11"/>
      <c r="G16135" s="11"/>
      <c r="H16135" s="11"/>
      <c r="I16135" s="15"/>
    </row>
    <row r="16136" spans="1:9" ht="16.5">
      <c r="A16136" s="10" t="b">
        <v>0</v>
      </c>
      <c r="B16136" s="11" t="str">
        <f>IF(D16136&lt;&gt;"",IF(COUNTIF('USPTO TMs'!A:A,D16136)&gt;0,"Yes","No"),"")</f>
        <v/>
      </c>
      <c r="C16136" s="11"/>
      <c r="D16136" s="11"/>
      <c r="E16136" s="11"/>
      <c r="F16136" s="11"/>
      <c r="G16136" s="11"/>
      <c r="H16136" s="11"/>
      <c r="I16136" s="15"/>
    </row>
    <row r="16137" spans="1:9" ht="16.5">
      <c r="A16137" s="10" t="b">
        <v>0</v>
      </c>
      <c r="B16137" s="11" t="str">
        <f>IF(D16137&lt;&gt;"",IF(COUNTIF('USPTO TMs'!A:A,D16137)&gt;0,"Yes","No"),"")</f>
        <v/>
      </c>
      <c r="C16137" s="11"/>
      <c r="D16137" s="11"/>
      <c r="E16137" s="11"/>
      <c r="F16137" s="11"/>
      <c r="G16137" s="11"/>
      <c r="H16137" s="11"/>
      <c r="I16137" s="15"/>
    </row>
    <row r="16138" spans="1:9" ht="16.5">
      <c r="A16138" s="10" t="b">
        <v>0</v>
      </c>
      <c r="B16138" s="11" t="str">
        <f>IF(D16138&lt;&gt;"",IF(COUNTIF('USPTO TMs'!A:A,D16138)&gt;0,"Yes","No"),"")</f>
        <v/>
      </c>
      <c r="C16138" s="11"/>
      <c r="D16138" s="11"/>
      <c r="E16138" s="11"/>
      <c r="F16138" s="11"/>
      <c r="G16138" s="11"/>
      <c r="H16138" s="11"/>
      <c r="I16138" s="15"/>
    </row>
    <row r="16139" spans="1:9" ht="16.5">
      <c r="A16139" s="10" t="b">
        <v>0</v>
      </c>
      <c r="B16139" s="11" t="str">
        <f>IF(D16139&lt;&gt;"",IF(COUNTIF('USPTO TMs'!A:A,D16139)&gt;0,"Yes","No"),"")</f>
        <v/>
      </c>
      <c r="C16139" s="11"/>
      <c r="D16139" s="11"/>
      <c r="E16139" s="11"/>
      <c r="F16139" s="11"/>
      <c r="G16139" s="11"/>
      <c r="H16139" s="11"/>
      <c r="I16139" s="15"/>
    </row>
    <row r="16140" spans="1:9" ht="16.5">
      <c r="A16140" s="10" t="b">
        <v>0</v>
      </c>
      <c r="B16140" s="11" t="str">
        <f>IF(D16140&lt;&gt;"",IF(COUNTIF('USPTO TMs'!A:A,D16140)&gt;0,"Yes","No"),"")</f>
        <v/>
      </c>
      <c r="C16140" s="11"/>
      <c r="D16140" s="11"/>
      <c r="E16140" s="11"/>
      <c r="F16140" s="11"/>
      <c r="G16140" s="11"/>
      <c r="H16140" s="11"/>
      <c r="I16140" s="15"/>
    </row>
    <row r="16141" spans="1:9" ht="16.5">
      <c r="A16141" s="10" t="b">
        <v>0</v>
      </c>
      <c r="B16141" s="11" t="str">
        <f>IF(D16141&lt;&gt;"",IF(COUNTIF('USPTO TMs'!A:A,D16141)&gt;0,"Yes","No"),"")</f>
        <v/>
      </c>
      <c r="C16141" s="11"/>
      <c r="D16141" s="11"/>
      <c r="E16141" s="11"/>
      <c r="F16141" s="11"/>
      <c r="G16141" s="11"/>
      <c r="H16141" s="11"/>
      <c r="I16141" s="15"/>
    </row>
    <row r="16142" spans="1:9" ht="16.5">
      <c r="A16142" s="10" t="b">
        <v>0</v>
      </c>
      <c r="B16142" s="11" t="str">
        <f>IF(D16142&lt;&gt;"",IF(COUNTIF('USPTO TMs'!A:A,D16142)&gt;0,"Yes","No"),"")</f>
        <v/>
      </c>
      <c r="C16142" s="11"/>
      <c r="D16142" s="11"/>
      <c r="E16142" s="11"/>
      <c r="F16142" s="11"/>
      <c r="G16142" s="11"/>
      <c r="H16142" s="11"/>
      <c r="I16142" s="15"/>
    </row>
    <row r="16143" spans="1:9" ht="16.5">
      <c r="A16143" s="10" t="b">
        <v>0</v>
      </c>
      <c r="B16143" s="11" t="str">
        <f>IF(D16143&lt;&gt;"",IF(COUNTIF('USPTO TMs'!A:A,D16143)&gt;0,"Yes","No"),"")</f>
        <v/>
      </c>
      <c r="C16143" s="11"/>
      <c r="D16143" s="11"/>
      <c r="E16143" s="11"/>
      <c r="F16143" s="11"/>
      <c r="G16143" s="11"/>
      <c r="H16143" s="11"/>
      <c r="I16143" s="15"/>
    </row>
    <row r="16144" spans="1:9" ht="16.5">
      <c r="A16144" s="10" t="b">
        <v>0</v>
      </c>
      <c r="B16144" s="11" t="str">
        <f>IF(D16144&lt;&gt;"",IF(COUNTIF('USPTO TMs'!A:A,D16144)&gt;0,"Yes","No"),"")</f>
        <v/>
      </c>
      <c r="C16144" s="11"/>
      <c r="D16144" s="11"/>
      <c r="E16144" s="11"/>
      <c r="F16144" s="11"/>
      <c r="G16144" s="11"/>
      <c r="H16144" s="11"/>
      <c r="I16144" s="15"/>
    </row>
    <row r="16145" spans="1:9" ht="16.5">
      <c r="A16145" s="10" t="b">
        <v>0</v>
      </c>
      <c r="B16145" s="11" t="str">
        <f>IF(D16145&lt;&gt;"",IF(COUNTIF('USPTO TMs'!A:A,D16145)&gt;0,"Yes","No"),"")</f>
        <v/>
      </c>
      <c r="C16145" s="11"/>
      <c r="D16145" s="11"/>
      <c r="E16145" s="11"/>
      <c r="F16145" s="11"/>
      <c r="G16145" s="11"/>
      <c r="H16145" s="11"/>
      <c r="I16145" s="15"/>
    </row>
    <row r="16146" spans="1:9" ht="16.5">
      <c r="A16146" s="10" t="b">
        <v>0</v>
      </c>
      <c r="B16146" s="11" t="str">
        <f>IF(D16146&lt;&gt;"",IF(COUNTIF('USPTO TMs'!A:A,D16146)&gt;0,"Yes","No"),"")</f>
        <v/>
      </c>
      <c r="C16146" s="11"/>
      <c r="D16146" s="11"/>
      <c r="E16146" s="11"/>
      <c r="F16146" s="11"/>
      <c r="G16146" s="11"/>
      <c r="H16146" s="11"/>
      <c r="I16146" s="15"/>
    </row>
    <row r="16147" spans="1:9" ht="16.5">
      <c r="A16147" s="10" t="b">
        <v>0</v>
      </c>
      <c r="B16147" s="11" t="str">
        <f>IF(D16147&lt;&gt;"",IF(COUNTIF('USPTO TMs'!A:A,D16147)&gt;0,"Yes","No"),"")</f>
        <v/>
      </c>
      <c r="C16147" s="11"/>
      <c r="D16147" s="11"/>
      <c r="E16147" s="11"/>
      <c r="F16147" s="11"/>
      <c r="G16147" s="11"/>
      <c r="H16147" s="11"/>
      <c r="I16147" s="15"/>
    </row>
    <row r="16148" spans="1:9" ht="16.5">
      <c r="A16148" s="10" t="b">
        <v>0</v>
      </c>
      <c r="B16148" s="11" t="str">
        <f>IF(D16148&lt;&gt;"",IF(COUNTIF('USPTO TMs'!A:A,D16148)&gt;0,"Yes","No"),"")</f>
        <v/>
      </c>
      <c r="C16148" s="11"/>
      <c r="D16148" s="11"/>
      <c r="E16148" s="11"/>
      <c r="F16148" s="11"/>
      <c r="G16148" s="11"/>
      <c r="H16148" s="11"/>
      <c r="I16148" s="15"/>
    </row>
    <row r="16149" spans="1:9" ht="16.5">
      <c r="A16149" s="10" t="b">
        <v>0</v>
      </c>
      <c r="B16149" s="11" t="str">
        <f>IF(D16149&lt;&gt;"",IF(COUNTIF('USPTO TMs'!A:A,D16149)&gt;0,"Yes","No"),"")</f>
        <v/>
      </c>
      <c r="C16149" s="11"/>
      <c r="D16149" s="11"/>
      <c r="E16149" s="11"/>
      <c r="F16149" s="11"/>
      <c r="G16149" s="11"/>
      <c r="H16149" s="11"/>
      <c r="I16149" s="15"/>
    </row>
    <row r="16150" spans="1:9" ht="16.5">
      <c r="A16150" s="10" t="b">
        <v>0</v>
      </c>
      <c r="B16150" s="11" t="str">
        <f>IF(D16150&lt;&gt;"",IF(COUNTIF('USPTO TMs'!A:A,D16150)&gt;0,"Yes","No"),"")</f>
        <v/>
      </c>
      <c r="C16150" s="11"/>
      <c r="D16150" s="11"/>
      <c r="E16150" s="11"/>
      <c r="F16150" s="11"/>
      <c r="G16150" s="11"/>
      <c r="H16150" s="11"/>
      <c r="I16150" s="15"/>
    </row>
    <row r="16151" spans="1:9" ht="16.5">
      <c r="A16151" s="10" t="b">
        <v>0</v>
      </c>
      <c r="B16151" s="11" t="str">
        <f>IF(D16151&lt;&gt;"",IF(COUNTIF('USPTO TMs'!A:A,D16151)&gt;0,"Yes","No"),"")</f>
        <v/>
      </c>
      <c r="C16151" s="11"/>
      <c r="D16151" s="11"/>
      <c r="E16151" s="11"/>
      <c r="F16151" s="11"/>
      <c r="G16151" s="11"/>
      <c r="H16151" s="11"/>
      <c r="I16151" s="15"/>
    </row>
    <row r="16152" spans="1:9" ht="16.5">
      <c r="A16152" s="10" t="b">
        <v>0</v>
      </c>
      <c r="B16152" s="11" t="str">
        <f>IF(D16152&lt;&gt;"",IF(COUNTIF('USPTO TMs'!A:A,D16152)&gt;0,"Yes","No"),"")</f>
        <v/>
      </c>
      <c r="C16152" s="11"/>
      <c r="D16152" s="11"/>
      <c r="E16152" s="11"/>
      <c r="F16152" s="11"/>
      <c r="G16152" s="11"/>
      <c r="H16152" s="11"/>
      <c r="I16152" s="15"/>
    </row>
    <row r="16153" spans="1:9" ht="16.5">
      <c r="A16153" s="10" t="b">
        <v>0</v>
      </c>
      <c r="B16153" s="11" t="str">
        <f>IF(D16153&lt;&gt;"",IF(COUNTIF('USPTO TMs'!A:A,D16153)&gt;0,"Yes","No"),"")</f>
        <v/>
      </c>
      <c r="C16153" s="11"/>
      <c r="D16153" s="11"/>
      <c r="E16153" s="11"/>
      <c r="F16153" s="11"/>
      <c r="G16153" s="11"/>
      <c r="H16153" s="11"/>
      <c r="I16153" s="15"/>
    </row>
    <row r="16154" spans="1:9" ht="16.5">
      <c r="A16154" s="10" t="b">
        <v>0</v>
      </c>
      <c r="B16154" s="11" t="str">
        <f>IF(D16154&lt;&gt;"",IF(COUNTIF('USPTO TMs'!A:A,D16154)&gt;0,"Yes","No"),"")</f>
        <v/>
      </c>
      <c r="C16154" s="11"/>
      <c r="D16154" s="11"/>
      <c r="E16154" s="11"/>
      <c r="F16154" s="11"/>
      <c r="G16154" s="11"/>
      <c r="H16154" s="11"/>
      <c r="I16154" s="15"/>
    </row>
    <row r="16155" spans="1:9" ht="16.5">
      <c r="A16155" s="10" t="b">
        <v>0</v>
      </c>
      <c r="B16155" s="11" t="str">
        <f>IF(D16155&lt;&gt;"",IF(COUNTIF('USPTO TMs'!A:A,D16155)&gt;0,"Yes","No"),"")</f>
        <v/>
      </c>
      <c r="C16155" s="11"/>
      <c r="D16155" s="11"/>
      <c r="E16155" s="11"/>
      <c r="F16155" s="11"/>
      <c r="G16155" s="11"/>
      <c r="H16155" s="11"/>
      <c r="I16155" s="15"/>
    </row>
    <row r="16156" spans="1:9" ht="16.5">
      <c r="A16156" s="10" t="b">
        <v>0</v>
      </c>
      <c r="B16156" s="11" t="str">
        <f>IF(D16156&lt;&gt;"",IF(COUNTIF('USPTO TMs'!A:A,D16156)&gt;0,"Yes","No"),"")</f>
        <v/>
      </c>
      <c r="C16156" s="11"/>
      <c r="D16156" s="11"/>
      <c r="E16156" s="11"/>
      <c r="F16156" s="11"/>
      <c r="G16156" s="11"/>
      <c r="H16156" s="11"/>
      <c r="I16156" s="15"/>
    </row>
    <row r="16157" spans="1:9" ht="16.5">
      <c r="A16157" s="10" t="b">
        <v>0</v>
      </c>
      <c r="B16157" s="11" t="str">
        <f>IF(D16157&lt;&gt;"",IF(COUNTIF('USPTO TMs'!A:A,D16157)&gt;0,"Yes","No"),"")</f>
        <v/>
      </c>
      <c r="C16157" s="11"/>
      <c r="D16157" s="11"/>
      <c r="E16157" s="11"/>
      <c r="F16157" s="11"/>
      <c r="G16157" s="11"/>
      <c r="H16157" s="11"/>
      <c r="I16157" s="15"/>
    </row>
    <row r="16158" spans="1:9" ht="16.5">
      <c r="A16158" s="10" t="b">
        <v>0</v>
      </c>
      <c r="B16158" s="11" t="str">
        <f>IF(D16158&lt;&gt;"",IF(COUNTIF('USPTO TMs'!A:A,D16158)&gt;0,"Yes","No"),"")</f>
        <v/>
      </c>
      <c r="C16158" s="11"/>
      <c r="D16158" s="11"/>
      <c r="E16158" s="11"/>
      <c r="F16158" s="11"/>
      <c r="G16158" s="11"/>
      <c r="H16158" s="11"/>
      <c r="I16158" s="15"/>
    </row>
    <row r="16159" spans="1:9" ht="16.5">
      <c r="A16159" s="10" t="b">
        <v>0</v>
      </c>
      <c r="B16159" s="11" t="str">
        <f>IF(D16159&lt;&gt;"",IF(COUNTIF('USPTO TMs'!A:A,D16159)&gt;0,"Yes","No"),"")</f>
        <v/>
      </c>
      <c r="C16159" s="11"/>
      <c r="D16159" s="11"/>
      <c r="E16159" s="11"/>
      <c r="F16159" s="11"/>
      <c r="G16159" s="11"/>
      <c r="H16159" s="11"/>
      <c r="I16159" s="15"/>
    </row>
    <row r="16160" spans="1:9" ht="16.5">
      <c r="A16160" s="10" t="b">
        <v>0</v>
      </c>
      <c r="B16160" s="11" t="str">
        <f>IF(D16160&lt;&gt;"",IF(COUNTIF('USPTO TMs'!A:A,D16160)&gt;0,"Yes","No"),"")</f>
        <v/>
      </c>
      <c r="C16160" s="11"/>
      <c r="D16160" s="11"/>
      <c r="E16160" s="11"/>
      <c r="F16160" s="11"/>
      <c r="G16160" s="11"/>
      <c r="H16160" s="11"/>
      <c r="I16160" s="15"/>
    </row>
    <row r="16161" spans="1:9" ht="16.5">
      <c r="A16161" s="10" t="b">
        <v>0</v>
      </c>
      <c r="B16161" s="11" t="str">
        <f>IF(D16161&lt;&gt;"",IF(COUNTIF('USPTO TMs'!A:A,D16161)&gt;0,"Yes","No"),"")</f>
        <v/>
      </c>
      <c r="C16161" s="11"/>
      <c r="D16161" s="11"/>
      <c r="E16161" s="11"/>
      <c r="F16161" s="11"/>
      <c r="G16161" s="11"/>
      <c r="H16161" s="11"/>
      <c r="I16161" s="15"/>
    </row>
    <row r="16162" spans="1:9" ht="16.5">
      <c r="A16162" s="10" t="b">
        <v>0</v>
      </c>
      <c r="B16162" s="11" t="str">
        <f>IF(D16162&lt;&gt;"",IF(COUNTIF('USPTO TMs'!A:A,D16162)&gt;0,"Yes","No"),"")</f>
        <v/>
      </c>
      <c r="C16162" s="11"/>
      <c r="D16162" s="11"/>
      <c r="E16162" s="11"/>
      <c r="F16162" s="11"/>
      <c r="G16162" s="11"/>
      <c r="H16162" s="11"/>
      <c r="I16162" s="15"/>
    </row>
    <row r="16163" spans="1:9" ht="16.5">
      <c r="A16163" s="10" t="b">
        <v>0</v>
      </c>
      <c r="B16163" s="11" t="str">
        <f>IF(D16163&lt;&gt;"",IF(COUNTIF('USPTO TMs'!A:A,D16163)&gt;0,"Yes","No"),"")</f>
        <v/>
      </c>
      <c r="C16163" s="11"/>
      <c r="D16163" s="11"/>
      <c r="E16163" s="11"/>
      <c r="F16163" s="11"/>
      <c r="G16163" s="11"/>
      <c r="H16163" s="11"/>
      <c r="I16163" s="15"/>
    </row>
    <row r="16164" spans="1:9" ht="16.5">
      <c r="A16164" s="10" t="b">
        <v>0</v>
      </c>
      <c r="B16164" s="11" t="str">
        <f>IF(D16164&lt;&gt;"",IF(COUNTIF('USPTO TMs'!A:A,D16164)&gt;0,"Yes","No"),"")</f>
        <v/>
      </c>
      <c r="C16164" s="11"/>
      <c r="D16164" s="11"/>
      <c r="E16164" s="11"/>
      <c r="F16164" s="11"/>
      <c r="G16164" s="11"/>
      <c r="H16164" s="11"/>
      <c r="I16164" s="15"/>
    </row>
    <row r="16165" spans="1:9" ht="16.5">
      <c r="A16165" s="10" t="b">
        <v>0</v>
      </c>
      <c r="B16165" s="11" t="str">
        <f>IF(D16165&lt;&gt;"",IF(COUNTIF('USPTO TMs'!A:A,D16165)&gt;0,"Yes","No"),"")</f>
        <v/>
      </c>
      <c r="C16165" s="11"/>
      <c r="D16165" s="11"/>
      <c r="E16165" s="11"/>
      <c r="F16165" s="11"/>
      <c r="G16165" s="11"/>
      <c r="H16165" s="11"/>
      <c r="I16165" s="15"/>
    </row>
    <row r="16166" spans="1:9" ht="16.5">
      <c r="A16166" s="10" t="b">
        <v>0</v>
      </c>
      <c r="B16166" s="11" t="str">
        <f>IF(D16166&lt;&gt;"",IF(COUNTIF('USPTO TMs'!A:A,D16166)&gt;0,"Yes","No"),"")</f>
        <v/>
      </c>
      <c r="C16166" s="11"/>
      <c r="D16166" s="11"/>
      <c r="E16166" s="11"/>
      <c r="F16166" s="11"/>
      <c r="G16166" s="11"/>
      <c r="H16166" s="11"/>
      <c r="I16166" s="15"/>
    </row>
    <row r="16167" spans="1:9" ht="16.5">
      <c r="A16167" s="10" t="b">
        <v>0</v>
      </c>
      <c r="B16167" s="11" t="str">
        <f>IF(D16167&lt;&gt;"",IF(COUNTIF('USPTO TMs'!A:A,D16167)&gt;0,"Yes","No"),"")</f>
        <v/>
      </c>
      <c r="C16167" s="11"/>
      <c r="D16167" s="11"/>
      <c r="E16167" s="11"/>
      <c r="F16167" s="11"/>
      <c r="G16167" s="11"/>
      <c r="H16167" s="11"/>
      <c r="I16167" s="15"/>
    </row>
    <row r="16168" spans="1:9" ht="16.5">
      <c r="A16168" s="10" t="b">
        <v>0</v>
      </c>
      <c r="B16168" s="11" t="str">
        <f>IF(D16168&lt;&gt;"",IF(COUNTIF('USPTO TMs'!A:A,D16168)&gt;0,"Yes","No"),"")</f>
        <v/>
      </c>
      <c r="C16168" s="11"/>
      <c r="D16168" s="11"/>
      <c r="E16168" s="11"/>
      <c r="F16168" s="11"/>
      <c r="G16168" s="11"/>
      <c r="H16168" s="11"/>
      <c r="I16168" s="15"/>
    </row>
    <row r="16169" spans="1:9" ht="16.5">
      <c r="A16169" s="10" t="b">
        <v>0</v>
      </c>
      <c r="B16169" s="11" t="str">
        <f>IF(D16169&lt;&gt;"",IF(COUNTIF('USPTO TMs'!A:A,D16169)&gt;0,"Yes","No"),"")</f>
        <v/>
      </c>
      <c r="C16169" s="11"/>
      <c r="D16169" s="11"/>
      <c r="E16169" s="11"/>
      <c r="F16169" s="11"/>
      <c r="G16169" s="11"/>
      <c r="H16169" s="11"/>
      <c r="I16169" s="15"/>
    </row>
    <row r="16170" spans="1:9" ht="16.5">
      <c r="A16170" s="10" t="b">
        <v>0</v>
      </c>
      <c r="B16170" s="11" t="str">
        <f>IF(D16170&lt;&gt;"",IF(COUNTIF('USPTO TMs'!A:A,D16170)&gt;0,"Yes","No"),"")</f>
        <v/>
      </c>
      <c r="C16170" s="11"/>
      <c r="D16170" s="11"/>
      <c r="E16170" s="11"/>
      <c r="F16170" s="11"/>
      <c r="G16170" s="11"/>
      <c r="H16170" s="11"/>
      <c r="I16170" s="15"/>
    </row>
    <row r="16171" spans="1:9" ht="16.5">
      <c r="A16171" s="10" t="b">
        <v>0</v>
      </c>
      <c r="B16171" s="11" t="str">
        <f>IF(D16171&lt;&gt;"",IF(COUNTIF('USPTO TMs'!A:A,D16171)&gt;0,"Yes","No"),"")</f>
        <v/>
      </c>
      <c r="C16171" s="11"/>
      <c r="D16171" s="11"/>
      <c r="E16171" s="11"/>
      <c r="F16171" s="11"/>
      <c r="G16171" s="11"/>
      <c r="H16171" s="11"/>
      <c r="I16171" s="15"/>
    </row>
    <row r="16172" spans="1:9" ht="16.5">
      <c r="A16172" s="10" t="b">
        <v>0</v>
      </c>
      <c r="B16172" s="11" t="str">
        <f>IF(D16172&lt;&gt;"",IF(COUNTIF('USPTO TMs'!A:A,D16172)&gt;0,"Yes","No"),"")</f>
        <v/>
      </c>
      <c r="C16172" s="11"/>
      <c r="D16172" s="11"/>
      <c r="E16172" s="11"/>
      <c r="F16172" s="11"/>
      <c r="G16172" s="11"/>
      <c r="H16172" s="11"/>
      <c r="I16172" s="15"/>
    </row>
    <row r="16173" spans="1:9" ht="16.5">
      <c r="A16173" s="10" t="b">
        <v>0</v>
      </c>
      <c r="B16173" s="11" t="str">
        <f>IF(D16173&lt;&gt;"",IF(COUNTIF('USPTO TMs'!A:A,D16173)&gt;0,"Yes","No"),"")</f>
        <v/>
      </c>
      <c r="C16173" s="11"/>
      <c r="D16173" s="11"/>
      <c r="E16173" s="11"/>
      <c r="F16173" s="11"/>
      <c r="G16173" s="11"/>
      <c r="H16173" s="11"/>
      <c r="I16173" s="15"/>
    </row>
    <row r="16174" spans="1:9" ht="16.5">
      <c r="A16174" s="10" t="b">
        <v>0</v>
      </c>
      <c r="B16174" s="11" t="str">
        <f>IF(D16174&lt;&gt;"",IF(COUNTIF('USPTO TMs'!A:A,D16174)&gt;0,"Yes","No"),"")</f>
        <v/>
      </c>
      <c r="C16174" s="11"/>
      <c r="D16174" s="11"/>
      <c r="E16174" s="11"/>
      <c r="F16174" s="11"/>
      <c r="G16174" s="11"/>
      <c r="H16174" s="11"/>
      <c r="I16174" s="15"/>
    </row>
    <row r="16175" spans="1:9" ht="16.5">
      <c r="A16175" s="10" t="b">
        <v>0</v>
      </c>
      <c r="B16175" s="11" t="str">
        <f>IF(D16175&lt;&gt;"",IF(COUNTIF('USPTO TMs'!A:A,D16175)&gt;0,"Yes","No"),"")</f>
        <v/>
      </c>
      <c r="C16175" s="11"/>
      <c r="D16175" s="11"/>
      <c r="E16175" s="11"/>
      <c r="F16175" s="11"/>
      <c r="G16175" s="11"/>
      <c r="H16175" s="11"/>
      <c r="I16175" s="15"/>
    </row>
    <row r="16176" spans="1:9" ht="16.5">
      <c r="A16176" s="10" t="b">
        <v>0</v>
      </c>
      <c r="B16176" s="11" t="str">
        <f>IF(D16176&lt;&gt;"",IF(COUNTIF('USPTO TMs'!A:A,D16176)&gt;0,"Yes","No"),"")</f>
        <v/>
      </c>
      <c r="C16176" s="11"/>
      <c r="D16176" s="11"/>
      <c r="E16176" s="11"/>
      <c r="F16176" s="11"/>
      <c r="G16176" s="11"/>
      <c r="H16176" s="11"/>
      <c r="I16176" s="15"/>
    </row>
    <row r="16177" spans="1:9" ht="16.5">
      <c r="A16177" s="10" t="b">
        <v>0</v>
      </c>
      <c r="B16177" s="11" t="str">
        <f>IF(D16177&lt;&gt;"",IF(COUNTIF('USPTO TMs'!A:A,D16177)&gt;0,"Yes","No"),"")</f>
        <v/>
      </c>
      <c r="C16177" s="11"/>
      <c r="D16177" s="11"/>
      <c r="E16177" s="11"/>
      <c r="F16177" s="11"/>
      <c r="G16177" s="11"/>
      <c r="H16177" s="11"/>
      <c r="I16177" s="15"/>
    </row>
    <row r="16178" spans="1:9" ht="16.5">
      <c r="A16178" s="10" t="b">
        <v>0</v>
      </c>
      <c r="B16178" s="11" t="str">
        <f>IF(D16178&lt;&gt;"",IF(COUNTIF('USPTO TMs'!A:A,D16178)&gt;0,"Yes","No"),"")</f>
        <v/>
      </c>
      <c r="C16178" s="11"/>
      <c r="D16178" s="11"/>
      <c r="E16178" s="11"/>
      <c r="F16178" s="11"/>
      <c r="G16178" s="11"/>
      <c r="H16178" s="11"/>
      <c r="I16178" s="15"/>
    </row>
    <row r="16179" spans="1:9" ht="16.5">
      <c r="A16179" s="10" t="b">
        <v>0</v>
      </c>
      <c r="B16179" s="11" t="str">
        <f>IF(D16179&lt;&gt;"",IF(COUNTIF('USPTO TMs'!A:A,D16179)&gt;0,"Yes","No"),"")</f>
        <v/>
      </c>
      <c r="C16179" s="11"/>
      <c r="D16179" s="11"/>
      <c r="E16179" s="11"/>
      <c r="F16179" s="11"/>
      <c r="G16179" s="11"/>
      <c r="H16179" s="11"/>
      <c r="I16179" s="15"/>
    </row>
    <row r="16180" spans="1:9" ht="16.5">
      <c r="A16180" s="10" t="b">
        <v>0</v>
      </c>
      <c r="B16180" s="11" t="str">
        <f>IF(D16180&lt;&gt;"",IF(COUNTIF('USPTO TMs'!A:A,D16180)&gt;0,"Yes","No"),"")</f>
        <v/>
      </c>
      <c r="C16180" s="11"/>
      <c r="D16180" s="11"/>
      <c r="E16180" s="11"/>
      <c r="F16180" s="11"/>
      <c r="G16180" s="11"/>
      <c r="H16180" s="11"/>
      <c r="I16180" s="15"/>
    </row>
    <row r="16181" spans="1:9" ht="16.5">
      <c r="A16181" s="10" t="b">
        <v>0</v>
      </c>
      <c r="B16181" s="11" t="str">
        <f>IF(D16181&lt;&gt;"",IF(COUNTIF('USPTO TMs'!A:A,D16181)&gt;0,"Yes","No"),"")</f>
        <v/>
      </c>
      <c r="C16181" s="11"/>
      <c r="D16181" s="11"/>
      <c r="E16181" s="11"/>
      <c r="F16181" s="11"/>
      <c r="G16181" s="11"/>
      <c r="H16181" s="11"/>
      <c r="I16181" s="15"/>
    </row>
    <row r="16182" spans="1:9" ht="16.5">
      <c r="A16182" s="10" t="b">
        <v>0</v>
      </c>
      <c r="B16182" s="11" t="str">
        <f>IF(D16182&lt;&gt;"",IF(COUNTIF('USPTO TMs'!A:A,D16182)&gt;0,"Yes","No"),"")</f>
        <v/>
      </c>
      <c r="C16182" s="11"/>
      <c r="D16182" s="11"/>
      <c r="E16182" s="11"/>
      <c r="F16182" s="11"/>
      <c r="G16182" s="11"/>
      <c r="H16182" s="11"/>
      <c r="I16182" s="15"/>
    </row>
    <row r="16183" spans="1:9" ht="16.5">
      <c r="A16183" s="10" t="b">
        <v>0</v>
      </c>
      <c r="B16183" s="11" t="str">
        <f>IF(D16183&lt;&gt;"",IF(COUNTIF('USPTO TMs'!A:A,D16183)&gt;0,"Yes","No"),"")</f>
        <v/>
      </c>
      <c r="C16183" s="11"/>
      <c r="D16183" s="11"/>
      <c r="E16183" s="11"/>
      <c r="F16183" s="11"/>
      <c r="G16183" s="11"/>
      <c r="H16183" s="11"/>
      <c r="I16183" s="15"/>
    </row>
    <row r="16184" spans="1:9" ht="16.5">
      <c r="A16184" s="10" t="b">
        <v>0</v>
      </c>
      <c r="B16184" s="11" t="str">
        <f>IF(D16184&lt;&gt;"",IF(COUNTIF('USPTO TMs'!A:A,D16184)&gt;0,"Yes","No"),"")</f>
        <v/>
      </c>
      <c r="C16184" s="11"/>
      <c r="D16184" s="11"/>
      <c r="E16184" s="11"/>
      <c r="F16184" s="11"/>
      <c r="G16184" s="11"/>
      <c r="H16184" s="11"/>
      <c r="I16184" s="15"/>
    </row>
    <row r="16185" spans="1:9" ht="16.5">
      <c r="A16185" s="10" t="b">
        <v>0</v>
      </c>
      <c r="B16185" s="11" t="str">
        <f>IF(D16185&lt;&gt;"",IF(COUNTIF('USPTO TMs'!A:A,D16185)&gt;0,"Yes","No"),"")</f>
        <v/>
      </c>
      <c r="C16185" s="11"/>
      <c r="D16185" s="11"/>
      <c r="E16185" s="11"/>
      <c r="F16185" s="11"/>
      <c r="G16185" s="11"/>
      <c r="H16185" s="11"/>
      <c r="I16185" s="15"/>
    </row>
    <row r="16186" spans="1:9" ht="16.5">
      <c r="A16186" s="10" t="b">
        <v>0</v>
      </c>
      <c r="B16186" s="11" t="str">
        <f>IF(D16186&lt;&gt;"",IF(COUNTIF('USPTO TMs'!A:A,D16186)&gt;0,"Yes","No"),"")</f>
        <v/>
      </c>
      <c r="C16186" s="11"/>
      <c r="D16186" s="11"/>
      <c r="E16186" s="11"/>
      <c r="F16186" s="11"/>
      <c r="G16186" s="11"/>
      <c r="H16186" s="11"/>
      <c r="I16186" s="15"/>
    </row>
    <row r="16187" spans="1:9" ht="16.5">
      <c r="A16187" s="10" t="b">
        <v>0</v>
      </c>
      <c r="B16187" s="11" t="str">
        <f>IF(D16187&lt;&gt;"",IF(COUNTIF('USPTO TMs'!A:A,D16187)&gt;0,"Yes","No"),"")</f>
        <v/>
      </c>
      <c r="C16187" s="11"/>
      <c r="D16187" s="11"/>
      <c r="E16187" s="11"/>
      <c r="F16187" s="11"/>
      <c r="G16187" s="11"/>
      <c r="H16187" s="11"/>
      <c r="I16187" s="15"/>
    </row>
    <row r="16188" spans="1:9" ht="16.5">
      <c r="A16188" s="10" t="b">
        <v>0</v>
      </c>
      <c r="B16188" s="11" t="str">
        <f>IF(D16188&lt;&gt;"",IF(COUNTIF('USPTO TMs'!A:A,D16188)&gt;0,"Yes","No"),"")</f>
        <v/>
      </c>
      <c r="C16188" s="11"/>
      <c r="D16188" s="11"/>
      <c r="E16188" s="11"/>
      <c r="F16188" s="11"/>
      <c r="G16188" s="11"/>
      <c r="H16188" s="11"/>
      <c r="I16188" s="15"/>
    </row>
    <row r="16189" spans="1:9" ht="16.5">
      <c r="A16189" s="10" t="b">
        <v>0</v>
      </c>
      <c r="B16189" s="11" t="str">
        <f>IF(D16189&lt;&gt;"",IF(COUNTIF('USPTO TMs'!A:A,D16189)&gt;0,"Yes","No"),"")</f>
        <v/>
      </c>
      <c r="C16189" s="11"/>
      <c r="D16189" s="11"/>
      <c r="E16189" s="11"/>
      <c r="F16189" s="11"/>
      <c r="G16189" s="11"/>
      <c r="H16189" s="11"/>
      <c r="I16189" s="15"/>
    </row>
    <row r="16190" spans="1:9" ht="16.5">
      <c r="A16190" s="10" t="b">
        <v>0</v>
      </c>
      <c r="B16190" s="11" t="str">
        <f>IF(D16190&lt;&gt;"",IF(COUNTIF('USPTO TMs'!A:A,D16190)&gt;0,"Yes","No"),"")</f>
        <v/>
      </c>
      <c r="C16190" s="11"/>
      <c r="D16190" s="11"/>
      <c r="E16190" s="11"/>
      <c r="F16190" s="11"/>
      <c r="G16190" s="11"/>
      <c r="H16190" s="11"/>
      <c r="I16190" s="15"/>
    </row>
    <row r="16191" spans="1:9" ht="16.5">
      <c r="A16191" s="10" t="b">
        <v>0</v>
      </c>
      <c r="B16191" s="11" t="str">
        <f>IF(D16191&lt;&gt;"",IF(COUNTIF('USPTO TMs'!A:A,D16191)&gt;0,"Yes","No"),"")</f>
        <v/>
      </c>
      <c r="C16191" s="11"/>
      <c r="D16191" s="11"/>
      <c r="E16191" s="11"/>
      <c r="F16191" s="11"/>
      <c r="G16191" s="11"/>
      <c r="H16191" s="11"/>
      <c r="I16191" s="15"/>
    </row>
    <row r="16192" spans="1:9" ht="16.5">
      <c r="A16192" s="10" t="b">
        <v>0</v>
      </c>
      <c r="B16192" s="11" t="str">
        <f>IF(D16192&lt;&gt;"",IF(COUNTIF('USPTO TMs'!A:A,D16192)&gt;0,"Yes","No"),"")</f>
        <v/>
      </c>
      <c r="C16192" s="11"/>
      <c r="D16192" s="11"/>
      <c r="E16192" s="11"/>
      <c r="F16192" s="11"/>
      <c r="G16192" s="11"/>
      <c r="H16192" s="11"/>
      <c r="I16192" s="15"/>
    </row>
    <row r="16193" spans="1:9" ht="16.5">
      <c r="A16193" s="10" t="b">
        <v>0</v>
      </c>
      <c r="B16193" s="11" t="str">
        <f>IF(D16193&lt;&gt;"",IF(COUNTIF('USPTO TMs'!A:A,D16193)&gt;0,"Yes","No"),"")</f>
        <v/>
      </c>
      <c r="C16193" s="11"/>
      <c r="D16193" s="11"/>
      <c r="E16193" s="11"/>
      <c r="F16193" s="11"/>
      <c r="G16193" s="11"/>
      <c r="H16193" s="11"/>
      <c r="I16193" s="15"/>
    </row>
    <row r="16194" spans="1:9" ht="16.5">
      <c r="A16194" s="10" t="b">
        <v>0</v>
      </c>
      <c r="B16194" s="11" t="str">
        <f>IF(D16194&lt;&gt;"",IF(COUNTIF('USPTO TMs'!A:A,D16194)&gt;0,"Yes","No"),"")</f>
        <v/>
      </c>
      <c r="C16194" s="11"/>
      <c r="D16194" s="11"/>
      <c r="E16194" s="11"/>
      <c r="F16194" s="11"/>
      <c r="G16194" s="11"/>
      <c r="H16194" s="11"/>
      <c r="I16194" s="15"/>
    </row>
    <row r="16195" spans="1:9" ht="16.5">
      <c r="A16195" s="10" t="b">
        <v>0</v>
      </c>
      <c r="B16195" s="11" t="str">
        <f>IF(D16195&lt;&gt;"",IF(COUNTIF('USPTO TMs'!A:A,D16195)&gt;0,"Yes","No"),"")</f>
        <v/>
      </c>
      <c r="C16195" s="11"/>
      <c r="D16195" s="11"/>
      <c r="E16195" s="11"/>
      <c r="F16195" s="11"/>
      <c r="G16195" s="11"/>
      <c r="H16195" s="11"/>
      <c r="I16195" s="15"/>
    </row>
    <row r="16196" spans="1:9" ht="16.5">
      <c r="A16196" s="10" t="b">
        <v>0</v>
      </c>
      <c r="B16196" s="11" t="str">
        <f>IF(D16196&lt;&gt;"",IF(COUNTIF('USPTO TMs'!A:A,D16196)&gt;0,"Yes","No"),"")</f>
        <v/>
      </c>
      <c r="C16196" s="11"/>
      <c r="D16196" s="11"/>
      <c r="E16196" s="11"/>
      <c r="F16196" s="11"/>
      <c r="G16196" s="11"/>
      <c r="H16196" s="11"/>
      <c r="I16196" s="15"/>
    </row>
    <row r="16197" spans="1:9" ht="16.5">
      <c r="A16197" s="10" t="b">
        <v>0</v>
      </c>
      <c r="B16197" s="11" t="str">
        <f>IF(D16197&lt;&gt;"",IF(COUNTIF('USPTO TMs'!A:A,D16197)&gt;0,"Yes","No"),"")</f>
        <v/>
      </c>
      <c r="C16197" s="11"/>
      <c r="D16197" s="11"/>
      <c r="E16197" s="11"/>
      <c r="F16197" s="11"/>
      <c r="G16197" s="11"/>
      <c r="H16197" s="11"/>
      <c r="I16197" s="15"/>
    </row>
    <row r="16198" spans="1:9" ht="16.5">
      <c r="A16198" s="10" t="b">
        <v>0</v>
      </c>
      <c r="B16198" s="11" t="str">
        <f>IF(D16198&lt;&gt;"",IF(COUNTIF('USPTO TMs'!A:A,D16198)&gt;0,"Yes","No"),"")</f>
        <v/>
      </c>
      <c r="C16198" s="11"/>
      <c r="D16198" s="11"/>
      <c r="E16198" s="11"/>
      <c r="F16198" s="11"/>
      <c r="G16198" s="11"/>
      <c r="H16198" s="11"/>
      <c r="I16198" s="15"/>
    </row>
    <row r="16199" spans="1:9" ht="16.5">
      <c r="A16199" s="10" t="b">
        <v>0</v>
      </c>
      <c r="B16199" s="11" t="str">
        <f>IF(D16199&lt;&gt;"",IF(COUNTIF('USPTO TMs'!A:A,D16199)&gt;0,"Yes","No"),"")</f>
        <v/>
      </c>
      <c r="C16199" s="11"/>
      <c r="D16199" s="11"/>
      <c r="E16199" s="11"/>
      <c r="F16199" s="11"/>
      <c r="G16199" s="11"/>
      <c r="H16199" s="11"/>
      <c r="I16199" s="15"/>
    </row>
    <row r="16200" spans="1:9" ht="16.5">
      <c r="A16200" s="10" t="b">
        <v>0</v>
      </c>
      <c r="B16200" s="11" t="str">
        <f>IF(D16200&lt;&gt;"",IF(COUNTIF('USPTO TMs'!A:A,D16200)&gt;0,"Yes","No"),"")</f>
        <v/>
      </c>
      <c r="C16200" s="11"/>
      <c r="D16200" s="11"/>
      <c r="E16200" s="11"/>
      <c r="F16200" s="11"/>
      <c r="G16200" s="11"/>
      <c r="H16200" s="11"/>
      <c r="I16200" s="15"/>
    </row>
    <row r="16201" spans="1:9" ht="16.5">
      <c r="A16201" s="10" t="b">
        <v>0</v>
      </c>
      <c r="B16201" s="11" t="str">
        <f>IF(D16201&lt;&gt;"",IF(COUNTIF('USPTO TMs'!A:A,D16201)&gt;0,"Yes","No"),"")</f>
        <v/>
      </c>
      <c r="C16201" s="11"/>
      <c r="D16201" s="11"/>
      <c r="E16201" s="11"/>
      <c r="F16201" s="11"/>
      <c r="G16201" s="11"/>
      <c r="H16201" s="11"/>
      <c r="I16201" s="15"/>
    </row>
    <row r="16202" spans="1:9" ht="16.5">
      <c r="A16202" s="10" t="b">
        <v>0</v>
      </c>
      <c r="B16202" s="11" t="str">
        <f>IF(D16202&lt;&gt;"",IF(COUNTIF('USPTO TMs'!A:A,D16202)&gt;0,"Yes","No"),"")</f>
        <v/>
      </c>
      <c r="C16202" s="11"/>
      <c r="D16202" s="11"/>
      <c r="E16202" s="11"/>
      <c r="F16202" s="11"/>
      <c r="G16202" s="11"/>
      <c r="H16202" s="11"/>
      <c r="I16202" s="15"/>
    </row>
    <row r="16203" spans="1:9" ht="16.5">
      <c r="A16203" s="10" t="b">
        <v>0</v>
      </c>
      <c r="B16203" s="11" t="str">
        <f>IF(D16203&lt;&gt;"",IF(COUNTIF('USPTO TMs'!A:A,D16203)&gt;0,"Yes","No"),"")</f>
        <v/>
      </c>
      <c r="C16203" s="11"/>
      <c r="D16203" s="11"/>
      <c r="E16203" s="11"/>
      <c r="F16203" s="11"/>
      <c r="G16203" s="11"/>
      <c r="H16203" s="11"/>
      <c r="I16203" s="15"/>
    </row>
    <row r="16204" spans="1:9" ht="16.5">
      <c r="A16204" s="10" t="b">
        <v>0</v>
      </c>
      <c r="B16204" s="11" t="str">
        <f>IF(D16204&lt;&gt;"",IF(COUNTIF('USPTO TMs'!A:A,D16204)&gt;0,"Yes","No"),"")</f>
        <v/>
      </c>
      <c r="C16204" s="11"/>
      <c r="D16204" s="11"/>
      <c r="E16204" s="11"/>
      <c r="F16204" s="11"/>
      <c r="G16204" s="11"/>
      <c r="H16204" s="11"/>
      <c r="I16204" s="15"/>
    </row>
    <row r="16205" spans="1:9" ht="16.5">
      <c r="A16205" s="10" t="b">
        <v>0</v>
      </c>
      <c r="B16205" s="11" t="str">
        <f>IF(D16205&lt;&gt;"",IF(COUNTIF('USPTO TMs'!A:A,D16205)&gt;0,"Yes","No"),"")</f>
        <v/>
      </c>
      <c r="C16205" s="11"/>
      <c r="D16205" s="11"/>
      <c r="E16205" s="11"/>
      <c r="F16205" s="11"/>
      <c r="G16205" s="11"/>
      <c r="H16205" s="11"/>
      <c r="I16205" s="15"/>
    </row>
    <row r="16206" spans="1:9" ht="16.5">
      <c r="A16206" s="10" t="b">
        <v>0</v>
      </c>
      <c r="B16206" s="11" t="str">
        <f>IF(D16206&lt;&gt;"",IF(COUNTIF('USPTO TMs'!A:A,D16206)&gt;0,"Yes","No"),"")</f>
        <v/>
      </c>
      <c r="C16206" s="11"/>
      <c r="D16206" s="11"/>
      <c r="E16206" s="11"/>
      <c r="F16206" s="11"/>
      <c r="G16206" s="11"/>
      <c r="H16206" s="11"/>
      <c r="I16206" s="15"/>
    </row>
    <row r="16207" spans="1:9" ht="16.5">
      <c r="A16207" s="10" t="b">
        <v>0</v>
      </c>
      <c r="B16207" s="11" t="str">
        <f>IF(D16207&lt;&gt;"",IF(COUNTIF('USPTO TMs'!A:A,D16207)&gt;0,"Yes","No"),"")</f>
        <v/>
      </c>
      <c r="C16207" s="11"/>
      <c r="D16207" s="11"/>
      <c r="E16207" s="11"/>
      <c r="F16207" s="11"/>
      <c r="G16207" s="11"/>
      <c r="H16207" s="11"/>
      <c r="I16207" s="15"/>
    </row>
    <row r="16208" spans="1:9" ht="16.5">
      <c r="A16208" s="10" t="b">
        <v>0</v>
      </c>
      <c r="B16208" s="11" t="str">
        <f>IF(D16208&lt;&gt;"",IF(COUNTIF('USPTO TMs'!A:A,D16208)&gt;0,"Yes","No"),"")</f>
        <v/>
      </c>
      <c r="C16208" s="11"/>
      <c r="D16208" s="11"/>
      <c r="E16208" s="11"/>
      <c r="F16208" s="11"/>
      <c r="G16208" s="11"/>
      <c r="H16208" s="11"/>
      <c r="I16208" s="15"/>
    </row>
    <row r="16209" spans="1:9" ht="16.5">
      <c r="A16209" s="10" t="b">
        <v>0</v>
      </c>
      <c r="B16209" s="11" t="str">
        <f>IF(D16209&lt;&gt;"",IF(COUNTIF('USPTO TMs'!A:A,D16209)&gt;0,"Yes","No"),"")</f>
        <v/>
      </c>
      <c r="C16209" s="11"/>
      <c r="D16209" s="11"/>
      <c r="E16209" s="11"/>
      <c r="F16209" s="11"/>
      <c r="G16209" s="11"/>
      <c r="H16209" s="11"/>
      <c r="I16209" s="15"/>
    </row>
    <row r="16210" spans="1:9" ht="16.5">
      <c r="A16210" s="10" t="b">
        <v>0</v>
      </c>
      <c r="B16210" s="11" t="str">
        <f>IF(D16210&lt;&gt;"",IF(COUNTIF('USPTO TMs'!A:A,D16210)&gt;0,"Yes","No"),"")</f>
        <v/>
      </c>
      <c r="C16210" s="11"/>
      <c r="D16210" s="11"/>
      <c r="E16210" s="11"/>
      <c r="F16210" s="11"/>
      <c r="G16210" s="11"/>
      <c r="H16210" s="11"/>
      <c r="I16210" s="15"/>
    </row>
    <row r="16211" spans="1:9" ht="16.5">
      <c r="A16211" s="10" t="b">
        <v>0</v>
      </c>
      <c r="B16211" s="11" t="str">
        <f>IF(D16211&lt;&gt;"",IF(COUNTIF('USPTO TMs'!A:A,D16211)&gt;0,"Yes","No"),"")</f>
        <v/>
      </c>
      <c r="C16211" s="11"/>
      <c r="D16211" s="11"/>
      <c r="E16211" s="11"/>
      <c r="F16211" s="11"/>
      <c r="G16211" s="11"/>
      <c r="H16211" s="11"/>
      <c r="I16211" s="15"/>
    </row>
    <row r="16212" spans="1:9" ht="16.5">
      <c r="A16212" s="10" t="b">
        <v>0</v>
      </c>
      <c r="B16212" s="11" t="str">
        <f>IF(D16212&lt;&gt;"",IF(COUNTIF('USPTO TMs'!A:A,D16212)&gt;0,"Yes","No"),"")</f>
        <v/>
      </c>
      <c r="C16212" s="11"/>
      <c r="D16212" s="11"/>
      <c r="E16212" s="11"/>
      <c r="F16212" s="11"/>
      <c r="G16212" s="11"/>
      <c r="H16212" s="11"/>
      <c r="I16212" s="15"/>
    </row>
    <row r="16213" spans="1:9" ht="16.5">
      <c r="A16213" s="10" t="b">
        <v>0</v>
      </c>
      <c r="B16213" s="11" t="str">
        <f>IF(D16213&lt;&gt;"",IF(COUNTIF('USPTO TMs'!A:A,D16213)&gt;0,"Yes","No"),"")</f>
        <v/>
      </c>
      <c r="C16213" s="11"/>
      <c r="D16213" s="11"/>
      <c r="E16213" s="11"/>
      <c r="F16213" s="11"/>
      <c r="G16213" s="11"/>
      <c r="H16213" s="11"/>
      <c r="I16213" s="15"/>
    </row>
    <row r="16214" spans="1:9" ht="16.5">
      <c r="A16214" s="10" t="b">
        <v>0</v>
      </c>
      <c r="B16214" s="11" t="str">
        <f>IF(D16214&lt;&gt;"",IF(COUNTIF('USPTO TMs'!A:A,D16214)&gt;0,"Yes","No"),"")</f>
        <v/>
      </c>
      <c r="C16214" s="11"/>
      <c r="D16214" s="11"/>
      <c r="E16214" s="11"/>
      <c r="F16214" s="11"/>
      <c r="G16214" s="11"/>
      <c r="H16214" s="11"/>
      <c r="I16214" s="15"/>
    </row>
    <row r="16215" spans="1:9" ht="16.5">
      <c r="A16215" s="10" t="b">
        <v>0</v>
      </c>
      <c r="B16215" s="11" t="str">
        <f>IF(D16215&lt;&gt;"",IF(COUNTIF('USPTO TMs'!A:A,D16215)&gt;0,"Yes","No"),"")</f>
        <v/>
      </c>
      <c r="C16215" s="11"/>
      <c r="D16215" s="11"/>
      <c r="E16215" s="11"/>
      <c r="F16215" s="11"/>
      <c r="G16215" s="11"/>
      <c r="H16215" s="11"/>
      <c r="I16215" s="15"/>
    </row>
    <row r="16216" spans="1:9" ht="16.5">
      <c r="A16216" s="10" t="b">
        <v>0</v>
      </c>
      <c r="B16216" s="11" t="str">
        <f>IF(D16216&lt;&gt;"",IF(COUNTIF('USPTO TMs'!A:A,D16216)&gt;0,"Yes","No"),"")</f>
        <v/>
      </c>
      <c r="C16216" s="11"/>
      <c r="D16216" s="11"/>
      <c r="E16216" s="11"/>
      <c r="F16216" s="11"/>
      <c r="G16216" s="11"/>
      <c r="H16216" s="11"/>
      <c r="I16216" s="15"/>
    </row>
    <row r="16217" spans="1:9" ht="16.5">
      <c r="A16217" s="10" t="b">
        <v>0</v>
      </c>
      <c r="B16217" s="11" t="str">
        <f>IF(D16217&lt;&gt;"",IF(COUNTIF('USPTO TMs'!A:A,D16217)&gt;0,"Yes","No"),"")</f>
        <v/>
      </c>
      <c r="C16217" s="11"/>
      <c r="D16217" s="11"/>
      <c r="E16217" s="11"/>
      <c r="F16217" s="11"/>
      <c r="G16217" s="11"/>
      <c r="H16217" s="11"/>
      <c r="I16217" s="15"/>
    </row>
    <row r="16218" spans="1:9" ht="16.5">
      <c r="A16218" s="10" t="b">
        <v>0</v>
      </c>
      <c r="B16218" s="11" t="str">
        <f>IF(D16218&lt;&gt;"",IF(COUNTIF('USPTO TMs'!A:A,D16218)&gt;0,"Yes","No"),"")</f>
        <v/>
      </c>
      <c r="C16218" s="11"/>
      <c r="D16218" s="11"/>
      <c r="E16218" s="11"/>
      <c r="F16218" s="11"/>
      <c r="G16218" s="11"/>
      <c r="H16218" s="11"/>
      <c r="I16218" s="15"/>
    </row>
    <row r="16219" spans="1:9" ht="16.5">
      <c r="A16219" s="10" t="b">
        <v>0</v>
      </c>
      <c r="B16219" s="11" t="str">
        <f>IF(D16219&lt;&gt;"",IF(COUNTIF('USPTO TMs'!A:A,D16219)&gt;0,"Yes","No"),"")</f>
        <v/>
      </c>
      <c r="C16219" s="11"/>
      <c r="D16219" s="11"/>
      <c r="E16219" s="11"/>
      <c r="F16219" s="11"/>
      <c r="G16219" s="11"/>
      <c r="H16219" s="11"/>
      <c r="I16219" s="15"/>
    </row>
    <row r="16220" spans="1:9" ht="16.5">
      <c r="A16220" s="10" t="b">
        <v>0</v>
      </c>
      <c r="B16220" s="11" t="str">
        <f>IF(D16220&lt;&gt;"",IF(COUNTIF('USPTO TMs'!A:A,D16220)&gt;0,"Yes","No"),"")</f>
        <v/>
      </c>
      <c r="C16220" s="11"/>
      <c r="D16220" s="11"/>
      <c r="E16220" s="11"/>
      <c r="F16220" s="11"/>
      <c r="G16220" s="11"/>
      <c r="H16220" s="11"/>
      <c r="I16220" s="15"/>
    </row>
    <row r="16221" spans="1:9" ht="16.5">
      <c r="A16221" s="10" t="b">
        <v>0</v>
      </c>
      <c r="B16221" s="11" t="str">
        <f>IF(D16221&lt;&gt;"",IF(COUNTIF('USPTO TMs'!A:A,D16221)&gt;0,"Yes","No"),"")</f>
        <v/>
      </c>
      <c r="C16221" s="11"/>
      <c r="D16221" s="11"/>
      <c r="E16221" s="11"/>
      <c r="F16221" s="11"/>
      <c r="G16221" s="11"/>
      <c r="H16221" s="11"/>
      <c r="I16221" s="15"/>
    </row>
    <row r="16222" spans="1:9" ht="16.5">
      <c r="A16222" s="10" t="b">
        <v>0</v>
      </c>
      <c r="B16222" s="11" t="str">
        <f>IF(D16222&lt;&gt;"",IF(COUNTIF('USPTO TMs'!A:A,D16222)&gt;0,"Yes","No"),"")</f>
        <v/>
      </c>
      <c r="C16222" s="11"/>
      <c r="D16222" s="11"/>
      <c r="E16222" s="11"/>
      <c r="F16222" s="11"/>
      <c r="G16222" s="11"/>
      <c r="H16222" s="11"/>
      <c r="I16222" s="15"/>
    </row>
    <row r="16223" spans="1:9" ht="16.5">
      <c r="A16223" s="10" t="b">
        <v>0</v>
      </c>
      <c r="B16223" s="11" t="str">
        <f>IF(D16223&lt;&gt;"",IF(COUNTIF('USPTO TMs'!A:A,D16223)&gt;0,"Yes","No"),"")</f>
        <v/>
      </c>
      <c r="C16223" s="11"/>
      <c r="D16223" s="11"/>
      <c r="E16223" s="11"/>
      <c r="F16223" s="11"/>
      <c r="G16223" s="11"/>
      <c r="H16223" s="11"/>
      <c r="I16223" s="15"/>
    </row>
    <row r="16224" spans="1:9" ht="16.5">
      <c r="A16224" s="10" t="b">
        <v>0</v>
      </c>
      <c r="B16224" s="11" t="str">
        <f>IF(D16224&lt;&gt;"",IF(COUNTIF('USPTO TMs'!A:A,D16224)&gt;0,"Yes","No"),"")</f>
        <v/>
      </c>
      <c r="C16224" s="11"/>
      <c r="D16224" s="11"/>
      <c r="E16224" s="11"/>
      <c r="F16224" s="11"/>
      <c r="G16224" s="11"/>
      <c r="H16224" s="11"/>
      <c r="I16224" s="15"/>
    </row>
    <row r="16225" spans="1:9" ht="16.5">
      <c r="A16225" s="10" t="b">
        <v>0</v>
      </c>
      <c r="B16225" s="11" t="str">
        <f>IF(D16225&lt;&gt;"",IF(COUNTIF('USPTO TMs'!A:A,D16225)&gt;0,"Yes","No"),"")</f>
        <v/>
      </c>
      <c r="C16225" s="11"/>
      <c r="D16225" s="11"/>
      <c r="E16225" s="11"/>
      <c r="F16225" s="11"/>
      <c r="G16225" s="11"/>
      <c r="H16225" s="11"/>
      <c r="I16225" s="15"/>
    </row>
    <row r="16226" spans="1:9" ht="16.5">
      <c r="A16226" s="10" t="b">
        <v>0</v>
      </c>
      <c r="B16226" s="11" t="str">
        <f>IF(D16226&lt;&gt;"",IF(COUNTIF('USPTO TMs'!A:A,D16226)&gt;0,"Yes","No"),"")</f>
        <v/>
      </c>
      <c r="C16226" s="11"/>
      <c r="D16226" s="11"/>
      <c r="E16226" s="11"/>
      <c r="F16226" s="11"/>
      <c r="G16226" s="11"/>
      <c r="H16226" s="11"/>
      <c r="I16226" s="15"/>
    </row>
    <row r="16227" spans="1:9" ht="16.5">
      <c r="A16227" s="10" t="b">
        <v>0</v>
      </c>
      <c r="B16227" s="11" t="str">
        <f>IF(D16227&lt;&gt;"",IF(COUNTIF('USPTO TMs'!A:A,D16227)&gt;0,"Yes","No"),"")</f>
        <v/>
      </c>
      <c r="C16227" s="11"/>
      <c r="D16227" s="11"/>
      <c r="E16227" s="11"/>
      <c r="F16227" s="11"/>
      <c r="G16227" s="11"/>
      <c r="H16227" s="11"/>
      <c r="I16227" s="15"/>
    </row>
    <row r="16228" spans="1:9" ht="16.5">
      <c r="A16228" s="10" t="b">
        <v>0</v>
      </c>
      <c r="B16228" s="11" t="str">
        <f>IF(D16228&lt;&gt;"",IF(COUNTIF('USPTO TMs'!A:A,D16228)&gt;0,"Yes","No"),"")</f>
        <v/>
      </c>
      <c r="C16228" s="11"/>
      <c r="D16228" s="11"/>
      <c r="E16228" s="11"/>
      <c r="F16228" s="11"/>
      <c r="G16228" s="11"/>
      <c r="H16228" s="11"/>
      <c r="I16228" s="15"/>
    </row>
    <row r="16229" spans="1:9" ht="16.5">
      <c r="A16229" s="10" t="b">
        <v>0</v>
      </c>
      <c r="B16229" s="11" t="str">
        <f>IF(D16229&lt;&gt;"",IF(COUNTIF('USPTO TMs'!A:A,D16229)&gt;0,"Yes","No"),"")</f>
        <v/>
      </c>
      <c r="C16229" s="11"/>
      <c r="D16229" s="11"/>
      <c r="E16229" s="11"/>
      <c r="F16229" s="11"/>
      <c r="G16229" s="11"/>
      <c r="H16229" s="11"/>
      <c r="I16229" s="15"/>
    </row>
    <row r="16230" spans="1:9" ht="16.5">
      <c r="A16230" s="10" t="b">
        <v>0</v>
      </c>
      <c r="B16230" s="11" t="str">
        <f>IF(D16230&lt;&gt;"",IF(COUNTIF('USPTO TMs'!A:A,D16230)&gt;0,"Yes","No"),"")</f>
        <v/>
      </c>
      <c r="C16230" s="11"/>
      <c r="D16230" s="11"/>
      <c r="E16230" s="11"/>
      <c r="F16230" s="11"/>
      <c r="G16230" s="11"/>
      <c r="H16230" s="11"/>
      <c r="I16230" s="15"/>
    </row>
    <row r="16231" spans="1:9" ht="16.5">
      <c r="A16231" s="10" t="b">
        <v>0</v>
      </c>
      <c r="B16231" s="11" t="str">
        <f>IF(D16231&lt;&gt;"",IF(COUNTIF('USPTO TMs'!A:A,D16231)&gt;0,"Yes","No"),"")</f>
        <v/>
      </c>
      <c r="C16231" s="11"/>
      <c r="D16231" s="11"/>
      <c r="E16231" s="11"/>
      <c r="F16231" s="11"/>
      <c r="G16231" s="11"/>
      <c r="H16231" s="11"/>
      <c r="I16231" s="15"/>
    </row>
    <row r="16232" spans="1:9" ht="16.5">
      <c r="A16232" s="10" t="b">
        <v>0</v>
      </c>
      <c r="B16232" s="11" t="str">
        <f>IF(D16232&lt;&gt;"",IF(COUNTIF('USPTO TMs'!A:A,D16232)&gt;0,"Yes","No"),"")</f>
        <v/>
      </c>
      <c r="C16232" s="11"/>
      <c r="D16232" s="11"/>
      <c r="E16232" s="11"/>
      <c r="F16232" s="11"/>
      <c r="G16232" s="11"/>
      <c r="H16232" s="11"/>
      <c r="I16232" s="15"/>
    </row>
    <row r="16233" spans="1:9" ht="16.5">
      <c r="A16233" s="10" t="b">
        <v>0</v>
      </c>
      <c r="B16233" s="11" t="str">
        <f>IF(D16233&lt;&gt;"",IF(COUNTIF('USPTO TMs'!A:A,D16233)&gt;0,"Yes","No"),"")</f>
        <v/>
      </c>
      <c r="C16233" s="11"/>
      <c r="D16233" s="11"/>
      <c r="E16233" s="11"/>
      <c r="F16233" s="11"/>
      <c r="G16233" s="11"/>
      <c r="H16233" s="11"/>
      <c r="I16233" s="15"/>
    </row>
    <row r="16234" spans="1:9" ht="16.5">
      <c r="A16234" s="10" t="b">
        <v>0</v>
      </c>
      <c r="B16234" s="11" t="str">
        <f>IF(D16234&lt;&gt;"",IF(COUNTIF('USPTO TMs'!A:A,D16234)&gt;0,"Yes","No"),"")</f>
        <v/>
      </c>
      <c r="C16234" s="11"/>
      <c r="D16234" s="11"/>
      <c r="E16234" s="11"/>
      <c r="F16234" s="11"/>
      <c r="G16234" s="11"/>
      <c r="H16234" s="11"/>
      <c r="I16234" s="15"/>
    </row>
    <row r="16235" spans="1:9" ht="16.5">
      <c r="A16235" s="10" t="b">
        <v>0</v>
      </c>
      <c r="B16235" s="11" t="str">
        <f>IF(D16235&lt;&gt;"",IF(COUNTIF('USPTO TMs'!A:A,D16235)&gt;0,"Yes","No"),"")</f>
        <v/>
      </c>
      <c r="C16235" s="11"/>
      <c r="D16235" s="11"/>
      <c r="E16235" s="11"/>
      <c r="F16235" s="11"/>
      <c r="G16235" s="11"/>
      <c r="H16235" s="11"/>
      <c r="I16235" s="15"/>
    </row>
    <row r="16236" spans="1:9" ht="16.5">
      <c r="A16236" s="10" t="b">
        <v>0</v>
      </c>
      <c r="B16236" s="11" t="str">
        <f>IF(D16236&lt;&gt;"",IF(COUNTIF('USPTO TMs'!A:A,D16236)&gt;0,"Yes","No"),"")</f>
        <v/>
      </c>
      <c r="C16236" s="11"/>
      <c r="D16236" s="11"/>
      <c r="E16236" s="11"/>
      <c r="F16236" s="11"/>
      <c r="G16236" s="11"/>
      <c r="H16236" s="11"/>
      <c r="I16236" s="15"/>
    </row>
    <row r="16237" spans="1:9" ht="16.5">
      <c r="A16237" s="10" t="b">
        <v>0</v>
      </c>
      <c r="B16237" s="11" t="str">
        <f>IF(D16237&lt;&gt;"",IF(COUNTIF('USPTO TMs'!A:A,D16237)&gt;0,"Yes","No"),"")</f>
        <v/>
      </c>
      <c r="C16237" s="11"/>
      <c r="D16237" s="11"/>
      <c r="E16237" s="11"/>
      <c r="F16237" s="11"/>
      <c r="G16237" s="11"/>
      <c r="H16237" s="11"/>
      <c r="I16237" s="15"/>
    </row>
    <row r="16238" spans="1:9" ht="16.5">
      <c r="A16238" s="10" t="b">
        <v>0</v>
      </c>
      <c r="B16238" s="11" t="str">
        <f>IF(D16238&lt;&gt;"",IF(COUNTIF('USPTO TMs'!A:A,D16238)&gt;0,"Yes","No"),"")</f>
        <v/>
      </c>
      <c r="C16238" s="11"/>
      <c r="D16238" s="11"/>
      <c r="E16238" s="11"/>
      <c r="F16238" s="11"/>
      <c r="G16238" s="11"/>
      <c r="H16238" s="11"/>
      <c r="I16238" s="15"/>
    </row>
    <row r="16239" spans="1:9" ht="16.5">
      <c r="A16239" s="10" t="b">
        <v>0</v>
      </c>
      <c r="B16239" s="11" t="str">
        <f>IF(D16239&lt;&gt;"",IF(COUNTIF('USPTO TMs'!A:A,D16239)&gt;0,"Yes","No"),"")</f>
        <v/>
      </c>
      <c r="C16239" s="11"/>
      <c r="D16239" s="11"/>
      <c r="E16239" s="11"/>
      <c r="F16239" s="11"/>
      <c r="G16239" s="11"/>
      <c r="H16239" s="11"/>
      <c r="I16239" s="15"/>
    </row>
    <row r="16240" spans="1:9" ht="16.5">
      <c r="A16240" s="10" t="b">
        <v>0</v>
      </c>
      <c r="B16240" s="11" t="str">
        <f>IF(D16240&lt;&gt;"",IF(COUNTIF('USPTO TMs'!A:A,D16240)&gt;0,"Yes","No"),"")</f>
        <v/>
      </c>
      <c r="C16240" s="11"/>
      <c r="D16240" s="11"/>
      <c r="E16240" s="11"/>
      <c r="F16240" s="11"/>
      <c r="G16240" s="11"/>
      <c r="H16240" s="11"/>
      <c r="I16240" s="15"/>
    </row>
    <row r="16241" spans="1:9" ht="16.5">
      <c r="A16241" s="10" t="b">
        <v>0</v>
      </c>
      <c r="B16241" s="11" t="str">
        <f>IF(D16241&lt;&gt;"",IF(COUNTIF('USPTO TMs'!A:A,D16241)&gt;0,"Yes","No"),"")</f>
        <v/>
      </c>
      <c r="C16241" s="11"/>
      <c r="D16241" s="11"/>
      <c r="E16241" s="11"/>
      <c r="F16241" s="11"/>
      <c r="G16241" s="11"/>
      <c r="H16241" s="11"/>
      <c r="I16241" s="15"/>
    </row>
    <row r="16242" spans="1:9" ht="16.5">
      <c r="A16242" s="10" t="b">
        <v>0</v>
      </c>
      <c r="B16242" s="11" t="str">
        <f>IF(D16242&lt;&gt;"",IF(COUNTIF('USPTO TMs'!A:A,D16242)&gt;0,"Yes","No"),"")</f>
        <v/>
      </c>
      <c r="C16242" s="11"/>
      <c r="D16242" s="11"/>
      <c r="E16242" s="11"/>
      <c r="F16242" s="11"/>
      <c r="G16242" s="11"/>
      <c r="H16242" s="11"/>
      <c r="I16242" s="15"/>
    </row>
    <row r="16243" spans="1:9" ht="16.5">
      <c r="A16243" s="10" t="b">
        <v>0</v>
      </c>
      <c r="B16243" s="11" t="str">
        <f>IF(D16243&lt;&gt;"",IF(COUNTIF('USPTO TMs'!A:A,D16243)&gt;0,"Yes","No"),"")</f>
        <v/>
      </c>
      <c r="C16243" s="11"/>
      <c r="D16243" s="11"/>
      <c r="E16243" s="11"/>
      <c r="F16243" s="11"/>
      <c r="G16243" s="11"/>
      <c r="H16243" s="11"/>
      <c r="I16243" s="15"/>
    </row>
    <row r="16244" spans="1:9" ht="16.5">
      <c r="A16244" s="10" t="b">
        <v>0</v>
      </c>
      <c r="B16244" s="11" t="str">
        <f>IF(D16244&lt;&gt;"",IF(COUNTIF('USPTO TMs'!A:A,D16244)&gt;0,"Yes","No"),"")</f>
        <v/>
      </c>
      <c r="C16244" s="11"/>
      <c r="D16244" s="11"/>
      <c r="E16244" s="11"/>
      <c r="F16244" s="11"/>
      <c r="G16244" s="11"/>
      <c r="H16244" s="11"/>
      <c r="I16244" s="15"/>
    </row>
    <row r="16245" spans="1:9" ht="16.5">
      <c r="A16245" s="10" t="b">
        <v>0</v>
      </c>
      <c r="B16245" s="11" t="str">
        <f>IF(D16245&lt;&gt;"",IF(COUNTIF('USPTO TMs'!A:A,D16245)&gt;0,"Yes","No"),"")</f>
        <v/>
      </c>
      <c r="C16245" s="11"/>
      <c r="D16245" s="11"/>
      <c r="E16245" s="11"/>
      <c r="F16245" s="11"/>
      <c r="G16245" s="11"/>
      <c r="H16245" s="11"/>
      <c r="I16245" s="15"/>
    </row>
    <row r="16246" spans="1:9" ht="16.5">
      <c r="A16246" s="10" t="b">
        <v>0</v>
      </c>
      <c r="B16246" s="11" t="str">
        <f>IF(D16246&lt;&gt;"",IF(COUNTIF('USPTO TMs'!A:A,D16246)&gt;0,"Yes","No"),"")</f>
        <v/>
      </c>
      <c r="C16246" s="11"/>
      <c r="D16246" s="11"/>
      <c r="E16246" s="11"/>
      <c r="F16246" s="11"/>
      <c r="G16246" s="11"/>
      <c r="H16246" s="11"/>
      <c r="I16246" s="15"/>
    </row>
    <row r="16247" spans="1:9" ht="16.5">
      <c r="A16247" s="10" t="b">
        <v>0</v>
      </c>
      <c r="B16247" s="11" t="str">
        <f>IF(D16247&lt;&gt;"",IF(COUNTIF('USPTO TMs'!A:A,D16247)&gt;0,"Yes","No"),"")</f>
        <v/>
      </c>
      <c r="C16247" s="11"/>
      <c r="D16247" s="11"/>
      <c r="E16247" s="11"/>
      <c r="F16247" s="11"/>
      <c r="G16247" s="11"/>
      <c r="H16247" s="11"/>
      <c r="I16247" s="15"/>
    </row>
    <row r="16248" spans="1:9" ht="16.5">
      <c r="A16248" s="10" t="b">
        <v>0</v>
      </c>
      <c r="B16248" s="11" t="str">
        <f>IF(D16248&lt;&gt;"",IF(COUNTIF('USPTO TMs'!A:A,D16248)&gt;0,"Yes","No"),"")</f>
        <v/>
      </c>
      <c r="C16248" s="11"/>
      <c r="D16248" s="11"/>
      <c r="E16248" s="11"/>
      <c r="F16248" s="11"/>
      <c r="G16248" s="11"/>
      <c r="H16248" s="11"/>
      <c r="I16248" s="15"/>
    </row>
    <row r="16249" spans="1:9" ht="16.5">
      <c r="A16249" s="10" t="b">
        <v>0</v>
      </c>
      <c r="B16249" s="11" t="str">
        <f>IF(D16249&lt;&gt;"",IF(COUNTIF('USPTO TMs'!A:A,D16249)&gt;0,"Yes","No"),"")</f>
        <v/>
      </c>
      <c r="C16249" s="11"/>
      <c r="D16249" s="11"/>
      <c r="E16249" s="11"/>
      <c r="F16249" s="11"/>
      <c r="G16249" s="11"/>
      <c r="H16249" s="11"/>
      <c r="I16249" s="15"/>
    </row>
    <row r="16250" spans="1:9" ht="16.5">
      <c r="A16250" s="10" t="b">
        <v>0</v>
      </c>
      <c r="B16250" s="11" t="str">
        <f>IF(D16250&lt;&gt;"",IF(COUNTIF('USPTO TMs'!A:A,D16250)&gt;0,"Yes","No"),"")</f>
        <v/>
      </c>
      <c r="C16250" s="11"/>
      <c r="D16250" s="11"/>
      <c r="E16250" s="11"/>
      <c r="F16250" s="11"/>
      <c r="G16250" s="11"/>
      <c r="H16250" s="11"/>
      <c r="I16250" s="15"/>
    </row>
    <row r="16251" spans="1:9" ht="16.5">
      <c r="A16251" s="10" t="b">
        <v>0</v>
      </c>
      <c r="B16251" s="11" t="str">
        <f>IF(D16251&lt;&gt;"",IF(COUNTIF('USPTO TMs'!A:A,D16251)&gt;0,"Yes","No"),"")</f>
        <v/>
      </c>
      <c r="C16251" s="11"/>
      <c r="D16251" s="11"/>
      <c r="E16251" s="11"/>
      <c r="F16251" s="11"/>
      <c r="G16251" s="11"/>
      <c r="H16251" s="11"/>
      <c r="I16251" s="15"/>
    </row>
    <row r="16252" spans="1:9" ht="16.5">
      <c r="A16252" s="10" t="b">
        <v>0</v>
      </c>
      <c r="B16252" s="11" t="str">
        <f>IF(D16252&lt;&gt;"",IF(COUNTIF('USPTO TMs'!A:A,D16252)&gt;0,"Yes","No"),"")</f>
        <v/>
      </c>
      <c r="C16252" s="11"/>
      <c r="D16252" s="11"/>
      <c r="E16252" s="11"/>
      <c r="F16252" s="11"/>
      <c r="G16252" s="11"/>
      <c r="H16252" s="11"/>
      <c r="I16252" s="15"/>
    </row>
    <row r="16253" spans="1:9" ht="16.5">
      <c r="A16253" s="10" t="b">
        <v>0</v>
      </c>
      <c r="B16253" s="11" t="str">
        <f>IF(D16253&lt;&gt;"",IF(COUNTIF('USPTO TMs'!A:A,D16253)&gt;0,"Yes","No"),"")</f>
        <v/>
      </c>
      <c r="C16253" s="11"/>
      <c r="D16253" s="11"/>
      <c r="E16253" s="11"/>
      <c r="F16253" s="11"/>
      <c r="G16253" s="11"/>
      <c r="H16253" s="11"/>
      <c r="I16253" s="15"/>
    </row>
    <row r="16254" spans="1:9" ht="16.5">
      <c r="A16254" s="10" t="b">
        <v>0</v>
      </c>
      <c r="B16254" s="11" t="str">
        <f>IF(D16254&lt;&gt;"",IF(COUNTIF('USPTO TMs'!A:A,D16254)&gt;0,"Yes","No"),"")</f>
        <v/>
      </c>
      <c r="C16254" s="11"/>
      <c r="D16254" s="11"/>
      <c r="E16254" s="11"/>
      <c r="F16254" s="11"/>
      <c r="G16254" s="11"/>
      <c r="H16254" s="11"/>
      <c r="I16254" s="15"/>
    </row>
    <row r="16255" spans="1:9" ht="16.5">
      <c r="A16255" s="10" t="b">
        <v>0</v>
      </c>
      <c r="B16255" s="11" t="str">
        <f>IF(D16255&lt;&gt;"",IF(COUNTIF('USPTO TMs'!A:A,D16255)&gt;0,"Yes","No"),"")</f>
        <v/>
      </c>
      <c r="C16255" s="11"/>
      <c r="D16255" s="11"/>
      <c r="E16255" s="11"/>
      <c r="F16255" s="11"/>
      <c r="G16255" s="11"/>
      <c r="H16255" s="11"/>
      <c r="I16255" s="15"/>
    </row>
    <row r="16256" spans="1:9" ht="16.5">
      <c r="A16256" s="10" t="b">
        <v>0</v>
      </c>
      <c r="B16256" s="11" t="str">
        <f>IF(D16256&lt;&gt;"",IF(COUNTIF('USPTO TMs'!A:A,D16256)&gt;0,"Yes","No"),"")</f>
        <v/>
      </c>
      <c r="C16256" s="11"/>
      <c r="D16256" s="11"/>
      <c r="E16256" s="11"/>
      <c r="F16256" s="11"/>
      <c r="G16256" s="11"/>
      <c r="H16256" s="11"/>
      <c r="I16256" s="15"/>
    </row>
    <row r="16257" spans="1:9" ht="16.5">
      <c r="A16257" s="10" t="b">
        <v>0</v>
      </c>
      <c r="B16257" s="11" t="str">
        <f>IF(D16257&lt;&gt;"",IF(COUNTIF('USPTO TMs'!A:A,D16257)&gt;0,"Yes","No"),"")</f>
        <v/>
      </c>
      <c r="C16257" s="11"/>
      <c r="D16257" s="11"/>
      <c r="E16257" s="11"/>
      <c r="F16257" s="11"/>
      <c r="G16257" s="11"/>
      <c r="H16257" s="11"/>
      <c r="I16257" s="15"/>
    </row>
    <row r="16258" spans="1:9" ht="16.5">
      <c r="A16258" s="10" t="b">
        <v>0</v>
      </c>
      <c r="B16258" s="11" t="str">
        <f>IF(D16258&lt;&gt;"",IF(COUNTIF('USPTO TMs'!A:A,D16258)&gt;0,"Yes","No"),"")</f>
        <v/>
      </c>
      <c r="C16258" s="11"/>
      <c r="D16258" s="11"/>
      <c r="E16258" s="11"/>
      <c r="F16258" s="11"/>
      <c r="G16258" s="11"/>
      <c r="H16258" s="11"/>
      <c r="I16258" s="15"/>
    </row>
    <row r="16259" spans="1:9" ht="16.5">
      <c r="A16259" s="10" t="b">
        <v>0</v>
      </c>
      <c r="B16259" s="11" t="str">
        <f>IF(D16259&lt;&gt;"",IF(COUNTIF('USPTO TMs'!A:A,D16259)&gt;0,"Yes","No"),"")</f>
        <v/>
      </c>
      <c r="C16259" s="11"/>
      <c r="D16259" s="11"/>
      <c r="E16259" s="11"/>
      <c r="F16259" s="11"/>
      <c r="G16259" s="11"/>
      <c r="H16259" s="11"/>
      <c r="I16259" s="15"/>
    </row>
    <row r="16260" spans="1:9" ht="16.5">
      <c r="A16260" s="10" t="b">
        <v>0</v>
      </c>
      <c r="B16260" s="11" t="str">
        <f>IF(D16260&lt;&gt;"",IF(COUNTIF('USPTO TMs'!A:A,D16260)&gt;0,"Yes","No"),"")</f>
        <v/>
      </c>
      <c r="C16260" s="11"/>
      <c r="D16260" s="11"/>
      <c r="E16260" s="11"/>
      <c r="F16260" s="11"/>
      <c r="G16260" s="11"/>
      <c r="H16260" s="11"/>
      <c r="I16260" s="15"/>
    </row>
    <row r="16261" spans="1:9" ht="16.5">
      <c r="A16261" s="10" t="b">
        <v>0</v>
      </c>
      <c r="B16261" s="11" t="str">
        <f>IF(D16261&lt;&gt;"",IF(COUNTIF('USPTO TMs'!A:A,D16261)&gt;0,"Yes","No"),"")</f>
        <v/>
      </c>
      <c r="C16261" s="11"/>
      <c r="D16261" s="11"/>
      <c r="E16261" s="11"/>
      <c r="F16261" s="11"/>
      <c r="G16261" s="11"/>
      <c r="H16261" s="11"/>
      <c r="I16261" s="15"/>
    </row>
    <row r="16262" spans="1:9" ht="16.5">
      <c r="A16262" s="10" t="b">
        <v>0</v>
      </c>
      <c r="B16262" s="11" t="str">
        <f>IF(D16262&lt;&gt;"",IF(COUNTIF('USPTO TMs'!A:A,D16262)&gt;0,"Yes","No"),"")</f>
        <v/>
      </c>
      <c r="C16262" s="11"/>
      <c r="D16262" s="11"/>
      <c r="E16262" s="11"/>
      <c r="F16262" s="11"/>
      <c r="G16262" s="11"/>
      <c r="H16262" s="11"/>
      <c r="I16262" s="15"/>
    </row>
    <row r="16263" spans="1:9" ht="16.5">
      <c r="A16263" s="10" t="b">
        <v>0</v>
      </c>
      <c r="B16263" s="11" t="str">
        <f>IF(D16263&lt;&gt;"",IF(COUNTIF('USPTO TMs'!A:A,D16263)&gt;0,"Yes","No"),"")</f>
        <v/>
      </c>
      <c r="C16263" s="11"/>
      <c r="D16263" s="11"/>
      <c r="E16263" s="11"/>
      <c r="F16263" s="11"/>
      <c r="G16263" s="11"/>
      <c r="H16263" s="11"/>
      <c r="I16263" s="15"/>
    </row>
    <row r="16264" spans="1:9" ht="16.5">
      <c r="A16264" s="10" t="b">
        <v>0</v>
      </c>
      <c r="B16264" s="11" t="str">
        <f>IF(D16264&lt;&gt;"",IF(COUNTIF('USPTO TMs'!A:A,D16264)&gt;0,"Yes","No"),"")</f>
        <v/>
      </c>
      <c r="C16264" s="11"/>
      <c r="D16264" s="11"/>
      <c r="E16264" s="11"/>
      <c r="F16264" s="11"/>
      <c r="G16264" s="11"/>
      <c r="H16264" s="11"/>
      <c r="I16264" s="15"/>
    </row>
    <row r="16265" spans="1:9" ht="16.5">
      <c r="A16265" s="10" t="b">
        <v>0</v>
      </c>
      <c r="B16265" s="11" t="str">
        <f>IF(D16265&lt;&gt;"",IF(COUNTIF('USPTO TMs'!A:A,D16265)&gt;0,"Yes","No"),"")</f>
        <v/>
      </c>
      <c r="C16265" s="11"/>
      <c r="D16265" s="11"/>
      <c r="E16265" s="11"/>
      <c r="F16265" s="11"/>
      <c r="G16265" s="11"/>
      <c r="H16265" s="11"/>
      <c r="I16265" s="15"/>
    </row>
    <row r="16266" spans="1:9" ht="16.5">
      <c r="A16266" s="10" t="b">
        <v>0</v>
      </c>
      <c r="B16266" s="11" t="str">
        <f>IF(D16266&lt;&gt;"",IF(COUNTIF('USPTO TMs'!A:A,D16266)&gt;0,"Yes","No"),"")</f>
        <v/>
      </c>
      <c r="C16266" s="11"/>
      <c r="D16266" s="11"/>
      <c r="E16266" s="11"/>
      <c r="F16266" s="11"/>
      <c r="G16266" s="11"/>
      <c r="H16266" s="11"/>
      <c r="I16266" s="15"/>
    </row>
    <row r="16267" spans="1:9" ht="16.5">
      <c r="A16267" s="10" t="b">
        <v>0</v>
      </c>
      <c r="B16267" s="11" t="str">
        <f>IF(D16267&lt;&gt;"",IF(COUNTIF('USPTO TMs'!A:A,D16267)&gt;0,"Yes","No"),"")</f>
        <v/>
      </c>
      <c r="C16267" s="11"/>
      <c r="D16267" s="11"/>
      <c r="E16267" s="11"/>
      <c r="F16267" s="11"/>
      <c r="G16267" s="11"/>
      <c r="H16267" s="11"/>
      <c r="I16267" s="15"/>
    </row>
    <row r="16268" spans="1:9" ht="16.5">
      <c r="A16268" s="10" t="b">
        <v>0</v>
      </c>
      <c r="B16268" s="11" t="str">
        <f>IF(D16268&lt;&gt;"",IF(COUNTIF('USPTO TMs'!A:A,D16268)&gt;0,"Yes","No"),"")</f>
        <v/>
      </c>
      <c r="C16268" s="11"/>
      <c r="D16268" s="11"/>
      <c r="E16268" s="11"/>
      <c r="F16268" s="11"/>
      <c r="G16268" s="11"/>
      <c r="H16268" s="11"/>
      <c r="I16268" s="15"/>
    </row>
    <row r="16269" spans="1:9" ht="16.5">
      <c r="A16269" s="10" t="b">
        <v>0</v>
      </c>
      <c r="B16269" s="11" t="str">
        <f>IF(D16269&lt;&gt;"",IF(COUNTIF('USPTO TMs'!A:A,D16269)&gt;0,"Yes","No"),"")</f>
        <v/>
      </c>
      <c r="C16269" s="11"/>
      <c r="D16269" s="11"/>
      <c r="E16269" s="11"/>
      <c r="F16269" s="11"/>
      <c r="G16269" s="11"/>
      <c r="H16269" s="11"/>
      <c r="I16269" s="15"/>
    </row>
    <row r="16270" spans="1:9" ht="16.5">
      <c r="A16270" s="10" t="b">
        <v>0</v>
      </c>
      <c r="B16270" s="11" t="str">
        <f>IF(D16270&lt;&gt;"",IF(COUNTIF('USPTO TMs'!A:A,D16270)&gt;0,"Yes","No"),"")</f>
        <v/>
      </c>
      <c r="C16270" s="11"/>
      <c r="D16270" s="11"/>
      <c r="E16270" s="11"/>
      <c r="F16270" s="11"/>
      <c r="G16270" s="11"/>
      <c r="H16270" s="11"/>
      <c r="I16270" s="15"/>
    </row>
    <row r="16271" spans="1:9" ht="16.5">
      <c r="A16271" s="10" t="b">
        <v>0</v>
      </c>
      <c r="B16271" s="11" t="str">
        <f>IF(D16271&lt;&gt;"",IF(COUNTIF('USPTO TMs'!A:A,D16271)&gt;0,"Yes","No"),"")</f>
        <v/>
      </c>
      <c r="C16271" s="11"/>
      <c r="D16271" s="11"/>
      <c r="E16271" s="11"/>
      <c r="F16271" s="11"/>
      <c r="G16271" s="11"/>
      <c r="H16271" s="11"/>
      <c r="I16271" s="15"/>
    </row>
    <row r="16272" spans="1:9" ht="16.5">
      <c r="A16272" s="10" t="b">
        <v>0</v>
      </c>
      <c r="B16272" s="11" t="str">
        <f>IF(D16272&lt;&gt;"",IF(COUNTIF('USPTO TMs'!A:A,D16272)&gt;0,"Yes","No"),"")</f>
        <v/>
      </c>
      <c r="C16272" s="11"/>
      <c r="D16272" s="11"/>
      <c r="E16272" s="11"/>
      <c r="F16272" s="11"/>
      <c r="G16272" s="11"/>
      <c r="H16272" s="11"/>
      <c r="I16272" s="15"/>
    </row>
    <row r="16273" spans="1:9" ht="16.5">
      <c r="A16273" s="10" t="b">
        <v>0</v>
      </c>
      <c r="B16273" s="11" t="str">
        <f>IF(D16273&lt;&gt;"",IF(COUNTIF('USPTO TMs'!A:A,D16273)&gt;0,"Yes","No"),"")</f>
        <v/>
      </c>
      <c r="C16273" s="11"/>
      <c r="D16273" s="11"/>
      <c r="E16273" s="11"/>
      <c r="F16273" s="11"/>
      <c r="G16273" s="11"/>
      <c r="H16273" s="11"/>
      <c r="I16273" s="15"/>
    </row>
    <row r="16274" spans="1:9" ht="16.5">
      <c r="A16274" s="10" t="b">
        <v>0</v>
      </c>
      <c r="B16274" s="11" t="str">
        <f>IF(D16274&lt;&gt;"",IF(COUNTIF('USPTO TMs'!A:A,D16274)&gt;0,"Yes","No"),"")</f>
        <v/>
      </c>
      <c r="C16274" s="11"/>
      <c r="D16274" s="11"/>
      <c r="E16274" s="11"/>
      <c r="F16274" s="11"/>
      <c r="G16274" s="11"/>
      <c r="H16274" s="11"/>
      <c r="I16274" s="15"/>
    </row>
    <row r="16275" spans="1:9" ht="16.5">
      <c r="A16275" s="10" t="b">
        <v>0</v>
      </c>
      <c r="B16275" s="11" t="str">
        <f>IF(D16275&lt;&gt;"",IF(COUNTIF('USPTO TMs'!A:A,D16275)&gt;0,"Yes","No"),"")</f>
        <v/>
      </c>
      <c r="C16275" s="11"/>
      <c r="D16275" s="11"/>
      <c r="E16275" s="11"/>
      <c r="F16275" s="11"/>
      <c r="G16275" s="11"/>
      <c r="H16275" s="11"/>
      <c r="I16275" s="15"/>
    </row>
    <row r="16276" spans="1:9" ht="16.5">
      <c r="A16276" s="10" t="b">
        <v>0</v>
      </c>
      <c r="B16276" s="11" t="str">
        <f>IF(D16276&lt;&gt;"",IF(COUNTIF('USPTO TMs'!A:A,D16276)&gt;0,"Yes","No"),"")</f>
        <v/>
      </c>
      <c r="C16276" s="11"/>
      <c r="D16276" s="11"/>
      <c r="E16276" s="11"/>
      <c r="F16276" s="11"/>
      <c r="G16276" s="11"/>
      <c r="H16276" s="11"/>
      <c r="I16276" s="15"/>
    </row>
    <row r="16277" spans="1:9" ht="16.5">
      <c r="A16277" s="10" t="b">
        <v>0</v>
      </c>
      <c r="B16277" s="11" t="str">
        <f>IF(D16277&lt;&gt;"",IF(COUNTIF('USPTO TMs'!A:A,D16277)&gt;0,"Yes","No"),"")</f>
        <v/>
      </c>
      <c r="C16277" s="11"/>
      <c r="D16277" s="11"/>
      <c r="E16277" s="11"/>
      <c r="F16277" s="11"/>
      <c r="G16277" s="11"/>
      <c r="H16277" s="11"/>
      <c r="I16277" s="15"/>
    </row>
    <row r="16278" spans="1:9" ht="16.5">
      <c r="A16278" s="10" t="b">
        <v>0</v>
      </c>
      <c r="B16278" s="11" t="str">
        <f>IF(D16278&lt;&gt;"",IF(COUNTIF('USPTO TMs'!A:A,D16278)&gt;0,"Yes","No"),"")</f>
        <v/>
      </c>
      <c r="C16278" s="11"/>
      <c r="D16278" s="11"/>
      <c r="E16278" s="11"/>
      <c r="F16278" s="11"/>
      <c r="G16278" s="11"/>
      <c r="H16278" s="11"/>
      <c r="I16278" s="15"/>
    </row>
    <row r="16279" spans="1:9" ht="16.5">
      <c r="A16279" s="10" t="b">
        <v>0</v>
      </c>
      <c r="B16279" s="11" t="str">
        <f>IF(D16279&lt;&gt;"",IF(COUNTIF('USPTO TMs'!A:A,D16279)&gt;0,"Yes","No"),"")</f>
        <v/>
      </c>
      <c r="C16279" s="11"/>
      <c r="D16279" s="11"/>
      <c r="E16279" s="11"/>
      <c r="F16279" s="11"/>
      <c r="G16279" s="11"/>
      <c r="H16279" s="11"/>
      <c r="I16279" s="15"/>
    </row>
    <row r="16280" spans="1:9" ht="16.5">
      <c r="A16280" s="10" t="b">
        <v>0</v>
      </c>
      <c r="B16280" s="11" t="str">
        <f>IF(D16280&lt;&gt;"",IF(COUNTIF('USPTO TMs'!A:A,D16280)&gt;0,"Yes","No"),"")</f>
        <v/>
      </c>
      <c r="C16280" s="11"/>
      <c r="D16280" s="11"/>
      <c r="E16280" s="11"/>
      <c r="F16280" s="11"/>
      <c r="G16280" s="11"/>
      <c r="H16280" s="11"/>
      <c r="I16280" s="15"/>
    </row>
    <row r="16281" spans="1:9" ht="16.5">
      <c r="A16281" s="10" t="b">
        <v>0</v>
      </c>
      <c r="B16281" s="11" t="str">
        <f>IF(D16281&lt;&gt;"",IF(COUNTIF('USPTO TMs'!A:A,D16281)&gt;0,"Yes","No"),"")</f>
        <v/>
      </c>
      <c r="C16281" s="11"/>
      <c r="D16281" s="11"/>
      <c r="E16281" s="11"/>
      <c r="F16281" s="11"/>
      <c r="G16281" s="11"/>
      <c r="H16281" s="11"/>
      <c r="I16281" s="15"/>
    </row>
    <row r="16282" spans="1:9" ht="16.5">
      <c r="A16282" s="10" t="b">
        <v>0</v>
      </c>
      <c r="B16282" s="11" t="str">
        <f>IF(D16282&lt;&gt;"",IF(COUNTIF('USPTO TMs'!A:A,D16282)&gt;0,"Yes","No"),"")</f>
        <v/>
      </c>
      <c r="C16282" s="11"/>
      <c r="D16282" s="11"/>
      <c r="E16282" s="11"/>
      <c r="F16282" s="11"/>
      <c r="G16282" s="11"/>
      <c r="H16282" s="11"/>
      <c r="I16282" s="15"/>
    </row>
    <row r="16283" spans="1:9" ht="16.5">
      <c r="A16283" s="10" t="b">
        <v>0</v>
      </c>
      <c r="B16283" s="11" t="str">
        <f>IF(D16283&lt;&gt;"",IF(COUNTIF('USPTO TMs'!A:A,D16283)&gt;0,"Yes","No"),"")</f>
        <v/>
      </c>
      <c r="C16283" s="11"/>
      <c r="D16283" s="11"/>
      <c r="E16283" s="11"/>
      <c r="F16283" s="11"/>
      <c r="G16283" s="11"/>
      <c r="H16283" s="11"/>
      <c r="I16283" s="15"/>
    </row>
    <row r="16284" spans="1:9" ht="16.5">
      <c r="A16284" s="10" t="b">
        <v>0</v>
      </c>
      <c r="B16284" s="11" t="str">
        <f>IF(D16284&lt;&gt;"",IF(COUNTIF('USPTO TMs'!A:A,D16284)&gt;0,"Yes","No"),"")</f>
        <v/>
      </c>
      <c r="C16284" s="11"/>
      <c r="D16284" s="11"/>
      <c r="E16284" s="11"/>
      <c r="F16284" s="11"/>
      <c r="G16284" s="11"/>
      <c r="H16284" s="11"/>
      <c r="I16284" s="15"/>
    </row>
    <row r="16285" spans="1:9" ht="16.5">
      <c r="A16285" s="10" t="b">
        <v>0</v>
      </c>
      <c r="B16285" s="11" t="str">
        <f>IF(D16285&lt;&gt;"",IF(COUNTIF('USPTO TMs'!A:A,D16285)&gt;0,"Yes","No"),"")</f>
        <v/>
      </c>
      <c r="C16285" s="11"/>
      <c r="D16285" s="11"/>
      <c r="E16285" s="11"/>
      <c r="F16285" s="11"/>
      <c r="G16285" s="11"/>
      <c r="H16285" s="11"/>
      <c r="I16285" s="15"/>
    </row>
    <row r="16286" spans="1:9" ht="16.5">
      <c r="A16286" s="10" t="b">
        <v>0</v>
      </c>
      <c r="B16286" s="11" t="str">
        <f>IF(D16286&lt;&gt;"",IF(COUNTIF('USPTO TMs'!A:A,D16286)&gt;0,"Yes","No"),"")</f>
        <v/>
      </c>
      <c r="C16286" s="11"/>
      <c r="D16286" s="11"/>
      <c r="E16286" s="11"/>
      <c r="F16286" s="11"/>
      <c r="G16286" s="11"/>
      <c r="H16286" s="11"/>
      <c r="I16286" s="15"/>
    </row>
    <row r="16287" spans="1:9" ht="16.5">
      <c r="A16287" s="10" t="b">
        <v>0</v>
      </c>
      <c r="B16287" s="11" t="str">
        <f>IF(D16287&lt;&gt;"",IF(COUNTIF('USPTO TMs'!A:A,D16287)&gt;0,"Yes","No"),"")</f>
        <v/>
      </c>
      <c r="C16287" s="11"/>
      <c r="D16287" s="11"/>
      <c r="E16287" s="11"/>
      <c r="F16287" s="11"/>
      <c r="G16287" s="11"/>
      <c r="H16287" s="11"/>
      <c r="I16287" s="15"/>
    </row>
    <row r="16288" spans="1:9" ht="16.5">
      <c r="A16288" s="10" t="b">
        <v>0</v>
      </c>
      <c r="B16288" s="11" t="str">
        <f>IF(D16288&lt;&gt;"",IF(COUNTIF('USPTO TMs'!A:A,D16288)&gt;0,"Yes","No"),"")</f>
        <v/>
      </c>
      <c r="C16288" s="11"/>
      <c r="D16288" s="11"/>
      <c r="E16288" s="11"/>
      <c r="F16288" s="11"/>
      <c r="G16288" s="11"/>
      <c r="H16288" s="11"/>
      <c r="I16288" s="15"/>
    </row>
    <row r="16289" spans="1:9" ht="16.5">
      <c r="A16289" s="10" t="b">
        <v>0</v>
      </c>
      <c r="B16289" s="11" t="str">
        <f>IF(D16289&lt;&gt;"",IF(COUNTIF('USPTO TMs'!A:A,D16289)&gt;0,"Yes","No"),"")</f>
        <v/>
      </c>
      <c r="C16289" s="11"/>
      <c r="D16289" s="11"/>
      <c r="E16289" s="11"/>
      <c r="F16289" s="11"/>
      <c r="G16289" s="11"/>
      <c r="H16289" s="11"/>
      <c r="I16289" s="15"/>
    </row>
    <row r="16290" spans="1:9" ht="16.5">
      <c r="A16290" s="10" t="b">
        <v>0</v>
      </c>
      <c r="B16290" s="11" t="str">
        <f>IF(D16290&lt;&gt;"",IF(COUNTIF('USPTO TMs'!A:A,D16290)&gt;0,"Yes","No"),"")</f>
        <v/>
      </c>
      <c r="C16290" s="11"/>
      <c r="D16290" s="11"/>
      <c r="E16290" s="11"/>
      <c r="F16290" s="11"/>
      <c r="G16290" s="11"/>
      <c r="H16290" s="11"/>
      <c r="I16290" s="15"/>
    </row>
    <row r="16291" spans="1:9" ht="16.5">
      <c r="A16291" s="10" t="b">
        <v>0</v>
      </c>
      <c r="B16291" s="11" t="str">
        <f>IF(D16291&lt;&gt;"",IF(COUNTIF('USPTO TMs'!A:A,D16291)&gt;0,"Yes","No"),"")</f>
        <v/>
      </c>
      <c r="C16291" s="11"/>
      <c r="D16291" s="11"/>
      <c r="E16291" s="11"/>
      <c r="F16291" s="11"/>
      <c r="G16291" s="11"/>
      <c r="H16291" s="11"/>
      <c r="I16291" s="15"/>
    </row>
    <row r="16292" spans="1:9" ht="16.5">
      <c r="A16292" s="10" t="b">
        <v>0</v>
      </c>
      <c r="B16292" s="11" t="str">
        <f>IF(D16292&lt;&gt;"",IF(COUNTIF('USPTO TMs'!A:A,D16292)&gt;0,"Yes","No"),"")</f>
        <v/>
      </c>
      <c r="C16292" s="11"/>
      <c r="D16292" s="11"/>
      <c r="E16292" s="11"/>
      <c r="F16292" s="11"/>
      <c r="G16292" s="11"/>
      <c r="H16292" s="11"/>
      <c r="I16292" s="15"/>
    </row>
    <row r="16293" spans="1:9" ht="16.5">
      <c r="A16293" s="10" t="b">
        <v>0</v>
      </c>
      <c r="B16293" s="11" t="str">
        <f>IF(D16293&lt;&gt;"",IF(COUNTIF('USPTO TMs'!A:A,D16293)&gt;0,"Yes","No"),"")</f>
        <v/>
      </c>
      <c r="C16293" s="11"/>
      <c r="D16293" s="11"/>
      <c r="E16293" s="11"/>
      <c r="F16293" s="11"/>
      <c r="G16293" s="11"/>
      <c r="H16293" s="11"/>
      <c r="I16293" s="15"/>
    </row>
    <row r="16294" spans="1:9" ht="16.5">
      <c r="A16294" s="10" t="b">
        <v>0</v>
      </c>
      <c r="B16294" s="11" t="str">
        <f>IF(D16294&lt;&gt;"",IF(COUNTIF('USPTO TMs'!A:A,D16294)&gt;0,"Yes","No"),"")</f>
        <v/>
      </c>
      <c r="C16294" s="11"/>
      <c r="D16294" s="11"/>
      <c r="E16294" s="11"/>
      <c r="F16294" s="11"/>
      <c r="G16294" s="11"/>
      <c r="H16294" s="11"/>
      <c r="I16294" s="15"/>
    </row>
    <row r="16295" spans="1:9" ht="16.5">
      <c r="A16295" s="10" t="b">
        <v>0</v>
      </c>
      <c r="B16295" s="11" t="str">
        <f>IF(D16295&lt;&gt;"",IF(COUNTIF('USPTO TMs'!A:A,D16295)&gt;0,"Yes","No"),"")</f>
        <v/>
      </c>
      <c r="C16295" s="11"/>
      <c r="D16295" s="11"/>
      <c r="E16295" s="11"/>
      <c r="F16295" s="11"/>
      <c r="G16295" s="11"/>
      <c r="H16295" s="11"/>
      <c r="I16295" s="15"/>
    </row>
    <row r="16296" spans="1:9" ht="16.5">
      <c r="A16296" s="10" t="b">
        <v>0</v>
      </c>
      <c r="B16296" s="11" t="str">
        <f>IF(D16296&lt;&gt;"",IF(COUNTIF('USPTO TMs'!A:A,D16296)&gt;0,"Yes","No"),"")</f>
        <v/>
      </c>
      <c r="C16296" s="11"/>
      <c r="D16296" s="11"/>
      <c r="E16296" s="11"/>
      <c r="F16296" s="11"/>
      <c r="G16296" s="11"/>
      <c r="H16296" s="11"/>
      <c r="I16296" s="15"/>
    </row>
    <row r="16297" spans="1:9" ht="16.5">
      <c r="A16297" s="10" t="b">
        <v>0</v>
      </c>
      <c r="B16297" s="11" t="str">
        <f>IF(D16297&lt;&gt;"",IF(COUNTIF('USPTO TMs'!A:A,D16297)&gt;0,"Yes","No"),"")</f>
        <v/>
      </c>
      <c r="C16297" s="11"/>
      <c r="D16297" s="11"/>
      <c r="E16297" s="11"/>
      <c r="F16297" s="11"/>
      <c r="G16297" s="11"/>
      <c r="H16297" s="11"/>
      <c r="I16297" s="15"/>
    </row>
    <row r="16298" spans="1:9" ht="16.5">
      <c r="A16298" s="10" t="b">
        <v>0</v>
      </c>
      <c r="B16298" s="11" t="str">
        <f>IF(D16298&lt;&gt;"",IF(COUNTIF('USPTO TMs'!A:A,D16298)&gt;0,"Yes","No"),"")</f>
        <v/>
      </c>
      <c r="C16298" s="11"/>
      <c r="D16298" s="11"/>
      <c r="E16298" s="11"/>
      <c r="F16298" s="11"/>
      <c r="G16298" s="11"/>
      <c r="H16298" s="11"/>
      <c r="I16298" s="15"/>
    </row>
    <row r="16299" spans="1:9" ht="16.5">
      <c r="A16299" s="10" t="b">
        <v>0</v>
      </c>
      <c r="B16299" s="11" t="str">
        <f>IF(D16299&lt;&gt;"",IF(COUNTIF('USPTO TMs'!A:A,D16299)&gt;0,"Yes","No"),"")</f>
        <v/>
      </c>
      <c r="C16299" s="11"/>
      <c r="D16299" s="11"/>
      <c r="E16299" s="11"/>
      <c r="F16299" s="11"/>
      <c r="G16299" s="11"/>
      <c r="H16299" s="11"/>
      <c r="I16299" s="15"/>
    </row>
    <row r="16300" spans="1:9" ht="16.5">
      <c r="A16300" s="10" t="b">
        <v>0</v>
      </c>
      <c r="B16300" s="11" t="str">
        <f>IF(D16300&lt;&gt;"",IF(COUNTIF('USPTO TMs'!A:A,D16300)&gt;0,"Yes","No"),"")</f>
        <v/>
      </c>
      <c r="C16300" s="11"/>
      <c r="D16300" s="11"/>
      <c r="E16300" s="11"/>
      <c r="F16300" s="11"/>
      <c r="G16300" s="11"/>
      <c r="H16300" s="11"/>
      <c r="I16300" s="15"/>
    </row>
    <row r="16301" spans="1:9" ht="16.5">
      <c r="A16301" s="10" t="b">
        <v>0</v>
      </c>
      <c r="B16301" s="11" t="str">
        <f>IF(D16301&lt;&gt;"",IF(COUNTIF('USPTO TMs'!A:A,D16301)&gt;0,"Yes","No"),"")</f>
        <v/>
      </c>
      <c r="C16301" s="11"/>
      <c r="D16301" s="11"/>
      <c r="E16301" s="11"/>
      <c r="F16301" s="11"/>
      <c r="G16301" s="11"/>
      <c r="H16301" s="11"/>
      <c r="I16301" s="15"/>
    </row>
    <row r="16302" spans="1:9" ht="16.5">
      <c r="A16302" s="10" t="b">
        <v>0</v>
      </c>
      <c r="B16302" s="11" t="str">
        <f>IF(D16302&lt;&gt;"",IF(COUNTIF('USPTO TMs'!A:A,D16302)&gt;0,"Yes","No"),"")</f>
        <v/>
      </c>
      <c r="C16302" s="11"/>
      <c r="D16302" s="11"/>
      <c r="E16302" s="11"/>
      <c r="F16302" s="11"/>
      <c r="G16302" s="11"/>
      <c r="H16302" s="11"/>
      <c r="I16302" s="15"/>
    </row>
    <row r="16303" spans="1:9" ht="16.5">
      <c r="A16303" s="10" t="b">
        <v>0</v>
      </c>
      <c r="B16303" s="11" t="str">
        <f>IF(D16303&lt;&gt;"",IF(COUNTIF('USPTO TMs'!A:A,D16303)&gt;0,"Yes","No"),"")</f>
        <v/>
      </c>
      <c r="C16303" s="11"/>
      <c r="D16303" s="11"/>
      <c r="E16303" s="11"/>
      <c r="F16303" s="11"/>
      <c r="G16303" s="11"/>
      <c r="H16303" s="11"/>
      <c r="I16303" s="15"/>
    </row>
    <row r="16304" spans="1:9" ht="16.5">
      <c r="A16304" s="10" t="b">
        <v>0</v>
      </c>
      <c r="B16304" s="11" t="str">
        <f>IF(D16304&lt;&gt;"",IF(COUNTIF('USPTO TMs'!A:A,D16304)&gt;0,"Yes","No"),"")</f>
        <v/>
      </c>
      <c r="C16304" s="11"/>
      <c r="D16304" s="11"/>
      <c r="E16304" s="11"/>
      <c r="F16304" s="11"/>
      <c r="G16304" s="11"/>
      <c r="H16304" s="11"/>
      <c r="I16304" s="15"/>
    </row>
    <row r="16305" spans="1:9" ht="16.5">
      <c r="A16305" s="10" t="b">
        <v>0</v>
      </c>
      <c r="B16305" s="11" t="str">
        <f>IF(D16305&lt;&gt;"",IF(COUNTIF('USPTO TMs'!A:A,D16305)&gt;0,"Yes","No"),"")</f>
        <v/>
      </c>
      <c r="C16305" s="11"/>
      <c r="D16305" s="11"/>
      <c r="E16305" s="11"/>
      <c r="F16305" s="11"/>
      <c r="G16305" s="11"/>
      <c r="H16305" s="11"/>
      <c r="I16305" s="15"/>
    </row>
    <row r="16306" spans="1:9" ht="16.5">
      <c r="A16306" s="10" t="b">
        <v>0</v>
      </c>
      <c r="B16306" s="11" t="str">
        <f>IF(D16306&lt;&gt;"",IF(COUNTIF('USPTO TMs'!A:A,D16306)&gt;0,"Yes","No"),"")</f>
        <v/>
      </c>
      <c r="C16306" s="11"/>
      <c r="D16306" s="11"/>
      <c r="E16306" s="11"/>
      <c r="F16306" s="11"/>
      <c r="G16306" s="11"/>
      <c r="H16306" s="11"/>
      <c r="I16306" s="15"/>
    </row>
    <row r="16307" spans="1:9" ht="16.5">
      <c r="A16307" s="10" t="b">
        <v>0</v>
      </c>
      <c r="B16307" s="11" t="str">
        <f>IF(D16307&lt;&gt;"",IF(COUNTIF('USPTO TMs'!A:A,D16307)&gt;0,"Yes","No"),"")</f>
        <v/>
      </c>
      <c r="C16307" s="11"/>
      <c r="D16307" s="11"/>
      <c r="E16307" s="11"/>
      <c r="F16307" s="11"/>
      <c r="G16307" s="11"/>
      <c r="H16307" s="11"/>
      <c r="I16307" s="15"/>
    </row>
    <row r="16308" spans="1:9" ht="16.5">
      <c r="A16308" s="10" t="b">
        <v>0</v>
      </c>
      <c r="B16308" s="11" t="str">
        <f>IF(D16308&lt;&gt;"",IF(COUNTIF('USPTO TMs'!A:A,D16308)&gt;0,"Yes","No"),"")</f>
        <v/>
      </c>
      <c r="C16308" s="11"/>
      <c r="D16308" s="11"/>
      <c r="E16308" s="11"/>
      <c r="F16308" s="11"/>
      <c r="G16308" s="11"/>
      <c r="H16308" s="11"/>
      <c r="I16308" s="15"/>
    </row>
    <row r="16309" spans="1:9" ht="16.5">
      <c r="A16309" s="10" t="b">
        <v>0</v>
      </c>
      <c r="B16309" s="11" t="str">
        <f>IF(D16309&lt;&gt;"",IF(COUNTIF('USPTO TMs'!A:A,D16309)&gt;0,"Yes","No"),"")</f>
        <v/>
      </c>
      <c r="C16309" s="11"/>
      <c r="D16309" s="11"/>
      <c r="E16309" s="11"/>
      <c r="F16309" s="11"/>
      <c r="G16309" s="11"/>
      <c r="H16309" s="11"/>
      <c r="I16309" s="15"/>
    </row>
    <row r="16310" spans="1:9" ht="16.5">
      <c r="A16310" s="10" t="b">
        <v>0</v>
      </c>
      <c r="B16310" s="11" t="str">
        <f>IF(D16310&lt;&gt;"",IF(COUNTIF('USPTO TMs'!A:A,D16310)&gt;0,"Yes","No"),"")</f>
        <v/>
      </c>
      <c r="C16310" s="11"/>
      <c r="D16310" s="11"/>
      <c r="E16310" s="11"/>
      <c r="F16310" s="11"/>
      <c r="G16310" s="11"/>
      <c r="H16310" s="11"/>
      <c r="I16310" s="15"/>
    </row>
    <row r="16311" spans="1:9" ht="16.5">
      <c r="A16311" s="10" t="b">
        <v>0</v>
      </c>
      <c r="B16311" s="11" t="str">
        <f>IF(D16311&lt;&gt;"",IF(COUNTIF('USPTO TMs'!A:A,D16311)&gt;0,"Yes","No"),"")</f>
        <v/>
      </c>
      <c r="C16311" s="11"/>
      <c r="D16311" s="11"/>
      <c r="E16311" s="11"/>
      <c r="F16311" s="11"/>
      <c r="G16311" s="11"/>
      <c r="H16311" s="11"/>
      <c r="I16311" s="15"/>
    </row>
    <row r="16312" spans="1:9" ht="16.5">
      <c r="A16312" s="10" t="b">
        <v>0</v>
      </c>
      <c r="B16312" s="11" t="str">
        <f>IF(D16312&lt;&gt;"",IF(COUNTIF('USPTO TMs'!A:A,D16312)&gt;0,"Yes","No"),"")</f>
        <v/>
      </c>
      <c r="C16312" s="11"/>
      <c r="D16312" s="11"/>
      <c r="E16312" s="11"/>
      <c r="F16312" s="11"/>
      <c r="G16312" s="11"/>
      <c r="H16312" s="11"/>
      <c r="I16312" s="15"/>
    </row>
    <row r="16313" spans="1:9" ht="16.5">
      <c r="A16313" s="10" t="b">
        <v>0</v>
      </c>
      <c r="B16313" s="11" t="str">
        <f>IF(D16313&lt;&gt;"",IF(COUNTIF('USPTO TMs'!A:A,D16313)&gt;0,"Yes","No"),"")</f>
        <v/>
      </c>
      <c r="C16313" s="11"/>
      <c r="D16313" s="11"/>
      <c r="E16313" s="11"/>
      <c r="F16313" s="11"/>
      <c r="G16313" s="11"/>
      <c r="H16313" s="11"/>
      <c r="I16313" s="15"/>
    </row>
    <row r="16314" spans="1:9" ht="16.5">
      <c r="A16314" s="10" t="b">
        <v>0</v>
      </c>
      <c r="B16314" s="11" t="str">
        <f>IF(D16314&lt;&gt;"",IF(COUNTIF('USPTO TMs'!A:A,D16314)&gt;0,"Yes","No"),"")</f>
        <v/>
      </c>
      <c r="C16314" s="11"/>
      <c r="D16314" s="11"/>
      <c r="E16314" s="11"/>
      <c r="F16314" s="11"/>
      <c r="G16314" s="11"/>
      <c r="H16314" s="11"/>
      <c r="I16314" s="15"/>
    </row>
    <row r="16315" spans="1:9" ht="16.5">
      <c r="A16315" s="10" t="b">
        <v>0</v>
      </c>
      <c r="B16315" s="11" t="str">
        <f>IF(D16315&lt;&gt;"",IF(COUNTIF('USPTO TMs'!A:A,D16315)&gt;0,"Yes","No"),"")</f>
        <v/>
      </c>
      <c r="C16315" s="11"/>
      <c r="D16315" s="11"/>
      <c r="E16315" s="11"/>
      <c r="F16315" s="11"/>
      <c r="G16315" s="11"/>
      <c r="H16315" s="11"/>
      <c r="I16315" s="15"/>
    </row>
    <row r="16316" spans="1:9" ht="16.5">
      <c r="A16316" s="10" t="b">
        <v>0</v>
      </c>
      <c r="B16316" s="11" t="str">
        <f>IF(D16316&lt;&gt;"",IF(COUNTIF('USPTO TMs'!A:A,D16316)&gt;0,"Yes","No"),"")</f>
        <v/>
      </c>
      <c r="C16316" s="11"/>
      <c r="D16316" s="11"/>
      <c r="E16316" s="11"/>
      <c r="F16316" s="11"/>
      <c r="G16316" s="11"/>
      <c r="H16316" s="11"/>
      <c r="I16316" s="15"/>
    </row>
    <row r="16317" spans="1:9" ht="16.5">
      <c r="A16317" s="10" t="b">
        <v>0</v>
      </c>
      <c r="B16317" s="11" t="str">
        <f>IF(D16317&lt;&gt;"",IF(COUNTIF('USPTO TMs'!A:A,D16317)&gt;0,"Yes","No"),"")</f>
        <v/>
      </c>
      <c r="C16317" s="11"/>
      <c r="D16317" s="11"/>
      <c r="E16317" s="11"/>
      <c r="F16317" s="11"/>
      <c r="G16317" s="11"/>
      <c r="H16317" s="11"/>
      <c r="I16317" s="15"/>
    </row>
    <row r="16318" spans="1:9" ht="16.5">
      <c r="A16318" s="10" t="b">
        <v>0</v>
      </c>
      <c r="B16318" s="11" t="str">
        <f>IF(D16318&lt;&gt;"",IF(COUNTIF('USPTO TMs'!A:A,D16318)&gt;0,"Yes","No"),"")</f>
        <v/>
      </c>
      <c r="C16318" s="11"/>
      <c r="D16318" s="11"/>
      <c r="E16318" s="11"/>
      <c r="F16318" s="11"/>
      <c r="G16318" s="11"/>
      <c r="H16318" s="11"/>
      <c r="I16318" s="15"/>
    </row>
    <row r="16319" spans="1:9" ht="16.5">
      <c r="A16319" s="10" t="b">
        <v>0</v>
      </c>
      <c r="B16319" s="11" t="str">
        <f>IF(D16319&lt;&gt;"",IF(COUNTIF('USPTO TMs'!A:A,D16319)&gt;0,"Yes","No"),"")</f>
        <v/>
      </c>
      <c r="C16319" s="11"/>
      <c r="D16319" s="11"/>
      <c r="E16319" s="11"/>
      <c r="F16319" s="11"/>
      <c r="G16319" s="11"/>
      <c r="H16319" s="11"/>
      <c r="I16319" s="15"/>
    </row>
    <row r="16320" spans="1:9" ht="16.5">
      <c r="A16320" s="10" t="b">
        <v>0</v>
      </c>
      <c r="B16320" s="11" t="str">
        <f>IF(D16320&lt;&gt;"",IF(COUNTIF('USPTO TMs'!A:A,D16320)&gt;0,"Yes","No"),"")</f>
        <v/>
      </c>
      <c r="C16320" s="11"/>
      <c r="D16320" s="11"/>
      <c r="E16320" s="11"/>
      <c r="F16320" s="11"/>
      <c r="G16320" s="11"/>
      <c r="H16320" s="11"/>
      <c r="I16320" s="15"/>
    </row>
    <row r="16321" spans="1:9" ht="16.5">
      <c r="A16321" s="10" t="b">
        <v>0</v>
      </c>
      <c r="B16321" s="11" t="str">
        <f>IF(D16321&lt;&gt;"",IF(COUNTIF('USPTO TMs'!A:A,D16321)&gt;0,"Yes","No"),"")</f>
        <v/>
      </c>
      <c r="C16321" s="11"/>
      <c r="D16321" s="11"/>
      <c r="E16321" s="11"/>
      <c r="F16321" s="11"/>
      <c r="G16321" s="11"/>
      <c r="H16321" s="11"/>
      <c r="I16321" s="15"/>
    </row>
    <row r="16322" spans="1:9" ht="16.5">
      <c r="A16322" s="10" t="b">
        <v>0</v>
      </c>
      <c r="B16322" s="11" t="str">
        <f>IF(D16322&lt;&gt;"",IF(COUNTIF('USPTO TMs'!A:A,D16322)&gt;0,"Yes","No"),"")</f>
        <v/>
      </c>
      <c r="C16322" s="11"/>
      <c r="D16322" s="11"/>
      <c r="E16322" s="11"/>
      <c r="F16322" s="11"/>
      <c r="G16322" s="11"/>
      <c r="H16322" s="11"/>
      <c r="I16322" s="15"/>
    </row>
    <row r="16323" spans="1:9" ht="16.5">
      <c r="A16323" s="10" t="b">
        <v>0</v>
      </c>
      <c r="B16323" s="11" t="str">
        <f>IF(D16323&lt;&gt;"",IF(COUNTIF('USPTO TMs'!A:A,D16323)&gt;0,"Yes","No"),"")</f>
        <v/>
      </c>
      <c r="C16323" s="11"/>
      <c r="D16323" s="11"/>
      <c r="E16323" s="11"/>
      <c r="F16323" s="11"/>
      <c r="G16323" s="11"/>
      <c r="H16323" s="11"/>
      <c r="I16323" s="15"/>
    </row>
    <row r="16324" spans="1:9" ht="16.5">
      <c r="A16324" s="10" t="b">
        <v>0</v>
      </c>
      <c r="B16324" s="11" t="str">
        <f>IF(D16324&lt;&gt;"",IF(COUNTIF('USPTO TMs'!A:A,D16324)&gt;0,"Yes","No"),"")</f>
        <v/>
      </c>
      <c r="C16324" s="11"/>
      <c r="D16324" s="11"/>
      <c r="E16324" s="11"/>
      <c r="F16324" s="11"/>
      <c r="G16324" s="11"/>
      <c r="H16324" s="11"/>
      <c r="I16324" s="15"/>
    </row>
    <row r="16325" spans="1:9" ht="16.5">
      <c r="A16325" s="10" t="b">
        <v>0</v>
      </c>
      <c r="B16325" s="11" t="str">
        <f>IF(D16325&lt;&gt;"",IF(COUNTIF('USPTO TMs'!A:A,D16325)&gt;0,"Yes","No"),"")</f>
        <v/>
      </c>
      <c r="C16325" s="11"/>
      <c r="D16325" s="11"/>
      <c r="E16325" s="11"/>
      <c r="F16325" s="11"/>
      <c r="G16325" s="11"/>
      <c r="H16325" s="11"/>
      <c r="I16325" s="15"/>
    </row>
    <row r="16326" spans="1:9" ht="16.5">
      <c r="A16326" s="10" t="b">
        <v>0</v>
      </c>
      <c r="B16326" s="11" t="str">
        <f>IF(D16326&lt;&gt;"",IF(COUNTIF('USPTO TMs'!A:A,D16326)&gt;0,"Yes","No"),"")</f>
        <v/>
      </c>
      <c r="C16326" s="11"/>
      <c r="D16326" s="11"/>
      <c r="E16326" s="11"/>
      <c r="F16326" s="11"/>
      <c r="G16326" s="11"/>
      <c r="H16326" s="11"/>
      <c r="I16326" s="15"/>
    </row>
    <row r="16327" spans="1:9" ht="16.5">
      <c r="A16327" s="10" t="b">
        <v>0</v>
      </c>
      <c r="B16327" s="11" t="str">
        <f>IF(D16327&lt;&gt;"",IF(COUNTIF('USPTO TMs'!A:A,D16327)&gt;0,"Yes","No"),"")</f>
        <v/>
      </c>
      <c r="C16327" s="11"/>
      <c r="D16327" s="11"/>
      <c r="E16327" s="11"/>
      <c r="F16327" s="11"/>
      <c r="G16327" s="11"/>
      <c r="H16327" s="11"/>
      <c r="I16327" s="15"/>
    </row>
    <row r="16328" spans="1:9" ht="16.5">
      <c r="A16328" s="10" t="b">
        <v>0</v>
      </c>
      <c r="B16328" s="11" t="str">
        <f>IF(D16328&lt;&gt;"",IF(COUNTIF('USPTO TMs'!A:A,D16328)&gt;0,"Yes","No"),"")</f>
        <v/>
      </c>
      <c r="C16328" s="11"/>
      <c r="D16328" s="11"/>
      <c r="E16328" s="11"/>
      <c r="F16328" s="11"/>
      <c r="G16328" s="11"/>
      <c r="H16328" s="11"/>
      <c r="I16328" s="15"/>
    </row>
    <row r="16329" spans="1:9" ht="16.5">
      <c r="A16329" s="10" t="b">
        <v>0</v>
      </c>
      <c r="B16329" s="11" t="str">
        <f>IF(D16329&lt;&gt;"",IF(COUNTIF('USPTO TMs'!A:A,D16329)&gt;0,"Yes","No"),"")</f>
        <v/>
      </c>
      <c r="C16329" s="11"/>
      <c r="D16329" s="11"/>
      <c r="E16329" s="11"/>
      <c r="F16329" s="11"/>
      <c r="G16329" s="11"/>
      <c r="H16329" s="11"/>
      <c r="I16329" s="15"/>
    </row>
    <row r="16330" spans="1:9" ht="16.5">
      <c r="A16330" s="10" t="b">
        <v>0</v>
      </c>
      <c r="B16330" s="11" t="str">
        <f>IF(D16330&lt;&gt;"",IF(COUNTIF('USPTO TMs'!A:A,D16330)&gt;0,"Yes","No"),"")</f>
        <v/>
      </c>
      <c r="C16330" s="11"/>
      <c r="D16330" s="11"/>
      <c r="E16330" s="11"/>
      <c r="F16330" s="11"/>
      <c r="G16330" s="11"/>
      <c r="H16330" s="11"/>
      <c r="I16330" s="15"/>
    </row>
    <row r="16331" spans="1:9" ht="16.5">
      <c r="A16331" s="10" t="b">
        <v>0</v>
      </c>
      <c r="B16331" s="11" t="str">
        <f>IF(D16331&lt;&gt;"",IF(COUNTIF('USPTO TMs'!A:A,D16331)&gt;0,"Yes","No"),"")</f>
        <v/>
      </c>
      <c r="C16331" s="11"/>
      <c r="D16331" s="11"/>
      <c r="E16331" s="11"/>
      <c r="F16331" s="11"/>
      <c r="G16331" s="11"/>
      <c r="H16331" s="11"/>
      <c r="I16331" s="15"/>
    </row>
    <row r="16332" spans="1:9" ht="16.5">
      <c r="A16332" s="10" t="b">
        <v>0</v>
      </c>
      <c r="B16332" s="11" t="str">
        <f>IF(D16332&lt;&gt;"",IF(COUNTIF('USPTO TMs'!A:A,D16332)&gt;0,"Yes","No"),"")</f>
        <v/>
      </c>
      <c r="C16332" s="11"/>
      <c r="D16332" s="11"/>
      <c r="E16332" s="11"/>
      <c r="F16332" s="11"/>
      <c r="G16332" s="11"/>
      <c r="H16332" s="11"/>
      <c r="I16332" s="15"/>
    </row>
    <row r="16333" spans="1:9" ht="16.5">
      <c r="A16333" s="10" t="b">
        <v>0</v>
      </c>
      <c r="B16333" s="11" t="str">
        <f>IF(D16333&lt;&gt;"",IF(COUNTIF('USPTO TMs'!A:A,D16333)&gt;0,"Yes","No"),"")</f>
        <v/>
      </c>
      <c r="C16333" s="11"/>
      <c r="D16333" s="11"/>
      <c r="E16333" s="11"/>
      <c r="F16333" s="11"/>
      <c r="G16333" s="11"/>
      <c r="H16333" s="11"/>
      <c r="I16333" s="15"/>
    </row>
    <row r="16334" spans="1:9" ht="16.5">
      <c r="A16334" s="10" t="b">
        <v>0</v>
      </c>
      <c r="B16334" s="11" t="str">
        <f>IF(D16334&lt;&gt;"",IF(COUNTIF('USPTO TMs'!A:A,D16334)&gt;0,"Yes","No"),"")</f>
        <v/>
      </c>
      <c r="C16334" s="11"/>
      <c r="D16334" s="11"/>
      <c r="E16334" s="11"/>
      <c r="F16334" s="11"/>
      <c r="G16334" s="11"/>
      <c r="H16334" s="11"/>
      <c r="I16334" s="15"/>
    </row>
    <row r="16335" spans="1:9" ht="16.5">
      <c r="A16335" s="10" t="b">
        <v>0</v>
      </c>
      <c r="B16335" s="11" t="str">
        <f>IF(D16335&lt;&gt;"",IF(COUNTIF('USPTO TMs'!A:A,D16335)&gt;0,"Yes","No"),"")</f>
        <v/>
      </c>
      <c r="C16335" s="11"/>
      <c r="D16335" s="11"/>
      <c r="E16335" s="11"/>
      <c r="F16335" s="11"/>
      <c r="G16335" s="11"/>
      <c r="H16335" s="11"/>
      <c r="I16335" s="15"/>
    </row>
    <row r="16336" spans="1:9" ht="16.5">
      <c r="A16336" s="10" t="b">
        <v>0</v>
      </c>
      <c r="B16336" s="11" t="str">
        <f>IF(D16336&lt;&gt;"",IF(COUNTIF('USPTO TMs'!A:A,D16336)&gt;0,"Yes","No"),"")</f>
        <v/>
      </c>
      <c r="C16336" s="11"/>
      <c r="D16336" s="11"/>
      <c r="E16336" s="11"/>
      <c r="F16336" s="11"/>
      <c r="G16336" s="11"/>
      <c r="H16336" s="11"/>
      <c r="I16336" s="15"/>
    </row>
    <row r="16337" spans="1:9" ht="16.5">
      <c r="A16337" s="10" t="b">
        <v>0</v>
      </c>
      <c r="B16337" s="11" t="str">
        <f>IF(D16337&lt;&gt;"",IF(COUNTIF('USPTO TMs'!A:A,D16337)&gt;0,"Yes","No"),"")</f>
        <v/>
      </c>
      <c r="C16337" s="11"/>
      <c r="D16337" s="11"/>
      <c r="E16337" s="11"/>
      <c r="F16337" s="11"/>
      <c r="G16337" s="11"/>
      <c r="H16337" s="11"/>
      <c r="I16337" s="15"/>
    </row>
    <row r="16338" spans="1:9" ht="16.5">
      <c r="A16338" s="10" t="b">
        <v>0</v>
      </c>
      <c r="B16338" s="11" t="str">
        <f>IF(D16338&lt;&gt;"",IF(COUNTIF('USPTO TMs'!A:A,D16338)&gt;0,"Yes","No"),"")</f>
        <v/>
      </c>
      <c r="C16338" s="11"/>
      <c r="D16338" s="11"/>
      <c r="E16338" s="11"/>
      <c r="F16338" s="11"/>
      <c r="G16338" s="11"/>
      <c r="H16338" s="11"/>
      <c r="I16338" s="15"/>
    </row>
    <row r="16339" spans="1:9" ht="16.5">
      <c r="A16339" s="10" t="b">
        <v>0</v>
      </c>
      <c r="B16339" s="11" t="str">
        <f>IF(D16339&lt;&gt;"",IF(COUNTIF('USPTO TMs'!A:A,D16339)&gt;0,"Yes","No"),"")</f>
        <v/>
      </c>
      <c r="C16339" s="11"/>
      <c r="D16339" s="11"/>
      <c r="E16339" s="11"/>
      <c r="F16339" s="11"/>
      <c r="G16339" s="11"/>
      <c r="H16339" s="11"/>
      <c r="I16339" s="15"/>
    </row>
    <row r="16340" spans="1:9" ht="16.5">
      <c r="A16340" s="10" t="b">
        <v>0</v>
      </c>
      <c r="B16340" s="11" t="str">
        <f>IF(D16340&lt;&gt;"",IF(COUNTIF('USPTO TMs'!A:A,D16340)&gt;0,"Yes","No"),"")</f>
        <v/>
      </c>
      <c r="C16340" s="11"/>
      <c r="D16340" s="11"/>
      <c r="E16340" s="11"/>
      <c r="F16340" s="11"/>
      <c r="G16340" s="11"/>
      <c r="H16340" s="11"/>
      <c r="I16340" s="15"/>
    </row>
    <row r="16341" spans="1:9" ht="16.5">
      <c r="A16341" s="10" t="b">
        <v>0</v>
      </c>
      <c r="B16341" s="11" t="str">
        <f>IF(D16341&lt;&gt;"",IF(COUNTIF('USPTO TMs'!A:A,D16341)&gt;0,"Yes","No"),"")</f>
        <v/>
      </c>
      <c r="C16341" s="11"/>
      <c r="D16341" s="11"/>
      <c r="E16341" s="11"/>
      <c r="F16341" s="11"/>
      <c r="G16341" s="11"/>
      <c r="H16341" s="11"/>
      <c r="I16341" s="15"/>
    </row>
    <row r="16342" spans="1:9" ht="16.5">
      <c r="A16342" s="10" t="b">
        <v>0</v>
      </c>
      <c r="B16342" s="11" t="str">
        <f>IF(D16342&lt;&gt;"",IF(COUNTIF('USPTO TMs'!A:A,D16342)&gt;0,"Yes","No"),"")</f>
        <v/>
      </c>
      <c r="C16342" s="11"/>
      <c r="D16342" s="11"/>
      <c r="E16342" s="11"/>
      <c r="F16342" s="11"/>
      <c r="G16342" s="11"/>
      <c r="H16342" s="11"/>
      <c r="I16342" s="15"/>
    </row>
    <row r="16343" spans="1:9" ht="16.5">
      <c r="A16343" s="10" t="b">
        <v>0</v>
      </c>
      <c r="B16343" s="11" t="str">
        <f>IF(D16343&lt;&gt;"",IF(COUNTIF('USPTO TMs'!A:A,D16343)&gt;0,"Yes","No"),"")</f>
        <v/>
      </c>
      <c r="C16343" s="11"/>
      <c r="D16343" s="11"/>
      <c r="E16343" s="11"/>
      <c r="F16343" s="11"/>
      <c r="G16343" s="11"/>
      <c r="H16343" s="11"/>
      <c r="I16343" s="15"/>
    </row>
    <row r="16344" spans="1:9" ht="16.5">
      <c r="A16344" s="10" t="b">
        <v>0</v>
      </c>
      <c r="B16344" s="11" t="str">
        <f>IF(D16344&lt;&gt;"",IF(COUNTIF('USPTO TMs'!A:A,D16344)&gt;0,"Yes","No"),"")</f>
        <v/>
      </c>
      <c r="C16344" s="11"/>
      <c r="D16344" s="11"/>
      <c r="E16344" s="11"/>
      <c r="F16344" s="11"/>
      <c r="G16344" s="11"/>
      <c r="H16344" s="11"/>
      <c r="I16344" s="15"/>
    </row>
    <row r="16345" spans="1:9" ht="16.5">
      <c r="A16345" s="10" t="b">
        <v>0</v>
      </c>
      <c r="B16345" s="11" t="str">
        <f>IF(D16345&lt;&gt;"",IF(COUNTIF('USPTO TMs'!A:A,D16345)&gt;0,"Yes","No"),"")</f>
        <v/>
      </c>
      <c r="C16345" s="11"/>
      <c r="D16345" s="11"/>
      <c r="E16345" s="11"/>
      <c r="F16345" s="11"/>
      <c r="G16345" s="11"/>
      <c r="H16345" s="11"/>
      <c r="I16345" s="15"/>
    </row>
    <row r="16346" spans="1:9" ht="16.5">
      <c r="A16346" s="10" t="b">
        <v>0</v>
      </c>
      <c r="B16346" s="11" t="str">
        <f>IF(D16346&lt;&gt;"",IF(COUNTIF('USPTO TMs'!A:A,D16346)&gt;0,"Yes","No"),"")</f>
        <v/>
      </c>
      <c r="C16346" s="11"/>
      <c r="D16346" s="11"/>
      <c r="E16346" s="11"/>
      <c r="F16346" s="11"/>
      <c r="G16346" s="11"/>
      <c r="H16346" s="11"/>
      <c r="I16346" s="15"/>
    </row>
    <row r="16347" spans="1:9" ht="16.5">
      <c r="A16347" s="10" t="b">
        <v>0</v>
      </c>
      <c r="B16347" s="11" t="str">
        <f>IF(D16347&lt;&gt;"",IF(COUNTIF('USPTO TMs'!A:A,D16347)&gt;0,"Yes","No"),"")</f>
        <v/>
      </c>
      <c r="C16347" s="11"/>
      <c r="D16347" s="11"/>
      <c r="E16347" s="11"/>
      <c r="F16347" s="11"/>
      <c r="G16347" s="11"/>
      <c r="H16347" s="11"/>
      <c r="I16347" s="15"/>
    </row>
    <row r="16348" spans="1:9" ht="16.5">
      <c r="A16348" s="10" t="b">
        <v>0</v>
      </c>
      <c r="B16348" s="11" t="str">
        <f>IF(D16348&lt;&gt;"",IF(COUNTIF('USPTO TMs'!A:A,D16348)&gt;0,"Yes","No"),"")</f>
        <v/>
      </c>
      <c r="C16348" s="11"/>
      <c r="D16348" s="11"/>
      <c r="E16348" s="11"/>
      <c r="F16348" s="11"/>
      <c r="G16348" s="11"/>
      <c r="H16348" s="11"/>
      <c r="I16348" s="15"/>
    </row>
    <row r="16349" spans="1:9" ht="16.5">
      <c r="A16349" s="10" t="b">
        <v>0</v>
      </c>
      <c r="B16349" s="11" t="str">
        <f>IF(D16349&lt;&gt;"",IF(COUNTIF('USPTO TMs'!A:A,D16349)&gt;0,"Yes","No"),"")</f>
        <v/>
      </c>
      <c r="C16349" s="11"/>
      <c r="D16349" s="11"/>
      <c r="E16349" s="11"/>
      <c r="F16349" s="11"/>
      <c r="G16349" s="11"/>
      <c r="H16349" s="11"/>
      <c r="I16349" s="15"/>
    </row>
    <row r="16350" spans="1:9" ht="16.5">
      <c r="A16350" s="10" t="b">
        <v>0</v>
      </c>
      <c r="B16350" s="11" t="str">
        <f>IF(D16350&lt;&gt;"",IF(COUNTIF('USPTO TMs'!A:A,D16350)&gt;0,"Yes","No"),"")</f>
        <v/>
      </c>
      <c r="C16350" s="11"/>
      <c r="D16350" s="11"/>
      <c r="E16350" s="11"/>
      <c r="F16350" s="11"/>
      <c r="G16350" s="11"/>
      <c r="H16350" s="11"/>
      <c r="I16350" s="15"/>
    </row>
    <row r="16351" spans="1:9" ht="16.5">
      <c r="A16351" s="10" t="b">
        <v>0</v>
      </c>
      <c r="B16351" s="11" t="str">
        <f>IF(D16351&lt;&gt;"",IF(COUNTIF('USPTO TMs'!A:A,D16351)&gt;0,"Yes","No"),"")</f>
        <v/>
      </c>
      <c r="C16351" s="11"/>
      <c r="D16351" s="11"/>
      <c r="E16351" s="11"/>
      <c r="F16351" s="11"/>
      <c r="G16351" s="11"/>
      <c r="H16351" s="11"/>
      <c r="I16351" s="15"/>
    </row>
    <row r="16352" spans="1:9" ht="16.5">
      <c r="A16352" s="10" t="b">
        <v>0</v>
      </c>
      <c r="B16352" s="11" t="str">
        <f>IF(D16352&lt;&gt;"",IF(COUNTIF('USPTO TMs'!A:A,D16352)&gt;0,"Yes","No"),"")</f>
        <v/>
      </c>
      <c r="C16352" s="11"/>
      <c r="D16352" s="11"/>
      <c r="E16352" s="11"/>
      <c r="F16352" s="11"/>
      <c r="G16352" s="11"/>
      <c r="H16352" s="11"/>
      <c r="I16352" s="15"/>
    </row>
    <row r="16353" spans="1:9" ht="16.5">
      <c r="A16353" s="10" t="b">
        <v>0</v>
      </c>
      <c r="B16353" s="11" t="str">
        <f>IF(D16353&lt;&gt;"",IF(COUNTIF('USPTO TMs'!A:A,D16353)&gt;0,"Yes","No"),"")</f>
        <v/>
      </c>
      <c r="C16353" s="11"/>
      <c r="D16353" s="11"/>
      <c r="E16353" s="11"/>
      <c r="F16353" s="11"/>
      <c r="G16353" s="11"/>
      <c r="H16353" s="11"/>
      <c r="I16353" s="15"/>
    </row>
    <row r="16354" spans="1:9" ht="16.5">
      <c r="A16354" s="10" t="b">
        <v>0</v>
      </c>
      <c r="B16354" s="11" t="str">
        <f>IF(D16354&lt;&gt;"",IF(COUNTIF('USPTO TMs'!A:A,D16354)&gt;0,"Yes","No"),"")</f>
        <v/>
      </c>
      <c r="C16354" s="11"/>
      <c r="D16354" s="11"/>
      <c r="E16354" s="11"/>
      <c r="F16354" s="11"/>
      <c r="G16354" s="11"/>
      <c r="H16354" s="11"/>
      <c r="I16354" s="15"/>
    </row>
    <row r="16355" spans="1:9" ht="16.5">
      <c r="A16355" s="10" t="b">
        <v>0</v>
      </c>
      <c r="B16355" s="11" t="str">
        <f>IF(D16355&lt;&gt;"",IF(COUNTIF('USPTO TMs'!A:A,D16355)&gt;0,"Yes","No"),"")</f>
        <v/>
      </c>
      <c r="C16355" s="11"/>
      <c r="D16355" s="11"/>
      <c r="E16355" s="11"/>
      <c r="F16355" s="11"/>
      <c r="G16355" s="11"/>
      <c r="H16355" s="11"/>
      <c r="I16355" s="15"/>
    </row>
    <row r="16356" spans="1:9" ht="16.5">
      <c r="A16356" s="10" t="b">
        <v>0</v>
      </c>
      <c r="B16356" s="11" t="str">
        <f>IF(D16356&lt;&gt;"",IF(COUNTIF('USPTO TMs'!A:A,D16356)&gt;0,"Yes","No"),"")</f>
        <v/>
      </c>
      <c r="C16356" s="11"/>
      <c r="D16356" s="11"/>
      <c r="E16356" s="11"/>
      <c r="F16356" s="11"/>
      <c r="G16356" s="11"/>
      <c r="H16356" s="11"/>
      <c r="I16356" s="15"/>
    </row>
    <row r="16357" spans="1:9" ht="16.5">
      <c r="A16357" s="10" t="b">
        <v>0</v>
      </c>
      <c r="B16357" s="11" t="str">
        <f>IF(D16357&lt;&gt;"",IF(COUNTIF('USPTO TMs'!A:A,D16357)&gt;0,"Yes","No"),"")</f>
        <v/>
      </c>
      <c r="C16357" s="11"/>
      <c r="D16357" s="11"/>
      <c r="E16357" s="11"/>
      <c r="F16357" s="11"/>
      <c r="G16357" s="11"/>
      <c r="H16357" s="11"/>
      <c r="I16357" s="15"/>
    </row>
    <row r="16358" spans="1:9" ht="16.5">
      <c r="A16358" s="10" t="b">
        <v>0</v>
      </c>
      <c r="B16358" s="11" t="str">
        <f>IF(D16358&lt;&gt;"",IF(COUNTIF('USPTO TMs'!A:A,D16358)&gt;0,"Yes","No"),"")</f>
        <v/>
      </c>
      <c r="C16358" s="11"/>
      <c r="D16358" s="11"/>
      <c r="E16358" s="11"/>
      <c r="F16358" s="11"/>
      <c r="G16358" s="11"/>
      <c r="H16358" s="11"/>
      <c r="I16358" s="15"/>
    </row>
    <row r="16359" spans="1:9" ht="16.5">
      <c r="A16359" s="10" t="b">
        <v>0</v>
      </c>
      <c r="B16359" s="11" t="str">
        <f>IF(D16359&lt;&gt;"",IF(COUNTIF('USPTO TMs'!A:A,D16359)&gt;0,"Yes","No"),"")</f>
        <v/>
      </c>
      <c r="C16359" s="11"/>
      <c r="D16359" s="11"/>
      <c r="E16359" s="11"/>
      <c r="F16359" s="11"/>
      <c r="G16359" s="11"/>
      <c r="H16359" s="11"/>
      <c r="I16359" s="15"/>
    </row>
    <row r="16360" spans="1:9" ht="16.5">
      <c r="A16360" s="10" t="b">
        <v>0</v>
      </c>
      <c r="B16360" s="11" t="str">
        <f>IF(D16360&lt;&gt;"",IF(COUNTIF('USPTO TMs'!A:A,D16360)&gt;0,"Yes","No"),"")</f>
        <v/>
      </c>
      <c r="C16360" s="11"/>
      <c r="D16360" s="11"/>
      <c r="E16360" s="11"/>
      <c r="F16360" s="11"/>
      <c r="G16360" s="11"/>
      <c r="H16360" s="11"/>
      <c r="I16360" s="15"/>
    </row>
    <row r="16361" spans="1:9" ht="16.5">
      <c r="A16361" s="10" t="b">
        <v>0</v>
      </c>
      <c r="B16361" s="11" t="str">
        <f>IF(D16361&lt;&gt;"",IF(COUNTIF('USPTO TMs'!A:A,D16361)&gt;0,"Yes","No"),"")</f>
        <v/>
      </c>
      <c r="C16361" s="11"/>
      <c r="D16361" s="11"/>
      <c r="E16361" s="11"/>
      <c r="F16361" s="11"/>
      <c r="G16361" s="11"/>
      <c r="H16361" s="11"/>
      <c r="I16361" s="15"/>
    </row>
    <row r="16362" spans="1:9" ht="16.5">
      <c r="A16362" s="10" t="b">
        <v>0</v>
      </c>
      <c r="B16362" s="11" t="str">
        <f>IF(D16362&lt;&gt;"",IF(COUNTIF('USPTO TMs'!A:A,D16362)&gt;0,"Yes","No"),"")</f>
        <v/>
      </c>
      <c r="C16362" s="11"/>
      <c r="D16362" s="11"/>
      <c r="E16362" s="11"/>
      <c r="F16362" s="11"/>
      <c r="G16362" s="11"/>
      <c r="H16362" s="11"/>
      <c r="I16362" s="15"/>
    </row>
    <row r="16363" spans="1:9" ht="16.5">
      <c r="A16363" s="10" t="b">
        <v>0</v>
      </c>
      <c r="B16363" s="11" t="str">
        <f>IF(D16363&lt;&gt;"",IF(COUNTIF('USPTO TMs'!A:A,D16363)&gt;0,"Yes","No"),"")</f>
        <v/>
      </c>
      <c r="C16363" s="11"/>
      <c r="D16363" s="11"/>
      <c r="E16363" s="11"/>
      <c r="F16363" s="11"/>
      <c r="G16363" s="11"/>
      <c r="H16363" s="11"/>
      <c r="I16363" s="15"/>
    </row>
    <row r="16364" spans="1:9" ht="16.5">
      <c r="A16364" s="10" t="b">
        <v>0</v>
      </c>
      <c r="B16364" s="11" t="str">
        <f>IF(D16364&lt;&gt;"",IF(COUNTIF('USPTO TMs'!A:A,D16364)&gt;0,"Yes","No"),"")</f>
        <v/>
      </c>
      <c r="C16364" s="11"/>
      <c r="D16364" s="11"/>
      <c r="E16364" s="11"/>
      <c r="F16364" s="11"/>
      <c r="G16364" s="11"/>
      <c r="H16364" s="11"/>
      <c r="I16364" s="15"/>
    </row>
    <row r="16365" spans="1:9" ht="16.5">
      <c r="A16365" s="10" t="b">
        <v>0</v>
      </c>
      <c r="B16365" s="11" t="str">
        <f>IF(D16365&lt;&gt;"",IF(COUNTIF('USPTO TMs'!A:A,D16365)&gt;0,"Yes","No"),"")</f>
        <v/>
      </c>
      <c r="C16365" s="11"/>
      <c r="D16365" s="11"/>
      <c r="E16365" s="11"/>
      <c r="F16365" s="11"/>
      <c r="G16365" s="11"/>
      <c r="H16365" s="11"/>
      <c r="I16365" s="15"/>
    </row>
    <row r="16366" spans="1:9" ht="16.5">
      <c r="A16366" s="10" t="b">
        <v>0</v>
      </c>
      <c r="B16366" s="11" t="str">
        <f>IF(D16366&lt;&gt;"",IF(COUNTIF('USPTO TMs'!A:A,D16366)&gt;0,"Yes","No"),"")</f>
        <v/>
      </c>
      <c r="C16366" s="11"/>
      <c r="D16366" s="11"/>
      <c r="E16366" s="11"/>
      <c r="F16366" s="11"/>
      <c r="G16366" s="11"/>
      <c r="H16366" s="11"/>
      <c r="I16366" s="15"/>
    </row>
    <row r="16367" spans="1:9" ht="16.5">
      <c r="A16367" s="10" t="b">
        <v>0</v>
      </c>
      <c r="B16367" s="11" t="str">
        <f>IF(D16367&lt;&gt;"",IF(COUNTIF('USPTO TMs'!A:A,D16367)&gt;0,"Yes","No"),"")</f>
        <v/>
      </c>
      <c r="C16367" s="11"/>
      <c r="D16367" s="11"/>
      <c r="E16367" s="11"/>
      <c r="F16367" s="11"/>
      <c r="G16367" s="11"/>
      <c r="H16367" s="11"/>
      <c r="I16367" s="15"/>
    </row>
    <row r="16368" spans="1:9" ht="16.5">
      <c r="A16368" s="10" t="b">
        <v>0</v>
      </c>
      <c r="B16368" s="11" t="str">
        <f>IF(D16368&lt;&gt;"",IF(COUNTIF('USPTO TMs'!A:A,D16368)&gt;0,"Yes","No"),"")</f>
        <v/>
      </c>
      <c r="C16368" s="11"/>
      <c r="D16368" s="11"/>
      <c r="E16368" s="11"/>
      <c r="F16368" s="11"/>
      <c r="G16368" s="11"/>
      <c r="H16368" s="11"/>
      <c r="I16368" s="15"/>
    </row>
    <row r="16369" spans="1:9" ht="16.5">
      <c r="A16369" s="10" t="b">
        <v>0</v>
      </c>
      <c r="B16369" s="11" t="str">
        <f>IF(D16369&lt;&gt;"",IF(COUNTIF('USPTO TMs'!A:A,D16369)&gt;0,"Yes","No"),"")</f>
        <v/>
      </c>
      <c r="C16369" s="11"/>
      <c r="D16369" s="11"/>
      <c r="E16369" s="11"/>
      <c r="F16369" s="11"/>
      <c r="G16369" s="11"/>
      <c r="H16369" s="11"/>
      <c r="I16369" s="15"/>
    </row>
    <row r="16370" spans="1:9" ht="16.5">
      <c r="A16370" s="10" t="b">
        <v>0</v>
      </c>
      <c r="B16370" s="11" t="str">
        <f>IF(D16370&lt;&gt;"",IF(COUNTIF('USPTO TMs'!A:A,D16370)&gt;0,"Yes","No"),"")</f>
        <v/>
      </c>
      <c r="C16370" s="11"/>
      <c r="D16370" s="11"/>
      <c r="E16370" s="11"/>
      <c r="F16370" s="11"/>
      <c r="G16370" s="11"/>
      <c r="H16370" s="11"/>
      <c r="I16370" s="15"/>
    </row>
    <row r="16371" spans="1:9" ht="16.5">
      <c r="A16371" s="10" t="b">
        <v>0</v>
      </c>
      <c r="B16371" s="11" t="str">
        <f>IF(D16371&lt;&gt;"",IF(COUNTIF('USPTO TMs'!A:A,D16371)&gt;0,"Yes","No"),"")</f>
        <v/>
      </c>
      <c r="C16371" s="11"/>
      <c r="D16371" s="11"/>
      <c r="E16371" s="11"/>
      <c r="F16371" s="11"/>
      <c r="G16371" s="11"/>
      <c r="H16371" s="11"/>
      <c r="I16371" s="15"/>
    </row>
    <row r="16372" spans="1:9" ht="16.5">
      <c r="A16372" s="10" t="b">
        <v>0</v>
      </c>
      <c r="B16372" s="11" t="str">
        <f>IF(D16372&lt;&gt;"",IF(COUNTIF('USPTO TMs'!A:A,D16372)&gt;0,"Yes","No"),"")</f>
        <v/>
      </c>
      <c r="C16372" s="11"/>
      <c r="D16372" s="11"/>
      <c r="E16372" s="11"/>
      <c r="F16372" s="11"/>
      <c r="G16372" s="11"/>
      <c r="H16372" s="11"/>
      <c r="I16372" s="15"/>
    </row>
    <row r="16373" spans="1:9" ht="16.5">
      <c r="A16373" s="10" t="b">
        <v>0</v>
      </c>
      <c r="B16373" s="11" t="str">
        <f>IF(D16373&lt;&gt;"",IF(COUNTIF('USPTO TMs'!A:A,D16373)&gt;0,"Yes","No"),"")</f>
        <v/>
      </c>
      <c r="C16373" s="11"/>
      <c r="D16373" s="11"/>
      <c r="E16373" s="11"/>
      <c r="F16373" s="11"/>
      <c r="G16373" s="11"/>
      <c r="H16373" s="11"/>
      <c r="I16373" s="15"/>
    </row>
    <row r="16374" spans="1:9" ht="16.5">
      <c r="A16374" s="10" t="b">
        <v>0</v>
      </c>
      <c r="B16374" s="11" t="str">
        <f>IF(D16374&lt;&gt;"",IF(COUNTIF('USPTO TMs'!A:A,D16374)&gt;0,"Yes","No"),"")</f>
        <v/>
      </c>
      <c r="C16374" s="11"/>
      <c r="D16374" s="11"/>
      <c r="E16374" s="11"/>
      <c r="F16374" s="11"/>
      <c r="G16374" s="11"/>
      <c r="H16374" s="11"/>
      <c r="I16374" s="15"/>
    </row>
    <row r="16375" spans="1:9" ht="16.5">
      <c r="A16375" s="10" t="b">
        <v>0</v>
      </c>
      <c r="B16375" s="11" t="str">
        <f>IF(D16375&lt;&gt;"",IF(COUNTIF('USPTO TMs'!A:A,D16375)&gt;0,"Yes","No"),"")</f>
        <v/>
      </c>
      <c r="C16375" s="11"/>
      <c r="D16375" s="11"/>
      <c r="E16375" s="11"/>
      <c r="F16375" s="11"/>
      <c r="G16375" s="11"/>
      <c r="H16375" s="11"/>
      <c r="I16375" s="15"/>
    </row>
    <row r="16376" spans="1:9" ht="16.5">
      <c r="A16376" s="10" t="b">
        <v>0</v>
      </c>
      <c r="B16376" s="11" t="str">
        <f>IF(D16376&lt;&gt;"",IF(COUNTIF('USPTO TMs'!A:A,D16376)&gt;0,"Yes","No"),"")</f>
        <v/>
      </c>
      <c r="C16376" s="11"/>
      <c r="D16376" s="11"/>
      <c r="E16376" s="11"/>
      <c r="F16376" s="11"/>
      <c r="G16376" s="11"/>
      <c r="H16376" s="11"/>
      <c r="I16376" s="15"/>
    </row>
    <row r="16377" spans="1:9" ht="16.5">
      <c r="A16377" s="10" t="b">
        <v>0</v>
      </c>
      <c r="B16377" s="11" t="str">
        <f>IF(D16377&lt;&gt;"",IF(COUNTIF('USPTO TMs'!A:A,D16377)&gt;0,"Yes","No"),"")</f>
        <v/>
      </c>
      <c r="C16377" s="11"/>
      <c r="D16377" s="11"/>
      <c r="E16377" s="11"/>
      <c r="F16377" s="11"/>
      <c r="G16377" s="11"/>
      <c r="H16377" s="11"/>
      <c r="I16377" s="15"/>
    </row>
    <row r="16378" spans="1:9" ht="16.5">
      <c r="A16378" s="10" t="b">
        <v>0</v>
      </c>
      <c r="B16378" s="11" t="str">
        <f>IF(D16378&lt;&gt;"",IF(COUNTIF('USPTO TMs'!A:A,D16378)&gt;0,"Yes","No"),"")</f>
        <v/>
      </c>
      <c r="C16378" s="11"/>
      <c r="D16378" s="11"/>
      <c r="E16378" s="11"/>
      <c r="F16378" s="11"/>
      <c r="G16378" s="11"/>
      <c r="H16378" s="11"/>
      <c r="I16378" s="15"/>
    </row>
    <row r="16379" spans="1:9" ht="16.5">
      <c r="A16379" s="10" t="b">
        <v>0</v>
      </c>
      <c r="B16379" s="11" t="str">
        <f>IF(D16379&lt;&gt;"",IF(COUNTIF('USPTO TMs'!A:A,D16379)&gt;0,"Yes","No"),"")</f>
        <v/>
      </c>
      <c r="C16379" s="11"/>
      <c r="D16379" s="11"/>
      <c r="E16379" s="11"/>
      <c r="F16379" s="11"/>
      <c r="G16379" s="11"/>
      <c r="H16379" s="11"/>
      <c r="I16379" s="15"/>
    </row>
    <row r="16380" spans="1:9" ht="16.5">
      <c r="A16380" s="10" t="b">
        <v>0</v>
      </c>
      <c r="B16380" s="11" t="str">
        <f>IF(D16380&lt;&gt;"",IF(COUNTIF('USPTO TMs'!A:A,D16380)&gt;0,"Yes","No"),"")</f>
        <v/>
      </c>
      <c r="C16380" s="11"/>
      <c r="D16380" s="11"/>
      <c r="E16380" s="11"/>
      <c r="F16380" s="11"/>
      <c r="G16380" s="11"/>
      <c r="H16380" s="11"/>
      <c r="I16380" s="15"/>
    </row>
    <row r="16381" spans="1:9" ht="16.5">
      <c r="A16381" s="10" t="b">
        <v>0</v>
      </c>
      <c r="B16381" s="11" t="str">
        <f>IF(D16381&lt;&gt;"",IF(COUNTIF('USPTO TMs'!A:A,D16381)&gt;0,"Yes","No"),"")</f>
        <v/>
      </c>
      <c r="C16381" s="11"/>
      <c r="D16381" s="11"/>
      <c r="E16381" s="11"/>
      <c r="F16381" s="11"/>
      <c r="G16381" s="11"/>
      <c r="H16381" s="11"/>
      <c r="I16381" s="15"/>
    </row>
    <row r="16382" spans="1:9" ht="16.5">
      <c r="A16382" s="10" t="b">
        <v>0</v>
      </c>
      <c r="B16382" s="11" t="str">
        <f>IF(D16382&lt;&gt;"",IF(COUNTIF('USPTO TMs'!A:A,D16382)&gt;0,"Yes","No"),"")</f>
        <v/>
      </c>
      <c r="C16382" s="11"/>
      <c r="D16382" s="11"/>
      <c r="E16382" s="11"/>
      <c r="F16382" s="11"/>
      <c r="G16382" s="11"/>
      <c r="H16382" s="11"/>
      <c r="I16382" s="15"/>
    </row>
    <row r="16383" spans="1:9" ht="16.5">
      <c r="A16383" s="10" t="b">
        <v>0</v>
      </c>
      <c r="B16383" s="11" t="str">
        <f>IF(D16383&lt;&gt;"",IF(COUNTIF('USPTO TMs'!A:A,D16383)&gt;0,"Yes","No"),"")</f>
        <v/>
      </c>
      <c r="C16383" s="11"/>
      <c r="D16383" s="11"/>
      <c r="E16383" s="11"/>
      <c r="F16383" s="11"/>
      <c r="G16383" s="11"/>
      <c r="H16383" s="11"/>
      <c r="I16383" s="15"/>
    </row>
    <row r="16384" spans="1:9" ht="16.5">
      <c r="A16384" s="10" t="b">
        <v>0</v>
      </c>
      <c r="B16384" s="11" t="str">
        <f>IF(D16384&lt;&gt;"",IF(COUNTIF('USPTO TMs'!A:A,D16384)&gt;0,"Yes","No"),"")</f>
        <v/>
      </c>
      <c r="C16384" s="11"/>
      <c r="D16384" s="11"/>
      <c r="E16384" s="11"/>
      <c r="F16384" s="11"/>
      <c r="G16384" s="11"/>
      <c r="H16384" s="11"/>
      <c r="I16384" s="15"/>
    </row>
    <row r="16385" spans="1:9" ht="16.5">
      <c r="A16385" s="10" t="b">
        <v>0</v>
      </c>
      <c r="B16385" s="11" t="str">
        <f>IF(D16385&lt;&gt;"",IF(COUNTIF('USPTO TMs'!A:A,D16385)&gt;0,"Yes","No"),"")</f>
        <v/>
      </c>
      <c r="C16385" s="11"/>
      <c r="D16385" s="11"/>
      <c r="E16385" s="11"/>
      <c r="F16385" s="11"/>
      <c r="G16385" s="11"/>
      <c r="H16385" s="11"/>
      <c r="I16385" s="15"/>
    </row>
    <row r="16386" spans="1:9" ht="16.5">
      <c r="A16386" s="10" t="b">
        <v>0</v>
      </c>
      <c r="B16386" s="11" t="str">
        <f>IF(D16386&lt;&gt;"",IF(COUNTIF('USPTO TMs'!A:A,D16386)&gt;0,"Yes","No"),"")</f>
        <v/>
      </c>
      <c r="C16386" s="11"/>
      <c r="D16386" s="11"/>
      <c r="E16386" s="11"/>
      <c r="F16386" s="11"/>
      <c r="G16386" s="11"/>
      <c r="H16386" s="11"/>
      <c r="I16386" s="15"/>
    </row>
    <row r="16387" spans="1:9" ht="16.5">
      <c r="A16387" s="10" t="b">
        <v>0</v>
      </c>
      <c r="B16387" s="11" t="str">
        <f>IF(D16387&lt;&gt;"",IF(COUNTIF('USPTO TMs'!A:A,D16387)&gt;0,"Yes","No"),"")</f>
        <v/>
      </c>
      <c r="C16387" s="11"/>
      <c r="D16387" s="11"/>
      <c r="E16387" s="11"/>
      <c r="F16387" s="11"/>
      <c r="G16387" s="11"/>
      <c r="H16387" s="11"/>
      <c r="I16387" s="15"/>
    </row>
    <row r="16388" spans="1:9" ht="16.5">
      <c r="A16388" s="10" t="b">
        <v>0</v>
      </c>
      <c r="B16388" s="11" t="str">
        <f>IF(D16388&lt;&gt;"",IF(COUNTIF('USPTO TMs'!A:A,D16388)&gt;0,"Yes","No"),"")</f>
        <v/>
      </c>
      <c r="C16388" s="11"/>
      <c r="D16388" s="11"/>
      <c r="E16388" s="11"/>
      <c r="F16388" s="11"/>
      <c r="G16388" s="11"/>
      <c r="H16388" s="11"/>
      <c r="I16388" s="15"/>
    </row>
    <row r="16389" spans="1:9" ht="16.5">
      <c r="A16389" s="10" t="b">
        <v>0</v>
      </c>
      <c r="B16389" s="11" t="str">
        <f>IF(D16389&lt;&gt;"",IF(COUNTIF('USPTO TMs'!A:A,D16389)&gt;0,"Yes","No"),"")</f>
        <v/>
      </c>
      <c r="C16389" s="11"/>
      <c r="D16389" s="11"/>
      <c r="E16389" s="11"/>
      <c r="F16389" s="11"/>
      <c r="G16389" s="11"/>
      <c r="H16389" s="11"/>
      <c r="I16389" s="15"/>
    </row>
    <row r="16390" spans="1:9" ht="16.5">
      <c r="A16390" s="10" t="b">
        <v>0</v>
      </c>
      <c r="B16390" s="11" t="str">
        <f>IF(D16390&lt;&gt;"",IF(COUNTIF('USPTO TMs'!A:A,D16390)&gt;0,"Yes","No"),"")</f>
        <v/>
      </c>
      <c r="C16390" s="11"/>
      <c r="D16390" s="11"/>
      <c r="E16390" s="11"/>
      <c r="F16390" s="11"/>
      <c r="G16390" s="11"/>
      <c r="H16390" s="11"/>
      <c r="I16390" s="15"/>
    </row>
    <row r="16391" spans="1:9" ht="16.5">
      <c r="A16391" s="10" t="b">
        <v>0</v>
      </c>
      <c r="B16391" s="11" t="str">
        <f>IF(D16391&lt;&gt;"",IF(COUNTIF('USPTO TMs'!A:A,D16391)&gt;0,"Yes","No"),"")</f>
        <v/>
      </c>
      <c r="C16391" s="11"/>
      <c r="D16391" s="11"/>
      <c r="E16391" s="11"/>
      <c r="F16391" s="11"/>
      <c r="G16391" s="11"/>
      <c r="H16391" s="11"/>
      <c r="I16391" s="15"/>
    </row>
    <row r="16392" spans="1:9" ht="16.5">
      <c r="A16392" s="10" t="b">
        <v>0</v>
      </c>
      <c r="B16392" s="11" t="str">
        <f>IF(D16392&lt;&gt;"",IF(COUNTIF('USPTO TMs'!A:A,D16392)&gt;0,"Yes","No"),"")</f>
        <v/>
      </c>
      <c r="C16392" s="11"/>
      <c r="D16392" s="11"/>
      <c r="E16392" s="11"/>
      <c r="F16392" s="11"/>
      <c r="G16392" s="11"/>
      <c r="H16392" s="11"/>
      <c r="I16392" s="15"/>
    </row>
    <row r="16393" spans="1:9" ht="16.5">
      <c r="A16393" s="10" t="b">
        <v>0</v>
      </c>
      <c r="B16393" s="11" t="str">
        <f>IF(D16393&lt;&gt;"",IF(COUNTIF('USPTO TMs'!A:A,D16393)&gt;0,"Yes","No"),"")</f>
        <v/>
      </c>
      <c r="C16393" s="11"/>
      <c r="D16393" s="11"/>
      <c r="E16393" s="11"/>
      <c r="F16393" s="11"/>
      <c r="G16393" s="11"/>
      <c r="H16393" s="11"/>
      <c r="I16393" s="15"/>
    </row>
    <row r="16394" spans="1:9" ht="16.5">
      <c r="A16394" s="10" t="b">
        <v>0</v>
      </c>
      <c r="B16394" s="11" t="str">
        <f>IF(D16394&lt;&gt;"",IF(COUNTIF('USPTO TMs'!A:A,D16394)&gt;0,"Yes","No"),"")</f>
        <v/>
      </c>
      <c r="C16394" s="11"/>
      <c r="D16394" s="11"/>
      <c r="E16394" s="11"/>
      <c r="F16394" s="11"/>
      <c r="G16394" s="11"/>
      <c r="H16394" s="11"/>
      <c r="I16394" s="15"/>
    </row>
    <row r="16395" spans="1:9" ht="16.5">
      <c r="A16395" s="10" t="b">
        <v>0</v>
      </c>
      <c r="B16395" s="11" t="str">
        <f>IF(D16395&lt;&gt;"",IF(COUNTIF('USPTO TMs'!A:A,D16395)&gt;0,"Yes","No"),"")</f>
        <v/>
      </c>
      <c r="C16395" s="11"/>
      <c r="D16395" s="11"/>
      <c r="E16395" s="11"/>
      <c r="F16395" s="11"/>
      <c r="G16395" s="11"/>
      <c r="H16395" s="11"/>
      <c r="I16395" s="15"/>
    </row>
    <row r="16396" spans="1:9" ht="16.5">
      <c r="A16396" s="10" t="b">
        <v>0</v>
      </c>
      <c r="B16396" s="11" t="str">
        <f>IF(D16396&lt;&gt;"",IF(COUNTIF('USPTO TMs'!A:A,D16396)&gt;0,"Yes","No"),"")</f>
        <v/>
      </c>
      <c r="C16396" s="11"/>
      <c r="D16396" s="11"/>
      <c r="E16396" s="11"/>
      <c r="F16396" s="11"/>
      <c r="G16396" s="11"/>
      <c r="H16396" s="11"/>
      <c r="I16396" s="15"/>
    </row>
    <row r="16397" spans="1:9" ht="16.5">
      <c r="A16397" s="10" t="b">
        <v>0</v>
      </c>
      <c r="B16397" s="11" t="str">
        <f>IF(D16397&lt;&gt;"",IF(COUNTIF('USPTO TMs'!A:A,D16397)&gt;0,"Yes","No"),"")</f>
        <v/>
      </c>
      <c r="C16397" s="11"/>
      <c r="D16397" s="11"/>
      <c r="E16397" s="11"/>
      <c r="F16397" s="11"/>
      <c r="G16397" s="11"/>
      <c r="H16397" s="11"/>
      <c r="I16397" s="15"/>
    </row>
    <row r="16398" spans="1:9" ht="16.5">
      <c r="A16398" s="10" t="b">
        <v>0</v>
      </c>
      <c r="B16398" s="11" t="str">
        <f>IF(D16398&lt;&gt;"",IF(COUNTIF('USPTO TMs'!A:A,D16398)&gt;0,"Yes","No"),"")</f>
        <v/>
      </c>
      <c r="C16398" s="11"/>
      <c r="D16398" s="11"/>
      <c r="E16398" s="11"/>
      <c r="F16398" s="11"/>
      <c r="G16398" s="11"/>
      <c r="H16398" s="11"/>
      <c r="I16398" s="15"/>
    </row>
    <row r="16399" spans="1:9" ht="16.5">
      <c r="A16399" s="10" t="b">
        <v>0</v>
      </c>
      <c r="B16399" s="11" t="str">
        <f>IF(D16399&lt;&gt;"",IF(COUNTIF('USPTO TMs'!A:A,D16399)&gt;0,"Yes","No"),"")</f>
        <v/>
      </c>
      <c r="C16399" s="11"/>
      <c r="D16399" s="11"/>
      <c r="E16399" s="11"/>
      <c r="F16399" s="11"/>
      <c r="G16399" s="11"/>
      <c r="H16399" s="11"/>
      <c r="I16399" s="15"/>
    </row>
    <row r="16400" spans="1:9" ht="16.5">
      <c r="A16400" s="10" t="b">
        <v>0</v>
      </c>
      <c r="B16400" s="11" t="str">
        <f>IF(D16400&lt;&gt;"",IF(COUNTIF('USPTO TMs'!A:A,D16400)&gt;0,"Yes","No"),"")</f>
        <v/>
      </c>
      <c r="C16400" s="11"/>
      <c r="D16400" s="11"/>
      <c r="E16400" s="11"/>
      <c r="F16400" s="11"/>
      <c r="G16400" s="11"/>
      <c r="H16400" s="11"/>
      <c r="I16400" s="15"/>
    </row>
    <row r="16401" spans="1:9" ht="16.5">
      <c r="A16401" s="10" t="b">
        <v>0</v>
      </c>
      <c r="B16401" s="11" t="str">
        <f>IF(D16401&lt;&gt;"",IF(COUNTIF('USPTO TMs'!A:A,D16401)&gt;0,"Yes","No"),"")</f>
        <v/>
      </c>
      <c r="C16401" s="11"/>
      <c r="D16401" s="11"/>
      <c r="E16401" s="11"/>
      <c r="F16401" s="11"/>
      <c r="G16401" s="11"/>
      <c r="H16401" s="11"/>
      <c r="I16401" s="15"/>
    </row>
    <row r="16402" spans="1:9" ht="16.5">
      <c r="A16402" s="10" t="b">
        <v>0</v>
      </c>
      <c r="B16402" s="11" t="str">
        <f>IF(D16402&lt;&gt;"",IF(COUNTIF('USPTO TMs'!A:A,D16402)&gt;0,"Yes","No"),"")</f>
        <v/>
      </c>
      <c r="C16402" s="11"/>
      <c r="D16402" s="11"/>
      <c r="E16402" s="11"/>
      <c r="F16402" s="11"/>
      <c r="G16402" s="11"/>
      <c r="H16402" s="11"/>
      <c r="I16402" s="15"/>
    </row>
    <row r="16403" spans="1:9" ht="16.5">
      <c r="A16403" s="10" t="b">
        <v>0</v>
      </c>
      <c r="B16403" s="11" t="str">
        <f>IF(D16403&lt;&gt;"",IF(COUNTIF('USPTO TMs'!A:A,D16403)&gt;0,"Yes","No"),"")</f>
        <v/>
      </c>
      <c r="C16403" s="11"/>
      <c r="D16403" s="11"/>
      <c r="E16403" s="11"/>
      <c r="F16403" s="11"/>
      <c r="G16403" s="11"/>
      <c r="H16403" s="11"/>
      <c r="I16403" s="15"/>
    </row>
    <row r="16404" spans="1:9" ht="16.5">
      <c r="A16404" s="10" t="b">
        <v>0</v>
      </c>
      <c r="B16404" s="11" t="str">
        <f>IF(D16404&lt;&gt;"",IF(COUNTIF('USPTO TMs'!A:A,D16404)&gt;0,"Yes","No"),"")</f>
        <v/>
      </c>
      <c r="C16404" s="11"/>
      <c r="D16404" s="11"/>
      <c r="E16404" s="11"/>
      <c r="F16404" s="11"/>
      <c r="G16404" s="11"/>
      <c r="H16404" s="11"/>
      <c r="I16404" s="15"/>
    </row>
    <row r="16405" spans="1:9" ht="16.5">
      <c r="A16405" s="10" t="b">
        <v>0</v>
      </c>
      <c r="B16405" s="11" t="str">
        <f>IF(D16405&lt;&gt;"",IF(COUNTIF('USPTO TMs'!A:A,D16405)&gt;0,"Yes","No"),"")</f>
        <v/>
      </c>
      <c r="C16405" s="11"/>
      <c r="D16405" s="11"/>
      <c r="E16405" s="11"/>
      <c r="F16405" s="11"/>
      <c r="G16405" s="11"/>
      <c r="H16405" s="11"/>
      <c r="I16405" s="15"/>
    </row>
    <row r="16406" spans="1:9" ht="16.5">
      <c r="A16406" s="10" t="b">
        <v>0</v>
      </c>
      <c r="B16406" s="11" t="str">
        <f>IF(D16406&lt;&gt;"",IF(COUNTIF('USPTO TMs'!A:A,D16406)&gt;0,"Yes","No"),"")</f>
        <v/>
      </c>
      <c r="C16406" s="11"/>
      <c r="D16406" s="11"/>
      <c r="E16406" s="11"/>
      <c r="F16406" s="11"/>
      <c r="G16406" s="11"/>
      <c r="H16406" s="11"/>
      <c r="I16406" s="15"/>
    </row>
    <row r="16407" spans="1:9" ht="16.5">
      <c r="A16407" s="10" t="b">
        <v>0</v>
      </c>
      <c r="B16407" s="11" t="str">
        <f>IF(D16407&lt;&gt;"",IF(COUNTIF('USPTO TMs'!A:A,D16407)&gt;0,"Yes","No"),"")</f>
        <v/>
      </c>
      <c r="C16407" s="11"/>
      <c r="D16407" s="11"/>
      <c r="E16407" s="11"/>
      <c r="F16407" s="11"/>
      <c r="G16407" s="11"/>
      <c r="H16407" s="11"/>
      <c r="I16407" s="15"/>
    </row>
    <row r="16408" spans="1:9" ht="16.5">
      <c r="A16408" s="10" t="b">
        <v>0</v>
      </c>
      <c r="B16408" s="11" t="str">
        <f>IF(D16408&lt;&gt;"",IF(COUNTIF('USPTO TMs'!A:A,D16408)&gt;0,"Yes","No"),"")</f>
        <v/>
      </c>
      <c r="C16408" s="11"/>
      <c r="D16408" s="11"/>
      <c r="E16408" s="11"/>
      <c r="F16408" s="11"/>
      <c r="G16408" s="11"/>
      <c r="H16408" s="11"/>
      <c r="I16408" s="15"/>
    </row>
    <row r="16409" spans="1:9" ht="16.5">
      <c r="A16409" s="10" t="b">
        <v>0</v>
      </c>
      <c r="B16409" s="11" t="str">
        <f>IF(D16409&lt;&gt;"",IF(COUNTIF('USPTO TMs'!A:A,D16409)&gt;0,"Yes","No"),"")</f>
        <v/>
      </c>
      <c r="C16409" s="11"/>
      <c r="D16409" s="11"/>
      <c r="E16409" s="11"/>
      <c r="F16409" s="11"/>
      <c r="G16409" s="11"/>
      <c r="H16409" s="11"/>
      <c r="I16409" s="15"/>
    </row>
    <row r="16410" spans="1:9" ht="16.5">
      <c r="A16410" s="10" t="b">
        <v>0</v>
      </c>
      <c r="B16410" s="11" t="str">
        <f>IF(D16410&lt;&gt;"",IF(COUNTIF('USPTO TMs'!A:A,D16410)&gt;0,"Yes","No"),"")</f>
        <v/>
      </c>
      <c r="C16410" s="11"/>
      <c r="D16410" s="11"/>
      <c r="E16410" s="11"/>
      <c r="F16410" s="11"/>
      <c r="G16410" s="11"/>
      <c r="H16410" s="11"/>
      <c r="I16410" s="15"/>
    </row>
    <row r="16411" spans="1:9" ht="16.5">
      <c r="A16411" s="10" t="b">
        <v>0</v>
      </c>
      <c r="B16411" s="11" t="str">
        <f>IF(D16411&lt;&gt;"",IF(COUNTIF('USPTO TMs'!A:A,D16411)&gt;0,"Yes","No"),"")</f>
        <v/>
      </c>
      <c r="C16411" s="11"/>
      <c r="D16411" s="11"/>
      <c r="E16411" s="11"/>
      <c r="F16411" s="11"/>
      <c r="G16411" s="11"/>
      <c r="H16411" s="11"/>
      <c r="I16411" s="15"/>
    </row>
    <row r="16412" spans="1:9" ht="16.5">
      <c r="A16412" s="10" t="b">
        <v>0</v>
      </c>
      <c r="B16412" s="11" t="str">
        <f>IF(D16412&lt;&gt;"",IF(COUNTIF('USPTO TMs'!A:A,D16412)&gt;0,"Yes","No"),"")</f>
        <v/>
      </c>
      <c r="C16412" s="11"/>
      <c r="D16412" s="11"/>
      <c r="E16412" s="11"/>
      <c r="F16412" s="11"/>
      <c r="G16412" s="11"/>
      <c r="H16412" s="11"/>
      <c r="I16412" s="15"/>
    </row>
    <row r="16413" spans="1:9" ht="16.5">
      <c r="A16413" s="10" t="b">
        <v>0</v>
      </c>
      <c r="B16413" s="11" t="str">
        <f>IF(D16413&lt;&gt;"",IF(COUNTIF('USPTO TMs'!A:A,D16413)&gt;0,"Yes","No"),"")</f>
        <v/>
      </c>
      <c r="C16413" s="11"/>
      <c r="D16413" s="11"/>
      <c r="E16413" s="11"/>
      <c r="F16413" s="11"/>
      <c r="G16413" s="11"/>
      <c r="H16413" s="11"/>
      <c r="I16413" s="15"/>
    </row>
    <row r="16414" spans="1:9" ht="16.5">
      <c r="A16414" s="10" t="b">
        <v>0</v>
      </c>
      <c r="B16414" s="11" t="str">
        <f>IF(D16414&lt;&gt;"",IF(COUNTIF('USPTO TMs'!A:A,D16414)&gt;0,"Yes","No"),"")</f>
        <v/>
      </c>
      <c r="C16414" s="11"/>
      <c r="D16414" s="11"/>
      <c r="E16414" s="11"/>
      <c r="F16414" s="11"/>
      <c r="G16414" s="11"/>
      <c r="H16414" s="11"/>
      <c r="I16414" s="15"/>
    </row>
    <row r="16415" spans="1:9" ht="16.5">
      <c r="A16415" s="10" t="b">
        <v>0</v>
      </c>
      <c r="B16415" s="11" t="str">
        <f>IF(D16415&lt;&gt;"",IF(COUNTIF('USPTO TMs'!A:A,D16415)&gt;0,"Yes","No"),"")</f>
        <v/>
      </c>
      <c r="C16415" s="11"/>
      <c r="D16415" s="11"/>
      <c r="E16415" s="11"/>
      <c r="F16415" s="11"/>
      <c r="G16415" s="11"/>
      <c r="H16415" s="11"/>
      <c r="I16415" s="15"/>
    </row>
    <row r="16416" spans="1:9" ht="16.5">
      <c r="A16416" s="10" t="b">
        <v>0</v>
      </c>
      <c r="B16416" s="11" t="str">
        <f>IF(D16416&lt;&gt;"",IF(COUNTIF('USPTO TMs'!A:A,D16416)&gt;0,"Yes","No"),"")</f>
        <v/>
      </c>
      <c r="C16416" s="11"/>
      <c r="D16416" s="11"/>
      <c r="E16416" s="11"/>
      <c r="F16416" s="11"/>
      <c r="G16416" s="11"/>
      <c r="H16416" s="11"/>
      <c r="I16416" s="15"/>
    </row>
    <row r="16417" spans="1:9" ht="16.5">
      <c r="A16417" s="10" t="b">
        <v>0</v>
      </c>
      <c r="B16417" s="11" t="str">
        <f>IF(D16417&lt;&gt;"",IF(COUNTIF('USPTO TMs'!A:A,D16417)&gt;0,"Yes","No"),"")</f>
        <v/>
      </c>
      <c r="C16417" s="11"/>
      <c r="D16417" s="11"/>
      <c r="E16417" s="11"/>
      <c r="F16417" s="11"/>
      <c r="G16417" s="11"/>
      <c r="H16417" s="11"/>
      <c r="I16417" s="15"/>
    </row>
    <row r="16418" spans="1:9" ht="16.5">
      <c r="A16418" s="10" t="b">
        <v>0</v>
      </c>
      <c r="B16418" s="11" t="str">
        <f>IF(D16418&lt;&gt;"",IF(COUNTIF('USPTO TMs'!A:A,D16418)&gt;0,"Yes","No"),"")</f>
        <v/>
      </c>
      <c r="C16418" s="11"/>
      <c r="D16418" s="11"/>
      <c r="E16418" s="11"/>
      <c r="F16418" s="11"/>
      <c r="G16418" s="11"/>
      <c r="H16418" s="11"/>
      <c r="I16418" s="15"/>
    </row>
    <row r="16419" spans="1:9" ht="16.5">
      <c r="A16419" s="10" t="b">
        <v>0</v>
      </c>
      <c r="B16419" s="11" t="str">
        <f>IF(D16419&lt;&gt;"",IF(COUNTIF('USPTO TMs'!A:A,D16419)&gt;0,"Yes","No"),"")</f>
        <v/>
      </c>
      <c r="C16419" s="11"/>
      <c r="D16419" s="11"/>
      <c r="E16419" s="11"/>
      <c r="F16419" s="11"/>
      <c r="G16419" s="11"/>
      <c r="H16419" s="11"/>
      <c r="I16419" s="15"/>
    </row>
    <row r="16420" spans="1:9" ht="16.5">
      <c r="A16420" s="10" t="b">
        <v>0</v>
      </c>
      <c r="B16420" s="11" t="str">
        <f>IF(D16420&lt;&gt;"",IF(COUNTIF('USPTO TMs'!A:A,D16420)&gt;0,"Yes","No"),"")</f>
        <v/>
      </c>
      <c r="C16420" s="11"/>
      <c r="D16420" s="11"/>
      <c r="E16420" s="11"/>
      <c r="F16420" s="11"/>
      <c r="G16420" s="11"/>
      <c r="H16420" s="11"/>
      <c r="I16420" s="15"/>
    </row>
    <row r="16421" spans="1:9" ht="16.5">
      <c r="A16421" s="10" t="b">
        <v>0</v>
      </c>
      <c r="B16421" s="11" t="str">
        <f>IF(D16421&lt;&gt;"",IF(COUNTIF('USPTO TMs'!A:A,D16421)&gt;0,"Yes","No"),"")</f>
        <v/>
      </c>
      <c r="C16421" s="11"/>
      <c r="D16421" s="11"/>
      <c r="E16421" s="11"/>
      <c r="F16421" s="11"/>
      <c r="G16421" s="11"/>
      <c r="H16421" s="11"/>
      <c r="I16421" s="15"/>
    </row>
    <row r="16422" spans="1:9" ht="16.5">
      <c r="A16422" s="10" t="b">
        <v>0</v>
      </c>
      <c r="B16422" s="11" t="str">
        <f>IF(D16422&lt;&gt;"",IF(COUNTIF('USPTO TMs'!A:A,D16422)&gt;0,"Yes","No"),"")</f>
        <v/>
      </c>
      <c r="C16422" s="11"/>
      <c r="D16422" s="11"/>
      <c r="E16422" s="11"/>
      <c r="F16422" s="11"/>
      <c r="G16422" s="11"/>
      <c r="H16422" s="11"/>
      <c r="I16422" s="15"/>
    </row>
    <row r="16423" spans="1:9" ht="16.5">
      <c r="A16423" s="10" t="b">
        <v>0</v>
      </c>
      <c r="B16423" s="11" t="str">
        <f>IF(D16423&lt;&gt;"",IF(COUNTIF('USPTO TMs'!A:A,D16423)&gt;0,"Yes","No"),"")</f>
        <v/>
      </c>
      <c r="C16423" s="11"/>
      <c r="D16423" s="11"/>
      <c r="E16423" s="11"/>
      <c r="F16423" s="11"/>
      <c r="G16423" s="11"/>
      <c r="H16423" s="11"/>
      <c r="I16423" s="15"/>
    </row>
    <row r="16424" spans="1:9" ht="16.5">
      <c r="A16424" s="10" t="b">
        <v>0</v>
      </c>
      <c r="B16424" s="11" t="str">
        <f>IF(D16424&lt;&gt;"",IF(COUNTIF('USPTO TMs'!A:A,D16424)&gt;0,"Yes","No"),"")</f>
        <v/>
      </c>
      <c r="C16424" s="11"/>
      <c r="D16424" s="11"/>
      <c r="E16424" s="11"/>
      <c r="F16424" s="11"/>
      <c r="G16424" s="11"/>
      <c r="H16424" s="11"/>
      <c r="I16424" s="15"/>
    </row>
    <row r="16425" spans="1:9" ht="16.5">
      <c r="A16425" s="10" t="b">
        <v>0</v>
      </c>
      <c r="B16425" s="11" t="str">
        <f>IF(D16425&lt;&gt;"",IF(COUNTIF('USPTO TMs'!A:A,D16425)&gt;0,"Yes","No"),"")</f>
        <v/>
      </c>
      <c r="C16425" s="11"/>
      <c r="D16425" s="11"/>
      <c r="E16425" s="11"/>
      <c r="F16425" s="11"/>
      <c r="G16425" s="11"/>
      <c r="H16425" s="11"/>
      <c r="I16425" s="15"/>
    </row>
    <row r="16426" spans="1:9" ht="16.5">
      <c r="A16426" s="10" t="b">
        <v>0</v>
      </c>
      <c r="B16426" s="11" t="str">
        <f>IF(D16426&lt;&gt;"",IF(COUNTIF('USPTO TMs'!A:A,D16426)&gt;0,"Yes","No"),"")</f>
        <v/>
      </c>
      <c r="C16426" s="11"/>
      <c r="D16426" s="11"/>
      <c r="E16426" s="11"/>
      <c r="F16426" s="11"/>
      <c r="G16426" s="11"/>
      <c r="H16426" s="11"/>
      <c r="I16426" s="15"/>
    </row>
    <row r="16427" spans="1:9" ht="16.5">
      <c r="A16427" s="10" t="b">
        <v>0</v>
      </c>
      <c r="B16427" s="11" t="str">
        <f>IF(D16427&lt;&gt;"",IF(COUNTIF('USPTO TMs'!A:A,D16427)&gt;0,"Yes","No"),"")</f>
        <v/>
      </c>
      <c r="C16427" s="11"/>
      <c r="D16427" s="11"/>
      <c r="E16427" s="11"/>
      <c r="F16427" s="11"/>
      <c r="G16427" s="11"/>
      <c r="H16427" s="11"/>
      <c r="I16427" s="15"/>
    </row>
    <row r="16428" spans="1:9" ht="16.5">
      <c r="A16428" s="10" t="b">
        <v>0</v>
      </c>
      <c r="B16428" s="11" t="str">
        <f>IF(D16428&lt;&gt;"",IF(COUNTIF('USPTO TMs'!A:A,D16428)&gt;0,"Yes","No"),"")</f>
        <v/>
      </c>
      <c r="C16428" s="11"/>
      <c r="D16428" s="11"/>
      <c r="E16428" s="11"/>
      <c r="F16428" s="11"/>
      <c r="G16428" s="11"/>
      <c r="H16428" s="11"/>
      <c r="I16428" s="15"/>
    </row>
    <row r="16429" spans="1:9" ht="16.5">
      <c r="A16429" s="10" t="b">
        <v>0</v>
      </c>
      <c r="B16429" s="11" t="str">
        <f>IF(D16429&lt;&gt;"",IF(COUNTIF('USPTO TMs'!A:A,D16429)&gt;0,"Yes","No"),"")</f>
        <v/>
      </c>
      <c r="C16429" s="11"/>
      <c r="D16429" s="11"/>
      <c r="E16429" s="11"/>
      <c r="F16429" s="11"/>
      <c r="G16429" s="11"/>
      <c r="H16429" s="11"/>
      <c r="I16429" s="15"/>
    </row>
    <row r="16430" spans="1:9" ht="16.5">
      <c r="A16430" s="10" t="b">
        <v>0</v>
      </c>
      <c r="B16430" s="11" t="str">
        <f>IF(D16430&lt;&gt;"",IF(COUNTIF('USPTO TMs'!A:A,D16430)&gt;0,"Yes","No"),"")</f>
        <v/>
      </c>
      <c r="C16430" s="11"/>
      <c r="D16430" s="11"/>
      <c r="E16430" s="11"/>
      <c r="F16430" s="11"/>
      <c r="G16430" s="11"/>
      <c r="H16430" s="11"/>
      <c r="I16430" s="15"/>
    </row>
    <row r="16431" spans="1:9" ht="16.5">
      <c r="A16431" s="10" t="b">
        <v>0</v>
      </c>
      <c r="B16431" s="11" t="str">
        <f>IF(D16431&lt;&gt;"",IF(COUNTIF('USPTO TMs'!A:A,D16431)&gt;0,"Yes","No"),"")</f>
        <v/>
      </c>
      <c r="C16431" s="11"/>
      <c r="D16431" s="11"/>
      <c r="E16431" s="11"/>
      <c r="F16431" s="11"/>
      <c r="G16431" s="11"/>
      <c r="H16431" s="11"/>
      <c r="I16431" s="15"/>
    </row>
    <row r="16432" spans="1:9" ht="16.5">
      <c r="A16432" s="10" t="b">
        <v>0</v>
      </c>
      <c r="B16432" s="11" t="str">
        <f>IF(D16432&lt;&gt;"",IF(COUNTIF('USPTO TMs'!A:A,D16432)&gt;0,"Yes","No"),"")</f>
        <v/>
      </c>
      <c r="C16432" s="11"/>
      <c r="D16432" s="11"/>
      <c r="E16432" s="11"/>
      <c r="F16432" s="11"/>
      <c r="G16432" s="11"/>
      <c r="H16432" s="11"/>
      <c r="I16432" s="15"/>
    </row>
    <row r="16433" spans="1:9" ht="16.5">
      <c r="A16433" s="10" t="b">
        <v>0</v>
      </c>
      <c r="B16433" s="11" t="str">
        <f>IF(D16433&lt;&gt;"",IF(COUNTIF('USPTO TMs'!A:A,D16433)&gt;0,"Yes","No"),"")</f>
        <v/>
      </c>
      <c r="C16433" s="11"/>
      <c r="D16433" s="11"/>
      <c r="E16433" s="11"/>
      <c r="F16433" s="11"/>
      <c r="G16433" s="11"/>
      <c r="H16433" s="11"/>
      <c r="I16433" s="15"/>
    </row>
    <row r="16434" spans="1:9" ht="16.5">
      <c r="A16434" s="10" t="b">
        <v>0</v>
      </c>
      <c r="B16434" s="11" t="str">
        <f>IF(D16434&lt;&gt;"",IF(COUNTIF('USPTO TMs'!A:A,D16434)&gt;0,"Yes","No"),"")</f>
        <v/>
      </c>
      <c r="C16434" s="11"/>
      <c r="D16434" s="11"/>
      <c r="E16434" s="11"/>
      <c r="F16434" s="11"/>
      <c r="G16434" s="11"/>
      <c r="H16434" s="11"/>
      <c r="I16434" s="15"/>
    </row>
    <row r="16435" spans="1:9" ht="16.5">
      <c r="A16435" s="10" t="b">
        <v>0</v>
      </c>
      <c r="B16435" s="11" t="str">
        <f>IF(D16435&lt;&gt;"",IF(COUNTIF('USPTO TMs'!A:A,D16435)&gt;0,"Yes","No"),"")</f>
        <v/>
      </c>
      <c r="C16435" s="11"/>
      <c r="D16435" s="11"/>
      <c r="E16435" s="11"/>
      <c r="F16435" s="11"/>
      <c r="G16435" s="11"/>
      <c r="H16435" s="11"/>
      <c r="I16435" s="15"/>
    </row>
    <row r="16436" spans="1:9" ht="16.5">
      <c r="A16436" s="10" t="b">
        <v>0</v>
      </c>
      <c r="B16436" s="11" t="str">
        <f>IF(D16436&lt;&gt;"",IF(COUNTIF('USPTO TMs'!A:A,D16436)&gt;0,"Yes","No"),"")</f>
        <v/>
      </c>
      <c r="C16436" s="11"/>
      <c r="D16436" s="11"/>
      <c r="E16436" s="11"/>
      <c r="F16436" s="11"/>
      <c r="G16436" s="11"/>
      <c r="H16436" s="11"/>
      <c r="I16436" s="15"/>
    </row>
    <row r="16437" spans="1:9" ht="16.5">
      <c r="A16437" s="10" t="b">
        <v>0</v>
      </c>
      <c r="B16437" s="11" t="str">
        <f>IF(D16437&lt;&gt;"",IF(COUNTIF('USPTO TMs'!A:A,D16437)&gt;0,"Yes","No"),"")</f>
        <v/>
      </c>
      <c r="C16437" s="11"/>
      <c r="D16437" s="11"/>
      <c r="E16437" s="11"/>
      <c r="F16437" s="11"/>
      <c r="G16437" s="11"/>
      <c r="H16437" s="11"/>
      <c r="I16437" s="15"/>
    </row>
    <row r="16438" spans="1:9" ht="16.5">
      <c r="A16438" s="10" t="b">
        <v>0</v>
      </c>
      <c r="B16438" s="11" t="str">
        <f>IF(D16438&lt;&gt;"",IF(COUNTIF('USPTO TMs'!A:A,D16438)&gt;0,"Yes","No"),"")</f>
        <v/>
      </c>
      <c r="C16438" s="11"/>
      <c r="D16438" s="11"/>
      <c r="E16438" s="11"/>
      <c r="F16438" s="11"/>
      <c r="G16438" s="11"/>
      <c r="H16438" s="11"/>
      <c r="I16438" s="15"/>
    </row>
    <row r="16439" spans="1:9" ht="16.5">
      <c r="A16439" s="10" t="b">
        <v>0</v>
      </c>
      <c r="B16439" s="11" t="str">
        <f>IF(D16439&lt;&gt;"",IF(COUNTIF('USPTO TMs'!A:A,D16439)&gt;0,"Yes","No"),"")</f>
        <v/>
      </c>
      <c r="C16439" s="11"/>
      <c r="D16439" s="11"/>
      <c r="E16439" s="11"/>
      <c r="F16439" s="11"/>
      <c r="G16439" s="11"/>
      <c r="H16439" s="11"/>
      <c r="I16439" s="15"/>
    </row>
    <row r="16440" spans="1:9" ht="16.5">
      <c r="A16440" s="10" t="b">
        <v>0</v>
      </c>
      <c r="B16440" s="11" t="str">
        <f>IF(D16440&lt;&gt;"",IF(COUNTIF('USPTO TMs'!A:A,D16440)&gt;0,"Yes","No"),"")</f>
        <v/>
      </c>
      <c r="C16440" s="11"/>
      <c r="D16440" s="11"/>
      <c r="E16440" s="11"/>
      <c r="F16440" s="11"/>
      <c r="G16440" s="11"/>
      <c r="H16440" s="11"/>
      <c r="I16440" s="15"/>
    </row>
    <row r="16441" spans="1:9" ht="16.5">
      <c r="A16441" s="10" t="b">
        <v>0</v>
      </c>
      <c r="B16441" s="11" t="str">
        <f>IF(D16441&lt;&gt;"",IF(COUNTIF('USPTO TMs'!A:A,D16441)&gt;0,"Yes","No"),"")</f>
        <v/>
      </c>
      <c r="C16441" s="11"/>
      <c r="D16441" s="11"/>
      <c r="E16441" s="11"/>
      <c r="F16441" s="11"/>
      <c r="G16441" s="11"/>
      <c r="H16441" s="11"/>
      <c r="I16441" s="15"/>
    </row>
    <row r="16442" spans="1:9" ht="16.5">
      <c r="A16442" s="10" t="b">
        <v>0</v>
      </c>
      <c r="B16442" s="11" t="str">
        <f>IF(D16442&lt;&gt;"",IF(COUNTIF('USPTO TMs'!A:A,D16442)&gt;0,"Yes","No"),"")</f>
        <v/>
      </c>
      <c r="C16442" s="11"/>
      <c r="D16442" s="11"/>
      <c r="E16442" s="11"/>
      <c r="F16442" s="11"/>
      <c r="G16442" s="11"/>
      <c r="H16442" s="11"/>
      <c r="I16442" s="15"/>
    </row>
    <row r="16443" spans="1:9" ht="16.5">
      <c r="A16443" s="10" t="b">
        <v>0</v>
      </c>
      <c r="B16443" s="11" t="str">
        <f>IF(D16443&lt;&gt;"",IF(COUNTIF('USPTO TMs'!A:A,D16443)&gt;0,"Yes","No"),"")</f>
        <v/>
      </c>
      <c r="C16443" s="11"/>
      <c r="D16443" s="11"/>
      <c r="E16443" s="11"/>
      <c r="F16443" s="11"/>
      <c r="G16443" s="11"/>
      <c r="H16443" s="11"/>
      <c r="I16443" s="15"/>
    </row>
    <row r="16444" spans="1:9" ht="16.5">
      <c r="A16444" s="10" t="b">
        <v>0</v>
      </c>
      <c r="B16444" s="11" t="str">
        <f>IF(D16444&lt;&gt;"",IF(COUNTIF('USPTO TMs'!A:A,D16444)&gt;0,"Yes","No"),"")</f>
        <v/>
      </c>
      <c r="C16444" s="11"/>
      <c r="D16444" s="11"/>
      <c r="E16444" s="11"/>
      <c r="F16444" s="11"/>
      <c r="G16444" s="11"/>
      <c r="H16444" s="11"/>
      <c r="I16444" s="15"/>
    </row>
    <row r="16445" spans="1:9" ht="16.5">
      <c r="A16445" s="10" t="b">
        <v>0</v>
      </c>
      <c r="B16445" s="11" t="str">
        <f>IF(D16445&lt;&gt;"",IF(COUNTIF('USPTO TMs'!A:A,D16445)&gt;0,"Yes","No"),"")</f>
        <v/>
      </c>
      <c r="C16445" s="11"/>
      <c r="D16445" s="11"/>
      <c r="E16445" s="11"/>
      <c r="F16445" s="11"/>
      <c r="G16445" s="11"/>
      <c r="H16445" s="11"/>
      <c r="I16445" s="15"/>
    </row>
    <row r="16446" spans="1:9" ht="16.5">
      <c r="A16446" s="10" t="b">
        <v>0</v>
      </c>
      <c r="B16446" s="11" t="str">
        <f>IF(D16446&lt;&gt;"",IF(COUNTIF('USPTO TMs'!A:A,D16446)&gt;0,"Yes","No"),"")</f>
        <v/>
      </c>
      <c r="C16446" s="11"/>
      <c r="D16446" s="11"/>
      <c r="E16446" s="11"/>
      <c r="F16446" s="11"/>
      <c r="G16446" s="11"/>
      <c r="H16446" s="11"/>
      <c r="I16446" s="15"/>
    </row>
    <row r="16447" spans="1:9" ht="16.5">
      <c r="A16447" s="10" t="b">
        <v>0</v>
      </c>
      <c r="B16447" s="11" t="str">
        <f>IF(D16447&lt;&gt;"",IF(COUNTIF('USPTO TMs'!A:A,D16447)&gt;0,"Yes","No"),"")</f>
        <v/>
      </c>
      <c r="C16447" s="11"/>
      <c r="D16447" s="11"/>
      <c r="E16447" s="11"/>
      <c r="F16447" s="11"/>
      <c r="G16447" s="11"/>
      <c r="H16447" s="11"/>
      <c r="I16447" s="15"/>
    </row>
    <row r="16448" spans="1:9" ht="16.5">
      <c r="A16448" s="10" t="b">
        <v>0</v>
      </c>
      <c r="B16448" s="11" t="str">
        <f>IF(D16448&lt;&gt;"",IF(COUNTIF('USPTO TMs'!A:A,D16448)&gt;0,"Yes","No"),"")</f>
        <v/>
      </c>
      <c r="C16448" s="11"/>
      <c r="D16448" s="11"/>
      <c r="E16448" s="11"/>
      <c r="F16448" s="11"/>
      <c r="G16448" s="11"/>
      <c r="H16448" s="11"/>
      <c r="I16448" s="15"/>
    </row>
    <row r="16449" spans="1:9" ht="16.5">
      <c r="A16449" s="10" t="b">
        <v>0</v>
      </c>
      <c r="B16449" s="11" t="str">
        <f>IF(D16449&lt;&gt;"",IF(COUNTIF('USPTO TMs'!A:A,D16449)&gt;0,"Yes","No"),"")</f>
        <v/>
      </c>
      <c r="C16449" s="11"/>
      <c r="D16449" s="11"/>
      <c r="E16449" s="11"/>
      <c r="F16449" s="11"/>
      <c r="G16449" s="11"/>
      <c r="H16449" s="11"/>
      <c r="I16449" s="15"/>
    </row>
    <row r="16450" spans="1:9" ht="16.5">
      <c r="A16450" s="10" t="b">
        <v>0</v>
      </c>
      <c r="B16450" s="11" t="str">
        <f>IF(D16450&lt;&gt;"",IF(COUNTIF('USPTO TMs'!A:A,D16450)&gt;0,"Yes","No"),"")</f>
        <v/>
      </c>
      <c r="C16450" s="11"/>
      <c r="D16450" s="11"/>
      <c r="E16450" s="11"/>
      <c r="F16450" s="11"/>
      <c r="G16450" s="11"/>
      <c r="H16450" s="11"/>
      <c r="I16450" s="15"/>
    </row>
    <row r="16451" spans="1:9" ht="16.5">
      <c r="A16451" s="10" t="b">
        <v>0</v>
      </c>
      <c r="B16451" s="11" t="str">
        <f>IF(D16451&lt;&gt;"",IF(COUNTIF('USPTO TMs'!A:A,D16451)&gt;0,"Yes","No"),"")</f>
        <v/>
      </c>
      <c r="C16451" s="11"/>
      <c r="D16451" s="11"/>
      <c r="E16451" s="11"/>
      <c r="F16451" s="11"/>
      <c r="G16451" s="11"/>
      <c r="H16451" s="11"/>
      <c r="I16451" s="15"/>
    </row>
    <row r="16452" spans="1:9" ht="16.5">
      <c r="A16452" s="10" t="b">
        <v>0</v>
      </c>
      <c r="B16452" s="11" t="str">
        <f>IF(D16452&lt;&gt;"",IF(COUNTIF('USPTO TMs'!A:A,D16452)&gt;0,"Yes","No"),"")</f>
        <v/>
      </c>
      <c r="C16452" s="11"/>
      <c r="D16452" s="11"/>
      <c r="E16452" s="11"/>
      <c r="F16452" s="11"/>
      <c r="G16452" s="11"/>
      <c r="H16452" s="11"/>
      <c r="I16452" s="15"/>
    </row>
    <row r="16453" spans="1:9" ht="16.5">
      <c r="A16453" s="10" t="b">
        <v>0</v>
      </c>
      <c r="B16453" s="11" t="str">
        <f>IF(D16453&lt;&gt;"",IF(COUNTIF('USPTO TMs'!A:A,D16453)&gt;0,"Yes","No"),"")</f>
        <v/>
      </c>
      <c r="C16453" s="11"/>
      <c r="D16453" s="11"/>
      <c r="E16453" s="11"/>
      <c r="F16453" s="11"/>
      <c r="G16453" s="11"/>
      <c r="H16453" s="11"/>
      <c r="I16453" s="15"/>
    </row>
    <row r="16454" spans="1:9" ht="16.5">
      <c r="A16454" s="10" t="b">
        <v>0</v>
      </c>
      <c r="B16454" s="11" t="str">
        <f>IF(D16454&lt;&gt;"",IF(COUNTIF('USPTO TMs'!A:A,D16454)&gt;0,"Yes","No"),"")</f>
        <v/>
      </c>
      <c r="C16454" s="11"/>
      <c r="D16454" s="11"/>
      <c r="E16454" s="11"/>
      <c r="F16454" s="11"/>
      <c r="G16454" s="11"/>
      <c r="H16454" s="11"/>
      <c r="I16454" s="15"/>
    </row>
    <row r="16455" spans="1:9" ht="16.5">
      <c r="A16455" s="10" t="b">
        <v>0</v>
      </c>
      <c r="B16455" s="11" t="str">
        <f>IF(D16455&lt;&gt;"",IF(COUNTIF('USPTO TMs'!A:A,D16455)&gt;0,"Yes","No"),"")</f>
        <v/>
      </c>
      <c r="C16455" s="11"/>
      <c r="D16455" s="11"/>
      <c r="E16455" s="11"/>
      <c r="F16455" s="11"/>
      <c r="G16455" s="11"/>
      <c r="H16455" s="11"/>
      <c r="I16455" s="15"/>
    </row>
    <row r="16456" spans="1:9" ht="16.5">
      <c r="A16456" s="10" t="b">
        <v>0</v>
      </c>
      <c r="B16456" s="11" t="str">
        <f>IF(D16456&lt;&gt;"",IF(COUNTIF('USPTO TMs'!A:A,D16456)&gt;0,"Yes","No"),"")</f>
        <v/>
      </c>
      <c r="C16456" s="11"/>
      <c r="D16456" s="11"/>
      <c r="E16456" s="11"/>
      <c r="F16456" s="11"/>
      <c r="G16456" s="11"/>
      <c r="H16456" s="11"/>
      <c r="I16456" s="15"/>
    </row>
    <row r="16457" spans="1:9" ht="16.5">
      <c r="A16457" s="10" t="b">
        <v>0</v>
      </c>
      <c r="B16457" s="11" t="str">
        <f>IF(D16457&lt;&gt;"",IF(COUNTIF('USPTO TMs'!A:A,D16457)&gt;0,"Yes","No"),"")</f>
        <v/>
      </c>
      <c r="C16457" s="11"/>
      <c r="D16457" s="11"/>
      <c r="E16457" s="11"/>
      <c r="F16457" s="11"/>
      <c r="G16457" s="11"/>
      <c r="H16457" s="11"/>
      <c r="I16457" s="15"/>
    </row>
    <row r="16458" spans="1:9" ht="16.5">
      <c r="A16458" s="10" t="b">
        <v>0</v>
      </c>
      <c r="B16458" s="11" t="str">
        <f>IF(D16458&lt;&gt;"",IF(COUNTIF('USPTO TMs'!A:A,D16458)&gt;0,"Yes","No"),"")</f>
        <v/>
      </c>
      <c r="C16458" s="11"/>
      <c r="D16458" s="11"/>
      <c r="E16458" s="11"/>
      <c r="F16458" s="11"/>
      <c r="G16458" s="11"/>
      <c r="H16458" s="11"/>
      <c r="I16458" s="15"/>
    </row>
    <row r="16459" spans="1:9" ht="16.5">
      <c r="A16459" s="10" t="b">
        <v>0</v>
      </c>
      <c r="B16459" s="11" t="str">
        <f>IF(D16459&lt;&gt;"",IF(COUNTIF('USPTO TMs'!A:A,D16459)&gt;0,"Yes","No"),"")</f>
        <v/>
      </c>
      <c r="C16459" s="11"/>
      <c r="D16459" s="11"/>
      <c r="E16459" s="11"/>
      <c r="F16459" s="11"/>
      <c r="G16459" s="11"/>
      <c r="H16459" s="11"/>
      <c r="I16459" s="15"/>
    </row>
    <row r="16460" spans="1:9" ht="16.5">
      <c r="A16460" s="10" t="b">
        <v>0</v>
      </c>
      <c r="B16460" s="11" t="str">
        <f>IF(D16460&lt;&gt;"",IF(COUNTIF('USPTO TMs'!A:A,D16460)&gt;0,"Yes","No"),"")</f>
        <v/>
      </c>
      <c r="C16460" s="11"/>
      <c r="D16460" s="11"/>
      <c r="E16460" s="11"/>
      <c r="F16460" s="11"/>
      <c r="G16460" s="11"/>
      <c r="H16460" s="11"/>
      <c r="I16460" s="15"/>
    </row>
    <row r="16461" spans="1:9" ht="16.5">
      <c r="A16461" s="10" t="b">
        <v>0</v>
      </c>
      <c r="B16461" s="11" t="str">
        <f>IF(D16461&lt;&gt;"",IF(COUNTIF('USPTO TMs'!A:A,D16461)&gt;0,"Yes","No"),"")</f>
        <v/>
      </c>
      <c r="C16461" s="11"/>
      <c r="D16461" s="11"/>
      <c r="E16461" s="11"/>
      <c r="F16461" s="11"/>
      <c r="G16461" s="11"/>
      <c r="H16461" s="11"/>
      <c r="I16461" s="15"/>
    </row>
    <row r="16462" spans="1:9" ht="16.5">
      <c r="A16462" s="10" t="b">
        <v>0</v>
      </c>
      <c r="B16462" s="11" t="str">
        <f>IF(D16462&lt;&gt;"",IF(COUNTIF('USPTO TMs'!A:A,D16462)&gt;0,"Yes","No"),"")</f>
        <v/>
      </c>
      <c r="C16462" s="11"/>
      <c r="D16462" s="11"/>
      <c r="E16462" s="11"/>
      <c r="F16462" s="11"/>
      <c r="G16462" s="11"/>
      <c r="H16462" s="11"/>
      <c r="I16462" s="15"/>
    </row>
    <row r="16463" spans="1:9" ht="16.5">
      <c r="A16463" s="10" t="b">
        <v>0</v>
      </c>
      <c r="B16463" s="11" t="str">
        <f>IF(D16463&lt;&gt;"",IF(COUNTIF('USPTO TMs'!A:A,D16463)&gt;0,"Yes","No"),"")</f>
        <v/>
      </c>
      <c r="C16463" s="11"/>
      <c r="D16463" s="11"/>
      <c r="E16463" s="11"/>
      <c r="F16463" s="11"/>
      <c r="G16463" s="11"/>
      <c r="H16463" s="11"/>
      <c r="I16463" s="15"/>
    </row>
    <row r="16464" spans="1:9" ht="16.5">
      <c r="A16464" s="10" t="b">
        <v>0</v>
      </c>
      <c r="B16464" s="11" t="str">
        <f>IF(D16464&lt;&gt;"",IF(COUNTIF('USPTO TMs'!A:A,D16464)&gt;0,"Yes","No"),"")</f>
        <v/>
      </c>
      <c r="C16464" s="11"/>
      <c r="D16464" s="11"/>
      <c r="E16464" s="11"/>
      <c r="F16464" s="11"/>
      <c r="G16464" s="11"/>
      <c r="H16464" s="11"/>
      <c r="I16464" s="15"/>
    </row>
    <row r="16465" spans="1:9" ht="16.5">
      <c r="A16465" s="10" t="b">
        <v>0</v>
      </c>
      <c r="B16465" s="11" t="str">
        <f>IF(D16465&lt;&gt;"",IF(COUNTIF('USPTO TMs'!A:A,D16465)&gt;0,"Yes","No"),"")</f>
        <v/>
      </c>
      <c r="C16465" s="11"/>
      <c r="D16465" s="11"/>
      <c r="E16465" s="11"/>
      <c r="F16465" s="11"/>
      <c r="G16465" s="11"/>
      <c r="H16465" s="11"/>
      <c r="I16465" s="15"/>
    </row>
    <row r="16466" spans="1:9" ht="16.5">
      <c r="A16466" s="10" t="b">
        <v>0</v>
      </c>
      <c r="B16466" s="11" t="str">
        <f>IF(D16466&lt;&gt;"",IF(COUNTIF('USPTO TMs'!A:A,D16466)&gt;0,"Yes","No"),"")</f>
        <v/>
      </c>
      <c r="C16466" s="11"/>
      <c r="D16466" s="11"/>
      <c r="E16466" s="11"/>
      <c r="F16466" s="11"/>
      <c r="G16466" s="11"/>
      <c r="H16466" s="11"/>
      <c r="I16466" s="15"/>
    </row>
    <row r="16467" spans="1:9" ht="16.5">
      <c r="A16467" s="10" t="b">
        <v>0</v>
      </c>
      <c r="B16467" s="11" t="str">
        <f>IF(D16467&lt;&gt;"",IF(COUNTIF('USPTO TMs'!A:A,D16467)&gt;0,"Yes","No"),"")</f>
        <v/>
      </c>
      <c r="C16467" s="11"/>
      <c r="D16467" s="11"/>
      <c r="E16467" s="11"/>
      <c r="F16467" s="11"/>
      <c r="G16467" s="11"/>
      <c r="H16467" s="11"/>
      <c r="I16467" s="15"/>
    </row>
    <row r="16468" spans="1:9" ht="16.5">
      <c r="A16468" s="10" t="b">
        <v>0</v>
      </c>
      <c r="B16468" s="11" t="str">
        <f>IF(D16468&lt;&gt;"",IF(COUNTIF('USPTO TMs'!A:A,D16468)&gt;0,"Yes","No"),"")</f>
        <v/>
      </c>
      <c r="C16468" s="11"/>
      <c r="D16468" s="11"/>
      <c r="E16468" s="11"/>
      <c r="F16468" s="11"/>
      <c r="G16468" s="11"/>
      <c r="H16468" s="11"/>
      <c r="I16468" s="15"/>
    </row>
    <row r="16469" spans="1:9" ht="16.5">
      <c r="A16469" s="10" t="b">
        <v>0</v>
      </c>
      <c r="B16469" s="11" t="str">
        <f>IF(D16469&lt;&gt;"",IF(COUNTIF('USPTO TMs'!A:A,D16469)&gt;0,"Yes","No"),"")</f>
        <v/>
      </c>
      <c r="C16469" s="11"/>
      <c r="D16469" s="11"/>
      <c r="E16469" s="11"/>
      <c r="F16469" s="11"/>
      <c r="G16469" s="11"/>
      <c r="H16469" s="11"/>
      <c r="I16469" s="15"/>
    </row>
    <row r="16470" spans="1:9" ht="16.5">
      <c r="A16470" s="10" t="b">
        <v>0</v>
      </c>
      <c r="B16470" s="11" t="str">
        <f>IF(D16470&lt;&gt;"",IF(COUNTIF('USPTO TMs'!A:A,D16470)&gt;0,"Yes","No"),"")</f>
        <v/>
      </c>
      <c r="C16470" s="11"/>
      <c r="D16470" s="11"/>
      <c r="E16470" s="11"/>
      <c r="F16470" s="11"/>
      <c r="G16470" s="11"/>
      <c r="H16470" s="11"/>
      <c r="I16470" s="15"/>
    </row>
    <row r="16471" spans="1:9" ht="16.5">
      <c r="A16471" s="10" t="b">
        <v>0</v>
      </c>
      <c r="B16471" s="11" t="str">
        <f>IF(D16471&lt;&gt;"",IF(COUNTIF('USPTO TMs'!A:A,D16471)&gt;0,"Yes","No"),"")</f>
        <v/>
      </c>
      <c r="C16471" s="11"/>
      <c r="D16471" s="11"/>
      <c r="E16471" s="11"/>
      <c r="F16471" s="11"/>
      <c r="G16471" s="11"/>
      <c r="H16471" s="11"/>
      <c r="I16471" s="15"/>
    </row>
    <row r="16472" spans="1:9" ht="16.5">
      <c r="A16472" s="10" t="b">
        <v>0</v>
      </c>
      <c r="B16472" s="11" t="str">
        <f>IF(D16472&lt;&gt;"",IF(COUNTIF('USPTO TMs'!A:A,D16472)&gt;0,"Yes","No"),"")</f>
        <v/>
      </c>
      <c r="C16472" s="11"/>
      <c r="D16472" s="11"/>
      <c r="E16472" s="11"/>
      <c r="F16472" s="11"/>
      <c r="G16472" s="11"/>
      <c r="H16472" s="11"/>
      <c r="I16472" s="15"/>
    </row>
    <row r="16473" spans="1:9" ht="16.5">
      <c r="A16473" s="10" t="b">
        <v>0</v>
      </c>
      <c r="B16473" s="11" t="str">
        <f>IF(D16473&lt;&gt;"",IF(COUNTIF('USPTO TMs'!A:A,D16473)&gt;0,"Yes","No"),"")</f>
        <v/>
      </c>
      <c r="C16473" s="11"/>
      <c r="D16473" s="11"/>
      <c r="E16473" s="11"/>
      <c r="F16473" s="11"/>
      <c r="G16473" s="11"/>
      <c r="H16473" s="11"/>
      <c r="I16473" s="15"/>
    </row>
    <row r="16474" spans="1:9" ht="16.5">
      <c r="A16474" s="10" t="b">
        <v>0</v>
      </c>
      <c r="B16474" s="11" t="str">
        <f>IF(D16474&lt;&gt;"",IF(COUNTIF('USPTO TMs'!A:A,D16474)&gt;0,"Yes","No"),"")</f>
        <v/>
      </c>
      <c r="C16474" s="11"/>
      <c r="D16474" s="11"/>
      <c r="E16474" s="11"/>
      <c r="F16474" s="11"/>
      <c r="G16474" s="11"/>
      <c r="H16474" s="11"/>
      <c r="I16474" s="15"/>
    </row>
    <row r="16475" spans="1:9" ht="16.5">
      <c r="A16475" s="10" t="b">
        <v>0</v>
      </c>
      <c r="B16475" s="11" t="str">
        <f>IF(D16475&lt;&gt;"",IF(COUNTIF('USPTO TMs'!A:A,D16475)&gt;0,"Yes","No"),"")</f>
        <v/>
      </c>
      <c r="C16475" s="11"/>
      <c r="D16475" s="11"/>
      <c r="E16475" s="11"/>
      <c r="F16475" s="11"/>
      <c r="G16475" s="11"/>
      <c r="H16475" s="11"/>
      <c r="I16475" s="15"/>
    </row>
    <row r="16476" spans="1:9" ht="16.5">
      <c r="A16476" s="10" t="b">
        <v>0</v>
      </c>
      <c r="B16476" s="11" t="str">
        <f>IF(D16476&lt;&gt;"",IF(COUNTIF('USPTO TMs'!A:A,D16476)&gt;0,"Yes","No"),"")</f>
        <v/>
      </c>
      <c r="C16476" s="11"/>
      <c r="D16476" s="11"/>
      <c r="E16476" s="11"/>
      <c r="F16476" s="11"/>
      <c r="G16476" s="11"/>
      <c r="H16476" s="11"/>
      <c r="I16476" s="15"/>
    </row>
    <row r="16477" spans="1:9" ht="16.5">
      <c r="A16477" s="10" t="b">
        <v>0</v>
      </c>
      <c r="B16477" s="11" t="str">
        <f>IF(D16477&lt;&gt;"",IF(COUNTIF('USPTO TMs'!A:A,D16477)&gt;0,"Yes","No"),"")</f>
        <v/>
      </c>
      <c r="C16477" s="11"/>
      <c r="D16477" s="11"/>
      <c r="E16477" s="11"/>
      <c r="F16477" s="11"/>
      <c r="G16477" s="11"/>
      <c r="H16477" s="11"/>
      <c r="I16477" s="15"/>
    </row>
    <row r="16478" spans="1:9" ht="16.5">
      <c r="A16478" s="10" t="b">
        <v>0</v>
      </c>
      <c r="B16478" s="11" t="str">
        <f>IF(D16478&lt;&gt;"",IF(COUNTIF('USPTO TMs'!A:A,D16478)&gt;0,"Yes","No"),"")</f>
        <v/>
      </c>
      <c r="C16478" s="11"/>
      <c r="D16478" s="11"/>
      <c r="E16478" s="11"/>
      <c r="F16478" s="11"/>
      <c r="G16478" s="11"/>
      <c r="H16478" s="11"/>
      <c r="I16478" s="15"/>
    </row>
    <row r="16479" spans="1:9" ht="16.5">
      <c r="A16479" s="10" t="b">
        <v>0</v>
      </c>
      <c r="B16479" s="11" t="str">
        <f>IF(D16479&lt;&gt;"",IF(COUNTIF('USPTO TMs'!A:A,D16479)&gt;0,"Yes","No"),"")</f>
        <v/>
      </c>
      <c r="C16479" s="11"/>
      <c r="D16479" s="11"/>
      <c r="E16479" s="11"/>
      <c r="F16479" s="11"/>
      <c r="G16479" s="11"/>
      <c r="H16479" s="11"/>
      <c r="I16479" s="15"/>
    </row>
    <row r="16480" spans="1:9" ht="16.5">
      <c r="A16480" s="10" t="b">
        <v>0</v>
      </c>
      <c r="B16480" s="11" t="str">
        <f>IF(D16480&lt;&gt;"",IF(COUNTIF('USPTO TMs'!A:A,D16480)&gt;0,"Yes","No"),"")</f>
        <v/>
      </c>
      <c r="C16480" s="11"/>
      <c r="D16480" s="11"/>
      <c r="E16480" s="11"/>
      <c r="F16480" s="11"/>
      <c r="G16480" s="11"/>
      <c r="H16480" s="11"/>
      <c r="I16480" s="15"/>
    </row>
    <row r="16481" spans="1:9" ht="16.5">
      <c r="A16481" s="10" t="b">
        <v>0</v>
      </c>
      <c r="B16481" s="11" t="str">
        <f>IF(D16481&lt;&gt;"",IF(COUNTIF('USPTO TMs'!A:A,D16481)&gt;0,"Yes","No"),"")</f>
        <v/>
      </c>
      <c r="C16481" s="11"/>
      <c r="D16481" s="11"/>
      <c r="E16481" s="11"/>
      <c r="F16481" s="11"/>
      <c r="G16481" s="11"/>
      <c r="H16481" s="11"/>
      <c r="I16481" s="15"/>
    </row>
    <row r="16482" spans="1:9" ht="16.5">
      <c r="A16482" s="10" t="b">
        <v>0</v>
      </c>
      <c r="B16482" s="11" t="str">
        <f>IF(D16482&lt;&gt;"",IF(COUNTIF('USPTO TMs'!A:A,D16482)&gt;0,"Yes","No"),"")</f>
        <v/>
      </c>
      <c r="C16482" s="11"/>
      <c r="D16482" s="11"/>
      <c r="E16482" s="11"/>
      <c r="F16482" s="11"/>
      <c r="G16482" s="11"/>
      <c r="H16482" s="11"/>
      <c r="I16482" s="15"/>
    </row>
    <row r="16483" spans="1:9" ht="16.5">
      <c r="A16483" s="10" t="b">
        <v>0</v>
      </c>
      <c r="B16483" s="11" t="str">
        <f>IF(D16483&lt;&gt;"",IF(COUNTIF('USPTO TMs'!A:A,D16483)&gt;0,"Yes","No"),"")</f>
        <v/>
      </c>
      <c r="C16483" s="11"/>
      <c r="D16483" s="11"/>
      <c r="E16483" s="11"/>
      <c r="F16483" s="11"/>
      <c r="G16483" s="11"/>
      <c r="H16483" s="11"/>
      <c r="I16483" s="15"/>
    </row>
    <row r="16484" spans="1:9" ht="16.5">
      <c r="A16484" s="10" t="b">
        <v>0</v>
      </c>
      <c r="B16484" s="11" t="str">
        <f>IF(D16484&lt;&gt;"",IF(COUNTIF('USPTO TMs'!A:A,D16484)&gt;0,"Yes","No"),"")</f>
        <v/>
      </c>
      <c r="C16484" s="11"/>
      <c r="D16484" s="11"/>
      <c r="E16484" s="11"/>
      <c r="F16484" s="11"/>
      <c r="G16484" s="11"/>
      <c r="H16484" s="11"/>
      <c r="I16484" s="15"/>
    </row>
    <row r="16485" spans="1:9" ht="16.5">
      <c r="A16485" s="10" t="b">
        <v>0</v>
      </c>
      <c r="B16485" s="11" t="str">
        <f>IF(D16485&lt;&gt;"",IF(COUNTIF('USPTO TMs'!A:A,D16485)&gt;0,"Yes","No"),"")</f>
        <v/>
      </c>
      <c r="C16485" s="11"/>
      <c r="D16485" s="11"/>
      <c r="E16485" s="11"/>
      <c r="F16485" s="11"/>
      <c r="G16485" s="11"/>
      <c r="H16485" s="11"/>
      <c r="I16485" s="15"/>
    </row>
    <row r="16486" spans="1:9" ht="16.5">
      <c r="A16486" s="10" t="b">
        <v>0</v>
      </c>
      <c r="B16486" s="11" t="str">
        <f>IF(D16486&lt;&gt;"",IF(COUNTIF('USPTO TMs'!A:A,D16486)&gt;0,"Yes","No"),"")</f>
        <v/>
      </c>
      <c r="C16486" s="11"/>
      <c r="D16486" s="11"/>
      <c r="E16486" s="11"/>
      <c r="F16486" s="11"/>
      <c r="G16486" s="11"/>
      <c r="H16486" s="11"/>
      <c r="I16486" s="15"/>
    </row>
    <row r="16487" spans="1:9" ht="16.5">
      <c r="A16487" s="10" t="b">
        <v>0</v>
      </c>
      <c r="B16487" s="11" t="str">
        <f>IF(D16487&lt;&gt;"",IF(COUNTIF('USPTO TMs'!A:A,D16487)&gt;0,"Yes","No"),"")</f>
        <v/>
      </c>
      <c r="C16487" s="11"/>
      <c r="D16487" s="11"/>
      <c r="E16487" s="11"/>
      <c r="F16487" s="11"/>
      <c r="G16487" s="11"/>
      <c r="H16487" s="11"/>
      <c r="I16487" s="15"/>
    </row>
    <row r="16488" spans="1:9" ht="16.5">
      <c r="A16488" s="10" t="b">
        <v>0</v>
      </c>
      <c r="B16488" s="11" t="str">
        <f>IF(D16488&lt;&gt;"",IF(COUNTIF('USPTO TMs'!A:A,D16488)&gt;0,"Yes","No"),"")</f>
        <v/>
      </c>
      <c r="C16488" s="11"/>
      <c r="D16488" s="11"/>
      <c r="E16488" s="11"/>
      <c r="F16488" s="11"/>
      <c r="G16488" s="11"/>
      <c r="H16488" s="11"/>
      <c r="I16488" s="15"/>
    </row>
    <row r="16489" spans="1:9" ht="16.5">
      <c r="A16489" s="10" t="b">
        <v>0</v>
      </c>
      <c r="B16489" s="11" t="str">
        <f>IF(D16489&lt;&gt;"",IF(COUNTIF('USPTO TMs'!A:A,D16489)&gt;0,"Yes","No"),"")</f>
        <v/>
      </c>
      <c r="C16489" s="11"/>
      <c r="D16489" s="11"/>
      <c r="E16489" s="11"/>
      <c r="F16489" s="11"/>
      <c r="G16489" s="11"/>
      <c r="H16489" s="11"/>
      <c r="I16489" s="15"/>
    </row>
    <row r="16490" spans="1:9" ht="16.5">
      <c r="A16490" s="10" t="b">
        <v>0</v>
      </c>
      <c r="B16490" s="11" t="str">
        <f>IF(D16490&lt;&gt;"",IF(COUNTIF('USPTO TMs'!A:A,D16490)&gt;0,"Yes","No"),"")</f>
        <v/>
      </c>
      <c r="C16490" s="11"/>
      <c r="D16490" s="11"/>
      <c r="E16490" s="11"/>
      <c r="F16490" s="11"/>
      <c r="G16490" s="11"/>
      <c r="H16490" s="11"/>
      <c r="I16490" s="15"/>
    </row>
    <row r="16491" spans="1:9" ht="16.5">
      <c r="A16491" s="10" t="b">
        <v>0</v>
      </c>
      <c r="B16491" s="11" t="str">
        <f>IF(D16491&lt;&gt;"",IF(COUNTIF('USPTO TMs'!A:A,D16491)&gt;0,"Yes","No"),"")</f>
        <v/>
      </c>
      <c r="C16491" s="11"/>
      <c r="D16491" s="11"/>
      <c r="E16491" s="11"/>
      <c r="F16491" s="11"/>
      <c r="G16491" s="11"/>
      <c r="H16491" s="11"/>
      <c r="I16491" s="15"/>
    </row>
    <row r="16492" spans="1:9" ht="16.5">
      <c r="A16492" s="10" t="b">
        <v>0</v>
      </c>
      <c r="B16492" s="11" t="str">
        <f>IF(D16492&lt;&gt;"",IF(COUNTIF('USPTO TMs'!A:A,D16492)&gt;0,"Yes","No"),"")</f>
        <v/>
      </c>
      <c r="C16492" s="11"/>
      <c r="D16492" s="11"/>
      <c r="E16492" s="11"/>
      <c r="F16492" s="11"/>
      <c r="G16492" s="11"/>
      <c r="H16492" s="11"/>
      <c r="I16492" s="15"/>
    </row>
    <row r="16493" spans="1:9" ht="16.5">
      <c r="A16493" s="10" t="b">
        <v>0</v>
      </c>
      <c r="B16493" s="11" t="str">
        <f>IF(D16493&lt;&gt;"",IF(COUNTIF('USPTO TMs'!A:A,D16493)&gt;0,"Yes","No"),"")</f>
        <v/>
      </c>
      <c r="C16493" s="11"/>
      <c r="D16493" s="11"/>
      <c r="E16493" s="11"/>
      <c r="F16493" s="11"/>
      <c r="G16493" s="11"/>
      <c r="H16493" s="11"/>
      <c r="I16493" s="15"/>
    </row>
    <row r="16494" spans="1:9" ht="16.5">
      <c r="A16494" s="10" t="b">
        <v>0</v>
      </c>
      <c r="B16494" s="11" t="str">
        <f>IF(D16494&lt;&gt;"",IF(COUNTIF('USPTO TMs'!A:A,D16494)&gt;0,"Yes","No"),"")</f>
        <v/>
      </c>
      <c r="C16494" s="11"/>
      <c r="D16494" s="11"/>
      <c r="E16494" s="11"/>
      <c r="F16494" s="11"/>
      <c r="G16494" s="11"/>
      <c r="H16494" s="11"/>
      <c r="I16494" s="15"/>
    </row>
    <row r="16495" spans="1:9" ht="16.5">
      <c r="A16495" s="10" t="b">
        <v>0</v>
      </c>
      <c r="B16495" s="11" t="str">
        <f>IF(D16495&lt;&gt;"",IF(COUNTIF('USPTO TMs'!A:A,D16495)&gt;0,"Yes","No"),"")</f>
        <v/>
      </c>
      <c r="C16495" s="11"/>
      <c r="D16495" s="11"/>
      <c r="E16495" s="11"/>
      <c r="F16495" s="11"/>
      <c r="G16495" s="11"/>
      <c r="H16495" s="11"/>
      <c r="I16495" s="15"/>
    </row>
    <row r="16496" spans="1:9" ht="16.5">
      <c r="A16496" s="10" t="b">
        <v>0</v>
      </c>
      <c r="B16496" s="11" t="str">
        <f>IF(D16496&lt;&gt;"",IF(COUNTIF('USPTO TMs'!A:A,D16496)&gt;0,"Yes","No"),"")</f>
        <v/>
      </c>
      <c r="C16496" s="11"/>
      <c r="D16496" s="11"/>
      <c r="E16496" s="11"/>
      <c r="F16496" s="11"/>
      <c r="G16496" s="11"/>
      <c r="H16496" s="11"/>
      <c r="I16496" s="15"/>
    </row>
    <row r="16497" spans="1:9" ht="16.5">
      <c r="A16497" s="10" t="b">
        <v>0</v>
      </c>
      <c r="B16497" s="11" t="str">
        <f>IF(D16497&lt;&gt;"",IF(COUNTIF('USPTO TMs'!A:A,D16497)&gt;0,"Yes","No"),"")</f>
        <v/>
      </c>
      <c r="C16497" s="11"/>
      <c r="D16497" s="11"/>
      <c r="E16497" s="11"/>
      <c r="F16497" s="11"/>
      <c r="G16497" s="11"/>
      <c r="H16497" s="11"/>
      <c r="I16497" s="15"/>
    </row>
    <row r="16498" spans="1:9" ht="16.5">
      <c r="A16498" s="10" t="b">
        <v>0</v>
      </c>
      <c r="B16498" s="11" t="str">
        <f>IF(D16498&lt;&gt;"",IF(COUNTIF('USPTO TMs'!A:A,D16498)&gt;0,"Yes","No"),"")</f>
        <v/>
      </c>
      <c r="C16498" s="11"/>
      <c r="D16498" s="11"/>
      <c r="E16498" s="11"/>
      <c r="F16498" s="11"/>
      <c r="G16498" s="11"/>
      <c r="H16498" s="11"/>
      <c r="I16498" s="15"/>
    </row>
    <row r="16499" spans="1:9" ht="16.5">
      <c r="A16499" s="10" t="b">
        <v>0</v>
      </c>
      <c r="B16499" s="11" t="str">
        <f>IF(D16499&lt;&gt;"",IF(COUNTIF('USPTO TMs'!A:A,D16499)&gt;0,"Yes","No"),"")</f>
        <v/>
      </c>
      <c r="C16499" s="11"/>
      <c r="D16499" s="11"/>
      <c r="E16499" s="11"/>
      <c r="F16499" s="11"/>
      <c r="G16499" s="11"/>
      <c r="H16499" s="11"/>
      <c r="I16499" s="15"/>
    </row>
    <row r="16500" spans="1:9" ht="16.5">
      <c r="A16500" s="10" t="b">
        <v>0</v>
      </c>
      <c r="B16500" s="11" t="str">
        <f>IF(D16500&lt;&gt;"",IF(COUNTIF('USPTO TMs'!A:A,D16500)&gt;0,"Yes","No"),"")</f>
        <v/>
      </c>
      <c r="C16500" s="11"/>
      <c r="D16500" s="11"/>
      <c r="E16500" s="11"/>
      <c r="F16500" s="11"/>
      <c r="G16500" s="11"/>
      <c r="H16500" s="11"/>
      <c r="I16500" s="15"/>
    </row>
    <row r="16501" spans="1:9" ht="16.5">
      <c r="A16501" s="10" t="b">
        <v>0</v>
      </c>
      <c r="B16501" s="11" t="str">
        <f>IF(D16501&lt;&gt;"",IF(COUNTIF('USPTO TMs'!A:A,D16501)&gt;0,"Yes","No"),"")</f>
        <v/>
      </c>
      <c r="C16501" s="11"/>
      <c r="D16501" s="11"/>
      <c r="E16501" s="11"/>
      <c r="F16501" s="11"/>
      <c r="G16501" s="11"/>
      <c r="H16501" s="11"/>
      <c r="I16501" s="15"/>
    </row>
    <row r="16502" spans="1:9" ht="16.5">
      <c r="A16502" s="10" t="b">
        <v>0</v>
      </c>
      <c r="B16502" s="11" t="str">
        <f>IF(D16502&lt;&gt;"",IF(COUNTIF('USPTO TMs'!A:A,D16502)&gt;0,"Yes","No"),"")</f>
        <v/>
      </c>
      <c r="C16502" s="11"/>
      <c r="D16502" s="11"/>
      <c r="E16502" s="11"/>
      <c r="F16502" s="11"/>
      <c r="G16502" s="11"/>
      <c r="H16502" s="11"/>
      <c r="I16502" s="15"/>
    </row>
    <row r="16503" spans="1:9" ht="16.5">
      <c r="A16503" s="10" t="b">
        <v>0</v>
      </c>
      <c r="B16503" s="11" t="str">
        <f>IF(D16503&lt;&gt;"",IF(COUNTIF('USPTO TMs'!A:A,D16503)&gt;0,"Yes","No"),"")</f>
        <v/>
      </c>
      <c r="C16503" s="11"/>
      <c r="D16503" s="11"/>
      <c r="E16503" s="11"/>
      <c r="F16503" s="11"/>
      <c r="G16503" s="11"/>
      <c r="H16503" s="11"/>
      <c r="I16503" s="15"/>
    </row>
    <row r="16504" spans="1:9" ht="16.5">
      <c r="A16504" s="10" t="b">
        <v>0</v>
      </c>
      <c r="B16504" s="11" t="str">
        <f>IF(D16504&lt;&gt;"",IF(COUNTIF('USPTO TMs'!A:A,D16504)&gt;0,"Yes","No"),"")</f>
        <v/>
      </c>
      <c r="C16504" s="11"/>
      <c r="D16504" s="11"/>
      <c r="E16504" s="11"/>
      <c r="F16504" s="11"/>
      <c r="G16504" s="11"/>
      <c r="H16504" s="11"/>
      <c r="I16504" s="15"/>
    </row>
    <row r="16505" spans="1:9" ht="16.5">
      <c r="A16505" s="10" t="b">
        <v>0</v>
      </c>
      <c r="B16505" s="11" t="str">
        <f>IF(D16505&lt;&gt;"",IF(COUNTIF('USPTO TMs'!A:A,D16505)&gt;0,"Yes","No"),"")</f>
        <v/>
      </c>
      <c r="C16505" s="11"/>
      <c r="D16505" s="11"/>
      <c r="E16505" s="11"/>
      <c r="F16505" s="11"/>
      <c r="G16505" s="11"/>
      <c r="H16505" s="11"/>
      <c r="I16505" s="15"/>
    </row>
    <row r="16506" spans="1:9" ht="16.5">
      <c r="A16506" s="10" t="b">
        <v>0</v>
      </c>
      <c r="B16506" s="11" t="str">
        <f>IF(D16506&lt;&gt;"",IF(COUNTIF('USPTO TMs'!A:A,D16506)&gt;0,"Yes","No"),"")</f>
        <v/>
      </c>
      <c r="C16506" s="11"/>
      <c r="D16506" s="11"/>
      <c r="E16506" s="11"/>
      <c r="F16506" s="11"/>
      <c r="G16506" s="11"/>
      <c r="H16506" s="11"/>
      <c r="I16506" s="15"/>
    </row>
    <row r="16507" spans="1:9" ht="16.5">
      <c r="A16507" s="10" t="b">
        <v>0</v>
      </c>
      <c r="B16507" s="11" t="str">
        <f>IF(D16507&lt;&gt;"",IF(COUNTIF('USPTO TMs'!A:A,D16507)&gt;0,"Yes","No"),"")</f>
        <v/>
      </c>
      <c r="C16507" s="11"/>
      <c r="D16507" s="11"/>
      <c r="E16507" s="11"/>
      <c r="F16507" s="11"/>
      <c r="G16507" s="11"/>
      <c r="H16507" s="11"/>
      <c r="I16507" s="15"/>
    </row>
    <row r="16508" spans="1:9" ht="16.5">
      <c r="A16508" s="10" t="b">
        <v>0</v>
      </c>
      <c r="B16508" s="11" t="str">
        <f>IF(D16508&lt;&gt;"",IF(COUNTIF('USPTO TMs'!A:A,D16508)&gt;0,"Yes","No"),"")</f>
        <v/>
      </c>
      <c r="C16508" s="11"/>
      <c r="D16508" s="11"/>
      <c r="E16508" s="11"/>
      <c r="F16508" s="11"/>
      <c r="G16508" s="11"/>
      <c r="H16508" s="11"/>
      <c r="I16508" s="15"/>
    </row>
    <row r="16509" spans="1:9" ht="16.5">
      <c r="A16509" s="10" t="b">
        <v>0</v>
      </c>
      <c r="B16509" s="11" t="str">
        <f>IF(D16509&lt;&gt;"",IF(COUNTIF('USPTO TMs'!A:A,D16509)&gt;0,"Yes","No"),"")</f>
        <v/>
      </c>
      <c r="C16509" s="11"/>
      <c r="D16509" s="11"/>
      <c r="E16509" s="11"/>
      <c r="F16509" s="11"/>
      <c r="G16509" s="11"/>
      <c r="H16509" s="11"/>
      <c r="I16509" s="15"/>
    </row>
    <row r="16510" spans="1:9" ht="16.5">
      <c r="A16510" s="10" t="b">
        <v>0</v>
      </c>
      <c r="B16510" s="11" t="str">
        <f>IF(D16510&lt;&gt;"",IF(COUNTIF('USPTO TMs'!A:A,D16510)&gt;0,"Yes","No"),"")</f>
        <v/>
      </c>
      <c r="C16510" s="11"/>
      <c r="D16510" s="11"/>
      <c r="E16510" s="11"/>
      <c r="F16510" s="11"/>
      <c r="G16510" s="11"/>
      <c r="H16510" s="11"/>
      <c r="I16510" s="15"/>
    </row>
    <row r="16511" spans="1:9" ht="16.5">
      <c r="A16511" s="10" t="b">
        <v>0</v>
      </c>
      <c r="B16511" s="11" t="str">
        <f>IF(D16511&lt;&gt;"",IF(COUNTIF('USPTO TMs'!A:A,D16511)&gt;0,"Yes","No"),"")</f>
        <v/>
      </c>
      <c r="C16511" s="11"/>
      <c r="D16511" s="11"/>
      <c r="E16511" s="11"/>
      <c r="F16511" s="11"/>
      <c r="G16511" s="11"/>
      <c r="H16511" s="11"/>
      <c r="I16511" s="15"/>
    </row>
    <row r="16512" spans="1:9" ht="16.5">
      <c r="A16512" s="10" t="b">
        <v>0</v>
      </c>
      <c r="B16512" s="11" t="str">
        <f>IF(D16512&lt;&gt;"",IF(COUNTIF('USPTO TMs'!A:A,D16512)&gt;0,"Yes","No"),"")</f>
        <v/>
      </c>
      <c r="C16512" s="11"/>
      <c r="D16512" s="11"/>
      <c r="E16512" s="11"/>
      <c r="F16512" s="11"/>
      <c r="G16512" s="11"/>
      <c r="H16512" s="11"/>
      <c r="I16512" s="15"/>
    </row>
    <row r="16513" spans="1:9" ht="16.5">
      <c r="A16513" s="10" t="b">
        <v>0</v>
      </c>
      <c r="B16513" s="11" t="str">
        <f>IF(D16513&lt;&gt;"",IF(COUNTIF('USPTO TMs'!A:A,D16513)&gt;0,"Yes","No"),"")</f>
        <v/>
      </c>
      <c r="C16513" s="11"/>
      <c r="D16513" s="11"/>
      <c r="E16513" s="11"/>
      <c r="F16513" s="11"/>
      <c r="G16513" s="11"/>
      <c r="H16513" s="11"/>
      <c r="I16513" s="15"/>
    </row>
    <row r="16514" spans="1:9" ht="16.5">
      <c r="A16514" s="10" t="b">
        <v>0</v>
      </c>
      <c r="B16514" s="11" t="str">
        <f>IF(D16514&lt;&gt;"",IF(COUNTIF('USPTO TMs'!A:A,D16514)&gt;0,"Yes","No"),"")</f>
        <v/>
      </c>
      <c r="C16514" s="11"/>
      <c r="D16514" s="11"/>
      <c r="E16514" s="11"/>
      <c r="F16514" s="11"/>
      <c r="G16514" s="11"/>
      <c r="H16514" s="11"/>
      <c r="I16514" s="15"/>
    </row>
    <row r="16515" spans="1:9" ht="16.5">
      <c r="A16515" s="10" t="b">
        <v>0</v>
      </c>
      <c r="B16515" s="11" t="str">
        <f>IF(D16515&lt;&gt;"",IF(COUNTIF('USPTO TMs'!A:A,D16515)&gt;0,"Yes","No"),"")</f>
        <v/>
      </c>
      <c r="C16515" s="11"/>
      <c r="D16515" s="11"/>
      <c r="E16515" s="11"/>
      <c r="F16515" s="11"/>
      <c r="G16515" s="11"/>
      <c r="H16515" s="11"/>
      <c r="I16515" s="15"/>
    </row>
    <row r="16516" spans="1:9" ht="16.5">
      <c r="A16516" s="10" t="b">
        <v>0</v>
      </c>
      <c r="B16516" s="11" t="str">
        <f>IF(D16516&lt;&gt;"",IF(COUNTIF('USPTO TMs'!A:A,D16516)&gt;0,"Yes","No"),"")</f>
        <v/>
      </c>
      <c r="C16516" s="11"/>
      <c r="D16516" s="11"/>
      <c r="E16516" s="11"/>
      <c r="F16516" s="11"/>
      <c r="G16516" s="11"/>
      <c r="H16516" s="11"/>
      <c r="I16516" s="15"/>
    </row>
    <row r="16517" spans="1:9" ht="16.5">
      <c r="A16517" s="10" t="b">
        <v>0</v>
      </c>
      <c r="B16517" s="11" t="str">
        <f>IF(D16517&lt;&gt;"",IF(COUNTIF('USPTO TMs'!A:A,D16517)&gt;0,"Yes","No"),"")</f>
        <v/>
      </c>
      <c r="C16517" s="11"/>
      <c r="D16517" s="11"/>
      <c r="E16517" s="11"/>
      <c r="F16517" s="11"/>
      <c r="G16517" s="11"/>
      <c r="H16517" s="11"/>
      <c r="I16517" s="15"/>
    </row>
    <row r="16518" spans="1:9" ht="16.5">
      <c r="A16518" s="10" t="b">
        <v>0</v>
      </c>
      <c r="B16518" s="11" t="str">
        <f>IF(D16518&lt;&gt;"",IF(COUNTIF('USPTO TMs'!A:A,D16518)&gt;0,"Yes","No"),"")</f>
        <v/>
      </c>
      <c r="C16518" s="11"/>
      <c r="D16518" s="11"/>
      <c r="E16518" s="11"/>
      <c r="F16518" s="11"/>
      <c r="G16518" s="11"/>
      <c r="H16518" s="11"/>
      <c r="I16518" s="15"/>
    </row>
    <row r="16519" spans="1:9" ht="16.5">
      <c r="A16519" s="10" t="b">
        <v>0</v>
      </c>
      <c r="B16519" s="11" t="str">
        <f>IF(D16519&lt;&gt;"",IF(COUNTIF('USPTO TMs'!A:A,D16519)&gt;0,"Yes","No"),"")</f>
        <v/>
      </c>
      <c r="C16519" s="11"/>
      <c r="D16519" s="11"/>
      <c r="E16519" s="11"/>
      <c r="F16519" s="11"/>
      <c r="G16519" s="11"/>
      <c r="H16519" s="11"/>
      <c r="I16519" s="15"/>
    </row>
    <row r="16520" spans="1:9" ht="16.5">
      <c r="A16520" s="10" t="b">
        <v>0</v>
      </c>
      <c r="B16520" s="11" t="str">
        <f>IF(D16520&lt;&gt;"",IF(COUNTIF('USPTO TMs'!A:A,D16520)&gt;0,"Yes","No"),"")</f>
        <v/>
      </c>
      <c r="C16520" s="11"/>
      <c r="D16520" s="11"/>
      <c r="E16520" s="11"/>
      <c r="F16520" s="11"/>
      <c r="G16520" s="11"/>
      <c r="H16520" s="11"/>
      <c r="I16520" s="15"/>
    </row>
    <row r="16521" spans="1:9" ht="16.5">
      <c r="A16521" s="10" t="b">
        <v>0</v>
      </c>
      <c r="B16521" s="11" t="str">
        <f>IF(D16521&lt;&gt;"",IF(COUNTIF('USPTO TMs'!A:A,D16521)&gt;0,"Yes","No"),"")</f>
        <v/>
      </c>
      <c r="C16521" s="11"/>
      <c r="D16521" s="11"/>
      <c r="E16521" s="11"/>
      <c r="F16521" s="11"/>
      <c r="G16521" s="11"/>
      <c r="H16521" s="11"/>
      <c r="I16521" s="15"/>
    </row>
    <row r="16522" spans="1:9" ht="16.5">
      <c r="A16522" s="10" t="b">
        <v>0</v>
      </c>
      <c r="B16522" s="11" t="str">
        <f>IF(D16522&lt;&gt;"",IF(COUNTIF('USPTO TMs'!A:A,D16522)&gt;0,"Yes","No"),"")</f>
        <v/>
      </c>
      <c r="C16522" s="11"/>
      <c r="D16522" s="11"/>
      <c r="E16522" s="11"/>
      <c r="F16522" s="11"/>
      <c r="G16522" s="11"/>
      <c r="H16522" s="11"/>
      <c r="I16522" s="15"/>
    </row>
    <row r="16523" spans="1:9" ht="16.5">
      <c r="A16523" s="10" t="b">
        <v>0</v>
      </c>
      <c r="B16523" s="11" t="str">
        <f>IF(D16523&lt;&gt;"",IF(COUNTIF('USPTO TMs'!A:A,D16523)&gt;0,"Yes","No"),"")</f>
        <v/>
      </c>
      <c r="C16523" s="11"/>
      <c r="D16523" s="11"/>
      <c r="E16523" s="11"/>
      <c r="F16523" s="11"/>
      <c r="G16523" s="11"/>
      <c r="H16523" s="11"/>
      <c r="I16523" s="15"/>
    </row>
    <row r="16524" spans="1:9" ht="16.5">
      <c r="A16524" s="10" t="b">
        <v>0</v>
      </c>
      <c r="B16524" s="11" t="str">
        <f>IF(D16524&lt;&gt;"",IF(COUNTIF('USPTO TMs'!A:A,D16524)&gt;0,"Yes","No"),"")</f>
        <v/>
      </c>
      <c r="C16524" s="11"/>
      <c r="D16524" s="11"/>
      <c r="E16524" s="11"/>
      <c r="F16524" s="11"/>
      <c r="G16524" s="11"/>
      <c r="H16524" s="11"/>
      <c r="I16524" s="15"/>
    </row>
    <row r="16525" spans="1:9" ht="16.5">
      <c r="A16525" s="10" t="b">
        <v>0</v>
      </c>
      <c r="B16525" s="11" t="str">
        <f>IF(D16525&lt;&gt;"",IF(COUNTIF('USPTO TMs'!A:A,D16525)&gt;0,"Yes","No"),"")</f>
        <v/>
      </c>
      <c r="C16525" s="11"/>
      <c r="D16525" s="11"/>
      <c r="E16525" s="11"/>
      <c r="F16525" s="11"/>
      <c r="G16525" s="11"/>
      <c r="H16525" s="11"/>
      <c r="I16525" s="15"/>
    </row>
    <row r="16526" spans="1:9" ht="16.5">
      <c r="A16526" s="10" t="b">
        <v>0</v>
      </c>
      <c r="B16526" s="11" t="str">
        <f>IF(D16526&lt;&gt;"",IF(COUNTIF('USPTO TMs'!A:A,D16526)&gt;0,"Yes","No"),"")</f>
        <v/>
      </c>
      <c r="C16526" s="11"/>
      <c r="D16526" s="11"/>
      <c r="E16526" s="11"/>
      <c r="F16526" s="11"/>
      <c r="G16526" s="11"/>
      <c r="H16526" s="11"/>
      <c r="I16526" s="15"/>
    </row>
    <row r="16527" spans="1:9" ht="16.5">
      <c r="A16527" s="10" t="b">
        <v>0</v>
      </c>
      <c r="B16527" s="11" t="str">
        <f>IF(D16527&lt;&gt;"",IF(COUNTIF('USPTO TMs'!A:A,D16527)&gt;0,"Yes","No"),"")</f>
        <v/>
      </c>
      <c r="C16527" s="11"/>
      <c r="D16527" s="11"/>
      <c r="E16527" s="11"/>
      <c r="F16527" s="11"/>
      <c r="G16527" s="11"/>
      <c r="H16527" s="11"/>
      <c r="I16527" s="15"/>
    </row>
    <row r="16528" spans="1:9" ht="16.5">
      <c r="A16528" s="10" t="b">
        <v>0</v>
      </c>
      <c r="B16528" s="11" t="str">
        <f>IF(D16528&lt;&gt;"",IF(COUNTIF('USPTO TMs'!A:A,D16528)&gt;0,"Yes","No"),"")</f>
        <v/>
      </c>
      <c r="C16528" s="11"/>
      <c r="D16528" s="11"/>
      <c r="E16528" s="11"/>
      <c r="F16528" s="11"/>
      <c r="G16528" s="11"/>
      <c r="H16528" s="11"/>
      <c r="I16528" s="15"/>
    </row>
    <row r="16529" spans="1:9" ht="16.5">
      <c r="A16529" s="10" t="b">
        <v>0</v>
      </c>
      <c r="B16529" s="11" t="str">
        <f>IF(D16529&lt;&gt;"",IF(COUNTIF('USPTO TMs'!A:A,D16529)&gt;0,"Yes","No"),"")</f>
        <v/>
      </c>
      <c r="C16529" s="11"/>
      <c r="D16529" s="11"/>
      <c r="E16529" s="11"/>
      <c r="F16529" s="11"/>
      <c r="G16529" s="11"/>
      <c r="H16529" s="11"/>
      <c r="I16529" s="15"/>
    </row>
    <row r="16530" spans="1:9" ht="16.5">
      <c r="A16530" s="10" t="b">
        <v>0</v>
      </c>
      <c r="B16530" s="11" t="str">
        <f>IF(D16530&lt;&gt;"",IF(COUNTIF('USPTO TMs'!A:A,D16530)&gt;0,"Yes","No"),"")</f>
        <v/>
      </c>
      <c r="C16530" s="11"/>
      <c r="D16530" s="11"/>
      <c r="E16530" s="11"/>
      <c r="F16530" s="11"/>
      <c r="G16530" s="11"/>
      <c r="H16530" s="11"/>
      <c r="I16530" s="15"/>
    </row>
    <row r="16531" spans="1:9" ht="16.5">
      <c r="A16531" s="10" t="b">
        <v>0</v>
      </c>
      <c r="B16531" s="11" t="str">
        <f>IF(D16531&lt;&gt;"",IF(COUNTIF('USPTO TMs'!A:A,D16531)&gt;0,"Yes","No"),"")</f>
        <v/>
      </c>
      <c r="C16531" s="11"/>
      <c r="D16531" s="11"/>
      <c r="E16531" s="11"/>
      <c r="F16531" s="11"/>
      <c r="G16531" s="11"/>
      <c r="H16531" s="11"/>
      <c r="I16531" s="15"/>
    </row>
    <row r="16532" spans="1:9" ht="16.5">
      <c r="A16532" s="10" t="b">
        <v>0</v>
      </c>
      <c r="B16532" s="11" t="str">
        <f>IF(D16532&lt;&gt;"",IF(COUNTIF('USPTO TMs'!A:A,D16532)&gt;0,"Yes","No"),"")</f>
        <v/>
      </c>
      <c r="C16532" s="11"/>
      <c r="D16532" s="11"/>
      <c r="E16532" s="11"/>
      <c r="F16532" s="11"/>
      <c r="G16532" s="11"/>
      <c r="H16532" s="11"/>
      <c r="I16532" s="15"/>
    </row>
    <row r="16533" spans="1:9" ht="16.5">
      <c r="A16533" s="10" t="b">
        <v>0</v>
      </c>
      <c r="B16533" s="11" t="str">
        <f>IF(D16533&lt;&gt;"",IF(COUNTIF('USPTO TMs'!A:A,D16533)&gt;0,"Yes","No"),"")</f>
        <v/>
      </c>
      <c r="C16533" s="11"/>
      <c r="D16533" s="11"/>
      <c r="E16533" s="11"/>
      <c r="F16533" s="11"/>
      <c r="G16533" s="11"/>
      <c r="H16533" s="11"/>
      <c r="I16533" s="15"/>
    </row>
    <row r="16534" spans="1:9" ht="16.5">
      <c r="A16534" s="10" t="b">
        <v>0</v>
      </c>
      <c r="B16534" s="11" t="str">
        <f>IF(D16534&lt;&gt;"",IF(COUNTIF('USPTO TMs'!A:A,D16534)&gt;0,"Yes","No"),"")</f>
        <v/>
      </c>
      <c r="C16534" s="11"/>
      <c r="D16534" s="11"/>
      <c r="E16534" s="11"/>
      <c r="F16534" s="11"/>
      <c r="G16534" s="11"/>
      <c r="H16534" s="11"/>
      <c r="I16534" s="15"/>
    </row>
    <row r="16535" spans="1:9" ht="16.5">
      <c r="A16535" s="10" t="b">
        <v>0</v>
      </c>
      <c r="B16535" s="11" t="str">
        <f>IF(D16535&lt;&gt;"",IF(COUNTIF('USPTO TMs'!A:A,D16535)&gt;0,"Yes","No"),"")</f>
        <v/>
      </c>
      <c r="C16535" s="11"/>
      <c r="D16535" s="11"/>
      <c r="E16535" s="11"/>
      <c r="F16535" s="11"/>
      <c r="G16535" s="11"/>
      <c r="H16535" s="11"/>
      <c r="I16535" s="15"/>
    </row>
    <row r="16536" spans="1:9" ht="16.5">
      <c r="A16536" s="10" t="b">
        <v>0</v>
      </c>
      <c r="B16536" s="11" t="str">
        <f>IF(D16536&lt;&gt;"",IF(COUNTIF('USPTO TMs'!A:A,D16536)&gt;0,"Yes","No"),"")</f>
        <v/>
      </c>
      <c r="C16536" s="11"/>
      <c r="D16536" s="11"/>
      <c r="E16536" s="11"/>
      <c r="F16536" s="11"/>
      <c r="G16536" s="11"/>
      <c r="H16536" s="11"/>
      <c r="I16536" s="15"/>
    </row>
    <row r="16537" spans="1:9" ht="16.5">
      <c r="A16537" s="10" t="b">
        <v>0</v>
      </c>
      <c r="B16537" s="11" t="str">
        <f>IF(D16537&lt;&gt;"",IF(COUNTIF('USPTO TMs'!A:A,D16537)&gt;0,"Yes","No"),"")</f>
        <v/>
      </c>
      <c r="C16537" s="11"/>
      <c r="D16537" s="11"/>
      <c r="E16537" s="11"/>
      <c r="F16537" s="11"/>
      <c r="G16537" s="11"/>
      <c r="H16537" s="11"/>
      <c r="I16537" s="15"/>
    </row>
    <row r="16538" spans="1:9" ht="16.5">
      <c r="A16538" s="10" t="b">
        <v>0</v>
      </c>
      <c r="B16538" s="11" t="str">
        <f>IF(D16538&lt;&gt;"",IF(COUNTIF('USPTO TMs'!A:A,D16538)&gt;0,"Yes","No"),"")</f>
        <v/>
      </c>
      <c r="C16538" s="11"/>
      <c r="D16538" s="11"/>
      <c r="E16538" s="11"/>
      <c r="F16538" s="11"/>
      <c r="G16538" s="11"/>
      <c r="H16538" s="11"/>
      <c r="I16538" s="15"/>
    </row>
    <row r="16539" spans="1:9" ht="16.5">
      <c r="A16539" s="10" t="b">
        <v>0</v>
      </c>
      <c r="B16539" s="11" t="str">
        <f>IF(D16539&lt;&gt;"",IF(COUNTIF('USPTO TMs'!A:A,D16539)&gt;0,"Yes","No"),"")</f>
        <v/>
      </c>
      <c r="C16539" s="11"/>
      <c r="D16539" s="11"/>
      <c r="E16539" s="11"/>
      <c r="F16539" s="11"/>
      <c r="G16539" s="11"/>
      <c r="H16539" s="11"/>
      <c r="I16539" s="15"/>
    </row>
    <row r="16540" spans="1:9" ht="16.5">
      <c r="A16540" s="10" t="b">
        <v>0</v>
      </c>
      <c r="B16540" s="11" t="str">
        <f>IF(D16540&lt;&gt;"",IF(COUNTIF('USPTO TMs'!A:A,D16540)&gt;0,"Yes","No"),"")</f>
        <v/>
      </c>
      <c r="C16540" s="11"/>
      <c r="D16540" s="11"/>
      <c r="E16540" s="11"/>
      <c r="F16540" s="11"/>
      <c r="G16540" s="11"/>
      <c r="H16540" s="11"/>
      <c r="I16540" s="15"/>
    </row>
    <row r="16541" spans="1:9" ht="16.5">
      <c r="A16541" s="10" t="b">
        <v>0</v>
      </c>
      <c r="B16541" s="11" t="str">
        <f>IF(D16541&lt;&gt;"",IF(COUNTIF('USPTO TMs'!A:A,D16541)&gt;0,"Yes","No"),"")</f>
        <v/>
      </c>
      <c r="C16541" s="11"/>
      <c r="D16541" s="11"/>
      <c r="E16541" s="11"/>
      <c r="F16541" s="11"/>
      <c r="G16541" s="11"/>
      <c r="H16541" s="11"/>
      <c r="I16541" s="15"/>
    </row>
    <row r="16542" spans="1:9" ht="16.5">
      <c r="A16542" s="10" t="b">
        <v>0</v>
      </c>
      <c r="B16542" s="11" t="str">
        <f>IF(D16542&lt;&gt;"",IF(COUNTIF('USPTO TMs'!A:A,D16542)&gt;0,"Yes","No"),"")</f>
        <v/>
      </c>
      <c r="C16542" s="11"/>
      <c r="D16542" s="11"/>
      <c r="E16542" s="11"/>
      <c r="F16542" s="11"/>
      <c r="G16542" s="11"/>
      <c r="H16542" s="11"/>
      <c r="I16542" s="15"/>
    </row>
    <row r="16543" spans="1:9" ht="16.5">
      <c r="A16543" s="10" t="b">
        <v>0</v>
      </c>
      <c r="B16543" s="11" t="str">
        <f>IF(D16543&lt;&gt;"",IF(COUNTIF('USPTO TMs'!A:A,D16543)&gt;0,"Yes","No"),"")</f>
        <v/>
      </c>
      <c r="C16543" s="11"/>
      <c r="D16543" s="11"/>
      <c r="E16543" s="11"/>
      <c r="F16543" s="11"/>
      <c r="G16543" s="11"/>
      <c r="H16543" s="11"/>
      <c r="I16543" s="15"/>
    </row>
    <row r="16544" spans="1:9" ht="16.5">
      <c r="A16544" s="10" t="b">
        <v>0</v>
      </c>
      <c r="B16544" s="11" t="str">
        <f>IF(D16544&lt;&gt;"",IF(COUNTIF('USPTO TMs'!A:A,D16544)&gt;0,"Yes","No"),"")</f>
        <v/>
      </c>
      <c r="C16544" s="11"/>
      <c r="D16544" s="11"/>
      <c r="E16544" s="11"/>
      <c r="F16544" s="11"/>
      <c r="G16544" s="11"/>
      <c r="H16544" s="11"/>
      <c r="I16544" s="15"/>
    </row>
    <row r="16545" spans="1:9" ht="16.5">
      <c r="A16545" s="10" t="b">
        <v>0</v>
      </c>
      <c r="B16545" s="11" t="str">
        <f>IF(D16545&lt;&gt;"",IF(COUNTIF('USPTO TMs'!A:A,D16545)&gt;0,"Yes","No"),"")</f>
        <v/>
      </c>
      <c r="C16545" s="11"/>
      <c r="D16545" s="11"/>
      <c r="E16545" s="11"/>
      <c r="F16545" s="11"/>
      <c r="G16545" s="11"/>
      <c r="H16545" s="11"/>
      <c r="I16545" s="15"/>
    </row>
    <row r="16546" spans="1:9" ht="16.5">
      <c r="A16546" s="10" t="b">
        <v>0</v>
      </c>
      <c r="B16546" s="11" t="str">
        <f>IF(D16546&lt;&gt;"",IF(COUNTIF('USPTO TMs'!A:A,D16546)&gt;0,"Yes","No"),"")</f>
        <v/>
      </c>
      <c r="C16546" s="11"/>
      <c r="D16546" s="11"/>
      <c r="E16546" s="11"/>
      <c r="F16546" s="11"/>
      <c r="G16546" s="11"/>
      <c r="H16546" s="11"/>
      <c r="I16546" s="15"/>
    </row>
    <row r="16547" spans="1:9" ht="16.5">
      <c r="A16547" s="10" t="b">
        <v>0</v>
      </c>
      <c r="B16547" s="11" t="str">
        <f>IF(D16547&lt;&gt;"",IF(COUNTIF('USPTO TMs'!A:A,D16547)&gt;0,"Yes","No"),"")</f>
        <v/>
      </c>
      <c r="C16547" s="11"/>
      <c r="D16547" s="11"/>
      <c r="E16547" s="11"/>
      <c r="F16547" s="11"/>
      <c r="G16547" s="11"/>
      <c r="H16547" s="11"/>
      <c r="I16547" s="15"/>
    </row>
    <row r="16548" spans="1:9" ht="16.5">
      <c r="A16548" s="10" t="b">
        <v>0</v>
      </c>
      <c r="B16548" s="11" t="str">
        <f>IF(D16548&lt;&gt;"",IF(COUNTIF('USPTO TMs'!A:A,D16548)&gt;0,"Yes","No"),"")</f>
        <v/>
      </c>
      <c r="C16548" s="11"/>
      <c r="D16548" s="11"/>
      <c r="E16548" s="11"/>
      <c r="F16548" s="11"/>
      <c r="G16548" s="11"/>
      <c r="H16548" s="11"/>
      <c r="I16548" s="15"/>
    </row>
    <row r="16549" spans="1:9" ht="16.5">
      <c r="A16549" s="10" t="b">
        <v>0</v>
      </c>
      <c r="B16549" s="11" t="str">
        <f>IF(D16549&lt;&gt;"",IF(COUNTIF('USPTO TMs'!A:A,D16549)&gt;0,"Yes","No"),"")</f>
        <v/>
      </c>
      <c r="C16549" s="11"/>
      <c r="D16549" s="11"/>
      <c r="E16549" s="11"/>
      <c r="F16549" s="11"/>
      <c r="G16549" s="11"/>
      <c r="H16549" s="11"/>
      <c r="I16549" s="15"/>
    </row>
    <row r="16550" spans="1:9" ht="16.5">
      <c r="A16550" s="10" t="b">
        <v>0</v>
      </c>
      <c r="B16550" s="11" t="str">
        <f>IF(D16550&lt;&gt;"",IF(COUNTIF('USPTO TMs'!A:A,D16550)&gt;0,"Yes","No"),"")</f>
        <v/>
      </c>
      <c r="C16550" s="11"/>
      <c r="D16550" s="11"/>
      <c r="E16550" s="11"/>
      <c r="F16550" s="11"/>
      <c r="G16550" s="11"/>
      <c r="H16550" s="11"/>
      <c r="I16550" s="15"/>
    </row>
    <row r="16551" spans="1:9" ht="16.5">
      <c r="A16551" s="10" t="b">
        <v>0</v>
      </c>
      <c r="B16551" s="11" t="str">
        <f>IF(D16551&lt;&gt;"",IF(COUNTIF('USPTO TMs'!A:A,D16551)&gt;0,"Yes","No"),"")</f>
        <v/>
      </c>
      <c r="C16551" s="11"/>
      <c r="D16551" s="11"/>
      <c r="E16551" s="11"/>
      <c r="F16551" s="11"/>
      <c r="G16551" s="11"/>
      <c r="H16551" s="11"/>
      <c r="I16551" s="15"/>
    </row>
    <row r="16552" spans="1:9" ht="16.5">
      <c r="A16552" s="10" t="b">
        <v>0</v>
      </c>
      <c r="B16552" s="11" t="str">
        <f>IF(D16552&lt;&gt;"",IF(COUNTIF('USPTO TMs'!A:A,D16552)&gt;0,"Yes","No"),"")</f>
        <v/>
      </c>
      <c r="C16552" s="11"/>
      <c r="D16552" s="11"/>
      <c r="E16552" s="11"/>
      <c r="F16552" s="11"/>
      <c r="G16552" s="11"/>
      <c r="H16552" s="11"/>
      <c r="I16552" s="15"/>
    </row>
    <row r="16553" spans="1:9" ht="16.5">
      <c r="A16553" s="10" t="b">
        <v>0</v>
      </c>
      <c r="B16553" s="11" t="str">
        <f>IF(D16553&lt;&gt;"",IF(COUNTIF('USPTO TMs'!A:A,D16553)&gt;0,"Yes","No"),"")</f>
        <v/>
      </c>
      <c r="C16553" s="11"/>
      <c r="D16553" s="11"/>
      <c r="E16553" s="11"/>
      <c r="F16553" s="11"/>
      <c r="G16553" s="11"/>
      <c r="H16553" s="11"/>
      <c r="I16553" s="15"/>
    </row>
    <row r="16554" spans="1:9" ht="16.5">
      <c r="A16554" s="10" t="b">
        <v>0</v>
      </c>
      <c r="B16554" s="11" t="str">
        <f>IF(D16554&lt;&gt;"",IF(COUNTIF('USPTO TMs'!A:A,D16554)&gt;0,"Yes","No"),"")</f>
        <v/>
      </c>
      <c r="C16554" s="11"/>
      <c r="D16554" s="11"/>
      <c r="E16554" s="11"/>
      <c r="F16554" s="11"/>
      <c r="G16554" s="11"/>
      <c r="H16554" s="11"/>
      <c r="I16554" s="15"/>
    </row>
    <row r="16555" spans="1:9" ht="16.5">
      <c r="A16555" s="10" t="b">
        <v>0</v>
      </c>
      <c r="B16555" s="11" t="str">
        <f>IF(D16555&lt;&gt;"",IF(COUNTIF('USPTO TMs'!A:A,D16555)&gt;0,"Yes","No"),"")</f>
        <v/>
      </c>
      <c r="C16555" s="11"/>
      <c r="D16555" s="11"/>
      <c r="E16555" s="11"/>
      <c r="F16555" s="11"/>
      <c r="G16555" s="11"/>
      <c r="H16555" s="11"/>
      <c r="I16555" s="15"/>
    </row>
    <row r="16556" spans="1:9" ht="16.5">
      <c r="A16556" s="10" t="b">
        <v>0</v>
      </c>
      <c r="B16556" s="11" t="str">
        <f>IF(D16556&lt;&gt;"",IF(COUNTIF('USPTO TMs'!A:A,D16556)&gt;0,"Yes","No"),"")</f>
        <v/>
      </c>
      <c r="C16556" s="11"/>
      <c r="D16556" s="11"/>
      <c r="E16556" s="11"/>
      <c r="F16556" s="11"/>
      <c r="G16556" s="11"/>
      <c r="H16556" s="11"/>
      <c r="I16556" s="15"/>
    </row>
    <row r="16557" spans="1:9" ht="16.5">
      <c r="A16557" s="10" t="b">
        <v>0</v>
      </c>
      <c r="B16557" s="11" t="str">
        <f>IF(D16557&lt;&gt;"",IF(COUNTIF('USPTO TMs'!A:A,D16557)&gt;0,"Yes","No"),"")</f>
        <v/>
      </c>
      <c r="C16557" s="11"/>
      <c r="D16557" s="11"/>
      <c r="E16557" s="11"/>
      <c r="F16557" s="11"/>
      <c r="G16557" s="11"/>
      <c r="H16557" s="11"/>
      <c r="I16557" s="15"/>
    </row>
    <row r="16558" spans="1:9" ht="16.5">
      <c r="A16558" s="10" t="b">
        <v>0</v>
      </c>
      <c r="B16558" s="11" t="str">
        <f>IF(D16558&lt;&gt;"",IF(COUNTIF('USPTO TMs'!A:A,D16558)&gt;0,"Yes","No"),"")</f>
        <v/>
      </c>
      <c r="C16558" s="11"/>
      <c r="D16558" s="11"/>
      <c r="E16558" s="11"/>
      <c r="F16558" s="11"/>
      <c r="G16558" s="11"/>
      <c r="H16558" s="11"/>
      <c r="I16558" s="15"/>
    </row>
    <row r="16559" spans="1:9" ht="16.5">
      <c r="A16559" s="10" t="b">
        <v>0</v>
      </c>
      <c r="B16559" s="11" t="str">
        <f>IF(D16559&lt;&gt;"",IF(COUNTIF('USPTO TMs'!A:A,D16559)&gt;0,"Yes","No"),"")</f>
        <v/>
      </c>
      <c r="C16559" s="11"/>
      <c r="D16559" s="11"/>
      <c r="E16559" s="11"/>
      <c r="F16559" s="11"/>
      <c r="G16559" s="11"/>
      <c r="H16559" s="11"/>
      <c r="I16559" s="15"/>
    </row>
    <row r="16560" spans="1:9" ht="16.5">
      <c r="A16560" s="10" t="b">
        <v>0</v>
      </c>
      <c r="B16560" s="11" t="str">
        <f>IF(D16560&lt;&gt;"",IF(COUNTIF('USPTO TMs'!A:A,D16560)&gt;0,"Yes","No"),"")</f>
        <v/>
      </c>
      <c r="C16560" s="11"/>
      <c r="D16560" s="11"/>
      <c r="E16560" s="11"/>
      <c r="F16560" s="11"/>
      <c r="G16560" s="11"/>
      <c r="H16560" s="11"/>
      <c r="I16560" s="15"/>
    </row>
    <row r="16561" spans="1:9" ht="16.5">
      <c r="A16561" s="10" t="b">
        <v>0</v>
      </c>
      <c r="B16561" s="11" t="str">
        <f>IF(D16561&lt;&gt;"",IF(COUNTIF('USPTO TMs'!A:A,D16561)&gt;0,"Yes","No"),"")</f>
        <v/>
      </c>
      <c r="C16561" s="11"/>
      <c r="D16561" s="11"/>
      <c r="E16561" s="11"/>
      <c r="F16561" s="11"/>
      <c r="G16561" s="11"/>
      <c r="H16561" s="11"/>
      <c r="I16561" s="15"/>
    </row>
    <row r="16562" spans="1:9" ht="16.5">
      <c r="A16562" s="10" t="b">
        <v>0</v>
      </c>
      <c r="B16562" s="11" t="str">
        <f>IF(D16562&lt;&gt;"",IF(COUNTIF('USPTO TMs'!A:A,D16562)&gt;0,"Yes","No"),"")</f>
        <v/>
      </c>
      <c r="C16562" s="11"/>
      <c r="D16562" s="11"/>
      <c r="E16562" s="11"/>
      <c r="F16562" s="11"/>
      <c r="G16562" s="11"/>
      <c r="H16562" s="11"/>
      <c r="I16562" s="15"/>
    </row>
    <row r="16563" spans="1:9" ht="16.5">
      <c r="A16563" s="10" t="b">
        <v>0</v>
      </c>
      <c r="B16563" s="11" t="str">
        <f>IF(D16563&lt;&gt;"",IF(COUNTIF('USPTO TMs'!A:A,D16563)&gt;0,"Yes","No"),"")</f>
        <v/>
      </c>
      <c r="C16563" s="11"/>
      <c r="D16563" s="11"/>
      <c r="E16563" s="11"/>
      <c r="F16563" s="11"/>
      <c r="G16563" s="11"/>
      <c r="H16563" s="11"/>
      <c r="I16563" s="15"/>
    </row>
    <row r="16564" spans="1:9" ht="16.5">
      <c r="A16564" s="10" t="b">
        <v>0</v>
      </c>
      <c r="B16564" s="11" t="str">
        <f>IF(D16564&lt;&gt;"",IF(COUNTIF('USPTO TMs'!A:A,D16564)&gt;0,"Yes","No"),"")</f>
        <v/>
      </c>
      <c r="C16564" s="11"/>
      <c r="D16564" s="11"/>
      <c r="E16564" s="11"/>
      <c r="F16564" s="11"/>
      <c r="G16564" s="11"/>
      <c r="H16564" s="11"/>
      <c r="I16564" s="15"/>
    </row>
    <row r="16565" spans="1:9" ht="16.5">
      <c r="A16565" s="10" t="b">
        <v>0</v>
      </c>
      <c r="B16565" s="11" t="str">
        <f>IF(D16565&lt;&gt;"",IF(COUNTIF('USPTO TMs'!A:A,D16565)&gt;0,"Yes","No"),"")</f>
        <v/>
      </c>
      <c r="C16565" s="11"/>
      <c r="D16565" s="11"/>
      <c r="E16565" s="11"/>
      <c r="F16565" s="11"/>
      <c r="G16565" s="11"/>
      <c r="H16565" s="11"/>
      <c r="I16565" s="15"/>
    </row>
    <row r="16566" spans="1:9" ht="16.5">
      <c r="A16566" s="10" t="b">
        <v>0</v>
      </c>
      <c r="B16566" s="11" t="str">
        <f>IF(D16566&lt;&gt;"",IF(COUNTIF('USPTO TMs'!A:A,D16566)&gt;0,"Yes","No"),"")</f>
        <v/>
      </c>
      <c r="C16566" s="11"/>
      <c r="D16566" s="11"/>
      <c r="E16566" s="11"/>
      <c r="F16566" s="11"/>
      <c r="G16566" s="11"/>
      <c r="H16566" s="11"/>
      <c r="I16566" s="15"/>
    </row>
    <row r="16567" spans="1:9" ht="16.5">
      <c r="A16567" s="10" t="b">
        <v>0</v>
      </c>
      <c r="B16567" s="11" t="str">
        <f>IF(D16567&lt;&gt;"",IF(COUNTIF('USPTO TMs'!A:A,D16567)&gt;0,"Yes","No"),"")</f>
        <v/>
      </c>
      <c r="C16567" s="11"/>
      <c r="D16567" s="11"/>
      <c r="E16567" s="11"/>
      <c r="F16567" s="11"/>
      <c r="G16567" s="11"/>
      <c r="H16567" s="11"/>
      <c r="I16567" s="15"/>
    </row>
    <row r="16568" spans="1:9" ht="16.5">
      <c r="A16568" s="10" t="b">
        <v>0</v>
      </c>
      <c r="B16568" s="11" t="str">
        <f>IF(D16568&lt;&gt;"",IF(COUNTIF('USPTO TMs'!A:A,D16568)&gt;0,"Yes","No"),"")</f>
        <v/>
      </c>
      <c r="C16568" s="11"/>
      <c r="D16568" s="11"/>
      <c r="E16568" s="11"/>
      <c r="F16568" s="11"/>
      <c r="G16568" s="11"/>
      <c r="H16568" s="11"/>
      <c r="I16568" s="15"/>
    </row>
    <row r="16569" spans="1:9" ht="16.5">
      <c r="A16569" s="10" t="b">
        <v>0</v>
      </c>
      <c r="B16569" s="11" t="str">
        <f>IF(D16569&lt;&gt;"",IF(COUNTIF('USPTO TMs'!A:A,D16569)&gt;0,"Yes","No"),"")</f>
        <v/>
      </c>
      <c r="C16569" s="11"/>
      <c r="D16569" s="11"/>
      <c r="E16569" s="11"/>
      <c r="F16569" s="11"/>
      <c r="G16569" s="11"/>
      <c r="H16569" s="11"/>
      <c r="I16569" s="15"/>
    </row>
    <row r="16570" spans="1:9" ht="16.5">
      <c r="A16570" s="10" t="b">
        <v>0</v>
      </c>
      <c r="B16570" s="11" t="str">
        <f>IF(D16570&lt;&gt;"",IF(COUNTIF('USPTO TMs'!A:A,D16570)&gt;0,"Yes","No"),"")</f>
        <v/>
      </c>
      <c r="C16570" s="11"/>
      <c r="D16570" s="11"/>
      <c r="E16570" s="11"/>
      <c r="F16570" s="11"/>
      <c r="G16570" s="11"/>
      <c r="H16570" s="11"/>
      <c r="I16570" s="15"/>
    </row>
    <row r="16571" spans="1:9" ht="16.5">
      <c r="A16571" s="10" t="b">
        <v>0</v>
      </c>
      <c r="B16571" s="11" t="str">
        <f>IF(D16571&lt;&gt;"",IF(COUNTIF('USPTO TMs'!A:A,D16571)&gt;0,"Yes","No"),"")</f>
        <v/>
      </c>
      <c r="C16571" s="11"/>
      <c r="D16571" s="11"/>
      <c r="E16571" s="11"/>
      <c r="F16571" s="11"/>
      <c r="G16571" s="11"/>
      <c r="H16571" s="11"/>
      <c r="I16571" s="15"/>
    </row>
    <row r="16572" spans="1:9" ht="16.5">
      <c r="A16572" s="10" t="b">
        <v>0</v>
      </c>
      <c r="B16572" s="11" t="str">
        <f>IF(D16572&lt;&gt;"",IF(COUNTIF('USPTO TMs'!A:A,D16572)&gt;0,"Yes","No"),"")</f>
        <v/>
      </c>
      <c r="C16572" s="11"/>
      <c r="D16572" s="11"/>
      <c r="E16572" s="11"/>
      <c r="F16572" s="11"/>
      <c r="G16572" s="11"/>
      <c r="H16572" s="11"/>
      <c r="I16572" s="15"/>
    </row>
    <row r="16573" spans="1:9" ht="16.5">
      <c r="A16573" s="10" t="b">
        <v>0</v>
      </c>
      <c r="B16573" s="11" t="str">
        <f>IF(D16573&lt;&gt;"",IF(COUNTIF('USPTO TMs'!A:A,D16573)&gt;0,"Yes","No"),"")</f>
        <v/>
      </c>
      <c r="C16573" s="11"/>
      <c r="D16573" s="11"/>
      <c r="E16573" s="11"/>
      <c r="F16573" s="11"/>
      <c r="G16573" s="11"/>
      <c r="H16573" s="11"/>
      <c r="I16573" s="15"/>
    </row>
    <row r="16574" spans="1:9" ht="16.5">
      <c r="A16574" s="10" t="b">
        <v>0</v>
      </c>
      <c r="B16574" s="11" t="str">
        <f>IF(D16574&lt;&gt;"",IF(COUNTIF('USPTO TMs'!A:A,D16574)&gt;0,"Yes","No"),"")</f>
        <v/>
      </c>
      <c r="C16574" s="11"/>
      <c r="D16574" s="11"/>
      <c r="E16574" s="11"/>
      <c r="F16574" s="11"/>
      <c r="G16574" s="11"/>
      <c r="H16574" s="11"/>
      <c r="I16574" s="15"/>
    </row>
    <row r="16575" spans="1:9" ht="16.5">
      <c r="A16575" s="10" t="b">
        <v>0</v>
      </c>
      <c r="B16575" s="11" t="str">
        <f>IF(D16575&lt;&gt;"",IF(COUNTIF('USPTO TMs'!A:A,D16575)&gt;0,"Yes","No"),"")</f>
        <v/>
      </c>
      <c r="C16575" s="11"/>
      <c r="D16575" s="11"/>
      <c r="E16575" s="11"/>
      <c r="F16575" s="11"/>
      <c r="G16575" s="11"/>
      <c r="H16575" s="11"/>
      <c r="I16575" s="15"/>
    </row>
    <row r="16576" spans="1:9" ht="16.5">
      <c r="A16576" s="10" t="b">
        <v>0</v>
      </c>
      <c r="B16576" s="11" t="str">
        <f>IF(D16576&lt;&gt;"",IF(COUNTIF('USPTO TMs'!A:A,D16576)&gt;0,"Yes","No"),"")</f>
        <v/>
      </c>
      <c r="C16576" s="11"/>
      <c r="D16576" s="11"/>
      <c r="E16576" s="11"/>
      <c r="F16576" s="11"/>
      <c r="G16576" s="11"/>
      <c r="H16576" s="11"/>
      <c r="I16576" s="15"/>
    </row>
    <row r="16577" spans="1:9" ht="16.5">
      <c r="A16577" s="10" t="b">
        <v>0</v>
      </c>
      <c r="B16577" s="11" t="str">
        <f>IF(D16577&lt;&gt;"",IF(COUNTIF('USPTO TMs'!A:A,D16577)&gt;0,"Yes","No"),"")</f>
        <v/>
      </c>
      <c r="C16577" s="11"/>
      <c r="D16577" s="11"/>
      <c r="E16577" s="11"/>
      <c r="F16577" s="11"/>
      <c r="G16577" s="11"/>
      <c r="H16577" s="11"/>
      <c r="I16577" s="15"/>
    </row>
    <row r="16578" spans="1:9" ht="16.5">
      <c r="A16578" s="10" t="b">
        <v>0</v>
      </c>
      <c r="B16578" s="11" t="str">
        <f>IF(D16578&lt;&gt;"",IF(COUNTIF('USPTO TMs'!A:A,D16578)&gt;0,"Yes","No"),"")</f>
        <v/>
      </c>
      <c r="C16578" s="11"/>
      <c r="D16578" s="11"/>
      <c r="E16578" s="11"/>
      <c r="F16578" s="11"/>
      <c r="G16578" s="11"/>
      <c r="H16578" s="11"/>
      <c r="I16578" s="15"/>
    </row>
    <row r="16579" spans="1:9" ht="16.5">
      <c r="A16579" s="10" t="b">
        <v>0</v>
      </c>
      <c r="B16579" s="11" t="str">
        <f>IF(D16579&lt;&gt;"",IF(COUNTIF('USPTO TMs'!A:A,D16579)&gt;0,"Yes","No"),"")</f>
        <v/>
      </c>
      <c r="C16579" s="11"/>
      <c r="D16579" s="11"/>
      <c r="E16579" s="11"/>
      <c r="F16579" s="11"/>
      <c r="G16579" s="11"/>
      <c r="H16579" s="11"/>
      <c r="I16579" s="15"/>
    </row>
    <row r="16580" spans="1:9" ht="16.5">
      <c r="A16580" s="10" t="b">
        <v>0</v>
      </c>
      <c r="B16580" s="11" t="str">
        <f>IF(D16580&lt;&gt;"",IF(COUNTIF('USPTO TMs'!A:A,D16580)&gt;0,"Yes","No"),"")</f>
        <v/>
      </c>
      <c r="C16580" s="11"/>
      <c r="D16580" s="11"/>
      <c r="E16580" s="11"/>
      <c r="F16580" s="11"/>
      <c r="G16580" s="11"/>
      <c r="H16580" s="11"/>
      <c r="I16580" s="15"/>
    </row>
    <row r="16581" spans="1:9" ht="16.5">
      <c r="A16581" s="10" t="b">
        <v>0</v>
      </c>
      <c r="B16581" s="11" t="str">
        <f>IF(D16581&lt;&gt;"",IF(COUNTIF('USPTO TMs'!A:A,D16581)&gt;0,"Yes","No"),"")</f>
        <v/>
      </c>
      <c r="C16581" s="11"/>
      <c r="D16581" s="11"/>
      <c r="E16581" s="11"/>
      <c r="F16581" s="11"/>
      <c r="G16581" s="11"/>
      <c r="H16581" s="11"/>
      <c r="I16581" s="15"/>
    </row>
    <row r="16582" spans="1:9" ht="16.5">
      <c r="A16582" s="10" t="b">
        <v>0</v>
      </c>
      <c r="B16582" s="11" t="str">
        <f>IF(D16582&lt;&gt;"",IF(COUNTIF('USPTO TMs'!A:A,D16582)&gt;0,"Yes","No"),"")</f>
        <v/>
      </c>
      <c r="C16582" s="11"/>
      <c r="D16582" s="11"/>
      <c r="E16582" s="11"/>
      <c r="F16582" s="11"/>
      <c r="G16582" s="11"/>
      <c r="H16582" s="11"/>
      <c r="I16582" s="15"/>
    </row>
    <row r="16583" spans="1:9" ht="16.5">
      <c r="A16583" s="10" t="b">
        <v>0</v>
      </c>
      <c r="B16583" s="11" t="str">
        <f>IF(D16583&lt;&gt;"",IF(COUNTIF('USPTO TMs'!A:A,D16583)&gt;0,"Yes","No"),"")</f>
        <v/>
      </c>
      <c r="C16583" s="11"/>
      <c r="D16583" s="11"/>
      <c r="E16583" s="11"/>
      <c r="F16583" s="11"/>
      <c r="G16583" s="11"/>
      <c r="H16583" s="11"/>
      <c r="I16583" s="15"/>
    </row>
    <row r="16584" spans="1:9" ht="16.5">
      <c r="A16584" s="10" t="b">
        <v>0</v>
      </c>
      <c r="B16584" s="11" t="str">
        <f>IF(D16584&lt;&gt;"",IF(COUNTIF('USPTO TMs'!A:A,D16584)&gt;0,"Yes","No"),"")</f>
        <v/>
      </c>
      <c r="C16584" s="11"/>
      <c r="D16584" s="11"/>
      <c r="E16584" s="11"/>
      <c r="F16584" s="11"/>
      <c r="G16584" s="11"/>
      <c r="H16584" s="11"/>
      <c r="I16584" s="15"/>
    </row>
    <row r="16585" spans="1:9" ht="16.5">
      <c r="A16585" s="10" t="b">
        <v>0</v>
      </c>
      <c r="B16585" s="11" t="str">
        <f>IF(D16585&lt;&gt;"",IF(COUNTIF('USPTO TMs'!A:A,D16585)&gt;0,"Yes","No"),"")</f>
        <v/>
      </c>
      <c r="C16585" s="11"/>
      <c r="D16585" s="11"/>
      <c r="E16585" s="11"/>
      <c r="F16585" s="11"/>
      <c r="G16585" s="11"/>
      <c r="H16585" s="11"/>
      <c r="I16585" s="15"/>
    </row>
    <row r="16586" spans="1:9" ht="16.5">
      <c r="A16586" s="10" t="b">
        <v>0</v>
      </c>
      <c r="B16586" s="11" t="str">
        <f>IF(D16586&lt;&gt;"",IF(COUNTIF('USPTO TMs'!A:A,D16586)&gt;0,"Yes","No"),"")</f>
        <v/>
      </c>
      <c r="C16586" s="11"/>
      <c r="D16586" s="11"/>
      <c r="E16586" s="11"/>
      <c r="F16586" s="11"/>
      <c r="G16586" s="11"/>
      <c r="H16586" s="11"/>
      <c r="I16586" s="15"/>
    </row>
    <row r="16587" spans="1:9" ht="16.5">
      <c r="A16587" s="10" t="b">
        <v>0</v>
      </c>
      <c r="B16587" s="11" t="str">
        <f>IF(D16587&lt;&gt;"",IF(COUNTIF('USPTO TMs'!A:A,D16587)&gt;0,"Yes","No"),"")</f>
        <v/>
      </c>
      <c r="C16587" s="11"/>
      <c r="D16587" s="11"/>
      <c r="E16587" s="11"/>
      <c r="F16587" s="11"/>
      <c r="G16587" s="11"/>
      <c r="H16587" s="11"/>
      <c r="I16587" s="15"/>
    </row>
    <row r="16588" spans="1:9" ht="16.5">
      <c r="A16588" s="10" t="b">
        <v>0</v>
      </c>
      <c r="B16588" s="11" t="str">
        <f>IF(D16588&lt;&gt;"",IF(COUNTIF('USPTO TMs'!A:A,D16588)&gt;0,"Yes","No"),"")</f>
        <v/>
      </c>
      <c r="C16588" s="11"/>
      <c r="D16588" s="11"/>
      <c r="E16588" s="11"/>
      <c r="F16588" s="11"/>
      <c r="G16588" s="11"/>
      <c r="H16588" s="11"/>
      <c r="I16588" s="15"/>
    </row>
    <row r="16589" spans="1:9" ht="16.5">
      <c r="A16589" s="10" t="b">
        <v>0</v>
      </c>
      <c r="B16589" s="11" t="str">
        <f>IF(D16589&lt;&gt;"",IF(COUNTIF('USPTO TMs'!A:A,D16589)&gt;0,"Yes","No"),"")</f>
        <v/>
      </c>
      <c r="C16589" s="11"/>
      <c r="D16589" s="11"/>
      <c r="E16589" s="11"/>
      <c r="F16589" s="11"/>
      <c r="G16589" s="11"/>
      <c r="H16589" s="11"/>
      <c r="I16589" s="15"/>
    </row>
    <row r="16590" spans="1:9" ht="16.5">
      <c r="A16590" s="10" t="b">
        <v>0</v>
      </c>
      <c r="B16590" s="11" t="str">
        <f>IF(D16590&lt;&gt;"",IF(COUNTIF('USPTO TMs'!A:A,D16590)&gt;0,"Yes","No"),"")</f>
        <v/>
      </c>
      <c r="C16590" s="11"/>
      <c r="D16590" s="11"/>
      <c r="E16590" s="11"/>
      <c r="F16590" s="11"/>
      <c r="G16590" s="11"/>
      <c r="H16590" s="11"/>
      <c r="I16590" s="15"/>
    </row>
    <row r="16591" spans="1:9" ht="16.5">
      <c r="A16591" s="10" t="b">
        <v>0</v>
      </c>
      <c r="B16591" s="11" t="str">
        <f>IF(D16591&lt;&gt;"",IF(COUNTIF('USPTO TMs'!A:A,D16591)&gt;0,"Yes","No"),"")</f>
        <v/>
      </c>
      <c r="C16591" s="11"/>
      <c r="D16591" s="11"/>
      <c r="E16591" s="11"/>
      <c r="F16591" s="11"/>
      <c r="G16591" s="11"/>
      <c r="H16591" s="11"/>
      <c r="I16591" s="15"/>
    </row>
    <row r="16592" spans="1:9" ht="16.5">
      <c r="A16592" s="10" t="b">
        <v>0</v>
      </c>
      <c r="B16592" s="11" t="str">
        <f>IF(D16592&lt;&gt;"",IF(COUNTIF('USPTO TMs'!A:A,D16592)&gt;0,"Yes","No"),"")</f>
        <v/>
      </c>
      <c r="C16592" s="11"/>
      <c r="D16592" s="11"/>
      <c r="E16592" s="11"/>
      <c r="F16592" s="11"/>
      <c r="G16592" s="11"/>
      <c r="H16592" s="11"/>
      <c r="I16592" s="15"/>
    </row>
    <row r="16593" spans="1:9" ht="16.5">
      <c r="A16593" s="10" t="b">
        <v>0</v>
      </c>
      <c r="B16593" s="11" t="str">
        <f>IF(D16593&lt;&gt;"",IF(COUNTIF('USPTO TMs'!A:A,D16593)&gt;0,"Yes","No"),"")</f>
        <v/>
      </c>
      <c r="C16593" s="11"/>
      <c r="D16593" s="11"/>
      <c r="E16593" s="11"/>
      <c r="F16593" s="11"/>
      <c r="G16593" s="11"/>
      <c r="H16593" s="11"/>
      <c r="I16593" s="15"/>
    </row>
    <row r="16594" spans="1:9" ht="16.5">
      <c r="A16594" s="10" t="b">
        <v>0</v>
      </c>
      <c r="B16594" s="11" t="str">
        <f>IF(D16594&lt;&gt;"",IF(COUNTIF('USPTO TMs'!A:A,D16594)&gt;0,"Yes","No"),"")</f>
        <v/>
      </c>
      <c r="C16594" s="11"/>
      <c r="D16594" s="11"/>
      <c r="E16594" s="11"/>
      <c r="F16594" s="11"/>
      <c r="G16594" s="11"/>
      <c r="H16594" s="11"/>
      <c r="I16594" s="15"/>
    </row>
    <row r="16595" spans="1:9" ht="16.5">
      <c r="A16595" s="10" t="b">
        <v>0</v>
      </c>
      <c r="B16595" s="11" t="str">
        <f>IF(D16595&lt;&gt;"",IF(COUNTIF('USPTO TMs'!A:A,D16595)&gt;0,"Yes","No"),"")</f>
        <v/>
      </c>
      <c r="C16595" s="11"/>
      <c r="D16595" s="11"/>
      <c r="E16595" s="11"/>
      <c r="F16595" s="11"/>
      <c r="G16595" s="11"/>
      <c r="H16595" s="11"/>
      <c r="I16595" s="15"/>
    </row>
    <row r="16596" spans="1:9" ht="16.5">
      <c r="A16596" s="10" t="b">
        <v>0</v>
      </c>
      <c r="B16596" s="11" t="str">
        <f>IF(D16596&lt;&gt;"",IF(COUNTIF('USPTO TMs'!A:A,D16596)&gt;0,"Yes","No"),"")</f>
        <v/>
      </c>
      <c r="C16596" s="11"/>
      <c r="D16596" s="11"/>
      <c r="E16596" s="11"/>
      <c r="F16596" s="11"/>
      <c r="G16596" s="11"/>
      <c r="H16596" s="11"/>
      <c r="I16596" s="15"/>
    </row>
    <row r="16597" spans="1:9" ht="16.5">
      <c r="A16597" s="10" t="b">
        <v>0</v>
      </c>
      <c r="B16597" s="11" t="str">
        <f>IF(D16597&lt;&gt;"",IF(COUNTIF('USPTO TMs'!A:A,D16597)&gt;0,"Yes","No"),"")</f>
        <v/>
      </c>
      <c r="C16597" s="11"/>
      <c r="D16597" s="11"/>
      <c r="E16597" s="11"/>
      <c r="F16597" s="11"/>
      <c r="G16597" s="11"/>
      <c r="H16597" s="11"/>
      <c r="I16597" s="15"/>
    </row>
    <row r="16598" spans="1:9" ht="16.5">
      <c r="A16598" s="10" t="b">
        <v>0</v>
      </c>
      <c r="B16598" s="11" t="str">
        <f>IF(D16598&lt;&gt;"",IF(COUNTIF('USPTO TMs'!A:A,D16598)&gt;0,"Yes","No"),"")</f>
        <v/>
      </c>
      <c r="C16598" s="11"/>
      <c r="D16598" s="11"/>
      <c r="E16598" s="11"/>
      <c r="F16598" s="11"/>
      <c r="G16598" s="11"/>
      <c r="H16598" s="11"/>
      <c r="I16598" s="15"/>
    </row>
    <row r="16599" spans="1:9" ht="16.5">
      <c r="A16599" s="10" t="b">
        <v>0</v>
      </c>
      <c r="B16599" s="11" t="str">
        <f>IF(D16599&lt;&gt;"",IF(COUNTIF('USPTO TMs'!A:A,D16599)&gt;0,"Yes","No"),"")</f>
        <v/>
      </c>
      <c r="C16599" s="11"/>
      <c r="D16599" s="11"/>
      <c r="E16599" s="11"/>
      <c r="F16599" s="11"/>
      <c r="G16599" s="11"/>
      <c r="H16599" s="11"/>
      <c r="I16599" s="15"/>
    </row>
    <row r="16600" spans="1:9" ht="16.5">
      <c r="A16600" s="10" t="b">
        <v>0</v>
      </c>
      <c r="B16600" s="11" t="str">
        <f>IF(D16600&lt;&gt;"",IF(COUNTIF('USPTO TMs'!A:A,D16600)&gt;0,"Yes","No"),"")</f>
        <v/>
      </c>
      <c r="C16600" s="11"/>
      <c r="D16600" s="11"/>
      <c r="E16600" s="11"/>
      <c r="F16600" s="11"/>
      <c r="G16600" s="11"/>
      <c r="H16600" s="11"/>
      <c r="I16600" s="15"/>
    </row>
    <row r="16601" spans="1:9" ht="16.5">
      <c r="A16601" s="10" t="b">
        <v>0</v>
      </c>
      <c r="B16601" s="11" t="str">
        <f>IF(D16601&lt;&gt;"",IF(COUNTIF('USPTO TMs'!A:A,D16601)&gt;0,"Yes","No"),"")</f>
        <v/>
      </c>
      <c r="C16601" s="11"/>
      <c r="D16601" s="11"/>
      <c r="E16601" s="11"/>
      <c r="F16601" s="11"/>
      <c r="G16601" s="11"/>
      <c r="H16601" s="11"/>
      <c r="I16601" s="15"/>
    </row>
    <row r="16602" spans="1:9" ht="16.5">
      <c r="A16602" s="10" t="b">
        <v>0</v>
      </c>
      <c r="B16602" s="11" t="str">
        <f>IF(D16602&lt;&gt;"",IF(COUNTIF('USPTO TMs'!A:A,D16602)&gt;0,"Yes","No"),"")</f>
        <v/>
      </c>
      <c r="C16602" s="11"/>
      <c r="D16602" s="11"/>
      <c r="E16602" s="11"/>
      <c r="F16602" s="11"/>
      <c r="G16602" s="11"/>
      <c r="H16602" s="11"/>
      <c r="I16602" s="15"/>
    </row>
    <row r="16603" spans="1:9" ht="16.5">
      <c r="A16603" s="10" t="b">
        <v>0</v>
      </c>
      <c r="B16603" s="11" t="str">
        <f>IF(D16603&lt;&gt;"",IF(COUNTIF('USPTO TMs'!A:A,D16603)&gt;0,"Yes","No"),"")</f>
        <v/>
      </c>
      <c r="C16603" s="11"/>
      <c r="D16603" s="11"/>
      <c r="E16603" s="11"/>
      <c r="F16603" s="11"/>
      <c r="G16603" s="11"/>
      <c r="H16603" s="11"/>
      <c r="I16603" s="15"/>
    </row>
    <row r="16604" spans="1:9" ht="16.5">
      <c r="A16604" s="10" t="b">
        <v>0</v>
      </c>
      <c r="B16604" s="11" t="str">
        <f>IF(D16604&lt;&gt;"",IF(COUNTIF('USPTO TMs'!A:A,D16604)&gt;0,"Yes","No"),"")</f>
        <v/>
      </c>
      <c r="C16604" s="11"/>
      <c r="D16604" s="11"/>
      <c r="E16604" s="11"/>
      <c r="F16604" s="11"/>
      <c r="G16604" s="11"/>
      <c r="H16604" s="11"/>
      <c r="I16604" s="15"/>
    </row>
    <row r="16605" spans="1:9" ht="16.5">
      <c r="A16605" s="10" t="b">
        <v>0</v>
      </c>
      <c r="B16605" s="11" t="str">
        <f>IF(D16605&lt;&gt;"",IF(COUNTIF('USPTO TMs'!A:A,D16605)&gt;0,"Yes","No"),"")</f>
        <v/>
      </c>
      <c r="C16605" s="11"/>
      <c r="D16605" s="11"/>
      <c r="E16605" s="11"/>
      <c r="F16605" s="11"/>
      <c r="G16605" s="11"/>
      <c r="H16605" s="11"/>
      <c r="I16605" s="15"/>
    </row>
    <row r="16606" spans="1:9" ht="16.5">
      <c r="A16606" s="10" t="b">
        <v>0</v>
      </c>
      <c r="B16606" s="11" t="str">
        <f>IF(D16606&lt;&gt;"",IF(COUNTIF('USPTO TMs'!A:A,D16606)&gt;0,"Yes","No"),"")</f>
        <v/>
      </c>
      <c r="C16606" s="11"/>
      <c r="D16606" s="11"/>
      <c r="E16606" s="11"/>
      <c r="F16606" s="11"/>
      <c r="G16606" s="11"/>
      <c r="H16606" s="11"/>
      <c r="I16606" s="15"/>
    </row>
    <row r="16607" spans="1:9" ht="16.5">
      <c r="A16607" s="10" t="b">
        <v>0</v>
      </c>
      <c r="B16607" s="11" t="str">
        <f>IF(D16607&lt;&gt;"",IF(COUNTIF('USPTO TMs'!A:A,D16607)&gt;0,"Yes","No"),"")</f>
        <v/>
      </c>
      <c r="C16607" s="11"/>
      <c r="D16607" s="11"/>
      <c r="E16607" s="11"/>
      <c r="F16607" s="11"/>
      <c r="G16607" s="11"/>
      <c r="H16607" s="11"/>
      <c r="I16607" s="15"/>
    </row>
    <row r="16608" spans="1:9" ht="16.5">
      <c r="A16608" s="10" t="b">
        <v>0</v>
      </c>
      <c r="B16608" s="11" t="str">
        <f>IF(D16608&lt;&gt;"",IF(COUNTIF('USPTO TMs'!A:A,D16608)&gt;0,"Yes","No"),"")</f>
        <v/>
      </c>
      <c r="C16608" s="11"/>
      <c r="D16608" s="11"/>
      <c r="E16608" s="11"/>
      <c r="F16608" s="11"/>
      <c r="G16608" s="11"/>
      <c r="H16608" s="11"/>
      <c r="I16608" s="15"/>
    </row>
    <row r="16609" spans="1:9" ht="16.5">
      <c r="A16609" s="10" t="b">
        <v>0</v>
      </c>
      <c r="B16609" s="11" t="str">
        <f>IF(D16609&lt;&gt;"",IF(COUNTIF('USPTO TMs'!A:A,D16609)&gt;0,"Yes","No"),"")</f>
        <v/>
      </c>
      <c r="C16609" s="11"/>
      <c r="D16609" s="11"/>
      <c r="E16609" s="11"/>
      <c r="F16609" s="11"/>
      <c r="G16609" s="11"/>
      <c r="H16609" s="11"/>
      <c r="I16609" s="15"/>
    </row>
    <row r="16610" spans="1:9" ht="16.5">
      <c r="A16610" s="10" t="b">
        <v>0</v>
      </c>
      <c r="B16610" s="11" t="str">
        <f>IF(D16610&lt;&gt;"",IF(COUNTIF('USPTO TMs'!A:A,D16610)&gt;0,"Yes","No"),"")</f>
        <v/>
      </c>
      <c r="C16610" s="11"/>
      <c r="D16610" s="11"/>
      <c r="E16610" s="11"/>
      <c r="F16610" s="11"/>
      <c r="G16610" s="11"/>
      <c r="H16610" s="11"/>
      <c r="I16610" s="15"/>
    </row>
    <row r="16611" spans="1:9" ht="16.5">
      <c r="A16611" s="10" t="b">
        <v>0</v>
      </c>
      <c r="B16611" s="11" t="str">
        <f>IF(D16611&lt;&gt;"",IF(COUNTIF('USPTO TMs'!A:A,D16611)&gt;0,"Yes","No"),"")</f>
        <v/>
      </c>
      <c r="C16611" s="11"/>
      <c r="D16611" s="11"/>
      <c r="E16611" s="11"/>
      <c r="F16611" s="11"/>
      <c r="G16611" s="11"/>
      <c r="H16611" s="11"/>
      <c r="I16611" s="15"/>
    </row>
    <row r="16612" spans="1:9" ht="16.5">
      <c r="A16612" s="10" t="b">
        <v>0</v>
      </c>
      <c r="B16612" s="11" t="str">
        <f>IF(D16612&lt;&gt;"",IF(COUNTIF('USPTO TMs'!A:A,D16612)&gt;0,"Yes","No"),"")</f>
        <v/>
      </c>
      <c r="C16612" s="11"/>
      <c r="D16612" s="11"/>
      <c r="E16612" s="11"/>
      <c r="F16612" s="11"/>
      <c r="G16612" s="11"/>
      <c r="H16612" s="11"/>
      <c r="I16612" s="15"/>
    </row>
    <row r="16613" spans="1:9" ht="16.5">
      <c r="A16613" s="10" t="b">
        <v>0</v>
      </c>
      <c r="B16613" s="11" t="str">
        <f>IF(D16613&lt;&gt;"",IF(COUNTIF('USPTO TMs'!A:A,D16613)&gt;0,"Yes","No"),"")</f>
        <v/>
      </c>
      <c r="C16613" s="11"/>
      <c r="D16613" s="11"/>
      <c r="E16613" s="11"/>
      <c r="F16613" s="11"/>
      <c r="G16613" s="11"/>
      <c r="H16613" s="11"/>
      <c r="I16613" s="15"/>
    </row>
    <row r="16614" spans="1:9" ht="16.5">
      <c r="A16614" s="10" t="b">
        <v>0</v>
      </c>
      <c r="B16614" s="11" t="str">
        <f>IF(D16614&lt;&gt;"",IF(COUNTIF('USPTO TMs'!A:A,D16614)&gt;0,"Yes","No"),"")</f>
        <v/>
      </c>
      <c r="C16614" s="11"/>
      <c r="D16614" s="11"/>
      <c r="E16614" s="11"/>
      <c r="F16614" s="11"/>
      <c r="G16614" s="11"/>
      <c r="H16614" s="11"/>
      <c r="I16614" s="15"/>
    </row>
    <row r="16615" spans="1:9" ht="16.5">
      <c r="A16615" s="10" t="b">
        <v>0</v>
      </c>
      <c r="B16615" s="11" t="str">
        <f>IF(D16615&lt;&gt;"",IF(COUNTIF('USPTO TMs'!A:A,D16615)&gt;0,"Yes","No"),"")</f>
        <v/>
      </c>
      <c r="C16615" s="11"/>
      <c r="D16615" s="11"/>
      <c r="E16615" s="11"/>
      <c r="F16615" s="11"/>
      <c r="G16615" s="11"/>
      <c r="H16615" s="11"/>
      <c r="I16615" s="15"/>
    </row>
    <row r="16616" spans="1:9" ht="16.5">
      <c r="A16616" s="10" t="b">
        <v>0</v>
      </c>
      <c r="B16616" s="11" t="str">
        <f>IF(D16616&lt;&gt;"",IF(COUNTIF('USPTO TMs'!A:A,D16616)&gt;0,"Yes","No"),"")</f>
        <v/>
      </c>
      <c r="C16616" s="11"/>
      <c r="D16616" s="11"/>
      <c r="E16616" s="11"/>
      <c r="F16616" s="11"/>
      <c r="G16616" s="11"/>
      <c r="H16616" s="11"/>
      <c r="I16616" s="15"/>
    </row>
    <row r="16617" spans="1:9" ht="16.5">
      <c r="A16617" s="10" t="b">
        <v>0</v>
      </c>
      <c r="B16617" s="11" t="str">
        <f>IF(D16617&lt;&gt;"",IF(COUNTIF('USPTO TMs'!A:A,D16617)&gt;0,"Yes","No"),"")</f>
        <v/>
      </c>
      <c r="C16617" s="11"/>
      <c r="D16617" s="11"/>
      <c r="E16617" s="11"/>
      <c r="F16617" s="11"/>
      <c r="G16617" s="11"/>
      <c r="H16617" s="11"/>
      <c r="I16617" s="15"/>
    </row>
    <row r="16618" spans="1:9" ht="16.5">
      <c r="A16618" s="10" t="b">
        <v>0</v>
      </c>
      <c r="B16618" s="11" t="str">
        <f>IF(D16618&lt;&gt;"",IF(COUNTIF('USPTO TMs'!A:A,D16618)&gt;0,"Yes","No"),"")</f>
        <v/>
      </c>
      <c r="C16618" s="11"/>
      <c r="D16618" s="11"/>
      <c r="E16618" s="11"/>
      <c r="F16618" s="11"/>
      <c r="G16618" s="11"/>
      <c r="H16618" s="11"/>
      <c r="I16618" s="15"/>
    </row>
    <row r="16619" spans="1:9" ht="16.5">
      <c r="A16619" s="10" t="b">
        <v>0</v>
      </c>
      <c r="B16619" s="11" t="str">
        <f>IF(D16619&lt;&gt;"",IF(COUNTIF('USPTO TMs'!A:A,D16619)&gt;0,"Yes","No"),"")</f>
        <v/>
      </c>
      <c r="C16619" s="11"/>
      <c r="D16619" s="11"/>
      <c r="E16619" s="11"/>
      <c r="F16619" s="11"/>
      <c r="G16619" s="11"/>
      <c r="H16619" s="11"/>
      <c r="I16619" s="15"/>
    </row>
    <row r="16620" spans="1:9" ht="16.5">
      <c r="A16620" s="10" t="b">
        <v>0</v>
      </c>
      <c r="B16620" s="11" t="str">
        <f>IF(D16620&lt;&gt;"",IF(COUNTIF('USPTO TMs'!A:A,D16620)&gt;0,"Yes","No"),"")</f>
        <v/>
      </c>
      <c r="C16620" s="11"/>
      <c r="D16620" s="11"/>
      <c r="E16620" s="11"/>
      <c r="F16620" s="11"/>
      <c r="G16620" s="11"/>
      <c r="H16620" s="11"/>
      <c r="I16620" s="15"/>
    </row>
    <row r="16621" spans="1:9" ht="16.5">
      <c r="A16621" s="10" t="b">
        <v>0</v>
      </c>
      <c r="B16621" s="11" t="str">
        <f>IF(D16621&lt;&gt;"",IF(COUNTIF('USPTO TMs'!A:A,D16621)&gt;0,"Yes","No"),"")</f>
        <v/>
      </c>
      <c r="C16621" s="11"/>
      <c r="D16621" s="11"/>
      <c r="E16621" s="11"/>
      <c r="F16621" s="11"/>
      <c r="G16621" s="11"/>
      <c r="H16621" s="11"/>
      <c r="I16621" s="15"/>
    </row>
    <row r="16622" spans="1:9" ht="16.5">
      <c r="A16622" s="10" t="b">
        <v>0</v>
      </c>
      <c r="B16622" s="11" t="str">
        <f>IF(D16622&lt;&gt;"",IF(COUNTIF('USPTO TMs'!A:A,D16622)&gt;0,"Yes","No"),"")</f>
        <v/>
      </c>
      <c r="C16622" s="11"/>
      <c r="D16622" s="11"/>
      <c r="E16622" s="11"/>
      <c r="F16622" s="11"/>
      <c r="G16622" s="11"/>
      <c r="H16622" s="11"/>
      <c r="I16622" s="15"/>
    </row>
    <row r="16623" spans="1:9" ht="16.5">
      <c r="A16623" s="10" t="b">
        <v>0</v>
      </c>
      <c r="B16623" s="11" t="str">
        <f>IF(D16623&lt;&gt;"",IF(COUNTIF('USPTO TMs'!A:A,D16623)&gt;0,"Yes","No"),"")</f>
        <v/>
      </c>
      <c r="C16623" s="11"/>
      <c r="D16623" s="11"/>
      <c r="E16623" s="11"/>
      <c r="F16623" s="11"/>
      <c r="G16623" s="11"/>
      <c r="H16623" s="11"/>
      <c r="I16623" s="15"/>
    </row>
    <row r="16624" spans="1:9" ht="16.5">
      <c r="A16624" s="10" t="b">
        <v>0</v>
      </c>
      <c r="B16624" s="11" t="str">
        <f>IF(D16624&lt;&gt;"",IF(COUNTIF('USPTO TMs'!A:A,D16624)&gt;0,"Yes","No"),"")</f>
        <v/>
      </c>
      <c r="C16624" s="11"/>
      <c r="D16624" s="11"/>
      <c r="E16624" s="11"/>
      <c r="F16624" s="11"/>
      <c r="G16624" s="11"/>
      <c r="H16624" s="11"/>
      <c r="I16624" s="15"/>
    </row>
    <row r="16625" spans="1:9" ht="16.5">
      <c r="A16625" s="10" t="b">
        <v>0</v>
      </c>
      <c r="B16625" s="11" t="str">
        <f>IF(D16625&lt;&gt;"",IF(COUNTIF('USPTO TMs'!A:A,D16625)&gt;0,"Yes","No"),"")</f>
        <v/>
      </c>
      <c r="C16625" s="11"/>
      <c r="D16625" s="11"/>
      <c r="E16625" s="11"/>
      <c r="F16625" s="11"/>
      <c r="G16625" s="11"/>
      <c r="H16625" s="11"/>
      <c r="I16625" s="15"/>
    </row>
    <row r="16626" spans="1:9" ht="16.5">
      <c r="A16626" s="10" t="b">
        <v>0</v>
      </c>
      <c r="B16626" s="11" t="str">
        <f>IF(D16626&lt;&gt;"",IF(COUNTIF('USPTO TMs'!A:A,D16626)&gt;0,"Yes","No"),"")</f>
        <v/>
      </c>
      <c r="C16626" s="11"/>
      <c r="D16626" s="11"/>
      <c r="E16626" s="11"/>
      <c r="F16626" s="11"/>
      <c r="G16626" s="11"/>
      <c r="H16626" s="11"/>
      <c r="I16626" s="15"/>
    </row>
    <row r="16627" spans="1:9" ht="16.5">
      <c r="A16627" s="10" t="b">
        <v>0</v>
      </c>
      <c r="B16627" s="11" t="str">
        <f>IF(D16627&lt;&gt;"",IF(COUNTIF('USPTO TMs'!A:A,D16627)&gt;0,"Yes","No"),"")</f>
        <v/>
      </c>
      <c r="C16627" s="11"/>
      <c r="D16627" s="11"/>
      <c r="E16627" s="11"/>
      <c r="F16627" s="11"/>
      <c r="G16627" s="11"/>
      <c r="H16627" s="11"/>
      <c r="I16627" s="15"/>
    </row>
    <row r="16628" spans="1:9" ht="16.5">
      <c r="A16628" s="10" t="b">
        <v>0</v>
      </c>
      <c r="B16628" s="11" t="str">
        <f>IF(D16628&lt;&gt;"",IF(COUNTIF('USPTO TMs'!A:A,D16628)&gt;0,"Yes","No"),"")</f>
        <v/>
      </c>
      <c r="C16628" s="11"/>
      <c r="D16628" s="11"/>
      <c r="E16628" s="11"/>
      <c r="F16628" s="11"/>
      <c r="G16628" s="11"/>
      <c r="H16628" s="11"/>
      <c r="I16628" s="15"/>
    </row>
    <row r="16629" spans="1:9" ht="16.5">
      <c r="A16629" s="10" t="b">
        <v>0</v>
      </c>
      <c r="B16629" s="11" t="str">
        <f>IF(D16629&lt;&gt;"",IF(COUNTIF('USPTO TMs'!A:A,D16629)&gt;0,"Yes","No"),"")</f>
        <v/>
      </c>
      <c r="C16629" s="11"/>
      <c r="D16629" s="11"/>
      <c r="E16629" s="11"/>
      <c r="F16629" s="11"/>
      <c r="G16629" s="11"/>
      <c r="H16629" s="11"/>
      <c r="I16629" s="15"/>
    </row>
    <row r="16630" spans="1:9" ht="16.5">
      <c r="A16630" s="10" t="b">
        <v>0</v>
      </c>
      <c r="B16630" s="11" t="str">
        <f>IF(D16630&lt;&gt;"",IF(COUNTIF('USPTO TMs'!A:A,D16630)&gt;0,"Yes","No"),"")</f>
        <v/>
      </c>
      <c r="C16630" s="11"/>
      <c r="D16630" s="11"/>
      <c r="E16630" s="11"/>
      <c r="F16630" s="11"/>
      <c r="G16630" s="11"/>
      <c r="H16630" s="11"/>
      <c r="I16630" s="15"/>
    </row>
    <row r="16631" spans="1:9" ht="16.5">
      <c r="A16631" s="10" t="b">
        <v>0</v>
      </c>
      <c r="B16631" s="11" t="str">
        <f>IF(D16631&lt;&gt;"",IF(COUNTIF('USPTO TMs'!A:A,D16631)&gt;0,"Yes","No"),"")</f>
        <v/>
      </c>
      <c r="C16631" s="11"/>
      <c r="D16631" s="11"/>
      <c r="E16631" s="11"/>
      <c r="F16631" s="11"/>
      <c r="G16631" s="11"/>
      <c r="H16631" s="11"/>
      <c r="I16631" s="15"/>
    </row>
    <row r="16632" spans="1:9" ht="16.5">
      <c r="A16632" s="10" t="b">
        <v>0</v>
      </c>
      <c r="B16632" s="11" t="str">
        <f>IF(D16632&lt;&gt;"",IF(COUNTIF('USPTO TMs'!A:A,D16632)&gt;0,"Yes","No"),"")</f>
        <v/>
      </c>
      <c r="C16632" s="11"/>
      <c r="D16632" s="11"/>
      <c r="E16632" s="11"/>
      <c r="F16632" s="11"/>
      <c r="G16632" s="11"/>
      <c r="H16632" s="11"/>
      <c r="I16632" s="15"/>
    </row>
    <row r="16633" spans="1:9" ht="16.5">
      <c r="A16633" s="10" t="b">
        <v>0</v>
      </c>
      <c r="B16633" s="11" t="str">
        <f>IF(D16633&lt;&gt;"",IF(COUNTIF('USPTO TMs'!A:A,D16633)&gt;0,"Yes","No"),"")</f>
        <v/>
      </c>
      <c r="C16633" s="11"/>
      <c r="D16633" s="11"/>
      <c r="E16633" s="11"/>
      <c r="F16633" s="11"/>
      <c r="G16633" s="11"/>
      <c r="H16633" s="11"/>
      <c r="I16633" s="15"/>
    </row>
    <row r="16634" spans="1:9" ht="16.5">
      <c r="A16634" s="10" t="b">
        <v>0</v>
      </c>
      <c r="B16634" s="11" t="str">
        <f>IF(D16634&lt;&gt;"",IF(COUNTIF('USPTO TMs'!A:A,D16634)&gt;0,"Yes","No"),"")</f>
        <v/>
      </c>
      <c r="C16634" s="11"/>
      <c r="D16634" s="11"/>
      <c r="E16634" s="11"/>
      <c r="F16634" s="11"/>
      <c r="G16634" s="11"/>
      <c r="H16634" s="11"/>
      <c r="I16634" s="15"/>
    </row>
    <row r="16635" spans="1:9" ht="16.5">
      <c r="A16635" s="10" t="b">
        <v>0</v>
      </c>
      <c r="B16635" s="11" t="str">
        <f>IF(D16635&lt;&gt;"",IF(COUNTIF('USPTO TMs'!A:A,D16635)&gt;0,"Yes","No"),"")</f>
        <v/>
      </c>
      <c r="C16635" s="11"/>
      <c r="D16635" s="11"/>
      <c r="E16635" s="11"/>
      <c r="F16635" s="11"/>
      <c r="G16635" s="11"/>
      <c r="H16635" s="11"/>
      <c r="I16635" s="15"/>
    </row>
    <row r="16636" spans="1:9" ht="16.5">
      <c r="A16636" s="10" t="b">
        <v>0</v>
      </c>
      <c r="B16636" s="11" t="str">
        <f>IF(D16636&lt;&gt;"",IF(COUNTIF('USPTO TMs'!A:A,D16636)&gt;0,"Yes","No"),"")</f>
        <v/>
      </c>
      <c r="C16636" s="11"/>
      <c r="D16636" s="11"/>
      <c r="E16636" s="11"/>
      <c r="F16636" s="11"/>
      <c r="G16636" s="11"/>
      <c r="H16636" s="11"/>
      <c r="I16636" s="15"/>
    </row>
    <row r="16637" spans="1:9" ht="16.5">
      <c r="A16637" s="10" t="b">
        <v>0</v>
      </c>
      <c r="B16637" s="11" t="str">
        <f>IF(D16637&lt;&gt;"",IF(COUNTIF('USPTO TMs'!A:A,D16637)&gt;0,"Yes","No"),"")</f>
        <v/>
      </c>
      <c r="C16637" s="11"/>
      <c r="D16637" s="11"/>
      <c r="E16637" s="11"/>
      <c r="F16637" s="11"/>
      <c r="G16637" s="11"/>
      <c r="H16637" s="11"/>
      <c r="I16637" s="15"/>
    </row>
    <row r="16638" spans="1:9" ht="16.5">
      <c r="A16638" s="10" t="b">
        <v>0</v>
      </c>
      <c r="B16638" s="11" t="str">
        <f>IF(D16638&lt;&gt;"",IF(COUNTIF('USPTO TMs'!A:A,D16638)&gt;0,"Yes","No"),"")</f>
        <v/>
      </c>
      <c r="C16638" s="11"/>
      <c r="D16638" s="11"/>
      <c r="E16638" s="11"/>
      <c r="F16638" s="11"/>
      <c r="G16638" s="11"/>
      <c r="H16638" s="11"/>
      <c r="I16638" s="15"/>
    </row>
    <row r="16639" spans="1:9" ht="16.5">
      <c r="A16639" s="10" t="b">
        <v>0</v>
      </c>
      <c r="B16639" s="11" t="str">
        <f>IF(D16639&lt;&gt;"",IF(COUNTIF('USPTO TMs'!A:A,D16639)&gt;0,"Yes","No"),"")</f>
        <v/>
      </c>
      <c r="C16639" s="11"/>
      <c r="D16639" s="11"/>
      <c r="E16639" s="11"/>
      <c r="F16639" s="11"/>
      <c r="G16639" s="11"/>
      <c r="H16639" s="11"/>
      <c r="I16639" s="15"/>
    </row>
    <row r="16640" spans="1:9" ht="16.5">
      <c r="A16640" s="10" t="b">
        <v>0</v>
      </c>
      <c r="B16640" s="11" t="str">
        <f>IF(D16640&lt;&gt;"",IF(COUNTIF('USPTO TMs'!A:A,D16640)&gt;0,"Yes","No"),"")</f>
        <v/>
      </c>
      <c r="C16640" s="11"/>
      <c r="D16640" s="11"/>
      <c r="E16640" s="11"/>
      <c r="F16640" s="11"/>
      <c r="G16640" s="11"/>
      <c r="H16640" s="11"/>
      <c r="I16640" s="15"/>
    </row>
    <row r="16641" spans="1:9" ht="16.5">
      <c r="A16641" s="10" t="b">
        <v>0</v>
      </c>
      <c r="B16641" s="11" t="str">
        <f>IF(D16641&lt;&gt;"",IF(COUNTIF('USPTO TMs'!A:A,D16641)&gt;0,"Yes","No"),"")</f>
        <v/>
      </c>
      <c r="C16641" s="11"/>
      <c r="D16641" s="11"/>
      <c r="E16641" s="11"/>
      <c r="F16641" s="11"/>
      <c r="G16641" s="11"/>
      <c r="H16641" s="11"/>
      <c r="I16641" s="15"/>
    </row>
    <row r="16642" spans="1:9" ht="16.5">
      <c r="A16642" s="10" t="b">
        <v>0</v>
      </c>
      <c r="B16642" s="11" t="str">
        <f>IF(D16642&lt;&gt;"",IF(COUNTIF('USPTO TMs'!A:A,D16642)&gt;0,"Yes","No"),"")</f>
        <v/>
      </c>
      <c r="C16642" s="11"/>
      <c r="D16642" s="11"/>
      <c r="E16642" s="11"/>
      <c r="F16642" s="11"/>
      <c r="G16642" s="11"/>
      <c r="H16642" s="11"/>
      <c r="I16642" s="15"/>
    </row>
    <row r="16643" spans="1:9" ht="16.5">
      <c r="A16643" s="10" t="b">
        <v>0</v>
      </c>
      <c r="B16643" s="11" t="str">
        <f>IF(D16643&lt;&gt;"",IF(COUNTIF('USPTO TMs'!A:A,D16643)&gt;0,"Yes","No"),"")</f>
        <v/>
      </c>
      <c r="C16643" s="11"/>
      <c r="D16643" s="11"/>
      <c r="E16643" s="11"/>
      <c r="F16643" s="11"/>
      <c r="G16643" s="11"/>
      <c r="H16643" s="11"/>
      <c r="I16643" s="15"/>
    </row>
    <row r="16644" spans="1:9" ht="16.5">
      <c r="A16644" s="10" t="b">
        <v>0</v>
      </c>
      <c r="B16644" s="11" t="str">
        <f>IF(D16644&lt;&gt;"",IF(COUNTIF('USPTO TMs'!A:A,D16644)&gt;0,"Yes","No"),"")</f>
        <v/>
      </c>
      <c r="C16644" s="11"/>
      <c r="D16644" s="11"/>
      <c r="E16644" s="11"/>
      <c r="F16644" s="11"/>
      <c r="G16644" s="11"/>
      <c r="H16644" s="11"/>
      <c r="I16644" s="15"/>
    </row>
    <row r="16645" spans="1:9" ht="16.5">
      <c r="A16645" s="10" t="b">
        <v>0</v>
      </c>
      <c r="B16645" s="11" t="str">
        <f>IF(D16645&lt;&gt;"",IF(COUNTIF('USPTO TMs'!A:A,D16645)&gt;0,"Yes","No"),"")</f>
        <v/>
      </c>
      <c r="C16645" s="11"/>
      <c r="D16645" s="11"/>
      <c r="E16645" s="11"/>
      <c r="F16645" s="11"/>
      <c r="G16645" s="11"/>
      <c r="H16645" s="11"/>
      <c r="I16645" s="15"/>
    </row>
    <row r="16646" spans="1:9" ht="16.5">
      <c r="A16646" s="10" t="b">
        <v>0</v>
      </c>
      <c r="B16646" s="11" t="str">
        <f>IF(D16646&lt;&gt;"",IF(COUNTIF('USPTO TMs'!A:A,D16646)&gt;0,"Yes","No"),"")</f>
        <v/>
      </c>
      <c r="C16646" s="11"/>
      <c r="D16646" s="11"/>
      <c r="E16646" s="11"/>
      <c r="F16646" s="11"/>
      <c r="G16646" s="11"/>
      <c r="H16646" s="11"/>
      <c r="I16646" s="15"/>
    </row>
    <row r="16647" spans="1:9" ht="16.5">
      <c r="A16647" s="10" t="b">
        <v>0</v>
      </c>
      <c r="B16647" s="11" t="str">
        <f>IF(D16647&lt;&gt;"",IF(COUNTIF('USPTO TMs'!A:A,D16647)&gt;0,"Yes","No"),"")</f>
        <v/>
      </c>
      <c r="C16647" s="11"/>
      <c r="D16647" s="11"/>
      <c r="E16647" s="11"/>
      <c r="F16647" s="11"/>
      <c r="G16647" s="11"/>
      <c r="H16647" s="11"/>
      <c r="I16647" s="15"/>
    </row>
    <row r="16648" spans="1:9" ht="16.5">
      <c r="A16648" s="10" t="b">
        <v>0</v>
      </c>
      <c r="B16648" s="11" t="str">
        <f>IF(D16648&lt;&gt;"",IF(COUNTIF('USPTO TMs'!A:A,D16648)&gt;0,"Yes","No"),"")</f>
        <v/>
      </c>
      <c r="C16648" s="11"/>
      <c r="D16648" s="11"/>
      <c r="E16648" s="11"/>
      <c r="F16648" s="11"/>
      <c r="G16648" s="11"/>
      <c r="H16648" s="11"/>
      <c r="I16648" s="15"/>
    </row>
    <row r="16649" spans="1:9" ht="16.5">
      <c r="A16649" s="10" t="b">
        <v>0</v>
      </c>
      <c r="B16649" s="11" t="str">
        <f>IF(D16649&lt;&gt;"",IF(COUNTIF('USPTO TMs'!A:A,D16649)&gt;0,"Yes","No"),"")</f>
        <v/>
      </c>
      <c r="C16649" s="11"/>
      <c r="D16649" s="11"/>
      <c r="E16649" s="11"/>
      <c r="F16649" s="11"/>
      <c r="G16649" s="11"/>
      <c r="H16649" s="11"/>
      <c r="I16649" s="15"/>
    </row>
    <row r="16650" spans="1:9" ht="16.5">
      <c r="A16650" s="10" t="b">
        <v>0</v>
      </c>
      <c r="B16650" s="11" t="str">
        <f>IF(D16650&lt;&gt;"",IF(COUNTIF('USPTO TMs'!A:A,D16650)&gt;0,"Yes","No"),"")</f>
        <v/>
      </c>
      <c r="C16650" s="11"/>
      <c r="D16650" s="11"/>
      <c r="E16650" s="11"/>
      <c r="F16650" s="11"/>
      <c r="G16650" s="11"/>
      <c r="H16650" s="11"/>
      <c r="I16650" s="15"/>
    </row>
    <row r="16651" spans="1:9" ht="16.5">
      <c r="A16651" s="10" t="b">
        <v>0</v>
      </c>
      <c r="B16651" s="11" t="str">
        <f>IF(D16651&lt;&gt;"",IF(COUNTIF('USPTO TMs'!A:A,D16651)&gt;0,"Yes","No"),"")</f>
        <v/>
      </c>
      <c r="C16651" s="11"/>
      <c r="D16651" s="11"/>
      <c r="E16651" s="11"/>
      <c r="F16651" s="11"/>
      <c r="G16651" s="11"/>
      <c r="H16651" s="11"/>
      <c r="I16651" s="15"/>
    </row>
    <row r="16652" spans="1:9" ht="16.5">
      <c r="A16652" s="10" t="b">
        <v>0</v>
      </c>
      <c r="B16652" s="11" t="str">
        <f>IF(D16652&lt;&gt;"",IF(COUNTIF('USPTO TMs'!A:A,D16652)&gt;0,"Yes","No"),"")</f>
        <v/>
      </c>
      <c r="C16652" s="11"/>
      <c r="D16652" s="11"/>
      <c r="E16652" s="11"/>
      <c r="F16652" s="11"/>
      <c r="G16652" s="11"/>
      <c r="H16652" s="11"/>
      <c r="I16652" s="15"/>
    </row>
    <row r="16653" spans="1:9" ht="16.5">
      <c r="A16653" s="10" t="b">
        <v>0</v>
      </c>
      <c r="B16653" s="11" t="str">
        <f>IF(D16653&lt;&gt;"",IF(COUNTIF('USPTO TMs'!A:A,D16653)&gt;0,"Yes","No"),"")</f>
        <v/>
      </c>
      <c r="C16653" s="11"/>
      <c r="D16653" s="11"/>
      <c r="E16653" s="11"/>
      <c r="F16653" s="11"/>
      <c r="G16653" s="11"/>
      <c r="H16653" s="11"/>
      <c r="I16653" s="15"/>
    </row>
    <row r="16654" spans="1:9" ht="16.5">
      <c r="A16654" s="10" t="b">
        <v>0</v>
      </c>
      <c r="B16654" s="11" t="str">
        <f>IF(D16654&lt;&gt;"",IF(COUNTIF('USPTO TMs'!A:A,D16654)&gt;0,"Yes","No"),"")</f>
        <v/>
      </c>
      <c r="C16654" s="11"/>
      <c r="D16654" s="11"/>
      <c r="E16654" s="11"/>
      <c r="F16654" s="11"/>
      <c r="G16654" s="11"/>
      <c r="H16654" s="11"/>
      <c r="I16654" s="15"/>
    </row>
    <row r="16655" spans="1:9" ht="16.5">
      <c r="A16655" s="10" t="b">
        <v>0</v>
      </c>
      <c r="B16655" s="11" t="str">
        <f>IF(D16655&lt;&gt;"",IF(COUNTIF('USPTO TMs'!A:A,D16655)&gt;0,"Yes","No"),"")</f>
        <v/>
      </c>
      <c r="C16655" s="11"/>
      <c r="D16655" s="11"/>
      <c r="E16655" s="11"/>
      <c r="F16655" s="11"/>
      <c r="G16655" s="11"/>
      <c r="H16655" s="11"/>
      <c r="I16655" s="15"/>
    </row>
    <row r="16656" spans="1:9" ht="16.5">
      <c r="A16656" s="10" t="b">
        <v>0</v>
      </c>
      <c r="B16656" s="11" t="str">
        <f>IF(D16656&lt;&gt;"",IF(COUNTIF('USPTO TMs'!A:A,D16656)&gt;0,"Yes","No"),"")</f>
        <v/>
      </c>
      <c r="C16656" s="11"/>
      <c r="D16656" s="11"/>
      <c r="E16656" s="11"/>
      <c r="F16656" s="11"/>
      <c r="G16656" s="11"/>
      <c r="H16656" s="11"/>
      <c r="I16656" s="15"/>
    </row>
    <row r="16657" spans="1:9" ht="16.5">
      <c r="A16657" s="10" t="b">
        <v>0</v>
      </c>
      <c r="B16657" s="11" t="str">
        <f>IF(D16657&lt;&gt;"",IF(COUNTIF('USPTO TMs'!A:A,D16657)&gt;0,"Yes","No"),"")</f>
        <v/>
      </c>
      <c r="C16657" s="11"/>
      <c r="D16657" s="11"/>
      <c r="E16657" s="11"/>
      <c r="F16657" s="11"/>
      <c r="G16657" s="11"/>
      <c r="H16657" s="11"/>
      <c r="I16657" s="15"/>
    </row>
    <row r="16658" spans="1:9" ht="16.5">
      <c r="A16658" s="10" t="b">
        <v>0</v>
      </c>
      <c r="B16658" s="11" t="str">
        <f>IF(D16658&lt;&gt;"",IF(COUNTIF('USPTO TMs'!A:A,D16658)&gt;0,"Yes","No"),"")</f>
        <v/>
      </c>
      <c r="C16658" s="11"/>
      <c r="D16658" s="11"/>
      <c r="E16658" s="11"/>
      <c r="F16658" s="11"/>
      <c r="G16658" s="11"/>
      <c r="H16658" s="11"/>
      <c r="I16658" s="15"/>
    </row>
    <row r="16659" spans="1:9" ht="16.5">
      <c r="A16659" s="10" t="b">
        <v>0</v>
      </c>
      <c r="B16659" s="11" t="str">
        <f>IF(D16659&lt;&gt;"",IF(COUNTIF('USPTO TMs'!A:A,D16659)&gt;0,"Yes","No"),"")</f>
        <v/>
      </c>
      <c r="C16659" s="11"/>
      <c r="D16659" s="11"/>
      <c r="E16659" s="11"/>
      <c r="F16659" s="11"/>
      <c r="G16659" s="11"/>
      <c r="H16659" s="11"/>
      <c r="I16659" s="15"/>
    </row>
    <row r="16660" spans="1:9" ht="16.5">
      <c r="A16660" s="10" t="b">
        <v>0</v>
      </c>
      <c r="B16660" s="11" t="str">
        <f>IF(D16660&lt;&gt;"",IF(COUNTIF('USPTO TMs'!A:A,D16660)&gt;0,"Yes","No"),"")</f>
        <v/>
      </c>
      <c r="C16660" s="11"/>
      <c r="D16660" s="11"/>
      <c r="E16660" s="11"/>
      <c r="F16660" s="11"/>
      <c r="G16660" s="11"/>
      <c r="H16660" s="11"/>
      <c r="I16660" s="15"/>
    </row>
    <row r="16661" spans="1:9" ht="16.5">
      <c r="A16661" s="10" t="b">
        <v>0</v>
      </c>
      <c r="B16661" s="11" t="str">
        <f>IF(D16661&lt;&gt;"",IF(COUNTIF('USPTO TMs'!A:A,D16661)&gt;0,"Yes","No"),"")</f>
        <v/>
      </c>
      <c r="C16661" s="11"/>
      <c r="D16661" s="11"/>
      <c r="E16661" s="11"/>
      <c r="F16661" s="11"/>
      <c r="G16661" s="11"/>
      <c r="H16661" s="11"/>
      <c r="I16661" s="15"/>
    </row>
    <row r="16662" spans="1:9" ht="16.5">
      <c r="A16662" s="10" t="b">
        <v>0</v>
      </c>
      <c r="B16662" s="11" t="str">
        <f>IF(D16662&lt;&gt;"",IF(COUNTIF('USPTO TMs'!A:A,D16662)&gt;0,"Yes","No"),"")</f>
        <v/>
      </c>
      <c r="C16662" s="11"/>
      <c r="D16662" s="11"/>
      <c r="E16662" s="11"/>
      <c r="F16662" s="11"/>
      <c r="G16662" s="11"/>
      <c r="H16662" s="11"/>
      <c r="I16662" s="15"/>
    </row>
    <row r="16663" spans="1:9" ht="16.5">
      <c r="A16663" s="10" t="b">
        <v>0</v>
      </c>
      <c r="B16663" s="11" t="str">
        <f>IF(D16663&lt;&gt;"",IF(COUNTIF('USPTO TMs'!A:A,D16663)&gt;0,"Yes","No"),"")</f>
        <v/>
      </c>
      <c r="C16663" s="11"/>
      <c r="D16663" s="11"/>
      <c r="E16663" s="11"/>
      <c r="F16663" s="11"/>
      <c r="G16663" s="11"/>
      <c r="H16663" s="11"/>
      <c r="I16663" s="15"/>
    </row>
    <row r="16664" spans="1:9" ht="16.5">
      <c r="A16664" s="10" t="b">
        <v>0</v>
      </c>
      <c r="B16664" s="11" t="str">
        <f>IF(D16664&lt;&gt;"",IF(COUNTIF('USPTO TMs'!A:A,D16664)&gt;0,"Yes","No"),"")</f>
        <v/>
      </c>
      <c r="C16664" s="11"/>
      <c r="D16664" s="11"/>
      <c r="E16664" s="11"/>
      <c r="F16664" s="11"/>
      <c r="G16664" s="11"/>
      <c r="H16664" s="11"/>
      <c r="I16664" s="15"/>
    </row>
    <row r="16665" spans="1:9" ht="16.5">
      <c r="A16665" s="10" t="b">
        <v>0</v>
      </c>
      <c r="B16665" s="11" t="str">
        <f>IF(D16665&lt;&gt;"",IF(COUNTIF('USPTO TMs'!A:A,D16665)&gt;0,"Yes","No"),"")</f>
        <v/>
      </c>
      <c r="C16665" s="11"/>
      <c r="D16665" s="11"/>
      <c r="E16665" s="11"/>
      <c r="F16665" s="11"/>
      <c r="G16665" s="11"/>
      <c r="H16665" s="11"/>
      <c r="I16665" s="15"/>
    </row>
    <row r="16666" spans="1:9" ht="16.5">
      <c r="A16666" s="10" t="b">
        <v>0</v>
      </c>
      <c r="B16666" s="11" t="str">
        <f>IF(D16666&lt;&gt;"",IF(COUNTIF('USPTO TMs'!A:A,D16666)&gt;0,"Yes","No"),"")</f>
        <v/>
      </c>
      <c r="C16666" s="11"/>
      <c r="D16666" s="11"/>
      <c r="E16666" s="11"/>
      <c r="F16666" s="11"/>
      <c r="G16666" s="11"/>
      <c r="H16666" s="11"/>
      <c r="I16666" s="15"/>
    </row>
    <row r="16667" spans="1:9" ht="16.5">
      <c r="A16667" s="10" t="b">
        <v>0</v>
      </c>
      <c r="B16667" s="11" t="str">
        <f>IF(D16667&lt;&gt;"",IF(COUNTIF('USPTO TMs'!A:A,D16667)&gt;0,"Yes","No"),"")</f>
        <v/>
      </c>
      <c r="C16667" s="11"/>
      <c r="D16667" s="11"/>
      <c r="E16667" s="11"/>
      <c r="F16667" s="11"/>
      <c r="G16667" s="11"/>
      <c r="H16667" s="11"/>
      <c r="I16667" s="15"/>
    </row>
    <row r="16668" spans="1:9" ht="16.5">
      <c r="A16668" s="10" t="b">
        <v>0</v>
      </c>
      <c r="B16668" s="11" t="str">
        <f>IF(D16668&lt;&gt;"",IF(COUNTIF('USPTO TMs'!A:A,D16668)&gt;0,"Yes","No"),"")</f>
        <v/>
      </c>
      <c r="C16668" s="11"/>
      <c r="D16668" s="11"/>
      <c r="E16668" s="11"/>
      <c r="F16668" s="11"/>
      <c r="G16668" s="11"/>
      <c r="H16668" s="11"/>
      <c r="I16668" s="15"/>
    </row>
    <row r="16669" spans="1:9" ht="16.5">
      <c r="A16669" s="10" t="b">
        <v>0</v>
      </c>
      <c r="B16669" s="11" t="str">
        <f>IF(D16669&lt;&gt;"",IF(COUNTIF('USPTO TMs'!A:A,D16669)&gt;0,"Yes","No"),"")</f>
        <v/>
      </c>
      <c r="C16669" s="11"/>
      <c r="D16669" s="11"/>
      <c r="E16669" s="11"/>
      <c r="F16669" s="11"/>
      <c r="G16669" s="11"/>
      <c r="H16669" s="11"/>
      <c r="I16669" s="15"/>
    </row>
    <row r="16670" spans="1:9" ht="16.5">
      <c r="A16670" s="10" t="b">
        <v>0</v>
      </c>
      <c r="B16670" s="11" t="str">
        <f>IF(D16670&lt;&gt;"",IF(COUNTIF('USPTO TMs'!A:A,D16670)&gt;0,"Yes","No"),"")</f>
        <v/>
      </c>
      <c r="C16670" s="11"/>
      <c r="D16670" s="11"/>
      <c r="E16670" s="11"/>
      <c r="F16670" s="11"/>
      <c r="G16670" s="11"/>
      <c r="H16670" s="11"/>
      <c r="I16670" s="15"/>
    </row>
    <row r="16671" spans="1:9" ht="16.5">
      <c r="A16671" s="10" t="b">
        <v>0</v>
      </c>
      <c r="B16671" s="11" t="str">
        <f>IF(D16671&lt;&gt;"",IF(COUNTIF('USPTO TMs'!A:A,D16671)&gt;0,"Yes","No"),"")</f>
        <v/>
      </c>
      <c r="C16671" s="11"/>
      <c r="D16671" s="11"/>
      <c r="E16671" s="11"/>
      <c r="F16671" s="11"/>
      <c r="G16671" s="11"/>
      <c r="H16671" s="11"/>
      <c r="I16671" s="15"/>
    </row>
    <row r="16672" spans="1:9" ht="16.5">
      <c r="A16672" s="10" t="b">
        <v>0</v>
      </c>
      <c r="B16672" s="11" t="str">
        <f>IF(D16672&lt;&gt;"",IF(COUNTIF('USPTO TMs'!A:A,D16672)&gt;0,"Yes","No"),"")</f>
        <v/>
      </c>
      <c r="C16672" s="11"/>
      <c r="D16672" s="11"/>
      <c r="E16672" s="11"/>
      <c r="F16672" s="11"/>
      <c r="G16672" s="11"/>
      <c r="H16672" s="11"/>
      <c r="I16672" s="15"/>
    </row>
    <row r="16673" spans="1:9" ht="16.5">
      <c r="A16673" s="10" t="b">
        <v>0</v>
      </c>
      <c r="B16673" s="11" t="str">
        <f>IF(D16673&lt;&gt;"",IF(COUNTIF('USPTO TMs'!A:A,D16673)&gt;0,"Yes","No"),"")</f>
        <v/>
      </c>
      <c r="C16673" s="11"/>
      <c r="D16673" s="11"/>
      <c r="E16673" s="11"/>
      <c r="F16673" s="11"/>
      <c r="G16673" s="11"/>
      <c r="H16673" s="11"/>
      <c r="I16673" s="15"/>
    </row>
    <row r="16674" spans="1:9" ht="16.5">
      <c r="A16674" s="10" t="b">
        <v>0</v>
      </c>
      <c r="B16674" s="11" t="str">
        <f>IF(D16674&lt;&gt;"",IF(COUNTIF('USPTO TMs'!A:A,D16674)&gt;0,"Yes","No"),"")</f>
        <v/>
      </c>
      <c r="C16674" s="11"/>
      <c r="D16674" s="11"/>
      <c r="E16674" s="11"/>
      <c r="F16674" s="11"/>
      <c r="G16674" s="11"/>
      <c r="H16674" s="11"/>
      <c r="I16674" s="15"/>
    </row>
    <row r="16675" spans="1:9" ht="16.5">
      <c r="A16675" s="10" t="b">
        <v>0</v>
      </c>
      <c r="B16675" s="11" t="str">
        <f>IF(D16675&lt;&gt;"",IF(COUNTIF('USPTO TMs'!A:A,D16675)&gt;0,"Yes","No"),"")</f>
        <v/>
      </c>
      <c r="C16675" s="11"/>
      <c r="D16675" s="11"/>
      <c r="E16675" s="11"/>
      <c r="F16675" s="11"/>
      <c r="G16675" s="11"/>
      <c r="H16675" s="11"/>
      <c r="I16675" s="15"/>
    </row>
    <row r="16676" spans="1:9" ht="16.5">
      <c r="A16676" s="10" t="b">
        <v>0</v>
      </c>
      <c r="B16676" s="11" t="str">
        <f>IF(D16676&lt;&gt;"",IF(COUNTIF('USPTO TMs'!A:A,D16676)&gt;0,"Yes","No"),"")</f>
        <v/>
      </c>
      <c r="C16676" s="11"/>
      <c r="D16676" s="11"/>
      <c r="E16676" s="11"/>
      <c r="F16676" s="11"/>
      <c r="G16676" s="11"/>
      <c r="H16676" s="11"/>
      <c r="I16676" s="15"/>
    </row>
    <row r="16677" spans="1:9" ht="16.5">
      <c r="A16677" s="10" t="b">
        <v>0</v>
      </c>
      <c r="B16677" s="11" t="str">
        <f>IF(D16677&lt;&gt;"",IF(COUNTIF('USPTO TMs'!A:A,D16677)&gt;0,"Yes","No"),"")</f>
        <v/>
      </c>
      <c r="C16677" s="11"/>
      <c r="D16677" s="11"/>
      <c r="E16677" s="11"/>
      <c r="F16677" s="11"/>
      <c r="G16677" s="11"/>
      <c r="H16677" s="11"/>
      <c r="I16677" s="15"/>
    </row>
    <row r="16678" spans="1:9" ht="16.5">
      <c r="A16678" s="10" t="b">
        <v>0</v>
      </c>
      <c r="B16678" s="11" t="str">
        <f>IF(D16678&lt;&gt;"",IF(COUNTIF('USPTO TMs'!A:A,D16678)&gt;0,"Yes","No"),"")</f>
        <v/>
      </c>
      <c r="C16678" s="11"/>
      <c r="D16678" s="11"/>
      <c r="E16678" s="11"/>
      <c r="F16678" s="11"/>
      <c r="G16678" s="11"/>
      <c r="H16678" s="11"/>
      <c r="I16678" s="15"/>
    </row>
    <row r="16679" spans="1:9" ht="16.5">
      <c r="A16679" s="10" t="b">
        <v>0</v>
      </c>
      <c r="B16679" s="11" t="str">
        <f>IF(D16679&lt;&gt;"",IF(COUNTIF('USPTO TMs'!A:A,D16679)&gt;0,"Yes","No"),"")</f>
        <v/>
      </c>
      <c r="C16679" s="11"/>
      <c r="D16679" s="11"/>
      <c r="E16679" s="11"/>
      <c r="F16679" s="11"/>
      <c r="G16679" s="11"/>
      <c r="H16679" s="11"/>
      <c r="I16679" s="15"/>
    </row>
    <row r="16680" spans="1:9" ht="16.5">
      <c r="A16680" s="10" t="b">
        <v>0</v>
      </c>
      <c r="B16680" s="11" t="str">
        <f>IF(D16680&lt;&gt;"",IF(COUNTIF('USPTO TMs'!A:A,D16680)&gt;0,"Yes","No"),"")</f>
        <v/>
      </c>
      <c r="C16680" s="11"/>
      <c r="D16680" s="11"/>
      <c r="E16680" s="11"/>
      <c r="F16680" s="11"/>
      <c r="G16680" s="11"/>
      <c r="H16680" s="11"/>
      <c r="I16680" s="15"/>
    </row>
    <row r="16681" spans="1:9" ht="16.5">
      <c r="A16681" s="10" t="b">
        <v>0</v>
      </c>
      <c r="B16681" s="11" t="str">
        <f>IF(D16681&lt;&gt;"",IF(COUNTIF('USPTO TMs'!A:A,D16681)&gt;0,"Yes","No"),"")</f>
        <v/>
      </c>
      <c r="C16681" s="11"/>
      <c r="D16681" s="11"/>
      <c r="E16681" s="11"/>
      <c r="F16681" s="11"/>
      <c r="G16681" s="11"/>
      <c r="H16681" s="11"/>
      <c r="I16681" s="15"/>
    </row>
    <row r="16682" spans="1:9" ht="16.5">
      <c r="A16682" s="10" t="b">
        <v>0</v>
      </c>
      <c r="B16682" s="11" t="str">
        <f>IF(D16682&lt;&gt;"",IF(COUNTIF('USPTO TMs'!A:A,D16682)&gt;0,"Yes","No"),"")</f>
        <v/>
      </c>
      <c r="C16682" s="11"/>
      <c r="D16682" s="11"/>
      <c r="E16682" s="11"/>
      <c r="F16682" s="11"/>
      <c r="G16682" s="11"/>
      <c r="H16682" s="11"/>
      <c r="I16682" s="15"/>
    </row>
    <row r="16683" spans="1:9" ht="16.5">
      <c r="A16683" s="10" t="b">
        <v>0</v>
      </c>
      <c r="B16683" s="11" t="str">
        <f>IF(D16683&lt;&gt;"",IF(COUNTIF('USPTO TMs'!A:A,D16683)&gt;0,"Yes","No"),"")</f>
        <v/>
      </c>
      <c r="C16683" s="11"/>
      <c r="D16683" s="11"/>
      <c r="E16683" s="11"/>
      <c r="F16683" s="11"/>
      <c r="G16683" s="11"/>
      <c r="H16683" s="11"/>
      <c r="I16683" s="15"/>
    </row>
    <row r="16684" spans="1:9" ht="16.5">
      <c r="A16684" s="10" t="b">
        <v>0</v>
      </c>
      <c r="B16684" s="11" t="str">
        <f>IF(D16684&lt;&gt;"",IF(COUNTIF('USPTO TMs'!A:A,D16684)&gt;0,"Yes","No"),"")</f>
        <v/>
      </c>
      <c r="C16684" s="11"/>
      <c r="D16684" s="11"/>
      <c r="E16684" s="11"/>
      <c r="F16684" s="11"/>
      <c r="G16684" s="11"/>
      <c r="H16684" s="11"/>
      <c r="I16684" s="15"/>
    </row>
    <row r="16685" spans="1:9" ht="16.5">
      <c r="A16685" s="10" t="b">
        <v>0</v>
      </c>
      <c r="B16685" s="11" t="str">
        <f>IF(D16685&lt;&gt;"",IF(COUNTIF('USPTO TMs'!A:A,D16685)&gt;0,"Yes","No"),"")</f>
        <v/>
      </c>
      <c r="C16685" s="11"/>
      <c r="D16685" s="11"/>
      <c r="E16685" s="11"/>
      <c r="F16685" s="11"/>
      <c r="G16685" s="11"/>
      <c r="H16685" s="11"/>
      <c r="I16685" s="15"/>
    </row>
    <row r="16686" spans="1:9" ht="16.5">
      <c r="A16686" s="10" t="b">
        <v>0</v>
      </c>
      <c r="B16686" s="11" t="str">
        <f>IF(D16686&lt;&gt;"",IF(COUNTIF('USPTO TMs'!A:A,D16686)&gt;0,"Yes","No"),"")</f>
        <v/>
      </c>
      <c r="C16686" s="11"/>
      <c r="D16686" s="11"/>
      <c r="E16686" s="11"/>
      <c r="F16686" s="11"/>
      <c r="G16686" s="11"/>
      <c r="H16686" s="11"/>
      <c r="I16686" s="15"/>
    </row>
    <row r="16687" spans="1:9" ht="16.5">
      <c r="A16687" s="10" t="b">
        <v>0</v>
      </c>
      <c r="B16687" s="11" t="str">
        <f>IF(D16687&lt;&gt;"",IF(COUNTIF('USPTO TMs'!A:A,D16687)&gt;0,"Yes","No"),"")</f>
        <v/>
      </c>
      <c r="C16687" s="11"/>
      <c r="D16687" s="11"/>
      <c r="E16687" s="11"/>
      <c r="F16687" s="11"/>
      <c r="G16687" s="11"/>
      <c r="H16687" s="11"/>
      <c r="I16687" s="15"/>
    </row>
    <row r="16688" spans="1:9" ht="16.5">
      <c r="A16688" s="10" t="b">
        <v>0</v>
      </c>
      <c r="B16688" s="11" t="str">
        <f>IF(D16688&lt;&gt;"",IF(COUNTIF('USPTO TMs'!A:A,D16688)&gt;0,"Yes","No"),"")</f>
        <v/>
      </c>
      <c r="C16688" s="11"/>
      <c r="D16688" s="11"/>
      <c r="E16688" s="11"/>
      <c r="F16688" s="11"/>
      <c r="G16688" s="11"/>
      <c r="H16688" s="11"/>
      <c r="I16688" s="15"/>
    </row>
    <row r="16689" spans="1:9" ht="16.5">
      <c r="A16689" s="10" t="b">
        <v>0</v>
      </c>
      <c r="B16689" s="11" t="str">
        <f>IF(D16689&lt;&gt;"",IF(COUNTIF('USPTO TMs'!A:A,D16689)&gt;0,"Yes","No"),"")</f>
        <v/>
      </c>
      <c r="C16689" s="11"/>
      <c r="D16689" s="11"/>
      <c r="E16689" s="11"/>
      <c r="F16689" s="11"/>
      <c r="G16689" s="11"/>
      <c r="H16689" s="11"/>
      <c r="I16689" s="15"/>
    </row>
    <row r="16690" spans="1:9" ht="16.5">
      <c r="A16690" s="10" t="b">
        <v>0</v>
      </c>
      <c r="B16690" s="11" t="str">
        <f>IF(D16690&lt;&gt;"",IF(COUNTIF('USPTO TMs'!A:A,D16690)&gt;0,"Yes","No"),"")</f>
        <v/>
      </c>
      <c r="C16690" s="11"/>
      <c r="D16690" s="11"/>
      <c r="E16690" s="11"/>
      <c r="F16690" s="11"/>
      <c r="G16690" s="11"/>
      <c r="H16690" s="11"/>
      <c r="I16690" s="15"/>
    </row>
    <row r="16691" spans="1:9" ht="16.5">
      <c r="A16691" s="10" t="b">
        <v>0</v>
      </c>
      <c r="B16691" s="11" t="str">
        <f>IF(D16691&lt;&gt;"",IF(COUNTIF('USPTO TMs'!A:A,D16691)&gt;0,"Yes","No"),"")</f>
        <v/>
      </c>
      <c r="C16691" s="11"/>
      <c r="D16691" s="11"/>
      <c r="E16691" s="11"/>
      <c r="F16691" s="11"/>
      <c r="G16691" s="11"/>
      <c r="H16691" s="11"/>
      <c r="I16691" s="15"/>
    </row>
    <row r="16692" spans="1:9" ht="16.5">
      <c r="A16692" s="10" t="b">
        <v>0</v>
      </c>
      <c r="B16692" s="11" t="str">
        <f>IF(D16692&lt;&gt;"",IF(COUNTIF('USPTO TMs'!A:A,D16692)&gt;0,"Yes","No"),"")</f>
        <v/>
      </c>
      <c r="C16692" s="11"/>
      <c r="D16692" s="11"/>
      <c r="E16692" s="11"/>
      <c r="F16692" s="11"/>
      <c r="G16692" s="11"/>
      <c r="H16692" s="11"/>
      <c r="I16692" s="15"/>
    </row>
    <row r="16693" spans="1:9" ht="16.5">
      <c r="A16693" s="10" t="b">
        <v>0</v>
      </c>
      <c r="B16693" s="11" t="str">
        <f>IF(D16693&lt;&gt;"",IF(COUNTIF('USPTO TMs'!A:A,D16693)&gt;0,"Yes","No"),"")</f>
        <v/>
      </c>
      <c r="C16693" s="11"/>
      <c r="D16693" s="11"/>
      <c r="E16693" s="11"/>
      <c r="F16693" s="11"/>
      <c r="G16693" s="11"/>
      <c r="H16693" s="11"/>
      <c r="I16693" s="15"/>
    </row>
    <row r="16694" spans="1:9" ht="16.5">
      <c r="A16694" s="10" t="b">
        <v>0</v>
      </c>
      <c r="B16694" s="11" t="str">
        <f>IF(D16694&lt;&gt;"",IF(COUNTIF('USPTO TMs'!A:A,D16694)&gt;0,"Yes","No"),"")</f>
        <v/>
      </c>
      <c r="C16694" s="11"/>
      <c r="D16694" s="11"/>
      <c r="E16694" s="11"/>
      <c r="F16694" s="11"/>
      <c r="G16694" s="11"/>
      <c r="H16694" s="11"/>
      <c r="I16694" s="15"/>
    </row>
    <row r="16695" spans="1:9" ht="16.5">
      <c r="A16695" s="10" t="b">
        <v>0</v>
      </c>
      <c r="B16695" s="11" t="str">
        <f>IF(D16695&lt;&gt;"",IF(COUNTIF('USPTO TMs'!A:A,D16695)&gt;0,"Yes","No"),"")</f>
        <v/>
      </c>
      <c r="C16695" s="11"/>
      <c r="D16695" s="11"/>
      <c r="E16695" s="11"/>
      <c r="F16695" s="11"/>
      <c r="G16695" s="11"/>
      <c r="H16695" s="11"/>
      <c r="I16695" s="15"/>
    </row>
    <row r="16696" spans="1:9" ht="16.5">
      <c r="A16696" s="10" t="b">
        <v>0</v>
      </c>
      <c r="B16696" s="11" t="str">
        <f>IF(D16696&lt;&gt;"",IF(COUNTIF('USPTO TMs'!A:A,D16696)&gt;0,"Yes","No"),"")</f>
        <v/>
      </c>
      <c r="C16696" s="11"/>
      <c r="D16696" s="11"/>
      <c r="E16696" s="11"/>
      <c r="F16696" s="11"/>
      <c r="G16696" s="11"/>
      <c r="H16696" s="11"/>
      <c r="I16696" s="15"/>
    </row>
    <row r="16697" spans="1:9" ht="16.5">
      <c r="A16697" s="10" t="b">
        <v>0</v>
      </c>
      <c r="B16697" s="11" t="str">
        <f>IF(D16697&lt;&gt;"",IF(COUNTIF('USPTO TMs'!A:A,D16697)&gt;0,"Yes","No"),"")</f>
        <v/>
      </c>
      <c r="C16697" s="11"/>
      <c r="D16697" s="11"/>
      <c r="E16697" s="11"/>
      <c r="F16697" s="11"/>
      <c r="G16697" s="11"/>
      <c r="H16697" s="11"/>
      <c r="I16697" s="15"/>
    </row>
    <row r="16698" spans="1:9" ht="16.5">
      <c r="A16698" s="10" t="b">
        <v>0</v>
      </c>
      <c r="B16698" s="11" t="str">
        <f>IF(D16698&lt;&gt;"",IF(COUNTIF('USPTO TMs'!A:A,D16698)&gt;0,"Yes","No"),"")</f>
        <v/>
      </c>
      <c r="C16698" s="11"/>
      <c r="D16698" s="11"/>
      <c r="E16698" s="11"/>
      <c r="F16698" s="11"/>
      <c r="G16698" s="11"/>
      <c r="H16698" s="11"/>
      <c r="I16698" s="15"/>
    </row>
    <row r="16699" spans="1:9" ht="16.5">
      <c r="A16699" s="10" t="b">
        <v>0</v>
      </c>
      <c r="B16699" s="11" t="str">
        <f>IF(D16699&lt;&gt;"",IF(COUNTIF('USPTO TMs'!A:A,D16699)&gt;0,"Yes","No"),"")</f>
        <v/>
      </c>
      <c r="C16699" s="11"/>
      <c r="D16699" s="11"/>
      <c r="E16699" s="11"/>
      <c r="F16699" s="11"/>
      <c r="G16699" s="11"/>
      <c r="H16699" s="11"/>
      <c r="I16699" s="15"/>
    </row>
    <row r="16700" spans="1:9" ht="16.5">
      <c r="A16700" s="10" t="b">
        <v>0</v>
      </c>
      <c r="B16700" s="11" t="str">
        <f>IF(D16700&lt;&gt;"",IF(COUNTIF('USPTO TMs'!A:A,D16700)&gt;0,"Yes","No"),"")</f>
        <v/>
      </c>
      <c r="C16700" s="11"/>
      <c r="D16700" s="11"/>
      <c r="E16700" s="11"/>
      <c r="F16700" s="11"/>
      <c r="G16700" s="11"/>
      <c r="H16700" s="11"/>
      <c r="I16700" s="15"/>
    </row>
    <row r="16701" spans="1:9" ht="16.5">
      <c r="A16701" s="10" t="b">
        <v>0</v>
      </c>
      <c r="B16701" s="11" t="str">
        <f>IF(D16701&lt;&gt;"",IF(COUNTIF('USPTO TMs'!A:A,D16701)&gt;0,"Yes","No"),"")</f>
        <v/>
      </c>
      <c r="C16701" s="11"/>
      <c r="D16701" s="11"/>
      <c r="E16701" s="11"/>
      <c r="F16701" s="11"/>
      <c r="G16701" s="11"/>
      <c r="H16701" s="11"/>
      <c r="I16701" s="15"/>
    </row>
    <row r="16702" spans="1:9" ht="16.5">
      <c r="A16702" s="10" t="b">
        <v>0</v>
      </c>
      <c r="B16702" s="11" t="str">
        <f>IF(D16702&lt;&gt;"",IF(COUNTIF('USPTO TMs'!A:A,D16702)&gt;0,"Yes","No"),"")</f>
        <v/>
      </c>
      <c r="C16702" s="11"/>
      <c r="D16702" s="11"/>
      <c r="E16702" s="11"/>
      <c r="F16702" s="11"/>
      <c r="G16702" s="11"/>
      <c r="H16702" s="11"/>
      <c r="I16702" s="15"/>
    </row>
    <row r="16703" spans="1:9" ht="16.5">
      <c r="A16703" s="10" t="b">
        <v>0</v>
      </c>
      <c r="B16703" s="11" t="str">
        <f>IF(D16703&lt;&gt;"",IF(COUNTIF('USPTO TMs'!A:A,D16703)&gt;0,"Yes","No"),"")</f>
        <v/>
      </c>
      <c r="C16703" s="11"/>
      <c r="D16703" s="11"/>
      <c r="E16703" s="11"/>
      <c r="F16703" s="11"/>
      <c r="G16703" s="11"/>
      <c r="H16703" s="11"/>
      <c r="I16703" s="15"/>
    </row>
    <row r="16704" spans="1:9" ht="16.5">
      <c r="A16704" s="10" t="b">
        <v>0</v>
      </c>
      <c r="B16704" s="11" t="str">
        <f>IF(D16704&lt;&gt;"",IF(COUNTIF('USPTO TMs'!A:A,D16704)&gt;0,"Yes","No"),"")</f>
        <v/>
      </c>
      <c r="C16704" s="11"/>
      <c r="D16704" s="11"/>
      <c r="E16704" s="11"/>
      <c r="F16704" s="11"/>
      <c r="G16704" s="11"/>
      <c r="H16704" s="11"/>
      <c r="I16704" s="15"/>
    </row>
    <row r="16705" spans="1:9" ht="16.5">
      <c r="A16705" s="10" t="b">
        <v>0</v>
      </c>
      <c r="B16705" s="11" t="str">
        <f>IF(D16705&lt;&gt;"",IF(COUNTIF('USPTO TMs'!A:A,D16705)&gt;0,"Yes","No"),"")</f>
        <v/>
      </c>
      <c r="C16705" s="11"/>
      <c r="D16705" s="11"/>
      <c r="E16705" s="11"/>
      <c r="F16705" s="11"/>
      <c r="G16705" s="11"/>
      <c r="H16705" s="11"/>
      <c r="I16705" s="15"/>
    </row>
    <row r="16706" spans="1:9" ht="16.5">
      <c r="A16706" s="10" t="b">
        <v>0</v>
      </c>
      <c r="B16706" s="11" t="str">
        <f>IF(D16706&lt;&gt;"",IF(COUNTIF('USPTO TMs'!A:A,D16706)&gt;0,"Yes","No"),"")</f>
        <v/>
      </c>
      <c r="C16706" s="11"/>
      <c r="D16706" s="11"/>
      <c r="E16706" s="11"/>
      <c r="F16706" s="11"/>
      <c r="G16706" s="11"/>
      <c r="H16706" s="11"/>
      <c r="I16706" s="15"/>
    </row>
    <row r="16707" spans="1:9" ht="16.5">
      <c r="A16707" s="10" t="b">
        <v>0</v>
      </c>
      <c r="B16707" s="11" t="str">
        <f>IF(D16707&lt;&gt;"",IF(COUNTIF('USPTO TMs'!A:A,D16707)&gt;0,"Yes","No"),"")</f>
        <v/>
      </c>
      <c r="C16707" s="11"/>
      <c r="D16707" s="11"/>
      <c r="E16707" s="11"/>
      <c r="F16707" s="11"/>
      <c r="G16707" s="11"/>
      <c r="H16707" s="11"/>
      <c r="I16707" s="15"/>
    </row>
    <row r="16708" spans="1:9" ht="16.5">
      <c r="A16708" s="10" t="b">
        <v>0</v>
      </c>
      <c r="B16708" s="11" t="str">
        <f>IF(D16708&lt;&gt;"",IF(COUNTIF('USPTO TMs'!A:A,D16708)&gt;0,"Yes","No"),"")</f>
        <v/>
      </c>
      <c r="C16708" s="11"/>
      <c r="D16708" s="11"/>
      <c r="E16708" s="11"/>
      <c r="F16708" s="11"/>
      <c r="G16708" s="11"/>
      <c r="H16708" s="11"/>
      <c r="I16708" s="15"/>
    </row>
    <row r="16709" spans="1:9" ht="16.5">
      <c r="A16709" s="10" t="b">
        <v>0</v>
      </c>
      <c r="B16709" s="11" t="str">
        <f>IF(D16709&lt;&gt;"",IF(COUNTIF('USPTO TMs'!A:A,D16709)&gt;0,"Yes","No"),"")</f>
        <v/>
      </c>
      <c r="C16709" s="11"/>
      <c r="D16709" s="11"/>
      <c r="E16709" s="11"/>
      <c r="F16709" s="11"/>
      <c r="G16709" s="11"/>
      <c r="H16709" s="11"/>
      <c r="I16709" s="15"/>
    </row>
    <row r="16710" spans="1:9" ht="16.5">
      <c r="A16710" s="10" t="b">
        <v>0</v>
      </c>
      <c r="B16710" s="11" t="str">
        <f>IF(D16710&lt;&gt;"",IF(COUNTIF('USPTO TMs'!A:A,D16710)&gt;0,"Yes","No"),"")</f>
        <v/>
      </c>
      <c r="C16710" s="11"/>
      <c r="D16710" s="11"/>
      <c r="E16710" s="11"/>
      <c r="F16710" s="11"/>
      <c r="G16710" s="11"/>
      <c r="H16710" s="11"/>
      <c r="I16710" s="15"/>
    </row>
    <row r="16711" spans="1:9" ht="16.5">
      <c r="A16711" s="10" t="b">
        <v>0</v>
      </c>
      <c r="B16711" s="11" t="str">
        <f>IF(D16711&lt;&gt;"",IF(COUNTIF('USPTO TMs'!A:A,D16711)&gt;0,"Yes","No"),"")</f>
        <v/>
      </c>
      <c r="C16711" s="11"/>
      <c r="D16711" s="11"/>
      <c r="E16711" s="11"/>
      <c r="F16711" s="11"/>
      <c r="G16711" s="11"/>
      <c r="H16711" s="11"/>
      <c r="I16711" s="15"/>
    </row>
    <row r="16712" spans="1:9" ht="16.5">
      <c r="A16712" s="10" t="b">
        <v>0</v>
      </c>
      <c r="B16712" s="11" t="str">
        <f>IF(D16712&lt;&gt;"",IF(COUNTIF('USPTO TMs'!A:A,D16712)&gt;0,"Yes","No"),"")</f>
        <v/>
      </c>
      <c r="C16712" s="11"/>
      <c r="D16712" s="11"/>
      <c r="E16712" s="11"/>
      <c r="F16712" s="11"/>
      <c r="G16712" s="11"/>
      <c r="H16712" s="11"/>
      <c r="I16712" s="15"/>
    </row>
    <row r="16713" spans="1:9" ht="16.5">
      <c r="A16713" s="10" t="b">
        <v>0</v>
      </c>
      <c r="B16713" s="11" t="str">
        <f>IF(D16713&lt;&gt;"",IF(COUNTIF('USPTO TMs'!A:A,D16713)&gt;0,"Yes","No"),"")</f>
        <v/>
      </c>
      <c r="C16713" s="11"/>
      <c r="D16713" s="11"/>
      <c r="E16713" s="11"/>
      <c r="F16713" s="11"/>
      <c r="G16713" s="11"/>
      <c r="H16713" s="11"/>
      <c r="I16713" s="15"/>
    </row>
    <row r="16714" spans="1:9" ht="16.5">
      <c r="A16714" s="10" t="b">
        <v>0</v>
      </c>
      <c r="B16714" s="11" t="str">
        <f>IF(D16714&lt;&gt;"",IF(COUNTIF('USPTO TMs'!A:A,D16714)&gt;0,"Yes","No"),"")</f>
        <v/>
      </c>
      <c r="C16714" s="11"/>
      <c r="D16714" s="11"/>
      <c r="E16714" s="11"/>
      <c r="F16714" s="11"/>
      <c r="G16714" s="11"/>
      <c r="H16714" s="11"/>
      <c r="I16714" s="15"/>
    </row>
    <row r="16715" spans="1:9" ht="16.5">
      <c r="A16715" s="10" t="b">
        <v>0</v>
      </c>
      <c r="B16715" s="11" t="str">
        <f>IF(D16715&lt;&gt;"",IF(COUNTIF('USPTO TMs'!A:A,D16715)&gt;0,"Yes","No"),"")</f>
        <v/>
      </c>
      <c r="C16715" s="11"/>
      <c r="D16715" s="11"/>
      <c r="E16715" s="11"/>
      <c r="F16715" s="11"/>
      <c r="G16715" s="11"/>
      <c r="H16715" s="11"/>
      <c r="I16715" s="15"/>
    </row>
    <row r="16716" spans="1:9" ht="16.5">
      <c r="A16716" s="10" t="b">
        <v>0</v>
      </c>
      <c r="B16716" s="11" t="str">
        <f>IF(D16716&lt;&gt;"",IF(COUNTIF('USPTO TMs'!A:A,D16716)&gt;0,"Yes","No"),"")</f>
        <v/>
      </c>
      <c r="C16716" s="11"/>
      <c r="D16716" s="11"/>
      <c r="E16716" s="11"/>
      <c r="F16716" s="11"/>
      <c r="G16716" s="11"/>
      <c r="H16716" s="11"/>
      <c r="I16716" s="15"/>
    </row>
    <row r="16717" spans="1:9" ht="16.5">
      <c r="A16717" s="10" t="b">
        <v>0</v>
      </c>
      <c r="B16717" s="11" t="str">
        <f>IF(D16717&lt;&gt;"",IF(COUNTIF('USPTO TMs'!A:A,D16717)&gt;0,"Yes","No"),"")</f>
        <v/>
      </c>
      <c r="C16717" s="11"/>
      <c r="D16717" s="11"/>
      <c r="E16717" s="11"/>
      <c r="F16717" s="11"/>
      <c r="G16717" s="11"/>
      <c r="H16717" s="11"/>
      <c r="I16717" s="15"/>
    </row>
    <row r="16718" spans="1:9" ht="16.5">
      <c r="A16718" s="10" t="b">
        <v>0</v>
      </c>
      <c r="B16718" s="11" t="str">
        <f>IF(D16718&lt;&gt;"",IF(COUNTIF('USPTO TMs'!A:A,D16718)&gt;0,"Yes","No"),"")</f>
        <v/>
      </c>
      <c r="C16718" s="11"/>
      <c r="D16718" s="11"/>
      <c r="E16718" s="11"/>
      <c r="F16718" s="11"/>
      <c r="G16718" s="11"/>
      <c r="H16718" s="11"/>
      <c r="I16718" s="15"/>
    </row>
    <row r="16719" spans="1:9" ht="16.5">
      <c r="A16719" s="10" t="b">
        <v>0</v>
      </c>
      <c r="B16719" s="11" t="str">
        <f>IF(D16719&lt;&gt;"",IF(COUNTIF('USPTO TMs'!A:A,D16719)&gt;0,"Yes","No"),"")</f>
        <v/>
      </c>
      <c r="C16719" s="11"/>
      <c r="D16719" s="11"/>
      <c r="E16719" s="11"/>
      <c r="F16719" s="11"/>
      <c r="G16719" s="11"/>
      <c r="H16719" s="11"/>
      <c r="I16719" s="15"/>
    </row>
    <row r="16720" spans="1:9" ht="16.5">
      <c r="A16720" s="10" t="b">
        <v>0</v>
      </c>
      <c r="B16720" s="11" t="str">
        <f>IF(D16720&lt;&gt;"",IF(COUNTIF('USPTO TMs'!A:A,D16720)&gt;0,"Yes","No"),"")</f>
        <v/>
      </c>
      <c r="C16720" s="11"/>
      <c r="D16720" s="11"/>
      <c r="E16720" s="11"/>
      <c r="F16720" s="11"/>
      <c r="G16720" s="11"/>
      <c r="H16720" s="11"/>
      <c r="I16720" s="15"/>
    </row>
    <row r="16721" spans="1:9" ht="16.5">
      <c r="A16721" s="10" t="b">
        <v>0</v>
      </c>
      <c r="B16721" s="11" t="str">
        <f>IF(D16721&lt;&gt;"",IF(COUNTIF('USPTO TMs'!A:A,D16721)&gt;0,"Yes","No"),"")</f>
        <v/>
      </c>
      <c r="C16721" s="11"/>
      <c r="D16721" s="11"/>
      <c r="E16721" s="11"/>
      <c r="F16721" s="11"/>
      <c r="G16721" s="11"/>
      <c r="H16721" s="11"/>
      <c r="I16721" s="15"/>
    </row>
    <row r="16722" spans="1:9" ht="16.5">
      <c r="A16722" s="10" t="b">
        <v>0</v>
      </c>
      <c r="B16722" s="11" t="str">
        <f>IF(D16722&lt;&gt;"",IF(COUNTIF('USPTO TMs'!A:A,D16722)&gt;0,"Yes","No"),"")</f>
        <v/>
      </c>
      <c r="C16722" s="11"/>
      <c r="D16722" s="11"/>
      <c r="E16722" s="11"/>
      <c r="F16722" s="11"/>
      <c r="G16722" s="11"/>
      <c r="H16722" s="11"/>
      <c r="I16722" s="15"/>
    </row>
    <row r="16723" spans="1:9" ht="16.5">
      <c r="A16723" s="10" t="b">
        <v>0</v>
      </c>
      <c r="B16723" s="11" t="str">
        <f>IF(D16723&lt;&gt;"",IF(COUNTIF('USPTO TMs'!A:A,D16723)&gt;0,"Yes","No"),"")</f>
        <v/>
      </c>
      <c r="C16723" s="11"/>
      <c r="D16723" s="11"/>
      <c r="E16723" s="11"/>
      <c r="F16723" s="11"/>
      <c r="G16723" s="11"/>
      <c r="H16723" s="11"/>
      <c r="I16723" s="15"/>
    </row>
    <row r="16724" spans="1:9" ht="16.5">
      <c r="A16724" s="10" t="b">
        <v>0</v>
      </c>
      <c r="B16724" s="11" t="str">
        <f>IF(D16724&lt;&gt;"",IF(COUNTIF('USPTO TMs'!A:A,D16724)&gt;0,"Yes","No"),"")</f>
        <v/>
      </c>
      <c r="C16724" s="11"/>
      <c r="D16724" s="11"/>
      <c r="E16724" s="11"/>
      <c r="F16724" s="11"/>
      <c r="G16724" s="11"/>
      <c r="H16724" s="11"/>
      <c r="I16724" s="15"/>
    </row>
    <row r="16725" spans="1:9" ht="16.5">
      <c r="A16725" s="10" t="b">
        <v>0</v>
      </c>
      <c r="B16725" s="11" t="str">
        <f>IF(D16725&lt;&gt;"",IF(COUNTIF('USPTO TMs'!A:A,D16725)&gt;0,"Yes","No"),"")</f>
        <v/>
      </c>
      <c r="C16725" s="11"/>
      <c r="D16725" s="11"/>
      <c r="E16725" s="11"/>
      <c r="F16725" s="11"/>
      <c r="G16725" s="11"/>
      <c r="H16725" s="11"/>
      <c r="I16725" s="15"/>
    </row>
    <row r="16726" spans="1:9" ht="16.5">
      <c r="A16726" s="10" t="b">
        <v>0</v>
      </c>
      <c r="B16726" s="11" t="str">
        <f>IF(D16726&lt;&gt;"",IF(COUNTIF('USPTO TMs'!A:A,D16726)&gt;0,"Yes","No"),"")</f>
        <v/>
      </c>
      <c r="C16726" s="11"/>
      <c r="D16726" s="11"/>
      <c r="E16726" s="11"/>
      <c r="F16726" s="11"/>
      <c r="G16726" s="11"/>
      <c r="H16726" s="11"/>
      <c r="I16726" s="15"/>
    </row>
    <row r="16727" spans="1:9" ht="16.5">
      <c r="A16727" s="10" t="b">
        <v>0</v>
      </c>
      <c r="B16727" s="11" t="str">
        <f>IF(D16727&lt;&gt;"",IF(COUNTIF('USPTO TMs'!A:A,D16727)&gt;0,"Yes","No"),"")</f>
        <v/>
      </c>
      <c r="C16727" s="11"/>
      <c r="D16727" s="11"/>
      <c r="E16727" s="11"/>
      <c r="F16727" s="11"/>
      <c r="G16727" s="11"/>
      <c r="H16727" s="11"/>
      <c r="I16727" s="15"/>
    </row>
    <row r="16728" spans="1:9" ht="16.5">
      <c r="A16728" s="10" t="b">
        <v>0</v>
      </c>
      <c r="B16728" s="11" t="str">
        <f>IF(D16728&lt;&gt;"",IF(COUNTIF('USPTO TMs'!A:A,D16728)&gt;0,"Yes","No"),"")</f>
        <v/>
      </c>
      <c r="C16728" s="11"/>
      <c r="D16728" s="11"/>
      <c r="E16728" s="11"/>
      <c r="F16728" s="11"/>
      <c r="G16728" s="11"/>
      <c r="H16728" s="11"/>
      <c r="I16728" s="15"/>
    </row>
    <row r="16729" spans="1:9" ht="16.5">
      <c r="A16729" s="10" t="b">
        <v>0</v>
      </c>
      <c r="B16729" s="11" t="str">
        <f>IF(D16729&lt;&gt;"",IF(COUNTIF('USPTO TMs'!A:A,D16729)&gt;0,"Yes","No"),"")</f>
        <v/>
      </c>
      <c r="C16729" s="11"/>
      <c r="D16729" s="11"/>
      <c r="E16729" s="11"/>
      <c r="F16729" s="11"/>
      <c r="G16729" s="11"/>
      <c r="H16729" s="11"/>
      <c r="I16729" s="15"/>
    </row>
    <row r="16730" spans="1:9" ht="16.5">
      <c r="A16730" s="10" t="b">
        <v>0</v>
      </c>
      <c r="B16730" s="11" t="str">
        <f>IF(D16730&lt;&gt;"",IF(COUNTIF('USPTO TMs'!A:A,D16730)&gt;0,"Yes","No"),"")</f>
        <v/>
      </c>
      <c r="C16730" s="11"/>
      <c r="D16730" s="11"/>
      <c r="E16730" s="11"/>
      <c r="F16730" s="11"/>
      <c r="G16730" s="11"/>
      <c r="H16730" s="11"/>
      <c r="I16730" s="15"/>
    </row>
    <row r="16731" spans="1:9" ht="16.5">
      <c r="A16731" s="10" t="b">
        <v>0</v>
      </c>
      <c r="B16731" s="11" t="str">
        <f>IF(D16731&lt;&gt;"",IF(COUNTIF('USPTO TMs'!A:A,D16731)&gt;0,"Yes","No"),"")</f>
        <v/>
      </c>
      <c r="C16731" s="11"/>
      <c r="D16731" s="11"/>
      <c r="E16731" s="11"/>
      <c r="F16731" s="11"/>
      <c r="G16731" s="11"/>
      <c r="H16731" s="11"/>
      <c r="I16731" s="15"/>
    </row>
    <row r="16732" spans="1:9" ht="16.5">
      <c r="A16732" s="10" t="b">
        <v>0</v>
      </c>
      <c r="B16732" s="11" t="str">
        <f>IF(D16732&lt;&gt;"",IF(COUNTIF('USPTO TMs'!A:A,D16732)&gt;0,"Yes","No"),"")</f>
        <v/>
      </c>
      <c r="C16732" s="11"/>
      <c r="D16732" s="11"/>
      <c r="E16732" s="11"/>
      <c r="F16732" s="11"/>
      <c r="G16732" s="11"/>
      <c r="H16732" s="11"/>
      <c r="I16732" s="15"/>
    </row>
    <row r="16733" spans="1:9" ht="16.5">
      <c r="A16733" s="10" t="b">
        <v>0</v>
      </c>
      <c r="B16733" s="11" t="str">
        <f>IF(D16733&lt;&gt;"",IF(COUNTIF('USPTO TMs'!A:A,D16733)&gt;0,"Yes","No"),"")</f>
        <v/>
      </c>
      <c r="C16733" s="11"/>
      <c r="D16733" s="11"/>
      <c r="E16733" s="11"/>
      <c r="F16733" s="11"/>
      <c r="G16733" s="11"/>
      <c r="H16733" s="11"/>
      <c r="I16733" s="15"/>
    </row>
    <row r="16734" spans="1:9" ht="16.5">
      <c r="A16734" s="10" t="b">
        <v>0</v>
      </c>
      <c r="B16734" s="11" t="str">
        <f>IF(D16734&lt;&gt;"",IF(COUNTIF('USPTO TMs'!A:A,D16734)&gt;0,"Yes","No"),"")</f>
        <v/>
      </c>
      <c r="C16734" s="11"/>
      <c r="D16734" s="11"/>
      <c r="E16734" s="11"/>
      <c r="F16734" s="11"/>
      <c r="G16734" s="11"/>
      <c r="H16734" s="11"/>
      <c r="I16734" s="15"/>
    </row>
    <row r="16735" spans="1:9" ht="16.5">
      <c r="A16735" s="10" t="b">
        <v>0</v>
      </c>
      <c r="B16735" s="11" t="str">
        <f>IF(D16735&lt;&gt;"",IF(COUNTIF('USPTO TMs'!A:A,D16735)&gt;0,"Yes","No"),"")</f>
        <v/>
      </c>
      <c r="C16735" s="11"/>
      <c r="D16735" s="11"/>
      <c r="E16735" s="11"/>
      <c r="F16735" s="11"/>
      <c r="G16735" s="11"/>
      <c r="H16735" s="11"/>
      <c r="I16735" s="15"/>
    </row>
    <row r="16736" spans="1:9" ht="16.5">
      <c r="A16736" s="10" t="b">
        <v>0</v>
      </c>
      <c r="B16736" s="11" t="str">
        <f>IF(D16736&lt;&gt;"",IF(COUNTIF('USPTO TMs'!A:A,D16736)&gt;0,"Yes","No"),"")</f>
        <v/>
      </c>
      <c r="C16736" s="11"/>
      <c r="D16736" s="11"/>
      <c r="E16736" s="11"/>
      <c r="F16736" s="11"/>
      <c r="G16736" s="11"/>
      <c r="H16736" s="11"/>
      <c r="I16736" s="15"/>
    </row>
    <row r="16737" spans="1:9" ht="16.5">
      <c r="A16737" s="10" t="b">
        <v>0</v>
      </c>
      <c r="B16737" s="11" t="str">
        <f>IF(D16737&lt;&gt;"",IF(COUNTIF('USPTO TMs'!A:A,D16737)&gt;0,"Yes","No"),"")</f>
        <v/>
      </c>
      <c r="C16737" s="11"/>
      <c r="D16737" s="11"/>
      <c r="E16737" s="11"/>
      <c r="F16737" s="11"/>
      <c r="G16737" s="11"/>
      <c r="H16737" s="11"/>
      <c r="I16737" s="15"/>
    </row>
    <row r="16738" spans="1:9" ht="16.5">
      <c r="A16738" s="10" t="b">
        <v>0</v>
      </c>
      <c r="B16738" s="11" t="str">
        <f>IF(D16738&lt;&gt;"",IF(COUNTIF('USPTO TMs'!A:A,D16738)&gt;0,"Yes","No"),"")</f>
        <v/>
      </c>
      <c r="C16738" s="11"/>
      <c r="D16738" s="11"/>
      <c r="E16738" s="11"/>
      <c r="F16738" s="11"/>
      <c r="G16738" s="11"/>
      <c r="H16738" s="11"/>
      <c r="I16738" s="15"/>
    </row>
    <row r="16739" spans="1:9" ht="16.5">
      <c r="A16739" s="10" t="b">
        <v>0</v>
      </c>
      <c r="B16739" s="11" t="str">
        <f>IF(D16739&lt;&gt;"",IF(COUNTIF('USPTO TMs'!A:A,D16739)&gt;0,"Yes","No"),"")</f>
        <v/>
      </c>
      <c r="C16739" s="11"/>
      <c r="D16739" s="11"/>
      <c r="E16739" s="11"/>
      <c r="F16739" s="11"/>
      <c r="G16739" s="11"/>
      <c r="H16739" s="11"/>
      <c r="I16739" s="15"/>
    </row>
    <row r="16740" spans="1:9" ht="16.5">
      <c r="A16740" s="10" t="b">
        <v>0</v>
      </c>
      <c r="B16740" s="11" t="str">
        <f>IF(D16740&lt;&gt;"",IF(COUNTIF('USPTO TMs'!A:A,D16740)&gt;0,"Yes","No"),"")</f>
        <v/>
      </c>
      <c r="C16740" s="11"/>
      <c r="D16740" s="11"/>
      <c r="E16740" s="11"/>
      <c r="F16740" s="11"/>
      <c r="G16740" s="11"/>
      <c r="H16740" s="11"/>
      <c r="I16740" s="15"/>
    </row>
    <row r="16741" spans="1:9" ht="16.5">
      <c r="A16741" s="10" t="b">
        <v>0</v>
      </c>
      <c r="B16741" s="11" t="str">
        <f>IF(D16741&lt;&gt;"",IF(COUNTIF('USPTO TMs'!A:A,D16741)&gt;0,"Yes","No"),"")</f>
        <v/>
      </c>
      <c r="C16741" s="11"/>
      <c r="D16741" s="11"/>
      <c r="E16741" s="11"/>
      <c r="F16741" s="11"/>
      <c r="G16741" s="11"/>
      <c r="H16741" s="11"/>
      <c r="I16741" s="15"/>
    </row>
    <row r="16742" spans="1:9" ht="16.5">
      <c r="A16742" s="10" t="b">
        <v>0</v>
      </c>
      <c r="B16742" s="11" t="str">
        <f>IF(D16742&lt;&gt;"",IF(COUNTIF('USPTO TMs'!A:A,D16742)&gt;0,"Yes","No"),"")</f>
        <v/>
      </c>
      <c r="C16742" s="11"/>
      <c r="D16742" s="11"/>
      <c r="E16742" s="11"/>
      <c r="F16742" s="11"/>
      <c r="G16742" s="11"/>
      <c r="H16742" s="11"/>
      <c r="I16742" s="15"/>
    </row>
    <row r="16743" spans="1:9" ht="16.5">
      <c r="A16743" s="10" t="b">
        <v>0</v>
      </c>
      <c r="B16743" s="11" t="str">
        <f>IF(D16743&lt;&gt;"",IF(COUNTIF('USPTO TMs'!A:A,D16743)&gt;0,"Yes","No"),"")</f>
        <v/>
      </c>
      <c r="C16743" s="11"/>
      <c r="D16743" s="11"/>
      <c r="E16743" s="11"/>
      <c r="F16743" s="11"/>
      <c r="G16743" s="11"/>
      <c r="H16743" s="11"/>
      <c r="I16743" s="15"/>
    </row>
    <row r="16744" spans="1:9" ht="16.5">
      <c r="A16744" s="10" t="b">
        <v>0</v>
      </c>
      <c r="B16744" s="11" t="str">
        <f>IF(D16744&lt;&gt;"",IF(COUNTIF('USPTO TMs'!A:A,D16744)&gt;0,"Yes","No"),"")</f>
        <v/>
      </c>
      <c r="C16744" s="11"/>
      <c r="D16744" s="11"/>
      <c r="E16744" s="11"/>
      <c r="F16744" s="11"/>
      <c r="G16744" s="11"/>
      <c r="H16744" s="11"/>
      <c r="I16744" s="15"/>
    </row>
    <row r="16745" spans="1:9" ht="16.5">
      <c r="A16745" s="10" t="b">
        <v>0</v>
      </c>
      <c r="B16745" s="11" t="str">
        <f>IF(D16745&lt;&gt;"",IF(COUNTIF('USPTO TMs'!A:A,D16745)&gt;0,"Yes","No"),"")</f>
        <v/>
      </c>
      <c r="C16745" s="11"/>
      <c r="D16745" s="11"/>
      <c r="E16745" s="11"/>
      <c r="F16745" s="11"/>
      <c r="G16745" s="11"/>
      <c r="H16745" s="11"/>
      <c r="I16745" s="15"/>
    </row>
    <row r="16746" spans="1:9" ht="16.5">
      <c r="A16746" s="10" t="b">
        <v>0</v>
      </c>
      <c r="B16746" s="11" t="str">
        <f>IF(D16746&lt;&gt;"",IF(COUNTIF('USPTO TMs'!A:A,D16746)&gt;0,"Yes","No"),"")</f>
        <v/>
      </c>
      <c r="C16746" s="11"/>
      <c r="D16746" s="11"/>
      <c r="E16746" s="11"/>
      <c r="F16746" s="11"/>
      <c r="G16746" s="11"/>
      <c r="H16746" s="11"/>
      <c r="I16746" s="15"/>
    </row>
    <row r="16747" spans="1:9" ht="16.5">
      <c r="A16747" s="10" t="b">
        <v>0</v>
      </c>
      <c r="B16747" s="11" t="str">
        <f>IF(D16747&lt;&gt;"",IF(COUNTIF('USPTO TMs'!A:A,D16747)&gt;0,"Yes","No"),"")</f>
        <v/>
      </c>
      <c r="C16747" s="11"/>
      <c r="D16747" s="11"/>
      <c r="E16747" s="11"/>
      <c r="F16747" s="11"/>
      <c r="G16747" s="11"/>
      <c r="H16747" s="11"/>
      <c r="I16747" s="15"/>
    </row>
    <row r="16748" spans="1:9" ht="16.5">
      <c r="A16748" s="10" t="b">
        <v>0</v>
      </c>
      <c r="B16748" s="11" t="str">
        <f>IF(D16748&lt;&gt;"",IF(COUNTIF('USPTO TMs'!A:A,D16748)&gt;0,"Yes","No"),"")</f>
        <v/>
      </c>
      <c r="C16748" s="11"/>
      <c r="D16748" s="11"/>
      <c r="E16748" s="11"/>
      <c r="F16748" s="11"/>
      <c r="G16748" s="11"/>
      <c r="H16748" s="11"/>
      <c r="I16748" s="15"/>
    </row>
    <row r="16749" spans="1:9" ht="16.5">
      <c r="A16749" s="10" t="b">
        <v>0</v>
      </c>
      <c r="B16749" s="11" t="str">
        <f>IF(D16749&lt;&gt;"",IF(COUNTIF('USPTO TMs'!A:A,D16749)&gt;0,"Yes","No"),"")</f>
        <v/>
      </c>
      <c r="C16749" s="11"/>
      <c r="D16749" s="11"/>
      <c r="E16749" s="11"/>
      <c r="F16749" s="11"/>
      <c r="G16749" s="11"/>
      <c r="H16749" s="11"/>
      <c r="I16749" s="15"/>
    </row>
    <row r="16750" spans="1:9" ht="16.5">
      <c r="A16750" s="10" t="b">
        <v>0</v>
      </c>
      <c r="B16750" s="11" t="str">
        <f>IF(D16750&lt;&gt;"",IF(COUNTIF('USPTO TMs'!A:A,D16750)&gt;0,"Yes","No"),"")</f>
        <v/>
      </c>
      <c r="C16750" s="11"/>
      <c r="D16750" s="11"/>
      <c r="E16750" s="11"/>
      <c r="F16750" s="11"/>
      <c r="G16750" s="11"/>
      <c r="H16750" s="11"/>
      <c r="I16750" s="15"/>
    </row>
    <row r="16751" spans="1:9" ht="16.5">
      <c r="A16751" s="10" t="b">
        <v>0</v>
      </c>
      <c r="B16751" s="11" t="str">
        <f>IF(D16751&lt;&gt;"",IF(COUNTIF('USPTO TMs'!A:A,D16751)&gt;0,"Yes","No"),"")</f>
        <v/>
      </c>
      <c r="C16751" s="11"/>
      <c r="D16751" s="11"/>
      <c r="E16751" s="11"/>
      <c r="F16751" s="11"/>
      <c r="G16751" s="11"/>
      <c r="H16751" s="11"/>
      <c r="I16751" s="15"/>
    </row>
    <row r="16752" spans="1:9" ht="16.5">
      <c r="A16752" s="10" t="b">
        <v>0</v>
      </c>
      <c r="B16752" s="11" t="str">
        <f>IF(D16752&lt;&gt;"",IF(COUNTIF('USPTO TMs'!A:A,D16752)&gt;0,"Yes","No"),"")</f>
        <v/>
      </c>
      <c r="C16752" s="11"/>
      <c r="D16752" s="11"/>
      <c r="E16752" s="11"/>
      <c r="F16752" s="11"/>
      <c r="G16752" s="11"/>
      <c r="H16752" s="11"/>
      <c r="I16752" s="15"/>
    </row>
    <row r="16753" spans="1:9" ht="16.5">
      <c r="A16753" s="10" t="b">
        <v>0</v>
      </c>
      <c r="B16753" s="11" t="str">
        <f>IF(D16753&lt;&gt;"",IF(COUNTIF('USPTO TMs'!A:A,D16753)&gt;0,"Yes","No"),"")</f>
        <v/>
      </c>
      <c r="C16753" s="11"/>
      <c r="D16753" s="11"/>
      <c r="E16753" s="11"/>
      <c r="F16753" s="11"/>
      <c r="G16753" s="11"/>
      <c r="H16753" s="11"/>
      <c r="I16753" s="15"/>
    </row>
    <row r="16754" spans="1:9" ht="16.5">
      <c r="A16754" s="10" t="b">
        <v>0</v>
      </c>
      <c r="B16754" s="11" t="str">
        <f>IF(D16754&lt;&gt;"",IF(COUNTIF('USPTO TMs'!A:A,D16754)&gt;0,"Yes","No"),"")</f>
        <v/>
      </c>
      <c r="C16754" s="11"/>
      <c r="D16754" s="11"/>
      <c r="E16754" s="11"/>
      <c r="F16754" s="11"/>
      <c r="G16754" s="11"/>
      <c r="H16754" s="11"/>
      <c r="I16754" s="15"/>
    </row>
    <row r="16755" spans="1:9" ht="16.5">
      <c r="A16755" s="10" t="b">
        <v>0</v>
      </c>
      <c r="B16755" s="11" t="str">
        <f>IF(D16755&lt;&gt;"",IF(COUNTIF('USPTO TMs'!A:A,D16755)&gt;0,"Yes","No"),"")</f>
        <v/>
      </c>
      <c r="C16755" s="11"/>
      <c r="D16755" s="11"/>
      <c r="E16755" s="11"/>
      <c r="F16755" s="11"/>
      <c r="G16755" s="11"/>
      <c r="H16755" s="11"/>
      <c r="I16755" s="15"/>
    </row>
    <row r="16756" spans="1:9" ht="16.5">
      <c r="A16756" s="10" t="b">
        <v>0</v>
      </c>
      <c r="B16756" s="11" t="str">
        <f>IF(D16756&lt;&gt;"",IF(COUNTIF('USPTO TMs'!A:A,D16756)&gt;0,"Yes","No"),"")</f>
        <v/>
      </c>
      <c r="C16756" s="11"/>
      <c r="D16756" s="11"/>
      <c r="E16756" s="11"/>
      <c r="F16756" s="11"/>
      <c r="G16756" s="11"/>
      <c r="H16756" s="11"/>
      <c r="I16756" s="15"/>
    </row>
    <row r="16757" spans="1:9" ht="16.5">
      <c r="A16757" s="10" t="b">
        <v>0</v>
      </c>
      <c r="B16757" s="11" t="str">
        <f>IF(D16757&lt;&gt;"",IF(COUNTIF('USPTO TMs'!A:A,D16757)&gt;0,"Yes","No"),"")</f>
        <v/>
      </c>
      <c r="C16757" s="11"/>
      <c r="D16757" s="11"/>
      <c r="E16757" s="11"/>
      <c r="F16757" s="11"/>
      <c r="G16757" s="11"/>
      <c r="H16757" s="11"/>
      <c r="I16757" s="15"/>
    </row>
    <row r="16758" spans="1:9" ht="16.5">
      <c r="A16758" s="10" t="b">
        <v>0</v>
      </c>
      <c r="B16758" s="11" t="str">
        <f>IF(D16758&lt;&gt;"",IF(COUNTIF('USPTO TMs'!A:A,D16758)&gt;0,"Yes","No"),"")</f>
        <v/>
      </c>
      <c r="C16758" s="11"/>
      <c r="D16758" s="11"/>
      <c r="E16758" s="11"/>
      <c r="F16758" s="11"/>
      <c r="G16758" s="11"/>
      <c r="H16758" s="11"/>
      <c r="I16758" s="15"/>
    </row>
    <row r="16759" spans="1:9" ht="16.5">
      <c r="A16759" s="10" t="b">
        <v>0</v>
      </c>
      <c r="B16759" s="11" t="str">
        <f>IF(D16759&lt;&gt;"",IF(COUNTIF('USPTO TMs'!A:A,D16759)&gt;0,"Yes","No"),"")</f>
        <v/>
      </c>
      <c r="C16759" s="11"/>
      <c r="D16759" s="11"/>
      <c r="E16759" s="11"/>
      <c r="F16759" s="11"/>
      <c r="G16759" s="11"/>
      <c r="H16759" s="11"/>
      <c r="I16759" s="15"/>
    </row>
    <row r="16760" spans="1:9" ht="16.5">
      <c r="A16760" s="10" t="b">
        <v>0</v>
      </c>
      <c r="B16760" s="11" t="str">
        <f>IF(D16760&lt;&gt;"",IF(COUNTIF('USPTO TMs'!A:A,D16760)&gt;0,"Yes","No"),"")</f>
        <v/>
      </c>
      <c r="C16760" s="11"/>
      <c r="D16760" s="11"/>
      <c r="E16760" s="11"/>
      <c r="F16760" s="11"/>
      <c r="G16760" s="11"/>
      <c r="H16760" s="11"/>
      <c r="I16760" s="15"/>
    </row>
    <row r="16761" spans="1:9" ht="16.5">
      <c r="A16761" s="10" t="b">
        <v>0</v>
      </c>
      <c r="B16761" s="11" t="str">
        <f>IF(D16761&lt;&gt;"",IF(COUNTIF('USPTO TMs'!A:A,D16761)&gt;0,"Yes","No"),"")</f>
        <v/>
      </c>
      <c r="C16761" s="11"/>
      <c r="D16761" s="11"/>
      <c r="E16761" s="11"/>
      <c r="F16761" s="11"/>
      <c r="G16761" s="11"/>
      <c r="H16761" s="11"/>
      <c r="I16761" s="15"/>
    </row>
    <row r="16762" spans="1:9" ht="16.5">
      <c r="A16762" s="10" t="b">
        <v>0</v>
      </c>
      <c r="B16762" s="11" t="str">
        <f>IF(D16762&lt;&gt;"",IF(COUNTIF('USPTO TMs'!A:A,D16762)&gt;0,"Yes","No"),"")</f>
        <v/>
      </c>
      <c r="C16762" s="11"/>
      <c r="D16762" s="11"/>
      <c r="E16762" s="11"/>
      <c r="F16762" s="11"/>
      <c r="G16762" s="11"/>
      <c r="H16762" s="11"/>
      <c r="I16762" s="15"/>
    </row>
    <row r="16763" spans="1:9" ht="16.5">
      <c r="A16763" s="10" t="b">
        <v>0</v>
      </c>
      <c r="B16763" s="11" t="str">
        <f>IF(D16763&lt;&gt;"",IF(COUNTIF('USPTO TMs'!A:A,D16763)&gt;0,"Yes","No"),"")</f>
        <v/>
      </c>
      <c r="C16763" s="11"/>
      <c r="D16763" s="11"/>
      <c r="E16763" s="11"/>
      <c r="F16763" s="11"/>
      <c r="G16763" s="11"/>
      <c r="H16763" s="11"/>
      <c r="I16763" s="15"/>
    </row>
    <row r="16764" spans="1:9" ht="16.5">
      <c r="A16764" s="10" t="b">
        <v>0</v>
      </c>
      <c r="B16764" s="11" t="str">
        <f>IF(D16764&lt;&gt;"",IF(COUNTIF('USPTO TMs'!A:A,D16764)&gt;0,"Yes","No"),"")</f>
        <v/>
      </c>
      <c r="C16764" s="11"/>
      <c r="D16764" s="11"/>
      <c r="E16764" s="11"/>
      <c r="F16764" s="11"/>
      <c r="G16764" s="11"/>
      <c r="H16764" s="11"/>
      <c r="I16764" s="15"/>
    </row>
    <row r="16765" spans="1:9" ht="16.5">
      <c r="A16765" s="10" t="b">
        <v>0</v>
      </c>
      <c r="B16765" s="11" t="str">
        <f>IF(D16765&lt;&gt;"",IF(COUNTIF('USPTO TMs'!A:A,D16765)&gt;0,"Yes","No"),"")</f>
        <v/>
      </c>
      <c r="C16765" s="11"/>
      <c r="D16765" s="11"/>
      <c r="E16765" s="11"/>
      <c r="F16765" s="11"/>
      <c r="G16765" s="11"/>
      <c r="H16765" s="11"/>
      <c r="I16765" s="15"/>
    </row>
    <row r="16766" spans="1:9" ht="16.5">
      <c r="A16766" s="10" t="b">
        <v>0</v>
      </c>
      <c r="B16766" s="11" t="str">
        <f>IF(D16766&lt;&gt;"",IF(COUNTIF('USPTO TMs'!A:A,D16766)&gt;0,"Yes","No"),"")</f>
        <v/>
      </c>
      <c r="C16766" s="11"/>
      <c r="D16766" s="11"/>
      <c r="E16766" s="11"/>
      <c r="F16766" s="11"/>
      <c r="G16766" s="11"/>
      <c r="H16766" s="11"/>
      <c r="I16766" s="15"/>
    </row>
    <row r="16767" spans="1:9" ht="16.5">
      <c r="A16767" s="10" t="b">
        <v>0</v>
      </c>
      <c r="B16767" s="11" t="str">
        <f>IF(D16767&lt;&gt;"",IF(COUNTIF('USPTO TMs'!A:A,D16767)&gt;0,"Yes","No"),"")</f>
        <v/>
      </c>
      <c r="C16767" s="11"/>
      <c r="D16767" s="11"/>
      <c r="E16767" s="11"/>
      <c r="F16767" s="11"/>
      <c r="G16767" s="11"/>
      <c r="H16767" s="11"/>
      <c r="I16767" s="15"/>
    </row>
    <row r="16768" spans="1:9" ht="16.5">
      <c r="A16768" s="10" t="b">
        <v>0</v>
      </c>
      <c r="B16768" s="11" t="str">
        <f>IF(D16768&lt;&gt;"",IF(COUNTIF('USPTO TMs'!A:A,D16768)&gt;0,"Yes","No"),"")</f>
        <v/>
      </c>
      <c r="C16768" s="11"/>
      <c r="D16768" s="11"/>
      <c r="E16768" s="11"/>
      <c r="F16768" s="11"/>
      <c r="G16768" s="11"/>
      <c r="H16768" s="11"/>
      <c r="I16768" s="15"/>
    </row>
    <row r="16769" spans="1:9" ht="16.5">
      <c r="A16769" s="10" t="b">
        <v>0</v>
      </c>
      <c r="B16769" s="11" t="str">
        <f>IF(D16769&lt;&gt;"",IF(COUNTIF('USPTO TMs'!A:A,D16769)&gt;0,"Yes","No"),"")</f>
        <v/>
      </c>
      <c r="C16769" s="11"/>
      <c r="D16769" s="11"/>
      <c r="E16769" s="11"/>
      <c r="F16769" s="11"/>
      <c r="G16769" s="11"/>
      <c r="H16769" s="11"/>
      <c r="I16769" s="15"/>
    </row>
    <row r="16770" spans="1:9" ht="16.5">
      <c r="A16770" s="10" t="b">
        <v>0</v>
      </c>
      <c r="B16770" s="11" t="str">
        <f>IF(D16770&lt;&gt;"",IF(COUNTIF('USPTO TMs'!A:A,D16770)&gt;0,"Yes","No"),"")</f>
        <v/>
      </c>
      <c r="C16770" s="11"/>
      <c r="D16770" s="11"/>
      <c r="E16770" s="11"/>
      <c r="F16770" s="11"/>
      <c r="G16770" s="11"/>
      <c r="H16770" s="11"/>
      <c r="I16770" s="15"/>
    </row>
    <row r="16771" spans="1:9" ht="16.5">
      <c r="A16771" s="10" t="b">
        <v>0</v>
      </c>
      <c r="B16771" s="11" t="str">
        <f>IF(D16771&lt;&gt;"",IF(COUNTIF('USPTO TMs'!A:A,D16771)&gt;0,"Yes","No"),"")</f>
        <v/>
      </c>
      <c r="C16771" s="11"/>
      <c r="D16771" s="11"/>
      <c r="E16771" s="11"/>
      <c r="F16771" s="11"/>
      <c r="G16771" s="11"/>
      <c r="H16771" s="11"/>
      <c r="I16771" s="15"/>
    </row>
    <row r="16772" spans="1:9" ht="16.5">
      <c r="A16772" s="10" t="b">
        <v>0</v>
      </c>
      <c r="B16772" s="11" t="str">
        <f>IF(D16772&lt;&gt;"",IF(COUNTIF('USPTO TMs'!A:A,D16772)&gt;0,"Yes","No"),"")</f>
        <v/>
      </c>
      <c r="C16772" s="11"/>
      <c r="D16772" s="11"/>
      <c r="E16772" s="11"/>
      <c r="F16772" s="11"/>
      <c r="G16772" s="11"/>
      <c r="H16772" s="11"/>
      <c r="I16772" s="15"/>
    </row>
    <row r="16773" spans="1:9" ht="16.5">
      <c r="A16773" s="10" t="b">
        <v>0</v>
      </c>
      <c r="B16773" s="11" t="str">
        <f>IF(D16773&lt;&gt;"",IF(COUNTIF('USPTO TMs'!A:A,D16773)&gt;0,"Yes","No"),"")</f>
        <v/>
      </c>
      <c r="C16773" s="11"/>
      <c r="D16773" s="11"/>
      <c r="E16773" s="11"/>
      <c r="F16773" s="11"/>
      <c r="G16773" s="11"/>
      <c r="H16773" s="11"/>
      <c r="I16773" s="15"/>
    </row>
    <row r="16774" spans="1:9" ht="16.5">
      <c r="A16774" s="10" t="b">
        <v>0</v>
      </c>
      <c r="B16774" s="11" t="str">
        <f>IF(D16774&lt;&gt;"",IF(COUNTIF('USPTO TMs'!A:A,D16774)&gt;0,"Yes","No"),"")</f>
        <v/>
      </c>
      <c r="C16774" s="11"/>
      <c r="D16774" s="11"/>
      <c r="E16774" s="11"/>
      <c r="F16774" s="11"/>
      <c r="G16774" s="11"/>
      <c r="H16774" s="11"/>
      <c r="I16774" s="15"/>
    </row>
    <row r="16775" spans="1:9" ht="16.5">
      <c r="A16775" s="10" t="b">
        <v>0</v>
      </c>
      <c r="B16775" s="11" t="str">
        <f>IF(D16775&lt;&gt;"",IF(COUNTIF('USPTO TMs'!A:A,D16775)&gt;0,"Yes","No"),"")</f>
        <v/>
      </c>
      <c r="C16775" s="11"/>
      <c r="D16775" s="11"/>
      <c r="E16775" s="11"/>
      <c r="F16775" s="11"/>
      <c r="G16775" s="11"/>
      <c r="H16775" s="11"/>
      <c r="I16775" s="15"/>
    </row>
    <row r="16776" spans="1:9" ht="16.5">
      <c r="A16776" s="10" t="b">
        <v>0</v>
      </c>
      <c r="B16776" s="11" t="str">
        <f>IF(D16776&lt;&gt;"",IF(COUNTIF('USPTO TMs'!A:A,D16776)&gt;0,"Yes","No"),"")</f>
        <v/>
      </c>
      <c r="C16776" s="11"/>
      <c r="D16776" s="11"/>
      <c r="E16776" s="11"/>
      <c r="F16776" s="11"/>
      <c r="G16776" s="11"/>
      <c r="H16776" s="11"/>
      <c r="I16776" s="15"/>
    </row>
    <row r="16777" spans="1:9" ht="16.5">
      <c r="A16777" s="10" t="b">
        <v>0</v>
      </c>
      <c r="B16777" s="11" t="str">
        <f>IF(D16777&lt;&gt;"",IF(COUNTIF('USPTO TMs'!A:A,D16777)&gt;0,"Yes","No"),"")</f>
        <v/>
      </c>
      <c r="C16777" s="11"/>
      <c r="D16777" s="11"/>
      <c r="E16777" s="11"/>
      <c r="F16777" s="11"/>
      <c r="G16777" s="11"/>
      <c r="H16777" s="11"/>
      <c r="I16777" s="15"/>
    </row>
    <row r="16778" spans="1:9" ht="16.5">
      <c r="A16778" s="10" t="b">
        <v>0</v>
      </c>
      <c r="B16778" s="11" t="str">
        <f>IF(D16778&lt;&gt;"",IF(COUNTIF('USPTO TMs'!A:A,D16778)&gt;0,"Yes","No"),"")</f>
        <v/>
      </c>
      <c r="C16778" s="11"/>
      <c r="D16778" s="11"/>
      <c r="E16778" s="11"/>
      <c r="F16778" s="11"/>
      <c r="G16778" s="11"/>
      <c r="H16778" s="11"/>
      <c r="I16778" s="15"/>
    </row>
    <row r="16779" spans="1:9" ht="16.5">
      <c r="A16779" s="10" t="b">
        <v>0</v>
      </c>
      <c r="B16779" s="11" t="str">
        <f>IF(D16779&lt;&gt;"",IF(COUNTIF('USPTO TMs'!A:A,D16779)&gt;0,"Yes","No"),"")</f>
        <v/>
      </c>
      <c r="C16779" s="11"/>
      <c r="D16779" s="11"/>
      <c r="E16779" s="11"/>
      <c r="F16779" s="11"/>
      <c r="G16779" s="11"/>
      <c r="H16779" s="11"/>
      <c r="I16779" s="15"/>
    </row>
    <row r="16780" spans="1:9" ht="16.5">
      <c r="A16780" s="10" t="b">
        <v>0</v>
      </c>
      <c r="B16780" s="11" t="str">
        <f>IF(D16780&lt;&gt;"",IF(COUNTIF('USPTO TMs'!A:A,D16780)&gt;0,"Yes","No"),"")</f>
        <v/>
      </c>
      <c r="C16780" s="11"/>
      <c r="D16780" s="11"/>
      <c r="E16780" s="11"/>
      <c r="F16780" s="11"/>
      <c r="G16780" s="11"/>
      <c r="H16780" s="11"/>
      <c r="I16780" s="15"/>
    </row>
    <row r="16781" spans="1:9" ht="16.5">
      <c r="A16781" s="10" t="b">
        <v>0</v>
      </c>
      <c r="B16781" s="11" t="str">
        <f>IF(D16781&lt;&gt;"",IF(COUNTIF('USPTO TMs'!A:A,D16781)&gt;0,"Yes","No"),"")</f>
        <v/>
      </c>
      <c r="C16781" s="11"/>
      <c r="D16781" s="11"/>
      <c r="E16781" s="11"/>
      <c r="F16781" s="11"/>
      <c r="G16781" s="11"/>
      <c r="H16781" s="11"/>
      <c r="I16781" s="15"/>
    </row>
    <row r="16782" spans="1:9" ht="16.5">
      <c r="A16782" s="10" t="b">
        <v>0</v>
      </c>
      <c r="B16782" s="11" t="str">
        <f>IF(D16782&lt;&gt;"",IF(COUNTIF('USPTO TMs'!A:A,D16782)&gt;0,"Yes","No"),"")</f>
        <v/>
      </c>
      <c r="C16782" s="11"/>
      <c r="D16782" s="11"/>
      <c r="E16782" s="11"/>
      <c r="F16782" s="11"/>
      <c r="G16782" s="11"/>
      <c r="H16782" s="11"/>
      <c r="I16782" s="15"/>
    </row>
    <row r="16783" spans="1:9" ht="16.5">
      <c r="A16783" s="10" t="b">
        <v>0</v>
      </c>
      <c r="B16783" s="11" t="str">
        <f>IF(D16783&lt;&gt;"",IF(COUNTIF('USPTO TMs'!A:A,D16783)&gt;0,"Yes","No"),"")</f>
        <v/>
      </c>
      <c r="C16783" s="11"/>
      <c r="D16783" s="11"/>
      <c r="E16783" s="11"/>
      <c r="F16783" s="11"/>
      <c r="G16783" s="11"/>
      <c r="H16783" s="11"/>
      <c r="I16783" s="15"/>
    </row>
    <row r="16784" spans="1:9" ht="16.5">
      <c r="A16784" s="10" t="b">
        <v>0</v>
      </c>
      <c r="B16784" s="11" t="str">
        <f>IF(D16784&lt;&gt;"",IF(COUNTIF('USPTO TMs'!A:A,D16784)&gt;0,"Yes","No"),"")</f>
        <v/>
      </c>
      <c r="C16784" s="11"/>
      <c r="D16784" s="11"/>
      <c r="E16784" s="11"/>
      <c r="F16784" s="11"/>
      <c r="G16784" s="11"/>
      <c r="H16784" s="11"/>
      <c r="I16784" s="15"/>
    </row>
    <row r="16785" spans="1:9" ht="16.5">
      <c r="A16785" s="10" t="b">
        <v>0</v>
      </c>
      <c r="B16785" s="11" t="str">
        <f>IF(D16785&lt;&gt;"",IF(COUNTIF('USPTO TMs'!A:A,D16785)&gt;0,"Yes","No"),"")</f>
        <v/>
      </c>
      <c r="C16785" s="11"/>
      <c r="D16785" s="11"/>
      <c r="E16785" s="11"/>
      <c r="F16785" s="11"/>
      <c r="G16785" s="11"/>
      <c r="H16785" s="11"/>
      <c r="I16785" s="15"/>
    </row>
    <row r="16786" spans="1:9" ht="16.5">
      <c r="A16786" s="10" t="b">
        <v>0</v>
      </c>
      <c r="B16786" s="11" t="str">
        <f>IF(D16786&lt;&gt;"",IF(COUNTIF('USPTO TMs'!A:A,D16786)&gt;0,"Yes","No"),"")</f>
        <v/>
      </c>
      <c r="C16786" s="11"/>
      <c r="D16786" s="11"/>
      <c r="E16786" s="11"/>
      <c r="F16786" s="11"/>
      <c r="G16786" s="11"/>
      <c r="H16786" s="11"/>
      <c r="I16786" s="15"/>
    </row>
    <row r="16787" spans="1:9" ht="16.5">
      <c r="A16787" s="10" t="b">
        <v>0</v>
      </c>
      <c r="B16787" s="11" t="str">
        <f>IF(D16787&lt;&gt;"",IF(COUNTIF('USPTO TMs'!A:A,D16787)&gt;0,"Yes","No"),"")</f>
        <v/>
      </c>
      <c r="C16787" s="11"/>
      <c r="D16787" s="11"/>
      <c r="E16787" s="11"/>
      <c r="F16787" s="11"/>
      <c r="G16787" s="11"/>
      <c r="H16787" s="11"/>
      <c r="I16787" s="15"/>
    </row>
    <row r="16788" spans="1:9" ht="16.5">
      <c r="A16788" s="10" t="b">
        <v>0</v>
      </c>
      <c r="B16788" s="11" t="str">
        <f>IF(D16788&lt;&gt;"",IF(COUNTIF('USPTO TMs'!A:A,D16788)&gt;0,"Yes","No"),"")</f>
        <v/>
      </c>
      <c r="C16788" s="11"/>
      <c r="D16788" s="11"/>
      <c r="E16788" s="11"/>
      <c r="F16788" s="11"/>
      <c r="G16788" s="11"/>
      <c r="H16788" s="11"/>
      <c r="I16788" s="15"/>
    </row>
    <row r="16789" spans="1:9" ht="16.5">
      <c r="A16789" s="10" t="b">
        <v>0</v>
      </c>
      <c r="B16789" s="11" t="str">
        <f>IF(D16789&lt;&gt;"",IF(COUNTIF('USPTO TMs'!A:A,D16789)&gt;0,"Yes","No"),"")</f>
        <v/>
      </c>
      <c r="C16789" s="11"/>
      <c r="D16789" s="11"/>
      <c r="E16789" s="11"/>
      <c r="F16789" s="11"/>
      <c r="G16789" s="11"/>
      <c r="H16789" s="11"/>
      <c r="I16789" s="15"/>
    </row>
    <row r="16790" spans="1:9" ht="16.5">
      <c r="A16790" s="10" t="b">
        <v>0</v>
      </c>
      <c r="B16790" s="11" t="str">
        <f>IF(D16790&lt;&gt;"",IF(COUNTIF('USPTO TMs'!A:A,D16790)&gt;0,"Yes","No"),"")</f>
        <v/>
      </c>
      <c r="C16790" s="11"/>
      <c r="D16790" s="11"/>
      <c r="E16790" s="11"/>
      <c r="F16790" s="11"/>
      <c r="G16790" s="11"/>
      <c r="H16790" s="11"/>
      <c r="I16790" s="15"/>
    </row>
    <row r="16791" spans="1:9" ht="16.5">
      <c r="A16791" s="10" t="b">
        <v>0</v>
      </c>
      <c r="B16791" s="11" t="str">
        <f>IF(D16791&lt;&gt;"",IF(COUNTIF('USPTO TMs'!A:A,D16791)&gt;0,"Yes","No"),"")</f>
        <v/>
      </c>
      <c r="C16791" s="11"/>
      <c r="D16791" s="11"/>
      <c r="E16791" s="11"/>
      <c r="F16791" s="11"/>
      <c r="G16791" s="11"/>
      <c r="H16791" s="11"/>
      <c r="I16791" s="15"/>
    </row>
    <row r="16792" spans="1:9" ht="16.5">
      <c r="A16792" s="10" t="b">
        <v>0</v>
      </c>
      <c r="B16792" s="11" t="str">
        <f>IF(D16792&lt;&gt;"",IF(COUNTIF('USPTO TMs'!A:A,D16792)&gt;0,"Yes","No"),"")</f>
        <v/>
      </c>
      <c r="C16792" s="11"/>
      <c r="D16792" s="11"/>
      <c r="E16792" s="11"/>
      <c r="F16792" s="11"/>
      <c r="G16792" s="11"/>
      <c r="H16792" s="11"/>
      <c r="I16792" s="15"/>
    </row>
    <row r="16793" spans="1:9" ht="16.5">
      <c r="A16793" s="10" t="b">
        <v>0</v>
      </c>
      <c r="B16793" s="11" t="str">
        <f>IF(D16793&lt;&gt;"",IF(COUNTIF('USPTO TMs'!A:A,D16793)&gt;0,"Yes","No"),"")</f>
        <v/>
      </c>
      <c r="C16793" s="11"/>
      <c r="D16793" s="11"/>
      <c r="E16793" s="11"/>
      <c r="F16793" s="11"/>
      <c r="G16793" s="11"/>
      <c r="H16793" s="11"/>
      <c r="I16793" s="15"/>
    </row>
    <row r="16794" spans="1:9" ht="16.5">
      <c r="A16794" s="10" t="b">
        <v>0</v>
      </c>
      <c r="B16794" s="11" t="str">
        <f>IF(D16794&lt;&gt;"",IF(COUNTIF('USPTO TMs'!A:A,D16794)&gt;0,"Yes","No"),"")</f>
        <v/>
      </c>
      <c r="C16794" s="11"/>
      <c r="D16794" s="11"/>
      <c r="E16794" s="11"/>
      <c r="F16794" s="11"/>
      <c r="G16794" s="11"/>
      <c r="H16794" s="11"/>
      <c r="I16794" s="15"/>
    </row>
    <row r="16795" spans="1:9" ht="16.5">
      <c r="A16795" s="10" t="b">
        <v>0</v>
      </c>
      <c r="B16795" s="11" t="str">
        <f>IF(D16795&lt;&gt;"",IF(COUNTIF('USPTO TMs'!A:A,D16795)&gt;0,"Yes","No"),"")</f>
        <v/>
      </c>
      <c r="C16795" s="11"/>
      <c r="D16795" s="11"/>
      <c r="E16795" s="11"/>
      <c r="F16795" s="11"/>
      <c r="G16795" s="11"/>
      <c r="H16795" s="11"/>
      <c r="I16795" s="15"/>
    </row>
    <row r="16796" spans="1:9" ht="16.5">
      <c r="A16796" s="10" t="b">
        <v>0</v>
      </c>
      <c r="B16796" s="11" t="str">
        <f>IF(D16796&lt;&gt;"",IF(COUNTIF('USPTO TMs'!A:A,D16796)&gt;0,"Yes","No"),"")</f>
        <v/>
      </c>
      <c r="C16796" s="11"/>
      <c r="D16796" s="11"/>
      <c r="E16796" s="11"/>
      <c r="F16796" s="11"/>
      <c r="G16796" s="11"/>
      <c r="H16796" s="11"/>
      <c r="I16796" s="15"/>
    </row>
    <row r="16797" spans="1:9" ht="16.5">
      <c r="A16797" s="10" t="b">
        <v>0</v>
      </c>
      <c r="B16797" s="11" t="str">
        <f>IF(D16797&lt;&gt;"",IF(COUNTIF('USPTO TMs'!A:A,D16797)&gt;0,"Yes","No"),"")</f>
        <v/>
      </c>
      <c r="C16797" s="11"/>
      <c r="D16797" s="11"/>
      <c r="E16797" s="11"/>
      <c r="F16797" s="11"/>
      <c r="G16797" s="11"/>
      <c r="H16797" s="11"/>
      <c r="I16797" s="15"/>
    </row>
    <row r="16798" spans="1:9" ht="16.5">
      <c r="A16798" s="10" t="b">
        <v>0</v>
      </c>
      <c r="B16798" s="11" t="str">
        <f>IF(D16798&lt;&gt;"",IF(COUNTIF('USPTO TMs'!A:A,D16798)&gt;0,"Yes","No"),"")</f>
        <v/>
      </c>
      <c r="C16798" s="11"/>
      <c r="D16798" s="11"/>
      <c r="E16798" s="11"/>
      <c r="F16798" s="11"/>
      <c r="G16798" s="11"/>
      <c r="H16798" s="11"/>
      <c r="I16798" s="15"/>
    </row>
    <row r="16799" spans="1:9" ht="16.5">
      <c r="A16799" s="10" t="b">
        <v>0</v>
      </c>
      <c r="B16799" s="11" t="str">
        <f>IF(D16799&lt;&gt;"",IF(COUNTIF('USPTO TMs'!A:A,D16799)&gt;0,"Yes","No"),"")</f>
        <v/>
      </c>
      <c r="C16799" s="11"/>
      <c r="D16799" s="11"/>
      <c r="E16799" s="11"/>
      <c r="F16799" s="11"/>
      <c r="G16799" s="11"/>
      <c r="H16799" s="11"/>
      <c r="I16799" s="15"/>
    </row>
    <row r="16800" spans="1:9" ht="16.5">
      <c r="A16800" s="10" t="b">
        <v>0</v>
      </c>
      <c r="B16800" s="11" t="str">
        <f>IF(D16800&lt;&gt;"",IF(COUNTIF('USPTO TMs'!A:A,D16800)&gt;0,"Yes","No"),"")</f>
        <v/>
      </c>
      <c r="C16800" s="11"/>
      <c r="D16800" s="11"/>
      <c r="E16800" s="11"/>
      <c r="F16800" s="11"/>
      <c r="G16800" s="11"/>
      <c r="H16800" s="11"/>
      <c r="I16800" s="15"/>
    </row>
    <row r="16801" spans="1:9" ht="16.5">
      <c r="A16801" s="10" t="b">
        <v>0</v>
      </c>
      <c r="B16801" s="11" t="str">
        <f>IF(D16801&lt;&gt;"",IF(COUNTIF('USPTO TMs'!A:A,D16801)&gt;0,"Yes","No"),"")</f>
        <v/>
      </c>
      <c r="C16801" s="11"/>
      <c r="D16801" s="11"/>
      <c r="E16801" s="11"/>
      <c r="F16801" s="11"/>
      <c r="G16801" s="11"/>
      <c r="H16801" s="11"/>
      <c r="I16801" s="15"/>
    </row>
    <row r="16802" spans="1:9" ht="16.5">
      <c r="A16802" s="10" t="b">
        <v>0</v>
      </c>
      <c r="B16802" s="11" t="str">
        <f>IF(D16802&lt;&gt;"",IF(COUNTIF('USPTO TMs'!A:A,D16802)&gt;0,"Yes","No"),"")</f>
        <v/>
      </c>
      <c r="C16802" s="11"/>
      <c r="D16802" s="11"/>
      <c r="E16802" s="11"/>
      <c r="F16802" s="11"/>
      <c r="G16802" s="11"/>
      <c r="H16802" s="11"/>
      <c r="I16802" s="15"/>
    </row>
    <row r="16803" spans="1:9" ht="16.5">
      <c r="A16803" s="10" t="b">
        <v>0</v>
      </c>
      <c r="B16803" s="11" t="str">
        <f>IF(D16803&lt;&gt;"",IF(COUNTIF('USPTO TMs'!A:A,D16803)&gt;0,"Yes","No"),"")</f>
        <v/>
      </c>
      <c r="C16803" s="11"/>
      <c r="D16803" s="11"/>
      <c r="E16803" s="11"/>
      <c r="F16803" s="11"/>
      <c r="G16803" s="11"/>
      <c r="H16803" s="11"/>
      <c r="I16803" s="15"/>
    </row>
    <row r="16804" spans="1:9" ht="16.5">
      <c r="A16804" s="10" t="b">
        <v>0</v>
      </c>
      <c r="B16804" s="11" t="str">
        <f>IF(D16804&lt;&gt;"",IF(COUNTIF('USPTO TMs'!A:A,D16804)&gt;0,"Yes","No"),"")</f>
        <v/>
      </c>
      <c r="C16804" s="11"/>
      <c r="D16804" s="11"/>
      <c r="E16804" s="11"/>
      <c r="F16804" s="11"/>
      <c r="G16804" s="11"/>
      <c r="H16804" s="11"/>
      <c r="I16804" s="15"/>
    </row>
    <row r="16805" spans="1:9" ht="16.5">
      <c r="A16805" s="10" t="b">
        <v>0</v>
      </c>
      <c r="B16805" s="11" t="str">
        <f>IF(D16805&lt;&gt;"",IF(COUNTIF('USPTO TMs'!A:A,D16805)&gt;0,"Yes","No"),"")</f>
        <v/>
      </c>
      <c r="C16805" s="11"/>
      <c r="D16805" s="11"/>
      <c r="E16805" s="11"/>
      <c r="F16805" s="11"/>
      <c r="G16805" s="11"/>
      <c r="H16805" s="11"/>
      <c r="I16805" s="15"/>
    </row>
    <row r="16806" spans="1:9" ht="16.5">
      <c r="A16806" s="10" t="b">
        <v>0</v>
      </c>
      <c r="B16806" s="11" t="str">
        <f>IF(D16806&lt;&gt;"",IF(COUNTIF('USPTO TMs'!A:A,D16806)&gt;0,"Yes","No"),"")</f>
        <v/>
      </c>
      <c r="C16806" s="11"/>
      <c r="D16806" s="11"/>
      <c r="E16806" s="11"/>
      <c r="F16806" s="11"/>
      <c r="G16806" s="11"/>
      <c r="H16806" s="11"/>
      <c r="I16806" s="15"/>
    </row>
    <row r="16807" spans="1:9" ht="16.5">
      <c r="A16807" s="10" t="b">
        <v>0</v>
      </c>
      <c r="B16807" s="11" t="str">
        <f>IF(D16807&lt;&gt;"",IF(COUNTIF('USPTO TMs'!A:A,D16807)&gt;0,"Yes","No"),"")</f>
        <v/>
      </c>
      <c r="C16807" s="11"/>
      <c r="D16807" s="11"/>
      <c r="E16807" s="11"/>
      <c r="F16807" s="11"/>
      <c r="G16807" s="11"/>
      <c r="H16807" s="11"/>
      <c r="I16807" s="15"/>
    </row>
    <row r="16808" spans="1:9" ht="16.5">
      <c r="A16808" s="10" t="b">
        <v>0</v>
      </c>
      <c r="B16808" s="11" t="str">
        <f>IF(D16808&lt;&gt;"",IF(COUNTIF('USPTO TMs'!A:A,D16808)&gt;0,"Yes","No"),"")</f>
        <v/>
      </c>
      <c r="C16808" s="11"/>
      <c r="D16808" s="11"/>
      <c r="E16808" s="11"/>
      <c r="F16808" s="11"/>
      <c r="G16808" s="11"/>
      <c r="H16808" s="11"/>
      <c r="I16808" s="15"/>
    </row>
    <row r="16809" spans="1:9" ht="16.5">
      <c r="A16809" s="10" t="b">
        <v>0</v>
      </c>
      <c r="B16809" s="11" t="str">
        <f>IF(D16809&lt;&gt;"",IF(COUNTIF('USPTO TMs'!A:A,D16809)&gt;0,"Yes","No"),"")</f>
        <v/>
      </c>
      <c r="C16809" s="11"/>
      <c r="D16809" s="11"/>
      <c r="E16809" s="11"/>
      <c r="F16809" s="11"/>
      <c r="G16809" s="11"/>
      <c r="H16809" s="11"/>
      <c r="I16809" s="15"/>
    </row>
    <row r="16810" spans="1:9" ht="16.5">
      <c r="A16810" s="10" t="b">
        <v>0</v>
      </c>
      <c r="B16810" s="11" t="str">
        <f>IF(D16810&lt;&gt;"",IF(COUNTIF('USPTO TMs'!A:A,D16810)&gt;0,"Yes","No"),"")</f>
        <v/>
      </c>
      <c r="C16810" s="11"/>
      <c r="D16810" s="11"/>
      <c r="E16810" s="11"/>
      <c r="F16810" s="11"/>
      <c r="G16810" s="11"/>
      <c r="H16810" s="11"/>
      <c r="I16810" s="15"/>
    </row>
    <row r="16811" spans="1:9" ht="16.5">
      <c r="A16811" s="10" t="b">
        <v>0</v>
      </c>
      <c r="B16811" s="11" t="str">
        <f>IF(D16811&lt;&gt;"",IF(COUNTIF('USPTO TMs'!A:A,D16811)&gt;0,"Yes","No"),"")</f>
        <v/>
      </c>
      <c r="C16811" s="11"/>
      <c r="D16811" s="11"/>
      <c r="E16811" s="11"/>
      <c r="F16811" s="11"/>
      <c r="G16811" s="11"/>
      <c r="H16811" s="11"/>
      <c r="I16811" s="15"/>
    </row>
    <row r="16812" spans="1:9" ht="16.5">
      <c r="A16812" s="10" t="b">
        <v>0</v>
      </c>
      <c r="B16812" s="11" t="str">
        <f>IF(D16812&lt;&gt;"",IF(COUNTIF('USPTO TMs'!A:A,D16812)&gt;0,"Yes","No"),"")</f>
        <v/>
      </c>
      <c r="C16812" s="11"/>
      <c r="D16812" s="11"/>
      <c r="E16812" s="11"/>
      <c r="F16812" s="11"/>
      <c r="G16812" s="11"/>
      <c r="H16812" s="11"/>
      <c r="I16812" s="15"/>
    </row>
    <row r="16813" spans="1:9" ht="16.5">
      <c r="A16813" s="10" t="b">
        <v>0</v>
      </c>
      <c r="B16813" s="11" t="str">
        <f>IF(D16813&lt;&gt;"",IF(COUNTIF('USPTO TMs'!A:A,D16813)&gt;0,"Yes","No"),"")</f>
        <v/>
      </c>
      <c r="C16813" s="11"/>
      <c r="D16813" s="11"/>
      <c r="E16813" s="11"/>
      <c r="F16813" s="11"/>
      <c r="G16813" s="11"/>
      <c r="H16813" s="11"/>
      <c r="I16813" s="15"/>
    </row>
    <row r="16814" spans="1:9" ht="16.5">
      <c r="A16814" s="10" t="b">
        <v>0</v>
      </c>
      <c r="B16814" s="11" t="str">
        <f>IF(D16814&lt;&gt;"",IF(COUNTIF('USPTO TMs'!A:A,D16814)&gt;0,"Yes","No"),"")</f>
        <v/>
      </c>
      <c r="C16814" s="11"/>
      <c r="D16814" s="11"/>
      <c r="E16814" s="11"/>
      <c r="F16814" s="11"/>
      <c r="G16814" s="11"/>
      <c r="H16814" s="11"/>
      <c r="I16814" s="15"/>
    </row>
    <row r="16815" spans="1:9" ht="16.5">
      <c r="A16815" s="10" t="b">
        <v>0</v>
      </c>
      <c r="B16815" s="11" t="str">
        <f>IF(D16815&lt;&gt;"",IF(COUNTIF('USPTO TMs'!A:A,D16815)&gt;0,"Yes","No"),"")</f>
        <v/>
      </c>
      <c r="C16815" s="11"/>
      <c r="D16815" s="11"/>
      <c r="E16815" s="11"/>
      <c r="F16815" s="11"/>
      <c r="G16815" s="11"/>
      <c r="H16815" s="11"/>
      <c r="I16815" s="15"/>
    </row>
    <row r="16816" spans="1:9" ht="16.5">
      <c r="A16816" s="10" t="b">
        <v>0</v>
      </c>
      <c r="B16816" s="11" t="str">
        <f>IF(D16816&lt;&gt;"",IF(COUNTIF('USPTO TMs'!A:A,D16816)&gt;0,"Yes","No"),"")</f>
        <v/>
      </c>
      <c r="C16816" s="11"/>
      <c r="D16816" s="11"/>
      <c r="E16816" s="11"/>
      <c r="F16816" s="11"/>
      <c r="G16816" s="11"/>
      <c r="H16816" s="11"/>
      <c r="I16816" s="15"/>
    </row>
    <row r="16817" spans="1:9" ht="16.5">
      <c r="A16817" s="10" t="b">
        <v>0</v>
      </c>
      <c r="B16817" s="11" t="str">
        <f>IF(D16817&lt;&gt;"",IF(COUNTIF('USPTO TMs'!A:A,D16817)&gt;0,"Yes","No"),"")</f>
        <v/>
      </c>
      <c r="C16817" s="11"/>
      <c r="D16817" s="11"/>
      <c r="E16817" s="11"/>
      <c r="F16817" s="11"/>
      <c r="G16817" s="11"/>
      <c r="H16817" s="11"/>
      <c r="I16817" s="15"/>
    </row>
    <row r="16818" spans="1:9" ht="16.5">
      <c r="A16818" s="10" t="b">
        <v>0</v>
      </c>
      <c r="B16818" s="11" t="str">
        <f>IF(D16818&lt;&gt;"",IF(COUNTIF('USPTO TMs'!A:A,D16818)&gt;0,"Yes","No"),"")</f>
        <v/>
      </c>
      <c r="C16818" s="11"/>
      <c r="D16818" s="11"/>
      <c r="E16818" s="11"/>
      <c r="F16818" s="11"/>
      <c r="G16818" s="11"/>
      <c r="H16818" s="11"/>
      <c r="I16818" s="15"/>
    </row>
    <row r="16819" spans="1:9" ht="16.5">
      <c r="A16819" s="10" t="b">
        <v>0</v>
      </c>
      <c r="B16819" s="11" t="str">
        <f>IF(D16819&lt;&gt;"",IF(COUNTIF('USPTO TMs'!A:A,D16819)&gt;0,"Yes","No"),"")</f>
        <v/>
      </c>
      <c r="C16819" s="11"/>
      <c r="D16819" s="11"/>
      <c r="E16819" s="11"/>
      <c r="F16819" s="11"/>
      <c r="G16819" s="11"/>
      <c r="H16819" s="11"/>
      <c r="I16819" s="15"/>
    </row>
    <row r="16820" spans="1:9" ht="16.5">
      <c r="A16820" s="10" t="b">
        <v>0</v>
      </c>
      <c r="B16820" s="11" t="str">
        <f>IF(D16820&lt;&gt;"",IF(COUNTIF('USPTO TMs'!A:A,D16820)&gt;0,"Yes","No"),"")</f>
        <v/>
      </c>
      <c r="C16820" s="11"/>
      <c r="D16820" s="11"/>
      <c r="E16820" s="11"/>
      <c r="F16820" s="11"/>
      <c r="G16820" s="11"/>
      <c r="H16820" s="11"/>
      <c r="I16820" s="15"/>
    </row>
    <row r="16821" spans="1:9" ht="16.5">
      <c r="A16821" s="10" t="b">
        <v>0</v>
      </c>
      <c r="B16821" s="11" t="str">
        <f>IF(D16821&lt;&gt;"",IF(COUNTIF('USPTO TMs'!A:A,D16821)&gt;0,"Yes","No"),"")</f>
        <v/>
      </c>
      <c r="C16821" s="11"/>
      <c r="D16821" s="11"/>
      <c r="E16821" s="11"/>
      <c r="F16821" s="11"/>
      <c r="G16821" s="11"/>
      <c r="H16821" s="11"/>
      <c r="I16821" s="15"/>
    </row>
    <row r="16822" spans="1:9" ht="16.5">
      <c r="A16822" s="10" t="b">
        <v>0</v>
      </c>
      <c r="B16822" s="11" t="str">
        <f>IF(D16822&lt;&gt;"",IF(COUNTIF('USPTO TMs'!A:A,D16822)&gt;0,"Yes","No"),"")</f>
        <v/>
      </c>
      <c r="C16822" s="11"/>
      <c r="D16822" s="11"/>
      <c r="E16822" s="11"/>
      <c r="F16822" s="11"/>
      <c r="G16822" s="11"/>
      <c r="H16822" s="11"/>
      <c r="I16822" s="15"/>
    </row>
    <row r="16823" spans="1:9" ht="16.5">
      <c r="A16823" s="10" t="b">
        <v>0</v>
      </c>
      <c r="B16823" s="11" t="str">
        <f>IF(D16823&lt;&gt;"",IF(COUNTIF('USPTO TMs'!A:A,D16823)&gt;0,"Yes","No"),"")</f>
        <v/>
      </c>
      <c r="C16823" s="11"/>
      <c r="D16823" s="11"/>
      <c r="E16823" s="11"/>
      <c r="F16823" s="11"/>
      <c r="G16823" s="11"/>
      <c r="H16823" s="11"/>
      <c r="I16823" s="15"/>
    </row>
    <row r="16824" spans="1:9" ht="16.5">
      <c r="A16824" s="10" t="b">
        <v>0</v>
      </c>
      <c r="B16824" s="11" t="str">
        <f>IF(D16824&lt;&gt;"",IF(COUNTIF('USPTO TMs'!A:A,D16824)&gt;0,"Yes","No"),"")</f>
        <v/>
      </c>
      <c r="C16824" s="11"/>
      <c r="D16824" s="11"/>
      <c r="E16824" s="11"/>
      <c r="F16824" s="11"/>
      <c r="G16824" s="11"/>
      <c r="H16824" s="11"/>
      <c r="I16824" s="15"/>
    </row>
    <row r="16825" spans="1:9" ht="16.5">
      <c r="A16825" s="10" t="b">
        <v>0</v>
      </c>
      <c r="B16825" s="11" t="str">
        <f>IF(D16825&lt;&gt;"",IF(COUNTIF('USPTO TMs'!A:A,D16825)&gt;0,"Yes","No"),"")</f>
        <v/>
      </c>
      <c r="C16825" s="11"/>
      <c r="D16825" s="11"/>
      <c r="E16825" s="11"/>
      <c r="F16825" s="11"/>
      <c r="G16825" s="11"/>
      <c r="H16825" s="11"/>
      <c r="I16825" s="15"/>
    </row>
    <row r="16826" spans="1:9" ht="16.5">
      <c r="A16826" s="10" t="b">
        <v>0</v>
      </c>
      <c r="B16826" s="11" t="str">
        <f>IF(D16826&lt;&gt;"",IF(COUNTIF('USPTO TMs'!A:A,D16826)&gt;0,"Yes","No"),"")</f>
        <v/>
      </c>
      <c r="C16826" s="11"/>
      <c r="D16826" s="11"/>
      <c r="E16826" s="11"/>
      <c r="F16826" s="11"/>
      <c r="G16826" s="11"/>
      <c r="H16826" s="11"/>
      <c r="I16826" s="15"/>
    </row>
    <row r="16827" spans="1:9" ht="16.5">
      <c r="A16827" s="10" t="b">
        <v>0</v>
      </c>
      <c r="B16827" s="11" t="str">
        <f>IF(D16827&lt;&gt;"",IF(COUNTIF('USPTO TMs'!A:A,D16827)&gt;0,"Yes","No"),"")</f>
        <v/>
      </c>
      <c r="C16827" s="11"/>
      <c r="D16827" s="11"/>
      <c r="E16827" s="11"/>
      <c r="F16827" s="11"/>
      <c r="G16827" s="11"/>
      <c r="H16827" s="11"/>
      <c r="I16827" s="15"/>
    </row>
    <row r="16828" spans="1:9" ht="16.5">
      <c r="A16828" s="10" t="b">
        <v>0</v>
      </c>
      <c r="B16828" s="11" t="str">
        <f>IF(D16828&lt;&gt;"",IF(COUNTIF('USPTO TMs'!A:A,D16828)&gt;0,"Yes","No"),"")</f>
        <v/>
      </c>
      <c r="C16828" s="11"/>
      <c r="D16828" s="11"/>
      <c r="E16828" s="11"/>
      <c r="F16828" s="11"/>
      <c r="G16828" s="11"/>
      <c r="H16828" s="11"/>
      <c r="I16828" s="15"/>
    </row>
    <row r="16829" spans="1:9" ht="16.5">
      <c r="A16829" s="10" t="b">
        <v>0</v>
      </c>
      <c r="B16829" s="11" t="str">
        <f>IF(D16829&lt;&gt;"",IF(COUNTIF('USPTO TMs'!A:A,D16829)&gt;0,"Yes","No"),"")</f>
        <v/>
      </c>
      <c r="C16829" s="11"/>
      <c r="D16829" s="11"/>
      <c r="E16829" s="11"/>
      <c r="F16829" s="11"/>
      <c r="G16829" s="11"/>
      <c r="H16829" s="11"/>
      <c r="I16829" s="15"/>
    </row>
    <row r="16830" spans="1:9" ht="16.5">
      <c r="A16830" s="10" t="b">
        <v>0</v>
      </c>
      <c r="B16830" s="11" t="str">
        <f>IF(D16830&lt;&gt;"",IF(COUNTIF('USPTO TMs'!A:A,D16830)&gt;0,"Yes","No"),"")</f>
        <v/>
      </c>
      <c r="C16830" s="11"/>
      <c r="D16830" s="11"/>
      <c r="E16830" s="11"/>
      <c r="F16830" s="11"/>
      <c r="G16830" s="11"/>
      <c r="H16830" s="11"/>
      <c r="I16830" s="15"/>
    </row>
    <row r="16831" spans="1:9" ht="16.5">
      <c r="A16831" s="10" t="b">
        <v>0</v>
      </c>
      <c r="B16831" s="11" t="str">
        <f>IF(D16831&lt;&gt;"",IF(COUNTIF('USPTO TMs'!A:A,D16831)&gt;0,"Yes","No"),"")</f>
        <v/>
      </c>
      <c r="C16831" s="11"/>
      <c r="D16831" s="11"/>
      <c r="E16831" s="11"/>
      <c r="F16831" s="11"/>
      <c r="G16831" s="11"/>
      <c r="H16831" s="11"/>
      <c r="I16831" s="15"/>
    </row>
    <row r="16832" spans="1:9" ht="16.5">
      <c r="A16832" s="10" t="b">
        <v>0</v>
      </c>
      <c r="B16832" s="11" t="str">
        <f>IF(D16832&lt;&gt;"",IF(COUNTIF('USPTO TMs'!A:A,D16832)&gt;0,"Yes","No"),"")</f>
        <v/>
      </c>
      <c r="C16832" s="11"/>
      <c r="D16832" s="11"/>
      <c r="E16832" s="11"/>
      <c r="F16832" s="11"/>
      <c r="G16832" s="11"/>
      <c r="H16832" s="11"/>
      <c r="I16832" s="15"/>
    </row>
    <row r="16833" spans="1:9" ht="16.5">
      <c r="A16833" s="10" t="b">
        <v>0</v>
      </c>
      <c r="B16833" s="11" t="str">
        <f>IF(D16833&lt;&gt;"",IF(COUNTIF('USPTO TMs'!A:A,D16833)&gt;0,"Yes","No"),"")</f>
        <v/>
      </c>
      <c r="C16833" s="11"/>
      <c r="D16833" s="11"/>
      <c r="E16833" s="11"/>
      <c r="F16833" s="11"/>
      <c r="G16833" s="11"/>
      <c r="H16833" s="11"/>
      <c r="I16833" s="15"/>
    </row>
    <row r="16834" spans="1:9" ht="16.5">
      <c r="A16834" s="10" t="b">
        <v>0</v>
      </c>
      <c r="B16834" s="11" t="str">
        <f>IF(D16834&lt;&gt;"",IF(COUNTIF('USPTO TMs'!A:A,D16834)&gt;0,"Yes","No"),"")</f>
        <v/>
      </c>
      <c r="C16834" s="11"/>
      <c r="D16834" s="11"/>
      <c r="E16834" s="11"/>
      <c r="F16834" s="11"/>
      <c r="G16834" s="11"/>
      <c r="H16834" s="11"/>
      <c r="I16834" s="15"/>
    </row>
    <row r="16835" spans="1:9" ht="16.5">
      <c r="A16835" s="10" t="b">
        <v>0</v>
      </c>
      <c r="B16835" s="11" t="str">
        <f>IF(D16835&lt;&gt;"",IF(COUNTIF('USPTO TMs'!A:A,D16835)&gt;0,"Yes","No"),"")</f>
        <v/>
      </c>
      <c r="C16835" s="11"/>
      <c r="D16835" s="11"/>
      <c r="E16835" s="11"/>
      <c r="F16835" s="11"/>
      <c r="G16835" s="11"/>
      <c r="H16835" s="11"/>
      <c r="I16835" s="15"/>
    </row>
    <row r="16836" spans="1:9" ht="16.5">
      <c r="A16836" s="10" t="b">
        <v>0</v>
      </c>
      <c r="B16836" s="11" t="str">
        <f>IF(D16836&lt;&gt;"",IF(COUNTIF('USPTO TMs'!A:A,D16836)&gt;0,"Yes","No"),"")</f>
        <v/>
      </c>
      <c r="C16836" s="11"/>
      <c r="D16836" s="11"/>
      <c r="E16836" s="11"/>
      <c r="F16836" s="11"/>
      <c r="G16836" s="11"/>
      <c r="H16836" s="11"/>
      <c r="I16836" s="15"/>
    </row>
    <row r="16837" spans="1:9" ht="16.5">
      <c r="A16837" s="10" t="b">
        <v>0</v>
      </c>
      <c r="B16837" s="11" t="str">
        <f>IF(D16837&lt;&gt;"",IF(COUNTIF('USPTO TMs'!A:A,D16837)&gt;0,"Yes","No"),"")</f>
        <v/>
      </c>
      <c r="C16837" s="11"/>
      <c r="D16837" s="11"/>
      <c r="E16837" s="11"/>
      <c r="F16837" s="11"/>
      <c r="G16837" s="11"/>
      <c r="H16837" s="11"/>
      <c r="I16837" s="15"/>
    </row>
    <row r="16838" spans="1:9" ht="16.5">
      <c r="A16838" s="10" t="b">
        <v>0</v>
      </c>
      <c r="B16838" s="11" t="str">
        <f>IF(D16838&lt;&gt;"",IF(COUNTIF('USPTO TMs'!A:A,D16838)&gt;0,"Yes","No"),"")</f>
        <v/>
      </c>
      <c r="C16838" s="11"/>
      <c r="D16838" s="11"/>
      <c r="E16838" s="11"/>
      <c r="F16838" s="11"/>
      <c r="G16838" s="11"/>
      <c r="H16838" s="11"/>
      <c r="I16838" s="15"/>
    </row>
    <row r="16839" spans="1:9" ht="16.5">
      <c r="A16839" s="10" t="b">
        <v>0</v>
      </c>
      <c r="B16839" s="11" t="str">
        <f>IF(D16839&lt;&gt;"",IF(COUNTIF('USPTO TMs'!A:A,D16839)&gt;0,"Yes","No"),"")</f>
        <v/>
      </c>
      <c r="C16839" s="11"/>
      <c r="D16839" s="11"/>
      <c r="E16839" s="11"/>
      <c r="F16839" s="11"/>
      <c r="G16839" s="11"/>
      <c r="H16839" s="11"/>
      <c r="I16839" s="15"/>
    </row>
    <row r="16840" spans="1:9" ht="16.5">
      <c r="A16840" s="10" t="b">
        <v>0</v>
      </c>
      <c r="B16840" s="11" t="str">
        <f>IF(D16840&lt;&gt;"",IF(COUNTIF('USPTO TMs'!A:A,D16840)&gt;0,"Yes","No"),"")</f>
        <v/>
      </c>
      <c r="C16840" s="11"/>
      <c r="D16840" s="11"/>
      <c r="E16840" s="11"/>
      <c r="F16840" s="11"/>
      <c r="G16840" s="11"/>
      <c r="H16840" s="11"/>
      <c r="I16840" s="15"/>
    </row>
    <row r="16841" spans="1:9" ht="16.5">
      <c r="A16841" s="10" t="b">
        <v>0</v>
      </c>
      <c r="B16841" s="11" t="str">
        <f>IF(D16841&lt;&gt;"",IF(COUNTIF('USPTO TMs'!A:A,D16841)&gt;0,"Yes","No"),"")</f>
        <v/>
      </c>
      <c r="C16841" s="11"/>
      <c r="D16841" s="11"/>
      <c r="E16841" s="11"/>
      <c r="F16841" s="11"/>
      <c r="G16841" s="11"/>
      <c r="H16841" s="11"/>
      <c r="I16841" s="15"/>
    </row>
    <row r="16842" spans="1:9" ht="16.5">
      <c r="A16842" s="10" t="b">
        <v>0</v>
      </c>
      <c r="B16842" s="11" t="str">
        <f>IF(D16842&lt;&gt;"",IF(COUNTIF('USPTO TMs'!A:A,D16842)&gt;0,"Yes","No"),"")</f>
        <v/>
      </c>
      <c r="C16842" s="11"/>
      <c r="D16842" s="11"/>
      <c r="E16842" s="11"/>
      <c r="F16842" s="11"/>
      <c r="G16842" s="11"/>
      <c r="H16842" s="11"/>
      <c r="I16842" s="15"/>
    </row>
    <row r="16843" spans="1:9" ht="16.5">
      <c r="A16843" s="10" t="b">
        <v>0</v>
      </c>
      <c r="B16843" s="11" t="str">
        <f>IF(D16843&lt;&gt;"",IF(COUNTIF('USPTO TMs'!A:A,D16843)&gt;0,"Yes","No"),"")</f>
        <v/>
      </c>
      <c r="C16843" s="11"/>
      <c r="D16843" s="11"/>
      <c r="E16843" s="11"/>
      <c r="F16843" s="11"/>
      <c r="G16843" s="11"/>
      <c r="H16843" s="11"/>
      <c r="I16843" s="15"/>
    </row>
    <row r="16844" spans="1:9" ht="16.5">
      <c r="A16844" s="10" t="b">
        <v>0</v>
      </c>
      <c r="B16844" s="11" t="str">
        <f>IF(D16844&lt;&gt;"",IF(COUNTIF('USPTO TMs'!A:A,D16844)&gt;0,"Yes","No"),"")</f>
        <v/>
      </c>
      <c r="C16844" s="11"/>
      <c r="D16844" s="11"/>
      <c r="E16844" s="11"/>
      <c r="F16844" s="11"/>
      <c r="G16844" s="11"/>
      <c r="H16844" s="11"/>
      <c r="I16844" s="15"/>
    </row>
    <row r="16845" spans="1:9" ht="16.5">
      <c r="A16845" s="10" t="b">
        <v>0</v>
      </c>
      <c r="B16845" s="11" t="str">
        <f>IF(D16845&lt;&gt;"",IF(COUNTIF('USPTO TMs'!A:A,D16845)&gt;0,"Yes","No"),"")</f>
        <v/>
      </c>
      <c r="C16845" s="11"/>
      <c r="D16845" s="11"/>
      <c r="E16845" s="11"/>
      <c r="F16845" s="11"/>
      <c r="G16845" s="11"/>
      <c r="H16845" s="11"/>
      <c r="I16845" s="15"/>
    </row>
    <row r="16846" spans="1:9" ht="16.5">
      <c r="A16846" s="10" t="b">
        <v>0</v>
      </c>
      <c r="B16846" s="11" t="str">
        <f>IF(D16846&lt;&gt;"",IF(COUNTIF('USPTO TMs'!A:A,D16846)&gt;0,"Yes","No"),"")</f>
        <v/>
      </c>
      <c r="C16846" s="11"/>
      <c r="D16846" s="11"/>
      <c r="E16846" s="11"/>
      <c r="F16846" s="11"/>
      <c r="G16846" s="11"/>
      <c r="H16846" s="11"/>
      <c r="I16846" s="15"/>
    </row>
    <row r="16847" spans="1:9" ht="16.5">
      <c r="A16847" s="10" t="b">
        <v>0</v>
      </c>
      <c r="B16847" s="11" t="str">
        <f>IF(D16847&lt;&gt;"",IF(COUNTIF('USPTO TMs'!A:A,D16847)&gt;0,"Yes","No"),"")</f>
        <v/>
      </c>
      <c r="C16847" s="11"/>
      <c r="D16847" s="11"/>
      <c r="E16847" s="11"/>
      <c r="F16847" s="11"/>
      <c r="G16847" s="11"/>
      <c r="H16847" s="11"/>
      <c r="I16847" s="15"/>
    </row>
    <row r="16848" spans="1:9" ht="16.5">
      <c r="A16848" s="10" t="b">
        <v>0</v>
      </c>
      <c r="B16848" s="11" t="str">
        <f>IF(D16848&lt;&gt;"",IF(COUNTIF('USPTO TMs'!A:A,D16848)&gt;0,"Yes","No"),"")</f>
        <v/>
      </c>
      <c r="C16848" s="11"/>
      <c r="D16848" s="11"/>
      <c r="E16848" s="11"/>
      <c r="F16848" s="11"/>
      <c r="G16848" s="11"/>
      <c r="H16848" s="11"/>
      <c r="I16848" s="15"/>
    </row>
    <row r="16849" spans="1:9" ht="16.5">
      <c r="A16849" s="10" t="b">
        <v>0</v>
      </c>
      <c r="B16849" s="11" t="str">
        <f>IF(D16849&lt;&gt;"",IF(COUNTIF('USPTO TMs'!A:A,D16849)&gt;0,"Yes","No"),"")</f>
        <v/>
      </c>
      <c r="C16849" s="11"/>
      <c r="D16849" s="11"/>
      <c r="E16849" s="11"/>
      <c r="F16849" s="11"/>
      <c r="G16849" s="11"/>
      <c r="H16849" s="11"/>
      <c r="I16849" s="15"/>
    </row>
    <row r="16850" spans="1:9" ht="16.5">
      <c r="A16850" s="10" t="b">
        <v>0</v>
      </c>
      <c r="B16850" s="11" t="str">
        <f>IF(D16850&lt;&gt;"",IF(COUNTIF('USPTO TMs'!A:A,D16850)&gt;0,"Yes","No"),"")</f>
        <v/>
      </c>
      <c r="C16850" s="11"/>
      <c r="D16850" s="11"/>
      <c r="E16850" s="11"/>
      <c r="F16850" s="11"/>
      <c r="G16850" s="11"/>
      <c r="H16850" s="11"/>
      <c r="I16850" s="15"/>
    </row>
    <row r="16851" spans="1:9" ht="16.5">
      <c r="A16851" s="10" t="b">
        <v>0</v>
      </c>
      <c r="B16851" s="11" t="str">
        <f>IF(D16851&lt;&gt;"",IF(COUNTIF('USPTO TMs'!A:A,D16851)&gt;0,"Yes","No"),"")</f>
        <v/>
      </c>
      <c r="C16851" s="11"/>
      <c r="D16851" s="11"/>
      <c r="E16851" s="11"/>
      <c r="F16851" s="11"/>
      <c r="G16851" s="11"/>
      <c r="H16851" s="11"/>
      <c r="I16851" s="15"/>
    </row>
    <row r="16852" spans="1:9" ht="16.5">
      <c r="A16852" s="10" t="b">
        <v>0</v>
      </c>
      <c r="B16852" s="11" t="str">
        <f>IF(D16852&lt;&gt;"",IF(COUNTIF('USPTO TMs'!A:A,D16852)&gt;0,"Yes","No"),"")</f>
        <v/>
      </c>
      <c r="C16852" s="11"/>
      <c r="D16852" s="11"/>
      <c r="E16852" s="11"/>
      <c r="F16852" s="11"/>
      <c r="G16852" s="11"/>
      <c r="H16852" s="11"/>
      <c r="I16852" s="15"/>
    </row>
    <row r="16853" spans="1:9" ht="16.5">
      <c r="A16853" s="10" t="b">
        <v>0</v>
      </c>
      <c r="B16853" s="11" t="str">
        <f>IF(D16853&lt;&gt;"",IF(COUNTIF('USPTO TMs'!A:A,D16853)&gt;0,"Yes","No"),"")</f>
        <v/>
      </c>
      <c r="C16853" s="11"/>
      <c r="D16853" s="11"/>
      <c r="E16853" s="11"/>
      <c r="F16853" s="11"/>
      <c r="G16853" s="11"/>
      <c r="H16853" s="11"/>
      <c r="I16853" s="15"/>
    </row>
    <row r="16854" spans="1:9" ht="16.5">
      <c r="A16854" s="10" t="b">
        <v>0</v>
      </c>
      <c r="B16854" s="11" t="str">
        <f>IF(D16854&lt;&gt;"",IF(COUNTIF('USPTO TMs'!A:A,D16854)&gt;0,"Yes","No"),"")</f>
        <v/>
      </c>
      <c r="C16854" s="11"/>
      <c r="D16854" s="11"/>
      <c r="E16854" s="11"/>
      <c r="F16854" s="11"/>
      <c r="G16854" s="11"/>
      <c r="H16854" s="11"/>
      <c r="I16854" s="15"/>
    </row>
    <row r="16855" spans="1:9" ht="16.5">
      <c r="A16855" s="10" t="b">
        <v>0</v>
      </c>
      <c r="B16855" s="11" t="str">
        <f>IF(D16855&lt;&gt;"",IF(COUNTIF('USPTO TMs'!A:A,D16855)&gt;0,"Yes","No"),"")</f>
        <v/>
      </c>
      <c r="C16855" s="11"/>
      <c r="D16855" s="11"/>
      <c r="E16855" s="11"/>
      <c r="F16855" s="11"/>
      <c r="G16855" s="11"/>
      <c r="H16855" s="11"/>
      <c r="I16855" s="15"/>
    </row>
    <row r="16856" spans="1:9" ht="16.5">
      <c r="A16856" s="10" t="b">
        <v>0</v>
      </c>
      <c r="B16856" s="11" t="str">
        <f>IF(D16856&lt;&gt;"",IF(COUNTIF('USPTO TMs'!A:A,D16856)&gt;0,"Yes","No"),"")</f>
        <v/>
      </c>
      <c r="C16856" s="11"/>
      <c r="D16856" s="11"/>
      <c r="E16856" s="11"/>
      <c r="F16856" s="11"/>
      <c r="G16856" s="11"/>
      <c r="H16856" s="11"/>
      <c r="I16856" s="15"/>
    </row>
    <row r="16857" spans="1:9" ht="16.5">
      <c r="A16857" s="10" t="b">
        <v>0</v>
      </c>
      <c r="B16857" s="11" t="str">
        <f>IF(D16857&lt;&gt;"",IF(COUNTIF('USPTO TMs'!A:A,D16857)&gt;0,"Yes","No"),"")</f>
        <v/>
      </c>
      <c r="C16857" s="11"/>
      <c r="D16857" s="11"/>
      <c r="E16857" s="11"/>
      <c r="F16857" s="11"/>
      <c r="G16857" s="11"/>
      <c r="H16857" s="11"/>
      <c r="I16857" s="15"/>
    </row>
    <row r="16858" spans="1:9" ht="16.5">
      <c r="A16858" s="10" t="b">
        <v>0</v>
      </c>
      <c r="B16858" s="11" t="str">
        <f>IF(D16858&lt;&gt;"",IF(COUNTIF('USPTO TMs'!A:A,D16858)&gt;0,"Yes","No"),"")</f>
        <v/>
      </c>
      <c r="C16858" s="11"/>
      <c r="D16858" s="11"/>
      <c r="E16858" s="11"/>
      <c r="F16858" s="11"/>
      <c r="G16858" s="11"/>
      <c r="H16858" s="11"/>
      <c r="I16858" s="15"/>
    </row>
    <row r="16859" spans="1:9" ht="16.5">
      <c r="A16859" s="10" t="b">
        <v>0</v>
      </c>
      <c r="B16859" s="11" t="str">
        <f>IF(D16859&lt;&gt;"",IF(COUNTIF('USPTO TMs'!A:A,D16859)&gt;0,"Yes","No"),"")</f>
        <v/>
      </c>
      <c r="C16859" s="11"/>
      <c r="D16859" s="11"/>
      <c r="E16859" s="11"/>
      <c r="F16859" s="11"/>
      <c r="G16859" s="11"/>
      <c r="H16859" s="11"/>
      <c r="I16859" s="15"/>
    </row>
    <row r="16860" spans="1:9" ht="16.5">
      <c r="A16860" s="10" t="b">
        <v>0</v>
      </c>
      <c r="B16860" s="11" t="str">
        <f>IF(D16860&lt;&gt;"",IF(COUNTIF('USPTO TMs'!A:A,D16860)&gt;0,"Yes","No"),"")</f>
        <v/>
      </c>
      <c r="C16860" s="11"/>
      <c r="D16860" s="11"/>
      <c r="E16860" s="11"/>
      <c r="F16860" s="11"/>
      <c r="G16860" s="11"/>
      <c r="H16860" s="11"/>
      <c r="I16860" s="15"/>
    </row>
    <row r="16861" spans="1:9" ht="16.5">
      <c r="A16861" s="10" t="b">
        <v>0</v>
      </c>
      <c r="B16861" s="11" t="str">
        <f>IF(D16861&lt;&gt;"",IF(COUNTIF('USPTO TMs'!A:A,D16861)&gt;0,"Yes","No"),"")</f>
        <v/>
      </c>
      <c r="C16861" s="11"/>
      <c r="D16861" s="11"/>
      <c r="E16861" s="11"/>
      <c r="F16861" s="11"/>
      <c r="G16861" s="11"/>
      <c r="H16861" s="11"/>
      <c r="I16861" s="15"/>
    </row>
    <row r="16862" spans="1:9" ht="16.5">
      <c r="A16862" s="10" t="b">
        <v>0</v>
      </c>
      <c r="B16862" s="11" t="str">
        <f>IF(D16862&lt;&gt;"",IF(COUNTIF('USPTO TMs'!A:A,D16862)&gt;0,"Yes","No"),"")</f>
        <v/>
      </c>
      <c r="C16862" s="11"/>
      <c r="D16862" s="11"/>
      <c r="E16862" s="11"/>
      <c r="F16862" s="11"/>
      <c r="G16862" s="11"/>
      <c r="H16862" s="11"/>
      <c r="I16862" s="15"/>
    </row>
    <row r="16863" spans="1:9" ht="16.5">
      <c r="A16863" s="10" t="b">
        <v>0</v>
      </c>
      <c r="B16863" s="11" t="str">
        <f>IF(D16863&lt;&gt;"",IF(COUNTIF('USPTO TMs'!A:A,D16863)&gt;0,"Yes","No"),"")</f>
        <v/>
      </c>
      <c r="C16863" s="11"/>
      <c r="D16863" s="11"/>
      <c r="E16863" s="11"/>
      <c r="F16863" s="11"/>
      <c r="G16863" s="11"/>
      <c r="H16863" s="11"/>
      <c r="I16863" s="15"/>
    </row>
    <row r="16864" spans="1:9" ht="16.5">
      <c r="A16864" s="10" t="b">
        <v>0</v>
      </c>
      <c r="B16864" s="11" t="str">
        <f>IF(D16864&lt;&gt;"",IF(COUNTIF('USPTO TMs'!A:A,D16864)&gt;0,"Yes","No"),"")</f>
        <v/>
      </c>
      <c r="C16864" s="11"/>
      <c r="D16864" s="11"/>
      <c r="E16864" s="11"/>
      <c r="F16864" s="11"/>
      <c r="G16864" s="11"/>
      <c r="H16864" s="11"/>
      <c r="I16864" s="15"/>
    </row>
    <row r="16865" spans="1:9" ht="16.5">
      <c r="A16865" s="10" t="b">
        <v>0</v>
      </c>
      <c r="B16865" s="11" t="str">
        <f>IF(D16865&lt;&gt;"",IF(COUNTIF('USPTO TMs'!A:A,D16865)&gt;0,"Yes","No"),"")</f>
        <v/>
      </c>
      <c r="C16865" s="11"/>
      <c r="D16865" s="11"/>
      <c r="E16865" s="11"/>
      <c r="F16865" s="11"/>
      <c r="G16865" s="11"/>
      <c r="H16865" s="11"/>
      <c r="I16865" s="15"/>
    </row>
    <row r="16866" spans="1:9" ht="16.5">
      <c r="A16866" s="10" t="b">
        <v>0</v>
      </c>
      <c r="B16866" s="11" t="str">
        <f>IF(D16866&lt;&gt;"",IF(COUNTIF('USPTO TMs'!A:A,D16866)&gt;0,"Yes","No"),"")</f>
        <v/>
      </c>
      <c r="C16866" s="11"/>
      <c r="D16866" s="11"/>
      <c r="E16866" s="11"/>
      <c r="F16866" s="11"/>
      <c r="G16866" s="11"/>
      <c r="H16866" s="11"/>
      <c r="I16866" s="15"/>
    </row>
    <row r="16867" spans="1:9" ht="16.5">
      <c r="A16867" s="10" t="b">
        <v>0</v>
      </c>
      <c r="B16867" s="11" t="str">
        <f>IF(D16867&lt;&gt;"",IF(COUNTIF('USPTO TMs'!A:A,D16867)&gt;0,"Yes","No"),"")</f>
        <v/>
      </c>
      <c r="C16867" s="11"/>
      <c r="D16867" s="11"/>
      <c r="E16867" s="11"/>
      <c r="F16867" s="11"/>
      <c r="G16867" s="11"/>
      <c r="H16867" s="11"/>
      <c r="I16867" s="15"/>
    </row>
    <row r="16868" spans="1:9" ht="16.5">
      <c r="A16868" s="10" t="b">
        <v>0</v>
      </c>
      <c r="B16868" s="11" t="str">
        <f>IF(D16868&lt;&gt;"",IF(COUNTIF('USPTO TMs'!A:A,D16868)&gt;0,"Yes","No"),"")</f>
        <v/>
      </c>
      <c r="C16868" s="11"/>
      <c r="D16868" s="11"/>
      <c r="E16868" s="11"/>
      <c r="F16868" s="11"/>
      <c r="G16868" s="11"/>
      <c r="H16868" s="11"/>
      <c r="I16868" s="15"/>
    </row>
    <row r="16869" spans="1:9" ht="16.5">
      <c r="A16869" s="10" t="b">
        <v>0</v>
      </c>
      <c r="B16869" s="11" t="str">
        <f>IF(D16869&lt;&gt;"",IF(COUNTIF('USPTO TMs'!A:A,D16869)&gt;0,"Yes","No"),"")</f>
        <v/>
      </c>
      <c r="C16869" s="11"/>
      <c r="D16869" s="11"/>
      <c r="E16869" s="11"/>
      <c r="F16869" s="11"/>
      <c r="G16869" s="11"/>
      <c r="H16869" s="11"/>
      <c r="I16869" s="15"/>
    </row>
    <row r="16870" spans="1:9" ht="16.5">
      <c r="A16870" s="10" t="b">
        <v>0</v>
      </c>
      <c r="B16870" s="11" t="str">
        <f>IF(D16870&lt;&gt;"",IF(COUNTIF('USPTO TMs'!A:A,D16870)&gt;0,"Yes","No"),"")</f>
        <v/>
      </c>
      <c r="C16870" s="11"/>
      <c r="D16870" s="11"/>
      <c r="E16870" s="11"/>
      <c r="F16870" s="11"/>
      <c r="G16870" s="11"/>
      <c r="H16870" s="11"/>
      <c r="I16870" s="15"/>
    </row>
    <row r="16871" spans="1:9" ht="16.5">
      <c r="A16871" s="10" t="b">
        <v>0</v>
      </c>
      <c r="B16871" s="11" t="str">
        <f>IF(D16871&lt;&gt;"",IF(COUNTIF('USPTO TMs'!A:A,D16871)&gt;0,"Yes","No"),"")</f>
        <v/>
      </c>
      <c r="C16871" s="11"/>
      <c r="D16871" s="11"/>
      <c r="E16871" s="11"/>
      <c r="F16871" s="11"/>
      <c r="G16871" s="11"/>
      <c r="H16871" s="11"/>
      <c r="I16871" s="15"/>
    </row>
    <row r="16872" spans="1:9" ht="16.5">
      <c r="A16872" s="10" t="b">
        <v>0</v>
      </c>
      <c r="B16872" s="11" t="str">
        <f>IF(D16872&lt;&gt;"",IF(COUNTIF('USPTO TMs'!A:A,D16872)&gt;0,"Yes","No"),"")</f>
        <v/>
      </c>
      <c r="C16872" s="11"/>
      <c r="D16872" s="11"/>
      <c r="E16872" s="11"/>
      <c r="F16872" s="11"/>
      <c r="G16872" s="11"/>
      <c r="H16872" s="11"/>
      <c r="I16872" s="15"/>
    </row>
    <row r="16873" spans="1:9" ht="16.5">
      <c r="A16873" s="10" t="b">
        <v>0</v>
      </c>
      <c r="B16873" s="11" t="str">
        <f>IF(D16873&lt;&gt;"",IF(COUNTIF('USPTO TMs'!A:A,D16873)&gt;0,"Yes","No"),"")</f>
        <v/>
      </c>
      <c r="C16873" s="11"/>
      <c r="D16873" s="11"/>
      <c r="E16873" s="11"/>
      <c r="F16873" s="11"/>
      <c r="G16873" s="11"/>
      <c r="H16873" s="11"/>
      <c r="I16873" s="15"/>
    </row>
    <row r="16874" spans="1:9" ht="16.5">
      <c r="A16874" s="10" t="b">
        <v>0</v>
      </c>
      <c r="B16874" s="11" t="str">
        <f>IF(D16874&lt;&gt;"",IF(COUNTIF('USPTO TMs'!A:A,D16874)&gt;0,"Yes","No"),"")</f>
        <v/>
      </c>
      <c r="C16874" s="11"/>
      <c r="D16874" s="11"/>
      <c r="E16874" s="11"/>
      <c r="F16874" s="11"/>
      <c r="G16874" s="11"/>
      <c r="H16874" s="11"/>
      <c r="I16874" s="15"/>
    </row>
    <row r="16875" spans="1:9" ht="16.5">
      <c r="A16875" s="10" t="b">
        <v>0</v>
      </c>
      <c r="B16875" s="11" t="str">
        <f>IF(D16875&lt;&gt;"",IF(COUNTIF('USPTO TMs'!A:A,D16875)&gt;0,"Yes","No"),"")</f>
        <v/>
      </c>
      <c r="C16875" s="11"/>
      <c r="D16875" s="11"/>
      <c r="E16875" s="11"/>
      <c r="F16875" s="11"/>
      <c r="G16875" s="11"/>
      <c r="H16875" s="11"/>
      <c r="I16875" s="15"/>
    </row>
    <row r="16876" spans="1:9" ht="16.5">
      <c r="A16876" s="10" t="b">
        <v>0</v>
      </c>
      <c r="B16876" s="11" t="str">
        <f>IF(D16876&lt;&gt;"",IF(COUNTIF('USPTO TMs'!A:A,D16876)&gt;0,"Yes","No"),"")</f>
        <v/>
      </c>
      <c r="C16876" s="11"/>
      <c r="D16876" s="11"/>
      <c r="E16876" s="11"/>
      <c r="F16876" s="11"/>
      <c r="G16876" s="11"/>
      <c r="H16876" s="11"/>
      <c r="I16876" s="15"/>
    </row>
    <row r="16877" spans="1:9" ht="16.5">
      <c r="A16877" s="10" t="b">
        <v>0</v>
      </c>
      <c r="B16877" s="11" t="str">
        <f>IF(D16877&lt;&gt;"",IF(COUNTIF('USPTO TMs'!A:A,D16877)&gt;0,"Yes","No"),"")</f>
        <v/>
      </c>
      <c r="C16877" s="11"/>
      <c r="D16877" s="11"/>
      <c r="E16877" s="11"/>
      <c r="F16877" s="11"/>
      <c r="G16877" s="11"/>
      <c r="H16877" s="11"/>
      <c r="I16877" s="15"/>
    </row>
    <row r="16878" spans="1:9" ht="16.5">
      <c r="A16878" s="10" t="b">
        <v>0</v>
      </c>
      <c r="B16878" s="11" t="str">
        <f>IF(D16878&lt;&gt;"",IF(COUNTIF('USPTO TMs'!A:A,D16878)&gt;0,"Yes","No"),"")</f>
        <v/>
      </c>
      <c r="C16878" s="11"/>
      <c r="D16878" s="11"/>
      <c r="E16878" s="11"/>
      <c r="F16878" s="11"/>
      <c r="G16878" s="11"/>
      <c r="H16878" s="11"/>
      <c r="I16878" s="15"/>
    </row>
    <row r="16879" spans="1:9" ht="16.5">
      <c r="A16879" s="10" t="b">
        <v>0</v>
      </c>
      <c r="B16879" s="11" t="str">
        <f>IF(D16879&lt;&gt;"",IF(COUNTIF('USPTO TMs'!A:A,D16879)&gt;0,"Yes","No"),"")</f>
        <v/>
      </c>
      <c r="C16879" s="11"/>
      <c r="D16879" s="11"/>
      <c r="E16879" s="11"/>
      <c r="F16879" s="11"/>
      <c r="G16879" s="11"/>
      <c r="H16879" s="11"/>
      <c r="I16879" s="15"/>
    </row>
    <row r="16880" spans="1:9" ht="16.5">
      <c r="A16880" s="10" t="b">
        <v>0</v>
      </c>
      <c r="B16880" s="11" t="str">
        <f>IF(D16880&lt;&gt;"",IF(COUNTIF('USPTO TMs'!A:A,D16880)&gt;0,"Yes","No"),"")</f>
        <v/>
      </c>
      <c r="C16880" s="11"/>
      <c r="D16880" s="11"/>
      <c r="E16880" s="11"/>
      <c r="F16880" s="11"/>
      <c r="G16880" s="11"/>
      <c r="H16880" s="11"/>
      <c r="I16880" s="15"/>
    </row>
    <row r="16881" spans="1:9" ht="16.5">
      <c r="A16881" s="10" t="b">
        <v>0</v>
      </c>
      <c r="B16881" s="11" t="str">
        <f>IF(D16881&lt;&gt;"",IF(COUNTIF('USPTO TMs'!A:A,D16881)&gt;0,"Yes","No"),"")</f>
        <v/>
      </c>
      <c r="C16881" s="11"/>
      <c r="D16881" s="11"/>
      <c r="E16881" s="11"/>
      <c r="F16881" s="11"/>
      <c r="G16881" s="11"/>
      <c r="H16881" s="11"/>
      <c r="I16881" s="15"/>
    </row>
    <row r="16882" spans="1:9" ht="16.5">
      <c r="A16882" s="10" t="b">
        <v>0</v>
      </c>
      <c r="B16882" s="11" t="str">
        <f>IF(D16882&lt;&gt;"",IF(COUNTIF('USPTO TMs'!A:A,D16882)&gt;0,"Yes","No"),"")</f>
        <v/>
      </c>
      <c r="C16882" s="11"/>
      <c r="D16882" s="11"/>
      <c r="E16882" s="11"/>
      <c r="F16882" s="11"/>
      <c r="G16882" s="11"/>
      <c r="H16882" s="11"/>
      <c r="I16882" s="15"/>
    </row>
    <row r="16883" spans="1:9" ht="16.5">
      <c r="A16883" s="10" t="b">
        <v>0</v>
      </c>
      <c r="B16883" s="11" t="str">
        <f>IF(D16883&lt;&gt;"",IF(COUNTIF('USPTO TMs'!A:A,D16883)&gt;0,"Yes","No"),"")</f>
        <v/>
      </c>
      <c r="C16883" s="11"/>
      <c r="D16883" s="11"/>
      <c r="E16883" s="11"/>
      <c r="F16883" s="11"/>
      <c r="G16883" s="11"/>
      <c r="H16883" s="11"/>
      <c r="I16883" s="15"/>
    </row>
    <row r="16884" spans="1:9" ht="16.5">
      <c r="A16884" s="10" t="b">
        <v>0</v>
      </c>
      <c r="B16884" s="11" t="str">
        <f>IF(D16884&lt;&gt;"",IF(COUNTIF('USPTO TMs'!A:A,D16884)&gt;0,"Yes","No"),"")</f>
        <v/>
      </c>
      <c r="C16884" s="11"/>
      <c r="D16884" s="11"/>
      <c r="E16884" s="11"/>
      <c r="F16884" s="11"/>
      <c r="G16884" s="11"/>
      <c r="H16884" s="11"/>
      <c r="I16884" s="15"/>
    </row>
    <row r="16885" spans="1:9" ht="16.5">
      <c r="A16885" s="10" t="b">
        <v>0</v>
      </c>
      <c r="B16885" s="11" t="str">
        <f>IF(D16885&lt;&gt;"",IF(COUNTIF('USPTO TMs'!A:A,D16885)&gt;0,"Yes","No"),"")</f>
        <v/>
      </c>
      <c r="C16885" s="11"/>
      <c r="D16885" s="11"/>
      <c r="E16885" s="11"/>
      <c r="F16885" s="11"/>
      <c r="G16885" s="11"/>
      <c r="H16885" s="11"/>
      <c r="I16885" s="15"/>
    </row>
    <row r="16886" spans="1:9" ht="16.5">
      <c r="A16886" s="10" t="b">
        <v>0</v>
      </c>
      <c r="B16886" s="11" t="str">
        <f>IF(D16886&lt;&gt;"",IF(COUNTIF('USPTO TMs'!A:A,D16886)&gt;0,"Yes","No"),"")</f>
        <v/>
      </c>
      <c r="C16886" s="11"/>
      <c r="D16886" s="11"/>
      <c r="E16886" s="11"/>
      <c r="F16886" s="11"/>
      <c r="G16886" s="11"/>
      <c r="H16886" s="11"/>
      <c r="I16886" s="15"/>
    </row>
    <row r="16887" spans="1:9" ht="16.5">
      <c r="A16887" s="10" t="b">
        <v>0</v>
      </c>
      <c r="B16887" s="11" t="str">
        <f>IF(D16887&lt;&gt;"",IF(COUNTIF('USPTO TMs'!A:A,D16887)&gt;0,"Yes","No"),"")</f>
        <v/>
      </c>
      <c r="C16887" s="11"/>
      <c r="D16887" s="11"/>
      <c r="E16887" s="11"/>
      <c r="F16887" s="11"/>
      <c r="G16887" s="11"/>
      <c r="H16887" s="11"/>
      <c r="I16887" s="15"/>
    </row>
    <row r="16888" spans="1:9" ht="16.5">
      <c r="A16888" s="10" t="b">
        <v>0</v>
      </c>
      <c r="B16888" s="11" t="str">
        <f>IF(D16888&lt;&gt;"",IF(COUNTIF('USPTO TMs'!A:A,D16888)&gt;0,"Yes","No"),"")</f>
        <v/>
      </c>
      <c r="C16888" s="11"/>
      <c r="D16888" s="11"/>
      <c r="E16888" s="11"/>
      <c r="F16888" s="11"/>
      <c r="G16888" s="11"/>
      <c r="H16888" s="11"/>
      <c r="I16888" s="15"/>
    </row>
    <row r="16889" spans="1:9" ht="16.5">
      <c r="A16889" s="10" t="b">
        <v>0</v>
      </c>
      <c r="B16889" s="11" t="str">
        <f>IF(D16889&lt;&gt;"",IF(COUNTIF('USPTO TMs'!A:A,D16889)&gt;0,"Yes","No"),"")</f>
        <v/>
      </c>
      <c r="C16889" s="11"/>
      <c r="D16889" s="11"/>
      <c r="E16889" s="11"/>
      <c r="F16889" s="11"/>
      <c r="G16889" s="11"/>
      <c r="H16889" s="11"/>
      <c r="I16889" s="15"/>
    </row>
    <row r="16890" spans="1:9" ht="16.5">
      <c r="A16890" s="10" t="b">
        <v>0</v>
      </c>
      <c r="B16890" s="11" t="str">
        <f>IF(D16890&lt;&gt;"",IF(COUNTIF('USPTO TMs'!A:A,D16890)&gt;0,"Yes","No"),"")</f>
        <v/>
      </c>
      <c r="C16890" s="11"/>
      <c r="D16890" s="11"/>
      <c r="E16890" s="11"/>
      <c r="F16890" s="11"/>
      <c r="G16890" s="11"/>
      <c r="H16890" s="11"/>
      <c r="I16890" s="15"/>
    </row>
    <row r="16891" spans="1:9" ht="16.5">
      <c r="A16891" s="10" t="b">
        <v>0</v>
      </c>
      <c r="B16891" s="11" t="str">
        <f>IF(D16891&lt;&gt;"",IF(COUNTIF('USPTO TMs'!A:A,D16891)&gt;0,"Yes","No"),"")</f>
        <v/>
      </c>
      <c r="C16891" s="11"/>
      <c r="D16891" s="11"/>
      <c r="E16891" s="11"/>
      <c r="F16891" s="11"/>
      <c r="G16891" s="11"/>
      <c r="H16891" s="11"/>
      <c r="I16891" s="15"/>
    </row>
    <row r="16892" spans="1:9" ht="16.5">
      <c r="A16892" s="10" t="b">
        <v>0</v>
      </c>
      <c r="B16892" s="11" t="str">
        <f>IF(D16892&lt;&gt;"",IF(COUNTIF('USPTO TMs'!A:A,D16892)&gt;0,"Yes","No"),"")</f>
        <v/>
      </c>
      <c r="C16892" s="11"/>
      <c r="D16892" s="11"/>
      <c r="E16892" s="11"/>
      <c r="F16892" s="11"/>
      <c r="G16892" s="11"/>
      <c r="H16892" s="11"/>
      <c r="I16892" s="15"/>
    </row>
    <row r="16893" spans="1:9" ht="16.5">
      <c r="A16893" s="10" t="b">
        <v>0</v>
      </c>
      <c r="B16893" s="11" t="str">
        <f>IF(D16893&lt;&gt;"",IF(COUNTIF('USPTO TMs'!A:A,D16893)&gt;0,"Yes","No"),"")</f>
        <v/>
      </c>
      <c r="C16893" s="11"/>
      <c r="D16893" s="11"/>
      <c r="E16893" s="11"/>
      <c r="F16893" s="11"/>
      <c r="G16893" s="11"/>
      <c r="H16893" s="11"/>
      <c r="I16893" s="15"/>
    </row>
    <row r="16894" spans="1:9" ht="16.5">
      <c r="A16894" s="10" t="b">
        <v>0</v>
      </c>
      <c r="B16894" s="11" t="str">
        <f>IF(D16894&lt;&gt;"",IF(COUNTIF('USPTO TMs'!A:A,D16894)&gt;0,"Yes","No"),"")</f>
        <v/>
      </c>
      <c r="C16894" s="11"/>
      <c r="D16894" s="11"/>
      <c r="E16894" s="11"/>
      <c r="F16894" s="11"/>
      <c r="G16894" s="11"/>
      <c r="H16894" s="11"/>
      <c r="I16894" s="15"/>
    </row>
    <row r="16895" spans="1:9" ht="16.5">
      <c r="A16895" s="10" t="b">
        <v>0</v>
      </c>
      <c r="B16895" s="11" t="str">
        <f>IF(D16895&lt;&gt;"",IF(COUNTIF('USPTO TMs'!A:A,D16895)&gt;0,"Yes","No"),"")</f>
        <v/>
      </c>
      <c r="C16895" s="11"/>
      <c r="D16895" s="11"/>
      <c r="E16895" s="11"/>
      <c r="F16895" s="11"/>
      <c r="G16895" s="11"/>
      <c r="H16895" s="11"/>
      <c r="I16895" s="15"/>
    </row>
    <row r="16896" spans="1:9" ht="16.5">
      <c r="A16896" s="10" t="b">
        <v>0</v>
      </c>
      <c r="B16896" s="11" t="str">
        <f>IF(D16896&lt;&gt;"",IF(COUNTIF('USPTO TMs'!A:A,D16896)&gt;0,"Yes","No"),"")</f>
        <v/>
      </c>
      <c r="C16896" s="11"/>
      <c r="D16896" s="11"/>
      <c r="E16896" s="11"/>
      <c r="F16896" s="11"/>
      <c r="G16896" s="11"/>
      <c r="H16896" s="11"/>
      <c r="I16896" s="15"/>
    </row>
    <row r="16897" spans="1:9" ht="16.5">
      <c r="A16897" s="10" t="b">
        <v>0</v>
      </c>
      <c r="B16897" s="11" t="str">
        <f>IF(D16897&lt;&gt;"",IF(COUNTIF('USPTO TMs'!A:A,D16897)&gt;0,"Yes","No"),"")</f>
        <v/>
      </c>
      <c r="C16897" s="11"/>
      <c r="D16897" s="11"/>
      <c r="E16897" s="11"/>
      <c r="F16897" s="11"/>
      <c r="G16897" s="11"/>
      <c r="H16897" s="11"/>
      <c r="I16897" s="15"/>
    </row>
    <row r="16898" spans="1:9" ht="16.5">
      <c r="A16898" s="10" t="b">
        <v>0</v>
      </c>
      <c r="B16898" s="11" t="str">
        <f>IF(D16898&lt;&gt;"",IF(COUNTIF('USPTO TMs'!A:A,D16898)&gt;0,"Yes","No"),"")</f>
        <v/>
      </c>
      <c r="C16898" s="11"/>
      <c r="D16898" s="11"/>
      <c r="E16898" s="11"/>
      <c r="F16898" s="11"/>
      <c r="G16898" s="11"/>
      <c r="H16898" s="11"/>
      <c r="I16898" s="15"/>
    </row>
    <row r="16899" spans="1:9" ht="16.5">
      <c r="A16899" s="10" t="b">
        <v>0</v>
      </c>
      <c r="B16899" s="11" t="str">
        <f>IF(D16899&lt;&gt;"",IF(COUNTIF('USPTO TMs'!A:A,D16899)&gt;0,"Yes","No"),"")</f>
        <v/>
      </c>
      <c r="C16899" s="11"/>
      <c r="D16899" s="11"/>
      <c r="E16899" s="11"/>
      <c r="F16899" s="11"/>
      <c r="G16899" s="11"/>
      <c r="H16899" s="11"/>
      <c r="I16899" s="15"/>
    </row>
    <row r="16900" spans="1:9" ht="16.5">
      <c r="A16900" s="10" t="b">
        <v>0</v>
      </c>
      <c r="B16900" s="11" t="str">
        <f>IF(D16900&lt;&gt;"",IF(COUNTIF('USPTO TMs'!A:A,D16900)&gt;0,"Yes","No"),"")</f>
        <v/>
      </c>
      <c r="C16900" s="11"/>
      <c r="D16900" s="11"/>
      <c r="E16900" s="11"/>
      <c r="F16900" s="11"/>
      <c r="G16900" s="11"/>
      <c r="H16900" s="11"/>
      <c r="I16900" s="15"/>
    </row>
    <row r="16901" spans="1:9" ht="16.5">
      <c r="A16901" s="10" t="b">
        <v>0</v>
      </c>
      <c r="B16901" s="11" t="str">
        <f>IF(D16901&lt;&gt;"",IF(COUNTIF('USPTO TMs'!A:A,D16901)&gt;0,"Yes","No"),"")</f>
        <v/>
      </c>
      <c r="C16901" s="11"/>
      <c r="D16901" s="11"/>
      <c r="E16901" s="11"/>
      <c r="F16901" s="11"/>
      <c r="G16901" s="11"/>
      <c r="H16901" s="11"/>
      <c r="I16901" s="15"/>
    </row>
    <row r="16902" spans="1:9" ht="16.5">
      <c r="A16902" s="10" t="b">
        <v>0</v>
      </c>
      <c r="B16902" s="11" t="str">
        <f>IF(D16902&lt;&gt;"",IF(COUNTIF('USPTO TMs'!A:A,D16902)&gt;0,"Yes","No"),"")</f>
        <v/>
      </c>
      <c r="C16902" s="11"/>
      <c r="D16902" s="11"/>
      <c r="E16902" s="11"/>
      <c r="F16902" s="11"/>
      <c r="G16902" s="11"/>
      <c r="H16902" s="11"/>
      <c r="I16902" s="15"/>
    </row>
    <row r="16903" spans="1:9" ht="16.5">
      <c r="A16903" s="10" t="b">
        <v>0</v>
      </c>
      <c r="B16903" s="11" t="str">
        <f>IF(D16903&lt;&gt;"",IF(COUNTIF('USPTO TMs'!A:A,D16903)&gt;0,"Yes","No"),"")</f>
        <v/>
      </c>
      <c r="C16903" s="11"/>
      <c r="D16903" s="11"/>
      <c r="E16903" s="11"/>
      <c r="F16903" s="11"/>
      <c r="G16903" s="11"/>
      <c r="H16903" s="11"/>
      <c r="I16903" s="15"/>
    </row>
    <row r="16904" spans="1:9" ht="16.5">
      <c r="A16904" s="10" t="b">
        <v>0</v>
      </c>
      <c r="B16904" s="11" t="str">
        <f>IF(D16904&lt;&gt;"",IF(COUNTIF('USPTO TMs'!A:A,D16904)&gt;0,"Yes","No"),"")</f>
        <v/>
      </c>
      <c r="C16904" s="11"/>
      <c r="D16904" s="11"/>
      <c r="E16904" s="11"/>
      <c r="F16904" s="11"/>
      <c r="G16904" s="11"/>
      <c r="H16904" s="11"/>
      <c r="I16904" s="15"/>
    </row>
    <row r="16905" spans="1:9" ht="16.5">
      <c r="A16905" s="10" t="b">
        <v>0</v>
      </c>
      <c r="B16905" s="11" t="str">
        <f>IF(D16905&lt;&gt;"",IF(COUNTIF('USPTO TMs'!A:A,D16905)&gt;0,"Yes","No"),"")</f>
        <v/>
      </c>
      <c r="C16905" s="11"/>
      <c r="D16905" s="11"/>
      <c r="E16905" s="11"/>
      <c r="F16905" s="11"/>
      <c r="G16905" s="11"/>
      <c r="H16905" s="11"/>
      <c r="I16905" s="15"/>
    </row>
    <row r="16906" spans="1:9" ht="16.5">
      <c r="A16906" s="10" t="b">
        <v>0</v>
      </c>
      <c r="B16906" s="11" t="str">
        <f>IF(D16906&lt;&gt;"",IF(COUNTIF('USPTO TMs'!A:A,D16906)&gt;0,"Yes","No"),"")</f>
        <v/>
      </c>
      <c r="C16906" s="11"/>
      <c r="D16906" s="11"/>
      <c r="E16906" s="11"/>
      <c r="F16906" s="11"/>
      <c r="G16906" s="11"/>
      <c r="H16906" s="11"/>
      <c r="I16906" s="15"/>
    </row>
    <row r="16907" spans="1:9" ht="16.5">
      <c r="A16907" s="10" t="b">
        <v>0</v>
      </c>
      <c r="B16907" s="11" t="str">
        <f>IF(D16907&lt;&gt;"",IF(COUNTIF('USPTO TMs'!A:A,D16907)&gt;0,"Yes","No"),"")</f>
        <v/>
      </c>
      <c r="C16907" s="11"/>
      <c r="D16907" s="11"/>
      <c r="E16907" s="11"/>
      <c r="F16907" s="11"/>
      <c r="G16907" s="11"/>
      <c r="H16907" s="11"/>
      <c r="I16907" s="15"/>
    </row>
    <row r="16908" spans="1:9" ht="16.5">
      <c r="A16908" s="10" t="b">
        <v>0</v>
      </c>
      <c r="B16908" s="11" t="str">
        <f>IF(D16908&lt;&gt;"",IF(COUNTIF('USPTO TMs'!A:A,D16908)&gt;0,"Yes","No"),"")</f>
        <v/>
      </c>
      <c r="C16908" s="11"/>
      <c r="D16908" s="11"/>
      <c r="E16908" s="11"/>
      <c r="F16908" s="11"/>
      <c r="G16908" s="11"/>
      <c r="H16908" s="11"/>
      <c r="I16908" s="15"/>
    </row>
    <row r="16909" spans="1:9" ht="16.5">
      <c r="A16909" s="10" t="b">
        <v>0</v>
      </c>
      <c r="B16909" s="11" t="str">
        <f>IF(D16909&lt;&gt;"",IF(COUNTIF('USPTO TMs'!A:A,D16909)&gt;0,"Yes","No"),"")</f>
        <v/>
      </c>
      <c r="C16909" s="11"/>
      <c r="D16909" s="11"/>
      <c r="E16909" s="11"/>
      <c r="F16909" s="11"/>
      <c r="G16909" s="11"/>
      <c r="H16909" s="11"/>
      <c r="I16909" s="15"/>
    </row>
    <row r="16910" spans="1:9" ht="16.5">
      <c r="A16910" s="10" t="b">
        <v>0</v>
      </c>
      <c r="B16910" s="11" t="str">
        <f>IF(D16910&lt;&gt;"",IF(COUNTIF('USPTO TMs'!A:A,D16910)&gt;0,"Yes","No"),"")</f>
        <v/>
      </c>
      <c r="C16910" s="11"/>
      <c r="D16910" s="11"/>
      <c r="E16910" s="11"/>
      <c r="F16910" s="11"/>
      <c r="G16910" s="11"/>
      <c r="H16910" s="11"/>
      <c r="I16910" s="15"/>
    </row>
    <row r="16911" spans="1:9" ht="16.5">
      <c r="A16911" s="10" t="b">
        <v>0</v>
      </c>
      <c r="B16911" s="11" t="str">
        <f>IF(D16911&lt;&gt;"",IF(COUNTIF('USPTO TMs'!A:A,D16911)&gt;0,"Yes","No"),"")</f>
        <v/>
      </c>
      <c r="C16911" s="11"/>
      <c r="D16911" s="11"/>
      <c r="E16911" s="11"/>
      <c r="F16911" s="11"/>
      <c r="G16911" s="11"/>
      <c r="H16911" s="11"/>
      <c r="I16911" s="15"/>
    </row>
    <row r="16912" spans="1:9" ht="16.5">
      <c r="A16912" s="10" t="b">
        <v>0</v>
      </c>
      <c r="B16912" s="11" t="str">
        <f>IF(D16912&lt;&gt;"",IF(COUNTIF('USPTO TMs'!A:A,D16912)&gt;0,"Yes","No"),"")</f>
        <v/>
      </c>
      <c r="C16912" s="11"/>
      <c r="D16912" s="11"/>
      <c r="E16912" s="11"/>
      <c r="F16912" s="11"/>
      <c r="G16912" s="11"/>
      <c r="H16912" s="11"/>
      <c r="I16912" s="15"/>
    </row>
    <row r="16913" spans="1:9" ht="16.5">
      <c r="A16913" s="10" t="b">
        <v>0</v>
      </c>
      <c r="B16913" s="11" t="str">
        <f>IF(D16913&lt;&gt;"",IF(COUNTIF('USPTO TMs'!A:A,D16913)&gt;0,"Yes","No"),"")</f>
        <v/>
      </c>
      <c r="C16913" s="11"/>
      <c r="D16913" s="11"/>
      <c r="E16913" s="11"/>
      <c r="F16913" s="11"/>
      <c r="G16913" s="11"/>
      <c r="H16913" s="11"/>
      <c r="I16913" s="15"/>
    </row>
    <row r="16914" spans="1:9" ht="16.5">
      <c r="A16914" s="10" t="b">
        <v>0</v>
      </c>
      <c r="B16914" s="11" t="str">
        <f>IF(D16914&lt;&gt;"",IF(COUNTIF('USPTO TMs'!A:A,D16914)&gt;0,"Yes","No"),"")</f>
        <v/>
      </c>
      <c r="C16914" s="11"/>
      <c r="D16914" s="11"/>
      <c r="E16914" s="11"/>
      <c r="F16914" s="11"/>
      <c r="G16914" s="11"/>
      <c r="H16914" s="11"/>
      <c r="I16914" s="15"/>
    </row>
    <row r="16915" spans="1:9" ht="16.5">
      <c r="A16915" s="10" t="b">
        <v>0</v>
      </c>
      <c r="B16915" s="11" t="str">
        <f>IF(D16915&lt;&gt;"",IF(COUNTIF('USPTO TMs'!A:A,D16915)&gt;0,"Yes","No"),"")</f>
        <v/>
      </c>
      <c r="C16915" s="11"/>
      <c r="D16915" s="11"/>
      <c r="E16915" s="11"/>
      <c r="F16915" s="11"/>
      <c r="G16915" s="11"/>
      <c r="H16915" s="11"/>
      <c r="I16915" s="15"/>
    </row>
    <row r="16916" spans="1:9" ht="16.5">
      <c r="A16916" s="10" t="b">
        <v>0</v>
      </c>
      <c r="B16916" s="11" t="str">
        <f>IF(D16916&lt;&gt;"",IF(COUNTIF('USPTO TMs'!A:A,D16916)&gt;0,"Yes","No"),"")</f>
        <v/>
      </c>
      <c r="C16916" s="11"/>
      <c r="D16916" s="11"/>
      <c r="E16916" s="11"/>
      <c r="F16916" s="11"/>
      <c r="G16916" s="11"/>
      <c r="H16916" s="11"/>
      <c r="I16916" s="15"/>
    </row>
    <row r="16917" spans="1:9" ht="16.5">
      <c r="A16917" s="10" t="b">
        <v>0</v>
      </c>
      <c r="B16917" s="11" t="str">
        <f>IF(D16917&lt;&gt;"",IF(COUNTIF('USPTO TMs'!A:A,D16917)&gt;0,"Yes","No"),"")</f>
        <v/>
      </c>
      <c r="C16917" s="11"/>
      <c r="D16917" s="11"/>
      <c r="E16917" s="11"/>
      <c r="F16917" s="11"/>
      <c r="G16917" s="11"/>
      <c r="H16917" s="11"/>
      <c r="I16917" s="15"/>
    </row>
    <row r="16918" spans="1:9" ht="16.5">
      <c r="A16918" s="10" t="b">
        <v>0</v>
      </c>
      <c r="B16918" s="11" t="str">
        <f>IF(D16918&lt;&gt;"",IF(COUNTIF('USPTO TMs'!A:A,D16918)&gt;0,"Yes","No"),"")</f>
        <v/>
      </c>
      <c r="C16918" s="11"/>
      <c r="D16918" s="11"/>
      <c r="E16918" s="11"/>
      <c r="F16918" s="11"/>
      <c r="G16918" s="11"/>
      <c r="H16918" s="11"/>
      <c r="I16918" s="15"/>
    </row>
    <row r="16919" spans="1:9" ht="16.5">
      <c r="A16919" s="10" t="b">
        <v>0</v>
      </c>
      <c r="B16919" s="11" t="str">
        <f>IF(D16919&lt;&gt;"",IF(COUNTIF('USPTO TMs'!A:A,D16919)&gt;0,"Yes","No"),"")</f>
        <v/>
      </c>
      <c r="C16919" s="11"/>
      <c r="D16919" s="11"/>
      <c r="E16919" s="11"/>
      <c r="F16919" s="11"/>
      <c r="G16919" s="11"/>
      <c r="H16919" s="11"/>
      <c r="I16919" s="15"/>
    </row>
    <row r="16920" spans="1:9" ht="16.5">
      <c r="A16920" s="10" t="b">
        <v>0</v>
      </c>
      <c r="B16920" s="11" t="str">
        <f>IF(D16920&lt;&gt;"",IF(COUNTIF('USPTO TMs'!A:A,D16920)&gt;0,"Yes","No"),"")</f>
        <v/>
      </c>
      <c r="C16920" s="11"/>
      <c r="D16920" s="11"/>
      <c r="E16920" s="11"/>
      <c r="F16920" s="11"/>
      <c r="G16920" s="11"/>
      <c r="H16920" s="11"/>
      <c r="I16920" s="15"/>
    </row>
    <row r="16921" spans="1:9" ht="16.5">
      <c r="A16921" s="10" t="b">
        <v>0</v>
      </c>
      <c r="B16921" s="11" t="str">
        <f>IF(D16921&lt;&gt;"",IF(COUNTIF('USPTO TMs'!A:A,D16921)&gt;0,"Yes","No"),"")</f>
        <v/>
      </c>
      <c r="C16921" s="11"/>
      <c r="D16921" s="11"/>
      <c r="E16921" s="11"/>
      <c r="F16921" s="11"/>
      <c r="G16921" s="11"/>
      <c r="H16921" s="11"/>
      <c r="I16921" s="15"/>
    </row>
    <row r="16922" spans="1:9" ht="16.5">
      <c r="A16922" s="10" t="b">
        <v>0</v>
      </c>
      <c r="B16922" s="11" t="str">
        <f>IF(D16922&lt;&gt;"",IF(COUNTIF('USPTO TMs'!A:A,D16922)&gt;0,"Yes","No"),"")</f>
        <v/>
      </c>
      <c r="C16922" s="11"/>
      <c r="D16922" s="11"/>
      <c r="E16922" s="11"/>
      <c r="F16922" s="11"/>
      <c r="G16922" s="11"/>
      <c r="H16922" s="11"/>
      <c r="I16922" s="15"/>
    </row>
    <row r="16923" spans="1:9" ht="16.5">
      <c r="A16923" s="10" t="b">
        <v>0</v>
      </c>
      <c r="B16923" s="11" t="str">
        <f>IF(D16923&lt;&gt;"",IF(COUNTIF('USPTO TMs'!A:A,D16923)&gt;0,"Yes","No"),"")</f>
        <v/>
      </c>
      <c r="C16923" s="11"/>
      <c r="D16923" s="11"/>
      <c r="E16923" s="11"/>
      <c r="F16923" s="11"/>
      <c r="G16923" s="11"/>
      <c r="H16923" s="11"/>
      <c r="I16923" s="15"/>
    </row>
    <row r="16924" spans="1:9" ht="16.5">
      <c r="A16924" s="10" t="b">
        <v>0</v>
      </c>
      <c r="B16924" s="11" t="str">
        <f>IF(D16924&lt;&gt;"",IF(COUNTIF('USPTO TMs'!A:A,D16924)&gt;0,"Yes","No"),"")</f>
        <v/>
      </c>
      <c r="C16924" s="11"/>
      <c r="D16924" s="11"/>
      <c r="E16924" s="11"/>
      <c r="F16924" s="11"/>
      <c r="G16924" s="11"/>
      <c r="H16924" s="11"/>
      <c r="I16924" s="15"/>
    </row>
    <row r="16925" spans="1:9" ht="16.5">
      <c r="A16925" s="10" t="b">
        <v>0</v>
      </c>
      <c r="B16925" s="11" t="str">
        <f>IF(D16925&lt;&gt;"",IF(COUNTIF('USPTO TMs'!A:A,D16925)&gt;0,"Yes","No"),"")</f>
        <v/>
      </c>
      <c r="C16925" s="11"/>
      <c r="D16925" s="11"/>
      <c r="E16925" s="11"/>
      <c r="F16925" s="11"/>
      <c r="G16925" s="11"/>
      <c r="H16925" s="11"/>
      <c r="I16925" s="15"/>
    </row>
    <row r="16926" spans="1:9" ht="16.5">
      <c r="A16926" s="10" t="b">
        <v>0</v>
      </c>
      <c r="B16926" s="11" t="str">
        <f>IF(D16926&lt;&gt;"",IF(COUNTIF('USPTO TMs'!A:A,D16926)&gt;0,"Yes","No"),"")</f>
        <v/>
      </c>
      <c r="C16926" s="11"/>
      <c r="D16926" s="11"/>
      <c r="E16926" s="11"/>
      <c r="F16926" s="11"/>
      <c r="G16926" s="11"/>
      <c r="H16926" s="11"/>
      <c r="I16926" s="15"/>
    </row>
    <row r="16927" spans="1:9" ht="16.5">
      <c r="A16927" s="10" t="b">
        <v>0</v>
      </c>
      <c r="B16927" s="11" t="str">
        <f>IF(D16927&lt;&gt;"",IF(COUNTIF('USPTO TMs'!A:A,D16927)&gt;0,"Yes","No"),"")</f>
        <v/>
      </c>
      <c r="C16927" s="11"/>
      <c r="D16927" s="11"/>
      <c r="E16927" s="11"/>
      <c r="F16927" s="11"/>
      <c r="G16927" s="11"/>
      <c r="H16927" s="11"/>
      <c r="I16927" s="15"/>
    </row>
    <row r="16928" spans="1:9" ht="16.5">
      <c r="A16928" s="10" t="b">
        <v>0</v>
      </c>
      <c r="B16928" s="11" t="str">
        <f>IF(D16928&lt;&gt;"",IF(COUNTIF('USPTO TMs'!A:A,D16928)&gt;0,"Yes","No"),"")</f>
        <v/>
      </c>
      <c r="C16928" s="11"/>
      <c r="D16928" s="11"/>
      <c r="E16928" s="11"/>
      <c r="F16928" s="11"/>
      <c r="G16928" s="11"/>
      <c r="H16928" s="11"/>
      <c r="I16928" s="15"/>
    </row>
    <row r="16929" spans="1:9" ht="16.5">
      <c r="A16929" s="10" t="b">
        <v>0</v>
      </c>
      <c r="B16929" s="11" t="str">
        <f>IF(D16929&lt;&gt;"",IF(COUNTIF('USPTO TMs'!A:A,D16929)&gt;0,"Yes","No"),"")</f>
        <v/>
      </c>
      <c r="C16929" s="11"/>
      <c r="D16929" s="11"/>
      <c r="E16929" s="11"/>
      <c r="F16929" s="11"/>
      <c r="G16929" s="11"/>
      <c r="H16929" s="11"/>
      <c r="I16929" s="15"/>
    </row>
    <row r="16930" spans="1:9" ht="16.5">
      <c r="A16930" s="10" t="b">
        <v>0</v>
      </c>
      <c r="B16930" s="11" t="str">
        <f>IF(D16930&lt;&gt;"",IF(COUNTIF('USPTO TMs'!A:A,D16930)&gt;0,"Yes","No"),"")</f>
        <v/>
      </c>
      <c r="C16930" s="11"/>
      <c r="D16930" s="11"/>
      <c r="E16930" s="11"/>
      <c r="F16930" s="11"/>
      <c r="G16930" s="11"/>
      <c r="H16930" s="11"/>
      <c r="I16930" s="15"/>
    </row>
    <row r="16931" spans="1:9" ht="16.5">
      <c r="A16931" s="10" t="b">
        <v>0</v>
      </c>
      <c r="B16931" s="11" t="str">
        <f>IF(D16931&lt;&gt;"",IF(COUNTIF('USPTO TMs'!A:A,D16931)&gt;0,"Yes","No"),"")</f>
        <v/>
      </c>
      <c r="C16931" s="11"/>
      <c r="D16931" s="11"/>
      <c r="E16931" s="11"/>
      <c r="F16931" s="11"/>
      <c r="G16931" s="11"/>
      <c r="H16931" s="11"/>
      <c r="I16931" s="15"/>
    </row>
    <row r="16932" spans="1:9" ht="16.5">
      <c r="A16932" s="10" t="b">
        <v>0</v>
      </c>
      <c r="B16932" s="11" t="str">
        <f>IF(D16932&lt;&gt;"",IF(COUNTIF('USPTO TMs'!A:A,D16932)&gt;0,"Yes","No"),"")</f>
        <v/>
      </c>
      <c r="C16932" s="11"/>
      <c r="D16932" s="11"/>
      <c r="E16932" s="11"/>
      <c r="F16932" s="11"/>
      <c r="G16932" s="11"/>
      <c r="H16932" s="11"/>
      <c r="I16932" s="15"/>
    </row>
    <row r="16933" spans="1:9" ht="16.5">
      <c r="A16933" s="10" t="b">
        <v>0</v>
      </c>
      <c r="B16933" s="11" t="str">
        <f>IF(D16933&lt;&gt;"",IF(COUNTIF('USPTO TMs'!A:A,D16933)&gt;0,"Yes","No"),"")</f>
        <v/>
      </c>
      <c r="C16933" s="11"/>
      <c r="D16933" s="11"/>
      <c r="E16933" s="11"/>
      <c r="F16933" s="11"/>
      <c r="G16933" s="11"/>
      <c r="H16933" s="11"/>
      <c r="I16933" s="15"/>
    </row>
    <row r="16934" spans="1:9" ht="16.5">
      <c r="A16934" s="10" t="b">
        <v>0</v>
      </c>
      <c r="B16934" s="11" t="str">
        <f>IF(D16934&lt;&gt;"",IF(COUNTIF('USPTO TMs'!A:A,D16934)&gt;0,"Yes","No"),"")</f>
        <v/>
      </c>
      <c r="C16934" s="11"/>
      <c r="D16934" s="11"/>
      <c r="E16934" s="11"/>
      <c r="F16934" s="11"/>
      <c r="G16934" s="11"/>
      <c r="H16934" s="11"/>
      <c r="I16934" s="15"/>
    </row>
    <row r="16935" spans="1:9" ht="16.5">
      <c r="A16935" s="10" t="b">
        <v>0</v>
      </c>
      <c r="B16935" s="11" t="str">
        <f>IF(D16935&lt;&gt;"",IF(COUNTIF('USPTO TMs'!A:A,D16935)&gt;0,"Yes","No"),"")</f>
        <v/>
      </c>
      <c r="C16935" s="11"/>
      <c r="D16935" s="11"/>
      <c r="E16935" s="11"/>
      <c r="F16935" s="11"/>
      <c r="G16935" s="11"/>
      <c r="H16935" s="11"/>
      <c r="I16935" s="15"/>
    </row>
    <row r="16936" spans="1:9" ht="16.5">
      <c r="A16936" s="10" t="b">
        <v>0</v>
      </c>
      <c r="B16936" s="11" t="str">
        <f>IF(D16936&lt;&gt;"",IF(COUNTIF('USPTO TMs'!A:A,D16936)&gt;0,"Yes","No"),"")</f>
        <v/>
      </c>
      <c r="C16936" s="11"/>
      <c r="D16936" s="11"/>
      <c r="E16936" s="11"/>
      <c r="F16936" s="11"/>
      <c r="G16936" s="11"/>
      <c r="H16936" s="11"/>
      <c r="I16936" s="15"/>
    </row>
    <row r="16937" spans="1:9" ht="16.5">
      <c r="A16937" s="10" t="b">
        <v>0</v>
      </c>
      <c r="B16937" s="11" t="str">
        <f>IF(D16937&lt;&gt;"",IF(COUNTIF('USPTO TMs'!A:A,D16937)&gt;0,"Yes","No"),"")</f>
        <v/>
      </c>
      <c r="C16937" s="11"/>
      <c r="D16937" s="11"/>
      <c r="E16937" s="11"/>
      <c r="F16937" s="11"/>
      <c r="G16937" s="11"/>
      <c r="H16937" s="11"/>
      <c r="I16937" s="15"/>
    </row>
    <row r="16938" spans="1:9" ht="16.5">
      <c r="A16938" s="10" t="b">
        <v>0</v>
      </c>
      <c r="B16938" s="11" t="str">
        <f>IF(D16938&lt;&gt;"",IF(COUNTIF('USPTO TMs'!A:A,D16938)&gt;0,"Yes","No"),"")</f>
        <v/>
      </c>
      <c r="C16938" s="11"/>
      <c r="D16938" s="11"/>
      <c r="E16938" s="11"/>
      <c r="F16938" s="11"/>
      <c r="G16938" s="11"/>
      <c r="H16938" s="11"/>
      <c r="I16938" s="15"/>
    </row>
    <row r="16939" spans="1:9" ht="16.5">
      <c r="A16939" s="10" t="b">
        <v>0</v>
      </c>
      <c r="B16939" s="11" t="str">
        <f>IF(D16939&lt;&gt;"",IF(COUNTIF('USPTO TMs'!A:A,D16939)&gt;0,"Yes","No"),"")</f>
        <v/>
      </c>
      <c r="C16939" s="11"/>
      <c r="D16939" s="11"/>
      <c r="E16939" s="11"/>
      <c r="F16939" s="11"/>
      <c r="G16939" s="11"/>
      <c r="H16939" s="11"/>
      <c r="I16939" s="15"/>
    </row>
    <row r="16940" spans="1:9" ht="16.5">
      <c r="A16940" s="10" t="b">
        <v>0</v>
      </c>
      <c r="B16940" s="11" t="str">
        <f>IF(D16940&lt;&gt;"",IF(COUNTIF('USPTO TMs'!A:A,D16940)&gt;0,"Yes","No"),"")</f>
        <v/>
      </c>
      <c r="C16940" s="11"/>
      <c r="D16940" s="11"/>
      <c r="E16940" s="11"/>
      <c r="F16940" s="11"/>
      <c r="G16940" s="11"/>
      <c r="H16940" s="11"/>
      <c r="I16940" s="15"/>
    </row>
    <row r="16941" spans="1:9" ht="16.5">
      <c r="A16941" s="10" t="b">
        <v>0</v>
      </c>
      <c r="B16941" s="11" t="str">
        <f>IF(D16941&lt;&gt;"",IF(COUNTIF('USPTO TMs'!A:A,D16941)&gt;0,"Yes","No"),"")</f>
        <v/>
      </c>
      <c r="C16941" s="11"/>
      <c r="D16941" s="11"/>
      <c r="E16941" s="11"/>
      <c r="F16941" s="11"/>
      <c r="G16941" s="11"/>
      <c r="H16941" s="11"/>
      <c r="I16941" s="15"/>
    </row>
    <row r="16942" spans="1:9" ht="16.5">
      <c r="A16942" s="10" t="b">
        <v>0</v>
      </c>
      <c r="B16942" s="11" t="str">
        <f>IF(D16942&lt;&gt;"",IF(COUNTIF('USPTO TMs'!A:A,D16942)&gt;0,"Yes","No"),"")</f>
        <v/>
      </c>
      <c r="C16942" s="11"/>
      <c r="D16942" s="11"/>
      <c r="E16942" s="11"/>
      <c r="F16942" s="11"/>
      <c r="G16942" s="11"/>
      <c r="H16942" s="11"/>
      <c r="I16942" s="15"/>
    </row>
    <row r="16943" spans="1:9" ht="16.5">
      <c r="A16943" s="10" t="b">
        <v>0</v>
      </c>
      <c r="B16943" s="11" t="str">
        <f>IF(D16943&lt;&gt;"",IF(COUNTIF('USPTO TMs'!A:A,D16943)&gt;0,"Yes","No"),"")</f>
        <v/>
      </c>
      <c r="C16943" s="11"/>
      <c r="D16943" s="11"/>
      <c r="E16943" s="11"/>
      <c r="F16943" s="11"/>
      <c r="G16943" s="11"/>
      <c r="H16943" s="11"/>
      <c r="I16943" s="15"/>
    </row>
    <row r="16944" spans="1:9" ht="16.5">
      <c r="A16944" s="10" t="b">
        <v>0</v>
      </c>
      <c r="B16944" s="11" t="str">
        <f>IF(D16944&lt;&gt;"",IF(COUNTIF('USPTO TMs'!A:A,D16944)&gt;0,"Yes","No"),"")</f>
        <v/>
      </c>
      <c r="C16944" s="11"/>
      <c r="D16944" s="11"/>
      <c r="E16944" s="11"/>
      <c r="F16944" s="11"/>
      <c r="G16944" s="11"/>
      <c r="H16944" s="11"/>
      <c r="I16944" s="15"/>
    </row>
    <row r="16945" spans="1:9" ht="16.5">
      <c r="A16945" s="10" t="b">
        <v>0</v>
      </c>
      <c r="B16945" s="11" t="str">
        <f>IF(D16945&lt;&gt;"",IF(COUNTIF('USPTO TMs'!A:A,D16945)&gt;0,"Yes","No"),"")</f>
        <v/>
      </c>
      <c r="C16945" s="11"/>
      <c r="D16945" s="11"/>
      <c r="E16945" s="11"/>
      <c r="F16945" s="11"/>
      <c r="G16945" s="11"/>
      <c r="H16945" s="11"/>
      <c r="I16945" s="15"/>
    </row>
    <row r="16946" spans="1:9" ht="16.5">
      <c r="A16946" s="10" t="b">
        <v>0</v>
      </c>
      <c r="B16946" s="11" t="str">
        <f>IF(D16946&lt;&gt;"",IF(COUNTIF('USPTO TMs'!A:A,D16946)&gt;0,"Yes","No"),"")</f>
        <v/>
      </c>
      <c r="C16946" s="11"/>
      <c r="D16946" s="11"/>
      <c r="E16946" s="11"/>
      <c r="F16946" s="11"/>
      <c r="G16946" s="11"/>
      <c r="H16946" s="11"/>
      <c r="I16946" s="15"/>
    </row>
    <row r="16947" spans="1:9" ht="16.5">
      <c r="A16947" s="10" t="b">
        <v>0</v>
      </c>
      <c r="B16947" s="11" t="str">
        <f>IF(D16947&lt;&gt;"",IF(COUNTIF('USPTO TMs'!A:A,D16947)&gt;0,"Yes","No"),"")</f>
        <v/>
      </c>
      <c r="C16947" s="11"/>
      <c r="D16947" s="11"/>
      <c r="E16947" s="11"/>
      <c r="F16947" s="11"/>
      <c r="G16947" s="11"/>
      <c r="H16947" s="11"/>
      <c r="I16947" s="15"/>
    </row>
    <row r="16948" spans="1:9" ht="16.5">
      <c r="A16948" s="10" t="b">
        <v>0</v>
      </c>
      <c r="B16948" s="11" t="str">
        <f>IF(D16948&lt;&gt;"",IF(COUNTIF('USPTO TMs'!A:A,D16948)&gt;0,"Yes","No"),"")</f>
        <v/>
      </c>
      <c r="C16948" s="11"/>
      <c r="D16948" s="11"/>
      <c r="E16948" s="11"/>
      <c r="F16948" s="11"/>
      <c r="G16948" s="11"/>
      <c r="H16948" s="11"/>
      <c r="I16948" s="15"/>
    </row>
    <row r="16949" spans="1:9" ht="16.5">
      <c r="A16949" s="10" t="b">
        <v>0</v>
      </c>
      <c r="B16949" s="11" t="str">
        <f>IF(D16949&lt;&gt;"",IF(COUNTIF('USPTO TMs'!A:A,D16949)&gt;0,"Yes","No"),"")</f>
        <v/>
      </c>
      <c r="C16949" s="11"/>
      <c r="D16949" s="11"/>
      <c r="E16949" s="11"/>
      <c r="F16949" s="11"/>
      <c r="G16949" s="11"/>
      <c r="H16949" s="11"/>
      <c r="I16949" s="15"/>
    </row>
    <row r="16950" spans="1:9" ht="16.5">
      <c r="A16950" s="10" t="b">
        <v>0</v>
      </c>
      <c r="B16950" s="11" t="str">
        <f>IF(D16950&lt;&gt;"",IF(COUNTIF('USPTO TMs'!A:A,D16950)&gt;0,"Yes","No"),"")</f>
        <v/>
      </c>
      <c r="C16950" s="11"/>
      <c r="D16950" s="11"/>
      <c r="E16950" s="11"/>
      <c r="F16950" s="11"/>
      <c r="G16950" s="11"/>
      <c r="H16950" s="11"/>
      <c r="I16950" s="15"/>
    </row>
    <row r="16951" spans="1:9" ht="16.5">
      <c r="A16951" s="10" t="b">
        <v>0</v>
      </c>
      <c r="B16951" s="11" t="str">
        <f>IF(D16951&lt;&gt;"",IF(COUNTIF('USPTO TMs'!A:A,D16951)&gt;0,"Yes","No"),"")</f>
        <v/>
      </c>
      <c r="C16951" s="11"/>
      <c r="D16951" s="11"/>
      <c r="E16951" s="11"/>
      <c r="F16951" s="11"/>
      <c r="G16951" s="11"/>
      <c r="H16951" s="11"/>
      <c r="I16951" s="15"/>
    </row>
    <row r="16952" spans="1:9" ht="16.5">
      <c r="A16952" s="10" t="b">
        <v>0</v>
      </c>
      <c r="B16952" s="11" t="str">
        <f>IF(D16952&lt;&gt;"",IF(COUNTIF('USPTO TMs'!A:A,D16952)&gt;0,"Yes","No"),"")</f>
        <v/>
      </c>
      <c r="C16952" s="11"/>
      <c r="D16952" s="11"/>
      <c r="E16952" s="11"/>
      <c r="F16952" s="11"/>
      <c r="G16952" s="11"/>
      <c r="H16952" s="11"/>
      <c r="I16952" s="15"/>
    </row>
    <row r="16953" spans="1:9" ht="16.5">
      <c r="A16953" s="10" t="b">
        <v>0</v>
      </c>
      <c r="B16953" s="11" t="str">
        <f>IF(D16953&lt;&gt;"",IF(COUNTIF('USPTO TMs'!A:A,D16953)&gt;0,"Yes","No"),"")</f>
        <v/>
      </c>
      <c r="C16953" s="11"/>
      <c r="D16953" s="11"/>
      <c r="E16953" s="11"/>
      <c r="F16953" s="11"/>
      <c r="G16953" s="11"/>
      <c r="H16953" s="11"/>
      <c r="I16953" s="15"/>
    </row>
    <row r="16954" spans="1:9" ht="16.5">
      <c r="A16954" s="10" t="b">
        <v>0</v>
      </c>
      <c r="B16954" s="11" t="str">
        <f>IF(D16954&lt;&gt;"",IF(COUNTIF('USPTO TMs'!A:A,D16954)&gt;0,"Yes","No"),"")</f>
        <v/>
      </c>
      <c r="C16954" s="11"/>
      <c r="D16954" s="11"/>
      <c r="E16954" s="11"/>
      <c r="F16954" s="11"/>
      <c r="G16954" s="11"/>
      <c r="H16954" s="11"/>
      <c r="I16954" s="15"/>
    </row>
    <row r="16955" spans="1:9" ht="16.5">
      <c r="A16955" s="10" t="b">
        <v>0</v>
      </c>
      <c r="B16955" s="11" t="str">
        <f>IF(D16955&lt;&gt;"",IF(COUNTIF('USPTO TMs'!A:A,D16955)&gt;0,"Yes","No"),"")</f>
        <v/>
      </c>
      <c r="C16955" s="11"/>
      <c r="D16955" s="11"/>
      <c r="E16955" s="11"/>
      <c r="F16955" s="11"/>
      <c r="G16955" s="11"/>
      <c r="H16955" s="11"/>
      <c r="I16955" s="15"/>
    </row>
    <row r="16956" spans="1:9" ht="16.5">
      <c r="A16956" s="10" t="b">
        <v>0</v>
      </c>
      <c r="B16956" s="11" t="str">
        <f>IF(D16956&lt;&gt;"",IF(COUNTIF('USPTO TMs'!A:A,D16956)&gt;0,"Yes","No"),"")</f>
        <v/>
      </c>
      <c r="C16956" s="11"/>
      <c r="D16956" s="11"/>
      <c r="E16956" s="11"/>
      <c r="F16956" s="11"/>
      <c r="G16956" s="11"/>
      <c r="H16956" s="11"/>
      <c r="I16956" s="15"/>
    </row>
    <row r="16957" spans="1:9" ht="16.5">
      <c r="A16957" s="10" t="b">
        <v>0</v>
      </c>
      <c r="B16957" s="11" t="str">
        <f>IF(D16957&lt;&gt;"",IF(COUNTIF('USPTO TMs'!A:A,D16957)&gt;0,"Yes","No"),"")</f>
        <v/>
      </c>
      <c r="C16957" s="11"/>
      <c r="D16957" s="11"/>
      <c r="E16957" s="11"/>
      <c r="F16957" s="11"/>
      <c r="G16957" s="11"/>
      <c r="H16957" s="11"/>
      <c r="I16957" s="15"/>
    </row>
    <row r="16958" spans="1:9" ht="16.5">
      <c r="A16958" s="10" t="b">
        <v>0</v>
      </c>
      <c r="B16958" s="11" t="str">
        <f>IF(D16958&lt;&gt;"",IF(COUNTIF('USPTO TMs'!A:A,D16958)&gt;0,"Yes","No"),"")</f>
        <v/>
      </c>
      <c r="C16958" s="11"/>
      <c r="D16958" s="11"/>
      <c r="E16958" s="11"/>
      <c r="F16958" s="11"/>
      <c r="G16958" s="11"/>
      <c r="H16958" s="11"/>
      <c r="I16958" s="15"/>
    </row>
    <row r="16959" spans="1:9" ht="16.5">
      <c r="A16959" s="10" t="b">
        <v>0</v>
      </c>
      <c r="B16959" s="11" t="str">
        <f>IF(D16959&lt;&gt;"",IF(COUNTIF('USPTO TMs'!A:A,D16959)&gt;0,"Yes","No"),"")</f>
        <v/>
      </c>
      <c r="C16959" s="11"/>
      <c r="D16959" s="11"/>
      <c r="E16959" s="11"/>
      <c r="F16959" s="11"/>
      <c r="G16959" s="11"/>
      <c r="H16959" s="11"/>
      <c r="I16959" s="15"/>
    </row>
    <row r="16960" spans="1:9" ht="16.5">
      <c r="A16960" s="10" t="b">
        <v>0</v>
      </c>
      <c r="B16960" s="11" t="str">
        <f>IF(D16960&lt;&gt;"",IF(COUNTIF('USPTO TMs'!A:A,D16960)&gt;0,"Yes","No"),"")</f>
        <v/>
      </c>
      <c r="C16960" s="11"/>
      <c r="D16960" s="11"/>
      <c r="E16960" s="11"/>
      <c r="F16960" s="11"/>
      <c r="G16960" s="11"/>
      <c r="H16960" s="11"/>
      <c r="I16960" s="15"/>
    </row>
    <row r="16961" spans="1:9" ht="16.5">
      <c r="A16961" s="10" t="b">
        <v>0</v>
      </c>
      <c r="B16961" s="11" t="str">
        <f>IF(D16961&lt;&gt;"",IF(COUNTIF('USPTO TMs'!A:A,D16961)&gt;0,"Yes","No"),"")</f>
        <v/>
      </c>
      <c r="C16961" s="11"/>
      <c r="D16961" s="11"/>
      <c r="E16961" s="11"/>
      <c r="F16961" s="11"/>
      <c r="G16961" s="11"/>
      <c r="H16961" s="11"/>
      <c r="I16961" s="15"/>
    </row>
    <row r="16962" spans="1:9" ht="16.5">
      <c r="A16962" s="10" t="b">
        <v>0</v>
      </c>
      <c r="B16962" s="11" t="str">
        <f>IF(D16962&lt;&gt;"",IF(COUNTIF('USPTO TMs'!A:A,D16962)&gt;0,"Yes","No"),"")</f>
        <v/>
      </c>
      <c r="C16962" s="11"/>
      <c r="D16962" s="11"/>
      <c r="E16962" s="11"/>
      <c r="F16962" s="11"/>
      <c r="G16962" s="11"/>
      <c r="H16962" s="11"/>
      <c r="I16962" s="15"/>
    </row>
    <row r="16963" spans="1:9" ht="16.5">
      <c r="A16963" s="10" t="b">
        <v>0</v>
      </c>
      <c r="B16963" s="11" t="str">
        <f>IF(D16963&lt;&gt;"",IF(COUNTIF('USPTO TMs'!A:A,D16963)&gt;0,"Yes","No"),"")</f>
        <v/>
      </c>
      <c r="C16963" s="11"/>
      <c r="D16963" s="11"/>
      <c r="E16963" s="11"/>
      <c r="F16963" s="11"/>
      <c r="G16963" s="11"/>
      <c r="H16963" s="11"/>
      <c r="I16963" s="15"/>
    </row>
    <row r="16964" spans="1:9" ht="16.5">
      <c r="A16964" s="10" t="b">
        <v>0</v>
      </c>
      <c r="B16964" s="11" t="str">
        <f>IF(D16964&lt;&gt;"",IF(COUNTIF('USPTO TMs'!A:A,D16964)&gt;0,"Yes","No"),"")</f>
        <v/>
      </c>
      <c r="C16964" s="11"/>
      <c r="D16964" s="11"/>
      <c r="E16964" s="11"/>
      <c r="F16964" s="11"/>
      <c r="G16964" s="11"/>
      <c r="H16964" s="11"/>
      <c r="I16964" s="15"/>
    </row>
    <row r="16965" spans="1:9" ht="16.5">
      <c r="A16965" s="10" t="b">
        <v>0</v>
      </c>
      <c r="B16965" s="11" t="str">
        <f>IF(D16965&lt;&gt;"",IF(COUNTIF('USPTO TMs'!A:A,D16965)&gt;0,"Yes","No"),"")</f>
        <v/>
      </c>
      <c r="C16965" s="11"/>
      <c r="D16965" s="11"/>
      <c r="E16965" s="11"/>
      <c r="F16965" s="11"/>
      <c r="G16965" s="11"/>
      <c r="H16965" s="11"/>
      <c r="I16965" s="15"/>
    </row>
    <row r="16966" spans="1:9" ht="16.5">
      <c r="A16966" s="10" t="b">
        <v>0</v>
      </c>
      <c r="B16966" s="11" t="str">
        <f>IF(D16966&lt;&gt;"",IF(COUNTIF('USPTO TMs'!A:A,D16966)&gt;0,"Yes","No"),"")</f>
        <v/>
      </c>
      <c r="C16966" s="11"/>
      <c r="D16966" s="11"/>
      <c r="E16966" s="11"/>
      <c r="F16966" s="11"/>
      <c r="G16966" s="11"/>
      <c r="H16966" s="11"/>
      <c r="I16966" s="15"/>
    </row>
    <row r="16967" spans="1:9" ht="16.5">
      <c r="A16967" s="10" t="b">
        <v>0</v>
      </c>
      <c r="B16967" s="11" t="str">
        <f>IF(D16967&lt;&gt;"",IF(COUNTIF('USPTO TMs'!A:A,D16967)&gt;0,"Yes","No"),"")</f>
        <v/>
      </c>
      <c r="C16967" s="11"/>
      <c r="D16967" s="11"/>
      <c r="E16967" s="11"/>
      <c r="F16967" s="11"/>
      <c r="G16967" s="11"/>
      <c r="H16967" s="11"/>
      <c r="I16967" s="15"/>
    </row>
    <row r="16968" spans="1:9" ht="16.5">
      <c r="A16968" s="10" t="b">
        <v>0</v>
      </c>
      <c r="B16968" s="11" t="str">
        <f>IF(D16968&lt;&gt;"",IF(COUNTIF('USPTO TMs'!A:A,D16968)&gt;0,"Yes","No"),"")</f>
        <v/>
      </c>
      <c r="C16968" s="11"/>
      <c r="D16968" s="11"/>
      <c r="E16968" s="11"/>
      <c r="F16968" s="11"/>
      <c r="G16968" s="11"/>
      <c r="H16968" s="11"/>
      <c r="I16968" s="15"/>
    </row>
    <row r="16969" spans="1:9" ht="16.5">
      <c r="A16969" s="10" t="b">
        <v>0</v>
      </c>
      <c r="B16969" s="11" t="str">
        <f>IF(D16969&lt;&gt;"",IF(COUNTIF('USPTO TMs'!A:A,D16969)&gt;0,"Yes","No"),"")</f>
        <v/>
      </c>
      <c r="C16969" s="11"/>
      <c r="D16969" s="11"/>
      <c r="E16969" s="11"/>
      <c r="F16969" s="11"/>
      <c r="G16969" s="11"/>
      <c r="H16969" s="11"/>
      <c r="I16969" s="15"/>
    </row>
    <row r="16970" spans="1:9" ht="16.5">
      <c r="A16970" s="10" t="b">
        <v>0</v>
      </c>
      <c r="B16970" s="11" t="str">
        <f>IF(D16970&lt;&gt;"",IF(COUNTIF('USPTO TMs'!A:A,D16970)&gt;0,"Yes","No"),"")</f>
        <v/>
      </c>
      <c r="C16970" s="11"/>
      <c r="D16970" s="11"/>
      <c r="E16970" s="11"/>
      <c r="F16970" s="11"/>
      <c r="G16970" s="11"/>
      <c r="H16970" s="11"/>
      <c r="I16970" s="15"/>
    </row>
    <row r="16971" spans="1:9" ht="16.5">
      <c r="A16971" s="10" t="b">
        <v>0</v>
      </c>
      <c r="B16971" s="11" t="str">
        <f>IF(D16971&lt;&gt;"",IF(COUNTIF('USPTO TMs'!A:A,D16971)&gt;0,"Yes","No"),"")</f>
        <v/>
      </c>
      <c r="C16971" s="11"/>
      <c r="D16971" s="11"/>
      <c r="E16971" s="11"/>
      <c r="F16971" s="11"/>
      <c r="G16971" s="11"/>
      <c r="H16971" s="11"/>
      <c r="I16971" s="15"/>
    </row>
    <row r="16972" spans="1:9" ht="16.5">
      <c r="A16972" s="10" t="b">
        <v>0</v>
      </c>
      <c r="B16972" s="11" t="str">
        <f>IF(D16972&lt;&gt;"",IF(COUNTIF('USPTO TMs'!A:A,D16972)&gt;0,"Yes","No"),"")</f>
        <v/>
      </c>
      <c r="C16972" s="11"/>
      <c r="D16972" s="11"/>
      <c r="E16972" s="11"/>
      <c r="F16972" s="11"/>
      <c r="G16972" s="11"/>
      <c r="H16972" s="11"/>
      <c r="I16972" s="15"/>
    </row>
    <row r="16973" spans="1:9" ht="16.5">
      <c r="A16973" s="10" t="b">
        <v>0</v>
      </c>
      <c r="B16973" s="11" t="str">
        <f>IF(D16973&lt;&gt;"",IF(COUNTIF('USPTO TMs'!A:A,D16973)&gt;0,"Yes","No"),"")</f>
        <v/>
      </c>
      <c r="C16973" s="11"/>
      <c r="D16973" s="11"/>
      <c r="E16973" s="11"/>
      <c r="F16973" s="11"/>
      <c r="G16973" s="11"/>
      <c r="H16973" s="11"/>
      <c r="I16973" s="15"/>
    </row>
    <row r="16974" spans="1:9" ht="16.5">
      <c r="A16974" s="10" t="b">
        <v>0</v>
      </c>
      <c r="B16974" s="11" t="str">
        <f>IF(D16974&lt;&gt;"",IF(COUNTIF('USPTO TMs'!A:A,D16974)&gt;0,"Yes","No"),"")</f>
        <v/>
      </c>
      <c r="C16974" s="11"/>
      <c r="D16974" s="11"/>
      <c r="E16974" s="11"/>
      <c r="F16974" s="11"/>
      <c r="G16974" s="11"/>
      <c r="H16974" s="11"/>
      <c r="I16974" s="15"/>
    </row>
    <row r="16975" spans="1:9" ht="16.5">
      <c r="A16975" s="10" t="b">
        <v>0</v>
      </c>
      <c r="B16975" s="11" t="str">
        <f>IF(D16975&lt;&gt;"",IF(COUNTIF('USPTO TMs'!A:A,D16975)&gt;0,"Yes","No"),"")</f>
        <v/>
      </c>
      <c r="C16975" s="11"/>
      <c r="D16975" s="11"/>
      <c r="E16975" s="11"/>
      <c r="F16975" s="11"/>
      <c r="G16975" s="11"/>
      <c r="H16975" s="11"/>
      <c r="I16975" s="15"/>
    </row>
    <row r="16976" spans="1:9" ht="16.5">
      <c r="A16976" s="10" t="b">
        <v>0</v>
      </c>
      <c r="B16976" s="11" t="str">
        <f>IF(D16976&lt;&gt;"",IF(COUNTIF('USPTO TMs'!A:A,D16976)&gt;0,"Yes","No"),"")</f>
        <v/>
      </c>
      <c r="C16976" s="11"/>
      <c r="D16976" s="11"/>
      <c r="E16976" s="11"/>
      <c r="F16976" s="11"/>
      <c r="G16976" s="11"/>
      <c r="H16976" s="11"/>
      <c r="I16976" s="15"/>
    </row>
    <row r="16977" spans="1:9" ht="16.5">
      <c r="A16977" s="10" t="b">
        <v>0</v>
      </c>
      <c r="B16977" s="11" t="str">
        <f>IF(D16977&lt;&gt;"",IF(COUNTIF('USPTO TMs'!A:A,D16977)&gt;0,"Yes","No"),"")</f>
        <v/>
      </c>
      <c r="C16977" s="11"/>
      <c r="D16977" s="11"/>
      <c r="E16977" s="11"/>
      <c r="F16977" s="11"/>
      <c r="G16977" s="11"/>
      <c r="H16977" s="11"/>
      <c r="I16977" s="15"/>
    </row>
    <row r="16978" spans="1:9" ht="16.5">
      <c r="A16978" s="10" t="b">
        <v>0</v>
      </c>
      <c r="B16978" s="11" t="str">
        <f>IF(D16978&lt;&gt;"",IF(COUNTIF('USPTO TMs'!A:A,D16978)&gt;0,"Yes","No"),"")</f>
        <v/>
      </c>
      <c r="C16978" s="11"/>
      <c r="D16978" s="11"/>
      <c r="E16978" s="11"/>
      <c r="F16978" s="11"/>
      <c r="G16978" s="11"/>
      <c r="H16978" s="11"/>
      <c r="I16978" s="15"/>
    </row>
    <row r="16979" spans="1:9" ht="16.5">
      <c r="A16979" s="10" t="b">
        <v>0</v>
      </c>
      <c r="B16979" s="11" t="str">
        <f>IF(D16979&lt;&gt;"",IF(COUNTIF('USPTO TMs'!A:A,D16979)&gt;0,"Yes","No"),"")</f>
        <v/>
      </c>
      <c r="C16979" s="11"/>
      <c r="D16979" s="11"/>
      <c r="E16979" s="11"/>
      <c r="F16979" s="11"/>
      <c r="G16979" s="11"/>
      <c r="H16979" s="11"/>
      <c r="I16979" s="15"/>
    </row>
    <row r="16980" spans="1:9" ht="16.5">
      <c r="A16980" s="10" t="b">
        <v>0</v>
      </c>
      <c r="B16980" s="11" t="str">
        <f>IF(D16980&lt;&gt;"",IF(COUNTIF('USPTO TMs'!A:A,D16980)&gt;0,"Yes","No"),"")</f>
        <v/>
      </c>
      <c r="C16980" s="11"/>
      <c r="D16980" s="11"/>
      <c r="E16980" s="11"/>
      <c r="F16980" s="11"/>
      <c r="G16980" s="11"/>
      <c r="H16980" s="11"/>
      <c r="I16980" s="15"/>
    </row>
    <row r="16981" spans="1:9" ht="16.5">
      <c r="A16981" s="10" t="b">
        <v>0</v>
      </c>
      <c r="B16981" s="11" t="str">
        <f>IF(D16981&lt;&gt;"",IF(COUNTIF('USPTO TMs'!A:A,D16981)&gt;0,"Yes","No"),"")</f>
        <v/>
      </c>
      <c r="C16981" s="11"/>
      <c r="D16981" s="11"/>
      <c r="E16981" s="11"/>
      <c r="F16981" s="11"/>
      <c r="G16981" s="11"/>
      <c r="H16981" s="11"/>
      <c r="I16981" s="15"/>
    </row>
    <row r="16982" spans="1:9" ht="16.5">
      <c r="A16982" s="10" t="b">
        <v>0</v>
      </c>
      <c r="B16982" s="11" t="str">
        <f>IF(D16982&lt;&gt;"",IF(COUNTIF('USPTO TMs'!A:A,D16982)&gt;0,"Yes","No"),"")</f>
        <v/>
      </c>
      <c r="C16982" s="11"/>
      <c r="D16982" s="11"/>
      <c r="E16982" s="11"/>
      <c r="F16982" s="11"/>
      <c r="G16982" s="11"/>
      <c r="H16982" s="11"/>
      <c r="I16982" s="15"/>
    </row>
    <row r="16983" spans="1:9" ht="16.5">
      <c r="A16983" s="10" t="b">
        <v>0</v>
      </c>
      <c r="B16983" s="11" t="str">
        <f>IF(D16983&lt;&gt;"",IF(COUNTIF('USPTO TMs'!A:A,D16983)&gt;0,"Yes","No"),"")</f>
        <v/>
      </c>
      <c r="C16983" s="11"/>
      <c r="D16983" s="11"/>
      <c r="E16983" s="11"/>
      <c r="F16983" s="11"/>
      <c r="G16983" s="11"/>
      <c r="H16983" s="11"/>
      <c r="I16983" s="15"/>
    </row>
    <row r="16984" spans="1:9" ht="16.5">
      <c r="A16984" s="10" t="b">
        <v>0</v>
      </c>
      <c r="B16984" s="11" t="str">
        <f>IF(D16984&lt;&gt;"",IF(COUNTIF('USPTO TMs'!A:A,D16984)&gt;0,"Yes","No"),"")</f>
        <v/>
      </c>
      <c r="C16984" s="11"/>
      <c r="D16984" s="11"/>
      <c r="E16984" s="11"/>
      <c r="F16984" s="11"/>
      <c r="G16984" s="11"/>
      <c r="H16984" s="11"/>
      <c r="I16984" s="15"/>
    </row>
    <row r="16985" spans="1:9" ht="16.5">
      <c r="A16985" s="10" t="b">
        <v>0</v>
      </c>
      <c r="B16985" s="11" t="str">
        <f>IF(D16985&lt;&gt;"",IF(COUNTIF('USPTO TMs'!A:A,D16985)&gt;0,"Yes","No"),"")</f>
        <v/>
      </c>
      <c r="C16985" s="11"/>
      <c r="D16985" s="11"/>
      <c r="E16985" s="11"/>
      <c r="F16985" s="11"/>
      <c r="G16985" s="11"/>
      <c r="H16985" s="11"/>
      <c r="I16985" s="15"/>
    </row>
    <row r="16986" spans="1:9" ht="16.5">
      <c r="A16986" s="10" t="b">
        <v>0</v>
      </c>
      <c r="B16986" s="11" t="str">
        <f>IF(D16986&lt;&gt;"",IF(COUNTIF('USPTO TMs'!A:A,D16986)&gt;0,"Yes","No"),"")</f>
        <v/>
      </c>
      <c r="C16986" s="11"/>
      <c r="D16986" s="11"/>
      <c r="E16986" s="11"/>
      <c r="F16986" s="11"/>
      <c r="G16986" s="11"/>
      <c r="H16986" s="11"/>
      <c r="I16986" s="15"/>
    </row>
    <row r="16987" spans="1:9" ht="16.5">
      <c r="A16987" s="10" t="b">
        <v>0</v>
      </c>
      <c r="B16987" s="11" t="str">
        <f>IF(D16987&lt;&gt;"",IF(COUNTIF('USPTO TMs'!A:A,D16987)&gt;0,"Yes","No"),"")</f>
        <v/>
      </c>
      <c r="C16987" s="11"/>
      <c r="D16987" s="11"/>
      <c r="E16987" s="11"/>
      <c r="F16987" s="11"/>
      <c r="G16987" s="11"/>
      <c r="H16987" s="11"/>
      <c r="I16987" s="15"/>
    </row>
    <row r="16988" spans="1:9" ht="16.5">
      <c r="A16988" s="10" t="b">
        <v>0</v>
      </c>
      <c r="B16988" s="11" t="str">
        <f>IF(D16988&lt;&gt;"",IF(COUNTIF('USPTO TMs'!A:A,D16988)&gt;0,"Yes","No"),"")</f>
        <v/>
      </c>
      <c r="C16988" s="11"/>
      <c r="D16988" s="11"/>
      <c r="E16988" s="11"/>
      <c r="F16988" s="11"/>
      <c r="G16988" s="11"/>
      <c r="H16988" s="11"/>
      <c r="I16988" s="15"/>
    </row>
    <row r="16989" spans="1:9" ht="16.5">
      <c r="A16989" s="10" t="b">
        <v>0</v>
      </c>
      <c r="B16989" s="11" t="str">
        <f>IF(D16989&lt;&gt;"",IF(COUNTIF('USPTO TMs'!A:A,D16989)&gt;0,"Yes","No"),"")</f>
        <v/>
      </c>
      <c r="C16989" s="11"/>
      <c r="D16989" s="11"/>
      <c r="E16989" s="11"/>
      <c r="F16989" s="11"/>
      <c r="G16989" s="11"/>
      <c r="H16989" s="11"/>
      <c r="I16989" s="15"/>
    </row>
    <row r="16990" spans="1:9" ht="16.5">
      <c r="A16990" s="10" t="b">
        <v>0</v>
      </c>
      <c r="B16990" s="11" t="str">
        <f>IF(D16990&lt;&gt;"",IF(COUNTIF('USPTO TMs'!A:A,D16990)&gt;0,"Yes","No"),"")</f>
        <v/>
      </c>
      <c r="C16990" s="11"/>
      <c r="D16990" s="11"/>
      <c r="E16990" s="11"/>
      <c r="F16990" s="11"/>
      <c r="G16990" s="11"/>
      <c r="H16990" s="11"/>
      <c r="I16990" s="15"/>
    </row>
    <row r="16991" spans="1:9" ht="16.5">
      <c r="A16991" s="10" t="b">
        <v>0</v>
      </c>
      <c r="B16991" s="11" t="str">
        <f>IF(D16991&lt;&gt;"",IF(COUNTIF('USPTO TMs'!A:A,D16991)&gt;0,"Yes","No"),"")</f>
        <v/>
      </c>
      <c r="C16991" s="11"/>
      <c r="D16991" s="11"/>
      <c r="E16991" s="11"/>
      <c r="F16991" s="11"/>
      <c r="G16991" s="11"/>
      <c r="H16991" s="11"/>
      <c r="I16991" s="15"/>
    </row>
    <row r="16992" spans="1:9" ht="16.5">
      <c r="A16992" s="10" t="b">
        <v>0</v>
      </c>
      <c r="B16992" s="11" t="str">
        <f>IF(D16992&lt;&gt;"",IF(COUNTIF('USPTO TMs'!A:A,D16992)&gt;0,"Yes","No"),"")</f>
        <v/>
      </c>
      <c r="C16992" s="11"/>
      <c r="D16992" s="11"/>
      <c r="E16992" s="11"/>
      <c r="F16992" s="11"/>
      <c r="G16992" s="11"/>
      <c r="H16992" s="11"/>
      <c r="I16992" s="15"/>
    </row>
    <row r="16993" spans="1:9" ht="16.5">
      <c r="A16993" s="10" t="b">
        <v>0</v>
      </c>
      <c r="B16993" s="11" t="str">
        <f>IF(D16993&lt;&gt;"",IF(COUNTIF('USPTO TMs'!A:A,D16993)&gt;0,"Yes","No"),"")</f>
        <v/>
      </c>
      <c r="C16993" s="11"/>
      <c r="D16993" s="11"/>
      <c r="E16993" s="11"/>
      <c r="F16993" s="11"/>
      <c r="G16993" s="11"/>
      <c r="H16993" s="11"/>
      <c r="I16993" s="15"/>
    </row>
    <row r="16994" spans="1:9" ht="16.5">
      <c r="A16994" s="10" t="b">
        <v>0</v>
      </c>
      <c r="B16994" s="11" t="str">
        <f>IF(D16994&lt;&gt;"",IF(COUNTIF('USPTO TMs'!A:A,D16994)&gt;0,"Yes","No"),"")</f>
        <v/>
      </c>
      <c r="C16994" s="11"/>
      <c r="D16994" s="11"/>
      <c r="E16994" s="11"/>
      <c r="F16994" s="11"/>
      <c r="G16994" s="11"/>
      <c r="H16994" s="11"/>
      <c r="I16994" s="15"/>
    </row>
    <row r="16995" spans="1:9" ht="16.5">
      <c r="A16995" s="10" t="b">
        <v>0</v>
      </c>
      <c r="B16995" s="11" t="str">
        <f>IF(D16995&lt;&gt;"",IF(COUNTIF('USPTO TMs'!A:A,D16995)&gt;0,"Yes","No"),"")</f>
        <v/>
      </c>
      <c r="C16995" s="11"/>
      <c r="D16995" s="11"/>
      <c r="E16995" s="11"/>
      <c r="F16995" s="11"/>
      <c r="G16995" s="11"/>
      <c r="H16995" s="11"/>
      <c r="I16995" s="15"/>
    </row>
    <row r="16996" spans="1:9" ht="16.5">
      <c r="A16996" s="10" t="b">
        <v>0</v>
      </c>
      <c r="B16996" s="11" t="str">
        <f>IF(D16996&lt;&gt;"",IF(COUNTIF('USPTO TMs'!A:A,D16996)&gt;0,"Yes","No"),"")</f>
        <v/>
      </c>
      <c r="C16996" s="11"/>
      <c r="D16996" s="11"/>
      <c r="E16996" s="11"/>
      <c r="F16996" s="11"/>
      <c r="G16996" s="11"/>
      <c r="H16996" s="11"/>
      <c r="I16996" s="15"/>
    </row>
    <row r="16997" spans="1:9" ht="16.5">
      <c r="A16997" s="10" t="b">
        <v>0</v>
      </c>
      <c r="B16997" s="11" t="str">
        <f>IF(D16997&lt;&gt;"",IF(COUNTIF('USPTO TMs'!A:A,D16997)&gt;0,"Yes","No"),"")</f>
        <v/>
      </c>
      <c r="C16997" s="11"/>
      <c r="D16997" s="11"/>
      <c r="E16997" s="11"/>
      <c r="F16997" s="11"/>
      <c r="G16997" s="11"/>
      <c r="H16997" s="11"/>
      <c r="I16997" s="15"/>
    </row>
    <row r="16998" spans="1:9" ht="16.5">
      <c r="A16998" s="10" t="b">
        <v>0</v>
      </c>
      <c r="B16998" s="11" t="str">
        <f>IF(D16998&lt;&gt;"",IF(COUNTIF('USPTO TMs'!A:A,D16998)&gt;0,"Yes","No"),"")</f>
        <v/>
      </c>
      <c r="C16998" s="11"/>
      <c r="D16998" s="11"/>
      <c r="E16998" s="11"/>
      <c r="F16998" s="11"/>
      <c r="G16998" s="11"/>
      <c r="H16998" s="11"/>
      <c r="I16998" s="15"/>
    </row>
    <row r="16999" spans="1:9" ht="16.5">
      <c r="A16999" s="10" t="b">
        <v>0</v>
      </c>
      <c r="B16999" s="11" t="str">
        <f>IF(D16999&lt;&gt;"",IF(COUNTIF('USPTO TMs'!A:A,D16999)&gt;0,"Yes","No"),"")</f>
        <v/>
      </c>
      <c r="C16999" s="11"/>
      <c r="D16999" s="11"/>
      <c r="E16999" s="11"/>
      <c r="F16999" s="11"/>
      <c r="G16999" s="11"/>
      <c r="H16999" s="11"/>
      <c r="I16999" s="15"/>
    </row>
    <row r="17000" spans="1:9" ht="16.5">
      <c r="A17000" s="10" t="b">
        <v>0</v>
      </c>
      <c r="B17000" s="11" t="str">
        <f>IF(D17000&lt;&gt;"",IF(COUNTIF('USPTO TMs'!A:A,D17000)&gt;0,"Yes","No"),"")</f>
        <v/>
      </c>
      <c r="C17000" s="11"/>
      <c r="D17000" s="11"/>
      <c r="E17000" s="11"/>
      <c r="F17000" s="11"/>
      <c r="G17000" s="11"/>
      <c r="H17000" s="11"/>
      <c r="I17000" s="15"/>
    </row>
    <row r="17001" spans="1:9" ht="16.5">
      <c r="A17001" s="10" t="b">
        <v>0</v>
      </c>
      <c r="B17001" s="11" t="str">
        <f>IF(D17001&lt;&gt;"",IF(COUNTIF('USPTO TMs'!A:A,D17001)&gt;0,"Yes","No"),"")</f>
        <v/>
      </c>
      <c r="C17001" s="11"/>
      <c r="D17001" s="11"/>
      <c r="E17001" s="11"/>
      <c r="F17001" s="11"/>
      <c r="G17001" s="11"/>
      <c r="H17001" s="11"/>
      <c r="I17001" s="15"/>
    </row>
    <row r="17002" spans="1:9" ht="16.5">
      <c r="A17002" s="10" t="b">
        <v>0</v>
      </c>
      <c r="B17002" s="11" t="str">
        <f>IF(D17002&lt;&gt;"",IF(COUNTIF('USPTO TMs'!A:A,D17002)&gt;0,"Yes","No"),"")</f>
        <v/>
      </c>
      <c r="C17002" s="11"/>
      <c r="D17002" s="11"/>
      <c r="E17002" s="11"/>
      <c r="F17002" s="11"/>
      <c r="G17002" s="11"/>
      <c r="H17002" s="11"/>
      <c r="I17002" s="15"/>
    </row>
    <row r="17003" spans="1:9" ht="16.5">
      <c r="A17003" s="10" t="b">
        <v>0</v>
      </c>
      <c r="B17003" s="11" t="str">
        <f>IF(D17003&lt;&gt;"",IF(COUNTIF('USPTO TMs'!A:A,D17003)&gt;0,"Yes","No"),"")</f>
        <v/>
      </c>
      <c r="C17003" s="11"/>
      <c r="D17003" s="11"/>
      <c r="E17003" s="11"/>
      <c r="F17003" s="11"/>
      <c r="G17003" s="11"/>
      <c r="H17003" s="11"/>
      <c r="I17003" s="15"/>
    </row>
    <row r="17004" spans="1:9" ht="16.5">
      <c r="A17004" s="10" t="b">
        <v>0</v>
      </c>
      <c r="B17004" s="11" t="str">
        <f>IF(D17004&lt;&gt;"",IF(COUNTIF('USPTO TMs'!A:A,D17004)&gt;0,"Yes","No"),"")</f>
        <v/>
      </c>
      <c r="C17004" s="11"/>
      <c r="D17004" s="11"/>
      <c r="E17004" s="11"/>
      <c r="F17004" s="11"/>
      <c r="G17004" s="11"/>
      <c r="H17004" s="11"/>
      <c r="I17004" s="15"/>
    </row>
    <row r="17005" spans="1:9" ht="16.5">
      <c r="A17005" s="10" t="b">
        <v>0</v>
      </c>
      <c r="B17005" s="11" t="str">
        <f>IF(D17005&lt;&gt;"",IF(COUNTIF('USPTO TMs'!A:A,D17005)&gt;0,"Yes","No"),"")</f>
        <v/>
      </c>
      <c r="C17005" s="11"/>
      <c r="D17005" s="11"/>
      <c r="E17005" s="11"/>
      <c r="F17005" s="11"/>
      <c r="G17005" s="11"/>
      <c r="H17005" s="11"/>
      <c r="I17005" s="15"/>
    </row>
    <row r="17006" spans="1:9" ht="16.5">
      <c r="A17006" s="10" t="b">
        <v>0</v>
      </c>
      <c r="B17006" s="11" t="str">
        <f>IF(D17006&lt;&gt;"",IF(COUNTIF('USPTO TMs'!A:A,D17006)&gt;0,"Yes","No"),"")</f>
        <v/>
      </c>
      <c r="C17006" s="11"/>
      <c r="D17006" s="11"/>
      <c r="E17006" s="11"/>
      <c r="F17006" s="11"/>
      <c r="G17006" s="11"/>
      <c r="H17006" s="11"/>
      <c r="I17006" s="15"/>
    </row>
    <row r="17007" spans="1:9" ht="16.5">
      <c r="A17007" s="10" t="b">
        <v>0</v>
      </c>
      <c r="B17007" s="11" t="str">
        <f>IF(D17007&lt;&gt;"",IF(COUNTIF('USPTO TMs'!A:A,D17007)&gt;0,"Yes","No"),"")</f>
        <v/>
      </c>
      <c r="C17007" s="11"/>
      <c r="D17007" s="11"/>
      <c r="E17007" s="11"/>
      <c r="F17007" s="11"/>
      <c r="G17007" s="11"/>
      <c r="H17007" s="11"/>
      <c r="I17007" s="15"/>
    </row>
    <row r="17008" spans="1:9" ht="16.5">
      <c r="A17008" s="10" t="b">
        <v>0</v>
      </c>
      <c r="B17008" s="11" t="str">
        <f>IF(D17008&lt;&gt;"",IF(COUNTIF('USPTO TMs'!A:A,D17008)&gt;0,"Yes","No"),"")</f>
        <v/>
      </c>
      <c r="C17008" s="11"/>
      <c r="D17008" s="11"/>
      <c r="E17008" s="11"/>
      <c r="F17008" s="11"/>
      <c r="G17008" s="11"/>
      <c r="H17008" s="11"/>
      <c r="I17008" s="15"/>
    </row>
    <row r="17009" spans="1:9" ht="16.5">
      <c r="A17009" s="10" t="b">
        <v>0</v>
      </c>
      <c r="B17009" s="11" t="str">
        <f>IF(D17009&lt;&gt;"",IF(COUNTIF('USPTO TMs'!A:A,D17009)&gt;0,"Yes","No"),"")</f>
        <v/>
      </c>
      <c r="C17009" s="11"/>
      <c r="D17009" s="11"/>
      <c r="E17009" s="11"/>
      <c r="F17009" s="11"/>
      <c r="G17009" s="11"/>
      <c r="H17009" s="11"/>
      <c r="I17009" s="15"/>
    </row>
    <row r="17010" spans="1:9" ht="16.5">
      <c r="A17010" s="10" t="b">
        <v>0</v>
      </c>
      <c r="B17010" s="11" t="str">
        <f>IF(D17010&lt;&gt;"",IF(COUNTIF('USPTO TMs'!A:A,D17010)&gt;0,"Yes","No"),"")</f>
        <v/>
      </c>
      <c r="C17010" s="11"/>
      <c r="D17010" s="11"/>
      <c r="E17010" s="11"/>
      <c r="F17010" s="11"/>
      <c r="G17010" s="11"/>
      <c r="H17010" s="11"/>
      <c r="I17010" s="15"/>
    </row>
    <row r="17011" spans="1:9" ht="16.5">
      <c r="A17011" s="10" t="b">
        <v>0</v>
      </c>
      <c r="B17011" s="11" t="str">
        <f>IF(D17011&lt;&gt;"",IF(COUNTIF('USPTO TMs'!A:A,D17011)&gt;0,"Yes","No"),"")</f>
        <v/>
      </c>
      <c r="C17011" s="11"/>
      <c r="D17011" s="11"/>
      <c r="E17011" s="11"/>
      <c r="F17011" s="11"/>
      <c r="G17011" s="11"/>
      <c r="H17011" s="11"/>
      <c r="I17011" s="15"/>
    </row>
    <row r="17012" spans="1:9" ht="16.5">
      <c r="A17012" s="10" t="b">
        <v>0</v>
      </c>
      <c r="B17012" s="11" t="str">
        <f>IF(D17012&lt;&gt;"",IF(COUNTIF('USPTO TMs'!A:A,D17012)&gt;0,"Yes","No"),"")</f>
        <v/>
      </c>
      <c r="C17012" s="11"/>
      <c r="D17012" s="11"/>
      <c r="E17012" s="11"/>
      <c r="F17012" s="11"/>
      <c r="G17012" s="11"/>
      <c r="H17012" s="11"/>
      <c r="I17012" s="15"/>
    </row>
    <row r="17013" spans="1:9" ht="16.5">
      <c r="A17013" s="10" t="b">
        <v>0</v>
      </c>
      <c r="B17013" s="11" t="str">
        <f>IF(D17013&lt;&gt;"",IF(COUNTIF('USPTO TMs'!A:A,D17013)&gt;0,"Yes","No"),"")</f>
        <v/>
      </c>
      <c r="C17013" s="11"/>
      <c r="D17013" s="11"/>
      <c r="E17013" s="11"/>
      <c r="F17013" s="11"/>
      <c r="G17013" s="11"/>
      <c r="H17013" s="11"/>
      <c r="I17013" s="15"/>
    </row>
    <row r="17014" spans="1:9" ht="16.5">
      <c r="A17014" s="10" t="b">
        <v>0</v>
      </c>
      <c r="B17014" s="11" t="str">
        <f>IF(D17014&lt;&gt;"",IF(COUNTIF('USPTO TMs'!A:A,D17014)&gt;0,"Yes","No"),"")</f>
        <v/>
      </c>
      <c r="C17014" s="11"/>
      <c r="D17014" s="11"/>
      <c r="E17014" s="11"/>
      <c r="F17014" s="11"/>
      <c r="G17014" s="11"/>
      <c r="H17014" s="11"/>
      <c r="I17014" s="15"/>
    </row>
    <row r="17015" spans="1:9" ht="16.5">
      <c r="A17015" s="10" t="b">
        <v>0</v>
      </c>
      <c r="B17015" s="11" t="str">
        <f>IF(D17015&lt;&gt;"",IF(COUNTIF('USPTO TMs'!A:A,D17015)&gt;0,"Yes","No"),"")</f>
        <v/>
      </c>
      <c r="C17015" s="11"/>
      <c r="D17015" s="11"/>
      <c r="E17015" s="11"/>
      <c r="F17015" s="11"/>
      <c r="G17015" s="11"/>
      <c r="H17015" s="11"/>
      <c r="I17015" s="15"/>
    </row>
    <row r="17016" spans="1:9" ht="16.5">
      <c r="A17016" s="10" t="b">
        <v>0</v>
      </c>
      <c r="B17016" s="11" t="str">
        <f>IF(D17016&lt;&gt;"",IF(COUNTIF('USPTO TMs'!A:A,D17016)&gt;0,"Yes","No"),"")</f>
        <v/>
      </c>
      <c r="C17016" s="11"/>
      <c r="D17016" s="11"/>
      <c r="E17016" s="11"/>
      <c r="F17016" s="11"/>
      <c r="G17016" s="11"/>
      <c r="H17016" s="11"/>
      <c r="I17016" s="15"/>
    </row>
    <row r="17017" spans="1:9" ht="16.5">
      <c r="A17017" s="10" t="b">
        <v>0</v>
      </c>
      <c r="B17017" s="11" t="str">
        <f>IF(D17017&lt;&gt;"",IF(COUNTIF('USPTO TMs'!A:A,D17017)&gt;0,"Yes","No"),"")</f>
        <v/>
      </c>
      <c r="C17017" s="11"/>
      <c r="D17017" s="11"/>
      <c r="E17017" s="11"/>
      <c r="F17017" s="11"/>
      <c r="G17017" s="11"/>
      <c r="H17017" s="11"/>
      <c r="I17017" s="15"/>
    </row>
    <row r="17018" spans="1:9" ht="16.5">
      <c r="A17018" s="10" t="b">
        <v>0</v>
      </c>
      <c r="B17018" s="11" t="str">
        <f>IF(D17018&lt;&gt;"",IF(COUNTIF('USPTO TMs'!A:A,D17018)&gt;0,"Yes","No"),"")</f>
        <v/>
      </c>
      <c r="C17018" s="11"/>
      <c r="D17018" s="11"/>
      <c r="E17018" s="11"/>
      <c r="F17018" s="11"/>
      <c r="G17018" s="11"/>
      <c r="H17018" s="11"/>
      <c r="I17018" s="15"/>
    </row>
    <row r="17019" spans="1:9" ht="16.5">
      <c r="A17019" s="10" t="b">
        <v>0</v>
      </c>
      <c r="B17019" s="11" t="str">
        <f>IF(D17019&lt;&gt;"",IF(COUNTIF('USPTO TMs'!A:A,D17019)&gt;0,"Yes","No"),"")</f>
        <v/>
      </c>
      <c r="C17019" s="11"/>
      <c r="D17019" s="11"/>
      <c r="E17019" s="11"/>
      <c r="F17019" s="11"/>
      <c r="G17019" s="11"/>
      <c r="H17019" s="11"/>
      <c r="I17019" s="15"/>
    </row>
    <row r="17020" spans="1:9" ht="16.5">
      <c r="A17020" s="10" t="b">
        <v>0</v>
      </c>
      <c r="B17020" s="11" t="str">
        <f>IF(D17020&lt;&gt;"",IF(COUNTIF('USPTO TMs'!A:A,D17020)&gt;0,"Yes","No"),"")</f>
        <v/>
      </c>
      <c r="C17020" s="11"/>
      <c r="D17020" s="11"/>
      <c r="E17020" s="11"/>
      <c r="F17020" s="11"/>
      <c r="G17020" s="11"/>
      <c r="H17020" s="11"/>
      <c r="I17020" s="15"/>
    </row>
    <row r="17021" spans="1:9" ht="16.5">
      <c r="A17021" s="10" t="b">
        <v>0</v>
      </c>
      <c r="B17021" s="11" t="str">
        <f>IF(D17021&lt;&gt;"",IF(COUNTIF('USPTO TMs'!A:A,D17021)&gt;0,"Yes","No"),"")</f>
        <v/>
      </c>
      <c r="C17021" s="11"/>
      <c r="D17021" s="11"/>
      <c r="E17021" s="11"/>
      <c r="F17021" s="11"/>
      <c r="G17021" s="11"/>
      <c r="H17021" s="11"/>
      <c r="I17021" s="15"/>
    </row>
    <row r="17022" spans="1:9" ht="16.5">
      <c r="A17022" s="10" t="b">
        <v>0</v>
      </c>
      <c r="B17022" s="11" t="str">
        <f>IF(D17022&lt;&gt;"",IF(COUNTIF('USPTO TMs'!A:A,D17022)&gt;0,"Yes","No"),"")</f>
        <v/>
      </c>
      <c r="C17022" s="11"/>
      <c r="D17022" s="11"/>
      <c r="E17022" s="11"/>
      <c r="F17022" s="11"/>
      <c r="G17022" s="11"/>
      <c r="H17022" s="11"/>
      <c r="I17022" s="15"/>
    </row>
    <row r="17023" spans="1:9" ht="16.5">
      <c r="A17023" s="10" t="b">
        <v>0</v>
      </c>
      <c r="B17023" s="11" t="str">
        <f>IF(D17023&lt;&gt;"",IF(COUNTIF('USPTO TMs'!A:A,D17023)&gt;0,"Yes","No"),"")</f>
        <v/>
      </c>
      <c r="C17023" s="11"/>
      <c r="D17023" s="11"/>
      <c r="E17023" s="11"/>
      <c r="F17023" s="11"/>
      <c r="G17023" s="11"/>
      <c r="H17023" s="11"/>
      <c r="I17023" s="15"/>
    </row>
    <row r="17024" spans="1:9" ht="16.5">
      <c r="A17024" s="10" t="b">
        <v>0</v>
      </c>
      <c r="B17024" s="11" t="str">
        <f>IF(D17024&lt;&gt;"",IF(COUNTIF('USPTO TMs'!A:A,D17024)&gt;0,"Yes","No"),"")</f>
        <v/>
      </c>
      <c r="C17024" s="11"/>
      <c r="D17024" s="11"/>
      <c r="E17024" s="11"/>
      <c r="F17024" s="11"/>
      <c r="G17024" s="11"/>
      <c r="H17024" s="11"/>
      <c r="I17024" s="15"/>
    </row>
    <row r="17025" spans="1:9" ht="16.5">
      <c r="A17025" s="10" t="b">
        <v>0</v>
      </c>
      <c r="B17025" s="11" t="str">
        <f>IF(D17025&lt;&gt;"",IF(COUNTIF('USPTO TMs'!A:A,D17025)&gt;0,"Yes","No"),"")</f>
        <v/>
      </c>
      <c r="C17025" s="11"/>
      <c r="D17025" s="11"/>
      <c r="E17025" s="11"/>
      <c r="F17025" s="11"/>
      <c r="G17025" s="11"/>
      <c r="H17025" s="11"/>
      <c r="I17025" s="15"/>
    </row>
    <row r="17026" spans="1:9" ht="16.5">
      <c r="A17026" s="10" t="b">
        <v>0</v>
      </c>
      <c r="B17026" s="11" t="str">
        <f>IF(D17026&lt;&gt;"",IF(COUNTIF('USPTO TMs'!A:A,D17026)&gt;0,"Yes","No"),"")</f>
        <v/>
      </c>
      <c r="C17026" s="11"/>
      <c r="D17026" s="11"/>
      <c r="E17026" s="11"/>
      <c r="F17026" s="11"/>
      <c r="G17026" s="11"/>
      <c r="H17026" s="11"/>
      <c r="I17026" s="15"/>
    </row>
    <row r="17027" spans="1:9" ht="16.5">
      <c r="A17027" s="10" t="b">
        <v>0</v>
      </c>
      <c r="B17027" s="11" t="str">
        <f>IF(D17027&lt;&gt;"",IF(COUNTIF('USPTO TMs'!A:A,D17027)&gt;0,"Yes","No"),"")</f>
        <v/>
      </c>
      <c r="C17027" s="11"/>
      <c r="D17027" s="11"/>
      <c r="E17027" s="11"/>
      <c r="F17027" s="11"/>
      <c r="G17027" s="11"/>
      <c r="H17027" s="11"/>
      <c r="I17027" s="15"/>
    </row>
    <row r="17028" spans="1:9" ht="16.5">
      <c r="A17028" s="10" t="b">
        <v>0</v>
      </c>
      <c r="B17028" s="11" t="str">
        <f>IF(D17028&lt;&gt;"",IF(COUNTIF('USPTO TMs'!A:A,D17028)&gt;0,"Yes","No"),"")</f>
        <v/>
      </c>
      <c r="C17028" s="11"/>
      <c r="D17028" s="11"/>
      <c r="E17028" s="11"/>
      <c r="F17028" s="11"/>
      <c r="G17028" s="11"/>
      <c r="H17028" s="11"/>
      <c r="I17028" s="15"/>
    </row>
    <row r="17029" spans="1:9" ht="16.5">
      <c r="A17029" s="10" t="b">
        <v>0</v>
      </c>
      <c r="B17029" s="11" t="str">
        <f>IF(D17029&lt;&gt;"",IF(COUNTIF('USPTO TMs'!A:A,D17029)&gt;0,"Yes","No"),"")</f>
        <v/>
      </c>
      <c r="C17029" s="11"/>
      <c r="D17029" s="11"/>
      <c r="E17029" s="11"/>
      <c r="F17029" s="11"/>
      <c r="G17029" s="11"/>
      <c r="H17029" s="11"/>
      <c r="I17029" s="15"/>
    </row>
    <row r="17030" spans="1:9" ht="16.5">
      <c r="A17030" s="10" t="b">
        <v>0</v>
      </c>
      <c r="B17030" s="11" t="str">
        <f>IF(D17030&lt;&gt;"",IF(COUNTIF('USPTO TMs'!A:A,D17030)&gt;0,"Yes","No"),"")</f>
        <v/>
      </c>
      <c r="C17030" s="11"/>
      <c r="D17030" s="11"/>
      <c r="E17030" s="11"/>
      <c r="F17030" s="11"/>
      <c r="G17030" s="11"/>
      <c r="H17030" s="11"/>
      <c r="I17030" s="15"/>
    </row>
    <row r="17031" spans="1:9" ht="16.5">
      <c r="A17031" s="10" t="b">
        <v>0</v>
      </c>
      <c r="B17031" s="11" t="str">
        <f>IF(D17031&lt;&gt;"",IF(COUNTIF('USPTO TMs'!A:A,D17031)&gt;0,"Yes","No"),"")</f>
        <v/>
      </c>
      <c r="C17031" s="11"/>
      <c r="D17031" s="11"/>
      <c r="E17031" s="11"/>
      <c r="F17031" s="11"/>
      <c r="G17031" s="11"/>
      <c r="H17031" s="11"/>
      <c r="I17031" s="15"/>
    </row>
    <row r="17032" spans="1:9" ht="16.5">
      <c r="A17032" s="10" t="b">
        <v>0</v>
      </c>
      <c r="B17032" s="11" t="str">
        <f>IF(D17032&lt;&gt;"",IF(COUNTIF('USPTO TMs'!A:A,D17032)&gt;0,"Yes","No"),"")</f>
        <v/>
      </c>
      <c r="C17032" s="11"/>
      <c r="D17032" s="11"/>
      <c r="E17032" s="11"/>
      <c r="F17032" s="11"/>
      <c r="G17032" s="11"/>
      <c r="H17032" s="11"/>
      <c r="I17032" s="15"/>
    </row>
    <row r="17033" spans="1:9" ht="16.5">
      <c r="A17033" s="10" t="b">
        <v>0</v>
      </c>
      <c r="B17033" s="11" t="str">
        <f>IF(D17033&lt;&gt;"",IF(COUNTIF('USPTO TMs'!A:A,D17033)&gt;0,"Yes","No"),"")</f>
        <v/>
      </c>
      <c r="C17033" s="11"/>
      <c r="D17033" s="11"/>
      <c r="E17033" s="11"/>
      <c r="F17033" s="11"/>
      <c r="G17033" s="11"/>
      <c r="H17033" s="11"/>
      <c r="I17033" s="15"/>
    </row>
    <row r="17034" spans="1:9" ht="16.5">
      <c r="A17034" s="10" t="b">
        <v>0</v>
      </c>
      <c r="B17034" s="11" t="str">
        <f>IF(D17034&lt;&gt;"",IF(COUNTIF('USPTO TMs'!A:A,D17034)&gt;0,"Yes","No"),"")</f>
        <v/>
      </c>
      <c r="C17034" s="11"/>
      <c r="D17034" s="11"/>
      <c r="E17034" s="11"/>
      <c r="F17034" s="11"/>
      <c r="G17034" s="11"/>
      <c r="H17034" s="11"/>
      <c r="I17034" s="15"/>
    </row>
    <row r="17035" spans="1:9" ht="16.5">
      <c r="A17035" s="10" t="b">
        <v>0</v>
      </c>
      <c r="B17035" s="11" t="str">
        <f>IF(D17035&lt;&gt;"",IF(COUNTIF('USPTO TMs'!A:A,D17035)&gt;0,"Yes","No"),"")</f>
        <v/>
      </c>
      <c r="C17035" s="11"/>
      <c r="D17035" s="11"/>
      <c r="E17035" s="11"/>
      <c r="F17035" s="11"/>
      <c r="G17035" s="11"/>
      <c r="H17035" s="11"/>
      <c r="I17035" s="15"/>
    </row>
    <row r="17036" spans="1:9" ht="16.5">
      <c r="A17036" s="10" t="b">
        <v>0</v>
      </c>
      <c r="B17036" s="11" t="str">
        <f>IF(D17036&lt;&gt;"",IF(COUNTIF('USPTO TMs'!A:A,D17036)&gt;0,"Yes","No"),"")</f>
        <v/>
      </c>
      <c r="C17036" s="11"/>
      <c r="D17036" s="11"/>
      <c r="E17036" s="11"/>
      <c r="F17036" s="11"/>
      <c r="G17036" s="11"/>
      <c r="H17036" s="11"/>
      <c r="I17036" s="15"/>
    </row>
    <row r="17037" spans="1:9" ht="16.5">
      <c r="A17037" s="10" t="b">
        <v>0</v>
      </c>
      <c r="B17037" s="11" t="str">
        <f>IF(D17037&lt;&gt;"",IF(COUNTIF('USPTO TMs'!A:A,D17037)&gt;0,"Yes","No"),"")</f>
        <v/>
      </c>
      <c r="C17037" s="11"/>
      <c r="D17037" s="11"/>
      <c r="E17037" s="11"/>
      <c r="F17037" s="11"/>
      <c r="G17037" s="11"/>
      <c r="H17037" s="11"/>
      <c r="I17037" s="15"/>
    </row>
    <row r="17038" spans="1:9" ht="16.5">
      <c r="A17038" s="10" t="b">
        <v>0</v>
      </c>
      <c r="B17038" s="11" t="str">
        <f>IF(D17038&lt;&gt;"",IF(COUNTIF('USPTO TMs'!A:A,D17038)&gt;0,"Yes","No"),"")</f>
        <v/>
      </c>
      <c r="C17038" s="11"/>
      <c r="D17038" s="11"/>
      <c r="E17038" s="11"/>
      <c r="F17038" s="11"/>
      <c r="G17038" s="11"/>
      <c r="H17038" s="11"/>
      <c r="I17038" s="15"/>
    </row>
    <row r="17039" spans="1:9" ht="16.5">
      <c r="A17039" s="10" t="b">
        <v>0</v>
      </c>
      <c r="B17039" s="11" t="str">
        <f>IF(D17039&lt;&gt;"",IF(COUNTIF('USPTO TMs'!A:A,D17039)&gt;0,"Yes","No"),"")</f>
        <v/>
      </c>
      <c r="C17039" s="11"/>
      <c r="D17039" s="11"/>
      <c r="E17039" s="11"/>
      <c r="F17039" s="11"/>
      <c r="G17039" s="11"/>
      <c r="H17039" s="11"/>
      <c r="I17039" s="15"/>
    </row>
    <row r="17040" spans="1:9" ht="16.5">
      <c r="A17040" s="10" t="b">
        <v>0</v>
      </c>
      <c r="B17040" s="11" t="str">
        <f>IF(D17040&lt;&gt;"",IF(COUNTIF('USPTO TMs'!A:A,D17040)&gt;0,"Yes","No"),"")</f>
        <v/>
      </c>
      <c r="C17040" s="11"/>
      <c r="D17040" s="11"/>
      <c r="E17040" s="11"/>
      <c r="F17040" s="11"/>
      <c r="G17040" s="11"/>
      <c r="H17040" s="11"/>
      <c r="I17040" s="15"/>
    </row>
    <row r="17041" spans="1:9" ht="16.5">
      <c r="A17041" s="10" t="b">
        <v>0</v>
      </c>
      <c r="B17041" s="11" t="str">
        <f>IF(D17041&lt;&gt;"",IF(COUNTIF('USPTO TMs'!A:A,D17041)&gt;0,"Yes","No"),"")</f>
        <v/>
      </c>
      <c r="C17041" s="11"/>
      <c r="D17041" s="11"/>
      <c r="E17041" s="11"/>
      <c r="F17041" s="11"/>
      <c r="G17041" s="11"/>
      <c r="H17041" s="11"/>
      <c r="I17041" s="15"/>
    </row>
    <row r="17042" spans="1:9" ht="16.5">
      <c r="A17042" s="10" t="b">
        <v>0</v>
      </c>
      <c r="B17042" s="11" t="str">
        <f>IF(D17042&lt;&gt;"",IF(COUNTIF('USPTO TMs'!A:A,D17042)&gt;0,"Yes","No"),"")</f>
        <v/>
      </c>
      <c r="C17042" s="11"/>
      <c r="D17042" s="11"/>
      <c r="E17042" s="11"/>
      <c r="F17042" s="11"/>
      <c r="G17042" s="11"/>
      <c r="H17042" s="11"/>
      <c r="I17042" s="15"/>
    </row>
    <row r="17043" spans="1:9" ht="16.5">
      <c r="A17043" s="10" t="b">
        <v>0</v>
      </c>
      <c r="B17043" s="11" t="str">
        <f>IF(D17043&lt;&gt;"",IF(COUNTIF('USPTO TMs'!A:A,D17043)&gt;0,"Yes","No"),"")</f>
        <v/>
      </c>
      <c r="C17043" s="11"/>
      <c r="D17043" s="11"/>
      <c r="E17043" s="11"/>
      <c r="F17043" s="11"/>
      <c r="G17043" s="11"/>
      <c r="H17043" s="11"/>
      <c r="I17043" s="15"/>
    </row>
    <row r="17044" spans="1:9" ht="16.5">
      <c r="A17044" s="10" t="b">
        <v>0</v>
      </c>
      <c r="B17044" s="11" t="str">
        <f>IF(D17044&lt;&gt;"",IF(COUNTIF('USPTO TMs'!A:A,D17044)&gt;0,"Yes","No"),"")</f>
        <v/>
      </c>
      <c r="C17044" s="11"/>
      <c r="D17044" s="11"/>
      <c r="E17044" s="11"/>
      <c r="F17044" s="11"/>
      <c r="G17044" s="11"/>
      <c r="H17044" s="11"/>
      <c r="I17044" s="15"/>
    </row>
    <row r="17045" spans="1:9" ht="16.5">
      <c r="A17045" s="10" t="b">
        <v>0</v>
      </c>
      <c r="B17045" s="11" t="str">
        <f>IF(D17045&lt;&gt;"",IF(COUNTIF('USPTO TMs'!A:A,D17045)&gt;0,"Yes","No"),"")</f>
        <v/>
      </c>
      <c r="C17045" s="11"/>
      <c r="D17045" s="11"/>
      <c r="E17045" s="11"/>
      <c r="F17045" s="11"/>
      <c r="G17045" s="11"/>
      <c r="H17045" s="11"/>
      <c r="I17045" s="15"/>
    </row>
    <row r="17046" spans="1:9" ht="16.5">
      <c r="A17046" s="10" t="b">
        <v>0</v>
      </c>
      <c r="B17046" s="11" t="str">
        <f>IF(D17046&lt;&gt;"",IF(COUNTIF('USPTO TMs'!A:A,D17046)&gt;0,"Yes","No"),"")</f>
        <v/>
      </c>
      <c r="C17046" s="11"/>
      <c r="D17046" s="11"/>
      <c r="E17046" s="11"/>
      <c r="F17046" s="11"/>
      <c r="G17046" s="11"/>
      <c r="H17046" s="11"/>
      <c r="I17046" s="15"/>
    </row>
    <row r="17047" spans="1:9" ht="16.5">
      <c r="A17047" s="10" t="b">
        <v>0</v>
      </c>
      <c r="B17047" s="11" t="str">
        <f>IF(D17047&lt;&gt;"",IF(COUNTIF('USPTO TMs'!A:A,D17047)&gt;0,"Yes","No"),"")</f>
        <v/>
      </c>
      <c r="C17047" s="11"/>
      <c r="D17047" s="11"/>
      <c r="E17047" s="11"/>
      <c r="F17047" s="11"/>
      <c r="G17047" s="11"/>
      <c r="H17047" s="11"/>
      <c r="I17047" s="15"/>
    </row>
    <row r="17048" spans="1:9" ht="16.5">
      <c r="A17048" s="10" t="b">
        <v>0</v>
      </c>
      <c r="B17048" s="11" t="str">
        <f>IF(D17048&lt;&gt;"",IF(COUNTIF('USPTO TMs'!A:A,D17048)&gt;0,"Yes","No"),"")</f>
        <v/>
      </c>
      <c r="C17048" s="11"/>
      <c r="D17048" s="11"/>
      <c r="E17048" s="11"/>
      <c r="F17048" s="11"/>
      <c r="G17048" s="11"/>
      <c r="H17048" s="11"/>
      <c r="I17048" s="15"/>
    </row>
    <row r="17049" spans="1:9" ht="16.5">
      <c r="A17049" s="10" t="b">
        <v>0</v>
      </c>
      <c r="B17049" s="11" t="str">
        <f>IF(D17049&lt;&gt;"",IF(COUNTIF('USPTO TMs'!A:A,D17049)&gt;0,"Yes","No"),"")</f>
        <v/>
      </c>
      <c r="C17049" s="11"/>
      <c r="D17049" s="11"/>
      <c r="E17049" s="11"/>
      <c r="F17049" s="11"/>
      <c r="G17049" s="11"/>
      <c r="H17049" s="11"/>
      <c r="I17049" s="15"/>
    </row>
    <row r="17050" spans="1:9" ht="16.5">
      <c r="A17050" s="10" t="b">
        <v>0</v>
      </c>
      <c r="B17050" s="11" t="str">
        <f>IF(D17050&lt;&gt;"",IF(COUNTIF('USPTO TMs'!A:A,D17050)&gt;0,"Yes","No"),"")</f>
        <v/>
      </c>
      <c r="C17050" s="11"/>
      <c r="D17050" s="11"/>
      <c r="E17050" s="11"/>
      <c r="F17050" s="11"/>
      <c r="G17050" s="11"/>
      <c r="H17050" s="11"/>
      <c r="I17050" s="15"/>
    </row>
    <row r="17051" spans="1:9" ht="16.5">
      <c r="A17051" s="10" t="b">
        <v>0</v>
      </c>
      <c r="B17051" s="11" t="str">
        <f>IF(D17051&lt;&gt;"",IF(COUNTIF('USPTO TMs'!A:A,D17051)&gt;0,"Yes","No"),"")</f>
        <v/>
      </c>
      <c r="C17051" s="11"/>
      <c r="D17051" s="11"/>
      <c r="E17051" s="11"/>
      <c r="F17051" s="11"/>
      <c r="G17051" s="11"/>
      <c r="H17051" s="11"/>
      <c r="I17051" s="15"/>
    </row>
    <row r="17052" spans="1:9" ht="16.5">
      <c r="A17052" s="10" t="b">
        <v>0</v>
      </c>
      <c r="B17052" s="11" t="str">
        <f>IF(D17052&lt;&gt;"",IF(COUNTIF('USPTO TMs'!A:A,D17052)&gt;0,"Yes","No"),"")</f>
        <v/>
      </c>
      <c r="C17052" s="11"/>
      <c r="D17052" s="11"/>
      <c r="E17052" s="11"/>
      <c r="F17052" s="11"/>
      <c r="G17052" s="11"/>
      <c r="H17052" s="11"/>
      <c r="I17052" s="15"/>
    </row>
    <row r="17053" spans="1:9" ht="16.5">
      <c r="A17053" s="10" t="b">
        <v>0</v>
      </c>
      <c r="B17053" s="11" t="str">
        <f>IF(D17053&lt;&gt;"",IF(COUNTIF('USPTO TMs'!A:A,D17053)&gt;0,"Yes","No"),"")</f>
        <v/>
      </c>
      <c r="C17053" s="11"/>
      <c r="D17053" s="11"/>
      <c r="E17053" s="11"/>
      <c r="F17053" s="11"/>
      <c r="G17053" s="11"/>
      <c r="H17053" s="11"/>
      <c r="I17053" s="15"/>
    </row>
    <row r="17054" spans="1:9" ht="16.5">
      <c r="A17054" s="10" t="b">
        <v>0</v>
      </c>
      <c r="B17054" s="11" t="str">
        <f>IF(D17054&lt;&gt;"",IF(COUNTIF('USPTO TMs'!A:A,D17054)&gt;0,"Yes","No"),"")</f>
        <v/>
      </c>
      <c r="C17054" s="11"/>
      <c r="D17054" s="11"/>
      <c r="E17054" s="11"/>
      <c r="F17054" s="11"/>
      <c r="G17054" s="11"/>
      <c r="H17054" s="11"/>
      <c r="I17054" s="15"/>
    </row>
    <row r="17055" spans="1:9" ht="16.5">
      <c r="A17055" s="10" t="b">
        <v>0</v>
      </c>
      <c r="B17055" s="11" t="str">
        <f>IF(D17055&lt;&gt;"",IF(COUNTIF('USPTO TMs'!A:A,D17055)&gt;0,"Yes","No"),"")</f>
        <v/>
      </c>
      <c r="C17055" s="11"/>
      <c r="D17055" s="11"/>
      <c r="E17055" s="11"/>
      <c r="F17055" s="11"/>
      <c r="G17055" s="11"/>
      <c r="H17055" s="11"/>
      <c r="I17055" s="15"/>
    </row>
    <row r="17056" spans="1:9" ht="16.5">
      <c r="A17056" s="10" t="b">
        <v>0</v>
      </c>
      <c r="B17056" s="11" t="str">
        <f>IF(D17056&lt;&gt;"",IF(COUNTIF('USPTO TMs'!A:A,D17056)&gt;0,"Yes","No"),"")</f>
        <v/>
      </c>
      <c r="C17056" s="11"/>
      <c r="D17056" s="11"/>
      <c r="E17056" s="11"/>
      <c r="F17056" s="11"/>
      <c r="G17056" s="11"/>
      <c r="H17056" s="11"/>
      <c r="I17056" s="15"/>
    </row>
    <row r="17057" spans="1:9" ht="16.5">
      <c r="A17057" s="10" t="b">
        <v>0</v>
      </c>
      <c r="B17057" s="11" t="str">
        <f>IF(D17057&lt;&gt;"",IF(COUNTIF('USPTO TMs'!A:A,D17057)&gt;0,"Yes","No"),"")</f>
        <v/>
      </c>
      <c r="C17057" s="11"/>
      <c r="D17057" s="11"/>
      <c r="E17057" s="11"/>
      <c r="F17057" s="11"/>
      <c r="G17057" s="11"/>
      <c r="H17057" s="11"/>
      <c r="I17057" s="15"/>
    </row>
    <row r="17058" spans="1:9" ht="16.5">
      <c r="A17058" s="10" t="b">
        <v>0</v>
      </c>
      <c r="B17058" s="11" t="str">
        <f>IF(D17058&lt;&gt;"",IF(COUNTIF('USPTO TMs'!A:A,D17058)&gt;0,"Yes","No"),"")</f>
        <v/>
      </c>
      <c r="C17058" s="11"/>
      <c r="D17058" s="11"/>
      <c r="E17058" s="11"/>
      <c r="F17058" s="11"/>
      <c r="G17058" s="11"/>
      <c r="H17058" s="11"/>
      <c r="I17058" s="15"/>
    </row>
    <row r="17059" spans="1:9" ht="16.5">
      <c r="A17059" s="10" t="b">
        <v>0</v>
      </c>
      <c r="B17059" s="11" t="str">
        <f>IF(D17059&lt;&gt;"",IF(COUNTIF('USPTO TMs'!A:A,D17059)&gt;0,"Yes","No"),"")</f>
        <v/>
      </c>
      <c r="C17059" s="11"/>
      <c r="D17059" s="11"/>
      <c r="E17059" s="11"/>
      <c r="F17059" s="11"/>
      <c r="G17059" s="11"/>
      <c r="H17059" s="11"/>
      <c r="I17059" s="15"/>
    </row>
    <row r="17060" spans="1:9" ht="16.5">
      <c r="A17060" s="10" t="b">
        <v>0</v>
      </c>
      <c r="B17060" s="11" t="str">
        <f>IF(D17060&lt;&gt;"",IF(COUNTIF('USPTO TMs'!A:A,D17060)&gt;0,"Yes","No"),"")</f>
        <v/>
      </c>
      <c r="C17060" s="11"/>
      <c r="D17060" s="11"/>
      <c r="E17060" s="11"/>
      <c r="F17060" s="11"/>
      <c r="G17060" s="11"/>
      <c r="H17060" s="11"/>
      <c r="I17060" s="15"/>
    </row>
    <row r="17061" spans="1:9" ht="16.5">
      <c r="A17061" s="10" t="b">
        <v>0</v>
      </c>
      <c r="B17061" s="11" t="str">
        <f>IF(D17061&lt;&gt;"",IF(COUNTIF('USPTO TMs'!A:A,D17061)&gt;0,"Yes","No"),"")</f>
        <v/>
      </c>
      <c r="C17061" s="11"/>
      <c r="D17061" s="11"/>
      <c r="E17061" s="11"/>
      <c r="F17061" s="11"/>
      <c r="G17061" s="11"/>
      <c r="H17061" s="11"/>
      <c r="I17061" s="15"/>
    </row>
    <row r="17062" spans="1:9" ht="16.5">
      <c r="A17062" s="10" t="b">
        <v>0</v>
      </c>
      <c r="B17062" s="11" t="str">
        <f>IF(D17062&lt;&gt;"",IF(COUNTIF('USPTO TMs'!A:A,D17062)&gt;0,"Yes","No"),"")</f>
        <v/>
      </c>
      <c r="C17062" s="11"/>
      <c r="D17062" s="11"/>
      <c r="E17062" s="11"/>
      <c r="F17062" s="11"/>
      <c r="G17062" s="11"/>
      <c r="H17062" s="11"/>
      <c r="I17062" s="15"/>
    </row>
    <row r="17063" spans="1:9" ht="16.5">
      <c r="A17063" s="10" t="b">
        <v>0</v>
      </c>
      <c r="B17063" s="11" t="str">
        <f>IF(D17063&lt;&gt;"",IF(COUNTIF('USPTO TMs'!A:A,D17063)&gt;0,"Yes","No"),"")</f>
        <v/>
      </c>
      <c r="C17063" s="11"/>
      <c r="D17063" s="11"/>
      <c r="E17063" s="11"/>
      <c r="F17063" s="11"/>
      <c r="G17063" s="11"/>
      <c r="H17063" s="11"/>
      <c r="I17063" s="15"/>
    </row>
    <row r="17064" spans="1:9" ht="16.5">
      <c r="A17064" s="10" t="b">
        <v>0</v>
      </c>
      <c r="B17064" s="11" t="str">
        <f>IF(D17064&lt;&gt;"",IF(COUNTIF('USPTO TMs'!A:A,D17064)&gt;0,"Yes","No"),"")</f>
        <v/>
      </c>
      <c r="C17064" s="11"/>
      <c r="D17064" s="11"/>
      <c r="E17064" s="11"/>
      <c r="F17064" s="11"/>
      <c r="G17064" s="11"/>
      <c r="H17064" s="11"/>
      <c r="I17064" s="15"/>
    </row>
    <row r="17065" spans="1:9" ht="16.5">
      <c r="A17065" s="10" t="b">
        <v>0</v>
      </c>
      <c r="B17065" s="11" t="str">
        <f>IF(D17065&lt;&gt;"",IF(COUNTIF('USPTO TMs'!A:A,D17065)&gt;0,"Yes","No"),"")</f>
        <v/>
      </c>
      <c r="C17065" s="11"/>
      <c r="D17065" s="11"/>
      <c r="E17065" s="11"/>
      <c r="F17065" s="11"/>
      <c r="G17065" s="11"/>
      <c r="H17065" s="11"/>
      <c r="I17065" s="15"/>
    </row>
    <row r="17066" spans="1:9" ht="16.5">
      <c r="A17066" s="10" t="b">
        <v>0</v>
      </c>
      <c r="B17066" s="11" t="str">
        <f>IF(D17066&lt;&gt;"",IF(COUNTIF('USPTO TMs'!A:A,D17066)&gt;0,"Yes","No"),"")</f>
        <v/>
      </c>
      <c r="C17066" s="11"/>
      <c r="D17066" s="11"/>
      <c r="E17066" s="11"/>
      <c r="F17066" s="11"/>
      <c r="G17066" s="11"/>
      <c r="H17066" s="11"/>
      <c r="I17066" s="15"/>
    </row>
    <row r="17067" spans="1:9" ht="16.5">
      <c r="A17067" s="10" t="b">
        <v>0</v>
      </c>
      <c r="B17067" s="11" t="str">
        <f>IF(D17067&lt;&gt;"",IF(COUNTIF('USPTO TMs'!A:A,D17067)&gt;0,"Yes","No"),"")</f>
        <v/>
      </c>
      <c r="C17067" s="11"/>
      <c r="D17067" s="11"/>
      <c r="E17067" s="11"/>
      <c r="F17067" s="11"/>
      <c r="G17067" s="11"/>
      <c r="H17067" s="11"/>
      <c r="I17067" s="15"/>
    </row>
    <row r="17068" spans="1:9" ht="16.5">
      <c r="A17068" s="10" t="b">
        <v>0</v>
      </c>
      <c r="B17068" s="11" t="str">
        <f>IF(D17068&lt;&gt;"",IF(COUNTIF('USPTO TMs'!A:A,D17068)&gt;0,"Yes","No"),"")</f>
        <v/>
      </c>
      <c r="C17068" s="11"/>
      <c r="D17068" s="11"/>
      <c r="E17068" s="11"/>
      <c r="F17068" s="11"/>
      <c r="G17068" s="11"/>
      <c r="H17068" s="11"/>
      <c r="I17068" s="15"/>
    </row>
    <row r="17069" spans="1:9" ht="16.5">
      <c r="A17069" s="10" t="b">
        <v>0</v>
      </c>
      <c r="B17069" s="11" t="str">
        <f>IF(D17069&lt;&gt;"",IF(COUNTIF('USPTO TMs'!A:A,D17069)&gt;0,"Yes","No"),"")</f>
        <v/>
      </c>
      <c r="C17069" s="11"/>
      <c r="D17069" s="11"/>
      <c r="E17069" s="11"/>
      <c r="F17069" s="11"/>
      <c r="G17069" s="11"/>
      <c r="H17069" s="11"/>
      <c r="I17069" s="15"/>
    </row>
    <row r="17070" spans="1:9" ht="16.5">
      <c r="A17070" s="10" t="b">
        <v>0</v>
      </c>
      <c r="B17070" s="11" t="str">
        <f>IF(D17070&lt;&gt;"",IF(COUNTIF('USPTO TMs'!A:A,D17070)&gt;0,"Yes","No"),"")</f>
        <v/>
      </c>
      <c r="C17070" s="11"/>
      <c r="D17070" s="11"/>
      <c r="E17070" s="11"/>
      <c r="F17070" s="11"/>
      <c r="G17070" s="11"/>
      <c r="H17070" s="11"/>
      <c r="I17070" s="15"/>
    </row>
    <row r="17071" spans="1:9" ht="16.5">
      <c r="A17071" s="10" t="b">
        <v>0</v>
      </c>
      <c r="B17071" s="11" t="str">
        <f>IF(D17071&lt;&gt;"",IF(COUNTIF('USPTO TMs'!A:A,D17071)&gt;0,"Yes","No"),"")</f>
        <v/>
      </c>
      <c r="C17071" s="11"/>
      <c r="D17071" s="11"/>
      <c r="E17071" s="11"/>
      <c r="F17071" s="11"/>
      <c r="G17071" s="11"/>
      <c r="H17071" s="11"/>
      <c r="I17071" s="15"/>
    </row>
    <row r="17072" spans="1:9" ht="16.5">
      <c r="A17072" s="10" t="b">
        <v>0</v>
      </c>
      <c r="B17072" s="11" t="str">
        <f>IF(D17072&lt;&gt;"",IF(COUNTIF('USPTO TMs'!A:A,D17072)&gt;0,"Yes","No"),"")</f>
        <v/>
      </c>
      <c r="C17072" s="11"/>
      <c r="D17072" s="11"/>
      <c r="E17072" s="11"/>
      <c r="F17072" s="11"/>
      <c r="G17072" s="11"/>
      <c r="H17072" s="11"/>
      <c r="I17072" s="15"/>
    </row>
    <row r="17073" spans="1:9" ht="16.5">
      <c r="A17073" s="10" t="b">
        <v>0</v>
      </c>
      <c r="B17073" s="11" t="str">
        <f>IF(D17073&lt;&gt;"",IF(COUNTIF('USPTO TMs'!A:A,D17073)&gt;0,"Yes","No"),"")</f>
        <v/>
      </c>
      <c r="C17073" s="11"/>
      <c r="D17073" s="11"/>
      <c r="E17073" s="11"/>
      <c r="F17073" s="11"/>
      <c r="G17073" s="11"/>
      <c r="H17073" s="11"/>
      <c r="I17073" s="15"/>
    </row>
    <row r="17074" spans="1:9" ht="16.5">
      <c r="A17074" s="10" t="b">
        <v>0</v>
      </c>
      <c r="B17074" s="11" t="str">
        <f>IF(D17074&lt;&gt;"",IF(COUNTIF('USPTO TMs'!A:A,D17074)&gt;0,"Yes","No"),"")</f>
        <v/>
      </c>
      <c r="C17074" s="11"/>
      <c r="D17074" s="11"/>
      <c r="E17074" s="11"/>
      <c r="F17074" s="11"/>
      <c r="G17074" s="11"/>
      <c r="H17074" s="11"/>
      <c r="I17074" s="15"/>
    </row>
    <row r="17075" spans="1:9" ht="16.5">
      <c r="A17075" s="10" t="b">
        <v>0</v>
      </c>
      <c r="B17075" s="11" t="str">
        <f>IF(D17075&lt;&gt;"",IF(COUNTIF('USPTO TMs'!A:A,D17075)&gt;0,"Yes","No"),"")</f>
        <v/>
      </c>
      <c r="C17075" s="11"/>
      <c r="D17075" s="11"/>
      <c r="E17075" s="11"/>
      <c r="F17075" s="11"/>
      <c r="G17075" s="11"/>
      <c r="H17075" s="11"/>
      <c r="I17075" s="15"/>
    </row>
    <row r="17076" spans="1:9" ht="16.5">
      <c r="A17076" s="10" t="b">
        <v>0</v>
      </c>
      <c r="B17076" s="11" t="str">
        <f>IF(D17076&lt;&gt;"",IF(COUNTIF('USPTO TMs'!A:A,D17076)&gt;0,"Yes","No"),"")</f>
        <v/>
      </c>
      <c r="C17076" s="11"/>
      <c r="D17076" s="11"/>
      <c r="E17076" s="11"/>
      <c r="F17076" s="11"/>
      <c r="G17076" s="11"/>
      <c r="H17076" s="11"/>
      <c r="I17076" s="15"/>
    </row>
    <row r="17077" spans="1:9" ht="16.5">
      <c r="A17077" s="10" t="b">
        <v>0</v>
      </c>
      <c r="B17077" s="11" t="str">
        <f>IF(D17077&lt;&gt;"",IF(COUNTIF('USPTO TMs'!A:A,D17077)&gt;0,"Yes","No"),"")</f>
        <v/>
      </c>
      <c r="C17077" s="11"/>
      <c r="D17077" s="11"/>
      <c r="E17077" s="11"/>
      <c r="F17077" s="11"/>
      <c r="G17077" s="11"/>
      <c r="H17077" s="11"/>
      <c r="I17077" s="15"/>
    </row>
    <row r="17078" spans="1:9" ht="16.5">
      <c r="A17078" s="10" t="b">
        <v>0</v>
      </c>
      <c r="B17078" s="11" t="str">
        <f>IF(D17078&lt;&gt;"",IF(COUNTIF('USPTO TMs'!A:A,D17078)&gt;0,"Yes","No"),"")</f>
        <v/>
      </c>
      <c r="C17078" s="11"/>
      <c r="D17078" s="11"/>
      <c r="E17078" s="11"/>
      <c r="F17078" s="11"/>
      <c r="G17078" s="11"/>
      <c r="H17078" s="11"/>
      <c r="I17078" s="15"/>
    </row>
    <row r="17079" spans="1:9" ht="16.5">
      <c r="A17079" s="10" t="b">
        <v>0</v>
      </c>
      <c r="B17079" s="11" t="str">
        <f>IF(D17079&lt;&gt;"",IF(COUNTIF('USPTO TMs'!A:A,D17079)&gt;0,"Yes","No"),"")</f>
        <v/>
      </c>
      <c r="C17079" s="11"/>
      <c r="D17079" s="11"/>
      <c r="E17079" s="11"/>
      <c r="F17079" s="11"/>
      <c r="G17079" s="11"/>
      <c r="H17079" s="11"/>
      <c r="I17079" s="15"/>
    </row>
    <row r="17080" spans="1:9" ht="16.5">
      <c r="A17080" s="10" t="b">
        <v>0</v>
      </c>
      <c r="B17080" s="11" t="str">
        <f>IF(D17080&lt;&gt;"",IF(COUNTIF('USPTO TMs'!A:A,D17080)&gt;0,"Yes","No"),"")</f>
        <v/>
      </c>
      <c r="C17080" s="11"/>
      <c r="D17080" s="11"/>
      <c r="E17080" s="11"/>
      <c r="F17080" s="11"/>
      <c r="G17080" s="11"/>
      <c r="H17080" s="11"/>
      <c r="I17080" s="15"/>
    </row>
    <row r="17081" spans="1:9" ht="16.5">
      <c r="A17081" s="10" t="b">
        <v>0</v>
      </c>
      <c r="B17081" s="11" t="str">
        <f>IF(D17081&lt;&gt;"",IF(COUNTIF('USPTO TMs'!A:A,D17081)&gt;0,"Yes","No"),"")</f>
        <v/>
      </c>
      <c r="C17081" s="11"/>
      <c r="D17081" s="11"/>
      <c r="E17081" s="11"/>
      <c r="F17081" s="11"/>
      <c r="G17081" s="11"/>
      <c r="H17081" s="11"/>
      <c r="I17081" s="15"/>
    </row>
    <row r="17082" spans="1:9" ht="16.5">
      <c r="A17082" s="10" t="b">
        <v>0</v>
      </c>
      <c r="B17082" s="11" t="str">
        <f>IF(D17082&lt;&gt;"",IF(COUNTIF('USPTO TMs'!A:A,D17082)&gt;0,"Yes","No"),"")</f>
        <v/>
      </c>
      <c r="C17082" s="11"/>
      <c r="D17082" s="11"/>
      <c r="E17082" s="11"/>
      <c r="F17082" s="11"/>
      <c r="G17082" s="11"/>
      <c r="H17082" s="11"/>
      <c r="I17082" s="15"/>
    </row>
    <row r="17083" spans="1:9" ht="16.5">
      <c r="A17083" s="10" t="b">
        <v>0</v>
      </c>
      <c r="B17083" s="11" t="str">
        <f>IF(D17083&lt;&gt;"",IF(COUNTIF('USPTO TMs'!A:A,D17083)&gt;0,"Yes","No"),"")</f>
        <v/>
      </c>
      <c r="C17083" s="11"/>
      <c r="D17083" s="11"/>
      <c r="E17083" s="11"/>
      <c r="F17083" s="11"/>
      <c r="G17083" s="11"/>
      <c r="H17083" s="11"/>
      <c r="I17083" s="15"/>
    </row>
    <row r="17084" spans="1:9" ht="16.5">
      <c r="A17084" s="10" t="b">
        <v>0</v>
      </c>
      <c r="B17084" s="11" t="str">
        <f>IF(D17084&lt;&gt;"",IF(COUNTIF('USPTO TMs'!A:A,D17084)&gt;0,"Yes","No"),"")</f>
        <v/>
      </c>
      <c r="C17084" s="11"/>
      <c r="D17084" s="11"/>
      <c r="E17084" s="11"/>
      <c r="F17084" s="11"/>
      <c r="G17084" s="11"/>
      <c r="H17084" s="11"/>
      <c r="I17084" s="15"/>
    </row>
    <row r="17085" spans="1:9" ht="16.5">
      <c r="A17085" s="10" t="b">
        <v>0</v>
      </c>
      <c r="B17085" s="11" t="str">
        <f>IF(D17085&lt;&gt;"",IF(COUNTIF('USPTO TMs'!A:A,D17085)&gt;0,"Yes","No"),"")</f>
        <v/>
      </c>
      <c r="C17085" s="11"/>
      <c r="D17085" s="11"/>
      <c r="E17085" s="11"/>
      <c r="F17085" s="11"/>
      <c r="G17085" s="11"/>
      <c r="H17085" s="11"/>
      <c r="I17085" s="15"/>
    </row>
    <row r="17086" spans="1:9" ht="16.5">
      <c r="A17086" s="10" t="b">
        <v>0</v>
      </c>
      <c r="B17086" s="11" t="str">
        <f>IF(D17086&lt;&gt;"",IF(COUNTIF('USPTO TMs'!A:A,D17086)&gt;0,"Yes","No"),"")</f>
        <v/>
      </c>
      <c r="C17086" s="11"/>
      <c r="D17086" s="11"/>
      <c r="E17086" s="11"/>
      <c r="F17086" s="11"/>
      <c r="G17086" s="11"/>
      <c r="H17086" s="11"/>
      <c r="I17086" s="15"/>
    </row>
    <row r="17087" spans="1:9" ht="16.5">
      <c r="A17087" s="10" t="b">
        <v>0</v>
      </c>
      <c r="B17087" s="11" t="str">
        <f>IF(D17087&lt;&gt;"",IF(COUNTIF('USPTO TMs'!A:A,D17087)&gt;0,"Yes","No"),"")</f>
        <v/>
      </c>
      <c r="C17087" s="11"/>
      <c r="D17087" s="11"/>
      <c r="E17087" s="11"/>
      <c r="F17087" s="11"/>
      <c r="G17087" s="11"/>
      <c r="H17087" s="11"/>
      <c r="I17087" s="15"/>
    </row>
    <row r="17088" spans="1:9" ht="16.5">
      <c r="A17088" s="10" t="b">
        <v>0</v>
      </c>
      <c r="B17088" s="11" t="str">
        <f>IF(D17088&lt;&gt;"",IF(COUNTIF('USPTO TMs'!A:A,D17088)&gt;0,"Yes","No"),"")</f>
        <v/>
      </c>
      <c r="C17088" s="11"/>
      <c r="D17088" s="11"/>
      <c r="E17088" s="11"/>
      <c r="F17088" s="11"/>
      <c r="G17088" s="11"/>
      <c r="H17088" s="11"/>
      <c r="I17088" s="15"/>
    </row>
    <row r="17089" spans="1:9" ht="16.5">
      <c r="A17089" s="10" t="b">
        <v>0</v>
      </c>
      <c r="B17089" s="11" t="str">
        <f>IF(D17089&lt;&gt;"",IF(COUNTIF('USPTO TMs'!A:A,D17089)&gt;0,"Yes","No"),"")</f>
        <v/>
      </c>
      <c r="C17089" s="11"/>
      <c r="D17089" s="11"/>
      <c r="E17089" s="11"/>
      <c r="F17089" s="11"/>
      <c r="G17089" s="11"/>
      <c r="H17089" s="11"/>
      <c r="I17089" s="15"/>
    </row>
    <row r="17090" spans="1:9" ht="16.5">
      <c r="A17090" s="10" t="b">
        <v>0</v>
      </c>
      <c r="B17090" s="11" t="str">
        <f>IF(D17090&lt;&gt;"",IF(COUNTIF('USPTO TMs'!A:A,D17090)&gt;0,"Yes","No"),"")</f>
        <v/>
      </c>
      <c r="C17090" s="11"/>
      <c r="D17090" s="11"/>
      <c r="E17090" s="11"/>
      <c r="F17090" s="11"/>
      <c r="G17090" s="11"/>
      <c r="H17090" s="11"/>
      <c r="I17090" s="15"/>
    </row>
    <row r="17091" spans="1:9" ht="16.5">
      <c r="A17091" s="10" t="b">
        <v>0</v>
      </c>
      <c r="B17091" s="11" t="str">
        <f>IF(D17091&lt;&gt;"",IF(COUNTIF('USPTO TMs'!A:A,D17091)&gt;0,"Yes","No"),"")</f>
        <v/>
      </c>
      <c r="C17091" s="11"/>
      <c r="D17091" s="11"/>
      <c r="E17091" s="11"/>
      <c r="F17091" s="11"/>
      <c r="G17091" s="11"/>
      <c r="H17091" s="11"/>
      <c r="I17091" s="15"/>
    </row>
    <row r="17092" spans="1:9" ht="16.5">
      <c r="A17092" s="10" t="b">
        <v>0</v>
      </c>
      <c r="B17092" s="11" t="str">
        <f>IF(D17092&lt;&gt;"",IF(COUNTIF('USPTO TMs'!A:A,D17092)&gt;0,"Yes","No"),"")</f>
        <v/>
      </c>
      <c r="C17092" s="11"/>
      <c r="D17092" s="11"/>
      <c r="E17092" s="11"/>
      <c r="F17092" s="11"/>
      <c r="G17092" s="11"/>
      <c r="H17092" s="11"/>
      <c r="I17092" s="15"/>
    </row>
    <row r="17093" spans="1:9" ht="16.5">
      <c r="A17093" s="10" t="b">
        <v>0</v>
      </c>
      <c r="B17093" s="11" t="str">
        <f>IF(D17093&lt;&gt;"",IF(COUNTIF('USPTO TMs'!A:A,D17093)&gt;0,"Yes","No"),"")</f>
        <v/>
      </c>
      <c r="C17093" s="11"/>
      <c r="D17093" s="11"/>
      <c r="E17093" s="11"/>
      <c r="F17093" s="11"/>
      <c r="G17093" s="11"/>
      <c r="H17093" s="11"/>
      <c r="I17093" s="15"/>
    </row>
    <row r="17094" spans="1:9" ht="16.5">
      <c r="A17094" s="10" t="b">
        <v>0</v>
      </c>
      <c r="B17094" s="11" t="str">
        <f>IF(D17094&lt;&gt;"",IF(COUNTIF('USPTO TMs'!A:A,D17094)&gt;0,"Yes","No"),"")</f>
        <v/>
      </c>
      <c r="C17094" s="11"/>
      <c r="D17094" s="11"/>
      <c r="E17094" s="11"/>
      <c r="F17094" s="11"/>
      <c r="G17094" s="11"/>
      <c r="H17094" s="11"/>
      <c r="I17094" s="15"/>
    </row>
    <row r="17095" spans="1:9" ht="16.5">
      <c r="A17095" s="10" t="b">
        <v>0</v>
      </c>
      <c r="B17095" s="11" t="str">
        <f>IF(D17095&lt;&gt;"",IF(COUNTIF('USPTO TMs'!A:A,D17095)&gt;0,"Yes","No"),"")</f>
        <v/>
      </c>
      <c r="C17095" s="11"/>
      <c r="D17095" s="11"/>
      <c r="E17095" s="11"/>
      <c r="F17095" s="11"/>
      <c r="G17095" s="11"/>
      <c r="H17095" s="11"/>
      <c r="I17095" s="15"/>
    </row>
    <row r="17096" spans="1:9" ht="16.5">
      <c r="A17096" s="10" t="b">
        <v>0</v>
      </c>
      <c r="B17096" s="11" t="str">
        <f>IF(D17096&lt;&gt;"",IF(COUNTIF('USPTO TMs'!A:A,D17096)&gt;0,"Yes","No"),"")</f>
        <v/>
      </c>
      <c r="C17096" s="11"/>
      <c r="D17096" s="11"/>
      <c r="E17096" s="11"/>
      <c r="F17096" s="11"/>
      <c r="G17096" s="11"/>
      <c r="H17096" s="11"/>
      <c r="I17096" s="15"/>
    </row>
    <row r="17097" spans="1:9" ht="16.5">
      <c r="A17097" s="10" t="b">
        <v>0</v>
      </c>
      <c r="B17097" s="11" t="str">
        <f>IF(D17097&lt;&gt;"",IF(COUNTIF('USPTO TMs'!A:A,D17097)&gt;0,"Yes","No"),"")</f>
        <v/>
      </c>
      <c r="C17097" s="11"/>
      <c r="D17097" s="11"/>
      <c r="E17097" s="11"/>
      <c r="F17097" s="11"/>
      <c r="G17097" s="11"/>
      <c r="H17097" s="11"/>
      <c r="I17097" s="15"/>
    </row>
    <row r="17098" spans="1:9" ht="16.5">
      <c r="A17098" s="10" t="b">
        <v>0</v>
      </c>
      <c r="B17098" s="11" t="str">
        <f>IF(D17098&lt;&gt;"",IF(COUNTIF('USPTO TMs'!A:A,D17098)&gt;0,"Yes","No"),"")</f>
        <v/>
      </c>
      <c r="C17098" s="11"/>
      <c r="D17098" s="11"/>
      <c r="E17098" s="11"/>
      <c r="F17098" s="11"/>
      <c r="G17098" s="11"/>
      <c r="H17098" s="11"/>
      <c r="I17098" s="15"/>
    </row>
    <row r="17099" spans="1:9" ht="16.5">
      <c r="A17099" s="10" t="b">
        <v>0</v>
      </c>
      <c r="B17099" s="11" t="str">
        <f>IF(D17099&lt;&gt;"",IF(COUNTIF('USPTO TMs'!A:A,D17099)&gt;0,"Yes","No"),"")</f>
        <v/>
      </c>
      <c r="C17099" s="11"/>
      <c r="D17099" s="11"/>
      <c r="E17099" s="11"/>
      <c r="F17099" s="11"/>
      <c r="G17099" s="11"/>
      <c r="H17099" s="11"/>
      <c r="I17099" s="15"/>
    </row>
    <row r="17100" spans="1:9" ht="16.5">
      <c r="A17100" s="10" t="b">
        <v>0</v>
      </c>
      <c r="B17100" s="11" t="str">
        <f>IF(D17100&lt;&gt;"",IF(COUNTIF('USPTO TMs'!A:A,D17100)&gt;0,"Yes","No"),"")</f>
        <v/>
      </c>
      <c r="C17100" s="11"/>
      <c r="D17100" s="11"/>
      <c r="E17100" s="11"/>
      <c r="F17100" s="11"/>
      <c r="G17100" s="11"/>
      <c r="H17100" s="11"/>
      <c r="I17100" s="15"/>
    </row>
    <row r="17101" spans="1:9" ht="16.5">
      <c r="A17101" s="10" t="b">
        <v>0</v>
      </c>
      <c r="B17101" s="11" t="str">
        <f>IF(D17101&lt;&gt;"",IF(COUNTIF('USPTO TMs'!A:A,D17101)&gt;0,"Yes","No"),"")</f>
        <v/>
      </c>
      <c r="C17101" s="11"/>
      <c r="D17101" s="11"/>
      <c r="E17101" s="11"/>
      <c r="F17101" s="11"/>
      <c r="G17101" s="11"/>
      <c r="H17101" s="11"/>
      <c r="I17101" s="15"/>
    </row>
    <row r="17102" spans="1:9" ht="16.5">
      <c r="A17102" s="10" t="b">
        <v>0</v>
      </c>
      <c r="B17102" s="11" t="str">
        <f>IF(D17102&lt;&gt;"",IF(COUNTIF('USPTO TMs'!A:A,D17102)&gt;0,"Yes","No"),"")</f>
        <v/>
      </c>
      <c r="C17102" s="11"/>
      <c r="D17102" s="11"/>
      <c r="E17102" s="11"/>
      <c r="F17102" s="11"/>
      <c r="G17102" s="11"/>
      <c r="H17102" s="11"/>
      <c r="I17102" s="15"/>
    </row>
    <row r="17103" spans="1:9" ht="16.5">
      <c r="A17103" s="10" t="b">
        <v>0</v>
      </c>
      <c r="B17103" s="11" t="str">
        <f>IF(D17103&lt;&gt;"",IF(COUNTIF('USPTO TMs'!A:A,D17103)&gt;0,"Yes","No"),"")</f>
        <v/>
      </c>
      <c r="C17103" s="11"/>
      <c r="D17103" s="11"/>
      <c r="E17103" s="11"/>
      <c r="F17103" s="11"/>
      <c r="G17103" s="11"/>
      <c r="H17103" s="11"/>
      <c r="I17103" s="15"/>
    </row>
    <row r="17104" spans="1:9" ht="16.5">
      <c r="A17104" s="10" t="b">
        <v>0</v>
      </c>
      <c r="B17104" s="11" t="str">
        <f>IF(D17104&lt;&gt;"",IF(COUNTIF('USPTO TMs'!A:A,D17104)&gt;0,"Yes","No"),"")</f>
        <v/>
      </c>
      <c r="C17104" s="11"/>
      <c r="D17104" s="11"/>
      <c r="E17104" s="11"/>
      <c r="F17104" s="11"/>
      <c r="G17104" s="11"/>
      <c r="H17104" s="11"/>
      <c r="I17104" s="15"/>
    </row>
    <row r="17105" spans="1:9" ht="16.5">
      <c r="A17105" s="10" t="b">
        <v>0</v>
      </c>
      <c r="B17105" s="11" t="str">
        <f>IF(D17105&lt;&gt;"",IF(COUNTIF('USPTO TMs'!A:A,D17105)&gt;0,"Yes","No"),"")</f>
        <v/>
      </c>
      <c r="C17105" s="11"/>
      <c r="D17105" s="11"/>
      <c r="E17105" s="11"/>
      <c r="F17105" s="11"/>
      <c r="G17105" s="11"/>
      <c r="H17105" s="11"/>
      <c r="I17105" s="15"/>
    </row>
    <row r="17106" spans="1:9" ht="16.5">
      <c r="A17106" s="10" t="b">
        <v>0</v>
      </c>
      <c r="B17106" s="11" t="str">
        <f>IF(D17106&lt;&gt;"",IF(COUNTIF('USPTO TMs'!A:A,D17106)&gt;0,"Yes","No"),"")</f>
        <v/>
      </c>
      <c r="C17106" s="11"/>
      <c r="D17106" s="11"/>
      <c r="E17106" s="11"/>
      <c r="F17106" s="11"/>
      <c r="G17106" s="11"/>
      <c r="H17106" s="11"/>
      <c r="I17106" s="15"/>
    </row>
    <row r="17107" spans="1:9" ht="16.5">
      <c r="A17107" s="10" t="b">
        <v>0</v>
      </c>
      <c r="B17107" s="11" t="str">
        <f>IF(D17107&lt;&gt;"",IF(COUNTIF('USPTO TMs'!A:A,D17107)&gt;0,"Yes","No"),"")</f>
        <v/>
      </c>
      <c r="C17107" s="11"/>
      <c r="D17107" s="11"/>
      <c r="E17107" s="11"/>
      <c r="F17107" s="11"/>
      <c r="G17107" s="11"/>
      <c r="H17107" s="11"/>
      <c r="I17107" s="15"/>
    </row>
    <row r="17108" spans="1:9" ht="16.5">
      <c r="A17108" s="10" t="b">
        <v>0</v>
      </c>
      <c r="B17108" s="11" t="str">
        <f>IF(D17108&lt;&gt;"",IF(COUNTIF('USPTO TMs'!A:A,D17108)&gt;0,"Yes","No"),"")</f>
        <v/>
      </c>
      <c r="C17108" s="11"/>
      <c r="D17108" s="11"/>
      <c r="E17108" s="11"/>
      <c r="F17108" s="11"/>
      <c r="G17108" s="11"/>
      <c r="H17108" s="11"/>
      <c r="I17108" s="15"/>
    </row>
    <row r="17109" spans="1:9" ht="16.5">
      <c r="A17109" s="10" t="b">
        <v>0</v>
      </c>
      <c r="B17109" s="11" t="str">
        <f>IF(D17109&lt;&gt;"",IF(COUNTIF('USPTO TMs'!A:A,D17109)&gt;0,"Yes","No"),"")</f>
        <v/>
      </c>
      <c r="C17109" s="11"/>
      <c r="D17109" s="11"/>
      <c r="E17109" s="11"/>
      <c r="F17109" s="11"/>
      <c r="G17109" s="11"/>
      <c r="H17109" s="11"/>
      <c r="I17109" s="15"/>
    </row>
    <row r="17110" spans="1:9" ht="16.5">
      <c r="A17110" s="10" t="b">
        <v>0</v>
      </c>
      <c r="B17110" s="11" t="str">
        <f>IF(D17110&lt;&gt;"",IF(COUNTIF('USPTO TMs'!A:A,D17110)&gt;0,"Yes","No"),"")</f>
        <v/>
      </c>
      <c r="C17110" s="11"/>
      <c r="D17110" s="11"/>
      <c r="E17110" s="11"/>
      <c r="F17110" s="11"/>
      <c r="G17110" s="11"/>
      <c r="H17110" s="11"/>
      <c r="I17110" s="15"/>
    </row>
    <row r="17111" spans="1:9" ht="16.5">
      <c r="A17111" s="10" t="b">
        <v>0</v>
      </c>
      <c r="B17111" s="11" t="str">
        <f>IF(D17111&lt;&gt;"",IF(COUNTIF('USPTO TMs'!A:A,D17111)&gt;0,"Yes","No"),"")</f>
        <v/>
      </c>
      <c r="C17111" s="11"/>
      <c r="D17111" s="11"/>
      <c r="E17111" s="11"/>
      <c r="F17111" s="11"/>
      <c r="G17111" s="11"/>
      <c r="H17111" s="11"/>
      <c r="I17111" s="15"/>
    </row>
    <row r="17112" spans="1:9" ht="16.5">
      <c r="A17112" s="10" t="b">
        <v>0</v>
      </c>
      <c r="B17112" s="11" t="str">
        <f>IF(D17112&lt;&gt;"",IF(COUNTIF('USPTO TMs'!A:A,D17112)&gt;0,"Yes","No"),"")</f>
        <v/>
      </c>
      <c r="C17112" s="11"/>
      <c r="D17112" s="11"/>
      <c r="E17112" s="11"/>
      <c r="F17112" s="11"/>
      <c r="G17112" s="11"/>
      <c r="H17112" s="11"/>
      <c r="I17112" s="15"/>
    </row>
    <row r="17113" spans="1:9" ht="16.5">
      <c r="A17113" s="10" t="b">
        <v>0</v>
      </c>
      <c r="B17113" s="11" t="str">
        <f>IF(D17113&lt;&gt;"",IF(COUNTIF('USPTO TMs'!A:A,D17113)&gt;0,"Yes","No"),"")</f>
        <v/>
      </c>
      <c r="C17113" s="11"/>
      <c r="D17113" s="11"/>
      <c r="E17113" s="11"/>
      <c r="F17113" s="11"/>
      <c r="G17113" s="11"/>
      <c r="H17113" s="11"/>
      <c r="I17113" s="15"/>
    </row>
    <row r="17114" spans="1:9" ht="16.5">
      <c r="A17114" s="10" t="b">
        <v>0</v>
      </c>
      <c r="B17114" s="11" t="str">
        <f>IF(D17114&lt;&gt;"",IF(COUNTIF('USPTO TMs'!A:A,D17114)&gt;0,"Yes","No"),"")</f>
        <v/>
      </c>
      <c r="C17114" s="11"/>
      <c r="D17114" s="11"/>
      <c r="E17114" s="11"/>
      <c r="F17114" s="11"/>
      <c r="G17114" s="11"/>
      <c r="H17114" s="11"/>
      <c r="I17114" s="15"/>
    </row>
    <row r="17115" spans="1:9" ht="16.5">
      <c r="A17115" s="10" t="b">
        <v>0</v>
      </c>
      <c r="B17115" s="11" t="str">
        <f>IF(D17115&lt;&gt;"",IF(COUNTIF('USPTO TMs'!A:A,D17115)&gt;0,"Yes","No"),"")</f>
        <v/>
      </c>
      <c r="C17115" s="11"/>
      <c r="D17115" s="11"/>
      <c r="E17115" s="11"/>
      <c r="F17115" s="11"/>
      <c r="G17115" s="11"/>
      <c r="H17115" s="11"/>
      <c r="I17115" s="15"/>
    </row>
    <row r="17116" spans="1:9" ht="16.5">
      <c r="A17116" s="10" t="b">
        <v>0</v>
      </c>
      <c r="B17116" s="11" t="str">
        <f>IF(D17116&lt;&gt;"",IF(COUNTIF('USPTO TMs'!A:A,D17116)&gt;0,"Yes","No"),"")</f>
        <v/>
      </c>
      <c r="C17116" s="11"/>
      <c r="D17116" s="11"/>
      <c r="E17116" s="11"/>
      <c r="F17116" s="11"/>
      <c r="G17116" s="11"/>
      <c r="H17116" s="11"/>
      <c r="I17116" s="15"/>
    </row>
    <row r="17117" spans="1:9" ht="16.5">
      <c r="A17117" s="10" t="b">
        <v>0</v>
      </c>
      <c r="B17117" s="11" t="str">
        <f>IF(D17117&lt;&gt;"",IF(COUNTIF('USPTO TMs'!A:A,D17117)&gt;0,"Yes","No"),"")</f>
        <v/>
      </c>
      <c r="C17117" s="11"/>
      <c r="D17117" s="11"/>
      <c r="E17117" s="11"/>
      <c r="F17117" s="11"/>
      <c r="G17117" s="11"/>
      <c r="H17117" s="11"/>
      <c r="I17117" s="15"/>
    </row>
    <row r="17118" spans="1:9" ht="16.5">
      <c r="A17118" s="10" t="b">
        <v>0</v>
      </c>
      <c r="B17118" s="11" t="str">
        <f>IF(D17118&lt;&gt;"",IF(COUNTIF('USPTO TMs'!A:A,D17118)&gt;0,"Yes","No"),"")</f>
        <v/>
      </c>
      <c r="C17118" s="11"/>
      <c r="D17118" s="11"/>
      <c r="E17118" s="11"/>
      <c r="F17118" s="11"/>
      <c r="G17118" s="11"/>
      <c r="H17118" s="11"/>
      <c r="I17118" s="15"/>
    </row>
    <row r="17119" spans="1:9" ht="16.5">
      <c r="A17119" s="10" t="b">
        <v>0</v>
      </c>
      <c r="B17119" s="11" t="str">
        <f>IF(D17119&lt;&gt;"",IF(COUNTIF('USPTO TMs'!A:A,D17119)&gt;0,"Yes","No"),"")</f>
        <v/>
      </c>
      <c r="C17119" s="11"/>
      <c r="D17119" s="11"/>
      <c r="E17119" s="11"/>
      <c r="F17119" s="11"/>
      <c r="G17119" s="11"/>
      <c r="H17119" s="11"/>
      <c r="I17119" s="15"/>
    </row>
    <row r="17120" spans="1:9" ht="16.5">
      <c r="A17120" s="10" t="b">
        <v>0</v>
      </c>
      <c r="B17120" s="11" t="str">
        <f>IF(D17120&lt;&gt;"",IF(COUNTIF('USPTO TMs'!A:A,D17120)&gt;0,"Yes","No"),"")</f>
        <v/>
      </c>
      <c r="C17120" s="11"/>
      <c r="D17120" s="11"/>
      <c r="E17120" s="11"/>
      <c r="F17120" s="11"/>
      <c r="G17120" s="11"/>
      <c r="H17120" s="11"/>
      <c r="I17120" s="15"/>
    </row>
    <row r="17121" spans="1:9" ht="16.5">
      <c r="A17121" s="10" t="b">
        <v>0</v>
      </c>
      <c r="B17121" s="11" t="str">
        <f>IF(D17121&lt;&gt;"",IF(COUNTIF('USPTO TMs'!A:A,D17121)&gt;0,"Yes","No"),"")</f>
        <v/>
      </c>
      <c r="C17121" s="11"/>
      <c r="D17121" s="11"/>
      <c r="E17121" s="11"/>
      <c r="F17121" s="11"/>
      <c r="G17121" s="11"/>
      <c r="H17121" s="11"/>
      <c r="I17121" s="15"/>
    </row>
    <row r="17122" spans="1:9" ht="16.5">
      <c r="A17122" s="10" t="b">
        <v>0</v>
      </c>
      <c r="B17122" s="11" t="str">
        <f>IF(D17122&lt;&gt;"",IF(COUNTIF('USPTO TMs'!A:A,D17122)&gt;0,"Yes","No"),"")</f>
        <v/>
      </c>
      <c r="C17122" s="11"/>
      <c r="D17122" s="11"/>
      <c r="E17122" s="11"/>
      <c r="F17122" s="11"/>
      <c r="G17122" s="11"/>
      <c r="H17122" s="11"/>
      <c r="I17122" s="15"/>
    </row>
    <row r="17123" spans="1:9" ht="16.5">
      <c r="A17123" s="10" t="b">
        <v>0</v>
      </c>
      <c r="B17123" s="11" t="str">
        <f>IF(D17123&lt;&gt;"",IF(COUNTIF('USPTO TMs'!A:A,D17123)&gt;0,"Yes","No"),"")</f>
        <v/>
      </c>
      <c r="C17123" s="11"/>
      <c r="D17123" s="11"/>
      <c r="E17123" s="11"/>
      <c r="F17123" s="11"/>
      <c r="G17123" s="11"/>
      <c r="H17123" s="11"/>
      <c r="I17123" s="15"/>
    </row>
    <row r="17124" spans="1:9" ht="16.5">
      <c r="A17124" s="10" t="b">
        <v>0</v>
      </c>
      <c r="B17124" s="11" t="str">
        <f>IF(D17124&lt;&gt;"",IF(COUNTIF('USPTO TMs'!A:A,D17124)&gt;0,"Yes","No"),"")</f>
        <v/>
      </c>
      <c r="C17124" s="11"/>
      <c r="D17124" s="11"/>
      <c r="E17124" s="11"/>
      <c r="F17124" s="11"/>
      <c r="G17124" s="11"/>
      <c r="H17124" s="11"/>
      <c r="I17124" s="15"/>
    </row>
    <row r="17125" spans="1:9" ht="16.5">
      <c r="A17125" s="10" t="b">
        <v>0</v>
      </c>
      <c r="B17125" s="11" t="str">
        <f>IF(D17125&lt;&gt;"",IF(COUNTIF('USPTO TMs'!A:A,D17125)&gt;0,"Yes","No"),"")</f>
        <v/>
      </c>
      <c r="C17125" s="11"/>
      <c r="D17125" s="11"/>
      <c r="E17125" s="11"/>
      <c r="F17125" s="11"/>
      <c r="G17125" s="11"/>
      <c r="H17125" s="11"/>
      <c r="I17125" s="15"/>
    </row>
    <row r="17126" spans="1:9" ht="16.5">
      <c r="A17126" s="10" t="b">
        <v>0</v>
      </c>
      <c r="B17126" s="11" t="str">
        <f>IF(D17126&lt;&gt;"",IF(COUNTIF('USPTO TMs'!A:A,D17126)&gt;0,"Yes","No"),"")</f>
        <v/>
      </c>
      <c r="C17126" s="11"/>
      <c r="D17126" s="11"/>
      <c r="E17126" s="11"/>
      <c r="F17126" s="11"/>
      <c r="G17126" s="11"/>
      <c r="H17126" s="11"/>
      <c r="I17126" s="15"/>
    </row>
    <row r="17127" spans="1:9" ht="16.5">
      <c r="A17127" s="10" t="b">
        <v>0</v>
      </c>
      <c r="B17127" s="11" t="str">
        <f>IF(D17127&lt;&gt;"",IF(COUNTIF('USPTO TMs'!A:A,D17127)&gt;0,"Yes","No"),"")</f>
        <v/>
      </c>
      <c r="C17127" s="11"/>
      <c r="D17127" s="11"/>
      <c r="E17127" s="11"/>
      <c r="F17127" s="11"/>
      <c r="G17127" s="11"/>
      <c r="H17127" s="11"/>
      <c r="I17127" s="15"/>
    </row>
    <row r="17128" spans="1:9" ht="16.5">
      <c r="A17128" s="10" t="b">
        <v>0</v>
      </c>
      <c r="B17128" s="11" t="str">
        <f>IF(D17128&lt;&gt;"",IF(COUNTIF('USPTO TMs'!A:A,D17128)&gt;0,"Yes","No"),"")</f>
        <v/>
      </c>
      <c r="C17128" s="11"/>
      <c r="D17128" s="11"/>
      <c r="E17128" s="11"/>
      <c r="F17128" s="11"/>
      <c r="G17128" s="11"/>
      <c r="H17128" s="11"/>
      <c r="I17128" s="15"/>
    </row>
    <row r="17129" spans="1:9" ht="16.5">
      <c r="A17129" s="10" t="b">
        <v>0</v>
      </c>
      <c r="B17129" s="11" t="str">
        <f>IF(D17129&lt;&gt;"",IF(COUNTIF('USPTO TMs'!A:A,D17129)&gt;0,"Yes","No"),"")</f>
        <v/>
      </c>
      <c r="C17129" s="11"/>
      <c r="D17129" s="11"/>
      <c r="E17129" s="11"/>
      <c r="F17129" s="11"/>
      <c r="G17129" s="11"/>
      <c r="H17129" s="11"/>
      <c r="I17129" s="15"/>
    </row>
    <row r="17130" spans="1:9" ht="16.5">
      <c r="A17130" s="10" t="b">
        <v>0</v>
      </c>
      <c r="B17130" s="11" t="str">
        <f>IF(D17130&lt;&gt;"",IF(COUNTIF('USPTO TMs'!A:A,D17130)&gt;0,"Yes","No"),"")</f>
        <v/>
      </c>
      <c r="C17130" s="11"/>
      <c r="D17130" s="11"/>
      <c r="E17130" s="11"/>
      <c r="F17130" s="11"/>
      <c r="G17130" s="11"/>
      <c r="H17130" s="11"/>
      <c r="I17130" s="15"/>
    </row>
    <row r="17131" spans="1:9" ht="16.5">
      <c r="A17131" s="10" t="b">
        <v>0</v>
      </c>
      <c r="B17131" s="11" t="str">
        <f>IF(D17131&lt;&gt;"",IF(COUNTIF('USPTO TMs'!A:A,D17131)&gt;0,"Yes","No"),"")</f>
        <v/>
      </c>
      <c r="C17131" s="11"/>
      <c r="D17131" s="11"/>
      <c r="E17131" s="11"/>
      <c r="F17131" s="11"/>
      <c r="G17131" s="11"/>
      <c r="H17131" s="11"/>
      <c r="I17131" s="15"/>
    </row>
    <row r="17132" spans="1:9" ht="16.5">
      <c r="A17132" s="10" t="b">
        <v>0</v>
      </c>
      <c r="B17132" s="11" t="str">
        <f>IF(D17132&lt;&gt;"",IF(COUNTIF('USPTO TMs'!A:A,D17132)&gt;0,"Yes","No"),"")</f>
        <v/>
      </c>
      <c r="C17132" s="11"/>
      <c r="D17132" s="11"/>
      <c r="E17132" s="11"/>
      <c r="F17132" s="11"/>
      <c r="G17132" s="11"/>
      <c r="H17132" s="11"/>
      <c r="I17132" s="15"/>
    </row>
    <row r="17133" spans="1:9" ht="16.5">
      <c r="A17133" s="10" t="b">
        <v>0</v>
      </c>
      <c r="B17133" s="11" t="str">
        <f>IF(D17133&lt;&gt;"",IF(COUNTIF('USPTO TMs'!A:A,D17133)&gt;0,"Yes","No"),"")</f>
        <v/>
      </c>
      <c r="C17133" s="11"/>
      <c r="D17133" s="11"/>
      <c r="E17133" s="11"/>
      <c r="F17133" s="11"/>
      <c r="G17133" s="11"/>
      <c r="H17133" s="11"/>
      <c r="I17133" s="15"/>
    </row>
    <row r="17134" spans="1:9" ht="16.5">
      <c r="A17134" s="10" t="b">
        <v>0</v>
      </c>
      <c r="B17134" s="11" t="str">
        <f>IF(D17134&lt;&gt;"",IF(COUNTIF('USPTO TMs'!A:A,D17134)&gt;0,"Yes","No"),"")</f>
        <v/>
      </c>
      <c r="C17134" s="11"/>
      <c r="D17134" s="11"/>
      <c r="E17134" s="11"/>
      <c r="F17134" s="11"/>
      <c r="G17134" s="11"/>
      <c r="H17134" s="11"/>
      <c r="I17134" s="15"/>
    </row>
    <row r="17135" spans="1:9" ht="16.5">
      <c r="A17135" s="10" t="b">
        <v>0</v>
      </c>
      <c r="B17135" s="11" t="str">
        <f>IF(D17135&lt;&gt;"",IF(COUNTIF('USPTO TMs'!A:A,D17135)&gt;0,"Yes","No"),"")</f>
        <v/>
      </c>
      <c r="C17135" s="11"/>
      <c r="D17135" s="11"/>
      <c r="E17135" s="11"/>
      <c r="F17135" s="11"/>
      <c r="G17135" s="11"/>
      <c r="H17135" s="11"/>
      <c r="I17135" s="15"/>
    </row>
    <row r="17136" spans="1:9" ht="16.5">
      <c r="A17136" s="10" t="b">
        <v>0</v>
      </c>
      <c r="B17136" s="11" t="str">
        <f>IF(D17136&lt;&gt;"",IF(COUNTIF('USPTO TMs'!A:A,D17136)&gt;0,"Yes","No"),"")</f>
        <v/>
      </c>
      <c r="C17136" s="11"/>
      <c r="D17136" s="11"/>
      <c r="E17136" s="11"/>
      <c r="F17136" s="11"/>
      <c r="G17136" s="11"/>
      <c r="H17136" s="11"/>
      <c r="I17136" s="15"/>
    </row>
    <row r="17137" spans="1:9" ht="16.5">
      <c r="A17137" s="10" t="b">
        <v>0</v>
      </c>
      <c r="B17137" s="11" t="str">
        <f>IF(D17137&lt;&gt;"",IF(COUNTIF('USPTO TMs'!A:A,D17137)&gt;0,"Yes","No"),"")</f>
        <v/>
      </c>
      <c r="C17137" s="11"/>
      <c r="D17137" s="11"/>
      <c r="E17137" s="11"/>
      <c r="F17137" s="11"/>
      <c r="G17137" s="11"/>
      <c r="H17137" s="11"/>
      <c r="I17137" s="15"/>
    </row>
    <row r="17138" spans="1:9" ht="16.5">
      <c r="A17138" s="10" t="b">
        <v>0</v>
      </c>
      <c r="B17138" s="11" t="str">
        <f>IF(D17138&lt;&gt;"",IF(COUNTIF('USPTO TMs'!A:A,D17138)&gt;0,"Yes","No"),"")</f>
        <v/>
      </c>
      <c r="C17138" s="11"/>
      <c r="D17138" s="11"/>
      <c r="E17138" s="11"/>
      <c r="F17138" s="11"/>
      <c r="G17138" s="11"/>
      <c r="H17138" s="11"/>
      <c r="I17138" s="15"/>
    </row>
    <row r="17139" spans="1:9" ht="16.5">
      <c r="A17139" s="10" t="b">
        <v>0</v>
      </c>
      <c r="B17139" s="11" t="str">
        <f>IF(D17139&lt;&gt;"",IF(COUNTIF('USPTO TMs'!A:A,D17139)&gt;0,"Yes","No"),"")</f>
        <v/>
      </c>
      <c r="C17139" s="11"/>
      <c r="D17139" s="11"/>
      <c r="E17139" s="11"/>
      <c r="F17139" s="11"/>
      <c r="G17139" s="11"/>
      <c r="H17139" s="11"/>
      <c r="I17139" s="15"/>
    </row>
    <row r="17140" spans="1:9" ht="16.5">
      <c r="A17140" s="10" t="b">
        <v>0</v>
      </c>
      <c r="B17140" s="11" t="str">
        <f>IF(D17140&lt;&gt;"",IF(COUNTIF('USPTO TMs'!A:A,D17140)&gt;0,"Yes","No"),"")</f>
        <v/>
      </c>
      <c r="C17140" s="11"/>
      <c r="D17140" s="11"/>
      <c r="E17140" s="11"/>
      <c r="F17140" s="11"/>
      <c r="G17140" s="11"/>
      <c r="H17140" s="11"/>
      <c r="I17140" s="15"/>
    </row>
    <row r="17141" spans="1:9" ht="16.5">
      <c r="A17141" s="10" t="b">
        <v>0</v>
      </c>
      <c r="B17141" s="11" t="str">
        <f>IF(D17141&lt;&gt;"",IF(COUNTIF('USPTO TMs'!A:A,D17141)&gt;0,"Yes","No"),"")</f>
        <v/>
      </c>
      <c r="C17141" s="11"/>
      <c r="D17141" s="11"/>
      <c r="E17141" s="11"/>
      <c r="F17141" s="11"/>
      <c r="G17141" s="11"/>
      <c r="H17141" s="11"/>
      <c r="I17141" s="15"/>
    </row>
    <row r="17142" spans="1:9" ht="16.5">
      <c r="A17142" s="10" t="b">
        <v>0</v>
      </c>
      <c r="B17142" s="11" t="str">
        <f>IF(D17142&lt;&gt;"",IF(COUNTIF('USPTO TMs'!A:A,D17142)&gt;0,"Yes","No"),"")</f>
        <v/>
      </c>
      <c r="C17142" s="11"/>
      <c r="D17142" s="11"/>
      <c r="E17142" s="11"/>
      <c r="F17142" s="11"/>
      <c r="G17142" s="11"/>
      <c r="H17142" s="11"/>
      <c r="I17142" s="15"/>
    </row>
    <row r="17143" spans="1:9" ht="16.5">
      <c r="A17143" s="10" t="b">
        <v>0</v>
      </c>
      <c r="B17143" s="11" t="str">
        <f>IF(D17143&lt;&gt;"",IF(COUNTIF('USPTO TMs'!A:A,D17143)&gt;0,"Yes","No"),"")</f>
        <v/>
      </c>
      <c r="C17143" s="11"/>
      <c r="D17143" s="11"/>
      <c r="E17143" s="11"/>
      <c r="F17143" s="11"/>
      <c r="G17143" s="11"/>
      <c r="H17143" s="11"/>
      <c r="I17143" s="15"/>
    </row>
    <row r="17144" spans="1:9" ht="16.5">
      <c r="A17144" s="10" t="b">
        <v>0</v>
      </c>
      <c r="B17144" s="11" t="str">
        <f>IF(D17144&lt;&gt;"",IF(COUNTIF('USPTO TMs'!A:A,D17144)&gt;0,"Yes","No"),"")</f>
        <v/>
      </c>
      <c r="C17144" s="11"/>
      <c r="D17144" s="11"/>
      <c r="E17144" s="11"/>
      <c r="F17144" s="11"/>
      <c r="G17144" s="11"/>
      <c r="H17144" s="11"/>
      <c r="I17144" s="15"/>
    </row>
    <row r="17145" spans="1:9" ht="16.5">
      <c r="A17145" s="10" t="b">
        <v>0</v>
      </c>
      <c r="B17145" s="11" t="str">
        <f>IF(D17145&lt;&gt;"",IF(COUNTIF('USPTO TMs'!A:A,D17145)&gt;0,"Yes","No"),"")</f>
        <v/>
      </c>
      <c r="C17145" s="11"/>
      <c r="D17145" s="11"/>
      <c r="E17145" s="11"/>
      <c r="F17145" s="11"/>
      <c r="G17145" s="11"/>
      <c r="H17145" s="11"/>
      <c r="I17145" s="15"/>
    </row>
    <row r="17146" spans="1:9" ht="16.5">
      <c r="A17146" s="10" t="b">
        <v>0</v>
      </c>
      <c r="B17146" s="11" t="str">
        <f>IF(D17146&lt;&gt;"",IF(COUNTIF('USPTO TMs'!A:A,D17146)&gt;0,"Yes","No"),"")</f>
        <v/>
      </c>
      <c r="C17146" s="11"/>
      <c r="D17146" s="11"/>
      <c r="E17146" s="11"/>
      <c r="F17146" s="11"/>
      <c r="G17146" s="11"/>
      <c r="H17146" s="11"/>
      <c r="I17146" s="15"/>
    </row>
    <row r="17147" spans="1:9" ht="16.5">
      <c r="A17147" s="10" t="b">
        <v>0</v>
      </c>
      <c r="B17147" s="11" t="str">
        <f>IF(D17147&lt;&gt;"",IF(COUNTIF('USPTO TMs'!A:A,D17147)&gt;0,"Yes","No"),"")</f>
        <v/>
      </c>
      <c r="C17147" s="11"/>
      <c r="D17147" s="11"/>
      <c r="E17147" s="11"/>
      <c r="F17147" s="11"/>
      <c r="G17147" s="11"/>
      <c r="H17147" s="11"/>
      <c r="I17147" s="15"/>
    </row>
    <row r="17148" spans="1:9" ht="16.5">
      <c r="A17148" s="10" t="b">
        <v>0</v>
      </c>
      <c r="B17148" s="11" t="str">
        <f>IF(D17148&lt;&gt;"",IF(COUNTIF('USPTO TMs'!A:A,D17148)&gt;0,"Yes","No"),"")</f>
        <v/>
      </c>
      <c r="C17148" s="11"/>
      <c r="D17148" s="11"/>
      <c r="E17148" s="11"/>
      <c r="F17148" s="11"/>
      <c r="G17148" s="11"/>
      <c r="H17148" s="11"/>
      <c r="I17148" s="15"/>
    </row>
    <row r="17149" spans="1:9" ht="16.5">
      <c r="A17149" s="10" t="b">
        <v>0</v>
      </c>
      <c r="B17149" s="11" t="str">
        <f>IF(D17149&lt;&gt;"",IF(COUNTIF('USPTO TMs'!A:A,D17149)&gt;0,"Yes","No"),"")</f>
        <v/>
      </c>
      <c r="C17149" s="11"/>
      <c r="D17149" s="11"/>
      <c r="E17149" s="11"/>
      <c r="F17149" s="11"/>
      <c r="G17149" s="11"/>
      <c r="H17149" s="11"/>
      <c r="I17149" s="15"/>
    </row>
    <row r="17150" spans="1:9" ht="16.5">
      <c r="A17150" s="10" t="b">
        <v>0</v>
      </c>
      <c r="B17150" s="11" t="str">
        <f>IF(D17150&lt;&gt;"",IF(COUNTIF('USPTO TMs'!A:A,D17150)&gt;0,"Yes","No"),"")</f>
        <v/>
      </c>
      <c r="C17150" s="11"/>
      <c r="D17150" s="11"/>
      <c r="E17150" s="11"/>
      <c r="F17150" s="11"/>
      <c r="G17150" s="11"/>
      <c r="H17150" s="11"/>
      <c r="I17150" s="15"/>
    </row>
    <row r="17151" spans="1:9" ht="16.5">
      <c r="A17151" s="10" t="b">
        <v>0</v>
      </c>
      <c r="B17151" s="11" t="str">
        <f>IF(D17151&lt;&gt;"",IF(COUNTIF('USPTO TMs'!A:A,D17151)&gt;0,"Yes","No"),"")</f>
        <v/>
      </c>
      <c r="C17151" s="11"/>
      <c r="D17151" s="11"/>
      <c r="E17151" s="11"/>
      <c r="F17151" s="11"/>
      <c r="G17151" s="11"/>
      <c r="H17151" s="11"/>
      <c r="I17151" s="15"/>
    </row>
    <row r="17152" spans="1:9" ht="16.5">
      <c r="A17152" s="10" t="b">
        <v>0</v>
      </c>
      <c r="B17152" s="11" t="str">
        <f>IF(D17152&lt;&gt;"",IF(COUNTIF('USPTO TMs'!A:A,D17152)&gt;0,"Yes","No"),"")</f>
        <v/>
      </c>
      <c r="C17152" s="11"/>
      <c r="D17152" s="11"/>
      <c r="E17152" s="11"/>
      <c r="F17152" s="11"/>
      <c r="G17152" s="11"/>
      <c r="H17152" s="11"/>
      <c r="I17152" s="15"/>
    </row>
    <row r="17153" spans="1:9" ht="16.5">
      <c r="A17153" s="10" t="b">
        <v>0</v>
      </c>
      <c r="B17153" s="11" t="str">
        <f>IF(D17153&lt;&gt;"",IF(COUNTIF('USPTO TMs'!A:A,D17153)&gt;0,"Yes","No"),"")</f>
        <v/>
      </c>
      <c r="C17153" s="11"/>
      <c r="D17153" s="11"/>
      <c r="E17153" s="11"/>
      <c r="F17153" s="11"/>
      <c r="G17153" s="11"/>
      <c r="H17153" s="11"/>
      <c r="I17153" s="15"/>
    </row>
    <row r="17154" spans="1:9" ht="16.5">
      <c r="A17154" s="10" t="b">
        <v>0</v>
      </c>
      <c r="B17154" s="11" t="str">
        <f>IF(D17154&lt;&gt;"",IF(COUNTIF('USPTO TMs'!A:A,D17154)&gt;0,"Yes","No"),"")</f>
        <v/>
      </c>
      <c r="C17154" s="11"/>
      <c r="D17154" s="11"/>
      <c r="E17154" s="11"/>
      <c r="F17154" s="11"/>
      <c r="G17154" s="11"/>
      <c r="H17154" s="11"/>
      <c r="I17154" s="15"/>
    </row>
    <row r="17155" spans="1:9" ht="16.5">
      <c r="A17155" s="10" t="b">
        <v>0</v>
      </c>
      <c r="B17155" s="11" t="str">
        <f>IF(D17155&lt;&gt;"",IF(COUNTIF('USPTO TMs'!A:A,D17155)&gt;0,"Yes","No"),"")</f>
        <v/>
      </c>
      <c r="C17155" s="11"/>
      <c r="D17155" s="11"/>
      <c r="E17155" s="11"/>
      <c r="F17155" s="11"/>
      <c r="G17155" s="11"/>
      <c r="H17155" s="11"/>
      <c r="I17155" s="15"/>
    </row>
    <row r="17156" spans="1:9" ht="16.5">
      <c r="A17156" s="10" t="b">
        <v>0</v>
      </c>
      <c r="B17156" s="11" t="str">
        <f>IF(D17156&lt;&gt;"",IF(COUNTIF('USPTO TMs'!A:A,D17156)&gt;0,"Yes","No"),"")</f>
        <v/>
      </c>
      <c r="C17156" s="11"/>
      <c r="D17156" s="11"/>
      <c r="E17156" s="11"/>
      <c r="F17156" s="11"/>
      <c r="G17156" s="11"/>
      <c r="H17156" s="11"/>
      <c r="I17156" s="15"/>
    </row>
    <row r="17157" spans="1:9" ht="16.5">
      <c r="A17157" s="10" t="b">
        <v>0</v>
      </c>
      <c r="B17157" s="11" t="str">
        <f>IF(D17157&lt;&gt;"",IF(COUNTIF('USPTO TMs'!A:A,D17157)&gt;0,"Yes","No"),"")</f>
        <v/>
      </c>
      <c r="C17157" s="11"/>
      <c r="D17157" s="11"/>
      <c r="E17157" s="11"/>
      <c r="F17157" s="11"/>
      <c r="G17157" s="11"/>
      <c r="H17157" s="11"/>
      <c r="I17157" s="15"/>
    </row>
    <row r="17158" spans="1:9" ht="16.5">
      <c r="A17158" s="10" t="b">
        <v>0</v>
      </c>
      <c r="B17158" s="11" t="str">
        <f>IF(D17158&lt;&gt;"",IF(COUNTIF('USPTO TMs'!A:A,D17158)&gt;0,"Yes","No"),"")</f>
        <v/>
      </c>
      <c r="C17158" s="11"/>
      <c r="D17158" s="11"/>
      <c r="E17158" s="11"/>
      <c r="F17158" s="11"/>
      <c r="G17158" s="11"/>
      <c r="H17158" s="11"/>
      <c r="I17158" s="15"/>
    </row>
    <row r="17159" spans="1:9" ht="16.5">
      <c r="A17159" s="10" t="b">
        <v>0</v>
      </c>
      <c r="B17159" s="11" t="str">
        <f>IF(D17159&lt;&gt;"",IF(COUNTIF('USPTO TMs'!A:A,D17159)&gt;0,"Yes","No"),"")</f>
        <v/>
      </c>
      <c r="C17159" s="11"/>
      <c r="D17159" s="11"/>
      <c r="E17159" s="11"/>
      <c r="F17159" s="11"/>
      <c r="G17159" s="11"/>
      <c r="H17159" s="11"/>
      <c r="I17159" s="15"/>
    </row>
    <row r="17160" spans="1:9" ht="16.5">
      <c r="A17160" s="10" t="b">
        <v>0</v>
      </c>
      <c r="B17160" s="11" t="str">
        <f>IF(D17160&lt;&gt;"",IF(COUNTIF('USPTO TMs'!A:A,D17160)&gt;0,"Yes","No"),"")</f>
        <v/>
      </c>
      <c r="C17160" s="11"/>
      <c r="D17160" s="11"/>
      <c r="E17160" s="11"/>
      <c r="F17160" s="11"/>
      <c r="G17160" s="11"/>
      <c r="H17160" s="11"/>
      <c r="I17160" s="15"/>
    </row>
    <row r="17161" spans="1:9" ht="16.5">
      <c r="A17161" s="10" t="b">
        <v>0</v>
      </c>
      <c r="B17161" s="11" t="str">
        <f>IF(D17161&lt;&gt;"",IF(COUNTIF('USPTO TMs'!A:A,D17161)&gt;0,"Yes","No"),"")</f>
        <v/>
      </c>
      <c r="C17161" s="11"/>
      <c r="D17161" s="11"/>
      <c r="E17161" s="11"/>
      <c r="F17161" s="11"/>
      <c r="G17161" s="11"/>
      <c r="H17161" s="11"/>
      <c r="I17161" s="15"/>
    </row>
    <row r="17162" spans="1:9" ht="16.5">
      <c r="A17162" s="10" t="b">
        <v>0</v>
      </c>
      <c r="B17162" s="11" t="str">
        <f>IF(D17162&lt;&gt;"",IF(COUNTIF('USPTO TMs'!A:A,D17162)&gt;0,"Yes","No"),"")</f>
        <v/>
      </c>
      <c r="C17162" s="11"/>
      <c r="D17162" s="11"/>
      <c r="E17162" s="11"/>
      <c r="F17162" s="11"/>
      <c r="G17162" s="11"/>
      <c r="H17162" s="11"/>
      <c r="I17162" s="15"/>
    </row>
    <row r="17163" spans="1:9" ht="16.5">
      <c r="A17163" s="10" t="b">
        <v>0</v>
      </c>
      <c r="B17163" s="11" t="str">
        <f>IF(D17163&lt;&gt;"",IF(COUNTIF('USPTO TMs'!A:A,D17163)&gt;0,"Yes","No"),"")</f>
        <v/>
      </c>
      <c r="C17163" s="11"/>
      <c r="D17163" s="11"/>
      <c r="E17163" s="11"/>
      <c r="F17163" s="11"/>
      <c r="G17163" s="11"/>
      <c r="H17163" s="11"/>
      <c r="I17163" s="15"/>
    </row>
    <row r="17164" spans="1:9" ht="16.5">
      <c r="A17164" s="10" t="b">
        <v>0</v>
      </c>
      <c r="B17164" s="11" t="str">
        <f>IF(D17164&lt;&gt;"",IF(COUNTIF('USPTO TMs'!A:A,D17164)&gt;0,"Yes","No"),"")</f>
        <v/>
      </c>
      <c r="C17164" s="11"/>
      <c r="D17164" s="11"/>
      <c r="E17164" s="11"/>
      <c r="F17164" s="11"/>
      <c r="G17164" s="11"/>
      <c r="H17164" s="11"/>
      <c r="I17164" s="15"/>
    </row>
    <row r="17165" spans="1:9" ht="16.5">
      <c r="A17165" s="10" t="b">
        <v>0</v>
      </c>
      <c r="B17165" s="11" t="str">
        <f>IF(D17165&lt;&gt;"",IF(COUNTIF('USPTO TMs'!A:A,D17165)&gt;0,"Yes","No"),"")</f>
        <v/>
      </c>
      <c r="C17165" s="11"/>
      <c r="D17165" s="11"/>
      <c r="E17165" s="11"/>
      <c r="F17165" s="11"/>
      <c r="G17165" s="11"/>
      <c r="H17165" s="11"/>
      <c r="I17165" s="15"/>
    </row>
    <row r="17166" spans="1:9" ht="16.5">
      <c r="A17166" s="10" t="b">
        <v>0</v>
      </c>
      <c r="B17166" s="11" t="str">
        <f>IF(D17166&lt;&gt;"",IF(COUNTIF('USPTO TMs'!A:A,D17166)&gt;0,"Yes","No"),"")</f>
        <v/>
      </c>
      <c r="C17166" s="11"/>
      <c r="D17166" s="11"/>
      <c r="E17166" s="11"/>
      <c r="F17166" s="11"/>
      <c r="G17166" s="11"/>
      <c r="H17166" s="11"/>
      <c r="I17166" s="15"/>
    </row>
    <row r="17167" spans="1:9" ht="16.5">
      <c r="A17167" s="10" t="b">
        <v>0</v>
      </c>
      <c r="B17167" s="11" t="str">
        <f>IF(D17167&lt;&gt;"",IF(COUNTIF('USPTO TMs'!A:A,D17167)&gt;0,"Yes","No"),"")</f>
        <v/>
      </c>
      <c r="C17167" s="11"/>
      <c r="D17167" s="11"/>
      <c r="E17167" s="11"/>
      <c r="F17167" s="11"/>
      <c r="G17167" s="11"/>
      <c r="H17167" s="11"/>
      <c r="I17167" s="15"/>
    </row>
    <row r="17168" spans="1:9" ht="16.5">
      <c r="A17168" s="10" t="b">
        <v>0</v>
      </c>
      <c r="B17168" s="11" t="str">
        <f>IF(D17168&lt;&gt;"",IF(COUNTIF('USPTO TMs'!A:A,D17168)&gt;0,"Yes","No"),"")</f>
        <v/>
      </c>
      <c r="C17168" s="11"/>
      <c r="D17168" s="11"/>
      <c r="E17168" s="11"/>
      <c r="F17168" s="11"/>
      <c r="G17168" s="11"/>
      <c r="H17168" s="11"/>
      <c r="I17168" s="15"/>
    </row>
    <row r="17169" spans="1:9" ht="16.5">
      <c r="A17169" s="10" t="b">
        <v>0</v>
      </c>
      <c r="B17169" s="11" t="str">
        <f>IF(D17169&lt;&gt;"",IF(COUNTIF('USPTO TMs'!A:A,D17169)&gt;0,"Yes","No"),"")</f>
        <v/>
      </c>
      <c r="C17169" s="11"/>
      <c r="D17169" s="11"/>
      <c r="E17169" s="11"/>
      <c r="F17169" s="11"/>
      <c r="G17169" s="11"/>
      <c r="H17169" s="11"/>
      <c r="I17169" s="15"/>
    </row>
    <row r="17170" spans="1:9" ht="16.5">
      <c r="A17170" s="10" t="b">
        <v>0</v>
      </c>
      <c r="B17170" s="11" t="str">
        <f>IF(D17170&lt;&gt;"",IF(COUNTIF('USPTO TMs'!A:A,D17170)&gt;0,"Yes","No"),"")</f>
        <v/>
      </c>
      <c r="C17170" s="11"/>
      <c r="D17170" s="11"/>
      <c r="E17170" s="11"/>
      <c r="F17170" s="11"/>
      <c r="G17170" s="11"/>
      <c r="H17170" s="11"/>
      <c r="I17170" s="15"/>
    </row>
    <row r="17171" spans="1:9" ht="16.5">
      <c r="A17171" s="10" t="b">
        <v>0</v>
      </c>
      <c r="B17171" s="11" t="str">
        <f>IF(D17171&lt;&gt;"",IF(COUNTIF('USPTO TMs'!A:A,D17171)&gt;0,"Yes","No"),"")</f>
        <v/>
      </c>
      <c r="C17171" s="11"/>
      <c r="D17171" s="11"/>
      <c r="E17171" s="11"/>
      <c r="F17171" s="11"/>
      <c r="G17171" s="11"/>
      <c r="H17171" s="11"/>
      <c r="I17171" s="15"/>
    </row>
    <row r="17172" spans="1:9" ht="16.5">
      <c r="A17172" s="10" t="b">
        <v>0</v>
      </c>
      <c r="B17172" s="11" t="str">
        <f>IF(D17172&lt;&gt;"",IF(COUNTIF('USPTO TMs'!A:A,D17172)&gt;0,"Yes","No"),"")</f>
        <v/>
      </c>
      <c r="C17172" s="11"/>
      <c r="D17172" s="11"/>
      <c r="E17172" s="11"/>
      <c r="F17172" s="11"/>
      <c r="G17172" s="11"/>
      <c r="H17172" s="11"/>
      <c r="I17172" s="15"/>
    </row>
    <row r="17173" spans="1:9" ht="16.5">
      <c r="A17173" s="10" t="b">
        <v>0</v>
      </c>
      <c r="B17173" s="11" t="str">
        <f>IF(D17173&lt;&gt;"",IF(COUNTIF('USPTO TMs'!A:A,D17173)&gt;0,"Yes","No"),"")</f>
        <v/>
      </c>
      <c r="C17173" s="11"/>
      <c r="D17173" s="11"/>
      <c r="E17173" s="11"/>
      <c r="F17173" s="11"/>
      <c r="G17173" s="11"/>
      <c r="H17173" s="11"/>
      <c r="I17173" s="15"/>
    </row>
    <row r="17174" spans="1:9" ht="16.5">
      <c r="A17174" s="10" t="b">
        <v>0</v>
      </c>
      <c r="B17174" s="11" t="str">
        <f>IF(D17174&lt;&gt;"",IF(COUNTIF('USPTO TMs'!A:A,D17174)&gt;0,"Yes","No"),"")</f>
        <v/>
      </c>
      <c r="C17174" s="11"/>
      <c r="D17174" s="11"/>
      <c r="E17174" s="11"/>
      <c r="F17174" s="11"/>
      <c r="G17174" s="11"/>
      <c r="H17174" s="11"/>
      <c r="I17174" s="15"/>
    </row>
    <row r="17175" spans="1:9" ht="16.5">
      <c r="A17175" s="10" t="b">
        <v>0</v>
      </c>
      <c r="B17175" s="11" t="str">
        <f>IF(D17175&lt;&gt;"",IF(COUNTIF('USPTO TMs'!A:A,D17175)&gt;0,"Yes","No"),"")</f>
        <v/>
      </c>
      <c r="C17175" s="11"/>
      <c r="D17175" s="11"/>
      <c r="E17175" s="11"/>
      <c r="F17175" s="11"/>
      <c r="G17175" s="11"/>
      <c r="H17175" s="11"/>
      <c r="I17175" s="15"/>
    </row>
    <row r="17176" spans="1:9" ht="16.5">
      <c r="A17176" s="10" t="b">
        <v>0</v>
      </c>
      <c r="B17176" s="11" t="str">
        <f>IF(D17176&lt;&gt;"",IF(COUNTIF('USPTO TMs'!A:A,D17176)&gt;0,"Yes","No"),"")</f>
        <v/>
      </c>
      <c r="C17176" s="11"/>
      <c r="D17176" s="11"/>
      <c r="E17176" s="11"/>
      <c r="F17176" s="11"/>
      <c r="G17176" s="11"/>
      <c r="H17176" s="11"/>
      <c r="I17176" s="15"/>
    </row>
    <row r="17177" spans="1:9" ht="16.5">
      <c r="A17177" s="10" t="b">
        <v>0</v>
      </c>
      <c r="B17177" s="11" t="str">
        <f>IF(D17177&lt;&gt;"",IF(COUNTIF('USPTO TMs'!A:A,D17177)&gt;0,"Yes","No"),"")</f>
        <v/>
      </c>
      <c r="C17177" s="11"/>
      <c r="D17177" s="11"/>
      <c r="E17177" s="11"/>
      <c r="F17177" s="11"/>
      <c r="G17177" s="11"/>
      <c r="H17177" s="11"/>
      <c r="I17177" s="15"/>
    </row>
    <row r="17178" spans="1:9" ht="16.5">
      <c r="A17178" s="10" t="b">
        <v>0</v>
      </c>
      <c r="B17178" s="11" t="str">
        <f>IF(D17178&lt;&gt;"",IF(COUNTIF('USPTO TMs'!A:A,D17178)&gt;0,"Yes","No"),"")</f>
        <v/>
      </c>
      <c r="C17178" s="11"/>
      <c r="D17178" s="11"/>
      <c r="E17178" s="11"/>
      <c r="F17178" s="11"/>
      <c r="G17178" s="11"/>
      <c r="H17178" s="11"/>
      <c r="I17178" s="15"/>
    </row>
    <row r="17179" spans="1:9" ht="16.5">
      <c r="A17179" s="10" t="b">
        <v>0</v>
      </c>
      <c r="B17179" s="11" t="str">
        <f>IF(D17179&lt;&gt;"",IF(COUNTIF('USPTO TMs'!A:A,D17179)&gt;0,"Yes","No"),"")</f>
        <v/>
      </c>
      <c r="C17179" s="11"/>
      <c r="D17179" s="11"/>
      <c r="E17179" s="11"/>
      <c r="F17179" s="11"/>
      <c r="G17179" s="11"/>
      <c r="H17179" s="11"/>
      <c r="I17179" s="15"/>
    </row>
    <row r="17180" spans="1:9" ht="16.5">
      <c r="A17180" s="10" t="b">
        <v>0</v>
      </c>
      <c r="B17180" s="11" t="str">
        <f>IF(D17180&lt;&gt;"",IF(COUNTIF('USPTO TMs'!A:A,D17180)&gt;0,"Yes","No"),"")</f>
        <v/>
      </c>
      <c r="C17180" s="11"/>
      <c r="D17180" s="11"/>
      <c r="E17180" s="11"/>
      <c r="F17180" s="11"/>
      <c r="G17180" s="11"/>
      <c r="H17180" s="11"/>
      <c r="I17180" s="15"/>
    </row>
    <row r="17181" spans="1:9" ht="16.5">
      <c r="A17181" s="10" t="b">
        <v>0</v>
      </c>
      <c r="B17181" s="11" t="str">
        <f>IF(D17181&lt;&gt;"",IF(COUNTIF('USPTO TMs'!A:A,D17181)&gt;0,"Yes","No"),"")</f>
        <v/>
      </c>
      <c r="C17181" s="11"/>
      <c r="D17181" s="11"/>
      <c r="E17181" s="11"/>
      <c r="F17181" s="11"/>
      <c r="G17181" s="11"/>
      <c r="H17181" s="11"/>
      <c r="I17181" s="15"/>
    </row>
    <row r="17182" spans="1:9" ht="16.5">
      <c r="A17182" s="10" t="b">
        <v>0</v>
      </c>
      <c r="B17182" s="11" t="str">
        <f>IF(D17182&lt;&gt;"",IF(COUNTIF('USPTO TMs'!A:A,D17182)&gt;0,"Yes","No"),"")</f>
        <v/>
      </c>
      <c r="C17182" s="11"/>
      <c r="D17182" s="11"/>
      <c r="E17182" s="11"/>
      <c r="F17182" s="11"/>
      <c r="G17182" s="11"/>
      <c r="H17182" s="11"/>
      <c r="I17182" s="15"/>
    </row>
    <row r="17183" spans="1:9" ht="16.5">
      <c r="A17183" s="10" t="b">
        <v>0</v>
      </c>
      <c r="B17183" s="11" t="str">
        <f>IF(D17183&lt;&gt;"",IF(COUNTIF('USPTO TMs'!A:A,D17183)&gt;0,"Yes","No"),"")</f>
        <v/>
      </c>
      <c r="C17183" s="11"/>
      <c r="D17183" s="11"/>
      <c r="E17183" s="11"/>
      <c r="F17183" s="11"/>
      <c r="G17183" s="11"/>
      <c r="H17183" s="11"/>
      <c r="I17183" s="15"/>
    </row>
    <row r="17184" spans="1:9" ht="16.5">
      <c r="A17184" s="10" t="b">
        <v>0</v>
      </c>
      <c r="B17184" s="11" t="str">
        <f>IF(D17184&lt;&gt;"",IF(COUNTIF('USPTO TMs'!A:A,D17184)&gt;0,"Yes","No"),"")</f>
        <v/>
      </c>
      <c r="C17184" s="11"/>
      <c r="D17184" s="11"/>
      <c r="E17184" s="11"/>
      <c r="F17184" s="11"/>
      <c r="G17184" s="11"/>
      <c r="H17184" s="11"/>
      <c r="I17184" s="15"/>
    </row>
    <row r="17185" spans="1:9" ht="16.5">
      <c r="A17185" s="10" t="b">
        <v>0</v>
      </c>
      <c r="B17185" s="11" t="str">
        <f>IF(D17185&lt;&gt;"",IF(COUNTIF('USPTO TMs'!A:A,D17185)&gt;0,"Yes","No"),"")</f>
        <v/>
      </c>
      <c r="C17185" s="11"/>
      <c r="D17185" s="11"/>
      <c r="E17185" s="11"/>
      <c r="F17185" s="11"/>
      <c r="G17185" s="11"/>
      <c r="H17185" s="11"/>
      <c r="I17185" s="15"/>
    </row>
    <row r="17186" spans="1:9" ht="16.5">
      <c r="A17186" s="10" t="b">
        <v>0</v>
      </c>
      <c r="B17186" s="11" t="str">
        <f>IF(D17186&lt;&gt;"",IF(COUNTIF('USPTO TMs'!A:A,D17186)&gt;0,"Yes","No"),"")</f>
        <v/>
      </c>
      <c r="C17186" s="11"/>
      <c r="D17186" s="11"/>
      <c r="E17186" s="11"/>
      <c r="F17186" s="11"/>
      <c r="G17186" s="11"/>
      <c r="H17186" s="11"/>
      <c r="I17186" s="15"/>
    </row>
    <row r="17187" spans="1:9" ht="16.5">
      <c r="A17187" s="10" t="b">
        <v>0</v>
      </c>
      <c r="B17187" s="11" t="str">
        <f>IF(D17187&lt;&gt;"",IF(COUNTIF('USPTO TMs'!A:A,D17187)&gt;0,"Yes","No"),"")</f>
        <v/>
      </c>
      <c r="C17187" s="11"/>
      <c r="D17187" s="11"/>
      <c r="E17187" s="11"/>
      <c r="F17187" s="11"/>
      <c r="G17187" s="11"/>
      <c r="H17187" s="11"/>
      <c r="I17187" s="15"/>
    </row>
    <row r="17188" spans="1:9" ht="16.5">
      <c r="A17188" s="10" t="b">
        <v>0</v>
      </c>
      <c r="B17188" s="11" t="str">
        <f>IF(D17188&lt;&gt;"",IF(COUNTIF('USPTO TMs'!A:A,D17188)&gt;0,"Yes","No"),"")</f>
        <v/>
      </c>
      <c r="C17188" s="11"/>
      <c r="D17188" s="11"/>
      <c r="E17188" s="11"/>
      <c r="F17188" s="11"/>
      <c r="G17188" s="11"/>
      <c r="H17188" s="11"/>
      <c r="I17188" s="15"/>
    </row>
    <row r="17189" spans="1:9" ht="16.5">
      <c r="A17189" s="10" t="b">
        <v>0</v>
      </c>
      <c r="B17189" s="11" t="str">
        <f>IF(D17189&lt;&gt;"",IF(COUNTIF('USPTO TMs'!A:A,D17189)&gt;0,"Yes","No"),"")</f>
        <v/>
      </c>
      <c r="C17189" s="11"/>
      <c r="D17189" s="11"/>
      <c r="E17189" s="11"/>
      <c r="F17189" s="11"/>
      <c r="G17189" s="11"/>
      <c r="H17189" s="11"/>
      <c r="I17189" s="15"/>
    </row>
    <row r="17190" spans="1:9" ht="16.5">
      <c r="A17190" s="10" t="b">
        <v>0</v>
      </c>
      <c r="B17190" s="11" t="str">
        <f>IF(D17190&lt;&gt;"",IF(COUNTIF('USPTO TMs'!A:A,D17190)&gt;0,"Yes","No"),"")</f>
        <v/>
      </c>
      <c r="C17190" s="11"/>
      <c r="D17190" s="11"/>
      <c r="E17190" s="11"/>
      <c r="F17190" s="11"/>
      <c r="G17190" s="11"/>
      <c r="H17190" s="11"/>
      <c r="I17190" s="15"/>
    </row>
    <row r="17191" spans="1:9" ht="16.5">
      <c r="A17191" s="10" t="b">
        <v>0</v>
      </c>
      <c r="B17191" s="11" t="str">
        <f>IF(D17191&lt;&gt;"",IF(COUNTIF('USPTO TMs'!A:A,D17191)&gt;0,"Yes","No"),"")</f>
        <v/>
      </c>
      <c r="C17191" s="11"/>
      <c r="D17191" s="11"/>
      <c r="E17191" s="11"/>
      <c r="F17191" s="11"/>
      <c r="G17191" s="11"/>
      <c r="H17191" s="11"/>
      <c r="I17191" s="15"/>
    </row>
    <row r="17192" spans="1:9" ht="16.5">
      <c r="A17192" s="10" t="b">
        <v>0</v>
      </c>
      <c r="B17192" s="11" t="str">
        <f>IF(D17192&lt;&gt;"",IF(COUNTIF('USPTO TMs'!A:A,D17192)&gt;0,"Yes","No"),"")</f>
        <v/>
      </c>
      <c r="C17192" s="11"/>
      <c r="D17192" s="11"/>
      <c r="E17192" s="11"/>
      <c r="F17192" s="11"/>
      <c r="G17192" s="11"/>
      <c r="H17192" s="11"/>
      <c r="I17192" s="15"/>
    </row>
    <row r="17193" spans="1:9" ht="16.5">
      <c r="A17193" s="10" t="b">
        <v>0</v>
      </c>
      <c r="B17193" s="11" t="str">
        <f>IF(D17193&lt;&gt;"",IF(COUNTIF('USPTO TMs'!A:A,D17193)&gt;0,"Yes","No"),"")</f>
        <v/>
      </c>
      <c r="C17193" s="11"/>
      <c r="D17193" s="11"/>
      <c r="E17193" s="11"/>
      <c r="F17193" s="11"/>
      <c r="G17193" s="11"/>
      <c r="H17193" s="11"/>
      <c r="I17193" s="15"/>
    </row>
    <row r="17194" spans="1:9" ht="16.5">
      <c r="A17194" s="10" t="b">
        <v>0</v>
      </c>
      <c r="B17194" s="11" t="str">
        <f>IF(D17194&lt;&gt;"",IF(COUNTIF('USPTO TMs'!A:A,D17194)&gt;0,"Yes","No"),"")</f>
        <v/>
      </c>
      <c r="C17194" s="11"/>
      <c r="D17194" s="11"/>
      <c r="E17194" s="11"/>
      <c r="F17194" s="11"/>
      <c r="G17194" s="11"/>
      <c r="H17194" s="11"/>
      <c r="I17194" s="15"/>
    </row>
    <row r="17195" spans="1:9" ht="16.5">
      <c r="A17195" s="10" t="b">
        <v>0</v>
      </c>
      <c r="B17195" s="11" t="str">
        <f>IF(D17195&lt;&gt;"",IF(COUNTIF('USPTO TMs'!A:A,D17195)&gt;0,"Yes","No"),"")</f>
        <v/>
      </c>
      <c r="C17195" s="11"/>
      <c r="D17195" s="11"/>
      <c r="E17195" s="11"/>
      <c r="F17195" s="11"/>
      <c r="G17195" s="11"/>
      <c r="H17195" s="11"/>
      <c r="I17195" s="15"/>
    </row>
    <row r="17196" spans="1:9" ht="16.5">
      <c r="A17196" s="10" t="b">
        <v>0</v>
      </c>
      <c r="B17196" s="11" t="str">
        <f>IF(D17196&lt;&gt;"",IF(COUNTIF('USPTO TMs'!A:A,D17196)&gt;0,"Yes","No"),"")</f>
        <v/>
      </c>
      <c r="C17196" s="11"/>
      <c r="D17196" s="11"/>
      <c r="E17196" s="11"/>
      <c r="F17196" s="11"/>
      <c r="G17196" s="11"/>
      <c r="H17196" s="11"/>
      <c r="I17196" s="15"/>
    </row>
    <row r="17197" spans="1:9" ht="16.5">
      <c r="A17197" s="10" t="b">
        <v>0</v>
      </c>
      <c r="B17197" s="11" t="str">
        <f>IF(D17197&lt;&gt;"",IF(COUNTIF('USPTO TMs'!A:A,D17197)&gt;0,"Yes","No"),"")</f>
        <v/>
      </c>
      <c r="C17197" s="11"/>
      <c r="D17197" s="11"/>
      <c r="E17197" s="11"/>
      <c r="F17197" s="11"/>
      <c r="G17197" s="11"/>
      <c r="H17197" s="11"/>
      <c r="I17197" s="15"/>
    </row>
    <row r="17198" spans="1:9" ht="16.5">
      <c r="A17198" s="10" t="b">
        <v>0</v>
      </c>
      <c r="B17198" s="11" t="str">
        <f>IF(D17198&lt;&gt;"",IF(COUNTIF('USPTO TMs'!A:A,D17198)&gt;0,"Yes","No"),"")</f>
        <v/>
      </c>
      <c r="C17198" s="11"/>
      <c r="D17198" s="11"/>
      <c r="E17198" s="11"/>
      <c r="F17198" s="11"/>
      <c r="G17198" s="11"/>
      <c r="H17198" s="11"/>
      <c r="I17198" s="15"/>
    </row>
    <row r="17199" spans="1:9" ht="16.5">
      <c r="A17199" s="10" t="b">
        <v>0</v>
      </c>
      <c r="B17199" s="11" t="str">
        <f>IF(D17199&lt;&gt;"",IF(COUNTIF('USPTO TMs'!A:A,D17199)&gt;0,"Yes","No"),"")</f>
        <v/>
      </c>
      <c r="C17199" s="11"/>
      <c r="D17199" s="11"/>
      <c r="E17199" s="11"/>
      <c r="F17199" s="11"/>
      <c r="G17199" s="11"/>
      <c r="H17199" s="11"/>
      <c r="I17199" s="15"/>
    </row>
    <row r="17200" spans="1:9" ht="16.5">
      <c r="A17200" s="10" t="b">
        <v>0</v>
      </c>
      <c r="B17200" s="11" t="str">
        <f>IF(D17200&lt;&gt;"",IF(COUNTIF('USPTO TMs'!A:A,D17200)&gt;0,"Yes","No"),"")</f>
        <v/>
      </c>
      <c r="C17200" s="11"/>
      <c r="D17200" s="11"/>
      <c r="E17200" s="11"/>
      <c r="F17200" s="11"/>
      <c r="G17200" s="11"/>
      <c r="H17200" s="11"/>
      <c r="I17200" s="15"/>
    </row>
    <row r="17201" spans="1:9" ht="16.5">
      <c r="A17201" s="10" t="b">
        <v>0</v>
      </c>
      <c r="B17201" s="11" t="str">
        <f>IF(D17201&lt;&gt;"",IF(COUNTIF('USPTO TMs'!A:A,D17201)&gt;0,"Yes","No"),"")</f>
        <v/>
      </c>
      <c r="C17201" s="11"/>
      <c r="D17201" s="11"/>
      <c r="E17201" s="11"/>
      <c r="F17201" s="11"/>
      <c r="G17201" s="11"/>
      <c r="H17201" s="11"/>
      <c r="I17201" s="15"/>
    </row>
    <row r="17202" spans="1:9" ht="16.5">
      <c r="A17202" s="10" t="b">
        <v>0</v>
      </c>
      <c r="B17202" s="11" t="str">
        <f>IF(D17202&lt;&gt;"",IF(COUNTIF('USPTO TMs'!A:A,D17202)&gt;0,"Yes","No"),"")</f>
        <v/>
      </c>
      <c r="C17202" s="11"/>
      <c r="D17202" s="11"/>
      <c r="E17202" s="11"/>
      <c r="F17202" s="11"/>
      <c r="G17202" s="11"/>
      <c r="H17202" s="11"/>
      <c r="I17202" s="15"/>
    </row>
    <row r="17203" spans="1:9" ht="16.5">
      <c r="A17203" s="10" t="b">
        <v>0</v>
      </c>
      <c r="B17203" s="11" t="str">
        <f>IF(D17203&lt;&gt;"",IF(COUNTIF('USPTO TMs'!A:A,D17203)&gt;0,"Yes","No"),"")</f>
        <v/>
      </c>
      <c r="C17203" s="11"/>
      <c r="D17203" s="11"/>
      <c r="E17203" s="11"/>
      <c r="F17203" s="11"/>
      <c r="G17203" s="11"/>
      <c r="H17203" s="11"/>
      <c r="I17203" s="15"/>
    </row>
    <row r="17204" spans="1:9" ht="16.5">
      <c r="A17204" s="10" t="b">
        <v>0</v>
      </c>
      <c r="B17204" s="11" t="str">
        <f>IF(D17204&lt;&gt;"",IF(COUNTIF('USPTO TMs'!A:A,D17204)&gt;0,"Yes","No"),"")</f>
        <v/>
      </c>
      <c r="C17204" s="11"/>
      <c r="D17204" s="11"/>
      <c r="E17204" s="11"/>
      <c r="F17204" s="11"/>
      <c r="G17204" s="11"/>
      <c r="H17204" s="11"/>
      <c r="I17204" s="15"/>
    </row>
    <row r="17205" spans="1:9" ht="16.5">
      <c r="A17205" s="10" t="b">
        <v>0</v>
      </c>
      <c r="B17205" s="11" t="str">
        <f>IF(D17205&lt;&gt;"",IF(COUNTIF('USPTO TMs'!A:A,D17205)&gt;0,"Yes","No"),"")</f>
        <v/>
      </c>
      <c r="C17205" s="11"/>
      <c r="D17205" s="11"/>
      <c r="E17205" s="11"/>
      <c r="F17205" s="11"/>
      <c r="G17205" s="11"/>
      <c r="H17205" s="11"/>
      <c r="I17205" s="15"/>
    </row>
    <row r="17206" spans="1:9" ht="16.5">
      <c r="A17206" s="10" t="b">
        <v>0</v>
      </c>
      <c r="B17206" s="11" t="str">
        <f>IF(D17206&lt;&gt;"",IF(COUNTIF('USPTO TMs'!A:A,D17206)&gt;0,"Yes","No"),"")</f>
        <v/>
      </c>
      <c r="C17206" s="11"/>
      <c r="D17206" s="11"/>
      <c r="E17206" s="11"/>
      <c r="F17206" s="11"/>
      <c r="G17206" s="11"/>
      <c r="H17206" s="11"/>
      <c r="I17206" s="15"/>
    </row>
    <row r="17207" spans="1:9" ht="16.5">
      <c r="A17207" s="10" t="b">
        <v>0</v>
      </c>
      <c r="B17207" s="11" t="str">
        <f>IF(D17207&lt;&gt;"",IF(COUNTIF('USPTO TMs'!A:A,D17207)&gt;0,"Yes","No"),"")</f>
        <v/>
      </c>
      <c r="C17207" s="11"/>
      <c r="D17207" s="11"/>
      <c r="E17207" s="11"/>
      <c r="F17207" s="11"/>
      <c r="G17207" s="11"/>
      <c r="H17207" s="11"/>
      <c r="I17207" s="15"/>
    </row>
    <row r="17208" spans="1:9" ht="16.5">
      <c r="A17208" s="10" t="b">
        <v>0</v>
      </c>
      <c r="B17208" s="11" t="str">
        <f>IF(D17208&lt;&gt;"",IF(COUNTIF('USPTO TMs'!A:A,D17208)&gt;0,"Yes","No"),"")</f>
        <v/>
      </c>
      <c r="C17208" s="11"/>
      <c r="D17208" s="11"/>
      <c r="E17208" s="11"/>
      <c r="F17208" s="11"/>
      <c r="G17208" s="11"/>
      <c r="H17208" s="11"/>
      <c r="I17208" s="15"/>
    </row>
    <row r="17209" spans="1:9" ht="16.5">
      <c r="A17209" s="10" t="b">
        <v>0</v>
      </c>
      <c r="B17209" s="11" t="str">
        <f>IF(D17209&lt;&gt;"",IF(COUNTIF('USPTO TMs'!A:A,D17209)&gt;0,"Yes","No"),"")</f>
        <v/>
      </c>
      <c r="C17209" s="11"/>
      <c r="D17209" s="11"/>
      <c r="E17209" s="11"/>
      <c r="F17209" s="11"/>
      <c r="G17209" s="11"/>
      <c r="H17209" s="11"/>
      <c r="I17209" s="15"/>
    </row>
    <row r="17210" spans="1:9" ht="16.5">
      <c r="A17210" s="10" t="b">
        <v>0</v>
      </c>
      <c r="B17210" s="11" t="str">
        <f>IF(D17210&lt;&gt;"",IF(COUNTIF('USPTO TMs'!A:A,D17210)&gt;0,"Yes","No"),"")</f>
        <v/>
      </c>
      <c r="C17210" s="11"/>
      <c r="D17210" s="11"/>
      <c r="E17210" s="11"/>
      <c r="F17210" s="11"/>
      <c r="G17210" s="11"/>
      <c r="H17210" s="11"/>
      <c r="I17210" s="15"/>
    </row>
    <row r="17211" spans="1:9" ht="16.5">
      <c r="A17211" s="10" t="b">
        <v>0</v>
      </c>
      <c r="B17211" s="11" t="str">
        <f>IF(D17211&lt;&gt;"",IF(COUNTIF('USPTO TMs'!A:A,D17211)&gt;0,"Yes","No"),"")</f>
        <v/>
      </c>
      <c r="C17211" s="11"/>
      <c r="D17211" s="11"/>
      <c r="E17211" s="11"/>
      <c r="F17211" s="11"/>
      <c r="G17211" s="11"/>
      <c r="H17211" s="11"/>
      <c r="I17211" s="15"/>
    </row>
    <row r="17212" spans="1:9" ht="16.5">
      <c r="A17212" s="10" t="b">
        <v>0</v>
      </c>
      <c r="B17212" s="11" t="str">
        <f>IF(D17212&lt;&gt;"",IF(COUNTIF('USPTO TMs'!A:A,D17212)&gt;0,"Yes","No"),"")</f>
        <v/>
      </c>
      <c r="C17212" s="11"/>
      <c r="D17212" s="11"/>
      <c r="E17212" s="11"/>
      <c r="F17212" s="11"/>
      <c r="G17212" s="11"/>
      <c r="H17212" s="11"/>
      <c r="I17212" s="15"/>
    </row>
    <row r="17213" spans="1:9" ht="16.5">
      <c r="A17213" s="10" t="b">
        <v>0</v>
      </c>
      <c r="B17213" s="11" t="str">
        <f>IF(D17213&lt;&gt;"",IF(COUNTIF('USPTO TMs'!A:A,D17213)&gt;0,"Yes","No"),"")</f>
        <v/>
      </c>
      <c r="C17213" s="11"/>
      <c r="D17213" s="11"/>
      <c r="E17213" s="11"/>
      <c r="F17213" s="11"/>
      <c r="G17213" s="11"/>
      <c r="H17213" s="11"/>
      <c r="I17213" s="15"/>
    </row>
    <row r="17214" spans="1:9" ht="16.5">
      <c r="A17214" s="10" t="b">
        <v>0</v>
      </c>
      <c r="B17214" s="11" t="str">
        <f>IF(D17214&lt;&gt;"",IF(COUNTIF('USPTO TMs'!A:A,D17214)&gt;0,"Yes","No"),"")</f>
        <v/>
      </c>
      <c r="C17214" s="11"/>
      <c r="D17214" s="11"/>
      <c r="E17214" s="11"/>
      <c r="F17214" s="11"/>
      <c r="G17214" s="11"/>
      <c r="H17214" s="11"/>
      <c r="I17214" s="15"/>
    </row>
    <row r="17215" spans="1:9" ht="16.5">
      <c r="A17215" s="10" t="b">
        <v>0</v>
      </c>
      <c r="B17215" s="11" t="str">
        <f>IF(D17215&lt;&gt;"",IF(COUNTIF('USPTO TMs'!A:A,D17215)&gt;0,"Yes","No"),"")</f>
        <v/>
      </c>
      <c r="C17215" s="11"/>
      <c r="D17215" s="11"/>
      <c r="E17215" s="11"/>
      <c r="F17215" s="11"/>
      <c r="G17215" s="11"/>
      <c r="H17215" s="11"/>
      <c r="I17215" s="15"/>
    </row>
    <row r="17216" spans="1:9" ht="16.5">
      <c r="A17216" s="10" t="b">
        <v>0</v>
      </c>
      <c r="B17216" s="11" t="str">
        <f>IF(D17216&lt;&gt;"",IF(COUNTIF('USPTO TMs'!A:A,D17216)&gt;0,"Yes","No"),"")</f>
        <v/>
      </c>
      <c r="C17216" s="11"/>
      <c r="D17216" s="11"/>
      <c r="E17216" s="11"/>
      <c r="F17216" s="11"/>
      <c r="G17216" s="11"/>
      <c r="H17216" s="11"/>
      <c r="I17216" s="15"/>
    </row>
    <row r="17217" spans="1:9" ht="16.5">
      <c r="A17217" s="10" t="b">
        <v>0</v>
      </c>
      <c r="B17217" s="11" t="str">
        <f>IF(D17217&lt;&gt;"",IF(COUNTIF('USPTO TMs'!A:A,D17217)&gt;0,"Yes","No"),"")</f>
        <v/>
      </c>
      <c r="C17217" s="11"/>
      <c r="D17217" s="11"/>
      <c r="E17217" s="11"/>
      <c r="F17217" s="11"/>
      <c r="G17217" s="11"/>
      <c r="H17217" s="11"/>
      <c r="I17217" s="15"/>
    </row>
    <row r="17218" spans="1:9" ht="16.5">
      <c r="A17218" s="10" t="b">
        <v>0</v>
      </c>
      <c r="B17218" s="11" t="str">
        <f>IF(D17218&lt;&gt;"",IF(COUNTIF('USPTO TMs'!A:A,D17218)&gt;0,"Yes","No"),"")</f>
        <v/>
      </c>
      <c r="C17218" s="11"/>
      <c r="D17218" s="11"/>
      <c r="E17218" s="11"/>
      <c r="F17218" s="11"/>
      <c r="G17218" s="11"/>
      <c r="H17218" s="11"/>
      <c r="I17218" s="15"/>
    </row>
    <row r="17219" spans="1:9" ht="16.5">
      <c r="A17219" s="10" t="b">
        <v>0</v>
      </c>
      <c r="B17219" s="11" t="str">
        <f>IF(D17219&lt;&gt;"",IF(COUNTIF('USPTO TMs'!A:A,D17219)&gt;0,"Yes","No"),"")</f>
        <v/>
      </c>
      <c r="C17219" s="11"/>
      <c r="D17219" s="11"/>
      <c r="E17219" s="11"/>
      <c r="F17219" s="11"/>
      <c r="G17219" s="11"/>
      <c r="H17219" s="11"/>
      <c r="I17219" s="15"/>
    </row>
    <row r="17220" spans="1:9" ht="16.5">
      <c r="A17220" s="10" t="b">
        <v>0</v>
      </c>
      <c r="B17220" s="11" t="str">
        <f>IF(D17220&lt;&gt;"",IF(COUNTIF('USPTO TMs'!A:A,D17220)&gt;0,"Yes","No"),"")</f>
        <v/>
      </c>
      <c r="C17220" s="11"/>
      <c r="D17220" s="11"/>
      <c r="E17220" s="11"/>
      <c r="F17220" s="11"/>
      <c r="G17220" s="11"/>
      <c r="H17220" s="11"/>
      <c r="I17220" s="15"/>
    </row>
    <row r="17221" spans="1:9" ht="16.5">
      <c r="A17221" s="10" t="b">
        <v>0</v>
      </c>
      <c r="B17221" s="11" t="str">
        <f>IF(D17221&lt;&gt;"",IF(COUNTIF('USPTO TMs'!A:A,D17221)&gt;0,"Yes","No"),"")</f>
        <v/>
      </c>
      <c r="C17221" s="11"/>
      <c r="D17221" s="11"/>
      <c r="E17221" s="11"/>
      <c r="F17221" s="11"/>
      <c r="G17221" s="11"/>
      <c r="H17221" s="11"/>
      <c r="I17221" s="15"/>
    </row>
    <row r="17222" spans="1:9" ht="16.5">
      <c r="A17222" s="10" t="b">
        <v>0</v>
      </c>
      <c r="B17222" s="11" t="str">
        <f>IF(D17222&lt;&gt;"",IF(COUNTIF('USPTO TMs'!A:A,D17222)&gt;0,"Yes","No"),"")</f>
        <v/>
      </c>
      <c r="C17222" s="11"/>
      <c r="D17222" s="11"/>
      <c r="E17222" s="11"/>
      <c r="F17222" s="11"/>
      <c r="G17222" s="11"/>
      <c r="H17222" s="11"/>
      <c r="I17222" s="15"/>
    </row>
    <row r="17223" spans="1:9" ht="16.5">
      <c r="A17223" s="10" t="b">
        <v>0</v>
      </c>
      <c r="B17223" s="11" t="str">
        <f>IF(D17223&lt;&gt;"",IF(COUNTIF('USPTO TMs'!A:A,D17223)&gt;0,"Yes","No"),"")</f>
        <v/>
      </c>
      <c r="C17223" s="11"/>
      <c r="D17223" s="11"/>
      <c r="E17223" s="11"/>
      <c r="F17223" s="11"/>
      <c r="G17223" s="11"/>
      <c r="H17223" s="11"/>
      <c r="I17223" s="15"/>
    </row>
    <row r="17224" spans="1:9" ht="16.5">
      <c r="A17224" s="10" t="b">
        <v>0</v>
      </c>
      <c r="B17224" s="11" t="str">
        <f>IF(D17224&lt;&gt;"",IF(COUNTIF('USPTO TMs'!A:A,D17224)&gt;0,"Yes","No"),"")</f>
        <v/>
      </c>
      <c r="C17224" s="11"/>
      <c r="D17224" s="11"/>
      <c r="E17224" s="11"/>
      <c r="F17224" s="11"/>
      <c r="G17224" s="11"/>
      <c r="H17224" s="11"/>
      <c r="I17224" s="15"/>
    </row>
    <row r="17225" spans="1:9" ht="16.5">
      <c r="A17225" s="10" t="b">
        <v>0</v>
      </c>
      <c r="B17225" s="11" t="str">
        <f>IF(D17225&lt;&gt;"",IF(COUNTIF('USPTO TMs'!A:A,D17225)&gt;0,"Yes","No"),"")</f>
        <v/>
      </c>
      <c r="C17225" s="11"/>
      <c r="D17225" s="11"/>
      <c r="E17225" s="11"/>
      <c r="F17225" s="11"/>
      <c r="G17225" s="11"/>
      <c r="H17225" s="11"/>
      <c r="I17225" s="15"/>
    </row>
    <row r="17226" spans="1:9" ht="16.5">
      <c r="A17226" s="10" t="b">
        <v>0</v>
      </c>
      <c r="B17226" s="11" t="str">
        <f>IF(D17226&lt;&gt;"",IF(COUNTIF('USPTO TMs'!A:A,D17226)&gt;0,"Yes","No"),"")</f>
        <v/>
      </c>
      <c r="C17226" s="11"/>
      <c r="D17226" s="11"/>
      <c r="E17226" s="11"/>
      <c r="F17226" s="11"/>
      <c r="G17226" s="11"/>
      <c r="H17226" s="11"/>
      <c r="I17226" s="15"/>
    </row>
    <row r="17227" spans="1:9" ht="16.5">
      <c r="A17227" s="10" t="b">
        <v>0</v>
      </c>
      <c r="B17227" s="11" t="str">
        <f>IF(D17227&lt;&gt;"",IF(COUNTIF('USPTO TMs'!A:A,D17227)&gt;0,"Yes","No"),"")</f>
        <v/>
      </c>
      <c r="C17227" s="11"/>
      <c r="D17227" s="11"/>
      <c r="E17227" s="11"/>
      <c r="F17227" s="11"/>
      <c r="G17227" s="11"/>
      <c r="H17227" s="11"/>
      <c r="I17227" s="15"/>
    </row>
    <row r="17228" spans="1:9" ht="16.5">
      <c r="A17228" s="10" t="b">
        <v>0</v>
      </c>
      <c r="B17228" s="11" t="str">
        <f>IF(D17228&lt;&gt;"",IF(COUNTIF('USPTO TMs'!A:A,D17228)&gt;0,"Yes","No"),"")</f>
        <v/>
      </c>
      <c r="C17228" s="11"/>
      <c r="D17228" s="11"/>
      <c r="E17228" s="11"/>
      <c r="F17228" s="11"/>
      <c r="G17228" s="11"/>
      <c r="H17228" s="11"/>
      <c r="I17228" s="15"/>
    </row>
    <row r="17229" spans="1:9" ht="16.5">
      <c r="A17229" s="10" t="b">
        <v>0</v>
      </c>
      <c r="B17229" s="11" t="str">
        <f>IF(D17229&lt;&gt;"",IF(COUNTIF('USPTO TMs'!A:A,D17229)&gt;0,"Yes","No"),"")</f>
        <v/>
      </c>
      <c r="C17229" s="11"/>
      <c r="D17229" s="11"/>
      <c r="E17229" s="11"/>
      <c r="F17229" s="11"/>
      <c r="G17229" s="11"/>
      <c r="H17229" s="11"/>
      <c r="I17229" s="15"/>
    </row>
    <row r="17230" spans="1:9" ht="16.5">
      <c r="A17230" s="10" t="b">
        <v>0</v>
      </c>
      <c r="B17230" s="11" t="str">
        <f>IF(D17230&lt;&gt;"",IF(COUNTIF('USPTO TMs'!A:A,D17230)&gt;0,"Yes","No"),"")</f>
        <v/>
      </c>
      <c r="C17230" s="11"/>
      <c r="D17230" s="11"/>
      <c r="E17230" s="11"/>
      <c r="F17230" s="11"/>
      <c r="G17230" s="11"/>
      <c r="H17230" s="11"/>
      <c r="I17230" s="15"/>
    </row>
    <row r="17231" spans="1:9" ht="16.5">
      <c r="A17231" s="10" t="b">
        <v>0</v>
      </c>
      <c r="B17231" s="11" t="str">
        <f>IF(D17231&lt;&gt;"",IF(COUNTIF('USPTO TMs'!A:A,D17231)&gt;0,"Yes","No"),"")</f>
        <v/>
      </c>
      <c r="C17231" s="11"/>
      <c r="D17231" s="11"/>
      <c r="E17231" s="11"/>
      <c r="F17231" s="11"/>
      <c r="G17231" s="11"/>
      <c r="H17231" s="11"/>
      <c r="I17231" s="15"/>
    </row>
    <row r="17232" spans="1:9" ht="16.5">
      <c r="A17232" s="10" t="b">
        <v>0</v>
      </c>
      <c r="B17232" s="11" t="str">
        <f>IF(D17232&lt;&gt;"",IF(COUNTIF('USPTO TMs'!A:A,D17232)&gt;0,"Yes","No"),"")</f>
        <v/>
      </c>
      <c r="C17232" s="11"/>
      <c r="D17232" s="11"/>
      <c r="E17232" s="11"/>
      <c r="F17232" s="11"/>
      <c r="G17232" s="11"/>
      <c r="H17232" s="11"/>
      <c r="I17232" s="15"/>
    </row>
    <row r="17233" spans="1:9" ht="16.5">
      <c r="A17233" s="10" t="b">
        <v>0</v>
      </c>
      <c r="B17233" s="11" t="str">
        <f>IF(D17233&lt;&gt;"",IF(COUNTIF('USPTO TMs'!A:A,D17233)&gt;0,"Yes","No"),"")</f>
        <v/>
      </c>
      <c r="C17233" s="11"/>
      <c r="D17233" s="11"/>
      <c r="E17233" s="11"/>
      <c r="F17233" s="11"/>
      <c r="G17233" s="11"/>
      <c r="H17233" s="11"/>
      <c r="I17233" s="15"/>
    </row>
    <row r="17234" spans="1:9" ht="16.5">
      <c r="A17234" s="10" t="b">
        <v>0</v>
      </c>
      <c r="B17234" s="11" t="str">
        <f>IF(D17234&lt;&gt;"",IF(COUNTIF('USPTO TMs'!A:A,D17234)&gt;0,"Yes","No"),"")</f>
        <v/>
      </c>
      <c r="C17234" s="11"/>
      <c r="D17234" s="11"/>
      <c r="E17234" s="11"/>
      <c r="F17234" s="11"/>
      <c r="G17234" s="11"/>
      <c r="H17234" s="11"/>
      <c r="I17234" s="15"/>
    </row>
    <row r="17235" spans="1:9" ht="16.5">
      <c r="A17235" s="10" t="b">
        <v>0</v>
      </c>
      <c r="B17235" s="11" t="str">
        <f>IF(D17235&lt;&gt;"",IF(COUNTIF('USPTO TMs'!A:A,D17235)&gt;0,"Yes","No"),"")</f>
        <v/>
      </c>
      <c r="C17235" s="11"/>
      <c r="D17235" s="11"/>
      <c r="E17235" s="11"/>
      <c r="F17235" s="11"/>
      <c r="G17235" s="11"/>
      <c r="H17235" s="11"/>
      <c r="I17235" s="15"/>
    </row>
    <row r="17236" spans="1:9" ht="16.5">
      <c r="A17236" s="10" t="b">
        <v>0</v>
      </c>
      <c r="B17236" s="11" t="str">
        <f>IF(D17236&lt;&gt;"",IF(COUNTIF('USPTO TMs'!A:A,D17236)&gt;0,"Yes","No"),"")</f>
        <v/>
      </c>
      <c r="C17236" s="11"/>
      <c r="D17236" s="11"/>
      <c r="E17236" s="11"/>
      <c r="F17236" s="11"/>
      <c r="G17236" s="11"/>
      <c r="H17236" s="11"/>
      <c r="I17236" s="15"/>
    </row>
    <row r="17237" spans="1:9" ht="16.5">
      <c r="A17237" s="10" t="b">
        <v>0</v>
      </c>
      <c r="B17237" s="11" t="str">
        <f>IF(D17237&lt;&gt;"",IF(COUNTIF('USPTO TMs'!A:A,D17237)&gt;0,"Yes","No"),"")</f>
        <v/>
      </c>
      <c r="C17237" s="11"/>
      <c r="D17237" s="11"/>
      <c r="E17237" s="11"/>
      <c r="F17237" s="11"/>
      <c r="G17237" s="11"/>
      <c r="H17237" s="11"/>
      <c r="I17237" s="15"/>
    </row>
    <row r="17238" spans="1:9" ht="16.5">
      <c r="A17238" s="10" t="b">
        <v>0</v>
      </c>
      <c r="B17238" s="11" t="str">
        <f>IF(D17238&lt;&gt;"",IF(COUNTIF('USPTO TMs'!A:A,D17238)&gt;0,"Yes","No"),"")</f>
        <v/>
      </c>
      <c r="C17238" s="11"/>
      <c r="D17238" s="11"/>
      <c r="E17238" s="11"/>
      <c r="F17238" s="11"/>
      <c r="G17238" s="11"/>
      <c r="H17238" s="11"/>
      <c r="I17238" s="15"/>
    </row>
    <row r="17239" spans="1:9" ht="16.5">
      <c r="A17239" s="10" t="b">
        <v>0</v>
      </c>
      <c r="B17239" s="11" t="str">
        <f>IF(D17239&lt;&gt;"",IF(COUNTIF('USPTO TMs'!A:A,D17239)&gt;0,"Yes","No"),"")</f>
        <v/>
      </c>
      <c r="C17239" s="11"/>
      <c r="D17239" s="11"/>
      <c r="E17239" s="11"/>
      <c r="F17239" s="11"/>
      <c r="G17239" s="11"/>
      <c r="H17239" s="11"/>
      <c r="I17239" s="15"/>
    </row>
    <row r="17240" spans="1:9" ht="16.5">
      <c r="A17240" s="10" t="b">
        <v>0</v>
      </c>
      <c r="B17240" s="11" t="str">
        <f>IF(D17240&lt;&gt;"",IF(COUNTIF('USPTO TMs'!A:A,D17240)&gt;0,"Yes","No"),"")</f>
        <v/>
      </c>
      <c r="C17240" s="11"/>
      <c r="D17240" s="11"/>
      <c r="E17240" s="11"/>
      <c r="F17240" s="11"/>
      <c r="G17240" s="11"/>
      <c r="H17240" s="11"/>
      <c r="I17240" s="15"/>
    </row>
    <row r="17241" spans="1:9" ht="16.5">
      <c r="A17241" s="10" t="b">
        <v>0</v>
      </c>
      <c r="B17241" s="11" t="str">
        <f>IF(D17241&lt;&gt;"",IF(COUNTIF('USPTO TMs'!A:A,D17241)&gt;0,"Yes","No"),"")</f>
        <v/>
      </c>
      <c r="C17241" s="11"/>
      <c r="D17241" s="11"/>
      <c r="E17241" s="11"/>
      <c r="F17241" s="11"/>
      <c r="G17241" s="11"/>
      <c r="H17241" s="11"/>
      <c r="I17241" s="15"/>
    </row>
    <row r="17242" spans="1:9" ht="16.5">
      <c r="A17242" s="10" t="b">
        <v>0</v>
      </c>
      <c r="B17242" s="11" t="str">
        <f>IF(D17242&lt;&gt;"",IF(COUNTIF('USPTO TMs'!A:A,D17242)&gt;0,"Yes","No"),"")</f>
        <v/>
      </c>
      <c r="C17242" s="11"/>
      <c r="D17242" s="11"/>
      <c r="E17242" s="11"/>
      <c r="F17242" s="11"/>
      <c r="G17242" s="11"/>
      <c r="H17242" s="11"/>
      <c r="I17242" s="15"/>
    </row>
    <row r="17243" spans="1:9" ht="16.5">
      <c r="A17243" s="10" t="b">
        <v>0</v>
      </c>
      <c r="B17243" s="11" t="str">
        <f>IF(D17243&lt;&gt;"",IF(COUNTIF('USPTO TMs'!A:A,D17243)&gt;0,"Yes","No"),"")</f>
        <v/>
      </c>
      <c r="C17243" s="11"/>
      <c r="D17243" s="11"/>
      <c r="E17243" s="11"/>
      <c r="F17243" s="11"/>
      <c r="G17243" s="11"/>
      <c r="H17243" s="11"/>
      <c r="I17243" s="15"/>
    </row>
    <row r="17244" spans="1:9" ht="16.5">
      <c r="A17244" s="10" t="b">
        <v>0</v>
      </c>
      <c r="B17244" s="11" t="str">
        <f>IF(D17244&lt;&gt;"",IF(COUNTIF('USPTO TMs'!A:A,D17244)&gt;0,"Yes","No"),"")</f>
        <v/>
      </c>
      <c r="C17244" s="11"/>
      <c r="D17244" s="11"/>
      <c r="E17244" s="11"/>
      <c r="F17244" s="11"/>
      <c r="G17244" s="11"/>
      <c r="H17244" s="11"/>
      <c r="I17244" s="15"/>
    </row>
    <row r="17245" spans="1:9" ht="16.5">
      <c r="A17245" s="10" t="b">
        <v>0</v>
      </c>
      <c r="B17245" s="11" t="str">
        <f>IF(D17245&lt;&gt;"",IF(COUNTIF('USPTO TMs'!A:A,D17245)&gt;0,"Yes","No"),"")</f>
        <v/>
      </c>
      <c r="C17245" s="11"/>
      <c r="D17245" s="11"/>
      <c r="E17245" s="11"/>
      <c r="F17245" s="11"/>
      <c r="G17245" s="11"/>
      <c r="H17245" s="11"/>
      <c r="I17245" s="15"/>
    </row>
    <row r="17246" spans="1:9" ht="16.5">
      <c r="A17246" s="10" t="b">
        <v>0</v>
      </c>
      <c r="B17246" s="11" t="str">
        <f>IF(D17246&lt;&gt;"",IF(COUNTIF('USPTO TMs'!A:A,D17246)&gt;0,"Yes","No"),"")</f>
        <v/>
      </c>
      <c r="C17246" s="11"/>
      <c r="D17246" s="11"/>
      <c r="E17246" s="11"/>
      <c r="F17246" s="11"/>
      <c r="G17246" s="11"/>
      <c r="H17246" s="11"/>
      <c r="I17246" s="15"/>
    </row>
    <row r="17247" spans="1:9" ht="16.5">
      <c r="A17247" s="10" t="b">
        <v>0</v>
      </c>
      <c r="B17247" s="11" t="str">
        <f>IF(D17247&lt;&gt;"",IF(COUNTIF('USPTO TMs'!A:A,D17247)&gt;0,"Yes","No"),"")</f>
        <v/>
      </c>
      <c r="C17247" s="11"/>
      <c r="D17247" s="11"/>
      <c r="E17247" s="11"/>
      <c r="F17247" s="11"/>
      <c r="G17247" s="11"/>
      <c r="H17247" s="11"/>
      <c r="I17247" s="15"/>
    </row>
    <row r="17248" spans="1:9" ht="16.5">
      <c r="A17248" s="10" t="b">
        <v>0</v>
      </c>
      <c r="B17248" s="11" t="str">
        <f>IF(D17248&lt;&gt;"",IF(COUNTIF('USPTO TMs'!A:A,D17248)&gt;0,"Yes","No"),"")</f>
        <v/>
      </c>
      <c r="C17248" s="11"/>
      <c r="D17248" s="11"/>
      <c r="E17248" s="11"/>
      <c r="F17248" s="11"/>
      <c r="G17248" s="11"/>
      <c r="H17248" s="11"/>
      <c r="I17248" s="15"/>
    </row>
    <row r="17249" spans="1:9" ht="16.5">
      <c r="A17249" s="10" t="b">
        <v>0</v>
      </c>
      <c r="B17249" s="11" t="str">
        <f>IF(D17249&lt;&gt;"",IF(COUNTIF('USPTO TMs'!A:A,D17249)&gt;0,"Yes","No"),"")</f>
        <v/>
      </c>
      <c r="C17249" s="11"/>
      <c r="D17249" s="11"/>
      <c r="E17249" s="11"/>
      <c r="F17249" s="11"/>
      <c r="G17249" s="11"/>
      <c r="H17249" s="11"/>
      <c r="I17249" s="15"/>
    </row>
    <row r="17250" spans="1:9" ht="16.5">
      <c r="A17250" s="10" t="b">
        <v>0</v>
      </c>
      <c r="B17250" s="11" t="str">
        <f>IF(D17250&lt;&gt;"",IF(COUNTIF('USPTO TMs'!A:A,D17250)&gt;0,"Yes","No"),"")</f>
        <v/>
      </c>
      <c r="C17250" s="11"/>
      <c r="D17250" s="11"/>
      <c r="E17250" s="11"/>
      <c r="F17250" s="11"/>
      <c r="G17250" s="11"/>
      <c r="H17250" s="11"/>
      <c r="I17250" s="15"/>
    </row>
    <row r="17251" spans="1:9" ht="16.5">
      <c r="A17251" s="10" t="b">
        <v>0</v>
      </c>
      <c r="B17251" s="11" t="str">
        <f>IF(D17251&lt;&gt;"",IF(COUNTIF('USPTO TMs'!A:A,D17251)&gt;0,"Yes","No"),"")</f>
        <v/>
      </c>
      <c r="C17251" s="11"/>
      <c r="D17251" s="11"/>
      <c r="E17251" s="11"/>
      <c r="F17251" s="11"/>
      <c r="G17251" s="11"/>
      <c r="H17251" s="11"/>
      <c r="I17251" s="15"/>
    </row>
    <row r="17252" spans="1:9" ht="16.5">
      <c r="A17252" s="10" t="b">
        <v>0</v>
      </c>
      <c r="B17252" s="11" t="str">
        <f>IF(D17252&lt;&gt;"",IF(COUNTIF('USPTO TMs'!A:A,D17252)&gt;0,"Yes","No"),"")</f>
        <v/>
      </c>
      <c r="C17252" s="11"/>
      <c r="D17252" s="11"/>
      <c r="E17252" s="11"/>
      <c r="F17252" s="11"/>
      <c r="G17252" s="11"/>
      <c r="H17252" s="11"/>
      <c r="I17252" s="15"/>
    </row>
    <row r="17253" spans="1:9" ht="16.5">
      <c r="A17253" s="10" t="b">
        <v>0</v>
      </c>
      <c r="B17253" s="11" t="str">
        <f>IF(D17253&lt;&gt;"",IF(COUNTIF('USPTO TMs'!A:A,D17253)&gt;0,"Yes","No"),"")</f>
        <v/>
      </c>
      <c r="C17253" s="11"/>
      <c r="D17253" s="11"/>
      <c r="E17253" s="11"/>
      <c r="F17253" s="11"/>
      <c r="G17253" s="11"/>
      <c r="H17253" s="11"/>
      <c r="I17253" s="15"/>
    </row>
    <row r="17254" spans="1:9" ht="16.5">
      <c r="A17254" s="10" t="b">
        <v>0</v>
      </c>
      <c r="B17254" s="11" t="str">
        <f>IF(D17254&lt;&gt;"",IF(COUNTIF('USPTO TMs'!A:A,D17254)&gt;0,"Yes","No"),"")</f>
        <v/>
      </c>
      <c r="C17254" s="11"/>
      <c r="D17254" s="11"/>
      <c r="E17254" s="11"/>
      <c r="F17254" s="11"/>
      <c r="G17254" s="11"/>
      <c r="H17254" s="11"/>
      <c r="I17254" s="15"/>
    </row>
    <row r="17255" spans="1:9" ht="16.5">
      <c r="A17255" s="10" t="b">
        <v>0</v>
      </c>
      <c r="B17255" s="11" t="str">
        <f>IF(D17255&lt;&gt;"",IF(COUNTIF('USPTO TMs'!A:A,D17255)&gt;0,"Yes","No"),"")</f>
        <v/>
      </c>
      <c r="C17255" s="11"/>
      <c r="D17255" s="11"/>
      <c r="E17255" s="11"/>
      <c r="F17255" s="11"/>
      <c r="G17255" s="11"/>
      <c r="H17255" s="11"/>
      <c r="I17255" s="15"/>
    </row>
    <row r="17256" spans="1:9" ht="16.5">
      <c r="A17256" s="10" t="b">
        <v>0</v>
      </c>
      <c r="B17256" s="11" t="str">
        <f>IF(D17256&lt;&gt;"",IF(COUNTIF('USPTO TMs'!A:A,D17256)&gt;0,"Yes","No"),"")</f>
        <v/>
      </c>
      <c r="C17256" s="11"/>
      <c r="D17256" s="11"/>
      <c r="E17256" s="11"/>
      <c r="F17256" s="11"/>
      <c r="G17256" s="11"/>
      <c r="H17256" s="11"/>
      <c r="I17256" s="15"/>
    </row>
    <row r="17257" spans="1:9" ht="16.5">
      <c r="A17257" s="10" t="b">
        <v>0</v>
      </c>
      <c r="B17257" s="11" t="str">
        <f>IF(D17257&lt;&gt;"",IF(COUNTIF('USPTO TMs'!A:A,D17257)&gt;0,"Yes","No"),"")</f>
        <v/>
      </c>
      <c r="C17257" s="11"/>
      <c r="D17257" s="11"/>
      <c r="E17257" s="11"/>
      <c r="F17257" s="11"/>
      <c r="G17257" s="11"/>
      <c r="H17257" s="11"/>
      <c r="I17257" s="15"/>
    </row>
    <row r="17258" spans="1:9" ht="16.5">
      <c r="A17258" s="10" t="b">
        <v>0</v>
      </c>
      <c r="B17258" s="11" t="str">
        <f>IF(D17258&lt;&gt;"",IF(COUNTIF('USPTO TMs'!A:A,D17258)&gt;0,"Yes","No"),"")</f>
        <v/>
      </c>
      <c r="C17258" s="11"/>
      <c r="D17258" s="11"/>
      <c r="E17258" s="11"/>
      <c r="F17258" s="11"/>
      <c r="G17258" s="11"/>
      <c r="H17258" s="11"/>
      <c r="I17258" s="15"/>
    </row>
    <row r="17259" spans="1:9" ht="16.5">
      <c r="A17259" s="10" t="b">
        <v>0</v>
      </c>
      <c r="B17259" s="11" t="str">
        <f>IF(D17259&lt;&gt;"",IF(COUNTIF('USPTO TMs'!A:A,D17259)&gt;0,"Yes","No"),"")</f>
        <v/>
      </c>
      <c r="C17259" s="11"/>
      <c r="D17259" s="11"/>
      <c r="E17259" s="11"/>
      <c r="F17259" s="11"/>
      <c r="G17259" s="11"/>
      <c r="H17259" s="11"/>
      <c r="I17259" s="15"/>
    </row>
    <row r="17260" spans="1:9" ht="16.5">
      <c r="A17260" s="10" t="b">
        <v>0</v>
      </c>
      <c r="B17260" s="11" t="str">
        <f>IF(D17260&lt;&gt;"",IF(COUNTIF('USPTO TMs'!A:A,D17260)&gt;0,"Yes","No"),"")</f>
        <v/>
      </c>
      <c r="C17260" s="11"/>
      <c r="D17260" s="11"/>
      <c r="E17260" s="11"/>
      <c r="F17260" s="11"/>
      <c r="G17260" s="11"/>
      <c r="H17260" s="11"/>
      <c r="I17260" s="15"/>
    </row>
    <row r="17261" spans="1:9" ht="16.5">
      <c r="A17261" s="10" t="b">
        <v>0</v>
      </c>
      <c r="B17261" s="11" t="str">
        <f>IF(D17261&lt;&gt;"",IF(COUNTIF('USPTO TMs'!A:A,D17261)&gt;0,"Yes","No"),"")</f>
        <v/>
      </c>
      <c r="C17261" s="11"/>
      <c r="D17261" s="11"/>
      <c r="E17261" s="11"/>
      <c r="F17261" s="11"/>
      <c r="G17261" s="11"/>
      <c r="H17261" s="11"/>
      <c r="I17261" s="15"/>
    </row>
    <row r="17262" spans="1:9" ht="16.5">
      <c r="A17262" s="10" t="b">
        <v>0</v>
      </c>
      <c r="B17262" s="11" t="str">
        <f>IF(D17262&lt;&gt;"",IF(COUNTIF('USPTO TMs'!A:A,D17262)&gt;0,"Yes","No"),"")</f>
        <v/>
      </c>
      <c r="C17262" s="11"/>
      <c r="D17262" s="11"/>
      <c r="E17262" s="11"/>
      <c r="F17262" s="11"/>
      <c r="G17262" s="11"/>
      <c r="H17262" s="11"/>
      <c r="I17262" s="15"/>
    </row>
    <row r="17263" spans="1:9" ht="16.5">
      <c r="A17263" s="10" t="b">
        <v>0</v>
      </c>
      <c r="B17263" s="11" t="str">
        <f>IF(D17263&lt;&gt;"",IF(COUNTIF('USPTO TMs'!A:A,D17263)&gt;0,"Yes","No"),"")</f>
        <v/>
      </c>
      <c r="C17263" s="11"/>
      <c r="D17263" s="11"/>
      <c r="E17263" s="11"/>
      <c r="F17263" s="11"/>
      <c r="G17263" s="11"/>
      <c r="H17263" s="11"/>
      <c r="I17263" s="15"/>
    </row>
    <row r="17264" spans="1:9" ht="16.5">
      <c r="A17264" s="10" t="b">
        <v>0</v>
      </c>
      <c r="B17264" s="11" t="str">
        <f>IF(D17264&lt;&gt;"",IF(COUNTIF('USPTO TMs'!A:A,D17264)&gt;0,"Yes","No"),"")</f>
        <v/>
      </c>
      <c r="C17264" s="11"/>
      <c r="D17264" s="11"/>
      <c r="E17264" s="11"/>
      <c r="F17264" s="11"/>
      <c r="G17264" s="11"/>
      <c r="H17264" s="11"/>
      <c r="I17264" s="15"/>
    </row>
    <row r="17265" spans="1:9" ht="16.5">
      <c r="A17265" s="10" t="b">
        <v>0</v>
      </c>
      <c r="B17265" s="11" t="str">
        <f>IF(D17265&lt;&gt;"",IF(COUNTIF('USPTO TMs'!A:A,D17265)&gt;0,"Yes","No"),"")</f>
        <v/>
      </c>
      <c r="C17265" s="11"/>
      <c r="D17265" s="11"/>
      <c r="E17265" s="11"/>
      <c r="F17265" s="11"/>
      <c r="G17265" s="11"/>
      <c r="H17265" s="11"/>
      <c r="I17265" s="15"/>
    </row>
    <row r="17266" spans="1:9" ht="16.5">
      <c r="A17266" s="10" t="b">
        <v>0</v>
      </c>
      <c r="B17266" s="11" t="str">
        <f>IF(D17266&lt;&gt;"",IF(COUNTIF('USPTO TMs'!A:A,D17266)&gt;0,"Yes","No"),"")</f>
        <v/>
      </c>
      <c r="C17266" s="11"/>
      <c r="D17266" s="11"/>
      <c r="E17266" s="11"/>
      <c r="F17266" s="11"/>
      <c r="G17266" s="11"/>
      <c r="H17266" s="11"/>
      <c r="I17266" s="15"/>
    </row>
    <row r="17267" spans="1:9" ht="16.5">
      <c r="A17267" s="10" t="b">
        <v>0</v>
      </c>
      <c r="B17267" s="11" t="str">
        <f>IF(D17267&lt;&gt;"",IF(COUNTIF('USPTO TMs'!A:A,D17267)&gt;0,"Yes","No"),"")</f>
        <v/>
      </c>
      <c r="C17267" s="11"/>
      <c r="D17267" s="11"/>
      <c r="E17267" s="11"/>
      <c r="F17267" s="11"/>
      <c r="G17267" s="11"/>
      <c r="H17267" s="11"/>
      <c r="I17267" s="15"/>
    </row>
    <row r="17268" spans="1:9" ht="16.5">
      <c r="A17268" s="10" t="b">
        <v>0</v>
      </c>
      <c r="B17268" s="11" t="str">
        <f>IF(D17268&lt;&gt;"",IF(COUNTIF('USPTO TMs'!A:A,D17268)&gt;0,"Yes","No"),"")</f>
        <v/>
      </c>
      <c r="C17268" s="11"/>
      <c r="D17268" s="11"/>
      <c r="E17268" s="11"/>
      <c r="F17268" s="11"/>
      <c r="G17268" s="11"/>
      <c r="H17268" s="11"/>
      <c r="I17268" s="15"/>
    </row>
    <row r="17269" spans="1:9" ht="16.5">
      <c r="A17269" s="10" t="b">
        <v>0</v>
      </c>
      <c r="B17269" s="11" t="str">
        <f>IF(D17269&lt;&gt;"",IF(COUNTIF('USPTO TMs'!A:A,D17269)&gt;0,"Yes","No"),"")</f>
        <v/>
      </c>
      <c r="C17269" s="11"/>
      <c r="D17269" s="11"/>
      <c r="E17269" s="11"/>
      <c r="F17269" s="11"/>
      <c r="G17269" s="11"/>
      <c r="H17269" s="11"/>
      <c r="I17269" s="15"/>
    </row>
    <row r="17270" spans="1:9" ht="16.5">
      <c r="A17270" s="10" t="b">
        <v>0</v>
      </c>
      <c r="B17270" s="11" t="str">
        <f>IF(D17270&lt;&gt;"",IF(COUNTIF('USPTO TMs'!A:A,D17270)&gt;0,"Yes","No"),"")</f>
        <v/>
      </c>
      <c r="C17270" s="11"/>
      <c r="D17270" s="11"/>
      <c r="E17270" s="11"/>
      <c r="F17270" s="11"/>
      <c r="G17270" s="11"/>
      <c r="H17270" s="11"/>
      <c r="I17270" s="15"/>
    </row>
    <row r="17271" spans="1:9" ht="16.5">
      <c r="A17271" s="10" t="b">
        <v>0</v>
      </c>
      <c r="B17271" s="11" t="str">
        <f>IF(D17271&lt;&gt;"",IF(COUNTIF('USPTO TMs'!A:A,D17271)&gt;0,"Yes","No"),"")</f>
        <v/>
      </c>
      <c r="C17271" s="11"/>
      <c r="D17271" s="11"/>
      <c r="E17271" s="11"/>
      <c r="F17271" s="11"/>
      <c r="G17271" s="11"/>
      <c r="H17271" s="11"/>
      <c r="I17271" s="15"/>
    </row>
    <row r="17272" spans="1:9" ht="16.5">
      <c r="A17272" s="10" t="b">
        <v>0</v>
      </c>
      <c r="B17272" s="11" t="str">
        <f>IF(D17272&lt;&gt;"",IF(COUNTIF('USPTO TMs'!A:A,D17272)&gt;0,"Yes","No"),"")</f>
        <v/>
      </c>
      <c r="C17272" s="11"/>
      <c r="D17272" s="11"/>
      <c r="E17272" s="11"/>
      <c r="F17272" s="11"/>
      <c r="G17272" s="11"/>
      <c r="H17272" s="11"/>
      <c r="I17272" s="15"/>
    </row>
    <row r="17273" spans="1:9" ht="16.5">
      <c r="A17273" s="10" t="b">
        <v>0</v>
      </c>
      <c r="B17273" s="11" t="str">
        <f>IF(D17273&lt;&gt;"",IF(COUNTIF('USPTO TMs'!A:A,D17273)&gt;0,"Yes","No"),"")</f>
        <v/>
      </c>
      <c r="C17273" s="11"/>
      <c r="D17273" s="11"/>
      <c r="E17273" s="11"/>
      <c r="F17273" s="11"/>
      <c r="G17273" s="11"/>
      <c r="H17273" s="11"/>
      <c r="I17273" s="15"/>
    </row>
    <row r="17274" spans="1:9" ht="16.5">
      <c r="A17274" s="10" t="b">
        <v>0</v>
      </c>
      <c r="B17274" s="11" t="str">
        <f>IF(D17274&lt;&gt;"",IF(COUNTIF('USPTO TMs'!A:A,D17274)&gt;0,"Yes","No"),"")</f>
        <v/>
      </c>
      <c r="C17274" s="11"/>
      <c r="D17274" s="11"/>
      <c r="E17274" s="11"/>
      <c r="F17274" s="11"/>
      <c r="G17274" s="11"/>
      <c r="H17274" s="11"/>
      <c r="I17274" s="15"/>
    </row>
    <row r="17275" spans="1:9" ht="16.5">
      <c r="A17275" s="10" t="b">
        <v>0</v>
      </c>
      <c r="B17275" s="11" t="str">
        <f>IF(D17275&lt;&gt;"",IF(COUNTIF('USPTO TMs'!A:A,D17275)&gt;0,"Yes","No"),"")</f>
        <v/>
      </c>
      <c r="C17275" s="11"/>
      <c r="D17275" s="11"/>
      <c r="E17275" s="11"/>
      <c r="F17275" s="11"/>
      <c r="G17275" s="11"/>
      <c r="H17275" s="11"/>
      <c r="I17275" s="15"/>
    </row>
    <row r="17276" spans="1:9" ht="16.5">
      <c r="A17276" s="10" t="b">
        <v>0</v>
      </c>
      <c r="B17276" s="11" t="str">
        <f>IF(D17276&lt;&gt;"",IF(COUNTIF('USPTO TMs'!A:A,D17276)&gt;0,"Yes","No"),"")</f>
        <v/>
      </c>
      <c r="C17276" s="11"/>
      <c r="D17276" s="11"/>
      <c r="E17276" s="11"/>
      <c r="F17276" s="11"/>
      <c r="G17276" s="11"/>
      <c r="H17276" s="11"/>
      <c r="I17276" s="15"/>
    </row>
    <row r="17277" spans="1:9" ht="16.5">
      <c r="A17277" s="10" t="b">
        <v>0</v>
      </c>
      <c r="B17277" s="11" t="str">
        <f>IF(D17277&lt;&gt;"",IF(COUNTIF('USPTO TMs'!A:A,D17277)&gt;0,"Yes","No"),"")</f>
        <v/>
      </c>
      <c r="C17277" s="11"/>
      <c r="D17277" s="11"/>
      <c r="E17277" s="11"/>
      <c r="F17277" s="11"/>
      <c r="G17277" s="11"/>
      <c r="H17277" s="11"/>
      <c r="I17277" s="15"/>
    </row>
    <row r="17278" spans="1:9" ht="16.5">
      <c r="A17278" s="10" t="b">
        <v>0</v>
      </c>
      <c r="B17278" s="11" t="str">
        <f>IF(D17278&lt;&gt;"",IF(COUNTIF('USPTO TMs'!A:A,D17278)&gt;0,"Yes","No"),"")</f>
        <v/>
      </c>
      <c r="C17278" s="11"/>
      <c r="D17278" s="11"/>
      <c r="E17278" s="11"/>
      <c r="F17278" s="11"/>
      <c r="G17278" s="11"/>
      <c r="H17278" s="11"/>
      <c r="I17278" s="15"/>
    </row>
    <row r="17279" spans="1:9" ht="16.5">
      <c r="A17279" s="10" t="b">
        <v>0</v>
      </c>
      <c r="B17279" s="11" t="str">
        <f>IF(D17279&lt;&gt;"",IF(COUNTIF('USPTO TMs'!A:A,D17279)&gt;0,"Yes","No"),"")</f>
        <v/>
      </c>
      <c r="C17279" s="11"/>
      <c r="D17279" s="11"/>
      <c r="E17279" s="11"/>
      <c r="F17279" s="11"/>
      <c r="G17279" s="11"/>
      <c r="H17279" s="11"/>
      <c r="I17279" s="15"/>
    </row>
    <row r="17280" spans="1:9" ht="16.5">
      <c r="A17280" s="10" t="b">
        <v>0</v>
      </c>
      <c r="B17280" s="11" t="str">
        <f>IF(D17280&lt;&gt;"",IF(COUNTIF('USPTO TMs'!A:A,D17280)&gt;0,"Yes","No"),"")</f>
        <v/>
      </c>
      <c r="C17280" s="11"/>
      <c r="D17280" s="11"/>
      <c r="E17280" s="11"/>
      <c r="F17280" s="11"/>
      <c r="G17280" s="11"/>
      <c r="H17280" s="11"/>
      <c r="I17280" s="15"/>
    </row>
    <row r="17281" spans="1:9" ht="16.5">
      <c r="A17281" s="10" t="b">
        <v>0</v>
      </c>
      <c r="B17281" s="11" t="str">
        <f>IF(D17281&lt;&gt;"",IF(COUNTIF('USPTO TMs'!A:A,D17281)&gt;0,"Yes","No"),"")</f>
        <v/>
      </c>
      <c r="C17281" s="11"/>
      <c r="D17281" s="11"/>
      <c r="E17281" s="11"/>
      <c r="F17281" s="11"/>
      <c r="G17281" s="11"/>
      <c r="H17281" s="11"/>
      <c r="I17281" s="15"/>
    </row>
    <row r="17282" spans="1:9" ht="16.5">
      <c r="A17282" s="10" t="b">
        <v>0</v>
      </c>
      <c r="B17282" s="11" t="str">
        <f>IF(D17282&lt;&gt;"",IF(COUNTIF('USPTO TMs'!A:A,D17282)&gt;0,"Yes","No"),"")</f>
        <v/>
      </c>
      <c r="C17282" s="11"/>
      <c r="D17282" s="11"/>
      <c r="E17282" s="11"/>
      <c r="F17282" s="11"/>
      <c r="G17282" s="11"/>
      <c r="H17282" s="11"/>
      <c r="I17282" s="15"/>
    </row>
    <row r="17283" spans="1:9" ht="16.5">
      <c r="A17283" s="10" t="b">
        <v>0</v>
      </c>
      <c r="B17283" s="11" t="str">
        <f>IF(D17283&lt;&gt;"",IF(COUNTIF('USPTO TMs'!A:A,D17283)&gt;0,"Yes","No"),"")</f>
        <v/>
      </c>
      <c r="C17283" s="11"/>
      <c r="D17283" s="11"/>
      <c r="E17283" s="11"/>
      <c r="F17283" s="11"/>
      <c r="G17283" s="11"/>
      <c r="H17283" s="11"/>
      <c r="I17283" s="15"/>
    </row>
    <row r="17284" spans="1:9" ht="16.5">
      <c r="A17284" s="10" t="b">
        <v>0</v>
      </c>
      <c r="B17284" s="11" t="str">
        <f>IF(D17284&lt;&gt;"",IF(COUNTIF('USPTO TMs'!A:A,D17284)&gt;0,"Yes","No"),"")</f>
        <v/>
      </c>
      <c r="C17284" s="11"/>
      <c r="D17284" s="11"/>
      <c r="E17284" s="11"/>
      <c r="F17284" s="11"/>
      <c r="G17284" s="11"/>
      <c r="H17284" s="11"/>
      <c r="I17284" s="15"/>
    </row>
    <row r="17285" spans="1:9" ht="16.5">
      <c r="A17285" s="10" t="b">
        <v>0</v>
      </c>
      <c r="B17285" s="11" t="str">
        <f>IF(D17285&lt;&gt;"",IF(COUNTIF('USPTO TMs'!A:A,D17285)&gt;0,"Yes","No"),"")</f>
        <v/>
      </c>
      <c r="C17285" s="11"/>
      <c r="D17285" s="11"/>
      <c r="E17285" s="11"/>
      <c r="F17285" s="11"/>
      <c r="G17285" s="11"/>
      <c r="H17285" s="11"/>
      <c r="I17285" s="15"/>
    </row>
    <row r="17286" spans="1:9" ht="16.5">
      <c r="A17286" s="10" t="b">
        <v>0</v>
      </c>
      <c r="B17286" s="11" t="str">
        <f>IF(D17286&lt;&gt;"",IF(COUNTIF('USPTO TMs'!A:A,D17286)&gt;0,"Yes","No"),"")</f>
        <v/>
      </c>
      <c r="C17286" s="11"/>
      <c r="D17286" s="11"/>
      <c r="E17286" s="11"/>
      <c r="F17286" s="11"/>
      <c r="G17286" s="11"/>
      <c r="H17286" s="11"/>
      <c r="I17286" s="15"/>
    </row>
    <row r="17287" spans="1:9" ht="16.5">
      <c r="A17287" s="10" t="b">
        <v>0</v>
      </c>
      <c r="B17287" s="11" t="str">
        <f>IF(D17287&lt;&gt;"",IF(COUNTIF('USPTO TMs'!A:A,D17287)&gt;0,"Yes","No"),"")</f>
        <v/>
      </c>
      <c r="C17287" s="11"/>
      <c r="D17287" s="11"/>
      <c r="E17287" s="11"/>
      <c r="F17287" s="11"/>
      <c r="G17287" s="11"/>
      <c r="H17287" s="11"/>
      <c r="I17287" s="15"/>
    </row>
    <row r="17288" spans="1:9" ht="16.5">
      <c r="A17288" s="10" t="b">
        <v>0</v>
      </c>
      <c r="B17288" s="11" t="str">
        <f>IF(D17288&lt;&gt;"",IF(COUNTIF('USPTO TMs'!A:A,D17288)&gt;0,"Yes","No"),"")</f>
        <v/>
      </c>
      <c r="C17288" s="11"/>
      <c r="D17288" s="11"/>
      <c r="E17288" s="11"/>
      <c r="F17288" s="11"/>
      <c r="G17288" s="11"/>
      <c r="H17288" s="11"/>
      <c r="I17288" s="15"/>
    </row>
    <row r="17289" spans="1:9" ht="16.5">
      <c r="A17289" s="10" t="b">
        <v>0</v>
      </c>
      <c r="B17289" s="11" t="str">
        <f>IF(D17289&lt;&gt;"",IF(COUNTIF('USPTO TMs'!A:A,D17289)&gt;0,"Yes","No"),"")</f>
        <v/>
      </c>
      <c r="C17289" s="11"/>
      <c r="D17289" s="11"/>
      <c r="E17289" s="11"/>
      <c r="F17289" s="11"/>
      <c r="G17289" s="11"/>
      <c r="H17289" s="11"/>
      <c r="I17289" s="15"/>
    </row>
    <row r="17290" spans="1:9" ht="16.5">
      <c r="A17290" s="10" t="b">
        <v>0</v>
      </c>
      <c r="B17290" s="11" t="str">
        <f>IF(D17290&lt;&gt;"",IF(COUNTIF('USPTO TMs'!A:A,D17290)&gt;0,"Yes","No"),"")</f>
        <v/>
      </c>
      <c r="C17290" s="11"/>
      <c r="D17290" s="11"/>
      <c r="E17290" s="11"/>
      <c r="F17290" s="11"/>
      <c r="G17290" s="11"/>
      <c r="H17290" s="11"/>
      <c r="I17290" s="15"/>
    </row>
    <row r="17291" spans="1:9" ht="16.5">
      <c r="A17291" s="10" t="b">
        <v>0</v>
      </c>
      <c r="B17291" s="11" t="str">
        <f>IF(D17291&lt;&gt;"",IF(COUNTIF('USPTO TMs'!A:A,D17291)&gt;0,"Yes","No"),"")</f>
        <v/>
      </c>
      <c r="C17291" s="11"/>
      <c r="D17291" s="11"/>
      <c r="E17291" s="11"/>
      <c r="F17291" s="11"/>
      <c r="G17291" s="11"/>
      <c r="H17291" s="11"/>
      <c r="I17291" s="15"/>
    </row>
    <row r="17292" spans="1:9" ht="16.5">
      <c r="A17292" s="10" t="b">
        <v>0</v>
      </c>
      <c r="B17292" s="11" t="str">
        <f>IF(D17292&lt;&gt;"",IF(COUNTIF('USPTO TMs'!A:A,D17292)&gt;0,"Yes","No"),"")</f>
        <v/>
      </c>
      <c r="C17292" s="11"/>
      <c r="D17292" s="11"/>
      <c r="E17292" s="11"/>
      <c r="F17292" s="11"/>
      <c r="G17292" s="11"/>
      <c r="H17292" s="11"/>
      <c r="I17292" s="15"/>
    </row>
    <row r="17293" spans="1:9" ht="16.5">
      <c r="A17293" s="10" t="b">
        <v>0</v>
      </c>
      <c r="B17293" s="11" t="str">
        <f>IF(D17293&lt;&gt;"",IF(COUNTIF('USPTO TMs'!A:A,D17293)&gt;0,"Yes","No"),"")</f>
        <v/>
      </c>
      <c r="C17293" s="11"/>
      <c r="D17293" s="11"/>
      <c r="E17293" s="11"/>
      <c r="F17293" s="11"/>
      <c r="G17293" s="11"/>
      <c r="H17293" s="11"/>
      <c r="I17293" s="15"/>
    </row>
    <row r="17294" spans="1:9" ht="16.5">
      <c r="A17294" s="10" t="b">
        <v>0</v>
      </c>
      <c r="B17294" s="11" t="str">
        <f>IF(D17294&lt;&gt;"",IF(COUNTIF('USPTO TMs'!A:A,D17294)&gt;0,"Yes","No"),"")</f>
        <v/>
      </c>
      <c r="C17294" s="11"/>
      <c r="D17294" s="11"/>
      <c r="E17294" s="11"/>
      <c r="F17294" s="11"/>
      <c r="G17294" s="11"/>
      <c r="H17294" s="11"/>
      <c r="I17294" s="15"/>
    </row>
    <row r="17295" spans="1:9" ht="16.5">
      <c r="A17295" s="10" t="b">
        <v>0</v>
      </c>
      <c r="B17295" s="11" t="str">
        <f>IF(D17295&lt;&gt;"",IF(COUNTIF('USPTO TMs'!A:A,D17295)&gt;0,"Yes","No"),"")</f>
        <v/>
      </c>
      <c r="C17295" s="11"/>
      <c r="D17295" s="11"/>
      <c r="E17295" s="11"/>
      <c r="F17295" s="11"/>
      <c r="G17295" s="11"/>
      <c r="H17295" s="11"/>
      <c r="I17295" s="15"/>
    </row>
    <row r="17296" spans="1:9" ht="16.5">
      <c r="A17296" s="10" t="b">
        <v>0</v>
      </c>
      <c r="B17296" s="11" t="str">
        <f>IF(D17296&lt;&gt;"",IF(COUNTIF('USPTO TMs'!A:A,D17296)&gt;0,"Yes","No"),"")</f>
        <v/>
      </c>
      <c r="C17296" s="11"/>
      <c r="D17296" s="11"/>
      <c r="E17296" s="11"/>
      <c r="F17296" s="11"/>
      <c r="G17296" s="11"/>
      <c r="H17296" s="11"/>
      <c r="I17296" s="15"/>
    </row>
    <row r="17297" spans="1:9" ht="16.5">
      <c r="A17297" s="10" t="b">
        <v>0</v>
      </c>
      <c r="B17297" s="11" t="str">
        <f>IF(D17297&lt;&gt;"",IF(COUNTIF('USPTO TMs'!A:A,D17297)&gt;0,"Yes","No"),"")</f>
        <v/>
      </c>
      <c r="C17297" s="11"/>
      <c r="D17297" s="11"/>
      <c r="E17297" s="11"/>
      <c r="F17297" s="11"/>
      <c r="G17297" s="11"/>
      <c r="H17297" s="11"/>
      <c r="I17297" s="15"/>
    </row>
    <row r="17298" spans="1:9" ht="16.5">
      <c r="A17298" s="10" t="b">
        <v>0</v>
      </c>
      <c r="B17298" s="11" t="str">
        <f>IF(D17298&lt;&gt;"",IF(COUNTIF('USPTO TMs'!A:A,D17298)&gt;0,"Yes","No"),"")</f>
        <v/>
      </c>
      <c r="C17298" s="11"/>
      <c r="D17298" s="11"/>
      <c r="E17298" s="11"/>
      <c r="F17298" s="11"/>
      <c r="G17298" s="11"/>
      <c r="H17298" s="11"/>
      <c r="I17298" s="15"/>
    </row>
    <row r="17299" spans="1:9" ht="16.5">
      <c r="A17299" s="10" t="b">
        <v>0</v>
      </c>
      <c r="B17299" s="11" t="str">
        <f>IF(D17299&lt;&gt;"",IF(COUNTIF('USPTO TMs'!A:A,D17299)&gt;0,"Yes","No"),"")</f>
        <v/>
      </c>
      <c r="C17299" s="11"/>
      <c r="D17299" s="11"/>
      <c r="E17299" s="11"/>
      <c r="F17299" s="11"/>
      <c r="G17299" s="11"/>
      <c r="H17299" s="11"/>
      <c r="I17299" s="15"/>
    </row>
    <row r="17300" spans="1:9" ht="16.5">
      <c r="A17300" s="10" t="b">
        <v>0</v>
      </c>
      <c r="B17300" s="11" t="str">
        <f>IF(D17300&lt;&gt;"",IF(COUNTIF('USPTO TMs'!A:A,D17300)&gt;0,"Yes","No"),"")</f>
        <v/>
      </c>
      <c r="C17300" s="11"/>
      <c r="D17300" s="11"/>
      <c r="E17300" s="11"/>
      <c r="F17300" s="11"/>
      <c r="G17300" s="11"/>
      <c r="H17300" s="11"/>
      <c r="I17300" s="15"/>
    </row>
    <row r="17301" spans="1:9" ht="16.5">
      <c r="A17301" s="10" t="b">
        <v>0</v>
      </c>
      <c r="B17301" s="11" t="str">
        <f>IF(D17301&lt;&gt;"",IF(COUNTIF('USPTO TMs'!A:A,D17301)&gt;0,"Yes","No"),"")</f>
        <v/>
      </c>
      <c r="C17301" s="11"/>
      <c r="D17301" s="11"/>
      <c r="E17301" s="11"/>
      <c r="F17301" s="11"/>
      <c r="G17301" s="11"/>
      <c r="H17301" s="11"/>
      <c r="I17301" s="15"/>
    </row>
    <row r="17302" spans="1:9" ht="16.5">
      <c r="A17302" s="10" t="b">
        <v>0</v>
      </c>
      <c r="B17302" s="11" t="str">
        <f>IF(D17302&lt;&gt;"",IF(COUNTIF('USPTO TMs'!A:A,D17302)&gt;0,"Yes","No"),"")</f>
        <v/>
      </c>
      <c r="C17302" s="11"/>
      <c r="D17302" s="11"/>
      <c r="E17302" s="11"/>
      <c r="F17302" s="11"/>
      <c r="G17302" s="11"/>
      <c r="H17302" s="11"/>
      <c r="I17302" s="15"/>
    </row>
    <row r="17303" spans="1:9" ht="16.5">
      <c r="A17303" s="10" t="b">
        <v>0</v>
      </c>
      <c r="B17303" s="11" t="str">
        <f>IF(D17303&lt;&gt;"",IF(COUNTIF('USPTO TMs'!A:A,D17303)&gt;0,"Yes","No"),"")</f>
        <v/>
      </c>
      <c r="C17303" s="11"/>
      <c r="D17303" s="11"/>
      <c r="E17303" s="11"/>
      <c r="F17303" s="11"/>
      <c r="G17303" s="11"/>
      <c r="H17303" s="11"/>
      <c r="I17303" s="15"/>
    </row>
    <row r="17304" spans="1:9" ht="16.5">
      <c r="A17304" s="10" t="b">
        <v>0</v>
      </c>
      <c r="B17304" s="11" t="str">
        <f>IF(D17304&lt;&gt;"",IF(COUNTIF('USPTO TMs'!A:A,D17304)&gt;0,"Yes","No"),"")</f>
        <v/>
      </c>
      <c r="C17304" s="11"/>
      <c r="D17304" s="11"/>
      <c r="E17304" s="11"/>
      <c r="F17304" s="11"/>
      <c r="G17304" s="11"/>
      <c r="H17304" s="11"/>
      <c r="I17304" s="15"/>
    </row>
    <row r="17305" spans="1:9" ht="16.5">
      <c r="A17305" s="10" t="b">
        <v>0</v>
      </c>
      <c r="B17305" s="11" t="str">
        <f>IF(D17305&lt;&gt;"",IF(COUNTIF('USPTO TMs'!A:A,D17305)&gt;0,"Yes","No"),"")</f>
        <v/>
      </c>
      <c r="C17305" s="11"/>
      <c r="D17305" s="11"/>
      <c r="E17305" s="11"/>
      <c r="F17305" s="11"/>
      <c r="G17305" s="11"/>
      <c r="H17305" s="11"/>
      <c r="I17305" s="15"/>
    </row>
    <row r="17306" spans="1:9" ht="16.5">
      <c r="A17306" s="10" t="b">
        <v>0</v>
      </c>
      <c r="B17306" s="11" t="str">
        <f>IF(D17306&lt;&gt;"",IF(COUNTIF('USPTO TMs'!A:A,D17306)&gt;0,"Yes","No"),"")</f>
        <v/>
      </c>
      <c r="C17306" s="11"/>
      <c r="D17306" s="11"/>
      <c r="E17306" s="11"/>
      <c r="F17306" s="11"/>
      <c r="G17306" s="11"/>
      <c r="H17306" s="11"/>
      <c r="I17306" s="15"/>
    </row>
    <row r="17307" spans="1:9" ht="16.5">
      <c r="A17307" s="10" t="b">
        <v>0</v>
      </c>
      <c r="B17307" s="11" t="str">
        <f>IF(D17307&lt;&gt;"",IF(COUNTIF('USPTO TMs'!A:A,D17307)&gt;0,"Yes","No"),"")</f>
        <v/>
      </c>
      <c r="C17307" s="11"/>
      <c r="D17307" s="11"/>
      <c r="E17307" s="11"/>
      <c r="F17307" s="11"/>
      <c r="G17307" s="11"/>
      <c r="H17307" s="11"/>
      <c r="I17307" s="15"/>
    </row>
    <row r="17308" spans="1:9" ht="16.5">
      <c r="A17308" s="10" t="b">
        <v>0</v>
      </c>
      <c r="B17308" s="11" t="str">
        <f>IF(D17308&lt;&gt;"",IF(COUNTIF('USPTO TMs'!A:A,D17308)&gt;0,"Yes","No"),"")</f>
        <v/>
      </c>
      <c r="C17308" s="11"/>
      <c r="D17308" s="11"/>
      <c r="E17308" s="11"/>
      <c r="F17308" s="11"/>
      <c r="G17308" s="11"/>
      <c r="H17308" s="11"/>
      <c r="I17308" s="15"/>
    </row>
    <row r="17309" spans="1:9" ht="16.5">
      <c r="A17309" s="10" t="b">
        <v>0</v>
      </c>
      <c r="B17309" s="11" t="str">
        <f>IF(D17309&lt;&gt;"",IF(COUNTIF('USPTO TMs'!A:A,D17309)&gt;0,"Yes","No"),"")</f>
        <v/>
      </c>
      <c r="C17309" s="11"/>
      <c r="D17309" s="11"/>
      <c r="E17309" s="11"/>
      <c r="F17309" s="11"/>
      <c r="G17309" s="11"/>
      <c r="H17309" s="11"/>
      <c r="I17309" s="15"/>
    </row>
    <row r="17310" spans="1:9" ht="16.5">
      <c r="A17310" s="10" t="b">
        <v>0</v>
      </c>
      <c r="B17310" s="11" t="str">
        <f>IF(D17310&lt;&gt;"",IF(COUNTIF('USPTO TMs'!A:A,D17310)&gt;0,"Yes","No"),"")</f>
        <v/>
      </c>
      <c r="C17310" s="11"/>
      <c r="D17310" s="11"/>
      <c r="E17310" s="11"/>
      <c r="F17310" s="11"/>
      <c r="G17310" s="11"/>
      <c r="H17310" s="11"/>
      <c r="I17310" s="15"/>
    </row>
    <row r="17311" spans="1:9" ht="16.5">
      <c r="A17311" s="10" t="b">
        <v>0</v>
      </c>
      <c r="B17311" s="11" t="str">
        <f>IF(D17311&lt;&gt;"",IF(COUNTIF('USPTO TMs'!A:A,D17311)&gt;0,"Yes","No"),"")</f>
        <v/>
      </c>
      <c r="C17311" s="11"/>
      <c r="D17311" s="11"/>
      <c r="E17311" s="11"/>
      <c r="F17311" s="11"/>
      <c r="G17311" s="11"/>
      <c r="H17311" s="11"/>
      <c r="I17311" s="15"/>
    </row>
    <row r="17312" spans="1:9" ht="16.5">
      <c r="A17312" s="10" t="b">
        <v>0</v>
      </c>
      <c r="B17312" s="11" t="str">
        <f>IF(D17312&lt;&gt;"",IF(COUNTIF('USPTO TMs'!A:A,D17312)&gt;0,"Yes","No"),"")</f>
        <v/>
      </c>
      <c r="C17312" s="11"/>
      <c r="D17312" s="11"/>
      <c r="E17312" s="11"/>
      <c r="F17312" s="11"/>
      <c r="G17312" s="11"/>
      <c r="H17312" s="11"/>
      <c r="I17312" s="15"/>
    </row>
    <row r="17313" spans="1:9" ht="16.5">
      <c r="A17313" s="10" t="b">
        <v>0</v>
      </c>
      <c r="B17313" s="11" t="str">
        <f>IF(D17313&lt;&gt;"",IF(COUNTIF('USPTO TMs'!A:A,D17313)&gt;0,"Yes","No"),"")</f>
        <v/>
      </c>
      <c r="C17313" s="11"/>
      <c r="D17313" s="11"/>
      <c r="E17313" s="11"/>
      <c r="F17313" s="11"/>
      <c r="G17313" s="11"/>
      <c r="H17313" s="11"/>
      <c r="I17313" s="15"/>
    </row>
    <row r="17314" spans="1:9" ht="16.5">
      <c r="A17314" s="10" t="b">
        <v>0</v>
      </c>
      <c r="B17314" s="11" t="str">
        <f>IF(D17314&lt;&gt;"",IF(COUNTIF('USPTO TMs'!A:A,D17314)&gt;0,"Yes","No"),"")</f>
        <v/>
      </c>
      <c r="C17314" s="11"/>
      <c r="D17314" s="11"/>
      <c r="E17314" s="11"/>
      <c r="F17314" s="11"/>
      <c r="G17314" s="11"/>
      <c r="H17314" s="11"/>
      <c r="I17314" s="15"/>
    </row>
    <row r="17315" spans="1:9" ht="16.5">
      <c r="A17315" s="10" t="b">
        <v>0</v>
      </c>
      <c r="B17315" s="11" t="str">
        <f>IF(D17315&lt;&gt;"",IF(COUNTIF('USPTO TMs'!A:A,D17315)&gt;0,"Yes","No"),"")</f>
        <v/>
      </c>
      <c r="C17315" s="11"/>
      <c r="D17315" s="11"/>
      <c r="E17315" s="11"/>
      <c r="F17315" s="11"/>
      <c r="G17315" s="11"/>
      <c r="H17315" s="11"/>
      <c r="I17315" s="15"/>
    </row>
    <row r="17316" spans="1:9" ht="16.5">
      <c r="A17316" s="10" t="b">
        <v>0</v>
      </c>
      <c r="B17316" s="11" t="str">
        <f>IF(D17316&lt;&gt;"",IF(COUNTIF('USPTO TMs'!A:A,D17316)&gt;0,"Yes","No"),"")</f>
        <v/>
      </c>
      <c r="C17316" s="11"/>
      <c r="D17316" s="11"/>
      <c r="E17316" s="11"/>
      <c r="F17316" s="11"/>
      <c r="G17316" s="11"/>
      <c r="H17316" s="11"/>
      <c r="I17316" s="15"/>
    </row>
    <row r="17317" spans="1:9" ht="16.5">
      <c r="A17317" s="10" t="b">
        <v>0</v>
      </c>
      <c r="B17317" s="11" t="str">
        <f>IF(D17317&lt;&gt;"",IF(COUNTIF('USPTO TMs'!A:A,D17317)&gt;0,"Yes","No"),"")</f>
        <v/>
      </c>
      <c r="C17317" s="11"/>
      <c r="D17317" s="11"/>
      <c r="E17317" s="11"/>
      <c r="F17317" s="11"/>
      <c r="G17317" s="11"/>
      <c r="H17317" s="11"/>
      <c r="I17317" s="15"/>
    </row>
    <row r="17318" spans="1:9" ht="16.5">
      <c r="A17318" s="10" t="b">
        <v>0</v>
      </c>
      <c r="B17318" s="11" t="str">
        <f>IF(D17318&lt;&gt;"",IF(COUNTIF('USPTO TMs'!A:A,D17318)&gt;0,"Yes","No"),"")</f>
        <v/>
      </c>
      <c r="C17318" s="11"/>
      <c r="D17318" s="11"/>
      <c r="E17318" s="11"/>
      <c r="F17318" s="11"/>
      <c r="G17318" s="11"/>
      <c r="H17318" s="11"/>
      <c r="I17318" s="15"/>
    </row>
    <row r="17319" spans="1:9" ht="16.5">
      <c r="A17319" s="10" t="b">
        <v>0</v>
      </c>
      <c r="B17319" s="11" t="str">
        <f>IF(D17319&lt;&gt;"",IF(COUNTIF('USPTO TMs'!A:A,D17319)&gt;0,"Yes","No"),"")</f>
        <v/>
      </c>
      <c r="C17319" s="11"/>
      <c r="D17319" s="11"/>
      <c r="E17319" s="11"/>
      <c r="F17319" s="11"/>
      <c r="G17319" s="11"/>
      <c r="H17319" s="11"/>
      <c r="I17319" s="15"/>
    </row>
    <row r="17320" spans="1:9" ht="16.5">
      <c r="A17320" s="10" t="b">
        <v>0</v>
      </c>
      <c r="B17320" s="11" t="str">
        <f>IF(D17320&lt;&gt;"",IF(COUNTIF('USPTO TMs'!A:A,D17320)&gt;0,"Yes","No"),"")</f>
        <v/>
      </c>
      <c r="C17320" s="11"/>
      <c r="D17320" s="11"/>
      <c r="E17320" s="11"/>
      <c r="F17320" s="11"/>
      <c r="G17320" s="11"/>
      <c r="H17320" s="11"/>
      <c r="I17320" s="15"/>
    </row>
    <row r="17321" spans="1:9" ht="16.5">
      <c r="A17321" s="10" t="b">
        <v>0</v>
      </c>
      <c r="B17321" s="11" t="str">
        <f>IF(D17321&lt;&gt;"",IF(COUNTIF('USPTO TMs'!A:A,D17321)&gt;0,"Yes","No"),"")</f>
        <v/>
      </c>
      <c r="C17321" s="11"/>
      <c r="D17321" s="11"/>
      <c r="E17321" s="11"/>
      <c r="F17321" s="11"/>
      <c r="G17321" s="11"/>
      <c r="H17321" s="11"/>
      <c r="I17321" s="15"/>
    </row>
    <row r="17322" spans="1:9" ht="16.5">
      <c r="A17322" s="10" t="b">
        <v>0</v>
      </c>
      <c r="B17322" s="11" t="str">
        <f>IF(D17322&lt;&gt;"",IF(COUNTIF('USPTO TMs'!A:A,D17322)&gt;0,"Yes","No"),"")</f>
        <v/>
      </c>
      <c r="C17322" s="11"/>
      <c r="D17322" s="11"/>
      <c r="E17322" s="11"/>
      <c r="F17322" s="11"/>
      <c r="G17322" s="11"/>
      <c r="H17322" s="11"/>
      <c r="I17322" s="15"/>
    </row>
    <row r="17323" spans="1:9" ht="16.5">
      <c r="A17323" s="10" t="b">
        <v>0</v>
      </c>
      <c r="B17323" s="11" t="str">
        <f>IF(D17323&lt;&gt;"",IF(COUNTIF('USPTO TMs'!A:A,D17323)&gt;0,"Yes","No"),"")</f>
        <v/>
      </c>
      <c r="C17323" s="11"/>
      <c r="D17323" s="11"/>
      <c r="E17323" s="11"/>
      <c r="F17323" s="11"/>
      <c r="G17323" s="11"/>
      <c r="H17323" s="11"/>
      <c r="I17323" s="15"/>
    </row>
    <row r="17324" spans="1:9" ht="16.5">
      <c r="A17324" s="10" t="b">
        <v>0</v>
      </c>
      <c r="B17324" s="11" t="str">
        <f>IF(D17324&lt;&gt;"",IF(COUNTIF('USPTO TMs'!A:A,D17324)&gt;0,"Yes","No"),"")</f>
        <v/>
      </c>
      <c r="C17324" s="11"/>
      <c r="D17324" s="11"/>
      <c r="E17324" s="11"/>
      <c r="F17324" s="11"/>
      <c r="G17324" s="11"/>
      <c r="H17324" s="11"/>
      <c r="I17324" s="15"/>
    </row>
    <row r="17325" spans="1:9" ht="16.5">
      <c r="A17325" s="10" t="b">
        <v>0</v>
      </c>
      <c r="B17325" s="11" t="str">
        <f>IF(D17325&lt;&gt;"",IF(COUNTIF('USPTO TMs'!A:A,D17325)&gt;0,"Yes","No"),"")</f>
        <v/>
      </c>
      <c r="C17325" s="11"/>
      <c r="D17325" s="11"/>
      <c r="E17325" s="11"/>
      <c r="F17325" s="11"/>
      <c r="G17325" s="11"/>
      <c r="H17325" s="11"/>
      <c r="I17325" s="15"/>
    </row>
    <row r="17326" spans="1:9" ht="16.5">
      <c r="A17326" s="10" t="b">
        <v>0</v>
      </c>
      <c r="B17326" s="11" t="str">
        <f>IF(D17326&lt;&gt;"",IF(COUNTIF('USPTO TMs'!A:A,D17326)&gt;0,"Yes","No"),"")</f>
        <v/>
      </c>
      <c r="C17326" s="11"/>
      <c r="D17326" s="11"/>
      <c r="E17326" s="11"/>
      <c r="F17326" s="11"/>
      <c r="G17326" s="11"/>
      <c r="H17326" s="11"/>
      <c r="I17326" s="15"/>
    </row>
    <row r="17327" spans="1:9" ht="16.5">
      <c r="A17327" s="10" t="b">
        <v>0</v>
      </c>
      <c r="B17327" s="11" t="str">
        <f>IF(D17327&lt;&gt;"",IF(COUNTIF('USPTO TMs'!A:A,D17327)&gt;0,"Yes","No"),"")</f>
        <v/>
      </c>
      <c r="C17327" s="11"/>
      <c r="D17327" s="11"/>
      <c r="E17327" s="11"/>
      <c r="F17327" s="11"/>
      <c r="G17327" s="11"/>
      <c r="H17327" s="11"/>
      <c r="I17327" s="15"/>
    </row>
    <row r="17328" spans="1:9" ht="16.5">
      <c r="A17328" s="10" t="b">
        <v>0</v>
      </c>
      <c r="B17328" s="11" t="str">
        <f>IF(D17328&lt;&gt;"",IF(COUNTIF('USPTO TMs'!A:A,D17328)&gt;0,"Yes","No"),"")</f>
        <v/>
      </c>
      <c r="C17328" s="11"/>
      <c r="D17328" s="11"/>
      <c r="E17328" s="11"/>
      <c r="F17328" s="11"/>
      <c r="G17328" s="11"/>
      <c r="H17328" s="11"/>
      <c r="I17328" s="15"/>
    </row>
    <row r="17329" spans="1:9" ht="16.5">
      <c r="A17329" s="10" t="b">
        <v>0</v>
      </c>
      <c r="B17329" s="11" t="str">
        <f>IF(D17329&lt;&gt;"",IF(COUNTIF('USPTO TMs'!A:A,D17329)&gt;0,"Yes","No"),"")</f>
        <v/>
      </c>
      <c r="C17329" s="11"/>
      <c r="D17329" s="11"/>
      <c r="E17329" s="11"/>
      <c r="F17329" s="11"/>
      <c r="G17329" s="11"/>
      <c r="H17329" s="11"/>
      <c r="I17329" s="15"/>
    </row>
    <row r="17330" spans="1:9" ht="16.5">
      <c r="A17330" s="10" t="b">
        <v>0</v>
      </c>
      <c r="B17330" s="11" t="str">
        <f>IF(D17330&lt;&gt;"",IF(COUNTIF('USPTO TMs'!A:A,D17330)&gt;0,"Yes","No"),"")</f>
        <v/>
      </c>
      <c r="C17330" s="11"/>
      <c r="D17330" s="11"/>
      <c r="E17330" s="11"/>
      <c r="F17330" s="11"/>
      <c r="G17330" s="11"/>
      <c r="H17330" s="11"/>
      <c r="I17330" s="15"/>
    </row>
    <row r="17331" spans="1:9" ht="16.5">
      <c r="A17331" s="10" t="b">
        <v>0</v>
      </c>
      <c r="B17331" s="11" t="str">
        <f>IF(D17331&lt;&gt;"",IF(COUNTIF('USPTO TMs'!A:A,D17331)&gt;0,"Yes","No"),"")</f>
        <v/>
      </c>
      <c r="C17331" s="11"/>
      <c r="D17331" s="11"/>
      <c r="E17331" s="11"/>
      <c r="F17331" s="11"/>
      <c r="G17331" s="11"/>
      <c r="H17331" s="11"/>
      <c r="I17331" s="15"/>
    </row>
    <row r="17332" spans="1:9" ht="16.5">
      <c r="A17332" s="10" t="b">
        <v>0</v>
      </c>
      <c r="B17332" s="11" t="str">
        <f>IF(D17332&lt;&gt;"",IF(COUNTIF('USPTO TMs'!A:A,D17332)&gt;0,"Yes","No"),"")</f>
        <v/>
      </c>
      <c r="C17332" s="11"/>
      <c r="D17332" s="11"/>
      <c r="E17332" s="11"/>
      <c r="F17332" s="11"/>
      <c r="G17332" s="11"/>
      <c r="H17332" s="11"/>
      <c r="I17332" s="15"/>
    </row>
    <row r="17333" spans="1:9" ht="16.5">
      <c r="A17333" s="10" t="b">
        <v>0</v>
      </c>
      <c r="B17333" s="11" t="str">
        <f>IF(D17333&lt;&gt;"",IF(COUNTIF('USPTO TMs'!A:A,D17333)&gt;0,"Yes","No"),"")</f>
        <v/>
      </c>
      <c r="C17333" s="11"/>
      <c r="D17333" s="11"/>
      <c r="E17333" s="11"/>
      <c r="F17333" s="11"/>
      <c r="G17333" s="11"/>
      <c r="H17333" s="11"/>
      <c r="I17333" s="15"/>
    </row>
    <row r="17334" spans="1:9" ht="16.5">
      <c r="A17334" s="10" t="b">
        <v>0</v>
      </c>
      <c r="B17334" s="11" t="str">
        <f>IF(D17334&lt;&gt;"",IF(COUNTIF('USPTO TMs'!A:A,D17334)&gt;0,"Yes","No"),"")</f>
        <v/>
      </c>
      <c r="C17334" s="11"/>
      <c r="D17334" s="11"/>
      <c r="E17334" s="11"/>
      <c r="F17334" s="11"/>
      <c r="G17334" s="11"/>
      <c r="H17334" s="11"/>
      <c r="I17334" s="15"/>
    </row>
    <row r="17335" spans="1:9" ht="16.5">
      <c r="A17335" s="10" t="b">
        <v>0</v>
      </c>
      <c r="B17335" s="11" t="str">
        <f>IF(D17335&lt;&gt;"",IF(COUNTIF('USPTO TMs'!A:A,D17335)&gt;0,"Yes","No"),"")</f>
        <v/>
      </c>
      <c r="C17335" s="11"/>
      <c r="D17335" s="11"/>
      <c r="E17335" s="11"/>
      <c r="F17335" s="11"/>
      <c r="G17335" s="11"/>
      <c r="H17335" s="11"/>
      <c r="I17335" s="15"/>
    </row>
    <row r="17336" spans="1:9" ht="16.5">
      <c r="A17336" s="10" t="b">
        <v>0</v>
      </c>
      <c r="B17336" s="11" t="str">
        <f>IF(D17336&lt;&gt;"",IF(COUNTIF('USPTO TMs'!A:A,D17336)&gt;0,"Yes","No"),"")</f>
        <v/>
      </c>
      <c r="C17336" s="11"/>
      <c r="D17336" s="11"/>
      <c r="E17336" s="11"/>
      <c r="F17336" s="11"/>
      <c r="G17336" s="11"/>
      <c r="H17336" s="11"/>
      <c r="I17336" s="15"/>
    </row>
    <row r="17337" spans="1:9" ht="16.5">
      <c r="A17337" s="10" t="b">
        <v>0</v>
      </c>
      <c r="B17337" s="11" t="str">
        <f>IF(D17337&lt;&gt;"",IF(COUNTIF('USPTO TMs'!A:A,D17337)&gt;0,"Yes","No"),"")</f>
        <v/>
      </c>
      <c r="C17337" s="11"/>
      <c r="D17337" s="11"/>
      <c r="E17337" s="11"/>
      <c r="F17337" s="11"/>
      <c r="G17337" s="11"/>
      <c r="H17337" s="11"/>
      <c r="I17337" s="15"/>
    </row>
    <row r="17338" spans="1:9" ht="16.5">
      <c r="A17338" s="10" t="b">
        <v>0</v>
      </c>
      <c r="B17338" s="11" t="str">
        <f>IF(D17338&lt;&gt;"",IF(COUNTIF('USPTO TMs'!A:A,D17338)&gt;0,"Yes","No"),"")</f>
        <v/>
      </c>
      <c r="C17338" s="11"/>
      <c r="D17338" s="11"/>
      <c r="E17338" s="11"/>
      <c r="F17338" s="11"/>
      <c r="G17338" s="11"/>
      <c r="H17338" s="11"/>
      <c r="I17338" s="15"/>
    </row>
    <row r="17339" spans="1:9" ht="16.5">
      <c r="A17339" s="10" t="b">
        <v>0</v>
      </c>
      <c r="B17339" s="11" t="str">
        <f>IF(D17339&lt;&gt;"",IF(COUNTIF('USPTO TMs'!A:A,D17339)&gt;0,"Yes","No"),"")</f>
        <v/>
      </c>
      <c r="C17339" s="11"/>
      <c r="D17339" s="11"/>
      <c r="E17339" s="11"/>
      <c r="F17339" s="11"/>
      <c r="G17339" s="11"/>
      <c r="H17339" s="11"/>
      <c r="I17339" s="15"/>
    </row>
    <row r="17340" spans="1:9" ht="16.5">
      <c r="A17340" s="10" t="b">
        <v>0</v>
      </c>
      <c r="B17340" s="11" t="str">
        <f>IF(D17340&lt;&gt;"",IF(COUNTIF('USPTO TMs'!A:A,D17340)&gt;0,"Yes","No"),"")</f>
        <v/>
      </c>
      <c r="C17340" s="11"/>
      <c r="D17340" s="11"/>
      <c r="E17340" s="11"/>
      <c r="F17340" s="11"/>
      <c r="G17340" s="11"/>
      <c r="H17340" s="11"/>
      <c r="I17340" s="15"/>
    </row>
    <row r="17341" spans="1:9" ht="16.5">
      <c r="A17341" s="10" t="b">
        <v>0</v>
      </c>
      <c r="B17341" s="11" t="str">
        <f>IF(D17341&lt;&gt;"",IF(COUNTIF('USPTO TMs'!A:A,D17341)&gt;0,"Yes","No"),"")</f>
        <v/>
      </c>
      <c r="C17341" s="11"/>
      <c r="D17341" s="11"/>
      <c r="E17341" s="11"/>
      <c r="F17341" s="11"/>
      <c r="G17341" s="11"/>
      <c r="H17341" s="11"/>
      <c r="I17341" s="15"/>
    </row>
    <row r="17342" spans="1:9" ht="16.5">
      <c r="A17342" s="10" t="b">
        <v>0</v>
      </c>
      <c r="B17342" s="11" t="str">
        <f>IF(D17342&lt;&gt;"",IF(COUNTIF('USPTO TMs'!A:A,D17342)&gt;0,"Yes","No"),"")</f>
        <v/>
      </c>
      <c r="C17342" s="11"/>
      <c r="D17342" s="11"/>
      <c r="E17342" s="11"/>
      <c r="F17342" s="11"/>
      <c r="G17342" s="11"/>
      <c r="H17342" s="11"/>
      <c r="I17342" s="15"/>
    </row>
    <row r="17343" spans="1:9" ht="16.5">
      <c r="A17343" s="10" t="b">
        <v>0</v>
      </c>
      <c r="B17343" s="11" t="str">
        <f>IF(D17343&lt;&gt;"",IF(COUNTIF('USPTO TMs'!A:A,D17343)&gt;0,"Yes","No"),"")</f>
        <v/>
      </c>
      <c r="C17343" s="11"/>
      <c r="D17343" s="11"/>
      <c r="E17343" s="11"/>
      <c r="F17343" s="11"/>
      <c r="G17343" s="11"/>
      <c r="H17343" s="11"/>
      <c r="I17343" s="15"/>
    </row>
    <row r="17344" spans="1:9" ht="16.5">
      <c r="A17344" s="10" t="b">
        <v>0</v>
      </c>
      <c r="B17344" s="11" t="str">
        <f>IF(D17344&lt;&gt;"",IF(COUNTIF('USPTO TMs'!A:A,D17344)&gt;0,"Yes","No"),"")</f>
        <v/>
      </c>
      <c r="C17344" s="11"/>
      <c r="D17344" s="11"/>
      <c r="E17344" s="11"/>
      <c r="F17344" s="11"/>
      <c r="G17344" s="11"/>
      <c r="H17344" s="11"/>
      <c r="I17344" s="15"/>
    </row>
    <row r="17345" spans="1:9" ht="16.5">
      <c r="A17345" s="10" t="b">
        <v>0</v>
      </c>
      <c r="B17345" s="11" t="str">
        <f>IF(D17345&lt;&gt;"",IF(COUNTIF('USPTO TMs'!A:A,D17345)&gt;0,"Yes","No"),"")</f>
        <v/>
      </c>
      <c r="C17345" s="11"/>
      <c r="D17345" s="11"/>
      <c r="E17345" s="11"/>
      <c r="F17345" s="11"/>
      <c r="G17345" s="11"/>
      <c r="H17345" s="11"/>
      <c r="I17345" s="15"/>
    </row>
    <row r="17346" spans="1:9" ht="16.5">
      <c r="A17346" s="10" t="b">
        <v>0</v>
      </c>
      <c r="B17346" s="11" t="str">
        <f>IF(D17346&lt;&gt;"",IF(COUNTIF('USPTO TMs'!A:A,D17346)&gt;0,"Yes","No"),"")</f>
        <v/>
      </c>
      <c r="C17346" s="11"/>
      <c r="D17346" s="11"/>
      <c r="E17346" s="11"/>
      <c r="F17346" s="11"/>
      <c r="G17346" s="11"/>
      <c r="H17346" s="11"/>
      <c r="I17346" s="15"/>
    </row>
    <row r="17347" spans="1:9" ht="16.5">
      <c r="A17347" s="10" t="b">
        <v>0</v>
      </c>
      <c r="B17347" s="11" t="str">
        <f>IF(D17347&lt;&gt;"",IF(COUNTIF('USPTO TMs'!A:A,D17347)&gt;0,"Yes","No"),"")</f>
        <v/>
      </c>
      <c r="C17347" s="11"/>
      <c r="D17347" s="11"/>
      <c r="E17347" s="11"/>
      <c r="F17347" s="11"/>
      <c r="G17347" s="11"/>
      <c r="H17347" s="11"/>
      <c r="I17347" s="15"/>
    </row>
    <row r="17348" spans="1:9" ht="16.5">
      <c r="A17348" s="10" t="b">
        <v>0</v>
      </c>
      <c r="B17348" s="11" t="str">
        <f>IF(D17348&lt;&gt;"",IF(COUNTIF('USPTO TMs'!A:A,D17348)&gt;0,"Yes","No"),"")</f>
        <v/>
      </c>
      <c r="C17348" s="11"/>
      <c r="D17348" s="11"/>
      <c r="E17348" s="11"/>
      <c r="F17348" s="11"/>
      <c r="G17348" s="11"/>
      <c r="H17348" s="11"/>
      <c r="I17348" s="15"/>
    </row>
    <row r="17349" spans="1:9" ht="16.5">
      <c r="A17349" s="10" t="b">
        <v>0</v>
      </c>
      <c r="B17349" s="11" t="str">
        <f>IF(D17349&lt;&gt;"",IF(COUNTIF('USPTO TMs'!A:A,D17349)&gt;0,"Yes","No"),"")</f>
        <v/>
      </c>
      <c r="C17349" s="11"/>
      <c r="D17349" s="11"/>
      <c r="E17349" s="11"/>
      <c r="F17349" s="11"/>
      <c r="G17349" s="11"/>
      <c r="H17349" s="11"/>
      <c r="I17349" s="15"/>
    </row>
    <row r="17350" spans="1:9" ht="16.5">
      <c r="A17350" s="10" t="b">
        <v>0</v>
      </c>
      <c r="B17350" s="11" t="str">
        <f>IF(D17350&lt;&gt;"",IF(COUNTIF('USPTO TMs'!A:A,D17350)&gt;0,"Yes","No"),"")</f>
        <v/>
      </c>
      <c r="C17350" s="11"/>
      <c r="D17350" s="11"/>
      <c r="E17350" s="11"/>
      <c r="F17350" s="11"/>
      <c r="G17350" s="11"/>
      <c r="H17350" s="11"/>
      <c r="I17350" s="15"/>
    </row>
    <row r="17351" spans="1:9" ht="16.5">
      <c r="A17351" s="10" t="b">
        <v>0</v>
      </c>
      <c r="B17351" s="11" t="str">
        <f>IF(D17351&lt;&gt;"",IF(COUNTIF('USPTO TMs'!A:A,D17351)&gt;0,"Yes","No"),"")</f>
        <v/>
      </c>
      <c r="C17351" s="11"/>
      <c r="D17351" s="11"/>
      <c r="E17351" s="11"/>
      <c r="F17351" s="11"/>
      <c r="G17351" s="11"/>
      <c r="H17351" s="11"/>
      <c r="I17351" s="15"/>
    </row>
    <row r="17352" spans="1:9" ht="16.5">
      <c r="A17352" s="10" t="b">
        <v>0</v>
      </c>
      <c r="B17352" s="11" t="str">
        <f>IF(D17352&lt;&gt;"",IF(COUNTIF('USPTO TMs'!A:A,D17352)&gt;0,"Yes","No"),"")</f>
        <v/>
      </c>
      <c r="C17352" s="11"/>
      <c r="D17352" s="11"/>
      <c r="E17352" s="11"/>
      <c r="F17352" s="11"/>
      <c r="G17352" s="11"/>
      <c r="H17352" s="11"/>
      <c r="I17352" s="15"/>
    </row>
    <row r="17353" spans="1:9" ht="16.5">
      <c r="A17353" s="10" t="b">
        <v>0</v>
      </c>
      <c r="B17353" s="11" t="str">
        <f>IF(D17353&lt;&gt;"",IF(COUNTIF('USPTO TMs'!A:A,D17353)&gt;0,"Yes","No"),"")</f>
        <v/>
      </c>
      <c r="C17353" s="11"/>
      <c r="D17353" s="11"/>
      <c r="E17353" s="11"/>
      <c r="F17353" s="11"/>
      <c r="G17353" s="11"/>
      <c r="H17353" s="11"/>
      <c r="I17353" s="15"/>
    </row>
    <row r="17354" spans="1:9" ht="16.5">
      <c r="A17354" s="10" t="b">
        <v>0</v>
      </c>
      <c r="B17354" s="11" t="str">
        <f>IF(D17354&lt;&gt;"",IF(COUNTIF('USPTO TMs'!A:A,D17354)&gt;0,"Yes","No"),"")</f>
        <v/>
      </c>
      <c r="C17354" s="11"/>
      <c r="D17354" s="11"/>
      <c r="E17354" s="11"/>
      <c r="F17354" s="11"/>
      <c r="G17354" s="11"/>
      <c r="H17354" s="11"/>
      <c r="I17354" s="15"/>
    </row>
    <row r="17355" spans="1:9" ht="16.5">
      <c r="A17355" s="10" t="b">
        <v>0</v>
      </c>
      <c r="B17355" s="11" t="str">
        <f>IF(D17355&lt;&gt;"",IF(COUNTIF('USPTO TMs'!A:A,D17355)&gt;0,"Yes","No"),"")</f>
        <v/>
      </c>
      <c r="C17355" s="11"/>
      <c r="D17355" s="11"/>
      <c r="E17355" s="11"/>
      <c r="F17355" s="11"/>
      <c r="G17355" s="11"/>
      <c r="H17355" s="11"/>
      <c r="I17355" s="15"/>
    </row>
    <row r="17356" spans="1:9" ht="16.5">
      <c r="A17356" s="10" t="b">
        <v>0</v>
      </c>
      <c r="B17356" s="11" t="str">
        <f>IF(D17356&lt;&gt;"",IF(COUNTIF('USPTO TMs'!A:A,D17356)&gt;0,"Yes","No"),"")</f>
        <v/>
      </c>
      <c r="C17356" s="11"/>
      <c r="D17356" s="11"/>
      <c r="E17356" s="11"/>
      <c r="F17356" s="11"/>
      <c r="G17356" s="11"/>
      <c r="H17356" s="11"/>
      <c r="I17356" s="15"/>
    </row>
    <row r="17357" spans="1:9" ht="16.5">
      <c r="A17357" s="10" t="b">
        <v>0</v>
      </c>
      <c r="B17357" s="11" t="str">
        <f>IF(D17357&lt;&gt;"",IF(COUNTIF('USPTO TMs'!A:A,D17357)&gt;0,"Yes","No"),"")</f>
        <v/>
      </c>
      <c r="C17357" s="11"/>
      <c r="D17357" s="11"/>
      <c r="E17357" s="11"/>
      <c r="F17357" s="11"/>
      <c r="G17357" s="11"/>
      <c r="H17357" s="11"/>
      <c r="I17357" s="15"/>
    </row>
    <row r="17358" spans="1:9" ht="16.5">
      <c r="A17358" s="10" t="b">
        <v>0</v>
      </c>
      <c r="B17358" s="11" t="str">
        <f>IF(D17358&lt;&gt;"",IF(COUNTIF('USPTO TMs'!A:A,D17358)&gt;0,"Yes","No"),"")</f>
        <v/>
      </c>
      <c r="C17358" s="11"/>
      <c r="D17358" s="11"/>
      <c r="E17358" s="11"/>
      <c r="F17358" s="11"/>
      <c r="G17358" s="11"/>
      <c r="H17358" s="11"/>
      <c r="I17358" s="15"/>
    </row>
    <row r="17359" spans="1:9" ht="16.5">
      <c r="A17359" s="10" t="b">
        <v>0</v>
      </c>
      <c r="B17359" s="11" t="str">
        <f>IF(D17359&lt;&gt;"",IF(COUNTIF('USPTO TMs'!A:A,D17359)&gt;0,"Yes","No"),"")</f>
        <v/>
      </c>
      <c r="C17359" s="11"/>
      <c r="D17359" s="11"/>
      <c r="E17359" s="11"/>
      <c r="F17359" s="11"/>
      <c r="G17359" s="11"/>
      <c r="H17359" s="11"/>
      <c r="I17359" s="15"/>
    </row>
    <row r="17360" spans="1:9" ht="16.5">
      <c r="A17360" s="10" t="b">
        <v>0</v>
      </c>
      <c r="B17360" s="11" t="str">
        <f>IF(D17360&lt;&gt;"",IF(COUNTIF('USPTO TMs'!A:A,D17360)&gt;0,"Yes","No"),"")</f>
        <v/>
      </c>
      <c r="C17360" s="11"/>
      <c r="D17360" s="11"/>
      <c r="E17360" s="11"/>
      <c r="F17360" s="11"/>
      <c r="G17360" s="11"/>
      <c r="H17360" s="11"/>
      <c r="I17360" s="15"/>
    </row>
    <row r="17361" spans="1:9" ht="16.5">
      <c r="A17361" s="10" t="b">
        <v>0</v>
      </c>
      <c r="B17361" s="11" t="str">
        <f>IF(D17361&lt;&gt;"",IF(COUNTIF('USPTO TMs'!A:A,D17361)&gt;0,"Yes","No"),"")</f>
        <v/>
      </c>
      <c r="C17361" s="11"/>
      <c r="D17361" s="11"/>
      <c r="E17361" s="11"/>
      <c r="F17361" s="11"/>
      <c r="G17361" s="11"/>
      <c r="H17361" s="11"/>
      <c r="I17361" s="15"/>
    </row>
    <row r="17362" spans="1:9" ht="16.5">
      <c r="A17362" s="10" t="b">
        <v>0</v>
      </c>
      <c r="B17362" s="11" t="str">
        <f>IF(D17362&lt;&gt;"",IF(COUNTIF('USPTO TMs'!A:A,D17362)&gt;0,"Yes","No"),"")</f>
        <v/>
      </c>
      <c r="C17362" s="11"/>
      <c r="D17362" s="11"/>
      <c r="E17362" s="11"/>
      <c r="F17362" s="11"/>
      <c r="G17362" s="11"/>
      <c r="H17362" s="11"/>
      <c r="I17362" s="15"/>
    </row>
    <row r="17363" spans="1:9" ht="16.5">
      <c r="A17363" s="10" t="b">
        <v>0</v>
      </c>
      <c r="B17363" s="11" t="str">
        <f>IF(D17363&lt;&gt;"",IF(COUNTIF('USPTO TMs'!A:A,D17363)&gt;0,"Yes","No"),"")</f>
        <v/>
      </c>
      <c r="C17363" s="11"/>
      <c r="D17363" s="11"/>
      <c r="E17363" s="11"/>
      <c r="F17363" s="11"/>
      <c r="G17363" s="11"/>
      <c r="H17363" s="11"/>
      <c r="I17363" s="15"/>
    </row>
    <row r="17364" spans="1:9" ht="16.5">
      <c r="A17364" s="10" t="b">
        <v>0</v>
      </c>
      <c r="B17364" s="11" t="str">
        <f>IF(D17364&lt;&gt;"",IF(COUNTIF('USPTO TMs'!A:A,D17364)&gt;0,"Yes","No"),"")</f>
        <v/>
      </c>
      <c r="C17364" s="11"/>
      <c r="D17364" s="11"/>
      <c r="E17364" s="11"/>
      <c r="F17364" s="11"/>
      <c r="G17364" s="11"/>
      <c r="H17364" s="11"/>
      <c r="I17364" s="15"/>
    </row>
    <row r="17365" spans="1:9" ht="16.5">
      <c r="A17365" s="10" t="b">
        <v>0</v>
      </c>
      <c r="B17365" s="11" t="str">
        <f>IF(D17365&lt;&gt;"",IF(COUNTIF('USPTO TMs'!A:A,D17365)&gt;0,"Yes","No"),"")</f>
        <v/>
      </c>
      <c r="C17365" s="11"/>
      <c r="D17365" s="11"/>
      <c r="E17365" s="11"/>
      <c r="F17365" s="11"/>
      <c r="G17365" s="11"/>
      <c r="H17365" s="11"/>
      <c r="I17365" s="15"/>
    </row>
    <row r="17366" spans="1:9" ht="16.5">
      <c r="A17366" s="10" t="b">
        <v>0</v>
      </c>
      <c r="B17366" s="11" t="str">
        <f>IF(D17366&lt;&gt;"",IF(COUNTIF('USPTO TMs'!A:A,D17366)&gt;0,"Yes","No"),"")</f>
        <v/>
      </c>
      <c r="C17366" s="11"/>
      <c r="D17366" s="11"/>
      <c r="E17366" s="11"/>
      <c r="F17366" s="11"/>
      <c r="G17366" s="11"/>
      <c r="H17366" s="11"/>
      <c r="I17366" s="15"/>
    </row>
    <row r="17367" spans="1:9" ht="16.5">
      <c r="A17367" s="10" t="b">
        <v>0</v>
      </c>
      <c r="B17367" s="11" t="str">
        <f>IF(D17367&lt;&gt;"",IF(COUNTIF('USPTO TMs'!A:A,D17367)&gt;0,"Yes","No"),"")</f>
        <v/>
      </c>
      <c r="C17367" s="11"/>
      <c r="D17367" s="11"/>
      <c r="E17367" s="11"/>
      <c r="F17367" s="11"/>
      <c r="G17367" s="11"/>
      <c r="H17367" s="11"/>
      <c r="I17367" s="15"/>
    </row>
    <row r="17368" spans="1:9" ht="16.5">
      <c r="A17368" s="10" t="b">
        <v>0</v>
      </c>
      <c r="B17368" s="11" t="str">
        <f>IF(D17368&lt;&gt;"",IF(COUNTIF('USPTO TMs'!A:A,D17368)&gt;0,"Yes","No"),"")</f>
        <v/>
      </c>
      <c r="C17368" s="11"/>
      <c r="D17368" s="11"/>
      <c r="E17368" s="11"/>
      <c r="F17368" s="11"/>
      <c r="G17368" s="11"/>
      <c r="H17368" s="11"/>
      <c r="I17368" s="15"/>
    </row>
    <row r="17369" spans="1:9" ht="16.5">
      <c r="A17369" s="10" t="b">
        <v>0</v>
      </c>
      <c r="B17369" s="11" t="str">
        <f>IF(D17369&lt;&gt;"",IF(COUNTIF('USPTO TMs'!A:A,D17369)&gt;0,"Yes","No"),"")</f>
        <v/>
      </c>
      <c r="C17369" s="11"/>
      <c r="D17369" s="11"/>
      <c r="E17369" s="11"/>
      <c r="F17369" s="11"/>
      <c r="G17369" s="11"/>
      <c r="H17369" s="11"/>
      <c r="I17369" s="15"/>
    </row>
    <row r="17370" spans="1:9" ht="16.5">
      <c r="A17370" s="10" t="b">
        <v>0</v>
      </c>
      <c r="B17370" s="11" t="str">
        <f>IF(D17370&lt;&gt;"",IF(COUNTIF('USPTO TMs'!A:A,D17370)&gt;0,"Yes","No"),"")</f>
        <v/>
      </c>
      <c r="C17370" s="11"/>
      <c r="D17370" s="11"/>
      <c r="E17370" s="11"/>
      <c r="F17370" s="11"/>
      <c r="G17370" s="11"/>
      <c r="H17370" s="11"/>
      <c r="I17370" s="15"/>
    </row>
    <row r="17371" spans="1:9" ht="16.5">
      <c r="A17371" s="10" t="b">
        <v>0</v>
      </c>
      <c r="B17371" s="11" t="str">
        <f>IF(D17371&lt;&gt;"",IF(COUNTIF('USPTO TMs'!A:A,D17371)&gt;0,"Yes","No"),"")</f>
        <v/>
      </c>
      <c r="C17371" s="11"/>
      <c r="D17371" s="11"/>
      <c r="E17371" s="11"/>
      <c r="F17371" s="11"/>
      <c r="G17371" s="11"/>
      <c r="H17371" s="11"/>
      <c r="I17371" s="15"/>
    </row>
    <row r="17372" spans="1:9" ht="16.5">
      <c r="A17372" s="10" t="b">
        <v>0</v>
      </c>
      <c r="B17372" s="11" t="str">
        <f>IF(D17372&lt;&gt;"",IF(COUNTIF('USPTO TMs'!A:A,D17372)&gt;0,"Yes","No"),"")</f>
        <v/>
      </c>
      <c r="C17372" s="11"/>
      <c r="D17372" s="11"/>
      <c r="E17372" s="11"/>
      <c r="F17372" s="11"/>
      <c r="G17372" s="11"/>
      <c r="H17372" s="11"/>
      <c r="I17372" s="15"/>
    </row>
    <row r="17373" spans="1:9" ht="16.5">
      <c r="A17373" s="10" t="b">
        <v>0</v>
      </c>
      <c r="B17373" s="11" t="str">
        <f>IF(D17373&lt;&gt;"",IF(COUNTIF('USPTO TMs'!A:A,D17373)&gt;0,"Yes","No"),"")</f>
        <v/>
      </c>
      <c r="C17373" s="11"/>
      <c r="D17373" s="11"/>
      <c r="E17373" s="11"/>
      <c r="F17373" s="11"/>
      <c r="G17373" s="11"/>
      <c r="H17373" s="11"/>
      <c r="I17373" s="15"/>
    </row>
    <row r="17374" spans="1:9" ht="16.5">
      <c r="A17374" s="10" t="b">
        <v>0</v>
      </c>
      <c r="B17374" s="11" t="str">
        <f>IF(D17374&lt;&gt;"",IF(COUNTIF('USPTO TMs'!A:A,D17374)&gt;0,"Yes","No"),"")</f>
        <v/>
      </c>
      <c r="C17374" s="11"/>
      <c r="D17374" s="11"/>
      <c r="E17374" s="11"/>
      <c r="F17374" s="11"/>
      <c r="G17374" s="11"/>
      <c r="H17374" s="11"/>
      <c r="I17374" s="15"/>
    </row>
    <row r="17375" spans="1:9" ht="16.5">
      <c r="A17375" s="10" t="b">
        <v>0</v>
      </c>
      <c r="B17375" s="11" t="str">
        <f>IF(D17375&lt;&gt;"",IF(COUNTIF('USPTO TMs'!A:A,D17375)&gt;0,"Yes","No"),"")</f>
        <v/>
      </c>
      <c r="C17375" s="11"/>
      <c r="D17375" s="11"/>
      <c r="E17375" s="11"/>
      <c r="F17375" s="11"/>
      <c r="G17375" s="11"/>
      <c r="H17375" s="11"/>
      <c r="I17375" s="15"/>
    </row>
    <row r="17376" spans="1:9" ht="16.5">
      <c r="A17376" s="10" t="b">
        <v>0</v>
      </c>
      <c r="B17376" s="11" t="str">
        <f>IF(D17376&lt;&gt;"",IF(COUNTIF('USPTO TMs'!A:A,D17376)&gt;0,"Yes","No"),"")</f>
        <v/>
      </c>
      <c r="C17376" s="11"/>
      <c r="D17376" s="11"/>
      <c r="E17376" s="11"/>
      <c r="F17376" s="11"/>
      <c r="G17376" s="11"/>
      <c r="H17376" s="11"/>
      <c r="I17376" s="15"/>
    </row>
    <row r="17377" spans="1:9" ht="16.5">
      <c r="A17377" s="10" t="b">
        <v>0</v>
      </c>
      <c r="B17377" s="11" t="str">
        <f>IF(D17377&lt;&gt;"",IF(COUNTIF('USPTO TMs'!A:A,D17377)&gt;0,"Yes","No"),"")</f>
        <v/>
      </c>
      <c r="C17377" s="11"/>
      <c r="D17377" s="11"/>
      <c r="E17377" s="11"/>
      <c r="F17377" s="11"/>
      <c r="G17377" s="11"/>
      <c r="H17377" s="11"/>
      <c r="I17377" s="15"/>
    </row>
    <row r="17378" spans="1:9" ht="16.5">
      <c r="A17378" s="10" t="b">
        <v>0</v>
      </c>
      <c r="B17378" s="11" t="str">
        <f>IF(D17378&lt;&gt;"",IF(COUNTIF('USPTO TMs'!A:A,D17378)&gt;0,"Yes","No"),"")</f>
        <v/>
      </c>
      <c r="C17378" s="11"/>
      <c r="D17378" s="11"/>
      <c r="E17378" s="11"/>
      <c r="F17378" s="11"/>
      <c r="G17378" s="11"/>
      <c r="H17378" s="11"/>
      <c r="I17378" s="15"/>
    </row>
    <row r="17379" spans="1:9" ht="16.5">
      <c r="A17379" s="10" t="b">
        <v>0</v>
      </c>
      <c r="B17379" s="11" t="str">
        <f>IF(D17379&lt;&gt;"",IF(COUNTIF('USPTO TMs'!A:A,D17379)&gt;0,"Yes","No"),"")</f>
        <v/>
      </c>
      <c r="C17379" s="11"/>
      <c r="D17379" s="11"/>
      <c r="E17379" s="11"/>
      <c r="F17379" s="11"/>
      <c r="G17379" s="11"/>
      <c r="H17379" s="11"/>
      <c r="I17379" s="15"/>
    </row>
    <row r="17380" spans="1:9" ht="16.5">
      <c r="A17380" s="10" t="b">
        <v>0</v>
      </c>
      <c r="B17380" s="11" t="str">
        <f>IF(D17380&lt;&gt;"",IF(COUNTIF('USPTO TMs'!A:A,D17380)&gt;0,"Yes","No"),"")</f>
        <v/>
      </c>
      <c r="C17380" s="11"/>
      <c r="D17380" s="11"/>
      <c r="E17380" s="11"/>
      <c r="F17380" s="11"/>
      <c r="G17380" s="11"/>
      <c r="H17380" s="11"/>
      <c r="I17380" s="15"/>
    </row>
    <row r="17381" spans="1:9" ht="16.5">
      <c r="A17381" s="10" t="b">
        <v>0</v>
      </c>
      <c r="B17381" s="11" t="str">
        <f>IF(D17381&lt;&gt;"",IF(COUNTIF('USPTO TMs'!A:A,D17381)&gt;0,"Yes","No"),"")</f>
        <v/>
      </c>
      <c r="C17381" s="11"/>
      <c r="D17381" s="11"/>
      <c r="E17381" s="11"/>
      <c r="F17381" s="11"/>
      <c r="G17381" s="11"/>
      <c r="H17381" s="11"/>
      <c r="I17381" s="15"/>
    </row>
    <row r="17382" spans="1:9" ht="16.5">
      <c r="A17382" s="10" t="b">
        <v>0</v>
      </c>
      <c r="B17382" s="11" t="str">
        <f>IF(D17382&lt;&gt;"",IF(COUNTIF('USPTO TMs'!A:A,D17382)&gt;0,"Yes","No"),"")</f>
        <v/>
      </c>
      <c r="C17382" s="11"/>
      <c r="D17382" s="11"/>
      <c r="E17382" s="11"/>
      <c r="F17382" s="11"/>
      <c r="G17382" s="11"/>
      <c r="H17382" s="11"/>
      <c r="I17382" s="15"/>
    </row>
    <row r="17383" spans="1:9" ht="16.5">
      <c r="A17383" s="10" t="b">
        <v>0</v>
      </c>
      <c r="B17383" s="11" t="str">
        <f>IF(D17383&lt;&gt;"",IF(COUNTIF('USPTO TMs'!A:A,D17383)&gt;0,"Yes","No"),"")</f>
        <v/>
      </c>
      <c r="C17383" s="11"/>
      <c r="D17383" s="11"/>
      <c r="E17383" s="11"/>
      <c r="F17383" s="11"/>
      <c r="G17383" s="11"/>
      <c r="H17383" s="11"/>
      <c r="I17383" s="15"/>
    </row>
    <row r="17384" spans="1:9" ht="16.5">
      <c r="A17384" s="10" t="b">
        <v>0</v>
      </c>
      <c r="B17384" s="11" t="str">
        <f>IF(D17384&lt;&gt;"",IF(COUNTIF('USPTO TMs'!A:A,D17384)&gt;0,"Yes","No"),"")</f>
        <v/>
      </c>
      <c r="C17384" s="11"/>
      <c r="D17384" s="11"/>
      <c r="E17384" s="11"/>
      <c r="F17384" s="11"/>
      <c r="G17384" s="11"/>
      <c r="H17384" s="11"/>
      <c r="I17384" s="15"/>
    </row>
    <row r="17385" spans="1:9" ht="16.5">
      <c r="A17385" s="10" t="b">
        <v>0</v>
      </c>
      <c r="B17385" s="11" t="str">
        <f>IF(D17385&lt;&gt;"",IF(COUNTIF('USPTO TMs'!A:A,D17385)&gt;0,"Yes","No"),"")</f>
        <v/>
      </c>
      <c r="C17385" s="11"/>
      <c r="D17385" s="11"/>
      <c r="E17385" s="11"/>
      <c r="F17385" s="11"/>
      <c r="G17385" s="11"/>
      <c r="H17385" s="11"/>
      <c r="I17385" s="15"/>
    </row>
    <row r="17386" spans="1:9" ht="16.5">
      <c r="A17386" s="10" t="b">
        <v>0</v>
      </c>
      <c r="B17386" s="11" t="str">
        <f>IF(D17386&lt;&gt;"",IF(COUNTIF('USPTO TMs'!A:A,D17386)&gt;0,"Yes","No"),"")</f>
        <v/>
      </c>
      <c r="C17386" s="11"/>
      <c r="D17386" s="11"/>
      <c r="E17386" s="11"/>
      <c r="F17386" s="11"/>
      <c r="G17386" s="11"/>
      <c r="H17386" s="11"/>
      <c r="I17386" s="15"/>
    </row>
    <row r="17387" spans="1:9" ht="16.5">
      <c r="A17387" s="10" t="b">
        <v>0</v>
      </c>
      <c r="B17387" s="11" t="str">
        <f>IF(D17387&lt;&gt;"",IF(COUNTIF('USPTO TMs'!A:A,D17387)&gt;0,"Yes","No"),"")</f>
        <v/>
      </c>
      <c r="C17387" s="11"/>
      <c r="D17387" s="11"/>
      <c r="E17387" s="11"/>
      <c r="F17387" s="11"/>
      <c r="G17387" s="11"/>
      <c r="H17387" s="11"/>
      <c r="I17387" s="15"/>
    </row>
    <row r="17388" spans="1:9" ht="16.5">
      <c r="A17388" s="10" t="b">
        <v>0</v>
      </c>
      <c r="B17388" s="11" t="str">
        <f>IF(D17388&lt;&gt;"",IF(COUNTIF('USPTO TMs'!A:A,D17388)&gt;0,"Yes","No"),"")</f>
        <v/>
      </c>
      <c r="C17388" s="11"/>
      <c r="D17388" s="11"/>
      <c r="E17388" s="11"/>
      <c r="F17388" s="11"/>
      <c r="G17388" s="11"/>
      <c r="H17388" s="11"/>
      <c r="I17388" s="15"/>
    </row>
    <row r="17389" spans="1:9" ht="16.5">
      <c r="A17389" s="10" t="b">
        <v>0</v>
      </c>
      <c r="B17389" s="11" t="str">
        <f>IF(D17389&lt;&gt;"",IF(COUNTIF('USPTO TMs'!A:A,D17389)&gt;0,"Yes","No"),"")</f>
        <v/>
      </c>
      <c r="C17389" s="11"/>
      <c r="D17389" s="11"/>
      <c r="E17389" s="11"/>
      <c r="F17389" s="11"/>
      <c r="G17389" s="11"/>
      <c r="H17389" s="11"/>
      <c r="I17389" s="15"/>
    </row>
    <row r="17390" spans="1:9" ht="16.5">
      <c r="A17390" s="10" t="b">
        <v>0</v>
      </c>
      <c r="B17390" s="11" t="str">
        <f>IF(D17390&lt;&gt;"",IF(COUNTIF('USPTO TMs'!A:A,D17390)&gt;0,"Yes","No"),"")</f>
        <v/>
      </c>
      <c r="C17390" s="11"/>
      <c r="D17390" s="11"/>
      <c r="E17390" s="11"/>
      <c r="F17390" s="11"/>
      <c r="G17390" s="11"/>
      <c r="H17390" s="11"/>
      <c r="I17390" s="15"/>
    </row>
    <row r="17391" spans="1:9" ht="16.5">
      <c r="A17391" s="10" t="b">
        <v>0</v>
      </c>
      <c r="B17391" s="11" t="str">
        <f>IF(D17391&lt;&gt;"",IF(COUNTIF('USPTO TMs'!A:A,D17391)&gt;0,"Yes","No"),"")</f>
        <v/>
      </c>
      <c r="C17391" s="11"/>
      <c r="D17391" s="11"/>
      <c r="E17391" s="11"/>
      <c r="F17391" s="11"/>
      <c r="G17391" s="11"/>
      <c r="H17391" s="11"/>
      <c r="I17391" s="15"/>
    </row>
    <row r="17392" spans="1:9" ht="16.5">
      <c r="A17392" s="10" t="b">
        <v>0</v>
      </c>
      <c r="B17392" s="11" t="str">
        <f>IF(D17392&lt;&gt;"",IF(COUNTIF('USPTO TMs'!A:A,D17392)&gt;0,"Yes","No"),"")</f>
        <v/>
      </c>
      <c r="C17392" s="11"/>
      <c r="D17392" s="11"/>
      <c r="E17392" s="11"/>
      <c r="F17392" s="11"/>
      <c r="G17392" s="11"/>
      <c r="H17392" s="11"/>
      <c r="I17392" s="15"/>
    </row>
    <row r="17393" spans="1:9" ht="16.5">
      <c r="A17393" s="10" t="b">
        <v>0</v>
      </c>
      <c r="B17393" s="11" t="str">
        <f>IF(D17393&lt;&gt;"",IF(COUNTIF('USPTO TMs'!A:A,D17393)&gt;0,"Yes","No"),"")</f>
        <v/>
      </c>
      <c r="C17393" s="11"/>
      <c r="D17393" s="11"/>
      <c r="E17393" s="11"/>
      <c r="F17393" s="11"/>
      <c r="G17393" s="11"/>
      <c r="H17393" s="11"/>
      <c r="I17393" s="15"/>
    </row>
    <row r="17394" spans="1:9" ht="16.5">
      <c r="A17394" s="10" t="b">
        <v>0</v>
      </c>
      <c r="B17394" s="11" t="str">
        <f>IF(D17394&lt;&gt;"",IF(COUNTIF('USPTO TMs'!A:A,D17394)&gt;0,"Yes","No"),"")</f>
        <v/>
      </c>
      <c r="C17394" s="11"/>
      <c r="D17394" s="11"/>
      <c r="E17394" s="11"/>
      <c r="F17394" s="11"/>
      <c r="G17394" s="11"/>
      <c r="H17394" s="11"/>
      <c r="I17394" s="15"/>
    </row>
    <row r="17395" spans="1:9" ht="16.5">
      <c r="A17395" s="10" t="b">
        <v>0</v>
      </c>
      <c r="B17395" s="11" t="str">
        <f>IF(D17395&lt;&gt;"",IF(COUNTIF('USPTO TMs'!A:A,D17395)&gt;0,"Yes","No"),"")</f>
        <v/>
      </c>
      <c r="C17395" s="11"/>
      <c r="D17395" s="11"/>
      <c r="E17395" s="11"/>
      <c r="F17395" s="11"/>
      <c r="G17395" s="11"/>
      <c r="H17395" s="11"/>
      <c r="I17395" s="15"/>
    </row>
    <row r="17396" spans="1:9" ht="16.5">
      <c r="A17396" s="10" t="b">
        <v>0</v>
      </c>
      <c r="B17396" s="11" t="str">
        <f>IF(D17396&lt;&gt;"",IF(COUNTIF('USPTO TMs'!A:A,D17396)&gt;0,"Yes","No"),"")</f>
        <v/>
      </c>
      <c r="C17396" s="11"/>
      <c r="D17396" s="11"/>
      <c r="E17396" s="11"/>
      <c r="F17396" s="11"/>
      <c r="G17396" s="11"/>
      <c r="H17396" s="11"/>
      <c r="I17396" s="15"/>
    </row>
    <row r="17397" spans="1:9" ht="16.5">
      <c r="A17397" s="10" t="b">
        <v>0</v>
      </c>
      <c r="B17397" s="11" t="str">
        <f>IF(D17397&lt;&gt;"",IF(COUNTIF('USPTO TMs'!A:A,D17397)&gt;0,"Yes","No"),"")</f>
        <v/>
      </c>
      <c r="C17397" s="11"/>
      <c r="D17397" s="11"/>
      <c r="E17397" s="11"/>
      <c r="F17397" s="11"/>
      <c r="G17397" s="11"/>
      <c r="H17397" s="11"/>
      <c r="I17397" s="15"/>
    </row>
    <row r="17398" spans="1:9" ht="16.5">
      <c r="A17398" s="10" t="b">
        <v>0</v>
      </c>
      <c r="B17398" s="11" t="str">
        <f>IF(D17398&lt;&gt;"",IF(COUNTIF('USPTO TMs'!A:A,D17398)&gt;0,"Yes","No"),"")</f>
        <v/>
      </c>
      <c r="C17398" s="11"/>
      <c r="D17398" s="11"/>
      <c r="E17398" s="11"/>
      <c r="F17398" s="11"/>
      <c r="G17398" s="11"/>
      <c r="H17398" s="11"/>
      <c r="I17398" s="15"/>
    </row>
    <row r="17399" spans="1:9" ht="16.5">
      <c r="A17399" s="10" t="b">
        <v>0</v>
      </c>
      <c r="B17399" s="11" t="str">
        <f>IF(D17399&lt;&gt;"",IF(COUNTIF('USPTO TMs'!A:A,D17399)&gt;0,"Yes","No"),"")</f>
        <v/>
      </c>
      <c r="C17399" s="11"/>
      <c r="D17399" s="11"/>
      <c r="E17399" s="11"/>
      <c r="F17399" s="11"/>
      <c r="G17399" s="11"/>
      <c r="H17399" s="11"/>
      <c r="I17399" s="15"/>
    </row>
    <row r="17400" spans="1:9" ht="16.5">
      <c r="A17400" s="10" t="b">
        <v>0</v>
      </c>
      <c r="B17400" s="11" t="str">
        <f>IF(D17400&lt;&gt;"",IF(COUNTIF('USPTO TMs'!A:A,D17400)&gt;0,"Yes","No"),"")</f>
        <v/>
      </c>
      <c r="C17400" s="11"/>
      <c r="D17400" s="11"/>
      <c r="E17400" s="11"/>
      <c r="F17400" s="11"/>
      <c r="G17400" s="11"/>
      <c r="H17400" s="11"/>
      <c r="I17400" s="15"/>
    </row>
    <row r="17401" spans="1:9" ht="16.5">
      <c r="A17401" s="10" t="b">
        <v>0</v>
      </c>
      <c r="B17401" s="11" t="str">
        <f>IF(D17401&lt;&gt;"",IF(COUNTIF('USPTO TMs'!A:A,D17401)&gt;0,"Yes","No"),"")</f>
        <v/>
      </c>
      <c r="C17401" s="11"/>
      <c r="D17401" s="11"/>
      <c r="E17401" s="11"/>
      <c r="F17401" s="11"/>
      <c r="G17401" s="11"/>
      <c r="H17401" s="11"/>
      <c r="I17401" s="15"/>
    </row>
    <row r="17402" spans="1:9" ht="16.5">
      <c r="A17402" s="10" t="b">
        <v>0</v>
      </c>
      <c r="B17402" s="11" t="str">
        <f>IF(D17402&lt;&gt;"",IF(COUNTIF('USPTO TMs'!A:A,D17402)&gt;0,"Yes","No"),"")</f>
        <v/>
      </c>
      <c r="C17402" s="11"/>
      <c r="D17402" s="11"/>
      <c r="E17402" s="11"/>
      <c r="F17402" s="11"/>
      <c r="G17402" s="11"/>
      <c r="H17402" s="11"/>
      <c r="I17402" s="15"/>
    </row>
    <row r="17403" spans="1:9" ht="16.5">
      <c r="A17403" s="10" t="b">
        <v>0</v>
      </c>
      <c r="B17403" s="11" t="str">
        <f>IF(D17403&lt;&gt;"",IF(COUNTIF('USPTO TMs'!A:A,D17403)&gt;0,"Yes","No"),"")</f>
        <v/>
      </c>
      <c r="C17403" s="11"/>
      <c r="D17403" s="11"/>
      <c r="E17403" s="11"/>
      <c r="F17403" s="11"/>
      <c r="G17403" s="11"/>
      <c r="H17403" s="11"/>
      <c r="I17403" s="15"/>
    </row>
    <row r="17404" spans="1:9" ht="16.5">
      <c r="A17404" s="10" t="b">
        <v>0</v>
      </c>
      <c r="B17404" s="11" t="str">
        <f>IF(D17404&lt;&gt;"",IF(COUNTIF('USPTO TMs'!A:A,D17404)&gt;0,"Yes","No"),"")</f>
        <v/>
      </c>
      <c r="C17404" s="11"/>
      <c r="D17404" s="11"/>
      <c r="E17404" s="11"/>
      <c r="F17404" s="11"/>
      <c r="G17404" s="11"/>
      <c r="H17404" s="11"/>
      <c r="I17404" s="15"/>
    </row>
    <row r="17405" spans="1:9" ht="16.5">
      <c r="A17405" s="10" t="b">
        <v>0</v>
      </c>
      <c r="B17405" s="11" t="str">
        <f>IF(D17405&lt;&gt;"",IF(COUNTIF('USPTO TMs'!A:A,D17405)&gt;0,"Yes","No"),"")</f>
        <v/>
      </c>
      <c r="C17405" s="11"/>
      <c r="D17405" s="11"/>
      <c r="E17405" s="11"/>
      <c r="F17405" s="11"/>
      <c r="G17405" s="11"/>
      <c r="H17405" s="11"/>
      <c r="I17405" s="15"/>
    </row>
    <row r="17406" spans="1:9" ht="16.5">
      <c r="A17406" s="10" t="b">
        <v>0</v>
      </c>
      <c r="B17406" s="11" t="str">
        <f>IF(D17406&lt;&gt;"",IF(COUNTIF('USPTO TMs'!A:A,D17406)&gt;0,"Yes","No"),"")</f>
        <v/>
      </c>
      <c r="C17406" s="11"/>
      <c r="D17406" s="11"/>
      <c r="E17406" s="11"/>
      <c r="F17406" s="11"/>
      <c r="G17406" s="11"/>
      <c r="H17406" s="11"/>
      <c r="I17406" s="15"/>
    </row>
    <row r="17407" spans="1:9" ht="16.5">
      <c r="A17407" s="10" t="b">
        <v>0</v>
      </c>
      <c r="B17407" s="11" t="str">
        <f>IF(D17407&lt;&gt;"",IF(COUNTIF('USPTO TMs'!A:A,D17407)&gt;0,"Yes","No"),"")</f>
        <v/>
      </c>
      <c r="C17407" s="11"/>
      <c r="D17407" s="11"/>
      <c r="E17407" s="11"/>
      <c r="F17407" s="11"/>
      <c r="G17407" s="11"/>
      <c r="H17407" s="11"/>
      <c r="I17407" s="15"/>
    </row>
    <row r="17408" spans="1:9" ht="16.5">
      <c r="A17408" s="10" t="b">
        <v>0</v>
      </c>
      <c r="B17408" s="11" t="str">
        <f>IF(D17408&lt;&gt;"",IF(COUNTIF('USPTO TMs'!A:A,D17408)&gt;0,"Yes","No"),"")</f>
        <v/>
      </c>
      <c r="C17408" s="11"/>
      <c r="D17408" s="11"/>
      <c r="E17408" s="11"/>
      <c r="F17408" s="11"/>
      <c r="G17408" s="11"/>
      <c r="H17408" s="11"/>
      <c r="I17408" s="15"/>
    </row>
    <row r="17409" spans="1:9" ht="16.5">
      <c r="A17409" s="10" t="b">
        <v>0</v>
      </c>
      <c r="B17409" s="11" t="str">
        <f>IF(D17409&lt;&gt;"",IF(COUNTIF('USPTO TMs'!A:A,D17409)&gt;0,"Yes","No"),"")</f>
        <v/>
      </c>
      <c r="C17409" s="11"/>
      <c r="D17409" s="11"/>
      <c r="E17409" s="11"/>
      <c r="F17409" s="11"/>
      <c r="G17409" s="11"/>
      <c r="H17409" s="11"/>
      <c r="I17409" s="15"/>
    </row>
    <row r="17410" spans="1:9" ht="16.5">
      <c r="A17410" s="10" t="b">
        <v>0</v>
      </c>
      <c r="B17410" s="11" t="str">
        <f>IF(D17410&lt;&gt;"",IF(COUNTIF('USPTO TMs'!A:A,D17410)&gt;0,"Yes","No"),"")</f>
        <v/>
      </c>
      <c r="C17410" s="11"/>
      <c r="D17410" s="11"/>
      <c r="E17410" s="11"/>
      <c r="F17410" s="11"/>
      <c r="G17410" s="11"/>
      <c r="H17410" s="11"/>
      <c r="I17410" s="15"/>
    </row>
    <row r="17411" spans="1:9" ht="16.5">
      <c r="A17411" s="10" t="b">
        <v>0</v>
      </c>
      <c r="B17411" s="11" t="str">
        <f>IF(D17411&lt;&gt;"",IF(COUNTIF('USPTO TMs'!A:A,D17411)&gt;0,"Yes","No"),"")</f>
        <v/>
      </c>
      <c r="C17411" s="11"/>
      <c r="D17411" s="11"/>
      <c r="E17411" s="11"/>
      <c r="F17411" s="11"/>
      <c r="G17411" s="11"/>
      <c r="H17411" s="11"/>
      <c r="I17411" s="15"/>
    </row>
    <row r="17412" spans="1:9" ht="16.5">
      <c r="A17412" s="10" t="b">
        <v>0</v>
      </c>
      <c r="B17412" s="11" t="str">
        <f>IF(D17412&lt;&gt;"",IF(COUNTIF('USPTO TMs'!A:A,D17412)&gt;0,"Yes","No"),"")</f>
        <v/>
      </c>
      <c r="C17412" s="11"/>
      <c r="D17412" s="11"/>
      <c r="E17412" s="11"/>
      <c r="F17412" s="11"/>
      <c r="G17412" s="11"/>
      <c r="H17412" s="11"/>
      <c r="I17412" s="15"/>
    </row>
    <row r="17413" spans="1:9" ht="16.5">
      <c r="A17413" s="10" t="b">
        <v>0</v>
      </c>
      <c r="B17413" s="11" t="str">
        <f>IF(D17413&lt;&gt;"",IF(COUNTIF('USPTO TMs'!A:A,D17413)&gt;0,"Yes","No"),"")</f>
        <v/>
      </c>
      <c r="C17413" s="11"/>
      <c r="D17413" s="11"/>
      <c r="E17413" s="11"/>
      <c r="F17413" s="11"/>
      <c r="G17413" s="11"/>
      <c r="H17413" s="11"/>
      <c r="I17413" s="15"/>
    </row>
    <row r="17414" spans="1:9" ht="16.5">
      <c r="A17414" s="10" t="b">
        <v>0</v>
      </c>
      <c r="B17414" s="11" t="str">
        <f>IF(D17414&lt;&gt;"",IF(COUNTIF('USPTO TMs'!A:A,D17414)&gt;0,"Yes","No"),"")</f>
        <v/>
      </c>
      <c r="C17414" s="11"/>
      <c r="D17414" s="11"/>
      <c r="E17414" s="11"/>
      <c r="F17414" s="11"/>
      <c r="G17414" s="11"/>
      <c r="H17414" s="11"/>
      <c r="I17414" s="15"/>
    </row>
    <row r="17415" spans="1:9" ht="16.5">
      <c r="A17415" s="10" t="b">
        <v>0</v>
      </c>
      <c r="B17415" s="11" t="str">
        <f>IF(D17415&lt;&gt;"",IF(COUNTIF('USPTO TMs'!A:A,D17415)&gt;0,"Yes","No"),"")</f>
        <v/>
      </c>
      <c r="C17415" s="11"/>
      <c r="D17415" s="11"/>
      <c r="E17415" s="11"/>
      <c r="F17415" s="11"/>
      <c r="G17415" s="11"/>
      <c r="H17415" s="11"/>
      <c r="I17415" s="15"/>
    </row>
    <row r="17416" spans="1:9" ht="16.5">
      <c r="A17416" s="10" t="b">
        <v>0</v>
      </c>
      <c r="B17416" s="11" t="str">
        <f>IF(D17416&lt;&gt;"",IF(COUNTIF('USPTO TMs'!A:A,D17416)&gt;0,"Yes","No"),"")</f>
        <v/>
      </c>
      <c r="C17416" s="11"/>
      <c r="D17416" s="11"/>
      <c r="E17416" s="11"/>
      <c r="F17416" s="11"/>
      <c r="G17416" s="11"/>
      <c r="H17416" s="11"/>
      <c r="I17416" s="15"/>
    </row>
    <row r="17417" spans="1:9" ht="16.5">
      <c r="A17417" s="10" t="b">
        <v>0</v>
      </c>
      <c r="B17417" s="11" t="str">
        <f>IF(D17417&lt;&gt;"",IF(COUNTIF('USPTO TMs'!A:A,D17417)&gt;0,"Yes","No"),"")</f>
        <v/>
      </c>
      <c r="C17417" s="11"/>
      <c r="D17417" s="11"/>
      <c r="E17417" s="11"/>
      <c r="F17417" s="11"/>
      <c r="G17417" s="11"/>
      <c r="H17417" s="11"/>
      <c r="I17417" s="15"/>
    </row>
    <row r="17418" spans="1:9" ht="16.5">
      <c r="A17418" s="10" t="b">
        <v>0</v>
      </c>
      <c r="B17418" s="11" t="str">
        <f>IF(D17418&lt;&gt;"",IF(COUNTIF('USPTO TMs'!A:A,D17418)&gt;0,"Yes","No"),"")</f>
        <v/>
      </c>
      <c r="C17418" s="11"/>
      <c r="D17418" s="11"/>
      <c r="E17418" s="11"/>
      <c r="F17418" s="11"/>
      <c r="G17418" s="11"/>
      <c r="H17418" s="11"/>
      <c r="I17418" s="15"/>
    </row>
    <row r="17419" spans="1:9" ht="16.5">
      <c r="A17419" s="10" t="b">
        <v>0</v>
      </c>
      <c r="B17419" s="11" t="str">
        <f>IF(D17419&lt;&gt;"",IF(COUNTIF('USPTO TMs'!A:A,D17419)&gt;0,"Yes","No"),"")</f>
        <v/>
      </c>
      <c r="C17419" s="11"/>
      <c r="D17419" s="11"/>
      <c r="E17419" s="11"/>
      <c r="F17419" s="11"/>
      <c r="G17419" s="11"/>
      <c r="H17419" s="11"/>
      <c r="I17419" s="15"/>
    </row>
    <row r="17420" spans="1:9" ht="16.5">
      <c r="A17420" s="10" t="b">
        <v>0</v>
      </c>
      <c r="B17420" s="11" t="str">
        <f>IF(D17420&lt;&gt;"",IF(COUNTIF('USPTO TMs'!A:A,D17420)&gt;0,"Yes","No"),"")</f>
        <v/>
      </c>
      <c r="C17420" s="11"/>
      <c r="D17420" s="11"/>
      <c r="E17420" s="11"/>
      <c r="F17420" s="11"/>
      <c r="G17420" s="11"/>
      <c r="H17420" s="11"/>
      <c r="I17420" s="15"/>
    </row>
    <row r="17421" spans="1:9" ht="16.5">
      <c r="A17421" s="10" t="b">
        <v>0</v>
      </c>
      <c r="B17421" s="11" t="str">
        <f>IF(D17421&lt;&gt;"",IF(COUNTIF('USPTO TMs'!A:A,D17421)&gt;0,"Yes","No"),"")</f>
        <v/>
      </c>
      <c r="C17421" s="11"/>
      <c r="D17421" s="11"/>
      <c r="E17421" s="11"/>
      <c r="F17421" s="11"/>
      <c r="G17421" s="11"/>
      <c r="H17421" s="11"/>
      <c r="I17421" s="15"/>
    </row>
    <row r="17422" spans="1:9" ht="16.5">
      <c r="A17422" s="10" t="b">
        <v>0</v>
      </c>
      <c r="B17422" s="11" t="str">
        <f>IF(D17422&lt;&gt;"",IF(COUNTIF('USPTO TMs'!A:A,D17422)&gt;0,"Yes","No"),"")</f>
        <v/>
      </c>
      <c r="C17422" s="11"/>
      <c r="D17422" s="11"/>
      <c r="E17422" s="11"/>
      <c r="F17422" s="11"/>
      <c r="G17422" s="11"/>
      <c r="H17422" s="11"/>
      <c r="I17422" s="15"/>
    </row>
    <row r="17423" spans="1:9" ht="16.5">
      <c r="A17423" s="10" t="b">
        <v>0</v>
      </c>
      <c r="B17423" s="11" t="str">
        <f>IF(D17423&lt;&gt;"",IF(COUNTIF('USPTO TMs'!A:A,D17423)&gt;0,"Yes","No"),"")</f>
        <v/>
      </c>
      <c r="C17423" s="11"/>
      <c r="D17423" s="11"/>
      <c r="E17423" s="11"/>
      <c r="F17423" s="11"/>
      <c r="G17423" s="11"/>
      <c r="H17423" s="11"/>
      <c r="I17423" s="15"/>
    </row>
    <row r="17424" spans="1:9" ht="16.5">
      <c r="A17424" s="10" t="b">
        <v>0</v>
      </c>
      <c r="B17424" s="11" t="str">
        <f>IF(D17424&lt;&gt;"",IF(COUNTIF('USPTO TMs'!A:A,D17424)&gt;0,"Yes","No"),"")</f>
        <v/>
      </c>
      <c r="C17424" s="11"/>
      <c r="D17424" s="11"/>
      <c r="E17424" s="11"/>
      <c r="F17424" s="11"/>
      <c r="G17424" s="11"/>
      <c r="H17424" s="11"/>
      <c r="I17424" s="15"/>
    </row>
    <row r="17425" spans="1:9" ht="16.5">
      <c r="A17425" s="10" t="b">
        <v>0</v>
      </c>
      <c r="B17425" s="11" t="str">
        <f>IF(D17425&lt;&gt;"",IF(COUNTIF('USPTO TMs'!A:A,D17425)&gt;0,"Yes","No"),"")</f>
        <v/>
      </c>
      <c r="C17425" s="11"/>
      <c r="D17425" s="11"/>
      <c r="E17425" s="11"/>
      <c r="F17425" s="11"/>
      <c r="G17425" s="11"/>
      <c r="H17425" s="11"/>
      <c r="I17425" s="15"/>
    </row>
    <row r="17426" spans="1:9" ht="16.5">
      <c r="A17426" s="10" t="b">
        <v>0</v>
      </c>
      <c r="B17426" s="11" t="str">
        <f>IF(D17426&lt;&gt;"",IF(COUNTIF('USPTO TMs'!A:A,D17426)&gt;0,"Yes","No"),"")</f>
        <v/>
      </c>
      <c r="C17426" s="11"/>
      <c r="D17426" s="11"/>
      <c r="E17426" s="11"/>
      <c r="F17426" s="11"/>
      <c r="G17426" s="11"/>
      <c r="H17426" s="11"/>
      <c r="I17426" s="15"/>
    </row>
    <row r="17427" spans="1:9" ht="16.5">
      <c r="A17427" s="10" t="b">
        <v>0</v>
      </c>
      <c r="B17427" s="11" t="str">
        <f>IF(D17427&lt;&gt;"",IF(COUNTIF('USPTO TMs'!A:A,D17427)&gt;0,"Yes","No"),"")</f>
        <v/>
      </c>
      <c r="C17427" s="11"/>
      <c r="D17427" s="11"/>
      <c r="E17427" s="11"/>
      <c r="F17427" s="11"/>
      <c r="G17427" s="11"/>
      <c r="H17427" s="11"/>
      <c r="I17427" s="15"/>
    </row>
    <row r="17428" spans="1:9" ht="16.5">
      <c r="A17428" s="10" t="b">
        <v>0</v>
      </c>
      <c r="B17428" s="11" t="str">
        <f>IF(D17428&lt;&gt;"",IF(COUNTIF('USPTO TMs'!A:A,D17428)&gt;0,"Yes","No"),"")</f>
        <v/>
      </c>
      <c r="C17428" s="11"/>
      <c r="D17428" s="11"/>
      <c r="E17428" s="11"/>
      <c r="F17428" s="11"/>
      <c r="G17428" s="11"/>
      <c r="H17428" s="11"/>
      <c r="I17428" s="15"/>
    </row>
    <row r="17429" spans="1:9" ht="16.5">
      <c r="A17429" s="10" t="b">
        <v>0</v>
      </c>
      <c r="B17429" s="11" t="str">
        <f>IF(D17429&lt;&gt;"",IF(COUNTIF('USPTO TMs'!A:A,D17429)&gt;0,"Yes","No"),"")</f>
        <v/>
      </c>
      <c r="C17429" s="11"/>
      <c r="D17429" s="11"/>
      <c r="E17429" s="11"/>
      <c r="F17429" s="11"/>
      <c r="G17429" s="11"/>
      <c r="H17429" s="11"/>
      <c r="I17429" s="15"/>
    </row>
    <row r="17430" spans="1:9" ht="16.5">
      <c r="A17430" s="10" t="b">
        <v>0</v>
      </c>
      <c r="B17430" s="11" t="str">
        <f>IF(D17430&lt;&gt;"",IF(COUNTIF('USPTO TMs'!A:A,D17430)&gt;0,"Yes","No"),"")</f>
        <v/>
      </c>
      <c r="C17430" s="11"/>
      <c r="D17430" s="11"/>
      <c r="E17430" s="11"/>
      <c r="F17430" s="11"/>
      <c r="G17430" s="11"/>
      <c r="H17430" s="11"/>
      <c r="I17430" s="15"/>
    </row>
    <row r="17431" spans="1:9" ht="16.5">
      <c r="A17431" s="10" t="b">
        <v>0</v>
      </c>
      <c r="B17431" s="11" t="str">
        <f>IF(D17431&lt;&gt;"",IF(COUNTIF('USPTO TMs'!A:A,D17431)&gt;0,"Yes","No"),"")</f>
        <v/>
      </c>
      <c r="C17431" s="11"/>
      <c r="D17431" s="11"/>
      <c r="E17431" s="11"/>
      <c r="F17431" s="11"/>
      <c r="G17431" s="11"/>
      <c r="H17431" s="11"/>
      <c r="I17431" s="15"/>
    </row>
    <row r="17432" spans="1:9" ht="16.5">
      <c r="A17432" s="10" t="b">
        <v>0</v>
      </c>
      <c r="B17432" s="11" t="str">
        <f>IF(D17432&lt;&gt;"",IF(COUNTIF('USPTO TMs'!A:A,D17432)&gt;0,"Yes","No"),"")</f>
        <v/>
      </c>
      <c r="C17432" s="11"/>
      <c r="D17432" s="11"/>
      <c r="E17432" s="11"/>
      <c r="F17432" s="11"/>
      <c r="G17432" s="11"/>
      <c r="H17432" s="11"/>
      <c r="I17432" s="15"/>
    </row>
    <row r="17433" spans="1:9" ht="16.5">
      <c r="A17433" s="10" t="b">
        <v>0</v>
      </c>
      <c r="B17433" s="11" t="str">
        <f>IF(D17433&lt;&gt;"",IF(COUNTIF('USPTO TMs'!A:A,D17433)&gt;0,"Yes","No"),"")</f>
        <v/>
      </c>
      <c r="C17433" s="11"/>
      <c r="D17433" s="11"/>
      <c r="E17433" s="11"/>
      <c r="F17433" s="11"/>
      <c r="G17433" s="11"/>
      <c r="H17433" s="11"/>
      <c r="I17433" s="15"/>
    </row>
    <row r="17434" spans="1:9" ht="16.5">
      <c r="A17434" s="10" t="b">
        <v>0</v>
      </c>
      <c r="B17434" s="11" t="str">
        <f>IF(D17434&lt;&gt;"",IF(COUNTIF('USPTO TMs'!A:A,D17434)&gt;0,"Yes","No"),"")</f>
        <v/>
      </c>
      <c r="C17434" s="11"/>
      <c r="D17434" s="11"/>
      <c r="E17434" s="11"/>
      <c r="F17434" s="11"/>
      <c r="G17434" s="11"/>
      <c r="H17434" s="11"/>
      <c r="I17434" s="15"/>
    </row>
    <row r="17435" spans="1:9" ht="16.5">
      <c r="A17435" s="10" t="b">
        <v>0</v>
      </c>
      <c r="B17435" s="11" t="str">
        <f>IF(D17435&lt;&gt;"",IF(COUNTIF('USPTO TMs'!A:A,D17435)&gt;0,"Yes","No"),"")</f>
        <v/>
      </c>
      <c r="C17435" s="11"/>
      <c r="D17435" s="11"/>
      <c r="E17435" s="11"/>
      <c r="F17435" s="11"/>
      <c r="G17435" s="11"/>
      <c r="H17435" s="11"/>
      <c r="I17435" s="15"/>
    </row>
    <row r="17436" spans="1:9" ht="16.5">
      <c r="A17436" s="10" t="b">
        <v>0</v>
      </c>
      <c r="B17436" s="11" t="str">
        <f>IF(D17436&lt;&gt;"",IF(COUNTIF('USPTO TMs'!A:A,D17436)&gt;0,"Yes","No"),"")</f>
        <v/>
      </c>
      <c r="C17436" s="11"/>
      <c r="D17436" s="11"/>
      <c r="E17436" s="11"/>
      <c r="F17436" s="11"/>
      <c r="G17436" s="11"/>
      <c r="H17436" s="11"/>
      <c r="I17436" s="15"/>
    </row>
    <row r="17437" spans="1:9" ht="16.5">
      <c r="A17437" s="10" t="b">
        <v>0</v>
      </c>
      <c r="B17437" s="11" t="str">
        <f>IF(D17437&lt;&gt;"",IF(COUNTIF('USPTO TMs'!A:A,D17437)&gt;0,"Yes","No"),"")</f>
        <v/>
      </c>
      <c r="C17437" s="11"/>
      <c r="D17437" s="11"/>
      <c r="E17437" s="11"/>
      <c r="F17437" s="11"/>
      <c r="G17437" s="11"/>
      <c r="H17437" s="11"/>
      <c r="I17437" s="15"/>
    </row>
    <row r="17438" spans="1:9" ht="16.5">
      <c r="A17438" s="10" t="b">
        <v>0</v>
      </c>
      <c r="B17438" s="11" t="str">
        <f>IF(D17438&lt;&gt;"",IF(COUNTIF('USPTO TMs'!A:A,D17438)&gt;0,"Yes","No"),"")</f>
        <v/>
      </c>
      <c r="C17438" s="11"/>
      <c r="D17438" s="11"/>
      <c r="E17438" s="11"/>
      <c r="F17438" s="11"/>
      <c r="G17438" s="11"/>
      <c r="H17438" s="11"/>
      <c r="I17438" s="15"/>
    </row>
    <row r="17439" spans="1:9" ht="16.5">
      <c r="A17439" s="10" t="b">
        <v>0</v>
      </c>
      <c r="B17439" s="11" t="str">
        <f>IF(D17439&lt;&gt;"",IF(COUNTIF('USPTO TMs'!A:A,D17439)&gt;0,"Yes","No"),"")</f>
        <v/>
      </c>
      <c r="C17439" s="11"/>
      <c r="D17439" s="11"/>
      <c r="E17439" s="11"/>
      <c r="F17439" s="11"/>
      <c r="G17439" s="11"/>
      <c r="H17439" s="11"/>
      <c r="I17439" s="15"/>
    </row>
    <row r="17440" spans="1:9" ht="16.5">
      <c r="A17440" s="10" t="b">
        <v>0</v>
      </c>
      <c r="B17440" s="11" t="str">
        <f>IF(D17440&lt;&gt;"",IF(COUNTIF('USPTO TMs'!A:A,D17440)&gt;0,"Yes","No"),"")</f>
        <v/>
      </c>
      <c r="C17440" s="11"/>
      <c r="D17440" s="11"/>
      <c r="E17440" s="11"/>
      <c r="F17440" s="11"/>
      <c r="G17440" s="11"/>
      <c r="H17440" s="11"/>
      <c r="I17440" s="15"/>
    </row>
    <row r="17441" spans="1:9" ht="16.5">
      <c r="A17441" s="10" t="b">
        <v>0</v>
      </c>
      <c r="B17441" s="11" t="str">
        <f>IF(D17441&lt;&gt;"",IF(COUNTIF('USPTO TMs'!A:A,D17441)&gt;0,"Yes","No"),"")</f>
        <v/>
      </c>
      <c r="C17441" s="11"/>
      <c r="D17441" s="11"/>
      <c r="E17441" s="11"/>
      <c r="F17441" s="11"/>
      <c r="G17441" s="11"/>
      <c r="H17441" s="11"/>
      <c r="I17441" s="15"/>
    </row>
    <row r="17442" spans="1:9" ht="16.5">
      <c r="A17442" s="10" t="b">
        <v>0</v>
      </c>
      <c r="B17442" s="11" t="str">
        <f>IF(D17442&lt;&gt;"",IF(COUNTIF('USPTO TMs'!A:A,D17442)&gt;0,"Yes","No"),"")</f>
        <v/>
      </c>
      <c r="C17442" s="11"/>
      <c r="D17442" s="11"/>
      <c r="E17442" s="11"/>
      <c r="F17442" s="11"/>
      <c r="G17442" s="11"/>
      <c r="H17442" s="11"/>
      <c r="I17442" s="15"/>
    </row>
    <row r="17443" spans="1:9" ht="16.5">
      <c r="A17443" s="10" t="b">
        <v>0</v>
      </c>
      <c r="B17443" s="11" t="str">
        <f>IF(D17443&lt;&gt;"",IF(COUNTIF('USPTO TMs'!A:A,D17443)&gt;0,"Yes","No"),"")</f>
        <v/>
      </c>
      <c r="C17443" s="11"/>
      <c r="D17443" s="11"/>
      <c r="E17443" s="11"/>
      <c r="F17443" s="11"/>
      <c r="G17443" s="11"/>
      <c r="H17443" s="11"/>
      <c r="I17443" s="15"/>
    </row>
    <row r="17444" spans="1:9" ht="16.5">
      <c r="A17444" s="10" t="b">
        <v>0</v>
      </c>
      <c r="B17444" s="11" t="str">
        <f>IF(D17444&lt;&gt;"",IF(COUNTIF('USPTO TMs'!A:A,D17444)&gt;0,"Yes","No"),"")</f>
        <v/>
      </c>
      <c r="C17444" s="11"/>
      <c r="D17444" s="11"/>
      <c r="E17444" s="11"/>
      <c r="F17444" s="11"/>
      <c r="G17444" s="11"/>
      <c r="H17444" s="11"/>
      <c r="I17444" s="15"/>
    </row>
    <row r="17445" spans="1:9" ht="16.5">
      <c r="A17445" s="10" t="b">
        <v>0</v>
      </c>
      <c r="B17445" s="11" t="str">
        <f>IF(D17445&lt;&gt;"",IF(COUNTIF('USPTO TMs'!A:A,D17445)&gt;0,"Yes","No"),"")</f>
        <v/>
      </c>
      <c r="C17445" s="11"/>
      <c r="D17445" s="11"/>
      <c r="E17445" s="11"/>
      <c r="F17445" s="11"/>
      <c r="G17445" s="11"/>
      <c r="H17445" s="11"/>
      <c r="I17445" s="15"/>
    </row>
    <row r="17446" spans="1:9" ht="16.5">
      <c r="A17446" s="10" t="b">
        <v>0</v>
      </c>
      <c r="B17446" s="11" t="str">
        <f>IF(D17446&lt;&gt;"",IF(COUNTIF('USPTO TMs'!A:A,D17446)&gt;0,"Yes","No"),"")</f>
        <v/>
      </c>
      <c r="C17446" s="11"/>
      <c r="D17446" s="11"/>
      <c r="E17446" s="11"/>
      <c r="F17446" s="11"/>
      <c r="G17446" s="11"/>
      <c r="H17446" s="11"/>
      <c r="I17446" s="15"/>
    </row>
    <row r="17447" spans="1:9" ht="16.5">
      <c r="A17447" s="10" t="b">
        <v>0</v>
      </c>
      <c r="B17447" s="11" t="str">
        <f>IF(D17447&lt;&gt;"",IF(COUNTIF('USPTO TMs'!A:A,D17447)&gt;0,"Yes","No"),"")</f>
        <v/>
      </c>
      <c r="C17447" s="11"/>
      <c r="D17447" s="11"/>
      <c r="E17447" s="11"/>
      <c r="F17447" s="11"/>
      <c r="G17447" s="11"/>
      <c r="H17447" s="11"/>
      <c r="I17447" s="15"/>
    </row>
    <row r="17448" spans="1:9" ht="16.5">
      <c r="A17448" s="10" t="b">
        <v>0</v>
      </c>
      <c r="B17448" s="11" t="str">
        <f>IF(D17448&lt;&gt;"",IF(COUNTIF('USPTO TMs'!A:A,D17448)&gt;0,"Yes","No"),"")</f>
        <v/>
      </c>
      <c r="C17448" s="11"/>
      <c r="D17448" s="11"/>
      <c r="E17448" s="11"/>
      <c r="F17448" s="11"/>
      <c r="G17448" s="11"/>
      <c r="H17448" s="11"/>
      <c r="I17448" s="15"/>
    </row>
    <row r="17449" spans="1:9" ht="16.5">
      <c r="A17449" s="10" t="b">
        <v>0</v>
      </c>
      <c r="B17449" s="11" t="str">
        <f>IF(D17449&lt;&gt;"",IF(COUNTIF('USPTO TMs'!A:A,D17449)&gt;0,"Yes","No"),"")</f>
        <v/>
      </c>
      <c r="C17449" s="11"/>
      <c r="D17449" s="11"/>
      <c r="E17449" s="11"/>
      <c r="F17449" s="11"/>
      <c r="G17449" s="11"/>
      <c r="H17449" s="11"/>
      <c r="I17449" s="15"/>
    </row>
    <row r="17450" spans="1:9" ht="16.5">
      <c r="A17450" s="10" t="b">
        <v>0</v>
      </c>
      <c r="B17450" s="11" t="str">
        <f>IF(D17450&lt;&gt;"",IF(COUNTIF('USPTO TMs'!A:A,D17450)&gt;0,"Yes","No"),"")</f>
        <v/>
      </c>
      <c r="C17450" s="11"/>
      <c r="D17450" s="11"/>
      <c r="E17450" s="11"/>
      <c r="F17450" s="11"/>
      <c r="G17450" s="11"/>
      <c r="H17450" s="11"/>
      <c r="I17450" s="15"/>
    </row>
    <row r="17451" spans="1:9" ht="16.5">
      <c r="A17451" s="10" t="b">
        <v>0</v>
      </c>
      <c r="B17451" s="11" t="str">
        <f>IF(D17451&lt;&gt;"",IF(COUNTIF('USPTO TMs'!A:A,D17451)&gt;0,"Yes","No"),"")</f>
        <v/>
      </c>
      <c r="C17451" s="11"/>
      <c r="D17451" s="11"/>
      <c r="E17451" s="11"/>
      <c r="F17451" s="11"/>
      <c r="G17451" s="11"/>
      <c r="H17451" s="11"/>
      <c r="I17451" s="15"/>
    </row>
    <row r="17452" spans="1:9" ht="16.5">
      <c r="A17452" s="10" t="b">
        <v>0</v>
      </c>
      <c r="B17452" s="11" t="str">
        <f>IF(D17452&lt;&gt;"",IF(COUNTIF('USPTO TMs'!A:A,D17452)&gt;0,"Yes","No"),"")</f>
        <v/>
      </c>
      <c r="C17452" s="11"/>
      <c r="D17452" s="11"/>
      <c r="E17452" s="11"/>
      <c r="F17452" s="11"/>
      <c r="G17452" s="11"/>
      <c r="H17452" s="11"/>
      <c r="I17452" s="15"/>
    </row>
    <row r="17453" spans="1:9" ht="16.5">
      <c r="A17453" s="10" t="b">
        <v>0</v>
      </c>
      <c r="B17453" s="11" t="str">
        <f>IF(D17453&lt;&gt;"",IF(COUNTIF('USPTO TMs'!A:A,D17453)&gt;0,"Yes","No"),"")</f>
        <v/>
      </c>
      <c r="C17453" s="11"/>
      <c r="D17453" s="11"/>
      <c r="E17453" s="11"/>
      <c r="F17453" s="11"/>
      <c r="G17453" s="11"/>
      <c r="H17453" s="11"/>
      <c r="I17453" s="15"/>
    </row>
    <row r="17454" spans="1:9" ht="16.5">
      <c r="A17454" s="10" t="b">
        <v>0</v>
      </c>
      <c r="B17454" s="11" t="str">
        <f>IF(D17454&lt;&gt;"",IF(COUNTIF('USPTO TMs'!A:A,D17454)&gt;0,"Yes","No"),"")</f>
        <v/>
      </c>
      <c r="C17454" s="11"/>
      <c r="D17454" s="11"/>
      <c r="E17454" s="11"/>
      <c r="F17454" s="11"/>
      <c r="G17454" s="11"/>
      <c r="H17454" s="11"/>
      <c r="I17454" s="15"/>
    </row>
    <row r="17455" spans="1:9" ht="16.5">
      <c r="A17455" s="10" t="b">
        <v>0</v>
      </c>
      <c r="B17455" s="11" t="str">
        <f>IF(D17455&lt;&gt;"",IF(COUNTIF('USPTO TMs'!A:A,D17455)&gt;0,"Yes","No"),"")</f>
        <v/>
      </c>
      <c r="C17455" s="11"/>
      <c r="D17455" s="11"/>
      <c r="E17455" s="11"/>
      <c r="F17455" s="11"/>
      <c r="G17455" s="11"/>
      <c r="H17455" s="11"/>
      <c r="I17455" s="15"/>
    </row>
    <row r="17456" spans="1:9" ht="16.5">
      <c r="A17456" s="10" t="b">
        <v>0</v>
      </c>
      <c r="B17456" s="11" t="str">
        <f>IF(D17456&lt;&gt;"",IF(COUNTIF('USPTO TMs'!A:A,D17456)&gt;0,"Yes","No"),"")</f>
        <v/>
      </c>
      <c r="C17456" s="11"/>
      <c r="D17456" s="11"/>
      <c r="E17456" s="11"/>
      <c r="F17456" s="11"/>
      <c r="G17456" s="11"/>
      <c r="H17456" s="11"/>
      <c r="I17456" s="15"/>
    </row>
    <row r="17457" spans="1:9" ht="16.5">
      <c r="A17457" s="10" t="b">
        <v>0</v>
      </c>
      <c r="B17457" s="11" t="str">
        <f>IF(D17457&lt;&gt;"",IF(COUNTIF('USPTO TMs'!A:A,D17457)&gt;0,"Yes","No"),"")</f>
        <v/>
      </c>
      <c r="C17457" s="11"/>
      <c r="D17457" s="11"/>
      <c r="E17457" s="11"/>
      <c r="F17457" s="11"/>
      <c r="G17457" s="11"/>
      <c r="H17457" s="11"/>
      <c r="I17457" s="15"/>
    </row>
    <row r="17458" spans="1:9" ht="16.5">
      <c r="A17458" s="10" t="b">
        <v>0</v>
      </c>
      <c r="B17458" s="11" t="str">
        <f>IF(D17458&lt;&gt;"",IF(COUNTIF('USPTO TMs'!A:A,D17458)&gt;0,"Yes","No"),"")</f>
        <v/>
      </c>
      <c r="C17458" s="11"/>
      <c r="D17458" s="11"/>
      <c r="E17458" s="11"/>
      <c r="F17458" s="11"/>
      <c r="G17458" s="11"/>
      <c r="H17458" s="11"/>
      <c r="I17458" s="15"/>
    </row>
    <row r="17459" spans="1:9" ht="16.5">
      <c r="A17459" s="10" t="b">
        <v>0</v>
      </c>
      <c r="B17459" s="11" t="str">
        <f>IF(D17459&lt;&gt;"",IF(COUNTIF('USPTO TMs'!A:A,D17459)&gt;0,"Yes","No"),"")</f>
        <v/>
      </c>
      <c r="C17459" s="11"/>
      <c r="D17459" s="11"/>
      <c r="E17459" s="11"/>
      <c r="F17459" s="11"/>
      <c r="G17459" s="11"/>
      <c r="H17459" s="11"/>
      <c r="I17459" s="15"/>
    </row>
    <row r="17460" spans="1:9" ht="16.5">
      <c r="A17460" s="10" t="b">
        <v>0</v>
      </c>
      <c r="B17460" s="11" t="str">
        <f>IF(D17460&lt;&gt;"",IF(COUNTIF('USPTO TMs'!A:A,D17460)&gt;0,"Yes","No"),"")</f>
        <v/>
      </c>
      <c r="C17460" s="11"/>
      <c r="D17460" s="11"/>
      <c r="E17460" s="11"/>
      <c r="F17460" s="11"/>
      <c r="G17460" s="11"/>
      <c r="H17460" s="11"/>
      <c r="I17460" s="15"/>
    </row>
    <row r="17461" spans="1:9" ht="16.5">
      <c r="A17461" s="10" t="b">
        <v>0</v>
      </c>
      <c r="B17461" s="11" t="str">
        <f>IF(D17461&lt;&gt;"",IF(COUNTIF('USPTO TMs'!A:A,D17461)&gt;0,"Yes","No"),"")</f>
        <v/>
      </c>
      <c r="C17461" s="11"/>
      <c r="D17461" s="11"/>
      <c r="E17461" s="11"/>
      <c r="F17461" s="11"/>
      <c r="G17461" s="11"/>
      <c r="H17461" s="11"/>
      <c r="I17461" s="15"/>
    </row>
    <row r="17462" spans="1:9" ht="16.5">
      <c r="A17462" s="10" t="b">
        <v>0</v>
      </c>
      <c r="B17462" s="11" t="str">
        <f>IF(D17462&lt;&gt;"",IF(COUNTIF('USPTO TMs'!A:A,D17462)&gt;0,"Yes","No"),"")</f>
        <v/>
      </c>
      <c r="C17462" s="11"/>
      <c r="D17462" s="11"/>
      <c r="E17462" s="11"/>
      <c r="F17462" s="11"/>
      <c r="G17462" s="11"/>
      <c r="H17462" s="11"/>
      <c r="I17462" s="15"/>
    </row>
    <row r="17463" spans="1:9" ht="16.5">
      <c r="A17463" s="10" t="b">
        <v>0</v>
      </c>
      <c r="B17463" s="11" t="str">
        <f>IF(D17463&lt;&gt;"",IF(COUNTIF('USPTO TMs'!A:A,D17463)&gt;0,"Yes","No"),"")</f>
        <v/>
      </c>
      <c r="C17463" s="11"/>
      <c r="D17463" s="11"/>
      <c r="E17463" s="11"/>
      <c r="F17463" s="11"/>
      <c r="G17463" s="11"/>
      <c r="H17463" s="11"/>
      <c r="I17463" s="15"/>
    </row>
    <row r="17464" spans="1:9" ht="16.5">
      <c r="A17464" s="10" t="b">
        <v>0</v>
      </c>
      <c r="B17464" s="11" t="str">
        <f>IF(D17464&lt;&gt;"",IF(COUNTIF('USPTO TMs'!A:A,D17464)&gt;0,"Yes","No"),"")</f>
        <v/>
      </c>
      <c r="C17464" s="11"/>
      <c r="D17464" s="11"/>
      <c r="E17464" s="11"/>
      <c r="F17464" s="11"/>
      <c r="G17464" s="11"/>
      <c r="H17464" s="11"/>
      <c r="I17464" s="15"/>
    </row>
    <row r="17465" spans="1:9" ht="16.5">
      <c r="A17465" s="10" t="b">
        <v>0</v>
      </c>
      <c r="B17465" s="11" t="str">
        <f>IF(D17465&lt;&gt;"",IF(COUNTIF('USPTO TMs'!A:A,D17465)&gt;0,"Yes","No"),"")</f>
        <v/>
      </c>
      <c r="C17465" s="11"/>
      <c r="D17465" s="11"/>
      <c r="E17465" s="11"/>
      <c r="F17465" s="11"/>
      <c r="G17465" s="11"/>
      <c r="H17465" s="11"/>
      <c r="I17465" s="15"/>
    </row>
    <row r="17466" spans="1:9" ht="16.5">
      <c r="A17466" s="10" t="b">
        <v>0</v>
      </c>
      <c r="B17466" s="11" t="str">
        <f>IF(D17466&lt;&gt;"",IF(COUNTIF('USPTO TMs'!A:A,D17466)&gt;0,"Yes","No"),"")</f>
        <v/>
      </c>
      <c r="C17466" s="11"/>
      <c r="D17466" s="11"/>
      <c r="E17466" s="11"/>
      <c r="F17466" s="11"/>
      <c r="G17466" s="11"/>
      <c r="H17466" s="11"/>
      <c r="I17466" s="15"/>
    </row>
    <row r="17467" spans="1:9" ht="16.5">
      <c r="A17467" s="10" t="b">
        <v>0</v>
      </c>
      <c r="B17467" s="11" t="str">
        <f>IF(D17467&lt;&gt;"",IF(COUNTIF('USPTO TMs'!A:A,D17467)&gt;0,"Yes","No"),"")</f>
        <v/>
      </c>
      <c r="C17467" s="11"/>
      <c r="D17467" s="11"/>
      <c r="E17467" s="11"/>
      <c r="F17467" s="11"/>
      <c r="G17467" s="11"/>
      <c r="H17467" s="11"/>
      <c r="I17467" s="15"/>
    </row>
    <row r="17468" spans="1:9" ht="16.5">
      <c r="A17468" s="10" t="b">
        <v>0</v>
      </c>
      <c r="B17468" s="11" t="str">
        <f>IF(D17468&lt;&gt;"",IF(COUNTIF('USPTO TMs'!A:A,D17468)&gt;0,"Yes","No"),"")</f>
        <v/>
      </c>
      <c r="C17468" s="11"/>
      <c r="D17468" s="11"/>
      <c r="E17468" s="11"/>
      <c r="F17468" s="11"/>
      <c r="G17468" s="11"/>
      <c r="H17468" s="11"/>
      <c r="I17468" s="15"/>
    </row>
    <row r="17469" spans="1:9" ht="16.5">
      <c r="A17469" s="10" t="b">
        <v>0</v>
      </c>
      <c r="B17469" s="11" t="str">
        <f>IF(D17469&lt;&gt;"",IF(COUNTIF('USPTO TMs'!A:A,D17469)&gt;0,"Yes","No"),"")</f>
        <v/>
      </c>
      <c r="C17469" s="11"/>
      <c r="D17469" s="11"/>
      <c r="E17469" s="11"/>
      <c r="F17469" s="11"/>
      <c r="G17469" s="11"/>
      <c r="H17469" s="11"/>
      <c r="I17469" s="15"/>
    </row>
    <row r="17470" spans="1:9" ht="16.5">
      <c r="A17470" s="10" t="b">
        <v>0</v>
      </c>
      <c r="B17470" s="11" t="str">
        <f>IF(D17470&lt;&gt;"",IF(COUNTIF('USPTO TMs'!A:A,D17470)&gt;0,"Yes","No"),"")</f>
        <v/>
      </c>
      <c r="C17470" s="11"/>
      <c r="D17470" s="11"/>
      <c r="E17470" s="11"/>
      <c r="F17470" s="11"/>
      <c r="G17470" s="11"/>
      <c r="H17470" s="11"/>
      <c r="I17470" s="15"/>
    </row>
    <row r="17471" spans="1:9" ht="16.5">
      <c r="A17471" s="10" t="b">
        <v>0</v>
      </c>
      <c r="B17471" s="11" t="str">
        <f>IF(D17471&lt;&gt;"",IF(COUNTIF('USPTO TMs'!A:A,D17471)&gt;0,"Yes","No"),"")</f>
        <v/>
      </c>
      <c r="C17471" s="11"/>
      <c r="D17471" s="11"/>
      <c r="E17471" s="11"/>
      <c r="F17471" s="11"/>
      <c r="G17471" s="11"/>
      <c r="H17471" s="11"/>
      <c r="I17471" s="15"/>
    </row>
    <row r="17472" spans="1:9" ht="16.5">
      <c r="A17472" s="10" t="b">
        <v>0</v>
      </c>
      <c r="B17472" s="11" t="str">
        <f>IF(D17472&lt;&gt;"",IF(COUNTIF('USPTO TMs'!A:A,D17472)&gt;0,"Yes","No"),"")</f>
        <v/>
      </c>
      <c r="C17472" s="11"/>
      <c r="D17472" s="11"/>
      <c r="E17472" s="11"/>
      <c r="F17472" s="11"/>
      <c r="G17472" s="11"/>
      <c r="H17472" s="11"/>
      <c r="I17472" s="15"/>
    </row>
    <row r="17473" spans="1:9" ht="16.5">
      <c r="A17473" s="10" t="b">
        <v>0</v>
      </c>
      <c r="B17473" s="11" t="str">
        <f>IF(D17473&lt;&gt;"",IF(COUNTIF('USPTO TMs'!A:A,D17473)&gt;0,"Yes","No"),"")</f>
        <v/>
      </c>
      <c r="C17473" s="11"/>
      <c r="D17473" s="11"/>
      <c r="E17473" s="11"/>
      <c r="F17473" s="11"/>
      <c r="G17473" s="11"/>
      <c r="H17473" s="11"/>
      <c r="I17473" s="15"/>
    </row>
    <row r="17474" spans="1:9" ht="16.5">
      <c r="A17474" s="10" t="b">
        <v>0</v>
      </c>
      <c r="B17474" s="11" t="str">
        <f>IF(D17474&lt;&gt;"",IF(COUNTIF('USPTO TMs'!A:A,D17474)&gt;0,"Yes","No"),"")</f>
        <v/>
      </c>
      <c r="C17474" s="11"/>
      <c r="D17474" s="11"/>
      <c r="E17474" s="11"/>
      <c r="F17474" s="11"/>
      <c r="G17474" s="11"/>
      <c r="H17474" s="11"/>
      <c r="I17474" s="15"/>
    </row>
    <row r="17475" spans="1:9" ht="16.5">
      <c r="A17475" s="10" t="b">
        <v>0</v>
      </c>
      <c r="B17475" s="11" t="str">
        <f>IF(D17475&lt;&gt;"",IF(COUNTIF('USPTO TMs'!A:A,D17475)&gt;0,"Yes","No"),"")</f>
        <v/>
      </c>
      <c r="C17475" s="11"/>
      <c r="D17475" s="11"/>
      <c r="E17475" s="11"/>
      <c r="F17475" s="11"/>
      <c r="G17475" s="11"/>
      <c r="H17475" s="11"/>
      <c r="I17475" s="15"/>
    </row>
    <row r="17476" spans="1:9" ht="16.5">
      <c r="A17476" s="10" t="b">
        <v>0</v>
      </c>
      <c r="B17476" s="11" t="str">
        <f>IF(D17476&lt;&gt;"",IF(COUNTIF('USPTO TMs'!A:A,D17476)&gt;0,"Yes","No"),"")</f>
        <v/>
      </c>
      <c r="C17476" s="11"/>
      <c r="D17476" s="11"/>
      <c r="E17476" s="11"/>
      <c r="F17476" s="11"/>
      <c r="G17476" s="11"/>
      <c r="H17476" s="11"/>
      <c r="I17476" s="15"/>
    </row>
    <row r="17477" spans="1:9" ht="16.5">
      <c r="A17477" s="10" t="b">
        <v>0</v>
      </c>
      <c r="B17477" s="11" t="str">
        <f>IF(D17477&lt;&gt;"",IF(COUNTIF('USPTO TMs'!A:A,D17477)&gt;0,"Yes","No"),"")</f>
        <v/>
      </c>
      <c r="C17477" s="11"/>
      <c r="D17477" s="11"/>
      <c r="E17477" s="11"/>
      <c r="F17477" s="11"/>
      <c r="G17477" s="11"/>
      <c r="H17477" s="11"/>
      <c r="I17477" s="15"/>
    </row>
    <row r="17478" spans="1:9" ht="16.5">
      <c r="A17478" s="10" t="b">
        <v>0</v>
      </c>
      <c r="B17478" s="11" t="str">
        <f>IF(D17478&lt;&gt;"",IF(COUNTIF('USPTO TMs'!A:A,D17478)&gt;0,"Yes","No"),"")</f>
        <v/>
      </c>
      <c r="C17478" s="11"/>
      <c r="D17478" s="11"/>
      <c r="E17478" s="11"/>
      <c r="F17478" s="11"/>
      <c r="G17478" s="11"/>
      <c r="H17478" s="11"/>
      <c r="I17478" s="15"/>
    </row>
    <row r="17479" spans="1:9" ht="16.5">
      <c r="A17479" s="10" t="b">
        <v>0</v>
      </c>
      <c r="B17479" s="11" t="str">
        <f>IF(D17479&lt;&gt;"",IF(COUNTIF('USPTO TMs'!A:A,D17479)&gt;0,"Yes","No"),"")</f>
        <v/>
      </c>
      <c r="C17479" s="11"/>
      <c r="D17479" s="11"/>
      <c r="E17479" s="11"/>
      <c r="F17479" s="11"/>
      <c r="G17479" s="11"/>
      <c r="H17479" s="11"/>
      <c r="I17479" s="15"/>
    </row>
    <row r="17480" spans="1:9" ht="16.5">
      <c r="A17480" s="10" t="b">
        <v>0</v>
      </c>
      <c r="B17480" s="11" t="str">
        <f>IF(D17480&lt;&gt;"",IF(COUNTIF('USPTO TMs'!A:A,D17480)&gt;0,"Yes","No"),"")</f>
        <v/>
      </c>
      <c r="C17480" s="11"/>
      <c r="D17480" s="11"/>
      <c r="E17480" s="11"/>
      <c r="F17480" s="11"/>
      <c r="G17480" s="11"/>
      <c r="H17480" s="11"/>
      <c r="I17480" s="15"/>
    </row>
    <row r="17481" spans="1:9" ht="16.5">
      <c r="A17481" s="10" t="b">
        <v>0</v>
      </c>
      <c r="B17481" s="11" t="str">
        <f>IF(D17481&lt;&gt;"",IF(COUNTIF('USPTO TMs'!A:A,D17481)&gt;0,"Yes","No"),"")</f>
        <v/>
      </c>
      <c r="C17481" s="11"/>
      <c r="D17481" s="11"/>
      <c r="E17481" s="11"/>
      <c r="F17481" s="11"/>
      <c r="G17481" s="11"/>
      <c r="H17481" s="11"/>
      <c r="I17481" s="15"/>
    </row>
    <row r="17482" spans="1:9" ht="16.5">
      <c r="A17482" s="10" t="b">
        <v>0</v>
      </c>
      <c r="B17482" s="11" t="str">
        <f>IF(D17482&lt;&gt;"",IF(COUNTIF('USPTO TMs'!A:A,D17482)&gt;0,"Yes","No"),"")</f>
        <v/>
      </c>
      <c r="C17482" s="11"/>
      <c r="D17482" s="11"/>
      <c r="E17482" s="11"/>
      <c r="F17482" s="11"/>
      <c r="G17482" s="11"/>
      <c r="H17482" s="11"/>
      <c r="I17482" s="15"/>
    </row>
    <row r="17483" spans="1:9" ht="16.5">
      <c r="A17483" s="10" t="b">
        <v>0</v>
      </c>
      <c r="B17483" s="11" t="str">
        <f>IF(D17483&lt;&gt;"",IF(COUNTIF('USPTO TMs'!A:A,D17483)&gt;0,"Yes","No"),"")</f>
        <v/>
      </c>
      <c r="C17483" s="11"/>
      <c r="D17483" s="11"/>
      <c r="E17483" s="11"/>
      <c r="F17483" s="11"/>
      <c r="G17483" s="11"/>
      <c r="H17483" s="11"/>
      <c r="I17483" s="15"/>
    </row>
    <row r="17484" spans="1:9" ht="16.5">
      <c r="A17484" s="10" t="b">
        <v>0</v>
      </c>
      <c r="B17484" s="11" t="str">
        <f>IF(D17484&lt;&gt;"",IF(COUNTIF('USPTO TMs'!A:A,D17484)&gt;0,"Yes","No"),"")</f>
        <v/>
      </c>
      <c r="C17484" s="11"/>
      <c r="D17484" s="11"/>
      <c r="E17484" s="11"/>
      <c r="F17484" s="11"/>
      <c r="G17484" s="11"/>
      <c r="H17484" s="11"/>
      <c r="I17484" s="15"/>
    </row>
    <row r="17485" spans="1:9" ht="16.5">
      <c r="A17485" s="10" t="b">
        <v>0</v>
      </c>
      <c r="B17485" s="11" t="str">
        <f>IF(D17485&lt;&gt;"",IF(COUNTIF('USPTO TMs'!A:A,D17485)&gt;0,"Yes","No"),"")</f>
        <v/>
      </c>
      <c r="C17485" s="11"/>
      <c r="D17485" s="11"/>
      <c r="E17485" s="11"/>
      <c r="F17485" s="11"/>
      <c r="G17485" s="11"/>
      <c r="H17485" s="11"/>
      <c r="I17485" s="15"/>
    </row>
    <row r="17486" spans="1:9" ht="16.5">
      <c r="A17486" s="10" t="b">
        <v>0</v>
      </c>
      <c r="B17486" s="11" t="str">
        <f>IF(D17486&lt;&gt;"",IF(COUNTIF('USPTO TMs'!A:A,D17486)&gt;0,"Yes","No"),"")</f>
        <v/>
      </c>
      <c r="C17486" s="11"/>
      <c r="D17486" s="11"/>
      <c r="E17486" s="11"/>
      <c r="F17486" s="11"/>
      <c r="G17486" s="11"/>
      <c r="H17486" s="11"/>
      <c r="I17486" s="15"/>
    </row>
    <row r="17487" spans="1:9" ht="16.5">
      <c r="A17487" s="10" t="b">
        <v>0</v>
      </c>
      <c r="B17487" s="11" t="str">
        <f>IF(D17487&lt;&gt;"",IF(COUNTIF('USPTO TMs'!A:A,D17487)&gt;0,"Yes","No"),"")</f>
        <v/>
      </c>
      <c r="C17487" s="11"/>
      <c r="D17487" s="11"/>
      <c r="E17487" s="11"/>
      <c r="F17487" s="11"/>
      <c r="G17487" s="11"/>
      <c r="H17487" s="11"/>
      <c r="I17487" s="15"/>
    </row>
    <row r="17488" spans="1:9" ht="16.5">
      <c r="A17488" s="10" t="b">
        <v>0</v>
      </c>
      <c r="B17488" s="11" t="str">
        <f>IF(D17488&lt;&gt;"",IF(COUNTIF('USPTO TMs'!A:A,D17488)&gt;0,"Yes","No"),"")</f>
        <v/>
      </c>
      <c r="C17488" s="11"/>
      <c r="D17488" s="11"/>
      <c r="E17488" s="11"/>
      <c r="F17488" s="11"/>
      <c r="G17488" s="11"/>
      <c r="H17488" s="11"/>
      <c r="I17488" s="15"/>
    </row>
    <row r="17489" spans="1:9" ht="16.5">
      <c r="A17489" s="10" t="b">
        <v>0</v>
      </c>
      <c r="B17489" s="11" t="str">
        <f>IF(D17489&lt;&gt;"",IF(COUNTIF('USPTO TMs'!A:A,D17489)&gt;0,"Yes","No"),"")</f>
        <v/>
      </c>
      <c r="C17489" s="11"/>
      <c r="D17489" s="11"/>
      <c r="E17489" s="11"/>
      <c r="F17489" s="11"/>
      <c r="G17489" s="11"/>
      <c r="H17489" s="11"/>
      <c r="I17489" s="15"/>
    </row>
    <row r="17490" spans="1:9" ht="16.5">
      <c r="A17490" s="10" t="b">
        <v>0</v>
      </c>
      <c r="B17490" s="11" t="str">
        <f>IF(D17490&lt;&gt;"",IF(COUNTIF('USPTO TMs'!A:A,D17490)&gt;0,"Yes","No"),"")</f>
        <v/>
      </c>
      <c r="C17490" s="11"/>
      <c r="D17490" s="11"/>
      <c r="E17490" s="11"/>
      <c r="F17490" s="11"/>
      <c r="G17490" s="11"/>
      <c r="H17490" s="11"/>
      <c r="I17490" s="15"/>
    </row>
    <row r="17491" spans="1:9" ht="16.5">
      <c r="A17491" s="10" t="b">
        <v>0</v>
      </c>
      <c r="B17491" s="11" t="str">
        <f>IF(D17491&lt;&gt;"",IF(COUNTIF('USPTO TMs'!A:A,D17491)&gt;0,"Yes","No"),"")</f>
        <v/>
      </c>
      <c r="C17491" s="11"/>
      <c r="D17491" s="11"/>
      <c r="E17491" s="11"/>
      <c r="F17491" s="11"/>
      <c r="G17491" s="11"/>
      <c r="H17491" s="11"/>
      <c r="I17491" s="15"/>
    </row>
    <row r="17492" spans="1:9" ht="16.5">
      <c r="A17492" s="10" t="b">
        <v>0</v>
      </c>
      <c r="B17492" s="11" t="str">
        <f>IF(D17492&lt;&gt;"",IF(COUNTIF('USPTO TMs'!A:A,D17492)&gt;0,"Yes","No"),"")</f>
        <v/>
      </c>
      <c r="C17492" s="11"/>
      <c r="D17492" s="11"/>
      <c r="E17492" s="11"/>
      <c r="F17492" s="11"/>
      <c r="G17492" s="11"/>
      <c r="H17492" s="11"/>
      <c r="I17492" s="15"/>
    </row>
    <row r="17493" spans="1:9" ht="16.5">
      <c r="A17493" s="10" t="b">
        <v>0</v>
      </c>
      <c r="B17493" s="11" t="str">
        <f>IF(D17493&lt;&gt;"",IF(COUNTIF('USPTO TMs'!A:A,D17493)&gt;0,"Yes","No"),"")</f>
        <v/>
      </c>
      <c r="C17493" s="11"/>
      <c r="D17493" s="11"/>
      <c r="E17493" s="11"/>
      <c r="F17493" s="11"/>
      <c r="G17493" s="11"/>
      <c r="H17493" s="11"/>
      <c r="I17493" s="15"/>
    </row>
    <row r="17494" spans="1:9" ht="16.5">
      <c r="A17494" s="10" t="b">
        <v>0</v>
      </c>
      <c r="B17494" s="11" t="str">
        <f>IF(D17494&lt;&gt;"",IF(COUNTIF('USPTO TMs'!A:A,D17494)&gt;0,"Yes","No"),"")</f>
        <v/>
      </c>
      <c r="C17494" s="11"/>
      <c r="D17494" s="11"/>
      <c r="E17494" s="11"/>
      <c r="F17494" s="11"/>
      <c r="G17494" s="11"/>
      <c r="H17494" s="11"/>
      <c r="I17494" s="15"/>
    </row>
    <row r="17495" spans="1:9" ht="16.5">
      <c r="A17495" s="10" t="b">
        <v>0</v>
      </c>
      <c r="B17495" s="11" t="str">
        <f>IF(D17495&lt;&gt;"",IF(COUNTIF('USPTO TMs'!A:A,D17495)&gt;0,"Yes","No"),"")</f>
        <v/>
      </c>
      <c r="C17495" s="11"/>
      <c r="D17495" s="11"/>
      <c r="E17495" s="11"/>
      <c r="F17495" s="11"/>
      <c r="G17495" s="11"/>
      <c r="H17495" s="11"/>
      <c r="I17495" s="15"/>
    </row>
    <row r="17496" spans="1:9" ht="16.5">
      <c r="A17496" s="10" t="b">
        <v>0</v>
      </c>
      <c r="B17496" s="11" t="str">
        <f>IF(D17496&lt;&gt;"",IF(COUNTIF('USPTO TMs'!A:A,D17496)&gt;0,"Yes","No"),"")</f>
        <v/>
      </c>
      <c r="C17496" s="11"/>
      <c r="D17496" s="11"/>
      <c r="E17496" s="11"/>
      <c r="F17496" s="11"/>
      <c r="G17496" s="11"/>
      <c r="H17496" s="11"/>
      <c r="I17496" s="15"/>
    </row>
    <row r="17497" spans="1:9" ht="16.5">
      <c r="A17497" s="10" t="b">
        <v>0</v>
      </c>
      <c r="B17497" s="11" t="str">
        <f>IF(D17497&lt;&gt;"",IF(COUNTIF('USPTO TMs'!A:A,D17497)&gt;0,"Yes","No"),"")</f>
        <v/>
      </c>
      <c r="C17497" s="11"/>
      <c r="D17497" s="11"/>
      <c r="E17497" s="11"/>
      <c r="F17497" s="11"/>
      <c r="G17497" s="11"/>
      <c r="H17497" s="11"/>
      <c r="I17497" s="15"/>
    </row>
    <row r="17498" spans="1:9" ht="16.5">
      <c r="A17498" s="10" t="b">
        <v>0</v>
      </c>
      <c r="B17498" s="11" t="str">
        <f>IF(D17498&lt;&gt;"",IF(COUNTIF('USPTO TMs'!A:A,D17498)&gt;0,"Yes","No"),"")</f>
        <v/>
      </c>
      <c r="C17498" s="11"/>
      <c r="D17498" s="11"/>
      <c r="E17498" s="11"/>
      <c r="F17498" s="11"/>
      <c r="G17498" s="11"/>
      <c r="H17498" s="11"/>
      <c r="I17498" s="15"/>
    </row>
    <row r="17499" spans="1:9" ht="16.5">
      <c r="A17499" s="10" t="b">
        <v>0</v>
      </c>
      <c r="B17499" s="11" t="str">
        <f>IF(D17499&lt;&gt;"",IF(COUNTIF('USPTO TMs'!A:A,D17499)&gt;0,"Yes","No"),"")</f>
        <v/>
      </c>
      <c r="C17499" s="11"/>
      <c r="D17499" s="11"/>
      <c r="E17499" s="11"/>
      <c r="F17499" s="11"/>
      <c r="G17499" s="11"/>
      <c r="H17499" s="11"/>
      <c r="I17499" s="15"/>
    </row>
    <row r="17500" spans="1:9" ht="16.5">
      <c r="A17500" s="10" t="b">
        <v>0</v>
      </c>
      <c r="B17500" s="11" t="str">
        <f>IF(D17500&lt;&gt;"",IF(COUNTIF('USPTO TMs'!A:A,D17500)&gt;0,"Yes","No"),"")</f>
        <v/>
      </c>
      <c r="C17500" s="11"/>
      <c r="D17500" s="11"/>
      <c r="E17500" s="11"/>
      <c r="F17500" s="11"/>
      <c r="G17500" s="11"/>
      <c r="H17500" s="11"/>
      <c r="I17500" s="15"/>
    </row>
    <row r="17501" spans="1:9" ht="16.5">
      <c r="A17501" s="10" t="b">
        <v>0</v>
      </c>
      <c r="B17501" s="11" t="str">
        <f>IF(D17501&lt;&gt;"",IF(COUNTIF('USPTO TMs'!A:A,D17501)&gt;0,"Yes","No"),"")</f>
        <v/>
      </c>
      <c r="C17501" s="11"/>
      <c r="D17501" s="11"/>
      <c r="E17501" s="11"/>
      <c r="F17501" s="11"/>
      <c r="G17501" s="11"/>
      <c r="H17501" s="11"/>
      <c r="I17501" s="15"/>
    </row>
    <row r="17502" spans="1:9" ht="16.5">
      <c r="A17502" s="10" t="b">
        <v>0</v>
      </c>
      <c r="B17502" s="11" t="str">
        <f>IF(D17502&lt;&gt;"",IF(COUNTIF('USPTO TMs'!A:A,D17502)&gt;0,"Yes","No"),"")</f>
        <v/>
      </c>
      <c r="C17502" s="11"/>
      <c r="D17502" s="11"/>
      <c r="E17502" s="11"/>
      <c r="F17502" s="11"/>
      <c r="G17502" s="11"/>
      <c r="H17502" s="11"/>
      <c r="I17502" s="15"/>
    </row>
    <row r="17503" spans="1:9" ht="16.5">
      <c r="A17503" s="10" t="b">
        <v>0</v>
      </c>
      <c r="B17503" s="11" t="str">
        <f>IF(D17503&lt;&gt;"",IF(COUNTIF('USPTO TMs'!A:A,D17503)&gt;0,"Yes","No"),"")</f>
        <v/>
      </c>
      <c r="C17503" s="11"/>
      <c r="D17503" s="11"/>
      <c r="E17503" s="11"/>
      <c r="F17503" s="11"/>
      <c r="G17503" s="11"/>
      <c r="H17503" s="11"/>
      <c r="I17503" s="15"/>
    </row>
    <row r="17504" spans="1:9" ht="16.5">
      <c r="A17504" s="10" t="b">
        <v>0</v>
      </c>
      <c r="B17504" s="11" t="str">
        <f>IF(D17504&lt;&gt;"",IF(COUNTIF('USPTO TMs'!A:A,D17504)&gt;0,"Yes","No"),"")</f>
        <v/>
      </c>
      <c r="C17504" s="11"/>
      <c r="D17504" s="11"/>
      <c r="E17504" s="11"/>
      <c r="F17504" s="11"/>
      <c r="G17504" s="11"/>
      <c r="H17504" s="11"/>
      <c r="I17504" s="15"/>
    </row>
    <row r="17505" spans="1:9" ht="16.5">
      <c r="A17505" s="10" t="b">
        <v>0</v>
      </c>
      <c r="B17505" s="11" t="str">
        <f>IF(D17505&lt;&gt;"",IF(COUNTIF('USPTO TMs'!A:A,D17505)&gt;0,"Yes","No"),"")</f>
        <v/>
      </c>
      <c r="C17505" s="11"/>
      <c r="D17505" s="11"/>
      <c r="E17505" s="11"/>
      <c r="F17505" s="11"/>
      <c r="G17505" s="11"/>
      <c r="H17505" s="11"/>
      <c r="I17505" s="15"/>
    </row>
    <row r="17506" spans="1:9" ht="16.5">
      <c r="A17506" s="10" t="b">
        <v>0</v>
      </c>
      <c r="B17506" s="11" t="str">
        <f>IF(D17506&lt;&gt;"",IF(COUNTIF('USPTO TMs'!A:A,D17506)&gt;0,"Yes","No"),"")</f>
        <v/>
      </c>
      <c r="C17506" s="11"/>
      <c r="D17506" s="11"/>
      <c r="E17506" s="11"/>
      <c r="F17506" s="11"/>
      <c r="G17506" s="11"/>
      <c r="H17506" s="11"/>
      <c r="I17506" s="15"/>
    </row>
    <row r="17507" spans="1:9" ht="16.5">
      <c r="A17507" s="10" t="b">
        <v>0</v>
      </c>
      <c r="B17507" s="11" t="str">
        <f>IF(D17507&lt;&gt;"",IF(COUNTIF('USPTO TMs'!A:A,D17507)&gt;0,"Yes","No"),"")</f>
        <v/>
      </c>
      <c r="C17507" s="11"/>
      <c r="D17507" s="11"/>
      <c r="E17507" s="11"/>
      <c r="F17507" s="11"/>
      <c r="G17507" s="11"/>
      <c r="H17507" s="11"/>
      <c r="I17507" s="15"/>
    </row>
    <row r="17508" spans="1:9" ht="16.5">
      <c r="A17508" s="10" t="b">
        <v>0</v>
      </c>
      <c r="B17508" s="11" t="str">
        <f>IF(D17508&lt;&gt;"",IF(COUNTIF('USPTO TMs'!A:A,D17508)&gt;0,"Yes","No"),"")</f>
        <v/>
      </c>
      <c r="C17508" s="11"/>
      <c r="D17508" s="11"/>
      <c r="E17508" s="11"/>
      <c r="F17508" s="11"/>
      <c r="G17508" s="11"/>
      <c r="H17508" s="11"/>
      <c r="I17508" s="15"/>
    </row>
    <row r="17509" spans="1:9" ht="16.5">
      <c r="A17509" s="10" t="b">
        <v>0</v>
      </c>
      <c r="B17509" s="11" t="str">
        <f>IF(D17509&lt;&gt;"",IF(COUNTIF('USPTO TMs'!A:A,D17509)&gt;0,"Yes","No"),"")</f>
        <v/>
      </c>
      <c r="C17509" s="11"/>
      <c r="D17509" s="11"/>
      <c r="E17509" s="11"/>
      <c r="F17509" s="11"/>
      <c r="G17509" s="11"/>
      <c r="H17509" s="11"/>
      <c r="I17509" s="15"/>
    </row>
    <row r="17510" spans="1:9" ht="16.5">
      <c r="A17510" s="10" t="b">
        <v>0</v>
      </c>
      <c r="B17510" s="11" t="str">
        <f>IF(D17510&lt;&gt;"",IF(COUNTIF('USPTO TMs'!A:A,D17510)&gt;0,"Yes","No"),"")</f>
        <v/>
      </c>
      <c r="C17510" s="11"/>
      <c r="D17510" s="11"/>
      <c r="E17510" s="11"/>
      <c r="F17510" s="11"/>
      <c r="G17510" s="11"/>
      <c r="H17510" s="11"/>
      <c r="I17510" s="15"/>
    </row>
    <row r="17511" spans="1:9" ht="16.5">
      <c r="A17511" s="10" t="b">
        <v>0</v>
      </c>
      <c r="B17511" s="11" t="str">
        <f>IF(D17511&lt;&gt;"",IF(COUNTIF('USPTO TMs'!A:A,D17511)&gt;0,"Yes","No"),"")</f>
        <v/>
      </c>
      <c r="C17511" s="11"/>
      <c r="D17511" s="11"/>
      <c r="E17511" s="11"/>
      <c r="F17511" s="11"/>
      <c r="G17511" s="11"/>
      <c r="H17511" s="11"/>
      <c r="I17511" s="15"/>
    </row>
    <row r="17512" spans="1:9" ht="16.5">
      <c r="A17512" s="10" t="b">
        <v>0</v>
      </c>
      <c r="B17512" s="11" t="str">
        <f>IF(D17512&lt;&gt;"",IF(COUNTIF('USPTO TMs'!A:A,D17512)&gt;0,"Yes","No"),"")</f>
        <v/>
      </c>
      <c r="C17512" s="11"/>
      <c r="D17512" s="11"/>
      <c r="E17512" s="11"/>
      <c r="F17512" s="11"/>
      <c r="G17512" s="11"/>
      <c r="H17512" s="11"/>
      <c r="I17512" s="15"/>
    </row>
    <row r="17513" spans="1:9" ht="16.5">
      <c r="A17513" s="10" t="b">
        <v>0</v>
      </c>
      <c r="B17513" s="11" t="str">
        <f>IF(D17513&lt;&gt;"",IF(COUNTIF('USPTO TMs'!A:A,D17513)&gt;0,"Yes","No"),"")</f>
        <v/>
      </c>
      <c r="C17513" s="11"/>
      <c r="D17513" s="11"/>
      <c r="E17513" s="11"/>
      <c r="F17513" s="11"/>
      <c r="G17513" s="11"/>
      <c r="H17513" s="11"/>
      <c r="I17513" s="15"/>
    </row>
    <row r="17514" spans="1:9" ht="16.5">
      <c r="A17514" s="10" t="b">
        <v>0</v>
      </c>
      <c r="B17514" s="11" t="str">
        <f>IF(D17514&lt;&gt;"",IF(COUNTIF('USPTO TMs'!A:A,D17514)&gt;0,"Yes","No"),"")</f>
        <v/>
      </c>
      <c r="C17514" s="11"/>
      <c r="D17514" s="11"/>
      <c r="E17514" s="11"/>
      <c r="F17514" s="11"/>
      <c r="G17514" s="11"/>
      <c r="H17514" s="11"/>
      <c r="I17514" s="15"/>
    </row>
    <row r="17515" spans="1:9" ht="16.5">
      <c r="A17515" s="10" t="b">
        <v>0</v>
      </c>
      <c r="B17515" s="11" t="str">
        <f>IF(D17515&lt;&gt;"",IF(COUNTIF('USPTO TMs'!A:A,D17515)&gt;0,"Yes","No"),"")</f>
        <v/>
      </c>
      <c r="C17515" s="11"/>
      <c r="D17515" s="11"/>
      <c r="E17515" s="11"/>
      <c r="F17515" s="11"/>
      <c r="G17515" s="11"/>
      <c r="H17515" s="11"/>
      <c r="I17515" s="15"/>
    </row>
    <row r="17516" spans="1:9" ht="16.5">
      <c r="A17516" s="10" t="b">
        <v>0</v>
      </c>
      <c r="B17516" s="11" t="str">
        <f>IF(D17516&lt;&gt;"",IF(COUNTIF('USPTO TMs'!A:A,D17516)&gt;0,"Yes","No"),"")</f>
        <v/>
      </c>
      <c r="C17516" s="11"/>
      <c r="D17516" s="11"/>
      <c r="E17516" s="11"/>
      <c r="F17516" s="11"/>
      <c r="G17516" s="11"/>
      <c r="H17516" s="11"/>
      <c r="I17516" s="15"/>
    </row>
    <row r="17517" spans="1:9" ht="16.5">
      <c r="A17517" s="10" t="b">
        <v>0</v>
      </c>
      <c r="B17517" s="11" t="str">
        <f>IF(D17517&lt;&gt;"",IF(COUNTIF('USPTO TMs'!A:A,D17517)&gt;0,"Yes","No"),"")</f>
        <v/>
      </c>
      <c r="C17517" s="11"/>
      <c r="D17517" s="11"/>
      <c r="E17517" s="11"/>
      <c r="F17517" s="11"/>
      <c r="G17517" s="11"/>
      <c r="H17517" s="11"/>
      <c r="I17517" s="15"/>
    </row>
    <row r="17518" spans="1:9" ht="16.5">
      <c r="A17518" s="10" t="b">
        <v>0</v>
      </c>
      <c r="B17518" s="11" t="str">
        <f>IF(D17518&lt;&gt;"",IF(COUNTIF('USPTO TMs'!A:A,D17518)&gt;0,"Yes","No"),"")</f>
        <v/>
      </c>
      <c r="C17518" s="11"/>
      <c r="D17518" s="11"/>
      <c r="E17518" s="11"/>
      <c r="F17518" s="11"/>
      <c r="G17518" s="11"/>
      <c r="H17518" s="11"/>
      <c r="I17518" s="15"/>
    </row>
    <row r="17519" spans="1:9" ht="16.5">
      <c r="A17519" s="10" t="b">
        <v>0</v>
      </c>
      <c r="B17519" s="11" t="str">
        <f>IF(D17519&lt;&gt;"",IF(COUNTIF('USPTO TMs'!A:A,D17519)&gt;0,"Yes","No"),"")</f>
        <v/>
      </c>
      <c r="C17519" s="11"/>
      <c r="D17519" s="11"/>
      <c r="E17519" s="11"/>
      <c r="F17519" s="11"/>
      <c r="G17519" s="11"/>
      <c r="H17519" s="11"/>
      <c r="I17519" s="15"/>
    </row>
    <row r="17520" spans="1:9" ht="16.5">
      <c r="A17520" s="10" t="b">
        <v>0</v>
      </c>
      <c r="B17520" s="11" t="str">
        <f>IF(D17520&lt;&gt;"",IF(COUNTIF('USPTO TMs'!A:A,D17520)&gt;0,"Yes","No"),"")</f>
        <v/>
      </c>
      <c r="C17520" s="11"/>
      <c r="D17520" s="11"/>
      <c r="E17520" s="11"/>
      <c r="F17520" s="11"/>
      <c r="G17520" s="11"/>
      <c r="H17520" s="11"/>
      <c r="I17520" s="15"/>
    </row>
    <row r="17521" spans="1:9" ht="16.5">
      <c r="A17521" s="10" t="b">
        <v>0</v>
      </c>
      <c r="B17521" s="11" t="str">
        <f>IF(D17521&lt;&gt;"",IF(COUNTIF('USPTO TMs'!A:A,D17521)&gt;0,"Yes","No"),"")</f>
        <v/>
      </c>
      <c r="C17521" s="11"/>
      <c r="D17521" s="11"/>
      <c r="E17521" s="11"/>
      <c r="F17521" s="11"/>
      <c r="G17521" s="11"/>
      <c r="H17521" s="11"/>
      <c r="I17521" s="15"/>
    </row>
    <row r="17522" spans="1:9" ht="16.5">
      <c r="A17522" s="10" t="b">
        <v>0</v>
      </c>
      <c r="B17522" s="11" t="str">
        <f>IF(D17522&lt;&gt;"",IF(COUNTIF('USPTO TMs'!A:A,D17522)&gt;0,"Yes","No"),"")</f>
        <v/>
      </c>
      <c r="C17522" s="11"/>
      <c r="D17522" s="11"/>
      <c r="E17522" s="11"/>
      <c r="F17522" s="11"/>
      <c r="G17522" s="11"/>
      <c r="H17522" s="11"/>
      <c r="I17522" s="15"/>
    </row>
    <row r="17523" spans="1:9" ht="16.5">
      <c r="A17523" s="10" t="b">
        <v>0</v>
      </c>
      <c r="B17523" s="11" t="str">
        <f>IF(D17523&lt;&gt;"",IF(COUNTIF('USPTO TMs'!A:A,D17523)&gt;0,"Yes","No"),"")</f>
        <v/>
      </c>
      <c r="C17523" s="11"/>
      <c r="D17523" s="11"/>
      <c r="E17523" s="11"/>
      <c r="F17523" s="11"/>
      <c r="G17523" s="11"/>
      <c r="H17523" s="11"/>
      <c r="I17523" s="15"/>
    </row>
    <row r="17524" spans="1:9" ht="16.5">
      <c r="A17524" s="10" t="b">
        <v>0</v>
      </c>
      <c r="B17524" s="11" t="str">
        <f>IF(D17524&lt;&gt;"",IF(COUNTIF('USPTO TMs'!A:A,D17524)&gt;0,"Yes","No"),"")</f>
        <v/>
      </c>
      <c r="C17524" s="11"/>
      <c r="D17524" s="11"/>
      <c r="E17524" s="11"/>
      <c r="F17524" s="11"/>
      <c r="G17524" s="11"/>
      <c r="H17524" s="11"/>
      <c r="I17524" s="15"/>
    </row>
    <row r="17525" spans="1:9" ht="16.5">
      <c r="A17525" s="10" t="b">
        <v>0</v>
      </c>
      <c r="B17525" s="11" t="str">
        <f>IF(D17525&lt;&gt;"",IF(COUNTIF('USPTO TMs'!A:A,D17525)&gt;0,"Yes","No"),"")</f>
        <v/>
      </c>
      <c r="C17525" s="11"/>
      <c r="D17525" s="11"/>
      <c r="E17525" s="11"/>
      <c r="F17525" s="11"/>
      <c r="G17525" s="11"/>
      <c r="H17525" s="11"/>
      <c r="I17525" s="15"/>
    </row>
    <row r="17526" spans="1:9" ht="16.5">
      <c r="A17526" s="10" t="b">
        <v>0</v>
      </c>
      <c r="B17526" s="11" t="str">
        <f>IF(D17526&lt;&gt;"",IF(COUNTIF('USPTO TMs'!A:A,D17526)&gt;0,"Yes","No"),"")</f>
        <v/>
      </c>
      <c r="C17526" s="11"/>
      <c r="D17526" s="11"/>
      <c r="E17526" s="11"/>
      <c r="F17526" s="11"/>
      <c r="G17526" s="11"/>
      <c r="H17526" s="11"/>
      <c r="I17526" s="15"/>
    </row>
    <row r="17527" spans="1:9" ht="16.5">
      <c r="A17527" s="10" t="b">
        <v>0</v>
      </c>
      <c r="B17527" s="11" t="str">
        <f>IF(D17527&lt;&gt;"",IF(COUNTIF('USPTO TMs'!A:A,D17527)&gt;0,"Yes","No"),"")</f>
        <v/>
      </c>
      <c r="C17527" s="11"/>
      <c r="D17527" s="11"/>
      <c r="E17527" s="11"/>
      <c r="F17527" s="11"/>
      <c r="G17527" s="11"/>
      <c r="H17527" s="11"/>
      <c r="I17527" s="15"/>
    </row>
    <row r="17528" spans="1:9" ht="16.5">
      <c r="A17528" s="10" t="b">
        <v>0</v>
      </c>
      <c r="B17528" s="11" t="str">
        <f>IF(D17528&lt;&gt;"",IF(COUNTIF('USPTO TMs'!A:A,D17528)&gt;0,"Yes","No"),"")</f>
        <v/>
      </c>
      <c r="C17528" s="11"/>
      <c r="D17528" s="11"/>
      <c r="E17528" s="11"/>
      <c r="F17528" s="11"/>
      <c r="G17528" s="11"/>
      <c r="H17528" s="11"/>
      <c r="I17528" s="15"/>
    </row>
    <row r="17529" spans="1:9" ht="16.5">
      <c r="A17529" s="10" t="b">
        <v>0</v>
      </c>
      <c r="B17529" s="11" t="str">
        <f>IF(D17529&lt;&gt;"",IF(COUNTIF('USPTO TMs'!A:A,D17529)&gt;0,"Yes","No"),"")</f>
        <v/>
      </c>
      <c r="C17529" s="11"/>
      <c r="D17529" s="11"/>
      <c r="E17529" s="11"/>
      <c r="F17529" s="11"/>
      <c r="G17529" s="11"/>
      <c r="H17529" s="11"/>
      <c r="I17529" s="15"/>
    </row>
    <row r="17530" spans="1:9" ht="16.5">
      <c r="A17530" s="10" t="b">
        <v>0</v>
      </c>
      <c r="B17530" s="11" t="str">
        <f>IF(D17530&lt;&gt;"",IF(COUNTIF('USPTO TMs'!A:A,D17530)&gt;0,"Yes","No"),"")</f>
        <v/>
      </c>
      <c r="C17530" s="11"/>
      <c r="D17530" s="11"/>
      <c r="E17530" s="11"/>
      <c r="F17530" s="11"/>
      <c r="G17530" s="11"/>
      <c r="H17530" s="11"/>
      <c r="I17530" s="15"/>
    </row>
    <row r="17531" spans="1:9" ht="16.5">
      <c r="A17531" s="10" t="b">
        <v>0</v>
      </c>
      <c r="B17531" s="11" t="str">
        <f>IF(D17531&lt;&gt;"",IF(COUNTIF('USPTO TMs'!A:A,D17531)&gt;0,"Yes","No"),"")</f>
        <v/>
      </c>
      <c r="C17531" s="11"/>
      <c r="D17531" s="11"/>
      <c r="E17531" s="11"/>
      <c r="F17531" s="11"/>
      <c r="G17531" s="11"/>
      <c r="H17531" s="11"/>
      <c r="I17531" s="15"/>
    </row>
    <row r="17532" spans="1:9" ht="16.5">
      <c r="A17532" s="10" t="b">
        <v>0</v>
      </c>
      <c r="B17532" s="11" t="str">
        <f>IF(D17532&lt;&gt;"",IF(COUNTIF('USPTO TMs'!A:A,D17532)&gt;0,"Yes","No"),"")</f>
        <v/>
      </c>
      <c r="C17532" s="11"/>
      <c r="D17532" s="11"/>
      <c r="E17532" s="11"/>
      <c r="F17532" s="11"/>
      <c r="G17532" s="11"/>
      <c r="H17532" s="11"/>
      <c r="I17532" s="15"/>
    </row>
    <row r="17533" spans="1:9" ht="16.5">
      <c r="A17533" s="10" t="b">
        <v>0</v>
      </c>
      <c r="B17533" s="11" t="str">
        <f>IF(D17533&lt;&gt;"",IF(COUNTIF('USPTO TMs'!A:A,D17533)&gt;0,"Yes","No"),"")</f>
        <v/>
      </c>
      <c r="C17533" s="11"/>
      <c r="D17533" s="11"/>
      <c r="E17533" s="11"/>
      <c r="F17533" s="11"/>
      <c r="G17533" s="11"/>
      <c r="H17533" s="11"/>
      <c r="I17533" s="15"/>
    </row>
    <row r="17534" spans="1:9" ht="16.5">
      <c r="A17534" s="10" t="b">
        <v>0</v>
      </c>
      <c r="B17534" s="11" t="str">
        <f>IF(D17534&lt;&gt;"",IF(COUNTIF('USPTO TMs'!A:A,D17534)&gt;0,"Yes","No"),"")</f>
        <v/>
      </c>
      <c r="C17534" s="11"/>
      <c r="D17534" s="11"/>
      <c r="E17534" s="11"/>
      <c r="F17534" s="11"/>
      <c r="G17534" s="11"/>
      <c r="H17534" s="11"/>
      <c r="I17534" s="15"/>
    </row>
    <row r="17535" spans="1:9" ht="16.5">
      <c r="A17535" s="10" t="b">
        <v>0</v>
      </c>
      <c r="B17535" s="11" t="str">
        <f>IF(D17535&lt;&gt;"",IF(COUNTIF('USPTO TMs'!A:A,D17535)&gt;0,"Yes","No"),"")</f>
        <v/>
      </c>
      <c r="C17535" s="11"/>
      <c r="D17535" s="11"/>
      <c r="E17535" s="11"/>
      <c r="F17535" s="11"/>
      <c r="G17535" s="11"/>
      <c r="H17535" s="11"/>
      <c r="I17535" s="15"/>
    </row>
    <row r="17536" spans="1:9" ht="16.5">
      <c r="A17536" s="10" t="b">
        <v>0</v>
      </c>
      <c r="B17536" s="11" t="str">
        <f>IF(D17536&lt;&gt;"",IF(COUNTIF('USPTO TMs'!A:A,D17536)&gt;0,"Yes","No"),"")</f>
        <v/>
      </c>
      <c r="C17536" s="11"/>
      <c r="D17536" s="11"/>
      <c r="E17536" s="11"/>
      <c r="F17536" s="11"/>
      <c r="G17536" s="11"/>
      <c r="H17536" s="11"/>
      <c r="I17536" s="15"/>
    </row>
    <row r="17537" spans="1:9" ht="16.5">
      <c r="A17537" s="10" t="b">
        <v>0</v>
      </c>
      <c r="B17537" s="11" t="str">
        <f>IF(D17537&lt;&gt;"",IF(COUNTIF('USPTO TMs'!A:A,D17537)&gt;0,"Yes","No"),"")</f>
        <v/>
      </c>
      <c r="C17537" s="11"/>
      <c r="D17537" s="11"/>
      <c r="E17537" s="11"/>
      <c r="F17537" s="11"/>
      <c r="G17537" s="11"/>
      <c r="H17537" s="11"/>
      <c r="I17537" s="15"/>
    </row>
    <row r="17538" spans="1:9" ht="16.5">
      <c r="A17538" s="10" t="b">
        <v>0</v>
      </c>
      <c r="B17538" s="11" t="str">
        <f>IF(D17538&lt;&gt;"",IF(COUNTIF('USPTO TMs'!A:A,D17538)&gt;0,"Yes","No"),"")</f>
        <v/>
      </c>
      <c r="C17538" s="11"/>
      <c r="D17538" s="11"/>
      <c r="E17538" s="11"/>
      <c r="F17538" s="11"/>
      <c r="G17538" s="11"/>
      <c r="H17538" s="11"/>
      <c r="I17538" s="15"/>
    </row>
    <row r="17539" spans="1:9" ht="16.5">
      <c r="A17539" s="10" t="b">
        <v>0</v>
      </c>
      <c r="B17539" s="11" t="str">
        <f>IF(D17539&lt;&gt;"",IF(COUNTIF('USPTO TMs'!A:A,D17539)&gt;0,"Yes","No"),"")</f>
        <v/>
      </c>
      <c r="C17539" s="11"/>
      <c r="D17539" s="11"/>
      <c r="E17539" s="11"/>
      <c r="F17539" s="11"/>
      <c r="G17539" s="11"/>
      <c r="H17539" s="11"/>
      <c r="I17539" s="15"/>
    </row>
    <row r="17540" spans="1:9" ht="16.5">
      <c r="A17540" s="10" t="b">
        <v>0</v>
      </c>
      <c r="B17540" s="11" t="str">
        <f>IF(D17540&lt;&gt;"",IF(COUNTIF('USPTO TMs'!A:A,D17540)&gt;0,"Yes","No"),"")</f>
        <v/>
      </c>
      <c r="C17540" s="11"/>
      <c r="D17540" s="11"/>
      <c r="E17540" s="11"/>
      <c r="F17540" s="11"/>
      <c r="G17540" s="11"/>
      <c r="H17540" s="11"/>
      <c r="I17540" s="15"/>
    </row>
    <row r="17541" spans="1:9" ht="16.5">
      <c r="A17541" s="10" t="b">
        <v>0</v>
      </c>
      <c r="B17541" s="11" t="str">
        <f>IF(D17541&lt;&gt;"",IF(COUNTIF('USPTO TMs'!A:A,D17541)&gt;0,"Yes","No"),"")</f>
        <v/>
      </c>
      <c r="C17541" s="11"/>
      <c r="D17541" s="11"/>
      <c r="E17541" s="11"/>
      <c r="F17541" s="11"/>
      <c r="G17541" s="11"/>
      <c r="H17541" s="11"/>
      <c r="I17541" s="15"/>
    </row>
    <row r="17542" spans="1:9" ht="16.5">
      <c r="A17542" s="10" t="b">
        <v>0</v>
      </c>
      <c r="B17542" s="11" t="str">
        <f>IF(D17542&lt;&gt;"",IF(COUNTIF('USPTO TMs'!A:A,D17542)&gt;0,"Yes","No"),"")</f>
        <v/>
      </c>
      <c r="C17542" s="11"/>
      <c r="D17542" s="11"/>
      <c r="E17542" s="11"/>
      <c r="F17542" s="11"/>
      <c r="G17542" s="11"/>
      <c r="H17542" s="11"/>
      <c r="I17542" s="15"/>
    </row>
    <row r="17543" spans="1:9" ht="16.5">
      <c r="A17543" s="10" t="b">
        <v>0</v>
      </c>
      <c r="B17543" s="11" t="str">
        <f>IF(D17543&lt;&gt;"",IF(COUNTIF('USPTO TMs'!A:A,D17543)&gt;0,"Yes","No"),"")</f>
        <v/>
      </c>
      <c r="C17543" s="11"/>
      <c r="D17543" s="11"/>
      <c r="E17543" s="11"/>
      <c r="F17543" s="11"/>
      <c r="G17543" s="11"/>
      <c r="H17543" s="11"/>
      <c r="I17543" s="15"/>
    </row>
    <row r="17544" spans="1:9" ht="16.5">
      <c r="A17544" s="10" t="b">
        <v>0</v>
      </c>
      <c r="B17544" s="11" t="str">
        <f>IF(D17544&lt;&gt;"",IF(COUNTIF('USPTO TMs'!A:A,D17544)&gt;0,"Yes","No"),"")</f>
        <v/>
      </c>
      <c r="C17544" s="11"/>
      <c r="D17544" s="11"/>
      <c r="E17544" s="11"/>
      <c r="F17544" s="11"/>
      <c r="G17544" s="11"/>
      <c r="H17544" s="11"/>
      <c r="I17544" s="15"/>
    </row>
    <row r="17545" spans="1:9" ht="16.5">
      <c r="A17545" s="10" t="b">
        <v>0</v>
      </c>
      <c r="B17545" s="11" t="str">
        <f>IF(D17545&lt;&gt;"",IF(COUNTIF('USPTO TMs'!A:A,D17545)&gt;0,"Yes","No"),"")</f>
        <v/>
      </c>
      <c r="C17545" s="11"/>
      <c r="D17545" s="11"/>
      <c r="E17545" s="11"/>
      <c r="F17545" s="11"/>
      <c r="G17545" s="11"/>
      <c r="H17545" s="11"/>
      <c r="I17545" s="15"/>
    </row>
    <row r="17546" spans="1:9" ht="16.5">
      <c r="A17546" s="10" t="b">
        <v>0</v>
      </c>
      <c r="B17546" s="11" t="str">
        <f>IF(D17546&lt;&gt;"",IF(COUNTIF('USPTO TMs'!A:A,D17546)&gt;0,"Yes","No"),"")</f>
        <v/>
      </c>
      <c r="C17546" s="11"/>
      <c r="D17546" s="11"/>
      <c r="E17546" s="11"/>
      <c r="F17546" s="11"/>
      <c r="G17546" s="11"/>
      <c r="H17546" s="11"/>
      <c r="I17546" s="15"/>
    </row>
    <row r="17547" spans="1:9" ht="16.5">
      <c r="A17547" s="10" t="b">
        <v>0</v>
      </c>
      <c r="B17547" s="11" t="str">
        <f>IF(D17547&lt;&gt;"",IF(COUNTIF('USPTO TMs'!A:A,D17547)&gt;0,"Yes","No"),"")</f>
        <v/>
      </c>
      <c r="C17547" s="11"/>
      <c r="D17547" s="11"/>
      <c r="E17547" s="11"/>
      <c r="F17547" s="11"/>
      <c r="G17547" s="11"/>
      <c r="H17547" s="11"/>
      <c r="I17547" s="15"/>
    </row>
    <row r="17548" spans="1:9" ht="16.5">
      <c r="A17548" s="10" t="b">
        <v>0</v>
      </c>
      <c r="B17548" s="11" t="str">
        <f>IF(D17548&lt;&gt;"",IF(COUNTIF('USPTO TMs'!A:A,D17548)&gt;0,"Yes","No"),"")</f>
        <v/>
      </c>
      <c r="C17548" s="11"/>
      <c r="D17548" s="11"/>
      <c r="E17548" s="11"/>
      <c r="F17548" s="11"/>
      <c r="G17548" s="11"/>
      <c r="H17548" s="11"/>
      <c r="I17548" s="15"/>
    </row>
    <row r="17549" spans="1:9" ht="16.5">
      <c r="A17549" s="10" t="b">
        <v>0</v>
      </c>
      <c r="B17549" s="11" t="str">
        <f>IF(D17549&lt;&gt;"",IF(COUNTIF('USPTO TMs'!A:A,D17549)&gt;0,"Yes","No"),"")</f>
        <v/>
      </c>
      <c r="C17549" s="11"/>
      <c r="D17549" s="11"/>
      <c r="E17549" s="11"/>
      <c r="F17549" s="11"/>
      <c r="G17549" s="11"/>
      <c r="H17549" s="11"/>
      <c r="I17549" s="15"/>
    </row>
    <row r="17550" spans="1:9" ht="16.5">
      <c r="A17550" s="10" t="b">
        <v>0</v>
      </c>
      <c r="B17550" s="11" t="str">
        <f>IF(D17550&lt;&gt;"",IF(COUNTIF('USPTO TMs'!A:A,D17550)&gt;0,"Yes","No"),"")</f>
        <v/>
      </c>
      <c r="C17550" s="11"/>
      <c r="D17550" s="11"/>
      <c r="E17550" s="11"/>
      <c r="F17550" s="11"/>
      <c r="G17550" s="11"/>
      <c r="H17550" s="11"/>
      <c r="I17550" s="15"/>
    </row>
    <row r="17551" spans="1:9" ht="16.5">
      <c r="A17551" s="10" t="b">
        <v>0</v>
      </c>
      <c r="B17551" s="11" t="str">
        <f>IF(D17551&lt;&gt;"",IF(COUNTIF('USPTO TMs'!A:A,D17551)&gt;0,"Yes","No"),"")</f>
        <v/>
      </c>
      <c r="C17551" s="11"/>
      <c r="D17551" s="11"/>
      <c r="E17551" s="11"/>
      <c r="F17551" s="11"/>
      <c r="G17551" s="11"/>
      <c r="H17551" s="11"/>
      <c r="I17551" s="15"/>
    </row>
    <row r="17552" spans="1:9" ht="16.5">
      <c r="A17552" s="10" t="b">
        <v>0</v>
      </c>
      <c r="B17552" s="11" t="str">
        <f>IF(D17552&lt;&gt;"",IF(COUNTIF('USPTO TMs'!A:A,D17552)&gt;0,"Yes","No"),"")</f>
        <v/>
      </c>
      <c r="C17552" s="11"/>
      <c r="D17552" s="11"/>
      <c r="E17552" s="11"/>
      <c r="F17552" s="11"/>
      <c r="G17552" s="11"/>
      <c r="H17552" s="11"/>
      <c r="I17552" s="15"/>
    </row>
    <row r="17553" spans="1:9" ht="16.5">
      <c r="A17553" s="10" t="b">
        <v>0</v>
      </c>
      <c r="B17553" s="11" t="str">
        <f>IF(D17553&lt;&gt;"",IF(COUNTIF('USPTO TMs'!A:A,D17553)&gt;0,"Yes","No"),"")</f>
        <v/>
      </c>
      <c r="C17553" s="11"/>
      <c r="D17553" s="11"/>
      <c r="E17553" s="11"/>
      <c r="F17553" s="11"/>
      <c r="G17553" s="11"/>
      <c r="H17553" s="11"/>
      <c r="I17553" s="15"/>
    </row>
    <row r="17554" spans="1:9" ht="16.5">
      <c r="A17554" s="10" t="b">
        <v>0</v>
      </c>
      <c r="B17554" s="11" t="str">
        <f>IF(D17554&lt;&gt;"",IF(COUNTIF('USPTO TMs'!A:A,D17554)&gt;0,"Yes","No"),"")</f>
        <v/>
      </c>
      <c r="C17554" s="11"/>
      <c r="D17554" s="11"/>
      <c r="E17554" s="11"/>
      <c r="F17554" s="11"/>
      <c r="G17554" s="11"/>
      <c r="H17554" s="11"/>
      <c r="I17554" s="15"/>
    </row>
    <row r="17555" spans="1:9" ht="16.5">
      <c r="A17555" s="10" t="b">
        <v>0</v>
      </c>
      <c r="B17555" s="11" t="str">
        <f>IF(D17555&lt;&gt;"",IF(COUNTIF('USPTO TMs'!A:A,D17555)&gt;0,"Yes","No"),"")</f>
        <v/>
      </c>
      <c r="C17555" s="11"/>
      <c r="D17555" s="11"/>
      <c r="E17555" s="11"/>
      <c r="F17555" s="11"/>
      <c r="G17555" s="11"/>
      <c r="H17555" s="11"/>
      <c r="I17555" s="15"/>
    </row>
    <row r="17556" spans="1:9" ht="16.5">
      <c r="A17556" s="10" t="b">
        <v>0</v>
      </c>
      <c r="B17556" s="11" t="str">
        <f>IF(D17556&lt;&gt;"",IF(COUNTIF('USPTO TMs'!A:A,D17556)&gt;0,"Yes","No"),"")</f>
        <v/>
      </c>
      <c r="C17556" s="11"/>
      <c r="D17556" s="11"/>
      <c r="E17556" s="11"/>
      <c r="F17556" s="11"/>
      <c r="G17556" s="11"/>
      <c r="H17556" s="11"/>
      <c r="I17556" s="15"/>
    </row>
    <row r="17557" spans="1:9" ht="16.5">
      <c r="A17557" s="10" t="b">
        <v>0</v>
      </c>
      <c r="B17557" s="11" t="str">
        <f>IF(D17557&lt;&gt;"",IF(COUNTIF('USPTO TMs'!A:A,D17557)&gt;0,"Yes","No"),"")</f>
        <v/>
      </c>
      <c r="C17557" s="11"/>
      <c r="D17557" s="11"/>
      <c r="E17557" s="11"/>
      <c r="F17557" s="11"/>
      <c r="G17557" s="11"/>
      <c r="H17557" s="11"/>
      <c r="I17557" s="15"/>
    </row>
    <row r="17558" spans="1:9" ht="16.5">
      <c r="A17558" s="10" t="b">
        <v>0</v>
      </c>
      <c r="B17558" s="11" t="str">
        <f>IF(D17558&lt;&gt;"",IF(COUNTIF('USPTO TMs'!A:A,D17558)&gt;0,"Yes","No"),"")</f>
        <v/>
      </c>
      <c r="C17558" s="11"/>
      <c r="D17558" s="11"/>
      <c r="E17558" s="11"/>
      <c r="F17558" s="11"/>
      <c r="G17558" s="11"/>
      <c r="H17558" s="11"/>
      <c r="I17558" s="15"/>
    </row>
    <row r="17559" spans="1:9" ht="16.5">
      <c r="A17559" s="10" t="b">
        <v>0</v>
      </c>
      <c r="B17559" s="11" t="str">
        <f>IF(D17559&lt;&gt;"",IF(COUNTIF('USPTO TMs'!A:A,D17559)&gt;0,"Yes","No"),"")</f>
        <v/>
      </c>
      <c r="C17559" s="11"/>
      <c r="D17559" s="11"/>
      <c r="E17559" s="11"/>
      <c r="F17559" s="11"/>
      <c r="G17559" s="11"/>
      <c r="H17559" s="11"/>
      <c r="I17559" s="15"/>
    </row>
    <row r="17560" spans="1:9" ht="16.5">
      <c r="A17560" s="10" t="b">
        <v>0</v>
      </c>
      <c r="B17560" s="11" t="str">
        <f>IF(D17560&lt;&gt;"",IF(COUNTIF('USPTO TMs'!A:A,D17560)&gt;0,"Yes","No"),"")</f>
        <v/>
      </c>
      <c r="C17560" s="11"/>
      <c r="D17560" s="11"/>
      <c r="E17560" s="11"/>
      <c r="F17560" s="11"/>
      <c r="G17560" s="11"/>
      <c r="H17560" s="11"/>
      <c r="I17560" s="15"/>
    </row>
    <row r="17561" spans="1:9" ht="16.5">
      <c r="A17561" s="10" t="b">
        <v>0</v>
      </c>
      <c r="B17561" s="11" t="str">
        <f>IF(D17561&lt;&gt;"",IF(COUNTIF('USPTO TMs'!A:A,D17561)&gt;0,"Yes","No"),"")</f>
        <v/>
      </c>
      <c r="C17561" s="11"/>
      <c r="D17561" s="11"/>
      <c r="E17561" s="11"/>
      <c r="F17561" s="11"/>
      <c r="G17561" s="11"/>
      <c r="H17561" s="11"/>
      <c r="I17561" s="15"/>
    </row>
    <row r="17562" spans="1:9" ht="16.5">
      <c r="A17562" s="10" t="b">
        <v>0</v>
      </c>
      <c r="B17562" s="11" t="str">
        <f>IF(D17562&lt;&gt;"",IF(COUNTIF('USPTO TMs'!A:A,D17562)&gt;0,"Yes","No"),"")</f>
        <v/>
      </c>
      <c r="C17562" s="11"/>
      <c r="D17562" s="11"/>
      <c r="E17562" s="11"/>
      <c r="F17562" s="11"/>
      <c r="G17562" s="11"/>
      <c r="H17562" s="11"/>
      <c r="I17562" s="15"/>
    </row>
    <row r="17563" spans="1:9" ht="16.5">
      <c r="A17563" s="10" t="b">
        <v>0</v>
      </c>
      <c r="B17563" s="11" t="str">
        <f>IF(D17563&lt;&gt;"",IF(COUNTIF('USPTO TMs'!A:A,D17563)&gt;0,"Yes","No"),"")</f>
        <v/>
      </c>
      <c r="C17563" s="11"/>
      <c r="D17563" s="11"/>
      <c r="E17563" s="11"/>
      <c r="F17563" s="11"/>
      <c r="G17563" s="11"/>
      <c r="H17563" s="11"/>
      <c r="I17563" s="15"/>
    </row>
    <row r="17564" spans="1:9" ht="16.5">
      <c r="A17564" s="10" t="b">
        <v>0</v>
      </c>
      <c r="B17564" s="11" t="str">
        <f>IF(D17564&lt;&gt;"",IF(COUNTIF('USPTO TMs'!A:A,D17564)&gt;0,"Yes","No"),"")</f>
        <v/>
      </c>
      <c r="C17564" s="11"/>
      <c r="D17564" s="11"/>
      <c r="E17564" s="11"/>
      <c r="F17564" s="11"/>
      <c r="G17564" s="11"/>
      <c r="H17564" s="11"/>
      <c r="I17564" s="15"/>
    </row>
    <row r="17565" spans="1:9" ht="16.5">
      <c r="A17565" s="10" t="b">
        <v>0</v>
      </c>
      <c r="B17565" s="11" t="str">
        <f>IF(D17565&lt;&gt;"",IF(COUNTIF('USPTO TMs'!A:A,D17565)&gt;0,"Yes","No"),"")</f>
        <v/>
      </c>
      <c r="C17565" s="11"/>
      <c r="D17565" s="11"/>
      <c r="E17565" s="11"/>
      <c r="F17565" s="11"/>
      <c r="G17565" s="11"/>
      <c r="H17565" s="11"/>
      <c r="I17565" s="15"/>
    </row>
    <row r="17566" spans="1:9" ht="16.5">
      <c r="A17566" s="10" t="b">
        <v>0</v>
      </c>
      <c r="B17566" s="11" t="str">
        <f>IF(D17566&lt;&gt;"",IF(COUNTIF('USPTO TMs'!A:A,D17566)&gt;0,"Yes","No"),"")</f>
        <v/>
      </c>
      <c r="C17566" s="11"/>
      <c r="D17566" s="11"/>
      <c r="E17566" s="11"/>
      <c r="F17566" s="11"/>
      <c r="G17566" s="11"/>
      <c r="H17566" s="11"/>
      <c r="I17566" s="15"/>
    </row>
    <row r="17567" spans="1:9" ht="16.5">
      <c r="A17567" s="10" t="b">
        <v>0</v>
      </c>
      <c r="B17567" s="11" t="str">
        <f>IF(D17567&lt;&gt;"",IF(COUNTIF('USPTO TMs'!A:A,D17567)&gt;0,"Yes","No"),"")</f>
        <v/>
      </c>
      <c r="C17567" s="11"/>
      <c r="D17567" s="11"/>
      <c r="E17567" s="11"/>
      <c r="F17567" s="11"/>
      <c r="G17567" s="11"/>
      <c r="H17567" s="11"/>
      <c r="I17567" s="15"/>
    </row>
    <row r="17568" spans="1:9" ht="16.5">
      <c r="A17568" s="10" t="b">
        <v>0</v>
      </c>
      <c r="B17568" s="11" t="str">
        <f>IF(D17568&lt;&gt;"",IF(COUNTIF('USPTO TMs'!A:A,D17568)&gt;0,"Yes","No"),"")</f>
        <v/>
      </c>
      <c r="C17568" s="11"/>
      <c r="D17568" s="11"/>
      <c r="E17568" s="11"/>
      <c r="F17568" s="11"/>
      <c r="G17568" s="11"/>
      <c r="H17568" s="11"/>
      <c r="I17568" s="15"/>
    </row>
    <row r="17569" spans="1:9" ht="16.5">
      <c r="A17569" s="10" t="b">
        <v>0</v>
      </c>
      <c r="B17569" s="11" t="str">
        <f>IF(D17569&lt;&gt;"",IF(COUNTIF('USPTO TMs'!A:A,D17569)&gt;0,"Yes","No"),"")</f>
        <v/>
      </c>
      <c r="C17569" s="11"/>
      <c r="D17569" s="11"/>
      <c r="E17569" s="11"/>
      <c r="F17569" s="11"/>
      <c r="G17569" s="11"/>
      <c r="H17569" s="11"/>
      <c r="I17569" s="15"/>
    </row>
    <row r="17570" spans="1:9" ht="16.5">
      <c r="A17570" s="10" t="b">
        <v>0</v>
      </c>
      <c r="B17570" s="11" t="str">
        <f>IF(D17570&lt;&gt;"",IF(COUNTIF('USPTO TMs'!A:A,D17570)&gt;0,"Yes","No"),"")</f>
        <v/>
      </c>
      <c r="C17570" s="11"/>
      <c r="D17570" s="11"/>
      <c r="E17570" s="11"/>
      <c r="F17570" s="11"/>
      <c r="G17570" s="11"/>
      <c r="H17570" s="11"/>
      <c r="I17570" s="15"/>
    </row>
    <row r="17571" spans="1:9" ht="16.5">
      <c r="A17571" s="10" t="b">
        <v>0</v>
      </c>
      <c r="B17571" s="11" t="str">
        <f>IF(D17571&lt;&gt;"",IF(COUNTIF('USPTO TMs'!A:A,D17571)&gt;0,"Yes","No"),"")</f>
        <v/>
      </c>
      <c r="C17571" s="11"/>
      <c r="D17571" s="11"/>
      <c r="E17571" s="11"/>
      <c r="F17571" s="11"/>
      <c r="G17571" s="11"/>
      <c r="H17571" s="11"/>
      <c r="I17571" s="15"/>
    </row>
    <row r="17572" spans="1:9" ht="16.5">
      <c r="A17572" s="10" t="b">
        <v>0</v>
      </c>
      <c r="B17572" s="11" t="str">
        <f>IF(D17572&lt;&gt;"",IF(COUNTIF('USPTO TMs'!A:A,D17572)&gt;0,"Yes","No"),"")</f>
        <v/>
      </c>
      <c r="C17572" s="11"/>
      <c r="D17572" s="11"/>
      <c r="E17572" s="11"/>
      <c r="F17572" s="11"/>
      <c r="G17572" s="11"/>
      <c r="H17572" s="11"/>
      <c r="I17572" s="15"/>
    </row>
    <row r="17573" spans="1:9" ht="16.5">
      <c r="A17573" s="10" t="b">
        <v>0</v>
      </c>
      <c r="B17573" s="11" t="str">
        <f>IF(D17573&lt;&gt;"",IF(COUNTIF('USPTO TMs'!A:A,D17573)&gt;0,"Yes","No"),"")</f>
        <v/>
      </c>
      <c r="C17573" s="11"/>
      <c r="D17573" s="11"/>
      <c r="E17573" s="11"/>
      <c r="F17573" s="11"/>
      <c r="G17573" s="11"/>
      <c r="H17573" s="11"/>
      <c r="I17573" s="15"/>
    </row>
    <row r="17574" spans="1:9" ht="16.5">
      <c r="A17574" s="10" t="b">
        <v>0</v>
      </c>
      <c r="B17574" s="11" t="str">
        <f>IF(D17574&lt;&gt;"",IF(COUNTIF('USPTO TMs'!A:A,D17574)&gt;0,"Yes","No"),"")</f>
        <v/>
      </c>
      <c r="C17574" s="11"/>
      <c r="D17574" s="11"/>
      <c r="E17574" s="11"/>
      <c r="F17574" s="11"/>
      <c r="G17574" s="11"/>
      <c r="H17574" s="11"/>
      <c r="I17574" s="15"/>
    </row>
    <row r="17575" spans="1:9" ht="16.5">
      <c r="A17575" s="10" t="b">
        <v>0</v>
      </c>
      <c r="B17575" s="11" t="str">
        <f>IF(D17575&lt;&gt;"",IF(COUNTIF('USPTO TMs'!A:A,D17575)&gt;0,"Yes","No"),"")</f>
        <v/>
      </c>
      <c r="C17575" s="11"/>
      <c r="D17575" s="11"/>
      <c r="E17575" s="11"/>
      <c r="F17575" s="11"/>
      <c r="G17575" s="11"/>
      <c r="H17575" s="11"/>
      <c r="I17575" s="15"/>
    </row>
    <row r="17576" spans="1:9" ht="16.5">
      <c r="A17576" s="10" t="b">
        <v>0</v>
      </c>
      <c r="B17576" s="11" t="str">
        <f>IF(D17576&lt;&gt;"",IF(COUNTIF('USPTO TMs'!A:A,D17576)&gt;0,"Yes","No"),"")</f>
        <v/>
      </c>
      <c r="C17576" s="11"/>
      <c r="D17576" s="11"/>
      <c r="E17576" s="11"/>
      <c r="F17576" s="11"/>
      <c r="G17576" s="11"/>
      <c r="H17576" s="11"/>
      <c r="I17576" s="15"/>
    </row>
    <row r="17577" spans="1:9" ht="16.5">
      <c r="A17577" s="10" t="b">
        <v>0</v>
      </c>
      <c r="B17577" s="11" t="str">
        <f>IF(D17577&lt;&gt;"",IF(COUNTIF('USPTO TMs'!A:A,D17577)&gt;0,"Yes","No"),"")</f>
        <v/>
      </c>
      <c r="C17577" s="11"/>
      <c r="D17577" s="11"/>
      <c r="E17577" s="11"/>
      <c r="F17577" s="11"/>
      <c r="G17577" s="11"/>
      <c r="H17577" s="11"/>
      <c r="I17577" s="15"/>
    </row>
    <row r="17578" spans="1:9" ht="16.5">
      <c r="A17578" s="10" t="b">
        <v>0</v>
      </c>
      <c r="B17578" s="11" t="str">
        <f>IF(D17578&lt;&gt;"",IF(COUNTIF('USPTO TMs'!A:A,D17578)&gt;0,"Yes","No"),"")</f>
        <v/>
      </c>
      <c r="C17578" s="11"/>
      <c r="D17578" s="11"/>
      <c r="E17578" s="11"/>
      <c r="F17578" s="11"/>
      <c r="G17578" s="11"/>
      <c r="H17578" s="11"/>
      <c r="I17578" s="15"/>
    </row>
    <row r="17579" spans="1:9" ht="16.5">
      <c r="A17579" s="10" t="b">
        <v>0</v>
      </c>
      <c r="B17579" s="11" t="str">
        <f>IF(D17579&lt;&gt;"",IF(COUNTIF('USPTO TMs'!A:A,D17579)&gt;0,"Yes","No"),"")</f>
        <v/>
      </c>
      <c r="C17579" s="11"/>
      <c r="D17579" s="11"/>
      <c r="E17579" s="11"/>
      <c r="F17579" s="11"/>
      <c r="G17579" s="11"/>
      <c r="H17579" s="11"/>
      <c r="I17579" s="15"/>
    </row>
    <row r="17580" spans="1:9" ht="16.5">
      <c r="A17580" s="10" t="b">
        <v>0</v>
      </c>
      <c r="B17580" s="11" t="str">
        <f>IF(D17580&lt;&gt;"",IF(COUNTIF('USPTO TMs'!A:A,D17580)&gt;0,"Yes","No"),"")</f>
        <v/>
      </c>
      <c r="C17580" s="11"/>
      <c r="D17580" s="11"/>
      <c r="E17580" s="11"/>
      <c r="F17580" s="11"/>
      <c r="G17580" s="11"/>
      <c r="H17580" s="11"/>
      <c r="I17580" s="15"/>
    </row>
    <row r="17581" spans="1:9" ht="16.5">
      <c r="A17581" s="10" t="b">
        <v>0</v>
      </c>
      <c r="B17581" s="11" t="str">
        <f>IF(D17581&lt;&gt;"",IF(COUNTIF('USPTO TMs'!A:A,D17581)&gt;0,"Yes","No"),"")</f>
        <v/>
      </c>
      <c r="C17581" s="11"/>
      <c r="D17581" s="11"/>
      <c r="E17581" s="11"/>
      <c r="F17581" s="11"/>
      <c r="G17581" s="11"/>
      <c r="H17581" s="11"/>
      <c r="I17581" s="15"/>
    </row>
    <row r="17582" spans="1:9" ht="16.5">
      <c r="A17582" s="10" t="b">
        <v>0</v>
      </c>
      <c r="B17582" s="11" t="str">
        <f>IF(D17582&lt;&gt;"",IF(COUNTIF('USPTO TMs'!A:A,D17582)&gt;0,"Yes","No"),"")</f>
        <v/>
      </c>
      <c r="C17582" s="11"/>
      <c r="D17582" s="11"/>
      <c r="E17582" s="11"/>
      <c r="F17582" s="11"/>
      <c r="G17582" s="11"/>
      <c r="H17582" s="11"/>
      <c r="I17582" s="15"/>
    </row>
    <row r="17583" spans="1:9" ht="16.5">
      <c r="A17583" s="10" t="b">
        <v>0</v>
      </c>
      <c r="B17583" s="11" t="str">
        <f>IF(D17583&lt;&gt;"",IF(COUNTIF('USPTO TMs'!A:A,D17583)&gt;0,"Yes","No"),"")</f>
        <v/>
      </c>
      <c r="C17583" s="11"/>
      <c r="D17583" s="11"/>
      <c r="E17583" s="11"/>
      <c r="F17583" s="11"/>
      <c r="G17583" s="11"/>
      <c r="H17583" s="11"/>
      <c r="I17583" s="15"/>
    </row>
    <row r="17584" spans="1:9" ht="16.5">
      <c r="A17584" s="10" t="b">
        <v>0</v>
      </c>
      <c r="B17584" s="11" t="str">
        <f>IF(D17584&lt;&gt;"",IF(COUNTIF('USPTO TMs'!A:A,D17584)&gt;0,"Yes","No"),"")</f>
        <v/>
      </c>
      <c r="C17584" s="11"/>
      <c r="D17584" s="11"/>
      <c r="E17584" s="11"/>
      <c r="F17584" s="11"/>
      <c r="G17584" s="11"/>
      <c r="H17584" s="11"/>
      <c r="I17584" s="15"/>
    </row>
    <row r="17585" spans="1:9" ht="16.5">
      <c r="A17585" s="10" t="b">
        <v>0</v>
      </c>
      <c r="B17585" s="11" t="str">
        <f>IF(D17585&lt;&gt;"",IF(COUNTIF('USPTO TMs'!A:A,D17585)&gt;0,"Yes","No"),"")</f>
        <v/>
      </c>
      <c r="C17585" s="11"/>
      <c r="D17585" s="11"/>
      <c r="E17585" s="11"/>
      <c r="F17585" s="11"/>
      <c r="G17585" s="11"/>
      <c r="H17585" s="11"/>
      <c r="I17585" s="15"/>
    </row>
    <row r="17586" spans="1:9" ht="16.5">
      <c r="A17586" s="10" t="b">
        <v>0</v>
      </c>
      <c r="B17586" s="11" t="str">
        <f>IF(D17586&lt;&gt;"",IF(COUNTIF('USPTO TMs'!A:A,D17586)&gt;0,"Yes","No"),"")</f>
        <v/>
      </c>
      <c r="C17586" s="11"/>
      <c r="D17586" s="11"/>
      <c r="E17586" s="11"/>
      <c r="F17586" s="11"/>
      <c r="G17586" s="11"/>
      <c r="H17586" s="11"/>
      <c r="I17586" s="15"/>
    </row>
    <row r="17587" spans="1:9" ht="16.5">
      <c r="A17587" s="10" t="b">
        <v>0</v>
      </c>
      <c r="B17587" s="11" t="str">
        <f>IF(D17587&lt;&gt;"",IF(COUNTIF('USPTO TMs'!A:A,D17587)&gt;0,"Yes","No"),"")</f>
        <v/>
      </c>
      <c r="C17587" s="11"/>
      <c r="D17587" s="11"/>
      <c r="E17587" s="11"/>
      <c r="F17587" s="11"/>
      <c r="G17587" s="11"/>
      <c r="H17587" s="11"/>
      <c r="I17587" s="15"/>
    </row>
    <row r="17588" spans="1:9" ht="16.5">
      <c r="A17588" s="10" t="b">
        <v>0</v>
      </c>
      <c r="B17588" s="11" t="str">
        <f>IF(D17588&lt;&gt;"",IF(COUNTIF('USPTO TMs'!A:A,D17588)&gt;0,"Yes","No"),"")</f>
        <v/>
      </c>
      <c r="C17588" s="11"/>
      <c r="D17588" s="11"/>
      <c r="E17588" s="11"/>
      <c r="F17588" s="11"/>
      <c r="G17588" s="11"/>
      <c r="H17588" s="11"/>
      <c r="I17588" s="15"/>
    </row>
    <row r="17589" spans="1:9" ht="16.5">
      <c r="A17589" s="10" t="b">
        <v>0</v>
      </c>
      <c r="B17589" s="11" t="str">
        <f>IF(D17589&lt;&gt;"",IF(COUNTIF('USPTO TMs'!A:A,D17589)&gt;0,"Yes","No"),"")</f>
        <v/>
      </c>
      <c r="C17589" s="11"/>
      <c r="D17589" s="11"/>
      <c r="E17589" s="11"/>
      <c r="F17589" s="11"/>
      <c r="G17589" s="11"/>
      <c r="H17589" s="11"/>
      <c r="I17589" s="15"/>
    </row>
    <row r="17590" spans="1:9" ht="16.5">
      <c r="A17590" s="10" t="b">
        <v>0</v>
      </c>
      <c r="B17590" s="11" t="str">
        <f>IF(D17590&lt;&gt;"",IF(COUNTIF('USPTO TMs'!A:A,D17590)&gt;0,"Yes","No"),"")</f>
        <v/>
      </c>
      <c r="C17590" s="11"/>
      <c r="D17590" s="11"/>
      <c r="E17590" s="11"/>
      <c r="F17590" s="11"/>
      <c r="G17590" s="11"/>
      <c r="H17590" s="11"/>
      <c r="I17590" s="15"/>
    </row>
    <row r="17591" spans="1:9" ht="16.5">
      <c r="A17591" s="10" t="b">
        <v>0</v>
      </c>
      <c r="B17591" s="11" t="str">
        <f>IF(D17591&lt;&gt;"",IF(COUNTIF('USPTO TMs'!A:A,D17591)&gt;0,"Yes","No"),"")</f>
        <v/>
      </c>
      <c r="C17591" s="11"/>
      <c r="D17591" s="11"/>
      <c r="E17591" s="11"/>
      <c r="F17591" s="11"/>
      <c r="G17591" s="11"/>
      <c r="H17591" s="11"/>
      <c r="I17591" s="15"/>
    </row>
    <row r="17592" spans="1:9" ht="16.5">
      <c r="A17592" s="10" t="b">
        <v>0</v>
      </c>
      <c r="B17592" s="11" t="str">
        <f>IF(D17592&lt;&gt;"",IF(COUNTIF('USPTO TMs'!A:A,D17592)&gt;0,"Yes","No"),"")</f>
        <v/>
      </c>
      <c r="C17592" s="11"/>
      <c r="D17592" s="11"/>
      <c r="E17592" s="11"/>
      <c r="F17592" s="11"/>
      <c r="G17592" s="11"/>
      <c r="H17592" s="11"/>
      <c r="I17592" s="15"/>
    </row>
    <row r="17593" spans="1:9" ht="16.5">
      <c r="A17593" s="10" t="b">
        <v>0</v>
      </c>
      <c r="B17593" s="11" t="str">
        <f>IF(D17593&lt;&gt;"",IF(COUNTIF('USPTO TMs'!A:A,D17593)&gt;0,"Yes","No"),"")</f>
        <v/>
      </c>
      <c r="C17593" s="11"/>
      <c r="D17593" s="11"/>
      <c r="E17593" s="11"/>
      <c r="F17593" s="11"/>
      <c r="G17593" s="11"/>
      <c r="H17593" s="11"/>
      <c r="I17593" s="15"/>
    </row>
    <row r="17594" spans="1:9" ht="16.5">
      <c r="A17594" s="10" t="b">
        <v>0</v>
      </c>
      <c r="B17594" s="11" t="str">
        <f>IF(D17594&lt;&gt;"",IF(COUNTIF('USPTO TMs'!A:A,D17594)&gt;0,"Yes","No"),"")</f>
        <v/>
      </c>
      <c r="C17594" s="11"/>
      <c r="D17594" s="11"/>
      <c r="E17594" s="11"/>
      <c r="F17594" s="11"/>
      <c r="G17594" s="11"/>
      <c r="H17594" s="11"/>
      <c r="I17594" s="15"/>
    </row>
    <row r="17595" spans="1:9" ht="16.5">
      <c r="A17595" s="10" t="b">
        <v>0</v>
      </c>
      <c r="B17595" s="11" t="str">
        <f>IF(D17595&lt;&gt;"",IF(COUNTIF('USPTO TMs'!A:A,D17595)&gt;0,"Yes","No"),"")</f>
        <v/>
      </c>
      <c r="C17595" s="11"/>
      <c r="D17595" s="11"/>
      <c r="E17595" s="11"/>
      <c r="F17595" s="11"/>
      <c r="G17595" s="11"/>
      <c r="H17595" s="11"/>
      <c r="I17595" s="15"/>
    </row>
    <row r="17596" spans="1:9" ht="16.5">
      <c r="A17596" s="10" t="b">
        <v>0</v>
      </c>
      <c r="B17596" s="11" t="str">
        <f>IF(D17596&lt;&gt;"",IF(COUNTIF('USPTO TMs'!A:A,D17596)&gt;0,"Yes","No"),"")</f>
        <v/>
      </c>
      <c r="C17596" s="11"/>
      <c r="D17596" s="11"/>
      <c r="E17596" s="11"/>
      <c r="F17596" s="11"/>
      <c r="G17596" s="11"/>
      <c r="H17596" s="11"/>
      <c r="I17596" s="15"/>
    </row>
    <row r="17597" spans="1:9" ht="16.5">
      <c r="A17597" s="10" t="b">
        <v>0</v>
      </c>
      <c r="B17597" s="11" t="str">
        <f>IF(D17597&lt;&gt;"",IF(COUNTIF('USPTO TMs'!A:A,D17597)&gt;0,"Yes","No"),"")</f>
        <v/>
      </c>
      <c r="C17597" s="11"/>
      <c r="D17597" s="11"/>
      <c r="E17597" s="11"/>
      <c r="F17597" s="11"/>
      <c r="G17597" s="11"/>
      <c r="H17597" s="11"/>
      <c r="I17597" s="15"/>
    </row>
    <row r="17598" spans="1:9" ht="16.5">
      <c r="A17598" s="10" t="b">
        <v>0</v>
      </c>
      <c r="B17598" s="11" t="str">
        <f>IF(D17598&lt;&gt;"",IF(COUNTIF('USPTO TMs'!A:A,D17598)&gt;0,"Yes","No"),"")</f>
        <v/>
      </c>
      <c r="C17598" s="11"/>
      <c r="D17598" s="11"/>
      <c r="E17598" s="11"/>
      <c r="F17598" s="11"/>
      <c r="G17598" s="11"/>
      <c r="H17598" s="11"/>
      <c r="I17598" s="15"/>
    </row>
    <row r="17599" spans="1:9" ht="16.5">
      <c r="A17599" s="10" t="b">
        <v>0</v>
      </c>
      <c r="B17599" s="11" t="str">
        <f>IF(D17599&lt;&gt;"",IF(COUNTIF('USPTO TMs'!A:A,D17599)&gt;0,"Yes","No"),"")</f>
        <v/>
      </c>
      <c r="C17599" s="11"/>
      <c r="D17599" s="11"/>
      <c r="E17599" s="11"/>
      <c r="F17599" s="11"/>
      <c r="G17599" s="11"/>
      <c r="H17599" s="11"/>
      <c r="I17599" s="15"/>
    </row>
    <row r="17600" spans="1:9" ht="16.5">
      <c r="A17600" s="10" t="b">
        <v>0</v>
      </c>
      <c r="B17600" s="11" t="str">
        <f>IF(D17600&lt;&gt;"",IF(COUNTIF('USPTO TMs'!A:A,D17600)&gt;0,"Yes","No"),"")</f>
        <v/>
      </c>
      <c r="C17600" s="11"/>
      <c r="D17600" s="11"/>
      <c r="E17600" s="11"/>
      <c r="F17600" s="11"/>
      <c r="G17600" s="11"/>
      <c r="H17600" s="11"/>
      <c r="I17600" s="15"/>
    </row>
    <row r="17601" spans="1:9" ht="16.5">
      <c r="A17601" s="10" t="b">
        <v>0</v>
      </c>
      <c r="B17601" s="11" t="str">
        <f>IF(D17601&lt;&gt;"",IF(COUNTIF('USPTO TMs'!A:A,D17601)&gt;0,"Yes","No"),"")</f>
        <v/>
      </c>
      <c r="C17601" s="11"/>
      <c r="D17601" s="11"/>
      <c r="E17601" s="11"/>
      <c r="F17601" s="11"/>
      <c r="G17601" s="11"/>
      <c r="H17601" s="11"/>
      <c r="I17601" s="15"/>
    </row>
    <row r="17602" spans="1:9" ht="16.5">
      <c r="A17602" s="10" t="b">
        <v>0</v>
      </c>
      <c r="B17602" s="11" t="str">
        <f>IF(D17602&lt;&gt;"",IF(COUNTIF('USPTO TMs'!A:A,D17602)&gt;0,"Yes","No"),"")</f>
        <v/>
      </c>
      <c r="C17602" s="11"/>
      <c r="D17602" s="11"/>
      <c r="E17602" s="11"/>
      <c r="F17602" s="11"/>
      <c r="G17602" s="11"/>
      <c r="H17602" s="11"/>
      <c r="I17602" s="15"/>
    </row>
    <row r="17603" spans="1:9" ht="16.5">
      <c r="A17603" s="10" t="b">
        <v>0</v>
      </c>
      <c r="B17603" s="11" t="str">
        <f>IF(D17603&lt;&gt;"",IF(COUNTIF('USPTO TMs'!A:A,D17603)&gt;0,"Yes","No"),"")</f>
        <v/>
      </c>
      <c r="C17603" s="11"/>
      <c r="D17603" s="11"/>
      <c r="E17603" s="11"/>
      <c r="F17603" s="11"/>
      <c r="G17603" s="11"/>
      <c r="H17603" s="11"/>
      <c r="I17603" s="15"/>
    </row>
    <row r="17604" spans="1:9" ht="16.5">
      <c r="A17604" s="10" t="b">
        <v>0</v>
      </c>
      <c r="B17604" s="11" t="str">
        <f>IF(D17604&lt;&gt;"",IF(COUNTIF('USPTO TMs'!A:A,D17604)&gt;0,"Yes","No"),"")</f>
        <v/>
      </c>
      <c r="C17604" s="11"/>
      <c r="D17604" s="11"/>
      <c r="E17604" s="11"/>
      <c r="F17604" s="11"/>
      <c r="G17604" s="11"/>
      <c r="H17604" s="11"/>
      <c r="I17604" s="15"/>
    </row>
    <row r="17605" spans="1:9" ht="16.5">
      <c r="A17605" s="10" t="b">
        <v>0</v>
      </c>
      <c r="B17605" s="11" t="str">
        <f>IF(D17605&lt;&gt;"",IF(COUNTIF('USPTO TMs'!A:A,D17605)&gt;0,"Yes","No"),"")</f>
        <v/>
      </c>
      <c r="C17605" s="11"/>
      <c r="D17605" s="11"/>
      <c r="E17605" s="11"/>
      <c r="F17605" s="11"/>
      <c r="G17605" s="11"/>
      <c r="H17605" s="11"/>
      <c r="I17605" s="15"/>
    </row>
    <row r="17606" spans="1:9" ht="16.5">
      <c r="A17606" s="10" t="b">
        <v>0</v>
      </c>
      <c r="B17606" s="11" t="str">
        <f>IF(D17606&lt;&gt;"",IF(COUNTIF('USPTO TMs'!A:A,D17606)&gt;0,"Yes","No"),"")</f>
        <v/>
      </c>
      <c r="C17606" s="11"/>
      <c r="D17606" s="11"/>
      <c r="E17606" s="11"/>
      <c r="F17606" s="11"/>
      <c r="G17606" s="11"/>
      <c r="H17606" s="11"/>
      <c r="I17606" s="15"/>
    </row>
    <row r="17607" spans="1:9" ht="16.5">
      <c r="A17607" s="10" t="b">
        <v>0</v>
      </c>
      <c r="B17607" s="11" t="str">
        <f>IF(D17607&lt;&gt;"",IF(COUNTIF('USPTO TMs'!A:A,D17607)&gt;0,"Yes","No"),"")</f>
        <v/>
      </c>
      <c r="C17607" s="11"/>
      <c r="D17607" s="11"/>
      <c r="E17607" s="11"/>
      <c r="F17607" s="11"/>
      <c r="G17607" s="11"/>
      <c r="H17607" s="11"/>
      <c r="I17607" s="15"/>
    </row>
    <row r="17608" spans="1:9" ht="16.5">
      <c r="A17608" s="10" t="b">
        <v>0</v>
      </c>
      <c r="B17608" s="11" t="str">
        <f>IF(D17608&lt;&gt;"",IF(COUNTIF('USPTO TMs'!A:A,D17608)&gt;0,"Yes","No"),"")</f>
        <v/>
      </c>
      <c r="C17608" s="11"/>
      <c r="D17608" s="11"/>
      <c r="E17608" s="11"/>
      <c r="F17608" s="11"/>
      <c r="G17608" s="11"/>
      <c r="H17608" s="11"/>
      <c r="I17608" s="15"/>
    </row>
    <row r="17609" spans="1:9" ht="16.5">
      <c r="A17609" s="10" t="b">
        <v>0</v>
      </c>
      <c r="B17609" s="11" t="str">
        <f>IF(D17609&lt;&gt;"",IF(COUNTIF('USPTO TMs'!A:A,D17609)&gt;0,"Yes","No"),"")</f>
        <v/>
      </c>
      <c r="C17609" s="11"/>
      <c r="D17609" s="11"/>
      <c r="E17609" s="11"/>
      <c r="F17609" s="11"/>
      <c r="G17609" s="11"/>
      <c r="H17609" s="11"/>
      <c r="I17609" s="15"/>
    </row>
    <row r="17610" spans="1:9" ht="16.5">
      <c r="A17610" s="10" t="b">
        <v>0</v>
      </c>
      <c r="B17610" s="11" t="str">
        <f>IF(D17610&lt;&gt;"",IF(COUNTIF('USPTO TMs'!A:A,D17610)&gt;0,"Yes","No"),"")</f>
        <v/>
      </c>
      <c r="C17610" s="11"/>
      <c r="D17610" s="11"/>
      <c r="E17610" s="11"/>
      <c r="F17610" s="11"/>
      <c r="G17610" s="11"/>
      <c r="H17610" s="11"/>
      <c r="I17610" s="15"/>
    </row>
    <row r="17611" spans="1:9" ht="16.5">
      <c r="A17611" s="10" t="b">
        <v>0</v>
      </c>
      <c r="B17611" s="11" t="str">
        <f>IF(D17611&lt;&gt;"",IF(COUNTIF('USPTO TMs'!A:A,D17611)&gt;0,"Yes","No"),"")</f>
        <v/>
      </c>
      <c r="C17611" s="11"/>
      <c r="D17611" s="11"/>
      <c r="E17611" s="11"/>
      <c r="F17611" s="11"/>
      <c r="G17611" s="11"/>
      <c r="H17611" s="11"/>
      <c r="I17611" s="15"/>
    </row>
    <row r="17612" spans="1:9" ht="16.5">
      <c r="A17612" s="10" t="b">
        <v>0</v>
      </c>
      <c r="B17612" s="11" t="str">
        <f>IF(D17612&lt;&gt;"",IF(COUNTIF('USPTO TMs'!A:A,D17612)&gt;0,"Yes","No"),"")</f>
        <v/>
      </c>
      <c r="C17612" s="11"/>
      <c r="D17612" s="11"/>
      <c r="E17612" s="11"/>
      <c r="F17612" s="11"/>
      <c r="G17612" s="11"/>
      <c r="H17612" s="11"/>
      <c r="I17612" s="15"/>
    </row>
    <row r="17613" spans="1:9" ht="16.5">
      <c r="A17613" s="10" t="b">
        <v>0</v>
      </c>
      <c r="B17613" s="11" t="str">
        <f>IF(D17613&lt;&gt;"",IF(COUNTIF('USPTO TMs'!A:A,D17613)&gt;0,"Yes","No"),"")</f>
        <v/>
      </c>
      <c r="C17613" s="11"/>
      <c r="D17613" s="11"/>
      <c r="E17613" s="11"/>
      <c r="F17613" s="11"/>
      <c r="G17613" s="11"/>
      <c r="H17613" s="11"/>
      <c r="I17613" s="15"/>
    </row>
    <row r="17614" spans="1:9" ht="16.5">
      <c r="A17614" s="10" t="b">
        <v>0</v>
      </c>
      <c r="B17614" s="11" t="str">
        <f>IF(D17614&lt;&gt;"",IF(COUNTIF('USPTO TMs'!A:A,D17614)&gt;0,"Yes","No"),"")</f>
        <v/>
      </c>
      <c r="C17614" s="11"/>
      <c r="D17614" s="11"/>
      <c r="E17614" s="11"/>
      <c r="F17614" s="11"/>
      <c r="G17614" s="11"/>
      <c r="H17614" s="11"/>
      <c r="I17614" s="15"/>
    </row>
    <row r="17615" spans="1:9" ht="16.5">
      <c r="A17615" s="10" t="b">
        <v>0</v>
      </c>
      <c r="B17615" s="11" t="str">
        <f>IF(D17615&lt;&gt;"",IF(COUNTIF('USPTO TMs'!A:A,D17615)&gt;0,"Yes","No"),"")</f>
        <v/>
      </c>
      <c r="C17615" s="11"/>
      <c r="D17615" s="11"/>
      <c r="E17615" s="11"/>
      <c r="F17615" s="11"/>
      <c r="G17615" s="11"/>
      <c r="H17615" s="11"/>
      <c r="I17615" s="15"/>
    </row>
    <row r="17616" spans="1:9" ht="16.5">
      <c r="A17616" s="10" t="b">
        <v>0</v>
      </c>
      <c r="B17616" s="11" t="str">
        <f>IF(D17616&lt;&gt;"",IF(COUNTIF('USPTO TMs'!A:A,D17616)&gt;0,"Yes","No"),"")</f>
        <v/>
      </c>
      <c r="C17616" s="11"/>
      <c r="D17616" s="11"/>
      <c r="E17616" s="11"/>
      <c r="F17616" s="11"/>
      <c r="G17616" s="11"/>
      <c r="H17616" s="11"/>
      <c r="I17616" s="15"/>
    </row>
    <row r="17617" spans="1:9" ht="16.5">
      <c r="A17617" s="10" t="b">
        <v>0</v>
      </c>
      <c r="B17617" s="11" t="str">
        <f>IF(D17617&lt;&gt;"",IF(COUNTIF('USPTO TMs'!A:A,D17617)&gt;0,"Yes","No"),"")</f>
        <v/>
      </c>
      <c r="C17617" s="11"/>
      <c r="D17617" s="11"/>
      <c r="E17617" s="11"/>
      <c r="F17617" s="11"/>
      <c r="G17617" s="11"/>
      <c r="H17617" s="11"/>
      <c r="I17617" s="15"/>
    </row>
    <row r="17618" spans="1:9" ht="16.5">
      <c r="A17618" s="10" t="b">
        <v>0</v>
      </c>
      <c r="B17618" s="11" t="str">
        <f>IF(D17618&lt;&gt;"",IF(COUNTIF('USPTO TMs'!A:A,D17618)&gt;0,"Yes","No"),"")</f>
        <v/>
      </c>
      <c r="C17618" s="11"/>
      <c r="D17618" s="11"/>
      <c r="E17618" s="11"/>
      <c r="F17618" s="11"/>
      <c r="G17618" s="11"/>
      <c r="H17618" s="11"/>
      <c r="I17618" s="15"/>
    </row>
    <row r="17619" spans="1:9" ht="16.5">
      <c r="A17619" s="10" t="b">
        <v>0</v>
      </c>
      <c r="B17619" s="11" t="str">
        <f>IF(D17619&lt;&gt;"",IF(COUNTIF('USPTO TMs'!A:A,D17619)&gt;0,"Yes","No"),"")</f>
        <v/>
      </c>
      <c r="C17619" s="11"/>
      <c r="D17619" s="11"/>
      <c r="E17619" s="11"/>
      <c r="F17619" s="11"/>
      <c r="G17619" s="11"/>
      <c r="H17619" s="11"/>
      <c r="I17619" s="15"/>
    </row>
    <row r="17620" spans="1:9" ht="16.5">
      <c r="A17620" s="10" t="b">
        <v>0</v>
      </c>
      <c r="B17620" s="11" t="str">
        <f>IF(D17620&lt;&gt;"",IF(COUNTIF('USPTO TMs'!A:A,D17620)&gt;0,"Yes","No"),"")</f>
        <v/>
      </c>
      <c r="C17620" s="11"/>
      <c r="D17620" s="11"/>
      <c r="E17620" s="11"/>
      <c r="F17620" s="11"/>
      <c r="G17620" s="11"/>
      <c r="H17620" s="11"/>
      <c r="I17620" s="15"/>
    </row>
    <row r="17621" spans="1:9" ht="16.5">
      <c r="A17621" s="10" t="b">
        <v>0</v>
      </c>
      <c r="B17621" s="11" t="str">
        <f>IF(D17621&lt;&gt;"",IF(COUNTIF('USPTO TMs'!A:A,D17621)&gt;0,"Yes","No"),"")</f>
        <v/>
      </c>
      <c r="C17621" s="11"/>
      <c r="D17621" s="11"/>
      <c r="E17621" s="11"/>
      <c r="F17621" s="11"/>
      <c r="G17621" s="11"/>
      <c r="H17621" s="11"/>
      <c r="I17621" s="15"/>
    </row>
    <row r="17622" spans="1:9" ht="16.5">
      <c r="A17622" s="10" t="b">
        <v>0</v>
      </c>
      <c r="B17622" s="11" t="str">
        <f>IF(D17622&lt;&gt;"",IF(COUNTIF('USPTO TMs'!A:A,D17622)&gt;0,"Yes","No"),"")</f>
        <v/>
      </c>
      <c r="C17622" s="11"/>
      <c r="D17622" s="11"/>
      <c r="E17622" s="11"/>
      <c r="F17622" s="11"/>
      <c r="G17622" s="11"/>
      <c r="H17622" s="11"/>
      <c r="I17622" s="15"/>
    </row>
    <row r="17623" spans="1:9" ht="16.5">
      <c r="A17623" s="10" t="b">
        <v>0</v>
      </c>
      <c r="B17623" s="11" t="str">
        <f>IF(D17623&lt;&gt;"",IF(COUNTIF('USPTO TMs'!A:A,D17623)&gt;0,"Yes","No"),"")</f>
        <v/>
      </c>
      <c r="C17623" s="11"/>
      <c r="D17623" s="11"/>
      <c r="E17623" s="11"/>
      <c r="F17623" s="11"/>
      <c r="G17623" s="11"/>
      <c r="H17623" s="11"/>
      <c r="I17623" s="15"/>
    </row>
    <row r="17624" spans="1:9" ht="16.5">
      <c r="A17624" s="10" t="b">
        <v>0</v>
      </c>
      <c r="B17624" s="11" t="str">
        <f>IF(D17624&lt;&gt;"",IF(COUNTIF('USPTO TMs'!A:A,D17624)&gt;0,"Yes","No"),"")</f>
        <v/>
      </c>
      <c r="C17624" s="11"/>
      <c r="D17624" s="11"/>
      <c r="E17624" s="11"/>
      <c r="F17624" s="11"/>
      <c r="G17624" s="11"/>
      <c r="H17624" s="11"/>
      <c r="I17624" s="15"/>
    </row>
    <row r="17625" spans="1:9" ht="16.5">
      <c r="A17625" s="10" t="b">
        <v>0</v>
      </c>
      <c r="B17625" s="11" t="str">
        <f>IF(D17625&lt;&gt;"",IF(COUNTIF('USPTO TMs'!A:A,D17625)&gt;0,"Yes","No"),"")</f>
        <v/>
      </c>
      <c r="C17625" s="11"/>
      <c r="D17625" s="11"/>
      <c r="E17625" s="11"/>
      <c r="F17625" s="11"/>
      <c r="G17625" s="11"/>
      <c r="H17625" s="11"/>
      <c r="I17625" s="15"/>
    </row>
    <row r="17626" spans="1:9" ht="16.5">
      <c r="A17626" s="10" t="b">
        <v>0</v>
      </c>
      <c r="B17626" s="11" t="str">
        <f>IF(D17626&lt;&gt;"",IF(COUNTIF('USPTO TMs'!A:A,D17626)&gt;0,"Yes","No"),"")</f>
        <v/>
      </c>
      <c r="C17626" s="11"/>
      <c r="D17626" s="11"/>
      <c r="E17626" s="11"/>
      <c r="F17626" s="11"/>
      <c r="G17626" s="11"/>
      <c r="H17626" s="11"/>
      <c r="I17626" s="15"/>
    </row>
    <row r="17627" spans="1:9" ht="16.5">
      <c r="A17627" s="10" t="b">
        <v>0</v>
      </c>
      <c r="B17627" s="11" t="str">
        <f>IF(D17627&lt;&gt;"",IF(COUNTIF('USPTO TMs'!A:A,D17627)&gt;0,"Yes","No"),"")</f>
        <v/>
      </c>
      <c r="C17627" s="11"/>
      <c r="D17627" s="11"/>
      <c r="E17627" s="11"/>
      <c r="F17627" s="11"/>
      <c r="G17627" s="11"/>
      <c r="H17627" s="11"/>
      <c r="I17627" s="15"/>
    </row>
    <row r="17628" spans="1:9" ht="16.5">
      <c r="A17628" s="10" t="b">
        <v>0</v>
      </c>
      <c r="B17628" s="11" t="str">
        <f>IF(D17628&lt;&gt;"",IF(COUNTIF('USPTO TMs'!A:A,D17628)&gt;0,"Yes","No"),"")</f>
        <v/>
      </c>
      <c r="C17628" s="11"/>
      <c r="D17628" s="11"/>
      <c r="E17628" s="11"/>
      <c r="F17628" s="11"/>
      <c r="G17628" s="11"/>
      <c r="H17628" s="11"/>
      <c r="I17628" s="15"/>
    </row>
    <row r="17629" spans="1:9" ht="16.5">
      <c r="A17629" s="10" t="b">
        <v>0</v>
      </c>
      <c r="B17629" s="11" t="str">
        <f>IF(D17629&lt;&gt;"",IF(COUNTIF('USPTO TMs'!A:A,D17629)&gt;0,"Yes","No"),"")</f>
        <v/>
      </c>
      <c r="C17629" s="11"/>
      <c r="D17629" s="11"/>
      <c r="E17629" s="11"/>
      <c r="F17629" s="11"/>
      <c r="G17629" s="11"/>
      <c r="H17629" s="11"/>
      <c r="I17629" s="15"/>
    </row>
    <row r="17630" spans="1:9" ht="16.5">
      <c r="A17630" s="10" t="b">
        <v>0</v>
      </c>
      <c r="B17630" s="11" t="str">
        <f>IF(D17630&lt;&gt;"",IF(COUNTIF('USPTO TMs'!A:A,D17630)&gt;0,"Yes","No"),"")</f>
        <v/>
      </c>
      <c r="C17630" s="11"/>
      <c r="D17630" s="11"/>
      <c r="E17630" s="11"/>
      <c r="F17630" s="11"/>
      <c r="G17630" s="11"/>
      <c r="H17630" s="11"/>
      <c r="I17630" s="15"/>
    </row>
    <row r="17631" spans="1:9" ht="16.5">
      <c r="A17631" s="10" t="b">
        <v>0</v>
      </c>
      <c r="B17631" s="11" t="str">
        <f>IF(D17631&lt;&gt;"",IF(COUNTIF('USPTO TMs'!A:A,D17631)&gt;0,"Yes","No"),"")</f>
        <v/>
      </c>
      <c r="C17631" s="11"/>
      <c r="D17631" s="11"/>
      <c r="E17631" s="11"/>
      <c r="F17631" s="11"/>
      <c r="G17631" s="11"/>
      <c r="H17631" s="11"/>
      <c r="I17631" s="15"/>
    </row>
    <row r="17632" spans="1:9" ht="16.5">
      <c r="A17632" s="10" t="b">
        <v>0</v>
      </c>
      <c r="B17632" s="11" t="str">
        <f>IF(D17632&lt;&gt;"",IF(COUNTIF('USPTO TMs'!A:A,D17632)&gt;0,"Yes","No"),"")</f>
        <v/>
      </c>
      <c r="C17632" s="11"/>
      <c r="D17632" s="11"/>
      <c r="E17632" s="11"/>
      <c r="F17632" s="11"/>
      <c r="G17632" s="11"/>
      <c r="H17632" s="11"/>
      <c r="I17632" s="15"/>
    </row>
    <row r="17633" spans="1:9" ht="16.5">
      <c r="A17633" s="10" t="b">
        <v>0</v>
      </c>
      <c r="B17633" s="11" t="str">
        <f>IF(D17633&lt;&gt;"",IF(COUNTIF('USPTO TMs'!A:A,D17633)&gt;0,"Yes","No"),"")</f>
        <v/>
      </c>
      <c r="C17633" s="11"/>
      <c r="D17633" s="11"/>
      <c r="E17633" s="11"/>
      <c r="F17633" s="11"/>
      <c r="G17633" s="11"/>
      <c r="H17633" s="11"/>
      <c r="I17633" s="15"/>
    </row>
    <row r="17634" spans="1:9" ht="16.5">
      <c r="A17634" s="10" t="b">
        <v>0</v>
      </c>
      <c r="B17634" s="11" t="str">
        <f>IF(D17634&lt;&gt;"",IF(COUNTIF('USPTO TMs'!A:A,D17634)&gt;0,"Yes","No"),"")</f>
        <v/>
      </c>
      <c r="C17634" s="11"/>
      <c r="D17634" s="11"/>
      <c r="E17634" s="11"/>
      <c r="F17634" s="11"/>
      <c r="G17634" s="11"/>
      <c r="H17634" s="11"/>
      <c r="I17634" s="15"/>
    </row>
    <row r="17635" spans="1:9" ht="16.5">
      <c r="A17635" s="10" t="b">
        <v>0</v>
      </c>
      <c r="B17635" s="11" t="str">
        <f>IF(D17635&lt;&gt;"",IF(COUNTIF('USPTO TMs'!A:A,D17635)&gt;0,"Yes","No"),"")</f>
        <v/>
      </c>
      <c r="C17635" s="11"/>
      <c r="D17635" s="11"/>
      <c r="E17635" s="11"/>
      <c r="F17635" s="11"/>
      <c r="G17635" s="11"/>
      <c r="H17635" s="11"/>
      <c r="I17635" s="15"/>
    </row>
    <row r="17636" spans="1:9" ht="16.5">
      <c r="A17636" s="10" t="b">
        <v>0</v>
      </c>
      <c r="B17636" s="11" t="str">
        <f>IF(D17636&lt;&gt;"",IF(COUNTIF('USPTO TMs'!A:A,D17636)&gt;0,"Yes","No"),"")</f>
        <v/>
      </c>
      <c r="C17636" s="11"/>
      <c r="D17636" s="11"/>
      <c r="E17636" s="11"/>
      <c r="F17636" s="11"/>
      <c r="G17636" s="11"/>
      <c r="H17636" s="11"/>
      <c r="I17636" s="15"/>
    </row>
    <row r="17637" spans="1:9" ht="16.5">
      <c r="A17637" s="10" t="b">
        <v>0</v>
      </c>
      <c r="B17637" s="11" t="str">
        <f>IF(D17637&lt;&gt;"",IF(COUNTIF('USPTO TMs'!A:A,D17637)&gt;0,"Yes","No"),"")</f>
        <v/>
      </c>
      <c r="C17637" s="11"/>
      <c r="D17637" s="11"/>
      <c r="E17637" s="11"/>
      <c r="F17637" s="11"/>
      <c r="G17637" s="11"/>
      <c r="H17637" s="11"/>
      <c r="I17637" s="15"/>
    </row>
    <row r="17638" spans="1:9" ht="16.5">
      <c r="A17638" s="10" t="b">
        <v>0</v>
      </c>
      <c r="B17638" s="11" t="str">
        <f>IF(D17638&lt;&gt;"",IF(COUNTIF('USPTO TMs'!A:A,D17638)&gt;0,"Yes","No"),"")</f>
        <v/>
      </c>
      <c r="C17638" s="11"/>
      <c r="D17638" s="11"/>
      <c r="E17638" s="11"/>
      <c r="F17638" s="11"/>
      <c r="G17638" s="11"/>
      <c r="H17638" s="11"/>
      <c r="I17638" s="15"/>
    </row>
    <row r="17639" spans="1:9" ht="16.5">
      <c r="A17639" s="10" t="b">
        <v>0</v>
      </c>
      <c r="B17639" s="11" t="str">
        <f>IF(D17639&lt;&gt;"",IF(COUNTIF('USPTO TMs'!A:A,D17639)&gt;0,"Yes","No"),"")</f>
        <v/>
      </c>
      <c r="C17639" s="11"/>
      <c r="D17639" s="11"/>
      <c r="E17639" s="11"/>
      <c r="F17639" s="11"/>
      <c r="G17639" s="11"/>
      <c r="H17639" s="11"/>
      <c r="I17639" s="15"/>
    </row>
    <row r="17640" spans="1:9" ht="16.5">
      <c r="A17640" s="10" t="b">
        <v>0</v>
      </c>
      <c r="B17640" s="11" t="str">
        <f>IF(D17640&lt;&gt;"",IF(COUNTIF('USPTO TMs'!A:A,D17640)&gt;0,"Yes","No"),"")</f>
        <v/>
      </c>
      <c r="C17640" s="11"/>
      <c r="D17640" s="11"/>
      <c r="E17640" s="11"/>
      <c r="F17640" s="11"/>
      <c r="G17640" s="11"/>
      <c r="H17640" s="11"/>
      <c r="I17640" s="15"/>
    </row>
    <row r="17641" spans="1:9" ht="16.5">
      <c r="A17641" s="10" t="b">
        <v>0</v>
      </c>
      <c r="B17641" s="11" t="str">
        <f>IF(D17641&lt;&gt;"",IF(COUNTIF('USPTO TMs'!A:A,D17641)&gt;0,"Yes","No"),"")</f>
        <v/>
      </c>
      <c r="C17641" s="11"/>
      <c r="D17641" s="11"/>
      <c r="E17641" s="11"/>
      <c r="F17641" s="11"/>
      <c r="G17641" s="11"/>
      <c r="H17641" s="11"/>
      <c r="I17641" s="15"/>
    </row>
    <row r="17642" spans="1:9" ht="16.5">
      <c r="A17642" s="10" t="b">
        <v>0</v>
      </c>
      <c r="B17642" s="11" t="str">
        <f>IF(D17642&lt;&gt;"",IF(COUNTIF('USPTO TMs'!A:A,D17642)&gt;0,"Yes","No"),"")</f>
        <v/>
      </c>
      <c r="C17642" s="11"/>
      <c r="D17642" s="11"/>
      <c r="E17642" s="11"/>
      <c r="F17642" s="11"/>
      <c r="G17642" s="11"/>
      <c r="H17642" s="11"/>
      <c r="I17642" s="15"/>
    </row>
    <row r="17643" spans="1:9" ht="16.5">
      <c r="A17643" s="10" t="b">
        <v>0</v>
      </c>
      <c r="B17643" s="11" t="str">
        <f>IF(D17643&lt;&gt;"",IF(COUNTIF('USPTO TMs'!A:A,D17643)&gt;0,"Yes","No"),"")</f>
        <v/>
      </c>
      <c r="C17643" s="11"/>
      <c r="D17643" s="11"/>
      <c r="E17643" s="11"/>
      <c r="F17643" s="11"/>
      <c r="G17643" s="11"/>
      <c r="H17643" s="11"/>
      <c r="I17643" s="15"/>
    </row>
    <row r="17644" spans="1:9" ht="16.5">
      <c r="A17644" s="10" t="b">
        <v>0</v>
      </c>
      <c r="B17644" s="11" t="str">
        <f>IF(D17644&lt;&gt;"",IF(COUNTIF('USPTO TMs'!A:A,D17644)&gt;0,"Yes","No"),"")</f>
        <v/>
      </c>
      <c r="C17644" s="11"/>
      <c r="D17644" s="11"/>
      <c r="E17644" s="11"/>
      <c r="F17644" s="11"/>
      <c r="G17644" s="11"/>
      <c r="H17644" s="11"/>
      <c r="I17644" s="15"/>
    </row>
    <row r="17645" spans="1:9" ht="16.5">
      <c r="A17645" s="10" t="b">
        <v>0</v>
      </c>
      <c r="B17645" s="11" t="str">
        <f>IF(D17645&lt;&gt;"",IF(COUNTIF('USPTO TMs'!A:A,D17645)&gt;0,"Yes","No"),"")</f>
        <v/>
      </c>
      <c r="C17645" s="11"/>
      <c r="D17645" s="11"/>
      <c r="E17645" s="11"/>
      <c r="F17645" s="11"/>
      <c r="G17645" s="11"/>
      <c r="H17645" s="11"/>
      <c r="I17645" s="15"/>
    </row>
    <row r="17646" spans="1:9" ht="16.5">
      <c r="A17646" s="10" t="b">
        <v>0</v>
      </c>
      <c r="B17646" s="11" t="str">
        <f>IF(D17646&lt;&gt;"",IF(COUNTIF('USPTO TMs'!A:A,D17646)&gt;0,"Yes","No"),"")</f>
        <v/>
      </c>
      <c r="C17646" s="11"/>
      <c r="D17646" s="11"/>
      <c r="E17646" s="11"/>
      <c r="F17646" s="11"/>
      <c r="G17646" s="11"/>
      <c r="H17646" s="11"/>
      <c r="I17646" s="15"/>
    </row>
    <row r="17647" spans="1:9" ht="16.5">
      <c r="A17647" s="10" t="b">
        <v>0</v>
      </c>
      <c r="B17647" s="11" t="str">
        <f>IF(D17647&lt;&gt;"",IF(COUNTIF('USPTO TMs'!A:A,D17647)&gt;0,"Yes","No"),"")</f>
        <v/>
      </c>
      <c r="C17647" s="11"/>
      <c r="D17647" s="11"/>
      <c r="E17647" s="11"/>
      <c r="F17647" s="11"/>
      <c r="G17647" s="11"/>
      <c r="H17647" s="11"/>
      <c r="I17647" s="15"/>
    </row>
    <row r="17648" spans="1:9" ht="16.5">
      <c r="A17648" s="10" t="b">
        <v>0</v>
      </c>
      <c r="B17648" s="11" t="str">
        <f>IF(D17648&lt;&gt;"",IF(COUNTIF('USPTO TMs'!A:A,D17648)&gt;0,"Yes","No"),"")</f>
        <v/>
      </c>
      <c r="C17648" s="11"/>
      <c r="D17648" s="11"/>
      <c r="E17648" s="11"/>
      <c r="F17648" s="11"/>
      <c r="G17648" s="11"/>
      <c r="H17648" s="11"/>
      <c r="I17648" s="15"/>
    </row>
    <row r="17649" spans="1:9" ht="16.5">
      <c r="A17649" s="10" t="b">
        <v>0</v>
      </c>
      <c r="B17649" s="11" t="str">
        <f>IF(D17649&lt;&gt;"",IF(COUNTIF('USPTO TMs'!A:A,D17649)&gt;0,"Yes","No"),"")</f>
        <v/>
      </c>
      <c r="C17649" s="11"/>
      <c r="D17649" s="11"/>
      <c r="E17649" s="11"/>
      <c r="F17649" s="11"/>
      <c r="G17649" s="11"/>
      <c r="H17649" s="11"/>
      <c r="I17649" s="15"/>
    </row>
    <row r="17650" spans="1:9" ht="16.5">
      <c r="A17650" s="10" t="b">
        <v>0</v>
      </c>
      <c r="B17650" s="11" t="str">
        <f>IF(D17650&lt;&gt;"",IF(COUNTIF('USPTO TMs'!A:A,D17650)&gt;0,"Yes","No"),"")</f>
        <v/>
      </c>
      <c r="C17650" s="11"/>
      <c r="D17650" s="11"/>
      <c r="E17650" s="11"/>
      <c r="F17650" s="11"/>
      <c r="G17650" s="11"/>
      <c r="H17650" s="11"/>
      <c r="I17650" s="15"/>
    </row>
    <row r="17651" spans="1:9" ht="16.5">
      <c r="A17651" s="10" t="b">
        <v>0</v>
      </c>
      <c r="B17651" s="11" t="str">
        <f>IF(D17651&lt;&gt;"",IF(COUNTIF('USPTO TMs'!A:A,D17651)&gt;0,"Yes","No"),"")</f>
        <v/>
      </c>
      <c r="C17651" s="11"/>
      <c r="D17651" s="11"/>
      <c r="E17651" s="11"/>
      <c r="F17651" s="11"/>
      <c r="G17651" s="11"/>
      <c r="H17651" s="11"/>
      <c r="I17651" s="15"/>
    </row>
    <row r="17652" spans="1:9" ht="16.5">
      <c r="A17652" s="10" t="b">
        <v>0</v>
      </c>
      <c r="B17652" s="11" t="str">
        <f>IF(D17652&lt;&gt;"",IF(COUNTIF('USPTO TMs'!A:A,D17652)&gt;0,"Yes","No"),"")</f>
        <v/>
      </c>
      <c r="C17652" s="11"/>
      <c r="D17652" s="11"/>
      <c r="E17652" s="11"/>
      <c r="F17652" s="11"/>
      <c r="G17652" s="11"/>
      <c r="H17652" s="11"/>
      <c r="I17652" s="15"/>
    </row>
    <row r="17653" spans="1:9" ht="16.5">
      <c r="A17653" s="10" t="b">
        <v>0</v>
      </c>
      <c r="B17653" s="11" t="str">
        <f>IF(D17653&lt;&gt;"",IF(COUNTIF('USPTO TMs'!A:A,D17653)&gt;0,"Yes","No"),"")</f>
        <v/>
      </c>
      <c r="C17653" s="11"/>
      <c r="D17653" s="11"/>
      <c r="E17653" s="11"/>
      <c r="F17653" s="11"/>
      <c r="G17653" s="11"/>
      <c r="H17653" s="11"/>
      <c r="I17653" s="15"/>
    </row>
    <row r="17654" spans="1:9" ht="16.5">
      <c r="A17654" s="10" t="b">
        <v>0</v>
      </c>
      <c r="B17654" s="11" t="str">
        <f>IF(D17654&lt;&gt;"",IF(COUNTIF('USPTO TMs'!A:A,D17654)&gt;0,"Yes","No"),"")</f>
        <v/>
      </c>
      <c r="C17654" s="11"/>
      <c r="D17654" s="11"/>
      <c r="E17654" s="11"/>
      <c r="F17654" s="11"/>
      <c r="G17654" s="11"/>
      <c r="H17654" s="11"/>
      <c r="I17654" s="15"/>
    </row>
    <row r="17655" spans="1:9" ht="16.5">
      <c r="A17655" s="10" t="b">
        <v>0</v>
      </c>
      <c r="B17655" s="11" t="str">
        <f>IF(D17655&lt;&gt;"",IF(COUNTIF('USPTO TMs'!A:A,D17655)&gt;0,"Yes","No"),"")</f>
        <v/>
      </c>
      <c r="C17655" s="11"/>
      <c r="D17655" s="11"/>
      <c r="E17655" s="11"/>
      <c r="F17655" s="11"/>
      <c r="G17655" s="11"/>
      <c r="H17655" s="11"/>
      <c r="I17655" s="15"/>
    </row>
    <row r="17656" spans="1:9" ht="16.5">
      <c r="A17656" s="10" t="b">
        <v>0</v>
      </c>
      <c r="B17656" s="11" t="str">
        <f>IF(D17656&lt;&gt;"",IF(COUNTIF('USPTO TMs'!A:A,D17656)&gt;0,"Yes","No"),"")</f>
        <v/>
      </c>
      <c r="C17656" s="11"/>
      <c r="D17656" s="11"/>
      <c r="E17656" s="11"/>
      <c r="F17656" s="11"/>
      <c r="G17656" s="11"/>
      <c r="H17656" s="11"/>
      <c r="I17656" s="15"/>
    </row>
    <row r="17657" spans="1:9" ht="16.5">
      <c r="A17657" s="10" t="b">
        <v>0</v>
      </c>
      <c r="B17657" s="11" t="str">
        <f>IF(D17657&lt;&gt;"",IF(COUNTIF('USPTO TMs'!A:A,D17657)&gt;0,"Yes","No"),"")</f>
        <v/>
      </c>
      <c r="C17657" s="11"/>
      <c r="D17657" s="11"/>
      <c r="E17657" s="11"/>
      <c r="F17657" s="11"/>
      <c r="G17657" s="11"/>
      <c r="H17657" s="11"/>
      <c r="I17657" s="15"/>
    </row>
    <row r="17658" spans="1:9" ht="16.5">
      <c r="A17658" s="10" t="b">
        <v>0</v>
      </c>
      <c r="B17658" s="11" t="str">
        <f>IF(D17658&lt;&gt;"",IF(COUNTIF('USPTO TMs'!A:A,D17658)&gt;0,"Yes","No"),"")</f>
        <v/>
      </c>
      <c r="C17658" s="11"/>
      <c r="D17658" s="11"/>
      <c r="E17658" s="11"/>
      <c r="F17658" s="11"/>
      <c r="G17658" s="11"/>
      <c r="H17658" s="11"/>
      <c r="I17658" s="15"/>
    </row>
    <row r="17659" spans="1:9" ht="16.5">
      <c r="A17659" s="10" t="b">
        <v>0</v>
      </c>
      <c r="B17659" s="11" t="str">
        <f>IF(D17659&lt;&gt;"",IF(COUNTIF('USPTO TMs'!A:A,D17659)&gt;0,"Yes","No"),"")</f>
        <v/>
      </c>
      <c r="C17659" s="11"/>
      <c r="D17659" s="11"/>
      <c r="E17659" s="11"/>
      <c r="F17659" s="11"/>
      <c r="G17659" s="11"/>
      <c r="H17659" s="11"/>
      <c r="I17659" s="15"/>
    </row>
    <row r="17660" spans="1:9" ht="16.5">
      <c r="A17660" s="10" t="b">
        <v>0</v>
      </c>
      <c r="B17660" s="11" t="str">
        <f>IF(D17660&lt;&gt;"",IF(COUNTIF('USPTO TMs'!A:A,D17660)&gt;0,"Yes","No"),"")</f>
        <v/>
      </c>
      <c r="C17660" s="11"/>
      <c r="D17660" s="11"/>
      <c r="E17660" s="11"/>
      <c r="F17660" s="11"/>
      <c r="G17660" s="11"/>
      <c r="H17660" s="11"/>
      <c r="I17660" s="15"/>
    </row>
    <row r="17661" spans="1:9" ht="16.5">
      <c r="A17661" s="10" t="b">
        <v>0</v>
      </c>
      <c r="B17661" s="11" t="str">
        <f>IF(D17661&lt;&gt;"",IF(COUNTIF('USPTO TMs'!A:A,D17661)&gt;0,"Yes","No"),"")</f>
        <v/>
      </c>
      <c r="C17661" s="11"/>
      <c r="D17661" s="11"/>
      <c r="E17661" s="11"/>
      <c r="F17661" s="11"/>
      <c r="G17661" s="11"/>
      <c r="H17661" s="11"/>
      <c r="I17661" s="15"/>
    </row>
    <row r="17662" spans="1:9" ht="16.5">
      <c r="A17662" s="10" t="b">
        <v>0</v>
      </c>
      <c r="B17662" s="11" t="str">
        <f>IF(D17662&lt;&gt;"",IF(COUNTIF('USPTO TMs'!A:A,D17662)&gt;0,"Yes","No"),"")</f>
        <v/>
      </c>
      <c r="C17662" s="11"/>
      <c r="D17662" s="11"/>
      <c r="E17662" s="11"/>
      <c r="F17662" s="11"/>
      <c r="G17662" s="11"/>
      <c r="H17662" s="11"/>
      <c r="I17662" s="15"/>
    </row>
    <row r="17663" spans="1:9" ht="16.5">
      <c r="A17663" s="10" t="b">
        <v>0</v>
      </c>
      <c r="B17663" s="11" t="str">
        <f>IF(D17663&lt;&gt;"",IF(COUNTIF('USPTO TMs'!A:A,D17663)&gt;0,"Yes","No"),"")</f>
        <v/>
      </c>
      <c r="C17663" s="11"/>
      <c r="D17663" s="11"/>
      <c r="E17663" s="11"/>
      <c r="F17663" s="11"/>
      <c r="G17663" s="11"/>
      <c r="H17663" s="11"/>
      <c r="I17663" s="15"/>
    </row>
    <row r="17664" spans="1:9" ht="16.5">
      <c r="A17664" s="10" t="b">
        <v>0</v>
      </c>
      <c r="B17664" s="11" t="str">
        <f>IF(D17664&lt;&gt;"",IF(COUNTIF('USPTO TMs'!A:A,D17664)&gt;0,"Yes","No"),"")</f>
        <v/>
      </c>
      <c r="C17664" s="11"/>
      <c r="D17664" s="11"/>
      <c r="E17664" s="11"/>
      <c r="F17664" s="11"/>
      <c r="G17664" s="11"/>
      <c r="H17664" s="11"/>
      <c r="I17664" s="15"/>
    </row>
    <row r="17665" spans="1:9" ht="16.5">
      <c r="A17665" s="10" t="b">
        <v>0</v>
      </c>
      <c r="B17665" s="11" t="str">
        <f>IF(D17665&lt;&gt;"",IF(COUNTIF('USPTO TMs'!A:A,D17665)&gt;0,"Yes","No"),"")</f>
        <v/>
      </c>
      <c r="C17665" s="11"/>
      <c r="D17665" s="11"/>
      <c r="E17665" s="11"/>
      <c r="F17665" s="11"/>
      <c r="G17665" s="11"/>
      <c r="H17665" s="11"/>
      <c r="I17665" s="15"/>
    </row>
    <row r="17666" spans="1:9" ht="16.5">
      <c r="A17666" s="10" t="b">
        <v>0</v>
      </c>
      <c r="B17666" s="11" t="str">
        <f>IF(D17666&lt;&gt;"",IF(COUNTIF('USPTO TMs'!A:A,D17666)&gt;0,"Yes","No"),"")</f>
        <v/>
      </c>
      <c r="C17666" s="11"/>
      <c r="D17666" s="11"/>
      <c r="E17666" s="11"/>
      <c r="F17666" s="11"/>
      <c r="G17666" s="11"/>
      <c r="H17666" s="11"/>
      <c r="I17666" s="15"/>
    </row>
    <row r="17667" spans="1:9" ht="16.5">
      <c r="A17667" s="10" t="b">
        <v>0</v>
      </c>
      <c r="B17667" s="11" t="str">
        <f>IF(D17667&lt;&gt;"",IF(COUNTIF('USPTO TMs'!A:A,D17667)&gt;0,"Yes","No"),"")</f>
        <v/>
      </c>
      <c r="C17667" s="11"/>
      <c r="D17667" s="11"/>
      <c r="E17667" s="11"/>
      <c r="F17667" s="11"/>
      <c r="G17667" s="11"/>
      <c r="H17667" s="11"/>
      <c r="I17667" s="15"/>
    </row>
    <row r="17668" spans="1:9" ht="16.5">
      <c r="A17668" s="10" t="b">
        <v>0</v>
      </c>
      <c r="B17668" s="11" t="str">
        <f>IF(D17668&lt;&gt;"",IF(COUNTIF('USPTO TMs'!A:A,D17668)&gt;0,"Yes","No"),"")</f>
        <v/>
      </c>
      <c r="C17668" s="11"/>
      <c r="D17668" s="11"/>
      <c r="E17668" s="11"/>
      <c r="F17668" s="11"/>
      <c r="G17668" s="11"/>
      <c r="H17668" s="11"/>
      <c r="I17668" s="15"/>
    </row>
    <row r="17669" spans="1:9" ht="16.5">
      <c r="A17669" s="10" t="b">
        <v>0</v>
      </c>
      <c r="B17669" s="11" t="str">
        <f>IF(D17669&lt;&gt;"",IF(COUNTIF('USPTO TMs'!A:A,D17669)&gt;0,"Yes","No"),"")</f>
        <v/>
      </c>
      <c r="C17669" s="11"/>
      <c r="D17669" s="11"/>
      <c r="E17669" s="11"/>
      <c r="F17669" s="11"/>
      <c r="G17669" s="11"/>
      <c r="H17669" s="11"/>
      <c r="I17669" s="15"/>
    </row>
    <row r="17670" spans="1:9" ht="16.5">
      <c r="A17670" s="10" t="b">
        <v>0</v>
      </c>
      <c r="B17670" s="11" t="str">
        <f>IF(D17670&lt;&gt;"",IF(COUNTIF('USPTO TMs'!A:A,D17670)&gt;0,"Yes","No"),"")</f>
        <v/>
      </c>
      <c r="C17670" s="11"/>
      <c r="D17670" s="11"/>
      <c r="E17670" s="11"/>
      <c r="F17670" s="11"/>
      <c r="G17670" s="11"/>
      <c r="H17670" s="11"/>
      <c r="I17670" s="15"/>
    </row>
    <row r="17671" spans="1:9" ht="16.5">
      <c r="A17671" s="10" t="b">
        <v>0</v>
      </c>
      <c r="B17671" s="11" t="str">
        <f>IF(D17671&lt;&gt;"",IF(COUNTIF('USPTO TMs'!A:A,D17671)&gt;0,"Yes","No"),"")</f>
        <v/>
      </c>
      <c r="C17671" s="11"/>
      <c r="D17671" s="11"/>
      <c r="E17671" s="11"/>
      <c r="F17671" s="11"/>
      <c r="G17671" s="11"/>
      <c r="H17671" s="11"/>
      <c r="I17671" s="15"/>
    </row>
    <row r="17672" spans="1:9" ht="16.5">
      <c r="A17672" s="10" t="b">
        <v>0</v>
      </c>
      <c r="B17672" s="11" t="str">
        <f>IF(D17672&lt;&gt;"",IF(COUNTIF('USPTO TMs'!A:A,D17672)&gt;0,"Yes","No"),"")</f>
        <v/>
      </c>
      <c r="C17672" s="11"/>
      <c r="D17672" s="11"/>
      <c r="E17672" s="11"/>
      <c r="F17672" s="11"/>
      <c r="G17672" s="11"/>
      <c r="H17672" s="11"/>
      <c r="I17672" s="15"/>
    </row>
    <row r="17673" spans="1:9" ht="16.5">
      <c r="A17673" s="10" t="b">
        <v>0</v>
      </c>
      <c r="B17673" s="11" t="str">
        <f>IF(D17673&lt;&gt;"",IF(COUNTIF('USPTO TMs'!A:A,D17673)&gt;0,"Yes","No"),"")</f>
        <v/>
      </c>
      <c r="C17673" s="11"/>
      <c r="D17673" s="11"/>
      <c r="E17673" s="11"/>
      <c r="F17673" s="11"/>
      <c r="G17673" s="11"/>
      <c r="H17673" s="11"/>
      <c r="I17673" s="15"/>
    </row>
    <row r="17674" spans="1:9" ht="16.5">
      <c r="A17674" s="10" t="b">
        <v>0</v>
      </c>
      <c r="B17674" s="11" t="str">
        <f>IF(D17674&lt;&gt;"",IF(COUNTIF('USPTO TMs'!A:A,D17674)&gt;0,"Yes","No"),"")</f>
        <v/>
      </c>
      <c r="C17674" s="11"/>
      <c r="D17674" s="11"/>
      <c r="E17674" s="11"/>
      <c r="F17674" s="11"/>
      <c r="G17674" s="11"/>
      <c r="H17674" s="11"/>
      <c r="I17674" s="15"/>
    </row>
    <row r="17675" spans="1:9" ht="16.5">
      <c r="A17675" s="10" t="b">
        <v>0</v>
      </c>
      <c r="B17675" s="11" t="str">
        <f>IF(D17675&lt;&gt;"",IF(COUNTIF('USPTO TMs'!A:A,D17675)&gt;0,"Yes","No"),"")</f>
        <v/>
      </c>
      <c r="C17675" s="11"/>
      <c r="D17675" s="11"/>
      <c r="E17675" s="11"/>
      <c r="F17675" s="11"/>
      <c r="G17675" s="11"/>
      <c r="H17675" s="11"/>
      <c r="I17675" s="15"/>
    </row>
    <row r="17676" spans="1:9" ht="16.5">
      <c r="A17676" s="10" t="b">
        <v>0</v>
      </c>
      <c r="B17676" s="11" t="str">
        <f>IF(D17676&lt;&gt;"",IF(COUNTIF('USPTO TMs'!A:A,D17676)&gt;0,"Yes","No"),"")</f>
        <v/>
      </c>
      <c r="C17676" s="11"/>
      <c r="D17676" s="11"/>
      <c r="E17676" s="11"/>
      <c r="F17676" s="11"/>
      <c r="G17676" s="11"/>
      <c r="H17676" s="11"/>
      <c r="I17676" s="15"/>
    </row>
    <row r="17677" spans="1:9" ht="16.5">
      <c r="A17677" s="10" t="b">
        <v>0</v>
      </c>
      <c r="B17677" s="11" t="str">
        <f>IF(D17677&lt;&gt;"",IF(COUNTIF('USPTO TMs'!A:A,D17677)&gt;0,"Yes","No"),"")</f>
        <v/>
      </c>
      <c r="C17677" s="11"/>
      <c r="D17677" s="11"/>
      <c r="E17677" s="11"/>
      <c r="F17677" s="11"/>
      <c r="G17677" s="11"/>
      <c r="H17677" s="11"/>
      <c r="I17677" s="15"/>
    </row>
    <row r="17678" spans="1:9" ht="16.5">
      <c r="A17678" s="10" t="b">
        <v>0</v>
      </c>
      <c r="B17678" s="11" t="str">
        <f>IF(D17678&lt;&gt;"",IF(COUNTIF('USPTO TMs'!A:A,D17678)&gt;0,"Yes","No"),"")</f>
        <v/>
      </c>
      <c r="C17678" s="11"/>
      <c r="D17678" s="11"/>
      <c r="E17678" s="11"/>
      <c r="F17678" s="11"/>
      <c r="G17678" s="11"/>
      <c r="H17678" s="11"/>
      <c r="I17678" s="15"/>
    </row>
    <row r="17679" spans="1:9" ht="16.5">
      <c r="A17679" s="10" t="b">
        <v>0</v>
      </c>
      <c r="B17679" s="11" t="str">
        <f>IF(D17679&lt;&gt;"",IF(COUNTIF('USPTO TMs'!A:A,D17679)&gt;0,"Yes","No"),"")</f>
        <v/>
      </c>
      <c r="C17679" s="11"/>
      <c r="D17679" s="11"/>
      <c r="E17679" s="11"/>
      <c r="F17679" s="11"/>
      <c r="G17679" s="11"/>
      <c r="H17679" s="11"/>
      <c r="I17679" s="15"/>
    </row>
    <row r="17680" spans="1:9" ht="16.5">
      <c r="A17680" s="10" t="b">
        <v>0</v>
      </c>
      <c r="B17680" s="11" t="str">
        <f>IF(D17680&lt;&gt;"",IF(COUNTIF('USPTO TMs'!A:A,D17680)&gt;0,"Yes","No"),"")</f>
        <v/>
      </c>
      <c r="C17680" s="11"/>
      <c r="D17680" s="11"/>
      <c r="E17680" s="11"/>
      <c r="F17680" s="11"/>
      <c r="G17680" s="11"/>
      <c r="H17680" s="11"/>
      <c r="I17680" s="15"/>
    </row>
    <row r="17681" spans="1:9" ht="16.5">
      <c r="A17681" s="10" t="b">
        <v>0</v>
      </c>
      <c r="B17681" s="11" t="str">
        <f>IF(D17681&lt;&gt;"",IF(COUNTIF('USPTO TMs'!A:A,D17681)&gt;0,"Yes","No"),"")</f>
        <v/>
      </c>
      <c r="C17681" s="11"/>
      <c r="D17681" s="11"/>
      <c r="E17681" s="11"/>
      <c r="F17681" s="11"/>
      <c r="G17681" s="11"/>
      <c r="H17681" s="11"/>
      <c r="I17681" s="15"/>
    </row>
    <row r="17682" spans="1:9" ht="16.5">
      <c r="A17682" s="10" t="b">
        <v>0</v>
      </c>
      <c r="B17682" s="11" t="str">
        <f>IF(D17682&lt;&gt;"",IF(COUNTIF('USPTO TMs'!A:A,D17682)&gt;0,"Yes","No"),"")</f>
        <v/>
      </c>
      <c r="C17682" s="11"/>
      <c r="D17682" s="11"/>
      <c r="E17682" s="11"/>
      <c r="F17682" s="11"/>
      <c r="G17682" s="11"/>
      <c r="H17682" s="11"/>
      <c r="I17682" s="15"/>
    </row>
    <row r="17683" spans="1:9" ht="16.5">
      <c r="A17683" s="10" t="b">
        <v>0</v>
      </c>
      <c r="B17683" s="11" t="str">
        <f>IF(D17683&lt;&gt;"",IF(COUNTIF('USPTO TMs'!A:A,D17683)&gt;0,"Yes","No"),"")</f>
        <v/>
      </c>
      <c r="C17683" s="11"/>
      <c r="D17683" s="11"/>
      <c r="E17683" s="11"/>
      <c r="F17683" s="11"/>
      <c r="G17683" s="11"/>
      <c r="H17683" s="11"/>
      <c r="I17683" s="15"/>
    </row>
    <row r="17684" spans="1:9" ht="16.5">
      <c r="A17684" s="10" t="b">
        <v>0</v>
      </c>
      <c r="B17684" s="11" t="str">
        <f>IF(D17684&lt;&gt;"",IF(COUNTIF('USPTO TMs'!A:A,D17684)&gt;0,"Yes","No"),"")</f>
        <v/>
      </c>
      <c r="C17684" s="11"/>
      <c r="D17684" s="11"/>
      <c r="E17684" s="11"/>
      <c r="F17684" s="11"/>
      <c r="G17684" s="11"/>
      <c r="H17684" s="11"/>
      <c r="I17684" s="15"/>
    </row>
    <row r="17685" spans="1:9" ht="16.5">
      <c r="A17685" s="10" t="b">
        <v>0</v>
      </c>
      <c r="B17685" s="11" t="str">
        <f>IF(D17685&lt;&gt;"",IF(COUNTIF('USPTO TMs'!A:A,D17685)&gt;0,"Yes","No"),"")</f>
        <v/>
      </c>
      <c r="C17685" s="11"/>
      <c r="D17685" s="11"/>
      <c r="E17685" s="11"/>
      <c r="F17685" s="11"/>
      <c r="G17685" s="11"/>
      <c r="H17685" s="11"/>
      <c r="I17685" s="15"/>
    </row>
    <row r="17686" spans="1:9" ht="16.5">
      <c r="A17686" s="10" t="b">
        <v>0</v>
      </c>
      <c r="B17686" s="11" t="str">
        <f>IF(D17686&lt;&gt;"",IF(COUNTIF('USPTO TMs'!A:A,D17686)&gt;0,"Yes","No"),"")</f>
        <v/>
      </c>
      <c r="C17686" s="11"/>
      <c r="D17686" s="11"/>
      <c r="E17686" s="11"/>
      <c r="F17686" s="11"/>
      <c r="G17686" s="11"/>
      <c r="H17686" s="11"/>
      <c r="I17686" s="15"/>
    </row>
    <row r="17687" spans="1:9" ht="16.5">
      <c r="A17687" s="10" t="b">
        <v>0</v>
      </c>
      <c r="B17687" s="11" t="str">
        <f>IF(D17687&lt;&gt;"",IF(COUNTIF('USPTO TMs'!A:A,D17687)&gt;0,"Yes","No"),"")</f>
        <v/>
      </c>
      <c r="C17687" s="11"/>
      <c r="D17687" s="11"/>
      <c r="E17687" s="11"/>
      <c r="F17687" s="11"/>
      <c r="G17687" s="11"/>
      <c r="H17687" s="11"/>
      <c r="I17687" s="15"/>
    </row>
    <row r="17688" spans="1:9" ht="16.5">
      <c r="A17688" s="10" t="b">
        <v>0</v>
      </c>
      <c r="B17688" s="11" t="str">
        <f>IF(D17688&lt;&gt;"",IF(COUNTIF('USPTO TMs'!A:A,D17688)&gt;0,"Yes","No"),"")</f>
        <v/>
      </c>
      <c r="C17688" s="11"/>
      <c r="D17688" s="11"/>
      <c r="E17688" s="11"/>
      <c r="F17688" s="11"/>
      <c r="G17688" s="11"/>
      <c r="H17688" s="11"/>
      <c r="I17688" s="15"/>
    </row>
    <row r="17689" spans="1:9" ht="16.5">
      <c r="A17689" s="10" t="b">
        <v>0</v>
      </c>
      <c r="B17689" s="11" t="str">
        <f>IF(D17689&lt;&gt;"",IF(COUNTIF('USPTO TMs'!A:A,D17689)&gt;0,"Yes","No"),"")</f>
        <v/>
      </c>
      <c r="C17689" s="11"/>
      <c r="D17689" s="11"/>
      <c r="E17689" s="11"/>
      <c r="F17689" s="11"/>
      <c r="G17689" s="11"/>
      <c r="H17689" s="11"/>
      <c r="I17689" s="15"/>
    </row>
    <row r="17690" spans="1:9" ht="16.5">
      <c r="A17690" s="10" t="b">
        <v>0</v>
      </c>
      <c r="B17690" s="11" t="str">
        <f>IF(D17690&lt;&gt;"",IF(COUNTIF('USPTO TMs'!A:A,D17690)&gt;0,"Yes","No"),"")</f>
        <v/>
      </c>
      <c r="C17690" s="11"/>
      <c r="D17690" s="11"/>
      <c r="E17690" s="11"/>
      <c r="F17690" s="11"/>
      <c r="G17690" s="11"/>
      <c r="H17690" s="11"/>
      <c r="I17690" s="15"/>
    </row>
    <row r="17691" spans="1:9" ht="16.5">
      <c r="A17691" s="10" t="b">
        <v>0</v>
      </c>
      <c r="B17691" s="11" t="str">
        <f>IF(D17691&lt;&gt;"",IF(COUNTIF('USPTO TMs'!A:A,D17691)&gt;0,"Yes","No"),"")</f>
        <v/>
      </c>
      <c r="C17691" s="11"/>
      <c r="D17691" s="11"/>
      <c r="E17691" s="11"/>
      <c r="F17691" s="11"/>
      <c r="G17691" s="11"/>
      <c r="H17691" s="11"/>
      <c r="I17691" s="15"/>
    </row>
    <row r="17692" spans="1:9" ht="16.5">
      <c r="A17692" s="10" t="b">
        <v>0</v>
      </c>
      <c r="B17692" s="11" t="str">
        <f>IF(D17692&lt;&gt;"",IF(COUNTIF('USPTO TMs'!A:A,D17692)&gt;0,"Yes","No"),"")</f>
        <v/>
      </c>
      <c r="C17692" s="11"/>
      <c r="D17692" s="11"/>
      <c r="E17692" s="11"/>
      <c r="F17692" s="11"/>
      <c r="G17692" s="11"/>
      <c r="H17692" s="11"/>
      <c r="I17692" s="15"/>
    </row>
    <row r="17693" spans="1:9" ht="16.5">
      <c r="A17693" s="10" t="b">
        <v>0</v>
      </c>
      <c r="B17693" s="11" t="str">
        <f>IF(D17693&lt;&gt;"",IF(COUNTIF('USPTO TMs'!A:A,D17693)&gt;0,"Yes","No"),"")</f>
        <v/>
      </c>
      <c r="C17693" s="11"/>
      <c r="D17693" s="11"/>
      <c r="E17693" s="11"/>
      <c r="F17693" s="11"/>
      <c r="G17693" s="11"/>
      <c r="H17693" s="11"/>
      <c r="I17693" s="15"/>
    </row>
    <row r="17694" spans="1:9" ht="16.5">
      <c r="A17694" s="10" t="b">
        <v>0</v>
      </c>
      <c r="B17694" s="11" t="str">
        <f>IF(D17694&lt;&gt;"",IF(COUNTIF('USPTO TMs'!A:A,D17694)&gt;0,"Yes","No"),"")</f>
        <v/>
      </c>
      <c r="C17694" s="11"/>
      <c r="D17694" s="11"/>
      <c r="E17694" s="11"/>
      <c r="F17694" s="11"/>
      <c r="G17694" s="11"/>
      <c r="H17694" s="11"/>
      <c r="I17694" s="15"/>
    </row>
    <row r="17695" spans="1:9" ht="16.5">
      <c r="A17695" s="10" t="b">
        <v>0</v>
      </c>
      <c r="B17695" s="11" t="str">
        <f>IF(D17695&lt;&gt;"",IF(COUNTIF('USPTO TMs'!A:A,D17695)&gt;0,"Yes","No"),"")</f>
        <v/>
      </c>
      <c r="C17695" s="11"/>
      <c r="D17695" s="11"/>
      <c r="E17695" s="11"/>
      <c r="F17695" s="11"/>
      <c r="G17695" s="11"/>
      <c r="H17695" s="11"/>
      <c r="I17695" s="15"/>
    </row>
    <row r="17696" spans="1:9" ht="16.5">
      <c r="A17696" s="10" t="b">
        <v>0</v>
      </c>
      <c r="B17696" s="11" t="str">
        <f>IF(D17696&lt;&gt;"",IF(COUNTIF('USPTO TMs'!A:A,D17696)&gt;0,"Yes","No"),"")</f>
        <v/>
      </c>
      <c r="C17696" s="11"/>
      <c r="D17696" s="11"/>
      <c r="E17696" s="11"/>
      <c r="F17696" s="11"/>
      <c r="G17696" s="11"/>
      <c r="H17696" s="11"/>
      <c r="I17696" s="15"/>
    </row>
    <row r="17697" spans="1:9" ht="16.5">
      <c r="A17697" s="10" t="b">
        <v>0</v>
      </c>
      <c r="B17697" s="11" t="str">
        <f>IF(D17697&lt;&gt;"",IF(COUNTIF('USPTO TMs'!A:A,D17697)&gt;0,"Yes","No"),"")</f>
        <v/>
      </c>
      <c r="C17697" s="11"/>
      <c r="D17697" s="11"/>
      <c r="E17697" s="11"/>
      <c r="F17697" s="11"/>
      <c r="G17697" s="11"/>
      <c r="H17697" s="11"/>
      <c r="I17697" s="15"/>
    </row>
    <row r="17698" spans="1:9" ht="16.5">
      <c r="A17698" s="10" t="b">
        <v>0</v>
      </c>
      <c r="B17698" s="11" t="str">
        <f>IF(D17698&lt;&gt;"",IF(COUNTIF('USPTO TMs'!A:A,D17698)&gt;0,"Yes","No"),"")</f>
        <v/>
      </c>
      <c r="C17698" s="11"/>
      <c r="D17698" s="11"/>
      <c r="E17698" s="11"/>
      <c r="F17698" s="11"/>
      <c r="G17698" s="11"/>
      <c r="H17698" s="11"/>
      <c r="I17698" s="15"/>
    </row>
    <row r="17699" spans="1:9" ht="16.5">
      <c r="A17699" s="10" t="b">
        <v>0</v>
      </c>
      <c r="B17699" s="11" t="str">
        <f>IF(D17699&lt;&gt;"",IF(COUNTIF('USPTO TMs'!A:A,D17699)&gt;0,"Yes","No"),"")</f>
        <v/>
      </c>
      <c r="C17699" s="11"/>
      <c r="D17699" s="11"/>
      <c r="E17699" s="11"/>
      <c r="F17699" s="11"/>
      <c r="G17699" s="11"/>
      <c r="H17699" s="11"/>
      <c r="I17699" s="15"/>
    </row>
    <row r="17700" spans="1:9" ht="16.5">
      <c r="A17700" s="10" t="b">
        <v>0</v>
      </c>
      <c r="B17700" s="11" t="str">
        <f>IF(D17700&lt;&gt;"",IF(COUNTIF('USPTO TMs'!A:A,D17700)&gt;0,"Yes","No"),"")</f>
        <v/>
      </c>
      <c r="C17700" s="11"/>
      <c r="D17700" s="11"/>
      <c r="E17700" s="11"/>
      <c r="F17700" s="11"/>
      <c r="G17700" s="11"/>
      <c r="H17700" s="11"/>
      <c r="I17700" s="15"/>
    </row>
    <row r="17701" spans="1:9" ht="16.5">
      <c r="A17701" s="10" t="b">
        <v>0</v>
      </c>
      <c r="B17701" s="11" t="str">
        <f>IF(D17701&lt;&gt;"",IF(COUNTIF('USPTO TMs'!A:A,D17701)&gt;0,"Yes","No"),"")</f>
        <v/>
      </c>
      <c r="C17701" s="11"/>
      <c r="D17701" s="11"/>
      <c r="E17701" s="11"/>
      <c r="F17701" s="11"/>
      <c r="G17701" s="11"/>
      <c r="H17701" s="11"/>
      <c r="I17701" s="15"/>
    </row>
    <row r="17702" spans="1:9" ht="16.5">
      <c r="A17702" s="10" t="b">
        <v>0</v>
      </c>
      <c r="B17702" s="11" t="str">
        <f>IF(D17702&lt;&gt;"",IF(COUNTIF('USPTO TMs'!A:A,D17702)&gt;0,"Yes","No"),"")</f>
        <v/>
      </c>
      <c r="C17702" s="11"/>
      <c r="D17702" s="11"/>
      <c r="E17702" s="11"/>
      <c r="F17702" s="11"/>
      <c r="G17702" s="11"/>
      <c r="H17702" s="11"/>
      <c r="I17702" s="15"/>
    </row>
    <row r="17703" spans="1:9" ht="16.5">
      <c r="A17703" s="10" t="b">
        <v>0</v>
      </c>
      <c r="B17703" s="11" t="str">
        <f>IF(D17703&lt;&gt;"",IF(COUNTIF('USPTO TMs'!A:A,D17703)&gt;0,"Yes","No"),"")</f>
        <v/>
      </c>
      <c r="C17703" s="11"/>
      <c r="D17703" s="11"/>
      <c r="E17703" s="11"/>
      <c r="F17703" s="11"/>
      <c r="G17703" s="11"/>
      <c r="H17703" s="11"/>
      <c r="I17703" s="15"/>
    </row>
    <row r="17704" spans="1:9" ht="16.5">
      <c r="A17704" s="10" t="b">
        <v>0</v>
      </c>
      <c r="B17704" s="11" t="str">
        <f>IF(D17704&lt;&gt;"",IF(COUNTIF('USPTO TMs'!A:A,D17704)&gt;0,"Yes","No"),"")</f>
        <v/>
      </c>
      <c r="C17704" s="11"/>
      <c r="D17704" s="11"/>
      <c r="E17704" s="11"/>
      <c r="F17704" s="11"/>
      <c r="G17704" s="11"/>
      <c r="H17704" s="11"/>
      <c r="I17704" s="15"/>
    </row>
    <row r="17705" spans="1:9" ht="16.5">
      <c r="A17705" s="10" t="b">
        <v>0</v>
      </c>
      <c r="B17705" s="11" t="str">
        <f>IF(D17705&lt;&gt;"",IF(COUNTIF('USPTO TMs'!A:A,D17705)&gt;0,"Yes","No"),"")</f>
        <v/>
      </c>
      <c r="C17705" s="11"/>
      <c r="D17705" s="11"/>
      <c r="E17705" s="11"/>
      <c r="F17705" s="11"/>
      <c r="G17705" s="11"/>
      <c r="H17705" s="11"/>
      <c r="I17705" s="15"/>
    </row>
    <row r="17706" spans="1:9" ht="16.5">
      <c r="A17706" s="10" t="b">
        <v>0</v>
      </c>
      <c r="B17706" s="11" t="str">
        <f>IF(D17706&lt;&gt;"",IF(COUNTIF('USPTO TMs'!A:A,D17706)&gt;0,"Yes","No"),"")</f>
        <v/>
      </c>
      <c r="C17706" s="11"/>
      <c r="D17706" s="11"/>
      <c r="E17706" s="11"/>
      <c r="F17706" s="11"/>
      <c r="G17706" s="11"/>
      <c r="H17706" s="11"/>
      <c r="I17706" s="15"/>
    </row>
    <row r="17707" spans="1:9" ht="16.5">
      <c r="A17707" s="10" t="b">
        <v>0</v>
      </c>
      <c r="B17707" s="11" t="str">
        <f>IF(D17707&lt;&gt;"",IF(COUNTIF('USPTO TMs'!A:A,D17707)&gt;0,"Yes","No"),"")</f>
        <v/>
      </c>
      <c r="C17707" s="11"/>
      <c r="D17707" s="11"/>
      <c r="E17707" s="11"/>
      <c r="F17707" s="11"/>
      <c r="G17707" s="11"/>
      <c r="H17707" s="11"/>
      <c r="I17707" s="15"/>
    </row>
    <row r="17708" spans="1:9" ht="16.5">
      <c r="A17708" s="10" t="b">
        <v>0</v>
      </c>
      <c r="B17708" s="11" t="str">
        <f>IF(D17708&lt;&gt;"",IF(COUNTIF('USPTO TMs'!A:A,D17708)&gt;0,"Yes","No"),"")</f>
        <v/>
      </c>
      <c r="C17708" s="11"/>
      <c r="D17708" s="11"/>
      <c r="E17708" s="11"/>
      <c r="F17708" s="11"/>
      <c r="G17708" s="11"/>
      <c r="H17708" s="11"/>
      <c r="I17708" s="15"/>
    </row>
    <row r="17709" spans="1:9" ht="16.5">
      <c r="A17709" s="10" t="b">
        <v>0</v>
      </c>
      <c r="B17709" s="11" t="str">
        <f>IF(D17709&lt;&gt;"",IF(COUNTIF('USPTO TMs'!A:A,D17709)&gt;0,"Yes","No"),"")</f>
        <v/>
      </c>
      <c r="C17709" s="11"/>
      <c r="D17709" s="11"/>
      <c r="E17709" s="11"/>
      <c r="F17709" s="11"/>
      <c r="G17709" s="11"/>
      <c r="H17709" s="11"/>
      <c r="I17709" s="15"/>
    </row>
    <row r="17710" spans="1:9" ht="16.5">
      <c r="A17710" s="10" t="b">
        <v>0</v>
      </c>
      <c r="B17710" s="11" t="str">
        <f>IF(D17710&lt;&gt;"",IF(COUNTIF('USPTO TMs'!A:A,D17710)&gt;0,"Yes","No"),"")</f>
        <v/>
      </c>
      <c r="C17710" s="11"/>
      <c r="D17710" s="11"/>
      <c r="E17710" s="11"/>
      <c r="F17710" s="11"/>
      <c r="G17710" s="11"/>
      <c r="H17710" s="11"/>
      <c r="I17710" s="15"/>
    </row>
    <row r="17711" spans="1:9" ht="16.5">
      <c r="A17711" s="10" t="b">
        <v>0</v>
      </c>
      <c r="B17711" s="11" t="str">
        <f>IF(D17711&lt;&gt;"",IF(COUNTIF('USPTO TMs'!A:A,D17711)&gt;0,"Yes","No"),"")</f>
        <v/>
      </c>
      <c r="C17711" s="11"/>
      <c r="D17711" s="11"/>
      <c r="E17711" s="11"/>
      <c r="F17711" s="11"/>
      <c r="G17711" s="11"/>
      <c r="H17711" s="11"/>
      <c r="I17711" s="15"/>
    </row>
    <row r="17712" spans="1:9" ht="16.5">
      <c r="A17712" s="10" t="b">
        <v>0</v>
      </c>
      <c r="B17712" s="11" t="str">
        <f>IF(D17712&lt;&gt;"",IF(COUNTIF('USPTO TMs'!A:A,D17712)&gt;0,"Yes","No"),"")</f>
        <v/>
      </c>
      <c r="C17712" s="11"/>
      <c r="D17712" s="11"/>
      <c r="E17712" s="11"/>
      <c r="F17712" s="11"/>
      <c r="G17712" s="11"/>
      <c r="H17712" s="11"/>
      <c r="I17712" s="15"/>
    </row>
    <row r="17713" spans="1:9" ht="16.5">
      <c r="A17713" s="10" t="b">
        <v>0</v>
      </c>
      <c r="B17713" s="11" t="str">
        <f>IF(D17713&lt;&gt;"",IF(COUNTIF('USPTO TMs'!A:A,D17713)&gt;0,"Yes","No"),"")</f>
        <v/>
      </c>
      <c r="C17713" s="11"/>
      <c r="D17713" s="11"/>
      <c r="E17713" s="11"/>
      <c r="F17713" s="11"/>
      <c r="G17713" s="11"/>
      <c r="H17713" s="11"/>
      <c r="I17713" s="15"/>
    </row>
    <row r="17714" spans="1:9" ht="16.5">
      <c r="A17714" s="10" t="b">
        <v>0</v>
      </c>
      <c r="B17714" s="11" t="str">
        <f>IF(D17714&lt;&gt;"",IF(COUNTIF('USPTO TMs'!A:A,D17714)&gt;0,"Yes","No"),"")</f>
        <v/>
      </c>
      <c r="C17714" s="11"/>
      <c r="D17714" s="11"/>
      <c r="E17714" s="11"/>
      <c r="F17714" s="11"/>
      <c r="G17714" s="11"/>
      <c r="H17714" s="11"/>
      <c r="I17714" s="15"/>
    </row>
    <row r="17715" spans="1:9" ht="16.5">
      <c r="A17715" s="10" t="b">
        <v>0</v>
      </c>
      <c r="B17715" s="11" t="str">
        <f>IF(D17715&lt;&gt;"",IF(COUNTIF('USPTO TMs'!A:A,D17715)&gt;0,"Yes","No"),"")</f>
        <v/>
      </c>
      <c r="C17715" s="11"/>
      <c r="D17715" s="11"/>
      <c r="E17715" s="11"/>
      <c r="F17715" s="11"/>
      <c r="G17715" s="11"/>
      <c r="H17715" s="11"/>
      <c r="I17715" s="15"/>
    </row>
    <row r="17716" spans="1:9" ht="16.5">
      <c r="A17716" s="10" t="b">
        <v>0</v>
      </c>
      <c r="B17716" s="11" t="str">
        <f>IF(D17716&lt;&gt;"",IF(COUNTIF('USPTO TMs'!A:A,D17716)&gt;0,"Yes","No"),"")</f>
        <v/>
      </c>
      <c r="C17716" s="11"/>
      <c r="D17716" s="11"/>
      <c r="E17716" s="11"/>
      <c r="F17716" s="11"/>
      <c r="G17716" s="11"/>
      <c r="H17716" s="11"/>
      <c r="I17716" s="15"/>
    </row>
    <row r="17717" spans="1:9" ht="16.5">
      <c r="A17717" s="10" t="b">
        <v>0</v>
      </c>
      <c r="B17717" s="11" t="str">
        <f>IF(D17717&lt;&gt;"",IF(COUNTIF('USPTO TMs'!A:A,D17717)&gt;0,"Yes","No"),"")</f>
        <v/>
      </c>
      <c r="C17717" s="11"/>
      <c r="D17717" s="11"/>
      <c r="E17717" s="11"/>
      <c r="F17717" s="11"/>
      <c r="G17717" s="11"/>
      <c r="H17717" s="11"/>
      <c r="I17717" s="15"/>
    </row>
    <row r="17718" spans="1:9" ht="16.5">
      <c r="A17718" s="10" t="b">
        <v>0</v>
      </c>
      <c r="B17718" s="11" t="str">
        <f>IF(D17718&lt;&gt;"",IF(COUNTIF('USPTO TMs'!A:A,D17718)&gt;0,"Yes","No"),"")</f>
        <v/>
      </c>
      <c r="C17718" s="11"/>
      <c r="D17718" s="11"/>
      <c r="E17718" s="11"/>
      <c r="F17718" s="11"/>
      <c r="G17718" s="11"/>
      <c r="H17718" s="11"/>
      <c r="I17718" s="15"/>
    </row>
    <row r="17719" spans="1:9" ht="16.5">
      <c r="A17719" s="10" t="b">
        <v>0</v>
      </c>
      <c r="B17719" s="11" t="str">
        <f>IF(D17719&lt;&gt;"",IF(COUNTIF('USPTO TMs'!A:A,D17719)&gt;0,"Yes","No"),"")</f>
        <v/>
      </c>
      <c r="C17719" s="11"/>
      <c r="D17719" s="11"/>
      <c r="E17719" s="11"/>
      <c r="F17719" s="11"/>
      <c r="G17719" s="11"/>
      <c r="H17719" s="11"/>
      <c r="I17719" s="15"/>
    </row>
    <row r="17720" spans="1:9" ht="16.5">
      <c r="A17720" s="10" t="b">
        <v>0</v>
      </c>
      <c r="B17720" s="11" t="str">
        <f>IF(D17720&lt;&gt;"",IF(COUNTIF('USPTO TMs'!A:A,D17720)&gt;0,"Yes","No"),"")</f>
        <v/>
      </c>
      <c r="C17720" s="11"/>
      <c r="D17720" s="11"/>
      <c r="E17720" s="11"/>
      <c r="F17720" s="11"/>
      <c r="G17720" s="11"/>
      <c r="H17720" s="11"/>
      <c r="I17720" s="15"/>
    </row>
    <row r="17721" spans="1:9" ht="16.5">
      <c r="A17721" s="10" t="b">
        <v>0</v>
      </c>
      <c r="B17721" s="11" t="str">
        <f>IF(D17721&lt;&gt;"",IF(COUNTIF('USPTO TMs'!A:A,D17721)&gt;0,"Yes","No"),"")</f>
        <v/>
      </c>
      <c r="C17721" s="11"/>
      <c r="D17721" s="11"/>
      <c r="E17721" s="11"/>
      <c r="F17721" s="11"/>
      <c r="G17721" s="11"/>
      <c r="H17721" s="11"/>
      <c r="I17721" s="15"/>
    </row>
    <row r="17722" spans="1:9" ht="16.5">
      <c r="A17722" s="10" t="b">
        <v>0</v>
      </c>
      <c r="B17722" s="11" t="str">
        <f>IF(D17722&lt;&gt;"",IF(COUNTIF('USPTO TMs'!A:A,D17722)&gt;0,"Yes","No"),"")</f>
        <v/>
      </c>
      <c r="C17722" s="11"/>
      <c r="D17722" s="11"/>
      <c r="E17722" s="11"/>
      <c r="F17722" s="11"/>
      <c r="G17722" s="11"/>
      <c r="H17722" s="11"/>
      <c r="I17722" s="15"/>
    </row>
    <row r="17723" spans="1:9" ht="16.5">
      <c r="A17723" s="10" t="b">
        <v>0</v>
      </c>
      <c r="B17723" s="11" t="str">
        <f>IF(D17723&lt;&gt;"",IF(COUNTIF('USPTO TMs'!A:A,D17723)&gt;0,"Yes","No"),"")</f>
        <v/>
      </c>
      <c r="C17723" s="11"/>
      <c r="D17723" s="11"/>
      <c r="E17723" s="11"/>
      <c r="F17723" s="11"/>
      <c r="G17723" s="11"/>
      <c r="H17723" s="11"/>
      <c r="I17723" s="15"/>
    </row>
    <row r="17724" spans="1:9" ht="16.5">
      <c r="A17724" s="10" t="b">
        <v>0</v>
      </c>
      <c r="B17724" s="11" t="str">
        <f>IF(D17724&lt;&gt;"",IF(COUNTIF('USPTO TMs'!A:A,D17724)&gt;0,"Yes","No"),"")</f>
        <v/>
      </c>
      <c r="C17724" s="11"/>
      <c r="D17724" s="11"/>
      <c r="E17724" s="11"/>
      <c r="F17724" s="11"/>
      <c r="G17724" s="11"/>
      <c r="H17724" s="11"/>
      <c r="I17724" s="15"/>
    </row>
    <row r="17725" spans="1:9" ht="16.5">
      <c r="A17725" s="10" t="b">
        <v>0</v>
      </c>
      <c r="B17725" s="11" t="str">
        <f>IF(D17725&lt;&gt;"",IF(COUNTIF('USPTO TMs'!A:A,D17725)&gt;0,"Yes","No"),"")</f>
        <v/>
      </c>
      <c r="C17725" s="11"/>
      <c r="D17725" s="11"/>
      <c r="E17725" s="11"/>
      <c r="F17725" s="11"/>
      <c r="G17725" s="11"/>
      <c r="H17725" s="11"/>
      <c r="I17725" s="15"/>
    </row>
    <row r="17726" spans="1:9" ht="16.5">
      <c r="A17726" s="10" t="b">
        <v>0</v>
      </c>
      <c r="B17726" s="11" t="str">
        <f>IF(D17726&lt;&gt;"",IF(COUNTIF('USPTO TMs'!A:A,D17726)&gt;0,"Yes","No"),"")</f>
        <v/>
      </c>
      <c r="C17726" s="11"/>
      <c r="D17726" s="11"/>
      <c r="E17726" s="11"/>
      <c r="F17726" s="11"/>
      <c r="G17726" s="11"/>
      <c r="H17726" s="11"/>
      <c r="I17726" s="15"/>
    </row>
    <row r="17727" spans="1:9" ht="16.5">
      <c r="A17727" s="10" t="b">
        <v>0</v>
      </c>
      <c r="B17727" s="11" t="str">
        <f>IF(D17727&lt;&gt;"",IF(COUNTIF('USPTO TMs'!A:A,D17727)&gt;0,"Yes","No"),"")</f>
        <v/>
      </c>
      <c r="C17727" s="11"/>
      <c r="D17727" s="11"/>
      <c r="E17727" s="11"/>
      <c r="F17727" s="11"/>
      <c r="G17727" s="11"/>
      <c r="H17727" s="11"/>
      <c r="I17727" s="15"/>
    </row>
    <row r="17728" spans="1:9" ht="16.5">
      <c r="A17728" s="10" t="b">
        <v>0</v>
      </c>
      <c r="B17728" s="11" t="str">
        <f>IF(D17728&lt;&gt;"",IF(COUNTIF('USPTO TMs'!A:A,D17728)&gt;0,"Yes","No"),"")</f>
        <v/>
      </c>
      <c r="C17728" s="11"/>
      <c r="D17728" s="11"/>
      <c r="E17728" s="11"/>
      <c r="F17728" s="11"/>
      <c r="G17728" s="11"/>
      <c r="H17728" s="11"/>
      <c r="I17728" s="15"/>
    </row>
    <row r="17729" spans="1:9" ht="16.5">
      <c r="A17729" s="10" t="b">
        <v>0</v>
      </c>
      <c r="B17729" s="11" t="str">
        <f>IF(D17729&lt;&gt;"",IF(COUNTIF('USPTO TMs'!A:A,D17729)&gt;0,"Yes","No"),"")</f>
        <v/>
      </c>
      <c r="C17729" s="11"/>
      <c r="D17729" s="11"/>
      <c r="E17729" s="11"/>
      <c r="F17729" s="11"/>
      <c r="G17729" s="11"/>
      <c r="H17729" s="11"/>
      <c r="I17729" s="15"/>
    </row>
    <row r="17730" spans="1:9" ht="16.5">
      <c r="A17730" s="10" t="b">
        <v>0</v>
      </c>
      <c r="B17730" s="11" t="str">
        <f>IF(D17730&lt;&gt;"",IF(COUNTIF('USPTO TMs'!A:A,D17730)&gt;0,"Yes","No"),"")</f>
        <v/>
      </c>
      <c r="C17730" s="11"/>
      <c r="D17730" s="11"/>
      <c r="E17730" s="11"/>
      <c r="F17730" s="11"/>
      <c r="G17730" s="11"/>
      <c r="H17730" s="11"/>
      <c r="I17730" s="15"/>
    </row>
    <row r="17731" spans="1:9" ht="16.5">
      <c r="A17731" s="10" t="b">
        <v>0</v>
      </c>
      <c r="B17731" s="11" t="str">
        <f>IF(D17731&lt;&gt;"",IF(COUNTIF('USPTO TMs'!A:A,D17731)&gt;0,"Yes","No"),"")</f>
        <v/>
      </c>
      <c r="C17731" s="11"/>
      <c r="D17731" s="11"/>
      <c r="E17731" s="11"/>
      <c r="F17731" s="11"/>
      <c r="G17731" s="11"/>
      <c r="H17731" s="11"/>
      <c r="I17731" s="15"/>
    </row>
    <row r="17732" spans="1:9" ht="16.5">
      <c r="A17732" s="10" t="b">
        <v>0</v>
      </c>
      <c r="B17732" s="11" t="str">
        <f>IF(D17732&lt;&gt;"",IF(COUNTIF('USPTO TMs'!A:A,D17732)&gt;0,"Yes","No"),"")</f>
        <v/>
      </c>
      <c r="C17732" s="11"/>
      <c r="D17732" s="11"/>
      <c r="E17732" s="11"/>
      <c r="F17732" s="11"/>
      <c r="G17732" s="11"/>
      <c r="H17732" s="11"/>
      <c r="I17732" s="15"/>
    </row>
    <row r="17733" spans="1:9" ht="16.5">
      <c r="A17733" s="10" t="b">
        <v>0</v>
      </c>
      <c r="B17733" s="11" t="str">
        <f>IF(D17733&lt;&gt;"",IF(COUNTIF('USPTO TMs'!A:A,D17733)&gt;0,"Yes","No"),"")</f>
        <v/>
      </c>
      <c r="C17733" s="11"/>
      <c r="D17733" s="11"/>
      <c r="E17733" s="11"/>
      <c r="F17733" s="11"/>
      <c r="G17733" s="11"/>
      <c r="H17733" s="11"/>
      <c r="I17733" s="15"/>
    </row>
    <row r="17734" spans="1:9" ht="16.5">
      <c r="A17734" s="10" t="b">
        <v>0</v>
      </c>
      <c r="B17734" s="11" t="str">
        <f>IF(D17734&lt;&gt;"",IF(COUNTIF('USPTO TMs'!A:A,D17734)&gt;0,"Yes","No"),"")</f>
        <v/>
      </c>
      <c r="C17734" s="11"/>
      <c r="D17734" s="11"/>
      <c r="E17734" s="11"/>
      <c r="F17734" s="11"/>
      <c r="G17734" s="11"/>
      <c r="H17734" s="11"/>
      <c r="I17734" s="15"/>
    </row>
    <row r="17735" spans="1:9" ht="16.5">
      <c r="A17735" s="10" t="b">
        <v>0</v>
      </c>
      <c r="B17735" s="11" t="str">
        <f>IF(D17735&lt;&gt;"",IF(COUNTIF('USPTO TMs'!A:A,D17735)&gt;0,"Yes","No"),"")</f>
        <v/>
      </c>
      <c r="C17735" s="11"/>
      <c r="D17735" s="11"/>
      <c r="E17735" s="11"/>
      <c r="F17735" s="11"/>
      <c r="G17735" s="11"/>
      <c r="H17735" s="11"/>
      <c r="I17735" s="15"/>
    </row>
    <row r="17736" spans="1:9" ht="16.5">
      <c r="A17736" s="10" t="b">
        <v>0</v>
      </c>
      <c r="B17736" s="11" t="str">
        <f>IF(D17736&lt;&gt;"",IF(COUNTIF('USPTO TMs'!A:A,D17736)&gt;0,"Yes","No"),"")</f>
        <v/>
      </c>
      <c r="C17736" s="11"/>
      <c r="D17736" s="11"/>
      <c r="E17736" s="11"/>
      <c r="F17736" s="11"/>
      <c r="G17736" s="11"/>
      <c r="H17736" s="11"/>
      <c r="I17736" s="15"/>
    </row>
    <row r="17737" spans="1:9" ht="16.5">
      <c r="A17737" s="10" t="b">
        <v>0</v>
      </c>
      <c r="B17737" s="11" t="str">
        <f>IF(D17737&lt;&gt;"",IF(COUNTIF('USPTO TMs'!A:A,D17737)&gt;0,"Yes","No"),"")</f>
        <v/>
      </c>
      <c r="C17737" s="11"/>
      <c r="D17737" s="11"/>
      <c r="E17737" s="11"/>
      <c r="F17737" s="11"/>
      <c r="G17737" s="11"/>
      <c r="H17737" s="11"/>
      <c r="I17737" s="15"/>
    </row>
    <row r="17738" spans="1:9" ht="16.5">
      <c r="A17738" s="10" t="b">
        <v>0</v>
      </c>
      <c r="B17738" s="11" t="str">
        <f>IF(D17738&lt;&gt;"",IF(COUNTIF('USPTO TMs'!A:A,D17738)&gt;0,"Yes","No"),"")</f>
        <v/>
      </c>
      <c r="C17738" s="11"/>
      <c r="D17738" s="11"/>
      <c r="E17738" s="11"/>
      <c r="F17738" s="11"/>
      <c r="G17738" s="11"/>
      <c r="H17738" s="11"/>
      <c r="I17738" s="15"/>
    </row>
    <row r="17739" spans="1:9" ht="16.5">
      <c r="A17739" s="10" t="b">
        <v>0</v>
      </c>
      <c r="B17739" s="11" t="str">
        <f>IF(D17739&lt;&gt;"",IF(COUNTIF('USPTO TMs'!A:A,D17739)&gt;0,"Yes","No"),"")</f>
        <v/>
      </c>
      <c r="C17739" s="11"/>
      <c r="D17739" s="11"/>
      <c r="E17739" s="11"/>
      <c r="F17739" s="11"/>
      <c r="G17739" s="11"/>
      <c r="H17739" s="11"/>
      <c r="I17739" s="15"/>
    </row>
    <row r="17740" spans="1:9" ht="16.5">
      <c r="A17740" s="10" t="b">
        <v>0</v>
      </c>
      <c r="B17740" s="11" t="str">
        <f>IF(D17740&lt;&gt;"",IF(COUNTIF('USPTO TMs'!A:A,D17740)&gt;0,"Yes","No"),"")</f>
        <v/>
      </c>
      <c r="C17740" s="11"/>
      <c r="D17740" s="11"/>
      <c r="E17740" s="11"/>
      <c r="F17740" s="11"/>
      <c r="G17740" s="11"/>
      <c r="H17740" s="11"/>
      <c r="I17740" s="15"/>
    </row>
    <row r="17741" spans="1:9" ht="16.5">
      <c r="A17741" s="10" t="b">
        <v>0</v>
      </c>
      <c r="B17741" s="11" t="str">
        <f>IF(D17741&lt;&gt;"",IF(COUNTIF('USPTO TMs'!A:A,D17741)&gt;0,"Yes","No"),"")</f>
        <v/>
      </c>
      <c r="C17741" s="11"/>
      <c r="D17741" s="11"/>
      <c r="E17741" s="11"/>
      <c r="F17741" s="11"/>
      <c r="G17741" s="11"/>
      <c r="H17741" s="11"/>
      <c r="I17741" s="15"/>
    </row>
    <row r="17742" spans="1:9" ht="16.5">
      <c r="A17742" s="10" t="b">
        <v>0</v>
      </c>
      <c r="B17742" s="11" t="str">
        <f>IF(D17742&lt;&gt;"",IF(COUNTIF('USPTO TMs'!A:A,D17742)&gt;0,"Yes","No"),"")</f>
        <v/>
      </c>
      <c r="C17742" s="11"/>
      <c r="D17742" s="11"/>
      <c r="E17742" s="11"/>
      <c r="F17742" s="11"/>
      <c r="G17742" s="11"/>
      <c r="H17742" s="11"/>
      <c r="I17742" s="15"/>
    </row>
    <row r="17743" spans="1:9" ht="16.5">
      <c r="A17743" s="10" t="b">
        <v>0</v>
      </c>
      <c r="B17743" s="11" t="str">
        <f>IF(D17743&lt;&gt;"",IF(COUNTIF('USPTO TMs'!A:A,D17743)&gt;0,"Yes","No"),"")</f>
        <v/>
      </c>
      <c r="C17743" s="11"/>
      <c r="D17743" s="11"/>
      <c r="E17743" s="11"/>
      <c r="F17743" s="11"/>
      <c r="G17743" s="11"/>
      <c r="H17743" s="11"/>
      <c r="I17743" s="15"/>
    </row>
    <row r="17744" spans="1:9" ht="16.5">
      <c r="A17744" s="10" t="b">
        <v>0</v>
      </c>
      <c r="B17744" s="11" t="str">
        <f>IF(D17744&lt;&gt;"",IF(COUNTIF('USPTO TMs'!A:A,D17744)&gt;0,"Yes","No"),"")</f>
        <v/>
      </c>
      <c r="C17744" s="11"/>
      <c r="D17744" s="11"/>
      <c r="E17744" s="11"/>
      <c r="F17744" s="11"/>
      <c r="G17744" s="11"/>
      <c r="H17744" s="11"/>
      <c r="I17744" s="15"/>
    </row>
    <row r="17745" spans="1:9" ht="16.5">
      <c r="A17745" s="10" t="b">
        <v>0</v>
      </c>
      <c r="B17745" s="11" t="str">
        <f>IF(D17745&lt;&gt;"",IF(COUNTIF('USPTO TMs'!A:A,D17745)&gt;0,"Yes","No"),"")</f>
        <v/>
      </c>
      <c r="C17745" s="11"/>
      <c r="D17745" s="11"/>
      <c r="E17745" s="11"/>
      <c r="F17745" s="11"/>
      <c r="G17745" s="11"/>
      <c r="H17745" s="11"/>
      <c r="I17745" s="15"/>
    </row>
    <row r="17746" spans="1:9" ht="16.5">
      <c r="A17746" s="10" t="b">
        <v>0</v>
      </c>
      <c r="B17746" s="11" t="str">
        <f>IF(D17746&lt;&gt;"",IF(COUNTIF('USPTO TMs'!A:A,D17746)&gt;0,"Yes","No"),"")</f>
        <v/>
      </c>
      <c r="C17746" s="11"/>
      <c r="D17746" s="11"/>
      <c r="E17746" s="11"/>
      <c r="F17746" s="11"/>
      <c r="G17746" s="11"/>
      <c r="H17746" s="11"/>
      <c r="I17746" s="15"/>
    </row>
    <row r="17747" spans="1:9" ht="16.5">
      <c r="A17747" s="10" t="b">
        <v>0</v>
      </c>
      <c r="B17747" s="11" t="str">
        <f>IF(D17747&lt;&gt;"",IF(COUNTIF('USPTO TMs'!A:A,D17747)&gt;0,"Yes","No"),"")</f>
        <v/>
      </c>
      <c r="C17747" s="11"/>
      <c r="D17747" s="11"/>
      <c r="E17747" s="11"/>
      <c r="F17747" s="11"/>
      <c r="G17747" s="11"/>
      <c r="H17747" s="11"/>
      <c r="I17747" s="15"/>
    </row>
    <row r="17748" spans="1:9" ht="16.5">
      <c r="A17748" s="10" t="b">
        <v>0</v>
      </c>
      <c r="B17748" s="11" t="str">
        <f>IF(D17748&lt;&gt;"",IF(COUNTIF('USPTO TMs'!A:A,D17748)&gt;0,"Yes","No"),"")</f>
        <v/>
      </c>
      <c r="C17748" s="11"/>
      <c r="D17748" s="11"/>
      <c r="E17748" s="11"/>
      <c r="F17748" s="11"/>
      <c r="G17748" s="11"/>
      <c r="H17748" s="11"/>
      <c r="I17748" s="15"/>
    </row>
    <row r="17749" spans="1:9" ht="16.5">
      <c r="A17749" s="10" t="b">
        <v>0</v>
      </c>
      <c r="B17749" s="11" t="str">
        <f>IF(D17749&lt;&gt;"",IF(COUNTIF('USPTO TMs'!A:A,D17749)&gt;0,"Yes","No"),"")</f>
        <v/>
      </c>
      <c r="C17749" s="11"/>
      <c r="D17749" s="11"/>
      <c r="E17749" s="11"/>
      <c r="F17749" s="11"/>
      <c r="G17749" s="11"/>
      <c r="H17749" s="11"/>
      <c r="I17749" s="15"/>
    </row>
    <row r="17750" spans="1:9" ht="16.5">
      <c r="A17750" s="10" t="b">
        <v>0</v>
      </c>
      <c r="B17750" s="11" t="str">
        <f>IF(D17750&lt;&gt;"",IF(COUNTIF('USPTO TMs'!A:A,D17750)&gt;0,"Yes","No"),"")</f>
        <v/>
      </c>
      <c r="C17750" s="11"/>
      <c r="D17750" s="11"/>
      <c r="E17750" s="11"/>
      <c r="F17750" s="11"/>
      <c r="G17750" s="11"/>
      <c r="H17750" s="11"/>
      <c r="I17750" s="15"/>
    </row>
    <row r="17751" spans="1:9" ht="16.5">
      <c r="A17751" s="10" t="b">
        <v>0</v>
      </c>
      <c r="B17751" s="11" t="str">
        <f>IF(D17751&lt;&gt;"",IF(COUNTIF('USPTO TMs'!A:A,D17751)&gt;0,"Yes","No"),"")</f>
        <v/>
      </c>
      <c r="C17751" s="11"/>
      <c r="D17751" s="11"/>
      <c r="E17751" s="11"/>
      <c r="F17751" s="11"/>
      <c r="G17751" s="11"/>
      <c r="H17751" s="11"/>
      <c r="I17751" s="15"/>
    </row>
    <row r="17752" spans="1:9" ht="16.5">
      <c r="A17752" s="10" t="b">
        <v>0</v>
      </c>
      <c r="B17752" s="11" t="str">
        <f>IF(D17752&lt;&gt;"",IF(COUNTIF('USPTO TMs'!A:A,D17752)&gt;0,"Yes","No"),"")</f>
        <v/>
      </c>
      <c r="C17752" s="11"/>
      <c r="D17752" s="11"/>
      <c r="E17752" s="11"/>
      <c r="F17752" s="11"/>
      <c r="G17752" s="11"/>
      <c r="H17752" s="11"/>
      <c r="I17752" s="15"/>
    </row>
    <row r="17753" spans="1:9" ht="16.5">
      <c r="A17753" s="10" t="b">
        <v>0</v>
      </c>
      <c r="B17753" s="11" t="str">
        <f>IF(D17753&lt;&gt;"",IF(COUNTIF('USPTO TMs'!A:A,D17753)&gt;0,"Yes","No"),"")</f>
        <v/>
      </c>
      <c r="C17753" s="11"/>
      <c r="D17753" s="11"/>
      <c r="E17753" s="11"/>
      <c r="F17753" s="11"/>
      <c r="G17753" s="11"/>
      <c r="H17753" s="11"/>
      <c r="I17753" s="15"/>
    </row>
    <row r="17754" spans="1:9" ht="16.5">
      <c r="A17754" s="10" t="b">
        <v>0</v>
      </c>
      <c r="B17754" s="11" t="str">
        <f>IF(D17754&lt;&gt;"",IF(COUNTIF('USPTO TMs'!A:A,D17754)&gt;0,"Yes","No"),"")</f>
        <v/>
      </c>
      <c r="C17754" s="11"/>
      <c r="D17754" s="11"/>
      <c r="E17754" s="11"/>
      <c r="F17754" s="11"/>
      <c r="G17754" s="11"/>
      <c r="H17754" s="11"/>
      <c r="I17754" s="15"/>
    </row>
    <row r="17755" spans="1:9" ht="16.5">
      <c r="A17755" s="10" t="b">
        <v>0</v>
      </c>
      <c r="B17755" s="11" t="str">
        <f>IF(D17755&lt;&gt;"",IF(COUNTIF('USPTO TMs'!A:A,D17755)&gt;0,"Yes","No"),"")</f>
        <v/>
      </c>
      <c r="C17755" s="11"/>
      <c r="D17755" s="11"/>
      <c r="E17755" s="11"/>
      <c r="F17755" s="11"/>
      <c r="G17755" s="11"/>
      <c r="H17755" s="11"/>
      <c r="I17755" s="15"/>
    </row>
    <row r="17756" spans="1:9" ht="16.5">
      <c r="A17756" s="10" t="b">
        <v>0</v>
      </c>
      <c r="B17756" s="11" t="str">
        <f>IF(D17756&lt;&gt;"",IF(COUNTIF('USPTO TMs'!A:A,D17756)&gt;0,"Yes","No"),"")</f>
        <v/>
      </c>
      <c r="C17756" s="11"/>
      <c r="D17756" s="11"/>
      <c r="E17756" s="11"/>
      <c r="F17756" s="11"/>
      <c r="G17756" s="11"/>
      <c r="H17756" s="11"/>
      <c r="I17756" s="15"/>
    </row>
    <row r="17757" spans="1:9" ht="16.5">
      <c r="A17757" s="10" t="b">
        <v>0</v>
      </c>
      <c r="B17757" s="11" t="str">
        <f>IF(D17757&lt;&gt;"",IF(COUNTIF('USPTO TMs'!A:A,D17757)&gt;0,"Yes","No"),"")</f>
        <v/>
      </c>
      <c r="C17757" s="11"/>
      <c r="D17757" s="11"/>
      <c r="E17757" s="11"/>
      <c r="F17757" s="11"/>
      <c r="G17757" s="11"/>
      <c r="H17757" s="11"/>
      <c r="I17757" s="15"/>
    </row>
    <row r="17758" spans="1:9" ht="16.5">
      <c r="A17758" s="10" t="b">
        <v>0</v>
      </c>
      <c r="B17758" s="11" t="str">
        <f>IF(D17758&lt;&gt;"",IF(COUNTIF('USPTO TMs'!A:A,D17758)&gt;0,"Yes","No"),"")</f>
        <v/>
      </c>
      <c r="C17758" s="11"/>
      <c r="D17758" s="11"/>
      <c r="E17758" s="11"/>
      <c r="F17758" s="11"/>
      <c r="G17758" s="11"/>
      <c r="H17758" s="11"/>
      <c r="I17758" s="15"/>
    </row>
    <row r="17759" spans="1:9" ht="16.5">
      <c r="A17759" s="10" t="b">
        <v>0</v>
      </c>
      <c r="B17759" s="11" t="str">
        <f>IF(D17759&lt;&gt;"",IF(COUNTIF('USPTO TMs'!A:A,D17759)&gt;0,"Yes","No"),"")</f>
        <v/>
      </c>
      <c r="C17759" s="11"/>
      <c r="D17759" s="11"/>
      <c r="E17759" s="11"/>
      <c r="F17759" s="11"/>
      <c r="G17759" s="11"/>
      <c r="H17759" s="11"/>
      <c r="I17759" s="15"/>
    </row>
    <row r="17760" spans="1:9" ht="16.5">
      <c r="A17760" s="10" t="b">
        <v>0</v>
      </c>
      <c r="B17760" s="11" t="str">
        <f>IF(D17760&lt;&gt;"",IF(COUNTIF('USPTO TMs'!A:A,D17760)&gt;0,"Yes","No"),"")</f>
        <v/>
      </c>
      <c r="C17760" s="11"/>
      <c r="D17760" s="11"/>
      <c r="E17760" s="11"/>
      <c r="F17760" s="11"/>
      <c r="G17760" s="11"/>
      <c r="H17760" s="11"/>
      <c r="I17760" s="15"/>
    </row>
    <row r="17761" spans="1:9" ht="16.5">
      <c r="A17761" s="10" t="b">
        <v>0</v>
      </c>
      <c r="B17761" s="11" t="str">
        <f>IF(D17761&lt;&gt;"",IF(COUNTIF('USPTO TMs'!A:A,D17761)&gt;0,"Yes","No"),"")</f>
        <v/>
      </c>
      <c r="C17761" s="11"/>
      <c r="D17761" s="11"/>
      <c r="E17761" s="11"/>
      <c r="F17761" s="11"/>
      <c r="G17761" s="11"/>
      <c r="H17761" s="11"/>
      <c r="I17761" s="15"/>
    </row>
    <row r="17762" spans="1:9" ht="16.5">
      <c r="A17762" s="10" t="b">
        <v>0</v>
      </c>
      <c r="B17762" s="11" t="str">
        <f>IF(D17762&lt;&gt;"",IF(COUNTIF('USPTO TMs'!A:A,D17762)&gt;0,"Yes","No"),"")</f>
        <v/>
      </c>
      <c r="C17762" s="11"/>
      <c r="D17762" s="11"/>
      <c r="E17762" s="11"/>
      <c r="F17762" s="11"/>
      <c r="G17762" s="11"/>
      <c r="H17762" s="11"/>
      <c r="I17762" s="15"/>
    </row>
    <row r="17763" spans="1:9" ht="16.5">
      <c r="A17763" s="10" t="b">
        <v>0</v>
      </c>
      <c r="B17763" s="11" t="str">
        <f>IF(D17763&lt;&gt;"",IF(COUNTIF('USPTO TMs'!A:A,D17763)&gt;0,"Yes","No"),"")</f>
        <v/>
      </c>
      <c r="C17763" s="11"/>
      <c r="D17763" s="11"/>
      <c r="E17763" s="11"/>
      <c r="F17763" s="11"/>
      <c r="G17763" s="11"/>
      <c r="H17763" s="11"/>
      <c r="I17763" s="15"/>
    </row>
    <row r="17764" spans="1:9" ht="16.5">
      <c r="A17764" s="10" t="b">
        <v>0</v>
      </c>
      <c r="B17764" s="11" t="str">
        <f>IF(D17764&lt;&gt;"",IF(COUNTIF('USPTO TMs'!A:A,D17764)&gt;0,"Yes","No"),"")</f>
        <v/>
      </c>
      <c r="C17764" s="11"/>
      <c r="D17764" s="11"/>
      <c r="E17764" s="11"/>
      <c r="F17764" s="11"/>
      <c r="G17764" s="11"/>
      <c r="H17764" s="11"/>
      <c r="I17764" s="15"/>
    </row>
    <row r="17765" spans="1:9" ht="16.5">
      <c r="A17765" s="10" t="b">
        <v>0</v>
      </c>
      <c r="B17765" s="11" t="str">
        <f>IF(D17765&lt;&gt;"",IF(COUNTIF('USPTO TMs'!A:A,D17765)&gt;0,"Yes","No"),"")</f>
        <v/>
      </c>
      <c r="C17765" s="11"/>
      <c r="D17765" s="11"/>
      <c r="E17765" s="11"/>
      <c r="F17765" s="11"/>
      <c r="G17765" s="11"/>
      <c r="H17765" s="11"/>
      <c r="I17765" s="15"/>
    </row>
    <row r="17766" spans="1:9" ht="16.5">
      <c r="A17766" s="10" t="b">
        <v>0</v>
      </c>
      <c r="B17766" s="11" t="str">
        <f>IF(D17766&lt;&gt;"",IF(COUNTIF('USPTO TMs'!A:A,D17766)&gt;0,"Yes","No"),"")</f>
        <v/>
      </c>
      <c r="C17766" s="11"/>
      <c r="D17766" s="11"/>
      <c r="E17766" s="11"/>
      <c r="F17766" s="11"/>
      <c r="G17766" s="11"/>
      <c r="H17766" s="11"/>
      <c r="I17766" s="15"/>
    </row>
    <row r="17767" spans="1:9" ht="16.5">
      <c r="A17767" s="10" t="b">
        <v>0</v>
      </c>
      <c r="B17767" s="11" t="str">
        <f>IF(D17767&lt;&gt;"",IF(COUNTIF('USPTO TMs'!A:A,D17767)&gt;0,"Yes","No"),"")</f>
        <v/>
      </c>
      <c r="C17767" s="11"/>
      <c r="D17767" s="11"/>
      <c r="E17767" s="11"/>
      <c r="F17767" s="11"/>
      <c r="G17767" s="11"/>
      <c r="H17767" s="11"/>
      <c r="I17767" s="15"/>
    </row>
    <row r="17768" spans="1:9" ht="16.5">
      <c r="A17768" s="10" t="b">
        <v>0</v>
      </c>
      <c r="B17768" s="11" t="str">
        <f>IF(D17768&lt;&gt;"",IF(COUNTIF('USPTO TMs'!A:A,D17768)&gt;0,"Yes","No"),"")</f>
        <v/>
      </c>
      <c r="C17768" s="11"/>
      <c r="D17768" s="11"/>
      <c r="E17768" s="11"/>
      <c r="F17768" s="11"/>
      <c r="G17768" s="11"/>
      <c r="H17768" s="11"/>
      <c r="I17768" s="15"/>
    </row>
    <row r="17769" spans="1:9" ht="16.5">
      <c r="A17769" s="10" t="b">
        <v>0</v>
      </c>
      <c r="B17769" s="11" t="str">
        <f>IF(D17769&lt;&gt;"",IF(COUNTIF('USPTO TMs'!A:A,D17769)&gt;0,"Yes","No"),"")</f>
        <v/>
      </c>
      <c r="C17769" s="11"/>
      <c r="D17769" s="11"/>
      <c r="E17769" s="11"/>
      <c r="F17769" s="11"/>
      <c r="G17769" s="11"/>
      <c r="H17769" s="11"/>
      <c r="I17769" s="15"/>
    </row>
    <row r="17770" spans="1:9" ht="16.5">
      <c r="A17770" s="10" t="b">
        <v>0</v>
      </c>
      <c r="B17770" s="11" t="str">
        <f>IF(D17770&lt;&gt;"",IF(COUNTIF('USPTO TMs'!A:A,D17770)&gt;0,"Yes","No"),"")</f>
        <v/>
      </c>
      <c r="C17770" s="11"/>
      <c r="D17770" s="11"/>
      <c r="E17770" s="11"/>
      <c r="F17770" s="11"/>
      <c r="G17770" s="11"/>
      <c r="H17770" s="11"/>
      <c r="I17770" s="15"/>
    </row>
    <row r="17771" spans="1:9" ht="16.5">
      <c r="A17771" s="10" t="b">
        <v>0</v>
      </c>
      <c r="B17771" s="11" t="str">
        <f>IF(D17771&lt;&gt;"",IF(COUNTIF('USPTO TMs'!A:A,D17771)&gt;0,"Yes","No"),"")</f>
        <v/>
      </c>
      <c r="C17771" s="11"/>
      <c r="D17771" s="11"/>
      <c r="E17771" s="11"/>
      <c r="F17771" s="11"/>
      <c r="G17771" s="11"/>
      <c r="H17771" s="11"/>
      <c r="I17771" s="15"/>
    </row>
    <row r="17772" spans="1:9" ht="16.5">
      <c r="A17772" s="10" t="b">
        <v>0</v>
      </c>
      <c r="B17772" s="11" t="str">
        <f>IF(D17772&lt;&gt;"",IF(COUNTIF('USPTO TMs'!A:A,D17772)&gt;0,"Yes","No"),"")</f>
        <v/>
      </c>
      <c r="C17772" s="11"/>
      <c r="D17772" s="11"/>
      <c r="E17772" s="11"/>
      <c r="F17772" s="11"/>
      <c r="G17772" s="11"/>
      <c r="H17772" s="11"/>
      <c r="I17772" s="15"/>
    </row>
    <row r="17773" spans="1:9" ht="16.5">
      <c r="A17773" s="10" t="b">
        <v>0</v>
      </c>
      <c r="B17773" s="11" t="str">
        <f>IF(D17773&lt;&gt;"",IF(COUNTIF('USPTO TMs'!A:A,D17773)&gt;0,"Yes","No"),"")</f>
        <v/>
      </c>
      <c r="C17773" s="11"/>
      <c r="D17773" s="11"/>
      <c r="E17773" s="11"/>
      <c r="F17773" s="11"/>
      <c r="G17773" s="11"/>
      <c r="H17773" s="11"/>
      <c r="I17773" s="15"/>
    </row>
    <row r="17774" spans="1:9" ht="16.5">
      <c r="A17774" s="10" t="b">
        <v>0</v>
      </c>
      <c r="B17774" s="11" t="str">
        <f>IF(D17774&lt;&gt;"",IF(COUNTIF('USPTO TMs'!A:A,D17774)&gt;0,"Yes","No"),"")</f>
        <v/>
      </c>
      <c r="C17774" s="11"/>
      <c r="D17774" s="11"/>
      <c r="E17774" s="11"/>
      <c r="F17774" s="11"/>
      <c r="G17774" s="11"/>
      <c r="H17774" s="11"/>
      <c r="I17774" s="15"/>
    </row>
    <row r="17775" spans="1:9" ht="16.5">
      <c r="A17775" s="10" t="b">
        <v>0</v>
      </c>
      <c r="B17775" s="11" t="str">
        <f>IF(D17775&lt;&gt;"",IF(COUNTIF('USPTO TMs'!A:A,D17775)&gt;0,"Yes","No"),"")</f>
        <v/>
      </c>
      <c r="C17775" s="11"/>
      <c r="D17775" s="11"/>
      <c r="E17775" s="11"/>
      <c r="F17775" s="11"/>
      <c r="G17775" s="11"/>
      <c r="H17775" s="11"/>
      <c r="I17775" s="15"/>
    </row>
    <row r="17776" spans="1:9" ht="16.5">
      <c r="A17776" s="10" t="b">
        <v>0</v>
      </c>
      <c r="B17776" s="11" t="str">
        <f>IF(D17776&lt;&gt;"",IF(COUNTIF('USPTO TMs'!A:A,D17776)&gt;0,"Yes","No"),"")</f>
        <v/>
      </c>
      <c r="C17776" s="11"/>
      <c r="D17776" s="11"/>
      <c r="E17776" s="11"/>
      <c r="F17776" s="11"/>
      <c r="G17776" s="11"/>
      <c r="H17776" s="11"/>
      <c r="I17776" s="15"/>
    </row>
    <row r="17777" spans="1:9" ht="16.5">
      <c r="A17777" s="10" t="b">
        <v>0</v>
      </c>
      <c r="B17777" s="11" t="str">
        <f>IF(D17777&lt;&gt;"",IF(COUNTIF('USPTO TMs'!A:A,D17777)&gt;0,"Yes","No"),"")</f>
        <v/>
      </c>
      <c r="C17777" s="11"/>
      <c r="D17777" s="11"/>
      <c r="E17777" s="11"/>
      <c r="F17777" s="11"/>
      <c r="G17777" s="11"/>
      <c r="H17777" s="11"/>
      <c r="I17777" s="15"/>
    </row>
    <row r="17778" spans="1:9" ht="16.5">
      <c r="A17778" s="10" t="b">
        <v>0</v>
      </c>
      <c r="B17778" s="11" t="str">
        <f>IF(D17778&lt;&gt;"",IF(COUNTIF('USPTO TMs'!A:A,D17778)&gt;0,"Yes","No"),"")</f>
        <v/>
      </c>
      <c r="C17778" s="11"/>
      <c r="D17778" s="11"/>
      <c r="E17778" s="11"/>
      <c r="F17778" s="11"/>
      <c r="G17778" s="11"/>
      <c r="H17778" s="11"/>
      <c r="I17778" s="15"/>
    </row>
    <row r="17779" spans="1:9" ht="16.5">
      <c r="A17779" s="10" t="b">
        <v>0</v>
      </c>
      <c r="B17779" s="11" t="str">
        <f>IF(D17779&lt;&gt;"",IF(COUNTIF('USPTO TMs'!A:A,D17779)&gt;0,"Yes","No"),"")</f>
        <v/>
      </c>
      <c r="C17779" s="11"/>
      <c r="D17779" s="11"/>
      <c r="E17779" s="11"/>
      <c r="F17779" s="11"/>
      <c r="G17779" s="11"/>
      <c r="H17779" s="11"/>
      <c r="I17779" s="15"/>
    </row>
    <row r="17780" spans="1:9" ht="16.5">
      <c r="A17780" s="10" t="b">
        <v>0</v>
      </c>
      <c r="B17780" s="11" t="str">
        <f>IF(D17780&lt;&gt;"",IF(COUNTIF('USPTO TMs'!A:A,D17780)&gt;0,"Yes","No"),"")</f>
        <v/>
      </c>
      <c r="C17780" s="11"/>
      <c r="D17780" s="11"/>
      <c r="E17780" s="11"/>
      <c r="F17780" s="11"/>
      <c r="G17780" s="11"/>
      <c r="H17780" s="11"/>
      <c r="I17780" s="15"/>
    </row>
    <row r="17781" spans="1:9" ht="16.5">
      <c r="A17781" s="10" t="b">
        <v>0</v>
      </c>
      <c r="B17781" s="11" t="str">
        <f>IF(D17781&lt;&gt;"",IF(COUNTIF('USPTO TMs'!A:A,D17781)&gt;0,"Yes","No"),"")</f>
        <v/>
      </c>
      <c r="C17781" s="11"/>
      <c r="D17781" s="11"/>
      <c r="E17781" s="11"/>
      <c r="F17781" s="11"/>
      <c r="G17781" s="11"/>
      <c r="H17781" s="11"/>
      <c r="I17781" s="15"/>
    </row>
    <row r="17782" spans="1:9" ht="16.5">
      <c r="A17782" s="10" t="b">
        <v>0</v>
      </c>
      <c r="B17782" s="11" t="str">
        <f>IF(D17782&lt;&gt;"",IF(COUNTIF('USPTO TMs'!A:A,D17782)&gt;0,"Yes","No"),"")</f>
        <v/>
      </c>
      <c r="C17782" s="11"/>
      <c r="D17782" s="11"/>
      <c r="E17782" s="11"/>
      <c r="F17782" s="11"/>
      <c r="G17782" s="11"/>
      <c r="H17782" s="11"/>
      <c r="I17782" s="15"/>
    </row>
    <row r="17783" spans="1:9" ht="16.5">
      <c r="A17783" s="10" t="b">
        <v>0</v>
      </c>
      <c r="B17783" s="11" t="str">
        <f>IF(D17783&lt;&gt;"",IF(COUNTIF('USPTO TMs'!A:A,D17783)&gt;0,"Yes","No"),"")</f>
        <v/>
      </c>
      <c r="C17783" s="11"/>
      <c r="D17783" s="11"/>
      <c r="E17783" s="11"/>
      <c r="F17783" s="11"/>
      <c r="G17783" s="11"/>
      <c r="H17783" s="11"/>
      <c r="I17783" s="15"/>
    </row>
    <row r="17784" spans="1:9" ht="16.5">
      <c r="A17784" s="10" t="b">
        <v>0</v>
      </c>
      <c r="B17784" s="11" t="str">
        <f>IF(D17784&lt;&gt;"",IF(COUNTIF('USPTO TMs'!A:A,D17784)&gt;0,"Yes","No"),"")</f>
        <v/>
      </c>
      <c r="C17784" s="11"/>
      <c r="D17784" s="11"/>
      <c r="E17784" s="11"/>
      <c r="F17784" s="11"/>
      <c r="G17784" s="11"/>
      <c r="H17784" s="11"/>
      <c r="I17784" s="15"/>
    </row>
    <row r="17785" spans="1:9" ht="16.5">
      <c r="A17785" s="10" t="b">
        <v>0</v>
      </c>
      <c r="B17785" s="11" t="str">
        <f>IF(D17785&lt;&gt;"",IF(COUNTIF('USPTO TMs'!A:A,D17785)&gt;0,"Yes","No"),"")</f>
        <v/>
      </c>
      <c r="C17785" s="11"/>
      <c r="D17785" s="11"/>
      <c r="E17785" s="11"/>
      <c r="F17785" s="11"/>
      <c r="G17785" s="11"/>
      <c r="H17785" s="11"/>
      <c r="I17785" s="15"/>
    </row>
    <row r="17786" spans="1:9" ht="16.5">
      <c r="A17786" s="10" t="b">
        <v>0</v>
      </c>
      <c r="B17786" s="11" t="str">
        <f>IF(D17786&lt;&gt;"",IF(COUNTIF('USPTO TMs'!A:A,D17786)&gt;0,"Yes","No"),"")</f>
        <v/>
      </c>
      <c r="C17786" s="11"/>
      <c r="D17786" s="11"/>
      <c r="E17786" s="11"/>
      <c r="F17786" s="11"/>
      <c r="G17786" s="11"/>
      <c r="H17786" s="11"/>
      <c r="I17786" s="15"/>
    </row>
    <row r="17787" spans="1:9" ht="16.5">
      <c r="A17787" s="10" t="b">
        <v>0</v>
      </c>
      <c r="B17787" s="11" t="str">
        <f>IF(D17787&lt;&gt;"",IF(COUNTIF('USPTO TMs'!A:A,D17787)&gt;0,"Yes","No"),"")</f>
        <v/>
      </c>
      <c r="C17787" s="11"/>
      <c r="D17787" s="11"/>
      <c r="E17787" s="11"/>
      <c r="F17787" s="11"/>
      <c r="G17787" s="11"/>
      <c r="H17787" s="11"/>
      <c r="I17787" s="15"/>
    </row>
    <row r="17788" spans="1:9" ht="16.5">
      <c r="A17788" s="10" t="b">
        <v>0</v>
      </c>
      <c r="B17788" s="11" t="str">
        <f>IF(D17788&lt;&gt;"",IF(COUNTIF('USPTO TMs'!A:A,D17788)&gt;0,"Yes","No"),"")</f>
        <v/>
      </c>
      <c r="C17788" s="11"/>
      <c r="D17788" s="11"/>
      <c r="E17788" s="11"/>
      <c r="F17788" s="11"/>
      <c r="G17788" s="11"/>
      <c r="H17788" s="11"/>
      <c r="I17788" s="15"/>
    </row>
    <row r="17789" spans="1:9" ht="16.5">
      <c r="A17789" s="10" t="b">
        <v>0</v>
      </c>
      <c r="B17789" s="11" t="str">
        <f>IF(D17789&lt;&gt;"",IF(COUNTIF('USPTO TMs'!A:A,D17789)&gt;0,"Yes","No"),"")</f>
        <v/>
      </c>
      <c r="C17789" s="11"/>
      <c r="D17789" s="11"/>
      <c r="E17789" s="11"/>
      <c r="F17789" s="11"/>
      <c r="G17789" s="11"/>
      <c r="H17789" s="11"/>
      <c r="I17789" s="15"/>
    </row>
    <row r="17790" spans="1:9" ht="16.5">
      <c r="A17790" s="10" t="b">
        <v>0</v>
      </c>
      <c r="B17790" s="11" t="str">
        <f>IF(D17790&lt;&gt;"",IF(COUNTIF('USPTO TMs'!A:A,D17790)&gt;0,"Yes","No"),"")</f>
        <v/>
      </c>
      <c r="C17790" s="11"/>
      <c r="D17790" s="11"/>
      <c r="E17790" s="11"/>
      <c r="F17790" s="11"/>
      <c r="G17790" s="11"/>
      <c r="H17790" s="11"/>
      <c r="I17790" s="15"/>
    </row>
    <row r="17791" spans="1:9" ht="16.5">
      <c r="A17791" s="10" t="b">
        <v>0</v>
      </c>
      <c r="B17791" s="11" t="str">
        <f>IF(D17791&lt;&gt;"",IF(COUNTIF('USPTO TMs'!A:A,D17791)&gt;0,"Yes","No"),"")</f>
        <v/>
      </c>
      <c r="C17791" s="11"/>
      <c r="D17791" s="11"/>
      <c r="E17791" s="11"/>
      <c r="F17791" s="11"/>
      <c r="G17791" s="11"/>
      <c r="H17791" s="11"/>
      <c r="I17791" s="15"/>
    </row>
    <row r="17792" spans="1:9" ht="16.5">
      <c r="A17792" s="10" t="b">
        <v>0</v>
      </c>
      <c r="B17792" s="11" t="str">
        <f>IF(D17792&lt;&gt;"",IF(COUNTIF('USPTO TMs'!A:A,D17792)&gt;0,"Yes","No"),"")</f>
        <v/>
      </c>
      <c r="C17792" s="11"/>
      <c r="D17792" s="11"/>
      <c r="E17792" s="11"/>
      <c r="F17792" s="11"/>
      <c r="G17792" s="11"/>
      <c r="H17792" s="11"/>
      <c r="I17792" s="15"/>
    </row>
    <row r="17793" spans="1:9" ht="16.5">
      <c r="A17793" s="10" t="b">
        <v>0</v>
      </c>
      <c r="B17793" s="11" t="str">
        <f>IF(D17793&lt;&gt;"",IF(COUNTIF('USPTO TMs'!A:A,D17793)&gt;0,"Yes","No"),"")</f>
        <v/>
      </c>
      <c r="C17793" s="11"/>
      <c r="D17793" s="11"/>
      <c r="E17793" s="11"/>
      <c r="F17793" s="11"/>
      <c r="G17793" s="11"/>
      <c r="H17793" s="11"/>
      <c r="I17793" s="15"/>
    </row>
    <row r="17794" spans="1:9" ht="16.5">
      <c r="A17794" s="10" t="b">
        <v>0</v>
      </c>
      <c r="B17794" s="11" t="str">
        <f>IF(D17794&lt;&gt;"",IF(COUNTIF('USPTO TMs'!A:A,D17794)&gt;0,"Yes","No"),"")</f>
        <v/>
      </c>
      <c r="C17794" s="11"/>
      <c r="D17794" s="11"/>
      <c r="E17794" s="11"/>
      <c r="F17794" s="11"/>
      <c r="G17794" s="11"/>
      <c r="H17794" s="11"/>
      <c r="I17794" s="15"/>
    </row>
    <row r="17795" spans="1:9" ht="16.5">
      <c r="A17795" s="10" t="b">
        <v>0</v>
      </c>
      <c r="B17795" s="11" t="str">
        <f>IF(D17795&lt;&gt;"",IF(COUNTIF('USPTO TMs'!A:A,D17795)&gt;0,"Yes","No"),"")</f>
        <v/>
      </c>
      <c r="C17795" s="11"/>
      <c r="D17795" s="11"/>
      <c r="E17795" s="11"/>
      <c r="F17795" s="11"/>
      <c r="G17795" s="11"/>
      <c r="H17795" s="11"/>
      <c r="I17795" s="15"/>
    </row>
    <row r="17796" spans="1:9" ht="16.5">
      <c r="A17796" s="10" t="b">
        <v>0</v>
      </c>
      <c r="B17796" s="11" t="str">
        <f>IF(D17796&lt;&gt;"",IF(COUNTIF('USPTO TMs'!A:A,D17796)&gt;0,"Yes","No"),"")</f>
        <v/>
      </c>
      <c r="C17796" s="11"/>
      <c r="D17796" s="11"/>
      <c r="E17796" s="11"/>
      <c r="F17796" s="11"/>
      <c r="G17796" s="11"/>
      <c r="H17796" s="11"/>
      <c r="I17796" s="15"/>
    </row>
    <row r="17797" spans="1:9" ht="16.5">
      <c r="A17797" s="10" t="b">
        <v>0</v>
      </c>
      <c r="B17797" s="11" t="str">
        <f>IF(D17797&lt;&gt;"",IF(COUNTIF('USPTO TMs'!A:A,D17797)&gt;0,"Yes","No"),"")</f>
        <v/>
      </c>
      <c r="C17797" s="11"/>
      <c r="D17797" s="11"/>
      <c r="E17797" s="11"/>
      <c r="F17797" s="11"/>
      <c r="G17797" s="11"/>
      <c r="H17797" s="11"/>
      <c r="I17797" s="15"/>
    </row>
    <row r="17798" spans="1:9" ht="16.5">
      <c r="A17798" s="10" t="b">
        <v>0</v>
      </c>
      <c r="B17798" s="11" t="str">
        <f>IF(D17798&lt;&gt;"",IF(COUNTIF('USPTO TMs'!A:A,D17798)&gt;0,"Yes","No"),"")</f>
        <v/>
      </c>
      <c r="C17798" s="11"/>
      <c r="D17798" s="11"/>
      <c r="E17798" s="11"/>
      <c r="F17798" s="11"/>
      <c r="G17798" s="11"/>
      <c r="H17798" s="11"/>
      <c r="I17798" s="15"/>
    </row>
    <row r="17799" spans="1:9" ht="16.5">
      <c r="A17799" s="10" t="b">
        <v>0</v>
      </c>
      <c r="B17799" s="11" t="str">
        <f>IF(D17799&lt;&gt;"",IF(COUNTIF('USPTO TMs'!A:A,D17799)&gt;0,"Yes","No"),"")</f>
        <v/>
      </c>
      <c r="C17799" s="11"/>
      <c r="D17799" s="11"/>
      <c r="E17799" s="11"/>
      <c r="F17799" s="11"/>
      <c r="G17799" s="11"/>
      <c r="H17799" s="11"/>
      <c r="I17799" s="15"/>
    </row>
    <row r="17800" spans="1:9" ht="16.5">
      <c r="A17800" s="10" t="b">
        <v>0</v>
      </c>
      <c r="B17800" s="11" t="str">
        <f>IF(D17800&lt;&gt;"",IF(COUNTIF('USPTO TMs'!A:A,D17800)&gt;0,"Yes","No"),"")</f>
        <v/>
      </c>
      <c r="C17800" s="11"/>
      <c r="D17800" s="11"/>
      <c r="E17800" s="11"/>
      <c r="F17800" s="11"/>
      <c r="G17800" s="11"/>
      <c r="H17800" s="11"/>
      <c r="I17800" s="15"/>
    </row>
    <row r="17801" spans="1:9" ht="16.5">
      <c r="A17801" s="10" t="b">
        <v>0</v>
      </c>
      <c r="B17801" s="11" t="str">
        <f>IF(D17801&lt;&gt;"",IF(COUNTIF('USPTO TMs'!A:A,D17801)&gt;0,"Yes","No"),"")</f>
        <v/>
      </c>
      <c r="C17801" s="11"/>
      <c r="D17801" s="11"/>
      <c r="E17801" s="11"/>
      <c r="F17801" s="11"/>
      <c r="G17801" s="11"/>
      <c r="H17801" s="11"/>
      <c r="I17801" s="15"/>
    </row>
    <row r="17802" spans="1:9" ht="16.5">
      <c r="A17802" s="10" t="b">
        <v>0</v>
      </c>
      <c r="B17802" s="11" t="str">
        <f>IF(D17802&lt;&gt;"",IF(COUNTIF('USPTO TMs'!A:A,D17802)&gt;0,"Yes","No"),"")</f>
        <v/>
      </c>
      <c r="C17802" s="11"/>
      <c r="D17802" s="11"/>
      <c r="E17802" s="11"/>
      <c r="F17802" s="11"/>
      <c r="G17802" s="11"/>
      <c r="H17802" s="11"/>
      <c r="I17802" s="15"/>
    </row>
    <row r="17803" spans="1:9" ht="16.5">
      <c r="A17803" s="10" t="b">
        <v>0</v>
      </c>
      <c r="B17803" s="11" t="str">
        <f>IF(D17803&lt;&gt;"",IF(COUNTIF('USPTO TMs'!A:A,D17803)&gt;0,"Yes","No"),"")</f>
        <v/>
      </c>
      <c r="C17803" s="11"/>
      <c r="D17803" s="11"/>
      <c r="E17803" s="11"/>
      <c r="F17803" s="11"/>
      <c r="G17803" s="11"/>
      <c r="H17803" s="11"/>
      <c r="I17803" s="15"/>
    </row>
    <row r="17804" spans="1:9" ht="16.5">
      <c r="A17804" s="10" t="b">
        <v>0</v>
      </c>
      <c r="B17804" s="11" t="str">
        <f>IF(D17804&lt;&gt;"",IF(COUNTIF('USPTO TMs'!A:A,D17804)&gt;0,"Yes","No"),"")</f>
        <v/>
      </c>
      <c r="C17804" s="11"/>
      <c r="D17804" s="11"/>
      <c r="E17804" s="11"/>
      <c r="F17804" s="11"/>
      <c r="G17804" s="11"/>
      <c r="H17804" s="11"/>
      <c r="I17804" s="15"/>
    </row>
    <row r="17805" spans="1:9" ht="16.5">
      <c r="A17805" s="10" t="b">
        <v>0</v>
      </c>
      <c r="B17805" s="11" t="str">
        <f>IF(D17805&lt;&gt;"",IF(COUNTIF('USPTO TMs'!A:A,D17805)&gt;0,"Yes","No"),"")</f>
        <v/>
      </c>
      <c r="C17805" s="11"/>
      <c r="D17805" s="11"/>
      <c r="E17805" s="11"/>
      <c r="F17805" s="11"/>
      <c r="G17805" s="11"/>
      <c r="H17805" s="11"/>
      <c r="I17805" s="15"/>
    </row>
    <row r="17806" spans="1:9" ht="16.5">
      <c r="A17806" s="10" t="b">
        <v>0</v>
      </c>
      <c r="B17806" s="11" t="str">
        <f>IF(D17806&lt;&gt;"",IF(COUNTIF('USPTO TMs'!A:A,D17806)&gt;0,"Yes","No"),"")</f>
        <v/>
      </c>
      <c r="C17806" s="11"/>
      <c r="D17806" s="11"/>
      <c r="E17806" s="11"/>
      <c r="F17806" s="11"/>
      <c r="G17806" s="11"/>
      <c r="H17806" s="11"/>
      <c r="I17806" s="15"/>
    </row>
    <row r="17807" spans="1:9" ht="16.5">
      <c r="A17807" s="10" t="b">
        <v>0</v>
      </c>
      <c r="B17807" s="11" t="str">
        <f>IF(D17807&lt;&gt;"",IF(COUNTIF('USPTO TMs'!A:A,D17807)&gt;0,"Yes","No"),"")</f>
        <v/>
      </c>
      <c r="C17807" s="11"/>
      <c r="D17807" s="11"/>
      <c r="E17807" s="11"/>
      <c r="F17807" s="11"/>
      <c r="G17807" s="11"/>
      <c r="H17807" s="11"/>
      <c r="I17807" s="15"/>
    </row>
    <row r="17808" spans="1:9" ht="16.5">
      <c r="A17808" s="10" t="b">
        <v>0</v>
      </c>
      <c r="B17808" s="11" t="str">
        <f>IF(D17808&lt;&gt;"",IF(COUNTIF('USPTO TMs'!A:A,D17808)&gt;0,"Yes","No"),"")</f>
        <v/>
      </c>
      <c r="C17808" s="11"/>
      <c r="D17808" s="11"/>
      <c r="E17808" s="11"/>
      <c r="F17808" s="11"/>
      <c r="G17808" s="11"/>
      <c r="H17808" s="11"/>
      <c r="I17808" s="15"/>
    </row>
    <row r="17809" spans="1:9" ht="16.5">
      <c r="A17809" s="10" t="b">
        <v>0</v>
      </c>
      <c r="B17809" s="11" t="str">
        <f>IF(D17809&lt;&gt;"",IF(COUNTIF('USPTO TMs'!A:A,D17809)&gt;0,"Yes","No"),"")</f>
        <v/>
      </c>
      <c r="C17809" s="11"/>
      <c r="D17809" s="11"/>
      <c r="E17809" s="11"/>
      <c r="F17809" s="11"/>
      <c r="G17809" s="11"/>
      <c r="H17809" s="11"/>
      <c r="I17809" s="15"/>
    </row>
    <row r="17810" spans="1:9" ht="16.5">
      <c r="A17810" s="10" t="b">
        <v>0</v>
      </c>
      <c r="B17810" s="11" t="str">
        <f>IF(D17810&lt;&gt;"",IF(COUNTIF('USPTO TMs'!A:A,D17810)&gt;0,"Yes","No"),"")</f>
        <v/>
      </c>
      <c r="C17810" s="11"/>
      <c r="D17810" s="11"/>
      <c r="E17810" s="11"/>
      <c r="F17810" s="11"/>
      <c r="G17810" s="11"/>
      <c r="H17810" s="11"/>
      <c r="I17810" s="15"/>
    </row>
    <row r="17811" spans="1:9" ht="16.5">
      <c r="A17811" s="10" t="b">
        <v>0</v>
      </c>
      <c r="B17811" s="11" t="str">
        <f>IF(D17811&lt;&gt;"",IF(COUNTIF('USPTO TMs'!A:A,D17811)&gt;0,"Yes","No"),"")</f>
        <v/>
      </c>
      <c r="C17811" s="11"/>
      <c r="D17811" s="11"/>
      <c r="E17811" s="11"/>
      <c r="F17811" s="11"/>
      <c r="G17811" s="11"/>
      <c r="H17811" s="11"/>
      <c r="I17811" s="15"/>
    </row>
    <row r="17812" spans="1:9" ht="16.5">
      <c r="A17812" s="10" t="b">
        <v>0</v>
      </c>
      <c r="B17812" s="11" t="str">
        <f>IF(D17812&lt;&gt;"",IF(COUNTIF('USPTO TMs'!A:A,D17812)&gt;0,"Yes","No"),"")</f>
        <v/>
      </c>
      <c r="C17812" s="11"/>
      <c r="D17812" s="11"/>
      <c r="E17812" s="11"/>
      <c r="F17812" s="11"/>
      <c r="G17812" s="11"/>
      <c r="H17812" s="11"/>
      <c r="I17812" s="15"/>
    </row>
    <row r="17813" spans="1:9" ht="16.5">
      <c r="A17813" s="10" t="b">
        <v>0</v>
      </c>
      <c r="B17813" s="11" t="str">
        <f>IF(D17813&lt;&gt;"",IF(COUNTIF('USPTO TMs'!A:A,D17813)&gt;0,"Yes","No"),"")</f>
        <v/>
      </c>
      <c r="C17813" s="11"/>
      <c r="D17813" s="11"/>
      <c r="E17813" s="11"/>
      <c r="F17813" s="11"/>
      <c r="G17813" s="11"/>
      <c r="H17813" s="11"/>
      <c r="I17813" s="15"/>
    </row>
    <row r="17814" spans="1:9" ht="16.5">
      <c r="A17814" s="10" t="b">
        <v>0</v>
      </c>
      <c r="B17814" s="11" t="str">
        <f>IF(D17814&lt;&gt;"",IF(COUNTIF('USPTO TMs'!A:A,D17814)&gt;0,"Yes","No"),"")</f>
        <v/>
      </c>
      <c r="C17814" s="11"/>
      <c r="D17814" s="11"/>
      <c r="E17814" s="11"/>
      <c r="F17814" s="11"/>
      <c r="G17814" s="11"/>
      <c r="H17814" s="11"/>
      <c r="I17814" s="15"/>
    </row>
    <row r="17815" spans="1:9" ht="16.5">
      <c r="A17815" s="10" t="b">
        <v>0</v>
      </c>
      <c r="B17815" s="11" t="str">
        <f>IF(D17815&lt;&gt;"",IF(COUNTIF('USPTO TMs'!A:A,D17815)&gt;0,"Yes","No"),"")</f>
        <v/>
      </c>
      <c r="C17815" s="11"/>
      <c r="D17815" s="11"/>
      <c r="E17815" s="11"/>
      <c r="F17815" s="11"/>
      <c r="G17815" s="11"/>
      <c r="H17815" s="11"/>
      <c r="I17815" s="15"/>
    </row>
    <row r="17816" spans="1:9" ht="16.5">
      <c r="A17816" s="10" t="b">
        <v>0</v>
      </c>
      <c r="B17816" s="11" t="str">
        <f>IF(D17816&lt;&gt;"",IF(COUNTIF('USPTO TMs'!A:A,D17816)&gt;0,"Yes","No"),"")</f>
        <v/>
      </c>
      <c r="C17816" s="11"/>
      <c r="D17816" s="11"/>
      <c r="E17816" s="11"/>
      <c r="F17816" s="11"/>
      <c r="G17816" s="11"/>
      <c r="H17816" s="11"/>
      <c r="I17816" s="15"/>
    </row>
    <row r="17817" spans="1:9" ht="16.5">
      <c r="A17817" s="10" t="b">
        <v>0</v>
      </c>
      <c r="B17817" s="11" t="str">
        <f>IF(D17817&lt;&gt;"",IF(COUNTIF('USPTO TMs'!A:A,D17817)&gt;0,"Yes","No"),"")</f>
        <v/>
      </c>
      <c r="C17817" s="11"/>
      <c r="D17817" s="11"/>
      <c r="E17817" s="11"/>
      <c r="F17817" s="11"/>
      <c r="G17817" s="11"/>
      <c r="H17817" s="11"/>
      <c r="I17817" s="15"/>
    </row>
    <row r="17818" spans="1:9" ht="16.5">
      <c r="A17818" s="10" t="b">
        <v>0</v>
      </c>
      <c r="B17818" s="11" t="str">
        <f>IF(D17818&lt;&gt;"",IF(COUNTIF('USPTO TMs'!A:A,D17818)&gt;0,"Yes","No"),"")</f>
        <v/>
      </c>
      <c r="C17818" s="11"/>
      <c r="D17818" s="11"/>
      <c r="E17818" s="11"/>
      <c r="F17818" s="11"/>
      <c r="G17818" s="11"/>
      <c r="H17818" s="11"/>
      <c r="I17818" s="15"/>
    </row>
    <row r="17819" spans="1:9" ht="16.5">
      <c r="A17819" s="10" t="b">
        <v>0</v>
      </c>
      <c r="B17819" s="11" t="str">
        <f>IF(D17819&lt;&gt;"",IF(COUNTIF('USPTO TMs'!A:A,D17819)&gt;0,"Yes","No"),"")</f>
        <v/>
      </c>
      <c r="C17819" s="11"/>
      <c r="D17819" s="11"/>
      <c r="E17819" s="11"/>
      <c r="F17819" s="11"/>
      <c r="G17819" s="11"/>
      <c r="H17819" s="11"/>
      <c r="I17819" s="15"/>
    </row>
    <row r="17820" spans="1:9" ht="16.5">
      <c r="A17820" s="10" t="b">
        <v>0</v>
      </c>
      <c r="B17820" s="11" t="str">
        <f>IF(D17820&lt;&gt;"",IF(COUNTIF('USPTO TMs'!A:A,D17820)&gt;0,"Yes","No"),"")</f>
        <v/>
      </c>
      <c r="C17820" s="11"/>
      <c r="D17820" s="11"/>
      <c r="E17820" s="11"/>
      <c r="F17820" s="11"/>
      <c r="G17820" s="11"/>
      <c r="H17820" s="11"/>
      <c r="I17820" s="15"/>
    </row>
    <row r="17821" spans="1:9" ht="16.5">
      <c r="A17821" s="10" t="b">
        <v>0</v>
      </c>
      <c r="B17821" s="11" t="str">
        <f>IF(D17821&lt;&gt;"",IF(COUNTIF('USPTO TMs'!A:A,D17821)&gt;0,"Yes","No"),"")</f>
        <v/>
      </c>
      <c r="C17821" s="11"/>
      <c r="D17821" s="11"/>
      <c r="E17821" s="11"/>
      <c r="F17821" s="11"/>
      <c r="G17821" s="11"/>
      <c r="H17821" s="11"/>
      <c r="I17821" s="15"/>
    </row>
    <row r="17822" spans="1:9" ht="16.5">
      <c r="A17822" s="10" t="b">
        <v>0</v>
      </c>
      <c r="B17822" s="11" t="str">
        <f>IF(D17822&lt;&gt;"",IF(COUNTIF('USPTO TMs'!A:A,D17822)&gt;0,"Yes","No"),"")</f>
        <v/>
      </c>
      <c r="C17822" s="11"/>
      <c r="D17822" s="11"/>
      <c r="E17822" s="11"/>
      <c r="F17822" s="11"/>
      <c r="G17822" s="11"/>
      <c r="H17822" s="11"/>
      <c r="I17822" s="15"/>
    </row>
    <row r="17823" spans="1:9" ht="16.5">
      <c r="A17823" s="10" t="b">
        <v>0</v>
      </c>
      <c r="B17823" s="11" t="str">
        <f>IF(D17823&lt;&gt;"",IF(COUNTIF('USPTO TMs'!A:A,D17823)&gt;0,"Yes","No"),"")</f>
        <v/>
      </c>
      <c r="C17823" s="11"/>
      <c r="D17823" s="11"/>
      <c r="E17823" s="11"/>
      <c r="F17823" s="11"/>
      <c r="G17823" s="11"/>
      <c r="H17823" s="11"/>
      <c r="I17823" s="15"/>
    </row>
    <row r="17824" spans="1:9" ht="16.5">
      <c r="A17824" s="10" t="b">
        <v>0</v>
      </c>
      <c r="B17824" s="11" t="str">
        <f>IF(D17824&lt;&gt;"",IF(COUNTIF('USPTO TMs'!A:A,D17824)&gt;0,"Yes","No"),"")</f>
        <v/>
      </c>
      <c r="C17824" s="11"/>
      <c r="D17824" s="11"/>
      <c r="E17824" s="11"/>
      <c r="F17824" s="11"/>
      <c r="G17824" s="11"/>
      <c r="H17824" s="11"/>
      <c r="I17824" s="15"/>
    </row>
    <row r="17825" spans="1:9" ht="16.5">
      <c r="A17825" s="10" t="b">
        <v>0</v>
      </c>
      <c r="B17825" s="11" t="str">
        <f>IF(D17825&lt;&gt;"",IF(COUNTIF('USPTO TMs'!A:A,D17825)&gt;0,"Yes","No"),"")</f>
        <v/>
      </c>
      <c r="C17825" s="11"/>
      <c r="D17825" s="11"/>
      <c r="E17825" s="11"/>
      <c r="F17825" s="11"/>
      <c r="G17825" s="11"/>
      <c r="H17825" s="11"/>
      <c r="I17825" s="15"/>
    </row>
    <row r="17826" spans="1:9" ht="16.5">
      <c r="A17826" s="10" t="b">
        <v>0</v>
      </c>
      <c r="B17826" s="11" t="str">
        <f>IF(D17826&lt;&gt;"",IF(COUNTIF('USPTO TMs'!A:A,D17826)&gt;0,"Yes","No"),"")</f>
        <v/>
      </c>
      <c r="C17826" s="11"/>
      <c r="D17826" s="11"/>
      <c r="E17826" s="11"/>
      <c r="F17826" s="11"/>
      <c r="G17826" s="11"/>
      <c r="H17826" s="11"/>
      <c r="I17826" s="15"/>
    </row>
    <row r="17827" spans="1:9" ht="16.5">
      <c r="A17827" s="10" t="b">
        <v>0</v>
      </c>
      <c r="B17827" s="11" t="str">
        <f>IF(D17827&lt;&gt;"",IF(COUNTIF('USPTO TMs'!A:A,D17827)&gt;0,"Yes","No"),"")</f>
        <v/>
      </c>
      <c r="C17827" s="11"/>
      <c r="D17827" s="11"/>
      <c r="E17827" s="11"/>
      <c r="F17827" s="11"/>
      <c r="G17827" s="11"/>
      <c r="H17827" s="11"/>
      <c r="I17827" s="15"/>
    </row>
    <row r="17828" spans="1:9" ht="16.5">
      <c r="A17828" s="10" t="b">
        <v>0</v>
      </c>
      <c r="B17828" s="11" t="str">
        <f>IF(D17828&lt;&gt;"",IF(COUNTIF('USPTO TMs'!A:A,D17828)&gt;0,"Yes","No"),"")</f>
        <v/>
      </c>
      <c r="C17828" s="11"/>
      <c r="D17828" s="11"/>
      <c r="E17828" s="11"/>
      <c r="F17828" s="11"/>
      <c r="G17828" s="11"/>
      <c r="H17828" s="11"/>
      <c r="I17828" s="15"/>
    </row>
    <row r="17829" spans="1:9" ht="16.5">
      <c r="A17829" s="10" t="b">
        <v>0</v>
      </c>
      <c r="B17829" s="11" t="str">
        <f>IF(D17829&lt;&gt;"",IF(COUNTIF('USPTO TMs'!A:A,D17829)&gt;0,"Yes","No"),"")</f>
        <v/>
      </c>
      <c r="C17829" s="11"/>
      <c r="D17829" s="11"/>
      <c r="E17829" s="11"/>
      <c r="F17829" s="11"/>
      <c r="G17829" s="11"/>
      <c r="H17829" s="11"/>
      <c r="I17829" s="15"/>
    </row>
    <row r="17830" spans="1:9" ht="16.5">
      <c r="A17830" s="10" t="b">
        <v>0</v>
      </c>
      <c r="B17830" s="11" t="str">
        <f>IF(D17830&lt;&gt;"",IF(COUNTIF('USPTO TMs'!A:A,D17830)&gt;0,"Yes","No"),"")</f>
        <v/>
      </c>
      <c r="C17830" s="11"/>
      <c r="D17830" s="11"/>
      <c r="E17830" s="11"/>
      <c r="F17830" s="11"/>
      <c r="G17830" s="11"/>
      <c r="H17830" s="11"/>
      <c r="I17830" s="15"/>
    </row>
    <row r="17831" spans="1:9" ht="16.5">
      <c r="A17831" s="10" t="b">
        <v>0</v>
      </c>
      <c r="B17831" s="11" t="str">
        <f>IF(D17831&lt;&gt;"",IF(COUNTIF('USPTO TMs'!A:A,D17831)&gt;0,"Yes","No"),"")</f>
        <v/>
      </c>
      <c r="C17831" s="11"/>
      <c r="D17831" s="11"/>
      <c r="E17831" s="11"/>
      <c r="F17831" s="11"/>
      <c r="G17831" s="11"/>
      <c r="H17831" s="11"/>
      <c r="I17831" s="15"/>
    </row>
    <row r="17832" spans="1:9" ht="16.5">
      <c r="A17832" s="10" t="b">
        <v>0</v>
      </c>
      <c r="B17832" s="11" t="str">
        <f>IF(D17832&lt;&gt;"",IF(COUNTIF('USPTO TMs'!A:A,D17832)&gt;0,"Yes","No"),"")</f>
        <v/>
      </c>
      <c r="C17832" s="11"/>
      <c r="D17832" s="11"/>
      <c r="E17832" s="11"/>
      <c r="F17832" s="11"/>
      <c r="G17832" s="11"/>
      <c r="H17832" s="11"/>
      <c r="I17832" s="15"/>
    </row>
    <row r="17833" spans="1:9" ht="16.5">
      <c r="A17833" s="10" t="b">
        <v>0</v>
      </c>
      <c r="B17833" s="11" t="str">
        <f>IF(D17833&lt;&gt;"",IF(COUNTIF('USPTO TMs'!A:A,D17833)&gt;0,"Yes","No"),"")</f>
        <v/>
      </c>
      <c r="C17833" s="11"/>
      <c r="D17833" s="11"/>
      <c r="E17833" s="11"/>
      <c r="F17833" s="11"/>
      <c r="G17833" s="11"/>
      <c r="H17833" s="11"/>
      <c r="I17833" s="15"/>
    </row>
    <row r="17834" spans="1:9" ht="16.5">
      <c r="A17834" s="10" t="b">
        <v>0</v>
      </c>
      <c r="B17834" s="11" t="str">
        <f>IF(D17834&lt;&gt;"",IF(COUNTIF('USPTO TMs'!A:A,D17834)&gt;0,"Yes","No"),"")</f>
        <v/>
      </c>
      <c r="C17834" s="11"/>
      <c r="D17834" s="11"/>
      <c r="E17834" s="11"/>
      <c r="F17834" s="11"/>
      <c r="G17834" s="11"/>
      <c r="H17834" s="11"/>
      <c r="I17834" s="15"/>
    </row>
    <row r="17835" spans="1:9" ht="16.5">
      <c r="A17835" s="10" t="b">
        <v>0</v>
      </c>
      <c r="B17835" s="11" t="str">
        <f>IF(D17835&lt;&gt;"",IF(COUNTIF('USPTO TMs'!A:A,D17835)&gt;0,"Yes","No"),"")</f>
        <v/>
      </c>
      <c r="C17835" s="11"/>
      <c r="D17835" s="11"/>
      <c r="E17835" s="11"/>
      <c r="F17835" s="11"/>
      <c r="G17835" s="11"/>
      <c r="H17835" s="11"/>
      <c r="I17835" s="15"/>
    </row>
    <row r="17836" spans="1:9" ht="16.5">
      <c r="A17836" s="10" t="b">
        <v>0</v>
      </c>
      <c r="B17836" s="11" t="str">
        <f>IF(D17836&lt;&gt;"",IF(COUNTIF('USPTO TMs'!A:A,D17836)&gt;0,"Yes","No"),"")</f>
        <v/>
      </c>
      <c r="C17836" s="11"/>
      <c r="D17836" s="11"/>
      <c r="E17836" s="11"/>
      <c r="F17836" s="11"/>
      <c r="G17836" s="11"/>
      <c r="H17836" s="11"/>
      <c r="I17836" s="15"/>
    </row>
    <row r="17837" spans="1:9" ht="16.5">
      <c r="A17837" s="10" t="b">
        <v>0</v>
      </c>
      <c r="B17837" s="11" t="str">
        <f>IF(D17837&lt;&gt;"",IF(COUNTIF('USPTO TMs'!A:A,D17837)&gt;0,"Yes","No"),"")</f>
        <v/>
      </c>
      <c r="C17837" s="11"/>
      <c r="D17837" s="11"/>
      <c r="E17837" s="11"/>
      <c r="F17837" s="11"/>
      <c r="G17837" s="11"/>
      <c r="H17837" s="11"/>
      <c r="I17837" s="15"/>
    </row>
    <row r="17838" spans="1:9" ht="16.5">
      <c r="A17838" s="10" t="b">
        <v>0</v>
      </c>
      <c r="B17838" s="11" t="str">
        <f>IF(D17838&lt;&gt;"",IF(COUNTIF('USPTO TMs'!A:A,D17838)&gt;0,"Yes","No"),"")</f>
        <v/>
      </c>
      <c r="C17838" s="11"/>
      <c r="D17838" s="11"/>
      <c r="E17838" s="11"/>
      <c r="F17838" s="11"/>
      <c r="G17838" s="11"/>
      <c r="H17838" s="11"/>
      <c r="I17838" s="15"/>
    </row>
    <row r="17839" spans="1:9" ht="16.5">
      <c r="A17839" s="10" t="b">
        <v>0</v>
      </c>
      <c r="B17839" s="11" t="str">
        <f>IF(D17839&lt;&gt;"",IF(COUNTIF('USPTO TMs'!A:A,D17839)&gt;0,"Yes","No"),"")</f>
        <v/>
      </c>
      <c r="C17839" s="11"/>
      <c r="D17839" s="11"/>
      <c r="E17839" s="11"/>
      <c r="F17839" s="11"/>
      <c r="G17839" s="11"/>
      <c r="H17839" s="11"/>
      <c r="I17839" s="15"/>
    </row>
    <row r="17840" spans="1:9" ht="16.5">
      <c r="A17840" s="10" t="b">
        <v>0</v>
      </c>
      <c r="B17840" s="11" t="str">
        <f>IF(D17840&lt;&gt;"",IF(COUNTIF('USPTO TMs'!A:A,D17840)&gt;0,"Yes","No"),"")</f>
        <v/>
      </c>
      <c r="C17840" s="11"/>
      <c r="D17840" s="11"/>
      <c r="E17840" s="11"/>
      <c r="F17840" s="11"/>
      <c r="G17840" s="11"/>
      <c r="H17840" s="11"/>
      <c r="I17840" s="15"/>
    </row>
    <row r="17841" spans="1:9" ht="16.5">
      <c r="A17841" s="10" t="b">
        <v>0</v>
      </c>
      <c r="B17841" s="11" t="str">
        <f>IF(D17841&lt;&gt;"",IF(COUNTIF('USPTO TMs'!A:A,D17841)&gt;0,"Yes","No"),"")</f>
        <v/>
      </c>
      <c r="C17841" s="11"/>
      <c r="D17841" s="11"/>
      <c r="E17841" s="11"/>
      <c r="F17841" s="11"/>
      <c r="G17841" s="11"/>
      <c r="H17841" s="11"/>
      <c r="I17841" s="15"/>
    </row>
    <row r="17842" spans="1:9" ht="16.5">
      <c r="A17842" s="10" t="b">
        <v>0</v>
      </c>
      <c r="B17842" s="11" t="str">
        <f>IF(D17842&lt;&gt;"",IF(COUNTIF('USPTO TMs'!A:A,D17842)&gt;0,"Yes","No"),"")</f>
        <v/>
      </c>
      <c r="C17842" s="11"/>
      <c r="D17842" s="11"/>
      <c r="E17842" s="11"/>
      <c r="F17842" s="11"/>
      <c r="G17842" s="11"/>
      <c r="H17842" s="11"/>
      <c r="I17842" s="15"/>
    </row>
    <row r="17843" spans="1:9" ht="16.5">
      <c r="A17843" s="10" t="b">
        <v>0</v>
      </c>
      <c r="B17843" s="11" t="str">
        <f>IF(D17843&lt;&gt;"",IF(COUNTIF('USPTO TMs'!A:A,D17843)&gt;0,"Yes","No"),"")</f>
        <v/>
      </c>
      <c r="C17843" s="11"/>
      <c r="D17843" s="11"/>
      <c r="E17843" s="11"/>
      <c r="F17843" s="11"/>
      <c r="G17843" s="11"/>
      <c r="H17843" s="11"/>
      <c r="I17843" s="15"/>
    </row>
    <row r="17844" spans="1:9" ht="16.5">
      <c r="A17844" s="10" t="b">
        <v>0</v>
      </c>
      <c r="B17844" s="11" t="str">
        <f>IF(D17844&lt;&gt;"",IF(COUNTIF('USPTO TMs'!A:A,D17844)&gt;0,"Yes","No"),"")</f>
        <v/>
      </c>
      <c r="C17844" s="11"/>
      <c r="D17844" s="11"/>
      <c r="E17844" s="11"/>
      <c r="F17844" s="11"/>
      <c r="G17844" s="11"/>
      <c r="H17844" s="11"/>
      <c r="I17844" s="15"/>
    </row>
    <row r="17845" spans="1:9" ht="16.5">
      <c r="A17845" s="10" t="b">
        <v>0</v>
      </c>
      <c r="B17845" s="11" t="str">
        <f>IF(D17845&lt;&gt;"",IF(COUNTIF('USPTO TMs'!A:A,D17845)&gt;0,"Yes","No"),"")</f>
        <v/>
      </c>
      <c r="C17845" s="11"/>
      <c r="D17845" s="11"/>
      <c r="E17845" s="11"/>
      <c r="F17845" s="11"/>
      <c r="G17845" s="11"/>
      <c r="H17845" s="11"/>
      <c r="I17845" s="15"/>
    </row>
    <row r="17846" spans="1:9" ht="16.5">
      <c r="A17846" s="10" t="b">
        <v>0</v>
      </c>
      <c r="B17846" s="11" t="str">
        <f>IF(D17846&lt;&gt;"",IF(COUNTIF('USPTO TMs'!A:A,D17846)&gt;0,"Yes","No"),"")</f>
        <v/>
      </c>
      <c r="C17846" s="11"/>
      <c r="D17846" s="11"/>
      <c r="E17846" s="11"/>
      <c r="F17846" s="11"/>
      <c r="G17846" s="11"/>
      <c r="H17846" s="11"/>
      <c r="I17846" s="15"/>
    </row>
    <row r="17847" spans="1:9" ht="16.5">
      <c r="A17847" s="10" t="b">
        <v>0</v>
      </c>
      <c r="B17847" s="11" t="str">
        <f>IF(D17847&lt;&gt;"",IF(COUNTIF('USPTO TMs'!A:A,D17847)&gt;0,"Yes","No"),"")</f>
        <v/>
      </c>
      <c r="C17847" s="11"/>
      <c r="D17847" s="11"/>
      <c r="E17847" s="11"/>
      <c r="F17847" s="11"/>
      <c r="G17847" s="11"/>
      <c r="H17847" s="11"/>
      <c r="I17847" s="15"/>
    </row>
    <row r="17848" spans="1:9" ht="16.5">
      <c r="A17848" s="10" t="b">
        <v>0</v>
      </c>
      <c r="B17848" s="11" t="str">
        <f>IF(D17848&lt;&gt;"",IF(COUNTIF('USPTO TMs'!A:A,D17848)&gt;0,"Yes","No"),"")</f>
        <v/>
      </c>
      <c r="C17848" s="11"/>
      <c r="D17848" s="11"/>
      <c r="E17848" s="11"/>
      <c r="F17848" s="11"/>
      <c r="G17848" s="11"/>
      <c r="H17848" s="11"/>
      <c r="I17848" s="15"/>
    </row>
    <row r="17849" spans="1:9" ht="16.5">
      <c r="A17849" s="10" t="b">
        <v>0</v>
      </c>
      <c r="B17849" s="11" t="str">
        <f>IF(D17849&lt;&gt;"",IF(COUNTIF('USPTO TMs'!A:A,D17849)&gt;0,"Yes","No"),"")</f>
        <v/>
      </c>
      <c r="C17849" s="11"/>
      <c r="D17849" s="11"/>
      <c r="E17849" s="11"/>
      <c r="F17849" s="11"/>
      <c r="G17849" s="11"/>
      <c r="H17849" s="11"/>
      <c r="I17849" s="15"/>
    </row>
    <row r="17850" spans="1:9" ht="16.5">
      <c r="A17850" s="10" t="b">
        <v>0</v>
      </c>
      <c r="B17850" s="11" t="str">
        <f>IF(D17850&lt;&gt;"",IF(COUNTIF('USPTO TMs'!A:A,D17850)&gt;0,"Yes","No"),"")</f>
        <v/>
      </c>
      <c r="C17850" s="11"/>
      <c r="D17850" s="11"/>
      <c r="E17850" s="11"/>
      <c r="F17850" s="11"/>
      <c r="G17850" s="11"/>
      <c r="H17850" s="11"/>
      <c r="I17850" s="15"/>
    </row>
    <row r="17851" spans="1:9" ht="16.5">
      <c r="A17851" s="10" t="b">
        <v>0</v>
      </c>
      <c r="B17851" s="11" t="str">
        <f>IF(D17851&lt;&gt;"",IF(COUNTIF('USPTO TMs'!A:A,D17851)&gt;0,"Yes","No"),"")</f>
        <v/>
      </c>
      <c r="C17851" s="11"/>
      <c r="D17851" s="11"/>
      <c r="E17851" s="11"/>
      <c r="F17851" s="11"/>
      <c r="G17851" s="11"/>
      <c r="H17851" s="11"/>
      <c r="I17851" s="15"/>
    </row>
    <row r="17852" spans="1:9" ht="16.5">
      <c r="A17852" s="10" t="b">
        <v>0</v>
      </c>
      <c r="B17852" s="11" t="str">
        <f>IF(D17852&lt;&gt;"",IF(COUNTIF('USPTO TMs'!A:A,D17852)&gt;0,"Yes","No"),"")</f>
        <v/>
      </c>
      <c r="C17852" s="11"/>
      <c r="D17852" s="11"/>
      <c r="E17852" s="11"/>
      <c r="F17852" s="11"/>
      <c r="G17852" s="11"/>
      <c r="H17852" s="11"/>
      <c r="I17852" s="15"/>
    </row>
    <row r="17853" spans="1:9" ht="16.5">
      <c r="A17853" s="10" t="b">
        <v>0</v>
      </c>
      <c r="B17853" s="11" t="str">
        <f>IF(D17853&lt;&gt;"",IF(COUNTIF('USPTO TMs'!A:A,D17853)&gt;0,"Yes","No"),"")</f>
        <v/>
      </c>
      <c r="C17853" s="11"/>
      <c r="D17853" s="11"/>
      <c r="E17853" s="11"/>
      <c r="F17853" s="11"/>
      <c r="G17853" s="11"/>
      <c r="H17853" s="11"/>
      <c r="I17853" s="15"/>
    </row>
    <row r="17854" spans="1:9" ht="16.5">
      <c r="A17854" s="10" t="b">
        <v>0</v>
      </c>
      <c r="B17854" s="11" t="str">
        <f>IF(D17854&lt;&gt;"",IF(COUNTIF('USPTO TMs'!A:A,D17854)&gt;0,"Yes","No"),"")</f>
        <v/>
      </c>
      <c r="C17854" s="11"/>
      <c r="D17854" s="11"/>
      <c r="E17854" s="11"/>
      <c r="F17854" s="11"/>
      <c r="G17854" s="11"/>
      <c r="H17854" s="11"/>
      <c r="I17854" s="15"/>
    </row>
    <row r="17855" spans="1:9" ht="16.5">
      <c r="A17855" s="10" t="b">
        <v>0</v>
      </c>
      <c r="B17855" s="11" t="str">
        <f>IF(D17855&lt;&gt;"",IF(COUNTIF('USPTO TMs'!A:A,D17855)&gt;0,"Yes","No"),"")</f>
        <v/>
      </c>
      <c r="C17855" s="11"/>
      <c r="D17855" s="11"/>
      <c r="E17855" s="11"/>
      <c r="F17855" s="11"/>
      <c r="G17855" s="11"/>
      <c r="H17855" s="11"/>
      <c r="I17855" s="15"/>
    </row>
    <row r="17856" spans="1:9" ht="16.5">
      <c r="A17856" s="10" t="b">
        <v>0</v>
      </c>
      <c r="B17856" s="11" t="str">
        <f>IF(D17856&lt;&gt;"",IF(COUNTIF('USPTO TMs'!A:A,D17856)&gt;0,"Yes","No"),"")</f>
        <v/>
      </c>
      <c r="C17856" s="11"/>
      <c r="D17856" s="11"/>
      <c r="E17856" s="11"/>
      <c r="F17856" s="11"/>
      <c r="G17856" s="11"/>
      <c r="H17856" s="11"/>
      <c r="I17856" s="15"/>
    </row>
    <row r="17857" spans="1:9" ht="16.5">
      <c r="A17857" s="10" t="b">
        <v>0</v>
      </c>
      <c r="B17857" s="11" t="str">
        <f>IF(D17857&lt;&gt;"",IF(COUNTIF('USPTO TMs'!A:A,D17857)&gt;0,"Yes","No"),"")</f>
        <v/>
      </c>
      <c r="C17857" s="11"/>
      <c r="D17857" s="11"/>
      <c r="E17857" s="11"/>
      <c r="F17857" s="11"/>
      <c r="G17857" s="11"/>
      <c r="H17857" s="11"/>
      <c r="I17857" s="15"/>
    </row>
    <row r="17858" spans="1:9" ht="16.5">
      <c r="A17858" s="10" t="b">
        <v>0</v>
      </c>
      <c r="B17858" s="11" t="str">
        <f>IF(D17858&lt;&gt;"",IF(COUNTIF('USPTO TMs'!A:A,D17858)&gt;0,"Yes","No"),"")</f>
        <v/>
      </c>
      <c r="C17858" s="11"/>
      <c r="D17858" s="11"/>
      <c r="E17858" s="11"/>
      <c r="F17858" s="11"/>
      <c r="G17858" s="11"/>
      <c r="H17858" s="11"/>
      <c r="I17858" s="15"/>
    </row>
    <row r="17859" spans="1:9" ht="16.5">
      <c r="A17859" s="10" t="b">
        <v>0</v>
      </c>
      <c r="B17859" s="11" t="str">
        <f>IF(D17859&lt;&gt;"",IF(COUNTIF('USPTO TMs'!A:A,D17859)&gt;0,"Yes","No"),"")</f>
        <v/>
      </c>
      <c r="C17859" s="11"/>
      <c r="D17859" s="11"/>
      <c r="E17859" s="11"/>
      <c r="F17859" s="11"/>
      <c r="G17859" s="11"/>
      <c r="H17859" s="11"/>
      <c r="I17859" s="15"/>
    </row>
    <row r="17860" spans="1:9" ht="16.5">
      <c r="A17860" s="10" t="b">
        <v>0</v>
      </c>
      <c r="B17860" s="11" t="str">
        <f>IF(D17860&lt;&gt;"",IF(COUNTIF('USPTO TMs'!A:A,D17860)&gt;0,"Yes","No"),"")</f>
        <v/>
      </c>
      <c r="C17860" s="11"/>
      <c r="D17860" s="11"/>
      <c r="E17860" s="11"/>
      <c r="F17860" s="11"/>
      <c r="G17860" s="11"/>
      <c r="H17860" s="11"/>
      <c r="I17860" s="15"/>
    </row>
    <row r="17861" spans="1:9" ht="16.5">
      <c r="A17861" s="10" t="b">
        <v>0</v>
      </c>
      <c r="B17861" s="11" t="str">
        <f>IF(D17861&lt;&gt;"",IF(COUNTIF('USPTO TMs'!A:A,D17861)&gt;0,"Yes","No"),"")</f>
        <v/>
      </c>
      <c r="C17861" s="11"/>
      <c r="D17861" s="11"/>
      <c r="E17861" s="11"/>
      <c r="F17861" s="11"/>
      <c r="G17861" s="11"/>
      <c r="H17861" s="11"/>
      <c r="I17861" s="15"/>
    </row>
    <row r="17862" spans="1:9" ht="16.5">
      <c r="A17862" s="10" t="b">
        <v>0</v>
      </c>
      <c r="B17862" s="11" t="str">
        <f>IF(D17862&lt;&gt;"",IF(COUNTIF('USPTO TMs'!A:A,D17862)&gt;0,"Yes","No"),"")</f>
        <v/>
      </c>
      <c r="C17862" s="11"/>
      <c r="D17862" s="11"/>
      <c r="E17862" s="11"/>
      <c r="F17862" s="11"/>
      <c r="G17862" s="11"/>
      <c r="H17862" s="11"/>
      <c r="I17862" s="15"/>
    </row>
    <row r="17863" spans="1:9" ht="16.5">
      <c r="A17863" s="10" t="b">
        <v>0</v>
      </c>
      <c r="B17863" s="11" t="str">
        <f>IF(D17863&lt;&gt;"",IF(COUNTIF('USPTO TMs'!A:A,D17863)&gt;0,"Yes","No"),"")</f>
        <v/>
      </c>
      <c r="C17863" s="11"/>
      <c r="D17863" s="11"/>
      <c r="E17863" s="11"/>
      <c r="F17863" s="11"/>
      <c r="G17863" s="11"/>
      <c r="H17863" s="11"/>
      <c r="I17863" s="15"/>
    </row>
    <row r="17864" spans="1:9" ht="16.5">
      <c r="A17864" s="10" t="b">
        <v>0</v>
      </c>
      <c r="B17864" s="11" t="str">
        <f>IF(D17864&lt;&gt;"",IF(COUNTIF('USPTO TMs'!A:A,D17864)&gt;0,"Yes","No"),"")</f>
        <v/>
      </c>
      <c r="C17864" s="11"/>
      <c r="D17864" s="11"/>
      <c r="E17864" s="11"/>
      <c r="F17864" s="11"/>
      <c r="G17864" s="11"/>
      <c r="H17864" s="11"/>
      <c r="I17864" s="15"/>
    </row>
    <row r="17865" spans="1:9" ht="16.5">
      <c r="A17865" s="10" t="b">
        <v>0</v>
      </c>
      <c r="B17865" s="11" t="str">
        <f>IF(D17865&lt;&gt;"",IF(COUNTIF('USPTO TMs'!A:A,D17865)&gt;0,"Yes","No"),"")</f>
        <v/>
      </c>
      <c r="C17865" s="11"/>
      <c r="D17865" s="11"/>
      <c r="E17865" s="11"/>
      <c r="F17865" s="11"/>
      <c r="G17865" s="11"/>
      <c r="H17865" s="11"/>
      <c r="I17865" s="15"/>
    </row>
    <row r="17866" spans="1:9" ht="16.5">
      <c r="A17866" s="10" t="b">
        <v>0</v>
      </c>
      <c r="B17866" s="11" t="str">
        <f>IF(D17866&lt;&gt;"",IF(COUNTIF('USPTO TMs'!A:A,D17866)&gt;0,"Yes","No"),"")</f>
        <v/>
      </c>
      <c r="C17866" s="11"/>
      <c r="D17866" s="11"/>
      <c r="E17866" s="11"/>
      <c r="F17866" s="11"/>
      <c r="G17866" s="11"/>
      <c r="H17866" s="11"/>
      <c r="I17866" s="15"/>
    </row>
    <row r="17867" spans="1:9" ht="16.5">
      <c r="A17867" s="10" t="b">
        <v>0</v>
      </c>
      <c r="B17867" s="11" t="str">
        <f>IF(D17867&lt;&gt;"",IF(COUNTIF('USPTO TMs'!A:A,D17867)&gt;0,"Yes","No"),"")</f>
        <v/>
      </c>
      <c r="C17867" s="11"/>
      <c r="D17867" s="11"/>
      <c r="E17867" s="11"/>
      <c r="F17867" s="11"/>
      <c r="G17867" s="11"/>
      <c r="H17867" s="11"/>
      <c r="I17867" s="15"/>
    </row>
    <row r="17868" spans="1:9" ht="16.5">
      <c r="A17868" s="10" t="b">
        <v>0</v>
      </c>
      <c r="B17868" s="11" t="str">
        <f>IF(D17868&lt;&gt;"",IF(COUNTIF('USPTO TMs'!A:A,D17868)&gt;0,"Yes","No"),"")</f>
        <v/>
      </c>
      <c r="C17868" s="11"/>
      <c r="D17868" s="11"/>
      <c r="E17868" s="11"/>
      <c r="F17868" s="11"/>
      <c r="G17868" s="11"/>
      <c r="H17868" s="11"/>
      <c r="I17868" s="15"/>
    </row>
    <row r="17869" spans="1:9" ht="16.5">
      <c r="A17869" s="10" t="b">
        <v>0</v>
      </c>
      <c r="B17869" s="11" t="str">
        <f>IF(D17869&lt;&gt;"",IF(COUNTIF('USPTO TMs'!A:A,D17869)&gt;0,"Yes","No"),"")</f>
        <v/>
      </c>
      <c r="C17869" s="11"/>
      <c r="D17869" s="11"/>
      <c r="E17869" s="11"/>
      <c r="F17869" s="11"/>
      <c r="G17869" s="11"/>
      <c r="H17869" s="11"/>
      <c r="I17869" s="15"/>
    </row>
    <row r="17870" spans="1:9" ht="16.5">
      <c r="A17870" s="10" t="b">
        <v>0</v>
      </c>
      <c r="B17870" s="11" t="str">
        <f>IF(D17870&lt;&gt;"",IF(COUNTIF('USPTO TMs'!A:A,D17870)&gt;0,"Yes","No"),"")</f>
        <v/>
      </c>
      <c r="C17870" s="11"/>
      <c r="D17870" s="11"/>
      <c r="E17870" s="11"/>
      <c r="F17870" s="11"/>
      <c r="G17870" s="11"/>
      <c r="H17870" s="11"/>
      <c r="I17870" s="15"/>
    </row>
    <row r="17871" spans="1:9" ht="16.5">
      <c r="A17871" s="10" t="b">
        <v>0</v>
      </c>
      <c r="B17871" s="11" t="str">
        <f>IF(D17871&lt;&gt;"",IF(COUNTIF('USPTO TMs'!A:A,D17871)&gt;0,"Yes","No"),"")</f>
        <v/>
      </c>
      <c r="C17871" s="11"/>
      <c r="D17871" s="11"/>
      <c r="E17871" s="11"/>
      <c r="F17871" s="11"/>
      <c r="G17871" s="11"/>
      <c r="H17871" s="11"/>
      <c r="I17871" s="15"/>
    </row>
    <row r="17872" spans="1:9" ht="16.5">
      <c r="A17872" s="10" t="b">
        <v>0</v>
      </c>
      <c r="B17872" s="11" t="str">
        <f>IF(D17872&lt;&gt;"",IF(COUNTIF('USPTO TMs'!A:A,D17872)&gt;0,"Yes","No"),"")</f>
        <v/>
      </c>
      <c r="C17872" s="11"/>
      <c r="D17872" s="11"/>
      <c r="E17872" s="11"/>
      <c r="F17872" s="11"/>
      <c r="G17872" s="11"/>
      <c r="H17872" s="11"/>
      <c r="I17872" s="15"/>
    </row>
    <row r="17873" spans="1:9" ht="16.5">
      <c r="A17873" s="10" t="b">
        <v>0</v>
      </c>
      <c r="B17873" s="11" t="str">
        <f>IF(D17873&lt;&gt;"",IF(COUNTIF('USPTO TMs'!A:A,D17873)&gt;0,"Yes","No"),"")</f>
        <v/>
      </c>
      <c r="C17873" s="11"/>
      <c r="D17873" s="11"/>
      <c r="E17873" s="11"/>
      <c r="F17873" s="11"/>
      <c r="G17873" s="11"/>
      <c r="H17873" s="11"/>
      <c r="I17873" s="15"/>
    </row>
    <row r="17874" spans="1:9" ht="16.5">
      <c r="A17874" s="10" t="b">
        <v>0</v>
      </c>
      <c r="B17874" s="11" t="str">
        <f>IF(D17874&lt;&gt;"",IF(COUNTIF('USPTO TMs'!A:A,D17874)&gt;0,"Yes","No"),"")</f>
        <v/>
      </c>
      <c r="C17874" s="11"/>
      <c r="D17874" s="11"/>
      <c r="E17874" s="11"/>
      <c r="F17874" s="11"/>
      <c r="G17874" s="11"/>
      <c r="H17874" s="11"/>
      <c r="I17874" s="15"/>
    </row>
    <row r="17875" spans="1:9" ht="16.5">
      <c r="A17875" s="10" t="b">
        <v>0</v>
      </c>
      <c r="B17875" s="11" t="str">
        <f>IF(D17875&lt;&gt;"",IF(COUNTIF('USPTO TMs'!A:A,D17875)&gt;0,"Yes","No"),"")</f>
        <v/>
      </c>
      <c r="C17875" s="11"/>
      <c r="D17875" s="11"/>
      <c r="E17875" s="11"/>
      <c r="F17875" s="11"/>
      <c r="G17875" s="11"/>
      <c r="H17875" s="11"/>
      <c r="I17875" s="15"/>
    </row>
    <row r="17876" spans="1:9" ht="16.5">
      <c r="A17876" s="10" t="b">
        <v>0</v>
      </c>
      <c r="B17876" s="11" t="str">
        <f>IF(D17876&lt;&gt;"",IF(COUNTIF('USPTO TMs'!A:A,D17876)&gt;0,"Yes","No"),"")</f>
        <v/>
      </c>
      <c r="C17876" s="11"/>
      <c r="D17876" s="11"/>
      <c r="E17876" s="11"/>
      <c r="F17876" s="11"/>
      <c r="G17876" s="11"/>
      <c r="H17876" s="11"/>
      <c r="I17876" s="15"/>
    </row>
    <row r="17877" spans="1:9" ht="16.5">
      <c r="A17877" s="10" t="b">
        <v>0</v>
      </c>
      <c r="B17877" s="11" t="str">
        <f>IF(D17877&lt;&gt;"",IF(COUNTIF('USPTO TMs'!A:A,D17877)&gt;0,"Yes","No"),"")</f>
        <v/>
      </c>
      <c r="C17877" s="11"/>
      <c r="D17877" s="11"/>
      <c r="E17877" s="11"/>
      <c r="F17877" s="11"/>
      <c r="G17877" s="11"/>
      <c r="H17877" s="11"/>
      <c r="I17877" s="15"/>
    </row>
    <row r="17878" spans="1:9" ht="16.5">
      <c r="A17878" s="10" t="b">
        <v>0</v>
      </c>
      <c r="B17878" s="11" t="str">
        <f>IF(D17878&lt;&gt;"",IF(COUNTIF('USPTO TMs'!A:A,D17878)&gt;0,"Yes","No"),"")</f>
        <v/>
      </c>
      <c r="C17878" s="11"/>
      <c r="D17878" s="11"/>
      <c r="E17878" s="11"/>
      <c r="F17878" s="11"/>
      <c r="G17878" s="11"/>
      <c r="H17878" s="11"/>
      <c r="I17878" s="15"/>
    </row>
    <row r="17879" spans="1:9" ht="16.5">
      <c r="A17879" s="10" t="b">
        <v>0</v>
      </c>
      <c r="B17879" s="11" t="str">
        <f>IF(D17879&lt;&gt;"",IF(COUNTIF('USPTO TMs'!A:A,D17879)&gt;0,"Yes","No"),"")</f>
        <v/>
      </c>
      <c r="C17879" s="11"/>
      <c r="D17879" s="11"/>
      <c r="E17879" s="11"/>
      <c r="F17879" s="11"/>
      <c r="G17879" s="11"/>
      <c r="H17879" s="11"/>
      <c r="I17879" s="15"/>
    </row>
    <row r="17880" spans="1:9" ht="16.5">
      <c r="A17880" s="10" t="b">
        <v>0</v>
      </c>
      <c r="B17880" s="11" t="str">
        <f>IF(D17880&lt;&gt;"",IF(COUNTIF('USPTO TMs'!A:A,D17880)&gt;0,"Yes","No"),"")</f>
        <v/>
      </c>
      <c r="C17880" s="11"/>
      <c r="D17880" s="11"/>
      <c r="E17880" s="11"/>
      <c r="F17880" s="11"/>
      <c r="G17880" s="11"/>
      <c r="H17880" s="11"/>
      <c r="I17880" s="15"/>
    </row>
    <row r="17881" spans="1:9" ht="16.5">
      <c r="A17881" s="10" t="b">
        <v>0</v>
      </c>
      <c r="B17881" s="11" t="str">
        <f>IF(D17881&lt;&gt;"",IF(COUNTIF('USPTO TMs'!A:A,D17881)&gt;0,"Yes","No"),"")</f>
        <v/>
      </c>
      <c r="C17881" s="11"/>
      <c r="D17881" s="11"/>
      <c r="E17881" s="11"/>
      <c r="F17881" s="11"/>
      <c r="G17881" s="11"/>
      <c r="H17881" s="11"/>
      <c r="I17881" s="15"/>
    </row>
    <row r="17882" spans="1:9" ht="16.5">
      <c r="A17882" s="10" t="b">
        <v>0</v>
      </c>
      <c r="B17882" s="11" t="str">
        <f>IF(D17882&lt;&gt;"",IF(COUNTIF('USPTO TMs'!A:A,D17882)&gt;0,"Yes","No"),"")</f>
        <v/>
      </c>
      <c r="C17882" s="11"/>
      <c r="D17882" s="11"/>
      <c r="E17882" s="11"/>
      <c r="F17882" s="11"/>
      <c r="G17882" s="11"/>
      <c r="H17882" s="11"/>
      <c r="I17882" s="15"/>
    </row>
    <row r="17883" spans="1:9" ht="16.5">
      <c r="A17883" s="10" t="b">
        <v>0</v>
      </c>
      <c r="B17883" s="11" t="str">
        <f>IF(D17883&lt;&gt;"",IF(COUNTIF('USPTO TMs'!A:A,D17883)&gt;0,"Yes","No"),"")</f>
        <v/>
      </c>
      <c r="C17883" s="11"/>
      <c r="D17883" s="11"/>
      <c r="E17883" s="11"/>
      <c r="F17883" s="11"/>
      <c r="G17883" s="11"/>
      <c r="H17883" s="11"/>
      <c r="I17883" s="15"/>
    </row>
    <row r="17884" spans="1:9" ht="16.5">
      <c r="A17884" s="10" t="b">
        <v>0</v>
      </c>
      <c r="B17884" s="11" t="str">
        <f>IF(D17884&lt;&gt;"",IF(COUNTIF('USPTO TMs'!A:A,D17884)&gt;0,"Yes","No"),"")</f>
        <v/>
      </c>
      <c r="C17884" s="11"/>
      <c r="D17884" s="11"/>
      <c r="E17884" s="11"/>
      <c r="F17884" s="11"/>
      <c r="G17884" s="11"/>
      <c r="H17884" s="11"/>
      <c r="I17884" s="15"/>
    </row>
    <row r="17885" spans="1:9" ht="16.5">
      <c r="A17885" s="10" t="b">
        <v>0</v>
      </c>
      <c r="B17885" s="11" t="str">
        <f>IF(D17885&lt;&gt;"",IF(COUNTIF('USPTO TMs'!A:A,D17885)&gt;0,"Yes","No"),"")</f>
        <v/>
      </c>
      <c r="C17885" s="11"/>
      <c r="D17885" s="11"/>
      <c r="E17885" s="11"/>
      <c r="F17885" s="11"/>
      <c r="G17885" s="11"/>
      <c r="H17885" s="11"/>
      <c r="I17885" s="15"/>
    </row>
    <row r="17886" spans="1:9" ht="16.5">
      <c r="A17886" s="10" t="b">
        <v>0</v>
      </c>
      <c r="B17886" s="11" t="str">
        <f>IF(D17886&lt;&gt;"",IF(COUNTIF('USPTO TMs'!A:A,D17886)&gt;0,"Yes","No"),"")</f>
        <v/>
      </c>
      <c r="C17886" s="11"/>
      <c r="D17886" s="11"/>
      <c r="E17886" s="11"/>
      <c r="F17886" s="11"/>
      <c r="G17886" s="11"/>
      <c r="H17886" s="11"/>
      <c r="I17886" s="15"/>
    </row>
    <row r="17887" spans="1:9" ht="16.5">
      <c r="A17887" s="10" t="b">
        <v>0</v>
      </c>
      <c r="B17887" s="11" t="str">
        <f>IF(D17887&lt;&gt;"",IF(COUNTIF('USPTO TMs'!A:A,D17887)&gt;0,"Yes","No"),"")</f>
        <v/>
      </c>
      <c r="C17887" s="11"/>
      <c r="D17887" s="11"/>
      <c r="E17887" s="11"/>
      <c r="F17887" s="11"/>
      <c r="G17887" s="11"/>
      <c r="H17887" s="11"/>
      <c r="I17887" s="15"/>
    </row>
    <row r="17888" spans="1:9" ht="16.5">
      <c r="A17888" s="10" t="b">
        <v>0</v>
      </c>
      <c r="B17888" s="11" t="str">
        <f>IF(D17888&lt;&gt;"",IF(COUNTIF('USPTO TMs'!A:A,D17888)&gt;0,"Yes","No"),"")</f>
        <v/>
      </c>
      <c r="C17888" s="11"/>
      <c r="D17888" s="11"/>
      <c r="E17888" s="11"/>
      <c r="F17888" s="11"/>
      <c r="G17888" s="11"/>
      <c r="H17888" s="11"/>
      <c r="I17888" s="15"/>
    </row>
    <row r="17889" spans="1:9" ht="16.5">
      <c r="A17889" s="10" t="b">
        <v>0</v>
      </c>
      <c r="B17889" s="11" t="str">
        <f>IF(D17889&lt;&gt;"",IF(COUNTIF('USPTO TMs'!A:A,D17889)&gt;0,"Yes","No"),"")</f>
        <v/>
      </c>
      <c r="C17889" s="11"/>
      <c r="D17889" s="11"/>
      <c r="E17889" s="11"/>
      <c r="F17889" s="11"/>
      <c r="G17889" s="11"/>
      <c r="H17889" s="11"/>
      <c r="I17889" s="15"/>
    </row>
    <row r="17890" spans="1:9" ht="16.5">
      <c r="A17890" s="10" t="b">
        <v>0</v>
      </c>
      <c r="B17890" s="11" t="str">
        <f>IF(D17890&lt;&gt;"",IF(COUNTIF('USPTO TMs'!A:A,D17890)&gt;0,"Yes","No"),"")</f>
        <v/>
      </c>
      <c r="C17890" s="11"/>
      <c r="D17890" s="11"/>
      <c r="E17890" s="11"/>
      <c r="F17890" s="11"/>
      <c r="G17890" s="11"/>
      <c r="H17890" s="11"/>
      <c r="I17890" s="15"/>
    </row>
    <row r="17891" spans="1:9" ht="16.5">
      <c r="A17891" s="10" t="b">
        <v>0</v>
      </c>
      <c r="B17891" s="11" t="str">
        <f>IF(D17891&lt;&gt;"",IF(COUNTIF('USPTO TMs'!A:A,D17891)&gt;0,"Yes","No"),"")</f>
        <v/>
      </c>
      <c r="C17891" s="11"/>
      <c r="D17891" s="11"/>
      <c r="E17891" s="11"/>
      <c r="F17891" s="11"/>
      <c r="G17891" s="11"/>
      <c r="H17891" s="11"/>
      <c r="I17891" s="15"/>
    </row>
    <row r="17892" spans="1:9" ht="16.5">
      <c r="A17892" s="10" t="b">
        <v>0</v>
      </c>
      <c r="B17892" s="11" t="str">
        <f>IF(D17892&lt;&gt;"",IF(COUNTIF('USPTO TMs'!A:A,D17892)&gt;0,"Yes","No"),"")</f>
        <v/>
      </c>
      <c r="C17892" s="11"/>
      <c r="D17892" s="11"/>
      <c r="E17892" s="11"/>
      <c r="F17892" s="11"/>
      <c r="G17892" s="11"/>
      <c r="H17892" s="11"/>
      <c r="I17892" s="15"/>
    </row>
    <row r="17893" spans="1:9" ht="16.5">
      <c r="A17893" s="10" t="b">
        <v>0</v>
      </c>
      <c r="B17893" s="11" t="str">
        <f>IF(D17893&lt;&gt;"",IF(COUNTIF('USPTO TMs'!A:A,D17893)&gt;0,"Yes","No"),"")</f>
        <v/>
      </c>
      <c r="C17893" s="11"/>
      <c r="D17893" s="11"/>
      <c r="E17893" s="11"/>
      <c r="F17893" s="11"/>
      <c r="G17893" s="11"/>
      <c r="H17893" s="11"/>
      <c r="I17893" s="15"/>
    </row>
    <row r="17894" spans="1:9" ht="16.5">
      <c r="A17894" s="10" t="b">
        <v>0</v>
      </c>
      <c r="B17894" s="11" t="str">
        <f>IF(D17894&lt;&gt;"",IF(COUNTIF('USPTO TMs'!A:A,D17894)&gt;0,"Yes","No"),"")</f>
        <v/>
      </c>
      <c r="C17894" s="11"/>
      <c r="D17894" s="11"/>
      <c r="E17894" s="11"/>
      <c r="F17894" s="11"/>
      <c r="G17894" s="11"/>
      <c r="H17894" s="11"/>
      <c r="I17894" s="15"/>
    </row>
    <row r="17895" spans="1:9" ht="16.5">
      <c r="A17895" s="10" t="b">
        <v>0</v>
      </c>
      <c r="B17895" s="11" t="str">
        <f>IF(D17895&lt;&gt;"",IF(COUNTIF('USPTO TMs'!A:A,D17895)&gt;0,"Yes","No"),"")</f>
        <v/>
      </c>
      <c r="C17895" s="11"/>
      <c r="D17895" s="11"/>
      <c r="E17895" s="11"/>
      <c r="F17895" s="11"/>
      <c r="G17895" s="11"/>
      <c r="H17895" s="11"/>
      <c r="I17895" s="15"/>
    </row>
    <row r="17896" spans="1:9" ht="16.5">
      <c r="A17896" s="10" t="b">
        <v>0</v>
      </c>
      <c r="B17896" s="11" t="str">
        <f>IF(D17896&lt;&gt;"",IF(COUNTIF('USPTO TMs'!A:A,D17896)&gt;0,"Yes","No"),"")</f>
        <v/>
      </c>
      <c r="C17896" s="11"/>
      <c r="D17896" s="11"/>
      <c r="E17896" s="11"/>
      <c r="F17896" s="11"/>
      <c r="G17896" s="11"/>
      <c r="H17896" s="11"/>
      <c r="I17896" s="15"/>
    </row>
    <row r="17897" spans="1:9" ht="16.5">
      <c r="A17897" s="10" t="b">
        <v>0</v>
      </c>
      <c r="B17897" s="11" t="str">
        <f>IF(D17897&lt;&gt;"",IF(COUNTIF('USPTO TMs'!A:A,D17897)&gt;0,"Yes","No"),"")</f>
        <v/>
      </c>
      <c r="C17897" s="11"/>
      <c r="D17897" s="11"/>
      <c r="E17897" s="11"/>
      <c r="F17897" s="11"/>
      <c r="G17897" s="11"/>
      <c r="H17897" s="11"/>
      <c r="I17897" s="15"/>
    </row>
    <row r="17898" spans="1:9" ht="16.5">
      <c r="A17898" s="10" t="b">
        <v>0</v>
      </c>
      <c r="B17898" s="11" t="str">
        <f>IF(D17898&lt;&gt;"",IF(COUNTIF('USPTO TMs'!A:A,D17898)&gt;0,"Yes","No"),"")</f>
        <v/>
      </c>
      <c r="C17898" s="11"/>
      <c r="D17898" s="11"/>
      <c r="E17898" s="11"/>
      <c r="F17898" s="11"/>
      <c r="G17898" s="11"/>
      <c r="H17898" s="11"/>
      <c r="I17898" s="15"/>
    </row>
    <row r="17899" spans="1:9" ht="16.5">
      <c r="A17899" s="10" t="b">
        <v>0</v>
      </c>
      <c r="B17899" s="11" t="str">
        <f>IF(D17899&lt;&gt;"",IF(COUNTIF('USPTO TMs'!A:A,D17899)&gt;0,"Yes","No"),"")</f>
        <v/>
      </c>
      <c r="C17899" s="11"/>
      <c r="D17899" s="11"/>
      <c r="E17899" s="11"/>
      <c r="F17899" s="11"/>
      <c r="G17899" s="11"/>
      <c r="H17899" s="11"/>
      <c r="I17899" s="15"/>
    </row>
    <row r="17900" spans="1:9" ht="16.5">
      <c r="A17900" s="10" t="b">
        <v>0</v>
      </c>
      <c r="B17900" s="11" t="str">
        <f>IF(D17900&lt;&gt;"",IF(COUNTIF('USPTO TMs'!A:A,D17900)&gt;0,"Yes","No"),"")</f>
        <v/>
      </c>
      <c r="C17900" s="11"/>
      <c r="D17900" s="11"/>
      <c r="E17900" s="11"/>
      <c r="F17900" s="11"/>
      <c r="G17900" s="11"/>
      <c r="H17900" s="11"/>
      <c r="I17900" s="15"/>
    </row>
    <row r="17901" spans="1:9" ht="16.5">
      <c r="A17901" s="10" t="b">
        <v>0</v>
      </c>
      <c r="B17901" s="11" t="str">
        <f>IF(D17901&lt;&gt;"",IF(COUNTIF('USPTO TMs'!A:A,D17901)&gt;0,"Yes","No"),"")</f>
        <v/>
      </c>
      <c r="C17901" s="11"/>
      <c r="D17901" s="11"/>
      <c r="E17901" s="11"/>
      <c r="F17901" s="11"/>
      <c r="G17901" s="11"/>
      <c r="H17901" s="11"/>
      <c r="I17901" s="15"/>
    </row>
    <row r="17902" spans="1:9" ht="16.5">
      <c r="A17902" s="10" t="b">
        <v>0</v>
      </c>
      <c r="B17902" s="11" t="str">
        <f>IF(D17902&lt;&gt;"",IF(COUNTIF('USPTO TMs'!A:A,D17902)&gt;0,"Yes","No"),"")</f>
        <v/>
      </c>
      <c r="C17902" s="11"/>
      <c r="D17902" s="11"/>
      <c r="E17902" s="11"/>
      <c r="F17902" s="11"/>
      <c r="G17902" s="11"/>
      <c r="H17902" s="11"/>
      <c r="I17902" s="15"/>
    </row>
    <row r="17903" spans="1:9" ht="16.5">
      <c r="A17903" s="10" t="b">
        <v>0</v>
      </c>
      <c r="B17903" s="11" t="str">
        <f>IF(D17903&lt;&gt;"",IF(COUNTIF('USPTO TMs'!A:A,D17903)&gt;0,"Yes","No"),"")</f>
        <v/>
      </c>
      <c r="C17903" s="11"/>
      <c r="D17903" s="11"/>
      <c r="E17903" s="11"/>
      <c r="F17903" s="11"/>
      <c r="G17903" s="11"/>
      <c r="H17903" s="11"/>
      <c r="I17903" s="15"/>
    </row>
    <row r="17904" spans="1:9" ht="16.5">
      <c r="A17904" s="10" t="b">
        <v>0</v>
      </c>
      <c r="B17904" s="11" t="str">
        <f>IF(D17904&lt;&gt;"",IF(COUNTIF('USPTO TMs'!A:A,D17904)&gt;0,"Yes","No"),"")</f>
        <v/>
      </c>
      <c r="C17904" s="11"/>
      <c r="D17904" s="11"/>
      <c r="E17904" s="11"/>
      <c r="F17904" s="11"/>
      <c r="G17904" s="11"/>
      <c r="H17904" s="11"/>
      <c r="I17904" s="15"/>
    </row>
    <row r="17905" spans="1:9" ht="16.5">
      <c r="A17905" s="10" t="b">
        <v>0</v>
      </c>
      <c r="B17905" s="11" t="str">
        <f>IF(D17905&lt;&gt;"",IF(COUNTIF('USPTO TMs'!A:A,D17905)&gt;0,"Yes","No"),"")</f>
        <v/>
      </c>
      <c r="C17905" s="11"/>
      <c r="D17905" s="11"/>
      <c r="E17905" s="11"/>
      <c r="F17905" s="11"/>
      <c r="G17905" s="11"/>
      <c r="H17905" s="11"/>
      <c r="I17905" s="15"/>
    </row>
    <row r="17906" spans="1:9" ht="16.5">
      <c r="A17906" s="10" t="b">
        <v>0</v>
      </c>
      <c r="B17906" s="11" t="str">
        <f>IF(D17906&lt;&gt;"",IF(COUNTIF('USPTO TMs'!A:A,D17906)&gt;0,"Yes","No"),"")</f>
        <v/>
      </c>
      <c r="C17906" s="11"/>
      <c r="D17906" s="11"/>
      <c r="E17906" s="11"/>
      <c r="F17906" s="11"/>
      <c r="G17906" s="11"/>
      <c r="H17906" s="11"/>
      <c r="I17906" s="15"/>
    </row>
    <row r="17907" spans="1:9" ht="16.5">
      <c r="A17907" s="10" t="b">
        <v>0</v>
      </c>
      <c r="B17907" s="11" t="str">
        <f>IF(D17907&lt;&gt;"",IF(COUNTIF('USPTO TMs'!A:A,D17907)&gt;0,"Yes","No"),"")</f>
        <v/>
      </c>
      <c r="C17907" s="11"/>
      <c r="D17907" s="11"/>
      <c r="E17907" s="11"/>
      <c r="F17907" s="11"/>
      <c r="G17907" s="11"/>
      <c r="H17907" s="11"/>
      <c r="I17907" s="15"/>
    </row>
    <row r="17908" spans="1:9" ht="16.5">
      <c r="A17908" s="10" t="b">
        <v>0</v>
      </c>
      <c r="B17908" s="11" t="str">
        <f>IF(D17908&lt;&gt;"",IF(COUNTIF('USPTO TMs'!A:A,D17908)&gt;0,"Yes","No"),"")</f>
        <v/>
      </c>
      <c r="C17908" s="11"/>
      <c r="D17908" s="11"/>
      <c r="E17908" s="11"/>
      <c r="F17908" s="11"/>
      <c r="G17908" s="11"/>
      <c r="H17908" s="11"/>
      <c r="I17908" s="15"/>
    </row>
    <row r="17909" spans="1:9" ht="16.5">
      <c r="A17909" s="10" t="b">
        <v>0</v>
      </c>
      <c r="B17909" s="11" t="str">
        <f>IF(D17909&lt;&gt;"",IF(COUNTIF('USPTO TMs'!A:A,D17909)&gt;0,"Yes","No"),"")</f>
        <v/>
      </c>
      <c r="C17909" s="11"/>
      <c r="D17909" s="11"/>
      <c r="E17909" s="11"/>
      <c r="F17909" s="11"/>
      <c r="G17909" s="11"/>
      <c r="H17909" s="11"/>
      <c r="I17909" s="15"/>
    </row>
    <row r="17910" spans="1:9" ht="16.5">
      <c r="A17910" s="10" t="b">
        <v>0</v>
      </c>
      <c r="B17910" s="11" t="str">
        <f>IF(D17910&lt;&gt;"",IF(COUNTIF('USPTO TMs'!A:A,D17910)&gt;0,"Yes","No"),"")</f>
        <v/>
      </c>
      <c r="C17910" s="11"/>
      <c r="D17910" s="11"/>
      <c r="E17910" s="11"/>
      <c r="F17910" s="11"/>
      <c r="G17910" s="11"/>
      <c r="H17910" s="11"/>
      <c r="I17910" s="15"/>
    </row>
    <row r="17911" spans="1:9" ht="16.5">
      <c r="A17911" s="10" t="b">
        <v>0</v>
      </c>
      <c r="B17911" s="11" t="str">
        <f>IF(D17911&lt;&gt;"",IF(COUNTIF('USPTO TMs'!A:A,D17911)&gt;0,"Yes","No"),"")</f>
        <v/>
      </c>
      <c r="C17911" s="11"/>
      <c r="D17911" s="11"/>
      <c r="E17911" s="11"/>
      <c r="F17911" s="11"/>
      <c r="G17911" s="11"/>
      <c r="H17911" s="11"/>
      <c r="I17911" s="15"/>
    </row>
    <row r="17912" spans="1:9" ht="16.5">
      <c r="A17912" s="10" t="b">
        <v>0</v>
      </c>
      <c r="B17912" s="11" t="str">
        <f>IF(D17912&lt;&gt;"",IF(COUNTIF('USPTO TMs'!A:A,D17912)&gt;0,"Yes","No"),"")</f>
        <v/>
      </c>
      <c r="C17912" s="11"/>
      <c r="D17912" s="11"/>
      <c r="E17912" s="11"/>
      <c r="F17912" s="11"/>
      <c r="G17912" s="11"/>
      <c r="H17912" s="11"/>
      <c r="I17912" s="15"/>
    </row>
    <row r="17913" spans="1:9" ht="16.5">
      <c r="A17913" s="10" t="b">
        <v>0</v>
      </c>
      <c r="B17913" s="11" t="str">
        <f>IF(D17913&lt;&gt;"",IF(COUNTIF('USPTO TMs'!A:A,D17913)&gt;0,"Yes","No"),"")</f>
        <v/>
      </c>
      <c r="C17913" s="11"/>
      <c r="D17913" s="11"/>
      <c r="E17913" s="11"/>
      <c r="F17913" s="11"/>
      <c r="G17913" s="11"/>
      <c r="H17913" s="11"/>
      <c r="I17913" s="15"/>
    </row>
    <row r="17914" spans="1:9" ht="16.5">
      <c r="A17914" s="10" t="b">
        <v>0</v>
      </c>
      <c r="B17914" s="11" t="str">
        <f>IF(D17914&lt;&gt;"",IF(COUNTIF('USPTO TMs'!A:A,D17914)&gt;0,"Yes","No"),"")</f>
        <v/>
      </c>
      <c r="C17914" s="11"/>
      <c r="D17914" s="11"/>
      <c r="E17914" s="11"/>
      <c r="F17914" s="11"/>
      <c r="G17914" s="11"/>
      <c r="H17914" s="11"/>
      <c r="I17914" s="15"/>
    </row>
    <row r="17915" spans="1:9" ht="16.5">
      <c r="A17915" s="10" t="b">
        <v>0</v>
      </c>
      <c r="B17915" s="11" t="str">
        <f>IF(D17915&lt;&gt;"",IF(COUNTIF('USPTO TMs'!A:A,D17915)&gt;0,"Yes","No"),"")</f>
        <v/>
      </c>
      <c r="C17915" s="11"/>
      <c r="D17915" s="11"/>
      <c r="E17915" s="11"/>
      <c r="F17915" s="11"/>
      <c r="G17915" s="11"/>
      <c r="H17915" s="11"/>
      <c r="I17915" s="15"/>
    </row>
    <row r="17916" spans="1:9" ht="16.5">
      <c r="A17916" s="10" t="b">
        <v>0</v>
      </c>
      <c r="B17916" s="11" t="str">
        <f>IF(D17916&lt;&gt;"",IF(COUNTIF('USPTO TMs'!A:A,D17916)&gt;0,"Yes","No"),"")</f>
        <v/>
      </c>
      <c r="C17916" s="11"/>
      <c r="D17916" s="11"/>
      <c r="E17916" s="11"/>
      <c r="F17916" s="11"/>
      <c r="G17916" s="11"/>
      <c r="H17916" s="11"/>
      <c r="I17916" s="15"/>
    </row>
    <row r="17917" spans="1:9" ht="16.5">
      <c r="A17917" s="10" t="b">
        <v>0</v>
      </c>
      <c r="B17917" s="11" t="str">
        <f>IF(D17917&lt;&gt;"",IF(COUNTIF('USPTO TMs'!A:A,D17917)&gt;0,"Yes","No"),"")</f>
        <v/>
      </c>
      <c r="C17917" s="11"/>
      <c r="D17917" s="11"/>
      <c r="E17917" s="11"/>
      <c r="F17917" s="11"/>
      <c r="G17917" s="11"/>
      <c r="H17917" s="11"/>
      <c r="I17917" s="15"/>
    </row>
    <row r="17918" spans="1:9" ht="16.5">
      <c r="A17918" s="10" t="b">
        <v>0</v>
      </c>
      <c r="B17918" s="11" t="str">
        <f>IF(D17918&lt;&gt;"",IF(COUNTIF('USPTO TMs'!A:A,D17918)&gt;0,"Yes","No"),"")</f>
        <v/>
      </c>
      <c r="C17918" s="11"/>
      <c r="D17918" s="11"/>
      <c r="E17918" s="11"/>
      <c r="F17918" s="11"/>
      <c r="G17918" s="11"/>
      <c r="H17918" s="11"/>
      <c r="I17918" s="15"/>
    </row>
    <row r="17919" spans="1:9" ht="16.5">
      <c r="A17919" s="10" t="b">
        <v>0</v>
      </c>
      <c r="B17919" s="11" t="str">
        <f>IF(D17919&lt;&gt;"",IF(COUNTIF('USPTO TMs'!A:A,D17919)&gt;0,"Yes","No"),"")</f>
        <v/>
      </c>
      <c r="C17919" s="11"/>
      <c r="D17919" s="11"/>
      <c r="E17919" s="11"/>
      <c r="F17919" s="11"/>
      <c r="G17919" s="11"/>
      <c r="H17919" s="11"/>
      <c r="I17919" s="15"/>
    </row>
    <row r="17920" spans="1:9" ht="16.5">
      <c r="A17920" s="10" t="b">
        <v>0</v>
      </c>
      <c r="B17920" s="11" t="str">
        <f>IF(D17920&lt;&gt;"",IF(COUNTIF('USPTO TMs'!A:A,D17920)&gt;0,"Yes","No"),"")</f>
        <v/>
      </c>
      <c r="C17920" s="11"/>
      <c r="D17920" s="11"/>
      <c r="E17920" s="11"/>
      <c r="F17920" s="11"/>
      <c r="G17920" s="11"/>
      <c r="H17920" s="11"/>
      <c r="I17920" s="15"/>
    </row>
    <row r="17921" spans="1:9" ht="16.5">
      <c r="A17921" s="10" t="b">
        <v>0</v>
      </c>
      <c r="B17921" s="11" t="str">
        <f>IF(D17921&lt;&gt;"",IF(COUNTIF('USPTO TMs'!A:A,D17921)&gt;0,"Yes","No"),"")</f>
        <v/>
      </c>
      <c r="C17921" s="11"/>
      <c r="D17921" s="11"/>
      <c r="E17921" s="11"/>
      <c r="F17921" s="11"/>
      <c r="G17921" s="11"/>
      <c r="H17921" s="11"/>
      <c r="I17921" s="15"/>
    </row>
    <row r="17922" spans="1:9" ht="16.5">
      <c r="A17922" s="10" t="b">
        <v>0</v>
      </c>
      <c r="B17922" s="11" t="str">
        <f>IF(D17922&lt;&gt;"",IF(COUNTIF('USPTO TMs'!A:A,D17922)&gt;0,"Yes","No"),"")</f>
        <v/>
      </c>
      <c r="C17922" s="11"/>
      <c r="D17922" s="11"/>
      <c r="E17922" s="11"/>
      <c r="F17922" s="11"/>
      <c r="G17922" s="11"/>
      <c r="H17922" s="11"/>
      <c r="I17922" s="15"/>
    </row>
    <row r="17923" spans="1:9" ht="16.5">
      <c r="A17923" s="10" t="b">
        <v>0</v>
      </c>
      <c r="B17923" s="11" t="str">
        <f>IF(D17923&lt;&gt;"",IF(COUNTIF('USPTO TMs'!A:A,D17923)&gt;0,"Yes","No"),"")</f>
        <v/>
      </c>
      <c r="C17923" s="11"/>
      <c r="D17923" s="11"/>
      <c r="E17923" s="11"/>
      <c r="F17923" s="11"/>
      <c r="G17923" s="11"/>
      <c r="H17923" s="11"/>
      <c r="I17923" s="15"/>
    </row>
    <row r="17924" spans="1:9" ht="16.5">
      <c r="A17924" s="10" t="b">
        <v>0</v>
      </c>
      <c r="B17924" s="11" t="str">
        <f>IF(D17924&lt;&gt;"",IF(COUNTIF('USPTO TMs'!A:A,D17924)&gt;0,"Yes","No"),"")</f>
        <v/>
      </c>
      <c r="C17924" s="11"/>
      <c r="D17924" s="11"/>
      <c r="E17924" s="11"/>
      <c r="F17924" s="11"/>
      <c r="G17924" s="11"/>
      <c r="H17924" s="11"/>
      <c r="I17924" s="15"/>
    </row>
    <row r="17925" spans="1:9" ht="16.5">
      <c r="A17925" s="10" t="b">
        <v>0</v>
      </c>
      <c r="B17925" s="11" t="str">
        <f>IF(D17925&lt;&gt;"",IF(COUNTIF('USPTO TMs'!A:A,D17925)&gt;0,"Yes","No"),"")</f>
        <v/>
      </c>
      <c r="C17925" s="11"/>
      <c r="D17925" s="11"/>
      <c r="E17925" s="11"/>
      <c r="F17925" s="11"/>
      <c r="G17925" s="11"/>
      <c r="H17925" s="11"/>
      <c r="I17925" s="15"/>
    </row>
    <row r="17926" spans="1:9" ht="16.5">
      <c r="A17926" s="10" t="b">
        <v>0</v>
      </c>
      <c r="B17926" s="11" t="str">
        <f>IF(D17926&lt;&gt;"",IF(COUNTIF('USPTO TMs'!A:A,D17926)&gt;0,"Yes","No"),"")</f>
        <v/>
      </c>
      <c r="C17926" s="11"/>
      <c r="D17926" s="11"/>
      <c r="E17926" s="11"/>
      <c r="F17926" s="11"/>
      <c r="G17926" s="11"/>
      <c r="H17926" s="11"/>
      <c r="I17926" s="15"/>
    </row>
    <row r="17927" spans="1:9" ht="16.5">
      <c r="A17927" s="10" t="b">
        <v>0</v>
      </c>
      <c r="B17927" s="11" t="str">
        <f>IF(D17927&lt;&gt;"",IF(COUNTIF('USPTO TMs'!A:A,D17927)&gt;0,"Yes","No"),"")</f>
        <v/>
      </c>
      <c r="C17927" s="11"/>
      <c r="D17927" s="11"/>
      <c r="E17927" s="11"/>
      <c r="F17927" s="11"/>
      <c r="G17927" s="11"/>
      <c r="H17927" s="11"/>
      <c r="I17927" s="15"/>
    </row>
    <row r="17928" spans="1:9" ht="16.5">
      <c r="A17928" s="10" t="b">
        <v>0</v>
      </c>
      <c r="B17928" s="11" t="str">
        <f>IF(D17928&lt;&gt;"",IF(COUNTIF('USPTO TMs'!A:A,D17928)&gt;0,"Yes","No"),"")</f>
        <v/>
      </c>
      <c r="C17928" s="11"/>
      <c r="D17928" s="11"/>
      <c r="E17928" s="11"/>
      <c r="F17928" s="11"/>
      <c r="G17928" s="11"/>
      <c r="H17928" s="11"/>
      <c r="I17928" s="15"/>
    </row>
    <row r="17929" spans="1:9" ht="16.5">
      <c r="A17929" s="10" t="b">
        <v>0</v>
      </c>
      <c r="B17929" s="11" t="str">
        <f>IF(D17929&lt;&gt;"",IF(COUNTIF('USPTO TMs'!A:A,D17929)&gt;0,"Yes","No"),"")</f>
        <v/>
      </c>
      <c r="C17929" s="11"/>
      <c r="D17929" s="11"/>
      <c r="E17929" s="11"/>
      <c r="F17929" s="11"/>
      <c r="G17929" s="11"/>
      <c r="H17929" s="11"/>
      <c r="I17929" s="15"/>
    </row>
    <row r="17930" spans="1:9" ht="16.5">
      <c r="A17930" s="10" t="b">
        <v>0</v>
      </c>
      <c r="B17930" s="11" t="str">
        <f>IF(D17930&lt;&gt;"",IF(COUNTIF('USPTO TMs'!A:A,D17930)&gt;0,"Yes","No"),"")</f>
        <v/>
      </c>
      <c r="C17930" s="11"/>
      <c r="D17930" s="11"/>
      <c r="E17930" s="11"/>
      <c r="F17930" s="11"/>
      <c r="G17930" s="11"/>
      <c r="H17930" s="11"/>
      <c r="I17930" s="15"/>
    </row>
    <row r="17931" spans="1:9" ht="16.5">
      <c r="A17931" s="10" t="b">
        <v>0</v>
      </c>
      <c r="B17931" s="11" t="str">
        <f>IF(D17931&lt;&gt;"",IF(COUNTIF('USPTO TMs'!A:A,D17931)&gt;0,"Yes","No"),"")</f>
        <v/>
      </c>
      <c r="C17931" s="11"/>
      <c r="D17931" s="11"/>
      <c r="E17931" s="11"/>
      <c r="F17931" s="11"/>
      <c r="G17931" s="11"/>
      <c r="H17931" s="11"/>
      <c r="I17931" s="15"/>
    </row>
    <row r="17932" spans="1:9" ht="16.5">
      <c r="A17932" s="10" t="b">
        <v>0</v>
      </c>
      <c r="B17932" s="11" t="str">
        <f>IF(D17932&lt;&gt;"",IF(COUNTIF('USPTO TMs'!A:A,D17932)&gt;0,"Yes","No"),"")</f>
        <v/>
      </c>
      <c r="C17932" s="11"/>
      <c r="D17932" s="11"/>
      <c r="E17932" s="11"/>
      <c r="F17932" s="11"/>
      <c r="G17932" s="11"/>
      <c r="H17932" s="11"/>
      <c r="I17932" s="15"/>
    </row>
    <row r="17933" spans="1:9" ht="16.5">
      <c r="A17933" s="10" t="b">
        <v>0</v>
      </c>
      <c r="B17933" s="11" t="str">
        <f>IF(D17933&lt;&gt;"",IF(COUNTIF('USPTO TMs'!A:A,D17933)&gt;0,"Yes","No"),"")</f>
        <v/>
      </c>
      <c r="C17933" s="11"/>
      <c r="D17933" s="11"/>
      <c r="E17933" s="11"/>
      <c r="F17933" s="11"/>
      <c r="G17933" s="11"/>
      <c r="H17933" s="11"/>
      <c r="I17933" s="15"/>
    </row>
    <row r="17934" spans="1:9" ht="16.5">
      <c r="A17934" s="10" t="b">
        <v>0</v>
      </c>
      <c r="B17934" s="11" t="str">
        <f>IF(D17934&lt;&gt;"",IF(COUNTIF('USPTO TMs'!A:A,D17934)&gt;0,"Yes","No"),"")</f>
        <v/>
      </c>
      <c r="C17934" s="11"/>
      <c r="D17934" s="11"/>
      <c r="E17934" s="11"/>
      <c r="F17934" s="11"/>
      <c r="G17934" s="11"/>
      <c r="H17934" s="11"/>
      <c r="I17934" s="15"/>
    </row>
    <row r="17935" spans="1:9" ht="16.5">
      <c r="A17935" s="10" t="b">
        <v>0</v>
      </c>
      <c r="B17935" s="11" t="str">
        <f>IF(D17935&lt;&gt;"",IF(COUNTIF('USPTO TMs'!A:A,D17935)&gt;0,"Yes","No"),"")</f>
        <v/>
      </c>
      <c r="C17935" s="11"/>
      <c r="D17935" s="11"/>
      <c r="E17935" s="11"/>
      <c r="F17935" s="11"/>
      <c r="G17935" s="11"/>
      <c r="H17935" s="11"/>
      <c r="I17935" s="15"/>
    </row>
    <row r="17936" spans="1:9" ht="16.5">
      <c r="A17936" s="10" t="b">
        <v>0</v>
      </c>
      <c r="B17936" s="11" t="str">
        <f>IF(D17936&lt;&gt;"",IF(COUNTIF('USPTO TMs'!A:A,D17936)&gt;0,"Yes","No"),"")</f>
        <v/>
      </c>
      <c r="C17936" s="11"/>
      <c r="D17936" s="11"/>
      <c r="E17936" s="11"/>
      <c r="F17936" s="11"/>
      <c r="G17936" s="11"/>
      <c r="H17936" s="11"/>
      <c r="I17936" s="15"/>
    </row>
    <row r="17937" spans="1:9" ht="16.5">
      <c r="A17937" s="10" t="b">
        <v>0</v>
      </c>
      <c r="B17937" s="11" t="str">
        <f>IF(D17937&lt;&gt;"",IF(COUNTIF('USPTO TMs'!A:A,D17937)&gt;0,"Yes","No"),"")</f>
        <v/>
      </c>
      <c r="C17937" s="11"/>
      <c r="D17937" s="11"/>
      <c r="E17937" s="11"/>
      <c r="F17937" s="11"/>
      <c r="G17937" s="11"/>
      <c r="H17937" s="11"/>
      <c r="I17937" s="15"/>
    </row>
    <row r="17938" spans="1:9" ht="16.5">
      <c r="A17938" s="10" t="b">
        <v>0</v>
      </c>
      <c r="B17938" s="11" t="str">
        <f>IF(D17938&lt;&gt;"",IF(COUNTIF('USPTO TMs'!A:A,D17938)&gt;0,"Yes","No"),"")</f>
        <v/>
      </c>
      <c r="C17938" s="11"/>
      <c r="D17938" s="11"/>
      <c r="E17938" s="11"/>
      <c r="F17938" s="11"/>
      <c r="G17938" s="11"/>
      <c r="H17938" s="11"/>
      <c r="I17938" s="15"/>
    </row>
    <row r="17939" spans="1:9" ht="16.5">
      <c r="A17939" s="10" t="b">
        <v>0</v>
      </c>
      <c r="B17939" s="11" t="str">
        <f>IF(D17939&lt;&gt;"",IF(COUNTIF('USPTO TMs'!A:A,D17939)&gt;0,"Yes","No"),"")</f>
        <v/>
      </c>
      <c r="C17939" s="11"/>
      <c r="D17939" s="11"/>
      <c r="E17939" s="11"/>
      <c r="F17939" s="11"/>
      <c r="G17939" s="11"/>
      <c r="H17939" s="11"/>
      <c r="I17939" s="15"/>
    </row>
    <row r="17940" spans="1:9" ht="16.5">
      <c r="A17940" s="10" t="b">
        <v>0</v>
      </c>
      <c r="B17940" s="11" t="str">
        <f>IF(D17940&lt;&gt;"",IF(COUNTIF('USPTO TMs'!A:A,D17940)&gt;0,"Yes","No"),"")</f>
        <v/>
      </c>
      <c r="C17940" s="11"/>
      <c r="D17940" s="11"/>
      <c r="E17940" s="11"/>
      <c r="F17940" s="11"/>
      <c r="G17940" s="11"/>
      <c r="H17940" s="11"/>
      <c r="I17940" s="15"/>
    </row>
    <row r="17941" spans="1:9" ht="16.5">
      <c r="A17941" s="10" t="b">
        <v>0</v>
      </c>
      <c r="B17941" s="11" t="str">
        <f>IF(D17941&lt;&gt;"",IF(COUNTIF('USPTO TMs'!A:A,D17941)&gt;0,"Yes","No"),"")</f>
        <v/>
      </c>
      <c r="C17941" s="11"/>
      <c r="D17941" s="11"/>
      <c r="E17941" s="11"/>
      <c r="F17941" s="11"/>
      <c r="G17941" s="11"/>
      <c r="H17941" s="11"/>
      <c r="I17941" s="15"/>
    </row>
    <row r="17942" spans="1:9" ht="16.5">
      <c r="A17942" s="10" t="b">
        <v>0</v>
      </c>
      <c r="B17942" s="11" t="str">
        <f>IF(D17942&lt;&gt;"",IF(COUNTIF('USPTO TMs'!A:A,D17942)&gt;0,"Yes","No"),"")</f>
        <v/>
      </c>
      <c r="C17942" s="11"/>
      <c r="D17942" s="11"/>
      <c r="E17942" s="11"/>
      <c r="F17942" s="11"/>
      <c r="G17942" s="11"/>
      <c r="H17942" s="11"/>
      <c r="I17942" s="15"/>
    </row>
    <row r="17943" spans="1:9" ht="16.5">
      <c r="A17943" s="10" t="b">
        <v>0</v>
      </c>
      <c r="B17943" s="11" t="str">
        <f>IF(D17943&lt;&gt;"",IF(COUNTIF('USPTO TMs'!A:A,D17943)&gt;0,"Yes","No"),"")</f>
        <v/>
      </c>
      <c r="C17943" s="11"/>
      <c r="D17943" s="11"/>
      <c r="E17943" s="11"/>
      <c r="F17943" s="11"/>
      <c r="G17943" s="11"/>
      <c r="H17943" s="11"/>
      <c r="I17943" s="15"/>
    </row>
    <row r="17944" spans="1:9" ht="16.5">
      <c r="A17944" s="10" t="b">
        <v>0</v>
      </c>
      <c r="B17944" s="11" t="str">
        <f>IF(D17944&lt;&gt;"",IF(COUNTIF('USPTO TMs'!A:A,D17944)&gt;0,"Yes","No"),"")</f>
        <v/>
      </c>
      <c r="C17944" s="11"/>
      <c r="D17944" s="11"/>
      <c r="E17944" s="11"/>
      <c r="F17944" s="11"/>
      <c r="G17944" s="11"/>
      <c r="H17944" s="11"/>
      <c r="I17944" s="15"/>
    </row>
    <row r="17945" spans="1:9" ht="16.5">
      <c r="A17945" s="10" t="b">
        <v>0</v>
      </c>
      <c r="B17945" s="11" t="str">
        <f>IF(D17945&lt;&gt;"",IF(COUNTIF('USPTO TMs'!A:A,D17945)&gt;0,"Yes","No"),"")</f>
        <v/>
      </c>
      <c r="C17945" s="11"/>
      <c r="D17945" s="11"/>
      <c r="E17945" s="11"/>
      <c r="F17945" s="11"/>
      <c r="G17945" s="11"/>
      <c r="H17945" s="11"/>
      <c r="I17945" s="15"/>
    </row>
    <row r="17946" spans="1:9" ht="16.5">
      <c r="A17946" s="10" t="b">
        <v>0</v>
      </c>
      <c r="B17946" s="11" t="str">
        <f>IF(D17946&lt;&gt;"",IF(COUNTIF('USPTO TMs'!A:A,D17946)&gt;0,"Yes","No"),"")</f>
        <v/>
      </c>
      <c r="C17946" s="11"/>
      <c r="D17946" s="11"/>
      <c r="E17946" s="11"/>
      <c r="F17946" s="11"/>
      <c r="G17946" s="11"/>
      <c r="H17946" s="11"/>
      <c r="I17946" s="15"/>
    </row>
    <row r="17947" spans="1:9" ht="16.5">
      <c r="A17947" s="10" t="b">
        <v>0</v>
      </c>
      <c r="B17947" s="11" t="str">
        <f>IF(D17947&lt;&gt;"",IF(COUNTIF('USPTO TMs'!A:A,D17947)&gt;0,"Yes","No"),"")</f>
        <v/>
      </c>
      <c r="C17947" s="11"/>
      <c r="D17947" s="11"/>
      <c r="E17947" s="11"/>
      <c r="F17947" s="11"/>
      <c r="G17947" s="11"/>
      <c r="H17947" s="11"/>
      <c r="I17947" s="15"/>
    </row>
    <row r="17948" spans="1:9" ht="16.5">
      <c r="A17948" s="10" t="b">
        <v>0</v>
      </c>
      <c r="B17948" s="11" t="str">
        <f>IF(D17948&lt;&gt;"",IF(COUNTIF('USPTO TMs'!A:A,D17948)&gt;0,"Yes","No"),"")</f>
        <v/>
      </c>
      <c r="C17948" s="11"/>
      <c r="D17948" s="11"/>
      <c r="E17948" s="11"/>
      <c r="F17948" s="11"/>
      <c r="G17948" s="11"/>
      <c r="H17948" s="11"/>
      <c r="I17948" s="15"/>
    </row>
    <row r="17949" spans="1:9" ht="16.5">
      <c r="A17949" s="10" t="b">
        <v>0</v>
      </c>
      <c r="B17949" s="11" t="str">
        <f>IF(D17949&lt;&gt;"",IF(COUNTIF('USPTO TMs'!A:A,D17949)&gt;0,"Yes","No"),"")</f>
        <v/>
      </c>
      <c r="C17949" s="11"/>
      <c r="D17949" s="11"/>
      <c r="E17949" s="11"/>
      <c r="F17949" s="11"/>
      <c r="G17949" s="11"/>
      <c r="H17949" s="11"/>
      <c r="I17949" s="15"/>
    </row>
    <row r="17950" spans="1:9" ht="16.5">
      <c r="A17950" s="10" t="b">
        <v>0</v>
      </c>
      <c r="B17950" s="11" t="str">
        <f>IF(D17950&lt;&gt;"",IF(COUNTIF('USPTO TMs'!A:A,D17950)&gt;0,"Yes","No"),"")</f>
        <v/>
      </c>
      <c r="C17950" s="11"/>
      <c r="D17950" s="11"/>
      <c r="E17950" s="11"/>
      <c r="F17950" s="11"/>
      <c r="G17950" s="11"/>
      <c r="H17950" s="11"/>
      <c r="I17950" s="15"/>
    </row>
    <row r="17951" spans="1:9" ht="16.5">
      <c r="A17951" s="10" t="b">
        <v>0</v>
      </c>
      <c r="B17951" s="11" t="str">
        <f>IF(D17951&lt;&gt;"",IF(COUNTIF('USPTO TMs'!A:A,D17951)&gt;0,"Yes","No"),"")</f>
        <v/>
      </c>
      <c r="C17951" s="11"/>
      <c r="D17951" s="11"/>
      <c r="E17951" s="11"/>
      <c r="F17951" s="11"/>
      <c r="G17951" s="11"/>
      <c r="H17951" s="11"/>
      <c r="I17951" s="15"/>
    </row>
    <row r="17952" spans="1:9" ht="16.5">
      <c r="A17952" s="10" t="b">
        <v>0</v>
      </c>
      <c r="B17952" s="11" t="str">
        <f>IF(D17952&lt;&gt;"",IF(COUNTIF('USPTO TMs'!A:A,D17952)&gt;0,"Yes","No"),"")</f>
        <v/>
      </c>
      <c r="C17952" s="11"/>
      <c r="D17952" s="11"/>
      <c r="E17952" s="11"/>
      <c r="F17952" s="11"/>
      <c r="G17952" s="11"/>
      <c r="H17952" s="11"/>
      <c r="I17952" s="15"/>
    </row>
    <row r="17953" spans="1:9" ht="16.5">
      <c r="A17953" s="10" t="b">
        <v>0</v>
      </c>
      <c r="B17953" s="11" t="str">
        <f>IF(D17953&lt;&gt;"",IF(COUNTIF('USPTO TMs'!A:A,D17953)&gt;0,"Yes","No"),"")</f>
        <v/>
      </c>
      <c r="C17953" s="11"/>
      <c r="D17953" s="11"/>
      <c r="E17953" s="11"/>
      <c r="F17953" s="11"/>
      <c r="G17953" s="11"/>
      <c r="H17953" s="11"/>
      <c r="I17953" s="15"/>
    </row>
    <row r="17954" spans="1:9" ht="16.5">
      <c r="A17954" s="10" t="b">
        <v>0</v>
      </c>
      <c r="B17954" s="11" t="str">
        <f>IF(D17954&lt;&gt;"",IF(COUNTIF('USPTO TMs'!A:A,D17954)&gt;0,"Yes","No"),"")</f>
        <v/>
      </c>
      <c r="C17954" s="11"/>
      <c r="D17954" s="11"/>
      <c r="E17954" s="11"/>
      <c r="F17954" s="11"/>
      <c r="G17954" s="11"/>
      <c r="H17954" s="11"/>
      <c r="I17954" s="15"/>
    </row>
    <row r="17955" spans="1:9" ht="16.5">
      <c r="A17955" s="10" t="b">
        <v>0</v>
      </c>
      <c r="B17955" s="11" t="str">
        <f>IF(D17955&lt;&gt;"",IF(COUNTIF('USPTO TMs'!A:A,D17955)&gt;0,"Yes","No"),"")</f>
        <v/>
      </c>
      <c r="C17955" s="11"/>
      <c r="D17955" s="11"/>
      <c r="E17955" s="11"/>
      <c r="F17955" s="11"/>
      <c r="G17955" s="11"/>
      <c r="H17955" s="11"/>
      <c r="I17955" s="15"/>
    </row>
    <row r="17956" spans="1:9" ht="16.5">
      <c r="A17956" s="10" t="b">
        <v>0</v>
      </c>
      <c r="B17956" s="11" t="str">
        <f>IF(D17956&lt;&gt;"",IF(COUNTIF('USPTO TMs'!A:A,D17956)&gt;0,"Yes","No"),"")</f>
        <v/>
      </c>
      <c r="C17956" s="11"/>
      <c r="D17956" s="11"/>
      <c r="E17956" s="11"/>
      <c r="F17956" s="11"/>
      <c r="G17956" s="11"/>
      <c r="H17956" s="11"/>
      <c r="I17956" s="15"/>
    </row>
    <row r="17957" spans="1:9" ht="16.5">
      <c r="A17957" s="10" t="b">
        <v>0</v>
      </c>
      <c r="B17957" s="11" t="str">
        <f>IF(D17957&lt;&gt;"",IF(COUNTIF('USPTO TMs'!A:A,D17957)&gt;0,"Yes","No"),"")</f>
        <v/>
      </c>
      <c r="C17957" s="11"/>
      <c r="D17957" s="11"/>
      <c r="E17957" s="11"/>
      <c r="F17957" s="11"/>
      <c r="G17957" s="11"/>
      <c r="H17957" s="11"/>
      <c r="I17957" s="15"/>
    </row>
    <row r="17958" spans="1:9" ht="16.5">
      <c r="A17958" s="10" t="b">
        <v>0</v>
      </c>
      <c r="B17958" s="11" t="str">
        <f>IF(D17958&lt;&gt;"",IF(COUNTIF('USPTO TMs'!A:A,D17958)&gt;0,"Yes","No"),"")</f>
        <v/>
      </c>
      <c r="C17958" s="11"/>
      <c r="D17958" s="11"/>
      <c r="E17958" s="11"/>
      <c r="F17958" s="11"/>
      <c r="G17958" s="11"/>
      <c r="H17958" s="11"/>
      <c r="I17958" s="15"/>
    </row>
    <row r="17959" spans="1:9" ht="16.5">
      <c r="A17959" s="10" t="b">
        <v>0</v>
      </c>
      <c r="B17959" s="11" t="str">
        <f>IF(D17959&lt;&gt;"",IF(COUNTIF('USPTO TMs'!A:A,D17959)&gt;0,"Yes","No"),"")</f>
        <v/>
      </c>
      <c r="C17959" s="11"/>
      <c r="D17959" s="11"/>
      <c r="E17959" s="11"/>
      <c r="F17959" s="11"/>
      <c r="G17959" s="11"/>
      <c r="H17959" s="11"/>
      <c r="I17959" s="15"/>
    </row>
    <row r="17960" spans="1:9" ht="16.5">
      <c r="A17960" s="10" t="b">
        <v>0</v>
      </c>
      <c r="B17960" s="11" t="str">
        <f>IF(D17960&lt;&gt;"",IF(COUNTIF('USPTO TMs'!A:A,D17960)&gt;0,"Yes","No"),"")</f>
        <v/>
      </c>
      <c r="C17960" s="11"/>
      <c r="D17960" s="11"/>
      <c r="E17960" s="11"/>
      <c r="F17960" s="11"/>
      <c r="G17960" s="11"/>
      <c r="H17960" s="11"/>
      <c r="I17960" s="15"/>
    </row>
    <row r="17961" spans="1:9" ht="16.5">
      <c r="A17961" s="10" t="b">
        <v>0</v>
      </c>
      <c r="B17961" s="11" t="str">
        <f>IF(D17961&lt;&gt;"",IF(COUNTIF('USPTO TMs'!A:A,D17961)&gt;0,"Yes","No"),"")</f>
        <v/>
      </c>
      <c r="C17961" s="11"/>
      <c r="D17961" s="11"/>
      <c r="E17961" s="11"/>
      <c r="F17961" s="11"/>
      <c r="G17961" s="11"/>
      <c r="H17961" s="11"/>
      <c r="I17961" s="15"/>
    </row>
    <row r="17962" spans="1:9" ht="16.5">
      <c r="A17962" s="10" t="b">
        <v>0</v>
      </c>
      <c r="B17962" s="11" t="str">
        <f>IF(D17962&lt;&gt;"",IF(COUNTIF('USPTO TMs'!A:A,D17962)&gt;0,"Yes","No"),"")</f>
        <v/>
      </c>
      <c r="C17962" s="11"/>
      <c r="D17962" s="11"/>
      <c r="E17962" s="11"/>
      <c r="F17962" s="11"/>
      <c r="G17962" s="11"/>
      <c r="H17962" s="11"/>
      <c r="I17962" s="15"/>
    </row>
    <row r="17963" spans="1:9" ht="16.5">
      <c r="A17963" s="10" t="b">
        <v>0</v>
      </c>
      <c r="B17963" s="11" t="str">
        <f>IF(D17963&lt;&gt;"",IF(COUNTIF('USPTO TMs'!A:A,D17963)&gt;0,"Yes","No"),"")</f>
        <v/>
      </c>
      <c r="C17963" s="11"/>
      <c r="D17963" s="11"/>
      <c r="E17963" s="11"/>
      <c r="F17963" s="11"/>
      <c r="G17963" s="11"/>
      <c r="H17963" s="11"/>
      <c r="I17963" s="15"/>
    </row>
    <row r="17964" spans="1:9" ht="16.5">
      <c r="A17964" s="10" t="b">
        <v>0</v>
      </c>
      <c r="B17964" s="11" t="str">
        <f>IF(D17964&lt;&gt;"",IF(COUNTIF('USPTO TMs'!A:A,D17964)&gt;0,"Yes","No"),"")</f>
        <v/>
      </c>
      <c r="C17964" s="11"/>
      <c r="D17964" s="11"/>
      <c r="E17964" s="11"/>
      <c r="F17964" s="11"/>
      <c r="G17964" s="11"/>
      <c r="H17964" s="11"/>
      <c r="I17964" s="15"/>
    </row>
    <row r="17965" spans="1:9" ht="16.5">
      <c r="A17965" s="10" t="b">
        <v>0</v>
      </c>
      <c r="B17965" s="11" t="str">
        <f>IF(D17965&lt;&gt;"",IF(COUNTIF('USPTO TMs'!A:A,D17965)&gt;0,"Yes","No"),"")</f>
        <v/>
      </c>
      <c r="C17965" s="11"/>
      <c r="D17965" s="11"/>
      <c r="E17965" s="11"/>
      <c r="F17965" s="11"/>
      <c r="G17965" s="11"/>
      <c r="H17965" s="11"/>
      <c r="I17965" s="15"/>
    </row>
    <row r="17966" spans="1:9" ht="16.5">
      <c r="A17966" s="10" t="b">
        <v>0</v>
      </c>
      <c r="B17966" s="11" t="str">
        <f>IF(D17966&lt;&gt;"",IF(COUNTIF('USPTO TMs'!A:A,D17966)&gt;0,"Yes","No"),"")</f>
        <v/>
      </c>
      <c r="C17966" s="11"/>
      <c r="D17966" s="11"/>
      <c r="E17966" s="11"/>
      <c r="F17966" s="11"/>
      <c r="G17966" s="11"/>
      <c r="H17966" s="11"/>
      <c r="I17966" s="15"/>
    </row>
    <row r="17967" spans="1:9" ht="16.5">
      <c r="A17967" s="10" t="b">
        <v>0</v>
      </c>
      <c r="B17967" s="11" t="str">
        <f>IF(D17967&lt;&gt;"",IF(COUNTIF('USPTO TMs'!A:A,D17967)&gt;0,"Yes","No"),"")</f>
        <v/>
      </c>
      <c r="C17967" s="11"/>
      <c r="D17967" s="11"/>
      <c r="E17967" s="11"/>
      <c r="F17967" s="11"/>
      <c r="G17967" s="11"/>
      <c r="H17967" s="11"/>
      <c r="I17967" s="15"/>
    </row>
    <row r="17968" spans="1:9" ht="16.5">
      <c r="A17968" s="10" t="b">
        <v>0</v>
      </c>
      <c r="B17968" s="11" t="str">
        <f>IF(D17968&lt;&gt;"",IF(COUNTIF('USPTO TMs'!A:A,D17968)&gt;0,"Yes","No"),"")</f>
        <v/>
      </c>
      <c r="C17968" s="11"/>
      <c r="D17968" s="11"/>
      <c r="E17968" s="11"/>
      <c r="F17968" s="11"/>
      <c r="G17968" s="11"/>
      <c r="H17968" s="11"/>
      <c r="I17968" s="15"/>
    </row>
    <row r="17969" spans="1:9" ht="16.5">
      <c r="A17969" s="10" t="b">
        <v>0</v>
      </c>
      <c r="B17969" s="11" t="str">
        <f>IF(D17969&lt;&gt;"",IF(COUNTIF('USPTO TMs'!A:A,D17969)&gt;0,"Yes","No"),"")</f>
        <v/>
      </c>
      <c r="C17969" s="11"/>
      <c r="D17969" s="11"/>
      <c r="E17969" s="11"/>
      <c r="F17969" s="11"/>
      <c r="G17969" s="11"/>
      <c r="H17969" s="11"/>
      <c r="I17969" s="15"/>
    </row>
    <row r="17970" spans="1:9" ht="16.5">
      <c r="A17970" s="10" t="b">
        <v>0</v>
      </c>
      <c r="B17970" s="11" t="str">
        <f>IF(D17970&lt;&gt;"",IF(COUNTIF('USPTO TMs'!A:A,D17970)&gt;0,"Yes","No"),"")</f>
        <v/>
      </c>
      <c r="C17970" s="11"/>
      <c r="D17970" s="11"/>
      <c r="E17970" s="11"/>
      <c r="F17970" s="11"/>
      <c r="G17970" s="11"/>
      <c r="H17970" s="11"/>
      <c r="I17970" s="15"/>
    </row>
    <row r="17971" spans="1:9" ht="16.5">
      <c r="A17971" s="10" t="b">
        <v>0</v>
      </c>
      <c r="B17971" s="11" t="str">
        <f>IF(D17971&lt;&gt;"",IF(COUNTIF('USPTO TMs'!A:A,D17971)&gt;0,"Yes","No"),"")</f>
        <v/>
      </c>
      <c r="C17971" s="11"/>
      <c r="D17971" s="11"/>
      <c r="E17971" s="11"/>
      <c r="F17971" s="11"/>
      <c r="G17971" s="11"/>
      <c r="H17971" s="11"/>
      <c r="I17971" s="15"/>
    </row>
    <row r="17972" spans="1:9" ht="16.5">
      <c r="A17972" s="10" t="b">
        <v>0</v>
      </c>
      <c r="B17972" s="11" t="str">
        <f>IF(D17972&lt;&gt;"",IF(COUNTIF('USPTO TMs'!A:A,D17972)&gt;0,"Yes","No"),"")</f>
        <v/>
      </c>
      <c r="C17972" s="11"/>
      <c r="D17972" s="11"/>
      <c r="E17972" s="11"/>
      <c r="F17972" s="11"/>
      <c r="G17972" s="11"/>
      <c r="H17972" s="11"/>
      <c r="I17972" s="15"/>
    </row>
    <row r="17973" spans="1:9" ht="16.5">
      <c r="A17973" s="10" t="b">
        <v>0</v>
      </c>
      <c r="B17973" s="11" t="str">
        <f>IF(D17973&lt;&gt;"",IF(COUNTIF('USPTO TMs'!A:A,D17973)&gt;0,"Yes","No"),"")</f>
        <v/>
      </c>
      <c r="C17973" s="11"/>
      <c r="D17973" s="11"/>
      <c r="E17973" s="11"/>
      <c r="F17973" s="11"/>
      <c r="G17973" s="11"/>
      <c r="H17973" s="11"/>
      <c r="I17973" s="15"/>
    </row>
    <row r="17974" spans="1:9" ht="16.5">
      <c r="A17974" s="10" t="b">
        <v>0</v>
      </c>
      <c r="B17974" s="11" t="str">
        <f>IF(D17974&lt;&gt;"",IF(COUNTIF('USPTO TMs'!A:A,D17974)&gt;0,"Yes","No"),"")</f>
        <v/>
      </c>
      <c r="C17974" s="11"/>
      <c r="D17974" s="11"/>
      <c r="E17974" s="11"/>
      <c r="F17974" s="11"/>
      <c r="G17974" s="11"/>
      <c r="H17974" s="11"/>
      <c r="I17974" s="15"/>
    </row>
    <row r="17975" spans="1:9" ht="16.5">
      <c r="A17975" s="10" t="b">
        <v>0</v>
      </c>
      <c r="B17975" s="11" t="str">
        <f>IF(D17975&lt;&gt;"",IF(COUNTIF('USPTO TMs'!A:A,D17975)&gt;0,"Yes","No"),"")</f>
        <v/>
      </c>
      <c r="C17975" s="11"/>
      <c r="D17975" s="11"/>
      <c r="E17975" s="11"/>
      <c r="F17975" s="11"/>
      <c r="G17975" s="11"/>
      <c r="H17975" s="11"/>
      <c r="I17975" s="15"/>
    </row>
    <row r="17976" spans="1:9" ht="16.5">
      <c r="A17976" s="10" t="b">
        <v>0</v>
      </c>
      <c r="B17976" s="11" t="str">
        <f>IF(D17976&lt;&gt;"",IF(COUNTIF('USPTO TMs'!A:A,D17976)&gt;0,"Yes","No"),"")</f>
        <v/>
      </c>
      <c r="C17976" s="11"/>
      <c r="D17976" s="11"/>
      <c r="E17976" s="11"/>
      <c r="F17976" s="11"/>
      <c r="G17976" s="11"/>
      <c r="H17976" s="11"/>
      <c r="I17976" s="15"/>
    </row>
    <row r="17977" spans="1:9" ht="16.5">
      <c r="A17977" s="10" t="b">
        <v>0</v>
      </c>
      <c r="B17977" s="11" t="str">
        <f>IF(D17977&lt;&gt;"",IF(COUNTIF('USPTO TMs'!A:A,D17977)&gt;0,"Yes","No"),"")</f>
        <v/>
      </c>
      <c r="C17977" s="11"/>
      <c r="D17977" s="11"/>
      <c r="E17977" s="11"/>
      <c r="F17977" s="11"/>
      <c r="G17977" s="11"/>
      <c r="H17977" s="11"/>
      <c r="I17977" s="15"/>
    </row>
    <row r="17978" spans="1:9" ht="16.5">
      <c r="A17978" s="10" t="b">
        <v>0</v>
      </c>
      <c r="B17978" s="11" t="str">
        <f>IF(D17978&lt;&gt;"",IF(COUNTIF('USPTO TMs'!A:A,D17978)&gt;0,"Yes","No"),"")</f>
        <v/>
      </c>
      <c r="C17978" s="11"/>
      <c r="D17978" s="11"/>
      <c r="E17978" s="11"/>
      <c r="F17978" s="11"/>
      <c r="G17978" s="11"/>
      <c r="H17978" s="11"/>
      <c r="I17978" s="15"/>
    </row>
    <row r="17979" spans="1:9" ht="16.5">
      <c r="A17979" s="10" t="b">
        <v>0</v>
      </c>
      <c r="B17979" s="11" t="str">
        <f>IF(D17979&lt;&gt;"",IF(COUNTIF('USPTO TMs'!A:A,D17979)&gt;0,"Yes","No"),"")</f>
        <v/>
      </c>
      <c r="C17979" s="11"/>
      <c r="D17979" s="11"/>
      <c r="E17979" s="11"/>
      <c r="F17979" s="11"/>
      <c r="G17979" s="11"/>
      <c r="H17979" s="11"/>
      <c r="I17979" s="15"/>
    </row>
    <row r="17980" spans="1:9" ht="16.5">
      <c r="A17980" s="10" t="b">
        <v>0</v>
      </c>
      <c r="B17980" s="11" t="str">
        <f>IF(D17980&lt;&gt;"",IF(COUNTIF('USPTO TMs'!A:A,D17980)&gt;0,"Yes","No"),"")</f>
        <v/>
      </c>
      <c r="C17980" s="11"/>
      <c r="D17980" s="11"/>
      <c r="E17980" s="11"/>
      <c r="F17980" s="11"/>
      <c r="G17980" s="11"/>
      <c r="H17980" s="11"/>
      <c r="I17980" s="15"/>
    </row>
    <row r="17981" spans="1:9" ht="16.5">
      <c r="A17981" s="10" t="b">
        <v>0</v>
      </c>
      <c r="B17981" s="11" t="str">
        <f>IF(D17981&lt;&gt;"",IF(COUNTIF('USPTO TMs'!A:A,D17981)&gt;0,"Yes","No"),"")</f>
        <v/>
      </c>
      <c r="C17981" s="11"/>
      <c r="D17981" s="11"/>
      <c r="E17981" s="11"/>
      <c r="F17981" s="11"/>
      <c r="G17981" s="11"/>
      <c r="H17981" s="11"/>
      <c r="I17981" s="15"/>
    </row>
    <row r="17982" spans="1:9" ht="16.5">
      <c r="A17982" s="10" t="b">
        <v>0</v>
      </c>
      <c r="B17982" s="11" t="str">
        <f>IF(D17982&lt;&gt;"",IF(COUNTIF('USPTO TMs'!A:A,D17982)&gt;0,"Yes","No"),"")</f>
        <v/>
      </c>
      <c r="C17982" s="11"/>
      <c r="D17982" s="11"/>
      <c r="E17982" s="11"/>
      <c r="F17982" s="11"/>
      <c r="G17982" s="11"/>
      <c r="H17982" s="11"/>
      <c r="I17982" s="15"/>
    </row>
    <row r="17983" spans="1:9" ht="16.5">
      <c r="A17983" s="10" t="b">
        <v>0</v>
      </c>
      <c r="B17983" s="11" t="str">
        <f>IF(D17983&lt;&gt;"",IF(COUNTIF('USPTO TMs'!A:A,D17983)&gt;0,"Yes","No"),"")</f>
        <v/>
      </c>
      <c r="C17983" s="11"/>
      <c r="D17983" s="11"/>
      <c r="E17983" s="11"/>
      <c r="F17983" s="11"/>
      <c r="G17983" s="11"/>
      <c r="H17983" s="11"/>
      <c r="I17983" s="15"/>
    </row>
    <row r="17984" spans="1:9" ht="16.5">
      <c r="A17984" s="10" t="b">
        <v>0</v>
      </c>
      <c r="B17984" s="11" t="str">
        <f>IF(D17984&lt;&gt;"",IF(COUNTIF('USPTO TMs'!A:A,D17984)&gt;0,"Yes","No"),"")</f>
        <v/>
      </c>
      <c r="C17984" s="11"/>
      <c r="D17984" s="11"/>
      <c r="E17984" s="11"/>
      <c r="F17984" s="11"/>
      <c r="G17984" s="11"/>
      <c r="H17984" s="11"/>
      <c r="I17984" s="15"/>
    </row>
    <row r="17985" spans="1:9" ht="16.5">
      <c r="A17985" s="10" t="b">
        <v>0</v>
      </c>
      <c r="B17985" s="11" t="str">
        <f>IF(D17985&lt;&gt;"",IF(COUNTIF('USPTO TMs'!A:A,D17985)&gt;0,"Yes","No"),"")</f>
        <v/>
      </c>
      <c r="C17985" s="11"/>
      <c r="D17985" s="11"/>
      <c r="E17985" s="11"/>
      <c r="F17985" s="11"/>
      <c r="G17985" s="11"/>
      <c r="H17985" s="11"/>
      <c r="I17985" s="15"/>
    </row>
    <row r="17986" spans="1:9" ht="16.5">
      <c r="A17986" s="10" t="b">
        <v>0</v>
      </c>
      <c r="B17986" s="11" t="str">
        <f>IF(D17986&lt;&gt;"",IF(COUNTIF('USPTO TMs'!A:A,D17986)&gt;0,"Yes","No"),"")</f>
        <v/>
      </c>
      <c r="C17986" s="11"/>
      <c r="D17986" s="11"/>
      <c r="E17986" s="11"/>
      <c r="F17986" s="11"/>
      <c r="G17986" s="11"/>
      <c r="H17986" s="11"/>
      <c r="I17986" s="15"/>
    </row>
    <row r="17987" spans="1:9" ht="16.5">
      <c r="A17987" s="10" t="b">
        <v>0</v>
      </c>
      <c r="B17987" s="11" t="str">
        <f>IF(D17987&lt;&gt;"",IF(COUNTIF('USPTO TMs'!A:A,D17987)&gt;0,"Yes","No"),"")</f>
        <v/>
      </c>
      <c r="C17987" s="11"/>
      <c r="D17987" s="11"/>
      <c r="E17987" s="11"/>
      <c r="F17987" s="11"/>
      <c r="G17987" s="11"/>
      <c r="H17987" s="11"/>
      <c r="I17987" s="15"/>
    </row>
    <row r="17988" spans="1:9" ht="16.5">
      <c r="A17988" s="10" t="b">
        <v>0</v>
      </c>
      <c r="B17988" s="11" t="str">
        <f>IF(D17988&lt;&gt;"",IF(COUNTIF('USPTO TMs'!A:A,D17988)&gt;0,"Yes","No"),"")</f>
        <v/>
      </c>
      <c r="C17988" s="11"/>
      <c r="D17988" s="11"/>
      <c r="E17988" s="11"/>
      <c r="F17988" s="11"/>
      <c r="G17988" s="11"/>
      <c r="H17988" s="11"/>
      <c r="I17988" s="15"/>
    </row>
    <row r="17989" spans="1:9" ht="16.5">
      <c r="A17989" s="10" t="b">
        <v>0</v>
      </c>
      <c r="B17989" s="11" t="str">
        <f>IF(D17989&lt;&gt;"",IF(COUNTIF('USPTO TMs'!A:A,D17989)&gt;0,"Yes","No"),"")</f>
        <v/>
      </c>
      <c r="C17989" s="11"/>
      <c r="D17989" s="11"/>
      <c r="E17989" s="11"/>
      <c r="F17989" s="11"/>
      <c r="G17989" s="11"/>
      <c r="H17989" s="11"/>
      <c r="I17989" s="15"/>
    </row>
    <row r="17990" spans="1:9" ht="16.5">
      <c r="A17990" s="10" t="b">
        <v>0</v>
      </c>
      <c r="B17990" s="11" t="str">
        <f>IF(D17990&lt;&gt;"",IF(COUNTIF('USPTO TMs'!A:A,D17990)&gt;0,"Yes","No"),"")</f>
        <v/>
      </c>
      <c r="C17990" s="11"/>
      <c r="D17990" s="11"/>
      <c r="E17990" s="11"/>
      <c r="F17990" s="11"/>
      <c r="G17990" s="11"/>
      <c r="H17990" s="11"/>
      <c r="I17990" s="15"/>
    </row>
    <row r="17991" spans="1:9" ht="16.5">
      <c r="A17991" s="10" t="b">
        <v>0</v>
      </c>
      <c r="B17991" s="11" t="str">
        <f>IF(D17991&lt;&gt;"",IF(COUNTIF('USPTO TMs'!A:A,D17991)&gt;0,"Yes","No"),"")</f>
        <v/>
      </c>
      <c r="C17991" s="11"/>
      <c r="D17991" s="11"/>
      <c r="E17991" s="11"/>
      <c r="F17991" s="11"/>
      <c r="G17991" s="11"/>
      <c r="H17991" s="11"/>
      <c r="I17991" s="15"/>
    </row>
    <row r="17992" spans="1:9" ht="16.5">
      <c r="A17992" s="10" t="b">
        <v>0</v>
      </c>
      <c r="B17992" s="11" t="str">
        <f>IF(D17992&lt;&gt;"",IF(COUNTIF('USPTO TMs'!A:A,D17992)&gt;0,"Yes","No"),"")</f>
        <v/>
      </c>
      <c r="C17992" s="11"/>
      <c r="D17992" s="11"/>
      <c r="E17992" s="11"/>
      <c r="F17992" s="11"/>
      <c r="G17992" s="11"/>
      <c r="H17992" s="11"/>
      <c r="I17992" s="15"/>
    </row>
    <row r="17993" spans="1:9" ht="16.5">
      <c r="A17993" s="10" t="b">
        <v>0</v>
      </c>
      <c r="B17993" s="11" t="str">
        <f>IF(D17993&lt;&gt;"",IF(COUNTIF('USPTO TMs'!A:A,D17993)&gt;0,"Yes","No"),"")</f>
        <v/>
      </c>
      <c r="C17993" s="11"/>
      <c r="D17993" s="11"/>
      <c r="E17993" s="11"/>
      <c r="F17993" s="11"/>
      <c r="G17993" s="11"/>
      <c r="H17993" s="11"/>
      <c r="I17993" s="15"/>
    </row>
    <row r="17994" spans="1:9" ht="16.5">
      <c r="A17994" s="10" t="b">
        <v>0</v>
      </c>
      <c r="B17994" s="11" t="str">
        <f>IF(D17994&lt;&gt;"",IF(COUNTIF('USPTO TMs'!A:A,D17994)&gt;0,"Yes","No"),"")</f>
        <v/>
      </c>
      <c r="C17994" s="11"/>
      <c r="D17994" s="11"/>
      <c r="E17994" s="11"/>
      <c r="F17994" s="11"/>
      <c r="G17994" s="11"/>
      <c r="H17994" s="11"/>
      <c r="I17994" s="15"/>
    </row>
    <row r="17995" spans="1:9" ht="16.5">
      <c r="A17995" s="10" t="b">
        <v>0</v>
      </c>
      <c r="B17995" s="11" t="str">
        <f>IF(D17995&lt;&gt;"",IF(COUNTIF('USPTO TMs'!A:A,D17995)&gt;0,"Yes","No"),"")</f>
        <v/>
      </c>
      <c r="C17995" s="11"/>
      <c r="D17995" s="11"/>
      <c r="E17995" s="11"/>
      <c r="F17995" s="11"/>
      <c r="G17995" s="11"/>
      <c r="H17995" s="11"/>
      <c r="I17995" s="15"/>
    </row>
    <row r="17996" spans="1:9" ht="16.5">
      <c r="A17996" s="10" t="b">
        <v>0</v>
      </c>
      <c r="B17996" s="11" t="str">
        <f>IF(D17996&lt;&gt;"",IF(COUNTIF('USPTO TMs'!A:A,D17996)&gt;0,"Yes","No"),"")</f>
        <v/>
      </c>
      <c r="C17996" s="11"/>
      <c r="D17996" s="11"/>
      <c r="E17996" s="11"/>
      <c r="F17996" s="11"/>
      <c r="G17996" s="11"/>
      <c r="H17996" s="11"/>
      <c r="I17996" s="15"/>
    </row>
    <row r="17997" spans="1:9" ht="16.5">
      <c r="A17997" s="10" t="b">
        <v>0</v>
      </c>
      <c r="B17997" s="11" t="str">
        <f>IF(D17997&lt;&gt;"",IF(COUNTIF('USPTO TMs'!A:A,D17997)&gt;0,"Yes","No"),"")</f>
        <v/>
      </c>
      <c r="C17997" s="11"/>
      <c r="D17997" s="11"/>
      <c r="E17997" s="11"/>
      <c r="F17997" s="11"/>
      <c r="G17997" s="11"/>
      <c r="H17997" s="11"/>
      <c r="I17997" s="15"/>
    </row>
    <row r="17998" spans="1:9" ht="16.5">
      <c r="A17998" s="10" t="b">
        <v>0</v>
      </c>
      <c r="B17998" s="11" t="str">
        <f>IF(D17998&lt;&gt;"",IF(COUNTIF('USPTO TMs'!A:A,D17998)&gt;0,"Yes","No"),"")</f>
        <v/>
      </c>
      <c r="C17998" s="11"/>
      <c r="D17998" s="11"/>
      <c r="E17998" s="11"/>
      <c r="F17998" s="11"/>
      <c r="G17998" s="11"/>
      <c r="H17998" s="11"/>
      <c r="I17998" s="15"/>
    </row>
    <row r="17999" spans="1:9" ht="16.5">
      <c r="A17999" s="10" t="b">
        <v>0</v>
      </c>
      <c r="B17999" s="11" t="str">
        <f>IF(D17999&lt;&gt;"",IF(COUNTIF('USPTO TMs'!A:A,D17999)&gt;0,"Yes","No"),"")</f>
        <v/>
      </c>
      <c r="C17999" s="11"/>
      <c r="D17999" s="11"/>
      <c r="E17999" s="11"/>
      <c r="F17999" s="11"/>
      <c r="G17999" s="11"/>
      <c r="H17999" s="11"/>
      <c r="I17999" s="15"/>
    </row>
    <row r="18000" spans="1:9" ht="16.5">
      <c r="A18000" s="10" t="b">
        <v>0</v>
      </c>
      <c r="B18000" s="11" t="str">
        <f>IF(D18000&lt;&gt;"",IF(COUNTIF('USPTO TMs'!A:A,D18000)&gt;0,"Yes","No"),"")</f>
        <v/>
      </c>
      <c r="C18000" s="11"/>
      <c r="D18000" s="11"/>
      <c r="E18000" s="11"/>
      <c r="F18000" s="11"/>
      <c r="G18000" s="11"/>
      <c r="H18000" s="11"/>
      <c r="I18000" s="15"/>
    </row>
    <row r="18001" spans="1:9" ht="16.5">
      <c r="A18001" s="10" t="b">
        <v>0</v>
      </c>
      <c r="B18001" s="11" t="str">
        <f>IF(D18001&lt;&gt;"",IF(COUNTIF('USPTO TMs'!A:A,D18001)&gt;0,"Yes","No"),"")</f>
        <v/>
      </c>
      <c r="C18001" s="11"/>
      <c r="D18001" s="11"/>
      <c r="E18001" s="11"/>
      <c r="F18001" s="11"/>
      <c r="G18001" s="11"/>
      <c r="H18001" s="11"/>
      <c r="I18001" s="15"/>
    </row>
    <row r="18002" spans="1:9" ht="16.5">
      <c r="A18002" s="10" t="b">
        <v>0</v>
      </c>
      <c r="B18002" s="11" t="str">
        <f>IF(D18002&lt;&gt;"",IF(COUNTIF('USPTO TMs'!A:A,D18002)&gt;0,"Yes","No"),"")</f>
        <v/>
      </c>
      <c r="C18002" s="11"/>
      <c r="D18002" s="11"/>
      <c r="E18002" s="11"/>
      <c r="F18002" s="11"/>
      <c r="G18002" s="11"/>
      <c r="H18002" s="11"/>
      <c r="I18002" s="15"/>
    </row>
    <row r="18003" spans="1:9" ht="16.5">
      <c r="A18003" s="10" t="b">
        <v>0</v>
      </c>
      <c r="B18003" s="11" t="str">
        <f>IF(D18003&lt;&gt;"",IF(COUNTIF('USPTO TMs'!A:A,D18003)&gt;0,"Yes","No"),"")</f>
        <v/>
      </c>
      <c r="C18003" s="11"/>
      <c r="D18003" s="11"/>
      <c r="E18003" s="11"/>
      <c r="F18003" s="11"/>
      <c r="G18003" s="11"/>
      <c r="H18003" s="11"/>
      <c r="I18003" s="15"/>
    </row>
    <row r="18004" spans="1:9" ht="16.5">
      <c r="A18004" s="10" t="b">
        <v>0</v>
      </c>
      <c r="B18004" s="11" t="str">
        <f>IF(D18004&lt;&gt;"",IF(COUNTIF('USPTO TMs'!A:A,D18004)&gt;0,"Yes","No"),"")</f>
        <v/>
      </c>
      <c r="C18004" s="11"/>
      <c r="D18004" s="11"/>
      <c r="E18004" s="11"/>
      <c r="F18004" s="11"/>
      <c r="G18004" s="11"/>
      <c r="H18004" s="11"/>
      <c r="I18004" s="15"/>
    </row>
    <row r="18005" spans="1:9" ht="16.5">
      <c r="A18005" s="10" t="b">
        <v>0</v>
      </c>
      <c r="B18005" s="11" t="str">
        <f>IF(D18005&lt;&gt;"",IF(COUNTIF('USPTO TMs'!A:A,D18005)&gt;0,"Yes","No"),"")</f>
        <v/>
      </c>
      <c r="C18005" s="11"/>
      <c r="D18005" s="11"/>
      <c r="E18005" s="11"/>
      <c r="F18005" s="11"/>
      <c r="G18005" s="11"/>
      <c r="H18005" s="11"/>
      <c r="I18005" s="15"/>
    </row>
    <row r="18006" spans="1:9" ht="16.5">
      <c r="A18006" s="10" t="b">
        <v>0</v>
      </c>
      <c r="B18006" s="11" t="str">
        <f>IF(D18006&lt;&gt;"",IF(COUNTIF('USPTO TMs'!A:A,D18006)&gt;0,"Yes","No"),"")</f>
        <v/>
      </c>
      <c r="C18006" s="11"/>
      <c r="D18006" s="11"/>
      <c r="E18006" s="11"/>
      <c r="F18006" s="11"/>
      <c r="G18006" s="11"/>
      <c r="H18006" s="11"/>
      <c r="I18006" s="15"/>
    </row>
    <row r="18007" spans="1:9" ht="16.5">
      <c r="A18007" s="10" t="b">
        <v>0</v>
      </c>
      <c r="B18007" s="11" t="str">
        <f>IF(D18007&lt;&gt;"",IF(COUNTIF('USPTO TMs'!A:A,D18007)&gt;0,"Yes","No"),"")</f>
        <v/>
      </c>
      <c r="C18007" s="11"/>
      <c r="D18007" s="11"/>
      <c r="E18007" s="11"/>
      <c r="F18007" s="11"/>
      <c r="G18007" s="11"/>
      <c r="H18007" s="11"/>
      <c r="I18007" s="15"/>
    </row>
    <row r="18008" spans="1:9" ht="16.5">
      <c r="A18008" s="10" t="b">
        <v>0</v>
      </c>
      <c r="B18008" s="11" t="str">
        <f>IF(D18008&lt;&gt;"",IF(COUNTIF('USPTO TMs'!A:A,D18008)&gt;0,"Yes","No"),"")</f>
        <v/>
      </c>
      <c r="C18008" s="11"/>
      <c r="D18008" s="11"/>
      <c r="E18008" s="11"/>
      <c r="F18008" s="11"/>
      <c r="G18008" s="11"/>
      <c r="H18008" s="11"/>
      <c r="I18008" s="15"/>
    </row>
    <row r="18009" spans="1:9" ht="16.5">
      <c r="A18009" s="10" t="b">
        <v>0</v>
      </c>
      <c r="B18009" s="11" t="str">
        <f>IF(D18009&lt;&gt;"",IF(COUNTIF('USPTO TMs'!A:A,D18009)&gt;0,"Yes","No"),"")</f>
        <v/>
      </c>
      <c r="C18009" s="11"/>
      <c r="D18009" s="11"/>
      <c r="E18009" s="11"/>
      <c r="F18009" s="11"/>
      <c r="G18009" s="11"/>
      <c r="H18009" s="11"/>
      <c r="I18009" s="15"/>
    </row>
    <row r="18010" spans="1:9" ht="16.5">
      <c r="A18010" s="10" t="b">
        <v>0</v>
      </c>
      <c r="B18010" s="11" t="str">
        <f>IF(D18010&lt;&gt;"",IF(COUNTIF('USPTO TMs'!A:A,D18010)&gt;0,"Yes","No"),"")</f>
        <v/>
      </c>
      <c r="C18010" s="11"/>
      <c r="D18010" s="11"/>
      <c r="E18010" s="11"/>
      <c r="F18010" s="11"/>
      <c r="G18010" s="11"/>
      <c r="H18010" s="11"/>
      <c r="I18010" s="15"/>
    </row>
    <row r="18011" spans="1:9" ht="16.5">
      <c r="A18011" s="10" t="b">
        <v>0</v>
      </c>
      <c r="B18011" s="11" t="str">
        <f>IF(D18011&lt;&gt;"",IF(COUNTIF('USPTO TMs'!A:A,D18011)&gt;0,"Yes","No"),"")</f>
        <v/>
      </c>
      <c r="C18011" s="11"/>
      <c r="D18011" s="11"/>
      <c r="E18011" s="11"/>
      <c r="F18011" s="11"/>
      <c r="G18011" s="11"/>
      <c r="H18011" s="11"/>
      <c r="I18011" s="15"/>
    </row>
    <row r="18012" spans="1:9" ht="16.5">
      <c r="A18012" s="10" t="b">
        <v>0</v>
      </c>
      <c r="B18012" s="11" t="str">
        <f>IF(D18012&lt;&gt;"",IF(COUNTIF('USPTO TMs'!A:A,D18012)&gt;0,"Yes","No"),"")</f>
        <v/>
      </c>
      <c r="C18012" s="11"/>
      <c r="D18012" s="11"/>
      <c r="E18012" s="11"/>
      <c r="F18012" s="11"/>
      <c r="G18012" s="11"/>
      <c r="H18012" s="11"/>
      <c r="I18012" s="15"/>
    </row>
    <row r="18013" spans="1:9" ht="16.5">
      <c r="A18013" s="10" t="b">
        <v>0</v>
      </c>
      <c r="B18013" s="11" t="str">
        <f>IF(D18013&lt;&gt;"",IF(COUNTIF('USPTO TMs'!A:A,D18013)&gt;0,"Yes","No"),"")</f>
        <v/>
      </c>
      <c r="C18013" s="11"/>
      <c r="D18013" s="11"/>
      <c r="E18013" s="11"/>
      <c r="F18013" s="11"/>
      <c r="G18013" s="11"/>
      <c r="H18013" s="11"/>
      <c r="I18013" s="15"/>
    </row>
    <row r="18014" spans="1:9" ht="16.5">
      <c r="A18014" s="10" t="b">
        <v>0</v>
      </c>
      <c r="B18014" s="11" t="str">
        <f>IF(D18014&lt;&gt;"",IF(COUNTIF('USPTO TMs'!A:A,D18014)&gt;0,"Yes","No"),"")</f>
        <v/>
      </c>
      <c r="C18014" s="11"/>
      <c r="D18014" s="11"/>
      <c r="E18014" s="11"/>
      <c r="F18014" s="11"/>
      <c r="G18014" s="11"/>
      <c r="H18014" s="11"/>
      <c r="I18014" s="15"/>
    </row>
    <row r="18015" spans="1:9" ht="16.5">
      <c r="A18015" s="10" t="b">
        <v>0</v>
      </c>
      <c r="B18015" s="11" t="str">
        <f>IF(D18015&lt;&gt;"",IF(COUNTIF('USPTO TMs'!A:A,D18015)&gt;0,"Yes","No"),"")</f>
        <v/>
      </c>
      <c r="C18015" s="11"/>
      <c r="D18015" s="11"/>
      <c r="E18015" s="11"/>
      <c r="F18015" s="11"/>
      <c r="G18015" s="11"/>
      <c r="H18015" s="11"/>
      <c r="I18015" s="15"/>
    </row>
    <row r="18016" spans="1:9" ht="16.5">
      <c r="A18016" s="10" t="b">
        <v>0</v>
      </c>
      <c r="B18016" s="11" t="str">
        <f>IF(D18016&lt;&gt;"",IF(COUNTIF('USPTO TMs'!A:A,D18016)&gt;0,"Yes","No"),"")</f>
        <v/>
      </c>
      <c r="C18016" s="11"/>
      <c r="D18016" s="11"/>
      <c r="E18016" s="11"/>
      <c r="F18016" s="11"/>
      <c r="G18016" s="11"/>
      <c r="H18016" s="11"/>
      <c r="I18016" s="15"/>
    </row>
    <row r="18017" spans="1:9" ht="16.5">
      <c r="A18017" s="10" t="b">
        <v>0</v>
      </c>
      <c r="B18017" s="11" t="str">
        <f>IF(D18017&lt;&gt;"",IF(COUNTIF('USPTO TMs'!A:A,D18017)&gt;0,"Yes","No"),"")</f>
        <v/>
      </c>
      <c r="C18017" s="11"/>
      <c r="D18017" s="11"/>
      <c r="E18017" s="11"/>
      <c r="F18017" s="11"/>
      <c r="G18017" s="11"/>
      <c r="H18017" s="11"/>
      <c r="I18017" s="15"/>
    </row>
    <row r="18018" spans="1:9" ht="16.5">
      <c r="A18018" s="10" t="b">
        <v>0</v>
      </c>
      <c r="B18018" s="11" t="str">
        <f>IF(D18018&lt;&gt;"",IF(COUNTIF('USPTO TMs'!A:A,D18018)&gt;0,"Yes","No"),"")</f>
        <v/>
      </c>
      <c r="C18018" s="11"/>
      <c r="D18018" s="11"/>
      <c r="E18018" s="11"/>
      <c r="F18018" s="11"/>
      <c r="G18018" s="11"/>
      <c r="H18018" s="11"/>
      <c r="I18018" s="15"/>
    </row>
    <row r="18019" spans="1:9" ht="16.5">
      <c r="A18019" s="10" t="b">
        <v>0</v>
      </c>
      <c r="B18019" s="11" t="str">
        <f>IF(D18019&lt;&gt;"",IF(COUNTIF('USPTO TMs'!A:A,D18019)&gt;0,"Yes","No"),"")</f>
        <v/>
      </c>
      <c r="C18019" s="11"/>
      <c r="D18019" s="11"/>
      <c r="E18019" s="11"/>
      <c r="F18019" s="11"/>
      <c r="G18019" s="11"/>
      <c r="H18019" s="11"/>
      <c r="I18019" s="15"/>
    </row>
    <row r="18020" spans="1:9" ht="16.5">
      <c r="A18020" s="10" t="b">
        <v>0</v>
      </c>
      <c r="B18020" s="11" t="str">
        <f>IF(D18020&lt;&gt;"",IF(COUNTIF('USPTO TMs'!A:A,D18020)&gt;0,"Yes","No"),"")</f>
        <v/>
      </c>
      <c r="C18020" s="11"/>
      <c r="D18020" s="11"/>
      <c r="E18020" s="11"/>
      <c r="F18020" s="11"/>
      <c r="G18020" s="11"/>
      <c r="H18020" s="11"/>
      <c r="I18020" s="15"/>
    </row>
    <row r="18021" spans="1:9" ht="16.5">
      <c r="A18021" s="10" t="b">
        <v>0</v>
      </c>
      <c r="B18021" s="11" t="str">
        <f>IF(D18021&lt;&gt;"",IF(COUNTIF('USPTO TMs'!A:A,D18021)&gt;0,"Yes","No"),"")</f>
        <v/>
      </c>
      <c r="C18021" s="11"/>
      <c r="D18021" s="11"/>
      <c r="E18021" s="11"/>
      <c r="F18021" s="11"/>
      <c r="G18021" s="11"/>
      <c r="H18021" s="11"/>
      <c r="I18021" s="15"/>
    </row>
    <row r="18022" spans="1:9" ht="16.5">
      <c r="A18022" s="10" t="b">
        <v>0</v>
      </c>
      <c r="B18022" s="11" t="str">
        <f>IF(D18022&lt;&gt;"",IF(COUNTIF('USPTO TMs'!A:A,D18022)&gt;0,"Yes","No"),"")</f>
        <v/>
      </c>
      <c r="C18022" s="11"/>
      <c r="D18022" s="11"/>
      <c r="E18022" s="11"/>
      <c r="F18022" s="11"/>
      <c r="G18022" s="11"/>
      <c r="H18022" s="11"/>
      <c r="I18022" s="15"/>
    </row>
    <row r="18023" spans="1:9" ht="16.5">
      <c r="A18023" s="10" t="b">
        <v>0</v>
      </c>
      <c r="B18023" s="11" t="str">
        <f>IF(D18023&lt;&gt;"",IF(COUNTIF('USPTO TMs'!A:A,D18023)&gt;0,"Yes","No"),"")</f>
        <v/>
      </c>
      <c r="C18023" s="11"/>
      <c r="D18023" s="11"/>
      <c r="E18023" s="11"/>
      <c r="F18023" s="11"/>
      <c r="G18023" s="11"/>
      <c r="H18023" s="11"/>
      <c r="I18023" s="15"/>
    </row>
    <row r="18024" spans="1:9" ht="16.5">
      <c r="A18024" s="10" t="b">
        <v>0</v>
      </c>
      <c r="B18024" s="11" t="str">
        <f>IF(D18024&lt;&gt;"",IF(COUNTIF('USPTO TMs'!A:A,D18024)&gt;0,"Yes","No"),"")</f>
        <v/>
      </c>
      <c r="C18024" s="11"/>
      <c r="D18024" s="11"/>
      <c r="E18024" s="11"/>
      <c r="F18024" s="11"/>
      <c r="G18024" s="11"/>
      <c r="H18024" s="11"/>
      <c r="I18024" s="15"/>
    </row>
    <row r="18025" spans="1:9" ht="16.5">
      <c r="A18025" s="10" t="b">
        <v>0</v>
      </c>
      <c r="B18025" s="11" t="str">
        <f>IF(D18025&lt;&gt;"",IF(COUNTIF('USPTO TMs'!A:A,D18025)&gt;0,"Yes","No"),"")</f>
        <v/>
      </c>
      <c r="C18025" s="11"/>
      <c r="D18025" s="11"/>
      <c r="E18025" s="11"/>
      <c r="F18025" s="11"/>
      <c r="G18025" s="11"/>
      <c r="H18025" s="11"/>
      <c r="I18025" s="15"/>
    </row>
    <row r="18026" spans="1:9" ht="16.5">
      <c r="A18026" s="10" t="b">
        <v>0</v>
      </c>
      <c r="B18026" s="11" t="str">
        <f>IF(D18026&lt;&gt;"",IF(COUNTIF('USPTO TMs'!A:A,D18026)&gt;0,"Yes","No"),"")</f>
        <v/>
      </c>
      <c r="C18026" s="11"/>
      <c r="D18026" s="11"/>
      <c r="E18026" s="11"/>
      <c r="F18026" s="11"/>
      <c r="G18026" s="11"/>
      <c r="H18026" s="11"/>
      <c r="I18026" s="15"/>
    </row>
    <row r="18027" spans="1:9" ht="16.5">
      <c r="A18027" s="10" t="b">
        <v>0</v>
      </c>
      <c r="B18027" s="11" t="str">
        <f>IF(D18027&lt;&gt;"",IF(COUNTIF('USPTO TMs'!A:A,D18027)&gt;0,"Yes","No"),"")</f>
        <v/>
      </c>
      <c r="C18027" s="11"/>
      <c r="D18027" s="11"/>
      <c r="E18027" s="11"/>
      <c r="F18027" s="11"/>
      <c r="G18027" s="11"/>
      <c r="H18027" s="11"/>
      <c r="I18027" s="15"/>
    </row>
    <row r="18028" spans="1:9" ht="16.5">
      <c r="A18028" s="10" t="b">
        <v>0</v>
      </c>
      <c r="B18028" s="11" t="str">
        <f>IF(D18028&lt;&gt;"",IF(COUNTIF('USPTO TMs'!A:A,D18028)&gt;0,"Yes","No"),"")</f>
        <v/>
      </c>
      <c r="C18028" s="11"/>
      <c r="D18028" s="11"/>
      <c r="E18028" s="11"/>
      <c r="F18028" s="11"/>
      <c r="G18028" s="11"/>
      <c r="H18028" s="11"/>
      <c r="I18028" s="15"/>
    </row>
    <row r="18029" spans="1:9" ht="16.5">
      <c r="A18029" s="10" t="b">
        <v>0</v>
      </c>
      <c r="B18029" s="11" t="str">
        <f>IF(D18029&lt;&gt;"",IF(COUNTIF('USPTO TMs'!A:A,D18029)&gt;0,"Yes","No"),"")</f>
        <v/>
      </c>
      <c r="C18029" s="11"/>
      <c r="D18029" s="11"/>
      <c r="E18029" s="11"/>
      <c r="F18029" s="11"/>
      <c r="G18029" s="11"/>
      <c r="H18029" s="11"/>
      <c r="I18029" s="15"/>
    </row>
    <row r="18030" spans="1:9" ht="16.5">
      <c r="A18030" s="10" t="b">
        <v>0</v>
      </c>
      <c r="B18030" s="11" t="str">
        <f>IF(D18030&lt;&gt;"",IF(COUNTIF('USPTO TMs'!A:A,D18030)&gt;0,"Yes","No"),"")</f>
        <v/>
      </c>
      <c r="C18030" s="11"/>
      <c r="D18030" s="11"/>
      <c r="E18030" s="11"/>
      <c r="F18030" s="11"/>
      <c r="G18030" s="11"/>
      <c r="H18030" s="11"/>
      <c r="I18030" s="15"/>
    </row>
    <row r="18031" spans="1:9" ht="16.5">
      <c r="A18031" s="10" t="b">
        <v>0</v>
      </c>
      <c r="B18031" s="11" t="str">
        <f>IF(D18031&lt;&gt;"",IF(COUNTIF('USPTO TMs'!A:A,D18031)&gt;0,"Yes","No"),"")</f>
        <v/>
      </c>
      <c r="C18031" s="11"/>
      <c r="D18031" s="11"/>
      <c r="E18031" s="11"/>
      <c r="F18031" s="11"/>
      <c r="G18031" s="11"/>
      <c r="H18031" s="11"/>
      <c r="I18031" s="15"/>
    </row>
    <row r="18032" spans="1:9" ht="16.5">
      <c r="A18032" s="10" t="b">
        <v>0</v>
      </c>
      <c r="B18032" s="11" t="str">
        <f>IF(D18032&lt;&gt;"",IF(COUNTIF('USPTO TMs'!A:A,D18032)&gt;0,"Yes","No"),"")</f>
        <v/>
      </c>
      <c r="C18032" s="11"/>
      <c r="D18032" s="11"/>
      <c r="E18032" s="11"/>
      <c r="F18032" s="11"/>
      <c r="G18032" s="11"/>
      <c r="H18032" s="11"/>
      <c r="I18032" s="15"/>
    </row>
    <row r="18033" spans="1:9" ht="16.5">
      <c r="A18033" s="10" t="b">
        <v>0</v>
      </c>
      <c r="B18033" s="11" t="str">
        <f>IF(D18033&lt;&gt;"",IF(COUNTIF('USPTO TMs'!A:A,D18033)&gt;0,"Yes","No"),"")</f>
        <v/>
      </c>
      <c r="C18033" s="11"/>
      <c r="D18033" s="11"/>
      <c r="E18033" s="11"/>
      <c r="F18033" s="11"/>
      <c r="G18033" s="11"/>
      <c r="H18033" s="11"/>
      <c r="I18033" s="15"/>
    </row>
    <row r="18034" spans="1:9" ht="16.5">
      <c r="A18034" s="10" t="b">
        <v>0</v>
      </c>
      <c r="B18034" s="11" t="str">
        <f>IF(D18034&lt;&gt;"",IF(COUNTIF('USPTO TMs'!A:A,D18034)&gt;0,"Yes","No"),"")</f>
        <v/>
      </c>
      <c r="C18034" s="11"/>
      <c r="D18034" s="11"/>
      <c r="E18034" s="11"/>
      <c r="F18034" s="11"/>
      <c r="G18034" s="11"/>
      <c r="H18034" s="11"/>
      <c r="I18034" s="15"/>
    </row>
    <row r="18035" spans="1:9" ht="16.5">
      <c r="A18035" s="10" t="b">
        <v>0</v>
      </c>
      <c r="B18035" s="11" t="str">
        <f>IF(D18035&lt;&gt;"",IF(COUNTIF('USPTO TMs'!A:A,D18035)&gt;0,"Yes","No"),"")</f>
        <v/>
      </c>
      <c r="C18035" s="11"/>
      <c r="D18035" s="11"/>
      <c r="E18035" s="11"/>
      <c r="F18035" s="11"/>
      <c r="G18035" s="11"/>
      <c r="H18035" s="11"/>
      <c r="I18035" s="15"/>
    </row>
    <row r="18036" spans="1:9" ht="16.5">
      <c r="A18036" s="10" t="b">
        <v>0</v>
      </c>
      <c r="B18036" s="11" t="str">
        <f>IF(D18036&lt;&gt;"",IF(COUNTIF('USPTO TMs'!A:A,D18036)&gt;0,"Yes","No"),"")</f>
        <v/>
      </c>
      <c r="C18036" s="11"/>
      <c r="D18036" s="11"/>
      <c r="E18036" s="11"/>
      <c r="F18036" s="11"/>
      <c r="G18036" s="11"/>
      <c r="H18036" s="11"/>
      <c r="I18036" s="15"/>
    </row>
    <row r="18037" spans="1:9" ht="16.5">
      <c r="A18037" s="10" t="b">
        <v>0</v>
      </c>
      <c r="B18037" s="11" t="str">
        <f>IF(D18037&lt;&gt;"",IF(COUNTIF('USPTO TMs'!A:A,D18037)&gt;0,"Yes","No"),"")</f>
        <v/>
      </c>
      <c r="C18037" s="11"/>
      <c r="D18037" s="11"/>
      <c r="E18037" s="11"/>
      <c r="F18037" s="11"/>
      <c r="G18037" s="11"/>
      <c r="H18037" s="11"/>
      <c r="I18037" s="15"/>
    </row>
    <row r="18038" spans="1:9" ht="16.5">
      <c r="A18038" s="10" t="b">
        <v>0</v>
      </c>
      <c r="B18038" s="11" t="str">
        <f>IF(D18038&lt;&gt;"",IF(COUNTIF('USPTO TMs'!A:A,D18038)&gt;0,"Yes","No"),"")</f>
        <v/>
      </c>
      <c r="C18038" s="11"/>
      <c r="D18038" s="11"/>
      <c r="E18038" s="11"/>
      <c r="F18038" s="11"/>
      <c r="G18038" s="11"/>
      <c r="H18038" s="11"/>
      <c r="I18038" s="15"/>
    </row>
    <row r="18039" spans="1:9" ht="16.5">
      <c r="A18039" s="10" t="b">
        <v>0</v>
      </c>
      <c r="B18039" s="11" t="str">
        <f>IF(D18039&lt;&gt;"",IF(COUNTIF('USPTO TMs'!A:A,D18039)&gt;0,"Yes","No"),"")</f>
        <v/>
      </c>
      <c r="C18039" s="11"/>
      <c r="D18039" s="11"/>
      <c r="E18039" s="11"/>
      <c r="F18039" s="11"/>
      <c r="G18039" s="11"/>
      <c r="H18039" s="11"/>
      <c r="I18039" s="15"/>
    </row>
    <row r="18040" spans="1:9" ht="16.5">
      <c r="A18040" s="10" t="b">
        <v>0</v>
      </c>
      <c r="B18040" s="11" t="str">
        <f>IF(D18040&lt;&gt;"",IF(COUNTIF('USPTO TMs'!A:A,D18040)&gt;0,"Yes","No"),"")</f>
        <v/>
      </c>
      <c r="C18040" s="11"/>
      <c r="D18040" s="11"/>
      <c r="E18040" s="11"/>
      <c r="F18040" s="11"/>
      <c r="G18040" s="11"/>
      <c r="H18040" s="11"/>
      <c r="I18040" s="15"/>
    </row>
    <row r="18041" spans="1:9" ht="16.5">
      <c r="A18041" s="10" t="b">
        <v>0</v>
      </c>
      <c r="B18041" s="11" t="str">
        <f>IF(D18041&lt;&gt;"",IF(COUNTIF('USPTO TMs'!A:A,D18041)&gt;0,"Yes","No"),"")</f>
        <v/>
      </c>
      <c r="C18041" s="11"/>
      <c r="D18041" s="11"/>
      <c r="E18041" s="11"/>
      <c r="F18041" s="11"/>
      <c r="G18041" s="11"/>
      <c r="H18041" s="11"/>
      <c r="I18041" s="15"/>
    </row>
    <row r="18042" spans="1:9" ht="16.5">
      <c r="A18042" s="10" t="b">
        <v>0</v>
      </c>
      <c r="B18042" s="11" t="str">
        <f>IF(D18042&lt;&gt;"",IF(COUNTIF('USPTO TMs'!A:A,D18042)&gt;0,"Yes","No"),"")</f>
        <v/>
      </c>
      <c r="C18042" s="11"/>
      <c r="D18042" s="11"/>
      <c r="E18042" s="11"/>
      <c r="F18042" s="11"/>
      <c r="G18042" s="11"/>
      <c r="H18042" s="11"/>
      <c r="I18042" s="15"/>
    </row>
    <row r="18043" spans="1:9" ht="16.5">
      <c r="A18043" s="10" t="b">
        <v>0</v>
      </c>
      <c r="B18043" s="11" t="str">
        <f>IF(D18043&lt;&gt;"",IF(COUNTIF('USPTO TMs'!A:A,D18043)&gt;0,"Yes","No"),"")</f>
        <v/>
      </c>
      <c r="C18043" s="11"/>
      <c r="D18043" s="11"/>
      <c r="E18043" s="11"/>
      <c r="F18043" s="11"/>
      <c r="G18043" s="11"/>
      <c r="H18043" s="11"/>
      <c r="I18043" s="15"/>
    </row>
    <row r="18044" spans="1:9" ht="16.5">
      <c r="A18044" s="10" t="b">
        <v>0</v>
      </c>
      <c r="B18044" s="11" t="str">
        <f>IF(D18044&lt;&gt;"",IF(COUNTIF('USPTO TMs'!A:A,D18044)&gt;0,"Yes","No"),"")</f>
        <v/>
      </c>
      <c r="C18044" s="11"/>
      <c r="D18044" s="11"/>
      <c r="E18044" s="11"/>
      <c r="F18044" s="11"/>
      <c r="G18044" s="11"/>
      <c r="H18044" s="11"/>
      <c r="I18044" s="15"/>
    </row>
    <row r="18045" spans="1:9" ht="16.5">
      <c r="A18045" s="10" t="b">
        <v>0</v>
      </c>
      <c r="B18045" s="11" t="str">
        <f>IF(D18045&lt;&gt;"",IF(COUNTIF('USPTO TMs'!A:A,D18045)&gt;0,"Yes","No"),"")</f>
        <v/>
      </c>
      <c r="C18045" s="11"/>
      <c r="D18045" s="11"/>
      <c r="E18045" s="11"/>
      <c r="F18045" s="11"/>
      <c r="G18045" s="11"/>
      <c r="H18045" s="11"/>
      <c r="I18045" s="15"/>
    </row>
    <row r="18046" spans="1:9" ht="16.5">
      <c r="A18046" s="10" t="b">
        <v>0</v>
      </c>
      <c r="B18046" s="11" t="str">
        <f>IF(D18046&lt;&gt;"",IF(COUNTIF('USPTO TMs'!A:A,D18046)&gt;0,"Yes","No"),"")</f>
        <v/>
      </c>
      <c r="C18046" s="11"/>
      <c r="D18046" s="11"/>
      <c r="E18046" s="11"/>
      <c r="F18046" s="11"/>
      <c r="G18046" s="11"/>
      <c r="H18046" s="11"/>
      <c r="I18046" s="15"/>
    </row>
    <row r="18047" spans="1:9" ht="16.5">
      <c r="A18047" s="10" t="b">
        <v>0</v>
      </c>
      <c r="B18047" s="11" t="str">
        <f>IF(D18047&lt;&gt;"",IF(COUNTIF('USPTO TMs'!A:A,D18047)&gt;0,"Yes","No"),"")</f>
        <v/>
      </c>
      <c r="C18047" s="11"/>
      <c r="D18047" s="11"/>
      <c r="E18047" s="11"/>
      <c r="F18047" s="11"/>
      <c r="G18047" s="11"/>
      <c r="H18047" s="11"/>
      <c r="I18047" s="15"/>
    </row>
    <row r="18048" spans="1:9" ht="16.5">
      <c r="A18048" s="10" t="b">
        <v>0</v>
      </c>
      <c r="B18048" s="11" t="str">
        <f>IF(D18048&lt;&gt;"",IF(COUNTIF('USPTO TMs'!A:A,D18048)&gt;0,"Yes","No"),"")</f>
        <v/>
      </c>
      <c r="C18048" s="11"/>
      <c r="D18048" s="11"/>
      <c r="E18048" s="11"/>
      <c r="F18048" s="11"/>
      <c r="G18048" s="11"/>
      <c r="H18048" s="11"/>
      <c r="I18048" s="15"/>
    </row>
    <row r="18049" spans="1:9" ht="16.5">
      <c r="A18049" s="10" t="b">
        <v>0</v>
      </c>
      <c r="B18049" s="11" t="str">
        <f>IF(D18049&lt;&gt;"",IF(COUNTIF('USPTO TMs'!A:A,D18049)&gt;0,"Yes","No"),"")</f>
        <v/>
      </c>
      <c r="C18049" s="11"/>
      <c r="D18049" s="11"/>
      <c r="E18049" s="11"/>
      <c r="F18049" s="11"/>
      <c r="G18049" s="11"/>
      <c r="H18049" s="11"/>
      <c r="I18049" s="15"/>
    </row>
    <row r="18050" spans="1:9" ht="16.5">
      <c r="A18050" s="10" t="b">
        <v>0</v>
      </c>
      <c r="B18050" s="11" t="str">
        <f>IF(D18050&lt;&gt;"",IF(COUNTIF('USPTO TMs'!A:A,D18050)&gt;0,"Yes","No"),"")</f>
        <v/>
      </c>
      <c r="C18050" s="11"/>
      <c r="D18050" s="11"/>
      <c r="E18050" s="11"/>
      <c r="F18050" s="11"/>
      <c r="G18050" s="11"/>
      <c r="H18050" s="11"/>
      <c r="I18050" s="15"/>
    </row>
    <row r="18051" spans="1:9" ht="16.5">
      <c r="A18051" s="10" t="b">
        <v>0</v>
      </c>
      <c r="B18051" s="11" t="str">
        <f>IF(D18051&lt;&gt;"",IF(COUNTIF('USPTO TMs'!A:A,D18051)&gt;0,"Yes","No"),"")</f>
        <v/>
      </c>
      <c r="C18051" s="11"/>
      <c r="D18051" s="11"/>
      <c r="E18051" s="11"/>
      <c r="F18051" s="11"/>
      <c r="G18051" s="11"/>
      <c r="H18051" s="11"/>
      <c r="I18051" s="15"/>
    </row>
    <row r="18052" spans="1:9" ht="16.5">
      <c r="A18052" s="10" t="b">
        <v>0</v>
      </c>
      <c r="B18052" s="11" t="str">
        <f>IF(D18052&lt;&gt;"",IF(COUNTIF('USPTO TMs'!A:A,D18052)&gt;0,"Yes","No"),"")</f>
        <v/>
      </c>
      <c r="C18052" s="11"/>
      <c r="D18052" s="11"/>
      <c r="E18052" s="11"/>
      <c r="F18052" s="11"/>
      <c r="G18052" s="11"/>
      <c r="H18052" s="11"/>
      <c r="I18052" s="15"/>
    </row>
    <row r="18053" spans="1:9" ht="16.5">
      <c r="A18053" s="10" t="b">
        <v>0</v>
      </c>
      <c r="B18053" s="11" t="str">
        <f>IF(D18053&lt;&gt;"",IF(COUNTIF('USPTO TMs'!A:A,D18053)&gt;0,"Yes","No"),"")</f>
        <v/>
      </c>
      <c r="C18053" s="11"/>
      <c r="D18053" s="11"/>
      <c r="E18053" s="11"/>
      <c r="F18053" s="11"/>
      <c r="G18053" s="11"/>
      <c r="H18053" s="11"/>
      <c r="I18053" s="15"/>
    </row>
    <row r="18054" spans="1:9" ht="16.5">
      <c r="A18054" s="10" t="b">
        <v>0</v>
      </c>
      <c r="B18054" s="11" t="str">
        <f>IF(D18054&lt;&gt;"",IF(COUNTIF('USPTO TMs'!A:A,D18054)&gt;0,"Yes","No"),"")</f>
        <v/>
      </c>
      <c r="C18054" s="11"/>
      <c r="D18054" s="11"/>
      <c r="E18054" s="11"/>
      <c r="F18054" s="11"/>
      <c r="G18054" s="11"/>
      <c r="H18054" s="11"/>
      <c r="I18054" s="15"/>
    </row>
    <row r="18055" spans="1:9" ht="16.5">
      <c r="A18055" s="10" t="b">
        <v>0</v>
      </c>
      <c r="B18055" s="11" t="str">
        <f>IF(D18055&lt;&gt;"",IF(COUNTIF('USPTO TMs'!A:A,D18055)&gt;0,"Yes","No"),"")</f>
        <v/>
      </c>
      <c r="C18055" s="11"/>
      <c r="D18055" s="11"/>
      <c r="E18055" s="11"/>
      <c r="F18055" s="11"/>
      <c r="G18055" s="11"/>
      <c r="H18055" s="11"/>
      <c r="I18055" s="15"/>
    </row>
    <row r="18056" spans="1:9" ht="16.5">
      <c r="A18056" s="10" t="b">
        <v>0</v>
      </c>
      <c r="B18056" s="11" t="str">
        <f>IF(D18056&lt;&gt;"",IF(COUNTIF('USPTO TMs'!A:A,D18056)&gt;0,"Yes","No"),"")</f>
        <v/>
      </c>
      <c r="C18056" s="11"/>
      <c r="D18056" s="11"/>
      <c r="E18056" s="11"/>
      <c r="F18056" s="11"/>
      <c r="G18056" s="11"/>
      <c r="H18056" s="11"/>
      <c r="I18056" s="15"/>
    </row>
    <row r="18057" spans="1:9" ht="16.5">
      <c r="A18057" s="10" t="b">
        <v>0</v>
      </c>
      <c r="B18057" s="11" t="str">
        <f>IF(D18057&lt;&gt;"",IF(COUNTIF('USPTO TMs'!A:A,D18057)&gt;0,"Yes","No"),"")</f>
        <v/>
      </c>
      <c r="C18057" s="11"/>
      <c r="D18057" s="11"/>
      <c r="E18057" s="11"/>
      <c r="F18057" s="11"/>
      <c r="G18057" s="11"/>
      <c r="H18057" s="11"/>
      <c r="I18057" s="15"/>
    </row>
    <row r="18058" spans="1:9" ht="16.5">
      <c r="A18058" s="10" t="b">
        <v>0</v>
      </c>
      <c r="B18058" s="11" t="str">
        <f>IF(D18058&lt;&gt;"",IF(COUNTIF('USPTO TMs'!A:A,D18058)&gt;0,"Yes","No"),"")</f>
        <v/>
      </c>
      <c r="C18058" s="11"/>
      <c r="D18058" s="11"/>
      <c r="E18058" s="11"/>
      <c r="F18058" s="11"/>
      <c r="G18058" s="11"/>
      <c r="H18058" s="11"/>
      <c r="I18058" s="15"/>
    </row>
    <row r="18059" spans="1:9" ht="16.5">
      <c r="A18059" s="10" t="b">
        <v>0</v>
      </c>
      <c r="B18059" s="11" t="str">
        <f>IF(D18059&lt;&gt;"",IF(COUNTIF('USPTO TMs'!A:A,D18059)&gt;0,"Yes","No"),"")</f>
        <v/>
      </c>
      <c r="C18059" s="11"/>
      <c r="D18059" s="11"/>
      <c r="E18059" s="11"/>
      <c r="F18059" s="11"/>
      <c r="G18059" s="11"/>
      <c r="H18059" s="11"/>
      <c r="I18059" s="15"/>
    </row>
    <row r="18060" spans="1:9" ht="16.5">
      <c r="A18060" s="10" t="b">
        <v>0</v>
      </c>
      <c r="B18060" s="11" t="str">
        <f>IF(D18060&lt;&gt;"",IF(COUNTIF('USPTO TMs'!A:A,D18060)&gt;0,"Yes","No"),"")</f>
        <v/>
      </c>
      <c r="C18060" s="11"/>
      <c r="D18060" s="11"/>
      <c r="E18060" s="11"/>
      <c r="F18060" s="11"/>
      <c r="G18060" s="11"/>
      <c r="H18060" s="11"/>
      <c r="I18060" s="15"/>
    </row>
    <row r="18061" spans="1:9" ht="16.5">
      <c r="A18061" s="10" t="b">
        <v>0</v>
      </c>
      <c r="B18061" s="11" t="str">
        <f>IF(D18061&lt;&gt;"",IF(COUNTIF('USPTO TMs'!A:A,D18061)&gt;0,"Yes","No"),"")</f>
        <v/>
      </c>
      <c r="C18061" s="11"/>
      <c r="D18061" s="11"/>
      <c r="E18061" s="11"/>
      <c r="F18061" s="11"/>
      <c r="G18061" s="11"/>
      <c r="H18061" s="11"/>
      <c r="I18061" s="15"/>
    </row>
    <row r="18062" spans="1:9" ht="16.5">
      <c r="A18062" s="10" t="b">
        <v>0</v>
      </c>
      <c r="B18062" s="11" t="str">
        <f>IF(D18062&lt;&gt;"",IF(COUNTIF('USPTO TMs'!A:A,D18062)&gt;0,"Yes","No"),"")</f>
        <v/>
      </c>
      <c r="C18062" s="11"/>
      <c r="D18062" s="11"/>
      <c r="E18062" s="11"/>
      <c r="F18062" s="11"/>
      <c r="G18062" s="11"/>
      <c r="H18062" s="11"/>
      <c r="I18062" s="15"/>
    </row>
    <row r="18063" spans="1:9" ht="16.5">
      <c r="A18063" s="10" t="b">
        <v>0</v>
      </c>
      <c r="B18063" s="11" t="str">
        <f>IF(D18063&lt;&gt;"",IF(COUNTIF('USPTO TMs'!A:A,D18063)&gt;0,"Yes","No"),"")</f>
        <v/>
      </c>
      <c r="C18063" s="11"/>
      <c r="D18063" s="11"/>
      <c r="E18063" s="11"/>
      <c r="F18063" s="11"/>
      <c r="G18063" s="11"/>
      <c r="H18063" s="11"/>
      <c r="I18063" s="15"/>
    </row>
    <row r="18064" spans="1:9" ht="16.5">
      <c r="A18064" s="10" t="b">
        <v>0</v>
      </c>
      <c r="B18064" s="11" t="str">
        <f>IF(D18064&lt;&gt;"",IF(COUNTIF('USPTO TMs'!A:A,D18064)&gt;0,"Yes","No"),"")</f>
        <v/>
      </c>
      <c r="C18064" s="11"/>
      <c r="D18064" s="11"/>
      <c r="E18064" s="11"/>
      <c r="F18064" s="11"/>
      <c r="G18064" s="11"/>
      <c r="H18064" s="11"/>
      <c r="I18064" s="15"/>
    </row>
    <row r="18065" spans="1:9" ht="16.5">
      <c r="A18065" s="10" t="b">
        <v>0</v>
      </c>
      <c r="B18065" s="11" t="str">
        <f>IF(D18065&lt;&gt;"",IF(COUNTIF('USPTO TMs'!A:A,D18065)&gt;0,"Yes","No"),"")</f>
        <v/>
      </c>
      <c r="C18065" s="11"/>
      <c r="D18065" s="11"/>
      <c r="E18065" s="11"/>
      <c r="F18065" s="11"/>
      <c r="G18065" s="11"/>
      <c r="H18065" s="11"/>
      <c r="I18065" s="15"/>
    </row>
    <row r="18066" spans="1:9" ht="16.5">
      <c r="A18066" s="10" t="b">
        <v>0</v>
      </c>
      <c r="B18066" s="11" t="str">
        <f>IF(D18066&lt;&gt;"",IF(COUNTIF('USPTO TMs'!A:A,D18066)&gt;0,"Yes","No"),"")</f>
        <v/>
      </c>
      <c r="C18066" s="11"/>
      <c r="D18066" s="11"/>
      <c r="E18066" s="11"/>
      <c r="F18066" s="11"/>
      <c r="G18066" s="11"/>
      <c r="H18066" s="11"/>
      <c r="I18066" s="15"/>
    </row>
    <row r="18067" spans="1:9" ht="16.5">
      <c r="A18067" s="10" t="b">
        <v>0</v>
      </c>
      <c r="B18067" s="11" t="str">
        <f>IF(D18067&lt;&gt;"",IF(COUNTIF('USPTO TMs'!A:A,D18067)&gt;0,"Yes","No"),"")</f>
        <v/>
      </c>
      <c r="C18067" s="11"/>
      <c r="D18067" s="11"/>
      <c r="E18067" s="11"/>
      <c r="F18067" s="11"/>
      <c r="G18067" s="11"/>
      <c r="H18067" s="11"/>
      <c r="I18067" s="15"/>
    </row>
    <row r="18068" spans="1:9" ht="16.5">
      <c r="A18068" s="10" t="b">
        <v>0</v>
      </c>
      <c r="B18068" s="11" t="str">
        <f>IF(D18068&lt;&gt;"",IF(COUNTIF('USPTO TMs'!A:A,D18068)&gt;0,"Yes","No"),"")</f>
        <v/>
      </c>
      <c r="C18068" s="11"/>
      <c r="D18068" s="11"/>
      <c r="E18068" s="11"/>
      <c r="F18068" s="11"/>
      <c r="G18068" s="11"/>
      <c r="H18068" s="11"/>
      <c r="I18068" s="15"/>
    </row>
    <row r="18069" spans="1:9" ht="16.5">
      <c r="A18069" s="10" t="b">
        <v>0</v>
      </c>
      <c r="B18069" s="11" t="str">
        <f>IF(D18069&lt;&gt;"",IF(COUNTIF('USPTO TMs'!A:A,D18069)&gt;0,"Yes","No"),"")</f>
        <v/>
      </c>
      <c r="C18069" s="11"/>
      <c r="D18069" s="11"/>
      <c r="E18069" s="11"/>
      <c r="F18069" s="11"/>
      <c r="G18069" s="11"/>
      <c r="H18069" s="11"/>
      <c r="I18069" s="15"/>
    </row>
    <row r="18070" spans="1:9" ht="16.5">
      <c r="A18070" s="10" t="b">
        <v>0</v>
      </c>
      <c r="B18070" s="11" t="str">
        <f>IF(D18070&lt;&gt;"",IF(COUNTIF('USPTO TMs'!A:A,D18070)&gt;0,"Yes","No"),"")</f>
        <v/>
      </c>
      <c r="C18070" s="11"/>
      <c r="D18070" s="11"/>
      <c r="E18070" s="11"/>
      <c r="F18070" s="11"/>
      <c r="G18070" s="11"/>
      <c r="H18070" s="11"/>
      <c r="I18070" s="15"/>
    </row>
    <row r="18071" spans="1:9" ht="16.5">
      <c r="A18071" s="10" t="b">
        <v>0</v>
      </c>
      <c r="B18071" s="11" t="str">
        <f>IF(D18071&lt;&gt;"",IF(COUNTIF('USPTO TMs'!A:A,D18071)&gt;0,"Yes","No"),"")</f>
        <v/>
      </c>
      <c r="C18071" s="11"/>
      <c r="D18071" s="11"/>
      <c r="E18071" s="11"/>
      <c r="F18071" s="11"/>
      <c r="G18071" s="11"/>
      <c r="H18071" s="11"/>
      <c r="I18071" s="15"/>
    </row>
    <row r="18072" spans="1:9" ht="16.5">
      <c r="A18072" s="10" t="b">
        <v>0</v>
      </c>
      <c r="B18072" s="11" t="str">
        <f>IF(D18072&lt;&gt;"",IF(COUNTIF('USPTO TMs'!A:A,D18072)&gt;0,"Yes","No"),"")</f>
        <v/>
      </c>
      <c r="C18072" s="11"/>
      <c r="D18072" s="11"/>
      <c r="E18072" s="11"/>
      <c r="F18072" s="11"/>
      <c r="G18072" s="11"/>
      <c r="H18072" s="11"/>
      <c r="I18072" s="15"/>
    </row>
    <row r="18073" spans="1:9" ht="16.5">
      <c r="A18073" s="10" t="b">
        <v>0</v>
      </c>
      <c r="B18073" s="11" t="str">
        <f>IF(D18073&lt;&gt;"",IF(COUNTIF('USPTO TMs'!A:A,D18073)&gt;0,"Yes","No"),"")</f>
        <v/>
      </c>
      <c r="C18073" s="11"/>
      <c r="D18073" s="11"/>
      <c r="E18073" s="11"/>
      <c r="F18073" s="11"/>
      <c r="G18073" s="11"/>
      <c r="H18073" s="11"/>
      <c r="I18073" s="15"/>
    </row>
    <row r="18074" spans="1:9" ht="16.5">
      <c r="A18074" s="10" t="b">
        <v>0</v>
      </c>
      <c r="B18074" s="11" t="str">
        <f>IF(D18074&lt;&gt;"",IF(COUNTIF('USPTO TMs'!A:A,D18074)&gt;0,"Yes","No"),"")</f>
        <v/>
      </c>
      <c r="C18074" s="11"/>
      <c r="D18074" s="11"/>
      <c r="E18074" s="11"/>
      <c r="F18074" s="11"/>
      <c r="G18074" s="11"/>
      <c r="H18074" s="11"/>
      <c r="I18074" s="15"/>
    </row>
    <row r="18075" spans="1:9" ht="16.5">
      <c r="A18075" s="10" t="b">
        <v>0</v>
      </c>
      <c r="B18075" s="11" t="str">
        <f>IF(D18075&lt;&gt;"",IF(COUNTIF('USPTO TMs'!A:A,D18075)&gt;0,"Yes","No"),"")</f>
        <v/>
      </c>
      <c r="C18075" s="11"/>
      <c r="D18075" s="11"/>
      <c r="E18075" s="11"/>
      <c r="F18075" s="11"/>
      <c r="G18075" s="11"/>
      <c r="H18075" s="11"/>
      <c r="I18075" s="15"/>
    </row>
    <row r="18076" spans="1:9" ht="16.5">
      <c r="A18076" s="10" t="b">
        <v>0</v>
      </c>
      <c r="B18076" s="11" t="str">
        <f>IF(D18076&lt;&gt;"",IF(COUNTIF('USPTO TMs'!A:A,D18076)&gt;0,"Yes","No"),"")</f>
        <v/>
      </c>
      <c r="C18076" s="11"/>
      <c r="D18076" s="11"/>
      <c r="E18076" s="11"/>
      <c r="F18076" s="11"/>
      <c r="G18076" s="11"/>
      <c r="H18076" s="11"/>
      <c r="I18076" s="15"/>
    </row>
    <row r="18077" spans="1:9" ht="16.5">
      <c r="A18077" s="10" t="b">
        <v>0</v>
      </c>
      <c r="B18077" s="11" t="str">
        <f>IF(D18077&lt;&gt;"",IF(COUNTIF('USPTO TMs'!A:A,D18077)&gt;0,"Yes","No"),"")</f>
        <v/>
      </c>
      <c r="C18077" s="11"/>
      <c r="D18077" s="11"/>
      <c r="E18077" s="11"/>
      <c r="F18077" s="11"/>
      <c r="G18077" s="11"/>
      <c r="H18077" s="11"/>
      <c r="I18077" s="15"/>
    </row>
    <row r="18078" spans="1:9" ht="16.5">
      <c r="A18078" s="10" t="b">
        <v>0</v>
      </c>
      <c r="B18078" s="11" t="str">
        <f>IF(D18078&lt;&gt;"",IF(COUNTIF('USPTO TMs'!A:A,D18078)&gt;0,"Yes","No"),"")</f>
        <v/>
      </c>
      <c r="C18078" s="11"/>
      <c r="D18078" s="11"/>
      <c r="E18078" s="11"/>
      <c r="F18078" s="11"/>
      <c r="G18078" s="11"/>
      <c r="H18078" s="11"/>
      <c r="I18078" s="15"/>
    </row>
    <row r="18079" spans="1:9" ht="16.5">
      <c r="A18079" s="10" t="b">
        <v>0</v>
      </c>
      <c r="B18079" s="11" t="str">
        <f>IF(D18079&lt;&gt;"",IF(COUNTIF('USPTO TMs'!A:A,D18079)&gt;0,"Yes","No"),"")</f>
        <v/>
      </c>
      <c r="C18079" s="11"/>
      <c r="D18079" s="11"/>
      <c r="E18079" s="11"/>
      <c r="F18079" s="11"/>
      <c r="G18079" s="11"/>
      <c r="H18079" s="11"/>
      <c r="I18079" s="15"/>
    </row>
    <row r="18080" spans="1:9" ht="16.5">
      <c r="A18080" s="10" t="b">
        <v>0</v>
      </c>
      <c r="B18080" s="11" t="str">
        <f>IF(D18080&lt;&gt;"",IF(COUNTIF('USPTO TMs'!A:A,D18080)&gt;0,"Yes","No"),"")</f>
        <v/>
      </c>
      <c r="C18080" s="11"/>
      <c r="D18080" s="11"/>
      <c r="E18080" s="11"/>
      <c r="F18080" s="11"/>
      <c r="G18080" s="11"/>
      <c r="H18080" s="11"/>
      <c r="I18080" s="15"/>
    </row>
    <row r="18081" spans="1:9" ht="16.5">
      <c r="A18081" s="10" t="b">
        <v>0</v>
      </c>
      <c r="B18081" s="11" t="str">
        <f>IF(D18081&lt;&gt;"",IF(COUNTIF('USPTO TMs'!A:A,D18081)&gt;0,"Yes","No"),"")</f>
        <v/>
      </c>
      <c r="C18081" s="11"/>
      <c r="D18081" s="11"/>
      <c r="E18081" s="11"/>
      <c r="F18081" s="11"/>
      <c r="G18081" s="11"/>
      <c r="H18081" s="11"/>
      <c r="I18081" s="15"/>
    </row>
    <row r="18082" spans="1:9" ht="16.5">
      <c r="A18082" s="10" t="b">
        <v>0</v>
      </c>
      <c r="B18082" s="11" t="str">
        <f>IF(D18082&lt;&gt;"",IF(COUNTIF('USPTO TMs'!A:A,D18082)&gt;0,"Yes","No"),"")</f>
        <v/>
      </c>
      <c r="C18082" s="11"/>
      <c r="D18082" s="11"/>
      <c r="E18082" s="11"/>
      <c r="F18082" s="11"/>
      <c r="G18082" s="11"/>
      <c r="H18082" s="11"/>
      <c r="I18082" s="15"/>
    </row>
    <row r="18083" spans="1:9" ht="16.5">
      <c r="A18083" s="10" t="b">
        <v>0</v>
      </c>
      <c r="B18083" s="11" t="str">
        <f>IF(D18083&lt;&gt;"",IF(COUNTIF('USPTO TMs'!A:A,D18083)&gt;0,"Yes","No"),"")</f>
        <v/>
      </c>
      <c r="C18083" s="11"/>
      <c r="D18083" s="11"/>
      <c r="E18083" s="11"/>
      <c r="F18083" s="11"/>
      <c r="G18083" s="11"/>
      <c r="H18083" s="11"/>
      <c r="I18083" s="15"/>
    </row>
    <row r="18084" spans="1:9" ht="16.5">
      <c r="A18084" s="10" t="b">
        <v>0</v>
      </c>
      <c r="B18084" s="11" t="str">
        <f>IF(D18084&lt;&gt;"",IF(COUNTIF('USPTO TMs'!A:A,D18084)&gt;0,"Yes","No"),"")</f>
        <v/>
      </c>
      <c r="C18084" s="11"/>
      <c r="D18084" s="11"/>
      <c r="E18084" s="11"/>
      <c r="F18084" s="11"/>
      <c r="G18084" s="11"/>
      <c r="H18084" s="11"/>
      <c r="I18084" s="15"/>
    </row>
    <row r="18085" spans="1:9" ht="16.5">
      <c r="A18085" s="10" t="b">
        <v>0</v>
      </c>
      <c r="B18085" s="11" t="str">
        <f>IF(D18085&lt;&gt;"",IF(COUNTIF('USPTO TMs'!A:A,D18085)&gt;0,"Yes","No"),"")</f>
        <v/>
      </c>
      <c r="C18085" s="11"/>
      <c r="D18085" s="11"/>
      <c r="E18085" s="11"/>
      <c r="F18085" s="11"/>
      <c r="G18085" s="11"/>
      <c r="H18085" s="11"/>
      <c r="I18085" s="15"/>
    </row>
    <row r="18086" spans="1:9" ht="16.5">
      <c r="A18086" s="10" t="b">
        <v>0</v>
      </c>
      <c r="B18086" s="11" t="str">
        <f>IF(D18086&lt;&gt;"",IF(COUNTIF('USPTO TMs'!A:A,D18086)&gt;0,"Yes","No"),"")</f>
        <v/>
      </c>
      <c r="C18086" s="11"/>
      <c r="D18086" s="11"/>
      <c r="E18086" s="11"/>
      <c r="F18086" s="11"/>
      <c r="G18086" s="11"/>
      <c r="H18086" s="11"/>
      <c r="I18086" s="15"/>
    </row>
    <row r="18087" spans="1:9" ht="16.5">
      <c r="A18087" s="10" t="b">
        <v>0</v>
      </c>
      <c r="B18087" s="11" t="str">
        <f>IF(D18087&lt;&gt;"",IF(COUNTIF('USPTO TMs'!A:A,D18087)&gt;0,"Yes","No"),"")</f>
        <v/>
      </c>
      <c r="C18087" s="11"/>
      <c r="D18087" s="11"/>
      <c r="E18087" s="11"/>
      <c r="F18087" s="11"/>
      <c r="G18087" s="11"/>
      <c r="H18087" s="11"/>
      <c r="I18087" s="15"/>
    </row>
    <row r="18088" spans="1:9" ht="16.5">
      <c r="A18088" s="10" t="b">
        <v>0</v>
      </c>
      <c r="B18088" s="11" t="str">
        <f>IF(D18088&lt;&gt;"",IF(COUNTIF('USPTO TMs'!A:A,D18088)&gt;0,"Yes","No"),"")</f>
        <v/>
      </c>
      <c r="C18088" s="11"/>
      <c r="D18088" s="11"/>
      <c r="E18088" s="11"/>
      <c r="F18088" s="11"/>
      <c r="G18088" s="11"/>
      <c r="H18088" s="11"/>
      <c r="I18088" s="15"/>
    </row>
    <row r="18089" spans="1:9" ht="16.5">
      <c r="A18089" s="10" t="b">
        <v>0</v>
      </c>
      <c r="B18089" s="11" t="str">
        <f>IF(D18089&lt;&gt;"",IF(COUNTIF('USPTO TMs'!A:A,D18089)&gt;0,"Yes","No"),"")</f>
        <v/>
      </c>
      <c r="C18089" s="11"/>
      <c r="D18089" s="11"/>
      <c r="E18089" s="11"/>
      <c r="F18089" s="11"/>
      <c r="G18089" s="11"/>
      <c r="H18089" s="11"/>
      <c r="I18089" s="15"/>
    </row>
    <row r="18090" spans="1:9" ht="16.5">
      <c r="A18090" s="10" t="b">
        <v>0</v>
      </c>
      <c r="B18090" s="11" t="str">
        <f>IF(D18090&lt;&gt;"",IF(COUNTIF('USPTO TMs'!A:A,D18090)&gt;0,"Yes","No"),"")</f>
        <v/>
      </c>
      <c r="C18090" s="11"/>
      <c r="D18090" s="11"/>
      <c r="E18090" s="11"/>
      <c r="F18090" s="11"/>
      <c r="G18090" s="11"/>
      <c r="H18090" s="11"/>
      <c r="I18090" s="15"/>
    </row>
    <row r="18091" spans="1:9" ht="16.5">
      <c r="A18091" s="10" t="b">
        <v>0</v>
      </c>
      <c r="B18091" s="11" t="str">
        <f>IF(D18091&lt;&gt;"",IF(COUNTIF('USPTO TMs'!A:A,D18091)&gt;0,"Yes","No"),"")</f>
        <v/>
      </c>
      <c r="C18091" s="11"/>
      <c r="D18091" s="11"/>
      <c r="E18091" s="11"/>
      <c r="F18091" s="11"/>
      <c r="G18091" s="11"/>
      <c r="H18091" s="11"/>
      <c r="I18091" s="15"/>
    </row>
    <row r="18092" spans="1:9" ht="16.5">
      <c r="A18092" s="10" t="b">
        <v>0</v>
      </c>
      <c r="B18092" s="11" t="str">
        <f>IF(D18092&lt;&gt;"",IF(COUNTIF('USPTO TMs'!A:A,D18092)&gt;0,"Yes","No"),"")</f>
        <v/>
      </c>
      <c r="C18092" s="11"/>
      <c r="D18092" s="11"/>
      <c r="E18092" s="11"/>
      <c r="F18092" s="11"/>
      <c r="G18092" s="11"/>
      <c r="H18092" s="11"/>
      <c r="I18092" s="15"/>
    </row>
    <row r="18093" spans="1:9" ht="16.5">
      <c r="A18093" s="10" t="b">
        <v>0</v>
      </c>
      <c r="B18093" s="11" t="str">
        <f>IF(D18093&lt;&gt;"",IF(COUNTIF('USPTO TMs'!A:A,D18093)&gt;0,"Yes","No"),"")</f>
        <v/>
      </c>
      <c r="C18093" s="11"/>
      <c r="D18093" s="11"/>
      <c r="E18093" s="11"/>
      <c r="F18093" s="11"/>
      <c r="G18093" s="11"/>
      <c r="H18093" s="11"/>
      <c r="I18093" s="15"/>
    </row>
    <row r="18094" spans="1:9" ht="16.5">
      <c r="A18094" s="10" t="b">
        <v>0</v>
      </c>
      <c r="B18094" s="11" t="str">
        <f>IF(D18094&lt;&gt;"",IF(COUNTIF('USPTO TMs'!A:A,D18094)&gt;0,"Yes","No"),"")</f>
        <v/>
      </c>
      <c r="C18094" s="11"/>
      <c r="D18094" s="11"/>
      <c r="E18094" s="11"/>
      <c r="F18094" s="11"/>
      <c r="G18094" s="11"/>
      <c r="H18094" s="11"/>
      <c r="I18094" s="15"/>
    </row>
    <row r="18095" spans="1:9" ht="16.5">
      <c r="A18095" s="10" t="b">
        <v>0</v>
      </c>
      <c r="B18095" s="11" t="str">
        <f>IF(D18095&lt;&gt;"",IF(COUNTIF('USPTO TMs'!A:A,D18095)&gt;0,"Yes","No"),"")</f>
        <v/>
      </c>
      <c r="C18095" s="11"/>
      <c r="D18095" s="11"/>
      <c r="E18095" s="11"/>
      <c r="F18095" s="11"/>
      <c r="G18095" s="11"/>
      <c r="H18095" s="11"/>
      <c r="I18095" s="15"/>
    </row>
    <row r="18096" spans="1:9" ht="16.5">
      <c r="A18096" s="10" t="b">
        <v>0</v>
      </c>
      <c r="B18096" s="11" t="str">
        <f>IF(D18096&lt;&gt;"",IF(COUNTIF('USPTO TMs'!A:A,D18096)&gt;0,"Yes","No"),"")</f>
        <v/>
      </c>
      <c r="C18096" s="11"/>
      <c r="D18096" s="11"/>
      <c r="E18096" s="11"/>
      <c r="F18096" s="11"/>
      <c r="G18096" s="11"/>
      <c r="H18096" s="11"/>
      <c r="I18096" s="15"/>
    </row>
    <row r="18097" spans="1:9" ht="16.5">
      <c r="A18097" s="10" t="b">
        <v>0</v>
      </c>
      <c r="B18097" s="11" t="str">
        <f>IF(D18097&lt;&gt;"",IF(COUNTIF('USPTO TMs'!A:A,D18097)&gt;0,"Yes","No"),"")</f>
        <v/>
      </c>
      <c r="C18097" s="11"/>
      <c r="D18097" s="11"/>
      <c r="E18097" s="11"/>
      <c r="F18097" s="11"/>
      <c r="G18097" s="11"/>
      <c r="H18097" s="11"/>
      <c r="I18097" s="15"/>
    </row>
    <row r="18098" spans="1:9" ht="16.5">
      <c r="A18098" s="10" t="b">
        <v>0</v>
      </c>
      <c r="B18098" s="11" t="str">
        <f>IF(D18098&lt;&gt;"",IF(COUNTIF('USPTO TMs'!A:A,D18098)&gt;0,"Yes","No"),"")</f>
        <v/>
      </c>
      <c r="C18098" s="11"/>
      <c r="D18098" s="11"/>
      <c r="E18098" s="11"/>
      <c r="F18098" s="11"/>
      <c r="G18098" s="11"/>
      <c r="H18098" s="11"/>
      <c r="I18098" s="15"/>
    </row>
    <row r="18099" spans="1:9" ht="16.5">
      <c r="A18099" s="10" t="b">
        <v>0</v>
      </c>
      <c r="B18099" s="11" t="str">
        <f>IF(D18099&lt;&gt;"",IF(COUNTIF('USPTO TMs'!A:A,D18099)&gt;0,"Yes","No"),"")</f>
        <v/>
      </c>
      <c r="C18099" s="11"/>
      <c r="D18099" s="11"/>
      <c r="E18099" s="11"/>
      <c r="F18099" s="11"/>
      <c r="G18099" s="11"/>
      <c r="H18099" s="11"/>
      <c r="I18099" s="15"/>
    </row>
    <row r="18100" spans="1:9" ht="16.5">
      <c r="A18100" s="10" t="b">
        <v>0</v>
      </c>
      <c r="B18100" s="11" t="str">
        <f>IF(D18100&lt;&gt;"",IF(COUNTIF('USPTO TMs'!A:A,D18100)&gt;0,"Yes","No"),"")</f>
        <v/>
      </c>
      <c r="C18100" s="11"/>
      <c r="D18100" s="11"/>
      <c r="E18100" s="11"/>
      <c r="F18100" s="11"/>
      <c r="G18100" s="11"/>
      <c r="H18100" s="11"/>
      <c r="I18100" s="15"/>
    </row>
    <row r="18101" spans="1:9" ht="16.5">
      <c r="A18101" s="10" t="b">
        <v>0</v>
      </c>
      <c r="B18101" s="11" t="str">
        <f>IF(D18101&lt;&gt;"",IF(COUNTIF('USPTO TMs'!A:A,D18101)&gt;0,"Yes","No"),"")</f>
        <v/>
      </c>
      <c r="C18101" s="11"/>
      <c r="D18101" s="11"/>
      <c r="E18101" s="11"/>
      <c r="F18101" s="11"/>
      <c r="G18101" s="11"/>
      <c r="H18101" s="11"/>
      <c r="I18101" s="15"/>
    </row>
    <row r="18102" spans="1:9" ht="16.5">
      <c r="A18102" s="10" t="b">
        <v>0</v>
      </c>
      <c r="B18102" s="11" t="str">
        <f>IF(D18102&lt;&gt;"",IF(COUNTIF('USPTO TMs'!A:A,D18102)&gt;0,"Yes","No"),"")</f>
        <v/>
      </c>
      <c r="C18102" s="11"/>
      <c r="D18102" s="11"/>
      <c r="E18102" s="11"/>
      <c r="F18102" s="11"/>
      <c r="G18102" s="11"/>
      <c r="H18102" s="11"/>
      <c r="I18102" s="15"/>
    </row>
    <row r="18103" spans="1:9" ht="16.5">
      <c r="A18103" s="10" t="b">
        <v>0</v>
      </c>
      <c r="B18103" s="11" t="str">
        <f>IF(D18103&lt;&gt;"",IF(COUNTIF('USPTO TMs'!A:A,D18103)&gt;0,"Yes","No"),"")</f>
        <v/>
      </c>
      <c r="C18103" s="11"/>
      <c r="D18103" s="11"/>
      <c r="E18103" s="11"/>
      <c r="F18103" s="11"/>
      <c r="G18103" s="11"/>
      <c r="H18103" s="11"/>
      <c r="I18103" s="15"/>
    </row>
    <row r="18104" spans="1:9" ht="16.5">
      <c r="A18104" s="10" t="b">
        <v>0</v>
      </c>
      <c r="B18104" s="11" t="str">
        <f>IF(D18104&lt;&gt;"",IF(COUNTIF('USPTO TMs'!A:A,D18104)&gt;0,"Yes","No"),"")</f>
        <v/>
      </c>
      <c r="C18104" s="11"/>
      <c r="D18104" s="11"/>
      <c r="E18104" s="11"/>
      <c r="F18104" s="11"/>
      <c r="G18104" s="11"/>
      <c r="H18104" s="11"/>
      <c r="I18104" s="15"/>
    </row>
    <row r="18105" spans="1:9" ht="16.5">
      <c r="A18105" s="10" t="b">
        <v>0</v>
      </c>
      <c r="B18105" s="11" t="str">
        <f>IF(D18105&lt;&gt;"",IF(COUNTIF('USPTO TMs'!A:A,D18105)&gt;0,"Yes","No"),"")</f>
        <v/>
      </c>
      <c r="C18105" s="11"/>
      <c r="D18105" s="11"/>
      <c r="E18105" s="11"/>
      <c r="F18105" s="11"/>
      <c r="G18105" s="11"/>
      <c r="H18105" s="11"/>
      <c r="I18105" s="15"/>
    </row>
    <row r="18106" spans="1:9" ht="16.5">
      <c r="A18106" s="10" t="b">
        <v>0</v>
      </c>
      <c r="B18106" s="11" t="str">
        <f>IF(D18106&lt;&gt;"",IF(COUNTIF('USPTO TMs'!A:A,D18106)&gt;0,"Yes","No"),"")</f>
        <v/>
      </c>
      <c r="C18106" s="11"/>
      <c r="D18106" s="11"/>
      <c r="E18106" s="11"/>
      <c r="F18106" s="11"/>
      <c r="G18106" s="11"/>
      <c r="H18106" s="11"/>
      <c r="I18106" s="15"/>
    </row>
    <row r="18107" spans="1:9" ht="16.5">
      <c r="A18107" s="10" t="b">
        <v>0</v>
      </c>
      <c r="B18107" s="11" t="str">
        <f>IF(D18107&lt;&gt;"",IF(COUNTIF('USPTO TMs'!A:A,D18107)&gt;0,"Yes","No"),"")</f>
        <v/>
      </c>
      <c r="C18107" s="11"/>
      <c r="D18107" s="11"/>
      <c r="E18107" s="11"/>
      <c r="F18107" s="11"/>
      <c r="G18107" s="11"/>
      <c r="H18107" s="11"/>
      <c r="I18107" s="15"/>
    </row>
    <row r="18108" spans="1:9" ht="16.5">
      <c r="A18108" s="10" t="b">
        <v>0</v>
      </c>
      <c r="B18108" s="11" t="str">
        <f>IF(D18108&lt;&gt;"",IF(COUNTIF('USPTO TMs'!A:A,D18108)&gt;0,"Yes","No"),"")</f>
        <v/>
      </c>
      <c r="C18108" s="11"/>
      <c r="D18108" s="11"/>
      <c r="E18108" s="11"/>
      <c r="F18108" s="11"/>
      <c r="G18108" s="11"/>
      <c r="H18108" s="11"/>
      <c r="I18108" s="15"/>
    </row>
    <row r="18109" spans="1:9" ht="16.5">
      <c r="A18109" s="10" t="b">
        <v>0</v>
      </c>
      <c r="B18109" s="11" t="str">
        <f>IF(D18109&lt;&gt;"",IF(COUNTIF('USPTO TMs'!A:A,D18109)&gt;0,"Yes","No"),"")</f>
        <v/>
      </c>
      <c r="C18109" s="11"/>
      <c r="D18109" s="11"/>
      <c r="E18109" s="11"/>
      <c r="F18109" s="11"/>
      <c r="G18109" s="11"/>
      <c r="H18109" s="11"/>
      <c r="I18109" s="15"/>
    </row>
    <row r="18110" spans="1:9" ht="16.5">
      <c r="A18110" s="10" t="b">
        <v>0</v>
      </c>
      <c r="B18110" s="11" t="str">
        <f>IF(D18110&lt;&gt;"",IF(COUNTIF('USPTO TMs'!A:A,D18110)&gt;0,"Yes","No"),"")</f>
        <v/>
      </c>
      <c r="C18110" s="11"/>
      <c r="D18110" s="11"/>
      <c r="E18110" s="11"/>
      <c r="F18110" s="11"/>
      <c r="G18110" s="11"/>
      <c r="H18110" s="11"/>
      <c r="I18110" s="15"/>
    </row>
    <row r="18111" spans="1:9" ht="16.5">
      <c r="A18111" s="10" t="b">
        <v>0</v>
      </c>
      <c r="B18111" s="11" t="str">
        <f>IF(D18111&lt;&gt;"",IF(COUNTIF('USPTO TMs'!A:A,D18111)&gt;0,"Yes","No"),"")</f>
        <v/>
      </c>
      <c r="C18111" s="11"/>
      <c r="D18111" s="11"/>
      <c r="E18111" s="11"/>
      <c r="F18111" s="11"/>
      <c r="G18111" s="11"/>
      <c r="H18111" s="11"/>
      <c r="I18111" s="15"/>
    </row>
    <row r="18112" spans="1:9" ht="16.5">
      <c r="A18112" s="10" t="b">
        <v>0</v>
      </c>
      <c r="B18112" s="11" t="str">
        <f>IF(D18112&lt;&gt;"",IF(COUNTIF('USPTO TMs'!A:A,D18112)&gt;0,"Yes","No"),"")</f>
        <v/>
      </c>
      <c r="C18112" s="11"/>
      <c r="D18112" s="11"/>
      <c r="E18112" s="11"/>
      <c r="F18112" s="11"/>
      <c r="G18112" s="11"/>
      <c r="H18112" s="11"/>
      <c r="I18112" s="15"/>
    </row>
    <row r="18113" spans="1:9" ht="16.5">
      <c r="A18113" s="10" t="b">
        <v>0</v>
      </c>
      <c r="B18113" s="11" t="str">
        <f>IF(D18113&lt;&gt;"",IF(COUNTIF('USPTO TMs'!A:A,D18113)&gt;0,"Yes","No"),"")</f>
        <v/>
      </c>
      <c r="C18113" s="11"/>
      <c r="D18113" s="11"/>
      <c r="E18113" s="11"/>
      <c r="F18113" s="11"/>
      <c r="G18113" s="11"/>
      <c r="H18113" s="11"/>
      <c r="I18113" s="15"/>
    </row>
    <row r="18114" spans="1:9" ht="16.5">
      <c r="A18114" s="10" t="b">
        <v>0</v>
      </c>
      <c r="B18114" s="11" t="str">
        <f>IF(D18114&lt;&gt;"",IF(COUNTIF('USPTO TMs'!A:A,D18114)&gt;0,"Yes","No"),"")</f>
        <v/>
      </c>
      <c r="C18114" s="11"/>
      <c r="D18114" s="11"/>
      <c r="E18114" s="11"/>
      <c r="F18114" s="11"/>
      <c r="G18114" s="11"/>
      <c r="H18114" s="11"/>
      <c r="I18114" s="15"/>
    </row>
    <row r="18115" spans="1:9" ht="16.5">
      <c r="A18115" s="10" t="b">
        <v>0</v>
      </c>
      <c r="B18115" s="11" t="str">
        <f>IF(D18115&lt;&gt;"",IF(COUNTIF('USPTO TMs'!A:A,D18115)&gt;0,"Yes","No"),"")</f>
        <v/>
      </c>
      <c r="C18115" s="11"/>
      <c r="D18115" s="11"/>
      <c r="E18115" s="11"/>
      <c r="F18115" s="11"/>
      <c r="G18115" s="11"/>
      <c r="H18115" s="11"/>
      <c r="I18115" s="15"/>
    </row>
    <row r="18116" spans="1:9" ht="16.5">
      <c r="A18116" s="10" t="b">
        <v>0</v>
      </c>
      <c r="B18116" s="11" t="str">
        <f>IF(D18116&lt;&gt;"",IF(COUNTIF('USPTO TMs'!A:A,D18116)&gt;0,"Yes","No"),"")</f>
        <v/>
      </c>
      <c r="C18116" s="11"/>
      <c r="D18116" s="11"/>
      <c r="E18116" s="11"/>
      <c r="F18116" s="11"/>
      <c r="G18116" s="11"/>
      <c r="H18116" s="11"/>
      <c r="I18116" s="15"/>
    </row>
    <row r="18117" spans="1:9" ht="16.5">
      <c r="A18117" s="10" t="b">
        <v>0</v>
      </c>
      <c r="B18117" s="11" t="str">
        <f>IF(D18117&lt;&gt;"",IF(COUNTIF('USPTO TMs'!A:A,D18117)&gt;0,"Yes","No"),"")</f>
        <v/>
      </c>
      <c r="C18117" s="11"/>
      <c r="D18117" s="11"/>
      <c r="E18117" s="11"/>
      <c r="F18117" s="11"/>
      <c r="G18117" s="11"/>
      <c r="H18117" s="11"/>
      <c r="I18117" s="15"/>
    </row>
    <row r="18118" spans="1:9" ht="16.5">
      <c r="A18118" s="10" t="b">
        <v>0</v>
      </c>
      <c r="B18118" s="11" t="str">
        <f>IF(D18118&lt;&gt;"",IF(COUNTIF('USPTO TMs'!A:A,D18118)&gt;0,"Yes","No"),"")</f>
        <v/>
      </c>
      <c r="C18118" s="11"/>
      <c r="D18118" s="11"/>
      <c r="E18118" s="11"/>
      <c r="F18118" s="11"/>
      <c r="G18118" s="11"/>
      <c r="H18118" s="11"/>
      <c r="I18118" s="15"/>
    </row>
    <row r="18119" spans="1:9" ht="16.5">
      <c r="A18119" s="10" t="b">
        <v>0</v>
      </c>
      <c r="B18119" s="11" t="str">
        <f>IF(D18119&lt;&gt;"",IF(COUNTIF('USPTO TMs'!A:A,D18119)&gt;0,"Yes","No"),"")</f>
        <v/>
      </c>
      <c r="C18119" s="11"/>
      <c r="D18119" s="11"/>
      <c r="E18119" s="11"/>
      <c r="F18119" s="11"/>
      <c r="G18119" s="11"/>
      <c r="H18119" s="11"/>
      <c r="I18119" s="15"/>
    </row>
    <row r="18120" spans="1:9" ht="16.5">
      <c r="A18120" s="10" t="b">
        <v>0</v>
      </c>
      <c r="B18120" s="11" t="str">
        <f>IF(D18120&lt;&gt;"",IF(COUNTIF('USPTO TMs'!A:A,D18120)&gt;0,"Yes","No"),"")</f>
        <v/>
      </c>
      <c r="C18120" s="11"/>
      <c r="D18120" s="11"/>
      <c r="E18120" s="11"/>
      <c r="F18120" s="11"/>
      <c r="G18120" s="11"/>
      <c r="H18120" s="11"/>
      <c r="I18120" s="15"/>
    </row>
    <row r="18121" spans="1:9" ht="16.5">
      <c r="A18121" s="10" t="b">
        <v>0</v>
      </c>
      <c r="B18121" s="11" t="str">
        <f>IF(D18121&lt;&gt;"",IF(COUNTIF('USPTO TMs'!A:A,D18121)&gt;0,"Yes","No"),"")</f>
        <v/>
      </c>
      <c r="C18121" s="11"/>
      <c r="D18121" s="11"/>
      <c r="E18121" s="11"/>
      <c r="F18121" s="11"/>
      <c r="G18121" s="11"/>
      <c r="H18121" s="11"/>
      <c r="I18121" s="15"/>
    </row>
    <row r="18122" spans="1:9" ht="16.5">
      <c r="A18122" s="10" t="b">
        <v>0</v>
      </c>
      <c r="B18122" s="11" t="str">
        <f>IF(D18122&lt;&gt;"",IF(COUNTIF('USPTO TMs'!A:A,D18122)&gt;0,"Yes","No"),"")</f>
        <v/>
      </c>
      <c r="C18122" s="11"/>
      <c r="D18122" s="11"/>
      <c r="E18122" s="11"/>
      <c r="F18122" s="11"/>
      <c r="G18122" s="11"/>
      <c r="H18122" s="11"/>
      <c r="I18122" s="15"/>
    </row>
    <row r="18123" spans="1:9" ht="16.5">
      <c r="A18123" s="10" t="b">
        <v>0</v>
      </c>
      <c r="B18123" s="11" t="str">
        <f>IF(D18123&lt;&gt;"",IF(COUNTIF('USPTO TMs'!A:A,D18123)&gt;0,"Yes","No"),"")</f>
        <v/>
      </c>
      <c r="C18123" s="11"/>
      <c r="D18123" s="11"/>
      <c r="E18123" s="11"/>
      <c r="F18123" s="11"/>
      <c r="G18123" s="11"/>
      <c r="H18123" s="11"/>
      <c r="I18123" s="15"/>
    </row>
    <row r="18124" spans="1:9" ht="16.5">
      <c r="A18124" s="10" t="b">
        <v>0</v>
      </c>
      <c r="B18124" s="11" t="str">
        <f>IF(D18124&lt;&gt;"",IF(COUNTIF('USPTO TMs'!A:A,D18124)&gt;0,"Yes","No"),"")</f>
        <v/>
      </c>
      <c r="C18124" s="11"/>
      <c r="D18124" s="11"/>
      <c r="E18124" s="11"/>
      <c r="F18124" s="11"/>
      <c r="G18124" s="11"/>
      <c r="H18124" s="11"/>
      <c r="I18124" s="15"/>
    </row>
    <row r="18125" spans="1:9" ht="16.5">
      <c r="A18125" s="10" t="b">
        <v>0</v>
      </c>
      <c r="B18125" s="11" t="str">
        <f>IF(D18125&lt;&gt;"",IF(COUNTIF('USPTO TMs'!A:A,D18125)&gt;0,"Yes","No"),"")</f>
        <v/>
      </c>
      <c r="C18125" s="11"/>
      <c r="D18125" s="11"/>
      <c r="E18125" s="11"/>
      <c r="F18125" s="11"/>
      <c r="G18125" s="11"/>
      <c r="H18125" s="11"/>
      <c r="I18125" s="15"/>
    </row>
    <row r="18126" spans="1:9" ht="16.5">
      <c r="A18126" s="10" t="b">
        <v>0</v>
      </c>
      <c r="B18126" s="11" t="str">
        <f>IF(D18126&lt;&gt;"",IF(COUNTIF('USPTO TMs'!A:A,D18126)&gt;0,"Yes","No"),"")</f>
        <v/>
      </c>
      <c r="C18126" s="11"/>
      <c r="D18126" s="11"/>
      <c r="E18126" s="11"/>
      <c r="F18126" s="11"/>
      <c r="G18126" s="11"/>
      <c r="H18126" s="11"/>
      <c r="I18126" s="15"/>
    </row>
    <row r="18127" spans="1:9" ht="16.5">
      <c r="A18127" s="10" t="b">
        <v>0</v>
      </c>
      <c r="B18127" s="11" t="str">
        <f>IF(D18127&lt;&gt;"",IF(COUNTIF('USPTO TMs'!A:A,D18127)&gt;0,"Yes","No"),"")</f>
        <v/>
      </c>
      <c r="C18127" s="11"/>
      <c r="D18127" s="11"/>
      <c r="E18127" s="11"/>
      <c r="F18127" s="11"/>
      <c r="G18127" s="11"/>
      <c r="H18127" s="11"/>
      <c r="I18127" s="15"/>
    </row>
    <row r="18128" spans="1:9" ht="16.5">
      <c r="A18128" s="10" t="b">
        <v>0</v>
      </c>
      <c r="B18128" s="11" t="str">
        <f>IF(D18128&lt;&gt;"",IF(COUNTIF('USPTO TMs'!A:A,D18128)&gt;0,"Yes","No"),"")</f>
        <v/>
      </c>
      <c r="C18128" s="11"/>
      <c r="D18128" s="11"/>
      <c r="E18128" s="11"/>
      <c r="F18128" s="11"/>
      <c r="G18128" s="11"/>
      <c r="H18128" s="11"/>
      <c r="I18128" s="15"/>
    </row>
    <row r="18129" spans="1:9" ht="16.5">
      <c r="A18129" s="10" t="b">
        <v>0</v>
      </c>
      <c r="B18129" s="11" t="str">
        <f>IF(D18129&lt;&gt;"",IF(COUNTIF('USPTO TMs'!A:A,D18129)&gt;0,"Yes","No"),"")</f>
        <v/>
      </c>
      <c r="C18129" s="11"/>
      <c r="D18129" s="11"/>
      <c r="E18129" s="11"/>
      <c r="F18129" s="11"/>
      <c r="G18129" s="11"/>
      <c r="H18129" s="11"/>
      <c r="I18129" s="15"/>
    </row>
    <row r="18130" spans="1:9" ht="16.5">
      <c r="A18130" s="10" t="b">
        <v>0</v>
      </c>
      <c r="B18130" s="11" t="str">
        <f>IF(D18130&lt;&gt;"",IF(COUNTIF('USPTO TMs'!A:A,D18130)&gt;0,"Yes","No"),"")</f>
        <v/>
      </c>
      <c r="C18130" s="11"/>
      <c r="D18130" s="11"/>
      <c r="E18130" s="11"/>
      <c r="F18130" s="11"/>
      <c r="G18130" s="11"/>
      <c r="H18130" s="11"/>
      <c r="I18130" s="15"/>
    </row>
    <row r="18131" spans="1:9" ht="16.5">
      <c r="A18131" s="10" t="b">
        <v>0</v>
      </c>
      <c r="B18131" s="11" t="str">
        <f>IF(D18131&lt;&gt;"",IF(COUNTIF('USPTO TMs'!A:A,D18131)&gt;0,"Yes","No"),"")</f>
        <v/>
      </c>
      <c r="C18131" s="11"/>
      <c r="D18131" s="11"/>
      <c r="E18131" s="11"/>
      <c r="F18131" s="11"/>
      <c r="G18131" s="11"/>
      <c r="H18131" s="11"/>
      <c r="I18131" s="15"/>
    </row>
    <row r="18132" spans="1:9" ht="16.5">
      <c r="A18132" s="10" t="b">
        <v>0</v>
      </c>
      <c r="B18132" s="11" t="str">
        <f>IF(D18132&lt;&gt;"",IF(COUNTIF('USPTO TMs'!A:A,D18132)&gt;0,"Yes","No"),"")</f>
        <v/>
      </c>
      <c r="C18132" s="11"/>
      <c r="D18132" s="11"/>
      <c r="E18132" s="11"/>
      <c r="F18132" s="11"/>
      <c r="G18132" s="11"/>
      <c r="H18132" s="11"/>
      <c r="I18132" s="15"/>
    </row>
    <row r="18133" spans="1:9" ht="16.5">
      <c r="A18133" s="10" t="b">
        <v>0</v>
      </c>
      <c r="B18133" s="11" t="str">
        <f>IF(D18133&lt;&gt;"",IF(COUNTIF('USPTO TMs'!A:A,D18133)&gt;0,"Yes","No"),"")</f>
        <v/>
      </c>
      <c r="C18133" s="11"/>
      <c r="D18133" s="11"/>
      <c r="E18133" s="11"/>
      <c r="F18133" s="11"/>
      <c r="G18133" s="11"/>
      <c r="H18133" s="11"/>
      <c r="I18133" s="15"/>
    </row>
    <row r="18134" spans="1:9" ht="16.5">
      <c r="A18134" s="10" t="b">
        <v>0</v>
      </c>
      <c r="B18134" s="11" t="str">
        <f>IF(D18134&lt;&gt;"",IF(COUNTIF('USPTO TMs'!A:A,D18134)&gt;0,"Yes","No"),"")</f>
        <v/>
      </c>
      <c r="C18134" s="11"/>
      <c r="D18134" s="11"/>
      <c r="E18134" s="11"/>
      <c r="F18134" s="11"/>
      <c r="G18134" s="11"/>
      <c r="H18134" s="11"/>
      <c r="I18134" s="15"/>
    </row>
    <row r="18135" spans="1:9" ht="16.5">
      <c r="A18135" s="10" t="b">
        <v>0</v>
      </c>
      <c r="B18135" s="11" t="str">
        <f>IF(D18135&lt;&gt;"",IF(COUNTIF('USPTO TMs'!A:A,D18135)&gt;0,"Yes","No"),"")</f>
        <v/>
      </c>
      <c r="C18135" s="11"/>
      <c r="D18135" s="11"/>
      <c r="E18135" s="11"/>
      <c r="F18135" s="11"/>
      <c r="G18135" s="11"/>
      <c r="H18135" s="11"/>
      <c r="I18135" s="15"/>
    </row>
    <row r="18136" spans="1:9" ht="16.5">
      <c r="A18136" s="10" t="b">
        <v>0</v>
      </c>
      <c r="B18136" s="11" t="str">
        <f>IF(D18136&lt;&gt;"",IF(COUNTIF('USPTO TMs'!A:A,D18136)&gt;0,"Yes","No"),"")</f>
        <v/>
      </c>
      <c r="C18136" s="11"/>
      <c r="D18136" s="11"/>
      <c r="E18136" s="11"/>
      <c r="F18136" s="11"/>
      <c r="G18136" s="11"/>
      <c r="H18136" s="11"/>
      <c r="I18136" s="15"/>
    </row>
    <row r="18137" spans="1:9" ht="16.5">
      <c r="A18137" s="10" t="b">
        <v>0</v>
      </c>
      <c r="B18137" s="11" t="str">
        <f>IF(D18137&lt;&gt;"",IF(COUNTIF('USPTO TMs'!A:A,D18137)&gt;0,"Yes","No"),"")</f>
        <v/>
      </c>
      <c r="C18137" s="11"/>
      <c r="D18137" s="11"/>
      <c r="E18137" s="11"/>
      <c r="F18137" s="11"/>
      <c r="G18137" s="11"/>
      <c r="H18137" s="11"/>
      <c r="I18137" s="15"/>
    </row>
    <row r="18138" spans="1:9" ht="16.5">
      <c r="A18138" s="10" t="b">
        <v>0</v>
      </c>
      <c r="B18138" s="11" t="str">
        <f>IF(D18138&lt;&gt;"",IF(COUNTIF('USPTO TMs'!A:A,D18138)&gt;0,"Yes","No"),"")</f>
        <v/>
      </c>
      <c r="C18138" s="11"/>
      <c r="D18138" s="11"/>
      <c r="E18138" s="11"/>
      <c r="F18138" s="11"/>
      <c r="G18138" s="11"/>
      <c r="H18138" s="11"/>
      <c r="I18138" s="15"/>
    </row>
    <row r="18139" spans="1:9" ht="16.5">
      <c r="A18139" s="10" t="b">
        <v>0</v>
      </c>
      <c r="B18139" s="11" t="str">
        <f>IF(D18139&lt;&gt;"",IF(COUNTIF('USPTO TMs'!A:A,D18139)&gt;0,"Yes","No"),"")</f>
        <v/>
      </c>
      <c r="C18139" s="11"/>
      <c r="D18139" s="11"/>
      <c r="E18139" s="11"/>
      <c r="F18139" s="11"/>
      <c r="G18139" s="11"/>
      <c r="H18139" s="11"/>
      <c r="I18139" s="15"/>
    </row>
    <row r="18140" spans="1:9" ht="16.5">
      <c r="A18140" s="10" t="b">
        <v>0</v>
      </c>
      <c r="B18140" s="11" t="str">
        <f>IF(D18140&lt;&gt;"",IF(COUNTIF('USPTO TMs'!A:A,D18140)&gt;0,"Yes","No"),"")</f>
        <v/>
      </c>
      <c r="C18140" s="11"/>
      <c r="D18140" s="11"/>
      <c r="E18140" s="11"/>
      <c r="F18140" s="11"/>
      <c r="G18140" s="11"/>
      <c r="H18140" s="11"/>
      <c r="I18140" s="15"/>
    </row>
    <row r="18141" spans="1:9" ht="16.5">
      <c r="A18141" s="10" t="b">
        <v>0</v>
      </c>
      <c r="B18141" s="11" t="str">
        <f>IF(D18141&lt;&gt;"",IF(COUNTIF('USPTO TMs'!A:A,D18141)&gt;0,"Yes","No"),"")</f>
        <v/>
      </c>
      <c r="C18141" s="11"/>
      <c r="D18141" s="11"/>
      <c r="E18141" s="11"/>
      <c r="F18141" s="11"/>
      <c r="G18141" s="11"/>
      <c r="H18141" s="11"/>
      <c r="I18141" s="15"/>
    </row>
    <row r="18142" spans="1:9" ht="16.5">
      <c r="A18142" s="10" t="b">
        <v>0</v>
      </c>
      <c r="B18142" s="11" t="str">
        <f>IF(D18142&lt;&gt;"",IF(COUNTIF('USPTO TMs'!A:A,D18142)&gt;0,"Yes","No"),"")</f>
        <v/>
      </c>
      <c r="C18142" s="11"/>
      <c r="D18142" s="11"/>
      <c r="E18142" s="11"/>
      <c r="F18142" s="11"/>
      <c r="G18142" s="11"/>
      <c r="H18142" s="11"/>
      <c r="I18142" s="15"/>
    </row>
    <row r="18143" spans="1:9" ht="16.5">
      <c r="A18143" s="10" t="b">
        <v>0</v>
      </c>
      <c r="B18143" s="11" t="str">
        <f>IF(D18143&lt;&gt;"",IF(COUNTIF('USPTO TMs'!A:A,D18143)&gt;0,"Yes","No"),"")</f>
        <v/>
      </c>
      <c r="C18143" s="11"/>
      <c r="D18143" s="11"/>
      <c r="E18143" s="11"/>
      <c r="F18143" s="11"/>
      <c r="G18143" s="11"/>
      <c r="H18143" s="11"/>
      <c r="I18143" s="15"/>
    </row>
    <row r="18144" spans="1:9" ht="16.5">
      <c r="A18144" s="10" t="b">
        <v>0</v>
      </c>
      <c r="B18144" s="11" t="str">
        <f>IF(D18144&lt;&gt;"",IF(COUNTIF('USPTO TMs'!A:A,D18144)&gt;0,"Yes","No"),"")</f>
        <v/>
      </c>
      <c r="C18144" s="11"/>
      <c r="D18144" s="11"/>
      <c r="E18144" s="11"/>
      <c r="F18144" s="11"/>
      <c r="G18144" s="11"/>
      <c r="H18144" s="11"/>
      <c r="I18144" s="15"/>
    </row>
    <row r="18145" spans="1:9" ht="16.5">
      <c r="A18145" s="10" t="b">
        <v>0</v>
      </c>
      <c r="B18145" s="11" t="str">
        <f>IF(D18145&lt;&gt;"",IF(COUNTIF('USPTO TMs'!A:A,D18145)&gt;0,"Yes","No"),"")</f>
        <v/>
      </c>
      <c r="C18145" s="11"/>
      <c r="D18145" s="11"/>
      <c r="E18145" s="11"/>
      <c r="F18145" s="11"/>
      <c r="G18145" s="11"/>
      <c r="H18145" s="11"/>
      <c r="I18145" s="15"/>
    </row>
    <row r="18146" spans="1:9" ht="16.5">
      <c r="A18146" s="10" t="b">
        <v>0</v>
      </c>
      <c r="B18146" s="11" t="str">
        <f>IF(D18146&lt;&gt;"",IF(COUNTIF('USPTO TMs'!A:A,D18146)&gt;0,"Yes","No"),"")</f>
        <v/>
      </c>
      <c r="C18146" s="11"/>
      <c r="D18146" s="11"/>
      <c r="E18146" s="11"/>
      <c r="F18146" s="11"/>
      <c r="G18146" s="11"/>
      <c r="H18146" s="11"/>
      <c r="I18146" s="15"/>
    </row>
    <row r="18147" spans="1:9" ht="16.5">
      <c r="A18147" s="10" t="b">
        <v>0</v>
      </c>
      <c r="B18147" s="11" t="str">
        <f>IF(D18147&lt;&gt;"",IF(COUNTIF('USPTO TMs'!A:A,D18147)&gt;0,"Yes","No"),"")</f>
        <v/>
      </c>
      <c r="C18147" s="11"/>
      <c r="D18147" s="11"/>
      <c r="E18147" s="11"/>
      <c r="F18147" s="11"/>
      <c r="G18147" s="11"/>
      <c r="H18147" s="11"/>
      <c r="I18147" s="15"/>
    </row>
    <row r="18148" spans="1:9" ht="16.5">
      <c r="A18148" s="10" t="b">
        <v>0</v>
      </c>
      <c r="B18148" s="11" t="str">
        <f>IF(D18148&lt;&gt;"",IF(COUNTIF('USPTO TMs'!A:A,D18148)&gt;0,"Yes","No"),"")</f>
        <v/>
      </c>
      <c r="C18148" s="11"/>
      <c r="D18148" s="11"/>
      <c r="E18148" s="11"/>
      <c r="F18148" s="11"/>
      <c r="G18148" s="11"/>
      <c r="H18148" s="11"/>
      <c r="I18148" s="15"/>
    </row>
    <row r="18149" spans="1:9" ht="16.5">
      <c r="A18149" s="10" t="b">
        <v>0</v>
      </c>
      <c r="B18149" s="11" t="str">
        <f>IF(D18149&lt;&gt;"",IF(COUNTIF('USPTO TMs'!A:A,D18149)&gt;0,"Yes","No"),"")</f>
        <v/>
      </c>
      <c r="C18149" s="11"/>
      <c r="D18149" s="11"/>
      <c r="E18149" s="11"/>
      <c r="F18149" s="11"/>
      <c r="G18149" s="11"/>
      <c r="H18149" s="11"/>
      <c r="I18149" s="15"/>
    </row>
    <row r="18150" spans="1:9" ht="16.5">
      <c r="A18150" s="10" t="b">
        <v>0</v>
      </c>
      <c r="B18150" s="11" t="str">
        <f>IF(D18150&lt;&gt;"",IF(COUNTIF('USPTO TMs'!A:A,D18150)&gt;0,"Yes","No"),"")</f>
        <v/>
      </c>
      <c r="C18150" s="11"/>
      <c r="D18150" s="11"/>
      <c r="E18150" s="11"/>
      <c r="F18150" s="11"/>
      <c r="G18150" s="11"/>
      <c r="H18150" s="11"/>
      <c r="I18150" s="15"/>
    </row>
    <row r="18151" spans="1:9" ht="16.5">
      <c r="A18151" s="10" t="b">
        <v>0</v>
      </c>
      <c r="B18151" s="11" t="str">
        <f>IF(D18151&lt;&gt;"",IF(COUNTIF('USPTO TMs'!A:A,D18151)&gt;0,"Yes","No"),"")</f>
        <v/>
      </c>
      <c r="C18151" s="11"/>
      <c r="D18151" s="11"/>
      <c r="E18151" s="11"/>
      <c r="F18151" s="11"/>
      <c r="G18151" s="11"/>
      <c r="H18151" s="11"/>
      <c r="I18151" s="15"/>
    </row>
    <row r="18152" spans="1:9" ht="16.5">
      <c r="A18152" s="10" t="b">
        <v>0</v>
      </c>
      <c r="B18152" s="11" t="str">
        <f>IF(D18152&lt;&gt;"",IF(COUNTIF('USPTO TMs'!A:A,D18152)&gt;0,"Yes","No"),"")</f>
        <v/>
      </c>
      <c r="C18152" s="11"/>
      <c r="D18152" s="11"/>
      <c r="E18152" s="11"/>
      <c r="F18152" s="11"/>
      <c r="G18152" s="11"/>
      <c r="H18152" s="11"/>
      <c r="I18152" s="15"/>
    </row>
    <row r="18153" spans="1:9" ht="16.5">
      <c r="A18153" s="10" t="b">
        <v>0</v>
      </c>
      <c r="B18153" s="11" t="str">
        <f>IF(D18153&lt;&gt;"",IF(COUNTIF('USPTO TMs'!A:A,D18153)&gt;0,"Yes","No"),"")</f>
        <v/>
      </c>
      <c r="C18153" s="11"/>
      <c r="D18153" s="11"/>
      <c r="E18153" s="11"/>
      <c r="F18153" s="11"/>
      <c r="G18153" s="11"/>
      <c r="H18153" s="11"/>
      <c r="I18153" s="15"/>
    </row>
    <row r="18154" spans="1:9" ht="16.5">
      <c r="A18154" s="10" t="b">
        <v>0</v>
      </c>
      <c r="B18154" s="11" t="str">
        <f>IF(D18154&lt;&gt;"",IF(COUNTIF('USPTO TMs'!A:A,D18154)&gt;0,"Yes","No"),"")</f>
        <v/>
      </c>
      <c r="C18154" s="11"/>
      <c r="D18154" s="11"/>
      <c r="E18154" s="11"/>
      <c r="F18154" s="11"/>
      <c r="G18154" s="11"/>
      <c r="H18154" s="11"/>
      <c r="I18154" s="15"/>
    </row>
    <row r="18155" spans="1:9" ht="16.5">
      <c r="A18155" s="10" t="b">
        <v>0</v>
      </c>
      <c r="B18155" s="11" t="str">
        <f>IF(D18155&lt;&gt;"",IF(COUNTIF('USPTO TMs'!A:A,D18155)&gt;0,"Yes","No"),"")</f>
        <v/>
      </c>
      <c r="C18155" s="11"/>
      <c r="D18155" s="11"/>
      <c r="E18155" s="11"/>
      <c r="F18155" s="11"/>
      <c r="G18155" s="11"/>
      <c r="H18155" s="11"/>
      <c r="I18155" s="15"/>
    </row>
    <row r="18156" spans="1:9" ht="16.5">
      <c r="A18156" s="10" t="b">
        <v>0</v>
      </c>
      <c r="B18156" s="11" t="str">
        <f>IF(D18156&lt;&gt;"",IF(COUNTIF('USPTO TMs'!A:A,D18156)&gt;0,"Yes","No"),"")</f>
        <v/>
      </c>
      <c r="C18156" s="11"/>
      <c r="D18156" s="11"/>
      <c r="E18156" s="11"/>
      <c r="F18156" s="11"/>
      <c r="G18156" s="11"/>
      <c r="H18156" s="11"/>
      <c r="I18156" s="15"/>
    </row>
    <row r="18157" spans="1:9" ht="16.5">
      <c r="A18157" s="10" t="b">
        <v>0</v>
      </c>
      <c r="B18157" s="11" t="str">
        <f>IF(D18157&lt;&gt;"",IF(COUNTIF('USPTO TMs'!A:A,D18157)&gt;0,"Yes","No"),"")</f>
        <v/>
      </c>
      <c r="C18157" s="11"/>
      <c r="D18157" s="11"/>
      <c r="E18157" s="11"/>
      <c r="F18157" s="11"/>
      <c r="G18157" s="11"/>
      <c r="H18157" s="11"/>
      <c r="I18157" s="15"/>
    </row>
    <row r="18158" spans="1:9" ht="16.5">
      <c r="A18158" s="10" t="b">
        <v>0</v>
      </c>
      <c r="B18158" s="11" t="str">
        <f>IF(D18158&lt;&gt;"",IF(COUNTIF('USPTO TMs'!A:A,D18158)&gt;0,"Yes","No"),"")</f>
        <v/>
      </c>
      <c r="C18158" s="11"/>
      <c r="D18158" s="11"/>
      <c r="E18158" s="11"/>
      <c r="F18158" s="11"/>
      <c r="G18158" s="11"/>
      <c r="H18158" s="11"/>
      <c r="I18158" s="15"/>
    </row>
    <row r="18159" spans="1:9" ht="16.5">
      <c r="A18159" s="10" t="b">
        <v>0</v>
      </c>
      <c r="B18159" s="11" t="str">
        <f>IF(D18159&lt;&gt;"",IF(COUNTIF('USPTO TMs'!A:A,D18159)&gt;0,"Yes","No"),"")</f>
        <v/>
      </c>
      <c r="C18159" s="11"/>
      <c r="D18159" s="11"/>
      <c r="E18159" s="11"/>
      <c r="F18159" s="11"/>
      <c r="G18159" s="11"/>
      <c r="H18159" s="11"/>
      <c r="I18159" s="15"/>
    </row>
    <row r="18160" spans="1:9" ht="16.5">
      <c r="A18160" s="10" t="b">
        <v>0</v>
      </c>
      <c r="B18160" s="11" t="str">
        <f>IF(D18160&lt;&gt;"",IF(COUNTIF('USPTO TMs'!A:A,D18160)&gt;0,"Yes","No"),"")</f>
        <v/>
      </c>
      <c r="C18160" s="11"/>
      <c r="D18160" s="11"/>
      <c r="E18160" s="11"/>
      <c r="F18160" s="11"/>
      <c r="G18160" s="11"/>
      <c r="H18160" s="11"/>
      <c r="I18160" s="15"/>
    </row>
    <row r="18161" spans="1:9" ht="16.5">
      <c r="A18161" s="10" t="b">
        <v>0</v>
      </c>
      <c r="B18161" s="11" t="str">
        <f>IF(D18161&lt;&gt;"",IF(COUNTIF('USPTO TMs'!A:A,D18161)&gt;0,"Yes","No"),"")</f>
        <v/>
      </c>
      <c r="C18161" s="11"/>
      <c r="D18161" s="11"/>
      <c r="E18161" s="11"/>
      <c r="F18161" s="11"/>
      <c r="G18161" s="11"/>
      <c r="H18161" s="11"/>
      <c r="I18161" s="15"/>
    </row>
    <row r="18162" spans="1:9" ht="16.5">
      <c r="A18162" s="10" t="b">
        <v>0</v>
      </c>
      <c r="B18162" s="11" t="str">
        <f>IF(D18162&lt;&gt;"",IF(COUNTIF('USPTO TMs'!A:A,D18162)&gt;0,"Yes","No"),"")</f>
        <v/>
      </c>
      <c r="C18162" s="11"/>
      <c r="D18162" s="11"/>
      <c r="E18162" s="11"/>
      <c r="F18162" s="11"/>
      <c r="G18162" s="11"/>
      <c r="H18162" s="11"/>
      <c r="I18162" s="15"/>
    </row>
    <row r="18163" spans="1:9" ht="16.5">
      <c r="A18163" s="10" t="b">
        <v>0</v>
      </c>
      <c r="B18163" s="11" t="str">
        <f>IF(D18163&lt;&gt;"",IF(COUNTIF('USPTO TMs'!A:A,D18163)&gt;0,"Yes","No"),"")</f>
        <v/>
      </c>
      <c r="C18163" s="11"/>
      <c r="D18163" s="11"/>
      <c r="E18163" s="11"/>
      <c r="F18163" s="11"/>
      <c r="G18163" s="11"/>
      <c r="H18163" s="11"/>
      <c r="I18163" s="15"/>
    </row>
    <row r="18164" spans="1:9" ht="16.5">
      <c r="A18164" s="10" t="b">
        <v>0</v>
      </c>
      <c r="B18164" s="11" t="str">
        <f>IF(D18164&lt;&gt;"",IF(COUNTIF('USPTO TMs'!A:A,D18164)&gt;0,"Yes","No"),"")</f>
        <v/>
      </c>
      <c r="C18164" s="11"/>
      <c r="D18164" s="11"/>
      <c r="E18164" s="11"/>
      <c r="F18164" s="11"/>
      <c r="G18164" s="11"/>
      <c r="H18164" s="11"/>
      <c r="I18164" s="15"/>
    </row>
    <row r="18165" spans="1:9" ht="16.5">
      <c r="A18165" s="10" t="b">
        <v>0</v>
      </c>
      <c r="B18165" s="11" t="str">
        <f>IF(D18165&lt;&gt;"",IF(COUNTIF('USPTO TMs'!A:A,D18165)&gt;0,"Yes","No"),"")</f>
        <v/>
      </c>
      <c r="C18165" s="11"/>
      <c r="D18165" s="11"/>
      <c r="E18165" s="11"/>
      <c r="F18165" s="11"/>
      <c r="G18165" s="11"/>
      <c r="H18165" s="11"/>
      <c r="I18165" s="15"/>
    </row>
    <row r="18166" spans="1:9" ht="16.5">
      <c r="A18166" s="10" t="b">
        <v>0</v>
      </c>
      <c r="B18166" s="11" t="str">
        <f>IF(D18166&lt;&gt;"",IF(COUNTIF('USPTO TMs'!A:A,D18166)&gt;0,"Yes","No"),"")</f>
        <v/>
      </c>
      <c r="C18166" s="11"/>
      <c r="D18166" s="11"/>
      <c r="E18166" s="11"/>
      <c r="F18166" s="11"/>
      <c r="G18166" s="11"/>
      <c r="H18166" s="11"/>
      <c r="I18166" s="15"/>
    </row>
    <row r="18167" spans="1:9" ht="16.5">
      <c r="A18167" s="10" t="b">
        <v>0</v>
      </c>
      <c r="B18167" s="11" t="str">
        <f>IF(D18167&lt;&gt;"",IF(COUNTIF('USPTO TMs'!A:A,D18167)&gt;0,"Yes","No"),"")</f>
        <v/>
      </c>
      <c r="C18167" s="11"/>
      <c r="D18167" s="11"/>
      <c r="E18167" s="11"/>
      <c r="F18167" s="11"/>
      <c r="G18167" s="11"/>
      <c r="H18167" s="11"/>
      <c r="I18167" s="15"/>
    </row>
    <row r="18168" spans="1:9" ht="16.5">
      <c r="A18168" s="10" t="b">
        <v>0</v>
      </c>
      <c r="B18168" s="11" t="str">
        <f>IF(D18168&lt;&gt;"",IF(COUNTIF('USPTO TMs'!A:A,D18168)&gt;0,"Yes","No"),"")</f>
        <v/>
      </c>
      <c r="C18168" s="11"/>
      <c r="D18168" s="11"/>
      <c r="E18168" s="11"/>
      <c r="F18168" s="11"/>
      <c r="G18168" s="11"/>
      <c r="H18168" s="11"/>
      <c r="I18168" s="15"/>
    </row>
    <row r="18169" spans="1:9" ht="16.5">
      <c r="A18169" s="10" t="b">
        <v>0</v>
      </c>
      <c r="B18169" s="11" t="str">
        <f>IF(D18169&lt;&gt;"",IF(COUNTIF('USPTO TMs'!A:A,D18169)&gt;0,"Yes","No"),"")</f>
        <v/>
      </c>
      <c r="C18169" s="11"/>
      <c r="D18169" s="11"/>
      <c r="E18169" s="11"/>
      <c r="F18169" s="11"/>
      <c r="G18169" s="11"/>
      <c r="H18169" s="11"/>
      <c r="I18169" s="15"/>
    </row>
    <row r="18170" spans="1:9" ht="16.5">
      <c r="A18170" s="10" t="b">
        <v>0</v>
      </c>
      <c r="B18170" s="11" t="str">
        <f>IF(D18170&lt;&gt;"",IF(COUNTIF('USPTO TMs'!A:A,D18170)&gt;0,"Yes","No"),"")</f>
        <v/>
      </c>
      <c r="C18170" s="11"/>
      <c r="D18170" s="11"/>
      <c r="E18170" s="11"/>
      <c r="F18170" s="11"/>
      <c r="G18170" s="11"/>
      <c r="H18170" s="11"/>
      <c r="I18170" s="15"/>
    </row>
    <row r="18171" spans="1:9" ht="16.5">
      <c r="A18171" s="10" t="b">
        <v>0</v>
      </c>
      <c r="B18171" s="11" t="str">
        <f>IF(D18171&lt;&gt;"",IF(COUNTIF('USPTO TMs'!A:A,D18171)&gt;0,"Yes","No"),"")</f>
        <v/>
      </c>
      <c r="C18171" s="11"/>
      <c r="D18171" s="11"/>
      <c r="E18171" s="11"/>
      <c r="F18171" s="11"/>
      <c r="G18171" s="11"/>
      <c r="H18171" s="11"/>
      <c r="I18171" s="15"/>
    </row>
    <row r="18172" spans="1:9" ht="16.5">
      <c r="A18172" s="10" t="b">
        <v>0</v>
      </c>
      <c r="B18172" s="11" t="str">
        <f>IF(D18172&lt;&gt;"",IF(COUNTIF('USPTO TMs'!A:A,D18172)&gt;0,"Yes","No"),"")</f>
        <v/>
      </c>
      <c r="C18172" s="11"/>
      <c r="D18172" s="11"/>
      <c r="E18172" s="11"/>
      <c r="F18172" s="11"/>
      <c r="G18172" s="11"/>
      <c r="H18172" s="11"/>
      <c r="I18172" s="15"/>
    </row>
    <row r="18173" spans="1:9" ht="16.5">
      <c r="A18173" s="10" t="b">
        <v>0</v>
      </c>
      <c r="B18173" s="11" t="str">
        <f>IF(D18173&lt;&gt;"",IF(COUNTIF('USPTO TMs'!A:A,D18173)&gt;0,"Yes","No"),"")</f>
        <v/>
      </c>
      <c r="C18173" s="11"/>
      <c r="D18173" s="11"/>
      <c r="E18173" s="11"/>
      <c r="F18173" s="11"/>
      <c r="G18173" s="11"/>
      <c r="H18173" s="11"/>
      <c r="I18173" s="15"/>
    </row>
    <row r="18174" spans="1:9" ht="16.5">
      <c r="A18174" s="10" t="b">
        <v>0</v>
      </c>
      <c r="B18174" s="11" t="str">
        <f>IF(D18174&lt;&gt;"",IF(COUNTIF('USPTO TMs'!A:A,D18174)&gt;0,"Yes","No"),"")</f>
        <v/>
      </c>
      <c r="C18174" s="11"/>
      <c r="D18174" s="11"/>
      <c r="E18174" s="11"/>
      <c r="F18174" s="11"/>
      <c r="G18174" s="11"/>
      <c r="H18174" s="11"/>
      <c r="I18174" s="15"/>
    </row>
    <row r="18175" spans="1:9" ht="16.5">
      <c r="A18175" s="10" t="b">
        <v>0</v>
      </c>
      <c r="B18175" s="11" t="str">
        <f>IF(D18175&lt;&gt;"",IF(COUNTIF('USPTO TMs'!A:A,D18175)&gt;0,"Yes","No"),"")</f>
        <v/>
      </c>
      <c r="C18175" s="11"/>
      <c r="D18175" s="11"/>
      <c r="E18175" s="11"/>
      <c r="F18175" s="11"/>
      <c r="G18175" s="11"/>
      <c r="H18175" s="11"/>
      <c r="I18175" s="15"/>
    </row>
    <row r="18176" spans="1:9" ht="16.5">
      <c r="A18176" s="10" t="b">
        <v>0</v>
      </c>
      <c r="B18176" s="11" t="str">
        <f>IF(D18176&lt;&gt;"",IF(COUNTIF('USPTO TMs'!A:A,D18176)&gt;0,"Yes","No"),"")</f>
        <v/>
      </c>
      <c r="C18176" s="11"/>
      <c r="D18176" s="11"/>
      <c r="E18176" s="11"/>
      <c r="F18176" s="11"/>
      <c r="G18176" s="11"/>
      <c r="H18176" s="11"/>
      <c r="I18176" s="15"/>
    </row>
    <row r="18177" spans="1:9" ht="16.5">
      <c r="A18177" s="10" t="b">
        <v>0</v>
      </c>
      <c r="B18177" s="11" t="str">
        <f>IF(D18177&lt;&gt;"",IF(COUNTIF('USPTO TMs'!A:A,D18177)&gt;0,"Yes","No"),"")</f>
        <v/>
      </c>
      <c r="C18177" s="11"/>
      <c r="D18177" s="11"/>
      <c r="E18177" s="11"/>
      <c r="F18177" s="11"/>
      <c r="G18177" s="11"/>
      <c r="H18177" s="11"/>
      <c r="I18177" s="15"/>
    </row>
    <row r="18178" spans="1:9" ht="16.5">
      <c r="A18178" s="10" t="b">
        <v>0</v>
      </c>
      <c r="B18178" s="11" t="str">
        <f>IF(D18178&lt;&gt;"",IF(COUNTIF('USPTO TMs'!A:A,D18178)&gt;0,"Yes","No"),"")</f>
        <v/>
      </c>
      <c r="C18178" s="11"/>
      <c r="D18178" s="11"/>
      <c r="E18178" s="11"/>
      <c r="F18178" s="11"/>
      <c r="G18178" s="11"/>
      <c r="H18178" s="11"/>
      <c r="I18178" s="15"/>
    </row>
    <row r="18179" spans="1:9" ht="16.5">
      <c r="A18179" s="10" t="b">
        <v>0</v>
      </c>
      <c r="B18179" s="11" t="str">
        <f>IF(D18179&lt;&gt;"",IF(COUNTIF('USPTO TMs'!A:A,D18179)&gt;0,"Yes","No"),"")</f>
        <v/>
      </c>
      <c r="C18179" s="11"/>
      <c r="D18179" s="11"/>
      <c r="E18179" s="11"/>
      <c r="F18179" s="11"/>
      <c r="G18179" s="11"/>
      <c r="H18179" s="11"/>
      <c r="I18179" s="15"/>
    </row>
    <row r="18180" spans="1:9" ht="16.5">
      <c r="A18180" s="10" t="b">
        <v>0</v>
      </c>
      <c r="B18180" s="11" t="str">
        <f>IF(D18180&lt;&gt;"",IF(COUNTIF('USPTO TMs'!A:A,D18180)&gt;0,"Yes","No"),"")</f>
        <v/>
      </c>
      <c r="C18180" s="11"/>
      <c r="D18180" s="11"/>
      <c r="E18180" s="11"/>
      <c r="F18180" s="11"/>
      <c r="G18180" s="11"/>
      <c r="H18180" s="11"/>
      <c r="I18180" s="15"/>
    </row>
    <row r="18181" spans="1:9" ht="16.5">
      <c r="A18181" s="10" t="b">
        <v>0</v>
      </c>
      <c r="B18181" s="11" t="str">
        <f>IF(D18181&lt;&gt;"",IF(COUNTIF('USPTO TMs'!A:A,D18181)&gt;0,"Yes","No"),"")</f>
        <v/>
      </c>
      <c r="C18181" s="11"/>
      <c r="D18181" s="11"/>
      <c r="E18181" s="11"/>
      <c r="F18181" s="11"/>
      <c r="G18181" s="11"/>
      <c r="H18181" s="11"/>
      <c r="I18181" s="15"/>
    </row>
    <row r="18182" spans="1:9" ht="16.5">
      <c r="A18182" s="10" t="b">
        <v>0</v>
      </c>
      <c r="B18182" s="11" t="str">
        <f>IF(D18182&lt;&gt;"",IF(COUNTIF('USPTO TMs'!A:A,D18182)&gt;0,"Yes","No"),"")</f>
        <v/>
      </c>
      <c r="C18182" s="11"/>
      <c r="D18182" s="11"/>
      <c r="E18182" s="11"/>
      <c r="F18182" s="11"/>
      <c r="G18182" s="11"/>
      <c r="H18182" s="11"/>
      <c r="I18182" s="15"/>
    </row>
    <row r="18183" spans="1:9" ht="16.5">
      <c r="A18183" s="10" t="b">
        <v>0</v>
      </c>
      <c r="B18183" s="11" t="str">
        <f>IF(D18183&lt;&gt;"",IF(COUNTIF('USPTO TMs'!A:A,D18183)&gt;0,"Yes","No"),"")</f>
        <v/>
      </c>
      <c r="C18183" s="11"/>
      <c r="D18183" s="11"/>
      <c r="E18183" s="11"/>
      <c r="F18183" s="11"/>
      <c r="G18183" s="11"/>
      <c r="H18183" s="11"/>
      <c r="I18183" s="15"/>
    </row>
    <row r="18184" spans="1:9" ht="16.5">
      <c r="A18184" s="10" t="b">
        <v>0</v>
      </c>
      <c r="B18184" s="11" t="str">
        <f>IF(D18184&lt;&gt;"",IF(COUNTIF('USPTO TMs'!A:A,D18184)&gt;0,"Yes","No"),"")</f>
        <v/>
      </c>
      <c r="C18184" s="11"/>
      <c r="D18184" s="11"/>
      <c r="E18184" s="11"/>
      <c r="F18184" s="11"/>
      <c r="G18184" s="11"/>
      <c r="H18184" s="11"/>
      <c r="I18184" s="15"/>
    </row>
    <row r="18185" spans="1:9" ht="16.5">
      <c r="A18185" s="10" t="b">
        <v>0</v>
      </c>
      <c r="B18185" s="11" t="str">
        <f>IF(D18185&lt;&gt;"",IF(COUNTIF('USPTO TMs'!A:A,D18185)&gt;0,"Yes","No"),"")</f>
        <v/>
      </c>
      <c r="C18185" s="11"/>
      <c r="D18185" s="11"/>
      <c r="E18185" s="11"/>
      <c r="F18185" s="11"/>
      <c r="G18185" s="11"/>
      <c r="H18185" s="11"/>
      <c r="I18185" s="15"/>
    </row>
    <row r="18186" spans="1:9" ht="16.5">
      <c r="A18186" s="10" t="b">
        <v>0</v>
      </c>
      <c r="B18186" s="11" t="str">
        <f>IF(D18186&lt;&gt;"",IF(COUNTIF('USPTO TMs'!A:A,D18186)&gt;0,"Yes","No"),"")</f>
        <v/>
      </c>
      <c r="C18186" s="11"/>
      <c r="D18186" s="11"/>
      <c r="E18186" s="11"/>
      <c r="F18186" s="11"/>
      <c r="G18186" s="11"/>
      <c r="H18186" s="11"/>
      <c r="I18186" s="15"/>
    </row>
    <row r="18187" spans="1:9" ht="16.5">
      <c r="A18187" s="10" t="b">
        <v>0</v>
      </c>
      <c r="B18187" s="11" t="str">
        <f>IF(D18187&lt;&gt;"",IF(COUNTIF('USPTO TMs'!A:A,D18187)&gt;0,"Yes","No"),"")</f>
        <v/>
      </c>
      <c r="C18187" s="11"/>
      <c r="D18187" s="11"/>
      <c r="E18187" s="11"/>
      <c r="F18187" s="11"/>
      <c r="G18187" s="11"/>
      <c r="H18187" s="11"/>
      <c r="I18187" s="15"/>
    </row>
    <row r="18188" spans="1:9" ht="16.5">
      <c r="A18188" s="10" t="b">
        <v>0</v>
      </c>
      <c r="B18188" s="11" t="str">
        <f>IF(D18188&lt;&gt;"",IF(COUNTIF('USPTO TMs'!A:A,D18188)&gt;0,"Yes","No"),"")</f>
        <v/>
      </c>
      <c r="C18188" s="11"/>
      <c r="D18188" s="11"/>
      <c r="E18188" s="11"/>
      <c r="F18188" s="11"/>
      <c r="G18188" s="11"/>
      <c r="H18188" s="11"/>
      <c r="I18188" s="15"/>
    </row>
    <row r="18189" spans="1:9" ht="16.5">
      <c r="A18189" s="10" t="b">
        <v>0</v>
      </c>
      <c r="B18189" s="11" t="str">
        <f>IF(D18189&lt;&gt;"",IF(COUNTIF('USPTO TMs'!A:A,D18189)&gt;0,"Yes","No"),"")</f>
        <v/>
      </c>
      <c r="C18189" s="11"/>
      <c r="D18189" s="11"/>
      <c r="E18189" s="11"/>
      <c r="F18189" s="11"/>
      <c r="G18189" s="11"/>
      <c r="H18189" s="11"/>
      <c r="I18189" s="15"/>
    </row>
    <row r="18190" spans="1:9" ht="16.5">
      <c r="A18190" s="10" t="b">
        <v>0</v>
      </c>
      <c r="B18190" s="11" t="str">
        <f>IF(D18190&lt;&gt;"",IF(COUNTIF('USPTO TMs'!A:A,D18190)&gt;0,"Yes","No"),"")</f>
        <v/>
      </c>
      <c r="C18190" s="11"/>
      <c r="D18190" s="11"/>
      <c r="E18190" s="11"/>
      <c r="F18190" s="11"/>
      <c r="G18190" s="11"/>
      <c r="H18190" s="11"/>
      <c r="I18190" s="15"/>
    </row>
    <row r="18191" spans="1:9" ht="16.5">
      <c r="A18191" s="10" t="b">
        <v>0</v>
      </c>
      <c r="B18191" s="11" t="str">
        <f>IF(D18191&lt;&gt;"",IF(COUNTIF('USPTO TMs'!A:A,D18191)&gt;0,"Yes","No"),"")</f>
        <v/>
      </c>
      <c r="C18191" s="11"/>
      <c r="D18191" s="11"/>
      <c r="E18191" s="11"/>
      <c r="F18191" s="11"/>
      <c r="G18191" s="11"/>
      <c r="H18191" s="11"/>
      <c r="I18191" s="15"/>
    </row>
    <row r="18192" spans="1:9" ht="16.5">
      <c r="A18192" s="10" t="b">
        <v>0</v>
      </c>
      <c r="B18192" s="11" t="str">
        <f>IF(D18192&lt;&gt;"",IF(COUNTIF('USPTO TMs'!A:A,D18192)&gt;0,"Yes","No"),"")</f>
        <v/>
      </c>
      <c r="C18192" s="11"/>
      <c r="D18192" s="11"/>
      <c r="E18192" s="11"/>
      <c r="F18192" s="11"/>
      <c r="G18192" s="11"/>
      <c r="H18192" s="11"/>
      <c r="I18192" s="15"/>
    </row>
    <row r="18193" spans="1:9" ht="16.5">
      <c r="A18193" s="10" t="b">
        <v>0</v>
      </c>
      <c r="B18193" s="11" t="str">
        <f>IF(D18193&lt;&gt;"",IF(COUNTIF('USPTO TMs'!A:A,D18193)&gt;0,"Yes","No"),"")</f>
        <v/>
      </c>
      <c r="C18193" s="11"/>
      <c r="D18193" s="11"/>
      <c r="E18193" s="11"/>
      <c r="F18193" s="11"/>
      <c r="G18193" s="11"/>
      <c r="H18193" s="11"/>
      <c r="I18193" s="15"/>
    </row>
    <row r="18194" spans="1:9" ht="16.5">
      <c r="A18194" s="10" t="b">
        <v>0</v>
      </c>
      <c r="B18194" s="11" t="str">
        <f>IF(D18194&lt;&gt;"",IF(COUNTIF('USPTO TMs'!A:A,D18194)&gt;0,"Yes","No"),"")</f>
        <v/>
      </c>
      <c r="C18194" s="11"/>
      <c r="D18194" s="11"/>
      <c r="E18194" s="11"/>
      <c r="F18194" s="11"/>
      <c r="G18194" s="11"/>
      <c r="H18194" s="11"/>
      <c r="I18194" s="15"/>
    </row>
    <row r="18195" spans="1:9" ht="16.5">
      <c r="A18195" s="10" t="b">
        <v>0</v>
      </c>
      <c r="B18195" s="11" t="str">
        <f>IF(D18195&lt;&gt;"",IF(COUNTIF('USPTO TMs'!A:A,D18195)&gt;0,"Yes","No"),"")</f>
        <v/>
      </c>
      <c r="C18195" s="11"/>
      <c r="D18195" s="11"/>
      <c r="E18195" s="11"/>
      <c r="F18195" s="11"/>
      <c r="G18195" s="11"/>
      <c r="H18195" s="11"/>
      <c r="I18195" s="15"/>
    </row>
    <row r="18196" spans="1:9" ht="16.5">
      <c r="A18196" s="10" t="b">
        <v>0</v>
      </c>
      <c r="B18196" s="11" t="str">
        <f>IF(D18196&lt;&gt;"",IF(COUNTIF('USPTO TMs'!A:A,D18196)&gt;0,"Yes","No"),"")</f>
        <v/>
      </c>
      <c r="C18196" s="11"/>
      <c r="D18196" s="11"/>
      <c r="E18196" s="11"/>
      <c r="F18196" s="11"/>
      <c r="G18196" s="11"/>
      <c r="H18196" s="11"/>
      <c r="I18196" s="15"/>
    </row>
    <row r="18197" spans="1:9" ht="16.5">
      <c r="A18197" s="10" t="b">
        <v>0</v>
      </c>
      <c r="B18197" s="11" t="str">
        <f>IF(D18197&lt;&gt;"",IF(COUNTIF('USPTO TMs'!A:A,D18197)&gt;0,"Yes","No"),"")</f>
        <v/>
      </c>
      <c r="C18197" s="11"/>
      <c r="D18197" s="11"/>
      <c r="E18197" s="11"/>
      <c r="F18197" s="11"/>
      <c r="G18197" s="11"/>
      <c r="H18197" s="11"/>
      <c r="I18197" s="15"/>
    </row>
    <row r="18198" spans="1:9" ht="16.5">
      <c r="A18198" s="10" t="b">
        <v>0</v>
      </c>
      <c r="B18198" s="11" t="str">
        <f>IF(D18198&lt;&gt;"",IF(COUNTIF('USPTO TMs'!A:A,D18198)&gt;0,"Yes","No"),"")</f>
        <v/>
      </c>
      <c r="C18198" s="11"/>
      <c r="D18198" s="11"/>
      <c r="E18198" s="11"/>
      <c r="F18198" s="11"/>
      <c r="G18198" s="11"/>
      <c r="H18198" s="11"/>
      <c r="I18198" s="15"/>
    </row>
    <row r="18199" spans="1:9" ht="16.5">
      <c r="A18199" s="10" t="b">
        <v>0</v>
      </c>
      <c r="B18199" s="11" t="str">
        <f>IF(D18199&lt;&gt;"",IF(COUNTIF('USPTO TMs'!A:A,D18199)&gt;0,"Yes","No"),"")</f>
        <v/>
      </c>
      <c r="C18199" s="11"/>
      <c r="D18199" s="11"/>
      <c r="E18199" s="11"/>
      <c r="F18199" s="11"/>
      <c r="G18199" s="11"/>
      <c r="H18199" s="11"/>
      <c r="I18199" s="15"/>
    </row>
    <row r="18200" spans="1:9" ht="16.5">
      <c r="A18200" s="10" t="b">
        <v>0</v>
      </c>
      <c r="B18200" s="11" t="str">
        <f>IF(D18200&lt;&gt;"",IF(COUNTIF('USPTO TMs'!A:A,D18200)&gt;0,"Yes","No"),"")</f>
        <v/>
      </c>
      <c r="C18200" s="11"/>
      <c r="D18200" s="11"/>
      <c r="E18200" s="11"/>
      <c r="F18200" s="11"/>
      <c r="G18200" s="11"/>
      <c r="H18200" s="11"/>
      <c r="I18200" s="15"/>
    </row>
    <row r="18201" spans="1:9" ht="16.5">
      <c r="A18201" s="10" t="b">
        <v>0</v>
      </c>
      <c r="B18201" s="11" t="str">
        <f>IF(D18201&lt;&gt;"",IF(COUNTIF('USPTO TMs'!A:A,D18201)&gt;0,"Yes","No"),"")</f>
        <v/>
      </c>
      <c r="C18201" s="11"/>
      <c r="D18201" s="11"/>
      <c r="E18201" s="11"/>
      <c r="F18201" s="11"/>
      <c r="G18201" s="11"/>
      <c r="H18201" s="11"/>
      <c r="I18201" s="15"/>
    </row>
    <row r="18202" spans="1:9" ht="16.5">
      <c r="A18202" s="10" t="b">
        <v>0</v>
      </c>
      <c r="B18202" s="11" t="str">
        <f>IF(D18202&lt;&gt;"",IF(COUNTIF('USPTO TMs'!A:A,D18202)&gt;0,"Yes","No"),"")</f>
        <v/>
      </c>
      <c r="C18202" s="11"/>
      <c r="D18202" s="11"/>
      <c r="E18202" s="11"/>
      <c r="F18202" s="11"/>
      <c r="G18202" s="11"/>
      <c r="H18202" s="11"/>
      <c r="I18202" s="15"/>
    </row>
    <row r="18203" spans="1:9" ht="16.5">
      <c r="A18203" s="10" t="b">
        <v>0</v>
      </c>
      <c r="B18203" s="11" t="str">
        <f>IF(D18203&lt;&gt;"",IF(COUNTIF('USPTO TMs'!A:A,D18203)&gt;0,"Yes","No"),"")</f>
        <v/>
      </c>
      <c r="C18203" s="11"/>
      <c r="D18203" s="11"/>
      <c r="E18203" s="11"/>
      <c r="F18203" s="11"/>
      <c r="G18203" s="11"/>
      <c r="H18203" s="11"/>
      <c r="I18203" s="15"/>
    </row>
    <row r="18204" spans="1:9" ht="16.5">
      <c r="A18204" s="10" t="b">
        <v>0</v>
      </c>
      <c r="B18204" s="11" t="str">
        <f>IF(D18204&lt;&gt;"",IF(COUNTIF('USPTO TMs'!A:A,D18204)&gt;0,"Yes","No"),"")</f>
        <v/>
      </c>
      <c r="C18204" s="11"/>
      <c r="D18204" s="11"/>
      <c r="E18204" s="11"/>
      <c r="F18204" s="11"/>
      <c r="G18204" s="11"/>
      <c r="H18204" s="11"/>
      <c r="I18204" s="15"/>
    </row>
    <row r="18205" spans="1:9" ht="16.5">
      <c r="A18205" s="10" t="b">
        <v>0</v>
      </c>
      <c r="B18205" s="11" t="str">
        <f>IF(D18205&lt;&gt;"",IF(COUNTIF('USPTO TMs'!A:A,D18205)&gt;0,"Yes","No"),"")</f>
        <v/>
      </c>
      <c r="C18205" s="11"/>
      <c r="D18205" s="11"/>
      <c r="E18205" s="11"/>
      <c r="F18205" s="11"/>
      <c r="G18205" s="11"/>
      <c r="H18205" s="11"/>
      <c r="I18205" s="15"/>
    </row>
    <row r="18206" spans="1:9" ht="16.5">
      <c r="A18206" s="10" t="b">
        <v>0</v>
      </c>
      <c r="B18206" s="11" t="str">
        <f>IF(D18206&lt;&gt;"",IF(COUNTIF('USPTO TMs'!A:A,D18206)&gt;0,"Yes","No"),"")</f>
        <v/>
      </c>
      <c r="C18206" s="11"/>
      <c r="D18206" s="11"/>
      <c r="E18206" s="11"/>
      <c r="F18206" s="11"/>
      <c r="G18206" s="11"/>
      <c r="H18206" s="11"/>
      <c r="I18206" s="15"/>
    </row>
    <row r="18207" spans="1:9" ht="16.5">
      <c r="A18207" s="10" t="b">
        <v>0</v>
      </c>
      <c r="B18207" s="11" t="str">
        <f>IF(D18207&lt;&gt;"",IF(COUNTIF('USPTO TMs'!A:A,D18207)&gt;0,"Yes","No"),"")</f>
        <v/>
      </c>
      <c r="C18207" s="11"/>
      <c r="D18207" s="11"/>
      <c r="E18207" s="11"/>
      <c r="F18207" s="11"/>
      <c r="G18207" s="11"/>
      <c r="H18207" s="11"/>
      <c r="I18207" s="15"/>
    </row>
    <row r="18208" spans="1:9" ht="16.5">
      <c r="A18208" s="10" t="b">
        <v>0</v>
      </c>
      <c r="B18208" s="11" t="str">
        <f>IF(D18208&lt;&gt;"",IF(COUNTIF('USPTO TMs'!A:A,D18208)&gt;0,"Yes","No"),"")</f>
        <v/>
      </c>
      <c r="C18208" s="11"/>
      <c r="D18208" s="11"/>
      <c r="E18208" s="11"/>
      <c r="F18208" s="11"/>
      <c r="G18208" s="11"/>
      <c r="H18208" s="11"/>
      <c r="I18208" s="15"/>
    </row>
    <row r="18209" spans="1:9" ht="16.5">
      <c r="A18209" s="10" t="b">
        <v>0</v>
      </c>
      <c r="B18209" s="11" t="str">
        <f>IF(D18209&lt;&gt;"",IF(COUNTIF('USPTO TMs'!A:A,D18209)&gt;0,"Yes","No"),"")</f>
        <v/>
      </c>
      <c r="C18209" s="11"/>
      <c r="D18209" s="11"/>
      <c r="E18209" s="11"/>
      <c r="F18209" s="11"/>
      <c r="G18209" s="11"/>
      <c r="H18209" s="11"/>
      <c r="I18209" s="15"/>
    </row>
    <row r="18210" spans="1:9" ht="16.5">
      <c r="A18210" s="10" t="b">
        <v>0</v>
      </c>
      <c r="B18210" s="11" t="str">
        <f>IF(D18210&lt;&gt;"",IF(COUNTIF('USPTO TMs'!A:A,D18210)&gt;0,"Yes","No"),"")</f>
        <v/>
      </c>
      <c r="C18210" s="11"/>
      <c r="D18210" s="11"/>
      <c r="E18210" s="11"/>
      <c r="F18210" s="11"/>
      <c r="G18210" s="11"/>
      <c r="H18210" s="11"/>
      <c r="I18210" s="15"/>
    </row>
    <row r="18211" spans="1:9" ht="16.5">
      <c r="A18211" s="10" t="b">
        <v>0</v>
      </c>
      <c r="B18211" s="11" t="str">
        <f>IF(D18211&lt;&gt;"",IF(COUNTIF('USPTO TMs'!A:A,D18211)&gt;0,"Yes","No"),"")</f>
        <v/>
      </c>
      <c r="C18211" s="11"/>
      <c r="D18211" s="11"/>
      <c r="E18211" s="11"/>
      <c r="F18211" s="11"/>
      <c r="G18211" s="11"/>
      <c r="H18211" s="11"/>
      <c r="I18211" s="15"/>
    </row>
    <row r="18212" spans="1:9" ht="16.5">
      <c r="A18212" s="10" t="b">
        <v>0</v>
      </c>
      <c r="B18212" s="11" t="str">
        <f>IF(D18212&lt;&gt;"",IF(COUNTIF('USPTO TMs'!A:A,D18212)&gt;0,"Yes","No"),"")</f>
        <v/>
      </c>
      <c r="C18212" s="11"/>
      <c r="D18212" s="11"/>
      <c r="E18212" s="11"/>
      <c r="F18212" s="11"/>
      <c r="G18212" s="11"/>
      <c r="H18212" s="11"/>
      <c r="I18212" s="15"/>
    </row>
    <row r="18213" spans="1:9" ht="16.5">
      <c r="A18213" s="10" t="b">
        <v>0</v>
      </c>
      <c r="B18213" s="11" t="str">
        <f>IF(D18213&lt;&gt;"",IF(COUNTIF('USPTO TMs'!A:A,D18213)&gt;0,"Yes","No"),"")</f>
        <v/>
      </c>
      <c r="C18213" s="11"/>
      <c r="D18213" s="11"/>
      <c r="E18213" s="11"/>
      <c r="F18213" s="11"/>
      <c r="G18213" s="11"/>
      <c r="H18213" s="11"/>
      <c r="I18213" s="15"/>
    </row>
    <row r="18214" spans="1:9" ht="16.5">
      <c r="A18214" s="10" t="b">
        <v>0</v>
      </c>
      <c r="B18214" s="11" t="str">
        <f>IF(D18214&lt;&gt;"",IF(COUNTIF('USPTO TMs'!A:A,D18214)&gt;0,"Yes","No"),"")</f>
        <v/>
      </c>
      <c r="C18214" s="11"/>
      <c r="D18214" s="11"/>
      <c r="E18214" s="11"/>
      <c r="F18214" s="11"/>
      <c r="G18214" s="11"/>
      <c r="H18214" s="11"/>
      <c r="I18214" s="15"/>
    </row>
    <row r="18215" spans="1:9" ht="16.5">
      <c r="A18215" s="10" t="b">
        <v>0</v>
      </c>
      <c r="B18215" s="11" t="str">
        <f>IF(D18215&lt;&gt;"",IF(COUNTIF('USPTO TMs'!A:A,D18215)&gt;0,"Yes","No"),"")</f>
        <v/>
      </c>
      <c r="C18215" s="11"/>
      <c r="D18215" s="11"/>
      <c r="E18215" s="11"/>
      <c r="F18215" s="11"/>
      <c r="G18215" s="11"/>
      <c r="H18215" s="11"/>
      <c r="I18215" s="15"/>
    </row>
    <row r="18216" spans="1:9" ht="16.5">
      <c r="A18216" s="10" t="b">
        <v>0</v>
      </c>
      <c r="B18216" s="11" t="str">
        <f>IF(D18216&lt;&gt;"",IF(COUNTIF('USPTO TMs'!A:A,D18216)&gt;0,"Yes","No"),"")</f>
        <v/>
      </c>
      <c r="C18216" s="11"/>
      <c r="D18216" s="11"/>
      <c r="E18216" s="11"/>
      <c r="F18216" s="11"/>
      <c r="G18216" s="11"/>
      <c r="H18216" s="11"/>
      <c r="I18216" s="15"/>
    </row>
    <row r="18217" spans="1:9" ht="16.5">
      <c r="A18217" s="10" t="b">
        <v>0</v>
      </c>
      <c r="B18217" s="11" t="str">
        <f>IF(D18217&lt;&gt;"",IF(COUNTIF('USPTO TMs'!A:A,D18217)&gt;0,"Yes","No"),"")</f>
        <v/>
      </c>
      <c r="C18217" s="11"/>
      <c r="D18217" s="11"/>
      <c r="E18217" s="11"/>
      <c r="F18217" s="11"/>
      <c r="G18217" s="11"/>
      <c r="H18217" s="11"/>
      <c r="I18217" s="15"/>
    </row>
    <row r="18218" spans="1:9" ht="16.5">
      <c r="A18218" s="10" t="b">
        <v>0</v>
      </c>
      <c r="B18218" s="11" t="str">
        <f>IF(D18218&lt;&gt;"",IF(COUNTIF('USPTO TMs'!A:A,D18218)&gt;0,"Yes","No"),"")</f>
        <v/>
      </c>
      <c r="C18218" s="11"/>
      <c r="D18218" s="11"/>
      <c r="E18218" s="11"/>
      <c r="F18218" s="11"/>
      <c r="G18218" s="11"/>
      <c r="H18218" s="11"/>
      <c r="I18218" s="15"/>
    </row>
    <row r="18219" spans="1:9" ht="16.5">
      <c r="A18219" s="10" t="b">
        <v>0</v>
      </c>
      <c r="B18219" s="11" t="str">
        <f>IF(D18219&lt;&gt;"",IF(COUNTIF('USPTO TMs'!A:A,D18219)&gt;0,"Yes","No"),"")</f>
        <v/>
      </c>
      <c r="C18219" s="11"/>
      <c r="D18219" s="11"/>
      <c r="E18219" s="11"/>
      <c r="F18219" s="11"/>
      <c r="G18219" s="11"/>
      <c r="H18219" s="11"/>
      <c r="I18219" s="15"/>
    </row>
    <row r="18220" spans="1:9" ht="16.5">
      <c r="A18220" s="10" t="b">
        <v>0</v>
      </c>
      <c r="B18220" s="11" t="str">
        <f>IF(D18220&lt;&gt;"",IF(COUNTIF('USPTO TMs'!A:A,D18220)&gt;0,"Yes","No"),"")</f>
        <v/>
      </c>
      <c r="C18220" s="11"/>
      <c r="D18220" s="11"/>
      <c r="E18220" s="11"/>
      <c r="F18220" s="11"/>
      <c r="G18220" s="11"/>
      <c r="H18220" s="11"/>
      <c r="I18220" s="15"/>
    </row>
    <row r="18221" spans="1:9" ht="16.5">
      <c r="A18221" s="10" t="b">
        <v>0</v>
      </c>
      <c r="B18221" s="11" t="str">
        <f>IF(D18221&lt;&gt;"",IF(COUNTIF('USPTO TMs'!A:A,D18221)&gt;0,"Yes","No"),"")</f>
        <v/>
      </c>
      <c r="C18221" s="11"/>
      <c r="D18221" s="11"/>
      <c r="E18221" s="11"/>
      <c r="F18221" s="11"/>
      <c r="G18221" s="11"/>
      <c r="H18221" s="11"/>
      <c r="I18221" s="15"/>
    </row>
    <row r="18222" spans="1:9" ht="16.5">
      <c r="A18222" s="10" t="b">
        <v>0</v>
      </c>
      <c r="B18222" s="11" t="str">
        <f>IF(D18222&lt;&gt;"",IF(COUNTIF('USPTO TMs'!A:A,D18222)&gt;0,"Yes","No"),"")</f>
        <v/>
      </c>
      <c r="C18222" s="11"/>
      <c r="D18222" s="11"/>
      <c r="E18222" s="11"/>
      <c r="F18222" s="11"/>
      <c r="G18222" s="11"/>
      <c r="H18222" s="11"/>
      <c r="I18222" s="15"/>
    </row>
    <row r="18223" spans="1:9" ht="16.5">
      <c r="A18223" s="10" t="b">
        <v>0</v>
      </c>
      <c r="B18223" s="11" t="str">
        <f>IF(D18223&lt;&gt;"",IF(COUNTIF('USPTO TMs'!A:A,D18223)&gt;0,"Yes","No"),"")</f>
        <v/>
      </c>
      <c r="C18223" s="11"/>
      <c r="D18223" s="11"/>
      <c r="E18223" s="11"/>
      <c r="F18223" s="11"/>
      <c r="G18223" s="11"/>
      <c r="H18223" s="11"/>
      <c r="I18223" s="15"/>
    </row>
    <row r="18224" spans="1:9" ht="16.5">
      <c r="A18224" s="10" t="b">
        <v>0</v>
      </c>
      <c r="B18224" s="11" t="str">
        <f>IF(D18224&lt;&gt;"",IF(COUNTIF('USPTO TMs'!A:A,D18224)&gt;0,"Yes","No"),"")</f>
        <v/>
      </c>
      <c r="C18224" s="11"/>
      <c r="D18224" s="11"/>
      <c r="E18224" s="11"/>
      <c r="F18224" s="11"/>
      <c r="G18224" s="11"/>
      <c r="H18224" s="11"/>
      <c r="I18224" s="15"/>
    </row>
    <row r="18225" spans="1:9" ht="16.5">
      <c r="A18225" s="10" t="b">
        <v>0</v>
      </c>
      <c r="B18225" s="11" t="str">
        <f>IF(D18225&lt;&gt;"",IF(COUNTIF('USPTO TMs'!A:A,D18225)&gt;0,"Yes","No"),"")</f>
        <v/>
      </c>
      <c r="C18225" s="11"/>
      <c r="D18225" s="11"/>
      <c r="E18225" s="11"/>
      <c r="F18225" s="11"/>
      <c r="G18225" s="11"/>
      <c r="H18225" s="11"/>
      <c r="I18225" s="15"/>
    </row>
    <row r="18226" spans="1:9" ht="16.5">
      <c r="A18226" s="10" t="b">
        <v>0</v>
      </c>
      <c r="B18226" s="11" t="str">
        <f>IF(D18226&lt;&gt;"",IF(COUNTIF('USPTO TMs'!A:A,D18226)&gt;0,"Yes","No"),"")</f>
        <v/>
      </c>
      <c r="C18226" s="11"/>
      <c r="D18226" s="11"/>
      <c r="E18226" s="11"/>
      <c r="F18226" s="11"/>
      <c r="G18226" s="11"/>
      <c r="H18226" s="11"/>
      <c r="I18226" s="15"/>
    </row>
    <row r="18227" spans="1:9" ht="16.5">
      <c r="A18227" s="10" t="b">
        <v>0</v>
      </c>
      <c r="B18227" s="11" t="str">
        <f>IF(D18227&lt;&gt;"",IF(COUNTIF('USPTO TMs'!A:A,D18227)&gt;0,"Yes","No"),"")</f>
        <v/>
      </c>
      <c r="C18227" s="11"/>
      <c r="D18227" s="11"/>
      <c r="E18227" s="11"/>
      <c r="F18227" s="11"/>
      <c r="G18227" s="11"/>
      <c r="H18227" s="11"/>
      <c r="I18227" s="15"/>
    </row>
    <row r="18228" spans="1:9" ht="16.5">
      <c r="A18228" s="10" t="b">
        <v>0</v>
      </c>
      <c r="B18228" s="11" t="str">
        <f>IF(D18228&lt;&gt;"",IF(COUNTIF('USPTO TMs'!A:A,D18228)&gt;0,"Yes","No"),"")</f>
        <v/>
      </c>
      <c r="C18228" s="11"/>
      <c r="D18228" s="11"/>
      <c r="E18228" s="11"/>
      <c r="F18228" s="11"/>
      <c r="G18228" s="11"/>
      <c r="H18228" s="11"/>
      <c r="I18228" s="15"/>
    </row>
    <row r="18229" spans="1:9" ht="16.5">
      <c r="A18229" s="10" t="b">
        <v>0</v>
      </c>
      <c r="B18229" s="11" t="str">
        <f>IF(D18229&lt;&gt;"",IF(COUNTIF('USPTO TMs'!A:A,D18229)&gt;0,"Yes","No"),"")</f>
        <v/>
      </c>
      <c r="C18229" s="11"/>
      <c r="D18229" s="11"/>
      <c r="E18229" s="11"/>
      <c r="F18229" s="11"/>
      <c r="G18229" s="11"/>
      <c r="H18229" s="11"/>
      <c r="I18229" s="15"/>
    </row>
    <row r="18230" spans="1:9" ht="16.5">
      <c r="A18230" s="10" t="b">
        <v>0</v>
      </c>
      <c r="B18230" s="11" t="str">
        <f>IF(D18230&lt;&gt;"",IF(COUNTIF('USPTO TMs'!A:A,D18230)&gt;0,"Yes","No"),"")</f>
        <v/>
      </c>
      <c r="C18230" s="11"/>
      <c r="D18230" s="11"/>
      <c r="E18230" s="11"/>
      <c r="F18230" s="11"/>
      <c r="G18230" s="11"/>
      <c r="H18230" s="11"/>
      <c r="I18230" s="15"/>
    </row>
    <row r="18231" spans="1:9" ht="16.5">
      <c r="A18231" s="10" t="b">
        <v>0</v>
      </c>
      <c r="B18231" s="11" t="str">
        <f>IF(D18231&lt;&gt;"",IF(COUNTIF('USPTO TMs'!A:A,D18231)&gt;0,"Yes","No"),"")</f>
        <v/>
      </c>
      <c r="C18231" s="11"/>
      <c r="D18231" s="11"/>
      <c r="E18231" s="11"/>
      <c r="F18231" s="11"/>
      <c r="G18231" s="11"/>
      <c r="H18231" s="11"/>
      <c r="I18231" s="15"/>
    </row>
    <row r="18232" spans="1:9" ht="16.5">
      <c r="A18232" s="10" t="b">
        <v>0</v>
      </c>
      <c r="B18232" s="11" t="str">
        <f>IF(D18232&lt;&gt;"",IF(COUNTIF('USPTO TMs'!A:A,D18232)&gt;0,"Yes","No"),"")</f>
        <v/>
      </c>
      <c r="C18232" s="11"/>
      <c r="D18232" s="11"/>
      <c r="E18232" s="11"/>
      <c r="F18232" s="11"/>
      <c r="G18232" s="11"/>
      <c r="H18232" s="11"/>
      <c r="I18232" s="15"/>
    </row>
    <row r="18233" spans="1:9" ht="16.5">
      <c r="A18233" s="10" t="b">
        <v>0</v>
      </c>
      <c r="B18233" s="11" t="str">
        <f>IF(D18233&lt;&gt;"",IF(COUNTIF('USPTO TMs'!A:A,D18233)&gt;0,"Yes","No"),"")</f>
        <v/>
      </c>
      <c r="C18233" s="11"/>
      <c r="D18233" s="11"/>
      <c r="E18233" s="11"/>
      <c r="F18233" s="11"/>
      <c r="G18233" s="11"/>
      <c r="H18233" s="11"/>
      <c r="I18233" s="15"/>
    </row>
    <row r="18234" spans="1:9" ht="16.5">
      <c r="A18234" s="10" t="b">
        <v>0</v>
      </c>
      <c r="B18234" s="11" t="str">
        <f>IF(D18234&lt;&gt;"",IF(COUNTIF('USPTO TMs'!A:A,D18234)&gt;0,"Yes","No"),"")</f>
        <v/>
      </c>
      <c r="C18234" s="11"/>
      <c r="D18234" s="11"/>
      <c r="E18234" s="11"/>
      <c r="F18234" s="11"/>
      <c r="G18234" s="11"/>
      <c r="H18234" s="11"/>
      <c r="I18234" s="15"/>
    </row>
    <row r="18235" spans="1:9" ht="16.5">
      <c r="A18235" s="10" t="b">
        <v>0</v>
      </c>
      <c r="B18235" s="11" t="str">
        <f>IF(D18235&lt;&gt;"",IF(COUNTIF('USPTO TMs'!A:A,D18235)&gt;0,"Yes","No"),"")</f>
        <v/>
      </c>
      <c r="C18235" s="11"/>
      <c r="D18235" s="11"/>
      <c r="E18235" s="11"/>
      <c r="F18235" s="11"/>
      <c r="G18235" s="11"/>
      <c r="H18235" s="11"/>
      <c r="I18235" s="15"/>
    </row>
    <row r="18236" spans="1:9" ht="16.5">
      <c r="A18236" s="10" t="b">
        <v>0</v>
      </c>
      <c r="B18236" s="11" t="str">
        <f>IF(D18236&lt;&gt;"",IF(COUNTIF('USPTO TMs'!A:A,D18236)&gt;0,"Yes","No"),"")</f>
        <v/>
      </c>
      <c r="C18236" s="11"/>
      <c r="D18236" s="11"/>
      <c r="E18236" s="11"/>
      <c r="F18236" s="11"/>
      <c r="G18236" s="11"/>
      <c r="H18236" s="11"/>
      <c r="I18236" s="15"/>
    </row>
    <row r="18237" spans="1:9" ht="16.5">
      <c r="A18237" s="10" t="b">
        <v>0</v>
      </c>
      <c r="B18237" s="11" t="str">
        <f>IF(D18237&lt;&gt;"",IF(COUNTIF('USPTO TMs'!A:A,D18237)&gt;0,"Yes","No"),"")</f>
        <v/>
      </c>
      <c r="C18237" s="11"/>
      <c r="D18237" s="11"/>
      <c r="E18237" s="11"/>
      <c r="F18237" s="11"/>
      <c r="G18237" s="11"/>
      <c r="H18237" s="11"/>
      <c r="I18237" s="15"/>
    </row>
    <row r="18238" spans="1:9" ht="16.5">
      <c r="A18238" s="10" t="b">
        <v>0</v>
      </c>
      <c r="B18238" s="11" t="str">
        <f>IF(D18238&lt;&gt;"",IF(COUNTIF('USPTO TMs'!A:A,D18238)&gt;0,"Yes","No"),"")</f>
        <v/>
      </c>
      <c r="C18238" s="11"/>
      <c r="D18238" s="11"/>
      <c r="E18238" s="11"/>
      <c r="F18238" s="11"/>
      <c r="G18238" s="11"/>
      <c r="H18238" s="11"/>
      <c r="I18238" s="15"/>
    </row>
    <row r="18239" spans="1:9" ht="16.5">
      <c r="A18239" s="10" t="b">
        <v>0</v>
      </c>
      <c r="B18239" s="11" t="str">
        <f>IF(D18239&lt;&gt;"",IF(COUNTIF('USPTO TMs'!A:A,D18239)&gt;0,"Yes","No"),"")</f>
        <v/>
      </c>
      <c r="C18239" s="11"/>
      <c r="D18239" s="11"/>
      <c r="E18239" s="11"/>
      <c r="F18239" s="11"/>
      <c r="G18239" s="11"/>
      <c r="H18239" s="11"/>
      <c r="I18239" s="15"/>
    </row>
    <row r="18240" spans="1:9" ht="16.5">
      <c r="A18240" s="10" t="b">
        <v>0</v>
      </c>
      <c r="B18240" s="11" t="str">
        <f>IF(D18240&lt;&gt;"",IF(COUNTIF('USPTO TMs'!A:A,D18240)&gt;0,"Yes","No"),"")</f>
        <v/>
      </c>
      <c r="C18240" s="11"/>
      <c r="D18240" s="11"/>
      <c r="E18240" s="11"/>
      <c r="F18240" s="11"/>
      <c r="G18240" s="11"/>
      <c r="H18240" s="11"/>
      <c r="I18240" s="15"/>
    </row>
    <row r="18241" spans="1:9" ht="16.5">
      <c r="A18241" s="10" t="b">
        <v>0</v>
      </c>
      <c r="B18241" s="11" t="str">
        <f>IF(D18241&lt;&gt;"",IF(COUNTIF('USPTO TMs'!A:A,D18241)&gt;0,"Yes","No"),"")</f>
        <v/>
      </c>
      <c r="C18241" s="11"/>
      <c r="D18241" s="11"/>
      <c r="E18241" s="11"/>
      <c r="F18241" s="11"/>
      <c r="G18241" s="11"/>
      <c r="H18241" s="11"/>
      <c r="I18241" s="15"/>
    </row>
    <row r="18242" spans="1:9" ht="16.5">
      <c r="A18242" s="10" t="b">
        <v>0</v>
      </c>
      <c r="B18242" s="11" t="str">
        <f>IF(D18242&lt;&gt;"",IF(COUNTIF('USPTO TMs'!A:A,D18242)&gt;0,"Yes","No"),"")</f>
        <v/>
      </c>
      <c r="C18242" s="11"/>
      <c r="D18242" s="11"/>
      <c r="E18242" s="11"/>
      <c r="F18242" s="11"/>
      <c r="G18242" s="11"/>
      <c r="H18242" s="11"/>
      <c r="I18242" s="15"/>
    </row>
    <row r="18243" spans="1:9" ht="16.5">
      <c r="A18243" s="10" t="b">
        <v>0</v>
      </c>
      <c r="B18243" s="11" t="str">
        <f>IF(D18243&lt;&gt;"",IF(COUNTIF('USPTO TMs'!A:A,D18243)&gt;0,"Yes","No"),"")</f>
        <v/>
      </c>
      <c r="C18243" s="11"/>
      <c r="D18243" s="11"/>
      <c r="E18243" s="11"/>
      <c r="F18243" s="11"/>
      <c r="G18243" s="11"/>
      <c r="H18243" s="11"/>
      <c r="I18243" s="15"/>
    </row>
    <row r="18244" spans="1:9" ht="16.5">
      <c r="A18244" s="10" t="b">
        <v>0</v>
      </c>
      <c r="B18244" s="11" t="str">
        <f>IF(D18244&lt;&gt;"",IF(COUNTIF('USPTO TMs'!A:A,D18244)&gt;0,"Yes","No"),"")</f>
        <v/>
      </c>
      <c r="C18244" s="11"/>
      <c r="D18244" s="11"/>
      <c r="E18244" s="11"/>
      <c r="F18244" s="11"/>
      <c r="G18244" s="11"/>
      <c r="H18244" s="11"/>
      <c r="I18244" s="15"/>
    </row>
    <row r="18245" spans="1:9" ht="16.5">
      <c r="A18245" s="10" t="b">
        <v>0</v>
      </c>
      <c r="B18245" s="11" t="str">
        <f>IF(D18245&lt;&gt;"",IF(COUNTIF('USPTO TMs'!A:A,D18245)&gt;0,"Yes","No"),"")</f>
        <v/>
      </c>
      <c r="C18245" s="11"/>
      <c r="D18245" s="11"/>
      <c r="E18245" s="11"/>
      <c r="F18245" s="11"/>
      <c r="G18245" s="11"/>
      <c r="H18245" s="11"/>
      <c r="I18245" s="15"/>
    </row>
    <row r="18246" spans="1:9" ht="16.5">
      <c r="A18246" s="10" t="b">
        <v>0</v>
      </c>
      <c r="B18246" s="11" t="str">
        <f>IF(D18246&lt;&gt;"",IF(COUNTIF('USPTO TMs'!A:A,D18246)&gt;0,"Yes","No"),"")</f>
        <v/>
      </c>
      <c r="C18246" s="11"/>
      <c r="D18246" s="11"/>
      <c r="E18246" s="11"/>
      <c r="F18246" s="11"/>
      <c r="G18246" s="11"/>
      <c r="H18246" s="11"/>
      <c r="I18246" s="15"/>
    </row>
    <row r="18247" spans="1:9" ht="16.5">
      <c r="A18247" s="10" t="b">
        <v>0</v>
      </c>
      <c r="B18247" s="11" t="str">
        <f>IF(D18247&lt;&gt;"",IF(COUNTIF('USPTO TMs'!A:A,D18247)&gt;0,"Yes","No"),"")</f>
        <v/>
      </c>
      <c r="C18247" s="11"/>
      <c r="D18247" s="11"/>
      <c r="E18247" s="11"/>
      <c r="F18247" s="11"/>
      <c r="G18247" s="11"/>
      <c r="H18247" s="11"/>
      <c r="I18247" s="15"/>
    </row>
    <row r="18248" spans="1:9" ht="16.5">
      <c r="A18248" s="10" t="b">
        <v>0</v>
      </c>
      <c r="B18248" s="11" t="str">
        <f>IF(D18248&lt;&gt;"",IF(COUNTIF('USPTO TMs'!A:A,D18248)&gt;0,"Yes","No"),"")</f>
        <v/>
      </c>
      <c r="C18248" s="11"/>
      <c r="D18248" s="11"/>
      <c r="E18248" s="11"/>
      <c r="F18248" s="11"/>
      <c r="G18248" s="11"/>
      <c r="H18248" s="11"/>
      <c r="I18248" s="15"/>
    </row>
    <row r="18249" spans="1:9" ht="16.5">
      <c r="A18249" s="10" t="b">
        <v>0</v>
      </c>
      <c r="B18249" s="11" t="str">
        <f>IF(D18249&lt;&gt;"",IF(COUNTIF('USPTO TMs'!A:A,D18249)&gt;0,"Yes","No"),"")</f>
        <v/>
      </c>
      <c r="C18249" s="11"/>
      <c r="D18249" s="11"/>
      <c r="E18249" s="11"/>
      <c r="F18249" s="11"/>
      <c r="G18249" s="11"/>
      <c r="H18249" s="11"/>
      <c r="I18249" s="15"/>
    </row>
    <row r="18250" spans="1:9" ht="16.5">
      <c r="A18250" s="10" t="b">
        <v>0</v>
      </c>
      <c r="B18250" s="11" t="str">
        <f>IF(D18250&lt;&gt;"",IF(COUNTIF('USPTO TMs'!A:A,D18250)&gt;0,"Yes","No"),"")</f>
        <v/>
      </c>
      <c r="C18250" s="11"/>
      <c r="D18250" s="11"/>
      <c r="E18250" s="11"/>
      <c r="F18250" s="11"/>
      <c r="G18250" s="11"/>
      <c r="H18250" s="11"/>
      <c r="I18250" s="15"/>
    </row>
    <row r="18251" spans="1:9" ht="16.5">
      <c r="A18251" s="10" t="b">
        <v>0</v>
      </c>
      <c r="B18251" s="11" t="str">
        <f>IF(D18251&lt;&gt;"",IF(COUNTIF('USPTO TMs'!A:A,D18251)&gt;0,"Yes","No"),"")</f>
        <v/>
      </c>
      <c r="C18251" s="11"/>
      <c r="D18251" s="11"/>
      <c r="E18251" s="11"/>
      <c r="F18251" s="11"/>
      <c r="G18251" s="11"/>
      <c r="H18251" s="11"/>
      <c r="I18251" s="15"/>
    </row>
    <row r="18252" spans="1:9" ht="16.5">
      <c r="A18252" s="10" t="b">
        <v>0</v>
      </c>
      <c r="B18252" s="11" t="str">
        <f>IF(D18252&lt;&gt;"",IF(COUNTIF('USPTO TMs'!A:A,D18252)&gt;0,"Yes","No"),"")</f>
        <v/>
      </c>
      <c r="C18252" s="11"/>
      <c r="D18252" s="11"/>
      <c r="E18252" s="11"/>
      <c r="F18252" s="11"/>
      <c r="G18252" s="11"/>
      <c r="H18252" s="11"/>
      <c r="I18252" s="15"/>
    </row>
    <row r="18253" spans="1:9" ht="16.5">
      <c r="A18253" s="10" t="b">
        <v>0</v>
      </c>
      <c r="B18253" s="11" t="str">
        <f>IF(D18253&lt;&gt;"",IF(COUNTIF('USPTO TMs'!A:A,D18253)&gt;0,"Yes","No"),"")</f>
        <v/>
      </c>
      <c r="C18253" s="11"/>
      <c r="D18253" s="11"/>
      <c r="E18253" s="11"/>
      <c r="F18253" s="11"/>
      <c r="G18253" s="11"/>
      <c r="H18253" s="11"/>
      <c r="I18253" s="15"/>
    </row>
    <row r="18254" spans="1:9" ht="16.5">
      <c r="A18254" s="10" t="b">
        <v>0</v>
      </c>
      <c r="B18254" s="11" t="str">
        <f>IF(D18254&lt;&gt;"",IF(COUNTIF('USPTO TMs'!A:A,D18254)&gt;0,"Yes","No"),"")</f>
        <v/>
      </c>
      <c r="C18254" s="11"/>
      <c r="D18254" s="11"/>
      <c r="E18254" s="11"/>
      <c r="F18254" s="11"/>
      <c r="G18254" s="11"/>
      <c r="H18254" s="11"/>
      <c r="I18254" s="15"/>
    </row>
    <row r="18255" spans="1:9" ht="16.5">
      <c r="A18255" s="10" t="b">
        <v>0</v>
      </c>
      <c r="B18255" s="11" t="str">
        <f>IF(D18255&lt;&gt;"",IF(COUNTIF('USPTO TMs'!A:A,D18255)&gt;0,"Yes","No"),"")</f>
        <v/>
      </c>
      <c r="C18255" s="11"/>
      <c r="D18255" s="11"/>
      <c r="E18255" s="11"/>
      <c r="F18255" s="11"/>
      <c r="G18255" s="11"/>
      <c r="H18255" s="11"/>
      <c r="I18255" s="15"/>
    </row>
    <row r="18256" spans="1:9" ht="16.5">
      <c r="A18256" s="10" t="b">
        <v>0</v>
      </c>
      <c r="B18256" s="11" t="str">
        <f>IF(D18256&lt;&gt;"",IF(COUNTIF('USPTO TMs'!A:A,D18256)&gt;0,"Yes","No"),"")</f>
        <v/>
      </c>
      <c r="C18256" s="11"/>
      <c r="D18256" s="11"/>
      <c r="E18256" s="11"/>
      <c r="F18256" s="11"/>
      <c r="G18256" s="11"/>
      <c r="H18256" s="11"/>
      <c r="I18256" s="15"/>
    </row>
    <row r="18257" spans="1:9" ht="16.5">
      <c r="A18257" s="10" t="b">
        <v>0</v>
      </c>
      <c r="B18257" s="11" t="str">
        <f>IF(D18257&lt;&gt;"",IF(COUNTIF('USPTO TMs'!A:A,D18257)&gt;0,"Yes","No"),"")</f>
        <v/>
      </c>
      <c r="C18257" s="11"/>
      <c r="D18257" s="11"/>
      <c r="E18257" s="11"/>
      <c r="F18257" s="11"/>
      <c r="G18257" s="11"/>
      <c r="H18257" s="11"/>
      <c r="I18257" s="15"/>
    </row>
    <row r="18258" spans="1:9" ht="16.5">
      <c r="A18258" s="10" t="b">
        <v>0</v>
      </c>
      <c r="B18258" s="11" t="str">
        <f>IF(D18258&lt;&gt;"",IF(COUNTIF('USPTO TMs'!A:A,D18258)&gt;0,"Yes","No"),"")</f>
        <v/>
      </c>
      <c r="C18258" s="11"/>
      <c r="D18258" s="11"/>
      <c r="E18258" s="11"/>
      <c r="F18258" s="11"/>
      <c r="G18258" s="11"/>
      <c r="H18258" s="11"/>
      <c r="I18258" s="15"/>
    </row>
    <row r="18259" spans="1:9" ht="16.5">
      <c r="A18259" s="10" t="b">
        <v>0</v>
      </c>
      <c r="B18259" s="11" t="str">
        <f>IF(D18259&lt;&gt;"",IF(COUNTIF('USPTO TMs'!A:A,D18259)&gt;0,"Yes","No"),"")</f>
        <v/>
      </c>
      <c r="C18259" s="11"/>
      <c r="D18259" s="11"/>
      <c r="E18259" s="11"/>
      <c r="F18259" s="11"/>
      <c r="G18259" s="11"/>
      <c r="H18259" s="11"/>
      <c r="I18259" s="15"/>
    </row>
    <row r="18260" spans="1:9" ht="16.5">
      <c r="A18260" s="10" t="b">
        <v>0</v>
      </c>
      <c r="B18260" s="11" t="str">
        <f>IF(D18260&lt;&gt;"",IF(COUNTIF('USPTO TMs'!A:A,D18260)&gt;0,"Yes","No"),"")</f>
        <v/>
      </c>
      <c r="C18260" s="11"/>
      <c r="D18260" s="11"/>
      <c r="E18260" s="11"/>
      <c r="F18260" s="11"/>
      <c r="G18260" s="11"/>
      <c r="H18260" s="11"/>
      <c r="I18260" s="15"/>
    </row>
    <row r="18261" spans="1:9" ht="16.5">
      <c r="A18261" s="10" t="b">
        <v>0</v>
      </c>
      <c r="B18261" s="11" t="str">
        <f>IF(D18261&lt;&gt;"",IF(COUNTIF('USPTO TMs'!A:A,D18261)&gt;0,"Yes","No"),"")</f>
        <v/>
      </c>
      <c r="C18261" s="11"/>
      <c r="D18261" s="11"/>
      <c r="E18261" s="11"/>
      <c r="F18261" s="11"/>
      <c r="G18261" s="11"/>
      <c r="H18261" s="11"/>
      <c r="I18261" s="15"/>
    </row>
    <row r="18262" spans="1:9" ht="16.5">
      <c r="A18262" s="10" t="b">
        <v>0</v>
      </c>
      <c r="B18262" s="11" t="str">
        <f>IF(D18262&lt;&gt;"",IF(COUNTIF('USPTO TMs'!A:A,D18262)&gt;0,"Yes","No"),"")</f>
        <v/>
      </c>
      <c r="C18262" s="11"/>
      <c r="D18262" s="11"/>
      <c r="E18262" s="11"/>
      <c r="F18262" s="11"/>
      <c r="G18262" s="11"/>
      <c r="H18262" s="11"/>
      <c r="I18262" s="15"/>
    </row>
    <row r="18263" spans="1:9" ht="16.5">
      <c r="A18263" s="10" t="b">
        <v>0</v>
      </c>
      <c r="B18263" s="11" t="str">
        <f>IF(D18263&lt;&gt;"",IF(COUNTIF('USPTO TMs'!A:A,D18263)&gt;0,"Yes","No"),"")</f>
        <v/>
      </c>
      <c r="C18263" s="11"/>
      <c r="D18263" s="11"/>
      <c r="E18263" s="11"/>
      <c r="F18263" s="11"/>
      <c r="G18263" s="11"/>
      <c r="H18263" s="11"/>
      <c r="I18263" s="15"/>
    </row>
    <row r="18264" spans="1:9" ht="16.5">
      <c r="A18264" s="10" t="b">
        <v>0</v>
      </c>
      <c r="B18264" s="11" t="str">
        <f>IF(D18264&lt;&gt;"",IF(COUNTIF('USPTO TMs'!A:A,D18264)&gt;0,"Yes","No"),"")</f>
        <v/>
      </c>
      <c r="C18264" s="11"/>
      <c r="D18264" s="11"/>
      <c r="E18264" s="11"/>
      <c r="F18264" s="11"/>
      <c r="G18264" s="11"/>
      <c r="H18264" s="11"/>
      <c r="I18264" s="15"/>
    </row>
    <row r="18265" spans="1:9" ht="16.5">
      <c r="A18265" s="10" t="b">
        <v>0</v>
      </c>
      <c r="B18265" s="11" t="str">
        <f>IF(D18265&lt;&gt;"",IF(COUNTIF('USPTO TMs'!A:A,D18265)&gt;0,"Yes","No"),"")</f>
        <v/>
      </c>
      <c r="C18265" s="11"/>
      <c r="D18265" s="11"/>
      <c r="E18265" s="11"/>
      <c r="F18265" s="11"/>
      <c r="G18265" s="11"/>
      <c r="H18265" s="11"/>
      <c r="I18265" s="15"/>
    </row>
    <row r="18266" spans="1:9" ht="16.5">
      <c r="A18266" s="10" t="b">
        <v>0</v>
      </c>
      <c r="B18266" s="11" t="str">
        <f>IF(D18266&lt;&gt;"",IF(COUNTIF('USPTO TMs'!A:A,D18266)&gt;0,"Yes","No"),"")</f>
        <v/>
      </c>
      <c r="C18266" s="11"/>
      <c r="D18266" s="11"/>
      <c r="E18266" s="11"/>
      <c r="F18266" s="11"/>
      <c r="G18266" s="11"/>
      <c r="H18266" s="11"/>
      <c r="I18266" s="15"/>
    </row>
    <row r="18267" spans="1:9" ht="16.5">
      <c r="A18267" s="10" t="b">
        <v>0</v>
      </c>
      <c r="B18267" s="11" t="str">
        <f>IF(D18267&lt;&gt;"",IF(COUNTIF('USPTO TMs'!A:A,D18267)&gt;0,"Yes","No"),"")</f>
        <v/>
      </c>
      <c r="C18267" s="11"/>
      <c r="D18267" s="11"/>
      <c r="E18267" s="11"/>
      <c r="F18267" s="11"/>
      <c r="G18267" s="11"/>
      <c r="H18267" s="11"/>
      <c r="I18267" s="15"/>
    </row>
    <row r="18268" spans="1:9" ht="16.5">
      <c r="A18268" s="10" t="b">
        <v>0</v>
      </c>
      <c r="B18268" s="11" t="str">
        <f>IF(D18268&lt;&gt;"",IF(COUNTIF('USPTO TMs'!A:A,D18268)&gt;0,"Yes","No"),"")</f>
        <v/>
      </c>
      <c r="C18268" s="11"/>
      <c r="D18268" s="11"/>
      <c r="E18268" s="11"/>
      <c r="F18268" s="11"/>
      <c r="G18268" s="11"/>
      <c r="H18268" s="11"/>
      <c r="I18268" s="15"/>
    </row>
    <row r="18269" spans="1:9" ht="16.5">
      <c r="A18269" s="10" t="b">
        <v>0</v>
      </c>
      <c r="B18269" s="11" t="str">
        <f>IF(D18269&lt;&gt;"",IF(COUNTIF('USPTO TMs'!A:A,D18269)&gt;0,"Yes","No"),"")</f>
        <v/>
      </c>
      <c r="C18269" s="11"/>
      <c r="D18269" s="11"/>
      <c r="E18269" s="11"/>
      <c r="F18269" s="11"/>
      <c r="G18269" s="11"/>
      <c r="H18269" s="11"/>
      <c r="I18269" s="15"/>
    </row>
    <row r="18270" spans="1:9" ht="16.5">
      <c r="A18270" s="10" t="b">
        <v>0</v>
      </c>
      <c r="B18270" s="11" t="str">
        <f>IF(D18270&lt;&gt;"",IF(COUNTIF('USPTO TMs'!A:A,D18270)&gt;0,"Yes","No"),"")</f>
        <v/>
      </c>
      <c r="C18270" s="11"/>
      <c r="D18270" s="11"/>
      <c r="E18270" s="11"/>
      <c r="F18270" s="11"/>
      <c r="G18270" s="11"/>
      <c r="H18270" s="11"/>
      <c r="I18270" s="15"/>
    </row>
    <row r="18271" spans="1:9" ht="16.5">
      <c r="A18271" s="10" t="b">
        <v>0</v>
      </c>
      <c r="B18271" s="11" t="str">
        <f>IF(D18271&lt;&gt;"",IF(COUNTIF('USPTO TMs'!A:A,D18271)&gt;0,"Yes","No"),"")</f>
        <v/>
      </c>
      <c r="C18271" s="11"/>
      <c r="D18271" s="11"/>
      <c r="E18271" s="11"/>
      <c r="F18271" s="11"/>
      <c r="G18271" s="11"/>
      <c r="H18271" s="11"/>
      <c r="I18271" s="15"/>
    </row>
    <row r="18272" spans="1:9" ht="16.5">
      <c r="A18272" s="10" t="b">
        <v>0</v>
      </c>
      <c r="B18272" s="11" t="str">
        <f>IF(D18272&lt;&gt;"",IF(COUNTIF('USPTO TMs'!A:A,D18272)&gt;0,"Yes","No"),"")</f>
        <v/>
      </c>
      <c r="C18272" s="11"/>
      <c r="D18272" s="11"/>
      <c r="E18272" s="11"/>
      <c r="F18272" s="11"/>
      <c r="G18272" s="11"/>
      <c r="H18272" s="11"/>
      <c r="I18272" s="15"/>
    </row>
    <row r="18273" spans="1:9" ht="16.5">
      <c r="A18273" s="10" t="b">
        <v>0</v>
      </c>
      <c r="B18273" s="11" t="str">
        <f>IF(D18273&lt;&gt;"",IF(COUNTIF('USPTO TMs'!A:A,D18273)&gt;0,"Yes","No"),"")</f>
        <v/>
      </c>
      <c r="C18273" s="11"/>
      <c r="D18273" s="11"/>
      <c r="E18273" s="11"/>
      <c r="F18273" s="11"/>
      <c r="G18273" s="11"/>
      <c r="H18273" s="11"/>
      <c r="I18273" s="15"/>
    </row>
    <row r="18274" spans="1:9" ht="16.5">
      <c r="A18274" s="10" t="b">
        <v>0</v>
      </c>
      <c r="B18274" s="11" t="str">
        <f>IF(D18274&lt;&gt;"",IF(COUNTIF('USPTO TMs'!A:A,D18274)&gt;0,"Yes","No"),"")</f>
        <v/>
      </c>
      <c r="C18274" s="11"/>
      <c r="D18274" s="11"/>
      <c r="E18274" s="11"/>
      <c r="F18274" s="11"/>
      <c r="G18274" s="11"/>
      <c r="H18274" s="11"/>
      <c r="I18274" s="15"/>
    </row>
    <row r="18275" spans="1:9" ht="16.5">
      <c r="A18275" s="10" t="b">
        <v>0</v>
      </c>
      <c r="B18275" s="11" t="str">
        <f>IF(D18275&lt;&gt;"",IF(COUNTIF('USPTO TMs'!A:A,D18275)&gt;0,"Yes","No"),"")</f>
        <v/>
      </c>
      <c r="C18275" s="11"/>
      <c r="D18275" s="11"/>
      <c r="E18275" s="11"/>
      <c r="F18275" s="11"/>
      <c r="G18275" s="11"/>
      <c r="H18275" s="11"/>
      <c r="I18275" s="15"/>
    </row>
    <row r="18276" spans="1:9" ht="16.5">
      <c r="A18276" s="10" t="b">
        <v>0</v>
      </c>
      <c r="B18276" s="11" t="str">
        <f>IF(D18276&lt;&gt;"",IF(COUNTIF('USPTO TMs'!A:A,D18276)&gt;0,"Yes","No"),"")</f>
        <v/>
      </c>
      <c r="C18276" s="11"/>
      <c r="D18276" s="11"/>
      <c r="E18276" s="11"/>
      <c r="F18276" s="11"/>
      <c r="G18276" s="11"/>
      <c r="H18276" s="11"/>
      <c r="I18276" s="15"/>
    </row>
    <row r="18277" spans="1:9" ht="16.5">
      <c r="A18277" s="10" t="b">
        <v>0</v>
      </c>
      <c r="B18277" s="11" t="str">
        <f>IF(D18277&lt;&gt;"",IF(COUNTIF('USPTO TMs'!A:A,D18277)&gt;0,"Yes","No"),"")</f>
        <v/>
      </c>
      <c r="C18277" s="11"/>
      <c r="D18277" s="11"/>
      <c r="E18277" s="11"/>
      <c r="F18277" s="11"/>
      <c r="G18277" s="11"/>
      <c r="H18277" s="11"/>
      <c r="I18277" s="15"/>
    </row>
    <row r="18278" spans="1:9" ht="16.5">
      <c r="A18278" s="10" t="b">
        <v>0</v>
      </c>
      <c r="B18278" s="11" t="str">
        <f>IF(D18278&lt;&gt;"",IF(COUNTIF('USPTO TMs'!A:A,D18278)&gt;0,"Yes","No"),"")</f>
        <v/>
      </c>
      <c r="C18278" s="11"/>
      <c r="D18278" s="11"/>
      <c r="E18278" s="11"/>
      <c r="F18278" s="11"/>
      <c r="G18278" s="11"/>
      <c r="H18278" s="11"/>
      <c r="I18278" s="15"/>
    </row>
    <row r="18279" spans="1:9" ht="16.5">
      <c r="A18279" s="10" t="b">
        <v>0</v>
      </c>
      <c r="B18279" s="11" t="str">
        <f>IF(D18279&lt;&gt;"",IF(COUNTIF('USPTO TMs'!A:A,D18279)&gt;0,"Yes","No"),"")</f>
        <v/>
      </c>
      <c r="C18279" s="11"/>
      <c r="D18279" s="11"/>
      <c r="E18279" s="11"/>
      <c r="F18279" s="11"/>
      <c r="G18279" s="11"/>
      <c r="H18279" s="11"/>
      <c r="I18279" s="15"/>
    </row>
    <row r="18280" spans="1:9" ht="16.5">
      <c r="A18280" s="10" t="b">
        <v>0</v>
      </c>
      <c r="B18280" s="11" t="str">
        <f>IF(D18280&lt;&gt;"",IF(COUNTIF('USPTO TMs'!A:A,D18280)&gt;0,"Yes","No"),"")</f>
        <v/>
      </c>
      <c r="C18280" s="11"/>
      <c r="D18280" s="11"/>
      <c r="E18280" s="11"/>
      <c r="F18280" s="11"/>
      <c r="G18280" s="11"/>
      <c r="H18280" s="11"/>
      <c r="I18280" s="15"/>
    </row>
    <row r="18281" spans="1:9" ht="16.5">
      <c r="A18281" s="10" t="b">
        <v>0</v>
      </c>
      <c r="B18281" s="11" t="str">
        <f>IF(D18281&lt;&gt;"",IF(COUNTIF('USPTO TMs'!A:A,D18281)&gt;0,"Yes","No"),"")</f>
        <v/>
      </c>
      <c r="C18281" s="11"/>
      <c r="D18281" s="11"/>
      <c r="E18281" s="11"/>
      <c r="F18281" s="11"/>
      <c r="G18281" s="11"/>
      <c r="H18281" s="11"/>
      <c r="I18281" s="15"/>
    </row>
    <row r="18282" spans="1:9" ht="16.5">
      <c r="A18282" s="10" t="b">
        <v>0</v>
      </c>
      <c r="B18282" s="11" t="str">
        <f>IF(D18282&lt;&gt;"",IF(COUNTIF('USPTO TMs'!A:A,D18282)&gt;0,"Yes","No"),"")</f>
        <v/>
      </c>
      <c r="C18282" s="11"/>
      <c r="D18282" s="11"/>
      <c r="E18282" s="11"/>
      <c r="F18282" s="11"/>
      <c r="G18282" s="11"/>
      <c r="H18282" s="11"/>
      <c r="I18282" s="15"/>
    </row>
    <row r="18283" spans="1:9" ht="16.5">
      <c r="A18283" s="10" t="b">
        <v>0</v>
      </c>
      <c r="B18283" s="11" t="str">
        <f>IF(D18283&lt;&gt;"",IF(COUNTIF('USPTO TMs'!A:A,D18283)&gt;0,"Yes","No"),"")</f>
        <v/>
      </c>
      <c r="C18283" s="11"/>
      <c r="D18283" s="11"/>
      <c r="E18283" s="11"/>
      <c r="F18283" s="11"/>
      <c r="G18283" s="11"/>
      <c r="H18283" s="11"/>
      <c r="I18283" s="15"/>
    </row>
    <row r="18284" spans="1:9" ht="16.5">
      <c r="A18284" s="10" t="b">
        <v>0</v>
      </c>
      <c r="B18284" s="11" t="str">
        <f>IF(D18284&lt;&gt;"",IF(COUNTIF('USPTO TMs'!A:A,D18284)&gt;0,"Yes","No"),"")</f>
        <v/>
      </c>
      <c r="C18284" s="11"/>
      <c r="D18284" s="11"/>
      <c r="E18284" s="11"/>
      <c r="F18284" s="11"/>
      <c r="G18284" s="11"/>
      <c r="H18284" s="11"/>
      <c r="I18284" s="15"/>
    </row>
    <row r="18285" spans="1:9" ht="16.5">
      <c r="A18285" s="10" t="b">
        <v>0</v>
      </c>
      <c r="B18285" s="11" t="str">
        <f>IF(D18285&lt;&gt;"",IF(COUNTIF('USPTO TMs'!A:A,D18285)&gt;0,"Yes","No"),"")</f>
        <v/>
      </c>
      <c r="C18285" s="11"/>
      <c r="D18285" s="11"/>
      <c r="E18285" s="11"/>
      <c r="F18285" s="11"/>
      <c r="G18285" s="11"/>
      <c r="H18285" s="11"/>
      <c r="I18285" s="15"/>
    </row>
    <row r="18286" spans="1:9" ht="16.5">
      <c r="A18286" s="10" t="b">
        <v>0</v>
      </c>
      <c r="B18286" s="11" t="str">
        <f>IF(D18286&lt;&gt;"",IF(COUNTIF('USPTO TMs'!A:A,D18286)&gt;0,"Yes","No"),"")</f>
        <v/>
      </c>
      <c r="C18286" s="11"/>
      <c r="D18286" s="11"/>
      <c r="E18286" s="11"/>
      <c r="F18286" s="11"/>
      <c r="G18286" s="11"/>
      <c r="H18286" s="11"/>
      <c r="I18286" s="15"/>
    </row>
    <row r="18287" spans="1:9" ht="16.5">
      <c r="A18287" s="10" t="b">
        <v>0</v>
      </c>
      <c r="B18287" s="11" t="str">
        <f>IF(D18287&lt;&gt;"",IF(COUNTIF('USPTO TMs'!A:A,D18287)&gt;0,"Yes","No"),"")</f>
        <v/>
      </c>
      <c r="C18287" s="11"/>
      <c r="D18287" s="11"/>
      <c r="E18287" s="11"/>
      <c r="F18287" s="11"/>
      <c r="G18287" s="11"/>
      <c r="H18287" s="11"/>
      <c r="I18287" s="15"/>
    </row>
    <row r="18288" spans="1:9" ht="16.5">
      <c r="A18288" s="10" t="b">
        <v>0</v>
      </c>
      <c r="B18288" s="11" t="str">
        <f>IF(D18288&lt;&gt;"",IF(COUNTIF('USPTO TMs'!A:A,D18288)&gt;0,"Yes","No"),"")</f>
        <v/>
      </c>
      <c r="C18288" s="11"/>
      <c r="D18288" s="11"/>
      <c r="E18288" s="11"/>
      <c r="F18288" s="11"/>
      <c r="G18288" s="11"/>
      <c r="H18288" s="11"/>
      <c r="I18288" s="15"/>
    </row>
    <row r="18289" spans="1:9" ht="16.5">
      <c r="A18289" s="10" t="b">
        <v>0</v>
      </c>
      <c r="B18289" s="11" t="str">
        <f>IF(D18289&lt;&gt;"",IF(COUNTIF('USPTO TMs'!A:A,D18289)&gt;0,"Yes","No"),"")</f>
        <v/>
      </c>
      <c r="C18289" s="11"/>
      <c r="D18289" s="11"/>
      <c r="E18289" s="11"/>
      <c r="F18289" s="11"/>
      <c r="G18289" s="11"/>
      <c r="H18289" s="11"/>
      <c r="I18289" s="15"/>
    </row>
    <row r="18290" spans="1:9" ht="16.5">
      <c r="A18290" s="10" t="b">
        <v>0</v>
      </c>
      <c r="B18290" s="11" t="str">
        <f>IF(D18290&lt;&gt;"",IF(COUNTIF('USPTO TMs'!A:A,D18290)&gt;0,"Yes","No"),"")</f>
        <v/>
      </c>
      <c r="C18290" s="11"/>
      <c r="D18290" s="11"/>
      <c r="E18290" s="11"/>
      <c r="F18290" s="11"/>
      <c r="G18290" s="11"/>
      <c r="H18290" s="11"/>
      <c r="I18290" s="15"/>
    </row>
    <row r="18291" spans="1:9" ht="16.5">
      <c r="A18291" s="10" t="b">
        <v>0</v>
      </c>
      <c r="B18291" s="11" t="str">
        <f>IF(D18291&lt;&gt;"",IF(COUNTIF('USPTO TMs'!A:A,D18291)&gt;0,"Yes","No"),"")</f>
        <v/>
      </c>
      <c r="C18291" s="11"/>
      <c r="D18291" s="11"/>
      <c r="E18291" s="11"/>
      <c r="F18291" s="11"/>
      <c r="G18291" s="11"/>
      <c r="H18291" s="11"/>
      <c r="I18291" s="15"/>
    </row>
    <row r="18292" spans="1:9" ht="16.5">
      <c r="A18292" s="10" t="b">
        <v>0</v>
      </c>
      <c r="B18292" s="11" t="str">
        <f>IF(D18292&lt;&gt;"",IF(COUNTIF('USPTO TMs'!A:A,D18292)&gt;0,"Yes","No"),"")</f>
        <v/>
      </c>
      <c r="C18292" s="11"/>
      <c r="D18292" s="11"/>
      <c r="E18292" s="11"/>
      <c r="F18292" s="11"/>
      <c r="G18292" s="11"/>
      <c r="H18292" s="11"/>
      <c r="I18292" s="15"/>
    </row>
    <row r="18293" spans="1:9" ht="16.5">
      <c r="A18293" s="10" t="b">
        <v>0</v>
      </c>
      <c r="B18293" s="11" t="str">
        <f>IF(D18293&lt;&gt;"",IF(COUNTIF('USPTO TMs'!A:A,D18293)&gt;0,"Yes","No"),"")</f>
        <v/>
      </c>
      <c r="C18293" s="11"/>
      <c r="D18293" s="11"/>
      <c r="E18293" s="11"/>
      <c r="F18293" s="11"/>
      <c r="G18293" s="11"/>
      <c r="H18293" s="11"/>
      <c r="I18293" s="15"/>
    </row>
    <row r="18294" spans="1:9" ht="16.5">
      <c r="A18294" s="10" t="b">
        <v>0</v>
      </c>
      <c r="B18294" s="11" t="str">
        <f>IF(D18294&lt;&gt;"",IF(COUNTIF('USPTO TMs'!A:A,D18294)&gt;0,"Yes","No"),"")</f>
        <v/>
      </c>
      <c r="C18294" s="11"/>
      <c r="D18294" s="11"/>
      <c r="E18294" s="11"/>
      <c r="F18294" s="11"/>
      <c r="G18294" s="11"/>
      <c r="H18294" s="11"/>
      <c r="I18294" s="15"/>
    </row>
    <row r="18295" spans="1:9" ht="16.5">
      <c r="A18295" s="10" t="b">
        <v>0</v>
      </c>
      <c r="B18295" s="11" t="str">
        <f>IF(D18295&lt;&gt;"",IF(COUNTIF('USPTO TMs'!A:A,D18295)&gt;0,"Yes","No"),"")</f>
        <v/>
      </c>
      <c r="C18295" s="11"/>
      <c r="D18295" s="11"/>
      <c r="E18295" s="11"/>
      <c r="F18295" s="11"/>
      <c r="G18295" s="11"/>
      <c r="H18295" s="11"/>
      <c r="I18295" s="15"/>
    </row>
    <row r="18296" spans="1:9" ht="16.5">
      <c r="A18296" s="10" t="b">
        <v>0</v>
      </c>
      <c r="B18296" s="11" t="str">
        <f>IF(D18296&lt;&gt;"",IF(COUNTIF('USPTO TMs'!A:A,D18296)&gt;0,"Yes","No"),"")</f>
        <v/>
      </c>
      <c r="C18296" s="11"/>
      <c r="D18296" s="11"/>
      <c r="E18296" s="11"/>
      <c r="F18296" s="11"/>
      <c r="G18296" s="11"/>
      <c r="H18296" s="11"/>
      <c r="I18296" s="15"/>
    </row>
    <row r="18297" spans="1:9" ht="16.5">
      <c r="A18297" s="10" t="b">
        <v>0</v>
      </c>
      <c r="B18297" s="11" t="str">
        <f>IF(D18297&lt;&gt;"",IF(COUNTIF('USPTO TMs'!A:A,D18297)&gt;0,"Yes","No"),"")</f>
        <v/>
      </c>
      <c r="C18297" s="11"/>
      <c r="D18297" s="11"/>
      <c r="E18297" s="11"/>
      <c r="F18297" s="11"/>
      <c r="G18297" s="11"/>
      <c r="H18297" s="11"/>
      <c r="I18297" s="15"/>
    </row>
    <row r="18298" spans="1:9" ht="16.5">
      <c r="A18298" s="10" t="b">
        <v>0</v>
      </c>
      <c r="B18298" s="11" t="str">
        <f>IF(D18298&lt;&gt;"",IF(COUNTIF('USPTO TMs'!A:A,D18298)&gt;0,"Yes","No"),"")</f>
        <v/>
      </c>
      <c r="C18298" s="11"/>
      <c r="D18298" s="11"/>
      <c r="E18298" s="11"/>
      <c r="F18298" s="11"/>
      <c r="G18298" s="11"/>
      <c r="H18298" s="11"/>
      <c r="I18298" s="15"/>
    </row>
    <row r="18299" spans="1:9" ht="16.5">
      <c r="A18299" s="10" t="b">
        <v>0</v>
      </c>
      <c r="B18299" s="11" t="str">
        <f>IF(D18299&lt;&gt;"",IF(COUNTIF('USPTO TMs'!A:A,D18299)&gt;0,"Yes","No"),"")</f>
        <v/>
      </c>
      <c r="C18299" s="11"/>
      <c r="D18299" s="11"/>
      <c r="E18299" s="11"/>
      <c r="F18299" s="11"/>
      <c r="G18299" s="11"/>
      <c r="H18299" s="11"/>
      <c r="I18299" s="15"/>
    </row>
    <row r="18300" spans="1:9" ht="16.5">
      <c r="A18300" s="10" t="b">
        <v>0</v>
      </c>
      <c r="B18300" s="11" t="str">
        <f>IF(D18300&lt;&gt;"",IF(COUNTIF('USPTO TMs'!A:A,D18300)&gt;0,"Yes","No"),"")</f>
        <v/>
      </c>
      <c r="C18300" s="11"/>
      <c r="D18300" s="11"/>
      <c r="E18300" s="11"/>
      <c r="F18300" s="11"/>
      <c r="G18300" s="11"/>
      <c r="H18300" s="11"/>
      <c r="I18300" s="15"/>
    </row>
    <row r="18301" spans="1:9" ht="16.5">
      <c r="A18301" s="10" t="b">
        <v>0</v>
      </c>
      <c r="B18301" s="11" t="str">
        <f>IF(D18301&lt;&gt;"",IF(COUNTIF('USPTO TMs'!A:A,D18301)&gt;0,"Yes","No"),"")</f>
        <v/>
      </c>
      <c r="C18301" s="11"/>
      <c r="D18301" s="11"/>
      <c r="E18301" s="11"/>
      <c r="F18301" s="11"/>
      <c r="G18301" s="11"/>
      <c r="H18301" s="11"/>
      <c r="I18301" s="15"/>
    </row>
    <row r="18302" spans="1:9" ht="16.5">
      <c r="A18302" s="10" t="b">
        <v>0</v>
      </c>
      <c r="B18302" s="11" t="str">
        <f>IF(D18302&lt;&gt;"",IF(COUNTIF('USPTO TMs'!A:A,D18302)&gt;0,"Yes","No"),"")</f>
        <v/>
      </c>
      <c r="C18302" s="11"/>
      <c r="D18302" s="11"/>
      <c r="E18302" s="11"/>
      <c r="F18302" s="11"/>
      <c r="G18302" s="11"/>
      <c r="H18302" s="11"/>
      <c r="I18302" s="15"/>
    </row>
    <row r="18303" spans="1:9" ht="16.5">
      <c r="A18303" s="10" t="b">
        <v>0</v>
      </c>
      <c r="B18303" s="11" t="str">
        <f>IF(D18303&lt;&gt;"",IF(COUNTIF('USPTO TMs'!A:A,D18303)&gt;0,"Yes","No"),"")</f>
        <v/>
      </c>
      <c r="C18303" s="11"/>
      <c r="D18303" s="11"/>
      <c r="E18303" s="11"/>
      <c r="F18303" s="11"/>
      <c r="G18303" s="11"/>
      <c r="H18303" s="11"/>
      <c r="I18303" s="15"/>
    </row>
    <row r="18304" spans="1:9" ht="16.5">
      <c r="A18304" s="10" t="b">
        <v>0</v>
      </c>
      <c r="B18304" s="11" t="str">
        <f>IF(D18304&lt;&gt;"",IF(COUNTIF('USPTO TMs'!A:A,D18304)&gt;0,"Yes","No"),"")</f>
        <v/>
      </c>
      <c r="C18304" s="11"/>
      <c r="D18304" s="11"/>
      <c r="E18304" s="11"/>
      <c r="F18304" s="11"/>
      <c r="G18304" s="11"/>
      <c r="H18304" s="11"/>
      <c r="I18304" s="15"/>
    </row>
    <row r="18305" spans="1:9" ht="16.5">
      <c r="A18305" s="10" t="b">
        <v>0</v>
      </c>
      <c r="B18305" s="11" t="str">
        <f>IF(D18305&lt;&gt;"",IF(COUNTIF('USPTO TMs'!A:A,D18305)&gt;0,"Yes","No"),"")</f>
        <v/>
      </c>
      <c r="C18305" s="11"/>
      <c r="D18305" s="11"/>
      <c r="E18305" s="11"/>
      <c r="F18305" s="11"/>
      <c r="G18305" s="11"/>
      <c r="H18305" s="11"/>
      <c r="I18305" s="15"/>
    </row>
    <row r="18306" spans="1:9" ht="16.5">
      <c r="A18306" s="10" t="b">
        <v>0</v>
      </c>
      <c r="B18306" s="11" t="str">
        <f>IF(D18306&lt;&gt;"",IF(COUNTIF('USPTO TMs'!A:A,D18306)&gt;0,"Yes","No"),"")</f>
        <v/>
      </c>
      <c r="C18306" s="11"/>
      <c r="D18306" s="11"/>
      <c r="E18306" s="11"/>
      <c r="F18306" s="11"/>
      <c r="G18306" s="11"/>
      <c r="H18306" s="11"/>
      <c r="I18306" s="15"/>
    </row>
    <row r="18307" spans="1:9" ht="16.5">
      <c r="A18307" s="10" t="b">
        <v>0</v>
      </c>
      <c r="B18307" s="11" t="str">
        <f>IF(D18307&lt;&gt;"",IF(COUNTIF('USPTO TMs'!A:A,D18307)&gt;0,"Yes","No"),"")</f>
        <v/>
      </c>
      <c r="C18307" s="11"/>
      <c r="D18307" s="11"/>
      <c r="E18307" s="11"/>
      <c r="F18307" s="11"/>
      <c r="G18307" s="11"/>
      <c r="H18307" s="11"/>
      <c r="I18307" s="15"/>
    </row>
    <row r="18308" spans="1:9" ht="16.5">
      <c r="A18308" s="10" t="b">
        <v>0</v>
      </c>
      <c r="B18308" s="11" t="str">
        <f>IF(D18308&lt;&gt;"",IF(COUNTIF('USPTO TMs'!A:A,D18308)&gt;0,"Yes","No"),"")</f>
        <v/>
      </c>
      <c r="C18308" s="11"/>
      <c r="D18308" s="11"/>
      <c r="E18308" s="11"/>
      <c r="F18308" s="11"/>
      <c r="G18308" s="11"/>
      <c r="H18308" s="11"/>
      <c r="I18308" s="15"/>
    </row>
    <row r="18309" spans="1:9" ht="16.5">
      <c r="A18309" s="10" t="b">
        <v>0</v>
      </c>
      <c r="B18309" s="11" t="str">
        <f>IF(D18309&lt;&gt;"",IF(COUNTIF('USPTO TMs'!A:A,D18309)&gt;0,"Yes","No"),"")</f>
        <v/>
      </c>
      <c r="C18309" s="11"/>
      <c r="D18309" s="11"/>
      <c r="E18309" s="11"/>
      <c r="F18309" s="11"/>
      <c r="G18309" s="11"/>
      <c r="H18309" s="11"/>
      <c r="I18309" s="15"/>
    </row>
    <row r="18310" spans="1:9" ht="16.5">
      <c r="A18310" s="10" t="b">
        <v>0</v>
      </c>
      <c r="B18310" s="11" t="str">
        <f>IF(D18310&lt;&gt;"",IF(COUNTIF('USPTO TMs'!A:A,D18310)&gt;0,"Yes","No"),"")</f>
        <v/>
      </c>
      <c r="C18310" s="11"/>
      <c r="D18310" s="11"/>
      <c r="E18310" s="11"/>
      <c r="F18310" s="11"/>
      <c r="G18310" s="11"/>
      <c r="H18310" s="11"/>
      <c r="I18310" s="15"/>
    </row>
    <row r="18311" spans="1:9" ht="16.5">
      <c r="A18311" s="10" t="b">
        <v>0</v>
      </c>
      <c r="B18311" s="11" t="str">
        <f>IF(D18311&lt;&gt;"",IF(COUNTIF('USPTO TMs'!A:A,D18311)&gt;0,"Yes","No"),"")</f>
        <v/>
      </c>
      <c r="C18311" s="11"/>
      <c r="D18311" s="11"/>
      <c r="E18311" s="11"/>
      <c r="F18311" s="11"/>
      <c r="G18311" s="11"/>
      <c r="H18311" s="11"/>
      <c r="I18311" s="15"/>
    </row>
    <row r="18312" spans="1:9" ht="16.5">
      <c r="A18312" s="10" t="b">
        <v>0</v>
      </c>
      <c r="B18312" s="11" t="str">
        <f>IF(D18312&lt;&gt;"",IF(COUNTIF('USPTO TMs'!A:A,D18312)&gt;0,"Yes","No"),"")</f>
        <v/>
      </c>
      <c r="C18312" s="11"/>
      <c r="D18312" s="11"/>
      <c r="E18312" s="11"/>
      <c r="F18312" s="11"/>
      <c r="G18312" s="11"/>
      <c r="H18312" s="11"/>
      <c r="I18312" s="15"/>
    </row>
    <row r="18313" spans="1:9" ht="16.5">
      <c r="A18313" s="10" t="b">
        <v>0</v>
      </c>
      <c r="B18313" s="11" t="str">
        <f>IF(D18313&lt;&gt;"",IF(COUNTIF('USPTO TMs'!A:A,D18313)&gt;0,"Yes","No"),"")</f>
        <v/>
      </c>
      <c r="C18313" s="11"/>
      <c r="D18313" s="11"/>
      <c r="E18313" s="11"/>
      <c r="F18313" s="11"/>
      <c r="G18313" s="11"/>
      <c r="H18313" s="11"/>
      <c r="I18313" s="15"/>
    </row>
    <row r="18314" spans="1:9" ht="16.5">
      <c r="A18314" s="10" t="b">
        <v>0</v>
      </c>
      <c r="B18314" s="11" t="str">
        <f>IF(D18314&lt;&gt;"",IF(COUNTIF('USPTO TMs'!A:A,D18314)&gt;0,"Yes","No"),"")</f>
        <v/>
      </c>
      <c r="C18314" s="11"/>
      <c r="D18314" s="11"/>
      <c r="E18314" s="11"/>
      <c r="F18314" s="11"/>
      <c r="G18314" s="11"/>
      <c r="H18314" s="11"/>
      <c r="I18314" s="15"/>
    </row>
    <row r="18315" spans="1:9" ht="16.5">
      <c r="A18315" s="10" t="b">
        <v>0</v>
      </c>
      <c r="B18315" s="11" t="str">
        <f>IF(D18315&lt;&gt;"",IF(COUNTIF('USPTO TMs'!A:A,D18315)&gt;0,"Yes","No"),"")</f>
        <v/>
      </c>
      <c r="C18315" s="11"/>
      <c r="D18315" s="11"/>
      <c r="E18315" s="11"/>
      <c r="F18315" s="11"/>
      <c r="G18315" s="11"/>
      <c r="H18315" s="11"/>
      <c r="I18315" s="15"/>
    </row>
    <row r="18316" spans="1:9" ht="16.5">
      <c r="A18316" s="10" t="b">
        <v>0</v>
      </c>
      <c r="B18316" s="11" t="str">
        <f>IF(D18316&lt;&gt;"",IF(COUNTIF('USPTO TMs'!A:A,D18316)&gt;0,"Yes","No"),"")</f>
        <v/>
      </c>
      <c r="C18316" s="11"/>
      <c r="D18316" s="11"/>
      <c r="E18316" s="11"/>
      <c r="F18316" s="11"/>
      <c r="G18316" s="11"/>
      <c r="H18316" s="11"/>
      <c r="I18316" s="15"/>
    </row>
    <row r="18317" spans="1:9" ht="16.5">
      <c r="A18317" s="10" t="b">
        <v>0</v>
      </c>
      <c r="B18317" s="11" t="str">
        <f>IF(D18317&lt;&gt;"",IF(COUNTIF('USPTO TMs'!A:A,D18317)&gt;0,"Yes","No"),"")</f>
        <v/>
      </c>
      <c r="C18317" s="11"/>
      <c r="D18317" s="11"/>
      <c r="E18317" s="11"/>
      <c r="F18317" s="11"/>
      <c r="G18317" s="11"/>
      <c r="H18317" s="11"/>
      <c r="I18317" s="15"/>
    </row>
    <row r="18318" spans="1:9" ht="16.5">
      <c r="A18318" s="10" t="b">
        <v>0</v>
      </c>
      <c r="B18318" s="11" t="str">
        <f>IF(D18318&lt;&gt;"",IF(COUNTIF('USPTO TMs'!A:A,D18318)&gt;0,"Yes","No"),"")</f>
        <v/>
      </c>
      <c r="C18318" s="11"/>
      <c r="D18318" s="11"/>
      <c r="E18318" s="11"/>
      <c r="F18318" s="11"/>
      <c r="G18318" s="11"/>
      <c r="H18318" s="11"/>
      <c r="I18318" s="15"/>
    </row>
    <row r="18319" spans="1:9" ht="16.5">
      <c r="A18319" s="10" t="b">
        <v>0</v>
      </c>
      <c r="B18319" s="11" t="str">
        <f>IF(D18319&lt;&gt;"",IF(COUNTIF('USPTO TMs'!A:A,D18319)&gt;0,"Yes","No"),"")</f>
        <v/>
      </c>
      <c r="C18319" s="11"/>
      <c r="D18319" s="11"/>
      <c r="E18319" s="11"/>
      <c r="F18319" s="11"/>
      <c r="G18319" s="11"/>
      <c r="H18319" s="11"/>
      <c r="I18319" s="15"/>
    </row>
    <row r="18320" spans="1:9" ht="16.5">
      <c r="A18320" s="10" t="b">
        <v>0</v>
      </c>
      <c r="B18320" s="11" t="str">
        <f>IF(D18320&lt;&gt;"",IF(COUNTIF('USPTO TMs'!A:A,D18320)&gt;0,"Yes","No"),"")</f>
        <v/>
      </c>
      <c r="C18320" s="11"/>
      <c r="D18320" s="11"/>
      <c r="E18320" s="11"/>
      <c r="F18320" s="11"/>
      <c r="G18320" s="11"/>
      <c r="H18320" s="11"/>
      <c r="I18320" s="15"/>
    </row>
    <row r="18321" spans="1:9" ht="16.5">
      <c r="A18321" s="10" t="b">
        <v>0</v>
      </c>
      <c r="B18321" s="11" t="str">
        <f>IF(D18321&lt;&gt;"",IF(COUNTIF('USPTO TMs'!A:A,D18321)&gt;0,"Yes","No"),"")</f>
        <v/>
      </c>
      <c r="C18321" s="11"/>
      <c r="D18321" s="11"/>
      <c r="E18321" s="11"/>
      <c r="F18321" s="11"/>
      <c r="G18321" s="11"/>
      <c r="H18321" s="11"/>
      <c r="I18321" s="15"/>
    </row>
    <row r="18322" spans="1:9" ht="16.5">
      <c r="A18322" s="10" t="b">
        <v>0</v>
      </c>
      <c r="B18322" s="11" t="str">
        <f>IF(D18322&lt;&gt;"",IF(COUNTIF('USPTO TMs'!A:A,D18322)&gt;0,"Yes","No"),"")</f>
        <v/>
      </c>
      <c r="C18322" s="11"/>
      <c r="D18322" s="11"/>
      <c r="E18322" s="11"/>
      <c r="F18322" s="11"/>
      <c r="G18322" s="11"/>
      <c r="H18322" s="11"/>
      <c r="I18322" s="15"/>
    </row>
    <row r="18323" spans="1:9" ht="16.5">
      <c r="A18323" s="10" t="b">
        <v>0</v>
      </c>
      <c r="B18323" s="11" t="str">
        <f>IF(D18323&lt;&gt;"",IF(COUNTIF('USPTO TMs'!A:A,D18323)&gt;0,"Yes","No"),"")</f>
        <v/>
      </c>
      <c r="C18323" s="11"/>
      <c r="D18323" s="11"/>
      <c r="E18323" s="11"/>
      <c r="F18323" s="11"/>
      <c r="G18323" s="11"/>
      <c r="H18323" s="11"/>
      <c r="I18323" s="15"/>
    </row>
    <row r="18324" spans="1:9" ht="16.5">
      <c r="A18324" s="10" t="b">
        <v>0</v>
      </c>
      <c r="B18324" s="11" t="str">
        <f>IF(D18324&lt;&gt;"",IF(COUNTIF('USPTO TMs'!A:A,D18324)&gt;0,"Yes","No"),"")</f>
        <v/>
      </c>
      <c r="C18324" s="11"/>
      <c r="D18324" s="11"/>
      <c r="E18324" s="11"/>
      <c r="F18324" s="11"/>
      <c r="G18324" s="11"/>
      <c r="H18324" s="11"/>
      <c r="I18324" s="15"/>
    </row>
    <row r="18325" spans="1:9" ht="16.5">
      <c r="A18325" s="10" t="b">
        <v>0</v>
      </c>
      <c r="B18325" s="11" t="str">
        <f>IF(D18325&lt;&gt;"",IF(COUNTIF('USPTO TMs'!A:A,D18325)&gt;0,"Yes","No"),"")</f>
        <v/>
      </c>
      <c r="C18325" s="11"/>
      <c r="D18325" s="11"/>
      <c r="E18325" s="11"/>
      <c r="F18325" s="11"/>
      <c r="G18325" s="11"/>
      <c r="H18325" s="11"/>
      <c r="I18325" s="15"/>
    </row>
    <row r="18326" spans="1:9" ht="16.5">
      <c r="A18326" s="10" t="b">
        <v>0</v>
      </c>
      <c r="B18326" s="11" t="str">
        <f>IF(D18326&lt;&gt;"",IF(COUNTIF('USPTO TMs'!A:A,D18326)&gt;0,"Yes","No"),"")</f>
        <v/>
      </c>
      <c r="C18326" s="11"/>
      <c r="D18326" s="11"/>
      <c r="E18326" s="11"/>
      <c r="F18326" s="11"/>
      <c r="G18326" s="11"/>
      <c r="H18326" s="11"/>
      <c r="I18326" s="15"/>
    </row>
    <row r="18327" spans="1:9" ht="16.5">
      <c r="A18327" s="10" t="b">
        <v>0</v>
      </c>
      <c r="B18327" s="11" t="str">
        <f>IF(D18327&lt;&gt;"",IF(COUNTIF('USPTO TMs'!A:A,D18327)&gt;0,"Yes","No"),"")</f>
        <v/>
      </c>
      <c r="C18327" s="11"/>
      <c r="D18327" s="11"/>
      <c r="E18327" s="11"/>
      <c r="F18327" s="11"/>
      <c r="G18327" s="11"/>
      <c r="H18327" s="11"/>
      <c r="I18327" s="15"/>
    </row>
    <row r="18328" spans="1:9" ht="16.5">
      <c r="A18328" s="10" t="b">
        <v>0</v>
      </c>
      <c r="B18328" s="11" t="str">
        <f>IF(D18328&lt;&gt;"",IF(COUNTIF('USPTO TMs'!A:A,D18328)&gt;0,"Yes","No"),"")</f>
        <v/>
      </c>
      <c r="C18328" s="11"/>
      <c r="D18328" s="11"/>
      <c r="E18328" s="11"/>
      <c r="F18328" s="11"/>
      <c r="G18328" s="11"/>
      <c r="H18328" s="11"/>
      <c r="I18328" s="15"/>
    </row>
    <row r="18329" spans="1:9" ht="16.5">
      <c r="A18329" s="10" t="b">
        <v>0</v>
      </c>
      <c r="B18329" s="11" t="str">
        <f>IF(D18329&lt;&gt;"",IF(COUNTIF('USPTO TMs'!A:A,D18329)&gt;0,"Yes","No"),"")</f>
        <v/>
      </c>
      <c r="C18329" s="11"/>
      <c r="D18329" s="11"/>
      <c r="E18329" s="11"/>
      <c r="F18329" s="11"/>
      <c r="G18329" s="11"/>
      <c r="H18329" s="11"/>
      <c r="I18329" s="15"/>
    </row>
    <row r="18330" spans="1:9" ht="16.5">
      <c r="A18330" s="10" t="b">
        <v>0</v>
      </c>
      <c r="B18330" s="11" t="str">
        <f>IF(D18330&lt;&gt;"",IF(COUNTIF('USPTO TMs'!A:A,D18330)&gt;0,"Yes","No"),"")</f>
        <v/>
      </c>
      <c r="C18330" s="11"/>
      <c r="D18330" s="11"/>
      <c r="E18330" s="11"/>
      <c r="F18330" s="11"/>
      <c r="G18330" s="11"/>
      <c r="H18330" s="11"/>
      <c r="I18330" s="15"/>
    </row>
    <row r="18331" spans="1:9" ht="16.5">
      <c r="A18331" s="10" t="b">
        <v>0</v>
      </c>
      <c r="B18331" s="11" t="str">
        <f>IF(D18331&lt;&gt;"",IF(COUNTIF('USPTO TMs'!A:A,D18331)&gt;0,"Yes","No"),"")</f>
        <v/>
      </c>
      <c r="C18331" s="11"/>
      <c r="D18331" s="11"/>
      <c r="E18331" s="11"/>
      <c r="F18331" s="11"/>
      <c r="G18331" s="11"/>
      <c r="H18331" s="11"/>
      <c r="I18331" s="15"/>
    </row>
    <row r="18332" spans="1:9" ht="16.5">
      <c r="A18332" s="10" t="b">
        <v>0</v>
      </c>
      <c r="B18332" s="11" t="str">
        <f>IF(D18332&lt;&gt;"",IF(COUNTIF('USPTO TMs'!A:A,D18332)&gt;0,"Yes","No"),"")</f>
        <v/>
      </c>
      <c r="C18332" s="11"/>
      <c r="D18332" s="11"/>
      <c r="E18332" s="11"/>
      <c r="F18332" s="11"/>
      <c r="G18332" s="11"/>
      <c r="H18332" s="11"/>
      <c r="I18332" s="15"/>
    </row>
    <row r="18333" spans="1:9" ht="16.5">
      <c r="A18333" s="10" t="b">
        <v>0</v>
      </c>
      <c r="B18333" s="11" t="str">
        <f>IF(D18333&lt;&gt;"",IF(COUNTIF('USPTO TMs'!A:A,D18333)&gt;0,"Yes","No"),"")</f>
        <v/>
      </c>
      <c r="C18333" s="11"/>
      <c r="D18333" s="11"/>
      <c r="E18333" s="11"/>
      <c r="F18333" s="11"/>
      <c r="G18333" s="11"/>
      <c r="H18333" s="11"/>
      <c r="I18333" s="15"/>
    </row>
    <row r="18334" spans="1:9" ht="16.5">
      <c r="A18334" s="10" t="b">
        <v>0</v>
      </c>
      <c r="B18334" s="11" t="str">
        <f>IF(D18334&lt;&gt;"",IF(COUNTIF('USPTO TMs'!A:A,D18334)&gt;0,"Yes","No"),"")</f>
        <v/>
      </c>
      <c r="C18334" s="11"/>
      <c r="D18334" s="11"/>
      <c r="E18334" s="11"/>
      <c r="F18334" s="11"/>
      <c r="G18334" s="11"/>
      <c r="H18334" s="11"/>
      <c r="I18334" s="15"/>
    </row>
    <row r="18335" spans="1:9" ht="16.5">
      <c r="A18335" s="10" t="b">
        <v>0</v>
      </c>
      <c r="B18335" s="11" t="str">
        <f>IF(D18335&lt;&gt;"",IF(COUNTIF('USPTO TMs'!A:A,D18335)&gt;0,"Yes","No"),"")</f>
        <v/>
      </c>
      <c r="C18335" s="11"/>
      <c r="D18335" s="11"/>
      <c r="E18335" s="11"/>
      <c r="F18335" s="11"/>
      <c r="G18335" s="11"/>
      <c r="H18335" s="11"/>
      <c r="I18335" s="15"/>
    </row>
    <row r="18336" spans="1:9" ht="16.5">
      <c r="A18336" s="10" t="b">
        <v>0</v>
      </c>
      <c r="B18336" s="11" t="str">
        <f>IF(D18336&lt;&gt;"",IF(COUNTIF('USPTO TMs'!A:A,D18336)&gt;0,"Yes","No"),"")</f>
        <v/>
      </c>
      <c r="C18336" s="11"/>
      <c r="D18336" s="11"/>
      <c r="E18336" s="11"/>
      <c r="F18336" s="11"/>
      <c r="G18336" s="11"/>
      <c r="H18336" s="11"/>
      <c r="I18336" s="15"/>
    </row>
    <row r="18337" spans="1:9" ht="16.5">
      <c r="A18337" s="10" t="b">
        <v>0</v>
      </c>
      <c r="B18337" s="11" t="str">
        <f>IF(D18337&lt;&gt;"",IF(COUNTIF('USPTO TMs'!A:A,D18337)&gt;0,"Yes","No"),"")</f>
        <v/>
      </c>
      <c r="C18337" s="11"/>
      <c r="D18337" s="11"/>
      <c r="E18337" s="11"/>
      <c r="F18337" s="11"/>
      <c r="G18337" s="11"/>
      <c r="H18337" s="11"/>
      <c r="I18337" s="15"/>
    </row>
    <row r="18338" spans="1:9" ht="16.5">
      <c r="A18338" s="10" t="b">
        <v>0</v>
      </c>
      <c r="B18338" s="11" t="str">
        <f>IF(D18338&lt;&gt;"",IF(COUNTIF('USPTO TMs'!A:A,D18338)&gt;0,"Yes","No"),"")</f>
        <v/>
      </c>
      <c r="C18338" s="11"/>
      <c r="D18338" s="11"/>
      <c r="E18338" s="11"/>
      <c r="F18338" s="11"/>
      <c r="G18338" s="11"/>
      <c r="H18338" s="11"/>
      <c r="I18338" s="15"/>
    </row>
    <row r="18339" spans="1:9" ht="16.5">
      <c r="A18339" s="10" t="b">
        <v>0</v>
      </c>
      <c r="B18339" s="11" t="str">
        <f>IF(D18339&lt;&gt;"",IF(COUNTIF('USPTO TMs'!A:A,D18339)&gt;0,"Yes","No"),"")</f>
        <v/>
      </c>
      <c r="C18339" s="11"/>
      <c r="D18339" s="11"/>
      <c r="E18339" s="11"/>
      <c r="F18339" s="11"/>
      <c r="G18339" s="11"/>
      <c r="H18339" s="11"/>
      <c r="I18339" s="15"/>
    </row>
    <row r="18340" spans="1:9" ht="16.5">
      <c r="A18340" s="10" t="b">
        <v>0</v>
      </c>
      <c r="B18340" s="11" t="str">
        <f>IF(D18340&lt;&gt;"",IF(COUNTIF('USPTO TMs'!A:A,D18340)&gt;0,"Yes","No"),"")</f>
        <v/>
      </c>
      <c r="C18340" s="11"/>
      <c r="D18340" s="11"/>
      <c r="E18340" s="11"/>
      <c r="F18340" s="11"/>
      <c r="G18340" s="11"/>
      <c r="H18340" s="11"/>
      <c r="I18340" s="15"/>
    </row>
    <row r="18341" spans="1:9" ht="16.5">
      <c r="A18341" s="10" t="b">
        <v>0</v>
      </c>
      <c r="B18341" s="11" t="str">
        <f>IF(D18341&lt;&gt;"",IF(COUNTIF('USPTO TMs'!A:A,D18341)&gt;0,"Yes","No"),"")</f>
        <v/>
      </c>
      <c r="C18341" s="11"/>
      <c r="D18341" s="11"/>
      <c r="E18341" s="11"/>
      <c r="F18341" s="11"/>
      <c r="G18341" s="11"/>
      <c r="H18341" s="11"/>
      <c r="I18341" s="15"/>
    </row>
    <row r="18342" spans="1:9" ht="16.5">
      <c r="A18342" s="10" t="b">
        <v>0</v>
      </c>
      <c r="B18342" s="11" t="str">
        <f>IF(D18342&lt;&gt;"",IF(COUNTIF('USPTO TMs'!A:A,D18342)&gt;0,"Yes","No"),"")</f>
        <v/>
      </c>
      <c r="C18342" s="11"/>
      <c r="D18342" s="11"/>
      <c r="E18342" s="11"/>
      <c r="F18342" s="11"/>
      <c r="G18342" s="11"/>
      <c r="H18342" s="11"/>
      <c r="I18342" s="15"/>
    </row>
    <row r="18343" spans="1:9" ht="16.5">
      <c r="A18343" s="10" t="b">
        <v>0</v>
      </c>
      <c r="B18343" s="11" t="str">
        <f>IF(D18343&lt;&gt;"",IF(COUNTIF('USPTO TMs'!A:A,D18343)&gt;0,"Yes","No"),"")</f>
        <v/>
      </c>
      <c r="C18343" s="11"/>
      <c r="D18343" s="11"/>
      <c r="E18343" s="11"/>
      <c r="F18343" s="11"/>
      <c r="G18343" s="11"/>
      <c r="H18343" s="11"/>
      <c r="I18343" s="15"/>
    </row>
    <row r="18344" spans="1:9" ht="16.5">
      <c r="A18344" s="10" t="b">
        <v>0</v>
      </c>
      <c r="B18344" s="11" t="str">
        <f>IF(D18344&lt;&gt;"",IF(COUNTIF('USPTO TMs'!A:A,D18344)&gt;0,"Yes","No"),"")</f>
        <v/>
      </c>
      <c r="C18344" s="11"/>
      <c r="D18344" s="11"/>
      <c r="E18344" s="11"/>
      <c r="F18344" s="11"/>
      <c r="G18344" s="11"/>
      <c r="H18344" s="11"/>
      <c r="I18344" s="15"/>
    </row>
    <row r="18345" spans="1:9" ht="16.5">
      <c r="A18345" s="10" t="b">
        <v>0</v>
      </c>
      <c r="B18345" s="11" t="str">
        <f>IF(D18345&lt;&gt;"",IF(COUNTIF('USPTO TMs'!A:A,D18345)&gt;0,"Yes","No"),"")</f>
        <v/>
      </c>
      <c r="C18345" s="11"/>
      <c r="D18345" s="11"/>
      <c r="E18345" s="11"/>
      <c r="F18345" s="11"/>
      <c r="G18345" s="11"/>
      <c r="H18345" s="11"/>
      <c r="I18345" s="15"/>
    </row>
    <row r="18346" spans="1:9" ht="16.5">
      <c r="A18346" s="10" t="b">
        <v>0</v>
      </c>
      <c r="B18346" s="11" t="str">
        <f>IF(D18346&lt;&gt;"",IF(COUNTIF('USPTO TMs'!A:A,D18346)&gt;0,"Yes","No"),"")</f>
        <v/>
      </c>
      <c r="C18346" s="11"/>
      <c r="D18346" s="11"/>
      <c r="E18346" s="11"/>
      <c r="F18346" s="11"/>
      <c r="G18346" s="11"/>
      <c r="H18346" s="11"/>
      <c r="I18346" s="15"/>
    </row>
    <row r="18347" spans="1:9" ht="16.5">
      <c r="A18347" s="10" t="b">
        <v>0</v>
      </c>
      <c r="B18347" s="11" t="str">
        <f>IF(D18347&lt;&gt;"",IF(COUNTIF('USPTO TMs'!A:A,D18347)&gt;0,"Yes","No"),"")</f>
        <v/>
      </c>
      <c r="C18347" s="11"/>
      <c r="D18347" s="11"/>
      <c r="E18347" s="11"/>
      <c r="F18347" s="11"/>
      <c r="G18347" s="11"/>
      <c r="H18347" s="11"/>
      <c r="I18347" s="15"/>
    </row>
    <row r="18348" spans="1:9" ht="16.5">
      <c r="A18348" s="10" t="b">
        <v>0</v>
      </c>
      <c r="B18348" s="11" t="str">
        <f>IF(D18348&lt;&gt;"",IF(COUNTIF('USPTO TMs'!A:A,D18348)&gt;0,"Yes","No"),"")</f>
        <v/>
      </c>
      <c r="C18348" s="11"/>
      <c r="D18348" s="11"/>
      <c r="E18348" s="11"/>
      <c r="F18348" s="11"/>
      <c r="G18348" s="11"/>
      <c r="H18348" s="11"/>
      <c r="I18348" s="15"/>
    </row>
    <row r="18349" spans="1:9" ht="16.5">
      <c r="A18349" s="10" t="b">
        <v>0</v>
      </c>
      <c r="B18349" s="11" t="str">
        <f>IF(D18349&lt;&gt;"",IF(COUNTIF('USPTO TMs'!A:A,D18349)&gt;0,"Yes","No"),"")</f>
        <v/>
      </c>
      <c r="C18349" s="11"/>
      <c r="D18349" s="11"/>
      <c r="E18349" s="11"/>
      <c r="F18349" s="11"/>
      <c r="G18349" s="11"/>
      <c r="H18349" s="11"/>
      <c r="I18349" s="15"/>
    </row>
    <row r="18350" spans="1:9" ht="16.5">
      <c r="A18350" s="10" t="b">
        <v>0</v>
      </c>
      <c r="B18350" s="11" t="str">
        <f>IF(D18350&lt;&gt;"",IF(COUNTIF('USPTO TMs'!A:A,D18350)&gt;0,"Yes","No"),"")</f>
        <v/>
      </c>
      <c r="C18350" s="11"/>
      <c r="D18350" s="11"/>
      <c r="E18350" s="11"/>
      <c r="F18350" s="11"/>
      <c r="G18350" s="11"/>
      <c r="H18350" s="11"/>
      <c r="I18350" s="15"/>
    </row>
    <row r="18351" spans="1:9" ht="16.5">
      <c r="A18351" s="10" t="b">
        <v>0</v>
      </c>
      <c r="B18351" s="11" t="str">
        <f>IF(D18351&lt;&gt;"",IF(COUNTIF('USPTO TMs'!A:A,D18351)&gt;0,"Yes","No"),"")</f>
        <v/>
      </c>
      <c r="C18351" s="11"/>
      <c r="D18351" s="11"/>
      <c r="E18351" s="11"/>
      <c r="F18351" s="11"/>
      <c r="G18351" s="11"/>
      <c r="H18351" s="11"/>
      <c r="I18351" s="15"/>
    </row>
    <row r="18352" spans="1:9" ht="16.5">
      <c r="A18352" s="10" t="b">
        <v>0</v>
      </c>
      <c r="B18352" s="11" t="str">
        <f>IF(D18352&lt;&gt;"",IF(COUNTIF('USPTO TMs'!A:A,D18352)&gt;0,"Yes","No"),"")</f>
        <v/>
      </c>
      <c r="C18352" s="11"/>
      <c r="D18352" s="11"/>
      <c r="E18352" s="11"/>
      <c r="F18352" s="11"/>
      <c r="G18352" s="11"/>
      <c r="H18352" s="11"/>
      <c r="I18352" s="15"/>
    </row>
    <row r="18353" spans="1:9" ht="16.5">
      <c r="A18353" s="10" t="b">
        <v>0</v>
      </c>
      <c r="B18353" s="11" t="str">
        <f>IF(D18353&lt;&gt;"",IF(COUNTIF('USPTO TMs'!A:A,D18353)&gt;0,"Yes","No"),"")</f>
        <v/>
      </c>
      <c r="C18353" s="11"/>
      <c r="D18353" s="11"/>
      <c r="E18353" s="11"/>
      <c r="F18353" s="11"/>
      <c r="G18353" s="11"/>
      <c r="H18353" s="11"/>
      <c r="I18353" s="15"/>
    </row>
    <row r="18354" spans="1:9" ht="16.5">
      <c r="A18354" s="10" t="b">
        <v>0</v>
      </c>
      <c r="B18354" s="11" t="str">
        <f>IF(D18354&lt;&gt;"",IF(COUNTIF('USPTO TMs'!A:A,D18354)&gt;0,"Yes","No"),"")</f>
        <v/>
      </c>
      <c r="C18354" s="11"/>
      <c r="D18354" s="11"/>
      <c r="E18354" s="11"/>
      <c r="F18354" s="11"/>
      <c r="G18354" s="11"/>
      <c r="H18354" s="11"/>
      <c r="I18354" s="15"/>
    </row>
    <row r="18355" spans="1:9" ht="16.5">
      <c r="A18355" s="10" t="b">
        <v>0</v>
      </c>
      <c r="B18355" s="11" t="str">
        <f>IF(D18355&lt;&gt;"",IF(COUNTIF('USPTO TMs'!A:A,D18355)&gt;0,"Yes","No"),"")</f>
        <v/>
      </c>
      <c r="C18355" s="11"/>
      <c r="D18355" s="11"/>
      <c r="E18355" s="11"/>
      <c r="F18355" s="11"/>
      <c r="G18355" s="11"/>
      <c r="H18355" s="11"/>
      <c r="I18355" s="15"/>
    </row>
    <row r="18356" spans="1:9" ht="16.5">
      <c r="A18356" s="10" t="b">
        <v>0</v>
      </c>
      <c r="B18356" s="11" t="str">
        <f>IF(D18356&lt;&gt;"",IF(COUNTIF('USPTO TMs'!A:A,D18356)&gt;0,"Yes","No"),"")</f>
        <v/>
      </c>
      <c r="C18356" s="11"/>
      <c r="D18356" s="11"/>
      <c r="E18356" s="11"/>
      <c r="F18356" s="11"/>
      <c r="G18356" s="11"/>
      <c r="H18356" s="11"/>
      <c r="I18356" s="15"/>
    </row>
    <row r="18357" spans="1:9" ht="16.5">
      <c r="A18357" s="10" t="b">
        <v>0</v>
      </c>
      <c r="B18357" s="11" t="str">
        <f>IF(D18357&lt;&gt;"",IF(COUNTIF('USPTO TMs'!A:A,D18357)&gt;0,"Yes","No"),"")</f>
        <v/>
      </c>
      <c r="C18357" s="11"/>
      <c r="D18357" s="11"/>
      <c r="E18357" s="11"/>
      <c r="F18357" s="11"/>
      <c r="G18357" s="11"/>
      <c r="H18357" s="11"/>
      <c r="I18357" s="15"/>
    </row>
    <row r="18358" spans="1:9" ht="16.5">
      <c r="A18358" s="10" t="b">
        <v>0</v>
      </c>
      <c r="B18358" s="11" t="str">
        <f>IF(D18358&lt;&gt;"",IF(COUNTIF('USPTO TMs'!A:A,D18358)&gt;0,"Yes","No"),"")</f>
        <v/>
      </c>
      <c r="C18358" s="11"/>
      <c r="D18358" s="11"/>
      <c r="E18358" s="11"/>
      <c r="F18358" s="11"/>
      <c r="G18358" s="11"/>
      <c r="H18358" s="11"/>
      <c r="I18358" s="15"/>
    </row>
    <row r="18359" spans="1:9" ht="16.5">
      <c r="A18359" s="10" t="b">
        <v>0</v>
      </c>
      <c r="B18359" s="11" t="str">
        <f>IF(D18359&lt;&gt;"",IF(COUNTIF('USPTO TMs'!A:A,D18359)&gt;0,"Yes","No"),"")</f>
        <v/>
      </c>
      <c r="C18359" s="11"/>
      <c r="D18359" s="11"/>
      <c r="E18359" s="11"/>
      <c r="F18359" s="11"/>
      <c r="G18359" s="11"/>
      <c r="H18359" s="11"/>
      <c r="I18359" s="15"/>
    </row>
    <row r="18360" spans="1:9" ht="16.5">
      <c r="A18360" s="10" t="b">
        <v>0</v>
      </c>
      <c r="B18360" s="11" t="str">
        <f>IF(D18360&lt;&gt;"",IF(COUNTIF('USPTO TMs'!A:A,D18360)&gt;0,"Yes","No"),"")</f>
        <v/>
      </c>
      <c r="C18360" s="11"/>
      <c r="D18360" s="11"/>
      <c r="E18360" s="11"/>
      <c r="F18360" s="11"/>
      <c r="G18360" s="11"/>
      <c r="H18360" s="11"/>
      <c r="I18360" s="15"/>
    </row>
    <row r="18361" spans="1:9" ht="16.5">
      <c r="A18361" s="10" t="b">
        <v>0</v>
      </c>
      <c r="B18361" s="11" t="str">
        <f>IF(D18361&lt;&gt;"",IF(COUNTIF('USPTO TMs'!A:A,D18361)&gt;0,"Yes","No"),"")</f>
        <v/>
      </c>
      <c r="C18361" s="11"/>
      <c r="D18361" s="11"/>
      <c r="E18361" s="11"/>
      <c r="F18361" s="11"/>
      <c r="G18361" s="11"/>
      <c r="H18361" s="11"/>
      <c r="I18361" s="15"/>
    </row>
    <row r="18362" spans="1:9" ht="16.5">
      <c r="A18362" s="10" t="b">
        <v>0</v>
      </c>
      <c r="B18362" s="11" t="str">
        <f>IF(D18362&lt;&gt;"",IF(COUNTIF('USPTO TMs'!A:A,D18362)&gt;0,"Yes","No"),"")</f>
        <v/>
      </c>
      <c r="C18362" s="11"/>
      <c r="D18362" s="11"/>
      <c r="E18362" s="11"/>
      <c r="F18362" s="11"/>
      <c r="G18362" s="11"/>
      <c r="H18362" s="11"/>
      <c r="I18362" s="15"/>
    </row>
    <row r="18363" spans="1:9" ht="16.5">
      <c r="A18363" s="10" t="b">
        <v>0</v>
      </c>
      <c r="B18363" s="11" t="str">
        <f>IF(D18363&lt;&gt;"",IF(COUNTIF('USPTO TMs'!A:A,D18363)&gt;0,"Yes","No"),"")</f>
        <v/>
      </c>
      <c r="C18363" s="11"/>
      <c r="D18363" s="11"/>
      <c r="E18363" s="11"/>
      <c r="F18363" s="11"/>
      <c r="G18363" s="11"/>
      <c r="H18363" s="11"/>
      <c r="I18363" s="15"/>
    </row>
    <row r="18364" spans="1:9" ht="16.5">
      <c r="A18364" s="10" t="b">
        <v>0</v>
      </c>
      <c r="B18364" s="11" t="str">
        <f>IF(D18364&lt;&gt;"",IF(COUNTIF('USPTO TMs'!A:A,D18364)&gt;0,"Yes","No"),"")</f>
        <v/>
      </c>
      <c r="C18364" s="11"/>
      <c r="D18364" s="11"/>
      <c r="E18364" s="11"/>
      <c r="F18364" s="11"/>
      <c r="G18364" s="11"/>
      <c r="H18364" s="11"/>
      <c r="I18364" s="15"/>
    </row>
    <row r="18365" spans="1:9" ht="16.5">
      <c r="A18365" s="10" t="b">
        <v>0</v>
      </c>
      <c r="B18365" s="11" t="str">
        <f>IF(D18365&lt;&gt;"",IF(COUNTIF('USPTO TMs'!A:A,D18365)&gt;0,"Yes","No"),"")</f>
        <v/>
      </c>
      <c r="C18365" s="11"/>
      <c r="D18365" s="11"/>
      <c r="E18365" s="11"/>
      <c r="F18365" s="11"/>
      <c r="G18365" s="11"/>
      <c r="H18365" s="11"/>
      <c r="I18365" s="15"/>
    </row>
    <row r="18366" spans="1:9" ht="16.5">
      <c r="A18366" s="10" t="b">
        <v>0</v>
      </c>
      <c r="B18366" s="11" t="str">
        <f>IF(D18366&lt;&gt;"",IF(COUNTIF('USPTO TMs'!A:A,D18366)&gt;0,"Yes","No"),"")</f>
        <v/>
      </c>
      <c r="C18366" s="11"/>
      <c r="D18366" s="11"/>
      <c r="E18366" s="11"/>
      <c r="F18366" s="11"/>
      <c r="G18366" s="11"/>
      <c r="H18366" s="11"/>
      <c r="I18366" s="15"/>
    </row>
    <row r="18367" spans="1:9" ht="16.5">
      <c r="A18367" s="10" t="b">
        <v>0</v>
      </c>
      <c r="B18367" s="11" t="str">
        <f>IF(D18367&lt;&gt;"",IF(COUNTIF('USPTO TMs'!A:A,D18367)&gt;0,"Yes","No"),"")</f>
        <v/>
      </c>
      <c r="C18367" s="11"/>
      <c r="D18367" s="11"/>
      <c r="E18367" s="11"/>
      <c r="F18367" s="11"/>
      <c r="G18367" s="11"/>
      <c r="H18367" s="11"/>
      <c r="I18367" s="15"/>
    </row>
    <row r="18368" spans="1:9" ht="16.5">
      <c r="A18368" s="10" t="b">
        <v>0</v>
      </c>
      <c r="B18368" s="11" t="str">
        <f>IF(D18368&lt;&gt;"",IF(COUNTIF('USPTO TMs'!A:A,D18368)&gt;0,"Yes","No"),"")</f>
        <v/>
      </c>
      <c r="C18368" s="11"/>
      <c r="D18368" s="11"/>
      <c r="E18368" s="11"/>
      <c r="F18368" s="11"/>
      <c r="G18368" s="11"/>
      <c r="H18368" s="11"/>
      <c r="I18368" s="15"/>
    </row>
    <row r="18369" spans="1:9" ht="16.5">
      <c r="A18369" s="10" t="b">
        <v>0</v>
      </c>
      <c r="B18369" s="11" t="str">
        <f>IF(D18369&lt;&gt;"",IF(COUNTIF('USPTO TMs'!A:A,D18369)&gt;0,"Yes","No"),"")</f>
        <v/>
      </c>
      <c r="C18369" s="11"/>
      <c r="D18369" s="11"/>
      <c r="E18369" s="11"/>
      <c r="F18369" s="11"/>
      <c r="G18369" s="11"/>
      <c r="H18369" s="11"/>
      <c r="I18369" s="15"/>
    </row>
    <row r="18370" spans="1:9" ht="16.5">
      <c r="A18370" s="10" t="b">
        <v>0</v>
      </c>
      <c r="B18370" s="11" t="str">
        <f>IF(D18370&lt;&gt;"",IF(COUNTIF('USPTO TMs'!A:A,D18370)&gt;0,"Yes","No"),"")</f>
        <v/>
      </c>
      <c r="C18370" s="11"/>
      <c r="D18370" s="11"/>
      <c r="E18370" s="11"/>
      <c r="F18370" s="11"/>
      <c r="G18370" s="11"/>
      <c r="H18370" s="11"/>
      <c r="I18370" s="15"/>
    </row>
    <row r="18371" spans="1:9" ht="16.5">
      <c r="A18371" s="10" t="b">
        <v>0</v>
      </c>
      <c r="B18371" s="11" t="str">
        <f>IF(D18371&lt;&gt;"",IF(COUNTIF('USPTO TMs'!A:A,D18371)&gt;0,"Yes","No"),"")</f>
        <v/>
      </c>
      <c r="C18371" s="11"/>
      <c r="D18371" s="11"/>
      <c r="E18371" s="11"/>
      <c r="F18371" s="11"/>
      <c r="G18371" s="11"/>
      <c r="H18371" s="11"/>
      <c r="I18371" s="15"/>
    </row>
    <row r="18372" spans="1:9" ht="16.5">
      <c r="A18372" s="10" t="b">
        <v>0</v>
      </c>
      <c r="B18372" s="11" t="str">
        <f>IF(D18372&lt;&gt;"",IF(COUNTIF('USPTO TMs'!A:A,D18372)&gt;0,"Yes","No"),"")</f>
        <v/>
      </c>
      <c r="C18372" s="11"/>
      <c r="D18372" s="11"/>
      <c r="E18372" s="11"/>
      <c r="F18372" s="11"/>
      <c r="G18372" s="11"/>
      <c r="H18372" s="11"/>
      <c r="I18372" s="15"/>
    </row>
    <row r="18373" spans="1:9" ht="16.5">
      <c r="A18373" s="10" t="b">
        <v>0</v>
      </c>
      <c r="B18373" s="11" t="str">
        <f>IF(D18373&lt;&gt;"",IF(COUNTIF('USPTO TMs'!A:A,D18373)&gt;0,"Yes","No"),"")</f>
        <v/>
      </c>
      <c r="C18373" s="11"/>
      <c r="D18373" s="11"/>
      <c r="E18373" s="11"/>
      <c r="F18373" s="11"/>
      <c r="G18373" s="11"/>
      <c r="H18373" s="11"/>
      <c r="I18373" s="15"/>
    </row>
    <row r="18374" spans="1:9" ht="16.5">
      <c r="A18374" s="10" t="b">
        <v>0</v>
      </c>
      <c r="B18374" s="11" t="str">
        <f>IF(D18374&lt;&gt;"",IF(COUNTIF('USPTO TMs'!A:A,D18374)&gt;0,"Yes","No"),"")</f>
        <v/>
      </c>
      <c r="C18374" s="11"/>
      <c r="D18374" s="11"/>
      <c r="E18374" s="11"/>
      <c r="F18374" s="11"/>
      <c r="G18374" s="11"/>
      <c r="H18374" s="11"/>
      <c r="I18374" s="15"/>
    </row>
    <row r="18375" spans="1:9" ht="16.5">
      <c r="A18375" s="10" t="b">
        <v>0</v>
      </c>
      <c r="B18375" s="11" t="str">
        <f>IF(D18375&lt;&gt;"",IF(COUNTIF('USPTO TMs'!A:A,D18375)&gt;0,"Yes","No"),"")</f>
        <v/>
      </c>
      <c r="C18375" s="11"/>
      <c r="D18375" s="11"/>
      <c r="E18375" s="11"/>
      <c r="F18375" s="11"/>
      <c r="G18375" s="11"/>
      <c r="H18375" s="11"/>
      <c r="I18375" s="15"/>
    </row>
    <row r="18376" spans="1:9" ht="16.5">
      <c r="A18376" s="10" t="b">
        <v>0</v>
      </c>
      <c r="B18376" s="11" t="str">
        <f>IF(D18376&lt;&gt;"",IF(COUNTIF('USPTO TMs'!A:A,D18376)&gt;0,"Yes","No"),"")</f>
        <v/>
      </c>
      <c r="C18376" s="11"/>
      <c r="D18376" s="11"/>
      <c r="E18376" s="11"/>
      <c r="F18376" s="11"/>
      <c r="G18376" s="11"/>
      <c r="H18376" s="11"/>
      <c r="I18376" s="15"/>
    </row>
    <row r="18377" spans="1:9" ht="16.5">
      <c r="A18377" s="10" t="b">
        <v>0</v>
      </c>
      <c r="B18377" s="11" t="str">
        <f>IF(D18377&lt;&gt;"",IF(COUNTIF('USPTO TMs'!A:A,D18377)&gt;0,"Yes","No"),"")</f>
        <v/>
      </c>
      <c r="C18377" s="11"/>
      <c r="D18377" s="11"/>
      <c r="E18377" s="11"/>
      <c r="F18377" s="11"/>
      <c r="G18377" s="11"/>
      <c r="H18377" s="11"/>
      <c r="I18377" s="15"/>
    </row>
    <row r="18378" spans="1:9" ht="16.5">
      <c r="A18378" s="10" t="b">
        <v>0</v>
      </c>
      <c r="B18378" s="11" t="str">
        <f>IF(D18378&lt;&gt;"",IF(COUNTIF('USPTO TMs'!A:A,D18378)&gt;0,"Yes","No"),"")</f>
        <v/>
      </c>
      <c r="C18378" s="11"/>
      <c r="D18378" s="11"/>
      <c r="E18378" s="11"/>
      <c r="F18378" s="11"/>
      <c r="G18378" s="11"/>
      <c r="H18378" s="11"/>
      <c r="I18378" s="15"/>
    </row>
    <row r="18379" spans="1:9" ht="16.5">
      <c r="A18379" s="10" t="b">
        <v>0</v>
      </c>
      <c r="B18379" s="11" t="str">
        <f>IF(D18379&lt;&gt;"",IF(COUNTIF('USPTO TMs'!A:A,D18379)&gt;0,"Yes","No"),"")</f>
        <v/>
      </c>
      <c r="C18379" s="11"/>
      <c r="D18379" s="11"/>
      <c r="E18379" s="11"/>
      <c r="F18379" s="11"/>
      <c r="G18379" s="11"/>
      <c r="H18379" s="11"/>
      <c r="I18379" s="15"/>
    </row>
    <row r="18380" spans="1:9" ht="16.5">
      <c r="A18380" s="10" t="b">
        <v>0</v>
      </c>
      <c r="B18380" s="11" t="str">
        <f>IF(D18380&lt;&gt;"",IF(COUNTIF('USPTO TMs'!A:A,D18380)&gt;0,"Yes","No"),"")</f>
        <v/>
      </c>
      <c r="C18380" s="11"/>
      <c r="D18380" s="11"/>
      <c r="E18380" s="11"/>
      <c r="F18380" s="11"/>
      <c r="G18380" s="11"/>
      <c r="H18380" s="11"/>
      <c r="I18380" s="15"/>
    </row>
    <row r="18381" spans="1:9" ht="16.5">
      <c r="A18381" s="10" t="b">
        <v>0</v>
      </c>
      <c r="B18381" s="11" t="str">
        <f>IF(D18381&lt;&gt;"",IF(COUNTIF('USPTO TMs'!A:A,D18381)&gt;0,"Yes","No"),"")</f>
        <v/>
      </c>
      <c r="C18381" s="11"/>
      <c r="D18381" s="11"/>
      <c r="E18381" s="11"/>
      <c r="F18381" s="11"/>
      <c r="G18381" s="11"/>
      <c r="H18381" s="11"/>
      <c r="I18381" s="15"/>
    </row>
    <row r="18382" spans="1:9" ht="16.5">
      <c r="A18382" s="10" t="b">
        <v>0</v>
      </c>
      <c r="B18382" s="11" t="str">
        <f>IF(D18382&lt;&gt;"",IF(COUNTIF('USPTO TMs'!A:A,D18382)&gt;0,"Yes","No"),"")</f>
        <v/>
      </c>
      <c r="C18382" s="11"/>
      <c r="D18382" s="11"/>
      <c r="E18382" s="11"/>
      <c r="F18382" s="11"/>
      <c r="G18382" s="11"/>
      <c r="H18382" s="11"/>
      <c r="I18382" s="15"/>
    </row>
    <row r="18383" spans="1:9" ht="16.5">
      <c r="A18383" s="10" t="b">
        <v>0</v>
      </c>
      <c r="B18383" s="11" t="str">
        <f>IF(D18383&lt;&gt;"",IF(COUNTIF('USPTO TMs'!A:A,D18383)&gt;0,"Yes","No"),"")</f>
        <v/>
      </c>
      <c r="C18383" s="11"/>
      <c r="D18383" s="11"/>
      <c r="E18383" s="11"/>
      <c r="F18383" s="11"/>
      <c r="G18383" s="11"/>
      <c r="H18383" s="11"/>
      <c r="I18383" s="15"/>
    </row>
    <row r="18384" spans="1:9" ht="16.5">
      <c r="A18384" s="10" t="b">
        <v>0</v>
      </c>
      <c r="B18384" s="11" t="str">
        <f>IF(D18384&lt;&gt;"",IF(COUNTIF('USPTO TMs'!A:A,D18384)&gt;0,"Yes","No"),"")</f>
        <v/>
      </c>
      <c r="C18384" s="11"/>
      <c r="D18384" s="11"/>
      <c r="E18384" s="11"/>
      <c r="F18384" s="11"/>
      <c r="G18384" s="11"/>
      <c r="H18384" s="11"/>
      <c r="I18384" s="15"/>
    </row>
    <row r="18385" spans="1:9" ht="16.5">
      <c r="A18385" s="10" t="b">
        <v>0</v>
      </c>
      <c r="B18385" s="11" t="str">
        <f>IF(D18385&lt;&gt;"",IF(COUNTIF('USPTO TMs'!A:A,D18385)&gt;0,"Yes","No"),"")</f>
        <v/>
      </c>
      <c r="C18385" s="11"/>
      <c r="D18385" s="11"/>
      <c r="E18385" s="11"/>
      <c r="F18385" s="11"/>
      <c r="G18385" s="11"/>
      <c r="H18385" s="11"/>
      <c r="I18385" s="15"/>
    </row>
    <row r="18386" spans="1:9" ht="16.5">
      <c r="A18386" s="10" t="b">
        <v>0</v>
      </c>
      <c r="B18386" s="11" t="str">
        <f>IF(D18386&lt;&gt;"",IF(COUNTIF('USPTO TMs'!A:A,D18386)&gt;0,"Yes","No"),"")</f>
        <v/>
      </c>
      <c r="C18386" s="11"/>
      <c r="D18386" s="11"/>
      <c r="E18386" s="11"/>
      <c r="F18386" s="11"/>
      <c r="G18386" s="11"/>
      <c r="H18386" s="11"/>
      <c r="I18386" s="15"/>
    </row>
    <row r="18387" spans="1:9" ht="16.5">
      <c r="A18387" s="10" t="b">
        <v>0</v>
      </c>
      <c r="B18387" s="11" t="str">
        <f>IF(D18387&lt;&gt;"",IF(COUNTIF('USPTO TMs'!A:A,D18387)&gt;0,"Yes","No"),"")</f>
        <v/>
      </c>
      <c r="C18387" s="11"/>
      <c r="D18387" s="11"/>
      <c r="E18387" s="11"/>
      <c r="F18387" s="11"/>
      <c r="G18387" s="11"/>
      <c r="H18387" s="11"/>
      <c r="I18387" s="15"/>
    </row>
    <row r="18388" spans="1:9" ht="16.5">
      <c r="A18388" s="10" t="b">
        <v>0</v>
      </c>
      <c r="B18388" s="11" t="str">
        <f>IF(D18388&lt;&gt;"",IF(COUNTIF('USPTO TMs'!A:A,D18388)&gt;0,"Yes","No"),"")</f>
        <v/>
      </c>
      <c r="C18388" s="11"/>
      <c r="D18388" s="11"/>
      <c r="E18388" s="11"/>
      <c r="F18388" s="11"/>
      <c r="G18388" s="11"/>
      <c r="H18388" s="11"/>
      <c r="I18388" s="15"/>
    </row>
    <row r="18389" spans="1:9" ht="16.5">
      <c r="A18389" s="10" t="b">
        <v>0</v>
      </c>
      <c r="B18389" s="11" t="str">
        <f>IF(D18389&lt;&gt;"",IF(COUNTIF('USPTO TMs'!A:A,D18389)&gt;0,"Yes","No"),"")</f>
        <v/>
      </c>
      <c r="C18389" s="11"/>
      <c r="D18389" s="11"/>
      <c r="E18389" s="11"/>
      <c r="F18389" s="11"/>
      <c r="G18389" s="11"/>
      <c r="H18389" s="11"/>
      <c r="I18389" s="15"/>
    </row>
    <row r="18390" spans="1:9" ht="16.5">
      <c r="A18390" s="10" t="b">
        <v>0</v>
      </c>
      <c r="B18390" s="11" t="str">
        <f>IF(D18390&lt;&gt;"",IF(COUNTIF('USPTO TMs'!A:A,D18390)&gt;0,"Yes","No"),"")</f>
        <v/>
      </c>
      <c r="C18390" s="11"/>
      <c r="D18390" s="11"/>
      <c r="E18390" s="11"/>
      <c r="F18390" s="11"/>
      <c r="G18390" s="11"/>
      <c r="H18390" s="11"/>
      <c r="I18390" s="15"/>
    </row>
    <row r="18391" spans="1:9" ht="16.5">
      <c r="A18391" s="10" t="b">
        <v>0</v>
      </c>
      <c r="B18391" s="11" t="str">
        <f>IF(D18391&lt;&gt;"",IF(COUNTIF('USPTO TMs'!A:A,D18391)&gt;0,"Yes","No"),"")</f>
        <v/>
      </c>
      <c r="C18391" s="11"/>
      <c r="D18391" s="11"/>
      <c r="E18391" s="11"/>
      <c r="F18391" s="11"/>
      <c r="G18391" s="11"/>
      <c r="H18391" s="11"/>
      <c r="I18391" s="15"/>
    </row>
    <row r="18392" spans="1:9" ht="16.5">
      <c r="A18392" s="10" t="b">
        <v>0</v>
      </c>
      <c r="B18392" s="11" t="str">
        <f>IF(D18392&lt;&gt;"",IF(COUNTIF('USPTO TMs'!A:A,D18392)&gt;0,"Yes","No"),"")</f>
        <v/>
      </c>
      <c r="C18392" s="11"/>
      <c r="D18392" s="11"/>
      <c r="E18392" s="11"/>
      <c r="F18392" s="11"/>
      <c r="G18392" s="11"/>
      <c r="H18392" s="11"/>
      <c r="I18392" s="15"/>
    </row>
    <row r="18393" spans="1:9" ht="16.5">
      <c r="A18393" s="10" t="b">
        <v>0</v>
      </c>
      <c r="B18393" s="11" t="str">
        <f>IF(D18393&lt;&gt;"",IF(COUNTIF('USPTO TMs'!A:A,D18393)&gt;0,"Yes","No"),"")</f>
        <v/>
      </c>
      <c r="C18393" s="11"/>
      <c r="D18393" s="11"/>
      <c r="E18393" s="11"/>
      <c r="F18393" s="11"/>
      <c r="G18393" s="11"/>
      <c r="H18393" s="11"/>
      <c r="I18393" s="15"/>
    </row>
    <row r="18394" spans="1:9" ht="16.5">
      <c r="A18394" s="10" t="b">
        <v>0</v>
      </c>
      <c r="B18394" s="11" t="str">
        <f>IF(D18394&lt;&gt;"",IF(COUNTIF('USPTO TMs'!A:A,D18394)&gt;0,"Yes","No"),"")</f>
        <v/>
      </c>
      <c r="C18394" s="11"/>
      <c r="D18394" s="11"/>
      <c r="E18394" s="11"/>
      <c r="F18394" s="11"/>
      <c r="G18394" s="11"/>
      <c r="H18394" s="11"/>
      <c r="I18394" s="15"/>
    </row>
    <row r="18395" spans="1:9" ht="16.5">
      <c r="A18395" s="10" t="b">
        <v>0</v>
      </c>
      <c r="B18395" s="11" t="str">
        <f>IF(D18395&lt;&gt;"",IF(COUNTIF('USPTO TMs'!A:A,D18395)&gt;0,"Yes","No"),"")</f>
        <v/>
      </c>
      <c r="C18395" s="11"/>
      <c r="D18395" s="11"/>
      <c r="E18395" s="11"/>
      <c r="F18395" s="11"/>
      <c r="G18395" s="11"/>
      <c r="H18395" s="11"/>
      <c r="I18395" s="15"/>
    </row>
    <row r="18396" spans="1:9" ht="16.5">
      <c r="A18396" s="10" t="b">
        <v>0</v>
      </c>
      <c r="B18396" s="11" t="str">
        <f>IF(D18396&lt;&gt;"",IF(COUNTIF('USPTO TMs'!A:A,D18396)&gt;0,"Yes","No"),"")</f>
        <v/>
      </c>
      <c r="C18396" s="11"/>
      <c r="D18396" s="11"/>
      <c r="E18396" s="11"/>
      <c r="F18396" s="11"/>
      <c r="G18396" s="11"/>
      <c r="H18396" s="11"/>
      <c r="I18396" s="15"/>
    </row>
    <row r="18397" spans="1:9" ht="16.5">
      <c r="A18397" s="10" t="b">
        <v>0</v>
      </c>
      <c r="B18397" s="11" t="str">
        <f>IF(D18397&lt;&gt;"",IF(COUNTIF('USPTO TMs'!A:A,D18397)&gt;0,"Yes","No"),"")</f>
        <v/>
      </c>
      <c r="C18397" s="11"/>
      <c r="D18397" s="11"/>
      <c r="E18397" s="11"/>
      <c r="F18397" s="11"/>
      <c r="G18397" s="11"/>
      <c r="H18397" s="11"/>
      <c r="I18397" s="15"/>
    </row>
    <row r="18398" spans="1:9" ht="16.5">
      <c r="A18398" s="10" t="b">
        <v>0</v>
      </c>
      <c r="B18398" s="11" t="str">
        <f>IF(D18398&lt;&gt;"",IF(COUNTIF('USPTO TMs'!A:A,D18398)&gt;0,"Yes","No"),"")</f>
        <v/>
      </c>
      <c r="C18398" s="11"/>
      <c r="D18398" s="11"/>
      <c r="E18398" s="11"/>
      <c r="F18398" s="11"/>
      <c r="G18398" s="11"/>
      <c r="H18398" s="11"/>
      <c r="I18398" s="15"/>
    </row>
    <row r="18399" spans="1:9" ht="16.5">
      <c r="A18399" s="10" t="b">
        <v>0</v>
      </c>
      <c r="B18399" s="11" t="str">
        <f>IF(D18399&lt;&gt;"",IF(COUNTIF('USPTO TMs'!A:A,D18399)&gt;0,"Yes","No"),"")</f>
        <v/>
      </c>
      <c r="C18399" s="11"/>
      <c r="D18399" s="11"/>
      <c r="E18399" s="11"/>
      <c r="F18399" s="11"/>
      <c r="G18399" s="11"/>
      <c r="H18399" s="11"/>
      <c r="I18399" s="15"/>
    </row>
    <row r="18400" spans="1:9" ht="16.5">
      <c r="A18400" s="10" t="b">
        <v>0</v>
      </c>
      <c r="B18400" s="11" t="str">
        <f>IF(D18400&lt;&gt;"",IF(COUNTIF('USPTO TMs'!A:A,D18400)&gt;0,"Yes","No"),"")</f>
        <v/>
      </c>
      <c r="C18400" s="11"/>
      <c r="D18400" s="11"/>
      <c r="E18400" s="11"/>
      <c r="F18400" s="11"/>
      <c r="G18400" s="11"/>
      <c r="H18400" s="11"/>
      <c r="I18400" s="15"/>
    </row>
    <row r="18401" spans="1:9" ht="16.5">
      <c r="A18401" s="10" t="b">
        <v>0</v>
      </c>
      <c r="B18401" s="11" t="str">
        <f>IF(D18401&lt;&gt;"",IF(COUNTIF('USPTO TMs'!A:A,D18401)&gt;0,"Yes","No"),"")</f>
        <v/>
      </c>
      <c r="C18401" s="11"/>
      <c r="D18401" s="11"/>
      <c r="E18401" s="11"/>
      <c r="F18401" s="11"/>
      <c r="G18401" s="11"/>
      <c r="H18401" s="11"/>
      <c r="I18401" s="15"/>
    </row>
    <row r="18402" spans="1:9" ht="16.5">
      <c r="A18402" s="10" t="b">
        <v>0</v>
      </c>
      <c r="B18402" s="11" t="str">
        <f>IF(D18402&lt;&gt;"",IF(COUNTIF('USPTO TMs'!A:A,D18402)&gt;0,"Yes","No"),"")</f>
        <v/>
      </c>
      <c r="C18402" s="11"/>
      <c r="D18402" s="11"/>
      <c r="E18402" s="11"/>
      <c r="F18402" s="11"/>
      <c r="G18402" s="11"/>
      <c r="H18402" s="11"/>
      <c r="I18402" s="15"/>
    </row>
    <row r="18403" spans="1:9" ht="16.5">
      <c r="A18403" s="10" t="b">
        <v>0</v>
      </c>
      <c r="B18403" s="11" t="str">
        <f>IF(D18403&lt;&gt;"",IF(COUNTIF('USPTO TMs'!A:A,D18403)&gt;0,"Yes","No"),"")</f>
        <v/>
      </c>
      <c r="C18403" s="11"/>
      <c r="D18403" s="11"/>
      <c r="E18403" s="11"/>
      <c r="F18403" s="11"/>
      <c r="G18403" s="11"/>
      <c r="H18403" s="11"/>
      <c r="I18403" s="15"/>
    </row>
    <row r="18404" spans="1:9" ht="16.5">
      <c r="A18404" s="10" t="b">
        <v>0</v>
      </c>
      <c r="B18404" s="11" t="str">
        <f>IF(D18404&lt;&gt;"",IF(COUNTIF('USPTO TMs'!A:A,D18404)&gt;0,"Yes","No"),"")</f>
        <v/>
      </c>
      <c r="C18404" s="11"/>
      <c r="D18404" s="11"/>
      <c r="E18404" s="11"/>
      <c r="F18404" s="11"/>
      <c r="G18404" s="11"/>
      <c r="H18404" s="11"/>
      <c r="I18404" s="15"/>
    </row>
    <row r="18405" spans="1:9" ht="16.5">
      <c r="A18405" s="10" t="b">
        <v>0</v>
      </c>
      <c r="B18405" s="11" t="str">
        <f>IF(D18405&lt;&gt;"",IF(COUNTIF('USPTO TMs'!A:A,D18405)&gt;0,"Yes","No"),"")</f>
        <v/>
      </c>
      <c r="C18405" s="11"/>
      <c r="D18405" s="11"/>
      <c r="E18405" s="11"/>
      <c r="F18405" s="11"/>
      <c r="G18405" s="11"/>
      <c r="H18405" s="11"/>
      <c r="I18405" s="15"/>
    </row>
    <row r="18406" spans="1:9" ht="16.5">
      <c r="A18406" s="10" t="b">
        <v>0</v>
      </c>
      <c r="B18406" s="11" t="str">
        <f>IF(D18406&lt;&gt;"",IF(COUNTIF('USPTO TMs'!A:A,D18406)&gt;0,"Yes","No"),"")</f>
        <v/>
      </c>
      <c r="C18406" s="11"/>
      <c r="D18406" s="11"/>
      <c r="E18406" s="11"/>
      <c r="F18406" s="11"/>
      <c r="G18406" s="11"/>
      <c r="H18406" s="11"/>
      <c r="I18406" s="15"/>
    </row>
    <row r="18407" spans="1:9" ht="16.5">
      <c r="A18407" s="10" t="b">
        <v>0</v>
      </c>
      <c r="B18407" s="11" t="str">
        <f>IF(D18407&lt;&gt;"",IF(COUNTIF('USPTO TMs'!A:A,D18407)&gt;0,"Yes","No"),"")</f>
        <v/>
      </c>
      <c r="C18407" s="11"/>
      <c r="D18407" s="11"/>
      <c r="E18407" s="11"/>
      <c r="F18407" s="11"/>
      <c r="G18407" s="11"/>
      <c r="H18407" s="11"/>
      <c r="I18407" s="15"/>
    </row>
    <row r="18408" spans="1:9" ht="16.5">
      <c r="A18408" s="10" t="b">
        <v>0</v>
      </c>
      <c r="B18408" s="11" t="str">
        <f>IF(D18408&lt;&gt;"",IF(COUNTIF('USPTO TMs'!A:A,D18408)&gt;0,"Yes","No"),"")</f>
        <v/>
      </c>
      <c r="C18408" s="11"/>
      <c r="D18408" s="11"/>
      <c r="E18408" s="11"/>
      <c r="F18408" s="11"/>
      <c r="G18408" s="11"/>
      <c r="H18408" s="11"/>
      <c r="I18408" s="15"/>
    </row>
    <row r="18409" spans="1:9" ht="16.5">
      <c r="A18409" s="10" t="b">
        <v>0</v>
      </c>
      <c r="B18409" s="11" t="str">
        <f>IF(D18409&lt;&gt;"",IF(COUNTIF('USPTO TMs'!A:A,D18409)&gt;0,"Yes","No"),"")</f>
        <v/>
      </c>
      <c r="C18409" s="11"/>
      <c r="D18409" s="11"/>
      <c r="E18409" s="11"/>
      <c r="F18409" s="11"/>
      <c r="G18409" s="11"/>
      <c r="H18409" s="11"/>
      <c r="I18409" s="15"/>
    </row>
    <row r="18410" spans="1:9" ht="16.5">
      <c r="A18410" s="10" t="b">
        <v>0</v>
      </c>
      <c r="B18410" s="11" t="str">
        <f>IF(D18410&lt;&gt;"",IF(COUNTIF('USPTO TMs'!A:A,D18410)&gt;0,"Yes","No"),"")</f>
        <v/>
      </c>
      <c r="C18410" s="11"/>
      <c r="D18410" s="11"/>
      <c r="E18410" s="11"/>
      <c r="F18410" s="11"/>
      <c r="G18410" s="11"/>
      <c r="H18410" s="11"/>
      <c r="I18410" s="15"/>
    </row>
    <row r="18411" spans="1:9" ht="16.5">
      <c r="A18411" s="10" t="b">
        <v>0</v>
      </c>
      <c r="B18411" s="11" t="str">
        <f>IF(D18411&lt;&gt;"",IF(COUNTIF('USPTO TMs'!A:A,D18411)&gt;0,"Yes","No"),"")</f>
        <v/>
      </c>
      <c r="C18411" s="11"/>
      <c r="D18411" s="11"/>
      <c r="E18411" s="11"/>
      <c r="F18411" s="11"/>
      <c r="G18411" s="11"/>
      <c r="H18411" s="11"/>
      <c r="I18411" s="15"/>
    </row>
    <row r="18412" spans="1:9" ht="16.5">
      <c r="A18412" s="10" t="b">
        <v>0</v>
      </c>
      <c r="B18412" s="11" t="str">
        <f>IF(D18412&lt;&gt;"",IF(COUNTIF('USPTO TMs'!A:A,D18412)&gt;0,"Yes","No"),"")</f>
        <v/>
      </c>
      <c r="C18412" s="11"/>
      <c r="D18412" s="11"/>
      <c r="E18412" s="11"/>
      <c r="F18412" s="11"/>
      <c r="G18412" s="11"/>
      <c r="H18412" s="11"/>
      <c r="I18412" s="15"/>
    </row>
    <row r="18413" spans="1:9" ht="16.5">
      <c r="A18413" s="10" t="b">
        <v>0</v>
      </c>
      <c r="B18413" s="11" t="str">
        <f>IF(D18413&lt;&gt;"",IF(COUNTIF('USPTO TMs'!A:A,D18413)&gt;0,"Yes","No"),"")</f>
        <v/>
      </c>
      <c r="C18413" s="11"/>
      <c r="D18413" s="11"/>
      <c r="E18413" s="11"/>
      <c r="F18413" s="11"/>
      <c r="G18413" s="11"/>
      <c r="H18413" s="11"/>
      <c r="I18413" s="15"/>
    </row>
    <row r="18414" spans="1:9" ht="16.5">
      <c r="A18414" s="10" t="b">
        <v>0</v>
      </c>
      <c r="B18414" s="11" t="str">
        <f>IF(D18414&lt;&gt;"",IF(COUNTIF('USPTO TMs'!A:A,D18414)&gt;0,"Yes","No"),"")</f>
        <v/>
      </c>
      <c r="C18414" s="11"/>
      <c r="D18414" s="11"/>
      <c r="E18414" s="11"/>
      <c r="F18414" s="11"/>
      <c r="G18414" s="11"/>
      <c r="H18414" s="11"/>
      <c r="I18414" s="15"/>
    </row>
    <row r="18415" spans="1:9" ht="16.5">
      <c r="A18415" s="10" t="b">
        <v>0</v>
      </c>
      <c r="B18415" s="11" t="str">
        <f>IF(D18415&lt;&gt;"",IF(COUNTIF('USPTO TMs'!A:A,D18415)&gt;0,"Yes","No"),"")</f>
        <v/>
      </c>
      <c r="C18415" s="11"/>
      <c r="D18415" s="11"/>
      <c r="E18415" s="11"/>
      <c r="F18415" s="11"/>
      <c r="G18415" s="11"/>
      <c r="H18415" s="11"/>
      <c r="I18415" s="15"/>
    </row>
    <row r="18416" spans="1:9" ht="16.5">
      <c r="A18416" s="10" t="b">
        <v>0</v>
      </c>
      <c r="B18416" s="11" t="str">
        <f>IF(D18416&lt;&gt;"",IF(COUNTIF('USPTO TMs'!A:A,D18416)&gt;0,"Yes","No"),"")</f>
        <v/>
      </c>
      <c r="C18416" s="11"/>
      <c r="D18416" s="11"/>
      <c r="E18416" s="11"/>
      <c r="F18416" s="11"/>
      <c r="G18416" s="11"/>
      <c r="H18416" s="11"/>
      <c r="I18416" s="15"/>
    </row>
    <row r="18417" spans="1:9" ht="16.5">
      <c r="A18417" s="10" t="b">
        <v>0</v>
      </c>
      <c r="B18417" s="11" t="str">
        <f>IF(D18417&lt;&gt;"",IF(COUNTIF('USPTO TMs'!A:A,D18417)&gt;0,"Yes","No"),"")</f>
        <v/>
      </c>
      <c r="C18417" s="11"/>
      <c r="D18417" s="11"/>
      <c r="E18417" s="11"/>
      <c r="F18417" s="11"/>
      <c r="G18417" s="11"/>
      <c r="H18417" s="11"/>
      <c r="I18417" s="15"/>
    </row>
    <row r="18418" spans="1:9" ht="16.5">
      <c r="A18418" s="10" t="b">
        <v>0</v>
      </c>
      <c r="B18418" s="11" t="str">
        <f>IF(D18418&lt;&gt;"",IF(COUNTIF('USPTO TMs'!A:A,D18418)&gt;0,"Yes","No"),"")</f>
        <v/>
      </c>
      <c r="C18418" s="11"/>
      <c r="D18418" s="11"/>
      <c r="E18418" s="11"/>
      <c r="F18418" s="11"/>
      <c r="G18418" s="11"/>
      <c r="H18418" s="11"/>
      <c r="I18418" s="15"/>
    </row>
    <row r="18419" spans="1:9" ht="16.5">
      <c r="A18419" s="10" t="b">
        <v>0</v>
      </c>
      <c r="B18419" s="11" t="str">
        <f>IF(D18419&lt;&gt;"",IF(COUNTIF('USPTO TMs'!A:A,D18419)&gt;0,"Yes","No"),"")</f>
        <v/>
      </c>
      <c r="C18419" s="11"/>
      <c r="D18419" s="11"/>
      <c r="E18419" s="11"/>
      <c r="F18419" s="11"/>
      <c r="G18419" s="11"/>
      <c r="H18419" s="11"/>
      <c r="I18419" s="15"/>
    </row>
    <row r="18420" spans="1:9" ht="16.5">
      <c r="A18420" s="10" t="b">
        <v>0</v>
      </c>
      <c r="B18420" s="11" t="str">
        <f>IF(D18420&lt;&gt;"",IF(COUNTIF('USPTO TMs'!A:A,D18420)&gt;0,"Yes","No"),"")</f>
        <v/>
      </c>
      <c r="C18420" s="11"/>
      <c r="D18420" s="11"/>
      <c r="E18420" s="11"/>
      <c r="F18420" s="11"/>
      <c r="G18420" s="11"/>
      <c r="H18420" s="11"/>
      <c r="I18420" s="15"/>
    </row>
    <row r="18421" spans="1:9" ht="16.5">
      <c r="A18421" s="10" t="b">
        <v>0</v>
      </c>
      <c r="B18421" s="11" t="str">
        <f>IF(D18421&lt;&gt;"",IF(COUNTIF('USPTO TMs'!A:A,D18421)&gt;0,"Yes","No"),"")</f>
        <v/>
      </c>
      <c r="C18421" s="11"/>
      <c r="D18421" s="11"/>
      <c r="E18421" s="11"/>
      <c r="F18421" s="11"/>
      <c r="G18421" s="11"/>
      <c r="H18421" s="11"/>
      <c r="I18421" s="15"/>
    </row>
    <row r="18422" spans="1:9" ht="16.5">
      <c r="A18422" s="10" t="b">
        <v>0</v>
      </c>
      <c r="B18422" s="11" t="str">
        <f>IF(D18422&lt;&gt;"",IF(COUNTIF('USPTO TMs'!A:A,D18422)&gt;0,"Yes","No"),"")</f>
        <v/>
      </c>
      <c r="C18422" s="11"/>
      <c r="D18422" s="11"/>
      <c r="E18422" s="11"/>
      <c r="F18422" s="11"/>
      <c r="G18422" s="11"/>
      <c r="H18422" s="11"/>
      <c r="I18422" s="15"/>
    </row>
    <row r="18423" spans="1:9" ht="16.5">
      <c r="A18423" s="10" t="b">
        <v>0</v>
      </c>
      <c r="B18423" s="11" t="str">
        <f>IF(D18423&lt;&gt;"",IF(COUNTIF('USPTO TMs'!A:A,D18423)&gt;0,"Yes","No"),"")</f>
        <v/>
      </c>
      <c r="C18423" s="11"/>
      <c r="D18423" s="11"/>
      <c r="E18423" s="11"/>
      <c r="F18423" s="11"/>
      <c r="G18423" s="11"/>
      <c r="H18423" s="11"/>
      <c r="I18423" s="15"/>
    </row>
    <row r="18424" spans="1:9" ht="16.5">
      <c r="A18424" s="10" t="b">
        <v>0</v>
      </c>
      <c r="B18424" s="11" t="str">
        <f>IF(D18424&lt;&gt;"",IF(COUNTIF('USPTO TMs'!A:A,D18424)&gt;0,"Yes","No"),"")</f>
        <v/>
      </c>
      <c r="C18424" s="11"/>
      <c r="D18424" s="11"/>
      <c r="E18424" s="11"/>
      <c r="F18424" s="11"/>
      <c r="G18424" s="11"/>
      <c r="H18424" s="11"/>
      <c r="I18424" s="15"/>
    </row>
    <row r="18425" spans="1:9" ht="16.5">
      <c r="A18425" s="10" t="b">
        <v>0</v>
      </c>
      <c r="B18425" s="11" t="str">
        <f>IF(D18425&lt;&gt;"",IF(COUNTIF('USPTO TMs'!A:A,D18425)&gt;0,"Yes","No"),"")</f>
        <v/>
      </c>
      <c r="C18425" s="11"/>
      <c r="D18425" s="11"/>
      <c r="E18425" s="11"/>
      <c r="F18425" s="11"/>
      <c r="G18425" s="11"/>
      <c r="H18425" s="11"/>
      <c r="I18425" s="15"/>
    </row>
    <row r="18426" spans="1:9" ht="16.5">
      <c r="A18426" s="10" t="b">
        <v>0</v>
      </c>
      <c r="B18426" s="11" t="str">
        <f>IF(D18426&lt;&gt;"",IF(COUNTIF('USPTO TMs'!A:A,D18426)&gt;0,"Yes","No"),"")</f>
        <v/>
      </c>
      <c r="C18426" s="11"/>
      <c r="D18426" s="11"/>
      <c r="E18426" s="11"/>
      <c r="F18426" s="11"/>
      <c r="G18426" s="11"/>
      <c r="H18426" s="11"/>
      <c r="I18426" s="15"/>
    </row>
    <row r="18427" spans="1:9" ht="16.5">
      <c r="A18427" s="10" t="b">
        <v>0</v>
      </c>
      <c r="B18427" s="11" t="str">
        <f>IF(D18427&lt;&gt;"",IF(COUNTIF('USPTO TMs'!A:A,D18427)&gt;0,"Yes","No"),"")</f>
        <v/>
      </c>
      <c r="C18427" s="11"/>
      <c r="D18427" s="11"/>
      <c r="E18427" s="11"/>
      <c r="F18427" s="11"/>
      <c r="G18427" s="11"/>
      <c r="H18427" s="11"/>
      <c r="I18427" s="15"/>
    </row>
    <row r="18428" spans="1:9" ht="16.5">
      <c r="A18428" s="10" t="b">
        <v>0</v>
      </c>
      <c r="B18428" s="11" t="str">
        <f>IF(D18428&lt;&gt;"",IF(COUNTIF('USPTO TMs'!A:A,D18428)&gt;0,"Yes","No"),"")</f>
        <v/>
      </c>
      <c r="C18428" s="11"/>
      <c r="D18428" s="11"/>
      <c r="E18428" s="11"/>
      <c r="F18428" s="11"/>
      <c r="G18428" s="11"/>
      <c r="H18428" s="11"/>
      <c r="I18428" s="15"/>
    </row>
    <row r="18429" spans="1:9" ht="16.5">
      <c r="A18429" s="10" t="b">
        <v>0</v>
      </c>
      <c r="B18429" s="11" t="str">
        <f>IF(D18429&lt;&gt;"",IF(COUNTIF('USPTO TMs'!A:A,D18429)&gt;0,"Yes","No"),"")</f>
        <v/>
      </c>
      <c r="C18429" s="11"/>
      <c r="D18429" s="11"/>
      <c r="E18429" s="11"/>
      <c r="F18429" s="11"/>
      <c r="G18429" s="11"/>
      <c r="H18429" s="11"/>
      <c r="I18429" s="15"/>
    </row>
    <row r="18430" spans="1:9" ht="16.5">
      <c r="A18430" s="10" t="b">
        <v>0</v>
      </c>
      <c r="B18430" s="11" t="str">
        <f>IF(D18430&lt;&gt;"",IF(COUNTIF('USPTO TMs'!A:A,D18430)&gt;0,"Yes","No"),"")</f>
        <v/>
      </c>
      <c r="C18430" s="11"/>
      <c r="D18430" s="11"/>
      <c r="E18430" s="11"/>
      <c r="F18430" s="11"/>
      <c r="G18430" s="11"/>
      <c r="H18430" s="11"/>
      <c r="I18430" s="15"/>
    </row>
    <row r="18431" spans="1:9" ht="16.5">
      <c r="A18431" s="10" t="b">
        <v>0</v>
      </c>
      <c r="B18431" s="11" t="str">
        <f>IF(D18431&lt;&gt;"",IF(COUNTIF('USPTO TMs'!A:A,D18431)&gt;0,"Yes","No"),"")</f>
        <v/>
      </c>
      <c r="C18431" s="11"/>
      <c r="D18431" s="11"/>
      <c r="E18431" s="11"/>
      <c r="F18431" s="11"/>
      <c r="G18431" s="11"/>
      <c r="H18431" s="11"/>
      <c r="I18431" s="15"/>
    </row>
    <row r="18432" spans="1:9" ht="16.5">
      <c r="A18432" s="10" t="b">
        <v>0</v>
      </c>
      <c r="B18432" s="11" t="str">
        <f>IF(D18432&lt;&gt;"",IF(COUNTIF('USPTO TMs'!A:A,D18432)&gt;0,"Yes","No"),"")</f>
        <v/>
      </c>
      <c r="C18432" s="11"/>
      <c r="D18432" s="11"/>
      <c r="E18432" s="11"/>
      <c r="F18432" s="11"/>
      <c r="G18432" s="11"/>
      <c r="H18432" s="11"/>
      <c r="I18432" s="15"/>
    </row>
    <row r="18433" spans="1:9" ht="16.5">
      <c r="A18433" s="10" t="b">
        <v>0</v>
      </c>
      <c r="B18433" s="11" t="str">
        <f>IF(D18433&lt;&gt;"",IF(COUNTIF('USPTO TMs'!A:A,D18433)&gt;0,"Yes","No"),"")</f>
        <v/>
      </c>
      <c r="C18433" s="11"/>
      <c r="D18433" s="11"/>
      <c r="E18433" s="11"/>
      <c r="F18433" s="11"/>
      <c r="G18433" s="11"/>
      <c r="H18433" s="11"/>
      <c r="I18433" s="15"/>
    </row>
    <row r="18434" spans="1:9" ht="16.5">
      <c r="A18434" s="10" t="b">
        <v>0</v>
      </c>
      <c r="B18434" s="11" t="str">
        <f>IF(D18434&lt;&gt;"",IF(COUNTIF('USPTO TMs'!A:A,D18434)&gt;0,"Yes","No"),"")</f>
        <v/>
      </c>
      <c r="C18434" s="11"/>
      <c r="D18434" s="11"/>
      <c r="E18434" s="11"/>
      <c r="F18434" s="11"/>
      <c r="G18434" s="11"/>
      <c r="H18434" s="11"/>
      <c r="I18434" s="15"/>
    </row>
    <row r="18435" spans="1:9" ht="16.5">
      <c r="A18435" s="10" t="b">
        <v>0</v>
      </c>
      <c r="B18435" s="11" t="str">
        <f>IF(D18435&lt;&gt;"",IF(COUNTIF('USPTO TMs'!A:A,D18435)&gt;0,"Yes","No"),"")</f>
        <v/>
      </c>
      <c r="C18435" s="11"/>
      <c r="D18435" s="11"/>
      <c r="E18435" s="11"/>
      <c r="F18435" s="11"/>
      <c r="G18435" s="11"/>
      <c r="H18435" s="11"/>
      <c r="I18435" s="15"/>
    </row>
    <row r="18436" spans="1:9" ht="16.5">
      <c r="A18436" s="10" t="b">
        <v>0</v>
      </c>
      <c r="B18436" s="11" t="str">
        <f>IF(D18436&lt;&gt;"",IF(COUNTIF('USPTO TMs'!A:A,D18436)&gt;0,"Yes","No"),"")</f>
        <v/>
      </c>
      <c r="C18436" s="11"/>
      <c r="D18436" s="11"/>
      <c r="E18436" s="11"/>
      <c r="F18436" s="11"/>
      <c r="G18436" s="11"/>
      <c r="H18436" s="11"/>
      <c r="I18436" s="15"/>
    </row>
    <row r="18437" spans="1:9" ht="16.5">
      <c r="A18437" s="10" t="b">
        <v>0</v>
      </c>
      <c r="B18437" s="11" t="str">
        <f>IF(D18437&lt;&gt;"",IF(COUNTIF('USPTO TMs'!A:A,D18437)&gt;0,"Yes","No"),"")</f>
        <v/>
      </c>
      <c r="C18437" s="11"/>
      <c r="D18437" s="11"/>
      <c r="E18437" s="11"/>
      <c r="F18437" s="11"/>
      <c r="G18437" s="11"/>
      <c r="H18437" s="11"/>
      <c r="I18437" s="15"/>
    </row>
    <row r="18438" spans="1:9" ht="16.5">
      <c r="A18438" s="10" t="b">
        <v>0</v>
      </c>
      <c r="B18438" s="11" t="str">
        <f>IF(D18438&lt;&gt;"",IF(COUNTIF('USPTO TMs'!A:A,D18438)&gt;0,"Yes","No"),"")</f>
        <v/>
      </c>
      <c r="C18438" s="11"/>
      <c r="D18438" s="11"/>
      <c r="E18438" s="11"/>
      <c r="F18438" s="11"/>
      <c r="G18438" s="11"/>
      <c r="H18438" s="11"/>
      <c r="I18438" s="15"/>
    </row>
    <row r="18439" spans="1:9" ht="16.5">
      <c r="A18439" s="10" t="b">
        <v>0</v>
      </c>
      <c r="B18439" s="11" t="str">
        <f>IF(D18439&lt;&gt;"",IF(COUNTIF('USPTO TMs'!A:A,D18439)&gt;0,"Yes","No"),"")</f>
        <v/>
      </c>
      <c r="C18439" s="11"/>
      <c r="D18439" s="11"/>
      <c r="E18439" s="11"/>
      <c r="F18439" s="11"/>
      <c r="G18439" s="11"/>
      <c r="H18439" s="11"/>
      <c r="I18439" s="15"/>
    </row>
    <row r="18440" spans="1:9" ht="16.5">
      <c r="A18440" s="10" t="b">
        <v>0</v>
      </c>
      <c r="B18440" s="11" t="str">
        <f>IF(D18440&lt;&gt;"",IF(COUNTIF('USPTO TMs'!A:A,D18440)&gt;0,"Yes","No"),"")</f>
        <v/>
      </c>
      <c r="C18440" s="11"/>
      <c r="D18440" s="11"/>
      <c r="E18440" s="11"/>
      <c r="F18440" s="11"/>
      <c r="G18440" s="11"/>
      <c r="H18440" s="11"/>
      <c r="I18440" s="15"/>
    </row>
    <row r="18441" spans="1:9" ht="16.5">
      <c r="A18441" s="10" t="b">
        <v>0</v>
      </c>
      <c r="B18441" s="11" t="str">
        <f>IF(D18441&lt;&gt;"",IF(COUNTIF('USPTO TMs'!A:A,D18441)&gt;0,"Yes","No"),"")</f>
        <v/>
      </c>
      <c r="C18441" s="11"/>
      <c r="D18441" s="11"/>
      <c r="E18441" s="11"/>
      <c r="F18441" s="11"/>
      <c r="G18441" s="11"/>
      <c r="H18441" s="11"/>
      <c r="I18441" s="15"/>
    </row>
    <row r="18442" spans="1:9" ht="16.5">
      <c r="A18442" s="10" t="b">
        <v>0</v>
      </c>
      <c r="B18442" s="11" t="str">
        <f>IF(D18442&lt;&gt;"",IF(COUNTIF('USPTO TMs'!A:A,D18442)&gt;0,"Yes","No"),"")</f>
        <v/>
      </c>
      <c r="C18442" s="11"/>
      <c r="D18442" s="11"/>
      <c r="E18442" s="11"/>
      <c r="F18442" s="11"/>
      <c r="G18442" s="11"/>
      <c r="H18442" s="11"/>
      <c r="I18442" s="15"/>
    </row>
    <row r="18443" spans="1:9" ht="16.5">
      <c r="A18443" s="10" t="b">
        <v>0</v>
      </c>
      <c r="B18443" s="11" t="str">
        <f>IF(D18443&lt;&gt;"",IF(COUNTIF('USPTO TMs'!A:A,D18443)&gt;0,"Yes","No"),"")</f>
        <v/>
      </c>
      <c r="C18443" s="11"/>
      <c r="D18443" s="11"/>
      <c r="E18443" s="11"/>
      <c r="F18443" s="11"/>
      <c r="G18443" s="11"/>
      <c r="H18443" s="11"/>
      <c r="I18443" s="15"/>
    </row>
    <row r="18444" spans="1:9" ht="16.5">
      <c r="A18444" s="10" t="b">
        <v>0</v>
      </c>
      <c r="B18444" s="11" t="str">
        <f>IF(D18444&lt;&gt;"",IF(COUNTIF('USPTO TMs'!A:A,D18444)&gt;0,"Yes","No"),"")</f>
        <v/>
      </c>
      <c r="C18444" s="11"/>
      <c r="D18444" s="11"/>
      <c r="E18444" s="11"/>
      <c r="F18444" s="11"/>
      <c r="G18444" s="11"/>
      <c r="H18444" s="11"/>
      <c r="I18444" s="15"/>
    </row>
    <row r="18445" spans="1:9" ht="16.5">
      <c r="A18445" s="10" t="b">
        <v>0</v>
      </c>
      <c r="B18445" s="11" t="str">
        <f>IF(D18445&lt;&gt;"",IF(COUNTIF('USPTO TMs'!A:A,D18445)&gt;0,"Yes","No"),"")</f>
        <v/>
      </c>
      <c r="C18445" s="11"/>
      <c r="D18445" s="11"/>
      <c r="E18445" s="11"/>
      <c r="F18445" s="11"/>
      <c r="G18445" s="11"/>
      <c r="H18445" s="11"/>
      <c r="I18445" s="15"/>
    </row>
    <row r="18446" spans="1:9" ht="16.5">
      <c r="A18446" s="10" t="b">
        <v>0</v>
      </c>
      <c r="B18446" s="11" t="str">
        <f>IF(D18446&lt;&gt;"",IF(COUNTIF('USPTO TMs'!A:A,D18446)&gt;0,"Yes","No"),"")</f>
        <v/>
      </c>
      <c r="C18446" s="11"/>
      <c r="D18446" s="11"/>
      <c r="E18446" s="11"/>
      <c r="F18446" s="11"/>
      <c r="G18446" s="11"/>
      <c r="H18446" s="11"/>
      <c r="I18446" s="15"/>
    </row>
    <row r="18447" spans="1:9" ht="16.5">
      <c r="A18447" s="10" t="b">
        <v>0</v>
      </c>
      <c r="B18447" s="11" t="str">
        <f>IF(D18447&lt;&gt;"",IF(COUNTIF('USPTO TMs'!A:A,D18447)&gt;0,"Yes","No"),"")</f>
        <v/>
      </c>
      <c r="C18447" s="11"/>
      <c r="D18447" s="11"/>
      <c r="E18447" s="11"/>
      <c r="F18447" s="11"/>
      <c r="G18447" s="11"/>
      <c r="H18447" s="11"/>
      <c r="I18447" s="15"/>
    </row>
    <row r="18448" spans="1:9" ht="16.5">
      <c r="A18448" s="10" t="b">
        <v>0</v>
      </c>
      <c r="B18448" s="11" t="str">
        <f>IF(D18448&lt;&gt;"",IF(COUNTIF('USPTO TMs'!A:A,D18448)&gt;0,"Yes","No"),"")</f>
        <v/>
      </c>
      <c r="C18448" s="11"/>
      <c r="D18448" s="11"/>
      <c r="E18448" s="11"/>
      <c r="F18448" s="11"/>
      <c r="G18448" s="11"/>
      <c r="H18448" s="11"/>
      <c r="I18448" s="15"/>
    </row>
    <row r="18449" spans="1:9" ht="16.5">
      <c r="A18449" s="10" t="b">
        <v>0</v>
      </c>
      <c r="B18449" s="11" t="str">
        <f>IF(D18449&lt;&gt;"",IF(COUNTIF('USPTO TMs'!A:A,D18449)&gt;0,"Yes","No"),"")</f>
        <v/>
      </c>
      <c r="C18449" s="11"/>
      <c r="D18449" s="11"/>
      <c r="E18449" s="11"/>
      <c r="F18449" s="11"/>
      <c r="G18449" s="11"/>
      <c r="H18449" s="11"/>
      <c r="I18449" s="15"/>
    </row>
    <row r="18450" spans="1:9" ht="16.5">
      <c r="A18450" s="10" t="b">
        <v>0</v>
      </c>
      <c r="B18450" s="11" t="str">
        <f>IF(D18450&lt;&gt;"",IF(COUNTIF('USPTO TMs'!A:A,D18450)&gt;0,"Yes","No"),"")</f>
        <v/>
      </c>
      <c r="C18450" s="11"/>
      <c r="D18450" s="11"/>
      <c r="E18450" s="11"/>
      <c r="F18450" s="11"/>
      <c r="G18450" s="11"/>
      <c r="H18450" s="11"/>
      <c r="I18450" s="15"/>
    </row>
    <row r="18451" spans="1:9" ht="16.5">
      <c r="A18451" s="10" t="b">
        <v>0</v>
      </c>
      <c r="B18451" s="11" t="str">
        <f>IF(D18451&lt;&gt;"",IF(COUNTIF('USPTO TMs'!A:A,D18451)&gt;0,"Yes","No"),"")</f>
        <v/>
      </c>
      <c r="C18451" s="11"/>
      <c r="D18451" s="11"/>
      <c r="E18451" s="11"/>
      <c r="F18451" s="11"/>
      <c r="G18451" s="11"/>
      <c r="H18451" s="11"/>
      <c r="I18451" s="15"/>
    </row>
    <row r="18452" spans="1:9" ht="16.5">
      <c r="A18452" s="10" t="b">
        <v>0</v>
      </c>
      <c r="B18452" s="11" t="str">
        <f>IF(D18452&lt;&gt;"",IF(COUNTIF('USPTO TMs'!A:A,D18452)&gt;0,"Yes","No"),"")</f>
        <v/>
      </c>
      <c r="C18452" s="11"/>
      <c r="D18452" s="11"/>
      <c r="E18452" s="11"/>
      <c r="F18452" s="11"/>
      <c r="G18452" s="11"/>
      <c r="H18452" s="11"/>
      <c r="I18452" s="15"/>
    </row>
    <row r="18453" spans="1:9" ht="16.5">
      <c r="A18453" s="10" t="b">
        <v>0</v>
      </c>
      <c r="B18453" s="11" t="str">
        <f>IF(D18453&lt;&gt;"",IF(COUNTIF('USPTO TMs'!A:A,D18453)&gt;0,"Yes","No"),"")</f>
        <v/>
      </c>
      <c r="C18453" s="11"/>
      <c r="D18453" s="11"/>
      <c r="E18453" s="11"/>
      <c r="F18453" s="11"/>
      <c r="G18453" s="11"/>
      <c r="H18453" s="11"/>
      <c r="I18453" s="15"/>
    </row>
    <row r="18454" spans="1:9" ht="16.5">
      <c r="A18454" s="10" t="b">
        <v>0</v>
      </c>
      <c r="B18454" s="11" t="str">
        <f>IF(D18454&lt;&gt;"",IF(COUNTIF('USPTO TMs'!A:A,D18454)&gt;0,"Yes","No"),"")</f>
        <v/>
      </c>
      <c r="C18454" s="11"/>
      <c r="D18454" s="11"/>
      <c r="E18454" s="11"/>
      <c r="F18454" s="11"/>
      <c r="G18454" s="11"/>
      <c r="H18454" s="11"/>
      <c r="I18454" s="15"/>
    </row>
    <row r="18455" spans="1:9" ht="16.5">
      <c r="A18455" s="10" t="b">
        <v>0</v>
      </c>
      <c r="B18455" s="11" t="str">
        <f>IF(D18455&lt;&gt;"",IF(COUNTIF('USPTO TMs'!A:A,D18455)&gt;0,"Yes","No"),"")</f>
        <v/>
      </c>
      <c r="C18455" s="11"/>
      <c r="D18455" s="11"/>
      <c r="E18455" s="11"/>
      <c r="F18455" s="11"/>
      <c r="G18455" s="11"/>
      <c r="H18455" s="11"/>
      <c r="I18455" s="15"/>
    </row>
    <row r="18456" spans="1:9" ht="16.5">
      <c r="A18456" s="10" t="b">
        <v>0</v>
      </c>
      <c r="B18456" s="11" t="str">
        <f>IF(D18456&lt;&gt;"",IF(COUNTIF('USPTO TMs'!A:A,D18456)&gt;0,"Yes","No"),"")</f>
        <v/>
      </c>
      <c r="C18456" s="11"/>
      <c r="D18456" s="11"/>
      <c r="E18456" s="11"/>
      <c r="F18456" s="11"/>
      <c r="G18456" s="11"/>
      <c r="H18456" s="11"/>
      <c r="I18456" s="15"/>
    </row>
    <row r="18457" spans="1:9" ht="16.5">
      <c r="A18457" s="10" t="b">
        <v>0</v>
      </c>
      <c r="B18457" s="11" t="str">
        <f>IF(D18457&lt;&gt;"",IF(COUNTIF('USPTO TMs'!A:A,D18457)&gt;0,"Yes","No"),"")</f>
        <v/>
      </c>
      <c r="C18457" s="11"/>
      <c r="D18457" s="11"/>
      <c r="E18457" s="11"/>
      <c r="F18457" s="11"/>
      <c r="G18457" s="11"/>
      <c r="H18457" s="11"/>
      <c r="I18457" s="15"/>
    </row>
    <row r="18458" spans="1:9" ht="16.5">
      <c r="A18458" s="10" t="b">
        <v>0</v>
      </c>
      <c r="B18458" s="11" t="str">
        <f>IF(D18458&lt;&gt;"",IF(COUNTIF('USPTO TMs'!A:A,D18458)&gt;0,"Yes","No"),"")</f>
        <v/>
      </c>
      <c r="C18458" s="11"/>
      <c r="D18458" s="11"/>
      <c r="E18458" s="11"/>
      <c r="F18458" s="11"/>
      <c r="G18458" s="11"/>
      <c r="H18458" s="11"/>
      <c r="I18458" s="15"/>
    </row>
    <row r="18459" spans="1:9" ht="16.5">
      <c r="A18459" s="10" t="b">
        <v>0</v>
      </c>
      <c r="B18459" s="11" t="str">
        <f>IF(D18459&lt;&gt;"",IF(COUNTIF('USPTO TMs'!A:A,D18459)&gt;0,"Yes","No"),"")</f>
        <v/>
      </c>
      <c r="C18459" s="11"/>
      <c r="D18459" s="11"/>
      <c r="E18459" s="11"/>
      <c r="F18459" s="11"/>
      <c r="G18459" s="11"/>
      <c r="H18459" s="11"/>
      <c r="I18459" s="15"/>
    </row>
    <row r="18460" spans="1:9" ht="16.5">
      <c r="A18460" s="10" t="b">
        <v>0</v>
      </c>
      <c r="B18460" s="11" t="str">
        <f>IF(D18460&lt;&gt;"",IF(COUNTIF('USPTO TMs'!A:A,D18460)&gt;0,"Yes","No"),"")</f>
        <v/>
      </c>
      <c r="C18460" s="11"/>
      <c r="D18460" s="11"/>
      <c r="E18460" s="11"/>
      <c r="F18460" s="11"/>
      <c r="G18460" s="11"/>
      <c r="H18460" s="11"/>
      <c r="I18460" s="15"/>
    </row>
    <row r="18461" spans="1:9" ht="16.5">
      <c r="A18461" s="10" t="b">
        <v>0</v>
      </c>
      <c r="B18461" s="11" t="str">
        <f>IF(D18461&lt;&gt;"",IF(COUNTIF('USPTO TMs'!A:A,D18461)&gt;0,"Yes","No"),"")</f>
        <v/>
      </c>
      <c r="C18461" s="11"/>
      <c r="D18461" s="11"/>
      <c r="E18461" s="11"/>
      <c r="F18461" s="11"/>
      <c r="G18461" s="11"/>
      <c r="H18461" s="11"/>
      <c r="I18461" s="15"/>
    </row>
    <row r="18462" spans="1:9" ht="16.5">
      <c r="A18462" s="10" t="b">
        <v>0</v>
      </c>
      <c r="B18462" s="11" t="str">
        <f>IF(D18462&lt;&gt;"",IF(COUNTIF('USPTO TMs'!A:A,D18462)&gt;0,"Yes","No"),"")</f>
        <v/>
      </c>
      <c r="C18462" s="11"/>
      <c r="D18462" s="11"/>
      <c r="E18462" s="11"/>
      <c r="F18462" s="11"/>
      <c r="G18462" s="11"/>
      <c r="H18462" s="11"/>
      <c r="I18462" s="15"/>
    </row>
    <row r="18463" spans="1:9" ht="16.5">
      <c r="A18463" s="10" t="b">
        <v>0</v>
      </c>
      <c r="B18463" s="11" t="str">
        <f>IF(D18463&lt;&gt;"",IF(COUNTIF('USPTO TMs'!A:A,D18463)&gt;0,"Yes","No"),"")</f>
        <v/>
      </c>
      <c r="C18463" s="11"/>
      <c r="D18463" s="11"/>
      <c r="E18463" s="11"/>
      <c r="F18463" s="11"/>
      <c r="G18463" s="11"/>
      <c r="H18463" s="11"/>
      <c r="I18463" s="15"/>
    </row>
    <row r="18464" spans="1:9" ht="16.5">
      <c r="A18464" s="10" t="b">
        <v>0</v>
      </c>
      <c r="B18464" s="11" t="str">
        <f>IF(D18464&lt;&gt;"",IF(COUNTIF('USPTO TMs'!A:A,D18464)&gt;0,"Yes","No"),"")</f>
        <v/>
      </c>
      <c r="C18464" s="11"/>
      <c r="D18464" s="11"/>
      <c r="E18464" s="11"/>
      <c r="F18464" s="11"/>
      <c r="G18464" s="11"/>
      <c r="H18464" s="11"/>
      <c r="I18464" s="15"/>
    </row>
    <row r="18465" spans="1:9" ht="16.5">
      <c r="A18465" s="10" t="b">
        <v>0</v>
      </c>
      <c r="B18465" s="11" t="str">
        <f>IF(D18465&lt;&gt;"",IF(COUNTIF('USPTO TMs'!A:A,D18465)&gt;0,"Yes","No"),"")</f>
        <v/>
      </c>
      <c r="C18465" s="11"/>
      <c r="D18465" s="11"/>
      <c r="E18465" s="11"/>
      <c r="F18465" s="11"/>
      <c r="G18465" s="11"/>
      <c r="H18465" s="11"/>
      <c r="I18465" s="15"/>
    </row>
    <row r="18466" spans="1:9" ht="16.5">
      <c r="A18466" s="10" t="b">
        <v>0</v>
      </c>
      <c r="B18466" s="11" t="str">
        <f>IF(D18466&lt;&gt;"",IF(COUNTIF('USPTO TMs'!A:A,D18466)&gt;0,"Yes","No"),"")</f>
        <v/>
      </c>
      <c r="C18466" s="11"/>
      <c r="D18466" s="11"/>
      <c r="E18466" s="11"/>
      <c r="F18466" s="11"/>
      <c r="G18466" s="11"/>
      <c r="H18466" s="11"/>
      <c r="I18466" s="15"/>
    </row>
    <row r="18467" spans="1:9" ht="16.5">
      <c r="A18467" s="10" t="b">
        <v>0</v>
      </c>
      <c r="B18467" s="11" t="str">
        <f>IF(D18467&lt;&gt;"",IF(COUNTIF('USPTO TMs'!A:A,D18467)&gt;0,"Yes","No"),"")</f>
        <v/>
      </c>
      <c r="C18467" s="11"/>
      <c r="D18467" s="11"/>
      <c r="E18467" s="11"/>
      <c r="F18467" s="11"/>
      <c r="G18467" s="11"/>
      <c r="H18467" s="11"/>
      <c r="I18467" s="15"/>
    </row>
    <row r="18468" spans="1:9" ht="16.5">
      <c r="A18468" s="10" t="b">
        <v>0</v>
      </c>
      <c r="B18468" s="11" t="str">
        <f>IF(D18468&lt;&gt;"",IF(COUNTIF('USPTO TMs'!A:A,D18468)&gt;0,"Yes","No"),"")</f>
        <v/>
      </c>
      <c r="C18468" s="11"/>
      <c r="D18468" s="11"/>
      <c r="E18468" s="11"/>
      <c r="F18468" s="11"/>
      <c r="G18468" s="11"/>
      <c r="H18468" s="11"/>
      <c r="I18468" s="15"/>
    </row>
    <row r="18469" spans="1:9" ht="16.5">
      <c r="A18469" s="10" t="b">
        <v>0</v>
      </c>
      <c r="B18469" s="11" t="str">
        <f>IF(D18469&lt;&gt;"",IF(COUNTIF('USPTO TMs'!A:A,D18469)&gt;0,"Yes","No"),"")</f>
        <v/>
      </c>
      <c r="C18469" s="11"/>
      <c r="D18469" s="11"/>
      <c r="E18469" s="11"/>
      <c r="F18469" s="11"/>
      <c r="G18469" s="11"/>
      <c r="H18469" s="11"/>
      <c r="I18469" s="15"/>
    </row>
    <row r="18470" spans="1:9" ht="16.5">
      <c r="A18470" s="10" t="b">
        <v>0</v>
      </c>
      <c r="B18470" s="11" t="str">
        <f>IF(D18470&lt;&gt;"",IF(COUNTIF('USPTO TMs'!A:A,D18470)&gt;0,"Yes","No"),"")</f>
        <v/>
      </c>
      <c r="C18470" s="11"/>
      <c r="D18470" s="11"/>
      <c r="E18470" s="11"/>
      <c r="F18470" s="11"/>
      <c r="G18470" s="11"/>
      <c r="H18470" s="11"/>
      <c r="I18470" s="15"/>
    </row>
    <row r="18471" spans="1:9" ht="16.5">
      <c r="A18471" s="10" t="b">
        <v>0</v>
      </c>
      <c r="B18471" s="11" t="str">
        <f>IF(D18471&lt;&gt;"",IF(COUNTIF('USPTO TMs'!A:A,D18471)&gt;0,"Yes","No"),"")</f>
        <v/>
      </c>
      <c r="C18471" s="11"/>
      <c r="D18471" s="11"/>
      <c r="E18471" s="11"/>
      <c r="F18471" s="11"/>
      <c r="G18471" s="11"/>
      <c r="H18471" s="11"/>
      <c r="I18471" s="15"/>
    </row>
    <row r="18472" spans="1:9" ht="16.5">
      <c r="A18472" s="10" t="b">
        <v>0</v>
      </c>
      <c r="B18472" s="11" t="str">
        <f>IF(D18472&lt;&gt;"",IF(COUNTIF('USPTO TMs'!A:A,D18472)&gt;0,"Yes","No"),"")</f>
        <v/>
      </c>
      <c r="C18472" s="11"/>
      <c r="D18472" s="11"/>
      <c r="E18472" s="11"/>
      <c r="F18472" s="11"/>
      <c r="G18472" s="11"/>
      <c r="H18472" s="11"/>
      <c r="I18472" s="15"/>
    </row>
    <row r="18473" spans="1:9" ht="16.5">
      <c r="A18473" s="10" t="b">
        <v>0</v>
      </c>
      <c r="B18473" s="11" t="str">
        <f>IF(D18473&lt;&gt;"",IF(COUNTIF('USPTO TMs'!A:A,D18473)&gt;0,"Yes","No"),"")</f>
        <v/>
      </c>
      <c r="C18473" s="11"/>
      <c r="D18473" s="11"/>
      <c r="E18473" s="11"/>
      <c r="F18473" s="11"/>
      <c r="G18473" s="11"/>
      <c r="H18473" s="11"/>
      <c r="I18473" s="15"/>
    </row>
    <row r="18474" spans="1:9" ht="16.5">
      <c r="A18474" s="10" t="b">
        <v>0</v>
      </c>
      <c r="B18474" s="11" t="str">
        <f>IF(D18474&lt;&gt;"",IF(COUNTIF('USPTO TMs'!A:A,D18474)&gt;0,"Yes","No"),"")</f>
        <v/>
      </c>
      <c r="C18474" s="11"/>
      <c r="D18474" s="11"/>
      <c r="E18474" s="11"/>
      <c r="F18474" s="11"/>
      <c r="G18474" s="11"/>
      <c r="H18474" s="11"/>
      <c r="I18474" s="15"/>
    </row>
    <row r="18475" spans="1:9" ht="16.5">
      <c r="A18475" s="10" t="b">
        <v>0</v>
      </c>
      <c r="B18475" s="11" t="str">
        <f>IF(D18475&lt;&gt;"",IF(COUNTIF('USPTO TMs'!A:A,D18475)&gt;0,"Yes","No"),"")</f>
        <v/>
      </c>
      <c r="C18475" s="11"/>
      <c r="D18475" s="11"/>
      <c r="E18475" s="11"/>
      <c r="F18475" s="11"/>
      <c r="G18475" s="11"/>
      <c r="H18475" s="11"/>
      <c r="I18475" s="15"/>
    </row>
    <row r="18476" spans="1:9" ht="16.5">
      <c r="A18476" s="10" t="b">
        <v>0</v>
      </c>
      <c r="B18476" s="11" t="str">
        <f>IF(D18476&lt;&gt;"",IF(COUNTIF('USPTO TMs'!A:A,D18476)&gt;0,"Yes","No"),"")</f>
        <v/>
      </c>
      <c r="C18476" s="11"/>
      <c r="D18476" s="11"/>
      <c r="E18476" s="11"/>
      <c r="F18476" s="11"/>
      <c r="G18476" s="11"/>
      <c r="H18476" s="11"/>
      <c r="I18476" s="15"/>
    </row>
    <row r="18477" spans="1:9" ht="16.5">
      <c r="A18477" s="10" t="b">
        <v>0</v>
      </c>
      <c r="B18477" s="11" t="str">
        <f>IF(D18477&lt;&gt;"",IF(COUNTIF('USPTO TMs'!A:A,D18477)&gt;0,"Yes","No"),"")</f>
        <v/>
      </c>
      <c r="C18477" s="11"/>
      <c r="D18477" s="11"/>
      <c r="E18477" s="11"/>
      <c r="F18477" s="11"/>
      <c r="G18477" s="11"/>
      <c r="H18477" s="11"/>
      <c r="I18477" s="15"/>
    </row>
    <row r="18478" spans="1:9" ht="16.5">
      <c r="A18478" s="10" t="b">
        <v>0</v>
      </c>
      <c r="B18478" s="11" t="str">
        <f>IF(D18478&lt;&gt;"",IF(COUNTIF('USPTO TMs'!A:A,D18478)&gt;0,"Yes","No"),"")</f>
        <v/>
      </c>
      <c r="C18478" s="11"/>
      <c r="D18478" s="11"/>
      <c r="E18478" s="11"/>
      <c r="F18478" s="11"/>
      <c r="G18478" s="11"/>
      <c r="H18478" s="11"/>
      <c r="I18478" s="15"/>
    </row>
    <row r="18479" spans="1:9" ht="16.5">
      <c r="A18479" s="10" t="b">
        <v>0</v>
      </c>
      <c r="B18479" s="11" t="str">
        <f>IF(D18479&lt;&gt;"",IF(COUNTIF('USPTO TMs'!A:A,D18479)&gt;0,"Yes","No"),"")</f>
        <v/>
      </c>
      <c r="C18479" s="11"/>
      <c r="D18479" s="11"/>
      <c r="E18479" s="11"/>
      <c r="F18479" s="11"/>
      <c r="G18479" s="11"/>
      <c r="H18479" s="11"/>
      <c r="I18479" s="15"/>
    </row>
    <row r="18480" spans="1:9" ht="16.5">
      <c r="A18480" s="10" t="b">
        <v>0</v>
      </c>
      <c r="B18480" s="11" t="str">
        <f>IF(D18480&lt;&gt;"",IF(COUNTIF('USPTO TMs'!A:A,D18480)&gt;0,"Yes","No"),"")</f>
        <v/>
      </c>
      <c r="C18480" s="11"/>
      <c r="D18480" s="11"/>
      <c r="E18480" s="11"/>
      <c r="F18480" s="11"/>
      <c r="G18480" s="11"/>
      <c r="H18480" s="11"/>
      <c r="I18480" s="15"/>
    </row>
    <row r="18481" spans="1:9" ht="16.5">
      <c r="A18481" s="10" t="b">
        <v>0</v>
      </c>
      <c r="B18481" s="11" t="str">
        <f>IF(D18481&lt;&gt;"",IF(COUNTIF('USPTO TMs'!A:A,D18481)&gt;0,"Yes","No"),"")</f>
        <v/>
      </c>
      <c r="C18481" s="11"/>
      <c r="D18481" s="11"/>
      <c r="E18481" s="11"/>
      <c r="F18481" s="11"/>
      <c r="G18481" s="11"/>
      <c r="H18481" s="11"/>
      <c r="I18481" s="15"/>
    </row>
    <row r="18482" spans="1:9" ht="16.5">
      <c r="A18482" s="10" t="b">
        <v>0</v>
      </c>
      <c r="B18482" s="11" t="str">
        <f>IF(D18482&lt;&gt;"",IF(COUNTIF('USPTO TMs'!A:A,D18482)&gt;0,"Yes","No"),"")</f>
        <v/>
      </c>
      <c r="C18482" s="11"/>
      <c r="D18482" s="11"/>
      <c r="E18482" s="11"/>
      <c r="F18482" s="11"/>
      <c r="G18482" s="11"/>
      <c r="H18482" s="11"/>
      <c r="I18482" s="15"/>
    </row>
    <row r="18483" spans="1:9" ht="16.5">
      <c r="A18483" s="10" t="b">
        <v>0</v>
      </c>
      <c r="B18483" s="11" t="str">
        <f>IF(D18483&lt;&gt;"",IF(COUNTIF('USPTO TMs'!A:A,D18483)&gt;0,"Yes","No"),"")</f>
        <v/>
      </c>
      <c r="C18483" s="11"/>
      <c r="D18483" s="11"/>
      <c r="E18483" s="11"/>
      <c r="F18483" s="11"/>
      <c r="G18483" s="11"/>
      <c r="H18483" s="11"/>
      <c r="I18483" s="15"/>
    </row>
    <row r="18484" spans="1:9" ht="16.5">
      <c r="A18484" s="10" t="b">
        <v>0</v>
      </c>
      <c r="B18484" s="11" t="str">
        <f>IF(D18484&lt;&gt;"",IF(COUNTIF('USPTO TMs'!A:A,D18484)&gt;0,"Yes","No"),"")</f>
        <v/>
      </c>
      <c r="C18484" s="11"/>
      <c r="D18484" s="11"/>
      <c r="E18484" s="11"/>
      <c r="F18484" s="11"/>
      <c r="G18484" s="11"/>
      <c r="H18484" s="11"/>
      <c r="I18484" s="15"/>
    </row>
    <row r="18485" spans="1:9" ht="16.5">
      <c r="A18485" s="10" t="b">
        <v>0</v>
      </c>
      <c r="B18485" s="11" t="str">
        <f>IF(D18485&lt;&gt;"",IF(COUNTIF('USPTO TMs'!A:A,D18485)&gt;0,"Yes","No"),"")</f>
        <v/>
      </c>
      <c r="C18485" s="11"/>
      <c r="D18485" s="11"/>
      <c r="E18485" s="11"/>
      <c r="F18485" s="11"/>
      <c r="G18485" s="11"/>
      <c r="H18485" s="11"/>
      <c r="I18485" s="15"/>
    </row>
    <row r="18486" spans="1:9" ht="16.5">
      <c r="A18486" s="10" t="b">
        <v>0</v>
      </c>
      <c r="B18486" s="11" t="str">
        <f>IF(D18486&lt;&gt;"",IF(COUNTIF('USPTO TMs'!A:A,D18486)&gt;0,"Yes","No"),"")</f>
        <v/>
      </c>
      <c r="C18486" s="11"/>
      <c r="D18486" s="11"/>
      <c r="E18486" s="11"/>
      <c r="F18486" s="11"/>
      <c r="G18486" s="11"/>
      <c r="H18486" s="11"/>
      <c r="I18486" s="15"/>
    </row>
    <row r="18487" spans="1:9" ht="16.5">
      <c r="A18487" s="10" t="b">
        <v>0</v>
      </c>
      <c r="B18487" s="11" t="str">
        <f>IF(D18487&lt;&gt;"",IF(COUNTIF('USPTO TMs'!A:A,D18487)&gt;0,"Yes","No"),"")</f>
        <v/>
      </c>
      <c r="C18487" s="11"/>
      <c r="D18487" s="11"/>
      <c r="E18487" s="11"/>
      <c r="F18487" s="11"/>
      <c r="G18487" s="11"/>
      <c r="H18487" s="11"/>
      <c r="I18487" s="15"/>
    </row>
    <row r="18488" spans="1:9" ht="16.5">
      <c r="A18488" s="10" t="b">
        <v>0</v>
      </c>
      <c r="B18488" s="11" t="str">
        <f>IF(D18488&lt;&gt;"",IF(COUNTIF('USPTO TMs'!A:A,D18488)&gt;0,"Yes","No"),"")</f>
        <v/>
      </c>
      <c r="C18488" s="11"/>
      <c r="D18488" s="11"/>
      <c r="E18488" s="11"/>
      <c r="F18488" s="11"/>
      <c r="G18488" s="11"/>
      <c r="H18488" s="11"/>
      <c r="I18488" s="15"/>
    </row>
    <row r="18489" spans="1:9" ht="16.5">
      <c r="A18489" s="10" t="b">
        <v>0</v>
      </c>
      <c r="B18489" s="11" t="str">
        <f>IF(D18489&lt;&gt;"",IF(COUNTIF('USPTO TMs'!A:A,D18489)&gt;0,"Yes","No"),"")</f>
        <v/>
      </c>
      <c r="C18489" s="11"/>
      <c r="D18489" s="11"/>
      <c r="E18489" s="11"/>
      <c r="F18489" s="11"/>
      <c r="G18489" s="11"/>
      <c r="H18489" s="11"/>
      <c r="I18489" s="15"/>
    </row>
    <row r="18490" spans="1:9" ht="16.5">
      <c r="A18490" s="10" t="b">
        <v>0</v>
      </c>
      <c r="B18490" s="11" t="str">
        <f>IF(D18490&lt;&gt;"",IF(COUNTIF('USPTO TMs'!A:A,D18490)&gt;0,"Yes","No"),"")</f>
        <v/>
      </c>
      <c r="C18490" s="11"/>
      <c r="D18490" s="11"/>
      <c r="E18490" s="11"/>
      <c r="F18490" s="11"/>
      <c r="G18490" s="11"/>
      <c r="H18490" s="11"/>
      <c r="I18490" s="15"/>
    </row>
    <row r="18491" spans="1:9" ht="16.5">
      <c r="A18491" s="10" t="b">
        <v>0</v>
      </c>
      <c r="B18491" s="11" t="str">
        <f>IF(D18491&lt;&gt;"",IF(COUNTIF('USPTO TMs'!A:A,D18491)&gt;0,"Yes","No"),"")</f>
        <v/>
      </c>
      <c r="C18491" s="11"/>
      <c r="D18491" s="11"/>
      <c r="E18491" s="11"/>
      <c r="F18491" s="11"/>
      <c r="G18491" s="11"/>
      <c r="H18491" s="11"/>
      <c r="I18491" s="15"/>
    </row>
    <row r="18492" spans="1:9" ht="16.5">
      <c r="A18492" s="10" t="b">
        <v>0</v>
      </c>
      <c r="B18492" s="11" t="str">
        <f>IF(D18492&lt;&gt;"",IF(COUNTIF('USPTO TMs'!A:A,D18492)&gt;0,"Yes","No"),"")</f>
        <v/>
      </c>
      <c r="C18492" s="11"/>
      <c r="D18492" s="11"/>
      <c r="E18492" s="11"/>
      <c r="F18492" s="11"/>
      <c r="G18492" s="11"/>
      <c r="H18492" s="11"/>
      <c r="I18492" s="15"/>
    </row>
    <row r="18493" spans="1:9" ht="16.5">
      <c r="A18493" s="10" t="b">
        <v>0</v>
      </c>
      <c r="B18493" s="11" t="str">
        <f>IF(D18493&lt;&gt;"",IF(COUNTIF('USPTO TMs'!A:A,D18493)&gt;0,"Yes","No"),"")</f>
        <v/>
      </c>
      <c r="C18493" s="11"/>
      <c r="D18493" s="11"/>
      <c r="E18493" s="11"/>
      <c r="F18493" s="11"/>
      <c r="G18493" s="11"/>
      <c r="H18493" s="11"/>
      <c r="I18493" s="15"/>
    </row>
    <row r="18494" spans="1:9" ht="16.5">
      <c r="A18494" s="10" t="b">
        <v>0</v>
      </c>
      <c r="B18494" s="11" t="str">
        <f>IF(D18494&lt;&gt;"",IF(COUNTIF('USPTO TMs'!A:A,D18494)&gt;0,"Yes","No"),"")</f>
        <v/>
      </c>
      <c r="C18494" s="11"/>
      <c r="D18494" s="11"/>
      <c r="E18494" s="11"/>
      <c r="F18494" s="11"/>
      <c r="G18494" s="11"/>
      <c r="H18494" s="11"/>
      <c r="I18494" s="15"/>
    </row>
    <row r="18495" spans="1:9" ht="16.5">
      <c r="A18495" s="10" t="b">
        <v>0</v>
      </c>
      <c r="B18495" s="11" t="str">
        <f>IF(D18495&lt;&gt;"",IF(COUNTIF('USPTO TMs'!A:A,D18495)&gt;0,"Yes","No"),"")</f>
        <v/>
      </c>
      <c r="C18495" s="11"/>
      <c r="D18495" s="11"/>
      <c r="E18495" s="11"/>
      <c r="F18495" s="11"/>
      <c r="G18495" s="11"/>
      <c r="H18495" s="11"/>
      <c r="I18495" s="15"/>
    </row>
    <row r="18496" spans="1:9" ht="16.5">
      <c r="A18496" s="10" t="b">
        <v>0</v>
      </c>
      <c r="B18496" s="11" t="str">
        <f>IF(D18496&lt;&gt;"",IF(COUNTIF('USPTO TMs'!A:A,D18496)&gt;0,"Yes","No"),"")</f>
        <v/>
      </c>
      <c r="C18496" s="11"/>
      <c r="D18496" s="11"/>
      <c r="E18496" s="11"/>
      <c r="F18496" s="11"/>
      <c r="G18496" s="11"/>
      <c r="H18496" s="11"/>
      <c r="I18496" s="15"/>
    </row>
    <row r="18497" spans="1:9" ht="16.5">
      <c r="A18497" s="10" t="b">
        <v>0</v>
      </c>
      <c r="B18497" s="11" t="str">
        <f>IF(D18497&lt;&gt;"",IF(COUNTIF('USPTO TMs'!A:A,D18497)&gt;0,"Yes","No"),"")</f>
        <v/>
      </c>
      <c r="C18497" s="11"/>
      <c r="D18497" s="11"/>
      <c r="E18497" s="11"/>
      <c r="F18497" s="11"/>
      <c r="G18497" s="11"/>
      <c r="H18497" s="11"/>
      <c r="I18497" s="15"/>
    </row>
    <row r="18498" spans="1:9" ht="16.5">
      <c r="A18498" s="10" t="b">
        <v>0</v>
      </c>
      <c r="B18498" s="11" t="str">
        <f>IF(D18498&lt;&gt;"",IF(COUNTIF('USPTO TMs'!A:A,D18498)&gt;0,"Yes","No"),"")</f>
        <v/>
      </c>
      <c r="C18498" s="11"/>
      <c r="D18498" s="11"/>
      <c r="E18498" s="11"/>
      <c r="F18498" s="11"/>
      <c r="G18498" s="11"/>
      <c r="H18498" s="11"/>
      <c r="I18498" s="15"/>
    </row>
    <row r="18499" spans="1:9" ht="16.5">
      <c r="A18499" s="10" t="b">
        <v>0</v>
      </c>
      <c r="B18499" s="11" t="str">
        <f>IF(D18499&lt;&gt;"",IF(COUNTIF('USPTO TMs'!A:A,D18499)&gt;0,"Yes","No"),"")</f>
        <v/>
      </c>
      <c r="C18499" s="11"/>
      <c r="D18499" s="11"/>
      <c r="E18499" s="11"/>
      <c r="F18499" s="11"/>
      <c r="G18499" s="11"/>
      <c r="H18499" s="11"/>
      <c r="I18499" s="15"/>
    </row>
    <row r="18500" spans="1:9" ht="16.5">
      <c r="A18500" s="10" t="b">
        <v>0</v>
      </c>
      <c r="B18500" s="11" t="str">
        <f>IF(D18500&lt;&gt;"",IF(COUNTIF('USPTO TMs'!A:A,D18500)&gt;0,"Yes","No"),"")</f>
        <v/>
      </c>
      <c r="C18500" s="11"/>
      <c r="D18500" s="11"/>
      <c r="E18500" s="11"/>
      <c r="F18500" s="11"/>
      <c r="G18500" s="11"/>
      <c r="H18500" s="11"/>
      <c r="I18500" s="15"/>
    </row>
    <row r="18501" spans="1:9" ht="16.5">
      <c r="A18501" s="10" t="b">
        <v>0</v>
      </c>
      <c r="B18501" s="11" t="str">
        <f>IF(D18501&lt;&gt;"",IF(COUNTIF('USPTO TMs'!A:A,D18501)&gt;0,"Yes","No"),"")</f>
        <v/>
      </c>
      <c r="C18501" s="11"/>
      <c r="D18501" s="11"/>
      <c r="E18501" s="11"/>
      <c r="F18501" s="11"/>
      <c r="G18501" s="11"/>
      <c r="H18501" s="11"/>
      <c r="I18501" s="15"/>
    </row>
    <row r="18502" spans="1:9" ht="16.5">
      <c r="A18502" s="10" t="b">
        <v>0</v>
      </c>
      <c r="B18502" s="11" t="str">
        <f>IF(D18502&lt;&gt;"",IF(COUNTIF('USPTO TMs'!A:A,D18502)&gt;0,"Yes","No"),"")</f>
        <v/>
      </c>
      <c r="C18502" s="11"/>
      <c r="D18502" s="11"/>
      <c r="E18502" s="11"/>
      <c r="F18502" s="11"/>
      <c r="G18502" s="11"/>
      <c r="H18502" s="11"/>
      <c r="I18502" s="15"/>
    </row>
    <row r="18503" spans="1:9" ht="16.5">
      <c r="A18503" s="10" t="b">
        <v>0</v>
      </c>
      <c r="B18503" s="11" t="str">
        <f>IF(D18503&lt;&gt;"",IF(COUNTIF('USPTO TMs'!A:A,D18503)&gt;0,"Yes","No"),"")</f>
        <v/>
      </c>
      <c r="C18503" s="11"/>
      <c r="D18503" s="11"/>
      <c r="E18503" s="11"/>
      <c r="F18503" s="11"/>
      <c r="G18503" s="11"/>
      <c r="H18503" s="11"/>
      <c r="I18503" s="15"/>
    </row>
    <row r="18504" spans="1:9" ht="16.5">
      <c r="A18504" s="10" t="b">
        <v>0</v>
      </c>
      <c r="B18504" s="11" t="str">
        <f>IF(D18504&lt;&gt;"",IF(COUNTIF('USPTO TMs'!A:A,D18504)&gt;0,"Yes","No"),"")</f>
        <v/>
      </c>
      <c r="C18504" s="11"/>
      <c r="D18504" s="11"/>
      <c r="E18504" s="11"/>
      <c r="F18504" s="11"/>
      <c r="G18504" s="11"/>
      <c r="H18504" s="11"/>
      <c r="I18504" s="15"/>
    </row>
    <row r="18505" spans="1:9" ht="16.5">
      <c r="A18505" s="10" t="b">
        <v>0</v>
      </c>
      <c r="B18505" s="11" t="str">
        <f>IF(D18505&lt;&gt;"",IF(COUNTIF('USPTO TMs'!A:A,D18505)&gt;0,"Yes","No"),"")</f>
        <v/>
      </c>
      <c r="C18505" s="11"/>
      <c r="D18505" s="11"/>
      <c r="E18505" s="11"/>
      <c r="F18505" s="11"/>
      <c r="G18505" s="11"/>
      <c r="H18505" s="11"/>
      <c r="I18505" s="15"/>
    </row>
    <row r="18506" spans="1:9" ht="16.5">
      <c r="A18506" s="10" t="b">
        <v>0</v>
      </c>
      <c r="B18506" s="11" t="str">
        <f>IF(D18506&lt;&gt;"",IF(COUNTIF('USPTO TMs'!A:A,D18506)&gt;0,"Yes","No"),"")</f>
        <v/>
      </c>
      <c r="C18506" s="11"/>
      <c r="D18506" s="11"/>
      <c r="E18506" s="11"/>
      <c r="F18506" s="11"/>
      <c r="G18506" s="11"/>
      <c r="H18506" s="11"/>
      <c r="I18506" s="15"/>
    </row>
    <row r="18507" spans="1:9" ht="16.5">
      <c r="A18507" s="10" t="b">
        <v>0</v>
      </c>
      <c r="B18507" s="11" t="str">
        <f>IF(D18507&lt;&gt;"",IF(COUNTIF('USPTO TMs'!A:A,D18507)&gt;0,"Yes","No"),"")</f>
        <v/>
      </c>
      <c r="C18507" s="11"/>
      <c r="D18507" s="11"/>
      <c r="E18507" s="11"/>
      <c r="F18507" s="11"/>
      <c r="G18507" s="11"/>
      <c r="H18507" s="11"/>
      <c r="I18507" s="15"/>
    </row>
    <row r="18508" spans="1:9" ht="16.5">
      <c r="A18508" s="10" t="b">
        <v>0</v>
      </c>
      <c r="B18508" s="11" t="str">
        <f>IF(D18508&lt;&gt;"",IF(COUNTIF('USPTO TMs'!A:A,D18508)&gt;0,"Yes","No"),"")</f>
        <v/>
      </c>
      <c r="C18508" s="11"/>
      <c r="D18508" s="11"/>
      <c r="E18508" s="11"/>
      <c r="F18508" s="11"/>
      <c r="G18508" s="11"/>
      <c r="H18508" s="11"/>
      <c r="I18508" s="15"/>
    </row>
    <row r="18509" spans="1:9" ht="16.5">
      <c r="A18509" s="10" t="b">
        <v>0</v>
      </c>
      <c r="B18509" s="11" t="str">
        <f>IF(D18509&lt;&gt;"",IF(COUNTIF('USPTO TMs'!A:A,D18509)&gt;0,"Yes","No"),"")</f>
        <v/>
      </c>
      <c r="C18509" s="11"/>
      <c r="D18509" s="11"/>
      <c r="E18509" s="11"/>
      <c r="F18509" s="11"/>
      <c r="G18509" s="11"/>
      <c r="H18509" s="11"/>
      <c r="I18509" s="15"/>
    </row>
    <row r="18510" spans="1:9" ht="16.5">
      <c r="A18510" s="10" t="b">
        <v>0</v>
      </c>
      <c r="B18510" s="11" t="str">
        <f>IF(D18510&lt;&gt;"",IF(COUNTIF('USPTO TMs'!A:A,D18510)&gt;0,"Yes","No"),"")</f>
        <v/>
      </c>
      <c r="C18510" s="11"/>
      <c r="D18510" s="11"/>
      <c r="E18510" s="11"/>
      <c r="F18510" s="11"/>
      <c r="G18510" s="11"/>
      <c r="H18510" s="11"/>
      <c r="I18510" s="15"/>
    </row>
    <row r="18511" spans="1:9" ht="16.5">
      <c r="A18511" s="10" t="b">
        <v>0</v>
      </c>
      <c r="B18511" s="11" t="str">
        <f>IF(D18511&lt;&gt;"",IF(COUNTIF('USPTO TMs'!A:A,D18511)&gt;0,"Yes","No"),"")</f>
        <v/>
      </c>
      <c r="C18511" s="11"/>
      <c r="D18511" s="11"/>
      <c r="E18511" s="11"/>
      <c r="F18511" s="11"/>
      <c r="G18511" s="11"/>
      <c r="H18511" s="11"/>
      <c r="I18511" s="15"/>
    </row>
    <row r="18512" spans="1:9" ht="16.5">
      <c r="A18512" s="10" t="b">
        <v>0</v>
      </c>
      <c r="B18512" s="11" t="str">
        <f>IF(D18512&lt;&gt;"",IF(COUNTIF('USPTO TMs'!A:A,D18512)&gt;0,"Yes","No"),"")</f>
        <v/>
      </c>
      <c r="C18512" s="11"/>
      <c r="D18512" s="11"/>
      <c r="E18512" s="11"/>
      <c r="F18512" s="11"/>
      <c r="G18512" s="11"/>
      <c r="H18512" s="11"/>
      <c r="I18512" s="15"/>
    </row>
    <row r="18513" spans="1:9" ht="16.5">
      <c r="A18513" s="10" t="b">
        <v>0</v>
      </c>
      <c r="B18513" s="11" t="str">
        <f>IF(D18513&lt;&gt;"",IF(COUNTIF('USPTO TMs'!A:A,D18513)&gt;0,"Yes","No"),"")</f>
        <v/>
      </c>
      <c r="C18513" s="11"/>
      <c r="D18513" s="11"/>
      <c r="E18513" s="11"/>
      <c r="F18513" s="11"/>
      <c r="G18513" s="11"/>
      <c r="H18513" s="11"/>
      <c r="I18513" s="15"/>
    </row>
    <row r="18514" spans="1:9" ht="16.5">
      <c r="A18514" s="10" t="b">
        <v>0</v>
      </c>
      <c r="B18514" s="11" t="str">
        <f>IF(D18514&lt;&gt;"",IF(COUNTIF('USPTO TMs'!A:A,D18514)&gt;0,"Yes","No"),"")</f>
        <v/>
      </c>
      <c r="C18514" s="11"/>
      <c r="D18514" s="11"/>
      <c r="E18514" s="11"/>
      <c r="F18514" s="11"/>
      <c r="G18514" s="11"/>
      <c r="H18514" s="11"/>
      <c r="I18514" s="15"/>
    </row>
    <row r="18515" spans="1:9" ht="16.5">
      <c r="A18515" s="10" t="b">
        <v>0</v>
      </c>
      <c r="B18515" s="11" t="str">
        <f>IF(D18515&lt;&gt;"",IF(COUNTIF('USPTO TMs'!A:A,D18515)&gt;0,"Yes","No"),"")</f>
        <v/>
      </c>
      <c r="C18515" s="11"/>
      <c r="D18515" s="11"/>
      <c r="E18515" s="11"/>
      <c r="F18515" s="11"/>
      <c r="G18515" s="11"/>
      <c r="H18515" s="11"/>
      <c r="I18515" s="15"/>
    </row>
    <row r="18516" spans="1:9" ht="16.5">
      <c r="A18516" s="10" t="b">
        <v>0</v>
      </c>
      <c r="B18516" s="11" t="str">
        <f>IF(D18516&lt;&gt;"",IF(COUNTIF('USPTO TMs'!A:A,D18516)&gt;0,"Yes","No"),"")</f>
        <v/>
      </c>
      <c r="C18516" s="11"/>
      <c r="D18516" s="11"/>
      <c r="E18516" s="11"/>
      <c r="F18516" s="11"/>
      <c r="G18516" s="11"/>
      <c r="H18516" s="11"/>
      <c r="I18516" s="15"/>
    </row>
    <row r="18517" spans="1:9" ht="16.5">
      <c r="A18517" s="10" t="b">
        <v>0</v>
      </c>
      <c r="B18517" s="11" t="str">
        <f>IF(D18517&lt;&gt;"",IF(COUNTIF('USPTO TMs'!A:A,D18517)&gt;0,"Yes","No"),"")</f>
        <v/>
      </c>
      <c r="C18517" s="11"/>
      <c r="D18517" s="11"/>
      <c r="E18517" s="11"/>
      <c r="F18517" s="11"/>
      <c r="G18517" s="11"/>
      <c r="H18517" s="11"/>
      <c r="I18517" s="15"/>
    </row>
    <row r="18518" spans="1:9" ht="16.5">
      <c r="A18518" s="10" t="b">
        <v>0</v>
      </c>
      <c r="B18518" s="11" t="str">
        <f>IF(D18518&lt;&gt;"",IF(COUNTIF('USPTO TMs'!A:A,D18518)&gt;0,"Yes","No"),"")</f>
        <v/>
      </c>
      <c r="C18518" s="11"/>
      <c r="D18518" s="11"/>
      <c r="E18518" s="11"/>
      <c r="F18518" s="11"/>
      <c r="G18518" s="11"/>
      <c r="H18518" s="11"/>
      <c r="I18518" s="15"/>
    </row>
    <row r="18519" spans="1:9" ht="16.5">
      <c r="A18519" s="10" t="b">
        <v>0</v>
      </c>
      <c r="B18519" s="11" t="str">
        <f>IF(D18519&lt;&gt;"",IF(COUNTIF('USPTO TMs'!A:A,D18519)&gt;0,"Yes","No"),"")</f>
        <v/>
      </c>
      <c r="C18519" s="11"/>
      <c r="D18519" s="11"/>
      <c r="E18519" s="11"/>
      <c r="F18519" s="11"/>
      <c r="G18519" s="11"/>
      <c r="H18519" s="11"/>
      <c r="I18519" s="15"/>
    </row>
    <row r="18520" spans="1:9" ht="16.5">
      <c r="A18520" s="10" t="b">
        <v>0</v>
      </c>
      <c r="B18520" s="11" t="str">
        <f>IF(D18520&lt;&gt;"",IF(COUNTIF('USPTO TMs'!A:A,D18520)&gt;0,"Yes","No"),"")</f>
        <v/>
      </c>
      <c r="C18520" s="11"/>
      <c r="D18520" s="11"/>
      <c r="E18520" s="11"/>
      <c r="F18520" s="11"/>
      <c r="G18520" s="11"/>
      <c r="H18520" s="11"/>
      <c r="I18520" s="15"/>
    </row>
    <row r="18521" spans="1:9" ht="16.5">
      <c r="A18521" s="10" t="b">
        <v>0</v>
      </c>
      <c r="B18521" s="11" t="str">
        <f>IF(D18521&lt;&gt;"",IF(COUNTIF('USPTO TMs'!A:A,D18521)&gt;0,"Yes","No"),"")</f>
        <v/>
      </c>
      <c r="C18521" s="11"/>
      <c r="D18521" s="11"/>
      <c r="E18521" s="11"/>
      <c r="F18521" s="11"/>
      <c r="G18521" s="11"/>
      <c r="H18521" s="11"/>
      <c r="I18521" s="15"/>
    </row>
    <row r="18522" spans="1:9" ht="16.5">
      <c r="A18522" s="10" t="b">
        <v>0</v>
      </c>
      <c r="B18522" s="11" t="str">
        <f>IF(D18522&lt;&gt;"",IF(COUNTIF('USPTO TMs'!A:A,D18522)&gt;0,"Yes","No"),"")</f>
        <v/>
      </c>
      <c r="C18522" s="11"/>
      <c r="D18522" s="11"/>
      <c r="E18522" s="11"/>
      <c r="F18522" s="11"/>
      <c r="G18522" s="11"/>
      <c r="H18522" s="11"/>
      <c r="I18522" s="15"/>
    </row>
    <row r="18523" spans="1:9" ht="16.5">
      <c r="A18523" s="10" t="b">
        <v>0</v>
      </c>
      <c r="B18523" s="11" t="str">
        <f>IF(D18523&lt;&gt;"",IF(COUNTIF('USPTO TMs'!A:A,D18523)&gt;0,"Yes","No"),"")</f>
        <v/>
      </c>
      <c r="C18523" s="11"/>
      <c r="D18523" s="11"/>
      <c r="E18523" s="11"/>
      <c r="F18523" s="11"/>
      <c r="G18523" s="11"/>
      <c r="H18523" s="11"/>
      <c r="I18523" s="15"/>
    </row>
    <row r="18524" spans="1:9" ht="16.5">
      <c r="A18524" s="10" t="b">
        <v>0</v>
      </c>
      <c r="B18524" s="11" t="str">
        <f>IF(D18524&lt;&gt;"",IF(COUNTIF('USPTO TMs'!A:A,D18524)&gt;0,"Yes","No"),"")</f>
        <v/>
      </c>
      <c r="C18524" s="11"/>
      <c r="D18524" s="11"/>
      <c r="E18524" s="11"/>
      <c r="F18524" s="11"/>
      <c r="G18524" s="11"/>
      <c r="H18524" s="11"/>
      <c r="I18524" s="15"/>
    </row>
    <row r="18525" spans="1:9" ht="16.5">
      <c r="A18525" s="10" t="b">
        <v>0</v>
      </c>
      <c r="B18525" s="11" t="str">
        <f>IF(D18525&lt;&gt;"",IF(COUNTIF('USPTO TMs'!A:A,D18525)&gt;0,"Yes","No"),"")</f>
        <v/>
      </c>
      <c r="C18525" s="11"/>
      <c r="D18525" s="11"/>
      <c r="E18525" s="11"/>
      <c r="F18525" s="11"/>
      <c r="G18525" s="11"/>
      <c r="H18525" s="11"/>
      <c r="I18525" s="15"/>
    </row>
    <row r="18526" spans="1:9" ht="16.5">
      <c r="A18526" s="10" t="b">
        <v>0</v>
      </c>
      <c r="B18526" s="11" t="str">
        <f>IF(D18526&lt;&gt;"",IF(COUNTIF('USPTO TMs'!A:A,D18526)&gt;0,"Yes","No"),"")</f>
        <v/>
      </c>
      <c r="C18526" s="11"/>
      <c r="D18526" s="11"/>
      <c r="E18526" s="11"/>
      <c r="F18526" s="11"/>
      <c r="G18526" s="11"/>
      <c r="H18526" s="11"/>
      <c r="I18526" s="15"/>
    </row>
    <row r="18527" spans="1:9" ht="16.5">
      <c r="A18527" s="10" t="b">
        <v>0</v>
      </c>
      <c r="B18527" s="11" t="str">
        <f>IF(D18527&lt;&gt;"",IF(COUNTIF('USPTO TMs'!A:A,D18527)&gt;0,"Yes","No"),"")</f>
        <v/>
      </c>
      <c r="C18527" s="11"/>
      <c r="D18527" s="11"/>
      <c r="E18527" s="11"/>
      <c r="F18527" s="11"/>
      <c r="G18527" s="11"/>
      <c r="H18527" s="11"/>
      <c r="I18527" s="15"/>
    </row>
    <row r="18528" spans="1:9" ht="16.5">
      <c r="A18528" s="10" t="b">
        <v>0</v>
      </c>
      <c r="B18528" s="11" t="str">
        <f>IF(D18528&lt;&gt;"",IF(COUNTIF('USPTO TMs'!A:A,D18528)&gt;0,"Yes","No"),"")</f>
        <v/>
      </c>
      <c r="C18528" s="11"/>
      <c r="D18528" s="11"/>
      <c r="E18528" s="11"/>
      <c r="F18528" s="11"/>
      <c r="G18528" s="11"/>
      <c r="H18528" s="11"/>
      <c r="I18528" s="15"/>
    </row>
    <row r="18529" spans="1:9" ht="16.5">
      <c r="A18529" s="10" t="b">
        <v>0</v>
      </c>
      <c r="B18529" s="11" t="str">
        <f>IF(D18529&lt;&gt;"",IF(COUNTIF('USPTO TMs'!A:A,D18529)&gt;0,"Yes","No"),"")</f>
        <v/>
      </c>
      <c r="C18529" s="11"/>
      <c r="D18529" s="11"/>
      <c r="E18529" s="11"/>
      <c r="F18529" s="11"/>
      <c r="G18529" s="11"/>
      <c r="H18529" s="11"/>
      <c r="I18529" s="15"/>
    </row>
    <row r="18530" spans="1:9" ht="16.5">
      <c r="A18530" s="10" t="b">
        <v>0</v>
      </c>
      <c r="B18530" s="11" t="str">
        <f>IF(D18530&lt;&gt;"",IF(COUNTIF('USPTO TMs'!A:A,D18530)&gt;0,"Yes","No"),"")</f>
        <v/>
      </c>
      <c r="C18530" s="11"/>
      <c r="D18530" s="11"/>
      <c r="E18530" s="11"/>
      <c r="F18530" s="11"/>
      <c r="G18530" s="11"/>
      <c r="H18530" s="11"/>
      <c r="I18530" s="15"/>
    </row>
    <row r="18531" spans="1:9" ht="16.5">
      <c r="A18531" s="10" t="b">
        <v>0</v>
      </c>
      <c r="B18531" s="11" t="str">
        <f>IF(D18531&lt;&gt;"",IF(COUNTIF('USPTO TMs'!A:A,D18531)&gt;0,"Yes","No"),"")</f>
        <v/>
      </c>
      <c r="C18531" s="11"/>
      <c r="D18531" s="11"/>
      <c r="E18531" s="11"/>
      <c r="F18531" s="11"/>
      <c r="G18531" s="11"/>
      <c r="H18531" s="11"/>
      <c r="I18531" s="15"/>
    </row>
    <row r="18532" spans="1:9" ht="16.5">
      <c r="A18532" s="10" t="b">
        <v>0</v>
      </c>
      <c r="B18532" s="11" t="str">
        <f>IF(D18532&lt;&gt;"",IF(COUNTIF('USPTO TMs'!A:A,D18532)&gt;0,"Yes","No"),"")</f>
        <v/>
      </c>
      <c r="C18532" s="11"/>
      <c r="D18532" s="11"/>
      <c r="E18532" s="11"/>
      <c r="F18532" s="11"/>
      <c r="G18532" s="11"/>
      <c r="H18532" s="11"/>
      <c r="I18532" s="15"/>
    </row>
    <row r="18533" spans="1:9" ht="16.5">
      <c r="A18533" s="10" t="b">
        <v>0</v>
      </c>
      <c r="B18533" s="11" t="str">
        <f>IF(D18533&lt;&gt;"",IF(COUNTIF('USPTO TMs'!A:A,D18533)&gt;0,"Yes","No"),"")</f>
        <v/>
      </c>
      <c r="C18533" s="11"/>
      <c r="D18533" s="11"/>
      <c r="E18533" s="11"/>
      <c r="F18533" s="11"/>
      <c r="G18533" s="11"/>
      <c r="H18533" s="11"/>
      <c r="I18533" s="15"/>
    </row>
    <row r="18534" spans="1:9" ht="16.5">
      <c r="A18534" s="10" t="b">
        <v>0</v>
      </c>
      <c r="B18534" s="11" t="str">
        <f>IF(D18534&lt;&gt;"",IF(COUNTIF('USPTO TMs'!A:A,D18534)&gt;0,"Yes","No"),"")</f>
        <v/>
      </c>
      <c r="C18534" s="11"/>
      <c r="D18534" s="11"/>
      <c r="E18534" s="11"/>
      <c r="F18534" s="11"/>
      <c r="G18534" s="11"/>
      <c r="H18534" s="11"/>
      <c r="I18534" s="15"/>
    </row>
    <row r="18535" spans="1:9" ht="16.5">
      <c r="A18535" s="10" t="b">
        <v>0</v>
      </c>
      <c r="B18535" s="11" t="str">
        <f>IF(D18535&lt;&gt;"",IF(COUNTIF('USPTO TMs'!A:A,D18535)&gt;0,"Yes","No"),"")</f>
        <v/>
      </c>
      <c r="C18535" s="11"/>
      <c r="D18535" s="11"/>
      <c r="E18535" s="11"/>
      <c r="F18535" s="11"/>
      <c r="G18535" s="11"/>
      <c r="H18535" s="11"/>
      <c r="I18535" s="15"/>
    </row>
    <row r="18536" spans="1:9" ht="16.5">
      <c r="A18536" s="10" t="b">
        <v>0</v>
      </c>
      <c r="B18536" s="11" t="str">
        <f>IF(D18536&lt;&gt;"",IF(COUNTIF('USPTO TMs'!A:A,D18536)&gt;0,"Yes","No"),"")</f>
        <v/>
      </c>
      <c r="C18536" s="11"/>
      <c r="D18536" s="11"/>
      <c r="E18536" s="11"/>
      <c r="F18536" s="11"/>
      <c r="G18536" s="11"/>
      <c r="H18536" s="11"/>
      <c r="I18536" s="15"/>
    </row>
    <row r="18537" spans="1:9" ht="16.5">
      <c r="A18537" s="10" t="b">
        <v>0</v>
      </c>
      <c r="B18537" s="11" t="str">
        <f>IF(D18537&lt;&gt;"",IF(COUNTIF('USPTO TMs'!A:A,D18537)&gt;0,"Yes","No"),"")</f>
        <v/>
      </c>
      <c r="C18537" s="11"/>
      <c r="D18537" s="11"/>
      <c r="E18537" s="11"/>
      <c r="F18537" s="11"/>
      <c r="G18537" s="11"/>
      <c r="H18537" s="11"/>
      <c r="I18537" s="15"/>
    </row>
    <row r="18538" spans="1:9" ht="16.5">
      <c r="A18538" s="10" t="b">
        <v>0</v>
      </c>
      <c r="B18538" s="11" t="str">
        <f>IF(D18538&lt;&gt;"",IF(COUNTIF('USPTO TMs'!A:A,D18538)&gt;0,"Yes","No"),"")</f>
        <v/>
      </c>
      <c r="C18538" s="11"/>
      <c r="D18538" s="11"/>
      <c r="E18538" s="11"/>
      <c r="F18538" s="11"/>
      <c r="G18538" s="11"/>
      <c r="H18538" s="11"/>
      <c r="I18538" s="15"/>
    </row>
    <row r="18539" spans="1:9" ht="16.5">
      <c r="A18539" s="10" t="b">
        <v>0</v>
      </c>
      <c r="B18539" s="11" t="str">
        <f>IF(D18539&lt;&gt;"",IF(COUNTIF('USPTO TMs'!A:A,D18539)&gt;0,"Yes","No"),"")</f>
        <v/>
      </c>
      <c r="C18539" s="11"/>
      <c r="D18539" s="11"/>
      <c r="E18539" s="11"/>
      <c r="F18539" s="11"/>
      <c r="G18539" s="11"/>
      <c r="H18539" s="11"/>
      <c r="I18539" s="15"/>
    </row>
    <row r="18540" spans="1:9" ht="16.5">
      <c r="A18540" s="10" t="b">
        <v>0</v>
      </c>
      <c r="B18540" s="11" t="str">
        <f>IF(D18540&lt;&gt;"",IF(COUNTIF('USPTO TMs'!A:A,D18540)&gt;0,"Yes","No"),"")</f>
        <v/>
      </c>
      <c r="C18540" s="11"/>
      <c r="D18540" s="11"/>
      <c r="E18540" s="11"/>
      <c r="F18540" s="11"/>
      <c r="G18540" s="11"/>
      <c r="H18540" s="11"/>
      <c r="I18540" s="15"/>
    </row>
    <row r="18541" spans="1:9" ht="16.5">
      <c r="A18541" s="10" t="b">
        <v>0</v>
      </c>
      <c r="B18541" s="11" t="str">
        <f>IF(D18541&lt;&gt;"",IF(COUNTIF('USPTO TMs'!A:A,D18541)&gt;0,"Yes","No"),"")</f>
        <v/>
      </c>
      <c r="C18541" s="11"/>
      <c r="D18541" s="11"/>
      <c r="E18541" s="11"/>
      <c r="F18541" s="11"/>
      <c r="G18541" s="11"/>
      <c r="H18541" s="11"/>
      <c r="I18541" s="15"/>
    </row>
    <row r="18542" spans="1:9" ht="16.5">
      <c r="A18542" s="10" t="b">
        <v>0</v>
      </c>
      <c r="B18542" s="11" t="str">
        <f>IF(D18542&lt;&gt;"",IF(COUNTIF('USPTO TMs'!A:A,D18542)&gt;0,"Yes","No"),"")</f>
        <v/>
      </c>
      <c r="C18542" s="11"/>
      <c r="D18542" s="11"/>
      <c r="E18542" s="11"/>
      <c r="F18542" s="11"/>
      <c r="G18542" s="11"/>
      <c r="H18542" s="11"/>
      <c r="I18542" s="15"/>
    </row>
    <row r="18543" spans="1:9" ht="16.5">
      <c r="A18543" s="10" t="b">
        <v>0</v>
      </c>
      <c r="B18543" s="11" t="str">
        <f>IF(D18543&lt;&gt;"",IF(COUNTIF('USPTO TMs'!A:A,D18543)&gt;0,"Yes","No"),"")</f>
        <v/>
      </c>
      <c r="C18543" s="11"/>
      <c r="D18543" s="11"/>
      <c r="E18543" s="11"/>
      <c r="F18543" s="11"/>
      <c r="G18543" s="11"/>
      <c r="H18543" s="11"/>
      <c r="I18543" s="15"/>
    </row>
    <row r="18544" spans="1:9" ht="16.5">
      <c r="A18544" s="10" t="b">
        <v>0</v>
      </c>
      <c r="B18544" s="11" t="str">
        <f>IF(D18544&lt;&gt;"",IF(COUNTIF('USPTO TMs'!A:A,D18544)&gt;0,"Yes","No"),"")</f>
        <v/>
      </c>
      <c r="C18544" s="11"/>
      <c r="D18544" s="11"/>
      <c r="E18544" s="11"/>
      <c r="F18544" s="11"/>
      <c r="G18544" s="11"/>
      <c r="H18544" s="11"/>
      <c r="I18544" s="15"/>
    </row>
    <row r="18545" spans="1:9" ht="16.5">
      <c r="A18545" s="10" t="b">
        <v>0</v>
      </c>
      <c r="B18545" s="11" t="str">
        <f>IF(D18545&lt;&gt;"",IF(COUNTIF('USPTO TMs'!A:A,D18545)&gt;0,"Yes","No"),"")</f>
        <v/>
      </c>
      <c r="C18545" s="11"/>
      <c r="D18545" s="11"/>
      <c r="E18545" s="11"/>
      <c r="F18545" s="11"/>
      <c r="G18545" s="11"/>
      <c r="H18545" s="11"/>
      <c r="I18545" s="15"/>
    </row>
    <row r="18546" spans="1:9" ht="16.5">
      <c r="A18546" s="10" t="b">
        <v>0</v>
      </c>
      <c r="B18546" s="11" t="str">
        <f>IF(D18546&lt;&gt;"",IF(COUNTIF('USPTO TMs'!A:A,D18546)&gt;0,"Yes","No"),"")</f>
        <v/>
      </c>
      <c r="C18546" s="11"/>
      <c r="D18546" s="11"/>
      <c r="E18546" s="11"/>
      <c r="F18546" s="11"/>
      <c r="G18546" s="11"/>
      <c r="H18546" s="11"/>
      <c r="I18546" s="15"/>
    </row>
    <row r="18547" spans="1:9" ht="16.5">
      <c r="A18547" s="10" t="b">
        <v>0</v>
      </c>
      <c r="B18547" s="11" t="str">
        <f>IF(D18547&lt;&gt;"",IF(COUNTIF('USPTO TMs'!A:A,D18547)&gt;0,"Yes","No"),"")</f>
        <v/>
      </c>
      <c r="C18547" s="11"/>
      <c r="D18547" s="11"/>
      <c r="E18547" s="11"/>
      <c r="F18547" s="11"/>
      <c r="G18547" s="11"/>
      <c r="H18547" s="11"/>
      <c r="I18547" s="15"/>
    </row>
    <row r="18548" spans="1:9" ht="16.5">
      <c r="A18548" s="10" t="b">
        <v>0</v>
      </c>
      <c r="B18548" s="11" t="str">
        <f>IF(D18548&lt;&gt;"",IF(COUNTIF('USPTO TMs'!A:A,D18548)&gt;0,"Yes","No"),"")</f>
        <v/>
      </c>
      <c r="C18548" s="11"/>
      <c r="D18548" s="11"/>
      <c r="E18548" s="11"/>
      <c r="F18548" s="11"/>
      <c r="G18548" s="11"/>
      <c r="H18548" s="11"/>
      <c r="I18548" s="15"/>
    </row>
    <row r="18549" spans="1:9" ht="16.5">
      <c r="A18549" s="10" t="b">
        <v>0</v>
      </c>
      <c r="B18549" s="11" t="str">
        <f>IF(D18549&lt;&gt;"",IF(COUNTIF('USPTO TMs'!A:A,D18549)&gt;0,"Yes","No"),"")</f>
        <v/>
      </c>
      <c r="C18549" s="11"/>
      <c r="D18549" s="11"/>
      <c r="E18549" s="11"/>
      <c r="F18549" s="11"/>
      <c r="G18549" s="11"/>
      <c r="H18549" s="11"/>
      <c r="I18549" s="15"/>
    </row>
    <row r="18550" spans="1:9" ht="16.5">
      <c r="A18550" s="10" t="b">
        <v>0</v>
      </c>
      <c r="B18550" s="11" t="str">
        <f>IF(D18550&lt;&gt;"",IF(COUNTIF('USPTO TMs'!A:A,D18550)&gt;0,"Yes","No"),"")</f>
        <v/>
      </c>
      <c r="C18550" s="11"/>
      <c r="D18550" s="11"/>
      <c r="E18550" s="11"/>
      <c r="F18550" s="11"/>
      <c r="G18550" s="11"/>
      <c r="H18550" s="11"/>
      <c r="I18550" s="15"/>
    </row>
    <row r="18551" spans="1:9" ht="16.5">
      <c r="A18551" s="10" t="b">
        <v>0</v>
      </c>
      <c r="B18551" s="11" t="str">
        <f>IF(D18551&lt;&gt;"",IF(COUNTIF('USPTO TMs'!A:A,D18551)&gt;0,"Yes","No"),"")</f>
        <v/>
      </c>
      <c r="C18551" s="11"/>
      <c r="D18551" s="11"/>
      <c r="E18551" s="11"/>
      <c r="F18551" s="11"/>
      <c r="G18551" s="11"/>
      <c r="H18551" s="11"/>
      <c r="I18551" s="15"/>
    </row>
    <row r="18552" spans="1:9" ht="16.5">
      <c r="A18552" s="10" t="b">
        <v>0</v>
      </c>
      <c r="B18552" s="11" t="str">
        <f>IF(D18552&lt;&gt;"",IF(COUNTIF('USPTO TMs'!A:A,D18552)&gt;0,"Yes","No"),"")</f>
        <v/>
      </c>
      <c r="C18552" s="11"/>
      <c r="D18552" s="11"/>
      <c r="E18552" s="11"/>
      <c r="F18552" s="11"/>
      <c r="G18552" s="11"/>
      <c r="H18552" s="11"/>
      <c r="I18552" s="15"/>
    </row>
    <row r="18553" spans="1:9" ht="16.5">
      <c r="A18553" s="10" t="b">
        <v>0</v>
      </c>
      <c r="B18553" s="11" t="str">
        <f>IF(D18553&lt;&gt;"",IF(COUNTIF('USPTO TMs'!A:A,D18553)&gt;0,"Yes","No"),"")</f>
        <v/>
      </c>
      <c r="C18553" s="11"/>
      <c r="D18553" s="11"/>
      <c r="E18553" s="11"/>
      <c r="F18553" s="11"/>
      <c r="G18553" s="11"/>
      <c r="H18553" s="11"/>
      <c r="I18553" s="15"/>
    </row>
    <row r="18554" spans="1:9" ht="16.5">
      <c r="A18554" s="10" t="b">
        <v>0</v>
      </c>
      <c r="B18554" s="11" t="str">
        <f>IF(D18554&lt;&gt;"",IF(COUNTIF('USPTO TMs'!A:A,D18554)&gt;0,"Yes","No"),"")</f>
        <v/>
      </c>
      <c r="C18554" s="11"/>
      <c r="D18554" s="11"/>
      <c r="E18554" s="11"/>
      <c r="F18554" s="11"/>
      <c r="G18554" s="11"/>
      <c r="H18554" s="11"/>
      <c r="I18554" s="15"/>
    </row>
    <row r="18555" spans="1:9" ht="16.5">
      <c r="A18555" s="10" t="b">
        <v>0</v>
      </c>
      <c r="B18555" s="11" t="str">
        <f>IF(D18555&lt;&gt;"",IF(COUNTIF('USPTO TMs'!A:A,D18555)&gt;0,"Yes","No"),"")</f>
        <v/>
      </c>
      <c r="C18555" s="11"/>
      <c r="D18555" s="11"/>
      <c r="E18555" s="11"/>
      <c r="F18555" s="11"/>
      <c r="G18555" s="11"/>
      <c r="H18555" s="11"/>
      <c r="I18555" s="15"/>
    </row>
    <row r="18556" spans="1:9" ht="16.5">
      <c r="A18556" s="10" t="b">
        <v>0</v>
      </c>
      <c r="B18556" s="11" t="str">
        <f>IF(D18556&lt;&gt;"",IF(COUNTIF('USPTO TMs'!A:A,D18556)&gt;0,"Yes","No"),"")</f>
        <v/>
      </c>
      <c r="C18556" s="11"/>
      <c r="D18556" s="11"/>
      <c r="E18556" s="11"/>
      <c r="F18556" s="11"/>
      <c r="G18556" s="11"/>
      <c r="H18556" s="11"/>
      <c r="I18556" s="15"/>
    </row>
    <row r="18557" spans="1:9" ht="16.5">
      <c r="A18557" s="10" t="b">
        <v>0</v>
      </c>
      <c r="B18557" s="11" t="str">
        <f>IF(D18557&lt;&gt;"",IF(COUNTIF('USPTO TMs'!A:A,D18557)&gt;0,"Yes","No"),"")</f>
        <v/>
      </c>
      <c r="C18557" s="11"/>
      <c r="D18557" s="11"/>
      <c r="E18557" s="11"/>
      <c r="F18557" s="11"/>
      <c r="G18557" s="11"/>
      <c r="H18557" s="11"/>
      <c r="I18557" s="15"/>
    </row>
    <row r="18558" spans="1:9" ht="16.5">
      <c r="A18558" s="10" t="b">
        <v>0</v>
      </c>
      <c r="B18558" s="11" t="str">
        <f>IF(D18558&lt;&gt;"",IF(COUNTIF('USPTO TMs'!A:A,D18558)&gt;0,"Yes","No"),"")</f>
        <v/>
      </c>
      <c r="C18558" s="11"/>
      <c r="D18558" s="11"/>
      <c r="E18558" s="11"/>
      <c r="F18558" s="11"/>
      <c r="G18558" s="11"/>
      <c r="H18558" s="11"/>
      <c r="I18558" s="15"/>
    </row>
    <row r="18559" spans="1:9" ht="16.5">
      <c r="A18559" s="10" t="b">
        <v>0</v>
      </c>
      <c r="B18559" s="11" t="str">
        <f>IF(D18559&lt;&gt;"",IF(COUNTIF('USPTO TMs'!A:A,D18559)&gt;0,"Yes","No"),"")</f>
        <v/>
      </c>
      <c r="C18559" s="11"/>
      <c r="D18559" s="11"/>
      <c r="E18559" s="11"/>
      <c r="F18559" s="11"/>
      <c r="G18559" s="11"/>
      <c r="H18559" s="11"/>
      <c r="I18559" s="15"/>
    </row>
    <row r="18560" spans="1:9" ht="16.5">
      <c r="A18560" s="10" t="b">
        <v>0</v>
      </c>
      <c r="B18560" s="11" t="str">
        <f>IF(D18560&lt;&gt;"",IF(COUNTIF('USPTO TMs'!A:A,D18560)&gt;0,"Yes","No"),"")</f>
        <v/>
      </c>
      <c r="C18560" s="11"/>
      <c r="D18560" s="11"/>
      <c r="E18560" s="11"/>
      <c r="F18560" s="11"/>
      <c r="G18560" s="11"/>
      <c r="H18560" s="11"/>
      <c r="I18560" s="15"/>
    </row>
    <row r="18561" spans="1:9" ht="16.5">
      <c r="A18561" s="10" t="b">
        <v>0</v>
      </c>
      <c r="B18561" s="11" t="str">
        <f>IF(D18561&lt;&gt;"",IF(COUNTIF('USPTO TMs'!A:A,D18561)&gt;0,"Yes","No"),"")</f>
        <v/>
      </c>
      <c r="C18561" s="11"/>
      <c r="D18561" s="11"/>
      <c r="E18561" s="11"/>
      <c r="F18561" s="11"/>
      <c r="G18561" s="11"/>
      <c r="H18561" s="11"/>
      <c r="I18561" s="15"/>
    </row>
    <row r="18562" spans="1:9" ht="16.5">
      <c r="A18562" s="10" t="b">
        <v>0</v>
      </c>
      <c r="B18562" s="11" t="str">
        <f>IF(D18562&lt;&gt;"",IF(COUNTIF('USPTO TMs'!A:A,D18562)&gt;0,"Yes","No"),"")</f>
        <v/>
      </c>
      <c r="C18562" s="11"/>
      <c r="D18562" s="11"/>
      <c r="E18562" s="11"/>
      <c r="F18562" s="11"/>
      <c r="G18562" s="11"/>
      <c r="H18562" s="11"/>
      <c r="I18562" s="15"/>
    </row>
    <row r="18563" spans="1:9" ht="16.5">
      <c r="A18563" s="10" t="b">
        <v>0</v>
      </c>
      <c r="B18563" s="11" t="str">
        <f>IF(D18563&lt;&gt;"",IF(COUNTIF('USPTO TMs'!A:A,D18563)&gt;0,"Yes","No"),"")</f>
        <v/>
      </c>
      <c r="C18563" s="11"/>
      <c r="D18563" s="11"/>
      <c r="E18563" s="11"/>
      <c r="F18563" s="11"/>
      <c r="G18563" s="11"/>
      <c r="H18563" s="11"/>
      <c r="I18563" s="15"/>
    </row>
    <row r="18564" spans="1:9" ht="16.5">
      <c r="A18564" s="10" t="b">
        <v>0</v>
      </c>
      <c r="B18564" s="11" t="str">
        <f>IF(D18564&lt;&gt;"",IF(COUNTIF('USPTO TMs'!A:A,D18564)&gt;0,"Yes","No"),"")</f>
        <v/>
      </c>
      <c r="C18564" s="11"/>
      <c r="D18564" s="11"/>
      <c r="E18564" s="11"/>
      <c r="F18564" s="11"/>
      <c r="G18564" s="11"/>
      <c r="H18564" s="11"/>
      <c r="I18564" s="15"/>
    </row>
    <row r="18565" spans="1:9" ht="16.5">
      <c r="A18565" s="10" t="b">
        <v>0</v>
      </c>
      <c r="B18565" s="11" t="str">
        <f>IF(D18565&lt;&gt;"",IF(COUNTIF('USPTO TMs'!A:A,D18565)&gt;0,"Yes","No"),"")</f>
        <v/>
      </c>
      <c r="C18565" s="11"/>
      <c r="D18565" s="11"/>
      <c r="E18565" s="11"/>
      <c r="F18565" s="11"/>
      <c r="G18565" s="11"/>
      <c r="H18565" s="11"/>
      <c r="I18565" s="15"/>
    </row>
    <row r="18566" spans="1:9" ht="16.5">
      <c r="A18566" s="10" t="b">
        <v>0</v>
      </c>
      <c r="B18566" s="11" t="str">
        <f>IF(D18566&lt;&gt;"",IF(COUNTIF('USPTO TMs'!A:A,D18566)&gt;0,"Yes","No"),"")</f>
        <v/>
      </c>
      <c r="C18566" s="11"/>
      <c r="D18566" s="11"/>
      <c r="E18566" s="11"/>
      <c r="F18566" s="11"/>
      <c r="G18566" s="11"/>
      <c r="H18566" s="11"/>
      <c r="I18566" s="15"/>
    </row>
    <row r="18567" spans="1:9" ht="16.5">
      <c r="A18567" s="10" t="b">
        <v>0</v>
      </c>
      <c r="B18567" s="11" t="str">
        <f>IF(D18567&lt;&gt;"",IF(COUNTIF('USPTO TMs'!A:A,D18567)&gt;0,"Yes","No"),"")</f>
        <v/>
      </c>
      <c r="C18567" s="11"/>
      <c r="D18567" s="11"/>
      <c r="E18567" s="11"/>
      <c r="F18567" s="11"/>
      <c r="G18567" s="11"/>
      <c r="H18567" s="11"/>
      <c r="I18567" s="15"/>
    </row>
    <row r="18568" spans="1:9" ht="16.5">
      <c r="A18568" s="10" t="b">
        <v>0</v>
      </c>
      <c r="B18568" s="11" t="str">
        <f>IF(D18568&lt;&gt;"",IF(COUNTIF('USPTO TMs'!A:A,D18568)&gt;0,"Yes","No"),"")</f>
        <v/>
      </c>
      <c r="C18568" s="11"/>
      <c r="D18568" s="11"/>
      <c r="E18568" s="11"/>
      <c r="F18568" s="11"/>
      <c r="G18568" s="11"/>
      <c r="H18568" s="11"/>
      <c r="I18568" s="15"/>
    </row>
    <row r="18569" spans="1:9" ht="16.5">
      <c r="A18569" s="10" t="b">
        <v>0</v>
      </c>
      <c r="B18569" s="11" t="str">
        <f>IF(D18569&lt;&gt;"",IF(COUNTIF('USPTO TMs'!A:A,D18569)&gt;0,"Yes","No"),"")</f>
        <v/>
      </c>
      <c r="C18569" s="11"/>
      <c r="D18569" s="11"/>
      <c r="E18569" s="11"/>
      <c r="F18569" s="11"/>
      <c r="G18569" s="11"/>
      <c r="H18569" s="11"/>
      <c r="I18569" s="15"/>
    </row>
    <row r="18570" spans="1:9" ht="16.5">
      <c r="A18570" s="10" t="b">
        <v>0</v>
      </c>
      <c r="B18570" s="11" t="str">
        <f>IF(D18570&lt;&gt;"",IF(COUNTIF('USPTO TMs'!A:A,D18570)&gt;0,"Yes","No"),"")</f>
        <v/>
      </c>
      <c r="C18570" s="11"/>
      <c r="D18570" s="11"/>
      <c r="E18570" s="11"/>
      <c r="F18570" s="11"/>
      <c r="G18570" s="11"/>
      <c r="H18570" s="11"/>
      <c r="I18570" s="15"/>
    </row>
    <row r="18571" spans="1:9" ht="16.5">
      <c r="A18571" s="10" t="b">
        <v>0</v>
      </c>
      <c r="B18571" s="11" t="str">
        <f>IF(D18571&lt;&gt;"",IF(COUNTIF('USPTO TMs'!A:A,D18571)&gt;0,"Yes","No"),"")</f>
        <v/>
      </c>
      <c r="C18571" s="11"/>
      <c r="D18571" s="11"/>
      <c r="E18571" s="11"/>
      <c r="F18571" s="11"/>
      <c r="G18571" s="11"/>
      <c r="H18571" s="11"/>
      <c r="I18571" s="15"/>
    </row>
    <row r="18572" spans="1:9" ht="16.5">
      <c r="A18572" s="10" t="b">
        <v>0</v>
      </c>
      <c r="B18572" s="11" t="str">
        <f>IF(D18572&lt;&gt;"",IF(COUNTIF('USPTO TMs'!A:A,D18572)&gt;0,"Yes","No"),"")</f>
        <v/>
      </c>
      <c r="C18572" s="11"/>
      <c r="D18572" s="11"/>
      <c r="E18572" s="11"/>
      <c r="F18572" s="11"/>
      <c r="G18572" s="11"/>
      <c r="H18572" s="11"/>
      <c r="I18572" s="15"/>
    </row>
    <row r="18573" spans="1:9" ht="16.5">
      <c r="A18573" s="10" t="b">
        <v>0</v>
      </c>
      <c r="B18573" s="11" t="str">
        <f>IF(D18573&lt;&gt;"",IF(COUNTIF('USPTO TMs'!A:A,D18573)&gt;0,"Yes","No"),"")</f>
        <v/>
      </c>
      <c r="C18573" s="11"/>
      <c r="D18573" s="11"/>
      <c r="E18573" s="11"/>
      <c r="F18573" s="11"/>
      <c r="G18573" s="11"/>
      <c r="H18573" s="11"/>
      <c r="I18573" s="15"/>
    </row>
    <row r="18574" spans="1:9" ht="16.5">
      <c r="A18574" s="10" t="b">
        <v>0</v>
      </c>
      <c r="B18574" s="11" t="str">
        <f>IF(D18574&lt;&gt;"",IF(COUNTIF('USPTO TMs'!A:A,D18574)&gt;0,"Yes","No"),"")</f>
        <v/>
      </c>
      <c r="C18574" s="11"/>
      <c r="D18574" s="11"/>
      <c r="E18574" s="11"/>
      <c r="F18574" s="11"/>
      <c r="G18574" s="11"/>
      <c r="H18574" s="11"/>
      <c r="I18574" s="15"/>
    </row>
    <row r="18575" spans="1:9" ht="16.5">
      <c r="A18575" s="10" t="b">
        <v>0</v>
      </c>
      <c r="B18575" s="11" t="str">
        <f>IF(D18575&lt;&gt;"",IF(COUNTIF('USPTO TMs'!A:A,D18575)&gt;0,"Yes","No"),"")</f>
        <v/>
      </c>
      <c r="C18575" s="11"/>
      <c r="D18575" s="11"/>
      <c r="E18575" s="11"/>
      <c r="F18575" s="11"/>
      <c r="G18575" s="11"/>
      <c r="H18575" s="11"/>
      <c r="I18575" s="15"/>
    </row>
    <row r="18576" spans="1:9" ht="16.5">
      <c r="A18576" s="10" t="b">
        <v>0</v>
      </c>
      <c r="B18576" s="11" t="str">
        <f>IF(D18576&lt;&gt;"",IF(COUNTIF('USPTO TMs'!A:A,D18576)&gt;0,"Yes","No"),"")</f>
        <v/>
      </c>
      <c r="C18576" s="11"/>
      <c r="D18576" s="11"/>
      <c r="E18576" s="11"/>
      <c r="F18576" s="11"/>
      <c r="G18576" s="11"/>
      <c r="H18576" s="11"/>
      <c r="I18576" s="15"/>
    </row>
    <row r="18577" spans="1:9" ht="16.5">
      <c r="A18577" s="10" t="b">
        <v>0</v>
      </c>
      <c r="B18577" s="11" t="str">
        <f>IF(D18577&lt;&gt;"",IF(COUNTIF('USPTO TMs'!A:A,D18577)&gt;0,"Yes","No"),"")</f>
        <v/>
      </c>
      <c r="C18577" s="11"/>
      <c r="D18577" s="11"/>
      <c r="E18577" s="11"/>
      <c r="F18577" s="11"/>
      <c r="G18577" s="11"/>
      <c r="H18577" s="11"/>
      <c r="I18577" s="15"/>
    </row>
    <row r="18578" spans="1:9" ht="16.5">
      <c r="A18578" s="10" t="b">
        <v>0</v>
      </c>
      <c r="B18578" s="11" t="str">
        <f>IF(D18578&lt;&gt;"",IF(COUNTIF('USPTO TMs'!A:A,D18578)&gt;0,"Yes","No"),"")</f>
        <v/>
      </c>
      <c r="C18578" s="11"/>
      <c r="D18578" s="11"/>
      <c r="E18578" s="11"/>
      <c r="F18578" s="11"/>
      <c r="G18578" s="11"/>
      <c r="H18578" s="11"/>
      <c r="I18578" s="15"/>
    </row>
    <row r="18579" spans="1:9" ht="16.5">
      <c r="A18579" s="10" t="b">
        <v>0</v>
      </c>
      <c r="B18579" s="11" t="str">
        <f>IF(D18579&lt;&gt;"",IF(COUNTIF('USPTO TMs'!A:A,D18579)&gt;0,"Yes","No"),"")</f>
        <v/>
      </c>
      <c r="C18579" s="11"/>
      <c r="D18579" s="11"/>
      <c r="E18579" s="11"/>
      <c r="F18579" s="11"/>
      <c r="G18579" s="11"/>
      <c r="H18579" s="11"/>
      <c r="I18579" s="15"/>
    </row>
    <row r="18580" spans="1:9" ht="16.5">
      <c r="A18580" s="10" t="b">
        <v>0</v>
      </c>
      <c r="B18580" s="11" t="str">
        <f>IF(D18580&lt;&gt;"",IF(COUNTIF('USPTO TMs'!A:A,D18580)&gt;0,"Yes","No"),"")</f>
        <v/>
      </c>
      <c r="C18580" s="11"/>
      <c r="D18580" s="11"/>
      <c r="E18580" s="11"/>
      <c r="F18580" s="11"/>
      <c r="G18580" s="11"/>
      <c r="H18580" s="11"/>
      <c r="I18580" s="15"/>
    </row>
    <row r="18581" spans="1:9" ht="16.5">
      <c r="A18581" s="10" t="b">
        <v>0</v>
      </c>
      <c r="B18581" s="11" t="str">
        <f>IF(D18581&lt;&gt;"",IF(COUNTIF('USPTO TMs'!A:A,D18581)&gt;0,"Yes","No"),"")</f>
        <v/>
      </c>
      <c r="C18581" s="11"/>
      <c r="D18581" s="11"/>
      <c r="E18581" s="11"/>
      <c r="F18581" s="11"/>
      <c r="G18581" s="11"/>
      <c r="H18581" s="11"/>
      <c r="I18581" s="15"/>
    </row>
    <row r="18582" spans="1:9" ht="16.5">
      <c r="A18582" s="10" t="b">
        <v>0</v>
      </c>
      <c r="B18582" s="11" t="str">
        <f>IF(D18582&lt;&gt;"",IF(COUNTIF('USPTO TMs'!A:A,D18582)&gt;0,"Yes","No"),"")</f>
        <v/>
      </c>
      <c r="C18582" s="11"/>
      <c r="D18582" s="11"/>
      <c r="E18582" s="11"/>
      <c r="F18582" s="11"/>
      <c r="G18582" s="11"/>
      <c r="H18582" s="11"/>
      <c r="I18582" s="15"/>
    </row>
    <row r="18583" spans="1:9" ht="16.5">
      <c r="A18583" s="10" t="b">
        <v>0</v>
      </c>
      <c r="B18583" s="11" t="str">
        <f>IF(D18583&lt;&gt;"",IF(COUNTIF('USPTO TMs'!A:A,D18583)&gt;0,"Yes","No"),"")</f>
        <v/>
      </c>
      <c r="C18583" s="11"/>
      <c r="D18583" s="11"/>
      <c r="E18583" s="11"/>
      <c r="F18583" s="11"/>
      <c r="G18583" s="11"/>
      <c r="H18583" s="11"/>
      <c r="I18583" s="15"/>
    </row>
    <row r="18584" spans="1:9" ht="16.5">
      <c r="A18584" s="10" t="b">
        <v>0</v>
      </c>
      <c r="B18584" s="11" t="str">
        <f>IF(D18584&lt;&gt;"",IF(COUNTIF('USPTO TMs'!A:A,D18584)&gt;0,"Yes","No"),"")</f>
        <v/>
      </c>
      <c r="C18584" s="11"/>
      <c r="D18584" s="11"/>
      <c r="E18584" s="11"/>
      <c r="F18584" s="11"/>
      <c r="G18584" s="11"/>
      <c r="H18584" s="11"/>
      <c r="I18584" s="15"/>
    </row>
    <row r="18585" spans="1:9" ht="16.5">
      <c r="A18585" s="10" t="b">
        <v>0</v>
      </c>
      <c r="B18585" s="11" t="str">
        <f>IF(D18585&lt;&gt;"",IF(COUNTIF('USPTO TMs'!A:A,D18585)&gt;0,"Yes","No"),"")</f>
        <v/>
      </c>
      <c r="C18585" s="11"/>
      <c r="D18585" s="11"/>
      <c r="E18585" s="11"/>
      <c r="F18585" s="11"/>
      <c r="G18585" s="11"/>
      <c r="H18585" s="11"/>
      <c r="I18585" s="15"/>
    </row>
    <row r="18586" spans="1:9" ht="16.5">
      <c r="A18586" s="10" t="b">
        <v>0</v>
      </c>
      <c r="B18586" s="11" t="str">
        <f>IF(D18586&lt;&gt;"",IF(COUNTIF('USPTO TMs'!A:A,D18586)&gt;0,"Yes","No"),"")</f>
        <v/>
      </c>
      <c r="C18586" s="11"/>
      <c r="D18586" s="11"/>
      <c r="E18586" s="11"/>
      <c r="F18586" s="11"/>
      <c r="G18586" s="11"/>
      <c r="H18586" s="11"/>
      <c r="I18586" s="15"/>
    </row>
    <row r="18587" spans="1:9" ht="16.5">
      <c r="A18587" s="10" t="b">
        <v>0</v>
      </c>
      <c r="B18587" s="11" t="str">
        <f>IF(D18587&lt;&gt;"",IF(COUNTIF('USPTO TMs'!A:A,D18587)&gt;0,"Yes","No"),"")</f>
        <v/>
      </c>
      <c r="C18587" s="11"/>
      <c r="D18587" s="11"/>
      <c r="E18587" s="11"/>
      <c r="F18587" s="11"/>
      <c r="G18587" s="11"/>
      <c r="H18587" s="11"/>
      <c r="I18587" s="15"/>
    </row>
    <row r="18588" spans="1:9" ht="16.5">
      <c r="A18588" s="10" t="b">
        <v>0</v>
      </c>
      <c r="B18588" s="11" t="str">
        <f>IF(D18588&lt;&gt;"",IF(COUNTIF('USPTO TMs'!A:A,D18588)&gt;0,"Yes","No"),"")</f>
        <v/>
      </c>
      <c r="C18588" s="11"/>
      <c r="D18588" s="11"/>
      <c r="E18588" s="11"/>
      <c r="F18588" s="11"/>
      <c r="G18588" s="11"/>
      <c r="H18588" s="11"/>
      <c r="I18588" s="15"/>
    </row>
    <row r="18589" spans="1:9" ht="16.5">
      <c r="A18589" s="10" t="b">
        <v>0</v>
      </c>
      <c r="B18589" s="11" t="str">
        <f>IF(D18589&lt;&gt;"",IF(COUNTIF('USPTO TMs'!A:A,D18589)&gt;0,"Yes","No"),"")</f>
        <v/>
      </c>
      <c r="C18589" s="11"/>
      <c r="D18589" s="11"/>
      <c r="E18589" s="11"/>
      <c r="F18589" s="11"/>
      <c r="G18589" s="11"/>
      <c r="H18589" s="11"/>
      <c r="I18589" s="15"/>
    </row>
    <row r="18590" spans="1:9" ht="16.5">
      <c r="A18590" s="10" t="b">
        <v>0</v>
      </c>
      <c r="B18590" s="11" t="str">
        <f>IF(D18590&lt;&gt;"",IF(COUNTIF('USPTO TMs'!A:A,D18590)&gt;0,"Yes","No"),"")</f>
        <v/>
      </c>
      <c r="C18590" s="11"/>
      <c r="D18590" s="11"/>
      <c r="E18590" s="11"/>
      <c r="F18590" s="11"/>
      <c r="G18590" s="11"/>
      <c r="H18590" s="11"/>
      <c r="I18590" s="15"/>
    </row>
    <row r="18591" spans="1:9" ht="16.5">
      <c r="A18591" s="10" t="b">
        <v>0</v>
      </c>
      <c r="B18591" s="11" t="str">
        <f>IF(D18591&lt;&gt;"",IF(COUNTIF('USPTO TMs'!A:A,D18591)&gt;0,"Yes","No"),"")</f>
        <v/>
      </c>
      <c r="C18591" s="11"/>
      <c r="D18591" s="11"/>
      <c r="E18591" s="11"/>
      <c r="F18591" s="11"/>
      <c r="G18591" s="11"/>
      <c r="H18591" s="11"/>
      <c r="I18591" s="15"/>
    </row>
    <row r="18592" spans="1:9" ht="16.5">
      <c r="A18592" s="10" t="b">
        <v>0</v>
      </c>
      <c r="B18592" s="11" t="str">
        <f>IF(D18592&lt;&gt;"",IF(COUNTIF('USPTO TMs'!A:A,D18592)&gt;0,"Yes","No"),"")</f>
        <v/>
      </c>
      <c r="C18592" s="11"/>
      <c r="D18592" s="11"/>
      <c r="E18592" s="11"/>
      <c r="F18592" s="11"/>
      <c r="G18592" s="11"/>
      <c r="H18592" s="11"/>
      <c r="I18592" s="15"/>
    </row>
    <row r="18593" spans="1:9" ht="16.5">
      <c r="A18593" s="10" t="b">
        <v>0</v>
      </c>
      <c r="B18593" s="11" t="str">
        <f>IF(D18593&lt;&gt;"",IF(COUNTIF('USPTO TMs'!A:A,D18593)&gt;0,"Yes","No"),"")</f>
        <v/>
      </c>
      <c r="C18593" s="11"/>
      <c r="D18593" s="11"/>
      <c r="E18593" s="11"/>
      <c r="F18593" s="11"/>
      <c r="G18593" s="11"/>
      <c r="H18593" s="11"/>
      <c r="I18593" s="15"/>
    </row>
    <row r="18594" spans="1:9" ht="16.5">
      <c r="A18594" s="10" t="b">
        <v>0</v>
      </c>
      <c r="B18594" s="11" t="str">
        <f>IF(D18594&lt;&gt;"",IF(COUNTIF('USPTO TMs'!A:A,D18594)&gt;0,"Yes","No"),"")</f>
        <v/>
      </c>
      <c r="C18594" s="11"/>
      <c r="D18594" s="11"/>
      <c r="E18594" s="11"/>
      <c r="F18594" s="11"/>
      <c r="G18594" s="11"/>
      <c r="H18594" s="11"/>
      <c r="I18594" s="15"/>
    </row>
    <row r="18595" spans="1:9" ht="16.5">
      <c r="A18595" s="10" t="b">
        <v>0</v>
      </c>
      <c r="B18595" s="11" t="str">
        <f>IF(D18595&lt;&gt;"",IF(COUNTIF('USPTO TMs'!A:A,D18595)&gt;0,"Yes","No"),"")</f>
        <v/>
      </c>
      <c r="C18595" s="11"/>
      <c r="D18595" s="11"/>
      <c r="E18595" s="11"/>
      <c r="F18595" s="11"/>
      <c r="G18595" s="11"/>
      <c r="H18595" s="11"/>
      <c r="I18595" s="15"/>
    </row>
    <row r="18596" spans="1:9" ht="16.5">
      <c r="A18596" s="10" t="b">
        <v>0</v>
      </c>
      <c r="B18596" s="11" t="str">
        <f>IF(D18596&lt;&gt;"",IF(COUNTIF('USPTO TMs'!A:A,D18596)&gt;0,"Yes","No"),"")</f>
        <v/>
      </c>
      <c r="C18596" s="11"/>
      <c r="D18596" s="11"/>
      <c r="E18596" s="11"/>
      <c r="F18596" s="11"/>
      <c r="G18596" s="11"/>
      <c r="H18596" s="11"/>
      <c r="I18596" s="15"/>
    </row>
    <row r="18597" spans="1:9" ht="16.5">
      <c r="A18597" s="10" t="b">
        <v>0</v>
      </c>
      <c r="B18597" s="11" t="str">
        <f>IF(D18597&lt;&gt;"",IF(COUNTIF('USPTO TMs'!A:A,D18597)&gt;0,"Yes","No"),"")</f>
        <v/>
      </c>
      <c r="C18597" s="11"/>
      <c r="D18597" s="11"/>
      <c r="E18597" s="11"/>
      <c r="F18597" s="11"/>
      <c r="G18597" s="11"/>
      <c r="H18597" s="11"/>
      <c r="I18597" s="15"/>
    </row>
    <row r="18598" spans="1:9" ht="16.5">
      <c r="A18598" s="10" t="b">
        <v>0</v>
      </c>
      <c r="B18598" s="11" t="str">
        <f>IF(D18598&lt;&gt;"",IF(COUNTIF('USPTO TMs'!A:A,D18598)&gt;0,"Yes","No"),"")</f>
        <v/>
      </c>
      <c r="C18598" s="11"/>
      <c r="D18598" s="11"/>
      <c r="E18598" s="11"/>
      <c r="F18598" s="11"/>
      <c r="G18598" s="11"/>
      <c r="H18598" s="11"/>
      <c r="I18598" s="15"/>
    </row>
    <row r="18599" spans="1:9" ht="16.5">
      <c r="A18599" s="10" t="b">
        <v>0</v>
      </c>
      <c r="B18599" s="11" t="str">
        <f>IF(D18599&lt;&gt;"",IF(COUNTIF('USPTO TMs'!A:A,D18599)&gt;0,"Yes","No"),"")</f>
        <v/>
      </c>
      <c r="C18599" s="11"/>
      <c r="D18599" s="11"/>
      <c r="E18599" s="11"/>
      <c r="F18599" s="11"/>
      <c r="G18599" s="11"/>
      <c r="H18599" s="11"/>
      <c r="I18599" s="15"/>
    </row>
    <row r="18600" spans="1:9" ht="16.5">
      <c r="A18600" s="10" t="b">
        <v>0</v>
      </c>
      <c r="B18600" s="11" t="str">
        <f>IF(D18600&lt;&gt;"",IF(COUNTIF('USPTO TMs'!A:A,D18600)&gt;0,"Yes","No"),"")</f>
        <v/>
      </c>
      <c r="C18600" s="11"/>
      <c r="D18600" s="11"/>
      <c r="E18600" s="11"/>
      <c r="F18600" s="11"/>
      <c r="G18600" s="11"/>
      <c r="H18600" s="11"/>
      <c r="I18600" s="15"/>
    </row>
    <row r="18601" spans="1:9" ht="16.5">
      <c r="A18601" s="10" t="b">
        <v>0</v>
      </c>
      <c r="B18601" s="11" t="str">
        <f>IF(D18601&lt;&gt;"",IF(COUNTIF('USPTO TMs'!A:A,D18601)&gt;0,"Yes","No"),"")</f>
        <v/>
      </c>
      <c r="C18601" s="11"/>
      <c r="D18601" s="11"/>
      <c r="E18601" s="11"/>
      <c r="F18601" s="11"/>
      <c r="G18601" s="11"/>
      <c r="H18601" s="11"/>
      <c r="I18601" s="15"/>
    </row>
    <row r="18602" spans="1:9" ht="16.5">
      <c r="A18602" s="10" t="b">
        <v>0</v>
      </c>
      <c r="B18602" s="11" t="str">
        <f>IF(D18602&lt;&gt;"",IF(COUNTIF('USPTO TMs'!A:A,D18602)&gt;0,"Yes","No"),"")</f>
        <v/>
      </c>
      <c r="C18602" s="11"/>
      <c r="D18602" s="11"/>
      <c r="E18602" s="11"/>
      <c r="F18602" s="11"/>
      <c r="G18602" s="11"/>
      <c r="H18602" s="11"/>
      <c r="I18602" s="15"/>
    </row>
    <row r="18603" spans="1:9" ht="16.5">
      <c r="A18603" s="10" t="b">
        <v>0</v>
      </c>
      <c r="B18603" s="11" t="str">
        <f>IF(D18603&lt;&gt;"",IF(COUNTIF('USPTO TMs'!A:A,D18603)&gt;0,"Yes","No"),"")</f>
        <v/>
      </c>
      <c r="C18603" s="11"/>
      <c r="D18603" s="11"/>
      <c r="E18603" s="11"/>
      <c r="F18603" s="11"/>
      <c r="G18603" s="11"/>
      <c r="H18603" s="11"/>
      <c r="I18603" s="15"/>
    </row>
    <row r="18604" spans="1:9" ht="16.5">
      <c r="A18604" s="10" t="b">
        <v>0</v>
      </c>
      <c r="B18604" s="11" t="str">
        <f>IF(D18604&lt;&gt;"",IF(COUNTIF('USPTO TMs'!A:A,D18604)&gt;0,"Yes","No"),"")</f>
        <v/>
      </c>
      <c r="C18604" s="11"/>
      <c r="D18604" s="11"/>
      <c r="E18604" s="11"/>
      <c r="F18604" s="11"/>
      <c r="G18604" s="11"/>
      <c r="H18604" s="11"/>
      <c r="I18604" s="15"/>
    </row>
    <row r="18605" spans="1:9" ht="16.5">
      <c r="A18605" s="10" t="b">
        <v>0</v>
      </c>
      <c r="B18605" s="11" t="str">
        <f>IF(D18605&lt;&gt;"",IF(COUNTIF('USPTO TMs'!A:A,D18605)&gt;0,"Yes","No"),"")</f>
        <v/>
      </c>
      <c r="C18605" s="11"/>
      <c r="D18605" s="11"/>
      <c r="E18605" s="11"/>
      <c r="F18605" s="11"/>
      <c r="G18605" s="11"/>
      <c r="H18605" s="11"/>
      <c r="I18605" s="15"/>
    </row>
    <row r="18606" spans="1:9" ht="16.5">
      <c r="A18606" s="10" t="b">
        <v>0</v>
      </c>
      <c r="B18606" s="11" t="str">
        <f>IF(D18606&lt;&gt;"",IF(COUNTIF('USPTO TMs'!A:A,D18606)&gt;0,"Yes","No"),"")</f>
        <v/>
      </c>
      <c r="C18606" s="11"/>
      <c r="D18606" s="11"/>
      <c r="E18606" s="11"/>
      <c r="F18606" s="11"/>
      <c r="G18606" s="11"/>
      <c r="H18606" s="11"/>
      <c r="I18606" s="15"/>
    </row>
    <row r="18607" spans="1:9" ht="16.5">
      <c r="A18607" s="10" t="b">
        <v>0</v>
      </c>
      <c r="B18607" s="11" t="str">
        <f>IF(D18607&lt;&gt;"",IF(COUNTIF('USPTO TMs'!A:A,D18607)&gt;0,"Yes","No"),"")</f>
        <v/>
      </c>
      <c r="C18607" s="11"/>
      <c r="D18607" s="11"/>
      <c r="E18607" s="11"/>
      <c r="F18607" s="11"/>
      <c r="G18607" s="11"/>
      <c r="H18607" s="11"/>
      <c r="I18607" s="15"/>
    </row>
    <row r="18608" spans="1:9" ht="16.5">
      <c r="A18608" s="10" t="b">
        <v>0</v>
      </c>
      <c r="B18608" s="11" t="str">
        <f>IF(D18608&lt;&gt;"",IF(COUNTIF('USPTO TMs'!A:A,D18608)&gt;0,"Yes","No"),"")</f>
        <v/>
      </c>
      <c r="C18608" s="11"/>
      <c r="D18608" s="11"/>
      <c r="E18608" s="11"/>
      <c r="F18608" s="11"/>
      <c r="G18608" s="11"/>
      <c r="H18608" s="11"/>
      <c r="I18608" s="15"/>
    </row>
    <row r="18609" spans="1:9" ht="16.5">
      <c r="A18609" s="10" t="b">
        <v>0</v>
      </c>
      <c r="B18609" s="11" t="str">
        <f>IF(D18609&lt;&gt;"",IF(COUNTIF('USPTO TMs'!A:A,D18609)&gt;0,"Yes","No"),"")</f>
        <v/>
      </c>
      <c r="C18609" s="11"/>
      <c r="D18609" s="11"/>
      <c r="E18609" s="11"/>
      <c r="F18609" s="11"/>
      <c r="G18609" s="11"/>
      <c r="H18609" s="11"/>
      <c r="I18609" s="15"/>
    </row>
    <row r="18610" spans="1:9" ht="16.5">
      <c r="A18610" s="10" t="b">
        <v>0</v>
      </c>
      <c r="B18610" s="11" t="str">
        <f>IF(D18610&lt;&gt;"",IF(COUNTIF('USPTO TMs'!A:A,D18610)&gt;0,"Yes","No"),"")</f>
        <v/>
      </c>
      <c r="C18610" s="11"/>
      <c r="D18610" s="11"/>
      <c r="E18610" s="11"/>
      <c r="F18610" s="11"/>
      <c r="G18610" s="11"/>
      <c r="H18610" s="11"/>
      <c r="I18610" s="15"/>
    </row>
    <row r="18611" spans="1:9" ht="16.5">
      <c r="A18611" s="10" t="b">
        <v>0</v>
      </c>
      <c r="B18611" s="11" t="str">
        <f>IF(D18611&lt;&gt;"",IF(COUNTIF('USPTO TMs'!A:A,D18611)&gt;0,"Yes","No"),"")</f>
        <v/>
      </c>
      <c r="C18611" s="11"/>
      <c r="D18611" s="11"/>
      <c r="E18611" s="11"/>
      <c r="F18611" s="11"/>
      <c r="G18611" s="11"/>
      <c r="H18611" s="11"/>
      <c r="I18611" s="15"/>
    </row>
    <row r="18612" spans="1:9" ht="16.5">
      <c r="A18612" s="10" t="b">
        <v>0</v>
      </c>
      <c r="B18612" s="11" t="str">
        <f>IF(D18612&lt;&gt;"",IF(COUNTIF('USPTO TMs'!A:A,D18612)&gt;0,"Yes","No"),"")</f>
        <v/>
      </c>
      <c r="C18612" s="11"/>
      <c r="D18612" s="11"/>
      <c r="E18612" s="11"/>
      <c r="F18612" s="11"/>
      <c r="G18612" s="11"/>
      <c r="H18612" s="11"/>
      <c r="I18612" s="15"/>
    </row>
    <row r="18613" spans="1:9" ht="16.5">
      <c r="A18613" s="10" t="b">
        <v>0</v>
      </c>
      <c r="B18613" s="11" t="str">
        <f>IF(D18613&lt;&gt;"",IF(COUNTIF('USPTO TMs'!A:A,D18613)&gt;0,"Yes","No"),"")</f>
        <v/>
      </c>
      <c r="C18613" s="11"/>
      <c r="D18613" s="11"/>
      <c r="E18613" s="11"/>
      <c r="F18613" s="11"/>
      <c r="G18613" s="11"/>
      <c r="H18613" s="11"/>
      <c r="I18613" s="15"/>
    </row>
    <row r="18614" spans="1:9" ht="16.5">
      <c r="A18614" s="10" t="b">
        <v>0</v>
      </c>
      <c r="B18614" s="11" t="str">
        <f>IF(D18614&lt;&gt;"",IF(COUNTIF('USPTO TMs'!A:A,D18614)&gt;0,"Yes","No"),"")</f>
        <v/>
      </c>
      <c r="C18614" s="11"/>
      <c r="D18614" s="11"/>
      <c r="E18614" s="11"/>
      <c r="F18614" s="11"/>
      <c r="G18614" s="11"/>
      <c r="H18614" s="11"/>
      <c r="I18614" s="15"/>
    </row>
    <row r="18615" spans="1:9" ht="16.5">
      <c r="A18615" s="10" t="b">
        <v>0</v>
      </c>
      <c r="B18615" s="11" t="str">
        <f>IF(D18615&lt;&gt;"",IF(COUNTIF('USPTO TMs'!A:A,D18615)&gt;0,"Yes","No"),"")</f>
        <v/>
      </c>
      <c r="C18615" s="11"/>
      <c r="D18615" s="11"/>
      <c r="E18615" s="11"/>
      <c r="F18615" s="11"/>
      <c r="G18615" s="11"/>
      <c r="H18615" s="11"/>
      <c r="I18615" s="15"/>
    </row>
    <row r="18616" spans="1:9" ht="16.5">
      <c r="A18616" s="10" t="b">
        <v>0</v>
      </c>
      <c r="B18616" s="11" t="str">
        <f>IF(D18616&lt;&gt;"",IF(COUNTIF('USPTO TMs'!A:A,D18616)&gt;0,"Yes","No"),"")</f>
        <v/>
      </c>
      <c r="C18616" s="11"/>
      <c r="D18616" s="11"/>
      <c r="E18616" s="11"/>
      <c r="F18616" s="11"/>
      <c r="G18616" s="11"/>
      <c r="H18616" s="11"/>
      <c r="I18616" s="15"/>
    </row>
    <row r="18617" spans="1:9" ht="16.5">
      <c r="A18617" s="10" t="b">
        <v>0</v>
      </c>
      <c r="B18617" s="11" t="str">
        <f>IF(D18617&lt;&gt;"",IF(COUNTIF('USPTO TMs'!A:A,D18617)&gt;0,"Yes","No"),"")</f>
        <v/>
      </c>
      <c r="C18617" s="11"/>
      <c r="D18617" s="11"/>
      <c r="E18617" s="11"/>
      <c r="F18617" s="11"/>
      <c r="G18617" s="11"/>
      <c r="H18617" s="11"/>
      <c r="I18617" s="15"/>
    </row>
    <row r="18618" spans="1:9" ht="16.5">
      <c r="A18618" s="10" t="b">
        <v>0</v>
      </c>
      <c r="B18618" s="11" t="str">
        <f>IF(D18618&lt;&gt;"",IF(COUNTIF('USPTO TMs'!A:A,D18618)&gt;0,"Yes","No"),"")</f>
        <v/>
      </c>
      <c r="C18618" s="11"/>
      <c r="D18618" s="11"/>
      <c r="E18618" s="11"/>
      <c r="F18618" s="11"/>
      <c r="G18618" s="11"/>
      <c r="H18618" s="11"/>
      <c r="I18618" s="15"/>
    </row>
    <row r="18619" spans="1:9" ht="16.5">
      <c r="A18619" s="10" t="b">
        <v>0</v>
      </c>
      <c r="B18619" s="11" t="str">
        <f>IF(D18619&lt;&gt;"",IF(COUNTIF('USPTO TMs'!A:A,D18619)&gt;0,"Yes","No"),"")</f>
        <v/>
      </c>
      <c r="C18619" s="11"/>
      <c r="D18619" s="11"/>
      <c r="E18619" s="11"/>
      <c r="F18619" s="11"/>
      <c r="G18619" s="11"/>
      <c r="H18619" s="11"/>
      <c r="I18619" s="15"/>
    </row>
    <row r="18620" spans="1:9" ht="16.5">
      <c r="A18620" s="10" t="b">
        <v>0</v>
      </c>
      <c r="B18620" s="11" t="str">
        <f>IF(D18620&lt;&gt;"",IF(COUNTIF('USPTO TMs'!A:A,D18620)&gt;0,"Yes","No"),"")</f>
        <v/>
      </c>
      <c r="C18620" s="11"/>
      <c r="D18620" s="11"/>
      <c r="E18620" s="11"/>
      <c r="F18620" s="11"/>
      <c r="G18620" s="11"/>
      <c r="H18620" s="11"/>
      <c r="I18620" s="15"/>
    </row>
    <row r="18621" spans="1:9" ht="16.5">
      <c r="A18621" s="10" t="b">
        <v>0</v>
      </c>
      <c r="B18621" s="11" t="str">
        <f>IF(D18621&lt;&gt;"",IF(COUNTIF('USPTO TMs'!A:A,D18621)&gt;0,"Yes","No"),"")</f>
        <v/>
      </c>
      <c r="C18621" s="11"/>
      <c r="D18621" s="11"/>
      <c r="E18621" s="11"/>
      <c r="F18621" s="11"/>
      <c r="G18621" s="11"/>
      <c r="H18621" s="11"/>
      <c r="I18621" s="15"/>
    </row>
    <row r="18622" spans="1:9" ht="16.5">
      <c r="A18622" s="10" t="b">
        <v>0</v>
      </c>
      <c r="B18622" s="11" t="str">
        <f>IF(D18622&lt;&gt;"",IF(COUNTIF('USPTO TMs'!A:A,D18622)&gt;0,"Yes","No"),"")</f>
        <v/>
      </c>
      <c r="C18622" s="11"/>
      <c r="D18622" s="11"/>
      <c r="E18622" s="11"/>
      <c r="F18622" s="11"/>
      <c r="G18622" s="11"/>
      <c r="H18622" s="11"/>
      <c r="I18622" s="15"/>
    </row>
    <row r="18623" spans="1:9" ht="16.5">
      <c r="A18623" s="10" t="b">
        <v>0</v>
      </c>
      <c r="B18623" s="11" t="str">
        <f>IF(D18623&lt;&gt;"",IF(COUNTIF('USPTO TMs'!A:A,D18623)&gt;0,"Yes","No"),"")</f>
        <v/>
      </c>
      <c r="C18623" s="11"/>
      <c r="D18623" s="11"/>
      <c r="E18623" s="11"/>
      <c r="F18623" s="11"/>
      <c r="G18623" s="11"/>
      <c r="H18623" s="11"/>
      <c r="I18623" s="15"/>
    </row>
    <row r="18624" spans="1:9" ht="16.5">
      <c r="A18624" s="10" t="b">
        <v>0</v>
      </c>
      <c r="B18624" s="11" t="str">
        <f>IF(D18624&lt;&gt;"",IF(COUNTIF('USPTO TMs'!A:A,D18624)&gt;0,"Yes","No"),"")</f>
        <v/>
      </c>
      <c r="C18624" s="11"/>
      <c r="D18624" s="11"/>
      <c r="E18624" s="11"/>
      <c r="F18624" s="11"/>
      <c r="G18624" s="11"/>
      <c r="H18624" s="11"/>
      <c r="I18624" s="15"/>
    </row>
    <row r="18625" spans="1:9" ht="16.5">
      <c r="A18625" s="10" t="b">
        <v>0</v>
      </c>
      <c r="B18625" s="11" t="str">
        <f>IF(D18625&lt;&gt;"",IF(COUNTIF('USPTO TMs'!A:A,D18625)&gt;0,"Yes","No"),"")</f>
        <v/>
      </c>
      <c r="C18625" s="11"/>
      <c r="D18625" s="11"/>
      <c r="E18625" s="11"/>
      <c r="F18625" s="11"/>
      <c r="G18625" s="11"/>
      <c r="H18625" s="11"/>
      <c r="I18625" s="15"/>
    </row>
    <row r="18626" spans="1:9" ht="16.5">
      <c r="A18626" s="10" t="b">
        <v>0</v>
      </c>
      <c r="B18626" s="11" t="str">
        <f>IF(D18626&lt;&gt;"",IF(COUNTIF('USPTO TMs'!A:A,D18626)&gt;0,"Yes","No"),"")</f>
        <v/>
      </c>
      <c r="C18626" s="11"/>
      <c r="D18626" s="11"/>
      <c r="E18626" s="11"/>
      <c r="F18626" s="11"/>
      <c r="G18626" s="11"/>
      <c r="H18626" s="11"/>
      <c r="I18626" s="15"/>
    </row>
    <row r="18627" spans="1:9" ht="16.5">
      <c r="A18627" s="10" t="b">
        <v>0</v>
      </c>
      <c r="B18627" s="11" t="str">
        <f>IF(D18627&lt;&gt;"",IF(COUNTIF('USPTO TMs'!A:A,D18627)&gt;0,"Yes","No"),"")</f>
        <v/>
      </c>
      <c r="C18627" s="11"/>
      <c r="D18627" s="11"/>
      <c r="E18627" s="11"/>
      <c r="F18627" s="11"/>
      <c r="G18627" s="11"/>
      <c r="H18627" s="11"/>
      <c r="I18627" s="15"/>
    </row>
    <row r="18628" spans="1:9" ht="16.5">
      <c r="A18628" s="10" t="b">
        <v>0</v>
      </c>
      <c r="B18628" s="11" t="str">
        <f>IF(D18628&lt;&gt;"",IF(COUNTIF('USPTO TMs'!A:A,D18628)&gt;0,"Yes","No"),"")</f>
        <v/>
      </c>
      <c r="C18628" s="11"/>
      <c r="D18628" s="11"/>
      <c r="E18628" s="11"/>
      <c r="F18628" s="11"/>
      <c r="G18628" s="11"/>
      <c r="H18628" s="11"/>
      <c r="I18628" s="15"/>
    </row>
    <row r="18629" spans="1:9" ht="16.5">
      <c r="A18629" s="10" t="b">
        <v>0</v>
      </c>
      <c r="B18629" s="11" t="str">
        <f>IF(D18629&lt;&gt;"",IF(COUNTIF('USPTO TMs'!A:A,D18629)&gt;0,"Yes","No"),"")</f>
        <v/>
      </c>
      <c r="C18629" s="11"/>
      <c r="D18629" s="11"/>
      <c r="E18629" s="11"/>
      <c r="F18629" s="11"/>
      <c r="G18629" s="11"/>
      <c r="H18629" s="11"/>
      <c r="I18629" s="15"/>
    </row>
    <row r="18630" spans="1:9" ht="16.5">
      <c r="A18630" s="10" t="b">
        <v>0</v>
      </c>
      <c r="B18630" s="11" t="str">
        <f>IF(D18630&lt;&gt;"",IF(COUNTIF('USPTO TMs'!A:A,D18630)&gt;0,"Yes","No"),"")</f>
        <v/>
      </c>
      <c r="C18630" s="11"/>
      <c r="D18630" s="11"/>
      <c r="E18630" s="11"/>
      <c r="F18630" s="11"/>
      <c r="G18630" s="11"/>
      <c r="H18630" s="11"/>
      <c r="I18630" s="15"/>
    </row>
    <row r="18631" spans="1:9" ht="16.5">
      <c r="A18631" s="10" t="b">
        <v>0</v>
      </c>
      <c r="B18631" s="11" t="str">
        <f>IF(D18631&lt;&gt;"",IF(COUNTIF('USPTO TMs'!A:A,D18631)&gt;0,"Yes","No"),"")</f>
        <v/>
      </c>
      <c r="C18631" s="11"/>
      <c r="D18631" s="11"/>
      <c r="E18631" s="11"/>
      <c r="F18631" s="11"/>
      <c r="G18631" s="11"/>
      <c r="H18631" s="11"/>
      <c r="I18631" s="15"/>
    </row>
    <row r="18632" spans="1:9" ht="16.5">
      <c r="A18632" s="10" t="b">
        <v>0</v>
      </c>
      <c r="B18632" s="11" t="str">
        <f>IF(D18632&lt;&gt;"",IF(COUNTIF('USPTO TMs'!A:A,D18632)&gt;0,"Yes","No"),"")</f>
        <v/>
      </c>
      <c r="C18632" s="11"/>
      <c r="D18632" s="11"/>
      <c r="E18632" s="11"/>
      <c r="F18632" s="11"/>
      <c r="G18632" s="11"/>
      <c r="H18632" s="11"/>
      <c r="I18632" s="15"/>
    </row>
    <row r="18633" spans="1:9" ht="16.5">
      <c r="A18633" s="10" t="b">
        <v>0</v>
      </c>
      <c r="B18633" s="11" t="str">
        <f>IF(D18633&lt;&gt;"",IF(COUNTIF('USPTO TMs'!A:A,D18633)&gt;0,"Yes","No"),"")</f>
        <v/>
      </c>
      <c r="C18633" s="11"/>
      <c r="D18633" s="11"/>
      <c r="E18633" s="11"/>
      <c r="F18633" s="11"/>
      <c r="G18633" s="11"/>
      <c r="H18633" s="11"/>
      <c r="I18633" s="15"/>
    </row>
    <row r="18634" spans="1:9" ht="16.5">
      <c r="A18634" s="10" t="b">
        <v>0</v>
      </c>
      <c r="B18634" s="11" t="str">
        <f>IF(D18634&lt;&gt;"",IF(COUNTIF('USPTO TMs'!A:A,D18634)&gt;0,"Yes","No"),"")</f>
        <v/>
      </c>
      <c r="C18634" s="11"/>
      <c r="D18634" s="11"/>
      <c r="E18634" s="11"/>
      <c r="F18634" s="11"/>
      <c r="G18634" s="11"/>
      <c r="H18634" s="11"/>
      <c r="I18634" s="15"/>
    </row>
    <row r="18635" spans="1:9" ht="16.5">
      <c r="A18635" s="10" t="b">
        <v>0</v>
      </c>
      <c r="B18635" s="11" t="str">
        <f>IF(D18635&lt;&gt;"",IF(COUNTIF('USPTO TMs'!A:A,D18635)&gt;0,"Yes","No"),"")</f>
        <v/>
      </c>
      <c r="C18635" s="11"/>
      <c r="D18635" s="11"/>
      <c r="E18635" s="11"/>
      <c r="F18635" s="11"/>
      <c r="G18635" s="11"/>
      <c r="H18635" s="11"/>
      <c r="I18635" s="15"/>
    </row>
    <row r="18636" spans="1:9" ht="16.5">
      <c r="A18636" s="10" t="b">
        <v>0</v>
      </c>
      <c r="B18636" s="11" t="str">
        <f>IF(D18636&lt;&gt;"",IF(COUNTIF('USPTO TMs'!A:A,D18636)&gt;0,"Yes","No"),"")</f>
        <v/>
      </c>
      <c r="C18636" s="11"/>
      <c r="D18636" s="11"/>
      <c r="E18636" s="11"/>
      <c r="F18636" s="11"/>
      <c r="G18636" s="11"/>
      <c r="H18636" s="11"/>
      <c r="I18636" s="15"/>
    </row>
    <row r="18637" spans="1:9" ht="16.5">
      <c r="A18637" s="10" t="b">
        <v>0</v>
      </c>
      <c r="B18637" s="11" t="str">
        <f>IF(D18637&lt;&gt;"",IF(COUNTIF('USPTO TMs'!A:A,D18637)&gt;0,"Yes","No"),"")</f>
        <v/>
      </c>
      <c r="C18637" s="11"/>
      <c r="D18637" s="11"/>
      <c r="E18637" s="11"/>
      <c r="F18637" s="11"/>
      <c r="G18637" s="11"/>
      <c r="H18637" s="11"/>
      <c r="I18637" s="15"/>
    </row>
    <row r="18638" spans="1:9" ht="16.5">
      <c r="A18638" s="10" t="b">
        <v>0</v>
      </c>
      <c r="B18638" s="11" t="str">
        <f>IF(D18638&lt;&gt;"",IF(COUNTIF('USPTO TMs'!A:A,D18638)&gt;0,"Yes","No"),"")</f>
        <v/>
      </c>
      <c r="C18638" s="11"/>
      <c r="D18638" s="11"/>
      <c r="E18638" s="11"/>
      <c r="F18638" s="11"/>
      <c r="G18638" s="11"/>
      <c r="H18638" s="11"/>
      <c r="I18638" s="15"/>
    </row>
    <row r="18639" spans="1:9" ht="16.5">
      <c r="A18639" s="10" t="b">
        <v>0</v>
      </c>
      <c r="B18639" s="11" t="str">
        <f>IF(D18639&lt;&gt;"",IF(COUNTIF('USPTO TMs'!A:A,D18639)&gt;0,"Yes","No"),"")</f>
        <v/>
      </c>
      <c r="C18639" s="11"/>
      <c r="D18639" s="11"/>
      <c r="E18639" s="11"/>
      <c r="F18639" s="11"/>
      <c r="G18639" s="11"/>
      <c r="H18639" s="11"/>
      <c r="I18639" s="15"/>
    </row>
    <row r="18640" spans="1:9" ht="16.5">
      <c r="A18640" s="10" t="b">
        <v>0</v>
      </c>
      <c r="B18640" s="11" t="str">
        <f>IF(D18640&lt;&gt;"",IF(COUNTIF('USPTO TMs'!A:A,D18640)&gt;0,"Yes","No"),"")</f>
        <v/>
      </c>
      <c r="C18640" s="11"/>
      <c r="D18640" s="11"/>
      <c r="E18640" s="11"/>
      <c r="F18640" s="11"/>
      <c r="G18640" s="11"/>
      <c r="H18640" s="11"/>
      <c r="I18640" s="15"/>
    </row>
    <row r="18641" spans="1:9" ht="16.5">
      <c r="A18641" s="10" t="b">
        <v>0</v>
      </c>
      <c r="B18641" s="11" t="str">
        <f>IF(D18641&lt;&gt;"",IF(COUNTIF('USPTO TMs'!A:A,D18641)&gt;0,"Yes","No"),"")</f>
        <v/>
      </c>
      <c r="C18641" s="11"/>
      <c r="D18641" s="11"/>
      <c r="E18641" s="11"/>
      <c r="F18641" s="11"/>
      <c r="G18641" s="11"/>
      <c r="H18641" s="11"/>
      <c r="I18641" s="15"/>
    </row>
    <row r="18642" spans="1:9" ht="16.5">
      <c r="A18642" s="10" t="b">
        <v>0</v>
      </c>
      <c r="B18642" s="11" t="str">
        <f>IF(D18642&lt;&gt;"",IF(COUNTIF('USPTO TMs'!A:A,D18642)&gt;0,"Yes","No"),"")</f>
        <v/>
      </c>
      <c r="C18642" s="11"/>
      <c r="D18642" s="11"/>
      <c r="E18642" s="11"/>
      <c r="F18642" s="11"/>
      <c r="G18642" s="11"/>
      <c r="H18642" s="11"/>
      <c r="I18642" s="15"/>
    </row>
    <row r="18643" spans="1:9" ht="16.5">
      <c r="A18643" s="10" t="b">
        <v>0</v>
      </c>
      <c r="B18643" s="11" t="str">
        <f>IF(D18643&lt;&gt;"",IF(COUNTIF('USPTO TMs'!A:A,D18643)&gt;0,"Yes","No"),"")</f>
        <v/>
      </c>
      <c r="C18643" s="11"/>
      <c r="D18643" s="11"/>
      <c r="E18643" s="11"/>
      <c r="F18643" s="11"/>
      <c r="G18643" s="11"/>
      <c r="H18643" s="11"/>
      <c r="I18643" s="15"/>
    </row>
    <row r="18644" spans="1:9" ht="16.5">
      <c r="A18644" s="10" t="b">
        <v>0</v>
      </c>
      <c r="B18644" s="11" t="str">
        <f>IF(D18644&lt;&gt;"",IF(COUNTIF('USPTO TMs'!A:A,D18644)&gt;0,"Yes","No"),"")</f>
        <v/>
      </c>
      <c r="C18644" s="11"/>
      <c r="D18644" s="11"/>
      <c r="E18644" s="11"/>
      <c r="F18644" s="11"/>
      <c r="G18644" s="11"/>
      <c r="H18644" s="11"/>
      <c r="I18644" s="15"/>
    </row>
    <row r="18645" spans="1:9" ht="16.5">
      <c r="A18645" s="10" t="b">
        <v>0</v>
      </c>
      <c r="B18645" s="11" t="str">
        <f>IF(D18645&lt;&gt;"",IF(COUNTIF('USPTO TMs'!A:A,D18645)&gt;0,"Yes","No"),"")</f>
        <v/>
      </c>
      <c r="C18645" s="11"/>
      <c r="D18645" s="11"/>
      <c r="E18645" s="11"/>
      <c r="F18645" s="11"/>
      <c r="G18645" s="11"/>
      <c r="H18645" s="11"/>
      <c r="I18645" s="15"/>
    </row>
    <row r="18646" spans="1:9" ht="16.5">
      <c r="A18646" s="10" t="b">
        <v>0</v>
      </c>
      <c r="B18646" s="11" t="str">
        <f>IF(D18646&lt;&gt;"",IF(COUNTIF('USPTO TMs'!A:A,D18646)&gt;0,"Yes","No"),"")</f>
        <v/>
      </c>
      <c r="C18646" s="11"/>
      <c r="D18646" s="11"/>
      <c r="E18646" s="11"/>
      <c r="F18646" s="11"/>
      <c r="G18646" s="11"/>
      <c r="H18646" s="11"/>
      <c r="I18646" s="15"/>
    </row>
    <row r="18647" spans="1:9" ht="16.5">
      <c r="A18647" s="10" t="b">
        <v>0</v>
      </c>
      <c r="B18647" s="11" t="str">
        <f>IF(D18647&lt;&gt;"",IF(COUNTIF('USPTO TMs'!A:A,D18647)&gt;0,"Yes","No"),"")</f>
        <v/>
      </c>
      <c r="C18647" s="11"/>
      <c r="D18647" s="11"/>
      <c r="E18647" s="11"/>
      <c r="F18647" s="11"/>
      <c r="G18647" s="11"/>
      <c r="H18647" s="11"/>
      <c r="I18647" s="15"/>
    </row>
    <row r="18648" spans="1:9" ht="16.5">
      <c r="A18648" s="10" t="b">
        <v>0</v>
      </c>
      <c r="B18648" s="11" t="str">
        <f>IF(D18648&lt;&gt;"",IF(COUNTIF('USPTO TMs'!A:A,D18648)&gt;0,"Yes","No"),"")</f>
        <v/>
      </c>
      <c r="C18648" s="11"/>
      <c r="D18648" s="11"/>
      <c r="E18648" s="11"/>
      <c r="F18648" s="11"/>
      <c r="G18648" s="11"/>
      <c r="H18648" s="11"/>
      <c r="I18648" s="15"/>
    </row>
    <row r="18649" spans="1:9" ht="16.5">
      <c r="A18649" s="10" t="b">
        <v>0</v>
      </c>
      <c r="B18649" s="11" t="str">
        <f>IF(D18649&lt;&gt;"",IF(COUNTIF('USPTO TMs'!A:A,D18649)&gt;0,"Yes","No"),"")</f>
        <v/>
      </c>
      <c r="C18649" s="11"/>
      <c r="D18649" s="11"/>
      <c r="E18649" s="11"/>
      <c r="F18649" s="11"/>
      <c r="G18649" s="11"/>
      <c r="H18649" s="11"/>
      <c r="I18649" s="15"/>
    </row>
    <row r="18650" spans="1:9" ht="16.5">
      <c r="A18650" s="10" t="b">
        <v>0</v>
      </c>
      <c r="B18650" s="11" t="str">
        <f>IF(D18650&lt;&gt;"",IF(COUNTIF('USPTO TMs'!A:A,D18650)&gt;0,"Yes","No"),"")</f>
        <v/>
      </c>
      <c r="C18650" s="11"/>
      <c r="D18650" s="11"/>
      <c r="E18650" s="11"/>
      <c r="F18650" s="11"/>
      <c r="G18650" s="11"/>
      <c r="H18650" s="11"/>
      <c r="I18650" s="15"/>
    </row>
    <row r="18651" spans="1:9" ht="16.5">
      <c r="A18651" s="10" t="b">
        <v>0</v>
      </c>
      <c r="B18651" s="11" t="str">
        <f>IF(D18651&lt;&gt;"",IF(COUNTIF('USPTO TMs'!A:A,D18651)&gt;0,"Yes","No"),"")</f>
        <v/>
      </c>
      <c r="C18651" s="11"/>
      <c r="D18651" s="11"/>
      <c r="E18651" s="11"/>
      <c r="F18651" s="11"/>
      <c r="G18651" s="11"/>
      <c r="H18651" s="11"/>
      <c r="I18651" s="15"/>
    </row>
    <row r="18652" spans="1:9" ht="16.5">
      <c r="A18652" s="10" t="b">
        <v>0</v>
      </c>
      <c r="B18652" s="11" t="str">
        <f>IF(D18652&lt;&gt;"",IF(COUNTIF('USPTO TMs'!A:A,D18652)&gt;0,"Yes","No"),"")</f>
        <v/>
      </c>
      <c r="C18652" s="11"/>
      <c r="D18652" s="11"/>
      <c r="E18652" s="11"/>
      <c r="F18652" s="11"/>
      <c r="G18652" s="11"/>
      <c r="H18652" s="11"/>
      <c r="I18652" s="15"/>
    </row>
    <row r="18653" spans="1:9" ht="16.5">
      <c r="A18653" s="10" t="b">
        <v>0</v>
      </c>
      <c r="B18653" s="11" t="str">
        <f>IF(D18653&lt;&gt;"",IF(COUNTIF('USPTO TMs'!A:A,D18653)&gt;0,"Yes","No"),"")</f>
        <v/>
      </c>
      <c r="C18653" s="11"/>
      <c r="D18653" s="11"/>
      <c r="E18653" s="11"/>
      <c r="F18653" s="11"/>
      <c r="G18653" s="11"/>
      <c r="H18653" s="11"/>
      <c r="I18653" s="15"/>
    </row>
    <row r="18654" spans="1:9" ht="16.5">
      <c r="A18654" s="10" t="b">
        <v>0</v>
      </c>
      <c r="B18654" s="11" t="str">
        <f>IF(D18654&lt;&gt;"",IF(COUNTIF('USPTO TMs'!A:A,D18654)&gt;0,"Yes","No"),"")</f>
        <v/>
      </c>
      <c r="C18654" s="11"/>
      <c r="D18654" s="11"/>
      <c r="E18654" s="11"/>
      <c r="F18654" s="11"/>
      <c r="G18654" s="11"/>
      <c r="H18654" s="11"/>
      <c r="I18654" s="15"/>
    </row>
    <row r="18655" spans="1:9" ht="16.5">
      <c r="A18655" s="10" t="b">
        <v>0</v>
      </c>
      <c r="B18655" s="11" t="str">
        <f>IF(D18655&lt;&gt;"",IF(COUNTIF('USPTO TMs'!A:A,D18655)&gt;0,"Yes","No"),"")</f>
        <v/>
      </c>
      <c r="C18655" s="11"/>
      <c r="D18655" s="11"/>
      <c r="E18655" s="11"/>
      <c r="F18655" s="11"/>
      <c r="G18655" s="11"/>
      <c r="H18655" s="11"/>
      <c r="I18655" s="15"/>
    </row>
    <row r="18656" spans="1:9" ht="16.5">
      <c r="A18656" s="10" t="b">
        <v>0</v>
      </c>
      <c r="B18656" s="11" t="str">
        <f>IF(D18656&lt;&gt;"",IF(COUNTIF('USPTO TMs'!A:A,D18656)&gt;0,"Yes","No"),"")</f>
        <v/>
      </c>
      <c r="C18656" s="11"/>
      <c r="D18656" s="11"/>
      <c r="E18656" s="11"/>
      <c r="F18656" s="11"/>
      <c r="G18656" s="11"/>
      <c r="H18656" s="11"/>
      <c r="I18656" s="15"/>
    </row>
    <row r="18657" spans="1:9" ht="16.5">
      <c r="A18657" s="10" t="b">
        <v>0</v>
      </c>
      <c r="B18657" s="11" t="str">
        <f>IF(D18657&lt;&gt;"",IF(COUNTIF('USPTO TMs'!A:A,D18657)&gt;0,"Yes","No"),"")</f>
        <v/>
      </c>
      <c r="C18657" s="11"/>
      <c r="D18657" s="11"/>
      <c r="E18657" s="11"/>
      <c r="F18657" s="11"/>
      <c r="G18657" s="11"/>
      <c r="H18657" s="11"/>
      <c r="I18657" s="15"/>
    </row>
    <row r="18658" spans="1:9" ht="16.5">
      <c r="A18658" s="10" t="b">
        <v>0</v>
      </c>
      <c r="B18658" s="11" t="str">
        <f>IF(D18658&lt;&gt;"",IF(COUNTIF('USPTO TMs'!A:A,D18658)&gt;0,"Yes","No"),"")</f>
        <v/>
      </c>
      <c r="C18658" s="11"/>
      <c r="D18658" s="11"/>
      <c r="E18658" s="11"/>
      <c r="F18658" s="11"/>
      <c r="G18658" s="11"/>
      <c r="H18658" s="11"/>
      <c r="I18658" s="15"/>
    </row>
    <row r="18659" spans="1:9" ht="16.5">
      <c r="A18659" s="10" t="b">
        <v>0</v>
      </c>
      <c r="B18659" s="11" t="str">
        <f>IF(D18659&lt;&gt;"",IF(COUNTIF('USPTO TMs'!A:A,D18659)&gt;0,"Yes","No"),"")</f>
        <v/>
      </c>
      <c r="C18659" s="11"/>
      <c r="D18659" s="11"/>
      <c r="E18659" s="11"/>
      <c r="F18659" s="11"/>
      <c r="G18659" s="11"/>
      <c r="H18659" s="11"/>
      <c r="I18659" s="15"/>
    </row>
    <row r="18660" spans="1:9" ht="16.5">
      <c r="A18660" s="10" t="b">
        <v>0</v>
      </c>
      <c r="B18660" s="11" t="str">
        <f>IF(D18660&lt;&gt;"",IF(COUNTIF('USPTO TMs'!A:A,D18660)&gt;0,"Yes","No"),"")</f>
        <v/>
      </c>
      <c r="C18660" s="11"/>
      <c r="D18660" s="11"/>
      <c r="E18660" s="11"/>
      <c r="F18660" s="11"/>
      <c r="G18660" s="11"/>
      <c r="H18660" s="11"/>
      <c r="I18660" s="15"/>
    </row>
    <row r="18661" spans="1:9" ht="16.5">
      <c r="A18661" s="10" t="b">
        <v>0</v>
      </c>
      <c r="B18661" s="11" t="str">
        <f>IF(D18661&lt;&gt;"",IF(COUNTIF('USPTO TMs'!A:A,D18661)&gt;0,"Yes","No"),"")</f>
        <v/>
      </c>
      <c r="C18661" s="11"/>
      <c r="D18661" s="11"/>
      <c r="E18661" s="11"/>
      <c r="F18661" s="11"/>
      <c r="G18661" s="11"/>
      <c r="H18661" s="11"/>
      <c r="I18661" s="15"/>
    </row>
    <row r="18662" spans="1:9" ht="16.5">
      <c r="A18662" s="10" t="b">
        <v>0</v>
      </c>
      <c r="B18662" s="11" t="str">
        <f>IF(D18662&lt;&gt;"",IF(COUNTIF('USPTO TMs'!A:A,D18662)&gt;0,"Yes","No"),"")</f>
        <v/>
      </c>
      <c r="C18662" s="11"/>
      <c r="D18662" s="11"/>
      <c r="E18662" s="11"/>
      <c r="F18662" s="11"/>
      <c r="G18662" s="11"/>
      <c r="H18662" s="11"/>
      <c r="I18662" s="15"/>
    </row>
    <row r="18663" spans="1:9" ht="16.5">
      <c r="A18663" s="10" t="b">
        <v>0</v>
      </c>
      <c r="B18663" s="11" t="str">
        <f>IF(D18663&lt;&gt;"",IF(COUNTIF('USPTO TMs'!A:A,D18663)&gt;0,"Yes","No"),"")</f>
        <v/>
      </c>
      <c r="C18663" s="11"/>
      <c r="D18663" s="11"/>
      <c r="E18663" s="11"/>
      <c r="F18663" s="11"/>
      <c r="G18663" s="11"/>
      <c r="H18663" s="11"/>
      <c r="I18663" s="15"/>
    </row>
    <row r="18664" spans="1:9" ht="16.5">
      <c r="A18664" s="10" t="b">
        <v>0</v>
      </c>
      <c r="B18664" s="11" t="str">
        <f>IF(D18664&lt;&gt;"",IF(COUNTIF('USPTO TMs'!A:A,D18664)&gt;0,"Yes","No"),"")</f>
        <v/>
      </c>
      <c r="C18664" s="11"/>
      <c r="D18664" s="11"/>
      <c r="E18664" s="11"/>
      <c r="F18664" s="11"/>
      <c r="G18664" s="11"/>
      <c r="H18664" s="11"/>
      <c r="I18664" s="15"/>
    </row>
    <row r="18665" spans="1:9" ht="16.5">
      <c r="A18665" s="10" t="b">
        <v>0</v>
      </c>
      <c r="B18665" s="11" t="str">
        <f>IF(D18665&lt;&gt;"",IF(COUNTIF('USPTO TMs'!A:A,D18665)&gt;0,"Yes","No"),"")</f>
        <v/>
      </c>
      <c r="C18665" s="11"/>
      <c r="D18665" s="11"/>
      <c r="E18665" s="11"/>
      <c r="F18665" s="11"/>
      <c r="G18665" s="11"/>
      <c r="H18665" s="11"/>
      <c r="I18665" s="15"/>
    </row>
    <row r="18666" spans="1:9" ht="16.5">
      <c r="A18666" s="10" t="b">
        <v>0</v>
      </c>
      <c r="B18666" s="11" t="str">
        <f>IF(D18666&lt;&gt;"",IF(COUNTIF('USPTO TMs'!A:A,D18666)&gt;0,"Yes","No"),"")</f>
        <v/>
      </c>
      <c r="C18666" s="11"/>
      <c r="D18666" s="11"/>
      <c r="E18666" s="11"/>
      <c r="F18666" s="11"/>
      <c r="G18666" s="11"/>
      <c r="H18666" s="11"/>
      <c r="I18666" s="15"/>
    </row>
    <row r="18667" spans="1:9" ht="16.5">
      <c r="A18667" s="10" t="b">
        <v>0</v>
      </c>
      <c r="B18667" s="11" t="str">
        <f>IF(D18667&lt;&gt;"",IF(COUNTIF('USPTO TMs'!A:A,D18667)&gt;0,"Yes","No"),"")</f>
        <v/>
      </c>
      <c r="C18667" s="11"/>
      <c r="D18667" s="11"/>
      <c r="E18667" s="11"/>
      <c r="F18667" s="11"/>
      <c r="G18667" s="11"/>
      <c r="H18667" s="11"/>
      <c r="I18667" s="15"/>
    </row>
    <row r="18668" spans="1:9" ht="16.5">
      <c r="A18668" s="10" t="b">
        <v>0</v>
      </c>
      <c r="B18668" s="11" t="str">
        <f>IF(D18668&lt;&gt;"",IF(COUNTIF('USPTO TMs'!A:A,D18668)&gt;0,"Yes","No"),"")</f>
        <v/>
      </c>
      <c r="C18668" s="11"/>
      <c r="D18668" s="11"/>
      <c r="E18668" s="11"/>
      <c r="F18668" s="11"/>
      <c r="G18668" s="11"/>
      <c r="H18668" s="11"/>
      <c r="I18668" s="15"/>
    </row>
    <row r="18669" spans="1:9" ht="16.5">
      <c r="A18669" s="10" t="b">
        <v>0</v>
      </c>
      <c r="B18669" s="11" t="str">
        <f>IF(D18669&lt;&gt;"",IF(COUNTIF('USPTO TMs'!A:A,D18669)&gt;0,"Yes","No"),"")</f>
        <v/>
      </c>
      <c r="C18669" s="11"/>
      <c r="D18669" s="11"/>
      <c r="E18669" s="11"/>
      <c r="F18669" s="11"/>
      <c r="G18669" s="11"/>
      <c r="H18669" s="11"/>
      <c r="I18669" s="15"/>
    </row>
    <row r="18670" spans="1:9" ht="16.5">
      <c r="A18670" s="10" t="b">
        <v>0</v>
      </c>
      <c r="B18670" s="11" t="str">
        <f>IF(D18670&lt;&gt;"",IF(COUNTIF('USPTO TMs'!A:A,D18670)&gt;0,"Yes","No"),"")</f>
        <v/>
      </c>
      <c r="C18670" s="11"/>
      <c r="D18670" s="11"/>
      <c r="E18670" s="11"/>
      <c r="F18670" s="11"/>
      <c r="G18670" s="11"/>
      <c r="H18670" s="11"/>
      <c r="I18670" s="15"/>
    </row>
    <row r="18671" spans="1:9" ht="16.5">
      <c r="A18671" s="10" t="b">
        <v>0</v>
      </c>
      <c r="B18671" s="11" t="str">
        <f>IF(D18671&lt;&gt;"",IF(COUNTIF('USPTO TMs'!A:A,D18671)&gt;0,"Yes","No"),"")</f>
        <v/>
      </c>
      <c r="C18671" s="11"/>
      <c r="D18671" s="11"/>
      <c r="E18671" s="11"/>
      <c r="F18671" s="11"/>
      <c r="G18671" s="11"/>
      <c r="H18671" s="11"/>
      <c r="I18671" s="15"/>
    </row>
    <row r="18672" spans="1:9" ht="16.5">
      <c r="A18672" s="10" t="b">
        <v>0</v>
      </c>
      <c r="B18672" s="11" t="str">
        <f>IF(D18672&lt;&gt;"",IF(COUNTIF('USPTO TMs'!A:A,D18672)&gt;0,"Yes","No"),"")</f>
        <v/>
      </c>
      <c r="C18672" s="11"/>
      <c r="D18672" s="11"/>
      <c r="E18672" s="11"/>
      <c r="F18672" s="11"/>
      <c r="G18672" s="11"/>
      <c r="H18672" s="11"/>
      <c r="I18672" s="15"/>
    </row>
    <row r="18673" spans="1:9" ht="16.5">
      <c r="A18673" s="10" t="b">
        <v>0</v>
      </c>
      <c r="B18673" s="11" t="str">
        <f>IF(D18673&lt;&gt;"",IF(COUNTIF('USPTO TMs'!A:A,D18673)&gt;0,"Yes","No"),"")</f>
        <v/>
      </c>
      <c r="C18673" s="11"/>
      <c r="D18673" s="11"/>
      <c r="E18673" s="11"/>
      <c r="F18673" s="11"/>
      <c r="G18673" s="11"/>
      <c r="H18673" s="11"/>
      <c r="I18673" s="15"/>
    </row>
    <row r="18674" spans="1:9" ht="16.5">
      <c r="A18674" s="10" t="b">
        <v>0</v>
      </c>
      <c r="B18674" s="11" t="str">
        <f>IF(D18674&lt;&gt;"",IF(COUNTIF('USPTO TMs'!A:A,D18674)&gt;0,"Yes","No"),"")</f>
        <v/>
      </c>
      <c r="C18674" s="11"/>
      <c r="D18674" s="11"/>
      <c r="E18674" s="11"/>
      <c r="F18674" s="11"/>
      <c r="G18674" s="11"/>
      <c r="H18674" s="11"/>
      <c r="I18674" s="15"/>
    </row>
    <row r="18675" spans="1:9" ht="16.5">
      <c r="A18675" s="10" t="b">
        <v>0</v>
      </c>
      <c r="B18675" s="11" t="str">
        <f>IF(D18675&lt;&gt;"",IF(COUNTIF('USPTO TMs'!A:A,D18675)&gt;0,"Yes","No"),"")</f>
        <v/>
      </c>
      <c r="C18675" s="11"/>
      <c r="D18675" s="11"/>
      <c r="E18675" s="11"/>
      <c r="F18675" s="11"/>
      <c r="G18675" s="11"/>
      <c r="H18675" s="11"/>
      <c r="I18675" s="15"/>
    </row>
    <row r="18676" spans="1:9" ht="16.5">
      <c r="A18676" s="10" t="b">
        <v>0</v>
      </c>
      <c r="B18676" s="11" t="str">
        <f>IF(D18676&lt;&gt;"",IF(COUNTIF('USPTO TMs'!A:A,D18676)&gt;0,"Yes","No"),"")</f>
        <v/>
      </c>
      <c r="C18676" s="11"/>
      <c r="D18676" s="11"/>
      <c r="E18676" s="11"/>
      <c r="F18676" s="11"/>
      <c r="G18676" s="11"/>
      <c r="H18676" s="11"/>
      <c r="I18676" s="15"/>
    </row>
    <row r="18677" spans="1:9" ht="16.5">
      <c r="A18677" s="10" t="b">
        <v>0</v>
      </c>
      <c r="B18677" s="11" t="str">
        <f>IF(D18677&lt;&gt;"",IF(COUNTIF('USPTO TMs'!A:A,D18677)&gt;0,"Yes","No"),"")</f>
        <v/>
      </c>
      <c r="C18677" s="11"/>
      <c r="D18677" s="11"/>
      <c r="E18677" s="11"/>
      <c r="F18677" s="11"/>
      <c r="G18677" s="11"/>
      <c r="H18677" s="11"/>
      <c r="I18677" s="15"/>
    </row>
    <row r="18678" spans="1:9" ht="16.5">
      <c r="A18678" s="10" t="b">
        <v>0</v>
      </c>
      <c r="B18678" s="11" t="str">
        <f>IF(D18678&lt;&gt;"",IF(COUNTIF('USPTO TMs'!A:A,D18678)&gt;0,"Yes","No"),"")</f>
        <v/>
      </c>
      <c r="C18678" s="11"/>
      <c r="D18678" s="11"/>
      <c r="E18678" s="11"/>
      <c r="F18678" s="11"/>
      <c r="G18678" s="11"/>
      <c r="H18678" s="11"/>
      <c r="I18678" s="15"/>
    </row>
    <row r="18679" spans="1:9" ht="16.5">
      <c r="A18679" s="10" t="b">
        <v>0</v>
      </c>
      <c r="B18679" s="11" t="str">
        <f>IF(D18679&lt;&gt;"",IF(COUNTIF('USPTO TMs'!A:A,D18679)&gt;0,"Yes","No"),"")</f>
        <v/>
      </c>
      <c r="C18679" s="11"/>
      <c r="D18679" s="11"/>
      <c r="E18679" s="11"/>
      <c r="F18679" s="11"/>
      <c r="G18679" s="11"/>
      <c r="H18679" s="11"/>
      <c r="I18679" s="15"/>
    </row>
    <row r="18680" spans="1:9" ht="16.5">
      <c r="A18680" s="10" t="b">
        <v>0</v>
      </c>
      <c r="B18680" s="11" t="str">
        <f>IF(D18680&lt;&gt;"",IF(COUNTIF('USPTO TMs'!A:A,D18680)&gt;0,"Yes","No"),"")</f>
        <v/>
      </c>
      <c r="C18680" s="11"/>
      <c r="D18680" s="11"/>
      <c r="E18680" s="11"/>
      <c r="F18680" s="11"/>
      <c r="G18680" s="11"/>
      <c r="H18680" s="11"/>
      <c r="I18680" s="15"/>
    </row>
    <row r="18681" spans="1:9" ht="16.5">
      <c r="A18681" s="10" t="b">
        <v>0</v>
      </c>
      <c r="B18681" s="11" t="str">
        <f>IF(D18681&lt;&gt;"",IF(COUNTIF('USPTO TMs'!A:A,D18681)&gt;0,"Yes","No"),"")</f>
        <v/>
      </c>
      <c r="C18681" s="11"/>
      <c r="D18681" s="11"/>
      <c r="E18681" s="11"/>
      <c r="F18681" s="11"/>
      <c r="G18681" s="11"/>
      <c r="H18681" s="11"/>
      <c r="I18681" s="15"/>
    </row>
    <row r="18682" spans="1:9" ht="16.5">
      <c r="A18682" s="10" t="b">
        <v>0</v>
      </c>
      <c r="B18682" s="11" t="str">
        <f>IF(D18682&lt;&gt;"",IF(COUNTIF('USPTO TMs'!A:A,D18682)&gt;0,"Yes","No"),"")</f>
        <v/>
      </c>
      <c r="C18682" s="11"/>
      <c r="D18682" s="11"/>
      <c r="E18682" s="11"/>
      <c r="F18682" s="11"/>
      <c r="G18682" s="11"/>
      <c r="H18682" s="11"/>
      <c r="I18682" s="15"/>
    </row>
    <row r="18683" spans="1:9" ht="16.5">
      <c r="A18683" s="10" t="b">
        <v>0</v>
      </c>
      <c r="B18683" s="11" t="str">
        <f>IF(D18683&lt;&gt;"",IF(COUNTIF('USPTO TMs'!A:A,D18683)&gt;0,"Yes","No"),"")</f>
        <v/>
      </c>
      <c r="C18683" s="11"/>
      <c r="D18683" s="11"/>
      <c r="E18683" s="11"/>
      <c r="F18683" s="11"/>
      <c r="G18683" s="11"/>
      <c r="H18683" s="11"/>
      <c r="I18683" s="15"/>
    </row>
    <row r="18684" spans="1:9" ht="16.5">
      <c r="A18684" s="10" t="b">
        <v>0</v>
      </c>
      <c r="B18684" s="11" t="str">
        <f>IF(D18684&lt;&gt;"",IF(COUNTIF('USPTO TMs'!A:A,D18684)&gt;0,"Yes","No"),"")</f>
        <v/>
      </c>
      <c r="C18684" s="11"/>
      <c r="D18684" s="11"/>
      <c r="E18684" s="11"/>
      <c r="F18684" s="11"/>
      <c r="G18684" s="11"/>
      <c r="H18684" s="11"/>
      <c r="I18684" s="15"/>
    </row>
    <row r="18685" spans="1:9" ht="16.5">
      <c r="A18685" s="10" t="b">
        <v>0</v>
      </c>
      <c r="B18685" s="11" t="str">
        <f>IF(D18685&lt;&gt;"",IF(COUNTIF('USPTO TMs'!A:A,D18685)&gt;0,"Yes","No"),"")</f>
        <v/>
      </c>
      <c r="C18685" s="11"/>
      <c r="D18685" s="11"/>
      <c r="E18685" s="11"/>
      <c r="F18685" s="11"/>
      <c r="G18685" s="11"/>
      <c r="H18685" s="11"/>
      <c r="I18685" s="15"/>
    </row>
    <row r="18686" spans="1:9" ht="16.5">
      <c r="A18686" s="10" t="b">
        <v>0</v>
      </c>
      <c r="B18686" s="11" t="str">
        <f>IF(D18686&lt;&gt;"",IF(COUNTIF('USPTO TMs'!A:A,D18686)&gt;0,"Yes","No"),"")</f>
        <v/>
      </c>
      <c r="C18686" s="11"/>
      <c r="D18686" s="11"/>
      <c r="E18686" s="11"/>
      <c r="F18686" s="11"/>
      <c r="G18686" s="11"/>
      <c r="H18686" s="11"/>
      <c r="I18686" s="15"/>
    </row>
    <row r="18687" spans="1:9" ht="16.5">
      <c r="A18687" s="10" t="b">
        <v>0</v>
      </c>
      <c r="B18687" s="11" t="str">
        <f>IF(D18687&lt;&gt;"",IF(COUNTIF('USPTO TMs'!A:A,D18687)&gt;0,"Yes","No"),"")</f>
        <v/>
      </c>
      <c r="C18687" s="11"/>
      <c r="D18687" s="11"/>
      <c r="E18687" s="11"/>
      <c r="F18687" s="11"/>
      <c r="G18687" s="11"/>
      <c r="H18687" s="11"/>
      <c r="I18687" s="15"/>
    </row>
    <row r="18688" spans="1:9" ht="16.5">
      <c r="A18688" s="10" t="b">
        <v>0</v>
      </c>
      <c r="B18688" s="11" t="str">
        <f>IF(D18688&lt;&gt;"",IF(COUNTIF('USPTO TMs'!A:A,D18688)&gt;0,"Yes","No"),"")</f>
        <v/>
      </c>
      <c r="C18688" s="11"/>
      <c r="D18688" s="11"/>
      <c r="E18688" s="11"/>
      <c r="F18688" s="11"/>
      <c r="G18688" s="11"/>
      <c r="H18688" s="11"/>
      <c r="I18688" s="15"/>
    </row>
    <row r="18689" spans="1:9" ht="16.5">
      <c r="A18689" s="10" t="b">
        <v>0</v>
      </c>
      <c r="B18689" s="11" t="str">
        <f>IF(D18689&lt;&gt;"",IF(COUNTIF('USPTO TMs'!A:A,D18689)&gt;0,"Yes","No"),"")</f>
        <v/>
      </c>
      <c r="C18689" s="11"/>
      <c r="D18689" s="11"/>
      <c r="E18689" s="11"/>
      <c r="F18689" s="11"/>
      <c r="G18689" s="11"/>
      <c r="H18689" s="11"/>
      <c r="I18689" s="15"/>
    </row>
    <row r="18690" spans="1:9" ht="16.5">
      <c r="A18690" s="10" t="b">
        <v>0</v>
      </c>
      <c r="B18690" s="11" t="str">
        <f>IF(D18690&lt;&gt;"",IF(COUNTIF('USPTO TMs'!A:A,D18690)&gt;0,"Yes","No"),"")</f>
        <v/>
      </c>
      <c r="C18690" s="11"/>
      <c r="D18690" s="11"/>
      <c r="E18690" s="11"/>
      <c r="F18690" s="11"/>
      <c r="G18690" s="11"/>
      <c r="H18690" s="11"/>
      <c r="I18690" s="15"/>
    </row>
    <row r="18691" spans="1:9" ht="16.5">
      <c r="A18691" s="10" t="b">
        <v>0</v>
      </c>
      <c r="B18691" s="11" t="str">
        <f>IF(D18691&lt;&gt;"",IF(COUNTIF('USPTO TMs'!A:A,D18691)&gt;0,"Yes","No"),"")</f>
        <v/>
      </c>
      <c r="C18691" s="11"/>
      <c r="D18691" s="11"/>
      <c r="E18691" s="11"/>
      <c r="F18691" s="11"/>
      <c r="G18691" s="11"/>
      <c r="H18691" s="11"/>
      <c r="I18691" s="15"/>
    </row>
    <row r="18692" spans="1:9" ht="16.5">
      <c r="A18692" s="10" t="b">
        <v>0</v>
      </c>
      <c r="B18692" s="11" t="str">
        <f>IF(D18692&lt;&gt;"",IF(COUNTIF('USPTO TMs'!A:A,D18692)&gt;0,"Yes","No"),"")</f>
        <v/>
      </c>
      <c r="C18692" s="11"/>
      <c r="D18692" s="11"/>
      <c r="E18692" s="11"/>
      <c r="F18692" s="11"/>
      <c r="G18692" s="11"/>
      <c r="H18692" s="11"/>
      <c r="I18692" s="15"/>
    </row>
    <row r="18693" spans="1:9" ht="16.5">
      <c r="A18693" s="10" t="b">
        <v>0</v>
      </c>
      <c r="B18693" s="11" t="str">
        <f>IF(D18693&lt;&gt;"",IF(COUNTIF('USPTO TMs'!A:A,D18693)&gt;0,"Yes","No"),"")</f>
        <v/>
      </c>
      <c r="C18693" s="11"/>
      <c r="D18693" s="11"/>
      <c r="E18693" s="11"/>
      <c r="F18693" s="11"/>
      <c r="G18693" s="11"/>
      <c r="H18693" s="11"/>
      <c r="I18693" s="15"/>
    </row>
    <row r="18694" spans="1:9" ht="16.5">
      <c r="A18694" s="10" t="b">
        <v>0</v>
      </c>
      <c r="B18694" s="11" t="str">
        <f>IF(D18694&lt;&gt;"",IF(COUNTIF('USPTO TMs'!A:A,D18694)&gt;0,"Yes","No"),"")</f>
        <v/>
      </c>
      <c r="C18694" s="11"/>
      <c r="D18694" s="11"/>
      <c r="E18694" s="11"/>
      <c r="F18694" s="11"/>
      <c r="G18694" s="11"/>
      <c r="H18694" s="11"/>
      <c r="I18694" s="15"/>
    </row>
    <row r="18695" spans="1:9" ht="16.5">
      <c r="A18695" s="10" t="b">
        <v>0</v>
      </c>
      <c r="B18695" s="11" t="str">
        <f>IF(D18695&lt;&gt;"",IF(COUNTIF('USPTO TMs'!A:A,D18695)&gt;0,"Yes","No"),"")</f>
        <v/>
      </c>
      <c r="C18695" s="11"/>
      <c r="D18695" s="11"/>
      <c r="E18695" s="11"/>
      <c r="F18695" s="11"/>
      <c r="G18695" s="11"/>
      <c r="H18695" s="11"/>
      <c r="I18695" s="15"/>
    </row>
    <row r="18696" spans="1:9" ht="16.5">
      <c r="A18696" s="10" t="b">
        <v>0</v>
      </c>
      <c r="B18696" s="11" t="str">
        <f>IF(D18696&lt;&gt;"",IF(COUNTIF('USPTO TMs'!A:A,D18696)&gt;0,"Yes","No"),"")</f>
        <v/>
      </c>
      <c r="C18696" s="11"/>
      <c r="D18696" s="11"/>
      <c r="E18696" s="11"/>
      <c r="F18696" s="11"/>
      <c r="G18696" s="11"/>
      <c r="H18696" s="11"/>
      <c r="I18696" s="15"/>
    </row>
    <row r="18697" spans="1:9" ht="16.5">
      <c r="A18697" s="10" t="b">
        <v>0</v>
      </c>
      <c r="B18697" s="11" t="str">
        <f>IF(D18697&lt;&gt;"",IF(COUNTIF('USPTO TMs'!A:A,D18697)&gt;0,"Yes","No"),"")</f>
        <v/>
      </c>
      <c r="C18697" s="11"/>
      <c r="D18697" s="11"/>
      <c r="E18697" s="11"/>
      <c r="F18697" s="11"/>
      <c r="G18697" s="11"/>
      <c r="H18697" s="11"/>
      <c r="I18697" s="15"/>
    </row>
    <row r="18698" spans="1:9" ht="16.5">
      <c r="A18698" s="10" t="b">
        <v>0</v>
      </c>
      <c r="B18698" s="11" t="str">
        <f>IF(D18698&lt;&gt;"",IF(COUNTIF('USPTO TMs'!A:A,D18698)&gt;0,"Yes","No"),"")</f>
        <v/>
      </c>
      <c r="C18698" s="11"/>
      <c r="D18698" s="11"/>
      <c r="E18698" s="11"/>
      <c r="F18698" s="11"/>
      <c r="G18698" s="11"/>
      <c r="H18698" s="11"/>
      <c r="I18698" s="15"/>
    </row>
    <row r="18699" spans="1:9" ht="16.5">
      <c r="A18699" s="10" t="b">
        <v>0</v>
      </c>
      <c r="B18699" s="11" t="str">
        <f>IF(D18699&lt;&gt;"",IF(COUNTIF('USPTO TMs'!A:A,D18699)&gt;0,"Yes","No"),"")</f>
        <v/>
      </c>
      <c r="C18699" s="11"/>
      <c r="D18699" s="11"/>
      <c r="E18699" s="11"/>
      <c r="F18699" s="11"/>
      <c r="G18699" s="11"/>
      <c r="H18699" s="11"/>
      <c r="I18699" s="15"/>
    </row>
    <row r="18700" spans="1:9" ht="16.5">
      <c r="A18700" s="10" t="b">
        <v>0</v>
      </c>
      <c r="B18700" s="11" t="str">
        <f>IF(D18700&lt;&gt;"",IF(COUNTIF('USPTO TMs'!A:A,D18700)&gt;0,"Yes","No"),"")</f>
        <v/>
      </c>
      <c r="C18700" s="11"/>
      <c r="D18700" s="11"/>
      <c r="E18700" s="11"/>
      <c r="F18700" s="11"/>
      <c r="G18700" s="11"/>
      <c r="H18700" s="11"/>
      <c r="I18700" s="15"/>
    </row>
    <row r="18701" spans="1:9" ht="16.5">
      <c r="A18701" s="10" t="b">
        <v>0</v>
      </c>
      <c r="B18701" s="11" t="str">
        <f>IF(D18701&lt;&gt;"",IF(COUNTIF('USPTO TMs'!A:A,D18701)&gt;0,"Yes","No"),"")</f>
        <v/>
      </c>
      <c r="C18701" s="11"/>
      <c r="D18701" s="11"/>
      <c r="E18701" s="11"/>
      <c r="F18701" s="11"/>
      <c r="G18701" s="11"/>
      <c r="H18701" s="11"/>
      <c r="I18701" s="15"/>
    </row>
    <row r="18702" spans="1:9" ht="16.5">
      <c r="A18702" s="10" t="b">
        <v>0</v>
      </c>
      <c r="B18702" s="11" t="str">
        <f>IF(D18702&lt;&gt;"",IF(COUNTIF('USPTO TMs'!A:A,D18702)&gt;0,"Yes","No"),"")</f>
        <v/>
      </c>
      <c r="C18702" s="11"/>
      <c r="D18702" s="11"/>
      <c r="E18702" s="11"/>
      <c r="F18702" s="11"/>
      <c r="G18702" s="11"/>
      <c r="H18702" s="11"/>
      <c r="I18702" s="15"/>
    </row>
    <row r="18703" spans="1:9" ht="16.5">
      <c r="A18703" s="10" t="b">
        <v>0</v>
      </c>
      <c r="B18703" s="11" t="str">
        <f>IF(D18703&lt;&gt;"",IF(COUNTIF('USPTO TMs'!A:A,D18703)&gt;0,"Yes","No"),"")</f>
        <v/>
      </c>
      <c r="C18703" s="11"/>
      <c r="D18703" s="11"/>
      <c r="E18703" s="11"/>
      <c r="F18703" s="11"/>
      <c r="G18703" s="11"/>
      <c r="H18703" s="11"/>
      <c r="I18703" s="15"/>
    </row>
    <row r="18704" spans="1:9" ht="16.5">
      <c r="A18704" s="10" t="b">
        <v>0</v>
      </c>
      <c r="B18704" s="11" t="str">
        <f>IF(D18704&lt;&gt;"",IF(COUNTIF('USPTO TMs'!A:A,D18704)&gt;0,"Yes","No"),"")</f>
        <v/>
      </c>
      <c r="C18704" s="11"/>
      <c r="D18704" s="11"/>
      <c r="E18704" s="11"/>
      <c r="F18704" s="11"/>
      <c r="G18704" s="11"/>
      <c r="H18704" s="11"/>
      <c r="I18704" s="15"/>
    </row>
    <row r="18705" spans="1:9" ht="16.5">
      <c r="A18705" s="10" t="b">
        <v>0</v>
      </c>
      <c r="B18705" s="11" t="str">
        <f>IF(D18705&lt;&gt;"",IF(COUNTIF('USPTO TMs'!A:A,D18705)&gt;0,"Yes","No"),"")</f>
        <v/>
      </c>
      <c r="C18705" s="11"/>
      <c r="D18705" s="11"/>
      <c r="E18705" s="11"/>
      <c r="F18705" s="11"/>
      <c r="G18705" s="11"/>
      <c r="H18705" s="11"/>
      <c r="I18705" s="15"/>
    </row>
    <row r="18706" spans="1:9" ht="16.5">
      <c r="A18706" s="10" t="b">
        <v>0</v>
      </c>
      <c r="B18706" s="11" t="str">
        <f>IF(D18706&lt;&gt;"",IF(COUNTIF('USPTO TMs'!A:A,D18706)&gt;0,"Yes","No"),"")</f>
        <v/>
      </c>
      <c r="C18706" s="11"/>
      <c r="D18706" s="11"/>
      <c r="E18706" s="11"/>
      <c r="F18706" s="11"/>
      <c r="G18706" s="11"/>
      <c r="H18706" s="11"/>
      <c r="I18706" s="15"/>
    </row>
    <row r="18707" spans="1:9" ht="16.5">
      <c r="A18707" s="10" t="b">
        <v>0</v>
      </c>
      <c r="B18707" s="11" t="str">
        <f>IF(D18707&lt;&gt;"",IF(COUNTIF('USPTO TMs'!A:A,D18707)&gt;0,"Yes","No"),"")</f>
        <v/>
      </c>
      <c r="C18707" s="11"/>
      <c r="D18707" s="11"/>
      <c r="E18707" s="11"/>
      <c r="F18707" s="11"/>
      <c r="G18707" s="11"/>
      <c r="H18707" s="11"/>
      <c r="I18707" s="15"/>
    </row>
    <row r="18708" spans="1:9" ht="16.5">
      <c r="A18708" s="10" t="b">
        <v>0</v>
      </c>
      <c r="B18708" s="11" t="str">
        <f>IF(D18708&lt;&gt;"",IF(COUNTIF('USPTO TMs'!A:A,D18708)&gt;0,"Yes","No"),"")</f>
        <v/>
      </c>
      <c r="C18708" s="11"/>
      <c r="D18708" s="11"/>
      <c r="E18708" s="11"/>
      <c r="F18708" s="11"/>
      <c r="G18708" s="11"/>
      <c r="H18708" s="11"/>
      <c r="I18708" s="15"/>
    </row>
    <row r="18709" spans="1:9" ht="16.5">
      <c r="A18709" s="10" t="b">
        <v>0</v>
      </c>
      <c r="B18709" s="11" t="str">
        <f>IF(D18709&lt;&gt;"",IF(COUNTIF('USPTO TMs'!A:A,D18709)&gt;0,"Yes","No"),"")</f>
        <v/>
      </c>
      <c r="C18709" s="11"/>
      <c r="D18709" s="11"/>
      <c r="E18709" s="11"/>
      <c r="F18709" s="11"/>
      <c r="G18709" s="11"/>
      <c r="H18709" s="11"/>
      <c r="I18709" s="15"/>
    </row>
    <row r="18710" spans="1:9" ht="16.5">
      <c r="A18710" s="10" t="b">
        <v>0</v>
      </c>
      <c r="B18710" s="11" t="str">
        <f>IF(D18710&lt;&gt;"",IF(COUNTIF('USPTO TMs'!A:A,D18710)&gt;0,"Yes","No"),"")</f>
        <v/>
      </c>
      <c r="C18710" s="11"/>
      <c r="D18710" s="11"/>
      <c r="E18710" s="11"/>
      <c r="F18710" s="11"/>
      <c r="G18710" s="11"/>
      <c r="H18710" s="11"/>
      <c r="I18710" s="15"/>
    </row>
    <row r="18711" spans="1:9" ht="16.5">
      <c r="A18711" s="10" t="b">
        <v>0</v>
      </c>
      <c r="B18711" s="11" t="str">
        <f>IF(D18711&lt;&gt;"",IF(COUNTIF('USPTO TMs'!A:A,D18711)&gt;0,"Yes","No"),"")</f>
        <v/>
      </c>
      <c r="C18711" s="11"/>
      <c r="D18711" s="11"/>
      <c r="E18711" s="11"/>
      <c r="F18711" s="11"/>
      <c r="G18711" s="11"/>
      <c r="H18711" s="11"/>
      <c r="I18711" s="15"/>
    </row>
    <row r="18712" spans="1:9" ht="16.5">
      <c r="A18712" s="10" t="b">
        <v>0</v>
      </c>
      <c r="B18712" s="11" t="str">
        <f>IF(D18712&lt;&gt;"",IF(COUNTIF('USPTO TMs'!A:A,D18712)&gt;0,"Yes","No"),"")</f>
        <v/>
      </c>
      <c r="C18712" s="11"/>
      <c r="D18712" s="11"/>
      <c r="E18712" s="11"/>
      <c r="F18712" s="11"/>
      <c r="G18712" s="11"/>
      <c r="H18712" s="11"/>
      <c r="I18712" s="15"/>
    </row>
    <row r="18713" spans="1:9" ht="16.5">
      <c r="A18713" s="10" t="b">
        <v>0</v>
      </c>
      <c r="B18713" s="11" t="str">
        <f>IF(D18713&lt;&gt;"",IF(COUNTIF('USPTO TMs'!A:A,D18713)&gt;0,"Yes","No"),"")</f>
        <v/>
      </c>
      <c r="C18713" s="11"/>
      <c r="D18713" s="11"/>
      <c r="E18713" s="11"/>
      <c r="F18713" s="11"/>
      <c r="G18713" s="11"/>
      <c r="H18713" s="11"/>
      <c r="I18713" s="15"/>
    </row>
    <row r="18714" spans="1:9" ht="16.5">
      <c r="A18714" s="10" t="b">
        <v>0</v>
      </c>
      <c r="B18714" s="11" t="str">
        <f>IF(D18714&lt;&gt;"",IF(COUNTIF('USPTO TMs'!A:A,D18714)&gt;0,"Yes","No"),"")</f>
        <v/>
      </c>
      <c r="C18714" s="11"/>
      <c r="D18714" s="11"/>
      <c r="E18714" s="11"/>
      <c r="F18714" s="11"/>
      <c r="G18714" s="11"/>
      <c r="H18714" s="11"/>
      <c r="I18714" s="15"/>
    </row>
    <row r="18715" spans="1:9" ht="16.5">
      <c r="A18715" s="10" t="b">
        <v>0</v>
      </c>
      <c r="B18715" s="11" t="str">
        <f>IF(D18715&lt;&gt;"",IF(COUNTIF('USPTO TMs'!A:A,D18715)&gt;0,"Yes","No"),"")</f>
        <v/>
      </c>
      <c r="C18715" s="11"/>
      <c r="D18715" s="11"/>
      <c r="E18715" s="11"/>
      <c r="F18715" s="11"/>
      <c r="G18715" s="11"/>
      <c r="H18715" s="11"/>
      <c r="I18715" s="15"/>
    </row>
    <row r="18716" spans="1:9" ht="16.5">
      <c r="A18716" s="10" t="b">
        <v>0</v>
      </c>
      <c r="B18716" s="11" t="str">
        <f>IF(D18716&lt;&gt;"",IF(COUNTIF('USPTO TMs'!A:A,D18716)&gt;0,"Yes","No"),"")</f>
        <v/>
      </c>
      <c r="C18716" s="11"/>
      <c r="D18716" s="11"/>
      <c r="E18716" s="11"/>
      <c r="F18716" s="11"/>
      <c r="G18716" s="11"/>
      <c r="H18716" s="11"/>
      <c r="I18716" s="15"/>
    </row>
    <row r="18717" spans="1:9" ht="16.5">
      <c r="A18717" s="10" t="b">
        <v>0</v>
      </c>
      <c r="B18717" s="11" t="str">
        <f>IF(D18717&lt;&gt;"",IF(COUNTIF('USPTO TMs'!A:A,D18717)&gt;0,"Yes","No"),"")</f>
        <v/>
      </c>
      <c r="C18717" s="11"/>
      <c r="D18717" s="11"/>
      <c r="E18717" s="11"/>
      <c r="F18717" s="11"/>
      <c r="G18717" s="11"/>
      <c r="H18717" s="11"/>
      <c r="I18717" s="15"/>
    </row>
    <row r="18718" spans="1:9" ht="16.5">
      <c r="A18718" s="10" t="b">
        <v>0</v>
      </c>
      <c r="B18718" s="11" t="str">
        <f>IF(D18718&lt;&gt;"",IF(COUNTIF('USPTO TMs'!A:A,D18718)&gt;0,"Yes","No"),"")</f>
        <v/>
      </c>
      <c r="C18718" s="11"/>
      <c r="D18718" s="11"/>
      <c r="E18718" s="11"/>
      <c r="F18718" s="11"/>
      <c r="G18718" s="11"/>
      <c r="H18718" s="11"/>
      <c r="I18718" s="15"/>
    </row>
    <row r="18719" spans="1:9" ht="16.5">
      <c r="A18719" s="10" t="b">
        <v>0</v>
      </c>
      <c r="B18719" s="11" t="str">
        <f>IF(D18719&lt;&gt;"",IF(COUNTIF('USPTO TMs'!A:A,D18719)&gt;0,"Yes","No"),"")</f>
        <v/>
      </c>
      <c r="C18719" s="11"/>
      <c r="D18719" s="11"/>
      <c r="E18719" s="11"/>
      <c r="F18719" s="11"/>
      <c r="G18719" s="11"/>
      <c r="H18719" s="11"/>
      <c r="I18719" s="15"/>
    </row>
    <row r="18720" spans="1:9" ht="16.5">
      <c r="A18720" s="10" t="b">
        <v>0</v>
      </c>
      <c r="B18720" s="11" t="str">
        <f>IF(D18720&lt;&gt;"",IF(COUNTIF('USPTO TMs'!A:A,D18720)&gt;0,"Yes","No"),"")</f>
        <v/>
      </c>
      <c r="C18720" s="11"/>
      <c r="D18720" s="11"/>
      <c r="E18720" s="11"/>
      <c r="F18720" s="11"/>
      <c r="G18720" s="11"/>
      <c r="H18720" s="11"/>
      <c r="I18720" s="15"/>
    </row>
    <row r="18721" spans="1:9" ht="16.5">
      <c r="A18721" s="10" t="b">
        <v>0</v>
      </c>
      <c r="B18721" s="11" t="str">
        <f>IF(D18721&lt;&gt;"",IF(COUNTIF('USPTO TMs'!A:A,D18721)&gt;0,"Yes","No"),"")</f>
        <v/>
      </c>
      <c r="C18721" s="11"/>
      <c r="D18721" s="11"/>
      <c r="E18721" s="11"/>
      <c r="F18721" s="11"/>
      <c r="G18721" s="11"/>
      <c r="H18721" s="11"/>
      <c r="I18721" s="15"/>
    </row>
    <row r="18722" spans="1:9" ht="16.5">
      <c r="A18722" s="10" t="b">
        <v>0</v>
      </c>
      <c r="B18722" s="11" t="str">
        <f>IF(D18722&lt;&gt;"",IF(COUNTIF('USPTO TMs'!A:A,D18722)&gt;0,"Yes","No"),"")</f>
        <v/>
      </c>
      <c r="C18722" s="11"/>
      <c r="D18722" s="11"/>
      <c r="E18722" s="11"/>
      <c r="F18722" s="11"/>
      <c r="G18722" s="11"/>
      <c r="H18722" s="11"/>
      <c r="I18722" s="15"/>
    </row>
    <row r="18723" spans="1:9" ht="16.5">
      <c r="A18723" s="10" t="b">
        <v>0</v>
      </c>
      <c r="B18723" s="11" t="str">
        <f>IF(D18723&lt;&gt;"",IF(COUNTIF('USPTO TMs'!A:A,D18723)&gt;0,"Yes","No"),"")</f>
        <v/>
      </c>
      <c r="C18723" s="11"/>
      <c r="D18723" s="11"/>
      <c r="E18723" s="11"/>
      <c r="F18723" s="11"/>
      <c r="G18723" s="11"/>
      <c r="H18723" s="11"/>
      <c r="I18723" s="15"/>
    </row>
    <row r="18724" spans="1:9" ht="16.5">
      <c r="A18724" s="10" t="b">
        <v>0</v>
      </c>
      <c r="B18724" s="11" t="str">
        <f>IF(D18724&lt;&gt;"",IF(COUNTIF('USPTO TMs'!A:A,D18724)&gt;0,"Yes","No"),"")</f>
        <v/>
      </c>
      <c r="C18724" s="11"/>
      <c r="D18724" s="11"/>
      <c r="E18724" s="11"/>
      <c r="F18724" s="11"/>
      <c r="G18724" s="11"/>
      <c r="H18724" s="11"/>
      <c r="I18724" s="15"/>
    </row>
    <row r="18725" spans="1:9" ht="16.5">
      <c r="A18725" s="10" t="b">
        <v>0</v>
      </c>
      <c r="B18725" s="11" t="str">
        <f>IF(D18725&lt;&gt;"",IF(COUNTIF('USPTO TMs'!A:A,D18725)&gt;0,"Yes","No"),"")</f>
        <v/>
      </c>
      <c r="C18725" s="11"/>
      <c r="D18725" s="11"/>
      <c r="E18725" s="11"/>
      <c r="F18725" s="11"/>
      <c r="G18725" s="11"/>
      <c r="H18725" s="11"/>
      <c r="I18725" s="15"/>
    </row>
    <row r="18726" spans="1:9" ht="16.5">
      <c r="A18726" s="10" t="b">
        <v>0</v>
      </c>
      <c r="B18726" s="11" t="str">
        <f>IF(D18726&lt;&gt;"",IF(COUNTIF('USPTO TMs'!A:A,D18726)&gt;0,"Yes","No"),"")</f>
        <v/>
      </c>
      <c r="C18726" s="11"/>
      <c r="D18726" s="11"/>
      <c r="E18726" s="11"/>
      <c r="F18726" s="11"/>
      <c r="G18726" s="11"/>
      <c r="H18726" s="11"/>
      <c r="I18726" s="15"/>
    </row>
    <row r="18727" spans="1:9" ht="16.5">
      <c r="A18727" s="10" t="b">
        <v>0</v>
      </c>
      <c r="B18727" s="11" t="str">
        <f>IF(D18727&lt;&gt;"",IF(COUNTIF('USPTO TMs'!A:A,D18727)&gt;0,"Yes","No"),"")</f>
        <v/>
      </c>
      <c r="C18727" s="11"/>
      <c r="D18727" s="11"/>
      <c r="E18727" s="11"/>
      <c r="F18727" s="11"/>
      <c r="G18727" s="11"/>
      <c r="H18727" s="11"/>
      <c r="I18727" s="15"/>
    </row>
    <row r="18728" spans="1:9" ht="16.5">
      <c r="A18728" s="10" t="b">
        <v>0</v>
      </c>
      <c r="B18728" s="11" t="str">
        <f>IF(D18728&lt;&gt;"",IF(COUNTIF('USPTO TMs'!A:A,D18728)&gt;0,"Yes","No"),"")</f>
        <v/>
      </c>
      <c r="C18728" s="11"/>
      <c r="D18728" s="11"/>
      <c r="E18728" s="11"/>
      <c r="F18728" s="11"/>
      <c r="G18728" s="11"/>
      <c r="H18728" s="11"/>
      <c r="I18728" s="15"/>
    </row>
    <row r="18729" spans="1:9" ht="16.5">
      <c r="A18729" s="10" t="b">
        <v>0</v>
      </c>
      <c r="B18729" s="11" t="str">
        <f>IF(D18729&lt;&gt;"",IF(COUNTIF('USPTO TMs'!A:A,D18729)&gt;0,"Yes","No"),"")</f>
        <v/>
      </c>
      <c r="C18729" s="11"/>
      <c r="D18729" s="11"/>
      <c r="E18729" s="11"/>
      <c r="F18729" s="11"/>
      <c r="G18729" s="11"/>
      <c r="H18729" s="11"/>
      <c r="I18729" s="15"/>
    </row>
    <row r="18730" spans="1:9" ht="16.5">
      <c r="A18730" s="10" t="b">
        <v>0</v>
      </c>
      <c r="B18730" s="11" t="str">
        <f>IF(D18730&lt;&gt;"",IF(COUNTIF('USPTO TMs'!A:A,D18730)&gt;0,"Yes","No"),"")</f>
        <v/>
      </c>
      <c r="C18730" s="11"/>
      <c r="D18730" s="11"/>
      <c r="E18730" s="11"/>
      <c r="F18730" s="11"/>
      <c r="G18730" s="11"/>
      <c r="H18730" s="11"/>
      <c r="I18730" s="15"/>
    </row>
    <row r="18731" spans="1:9" ht="16.5">
      <c r="A18731" s="10" t="b">
        <v>0</v>
      </c>
      <c r="B18731" s="11" t="str">
        <f>IF(D18731&lt;&gt;"",IF(COUNTIF('USPTO TMs'!A:A,D18731)&gt;0,"Yes","No"),"")</f>
        <v/>
      </c>
      <c r="C18731" s="11"/>
      <c r="D18731" s="11"/>
      <c r="E18731" s="11"/>
      <c r="F18731" s="11"/>
      <c r="G18731" s="11"/>
      <c r="H18731" s="11"/>
      <c r="I18731" s="15"/>
    </row>
    <row r="18732" spans="1:9" ht="16.5">
      <c r="A18732" s="10" t="b">
        <v>0</v>
      </c>
      <c r="B18732" s="11" t="str">
        <f>IF(D18732&lt;&gt;"",IF(COUNTIF('USPTO TMs'!A:A,D18732)&gt;0,"Yes","No"),"")</f>
        <v/>
      </c>
      <c r="C18732" s="11"/>
      <c r="D18732" s="11"/>
      <c r="E18732" s="11"/>
      <c r="F18732" s="11"/>
      <c r="G18732" s="11"/>
      <c r="H18732" s="11"/>
      <c r="I18732" s="15"/>
    </row>
    <row r="18733" spans="1:9" ht="16.5">
      <c r="A18733" s="10" t="b">
        <v>0</v>
      </c>
      <c r="B18733" s="11" t="str">
        <f>IF(D18733&lt;&gt;"",IF(COUNTIF('USPTO TMs'!A:A,D18733)&gt;0,"Yes","No"),"")</f>
        <v/>
      </c>
      <c r="C18733" s="11"/>
      <c r="D18733" s="11"/>
      <c r="E18733" s="11"/>
      <c r="F18733" s="11"/>
      <c r="G18733" s="11"/>
      <c r="H18733" s="11"/>
      <c r="I18733" s="15"/>
    </row>
    <row r="18734" spans="1:9" ht="16.5">
      <c r="A18734" s="10" t="b">
        <v>0</v>
      </c>
      <c r="B18734" s="11" t="str">
        <f>IF(D18734&lt;&gt;"",IF(COUNTIF('USPTO TMs'!A:A,D18734)&gt;0,"Yes","No"),"")</f>
        <v/>
      </c>
      <c r="C18734" s="11"/>
      <c r="D18734" s="11"/>
      <c r="E18734" s="11"/>
      <c r="F18734" s="11"/>
      <c r="G18734" s="11"/>
      <c r="H18734" s="11"/>
      <c r="I18734" s="15"/>
    </row>
    <row r="18735" spans="1:9" ht="16.5">
      <c r="A18735" s="10" t="b">
        <v>0</v>
      </c>
      <c r="B18735" s="11" t="str">
        <f>IF(D18735&lt;&gt;"",IF(COUNTIF('USPTO TMs'!A:A,D18735)&gt;0,"Yes","No"),"")</f>
        <v/>
      </c>
      <c r="C18735" s="11"/>
      <c r="D18735" s="11"/>
      <c r="E18735" s="11"/>
      <c r="F18735" s="11"/>
      <c r="G18735" s="11"/>
      <c r="H18735" s="11"/>
      <c r="I18735" s="15"/>
    </row>
    <row r="18736" spans="1:9" ht="16.5">
      <c r="A18736" s="10" t="b">
        <v>0</v>
      </c>
      <c r="B18736" s="11" t="str">
        <f>IF(D18736&lt;&gt;"",IF(COUNTIF('USPTO TMs'!A:A,D18736)&gt;0,"Yes","No"),"")</f>
        <v/>
      </c>
      <c r="C18736" s="11"/>
      <c r="D18736" s="11"/>
      <c r="E18736" s="11"/>
      <c r="F18736" s="11"/>
      <c r="G18736" s="11"/>
      <c r="H18736" s="11"/>
      <c r="I18736" s="15"/>
    </row>
    <row r="18737" spans="1:9" ht="16.5">
      <c r="A18737" s="10" t="b">
        <v>0</v>
      </c>
      <c r="B18737" s="11" t="str">
        <f>IF(D18737&lt;&gt;"",IF(COUNTIF('USPTO TMs'!A:A,D18737)&gt;0,"Yes","No"),"")</f>
        <v/>
      </c>
      <c r="C18737" s="11"/>
      <c r="D18737" s="11"/>
      <c r="E18737" s="11"/>
      <c r="F18737" s="11"/>
      <c r="G18737" s="11"/>
      <c r="H18737" s="11"/>
      <c r="I18737" s="15"/>
    </row>
    <row r="18738" spans="1:9" ht="16.5">
      <c r="A18738" s="10" t="b">
        <v>0</v>
      </c>
      <c r="B18738" s="11" t="str">
        <f>IF(D18738&lt;&gt;"",IF(COUNTIF('USPTO TMs'!A:A,D18738)&gt;0,"Yes","No"),"")</f>
        <v/>
      </c>
      <c r="C18738" s="11"/>
      <c r="D18738" s="11"/>
      <c r="E18738" s="11"/>
      <c r="F18738" s="11"/>
      <c r="G18738" s="11"/>
      <c r="H18738" s="11"/>
      <c r="I18738" s="15"/>
    </row>
    <row r="18739" spans="1:9" ht="16.5">
      <c r="A18739" s="10" t="b">
        <v>0</v>
      </c>
      <c r="B18739" s="11" t="str">
        <f>IF(D18739&lt;&gt;"",IF(COUNTIF('USPTO TMs'!A:A,D18739)&gt;0,"Yes","No"),"")</f>
        <v/>
      </c>
      <c r="C18739" s="11"/>
      <c r="D18739" s="11"/>
      <c r="E18739" s="11"/>
      <c r="F18739" s="11"/>
      <c r="G18739" s="11"/>
      <c r="H18739" s="11"/>
      <c r="I18739" s="15"/>
    </row>
    <row r="18740" spans="1:9" ht="16.5">
      <c r="A18740" s="10" t="b">
        <v>0</v>
      </c>
      <c r="B18740" s="11" t="str">
        <f>IF(D18740&lt;&gt;"",IF(COUNTIF('USPTO TMs'!A:A,D18740)&gt;0,"Yes","No"),"")</f>
        <v/>
      </c>
      <c r="C18740" s="11"/>
      <c r="D18740" s="11"/>
      <c r="E18740" s="11"/>
      <c r="F18740" s="11"/>
      <c r="G18740" s="11"/>
      <c r="H18740" s="11"/>
      <c r="I18740" s="15"/>
    </row>
    <row r="18741" spans="1:9" ht="16.5">
      <c r="A18741" s="10" t="b">
        <v>0</v>
      </c>
      <c r="B18741" s="11" t="str">
        <f>IF(D18741&lt;&gt;"",IF(COUNTIF('USPTO TMs'!A:A,D18741)&gt;0,"Yes","No"),"")</f>
        <v/>
      </c>
      <c r="C18741" s="11"/>
      <c r="D18741" s="11"/>
      <c r="E18741" s="11"/>
      <c r="F18741" s="11"/>
      <c r="G18741" s="11"/>
      <c r="H18741" s="11"/>
      <c r="I18741" s="15"/>
    </row>
    <row r="18742" spans="1:9" ht="16.5">
      <c r="A18742" s="10" t="b">
        <v>0</v>
      </c>
      <c r="B18742" s="11" t="str">
        <f>IF(D18742&lt;&gt;"",IF(COUNTIF('USPTO TMs'!A:A,D18742)&gt;0,"Yes","No"),"")</f>
        <v/>
      </c>
      <c r="C18742" s="11"/>
      <c r="D18742" s="11"/>
      <c r="E18742" s="11"/>
      <c r="F18742" s="11"/>
      <c r="G18742" s="11"/>
      <c r="H18742" s="11"/>
      <c r="I18742" s="15"/>
    </row>
    <row r="18743" spans="1:9" ht="16.5">
      <c r="A18743" s="10" t="b">
        <v>0</v>
      </c>
      <c r="B18743" s="11" t="str">
        <f>IF(D18743&lt;&gt;"",IF(COUNTIF('USPTO TMs'!A:A,D18743)&gt;0,"Yes","No"),"")</f>
        <v/>
      </c>
      <c r="C18743" s="11"/>
      <c r="D18743" s="11"/>
      <c r="E18743" s="11"/>
      <c r="F18743" s="11"/>
      <c r="G18743" s="11"/>
      <c r="H18743" s="11"/>
      <c r="I18743" s="15"/>
    </row>
    <row r="18744" spans="1:9" ht="16.5">
      <c r="A18744" s="10" t="b">
        <v>0</v>
      </c>
      <c r="B18744" s="11" t="str">
        <f>IF(D18744&lt;&gt;"",IF(COUNTIF('USPTO TMs'!A:A,D18744)&gt;0,"Yes","No"),"")</f>
        <v/>
      </c>
      <c r="C18744" s="11"/>
      <c r="D18744" s="11"/>
      <c r="E18744" s="11"/>
      <c r="F18744" s="11"/>
      <c r="G18744" s="11"/>
      <c r="H18744" s="11"/>
      <c r="I18744" s="15"/>
    </row>
    <row r="18745" spans="1:9" ht="16.5">
      <c r="A18745" s="10" t="b">
        <v>0</v>
      </c>
      <c r="B18745" s="11" t="str">
        <f>IF(D18745&lt;&gt;"",IF(COUNTIF('USPTO TMs'!A:A,D18745)&gt;0,"Yes","No"),"")</f>
        <v/>
      </c>
      <c r="C18745" s="11"/>
      <c r="D18745" s="11"/>
      <c r="E18745" s="11"/>
      <c r="F18745" s="11"/>
      <c r="G18745" s="11"/>
      <c r="H18745" s="11"/>
      <c r="I18745" s="15"/>
    </row>
    <row r="18746" spans="1:9" ht="16.5">
      <c r="A18746" s="10" t="b">
        <v>0</v>
      </c>
      <c r="B18746" s="11" t="str">
        <f>IF(D18746&lt;&gt;"",IF(COUNTIF('USPTO TMs'!A:A,D18746)&gt;0,"Yes","No"),"")</f>
        <v/>
      </c>
      <c r="C18746" s="11"/>
      <c r="D18746" s="11"/>
      <c r="E18746" s="11"/>
      <c r="F18746" s="11"/>
      <c r="G18746" s="11"/>
      <c r="H18746" s="11"/>
      <c r="I18746" s="15"/>
    </row>
    <row r="18747" spans="1:9" ht="16.5">
      <c r="A18747" s="10" t="b">
        <v>0</v>
      </c>
      <c r="B18747" s="11" t="str">
        <f>IF(D18747&lt;&gt;"",IF(COUNTIF('USPTO TMs'!A:A,D18747)&gt;0,"Yes","No"),"")</f>
        <v/>
      </c>
      <c r="C18747" s="11"/>
      <c r="D18747" s="11"/>
      <c r="E18747" s="11"/>
      <c r="F18747" s="11"/>
      <c r="G18747" s="11"/>
      <c r="H18747" s="11"/>
      <c r="I18747" s="15"/>
    </row>
    <row r="18748" spans="1:9" ht="16.5">
      <c r="A18748" s="10" t="b">
        <v>0</v>
      </c>
      <c r="B18748" s="11" t="str">
        <f>IF(D18748&lt;&gt;"",IF(COUNTIF('USPTO TMs'!A:A,D18748)&gt;0,"Yes","No"),"")</f>
        <v/>
      </c>
      <c r="C18748" s="11"/>
      <c r="D18748" s="11"/>
      <c r="E18748" s="11"/>
      <c r="F18748" s="11"/>
      <c r="G18748" s="11"/>
      <c r="H18748" s="11"/>
      <c r="I18748" s="15"/>
    </row>
    <row r="18749" spans="1:9" ht="16.5">
      <c r="A18749" s="10" t="b">
        <v>0</v>
      </c>
      <c r="B18749" s="11" t="str">
        <f>IF(D18749&lt;&gt;"",IF(COUNTIF('USPTO TMs'!A:A,D18749)&gt;0,"Yes","No"),"")</f>
        <v/>
      </c>
      <c r="C18749" s="11"/>
      <c r="D18749" s="11"/>
      <c r="E18749" s="11"/>
      <c r="F18749" s="11"/>
      <c r="G18749" s="11"/>
      <c r="H18749" s="11"/>
      <c r="I18749" s="15"/>
    </row>
    <row r="18750" spans="1:9" ht="16.5">
      <c r="A18750" s="10" t="b">
        <v>0</v>
      </c>
      <c r="B18750" s="11" t="str">
        <f>IF(D18750&lt;&gt;"",IF(COUNTIF('USPTO TMs'!A:A,D18750)&gt;0,"Yes","No"),"")</f>
        <v/>
      </c>
      <c r="C18750" s="11"/>
      <c r="D18750" s="11"/>
      <c r="E18750" s="11"/>
      <c r="F18750" s="11"/>
      <c r="G18750" s="11"/>
      <c r="H18750" s="11"/>
      <c r="I18750" s="15"/>
    </row>
    <row r="18751" spans="1:9" ht="16.5">
      <c r="A18751" s="10" t="b">
        <v>0</v>
      </c>
      <c r="B18751" s="11" t="str">
        <f>IF(D18751&lt;&gt;"",IF(COUNTIF('USPTO TMs'!A:A,D18751)&gt;0,"Yes","No"),"")</f>
        <v/>
      </c>
      <c r="C18751" s="11"/>
      <c r="D18751" s="11"/>
      <c r="E18751" s="11"/>
      <c r="F18751" s="11"/>
      <c r="G18751" s="11"/>
      <c r="H18751" s="11"/>
      <c r="I18751" s="15"/>
    </row>
    <row r="18752" spans="1:9" ht="16.5">
      <c r="A18752" s="10" t="b">
        <v>0</v>
      </c>
      <c r="B18752" s="11" t="str">
        <f>IF(D18752&lt;&gt;"",IF(COUNTIF('USPTO TMs'!A:A,D18752)&gt;0,"Yes","No"),"")</f>
        <v/>
      </c>
      <c r="C18752" s="11"/>
      <c r="D18752" s="11"/>
      <c r="E18752" s="11"/>
      <c r="F18752" s="11"/>
      <c r="G18752" s="11"/>
      <c r="H18752" s="11"/>
      <c r="I18752" s="15"/>
    </row>
    <row r="18753" spans="1:9" ht="16.5">
      <c r="A18753" s="10" t="b">
        <v>0</v>
      </c>
      <c r="B18753" s="11" t="str">
        <f>IF(D18753&lt;&gt;"",IF(COUNTIF('USPTO TMs'!A:A,D18753)&gt;0,"Yes","No"),"")</f>
        <v/>
      </c>
      <c r="C18753" s="11"/>
      <c r="D18753" s="11"/>
      <c r="E18753" s="11"/>
      <c r="F18753" s="11"/>
      <c r="G18753" s="11"/>
      <c r="H18753" s="11"/>
      <c r="I18753" s="15"/>
    </row>
    <row r="18754" spans="1:9" ht="16.5">
      <c r="A18754" s="10" t="b">
        <v>0</v>
      </c>
      <c r="B18754" s="11" t="str">
        <f>IF(D18754&lt;&gt;"",IF(COUNTIF('USPTO TMs'!A:A,D18754)&gt;0,"Yes","No"),"")</f>
        <v/>
      </c>
      <c r="C18754" s="11"/>
      <c r="D18754" s="11"/>
      <c r="E18754" s="11"/>
      <c r="F18754" s="11"/>
      <c r="G18754" s="11"/>
      <c r="H18754" s="11"/>
      <c r="I18754" s="15"/>
    </row>
    <row r="18755" spans="1:9" ht="16.5">
      <c r="A18755" s="10" t="b">
        <v>0</v>
      </c>
      <c r="B18755" s="11" t="str">
        <f>IF(D18755&lt;&gt;"",IF(COUNTIF('USPTO TMs'!A:A,D18755)&gt;0,"Yes","No"),"")</f>
        <v/>
      </c>
      <c r="C18755" s="11"/>
      <c r="D18755" s="11"/>
      <c r="E18755" s="11"/>
      <c r="F18755" s="11"/>
      <c r="G18755" s="11"/>
      <c r="H18755" s="11"/>
      <c r="I18755" s="15"/>
    </row>
    <row r="18756" spans="1:9" ht="16.5">
      <c r="A18756" s="10" t="b">
        <v>0</v>
      </c>
      <c r="B18756" s="11" t="str">
        <f>IF(D18756&lt;&gt;"",IF(COUNTIF('USPTO TMs'!A:A,D18756)&gt;0,"Yes","No"),"")</f>
        <v/>
      </c>
      <c r="C18756" s="11"/>
      <c r="D18756" s="11"/>
      <c r="E18756" s="11"/>
      <c r="F18756" s="11"/>
      <c r="G18756" s="11"/>
      <c r="H18756" s="11"/>
      <c r="I18756" s="15"/>
    </row>
    <row r="18757" spans="1:9" ht="16.5">
      <c r="A18757" s="10" t="b">
        <v>0</v>
      </c>
      <c r="B18757" s="11" t="str">
        <f>IF(D18757&lt;&gt;"",IF(COUNTIF('USPTO TMs'!A:A,D18757)&gt;0,"Yes","No"),"")</f>
        <v/>
      </c>
      <c r="C18757" s="11"/>
      <c r="D18757" s="11"/>
      <c r="E18757" s="11"/>
      <c r="F18757" s="11"/>
      <c r="G18757" s="11"/>
      <c r="H18757" s="11"/>
      <c r="I18757" s="15"/>
    </row>
    <row r="18758" spans="1:9" ht="16.5">
      <c r="A18758" s="10" t="b">
        <v>0</v>
      </c>
      <c r="B18758" s="11" t="str">
        <f>IF(D18758&lt;&gt;"",IF(COUNTIF('USPTO TMs'!A:A,D18758)&gt;0,"Yes","No"),"")</f>
        <v/>
      </c>
      <c r="C18758" s="11"/>
      <c r="D18758" s="11"/>
      <c r="E18758" s="11"/>
      <c r="F18758" s="11"/>
      <c r="G18758" s="11"/>
      <c r="H18758" s="11"/>
      <c r="I18758" s="15"/>
    </row>
    <row r="18759" spans="1:9" ht="16.5">
      <c r="A18759" s="10" t="b">
        <v>0</v>
      </c>
      <c r="B18759" s="11" t="str">
        <f>IF(D18759&lt;&gt;"",IF(COUNTIF('USPTO TMs'!A:A,D18759)&gt;0,"Yes","No"),"")</f>
        <v/>
      </c>
      <c r="C18759" s="11"/>
      <c r="D18759" s="11"/>
      <c r="E18759" s="11"/>
      <c r="F18759" s="11"/>
      <c r="G18759" s="11"/>
      <c r="H18759" s="11"/>
      <c r="I18759" s="15"/>
    </row>
    <row r="18760" spans="1:9" ht="16.5">
      <c r="A18760" s="10" t="b">
        <v>0</v>
      </c>
      <c r="B18760" s="11" t="str">
        <f>IF(D18760&lt;&gt;"",IF(COUNTIF('USPTO TMs'!A:A,D18760)&gt;0,"Yes","No"),"")</f>
        <v/>
      </c>
      <c r="C18760" s="11"/>
      <c r="D18760" s="11"/>
      <c r="E18760" s="11"/>
      <c r="F18760" s="11"/>
      <c r="G18760" s="11"/>
      <c r="H18760" s="11"/>
      <c r="I18760" s="15"/>
    </row>
    <row r="18761" spans="1:9" ht="16.5">
      <c r="A18761" s="10" t="b">
        <v>0</v>
      </c>
      <c r="B18761" s="11" t="str">
        <f>IF(D18761&lt;&gt;"",IF(COUNTIF('USPTO TMs'!A:A,D18761)&gt;0,"Yes","No"),"")</f>
        <v/>
      </c>
      <c r="C18761" s="11"/>
      <c r="D18761" s="11"/>
      <c r="E18761" s="11"/>
      <c r="F18761" s="11"/>
      <c r="G18761" s="11"/>
      <c r="H18761" s="11"/>
      <c r="I18761" s="15"/>
    </row>
    <row r="18762" spans="1:9" ht="16.5">
      <c r="A18762" s="10" t="b">
        <v>0</v>
      </c>
      <c r="B18762" s="11" t="str">
        <f>IF(D18762&lt;&gt;"",IF(COUNTIF('USPTO TMs'!A:A,D18762)&gt;0,"Yes","No"),"")</f>
        <v/>
      </c>
      <c r="C18762" s="11"/>
      <c r="D18762" s="11"/>
      <c r="E18762" s="11"/>
      <c r="F18762" s="11"/>
      <c r="G18762" s="11"/>
      <c r="H18762" s="11"/>
      <c r="I18762" s="15"/>
    </row>
    <row r="18763" spans="1:9" ht="16.5">
      <c r="A18763" s="10" t="b">
        <v>0</v>
      </c>
      <c r="B18763" s="11" t="str">
        <f>IF(D18763&lt;&gt;"",IF(COUNTIF('USPTO TMs'!A:A,D18763)&gt;0,"Yes","No"),"")</f>
        <v/>
      </c>
      <c r="C18763" s="11"/>
      <c r="D18763" s="11"/>
      <c r="E18763" s="11"/>
      <c r="F18763" s="11"/>
      <c r="G18763" s="11"/>
      <c r="H18763" s="11"/>
      <c r="I18763" s="15"/>
    </row>
    <row r="18764" spans="1:9" ht="16.5">
      <c r="A18764" s="10" t="b">
        <v>0</v>
      </c>
      <c r="B18764" s="11" t="str">
        <f>IF(D18764&lt;&gt;"",IF(COUNTIF('USPTO TMs'!A:A,D18764)&gt;0,"Yes","No"),"")</f>
        <v/>
      </c>
      <c r="C18764" s="11"/>
      <c r="D18764" s="11"/>
      <c r="E18764" s="11"/>
      <c r="F18764" s="11"/>
      <c r="G18764" s="11"/>
      <c r="H18764" s="11"/>
      <c r="I18764" s="15"/>
    </row>
    <row r="18765" spans="1:9" ht="16.5">
      <c r="A18765" s="10" t="b">
        <v>0</v>
      </c>
      <c r="B18765" s="11" t="str">
        <f>IF(D18765&lt;&gt;"",IF(COUNTIF('USPTO TMs'!A:A,D18765)&gt;0,"Yes","No"),"")</f>
        <v/>
      </c>
      <c r="C18765" s="11"/>
      <c r="D18765" s="11"/>
      <c r="E18765" s="11"/>
      <c r="F18765" s="11"/>
      <c r="G18765" s="11"/>
      <c r="H18765" s="11"/>
      <c r="I18765" s="15"/>
    </row>
    <row r="18766" spans="1:9" ht="16.5">
      <c r="A18766" s="10" t="b">
        <v>0</v>
      </c>
      <c r="B18766" s="11" t="str">
        <f>IF(D18766&lt;&gt;"",IF(COUNTIF('USPTO TMs'!A:A,D18766)&gt;0,"Yes","No"),"")</f>
        <v/>
      </c>
      <c r="C18766" s="11"/>
      <c r="D18766" s="11"/>
      <c r="E18766" s="11"/>
      <c r="F18766" s="11"/>
      <c r="G18766" s="11"/>
      <c r="H18766" s="11"/>
      <c r="I18766" s="15"/>
    </row>
    <row r="18767" spans="1:9" ht="16.5">
      <c r="A18767" s="10" t="b">
        <v>0</v>
      </c>
      <c r="B18767" s="11" t="str">
        <f>IF(D18767&lt;&gt;"",IF(COUNTIF('USPTO TMs'!A:A,D18767)&gt;0,"Yes","No"),"")</f>
        <v/>
      </c>
      <c r="C18767" s="11"/>
      <c r="D18767" s="11"/>
      <c r="E18767" s="11"/>
      <c r="F18767" s="11"/>
      <c r="G18767" s="11"/>
      <c r="H18767" s="11"/>
      <c r="I18767" s="15"/>
    </row>
    <row r="18768" spans="1:9" ht="16.5">
      <c r="A18768" s="10" t="b">
        <v>0</v>
      </c>
      <c r="B18768" s="11" t="str">
        <f>IF(D18768&lt;&gt;"",IF(COUNTIF('USPTO TMs'!A:A,D18768)&gt;0,"Yes","No"),"")</f>
        <v/>
      </c>
      <c r="C18768" s="11"/>
      <c r="D18768" s="11"/>
      <c r="E18768" s="11"/>
      <c r="F18768" s="11"/>
      <c r="G18768" s="11"/>
      <c r="H18768" s="11"/>
      <c r="I18768" s="15"/>
    </row>
    <row r="18769" spans="1:9" ht="16.5">
      <c r="A18769" s="10" t="b">
        <v>0</v>
      </c>
      <c r="B18769" s="11" t="str">
        <f>IF(D18769&lt;&gt;"",IF(COUNTIF('USPTO TMs'!A:A,D18769)&gt;0,"Yes","No"),"")</f>
        <v/>
      </c>
      <c r="C18769" s="11"/>
      <c r="D18769" s="11"/>
      <c r="E18769" s="11"/>
      <c r="F18769" s="11"/>
      <c r="G18769" s="11"/>
      <c r="H18769" s="11"/>
      <c r="I18769" s="15"/>
    </row>
    <row r="18770" spans="1:9" ht="16.5">
      <c r="A18770" s="10" t="b">
        <v>0</v>
      </c>
      <c r="B18770" s="11" t="str">
        <f>IF(D18770&lt;&gt;"",IF(COUNTIF('USPTO TMs'!A:A,D18770)&gt;0,"Yes","No"),"")</f>
        <v/>
      </c>
      <c r="C18770" s="11"/>
      <c r="D18770" s="11"/>
      <c r="E18770" s="11"/>
      <c r="F18770" s="11"/>
      <c r="G18770" s="11"/>
      <c r="H18770" s="11"/>
      <c r="I18770" s="15"/>
    </row>
    <row r="18771" spans="1:9" ht="16.5">
      <c r="A18771" s="10" t="b">
        <v>0</v>
      </c>
      <c r="B18771" s="11" t="str">
        <f>IF(D18771&lt;&gt;"",IF(COUNTIF('USPTO TMs'!A:A,D18771)&gt;0,"Yes","No"),"")</f>
        <v/>
      </c>
      <c r="C18771" s="11"/>
      <c r="D18771" s="11"/>
      <c r="E18771" s="11"/>
      <c r="F18771" s="11"/>
      <c r="G18771" s="11"/>
      <c r="H18771" s="11"/>
      <c r="I18771" s="15"/>
    </row>
    <row r="18772" spans="1:9" ht="16.5">
      <c r="A18772" s="10" t="b">
        <v>0</v>
      </c>
      <c r="B18772" s="11" t="str">
        <f>IF(D18772&lt;&gt;"",IF(COUNTIF('USPTO TMs'!A:A,D18772)&gt;0,"Yes","No"),"")</f>
        <v/>
      </c>
      <c r="C18772" s="11"/>
      <c r="D18772" s="11"/>
      <c r="E18772" s="11"/>
      <c r="F18772" s="11"/>
      <c r="G18772" s="11"/>
      <c r="H18772" s="11"/>
      <c r="I18772" s="15"/>
    </row>
    <row r="18773" spans="1:9" ht="16.5">
      <c r="A18773" s="10" t="b">
        <v>0</v>
      </c>
      <c r="B18773" s="11" t="str">
        <f>IF(D18773&lt;&gt;"",IF(COUNTIF('USPTO TMs'!A:A,D18773)&gt;0,"Yes","No"),"")</f>
        <v/>
      </c>
      <c r="C18773" s="11"/>
      <c r="D18773" s="11"/>
      <c r="E18773" s="11"/>
      <c r="F18773" s="11"/>
      <c r="G18773" s="11"/>
      <c r="H18773" s="11"/>
      <c r="I18773" s="15"/>
    </row>
    <row r="18774" spans="1:9" ht="16.5">
      <c r="A18774" s="10" t="b">
        <v>0</v>
      </c>
      <c r="B18774" s="11" t="str">
        <f>IF(D18774&lt;&gt;"",IF(COUNTIF('USPTO TMs'!A:A,D18774)&gt;0,"Yes","No"),"")</f>
        <v/>
      </c>
      <c r="C18774" s="11"/>
      <c r="D18774" s="11"/>
      <c r="E18774" s="11"/>
      <c r="F18774" s="11"/>
      <c r="G18774" s="11"/>
      <c r="H18774" s="11"/>
      <c r="I18774" s="15"/>
    </row>
    <row r="18775" spans="1:9" ht="16.5">
      <c r="A18775" s="10" t="b">
        <v>0</v>
      </c>
      <c r="B18775" s="11" t="str">
        <f>IF(D18775&lt;&gt;"",IF(COUNTIF('USPTO TMs'!A:A,D18775)&gt;0,"Yes","No"),"")</f>
        <v/>
      </c>
      <c r="C18775" s="11"/>
      <c r="D18775" s="11"/>
      <c r="E18775" s="11"/>
      <c r="F18775" s="11"/>
      <c r="G18775" s="11"/>
      <c r="H18775" s="11"/>
      <c r="I18775" s="15"/>
    </row>
    <row r="18776" spans="1:9" ht="16.5">
      <c r="A18776" s="10" t="b">
        <v>0</v>
      </c>
      <c r="B18776" s="11" t="str">
        <f>IF(D18776&lt;&gt;"",IF(COUNTIF('USPTO TMs'!A:A,D18776)&gt;0,"Yes","No"),"")</f>
        <v/>
      </c>
      <c r="C18776" s="11"/>
      <c r="D18776" s="11"/>
      <c r="E18776" s="11"/>
      <c r="F18776" s="11"/>
      <c r="G18776" s="11"/>
      <c r="H18776" s="11"/>
      <c r="I18776" s="15"/>
    </row>
    <row r="18777" spans="1:9" ht="16.5">
      <c r="A18777" s="10" t="b">
        <v>0</v>
      </c>
      <c r="B18777" s="11" t="str">
        <f>IF(D18777&lt;&gt;"",IF(COUNTIF('USPTO TMs'!A:A,D18777)&gt;0,"Yes","No"),"")</f>
        <v/>
      </c>
      <c r="C18777" s="11"/>
      <c r="D18777" s="11"/>
      <c r="E18777" s="11"/>
      <c r="F18777" s="11"/>
      <c r="G18777" s="11"/>
      <c r="H18777" s="11"/>
      <c r="I18777" s="15"/>
    </row>
    <row r="18778" spans="1:9" ht="16.5">
      <c r="A18778" s="10" t="b">
        <v>0</v>
      </c>
      <c r="B18778" s="11" t="str">
        <f>IF(D18778&lt;&gt;"",IF(COUNTIF('USPTO TMs'!A:A,D18778)&gt;0,"Yes","No"),"")</f>
        <v/>
      </c>
      <c r="C18778" s="11"/>
      <c r="D18778" s="11"/>
      <c r="E18778" s="11"/>
      <c r="F18778" s="11"/>
      <c r="G18778" s="11"/>
      <c r="H18778" s="11"/>
      <c r="I18778" s="15"/>
    </row>
    <row r="18779" spans="1:9" ht="16.5">
      <c r="A18779" s="10" t="b">
        <v>0</v>
      </c>
      <c r="B18779" s="11" t="str">
        <f>IF(D18779&lt;&gt;"",IF(COUNTIF('USPTO TMs'!A:A,D18779)&gt;0,"Yes","No"),"")</f>
        <v/>
      </c>
      <c r="C18779" s="11"/>
      <c r="D18779" s="11"/>
      <c r="E18779" s="11"/>
      <c r="F18779" s="11"/>
      <c r="G18779" s="11"/>
      <c r="H18779" s="11"/>
      <c r="I18779" s="15"/>
    </row>
    <row r="18780" spans="1:9" ht="16.5">
      <c r="A18780" s="10" t="b">
        <v>0</v>
      </c>
      <c r="B18780" s="11" t="str">
        <f>IF(D18780&lt;&gt;"",IF(COUNTIF('USPTO TMs'!A:A,D18780)&gt;0,"Yes","No"),"")</f>
        <v/>
      </c>
      <c r="C18780" s="11"/>
      <c r="D18780" s="11"/>
      <c r="E18780" s="11"/>
      <c r="F18780" s="11"/>
      <c r="G18780" s="11"/>
      <c r="H18780" s="11"/>
      <c r="I18780" s="15"/>
    </row>
    <row r="18781" spans="1:9" ht="16.5">
      <c r="A18781" s="10" t="b">
        <v>0</v>
      </c>
      <c r="B18781" s="11" t="str">
        <f>IF(D18781&lt;&gt;"",IF(COUNTIF('USPTO TMs'!A:A,D18781)&gt;0,"Yes","No"),"")</f>
        <v/>
      </c>
      <c r="C18781" s="11"/>
      <c r="D18781" s="11"/>
      <c r="E18781" s="11"/>
      <c r="F18781" s="11"/>
      <c r="G18781" s="11"/>
      <c r="H18781" s="11"/>
      <c r="I18781" s="15"/>
    </row>
    <row r="18782" spans="1:9" ht="16.5">
      <c r="A18782" s="10" t="b">
        <v>0</v>
      </c>
      <c r="B18782" s="11" t="str">
        <f>IF(D18782&lt;&gt;"",IF(COUNTIF('USPTO TMs'!A:A,D18782)&gt;0,"Yes","No"),"")</f>
        <v/>
      </c>
      <c r="C18782" s="11"/>
      <c r="D18782" s="11"/>
      <c r="E18782" s="11"/>
      <c r="F18782" s="11"/>
      <c r="G18782" s="11"/>
      <c r="H18782" s="11"/>
      <c r="I18782" s="15"/>
    </row>
    <row r="18783" spans="1:9" ht="16.5">
      <c r="A18783" s="10" t="b">
        <v>0</v>
      </c>
      <c r="B18783" s="11" t="str">
        <f>IF(D18783&lt;&gt;"",IF(COUNTIF('USPTO TMs'!A:A,D18783)&gt;0,"Yes","No"),"")</f>
        <v/>
      </c>
      <c r="C18783" s="11"/>
      <c r="D18783" s="11"/>
      <c r="E18783" s="11"/>
      <c r="F18783" s="11"/>
      <c r="G18783" s="11"/>
      <c r="H18783" s="11"/>
      <c r="I18783" s="15"/>
    </row>
    <row r="18784" spans="1:9" ht="16.5">
      <c r="A18784" s="10" t="b">
        <v>0</v>
      </c>
      <c r="B18784" s="11" t="str">
        <f>IF(D18784&lt;&gt;"",IF(COUNTIF('USPTO TMs'!A:A,D18784)&gt;0,"Yes","No"),"")</f>
        <v/>
      </c>
      <c r="C18784" s="11"/>
      <c r="D18784" s="11"/>
      <c r="E18784" s="11"/>
      <c r="F18784" s="11"/>
      <c r="G18784" s="11"/>
      <c r="H18784" s="11"/>
      <c r="I18784" s="15"/>
    </row>
    <row r="18785" spans="1:9" ht="16.5">
      <c r="A18785" s="10" t="b">
        <v>0</v>
      </c>
      <c r="B18785" s="11" t="str">
        <f>IF(D18785&lt;&gt;"",IF(COUNTIF('USPTO TMs'!A:A,D18785)&gt;0,"Yes","No"),"")</f>
        <v/>
      </c>
      <c r="C18785" s="11"/>
      <c r="D18785" s="11"/>
      <c r="E18785" s="11"/>
      <c r="F18785" s="11"/>
      <c r="G18785" s="11"/>
      <c r="H18785" s="11"/>
      <c r="I18785" s="15"/>
    </row>
    <row r="18786" spans="1:9" ht="16.5">
      <c r="A18786" s="10" t="b">
        <v>0</v>
      </c>
      <c r="B18786" s="11" t="str">
        <f>IF(D18786&lt;&gt;"",IF(COUNTIF('USPTO TMs'!A:A,D18786)&gt;0,"Yes","No"),"")</f>
        <v/>
      </c>
      <c r="C18786" s="11"/>
      <c r="D18786" s="11"/>
      <c r="E18786" s="11"/>
      <c r="F18786" s="11"/>
      <c r="G18786" s="11"/>
      <c r="H18786" s="11"/>
      <c r="I18786" s="15"/>
    </row>
    <row r="18787" spans="1:9" ht="16.5">
      <c r="A18787" s="10" t="b">
        <v>0</v>
      </c>
      <c r="B18787" s="11" t="str">
        <f>IF(D18787&lt;&gt;"",IF(COUNTIF('USPTO TMs'!A:A,D18787)&gt;0,"Yes","No"),"")</f>
        <v/>
      </c>
      <c r="C18787" s="11"/>
      <c r="D18787" s="11"/>
      <c r="E18787" s="11"/>
      <c r="F18787" s="11"/>
      <c r="G18787" s="11"/>
      <c r="H18787" s="11"/>
      <c r="I18787" s="15"/>
    </row>
    <row r="18788" spans="1:9" ht="16.5">
      <c r="A18788" s="10" t="b">
        <v>0</v>
      </c>
      <c r="B18788" s="11" t="str">
        <f>IF(D18788&lt;&gt;"",IF(COUNTIF('USPTO TMs'!A:A,D18788)&gt;0,"Yes","No"),"")</f>
        <v/>
      </c>
      <c r="C18788" s="11"/>
      <c r="D18788" s="11"/>
      <c r="E18788" s="11"/>
      <c r="F18788" s="11"/>
      <c r="G18788" s="11"/>
      <c r="H18788" s="11"/>
      <c r="I18788" s="15"/>
    </row>
    <row r="18789" spans="1:9" ht="16.5">
      <c r="A18789" s="10" t="b">
        <v>0</v>
      </c>
      <c r="B18789" s="11" t="str">
        <f>IF(D18789&lt;&gt;"",IF(COUNTIF('USPTO TMs'!A:A,D18789)&gt;0,"Yes","No"),"")</f>
        <v/>
      </c>
      <c r="C18789" s="11"/>
      <c r="D18789" s="11"/>
      <c r="E18789" s="11"/>
      <c r="F18789" s="11"/>
      <c r="G18789" s="11"/>
      <c r="H18789" s="11"/>
      <c r="I18789" s="15"/>
    </row>
    <row r="18790" spans="1:9" ht="16.5">
      <c r="A18790" s="10" t="b">
        <v>0</v>
      </c>
      <c r="B18790" s="11" t="str">
        <f>IF(D18790&lt;&gt;"",IF(COUNTIF('USPTO TMs'!A:A,D18790)&gt;0,"Yes","No"),"")</f>
        <v/>
      </c>
      <c r="C18790" s="11"/>
      <c r="D18790" s="11"/>
      <c r="E18790" s="11"/>
      <c r="F18790" s="11"/>
      <c r="G18790" s="11"/>
      <c r="H18790" s="11"/>
      <c r="I18790" s="15"/>
    </row>
    <row r="18791" spans="1:9" ht="16.5">
      <c r="A18791" s="10" t="b">
        <v>0</v>
      </c>
      <c r="B18791" s="11" t="str">
        <f>IF(D18791&lt;&gt;"",IF(COUNTIF('USPTO TMs'!A:A,D18791)&gt;0,"Yes","No"),"")</f>
        <v/>
      </c>
      <c r="C18791" s="11"/>
      <c r="D18791" s="11"/>
      <c r="E18791" s="11"/>
      <c r="F18791" s="11"/>
      <c r="G18791" s="11"/>
      <c r="H18791" s="11"/>
      <c r="I18791" s="15"/>
    </row>
    <row r="18792" spans="1:9" ht="16.5">
      <c r="A18792" s="10" t="b">
        <v>0</v>
      </c>
      <c r="B18792" s="11" t="str">
        <f>IF(D18792&lt;&gt;"",IF(COUNTIF('USPTO TMs'!A:A,D18792)&gt;0,"Yes","No"),"")</f>
        <v/>
      </c>
      <c r="C18792" s="11"/>
      <c r="D18792" s="11"/>
      <c r="E18792" s="11"/>
      <c r="F18792" s="11"/>
      <c r="G18792" s="11"/>
      <c r="H18792" s="11"/>
      <c r="I18792" s="15"/>
    </row>
    <row r="18793" spans="1:9" ht="16.5">
      <c r="A18793" s="10" t="b">
        <v>0</v>
      </c>
      <c r="B18793" s="11" t="str">
        <f>IF(D18793&lt;&gt;"",IF(COUNTIF('USPTO TMs'!A:A,D18793)&gt;0,"Yes","No"),"")</f>
        <v/>
      </c>
      <c r="C18793" s="11"/>
      <c r="D18793" s="11"/>
      <c r="E18793" s="11"/>
      <c r="F18793" s="11"/>
      <c r="G18793" s="11"/>
      <c r="H18793" s="11"/>
      <c r="I18793" s="15"/>
    </row>
    <row r="18794" spans="1:9" ht="16.5">
      <c r="A18794" s="10" t="b">
        <v>0</v>
      </c>
      <c r="B18794" s="11" t="str">
        <f>IF(D18794&lt;&gt;"",IF(COUNTIF('USPTO TMs'!A:A,D18794)&gt;0,"Yes","No"),"")</f>
        <v/>
      </c>
      <c r="C18794" s="11"/>
      <c r="D18794" s="11"/>
      <c r="E18794" s="11"/>
      <c r="F18794" s="11"/>
      <c r="G18794" s="11"/>
      <c r="H18794" s="11"/>
      <c r="I18794" s="15"/>
    </row>
    <row r="18795" spans="1:9" ht="16.5">
      <c r="A18795" s="10" t="b">
        <v>0</v>
      </c>
      <c r="B18795" s="11" t="str">
        <f>IF(D18795&lt;&gt;"",IF(COUNTIF('USPTO TMs'!A:A,D18795)&gt;0,"Yes","No"),"")</f>
        <v/>
      </c>
      <c r="C18795" s="11"/>
      <c r="D18795" s="11"/>
      <c r="E18795" s="11"/>
      <c r="F18795" s="11"/>
      <c r="G18795" s="11"/>
      <c r="H18795" s="11"/>
      <c r="I18795" s="15"/>
    </row>
    <row r="18796" spans="1:9" ht="16.5">
      <c r="A18796" s="10" t="b">
        <v>0</v>
      </c>
      <c r="B18796" s="11" t="str">
        <f>IF(D18796&lt;&gt;"",IF(COUNTIF('USPTO TMs'!A:A,D18796)&gt;0,"Yes","No"),"")</f>
        <v/>
      </c>
      <c r="C18796" s="11"/>
      <c r="D18796" s="11"/>
      <c r="E18796" s="11"/>
      <c r="F18796" s="11"/>
      <c r="G18796" s="11"/>
      <c r="H18796" s="11"/>
      <c r="I18796" s="15"/>
    </row>
    <row r="18797" spans="1:9" ht="16.5">
      <c r="A18797" s="10" t="b">
        <v>0</v>
      </c>
      <c r="B18797" s="11" t="str">
        <f>IF(D18797&lt;&gt;"",IF(COUNTIF('USPTO TMs'!A:A,D18797)&gt;0,"Yes","No"),"")</f>
        <v/>
      </c>
      <c r="C18797" s="11"/>
      <c r="D18797" s="11"/>
      <c r="E18797" s="11"/>
      <c r="F18797" s="11"/>
      <c r="G18797" s="11"/>
      <c r="H18797" s="11"/>
      <c r="I18797" s="15"/>
    </row>
    <row r="18798" spans="1:9" ht="16.5">
      <c r="A18798" s="10" t="b">
        <v>0</v>
      </c>
      <c r="B18798" s="11" t="str">
        <f>IF(D18798&lt;&gt;"",IF(COUNTIF('USPTO TMs'!A:A,D18798)&gt;0,"Yes","No"),"")</f>
        <v/>
      </c>
      <c r="C18798" s="11"/>
      <c r="D18798" s="11"/>
      <c r="E18798" s="11"/>
      <c r="F18798" s="11"/>
      <c r="G18798" s="11"/>
      <c r="H18798" s="11"/>
      <c r="I18798" s="15"/>
    </row>
    <row r="18799" spans="1:9" ht="16.5">
      <c r="A18799" s="10" t="b">
        <v>0</v>
      </c>
      <c r="B18799" s="11" t="str">
        <f>IF(D18799&lt;&gt;"",IF(COUNTIF('USPTO TMs'!A:A,D18799)&gt;0,"Yes","No"),"")</f>
        <v/>
      </c>
      <c r="C18799" s="11"/>
      <c r="D18799" s="11"/>
      <c r="E18799" s="11"/>
      <c r="F18799" s="11"/>
      <c r="G18799" s="11"/>
      <c r="H18799" s="11"/>
      <c r="I18799" s="15"/>
    </row>
    <row r="18800" spans="1:9" ht="16.5">
      <c r="A18800" s="10" t="b">
        <v>0</v>
      </c>
      <c r="B18800" s="11" t="str">
        <f>IF(D18800&lt;&gt;"",IF(COUNTIF('USPTO TMs'!A:A,D18800)&gt;0,"Yes","No"),"")</f>
        <v/>
      </c>
      <c r="C18800" s="11"/>
      <c r="D18800" s="11"/>
      <c r="E18800" s="11"/>
      <c r="F18800" s="11"/>
      <c r="G18800" s="11"/>
      <c r="H18800" s="11"/>
      <c r="I18800" s="15"/>
    </row>
    <row r="18801" spans="1:9" ht="16.5">
      <c r="A18801" s="10" t="b">
        <v>0</v>
      </c>
      <c r="B18801" s="11" t="str">
        <f>IF(D18801&lt;&gt;"",IF(COUNTIF('USPTO TMs'!A:A,D18801)&gt;0,"Yes","No"),"")</f>
        <v/>
      </c>
      <c r="C18801" s="11"/>
      <c r="D18801" s="11"/>
      <c r="E18801" s="11"/>
      <c r="F18801" s="11"/>
      <c r="G18801" s="11"/>
      <c r="H18801" s="11"/>
      <c r="I18801" s="15"/>
    </row>
    <row r="18802" spans="1:9" ht="16.5">
      <c r="A18802" s="10" t="b">
        <v>0</v>
      </c>
      <c r="B18802" s="11" t="str">
        <f>IF(D18802&lt;&gt;"",IF(COUNTIF('USPTO TMs'!A:A,D18802)&gt;0,"Yes","No"),"")</f>
        <v/>
      </c>
      <c r="C18802" s="11"/>
      <c r="D18802" s="11"/>
      <c r="E18802" s="11"/>
      <c r="F18802" s="11"/>
      <c r="G18802" s="11"/>
      <c r="H18802" s="11"/>
      <c r="I18802" s="15"/>
    </row>
    <row r="18803" spans="1:9" ht="16.5">
      <c r="A18803" s="10" t="b">
        <v>0</v>
      </c>
      <c r="B18803" s="11" t="str">
        <f>IF(D18803&lt;&gt;"",IF(COUNTIF('USPTO TMs'!A:A,D18803)&gt;0,"Yes","No"),"")</f>
        <v/>
      </c>
      <c r="C18803" s="11"/>
      <c r="D18803" s="11"/>
      <c r="E18803" s="11"/>
      <c r="F18803" s="11"/>
      <c r="G18803" s="11"/>
      <c r="H18803" s="11"/>
      <c r="I18803" s="15"/>
    </row>
    <row r="18804" spans="1:9" ht="16.5">
      <c r="A18804" s="10" t="b">
        <v>0</v>
      </c>
      <c r="B18804" s="11" t="str">
        <f>IF(D18804&lt;&gt;"",IF(COUNTIF('USPTO TMs'!A:A,D18804)&gt;0,"Yes","No"),"")</f>
        <v/>
      </c>
      <c r="C18804" s="11"/>
      <c r="D18804" s="11"/>
      <c r="E18804" s="11"/>
      <c r="F18804" s="11"/>
      <c r="G18804" s="11"/>
      <c r="H18804" s="11"/>
      <c r="I18804" s="15"/>
    </row>
    <row r="18805" spans="1:9" ht="16.5">
      <c r="A18805" s="10" t="b">
        <v>0</v>
      </c>
      <c r="B18805" s="11" t="str">
        <f>IF(D18805&lt;&gt;"",IF(COUNTIF('USPTO TMs'!A:A,D18805)&gt;0,"Yes","No"),"")</f>
        <v/>
      </c>
      <c r="C18805" s="11"/>
      <c r="D18805" s="11"/>
      <c r="E18805" s="11"/>
      <c r="F18805" s="11"/>
      <c r="G18805" s="11"/>
      <c r="H18805" s="11"/>
      <c r="I18805" s="15"/>
    </row>
    <row r="18806" spans="1:9" ht="16.5">
      <c r="A18806" s="10" t="b">
        <v>0</v>
      </c>
      <c r="B18806" s="11" t="str">
        <f>IF(D18806&lt;&gt;"",IF(COUNTIF('USPTO TMs'!A:A,D18806)&gt;0,"Yes","No"),"")</f>
        <v/>
      </c>
      <c r="C18806" s="11"/>
      <c r="D18806" s="11"/>
      <c r="E18806" s="11"/>
      <c r="F18806" s="11"/>
      <c r="G18806" s="11"/>
      <c r="H18806" s="11"/>
      <c r="I18806" s="15"/>
    </row>
    <row r="18807" spans="1:9" ht="16.5">
      <c r="A18807" s="10" t="b">
        <v>0</v>
      </c>
      <c r="B18807" s="11" t="str">
        <f>IF(D18807&lt;&gt;"",IF(COUNTIF('USPTO TMs'!A:A,D18807)&gt;0,"Yes","No"),"")</f>
        <v/>
      </c>
      <c r="C18807" s="11"/>
      <c r="D18807" s="11"/>
      <c r="E18807" s="11"/>
      <c r="F18807" s="11"/>
      <c r="G18807" s="11"/>
      <c r="H18807" s="11"/>
      <c r="I18807" s="15"/>
    </row>
    <row r="18808" spans="1:9" ht="16.5">
      <c r="A18808" s="10" t="b">
        <v>0</v>
      </c>
      <c r="B18808" s="11" t="str">
        <f>IF(D18808&lt;&gt;"",IF(COUNTIF('USPTO TMs'!A:A,D18808)&gt;0,"Yes","No"),"")</f>
        <v/>
      </c>
      <c r="C18808" s="11"/>
      <c r="D18808" s="11"/>
      <c r="E18808" s="11"/>
      <c r="F18808" s="11"/>
      <c r="G18808" s="11"/>
      <c r="H18808" s="11"/>
      <c r="I18808" s="15"/>
    </row>
    <row r="18809" spans="1:9" ht="16.5">
      <c r="A18809" s="10" t="b">
        <v>0</v>
      </c>
      <c r="B18809" s="11" t="str">
        <f>IF(D18809&lt;&gt;"",IF(COUNTIF('USPTO TMs'!A:A,D18809)&gt;0,"Yes","No"),"")</f>
        <v/>
      </c>
      <c r="C18809" s="11"/>
      <c r="D18809" s="11"/>
      <c r="E18809" s="11"/>
      <c r="F18809" s="11"/>
      <c r="G18809" s="11"/>
      <c r="H18809" s="11"/>
      <c r="I18809" s="15"/>
    </row>
    <row r="18810" spans="1:9" ht="16.5">
      <c r="A18810" s="10" t="b">
        <v>0</v>
      </c>
      <c r="B18810" s="11" t="str">
        <f>IF(D18810&lt;&gt;"",IF(COUNTIF('USPTO TMs'!A:A,D18810)&gt;0,"Yes","No"),"")</f>
        <v/>
      </c>
      <c r="C18810" s="11"/>
      <c r="D18810" s="11"/>
      <c r="E18810" s="11"/>
      <c r="F18810" s="11"/>
      <c r="G18810" s="11"/>
      <c r="H18810" s="11"/>
      <c r="I18810" s="15"/>
    </row>
    <row r="18811" spans="1:9" ht="16.5">
      <c r="A18811" s="10" t="b">
        <v>0</v>
      </c>
      <c r="B18811" s="11" t="str">
        <f>IF(D18811&lt;&gt;"",IF(COUNTIF('USPTO TMs'!A:A,D18811)&gt;0,"Yes","No"),"")</f>
        <v/>
      </c>
      <c r="C18811" s="11"/>
      <c r="D18811" s="11"/>
      <c r="E18811" s="11"/>
      <c r="F18811" s="11"/>
      <c r="G18811" s="11"/>
      <c r="H18811" s="11"/>
      <c r="I18811" s="15"/>
    </row>
    <row r="18812" spans="1:9" ht="16.5">
      <c r="A18812" s="10" t="b">
        <v>0</v>
      </c>
      <c r="B18812" s="11" t="str">
        <f>IF(D18812&lt;&gt;"",IF(COUNTIF('USPTO TMs'!A:A,D18812)&gt;0,"Yes","No"),"")</f>
        <v/>
      </c>
      <c r="C18812" s="11"/>
      <c r="D18812" s="11"/>
      <c r="E18812" s="11"/>
      <c r="F18812" s="11"/>
      <c r="G18812" s="11"/>
      <c r="H18812" s="11"/>
      <c r="I18812" s="15"/>
    </row>
    <row r="18813" spans="1:9" ht="16.5">
      <c r="A18813" s="10" t="b">
        <v>0</v>
      </c>
      <c r="B18813" s="11" t="str">
        <f>IF(D18813&lt;&gt;"",IF(COUNTIF('USPTO TMs'!A:A,D18813)&gt;0,"Yes","No"),"")</f>
        <v/>
      </c>
      <c r="C18813" s="11"/>
      <c r="D18813" s="11"/>
      <c r="E18813" s="11"/>
      <c r="F18813" s="11"/>
      <c r="G18813" s="11"/>
      <c r="H18813" s="11"/>
      <c r="I18813" s="15"/>
    </row>
    <row r="18814" spans="1:9" ht="16.5">
      <c r="A18814" s="10" t="b">
        <v>0</v>
      </c>
      <c r="B18814" s="11" t="str">
        <f>IF(D18814&lt;&gt;"",IF(COUNTIF('USPTO TMs'!A:A,D18814)&gt;0,"Yes","No"),"")</f>
        <v/>
      </c>
      <c r="C18814" s="11"/>
      <c r="D18814" s="11"/>
      <c r="E18814" s="11"/>
      <c r="F18814" s="11"/>
      <c r="G18814" s="11"/>
      <c r="H18814" s="11"/>
      <c r="I18814" s="15"/>
    </row>
    <row r="18815" spans="1:9" ht="16.5">
      <c r="A18815" s="10" t="b">
        <v>0</v>
      </c>
      <c r="B18815" s="11" t="str">
        <f>IF(D18815&lt;&gt;"",IF(COUNTIF('USPTO TMs'!A:A,D18815)&gt;0,"Yes","No"),"")</f>
        <v/>
      </c>
      <c r="C18815" s="11"/>
      <c r="D18815" s="11"/>
      <c r="E18815" s="11"/>
      <c r="F18815" s="11"/>
      <c r="G18815" s="11"/>
      <c r="H18815" s="11"/>
      <c r="I18815" s="15"/>
    </row>
    <row r="18816" spans="1:9" ht="16.5">
      <c r="A18816" s="10" t="b">
        <v>0</v>
      </c>
      <c r="B18816" s="11" t="str">
        <f>IF(D18816&lt;&gt;"",IF(COUNTIF('USPTO TMs'!A:A,D18816)&gt;0,"Yes","No"),"")</f>
        <v/>
      </c>
      <c r="C18816" s="11"/>
      <c r="D18816" s="11"/>
      <c r="E18816" s="11"/>
      <c r="F18816" s="11"/>
      <c r="G18816" s="11"/>
      <c r="H18816" s="11"/>
      <c r="I18816" s="15"/>
    </row>
    <row r="18817" spans="1:9" ht="16.5">
      <c r="A18817" s="10" t="b">
        <v>0</v>
      </c>
      <c r="B18817" s="11" t="str">
        <f>IF(D18817&lt;&gt;"",IF(COUNTIF('USPTO TMs'!A:A,D18817)&gt;0,"Yes","No"),"")</f>
        <v/>
      </c>
      <c r="C18817" s="11"/>
      <c r="D18817" s="11"/>
      <c r="E18817" s="11"/>
      <c r="F18817" s="11"/>
      <c r="G18817" s="11"/>
      <c r="H18817" s="11"/>
      <c r="I18817" s="15"/>
    </row>
    <row r="18818" spans="1:9" ht="16.5">
      <c r="A18818" s="10" t="b">
        <v>0</v>
      </c>
      <c r="B18818" s="11" t="str">
        <f>IF(D18818&lt;&gt;"",IF(COUNTIF('USPTO TMs'!A:A,D18818)&gt;0,"Yes","No"),"")</f>
        <v/>
      </c>
      <c r="C18818" s="11"/>
      <c r="D18818" s="11"/>
      <c r="E18818" s="11"/>
      <c r="F18818" s="11"/>
      <c r="G18818" s="11"/>
      <c r="H18818" s="11"/>
      <c r="I18818" s="15"/>
    </row>
    <row r="18819" spans="1:9" ht="16.5">
      <c r="A18819" s="10" t="b">
        <v>0</v>
      </c>
      <c r="B18819" s="11" t="str">
        <f>IF(D18819&lt;&gt;"",IF(COUNTIF('USPTO TMs'!A:A,D18819)&gt;0,"Yes","No"),"")</f>
        <v/>
      </c>
      <c r="C18819" s="11"/>
      <c r="D18819" s="11"/>
      <c r="E18819" s="11"/>
      <c r="F18819" s="11"/>
      <c r="G18819" s="11"/>
      <c r="H18819" s="11"/>
      <c r="I18819" s="15"/>
    </row>
    <row r="18820" spans="1:9" ht="16.5">
      <c r="A18820" s="10" t="b">
        <v>0</v>
      </c>
      <c r="B18820" s="11" t="str">
        <f>IF(D18820&lt;&gt;"",IF(COUNTIF('USPTO TMs'!A:A,D18820)&gt;0,"Yes","No"),"")</f>
        <v/>
      </c>
      <c r="C18820" s="11"/>
      <c r="D18820" s="11"/>
      <c r="E18820" s="11"/>
      <c r="F18820" s="11"/>
      <c r="G18820" s="11"/>
      <c r="H18820" s="11"/>
      <c r="I18820" s="15"/>
    </row>
    <row r="18821" spans="1:9" ht="16.5">
      <c r="A18821" s="10" t="b">
        <v>0</v>
      </c>
      <c r="B18821" s="11" t="str">
        <f>IF(D18821&lt;&gt;"",IF(COUNTIF('USPTO TMs'!A:A,D18821)&gt;0,"Yes","No"),"")</f>
        <v/>
      </c>
      <c r="C18821" s="11"/>
      <c r="D18821" s="11"/>
      <c r="E18821" s="11"/>
      <c r="F18821" s="11"/>
      <c r="G18821" s="11"/>
      <c r="H18821" s="11"/>
      <c r="I18821" s="15"/>
    </row>
    <row r="18822" spans="1:9" ht="16.5">
      <c r="A18822" s="10" t="b">
        <v>0</v>
      </c>
      <c r="B18822" s="11" t="str">
        <f>IF(D18822&lt;&gt;"",IF(COUNTIF('USPTO TMs'!A:A,D18822)&gt;0,"Yes","No"),"")</f>
        <v/>
      </c>
      <c r="C18822" s="11"/>
      <c r="D18822" s="11"/>
      <c r="E18822" s="11"/>
      <c r="F18822" s="11"/>
      <c r="G18822" s="11"/>
      <c r="H18822" s="11"/>
      <c r="I18822" s="15"/>
    </row>
    <row r="18823" spans="1:9" ht="16.5">
      <c r="A18823" s="10" t="b">
        <v>0</v>
      </c>
      <c r="B18823" s="11" t="str">
        <f>IF(D18823&lt;&gt;"",IF(COUNTIF('USPTO TMs'!A:A,D18823)&gt;0,"Yes","No"),"")</f>
        <v/>
      </c>
      <c r="C18823" s="11"/>
      <c r="D18823" s="11"/>
      <c r="E18823" s="11"/>
      <c r="F18823" s="11"/>
      <c r="G18823" s="11"/>
      <c r="H18823" s="11"/>
      <c r="I18823" s="15"/>
    </row>
    <row r="18824" spans="1:9" ht="16.5">
      <c r="A18824" s="10" t="b">
        <v>0</v>
      </c>
      <c r="B18824" s="11" t="str">
        <f>IF(D18824&lt;&gt;"",IF(COUNTIF('USPTO TMs'!A:A,D18824)&gt;0,"Yes","No"),"")</f>
        <v/>
      </c>
      <c r="C18824" s="11"/>
      <c r="D18824" s="11"/>
      <c r="E18824" s="11"/>
      <c r="F18824" s="11"/>
      <c r="G18824" s="11"/>
      <c r="H18824" s="11"/>
      <c r="I18824" s="15"/>
    </row>
    <row r="18825" spans="1:9" ht="16.5">
      <c r="A18825" s="10" t="b">
        <v>0</v>
      </c>
      <c r="B18825" s="11" t="str">
        <f>IF(D18825&lt;&gt;"",IF(COUNTIF('USPTO TMs'!A:A,D18825)&gt;0,"Yes","No"),"")</f>
        <v/>
      </c>
      <c r="C18825" s="11"/>
      <c r="D18825" s="11"/>
      <c r="E18825" s="11"/>
      <c r="F18825" s="11"/>
      <c r="G18825" s="11"/>
      <c r="H18825" s="11"/>
      <c r="I18825" s="15"/>
    </row>
    <row r="18826" spans="1:9" ht="16.5">
      <c r="A18826" s="10" t="b">
        <v>0</v>
      </c>
      <c r="B18826" s="11" t="str">
        <f>IF(D18826&lt;&gt;"",IF(COUNTIF('USPTO TMs'!A:A,D18826)&gt;0,"Yes","No"),"")</f>
        <v/>
      </c>
      <c r="C18826" s="11"/>
      <c r="D18826" s="11"/>
      <c r="E18826" s="11"/>
      <c r="F18826" s="11"/>
      <c r="G18826" s="11"/>
      <c r="H18826" s="11"/>
      <c r="I18826" s="15"/>
    </row>
    <row r="18827" spans="1:9" ht="16.5">
      <c r="A18827" s="10" t="b">
        <v>0</v>
      </c>
      <c r="B18827" s="11" t="str">
        <f>IF(D18827&lt;&gt;"",IF(COUNTIF('USPTO TMs'!A:A,D18827)&gt;0,"Yes","No"),"")</f>
        <v/>
      </c>
      <c r="C18827" s="11"/>
      <c r="D18827" s="11"/>
      <c r="E18827" s="11"/>
      <c r="F18827" s="11"/>
      <c r="G18827" s="11"/>
      <c r="H18827" s="11"/>
      <c r="I18827" s="15"/>
    </row>
    <row r="18828" spans="1:9" ht="16.5">
      <c r="A18828" s="10" t="b">
        <v>0</v>
      </c>
      <c r="B18828" s="11" t="str">
        <f>IF(D18828&lt;&gt;"",IF(COUNTIF('USPTO TMs'!A:A,D18828)&gt;0,"Yes","No"),"")</f>
        <v/>
      </c>
      <c r="C18828" s="11"/>
      <c r="D18828" s="11"/>
      <c r="E18828" s="11"/>
      <c r="F18828" s="11"/>
      <c r="G18828" s="11"/>
      <c r="H18828" s="11"/>
      <c r="I18828" s="15"/>
    </row>
    <row r="18829" spans="1:9" ht="16.5">
      <c r="A18829" s="10" t="b">
        <v>0</v>
      </c>
      <c r="B18829" s="11" t="str">
        <f>IF(D18829&lt;&gt;"",IF(COUNTIF('USPTO TMs'!A:A,D18829)&gt;0,"Yes","No"),"")</f>
        <v/>
      </c>
      <c r="C18829" s="11"/>
      <c r="D18829" s="11"/>
      <c r="E18829" s="11"/>
      <c r="F18829" s="11"/>
      <c r="G18829" s="11"/>
      <c r="H18829" s="11"/>
      <c r="I18829" s="15"/>
    </row>
    <row r="18830" spans="1:9" ht="16.5">
      <c r="A18830" s="10" t="b">
        <v>0</v>
      </c>
      <c r="B18830" s="11" t="str">
        <f>IF(D18830&lt;&gt;"",IF(COUNTIF('USPTO TMs'!A:A,D18830)&gt;0,"Yes","No"),"")</f>
        <v/>
      </c>
      <c r="C18830" s="11"/>
      <c r="D18830" s="11"/>
      <c r="E18830" s="11"/>
      <c r="F18830" s="11"/>
      <c r="G18830" s="11"/>
      <c r="H18830" s="11"/>
      <c r="I18830" s="15"/>
    </row>
    <row r="18831" spans="1:9" ht="16.5">
      <c r="A18831" s="10" t="b">
        <v>0</v>
      </c>
      <c r="B18831" s="11" t="str">
        <f>IF(D18831&lt;&gt;"",IF(COUNTIF('USPTO TMs'!A:A,D18831)&gt;0,"Yes","No"),"")</f>
        <v/>
      </c>
      <c r="C18831" s="11"/>
      <c r="D18831" s="11"/>
      <c r="E18831" s="11"/>
      <c r="F18831" s="11"/>
      <c r="G18831" s="11"/>
      <c r="H18831" s="11"/>
      <c r="I18831" s="15"/>
    </row>
    <row r="18832" spans="1:9" ht="16.5">
      <c r="A18832" s="10" t="b">
        <v>0</v>
      </c>
      <c r="B18832" s="11" t="str">
        <f>IF(D18832&lt;&gt;"",IF(COUNTIF('USPTO TMs'!A:A,D18832)&gt;0,"Yes","No"),"")</f>
        <v/>
      </c>
      <c r="C18832" s="11"/>
      <c r="D18832" s="11"/>
      <c r="E18832" s="11"/>
      <c r="F18832" s="11"/>
      <c r="G18832" s="11"/>
      <c r="H18832" s="11"/>
      <c r="I18832" s="15"/>
    </row>
    <row r="18833" spans="1:9" ht="16.5">
      <c r="A18833" s="10" t="b">
        <v>0</v>
      </c>
      <c r="B18833" s="11" t="str">
        <f>IF(D18833&lt;&gt;"",IF(COUNTIF('USPTO TMs'!A:A,D18833)&gt;0,"Yes","No"),"")</f>
        <v/>
      </c>
      <c r="C18833" s="11"/>
      <c r="D18833" s="11"/>
      <c r="E18833" s="11"/>
      <c r="F18833" s="11"/>
      <c r="G18833" s="11"/>
      <c r="H18833" s="11"/>
      <c r="I18833" s="15"/>
    </row>
    <row r="18834" spans="1:9" ht="16.5">
      <c r="A18834" s="10" t="b">
        <v>0</v>
      </c>
      <c r="B18834" s="11" t="str">
        <f>IF(D18834&lt;&gt;"",IF(COUNTIF('USPTO TMs'!A:A,D18834)&gt;0,"Yes","No"),"")</f>
        <v/>
      </c>
      <c r="C18834" s="11"/>
      <c r="D18834" s="11"/>
      <c r="E18834" s="11"/>
      <c r="F18834" s="11"/>
      <c r="G18834" s="11"/>
      <c r="H18834" s="11"/>
      <c r="I18834" s="15"/>
    </row>
    <row r="18835" spans="1:9" ht="16.5">
      <c r="A18835" s="10" t="b">
        <v>0</v>
      </c>
      <c r="B18835" s="11" t="str">
        <f>IF(D18835&lt;&gt;"",IF(COUNTIF('USPTO TMs'!A:A,D18835)&gt;0,"Yes","No"),"")</f>
        <v/>
      </c>
      <c r="C18835" s="11"/>
      <c r="D18835" s="11"/>
      <c r="E18835" s="11"/>
      <c r="F18835" s="11"/>
      <c r="G18835" s="11"/>
      <c r="H18835" s="11"/>
      <c r="I18835" s="15"/>
    </row>
    <row r="18836" spans="1:9" ht="16.5">
      <c r="A18836" s="10" t="b">
        <v>0</v>
      </c>
      <c r="B18836" s="11" t="str">
        <f>IF(D18836&lt;&gt;"",IF(COUNTIF('USPTO TMs'!A:A,D18836)&gt;0,"Yes","No"),"")</f>
        <v/>
      </c>
      <c r="C18836" s="11"/>
      <c r="D18836" s="11"/>
      <c r="E18836" s="11"/>
      <c r="F18836" s="11"/>
      <c r="G18836" s="11"/>
      <c r="H18836" s="11"/>
      <c r="I18836" s="15"/>
    </row>
    <row r="18837" spans="1:9" ht="16.5">
      <c r="A18837" s="10" t="b">
        <v>0</v>
      </c>
      <c r="B18837" s="11" t="str">
        <f>IF(D18837&lt;&gt;"",IF(COUNTIF('USPTO TMs'!A:A,D18837)&gt;0,"Yes","No"),"")</f>
        <v/>
      </c>
      <c r="C18837" s="11"/>
      <c r="D18837" s="11"/>
      <c r="E18837" s="11"/>
      <c r="F18837" s="11"/>
      <c r="G18837" s="11"/>
      <c r="H18837" s="11"/>
      <c r="I18837" s="15"/>
    </row>
    <row r="18838" spans="1:9" ht="16.5">
      <c r="A18838" s="10" t="b">
        <v>0</v>
      </c>
      <c r="B18838" s="11" t="str">
        <f>IF(D18838&lt;&gt;"",IF(COUNTIF('USPTO TMs'!A:A,D18838)&gt;0,"Yes","No"),"")</f>
        <v/>
      </c>
      <c r="C18838" s="11"/>
      <c r="D18838" s="11"/>
      <c r="E18838" s="11"/>
      <c r="F18838" s="11"/>
      <c r="G18838" s="11"/>
      <c r="H18838" s="11"/>
      <c r="I18838" s="15"/>
    </row>
    <row r="18839" spans="1:9" ht="16.5">
      <c r="A18839" s="10" t="b">
        <v>0</v>
      </c>
      <c r="B18839" s="11" t="str">
        <f>IF(D18839&lt;&gt;"",IF(COUNTIF('USPTO TMs'!A:A,D18839)&gt;0,"Yes","No"),"")</f>
        <v/>
      </c>
      <c r="C18839" s="11"/>
      <c r="D18839" s="11"/>
      <c r="E18839" s="11"/>
      <c r="F18839" s="11"/>
      <c r="G18839" s="11"/>
      <c r="H18839" s="11"/>
      <c r="I18839" s="15"/>
    </row>
    <row r="18840" spans="1:9" ht="16.5">
      <c r="A18840" s="10" t="b">
        <v>0</v>
      </c>
      <c r="B18840" s="11" t="str">
        <f>IF(D18840&lt;&gt;"",IF(COUNTIF('USPTO TMs'!A:A,D18840)&gt;0,"Yes","No"),"")</f>
        <v/>
      </c>
      <c r="C18840" s="11"/>
      <c r="D18840" s="11"/>
      <c r="E18840" s="11"/>
      <c r="F18840" s="11"/>
      <c r="G18840" s="11"/>
      <c r="H18840" s="11"/>
      <c r="I18840" s="15"/>
    </row>
    <row r="18841" spans="1:9" ht="16.5">
      <c r="A18841" s="10" t="b">
        <v>0</v>
      </c>
      <c r="B18841" s="11" t="str">
        <f>IF(D18841&lt;&gt;"",IF(COUNTIF('USPTO TMs'!A:A,D18841)&gt;0,"Yes","No"),"")</f>
        <v/>
      </c>
      <c r="C18841" s="11"/>
      <c r="D18841" s="11"/>
      <c r="E18841" s="11"/>
      <c r="F18841" s="11"/>
      <c r="G18841" s="11"/>
      <c r="H18841" s="11"/>
      <c r="I18841" s="15"/>
    </row>
    <row r="18842" spans="1:9" ht="16.5">
      <c r="A18842" s="10" t="b">
        <v>0</v>
      </c>
      <c r="B18842" s="11" t="str">
        <f>IF(D18842&lt;&gt;"",IF(COUNTIF('USPTO TMs'!A:A,D18842)&gt;0,"Yes","No"),"")</f>
        <v/>
      </c>
      <c r="C18842" s="11"/>
      <c r="D18842" s="11"/>
      <c r="E18842" s="11"/>
      <c r="F18842" s="11"/>
      <c r="G18842" s="11"/>
      <c r="H18842" s="11"/>
      <c r="I18842" s="15"/>
    </row>
    <row r="18843" spans="1:9" ht="16.5">
      <c r="A18843" s="10" t="b">
        <v>0</v>
      </c>
      <c r="B18843" s="11" t="str">
        <f>IF(D18843&lt;&gt;"",IF(COUNTIF('USPTO TMs'!A:A,D18843)&gt;0,"Yes","No"),"")</f>
        <v/>
      </c>
      <c r="C18843" s="11"/>
      <c r="D18843" s="11"/>
      <c r="E18843" s="11"/>
      <c r="F18843" s="11"/>
      <c r="G18843" s="11"/>
      <c r="H18843" s="11"/>
      <c r="I18843" s="15"/>
    </row>
    <row r="18844" spans="1:9" ht="16.5">
      <c r="A18844" s="10" t="b">
        <v>0</v>
      </c>
      <c r="B18844" s="11" t="str">
        <f>IF(D18844&lt;&gt;"",IF(COUNTIF('USPTO TMs'!A:A,D18844)&gt;0,"Yes","No"),"")</f>
        <v/>
      </c>
      <c r="C18844" s="11"/>
      <c r="D18844" s="11"/>
      <c r="E18844" s="11"/>
      <c r="F18844" s="11"/>
      <c r="G18844" s="11"/>
      <c r="H18844" s="11"/>
      <c r="I18844" s="15"/>
    </row>
    <row r="18845" spans="1:9" ht="16.5">
      <c r="A18845" s="10" t="b">
        <v>0</v>
      </c>
      <c r="B18845" s="11" t="str">
        <f>IF(D18845&lt;&gt;"",IF(COUNTIF('USPTO TMs'!A:A,D18845)&gt;0,"Yes","No"),"")</f>
        <v/>
      </c>
      <c r="C18845" s="11"/>
      <c r="D18845" s="11"/>
      <c r="E18845" s="11"/>
      <c r="F18845" s="11"/>
      <c r="G18845" s="11"/>
      <c r="H18845" s="11"/>
      <c r="I18845" s="15"/>
    </row>
    <row r="18846" spans="1:9" ht="16.5">
      <c r="A18846" s="10" t="b">
        <v>0</v>
      </c>
      <c r="B18846" s="11" t="str">
        <f>IF(D18846&lt;&gt;"",IF(COUNTIF('USPTO TMs'!A:A,D18846)&gt;0,"Yes","No"),"")</f>
        <v/>
      </c>
      <c r="C18846" s="11"/>
      <c r="D18846" s="11"/>
      <c r="E18846" s="11"/>
      <c r="F18846" s="11"/>
      <c r="G18846" s="11"/>
      <c r="H18846" s="11"/>
      <c r="I18846" s="15"/>
    </row>
    <row r="18847" spans="1:9" ht="16.5">
      <c r="A18847" s="10" t="b">
        <v>0</v>
      </c>
      <c r="B18847" s="11" t="str">
        <f>IF(D18847&lt;&gt;"",IF(COUNTIF('USPTO TMs'!A:A,D18847)&gt;0,"Yes","No"),"")</f>
        <v/>
      </c>
      <c r="C18847" s="11"/>
      <c r="D18847" s="11"/>
      <c r="E18847" s="11"/>
      <c r="F18847" s="11"/>
      <c r="G18847" s="11"/>
      <c r="H18847" s="11"/>
      <c r="I18847" s="15"/>
    </row>
    <row r="18848" spans="1:9" ht="16.5">
      <c r="A18848" s="10" t="b">
        <v>0</v>
      </c>
      <c r="B18848" s="11" t="str">
        <f>IF(D18848&lt;&gt;"",IF(COUNTIF('USPTO TMs'!A:A,D18848)&gt;0,"Yes","No"),"")</f>
        <v/>
      </c>
      <c r="C18848" s="11"/>
      <c r="D18848" s="11"/>
      <c r="E18848" s="11"/>
      <c r="F18848" s="11"/>
      <c r="G18848" s="11"/>
      <c r="H18848" s="11"/>
      <c r="I18848" s="15"/>
    </row>
    <row r="18849" spans="1:9" ht="16.5">
      <c r="A18849" s="10" t="b">
        <v>0</v>
      </c>
      <c r="B18849" s="11" t="str">
        <f>IF(D18849&lt;&gt;"",IF(COUNTIF('USPTO TMs'!A:A,D18849)&gt;0,"Yes","No"),"")</f>
        <v/>
      </c>
      <c r="C18849" s="11"/>
      <c r="D18849" s="11"/>
      <c r="E18849" s="11"/>
      <c r="F18849" s="11"/>
      <c r="G18849" s="11"/>
      <c r="H18849" s="11"/>
      <c r="I18849" s="15"/>
    </row>
    <row r="18850" spans="1:9" ht="16.5">
      <c r="A18850" s="10" t="b">
        <v>0</v>
      </c>
      <c r="B18850" s="11" t="str">
        <f>IF(D18850&lt;&gt;"",IF(COUNTIF('USPTO TMs'!A:A,D18850)&gt;0,"Yes","No"),"")</f>
        <v/>
      </c>
      <c r="C18850" s="11"/>
      <c r="D18850" s="11"/>
      <c r="E18850" s="11"/>
      <c r="F18850" s="11"/>
      <c r="G18850" s="11"/>
      <c r="H18850" s="11"/>
      <c r="I18850" s="15"/>
    </row>
    <row r="18851" spans="1:9" ht="16.5">
      <c r="A18851" s="10" t="b">
        <v>0</v>
      </c>
      <c r="B18851" s="11" t="str">
        <f>IF(D18851&lt;&gt;"",IF(COUNTIF('USPTO TMs'!A:A,D18851)&gt;0,"Yes","No"),"")</f>
        <v/>
      </c>
      <c r="C18851" s="11"/>
      <c r="D18851" s="11"/>
      <c r="E18851" s="11"/>
      <c r="F18851" s="11"/>
      <c r="G18851" s="11"/>
      <c r="H18851" s="11"/>
      <c r="I18851" s="15"/>
    </row>
    <row r="18852" spans="1:9" ht="16.5">
      <c r="A18852" s="10" t="b">
        <v>0</v>
      </c>
      <c r="B18852" s="11" t="str">
        <f>IF(D18852&lt;&gt;"",IF(COUNTIF('USPTO TMs'!A:A,D18852)&gt;0,"Yes","No"),"")</f>
        <v/>
      </c>
      <c r="C18852" s="11"/>
      <c r="D18852" s="11"/>
      <c r="E18852" s="11"/>
      <c r="F18852" s="11"/>
      <c r="G18852" s="11"/>
      <c r="H18852" s="11"/>
      <c r="I18852" s="15"/>
    </row>
    <row r="18853" spans="1:9" ht="16.5">
      <c r="A18853" s="10" t="b">
        <v>0</v>
      </c>
      <c r="B18853" s="11" t="str">
        <f>IF(D18853&lt;&gt;"",IF(COUNTIF('USPTO TMs'!A:A,D18853)&gt;0,"Yes","No"),"")</f>
        <v/>
      </c>
      <c r="C18853" s="11"/>
      <c r="D18853" s="11"/>
      <c r="E18853" s="11"/>
      <c r="F18853" s="11"/>
      <c r="G18853" s="11"/>
      <c r="H18853" s="11"/>
      <c r="I18853" s="15"/>
    </row>
    <row r="18854" spans="1:9" ht="16.5">
      <c r="A18854" s="10" t="b">
        <v>0</v>
      </c>
      <c r="B18854" s="11" t="str">
        <f>IF(D18854&lt;&gt;"",IF(COUNTIF('USPTO TMs'!A:A,D18854)&gt;0,"Yes","No"),"")</f>
        <v/>
      </c>
      <c r="C18854" s="11"/>
      <c r="D18854" s="11"/>
      <c r="E18854" s="11"/>
      <c r="F18854" s="11"/>
      <c r="G18854" s="11"/>
      <c r="H18854" s="11"/>
      <c r="I18854" s="15"/>
    </row>
    <row r="18855" spans="1:9" ht="16.5">
      <c r="A18855" s="10" t="b">
        <v>0</v>
      </c>
      <c r="B18855" s="11" t="str">
        <f>IF(D18855&lt;&gt;"",IF(COUNTIF('USPTO TMs'!A:A,D18855)&gt;0,"Yes","No"),"")</f>
        <v/>
      </c>
      <c r="C18855" s="11"/>
      <c r="D18855" s="11"/>
      <c r="E18855" s="11"/>
      <c r="F18855" s="11"/>
      <c r="G18855" s="11"/>
      <c r="H18855" s="11"/>
      <c r="I18855" s="15"/>
    </row>
    <row r="18856" spans="1:9" ht="16.5">
      <c r="A18856" s="10" t="b">
        <v>0</v>
      </c>
      <c r="B18856" s="11" t="str">
        <f>IF(D18856&lt;&gt;"",IF(COUNTIF('USPTO TMs'!A:A,D18856)&gt;0,"Yes","No"),"")</f>
        <v/>
      </c>
      <c r="C18856" s="11"/>
      <c r="D18856" s="11"/>
      <c r="E18856" s="11"/>
      <c r="F18856" s="11"/>
      <c r="G18856" s="11"/>
      <c r="H18856" s="11"/>
      <c r="I18856" s="15"/>
    </row>
    <row r="18857" spans="1:9" ht="16.5">
      <c r="A18857" s="10" t="b">
        <v>0</v>
      </c>
      <c r="B18857" s="11" t="str">
        <f>IF(D18857&lt;&gt;"",IF(COUNTIF('USPTO TMs'!A:A,D18857)&gt;0,"Yes","No"),"")</f>
        <v/>
      </c>
      <c r="C18857" s="11"/>
      <c r="D18857" s="11"/>
      <c r="E18857" s="11"/>
      <c r="F18857" s="11"/>
      <c r="G18857" s="11"/>
      <c r="H18857" s="11"/>
      <c r="I18857" s="15"/>
    </row>
    <row r="18858" spans="1:9" ht="16.5">
      <c r="A18858" s="10" t="b">
        <v>0</v>
      </c>
      <c r="B18858" s="11" t="str">
        <f>IF(D18858&lt;&gt;"",IF(COUNTIF('USPTO TMs'!A:A,D18858)&gt;0,"Yes","No"),"")</f>
        <v/>
      </c>
      <c r="C18858" s="11"/>
      <c r="D18858" s="11"/>
      <c r="E18858" s="11"/>
      <c r="F18858" s="11"/>
      <c r="G18858" s="11"/>
      <c r="H18858" s="11"/>
      <c r="I18858" s="15"/>
    </row>
    <row r="18859" spans="1:9" ht="16.5">
      <c r="A18859" s="10" t="b">
        <v>0</v>
      </c>
      <c r="B18859" s="11" t="str">
        <f>IF(D18859&lt;&gt;"",IF(COUNTIF('USPTO TMs'!A:A,D18859)&gt;0,"Yes","No"),"")</f>
        <v/>
      </c>
      <c r="C18859" s="11"/>
      <c r="D18859" s="11"/>
      <c r="E18859" s="11"/>
      <c r="F18859" s="11"/>
      <c r="G18859" s="11"/>
      <c r="H18859" s="11"/>
      <c r="I18859" s="15"/>
    </row>
    <row r="18860" spans="1:9" ht="16.5">
      <c r="A18860" s="10" t="b">
        <v>0</v>
      </c>
      <c r="B18860" s="11" t="str">
        <f>IF(D18860&lt;&gt;"",IF(COUNTIF('USPTO TMs'!A:A,D18860)&gt;0,"Yes","No"),"")</f>
        <v/>
      </c>
      <c r="C18860" s="11"/>
      <c r="D18860" s="11"/>
      <c r="E18860" s="11"/>
      <c r="F18860" s="11"/>
      <c r="G18860" s="11"/>
      <c r="H18860" s="11"/>
      <c r="I18860" s="15"/>
    </row>
    <row r="18861" spans="1:9" ht="16.5">
      <c r="A18861" s="10" t="b">
        <v>0</v>
      </c>
      <c r="B18861" s="11" t="str">
        <f>IF(D18861&lt;&gt;"",IF(COUNTIF('USPTO TMs'!A:A,D18861)&gt;0,"Yes","No"),"")</f>
        <v/>
      </c>
      <c r="C18861" s="11"/>
      <c r="D18861" s="11"/>
      <c r="E18861" s="11"/>
      <c r="F18861" s="11"/>
      <c r="G18861" s="11"/>
      <c r="H18861" s="11"/>
      <c r="I18861" s="15"/>
    </row>
    <row r="18862" spans="1:9" ht="16.5">
      <c r="A18862" s="10" t="b">
        <v>0</v>
      </c>
      <c r="B18862" s="11" t="str">
        <f>IF(D18862&lt;&gt;"",IF(COUNTIF('USPTO TMs'!A:A,D18862)&gt;0,"Yes","No"),"")</f>
        <v/>
      </c>
      <c r="C18862" s="11"/>
      <c r="D18862" s="11"/>
      <c r="E18862" s="11"/>
      <c r="F18862" s="11"/>
      <c r="G18862" s="11"/>
      <c r="H18862" s="11"/>
      <c r="I18862" s="15"/>
    </row>
    <row r="18863" spans="1:9" ht="16.5">
      <c r="A18863" s="10" t="b">
        <v>0</v>
      </c>
      <c r="B18863" s="11" t="str">
        <f>IF(D18863&lt;&gt;"",IF(COUNTIF('USPTO TMs'!A:A,D18863)&gt;0,"Yes","No"),"")</f>
        <v/>
      </c>
      <c r="C18863" s="11"/>
      <c r="D18863" s="11"/>
      <c r="E18863" s="11"/>
      <c r="F18863" s="11"/>
      <c r="G18863" s="11"/>
      <c r="H18863" s="11"/>
      <c r="I18863" s="15"/>
    </row>
    <row r="18864" spans="1:9" ht="16.5">
      <c r="A18864" s="10" t="b">
        <v>0</v>
      </c>
      <c r="B18864" s="11" t="str">
        <f>IF(D18864&lt;&gt;"",IF(COUNTIF('USPTO TMs'!A:A,D18864)&gt;0,"Yes","No"),"")</f>
        <v/>
      </c>
      <c r="C18864" s="11"/>
      <c r="D18864" s="11"/>
      <c r="E18864" s="11"/>
      <c r="F18864" s="11"/>
      <c r="G18864" s="11"/>
      <c r="H18864" s="11"/>
      <c r="I18864" s="15"/>
    </row>
    <row r="18865" spans="1:9" ht="16.5">
      <c r="A18865" s="10" t="b">
        <v>0</v>
      </c>
      <c r="B18865" s="11" t="str">
        <f>IF(D18865&lt;&gt;"",IF(COUNTIF('USPTO TMs'!A:A,D18865)&gt;0,"Yes","No"),"")</f>
        <v/>
      </c>
      <c r="C18865" s="11"/>
      <c r="D18865" s="11"/>
      <c r="E18865" s="11"/>
      <c r="F18865" s="11"/>
      <c r="G18865" s="11"/>
      <c r="H18865" s="11"/>
      <c r="I18865" s="15"/>
    </row>
    <row r="18866" spans="1:9" ht="16.5">
      <c r="A18866" s="10" t="b">
        <v>0</v>
      </c>
      <c r="B18866" s="11" t="str">
        <f>IF(D18866&lt;&gt;"",IF(COUNTIF('USPTO TMs'!A:A,D18866)&gt;0,"Yes","No"),"")</f>
        <v/>
      </c>
      <c r="C18866" s="11"/>
      <c r="D18866" s="11"/>
      <c r="E18866" s="11"/>
      <c r="F18866" s="11"/>
      <c r="G18866" s="11"/>
      <c r="H18866" s="11"/>
      <c r="I18866" s="15"/>
    </row>
    <row r="18867" spans="1:9" ht="16.5">
      <c r="A18867" s="10" t="b">
        <v>0</v>
      </c>
      <c r="B18867" s="11" t="str">
        <f>IF(D18867&lt;&gt;"",IF(COUNTIF('USPTO TMs'!A:A,D18867)&gt;0,"Yes","No"),"")</f>
        <v/>
      </c>
      <c r="C18867" s="11"/>
      <c r="D18867" s="11"/>
      <c r="E18867" s="11"/>
      <c r="F18867" s="11"/>
      <c r="G18867" s="11"/>
      <c r="H18867" s="11"/>
      <c r="I18867" s="15"/>
    </row>
    <row r="18868" spans="1:9" ht="16.5">
      <c r="A18868" s="10" t="b">
        <v>0</v>
      </c>
      <c r="B18868" s="11" t="str">
        <f>IF(D18868&lt;&gt;"",IF(COUNTIF('USPTO TMs'!A:A,D18868)&gt;0,"Yes","No"),"")</f>
        <v/>
      </c>
      <c r="C18868" s="11"/>
      <c r="D18868" s="11"/>
      <c r="E18868" s="11"/>
      <c r="F18868" s="11"/>
      <c r="G18868" s="11"/>
      <c r="H18868" s="11"/>
      <c r="I18868" s="15"/>
    </row>
    <row r="18869" spans="1:9" ht="16.5">
      <c r="A18869" s="10" t="b">
        <v>0</v>
      </c>
      <c r="B18869" s="11" t="str">
        <f>IF(D18869&lt;&gt;"",IF(COUNTIF('USPTO TMs'!A:A,D18869)&gt;0,"Yes","No"),"")</f>
        <v/>
      </c>
      <c r="C18869" s="11"/>
      <c r="D18869" s="11"/>
      <c r="E18869" s="11"/>
      <c r="F18869" s="11"/>
      <c r="G18869" s="11"/>
      <c r="H18869" s="11"/>
      <c r="I18869" s="15"/>
    </row>
    <row r="18870" spans="1:9" ht="16.5">
      <c r="A18870" s="10" t="b">
        <v>0</v>
      </c>
      <c r="B18870" s="11" t="str">
        <f>IF(D18870&lt;&gt;"",IF(COUNTIF('USPTO TMs'!A:A,D18870)&gt;0,"Yes","No"),"")</f>
        <v/>
      </c>
      <c r="C18870" s="11"/>
      <c r="D18870" s="11"/>
      <c r="E18870" s="11"/>
      <c r="F18870" s="11"/>
      <c r="G18870" s="11"/>
      <c r="H18870" s="11"/>
      <c r="I18870" s="15"/>
    </row>
    <row r="18871" spans="1:9" ht="16.5">
      <c r="A18871" s="10" t="b">
        <v>0</v>
      </c>
      <c r="B18871" s="11" t="str">
        <f>IF(D18871&lt;&gt;"",IF(COUNTIF('USPTO TMs'!A:A,D18871)&gt;0,"Yes","No"),"")</f>
        <v/>
      </c>
      <c r="C18871" s="11"/>
      <c r="D18871" s="11"/>
      <c r="E18871" s="11"/>
      <c r="F18871" s="11"/>
      <c r="G18871" s="11"/>
      <c r="H18871" s="11"/>
      <c r="I18871" s="15"/>
    </row>
    <row r="18872" spans="1:9" ht="16.5">
      <c r="A18872" s="10" t="b">
        <v>0</v>
      </c>
      <c r="B18872" s="11" t="str">
        <f>IF(D18872&lt;&gt;"",IF(COUNTIF('USPTO TMs'!A:A,D18872)&gt;0,"Yes","No"),"")</f>
        <v/>
      </c>
      <c r="C18872" s="11"/>
      <c r="D18872" s="11"/>
      <c r="E18872" s="11"/>
      <c r="F18872" s="11"/>
      <c r="G18872" s="11"/>
      <c r="H18872" s="11"/>
      <c r="I18872" s="15"/>
    </row>
    <row r="18873" spans="1:9" ht="16.5">
      <c r="A18873" s="10" t="b">
        <v>0</v>
      </c>
      <c r="B18873" s="11" t="str">
        <f>IF(D18873&lt;&gt;"",IF(COUNTIF('USPTO TMs'!A:A,D18873)&gt;0,"Yes","No"),"")</f>
        <v/>
      </c>
      <c r="C18873" s="11"/>
      <c r="D18873" s="11"/>
      <c r="E18873" s="11"/>
      <c r="F18873" s="11"/>
      <c r="G18873" s="11"/>
      <c r="H18873" s="11"/>
      <c r="I18873" s="15"/>
    </row>
    <row r="18874" spans="1:9" ht="16.5">
      <c r="A18874" s="10" t="b">
        <v>0</v>
      </c>
      <c r="B18874" s="11" t="str">
        <f>IF(D18874&lt;&gt;"",IF(COUNTIF('USPTO TMs'!A:A,D18874)&gt;0,"Yes","No"),"")</f>
        <v/>
      </c>
      <c r="C18874" s="11"/>
      <c r="D18874" s="11"/>
      <c r="E18874" s="11"/>
      <c r="F18874" s="11"/>
      <c r="G18874" s="11"/>
      <c r="H18874" s="11"/>
      <c r="I18874" s="15"/>
    </row>
    <row r="18875" spans="1:9" ht="16.5">
      <c r="A18875" s="10" t="b">
        <v>0</v>
      </c>
      <c r="B18875" s="11" t="str">
        <f>IF(D18875&lt;&gt;"",IF(COUNTIF('USPTO TMs'!A:A,D18875)&gt;0,"Yes","No"),"")</f>
        <v/>
      </c>
      <c r="C18875" s="11"/>
      <c r="D18875" s="11"/>
      <c r="E18875" s="11"/>
      <c r="F18875" s="11"/>
      <c r="G18875" s="11"/>
      <c r="H18875" s="11"/>
      <c r="I18875" s="15"/>
    </row>
    <row r="18876" spans="1:9" ht="16.5">
      <c r="A18876" s="10" t="b">
        <v>0</v>
      </c>
      <c r="B18876" s="11" t="str">
        <f>IF(D18876&lt;&gt;"",IF(COUNTIF('USPTO TMs'!A:A,D18876)&gt;0,"Yes","No"),"")</f>
        <v/>
      </c>
      <c r="C18876" s="11"/>
      <c r="D18876" s="11"/>
      <c r="E18876" s="11"/>
      <c r="F18876" s="11"/>
      <c r="G18876" s="11"/>
      <c r="H18876" s="11"/>
      <c r="I18876" s="15"/>
    </row>
    <row r="18877" spans="1:9" ht="16.5">
      <c r="A18877" s="10" t="b">
        <v>0</v>
      </c>
      <c r="B18877" s="11" t="str">
        <f>IF(D18877&lt;&gt;"",IF(COUNTIF('USPTO TMs'!A:A,D18877)&gt;0,"Yes","No"),"")</f>
        <v/>
      </c>
      <c r="C18877" s="11"/>
      <c r="D18877" s="11"/>
      <c r="E18877" s="11"/>
      <c r="F18877" s="11"/>
      <c r="G18877" s="11"/>
      <c r="H18877" s="11"/>
      <c r="I18877" s="15"/>
    </row>
    <row r="18878" spans="1:9" ht="16.5">
      <c r="A18878" s="10" t="b">
        <v>0</v>
      </c>
      <c r="B18878" s="11" t="str">
        <f>IF(D18878&lt;&gt;"",IF(COUNTIF('USPTO TMs'!A:A,D18878)&gt;0,"Yes","No"),"")</f>
        <v/>
      </c>
      <c r="C18878" s="11"/>
      <c r="D18878" s="11"/>
      <c r="E18878" s="11"/>
      <c r="F18878" s="11"/>
      <c r="G18878" s="11"/>
      <c r="H18878" s="11"/>
      <c r="I18878" s="15"/>
    </row>
    <row r="18879" spans="1:9" ht="16.5">
      <c r="A18879" s="10" t="b">
        <v>0</v>
      </c>
      <c r="B18879" s="11" t="str">
        <f>IF(D18879&lt;&gt;"",IF(COUNTIF('USPTO TMs'!A:A,D18879)&gt;0,"Yes","No"),"")</f>
        <v/>
      </c>
      <c r="C18879" s="11"/>
      <c r="D18879" s="11"/>
      <c r="E18879" s="11"/>
      <c r="F18879" s="11"/>
      <c r="G18879" s="11"/>
      <c r="H18879" s="11"/>
      <c r="I18879" s="15"/>
    </row>
    <row r="18880" spans="1:9" ht="16.5">
      <c r="A18880" s="10" t="b">
        <v>0</v>
      </c>
      <c r="B18880" s="11" t="str">
        <f>IF(D18880&lt;&gt;"",IF(COUNTIF('USPTO TMs'!A:A,D18880)&gt;0,"Yes","No"),"")</f>
        <v/>
      </c>
      <c r="C18880" s="11"/>
      <c r="D18880" s="11"/>
      <c r="E18880" s="11"/>
      <c r="F18880" s="11"/>
      <c r="G18880" s="11"/>
      <c r="H18880" s="11"/>
      <c r="I18880" s="15"/>
    </row>
    <row r="18881" spans="1:9" ht="16.5">
      <c r="A18881" s="10" t="b">
        <v>0</v>
      </c>
      <c r="B18881" s="11" t="str">
        <f>IF(D18881&lt;&gt;"",IF(COUNTIF('USPTO TMs'!A:A,D18881)&gt;0,"Yes","No"),"")</f>
        <v/>
      </c>
      <c r="C18881" s="11"/>
      <c r="D18881" s="11"/>
      <c r="E18881" s="11"/>
      <c r="F18881" s="11"/>
      <c r="G18881" s="11"/>
      <c r="H18881" s="11"/>
      <c r="I18881" s="15"/>
    </row>
    <row r="18882" spans="1:9" ht="16.5">
      <c r="A18882" s="10" t="b">
        <v>0</v>
      </c>
      <c r="B18882" s="11" t="str">
        <f>IF(D18882&lt;&gt;"",IF(COUNTIF('USPTO TMs'!A:A,D18882)&gt;0,"Yes","No"),"")</f>
        <v/>
      </c>
      <c r="C18882" s="11"/>
      <c r="D18882" s="11"/>
      <c r="E18882" s="11"/>
      <c r="F18882" s="11"/>
      <c r="G18882" s="11"/>
      <c r="H18882" s="11"/>
      <c r="I18882" s="15"/>
    </row>
    <row r="18883" spans="1:9" ht="16.5">
      <c r="A18883" s="10" t="b">
        <v>0</v>
      </c>
      <c r="B18883" s="11" t="str">
        <f>IF(D18883&lt;&gt;"",IF(COUNTIF('USPTO TMs'!A:A,D18883)&gt;0,"Yes","No"),"")</f>
        <v/>
      </c>
      <c r="C18883" s="11"/>
      <c r="D18883" s="11"/>
      <c r="E18883" s="11"/>
      <c r="F18883" s="11"/>
      <c r="G18883" s="11"/>
      <c r="H18883" s="11"/>
      <c r="I18883" s="15"/>
    </row>
    <row r="18884" spans="1:9" ht="16.5">
      <c r="A18884" s="10" t="b">
        <v>0</v>
      </c>
      <c r="B18884" s="11" t="str">
        <f>IF(D18884&lt;&gt;"",IF(COUNTIF('USPTO TMs'!A:A,D18884)&gt;0,"Yes","No"),"")</f>
        <v/>
      </c>
      <c r="C18884" s="11"/>
      <c r="D18884" s="11"/>
      <c r="E18884" s="11"/>
      <c r="F18884" s="11"/>
      <c r="G18884" s="11"/>
      <c r="H18884" s="11"/>
      <c r="I18884" s="15"/>
    </row>
    <row r="18885" spans="1:9" ht="16.5">
      <c r="A18885" s="10" t="b">
        <v>0</v>
      </c>
      <c r="B18885" s="11" t="str">
        <f>IF(D18885&lt;&gt;"",IF(COUNTIF('USPTO TMs'!A:A,D18885)&gt;0,"Yes","No"),"")</f>
        <v/>
      </c>
      <c r="C18885" s="11"/>
      <c r="D18885" s="11"/>
      <c r="E18885" s="11"/>
      <c r="F18885" s="11"/>
      <c r="G18885" s="11"/>
      <c r="H18885" s="11"/>
      <c r="I18885" s="15"/>
    </row>
    <row r="18886" spans="1:9" ht="16.5">
      <c r="A18886" s="10" t="b">
        <v>0</v>
      </c>
      <c r="B18886" s="11" t="str">
        <f>IF(D18886&lt;&gt;"",IF(COUNTIF('USPTO TMs'!A:A,D18886)&gt;0,"Yes","No"),"")</f>
        <v/>
      </c>
      <c r="C18886" s="11"/>
      <c r="D18886" s="11"/>
      <c r="E18886" s="11"/>
      <c r="F18886" s="11"/>
      <c r="G18886" s="11"/>
      <c r="H18886" s="11"/>
      <c r="I18886" s="15"/>
    </row>
    <row r="18887" spans="1:9" ht="16.5">
      <c r="A18887" s="10" t="b">
        <v>0</v>
      </c>
      <c r="B18887" s="11" t="str">
        <f>IF(D18887&lt;&gt;"",IF(COUNTIF('USPTO TMs'!A:A,D18887)&gt;0,"Yes","No"),"")</f>
        <v/>
      </c>
      <c r="C18887" s="11"/>
      <c r="D18887" s="11"/>
      <c r="E18887" s="11"/>
      <c r="F18887" s="11"/>
      <c r="G18887" s="11"/>
      <c r="H18887" s="11"/>
      <c r="I18887" s="15"/>
    </row>
    <row r="18888" spans="1:9" ht="16.5">
      <c r="A18888" s="10" t="b">
        <v>0</v>
      </c>
      <c r="B18888" s="11" t="str">
        <f>IF(D18888&lt;&gt;"",IF(COUNTIF('USPTO TMs'!A:A,D18888)&gt;0,"Yes","No"),"")</f>
        <v/>
      </c>
      <c r="C18888" s="11"/>
      <c r="D18888" s="11"/>
      <c r="E18888" s="11"/>
      <c r="F18888" s="11"/>
      <c r="G18888" s="11"/>
      <c r="H18888" s="11"/>
      <c r="I18888" s="15"/>
    </row>
    <row r="18889" spans="1:9" ht="16.5">
      <c r="A18889" s="10" t="b">
        <v>0</v>
      </c>
      <c r="B18889" s="11" t="str">
        <f>IF(D18889&lt;&gt;"",IF(COUNTIF('USPTO TMs'!A:A,D18889)&gt;0,"Yes","No"),"")</f>
        <v/>
      </c>
      <c r="C18889" s="11"/>
      <c r="D18889" s="11"/>
      <c r="E18889" s="11"/>
      <c r="F18889" s="11"/>
      <c r="G18889" s="11"/>
      <c r="H18889" s="11"/>
      <c r="I18889" s="15"/>
    </row>
    <row r="18890" spans="1:9" ht="16.5">
      <c r="A18890" s="10" t="b">
        <v>0</v>
      </c>
      <c r="B18890" s="11" t="str">
        <f>IF(D18890&lt;&gt;"",IF(COUNTIF('USPTO TMs'!A:A,D18890)&gt;0,"Yes","No"),"")</f>
        <v/>
      </c>
      <c r="C18890" s="11"/>
      <c r="D18890" s="11"/>
      <c r="E18890" s="11"/>
      <c r="F18890" s="11"/>
      <c r="G18890" s="11"/>
      <c r="H18890" s="11"/>
      <c r="I18890" s="15"/>
    </row>
    <row r="18891" spans="1:9" ht="16.5">
      <c r="A18891" s="10" t="b">
        <v>0</v>
      </c>
      <c r="B18891" s="11" t="str">
        <f>IF(D18891&lt;&gt;"",IF(COUNTIF('USPTO TMs'!A:A,D18891)&gt;0,"Yes","No"),"")</f>
        <v/>
      </c>
      <c r="C18891" s="11"/>
      <c r="D18891" s="11"/>
      <c r="E18891" s="11"/>
      <c r="F18891" s="11"/>
      <c r="G18891" s="11"/>
      <c r="H18891" s="11"/>
      <c r="I18891" s="15"/>
    </row>
    <row r="18892" spans="1:9" ht="16.5">
      <c r="A18892" s="10" t="b">
        <v>0</v>
      </c>
      <c r="B18892" s="11" t="str">
        <f>IF(D18892&lt;&gt;"",IF(COUNTIF('USPTO TMs'!A:A,D18892)&gt;0,"Yes","No"),"")</f>
        <v/>
      </c>
      <c r="C18892" s="11"/>
      <c r="D18892" s="11"/>
      <c r="E18892" s="11"/>
      <c r="F18892" s="11"/>
      <c r="G18892" s="11"/>
      <c r="H18892" s="11"/>
      <c r="I18892" s="15"/>
    </row>
    <row r="18893" spans="1:9" ht="16.5">
      <c r="A18893" s="10" t="b">
        <v>0</v>
      </c>
      <c r="B18893" s="11" t="str">
        <f>IF(D18893&lt;&gt;"",IF(COUNTIF('USPTO TMs'!A:A,D18893)&gt;0,"Yes","No"),"")</f>
        <v/>
      </c>
      <c r="C18893" s="11"/>
      <c r="D18893" s="11"/>
      <c r="E18893" s="11"/>
      <c r="F18893" s="11"/>
      <c r="G18893" s="11"/>
      <c r="H18893" s="11"/>
      <c r="I18893" s="15"/>
    </row>
    <row r="18894" spans="1:9" ht="16.5">
      <c r="A18894" s="10" t="b">
        <v>0</v>
      </c>
      <c r="B18894" s="11" t="str">
        <f>IF(D18894&lt;&gt;"",IF(COUNTIF('USPTO TMs'!A:A,D18894)&gt;0,"Yes","No"),"")</f>
        <v/>
      </c>
      <c r="C18894" s="11"/>
      <c r="D18894" s="11"/>
      <c r="E18894" s="11"/>
      <c r="F18894" s="11"/>
      <c r="G18894" s="11"/>
      <c r="H18894" s="11"/>
      <c r="I18894" s="15"/>
    </row>
    <row r="18895" spans="1:9" ht="16.5">
      <c r="A18895" s="10" t="b">
        <v>0</v>
      </c>
      <c r="B18895" s="11" t="str">
        <f>IF(D18895&lt;&gt;"",IF(COUNTIF('USPTO TMs'!A:A,D18895)&gt;0,"Yes","No"),"")</f>
        <v/>
      </c>
      <c r="C18895" s="11"/>
      <c r="D18895" s="11"/>
      <c r="E18895" s="11"/>
      <c r="F18895" s="11"/>
      <c r="G18895" s="11"/>
      <c r="H18895" s="11"/>
      <c r="I18895" s="15"/>
    </row>
    <row r="18896" spans="1:9" ht="16.5">
      <c r="A18896" s="10" t="b">
        <v>0</v>
      </c>
      <c r="B18896" s="11" t="str">
        <f>IF(D18896&lt;&gt;"",IF(COUNTIF('USPTO TMs'!A:A,D18896)&gt;0,"Yes","No"),"")</f>
        <v/>
      </c>
      <c r="C18896" s="11"/>
      <c r="D18896" s="11"/>
      <c r="E18896" s="11"/>
      <c r="F18896" s="11"/>
      <c r="G18896" s="11"/>
      <c r="H18896" s="11"/>
      <c r="I18896" s="15"/>
    </row>
    <row r="18897" spans="1:9" ht="16.5">
      <c r="A18897" s="10" t="b">
        <v>0</v>
      </c>
      <c r="B18897" s="11" t="str">
        <f>IF(D18897&lt;&gt;"",IF(COUNTIF('USPTO TMs'!A:A,D18897)&gt;0,"Yes","No"),"")</f>
        <v/>
      </c>
      <c r="C18897" s="11"/>
      <c r="D18897" s="11"/>
      <c r="E18897" s="11"/>
      <c r="F18897" s="11"/>
      <c r="G18897" s="11"/>
      <c r="H18897" s="11"/>
      <c r="I18897" s="15"/>
    </row>
    <row r="18898" spans="1:9" ht="16.5">
      <c r="A18898" s="10" t="b">
        <v>0</v>
      </c>
      <c r="B18898" s="11" t="str">
        <f>IF(D18898&lt;&gt;"",IF(COUNTIF('USPTO TMs'!A:A,D18898)&gt;0,"Yes","No"),"")</f>
        <v/>
      </c>
      <c r="C18898" s="11"/>
      <c r="D18898" s="11"/>
      <c r="E18898" s="11"/>
      <c r="F18898" s="11"/>
      <c r="G18898" s="11"/>
      <c r="H18898" s="11"/>
      <c r="I18898" s="15"/>
    </row>
    <row r="18899" spans="1:9" ht="16.5">
      <c r="A18899" s="10" t="b">
        <v>0</v>
      </c>
      <c r="B18899" s="11" t="str">
        <f>IF(D18899&lt;&gt;"",IF(COUNTIF('USPTO TMs'!A:A,D18899)&gt;0,"Yes","No"),"")</f>
        <v/>
      </c>
      <c r="C18899" s="11"/>
      <c r="D18899" s="11"/>
      <c r="E18899" s="11"/>
      <c r="F18899" s="11"/>
      <c r="G18899" s="11"/>
      <c r="H18899" s="11"/>
      <c r="I18899" s="15"/>
    </row>
    <row r="18900" spans="1:9" ht="16.5">
      <c r="A18900" s="10" t="b">
        <v>0</v>
      </c>
      <c r="B18900" s="11" t="str">
        <f>IF(D18900&lt;&gt;"",IF(COUNTIF('USPTO TMs'!A:A,D18900)&gt;0,"Yes","No"),"")</f>
        <v/>
      </c>
      <c r="C18900" s="11"/>
      <c r="D18900" s="11"/>
      <c r="E18900" s="11"/>
      <c r="F18900" s="11"/>
      <c r="G18900" s="11"/>
      <c r="H18900" s="11"/>
      <c r="I18900" s="15"/>
    </row>
    <row r="18901" spans="1:9" ht="16.5">
      <c r="A18901" s="10" t="b">
        <v>0</v>
      </c>
      <c r="B18901" s="11" t="str">
        <f>IF(D18901&lt;&gt;"",IF(COUNTIF('USPTO TMs'!A:A,D18901)&gt;0,"Yes","No"),"")</f>
        <v/>
      </c>
      <c r="C18901" s="11"/>
      <c r="D18901" s="11"/>
      <c r="E18901" s="11"/>
      <c r="F18901" s="11"/>
      <c r="G18901" s="11"/>
      <c r="H18901" s="11"/>
      <c r="I18901" s="15"/>
    </row>
    <row r="18902" spans="1:9" ht="16.5">
      <c r="A18902" s="10" t="b">
        <v>0</v>
      </c>
      <c r="B18902" s="11" t="str">
        <f>IF(D18902&lt;&gt;"",IF(COUNTIF('USPTO TMs'!A:A,D18902)&gt;0,"Yes","No"),"")</f>
        <v/>
      </c>
      <c r="C18902" s="11"/>
      <c r="D18902" s="11"/>
      <c r="E18902" s="11"/>
      <c r="F18902" s="11"/>
      <c r="G18902" s="11"/>
      <c r="H18902" s="11"/>
      <c r="I18902" s="15"/>
    </row>
    <row r="18903" spans="1:9" ht="16.5">
      <c r="A18903" s="10" t="b">
        <v>0</v>
      </c>
      <c r="B18903" s="11" t="str">
        <f>IF(D18903&lt;&gt;"",IF(COUNTIF('USPTO TMs'!A:A,D18903)&gt;0,"Yes","No"),"")</f>
        <v/>
      </c>
      <c r="C18903" s="11"/>
      <c r="D18903" s="11"/>
      <c r="E18903" s="11"/>
      <c r="F18903" s="11"/>
      <c r="G18903" s="11"/>
      <c r="H18903" s="11"/>
      <c r="I18903" s="15"/>
    </row>
    <row r="18904" spans="1:9" ht="16.5">
      <c r="A18904" s="10" t="b">
        <v>0</v>
      </c>
      <c r="B18904" s="11" t="str">
        <f>IF(D18904&lt;&gt;"",IF(COUNTIF('USPTO TMs'!A:A,D18904)&gt;0,"Yes","No"),"")</f>
        <v/>
      </c>
      <c r="C18904" s="11"/>
      <c r="D18904" s="11"/>
      <c r="E18904" s="11"/>
      <c r="F18904" s="11"/>
      <c r="G18904" s="11"/>
      <c r="H18904" s="11"/>
      <c r="I18904" s="15"/>
    </row>
    <row r="18905" spans="1:9" ht="16.5">
      <c r="A18905" s="10" t="b">
        <v>0</v>
      </c>
      <c r="B18905" s="11" t="str">
        <f>IF(D18905&lt;&gt;"",IF(COUNTIF('USPTO TMs'!A:A,D18905)&gt;0,"Yes","No"),"")</f>
        <v/>
      </c>
      <c r="C18905" s="11"/>
      <c r="D18905" s="11"/>
      <c r="E18905" s="11"/>
      <c r="F18905" s="11"/>
      <c r="G18905" s="11"/>
      <c r="H18905" s="11"/>
      <c r="I18905" s="15"/>
    </row>
    <row r="18906" spans="1:9" ht="16.5">
      <c r="A18906" s="10" t="b">
        <v>0</v>
      </c>
      <c r="B18906" s="11" t="str">
        <f>IF(D18906&lt;&gt;"",IF(COUNTIF('USPTO TMs'!A:A,D18906)&gt;0,"Yes","No"),"")</f>
        <v/>
      </c>
      <c r="C18906" s="11"/>
      <c r="D18906" s="11"/>
      <c r="E18906" s="11"/>
      <c r="F18906" s="11"/>
      <c r="G18906" s="11"/>
      <c r="H18906" s="11"/>
      <c r="I18906" s="15"/>
    </row>
    <row r="18907" spans="1:9" ht="16.5">
      <c r="A18907" s="10" t="b">
        <v>0</v>
      </c>
      <c r="B18907" s="11" t="str">
        <f>IF(D18907&lt;&gt;"",IF(COUNTIF('USPTO TMs'!A:A,D18907)&gt;0,"Yes","No"),"")</f>
        <v/>
      </c>
      <c r="C18907" s="11"/>
      <c r="D18907" s="11"/>
      <c r="E18907" s="11"/>
      <c r="F18907" s="11"/>
      <c r="G18907" s="11"/>
      <c r="H18907" s="11"/>
      <c r="I18907" s="15"/>
    </row>
    <row r="18908" spans="1:9" ht="16.5">
      <c r="A18908" s="10" t="b">
        <v>0</v>
      </c>
      <c r="B18908" s="11" t="str">
        <f>IF(D18908&lt;&gt;"",IF(COUNTIF('USPTO TMs'!A:A,D18908)&gt;0,"Yes","No"),"")</f>
        <v/>
      </c>
      <c r="C18908" s="11"/>
      <c r="D18908" s="11"/>
      <c r="E18908" s="11"/>
      <c r="F18908" s="11"/>
      <c r="G18908" s="11"/>
      <c r="H18908" s="11"/>
      <c r="I18908" s="15"/>
    </row>
    <row r="18909" spans="1:9" ht="16.5">
      <c r="A18909" s="10" t="b">
        <v>0</v>
      </c>
      <c r="B18909" s="11" t="str">
        <f>IF(D18909&lt;&gt;"",IF(COUNTIF('USPTO TMs'!A:A,D18909)&gt;0,"Yes","No"),"")</f>
        <v/>
      </c>
      <c r="C18909" s="11"/>
      <c r="D18909" s="11"/>
      <c r="E18909" s="11"/>
      <c r="F18909" s="11"/>
      <c r="G18909" s="11"/>
      <c r="H18909" s="11"/>
      <c r="I18909" s="15"/>
    </row>
    <row r="18910" spans="1:9" ht="16.5">
      <c r="A18910" s="10" t="b">
        <v>0</v>
      </c>
      <c r="B18910" s="11" t="str">
        <f>IF(D18910&lt;&gt;"",IF(COUNTIF('USPTO TMs'!A:A,D18910)&gt;0,"Yes","No"),"")</f>
        <v/>
      </c>
      <c r="C18910" s="11"/>
      <c r="D18910" s="11"/>
      <c r="E18910" s="11"/>
      <c r="F18910" s="11"/>
      <c r="G18910" s="11"/>
      <c r="H18910" s="11"/>
      <c r="I18910" s="15"/>
    </row>
    <row r="18911" spans="1:9" ht="16.5">
      <c r="A18911" s="10" t="b">
        <v>0</v>
      </c>
      <c r="B18911" s="11" t="str">
        <f>IF(D18911&lt;&gt;"",IF(COUNTIF('USPTO TMs'!A:A,D18911)&gt;0,"Yes","No"),"")</f>
        <v/>
      </c>
      <c r="C18911" s="11"/>
      <c r="D18911" s="11"/>
      <c r="E18911" s="11"/>
      <c r="F18911" s="11"/>
      <c r="G18911" s="11"/>
      <c r="H18911" s="11"/>
      <c r="I18911" s="15"/>
    </row>
    <row r="18912" spans="1:9" ht="16.5">
      <c r="A18912" s="10" t="b">
        <v>0</v>
      </c>
      <c r="B18912" s="11" t="str">
        <f>IF(D18912&lt;&gt;"",IF(COUNTIF('USPTO TMs'!A:A,D18912)&gt;0,"Yes","No"),"")</f>
        <v/>
      </c>
      <c r="C18912" s="11"/>
      <c r="D18912" s="11"/>
      <c r="E18912" s="11"/>
      <c r="F18912" s="11"/>
      <c r="G18912" s="11"/>
      <c r="H18912" s="11"/>
      <c r="I18912" s="15"/>
    </row>
    <row r="18913" spans="1:9" ht="16.5">
      <c r="A18913" s="10" t="b">
        <v>0</v>
      </c>
      <c r="B18913" s="11" t="str">
        <f>IF(D18913&lt;&gt;"",IF(COUNTIF('USPTO TMs'!A:A,D18913)&gt;0,"Yes","No"),"")</f>
        <v/>
      </c>
      <c r="C18913" s="11"/>
      <c r="D18913" s="11"/>
      <c r="E18913" s="11"/>
      <c r="F18913" s="11"/>
      <c r="G18913" s="11"/>
      <c r="H18913" s="11"/>
      <c r="I18913" s="15"/>
    </row>
    <row r="18914" spans="1:9" ht="16.5">
      <c r="A18914" s="10" t="b">
        <v>0</v>
      </c>
      <c r="B18914" s="11" t="str">
        <f>IF(D18914&lt;&gt;"",IF(COUNTIF('USPTO TMs'!A:A,D18914)&gt;0,"Yes","No"),"")</f>
        <v/>
      </c>
      <c r="C18914" s="11"/>
      <c r="D18914" s="11"/>
      <c r="E18914" s="11"/>
      <c r="F18914" s="11"/>
      <c r="G18914" s="11"/>
      <c r="H18914" s="11"/>
      <c r="I18914" s="15"/>
    </row>
    <row r="18915" spans="1:9" ht="16.5">
      <c r="A18915" s="10" t="b">
        <v>0</v>
      </c>
      <c r="B18915" s="11" t="str">
        <f>IF(D18915&lt;&gt;"",IF(COUNTIF('USPTO TMs'!A:A,D18915)&gt;0,"Yes","No"),"")</f>
        <v/>
      </c>
      <c r="C18915" s="11"/>
      <c r="D18915" s="11"/>
      <c r="E18915" s="11"/>
      <c r="F18915" s="11"/>
      <c r="G18915" s="11"/>
      <c r="H18915" s="11"/>
      <c r="I18915" s="15"/>
    </row>
    <row r="18916" spans="1:9" ht="16.5">
      <c r="A18916" s="10" t="b">
        <v>0</v>
      </c>
      <c r="B18916" s="11" t="str">
        <f>IF(D18916&lt;&gt;"",IF(COUNTIF('USPTO TMs'!A:A,D18916)&gt;0,"Yes","No"),"")</f>
        <v/>
      </c>
      <c r="C18916" s="11"/>
      <c r="D18916" s="11"/>
      <c r="E18916" s="11"/>
      <c r="F18916" s="11"/>
      <c r="G18916" s="11"/>
      <c r="H18916" s="11"/>
      <c r="I18916" s="15"/>
    </row>
    <row r="18917" spans="1:9" ht="16.5">
      <c r="A18917" s="10" t="b">
        <v>0</v>
      </c>
      <c r="B18917" s="11" t="str">
        <f>IF(D18917&lt;&gt;"",IF(COUNTIF('USPTO TMs'!A:A,D18917)&gt;0,"Yes","No"),"")</f>
        <v/>
      </c>
      <c r="C18917" s="11"/>
      <c r="D18917" s="11"/>
      <c r="E18917" s="11"/>
      <c r="F18917" s="11"/>
      <c r="G18917" s="11"/>
      <c r="H18917" s="11"/>
      <c r="I18917" s="15"/>
    </row>
    <row r="18918" spans="1:9" ht="16.5">
      <c r="A18918" s="10" t="b">
        <v>0</v>
      </c>
      <c r="B18918" s="11" t="str">
        <f>IF(D18918&lt;&gt;"",IF(COUNTIF('USPTO TMs'!A:A,D18918)&gt;0,"Yes","No"),"")</f>
        <v/>
      </c>
      <c r="C18918" s="11"/>
      <c r="D18918" s="11"/>
      <c r="E18918" s="11"/>
      <c r="F18918" s="11"/>
      <c r="G18918" s="11"/>
      <c r="H18918" s="11"/>
      <c r="I18918" s="15"/>
    </row>
    <row r="18919" spans="1:9" ht="16.5">
      <c r="A18919" s="10" t="b">
        <v>0</v>
      </c>
      <c r="B18919" s="11" t="str">
        <f>IF(D18919&lt;&gt;"",IF(COUNTIF('USPTO TMs'!A:A,D18919)&gt;0,"Yes","No"),"")</f>
        <v/>
      </c>
      <c r="C18919" s="11"/>
      <c r="D18919" s="11"/>
      <c r="E18919" s="11"/>
      <c r="F18919" s="11"/>
      <c r="G18919" s="11"/>
      <c r="H18919" s="11"/>
      <c r="I18919" s="15"/>
    </row>
    <row r="18920" spans="1:9" ht="16.5">
      <c r="A18920" s="10" t="b">
        <v>0</v>
      </c>
      <c r="B18920" s="11" t="str">
        <f>IF(D18920&lt;&gt;"",IF(COUNTIF('USPTO TMs'!A:A,D18920)&gt;0,"Yes","No"),"")</f>
        <v/>
      </c>
      <c r="C18920" s="11"/>
      <c r="D18920" s="11"/>
      <c r="E18920" s="11"/>
      <c r="F18920" s="11"/>
      <c r="G18920" s="11"/>
      <c r="H18920" s="11"/>
      <c r="I18920" s="15"/>
    </row>
    <row r="18921" spans="1:9" ht="16.5">
      <c r="A18921" s="10" t="b">
        <v>0</v>
      </c>
      <c r="B18921" s="11" t="str">
        <f>IF(D18921&lt;&gt;"",IF(COUNTIF('USPTO TMs'!A:A,D18921)&gt;0,"Yes","No"),"")</f>
        <v/>
      </c>
      <c r="C18921" s="11"/>
      <c r="D18921" s="11"/>
      <c r="E18921" s="11"/>
      <c r="F18921" s="11"/>
      <c r="G18921" s="11"/>
      <c r="H18921" s="11"/>
      <c r="I18921" s="15"/>
    </row>
    <row r="18922" spans="1:9" ht="16.5">
      <c r="A18922" s="10" t="b">
        <v>0</v>
      </c>
      <c r="B18922" s="11" t="str">
        <f>IF(D18922&lt;&gt;"",IF(COUNTIF('USPTO TMs'!A:A,D18922)&gt;0,"Yes","No"),"")</f>
        <v/>
      </c>
      <c r="C18922" s="11"/>
      <c r="D18922" s="11"/>
      <c r="E18922" s="11"/>
      <c r="F18922" s="11"/>
      <c r="G18922" s="11"/>
      <c r="H18922" s="11"/>
      <c r="I18922" s="15"/>
    </row>
    <row r="18923" spans="1:9" ht="16.5">
      <c r="A18923" s="10" t="b">
        <v>0</v>
      </c>
      <c r="B18923" s="11" t="str">
        <f>IF(D18923&lt;&gt;"",IF(COUNTIF('USPTO TMs'!A:A,D18923)&gt;0,"Yes","No"),"")</f>
        <v/>
      </c>
      <c r="C18923" s="11"/>
      <c r="D18923" s="11"/>
      <c r="E18923" s="11"/>
      <c r="F18923" s="11"/>
      <c r="G18923" s="11"/>
      <c r="H18923" s="11"/>
      <c r="I18923" s="15"/>
    </row>
    <row r="18924" spans="1:9" ht="16.5">
      <c r="A18924" s="10" t="b">
        <v>0</v>
      </c>
      <c r="B18924" s="11" t="str">
        <f>IF(D18924&lt;&gt;"",IF(COUNTIF('USPTO TMs'!A:A,D18924)&gt;0,"Yes","No"),"")</f>
        <v/>
      </c>
      <c r="C18924" s="11"/>
      <c r="D18924" s="11"/>
      <c r="E18924" s="11"/>
      <c r="F18924" s="11"/>
      <c r="G18924" s="11"/>
      <c r="H18924" s="11"/>
      <c r="I18924" s="15"/>
    </row>
    <row r="18925" spans="1:9" ht="16.5">
      <c r="A18925" s="10" t="b">
        <v>0</v>
      </c>
      <c r="B18925" s="11" t="str">
        <f>IF(D18925&lt;&gt;"",IF(COUNTIF('USPTO TMs'!A:A,D18925)&gt;0,"Yes","No"),"")</f>
        <v/>
      </c>
      <c r="C18925" s="11"/>
      <c r="D18925" s="11"/>
      <c r="E18925" s="11"/>
      <c r="F18925" s="11"/>
      <c r="G18925" s="11"/>
      <c r="H18925" s="11"/>
      <c r="I18925" s="15"/>
    </row>
    <row r="18926" spans="1:9" ht="16.5">
      <c r="A18926" s="10" t="b">
        <v>0</v>
      </c>
      <c r="B18926" s="11" t="str">
        <f>IF(D18926&lt;&gt;"",IF(COUNTIF('USPTO TMs'!A:A,D18926)&gt;0,"Yes","No"),"")</f>
        <v/>
      </c>
      <c r="C18926" s="11"/>
      <c r="D18926" s="11"/>
      <c r="E18926" s="11"/>
      <c r="F18926" s="11"/>
      <c r="G18926" s="11"/>
      <c r="H18926" s="11"/>
      <c r="I18926" s="15"/>
    </row>
    <row r="18927" spans="1:9" ht="16.5">
      <c r="A18927" s="10" t="b">
        <v>0</v>
      </c>
      <c r="B18927" s="11" t="str">
        <f>IF(D18927&lt;&gt;"",IF(COUNTIF('USPTO TMs'!A:A,D18927)&gt;0,"Yes","No"),"")</f>
        <v/>
      </c>
      <c r="C18927" s="11"/>
      <c r="D18927" s="11"/>
      <c r="E18927" s="11"/>
      <c r="F18927" s="11"/>
      <c r="G18927" s="11"/>
      <c r="H18927" s="11"/>
      <c r="I18927" s="15"/>
    </row>
    <row r="18928" spans="1:9" ht="16.5">
      <c r="A18928" s="10" t="b">
        <v>0</v>
      </c>
      <c r="B18928" s="11" t="str">
        <f>IF(D18928&lt;&gt;"",IF(COUNTIF('USPTO TMs'!A:A,D18928)&gt;0,"Yes","No"),"")</f>
        <v/>
      </c>
      <c r="C18928" s="11"/>
      <c r="D18928" s="11"/>
      <c r="E18928" s="11"/>
      <c r="F18928" s="11"/>
      <c r="G18928" s="11"/>
      <c r="H18928" s="11"/>
      <c r="I18928" s="15"/>
    </row>
    <row r="18929" spans="1:9" ht="16.5">
      <c r="A18929" s="10" t="b">
        <v>0</v>
      </c>
      <c r="B18929" s="11" t="str">
        <f>IF(D18929&lt;&gt;"",IF(COUNTIF('USPTO TMs'!A:A,D18929)&gt;0,"Yes","No"),"")</f>
        <v/>
      </c>
      <c r="C18929" s="11"/>
      <c r="D18929" s="11"/>
      <c r="E18929" s="11"/>
      <c r="F18929" s="11"/>
      <c r="G18929" s="11"/>
      <c r="H18929" s="11"/>
      <c r="I18929" s="15"/>
    </row>
    <row r="18930" spans="1:9" ht="16.5">
      <c r="A18930" s="10" t="b">
        <v>0</v>
      </c>
      <c r="B18930" s="11" t="str">
        <f>IF(D18930&lt;&gt;"",IF(COUNTIF('USPTO TMs'!A:A,D18930)&gt;0,"Yes","No"),"")</f>
        <v/>
      </c>
      <c r="C18930" s="11"/>
      <c r="D18930" s="11"/>
      <c r="E18930" s="11"/>
      <c r="F18930" s="11"/>
      <c r="G18930" s="11"/>
      <c r="H18930" s="11"/>
      <c r="I18930" s="15"/>
    </row>
    <row r="18931" spans="1:9" ht="16.5">
      <c r="A18931" s="10" t="b">
        <v>0</v>
      </c>
      <c r="B18931" s="11" t="str">
        <f>IF(D18931&lt;&gt;"",IF(COUNTIF('USPTO TMs'!A:A,D18931)&gt;0,"Yes","No"),"")</f>
        <v/>
      </c>
      <c r="C18931" s="11"/>
      <c r="D18931" s="11"/>
      <c r="E18931" s="11"/>
      <c r="F18931" s="11"/>
      <c r="G18931" s="11"/>
      <c r="H18931" s="11"/>
      <c r="I18931" s="15"/>
    </row>
    <row r="18932" spans="1:9" ht="16.5">
      <c r="A18932" s="10" t="b">
        <v>0</v>
      </c>
      <c r="B18932" s="11" t="str">
        <f>IF(D18932&lt;&gt;"",IF(COUNTIF('USPTO TMs'!A:A,D18932)&gt;0,"Yes","No"),"")</f>
        <v/>
      </c>
      <c r="C18932" s="11"/>
      <c r="D18932" s="11"/>
      <c r="E18932" s="11"/>
      <c r="F18932" s="11"/>
      <c r="G18932" s="11"/>
      <c r="H18932" s="11"/>
      <c r="I18932" s="15"/>
    </row>
    <row r="18933" spans="1:9" ht="16.5">
      <c r="A18933" s="10" t="b">
        <v>0</v>
      </c>
      <c r="B18933" s="11" t="str">
        <f>IF(D18933&lt;&gt;"",IF(COUNTIF('USPTO TMs'!A:A,D18933)&gt;0,"Yes","No"),"")</f>
        <v/>
      </c>
      <c r="C18933" s="11"/>
      <c r="D18933" s="11"/>
      <c r="E18933" s="11"/>
      <c r="F18933" s="11"/>
      <c r="G18933" s="11"/>
      <c r="H18933" s="11"/>
      <c r="I18933" s="15"/>
    </row>
    <row r="18934" spans="1:9" ht="16.5">
      <c r="A18934" s="10" t="b">
        <v>0</v>
      </c>
      <c r="B18934" s="11" t="str">
        <f>IF(D18934&lt;&gt;"",IF(COUNTIF('USPTO TMs'!A:A,D18934)&gt;0,"Yes","No"),"")</f>
        <v/>
      </c>
      <c r="C18934" s="11"/>
      <c r="D18934" s="11"/>
      <c r="E18934" s="11"/>
      <c r="F18934" s="11"/>
      <c r="G18934" s="11"/>
      <c r="H18934" s="11"/>
      <c r="I18934" s="15"/>
    </row>
    <row r="18935" spans="1:9" ht="16.5">
      <c r="A18935" s="10" t="b">
        <v>0</v>
      </c>
      <c r="B18935" s="11" t="str">
        <f>IF(D18935&lt;&gt;"",IF(COUNTIF('USPTO TMs'!A:A,D18935)&gt;0,"Yes","No"),"")</f>
        <v/>
      </c>
      <c r="C18935" s="11"/>
      <c r="D18935" s="11"/>
      <c r="E18935" s="11"/>
      <c r="F18935" s="11"/>
      <c r="G18935" s="11"/>
      <c r="H18935" s="11"/>
      <c r="I18935" s="15"/>
    </row>
    <row r="18936" spans="1:9" ht="16.5">
      <c r="A18936" s="10" t="b">
        <v>0</v>
      </c>
      <c r="B18936" s="11" t="str">
        <f>IF(D18936&lt;&gt;"",IF(COUNTIF('USPTO TMs'!A:A,D18936)&gt;0,"Yes","No"),"")</f>
        <v/>
      </c>
      <c r="C18936" s="11"/>
      <c r="D18936" s="11"/>
      <c r="E18936" s="11"/>
      <c r="F18936" s="11"/>
      <c r="G18936" s="11"/>
      <c r="H18936" s="11"/>
      <c r="I18936" s="15"/>
    </row>
    <row r="18937" spans="1:9" ht="16.5">
      <c r="A18937" s="10" t="b">
        <v>0</v>
      </c>
      <c r="B18937" s="11" t="str">
        <f>IF(D18937&lt;&gt;"",IF(COUNTIF('USPTO TMs'!A:A,D18937)&gt;0,"Yes","No"),"")</f>
        <v/>
      </c>
      <c r="C18937" s="11"/>
      <c r="D18937" s="11"/>
      <c r="E18937" s="11"/>
      <c r="F18937" s="11"/>
      <c r="G18937" s="11"/>
      <c r="H18937" s="11"/>
      <c r="I18937" s="15"/>
    </row>
    <row r="18938" spans="1:9" ht="16.5">
      <c r="A18938" s="10" t="b">
        <v>0</v>
      </c>
      <c r="B18938" s="11" t="str">
        <f>IF(D18938&lt;&gt;"",IF(COUNTIF('USPTO TMs'!A:A,D18938)&gt;0,"Yes","No"),"")</f>
        <v/>
      </c>
      <c r="C18938" s="11"/>
      <c r="D18938" s="11"/>
      <c r="E18938" s="11"/>
      <c r="F18938" s="11"/>
      <c r="G18938" s="11"/>
      <c r="H18938" s="11"/>
      <c r="I18938" s="15"/>
    </row>
    <row r="18939" spans="1:9" ht="16.5">
      <c r="A18939" s="10" t="b">
        <v>0</v>
      </c>
      <c r="B18939" s="11" t="str">
        <f>IF(D18939&lt;&gt;"",IF(COUNTIF('USPTO TMs'!A:A,D18939)&gt;0,"Yes","No"),"")</f>
        <v/>
      </c>
      <c r="C18939" s="11"/>
      <c r="D18939" s="11"/>
      <c r="E18939" s="11"/>
      <c r="F18939" s="11"/>
      <c r="G18939" s="11"/>
      <c r="H18939" s="11"/>
      <c r="I18939" s="15"/>
    </row>
    <row r="18940" spans="1:9" ht="16.5">
      <c r="A18940" s="10" t="b">
        <v>0</v>
      </c>
      <c r="B18940" s="11" t="str">
        <f>IF(D18940&lt;&gt;"",IF(COUNTIF('USPTO TMs'!A:A,D18940)&gt;0,"Yes","No"),"")</f>
        <v/>
      </c>
      <c r="C18940" s="11"/>
      <c r="D18940" s="11"/>
      <c r="E18940" s="11"/>
      <c r="F18940" s="11"/>
      <c r="G18940" s="11"/>
      <c r="H18940" s="11"/>
      <c r="I18940" s="15"/>
    </row>
    <row r="18941" spans="1:9" ht="16.5">
      <c r="A18941" s="10" t="b">
        <v>0</v>
      </c>
      <c r="B18941" s="11" t="str">
        <f>IF(D18941&lt;&gt;"",IF(COUNTIF('USPTO TMs'!A:A,D18941)&gt;0,"Yes","No"),"")</f>
        <v/>
      </c>
      <c r="C18941" s="11"/>
      <c r="D18941" s="11"/>
      <c r="E18941" s="11"/>
      <c r="F18941" s="11"/>
      <c r="G18941" s="11"/>
      <c r="H18941" s="11"/>
      <c r="I18941" s="15"/>
    </row>
    <row r="18942" spans="1:9" ht="16.5">
      <c r="A18942" s="10" t="b">
        <v>0</v>
      </c>
      <c r="B18942" s="11" t="str">
        <f>IF(D18942&lt;&gt;"",IF(COUNTIF('USPTO TMs'!A:A,D18942)&gt;0,"Yes","No"),"")</f>
        <v/>
      </c>
      <c r="C18942" s="11"/>
      <c r="D18942" s="11"/>
      <c r="E18942" s="11"/>
      <c r="F18942" s="11"/>
      <c r="G18942" s="11"/>
      <c r="H18942" s="11"/>
      <c r="I18942" s="15"/>
    </row>
    <row r="18943" spans="1:9" ht="16.5">
      <c r="A18943" s="10" t="b">
        <v>0</v>
      </c>
      <c r="B18943" s="11" t="str">
        <f>IF(D18943&lt;&gt;"",IF(COUNTIF('USPTO TMs'!A:A,D18943)&gt;0,"Yes","No"),"")</f>
        <v/>
      </c>
      <c r="C18943" s="11"/>
      <c r="D18943" s="11"/>
      <c r="E18943" s="11"/>
      <c r="F18943" s="11"/>
      <c r="G18943" s="11"/>
      <c r="H18943" s="11"/>
      <c r="I18943" s="15"/>
    </row>
    <row r="18944" spans="1:9" ht="16.5">
      <c r="A18944" s="10" t="b">
        <v>0</v>
      </c>
      <c r="B18944" s="11" t="str">
        <f>IF(D18944&lt;&gt;"",IF(COUNTIF('USPTO TMs'!A:A,D18944)&gt;0,"Yes","No"),"")</f>
        <v/>
      </c>
      <c r="C18944" s="11"/>
      <c r="D18944" s="11"/>
      <c r="E18944" s="11"/>
      <c r="F18944" s="11"/>
      <c r="G18944" s="11"/>
      <c r="H18944" s="11"/>
      <c r="I18944" s="15"/>
    </row>
    <row r="18945" spans="1:9" ht="16.5">
      <c r="A18945" s="10" t="b">
        <v>0</v>
      </c>
      <c r="B18945" s="11" t="str">
        <f>IF(D18945&lt;&gt;"",IF(COUNTIF('USPTO TMs'!A:A,D18945)&gt;0,"Yes","No"),"")</f>
        <v/>
      </c>
      <c r="C18945" s="11"/>
      <c r="D18945" s="11"/>
      <c r="E18945" s="11"/>
      <c r="F18945" s="11"/>
      <c r="G18945" s="11"/>
      <c r="H18945" s="11"/>
      <c r="I18945" s="15"/>
    </row>
    <row r="18946" spans="1:9" ht="16.5">
      <c r="A18946" s="10" t="b">
        <v>0</v>
      </c>
      <c r="B18946" s="11" t="str">
        <f>IF(D18946&lt;&gt;"",IF(COUNTIF('USPTO TMs'!A:A,D18946)&gt;0,"Yes","No"),"")</f>
        <v/>
      </c>
      <c r="C18946" s="11"/>
      <c r="D18946" s="11"/>
      <c r="E18946" s="11"/>
      <c r="F18946" s="11"/>
      <c r="G18946" s="11"/>
      <c r="H18946" s="11"/>
      <c r="I18946" s="15"/>
    </row>
    <row r="18947" spans="1:9" ht="16.5">
      <c r="A18947" s="10" t="b">
        <v>0</v>
      </c>
      <c r="B18947" s="11" t="str">
        <f>IF(D18947&lt;&gt;"",IF(COUNTIF('USPTO TMs'!A:A,D18947)&gt;0,"Yes","No"),"")</f>
        <v/>
      </c>
      <c r="C18947" s="11"/>
      <c r="D18947" s="11"/>
      <c r="E18947" s="11"/>
      <c r="F18947" s="11"/>
      <c r="G18947" s="11"/>
      <c r="H18947" s="11"/>
      <c r="I18947" s="15"/>
    </row>
    <row r="18948" spans="1:9" ht="16.5">
      <c r="A18948" s="10" t="b">
        <v>0</v>
      </c>
      <c r="B18948" s="11" t="str">
        <f>IF(D18948&lt;&gt;"",IF(COUNTIF('USPTO TMs'!A:A,D18948)&gt;0,"Yes","No"),"")</f>
        <v/>
      </c>
      <c r="C18948" s="11"/>
      <c r="D18948" s="11"/>
      <c r="E18948" s="11"/>
      <c r="F18948" s="11"/>
      <c r="G18948" s="11"/>
      <c r="H18948" s="11"/>
      <c r="I18948" s="15"/>
    </row>
    <row r="18949" spans="1:9" ht="16.5">
      <c r="A18949" s="10" t="b">
        <v>0</v>
      </c>
      <c r="B18949" s="11" t="str">
        <f>IF(D18949&lt;&gt;"",IF(COUNTIF('USPTO TMs'!A:A,D18949)&gt;0,"Yes","No"),"")</f>
        <v/>
      </c>
      <c r="C18949" s="11"/>
      <c r="D18949" s="11"/>
      <c r="E18949" s="11"/>
      <c r="F18949" s="11"/>
      <c r="G18949" s="11"/>
      <c r="H18949" s="11"/>
      <c r="I18949" s="15"/>
    </row>
    <row r="18950" spans="1:9" ht="16.5">
      <c r="A18950" s="10" t="b">
        <v>0</v>
      </c>
      <c r="B18950" s="11" t="str">
        <f>IF(D18950&lt;&gt;"",IF(COUNTIF('USPTO TMs'!A:A,D18950)&gt;0,"Yes","No"),"")</f>
        <v/>
      </c>
      <c r="C18950" s="11"/>
      <c r="D18950" s="11"/>
      <c r="E18950" s="11"/>
      <c r="F18950" s="11"/>
      <c r="G18950" s="11"/>
      <c r="H18950" s="11"/>
      <c r="I18950" s="15"/>
    </row>
    <row r="18951" spans="1:9" ht="16.5">
      <c r="A18951" s="10" t="b">
        <v>0</v>
      </c>
      <c r="B18951" s="11" t="str">
        <f>IF(D18951&lt;&gt;"",IF(COUNTIF('USPTO TMs'!A:A,D18951)&gt;0,"Yes","No"),"")</f>
        <v/>
      </c>
      <c r="C18951" s="11"/>
      <c r="D18951" s="11"/>
      <c r="E18951" s="11"/>
      <c r="F18951" s="11"/>
      <c r="G18951" s="11"/>
      <c r="H18951" s="11"/>
      <c r="I18951" s="15"/>
    </row>
    <row r="18952" spans="1:9" ht="16.5">
      <c r="A18952" s="10" t="b">
        <v>0</v>
      </c>
      <c r="B18952" s="11" t="str">
        <f>IF(D18952&lt;&gt;"",IF(COUNTIF('USPTO TMs'!A:A,D18952)&gt;0,"Yes","No"),"")</f>
        <v/>
      </c>
      <c r="C18952" s="11"/>
      <c r="D18952" s="11"/>
      <c r="E18952" s="11"/>
      <c r="F18952" s="11"/>
      <c r="G18952" s="11"/>
      <c r="H18952" s="11"/>
      <c r="I18952" s="15"/>
    </row>
    <row r="18953" spans="1:9" ht="16.5">
      <c r="A18953" s="10" t="b">
        <v>0</v>
      </c>
      <c r="B18953" s="11" t="str">
        <f>IF(D18953&lt;&gt;"",IF(COUNTIF('USPTO TMs'!A:A,D18953)&gt;0,"Yes","No"),"")</f>
        <v/>
      </c>
      <c r="C18953" s="11"/>
      <c r="D18953" s="11"/>
      <c r="E18953" s="11"/>
      <c r="F18953" s="11"/>
      <c r="G18953" s="11"/>
      <c r="H18953" s="11"/>
      <c r="I18953" s="15"/>
    </row>
    <row r="18954" spans="1:9" ht="16.5">
      <c r="A18954" s="10" t="b">
        <v>0</v>
      </c>
      <c r="B18954" s="11" t="str">
        <f>IF(D18954&lt;&gt;"",IF(COUNTIF('USPTO TMs'!A:A,D18954)&gt;0,"Yes","No"),"")</f>
        <v/>
      </c>
      <c r="C18954" s="11"/>
      <c r="D18954" s="11"/>
      <c r="E18954" s="11"/>
      <c r="F18954" s="11"/>
      <c r="G18954" s="11"/>
      <c r="H18954" s="11"/>
      <c r="I18954" s="15"/>
    </row>
    <row r="18955" spans="1:9" ht="16.5">
      <c r="A18955" s="10" t="b">
        <v>0</v>
      </c>
      <c r="B18955" s="11" t="str">
        <f>IF(D18955&lt;&gt;"",IF(COUNTIF('USPTO TMs'!A:A,D18955)&gt;0,"Yes","No"),"")</f>
        <v/>
      </c>
      <c r="C18955" s="11"/>
      <c r="D18955" s="11"/>
      <c r="E18955" s="11"/>
      <c r="F18955" s="11"/>
      <c r="G18955" s="11"/>
      <c r="H18955" s="11"/>
      <c r="I18955" s="15"/>
    </row>
    <row r="18956" spans="1:9" ht="16.5">
      <c r="A18956" s="10" t="b">
        <v>0</v>
      </c>
      <c r="B18956" s="11" t="str">
        <f>IF(D18956&lt;&gt;"",IF(COUNTIF('USPTO TMs'!A:A,D18956)&gt;0,"Yes","No"),"")</f>
        <v/>
      </c>
      <c r="C18956" s="11"/>
      <c r="D18956" s="11"/>
      <c r="E18956" s="11"/>
      <c r="F18956" s="11"/>
      <c r="G18956" s="11"/>
      <c r="H18956" s="11"/>
      <c r="I18956" s="15"/>
    </row>
    <row r="18957" spans="1:9" ht="16.5">
      <c r="A18957" s="10" t="b">
        <v>0</v>
      </c>
      <c r="B18957" s="11" t="str">
        <f>IF(D18957&lt;&gt;"",IF(COUNTIF('USPTO TMs'!A:A,D18957)&gt;0,"Yes","No"),"")</f>
        <v/>
      </c>
      <c r="C18957" s="11"/>
      <c r="D18957" s="11"/>
      <c r="E18957" s="11"/>
      <c r="F18957" s="11"/>
      <c r="G18957" s="11"/>
      <c r="H18957" s="11"/>
      <c r="I18957" s="15"/>
    </row>
    <row r="18958" spans="1:9" ht="16.5">
      <c r="A18958" s="10" t="b">
        <v>0</v>
      </c>
      <c r="B18958" s="11" t="str">
        <f>IF(D18958&lt;&gt;"",IF(COUNTIF('USPTO TMs'!A:A,D18958)&gt;0,"Yes","No"),"")</f>
        <v/>
      </c>
      <c r="C18958" s="11"/>
      <c r="D18958" s="11"/>
      <c r="E18958" s="11"/>
      <c r="F18958" s="11"/>
      <c r="G18958" s="11"/>
      <c r="H18958" s="11"/>
      <c r="I18958" s="15"/>
    </row>
    <row r="18959" spans="1:9" ht="16.5">
      <c r="A18959" s="10" t="b">
        <v>0</v>
      </c>
      <c r="B18959" s="11" t="str">
        <f>IF(D18959&lt;&gt;"",IF(COUNTIF('USPTO TMs'!A:A,D18959)&gt;0,"Yes","No"),"")</f>
        <v/>
      </c>
      <c r="C18959" s="11"/>
      <c r="D18959" s="11"/>
      <c r="E18959" s="11"/>
      <c r="F18959" s="11"/>
      <c r="G18959" s="11"/>
      <c r="H18959" s="11"/>
      <c r="I18959" s="15"/>
    </row>
    <row r="18960" spans="1:9" ht="16.5">
      <c r="A18960" s="10" t="b">
        <v>0</v>
      </c>
      <c r="B18960" s="11" t="str">
        <f>IF(D18960&lt;&gt;"",IF(COUNTIF('USPTO TMs'!A:A,D18960)&gt;0,"Yes","No"),"")</f>
        <v/>
      </c>
      <c r="C18960" s="11"/>
      <c r="D18960" s="11"/>
      <c r="E18960" s="11"/>
      <c r="F18960" s="11"/>
      <c r="G18960" s="11"/>
      <c r="H18960" s="11"/>
      <c r="I18960" s="15"/>
    </row>
    <row r="18961" spans="1:9" ht="16.5">
      <c r="A18961" s="10" t="b">
        <v>0</v>
      </c>
      <c r="B18961" s="11" t="str">
        <f>IF(D18961&lt;&gt;"",IF(COUNTIF('USPTO TMs'!A:A,D18961)&gt;0,"Yes","No"),"")</f>
        <v/>
      </c>
      <c r="C18961" s="11"/>
      <c r="D18961" s="11"/>
      <c r="E18961" s="11"/>
      <c r="F18961" s="11"/>
      <c r="G18961" s="11"/>
      <c r="H18961" s="11"/>
      <c r="I18961" s="15"/>
    </row>
    <row r="18962" spans="1:9" ht="16.5">
      <c r="A18962" s="10" t="b">
        <v>0</v>
      </c>
      <c r="B18962" s="11" t="str">
        <f>IF(D18962&lt;&gt;"",IF(COUNTIF('USPTO TMs'!A:A,D18962)&gt;0,"Yes","No"),"")</f>
        <v/>
      </c>
      <c r="C18962" s="11"/>
      <c r="D18962" s="11"/>
      <c r="E18962" s="11"/>
      <c r="F18962" s="11"/>
      <c r="G18962" s="11"/>
      <c r="H18962" s="11"/>
      <c r="I18962" s="15"/>
    </row>
    <row r="18963" spans="1:9" ht="16.5">
      <c r="A18963" s="10" t="b">
        <v>0</v>
      </c>
      <c r="B18963" s="11" t="str">
        <f>IF(D18963&lt;&gt;"",IF(COUNTIF('USPTO TMs'!A:A,D18963)&gt;0,"Yes","No"),"")</f>
        <v/>
      </c>
      <c r="C18963" s="11"/>
      <c r="D18963" s="11"/>
      <c r="E18963" s="11"/>
      <c r="F18963" s="11"/>
      <c r="G18963" s="11"/>
      <c r="H18963" s="11"/>
      <c r="I18963" s="15"/>
    </row>
    <row r="18964" spans="1:9" ht="16.5">
      <c r="A18964" s="10" t="b">
        <v>0</v>
      </c>
      <c r="B18964" s="11" t="str">
        <f>IF(D18964&lt;&gt;"",IF(COUNTIF('USPTO TMs'!A:A,D18964)&gt;0,"Yes","No"),"")</f>
        <v/>
      </c>
      <c r="C18964" s="11"/>
      <c r="D18964" s="11"/>
      <c r="E18964" s="11"/>
      <c r="F18964" s="11"/>
      <c r="G18964" s="11"/>
      <c r="H18964" s="11"/>
      <c r="I18964" s="15"/>
    </row>
    <row r="18965" spans="1:9" ht="16.5">
      <c r="A18965" s="10" t="b">
        <v>0</v>
      </c>
      <c r="B18965" s="11" t="str">
        <f>IF(D18965&lt;&gt;"",IF(COUNTIF('USPTO TMs'!A:A,D18965)&gt;0,"Yes","No"),"")</f>
        <v/>
      </c>
      <c r="C18965" s="11"/>
      <c r="D18965" s="11"/>
      <c r="E18965" s="11"/>
      <c r="F18965" s="11"/>
      <c r="G18965" s="11"/>
      <c r="H18965" s="11"/>
      <c r="I18965" s="15"/>
    </row>
    <row r="18966" spans="1:9" ht="16.5">
      <c r="A18966" s="10" t="b">
        <v>0</v>
      </c>
      <c r="B18966" s="11" t="str">
        <f>IF(D18966&lt;&gt;"",IF(COUNTIF('USPTO TMs'!A:A,D18966)&gt;0,"Yes","No"),"")</f>
        <v/>
      </c>
      <c r="C18966" s="11"/>
      <c r="D18966" s="11"/>
      <c r="E18966" s="11"/>
      <c r="F18966" s="11"/>
      <c r="G18966" s="11"/>
      <c r="H18966" s="11"/>
      <c r="I18966" s="15"/>
    </row>
    <row r="18967" spans="1:9" ht="16.5">
      <c r="A18967" s="10" t="b">
        <v>0</v>
      </c>
      <c r="B18967" s="11" t="str">
        <f>IF(D18967&lt;&gt;"",IF(COUNTIF('USPTO TMs'!A:A,D18967)&gt;0,"Yes","No"),"")</f>
        <v/>
      </c>
      <c r="C18967" s="11"/>
      <c r="D18967" s="11"/>
      <c r="E18967" s="11"/>
      <c r="F18967" s="11"/>
      <c r="G18967" s="11"/>
      <c r="H18967" s="11"/>
      <c r="I18967" s="15"/>
    </row>
    <row r="18968" spans="1:9" ht="16.5">
      <c r="A18968" s="10" t="b">
        <v>0</v>
      </c>
      <c r="B18968" s="11" t="str">
        <f>IF(D18968&lt;&gt;"",IF(COUNTIF('USPTO TMs'!A:A,D18968)&gt;0,"Yes","No"),"")</f>
        <v/>
      </c>
      <c r="C18968" s="11"/>
      <c r="D18968" s="11"/>
      <c r="E18968" s="11"/>
      <c r="F18968" s="11"/>
      <c r="G18968" s="11"/>
      <c r="H18968" s="11"/>
      <c r="I18968" s="15"/>
    </row>
    <row r="18969" spans="1:9" ht="16.5">
      <c r="A18969" s="10" t="b">
        <v>0</v>
      </c>
      <c r="B18969" s="11" t="str">
        <f>IF(D18969&lt;&gt;"",IF(COUNTIF('USPTO TMs'!A:A,D18969)&gt;0,"Yes","No"),"")</f>
        <v/>
      </c>
      <c r="C18969" s="11"/>
      <c r="D18969" s="11"/>
      <c r="E18969" s="11"/>
      <c r="F18969" s="11"/>
      <c r="G18969" s="11"/>
      <c r="H18969" s="11"/>
      <c r="I18969" s="15"/>
    </row>
    <row r="18970" spans="1:9" ht="16.5">
      <c r="A18970" s="10" t="b">
        <v>0</v>
      </c>
      <c r="B18970" s="11" t="str">
        <f>IF(D18970&lt;&gt;"",IF(COUNTIF('USPTO TMs'!A:A,D18970)&gt;0,"Yes","No"),"")</f>
        <v/>
      </c>
      <c r="C18970" s="11"/>
      <c r="D18970" s="11"/>
      <c r="E18970" s="11"/>
      <c r="F18970" s="11"/>
      <c r="G18970" s="11"/>
      <c r="H18970" s="11"/>
      <c r="I18970" s="15"/>
    </row>
    <row r="18971" spans="1:9" ht="16.5">
      <c r="A18971" s="10" t="b">
        <v>0</v>
      </c>
      <c r="B18971" s="11" t="str">
        <f>IF(D18971&lt;&gt;"",IF(COUNTIF('USPTO TMs'!A:A,D18971)&gt;0,"Yes","No"),"")</f>
        <v/>
      </c>
      <c r="C18971" s="11"/>
      <c r="D18971" s="11"/>
      <c r="E18971" s="11"/>
      <c r="F18971" s="11"/>
      <c r="G18971" s="11"/>
      <c r="H18971" s="11"/>
      <c r="I18971" s="15"/>
    </row>
    <row r="18972" spans="1:9" ht="16.5">
      <c r="A18972" s="10" t="b">
        <v>0</v>
      </c>
      <c r="B18972" s="11" t="str">
        <f>IF(D18972&lt;&gt;"",IF(COUNTIF('USPTO TMs'!A:A,D18972)&gt;0,"Yes","No"),"")</f>
        <v/>
      </c>
      <c r="C18972" s="11"/>
      <c r="D18972" s="11"/>
      <c r="E18972" s="11"/>
      <c r="F18972" s="11"/>
      <c r="G18972" s="11"/>
      <c r="H18972" s="11"/>
      <c r="I18972" s="15"/>
    </row>
    <row r="18973" spans="1:9" ht="16.5">
      <c r="A18973" s="10" t="b">
        <v>0</v>
      </c>
      <c r="B18973" s="11" t="str">
        <f>IF(D18973&lt;&gt;"",IF(COUNTIF('USPTO TMs'!A:A,D18973)&gt;0,"Yes","No"),"")</f>
        <v/>
      </c>
      <c r="C18973" s="11"/>
      <c r="D18973" s="11"/>
      <c r="E18973" s="11"/>
      <c r="F18973" s="11"/>
      <c r="G18973" s="11"/>
      <c r="H18973" s="11"/>
      <c r="I18973" s="15"/>
    </row>
    <row r="18974" spans="1:9" ht="16.5">
      <c r="A18974" s="10" t="b">
        <v>0</v>
      </c>
      <c r="B18974" s="11" t="str">
        <f>IF(D18974&lt;&gt;"",IF(COUNTIF('USPTO TMs'!A:A,D18974)&gt;0,"Yes","No"),"")</f>
        <v/>
      </c>
      <c r="C18974" s="11"/>
      <c r="D18974" s="11"/>
      <c r="E18974" s="11"/>
      <c r="F18974" s="11"/>
      <c r="G18974" s="11"/>
      <c r="H18974" s="11"/>
      <c r="I18974" s="15"/>
    </row>
    <row r="18975" spans="1:9" ht="16.5">
      <c r="A18975" s="10" t="b">
        <v>0</v>
      </c>
      <c r="B18975" s="11" t="str">
        <f>IF(D18975&lt;&gt;"",IF(COUNTIF('USPTO TMs'!A:A,D18975)&gt;0,"Yes","No"),"")</f>
        <v/>
      </c>
      <c r="C18975" s="11"/>
      <c r="D18975" s="11"/>
      <c r="E18975" s="11"/>
      <c r="F18975" s="11"/>
      <c r="G18975" s="11"/>
      <c r="H18975" s="11"/>
      <c r="I18975" s="15"/>
    </row>
    <row r="18976" spans="1:9" ht="16.5">
      <c r="A18976" s="10" t="b">
        <v>0</v>
      </c>
      <c r="B18976" s="11" t="str">
        <f>IF(D18976&lt;&gt;"",IF(COUNTIF('USPTO TMs'!A:A,D18976)&gt;0,"Yes","No"),"")</f>
        <v/>
      </c>
      <c r="C18976" s="11"/>
      <c r="D18976" s="11"/>
      <c r="E18976" s="11"/>
      <c r="F18976" s="11"/>
      <c r="G18976" s="11"/>
      <c r="H18976" s="11"/>
      <c r="I18976" s="15"/>
    </row>
    <row r="18977" spans="1:9" ht="16.5">
      <c r="A18977" s="10" t="b">
        <v>0</v>
      </c>
      <c r="B18977" s="11" t="str">
        <f>IF(D18977&lt;&gt;"",IF(COUNTIF('USPTO TMs'!A:A,D18977)&gt;0,"Yes","No"),"")</f>
        <v/>
      </c>
      <c r="C18977" s="11"/>
      <c r="D18977" s="11"/>
      <c r="E18977" s="11"/>
      <c r="F18977" s="11"/>
      <c r="G18977" s="11"/>
      <c r="H18977" s="11"/>
      <c r="I18977" s="15"/>
    </row>
    <row r="18978" spans="1:9" ht="16.5">
      <c r="A18978" s="10" t="b">
        <v>0</v>
      </c>
      <c r="B18978" s="11" t="str">
        <f>IF(D18978&lt;&gt;"",IF(COUNTIF('USPTO TMs'!A:A,D18978)&gt;0,"Yes","No"),"")</f>
        <v/>
      </c>
      <c r="C18978" s="11"/>
      <c r="D18978" s="11"/>
      <c r="E18978" s="11"/>
      <c r="F18978" s="11"/>
      <c r="G18978" s="11"/>
      <c r="H18978" s="11"/>
      <c r="I18978" s="15"/>
    </row>
    <row r="18979" spans="1:9" ht="16.5">
      <c r="A18979" s="10" t="b">
        <v>0</v>
      </c>
      <c r="B18979" s="11" t="str">
        <f>IF(D18979&lt;&gt;"",IF(COUNTIF('USPTO TMs'!A:A,D18979)&gt;0,"Yes","No"),"")</f>
        <v/>
      </c>
      <c r="C18979" s="11"/>
      <c r="D18979" s="11"/>
      <c r="E18979" s="11"/>
      <c r="F18979" s="11"/>
      <c r="G18979" s="11"/>
      <c r="H18979" s="11"/>
      <c r="I18979" s="15"/>
    </row>
    <row r="18980" spans="1:9" ht="16.5">
      <c r="A18980" s="10" t="b">
        <v>0</v>
      </c>
      <c r="B18980" s="11" t="str">
        <f>IF(D18980&lt;&gt;"",IF(COUNTIF('USPTO TMs'!A:A,D18980)&gt;0,"Yes","No"),"")</f>
        <v/>
      </c>
      <c r="C18980" s="11"/>
      <c r="D18980" s="11"/>
      <c r="E18980" s="11"/>
      <c r="F18980" s="11"/>
      <c r="G18980" s="11"/>
      <c r="H18980" s="11"/>
      <c r="I18980" s="15"/>
    </row>
    <row r="18981" spans="1:9" ht="16.5">
      <c r="A18981" s="10" t="b">
        <v>0</v>
      </c>
      <c r="B18981" s="11" t="str">
        <f>IF(D18981&lt;&gt;"",IF(COUNTIF('USPTO TMs'!A:A,D18981)&gt;0,"Yes","No"),"")</f>
        <v/>
      </c>
      <c r="C18981" s="11"/>
      <c r="D18981" s="11"/>
      <c r="E18981" s="11"/>
      <c r="F18981" s="11"/>
      <c r="G18981" s="11"/>
      <c r="H18981" s="11"/>
      <c r="I18981" s="15"/>
    </row>
    <row r="18982" spans="1:9" ht="16.5">
      <c r="A18982" s="10" t="b">
        <v>0</v>
      </c>
      <c r="B18982" s="11" t="str">
        <f>IF(D18982&lt;&gt;"",IF(COUNTIF('USPTO TMs'!A:A,D18982)&gt;0,"Yes","No"),"")</f>
        <v/>
      </c>
      <c r="C18982" s="11"/>
      <c r="D18982" s="11"/>
      <c r="E18982" s="11"/>
      <c r="F18982" s="11"/>
      <c r="G18982" s="11"/>
      <c r="H18982" s="11"/>
      <c r="I18982" s="15"/>
    </row>
    <row r="18983" spans="1:9" ht="16.5">
      <c r="A18983" s="10" t="b">
        <v>0</v>
      </c>
      <c r="B18983" s="11" t="str">
        <f>IF(D18983&lt;&gt;"",IF(COUNTIF('USPTO TMs'!A:A,D18983)&gt;0,"Yes","No"),"")</f>
        <v/>
      </c>
      <c r="C18983" s="11"/>
      <c r="D18983" s="11"/>
      <c r="E18983" s="11"/>
      <c r="F18983" s="11"/>
      <c r="G18983" s="11"/>
      <c r="H18983" s="11"/>
      <c r="I18983" s="15"/>
    </row>
    <row r="18984" spans="1:9" ht="16.5">
      <c r="A18984" s="10" t="b">
        <v>0</v>
      </c>
      <c r="B18984" s="11" t="str">
        <f>IF(D18984&lt;&gt;"",IF(COUNTIF('USPTO TMs'!A:A,D18984)&gt;0,"Yes","No"),"")</f>
        <v/>
      </c>
      <c r="C18984" s="11"/>
      <c r="D18984" s="11"/>
      <c r="E18984" s="11"/>
      <c r="F18984" s="11"/>
      <c r="G18984" s="11"/>
      <c r="H18984" s="11"/>
      <c r="I18984" s="15"/>
    </row>
    <row r="18985" spans="1:9" ht="16.5">
      <c r="A18985" s="10" t="b">
        <v>0</v>
      </c>
      <c r="B18985" s="11" t="str">
        <f>IF(D18985&lt;&gt;"",IF(COUNTIF('USPTO TMs'!A:A,D18985)&gt;0,"Yes","No"),"")</f>
        <v/>
      </c>
      <c r="C18985" s="11"/>
      <c r="D18985" s="11"/>
      <c r="E18985" s="11"/>
      <c r="F18985" s="11"/>
      <c r="G18985" s="11"/>
      <c r="H18985" s="11"/>
      <c r="I18985" s="15"/>
    </row>
    <row r="18986" spans="1:9" ht="16.5">
      <c r="A18986" s="10" t="b">
        <v>0</v>
      </c>
      <c r="B18986" s="11" t="str">
        <f>IF(D18986&lt;&gt;"",IF(COUNTIF('USPTO TMs'!A:A,D18986)&gt;0,"Yes","No"),"")</f>
        <v/>
      </c>
      <c r="C18986" s="11"/>
      <c r="D18986" s="11"/>
      <c r="E18986" s="11"/>
      <c r="F18986" s="11"/>
      <c r="G18986" s="11"/>
      <c r="H18986" s="11"/>
      <c r="I18986" s="15"/>
    </row>
    <row r="18987" spans="1:9" ht="16.5">
      <c r="A18987" s="10" t="b">
        <v>0</v>
      </c>
      <c r="B18987" s="11" t="str">
        <f>IF(D18987&lt;&gt;"",IF(COUNTIF('USPTO TMs'!A:A,D18987)&gt;0,"Yes","No"),"")</f>
        <v/>
      </c>
      <c r="C18987" s="11"/>
      <c r="D18987" s="11"/>
      <c r="E18987" s="11"/>
      <c r="F18987" s="11"/>
      <c r="G18987" s="11"/>
      <c r="H18987" s="11"/>
      <c r="I18987" s="15"/>
    </row>
    <row r="18988" spans="1:9" ht="16.5">
      <c r="A18988" s="10" t="b">
        <v>0</v>
      </c>
      <c r="B18988" s="11" t="str">
        <f>IF(D18988&lt;&gt;"",IF(COUNTIF('USPTO TMs'!A:A,D18988)&gt;0,"Yes","No"),"")</f>
        <v/>
      </c>
      <c r="C18988" s="11"/>
      <c r="D18988" s="11"/>
      <c r="E18988" s="11"/>
      <c r="F18988" s="11"/>
      <c r="G18988" s="11"/>
      <c r="H18988" s="11"/>
      <c r="I18988" s="15"/>
    </row>
    <row r="18989" spans="1:9" ht="16.5">
      <c r="A18989" s="10" t="b">
        <v>0</v>
      </c>
      <c r="B18989" s="11" t="str">
        <f>IF(D18989&lt;&gt;"",IF(COUNTIF('USPTO TMs'!A:A,D18989)&gt;0,"Yes","No"),"")</f>
        <v/>
      </c>
      <c r="C18989" s="11"/>
      <c r="D18989" s="11"/>
      <c r="E18989" s="11"/>
      <c r="F18989" s="11"/>
      <c r="G18989" s="11"/>
      <c r="H18989" s="11"/>
      <c r="I18989" s="15"/>
    </row>
    <row r="18990" spans="1:9" ht="16.5">
      <c r="A18990" s="10" t="b">
        <v>0</v>
      </c>
      <c r="B18990" s="11" t="str">
        <f>IF(D18990&lt;&gt;"",IF(COUNTIF('USPTO TMs'!A:A,D18990)&gt;0,"Yes","No"),"")</f>
        <v/>
      </c>
      <c r="C18990" s="11"/>
      <c r="D18990" s="11"/>
      <c r="E18990" s="11"/>
      <c r="F18990" s="11"/>
      <c r="G18990" s="11"/>
      <c r="H18990" s="11"/>
      <c r="I18990" s="15"/>
    </row>
    <row r="18991" spans="1:9" ht="16.5">
      <c r="A18991" s="10" t="b">
        <v>0</v>
      </c>
      <c r="B18991" s="11" t="str">
        <f>IF(D18991&lt;&gt;"",IF(COUNTIF('USPTO TMs'!A:A,D18991)&gt;0,"Yes","No"),"")</f>
        <v/>
      </c>
      <c r="C18991" s="11"/>
      <c r="D18991" s="11"/>
      <c r="E18991" s="11"/>
      <c r="F18991" s="11"/>
      <c r="G18991" s="11"/>
      <c r="H18991" s="11"/>
      <c r="I18991" s="15"/>
    </row>
    <row r="18992" spans="1:9" ht="16.5">
      <c r="A18992" s="10" t="b">
        <v>0</v>
      </c>
      <c r="B18992" s="11" t="str">
        <f>IF(D18992&lt;&gt;"",IF(COUNTIF('USPTO TMs'!A:A,D18992)&gt;0,"Yes","No"),"")</f>
        <v/>
      </c>
      <c r="C18992" s="11"/>
      <c r="D18992" s="11"/>
      <c r="E18992" s="11"/>
      <c r="F18992" s="11"/>
      <c r="G18992" s="11"/>
      <c r="H18992" s="11"/>
      <c r="I18992" s="15"/>
    </row>
    <row r="18993" spans="1:9" ht="16.5">
      <c r="A18993" s="10" t="b">
        <v>0</v>
      </c>
      <c r="B18993" s="11" t="str">
        <f>IF(D18993&lt;&gt;"",IF(COUNTIF('USPTO TMs'!A:A,D18993)&gt;0,"Yes","No"),"")</f>
        <v/>
      </c>
      <c r="C18993" s="11"/>
      <c r="D18993" s="11"/>
      <c r="E18993" s="11"/>
      <c r="F18993" s="11"/>
      <c r="G18993" s="11"/>
      <c r="H18993" s="11"/>
      <c r="I18993" s="15"/>
    </row>
    <row r="18994" spans="1:9" ht="16.5">
      <c r="A18994" s="10" t="b">
        <v>0</v>
      </c>
      <c r="B18994" s="11" t="str">
        <f>IF(D18994&lt;&gt;"",IF(COUNTIF('USPTO TMs'!A:A,D18994)&gt;0,"Yes","No"),"")</f>
        <v/>
      </c>
      <c r="C18994" s="11"/>
      <c r="D18994" s="11"/>
      <c r="E18994" s="11"/>
      <c r="F18994" s="11"/>
      <c r="G18994" s="11"/>
      <c r="H18994" s="11"/>
      <c r="I18994" s="15"/>
    </row>
    <row r="18995" spans="1:9" ht="16.5">
      <c r="A18995" s="10" t="b">
        <v>0</v>
      </c>
      <c r="B18995" s="11" t="str">
        <f>IF(D18995&lt;&gt;"",IF(COUNTIF('USPTO TMs'!A:A,D18995)&gt;0,"Yes","No"),"")</f>
        <v/>
      </c>
      <c r="C18995" s="11"/>
      <c r="D18995" s="11"/>
      <c r="E18995" s="11"/>
      <c r="F18995" s="11"/>
      <c r="G18995" s="11"/>
      <c r="H18995" s="11"/>
      <c r="I18995" s="15"/>
    </row>
    <row r="18996" spans="1:9" ht="16.5">
      <c r="A18996" s="10" t="b">
        <v>0</v>
      </c>
      <c r="B18996" s="11" t="str">
        <f>IF(D18996&lt;&gt;"",IF(COUNTIF('USPTO TMs'!A:A,D18996)&gt;0,"Yes","No"),"")</f>
        <v/>
      </c>
      <c r="C18996" s="11"/>
      <c r="D18996" s="11"/>
      <c r="E18996" s="11"/>
      <c r="F18996" s="11"/>
      <c r="G18996" s="11"/>
      <c r="H18996" s="11"/>
      <c r="I18996" s="15"/>
    </row>
    <row r="18997" spans="1:9" ht="16.5">
      <c r="A18997" s="10" t="b">
        <v>0</v>
      </c>
      <c r="B18997" s="11" t="str">
        <f>IF(D18997&lt;&gt;"",IF(COUNTIF('USPTO TMs'!A:A,D18997)&gt;0,"Yes","No"),"")</f>
        <v/>
      </c>
      <c r="C18997" s="11"/>
      <c r="D18997" s="11"/>
      <c r="E18997" s="11"/>
      <c r="F18997" s="11"/>
      <c r="G18997" s="11"/>
      <c r="H18997" s="11"/>
      <c r="I18997" s="15"/>
    </row>
    <row r="18998" spans="1:9" ht="16.5">
      <c r="A18998" s="10" t="b">
        <v>0</v>
      </c>
      <c r="B18998" s="11" t="str">
        <f>IF(D18998&lt;&gt;"",IF(COUNTIF('USPTO TMs'!A:A,D18998)&gt;0,"Yes","No"),"")</f>
        <v/>
      </c>
      <c r="C18998" s="11"/>
      <c r="D18998" s="11"/>
      <c r="E18998" s="11"/>
      <c r="F18998" s="11"/>
      <c r="G18998" s="11"/>
      <c r="H18998" s="11"/>
      <c r="I18998" s="15"/>
    </row>
    <row r="18999" spans="1:9" ht="16.5">
      <c r="A18999" s="10" t="b">
        <v>0</v>
      </c>
      <c r="B18999" s="11" t="str">
        <f>IF(D18999&lt;&gt;"",IF(COUNTIF('USPTO TMs'!A:A,D18999)&gt;0,"Yes","No"),"")</f>
        <v/>
      </c>
      <c r="C18999" s="11"/>
      <c r="D18999" s="11"/>
      <c r="E18999" s="11"/>
      <c r="F18999" s="11"/>
      <c r="G18999" s="11"/>
      <c r="H18999" s="11"/>
      <c r="I18999" s="15"/>
    </row>
    <row r="19000" spans="1:9" ht="16.5">
      <c r="A19000" s="10" t="b">
        <v>0</v>
      </c>
      <c r="B19000" s="11" t="str">
        <f>IF(D19000&lt;&gt;"",IF(COUNTIF('USPTO TMs'!A:A,D19000)&gt;0,"Yes","No"),"")</f>
        <v/>
      </c>
      <c r="C19000" s="11"/>
      <c r="D19000" s="11"/>
      <c r="E19000" s="11"/>
      <c r="F19000" s="11"/>
      <c r="G19000" s="11"/>
      <c r="H19000" s="11"/>
      <c r="I19000" s="15"/>
    </row>
    <row r="19001" spans="1:9" ht="16.5">
      <c r="A19001" s="10" t="b">
        <v>0</v>
      </c>
      <c r="B19001" s="11" t="str">
        <f>IF(D19001&lt;&gt;"",IF(COUNTIF('USPTO TMs'!A:A,D19001)&gt;0,"Yes","No"),"")</f>
        <v/>
      </c>
      <c r="C19001" s="11"/>
      <c r="D19001" s="11"/>
      <c r="E19001" s="11"/>
      <c r="F19001" s="11"/>
      <c r="G19001" s="11"/>
      <c r="H19001" s="11"/>
      <c r="I19001" s="15"/>
    </row>
    <row r="19002" spans="1:9" ht="16.5">
      <c r="A19002" s="10" t="b">
        <v>0</v>
      </c>
      <c r="B19002" s="11" t="str">
        <f>IF(D19002&lt;&gt;"",IF(COUNTIF('USPTO TMs'!A:A,D19002)&gt;0,"Yes","No"),"")</f>
        <v/>
      </c>
      <c r="C19002" s="11"/>
      <c r="D19002" s="11"/>
      <c r="E19002" s="11"/>
      <c r="F19002" s="11"/>
      <c r="G19002" s="11"/>
      <c r="H19002" s="11"/>
      <c r="I19002" s="15"/>
    </row>
    <row r="19003" spans="1:9" ht="16.5">
      <c r="A19003" s="10" t="b">
        <v>0</v>
      </c>
      <c r="B19003" s="11" t="str">
        <f>IF(D19003&lt;&gt;"",IF(COUNTIF('USPTO TMs'!A:A,D19003)&gt;0,"Yes","No"),"")</f>
        <v/>
      </c>
      <c r="C19003" s="11"/>
      <c r="D19003" s="11"/>
      <c r="E19003" s="11"/>
      <c r="F19003" s="11"/>
      <c r="G19003" s="11"/>
      <c r="H19003" s="11"/>
      <c r="I19003" s="15"/>
    </row>
    <row r="19004" spans="1:9" ht="16.5">
      <c r="A19004" s="10" t="b">
        <v>0</v>
      </c>
      <c r="B19004" s="11" t="str">
        <f>IF(D19004&lt;&gt;"",IF(COUNTIF('USPTO TMs'!A:A,D19004)&gt;0,"Yes","No"),"")</f>
        <v/>
      </c>
      <c r="C19004" s="11"/>
      <c r="D19004" s="11"/>
      <c r="E19004" s="11"/>
      <c r="F19004" s="11"/>
      <c r="G19004" s="11"/>
      <c r="H19004" s="11"/>
      <c r="I19004" s="15"/>
    </row>
    <row r="19005" spans="1:9" ht="16.5">
      <c r="A19005" s="10" t="b">
        <v>0</v>
      </c>
      <c r="B19005" s="11" t="str">
        <f>IF(D19005&lt;&gt;"",IF(COUNTIF('USPTO TMs'!A:A,D19005)&gt;0,"Yes","No"),"")</f>
        <v/>
      </c>
      <c r="C19005" s="11"/>
      <c r="D19005" s="11"/>
      <c r="E19005" s="11"/>
      <c r="F19005" s="11"/>
      <c r="G19005" s="11"/>
      <c r="H19005" s="11"/>
      <c r="I19005" s="15"/>
    </row>
    <row r="19006" spans="1:9" ht="16.5">
      <c r="A19006" s="10" t="b">
        <v>0</v>
      </c>
      <c r="B19006" s="11" t="str">
        <f>IF(D19006&lt;&gt;"",IF(COUNTIF('USPTO TMs'!A:A,D19006)&gt;0,"Yes","No"),"")</f>
        <v/>
      </c>
      <c r="C19006" s="11"/>
      <c r="D19006" s="11"/>
      <c r="E19006" s="11"/>
      <c r="F19006" s="11"/>
      <c r="G19006" s="11"/>
      <c r="H19006" s="11"/>
      <c r="I19006" s="15"/>
    </row>
    <row r="19007" spans="1:9" ht="16.5">
      <c r="A19007" s="10" t="b">
        <v>0</v>
      </c>
      <c r="B19007" s="11" t="str">
        <f>IF(D19007&lt;&gt;"",IF(COUNTIF('USPTO TMs'!A:A,D19007)&gt;0,"Yes","No"),"")</f>
        <v/>
      </c>
      <c r="C19007" s="11"/>
      <c r="D19007" s="11"/>
      <c r="E19007" s="11"/>
      <c r="F19007" s="11"/>
      <c r="G19007" s="11"/>
      <c r="H19007" s="11"/>
      <c r="I19007" s="15"/>
    </row>
    <row r="19008" spans="1:9" ht="16.5">
      <c r="A19008" s="10" t="b">
        <v>0</v>
      </c>
      <c r="B19008" s="11" t="str">
        <f>IF(D19008&lt;&gt;"",IF(COUNTIF('USPTO TMs'!A:A,D19008)&gt;0,"Yes","No"),"")</f>
        <v/>
      </c>
      <c r="C19008" s="11"/>
      <c r="D19008" s="11"/>
      <c r="E19008" s="11"/>
      <c r="F19008" s="11"/>
      <c r="G19008" s="11"/>
      <c r="H19008" s="11"/>
      <c r="I19008" s="15"/>
    </row>
    <row r="19009" spans="1:9" ht="16.5">
      <c r="A19009" s="10" t="b">
        <v>0</v>
      </c>
      <c r="B19009" s="11" t="str">
        <f>IF(D19009&lt;&gt;"",IF(COUNTIF('USPTO TMs'!A:A,D19009)&gt;0,"Yes","No"),"")</f>
        <v/>
      </c>
      <c r="C19009" s="11"/>
      <c r="D19009" s="11"/>
      <c r="E19009" s="11"/>
      <c r="F19009" s="11"/>
      <c r="G19009" s="11"/>
      <c r="H19009" s="11"/>
      <c r="I19009" s="15"/>
    </row>
    <row r="19010" spans="1:9" ht="16.5">
      <c r="A19010" s="10" t="b">
        <v>0</v>
      </c>
      <c r="B19010" s="11" t="str">
        <f>IF(D19010&lt;&gt;"",IF(COUNTIF('USPTO TMs'!A:A,D19010)&gt;0,"Yes","No"),"")</f>
        <v/>
      </c>
      <c r="C19010" s="11"/>
      <c r="D19010" s="11"/>
      <c r="E19010" s="11"/>
      <c r="F19010" s="11"/>
      <c r="G19010" s="11"/>
      <c r="H19010" s="11"/>
      <c r="I19010" s="15"/>
    </row>
    <row r="19011" spans="1:9" ht="16.5">
      <c r="A19011" s="10" t="b">
        <v>0</v>
      </c>
      <c r="B19011" s="11" t="str">
        <f>IF(D19011&lt;&gt;"",IF(COUNTIF('USPTO TMs'!A:A,D19011)&gt;0,"Yes","No"),"")</f>
        <v/>
      </c>
      <c r="C19011" s="11"/>
      <c r="D19011" s="11"/>
      <c r="E19011" s="11"/>
      <c r="F19011" s="11"/>
      <c r="G19011" s="11"/>
      <c r="H19011" s="11"/>
      <c r="I19011" s="15"/>
    </row>
    <row r="19012" spans="1:9" ht="16.5">
      <c r="A19012" s="10" t="b">
        <v>0</v>
      </c>
      <c r="B19012" s="11" t="str">
        <f>IF(D19012&lt;&gt;"",IF(COUNTIF('USPTO TMs'!A:A,D19012)&gt;0,"Yes","No"),"")</f>
        <v/>
      </c>
      <c r="C19012" s="11"/>
      <c r="D19012" s="11"/>
      <c r="E19012" s="11"/>
      <c r="F19012" s="11"/>
      <c r="G19012" s="11"/>
      <c r="H19012" s="11"/>
      <c r="I19012" s="15"/>
    </row>
    <row r="19013" spans="1:9" ht="16.5">
      <c r="A19013" s="10" t="b">
        <v>0</v>
      </c>
      <c r="B19013" s="11" t="str">
        <f>IF(D19013&lt;&gt;"",IF(COUNTIF('USPTO TMs'!A:A,D19013)&gt;0,"Yes","No"),"")</f>
        <v/>
      </c>
      <c r="C19013" s="11"/>
      <c r="D19013" s="11"/>
      <c r="E19013" s="11"/>
      <c r="F19013" s="11"/>
      <c r="G19013" s="11"/>
      <c r="H19013" s="11"/>
      <c r="I19013" s="15"/>
    </row>
    <row r="19014" spans="1:9" ht="16.5">
      <c r="A19014" s="10" t="b">
        <v>0</v>
      </c>
      <c r="B19014" s="11" t="str">
        <f>IF(D19014&lt;&gt;"",IF(COUNTIF('USPTO TMs'!A:A,D19014)&gt;0,"Yes","No"),"")</f>
        <v/>
      </c>
      <c r="C19014" s="11"/>
      <c r="D19014" s="11"/>
      <c r="E19014" s="11"/>
      <c r="F19014" s="11"/>
      <c r="G19014" s="11"/>
      <c r="H19014" s="11"/>
      <c r="I19014" s="15"/>
    </row>
    <row r="19015" spans="1:9" ht="16.5">
      <c r="A19015" s="10" t="b">
        <v>0</v>
      </c>
      <c r="B19015" s="11" t="str">
        <f>IF(D19015&lt;&gt;"",IF(COUNTIF('USPTO TMs'!A:A,D19015)&gt;0,"Yes","No"),"")</f>
        <v/>
      </c>
      <c r="C19015" s="11"/>
      <c r="D19015" s="11"/>
      <c r="E19015" s="11"/>
      <c r="F19015" s="11"/>
      <c r="G19015" s="11"/>
      <c r="H19015" s="11"/>
      <c r="I19015" s="15"/>
    </row>
    <row r="19016" spans="1:9" ht="16.5">
      <c r="A19016" s="10" t="b">
        <v>0</v>
      </c>
      <c r="B19016" s="11" t="str">
        <f>IF(D19016&lt;&gt;"",IF(COUNTIF('USPTO TMs'!A:A,D19016)&gt;0,"Yes","No"),"")</f>
        <v/>
      </c>
      <c r="C19016" s="11"/>
      <c r="D19016" s="11"/>
      <c r="E19016" s="11"/>
      <c r="F19016" s="11"/>
      <c r="G19016" s="11"/>
      <c r="H19016" s="11"/>
      <c r="I19016" s="15"/>
    </row>
    <row r="19017" spans="1:9" ht="16.5">
      <c r="A19017" s="10" t="b">
        <v>0</v>
      </c>
      <c r="B19017" s="11" t="str">
        <f>IF(D19017&lt;&gt;"",IF(COUNTIF('USPTO TMs'!A:A,D19017)&gt;0,"Yes","No"),"")</f>
        <v/>
      </c>
      <c r="C19017" s="11"/>
      <c r="D19017" s="11"/>
      <c r="E19017" s="11"/>
      <c r="F19017" s="11"/>
      <c r="G19017" s="11"/>
      <c r="H19017" s="11"/>
      <c r="I19017" s="15"/>
    </row>
    <row r="19018" spans="1:9" ht="16.5">
      <c r="A19018" s="10" t="b">
        <v>0</v>
      </c>
      <c r="B19018" s="11" t="str">
        <f>IF(D19018&lt;&gt;"",IF(COUNTIF('USPTO TMs'!A:A,D19018)&gt;0,"Yes","No"),"")</f>
        <v/>
      </c>
      <c r="C19018" s="11"/>
      <c r="D19018" s="11"/>
      <c r="E19018" s="11"/>
      <c r="F19018" s="11"/>
      <c r="G19018" s="11"/>
      <c r="H19018" s="11"/>
      <c r="I19018" s="15"/>
    </row>
    <row r="19019" spans="1:9" ht="16.5">
      <c r="A19019" s="10" t="b">
        <v>0</v>
      </c>
      <c r="B19019" s="11" t="str">
        <f>IF(D19019&lt;&gt;"",IF(COUNTIF('USPTO TMs'!A:A,D19019)&gt;0,"Yes","No"),"")</f>
        <v/>
      </c>
      <c r="C19019" s="11"/>
      <c r="D19019" s="11"/>
      <c r="E19019" s="11"/>
      <c r="F19019" s="11"/>
      <c r="G19019" s="11"/>
      <c r="H19019" s="11"/>
      <c r="I19019" s="15"/>
    </row>
    <row r="19020" spans="1:9" ht="16.5">
      <c r="A19020" s="10" t="b">
        <v>0</v>
      </c>
      <c r="B19020" s="11" t="str">
        <f>IF(D19020&lt;&gt;"",IF(COUNTIF('USPTO TMs'!A:A,D19020)&gt;0,"Yes","No"),"")</f>
        <v/>
      </c>
      <c r="C19020" s="11"/>
      <c r="D19020" s="11"/>
      <c r="E19020" s="11"/>
      <c r="F19020" s="11"/>
      <c r="G19020" s="11"/>
      <c r="H19020" s="11"/>
      <c r="I19020" s="15"/>
    </row>
    <row r="19021" spans="1:9" ht="16.5">
      <c r="A19021" s="10" t="b">
        <v>0</v>
      </c>
      <c r="B19021" s="11" t="str">
        <f>IF(D19021&lt;&gt;"",IF(COUNTIF('USPTO TMs'!A:A,D19021)&gt;0,"Yes","No"),"")</f>
        <v/>
      </c>
      <c r="C19021" s="11"/>
      <c r="D19021" s="11"/>
      <c r="E19021" s="11"/>
      <c r="F19021" s="11"/>
      <c r="G19021" s="11"/>
      <c r="H19021" s="11"/>
      <c r="I19021" s="15"/>
    </row>
    <row r="19022" spans="1:9" ht="16.5">
      <c r="A19022" s="10" t="b">
        <v>0</v>
      </c>
      <c r="B19022" s="11" t="str">
        <f>IF(D19022&lt;&gt;"",IF(COUNTIF('USPTO TMs'!A:A,D19022)&gt;0,"Yes","No"),"")</f>
        <v/>
      </c>
      <c r="C19022" s="11"/>
      <c r="D19022" s="11"/>
      <c r="E19022" s="11"/>
      <c r="F19022" s="11"/>
      <c r="G19022" s="11"/>
      <c r="H19022" s="11"/>
      <c r="I19022" s="15"/>
    </row>
    <row r="19023" spans="1:9" ht="16.5">
      <c r="A19023" s="10" t="b">
        <v>0</v>
      </c>
      <c r="B19023" s="11" t="str">
        <f>IF(D19023&lt;&gt;"",IF(COUNTIF('USPTO TMs'!A:A,D19023)&gt;0,"Yes","No"),"")</f>
        <v/>
      </c>
      <c r="C19023" s="11"/>
      <c r="D19023" s="11"/>
      <c r="E19023" s="11"/>
      <c r="F19023" s="11"/>
      <c r="G19023" s="11"/>
      <c r="H19023" s="11"/>
      <c r="I19023" s="15"/>
    </row>
    <row r="19024" spans="1:9" ht="16.5">
      <c r="A19024" s="10" t="b">
        <v>0</v>
      </c>
      <c r="B19024" s="11" t="str">
        <f>IF(D19024&lt;&gt;"",IF(COUNTIF('USPTO TMs'!A:A,D19024)&gt;0,"Yes","No"),"")</f>
        <v/>
      </c>
      <c r="C19024" s="11"/>
      <c r="D19024" s="11"/>
      <c r="E19024" s="11"/>
      <c r="F19024" s="11"/>
      <c r="G19024" s="11"/>
      <c r="H19024" s="11"/>
      <c r="I19024" s="15"/>
    </row>
    <row r="19025" spans="1:9" ht="16.5">
      <c r="A19025" s="10" t="b">
        <v>0</v>
      </c>
      <c r="B19025" s="11" t="str">
        <f>IF(D19025&lt;&gt;"",IF(COUNTIF('USPTO TMs'!A:A,D19025)&gt;0,"Yes","No"),"")</f>
        <v/>
      </c>
      <c r="C19025" s="11"/>
      <c r="D19025" s="11"/>
      <c r="E19025" s="11"/>
      <c r="F19025" s="11"/>
      <c r="G19025" s="11"/>
      <c r="H19025" s="11"/>
      <c r="I19025" s="15"/>
    </row>
    <row r="19026" spans="1:9" ht="16.5">
      <c r="A19026" s="10" t="b">
        <v>0</v>
      </c>
      <c r="B19026" s="11" t="str">
        <f>IF(D19026&lt;&gt;"",IF(COUNTIF('USPTO TMs'!A:A,D19026)&gt;0,"Yes","No"),"")</f>
        <v/>
      </c>
      <c r="C19026" s="11"/>
      <c r="D19026" s="11"/>
      <c r="E19026" s="11"/>
      <c r="F19026" s="11"/>
      <c r="G19026" s="11"/>
      <c r="H19026" s="11"/>
      <c r="I19026" s="15"/>
    </row>
    <row r="19027" spans="1:9" ht="16.5">
      <c r="A19027" s="10" t="b">
        <v>0</v>
      </c>
      <c r="B19027" s="11" t="str">
        <f>IF(D19027&lt;&gt;"",IF(COUNTIF('USPTO TMs'!A:A,D19027)&gt;0,"Yes","No"),"")</f>
        <v/>
      </c>
      <c r="C19027" s="11"/>
      <c r="D19027" s="11"/>
      <c r="E19027" s="11"/>
      <c r="F19027" s="11"/>
      <c r="G19027" s="11"/>
      <c r="H19027" s="11"/>
      <c r="I19027" s="15"/>
    </row>
    <row r="19028" spans="1:9" ht="16.5">
      <c r="A19028" s="10" t="b">
        <v>0</v>
      </c>
      <c r="B19028" s="11" t="str">
        <f>IF(D19028&lt;&gt;"",IF(COUNTIF('USPTO TMs'!A:A,D19028)&gt;0,"Yes","No"),"")</f>
        <v/>
      </c>
      <c r="C19028" s="11"/>
      <c r="D19028" s="11"/>
      <c r="E19028" s="11"/>
      <c r="F19028" s="11"/>
      <c r="G19028" s="11"/>
      <c r="H19028" s="11"/>
      <c r="I19028" s="15"/>
    </row>
    <row r="19029" spans="1:9" ht="16.5">
      <c r="A19029" s="10" t="b">
        <v>0</v>
      </c>
      <c r="B19029" s="11" t="str">
        <f>IF(D19029&lt;&gt;"",IF(COUNTIF('USPTO TMs'!A:A,D19029)&gt;0,"Yes","No"),"")</f>
        <v/>
      </c>
      <c r="C19029" s="11"/>
      <c r="D19029" s="11"/>
      <c r="E19029" s="11"/>
      <c r="F19029" s="11"/>
      <c r="G19029" s="11"/>
      <c r="H19029" s="11"/>
      <c r="I19029" s="15"/>
    </row>
    <row r="19030" spans="1:9" ht="16.5">
      <c r="A19030" s="10" t="b">
        <v>0</v>
      </c>
      <c r="B19030" s="11" t="str">
        <f>IF(D19030&lt;&gt;"",IF(COUNTIF('USPTO TMs'!A:A,D19030)&gt;0,"Yes","No"),"")</f>
        <v/>
      </c>
      <c r="C19030" s="11"/>
      <c r="D19030" s="11"/>
      <c r="E19030" s="11"/>
      <c r="F19030" s="11"/>
      <c r="G19030" s="11"/>
      <c r="H19030" s="11"/>
      <c r="I19030" s="15"/>
    </row>
    <row r="19031" spans="1:9" ht="16.5">
      <c r="A19031" s="10" t="b">
        <v>0</v>
      </c>
      <c r="B19031" s="11" t="str">
        <f>IF(D19031&lt;&gt;"",IF(COUNTIF('USPTO TMs'!A:A,D19031)&gt;0,"Yes","No"),"")</f>
        <v/>
      </c>
      <c r="C19031" s="11"/>
      <c r="D19031" s="11"/>
      <c r="E19031" s="11"/>
      <c r="F19031" s="11"/>
      <c r="G19031" s="11"/>
      <c r="H19031" s="11"/>
      <c r="I19031" s="15"/>
    </row>
    <row r="19032" spans="1:9" ht="16.5">
      <c r="A19032" s="10" t="b">
        <v>0</v>
      </c>
      <c r="B19032" s="11" t="str">
        <f>IF(D19032&lt;&gt;"",IF(COUNTIF('USPTO TMs'!A:A,D19032)&gt;0,"Yes","No"),"")</f>
        <v/>
      </c>
      <c r="C19032" s="11"/>
      <c r="D19032" s="11"/>
      <c r="E19032" s="11"/>
      <c r="F19032" s="11"/>
      <c r="G19032" s="11"/>
      <c r="H19032" s="11"/>
      <c r="I19032" s="15"/>
    </row>
    <row r="19033" spans="1:9" ht="16.5">
      <c r="A19033" s="10" t="b">
        <v>0</v>
      </c>
      <c r="B19033" s="11" t="str">
        <f>IF(D19033&lt;&gt;"",IF(COUNTIF('USPTO TMs'!A:A,D19033)&gt;0,"Yes","No"),"")</f>
        <v/>
      </c>
      <c r="C19033" s="11"/>
      <c r="D19033" s="11"/>
      <c r="E19033" s="11"/>
      <c r="F19033" s="11"/>
      <c r="G19033" s="11"/>
      <c r="H19033" s="11"/>
      <c r="I19033" s="15"/>
    </row>
    <row r="19034" spans="1:9" ht="16.5">
      <c r="A19034" s="10" t="b">
        <v>0</v>
      </c>
      <c r="B19034" s="11" t="str">
        <f>IF(D19034&lt;&gt;"",IF(COUNTIF('USPTO TMs'!A:A,D19034)&gt;0,"Yes","No"),"")</f>
        <v/>
      </c>
      <c r="C19034" s="11"/>
      <c r="D19034" s="11"/>
      <c r="E19034" s="11"/>
      <c r="F19034" s="11"/>
      <c r="G19034" s="11"/>
      <c r="H19034" s="11"/>
      <c r="I19034" s="15"/>
    </row>
    <row r="19035" spans="1:9" ht="16.5">
      <c r="A19035" s="10" t="b">
        <v>0</v>
      </c>
      <c r="B19035" s="11" t="str">
        <f>IF(D19035&lt;&gt;"",IF(COUNTIF('USPTO TMs'!A:A,D19035)&gt;0,"Yes","No"),"")</f>
        <v/>
      </c>
      <c r="C19035" s="11"/>
      <c r="D19035" s="11"/>
      <c r="E19035" s="11"/>
      <c r="F19035" s="11"/>
      <c r="G19035" s="11"/>
      <c r="H19035" s="11"/>
      <c r="I19035" s="15"/>
    </row>
    <row r="19036" spans="1:9" ht="16.5">
      <c r="A19036" s="10" t="b">
        <v>0</v>
      </c>
      <c r="B19036" s="11" t="str">
        <f>IF(D19036&lt;&gt;"",IF(COUNTIF('USPTO TMs'!A:A,D19036)&gt;0,"Yes","No"),"")</f>
        <v/>
      </c>
      <c r="C19036" s="11"/>
      <c r="D19036" s="11"/>
      <c r="E19036" s="11"/>
      <c r="F19036" s="11"/>
      <c r="G19036" s="11"/>
      <c r="H19036" s="11"/>
      <c r="I19036" s="15"/>
    </row>
    <row r="19037" spans="1:9" ht="16.5">
      <c r="A19037" s="10" t="b">
        <v>0</v>
      </c>
      <c r="B19037" s="11" t="str">
        <f>IF(D19037&lt;&gt;"",IF(COUNTIF('USPTO TMs'!A:A,D19037)&gt;0,"Yes","No"),"")</f>
        <v/>
      </c>
      <c r="C19037" s="11"/>
      <c r="D19037" s="11"/>
      <c r="E19037" s="11"/>
      <c r="F19037" s="11"/>
      <c r="G19037" s="11"/>
      <c r="H19037" s="11"/>
      <c r="I19037" s="15"/>
    </row>
    <row r="19038" spans="1:9" ht="16.5">
      <c r="A19038" s="10" t="b">
        <v>0</v>
      </c>
      <c r="B19038" s="11" t="str">
        <f>IF(D19038&lt;&gt;"",IF(COUNTIF('USPTO TMs'!A:A,D19038)&gt;0,"Yes","No"),"")</f>
        <v/>
      </c>
      <c r="C19038" s="11"/>
      <c r="D19038" s="11"/>
      <c r="E19038" s="11"/>
      <c r="F19038" s="11"/>
      <c r="G19038" s="11"/>
      <c r="H19038" s="11"/>
      <c r="I19038" s="15"/>
    </row>
    <row r="19039" spans="1:9" ht="16.5">
      <c r="A19039" s="10" t="b">
        <v>0</v>
      </c>
      <c r="B19039" s="11" t="str">
        <f>IF(D19039&lt;&gt;"",IF(COUNTIF('USPTO TMs'!A:A,D19039)&gt;0,"Yes","No"),"")</f>
        <v/>
      </c>
      <c r="C19039" s="11"/>
      <c r="D19039" s="11"/>
      <c r="E19039" s="11"/>
      <c r="F19039" s="11"/>
      <c r="G19039" s="11"/>
      <c r="H19039" s="11"/>
      <c r="I19039" s="15"/>
    </row>
    <row r="19040" spans="1:9" ht="16.5">
      <c r="A19040" s="10" t="b">
        <v>0</v>
      </c>
      <c r="B19040" s="11" t="str">
        <f>IF(D19040&lt;&gt;"",IF(COUNTIF('USPTO TMs'!A:A,D19040)&gt;0,"Yes","No"),"")</f>
        <v/>
      </c>
      <c r="C19040" s="11"/>
      <c r="D19040" s="11"/>
      <c r="E19040" s="11"/>
      <c r="F19040" s="11"/>
      <c r="G19040" s="11"/>
      <c r="H19040" s="11"/>
      <c r="I19040" s="15"/>
    </row>
    <row r="19041" spans="1:9" ht="16.5">
      <c r="A19041" s="10" t="b">
        <v>0</v>
      </c>
      <c r="B19041" s="11" t="str">
        <f>IF(D19041&lt;&gt;"",IF(COUNTIF('USPTO TMs'!A:A,D19041)&gt;0,"Yes","No"),"")</f>
        <v/>
      </c>
      <c r="C19041" s="11"/>
      <c r="D19041" s="11"/>
      <c r="E19041" s="11"/>
      <c r="F19041" s="11"/>
      <c r="G19041" s="11"/>
      <c r="H19041" s="11"/>
      <c r="I19041" s="15"/>
    </row>
    <row r="19042" spans="1:9" ht="16.5">
      <c r="A19042" s="10" t="b">
        <v>0</v>
      </c>
      <c r="B19042" s="11" t="str">
        <f>IF(D19042&lt;&gt;"",IF(COUNTIF('USPTO TMs'!A:A,D19042)&gt;0,"Yes","No"),"")</f>
        <v/>
      </c>
      <c r="C19042" s="11"/>
      <c r="D19042" s="11"/>
      <c r="E19042" s="11"/>
      <c r="F19042" s="11"/>
      <c r="G19042" s="11"/>
      <c r="H19042" s="11"/>
      <c r="I19042" s="15"/>
    </row>
    <row r="19043" spans="1:9" ht="16.5">
      <c r="A19043" s="10" t="b">
        <v>0</v>
      </c>
      <c r="B19043" s="11" t="str">
        <f>IF(D19043&lt;&gt;"",IF(COUNTIF('USPTO TMs'!A:A,D19043)&gt;0,"Yes","No"),"")</f>
        <v/>
      </c>
      <c r="C19043" s="11"/>
      <c r="D19043" s="11"/>
      <c r="E19043" s="11"/>
      <c r="F19043" s="11"/>
      <c r="G19043" s="11"/>
      <c r="H19043" s="11"/>
      <c r="I19043" s="15"/>
    </row>
    <row r="19044" spans="1:9" ht="16.5">
      <c r="A19044" s="10" t="b">
        <v>0</v>
      </c>
      <c r="B19044" s="11" t="str">
        <f>IF(D19044&lt;&gt;"",IF(COUNTIF('USPTO TMs'!A:A,D19044)&gt;0,"Yes","No"),"")</f>
        <v/>
      </c>
      <c r="C19044" s="11"/>
      <c r="D19044" s="11"/>
      <c r="E19044" s="11"/>
      <c r="F19044" s="11"/>
      <c r="G19044" s="11"/>
      <c r="H19044" s="11"/>
      <c r="I19044" s="15"/>
    </row>
    <row r="19045" spans="1:9" ht="16.5">
      <c r="A19045" s="10" t="b">
        <v>0</v>
      </c>
      <c r="B19045" s="11" t="str">
        <f>IF(D19045&lt;&gt;"",IF(COUNTIF('USPTO TMs'!A:A,D19045)&gt;0,"Yes","No"),"")</f>
        <v/>
      </c>
      <c r="C19045" s="11"/>
      <c r="D19045" s="11"/>
      <c r="E19045" s="11"/>
      <c r="F19045" s="11"/>
      <c r="G19045" s="11"/>
      <c r="H19045" s="11"/>
      <c r="I19045" s="15"/>
    </row>
    <row r="19046" spans="1:9" ht="16.5">
      <c r="A19046" s="10" t="b">
        <v>0</v>
      </c>
      <c r="B19046" s="11" t="str">
        <f>IF(D19046&lt;&gt;"",IF(COUNTIF('USPTO TMs'!A:A,D19046)&gt;0,"Yes","No"),"")</f>
        <v/>
      </c>
      <c r="C19046" s="11"/>
      <c r="D19046" s="11"/>
      <c r="E19046" s="11"/>
      <c r="F19046" s="11"/>
      <c r="G19046" s="11"/>
      <c r="H19046" s="11"/>
      <c r="I19046" s="15"/>
    </row>
    <row r="19047" spans="1:9" ht="16.5">
      <c r="A19047" s="10" t="b">
        <v>0</v>
      </c>
      <c r="B19047" s="11" t="str">
        <f>IF(D19047&lt;&gt;"",IF(COUNTIF('USPTO TMs'!A:A,D19047)&gt;0,"Yes","No"),"")</f>
        <v/>
      </c>
      <c r="C19047" s="11"/>
      <c r="D19047" s="11"/>
      <c r="E19047" s="11"/>
      <c r="F19047" s="11"/>
      <c r="G19047" s="11"/>
      <c r="H19047" s="11"/>
      <c r="I19047" s="15"/>
    </row>
    <row r="19048" spans="1:9" ht="16.5">
      <c r="A19048" s="10" t="b">
        <v>0</v>
      </c>
      <c r="B19048" s="11" t="str">
        <f>IF(D19048&lt;&gt;"",IF(COUNTIF('USPTO TMs'!A:A,D19048)&gt;0,"Yes","No"),"")</f>
        <v/>
      </c>
      <c r="C19048" s="11"/>
      <c r="D19048" s="11"/>
      <c r="E19048" s="11"/>
      <c r="F19048" s="11"/>
      <c r="G19048" s="11"/>
      <c r="H19048" s="11"/>
      <c r="I19048" s="15"/>
    </row>
    <row r="19049" spans="1:9" ht="16.5">
      <c r="A19049" s="10" t="b">
        <v>0</v>
      </c>
      <c r="B19049" s="11" t="str">
        <f>IF(D19049&lt;&gt;"",IF(COUNTIF('USPTO TMs'!A:A,D19049)&gt;0,"Yes","No"),"")</f>
        <v/>
      </c>
      <c r="C19049" s="11"/>
      <c r="D19049" s="11"/>
      <c r="E19049" s="11"/>
      <c r="F19049" s="11"/>
      <c r="G19049" s="11"/>
      <c r="H19049" s="11"/>
      <c r="I19049" s="15"/>
    </row>
    <row r="19050" spans="1:9" ht="16.5">
      <c r="A19050" s="10" t="b">
        <v>0</v>
      </c>
      <c r="B19050" s="11" t="str">
        <f>IF(D19050&lt;&gt;"",IF(COUNTIF('USPTO TMs'!A:A,D19050)&gt;0,"Yes","No"),"")</f>
        <v/>
      </c>
      <c r="C19050" s="11"/>
      <c r="D19050" s="11"/>
      <c r="E19050" s="11"/>
      <c r="F19050" s="11"/>
      <c r="G19050" s="11"/>
      <c r="H19050" s="11"/>
      <c r="I19050" s="15"/>
    </row>
    <row r="19051" spans="1:9" ht="16.5">
      <c r="A19051" s="10" t="b">
        <v>0</v>
      </c>
      <c r="B19051" s="11" t="str">
        <f>IF(D19051&lt;&gt;"",IF(COUNTIF('USPTO TMs'!A:A,D19051)&gt;0,"Yes","No"),"")</f>
        <v/>
      </c>
      <c r="C19051" s="11"/>
      <c r="D19051" s="11"/>
      <c r="E19051" s="11"/>
      <c r="F19051" s="11"/>
      <c r="G19051" s="11"/>
      <c r="H19051" s="11"/>
      <c r="I19051" s="15"/>
    </row>
    <row r="19052" spans="1:9" ht="16.5">
      <c r="A19052" s="10" t="b">
        <v>0</v>
      </c>
      <c r="B19052" s="11" t="str">
        <f>IF(D19052&lt;&gt;"",IF(COUNTIF('USPTO TMs'!A:A,D19052)&gt;0,"Yes","No"),"")</f>
        <v/>
      </c>
      <c r="C19052" s="11"/>
      <c r="D19052" s="11"/>
      <c r="E19052" s="11"/>
      <c r="F19052" s="11"/>
      <c r="G19052" s="11"/>
      <c r="H19052" s="11"/>
      <c r="I19052" s="15"/>
    </row>
    <row r="19053" spans="1:9" ht="16.5">
      <c r="A19053" s="10" t="b">
        <v>0</v>
      </c>
      <c r="B19053" s="11" t="str">
        <f>IF(D19053&lt;&gt;"",IF(COUNTIF('USPTO TMs'!A:A,D19053)&gt;0,"Yes","No"),"")</f>
        <v/>
      </c>
      <c r="C19053" s="11"/>
      <c r="D19053" s="11"/>
      <c r="E19053" s="11"/>
      <c r="F19053" s="11"/>
      <c r="G19053" s="11"/>
      <c r="H19053" s="11"/>
      <c r="I19053" s="15"/>
    </row>
    <row r="19054" spans="1:9" ht="16.5">
      <c r="A19054" s="10" t="b">
        <v>0</v>
      </c>
      <c r="B19054" s="11" t="str">
        <f>IF(D19054&lt;&gt;"",IF(COUNTIF('USPTO TMs'!A:A,D19054)&gt;0,"Yes","No"),"")</f>
        <v/>
      </c>
      <c r="C19054" s="11"/>
      <c r="D19054" s="11"/>
      <c r="E19054" s="11"/>
      <c r="F19054" s="11"/>
      <c r="G19054" s="11"/>
      <c r="H19054" s="11"/>
      <c r="I19054" s="15"/>
    </row>
    <row r="19055" spans="1:9" ht="16.5">
      <c r="A19055" s="10" t="b">
        <v>0</v>
      </c>
      <c r="B19055" s="11" t="str">
        <f>IF(D19055&lt;&gt;"",IF(COUNTIF('USPTO TMs'!A:A,D19055)&gt;0,"Yes","No"),"")</f>
        <v/>
      </c>
      <c r="C19055" s="11"/>
      <c r="D19055" s="11"/>
      <c r="E19055" s="11"/>
      <c r="F19055" s="11"/>
      <c r="G19055" s="11"/>
      <c r="H19055" s="11"/>
      <c r="I19055" s="15"/>
    </row>
    <row r="19056" spans="1:9" ht="16.5">
      <c r="A19056" s="10" t="b">
        <v>0</v>
      </c>
      <c r="B19056" s="11" t="str">
        <f>IF(D19056&lt;&gt;"",IF(COUNTIF('USPTO TMs'!A:A,D19056)&gt;0,"Yes","No"),"")</f>
        <v/>
      </c>
      <c r="C19056" s="11"/>
      <c r="D19056" s="11"/>
      <c r="E19056" s="11"/>
      <c r="F19056" s="11"/>
      <c r="G19056" s="11"/>
      <c r="H19056" s="11"/>
      <c r="I19056" s="15"/>
    </row>
    <row r="19057" spans="1:9" ht="16.5">
      <c r="A19057" s="10" t="b">
        <v>0</v>
      </c>
      <c r="B19057" s="11" t="str">
        <f>IF(D19057&lt;&gt;"",IF(COUNTIF('USPTO TMs'!A:A,D19057)&gt;0,"Yes","No"),"")</f>
        <v/>
      </c>
      <c r="C19057" s="11"/>
      <c r="D19057" s="11"/>
      <c r="E19057" s="11"/>
      <c r="F19057" s="11"/>
      <c r="G19057" s="11"/>
      <c r="H19057" s="11"/>
      <c r="I19057" s="15"/>
    </row>
    <row r="19058" spans="1:9" ht="16.5">
      <c r="A19058" s="10" t="b">
        <v>0</v>
      </c>
      <c r="B19058" s="11" t="str">
        <f>IF(D19058&lt;&gt;"",IF(COUNTIF('USPTO TMs'!A:A,D19058)&gt;0,"Yes","No"),"")</f>
        <v/>
      </c>
      <c r="C19058" s="11"/>
      <c r="D19058" s="11"/>
      <c r="E19058" s="11"/>
      <c r="F19058" s="11"/>
      <c r="G19058" s="11"/>
      <c r="H19058" s="11"/>
      <c r="I19058" s="15"/>
    </row>
    <row r="19059" spans="1:9" ht="16.5">
      <c r="A19059" s="10" t="b">
        <v>0</v>
      </c>
      <c r="B19059" s="11" t="str">
        <f>IF(D19059&lt;&gt;"",IF(COUNTIF('USPTO TMs'!A:A,D19059)&gt;0,"Yes","No"),"")</f>
        <v/>
      </c>
      <c r="C19059" s="11"/>
      <c r="D19059" s="11"/>
      <c r="E19059" s="11"/>
      <c r="F19059" s="11"/>
      <c r="G19059" s="11"/>
      <c r="H19059" s="11"/>
      <c r="I19059" s="15"/>
    </row>
    <row r="19060" spans="1:9" ht="16.5">
      <c r="A19060" s="10" t="b">
        <v>0</v>
      </c>
      <c r="B19060" s="11" t="str">
        <f>IF(D19060&lt;&gt;"",IF(COUNTIF('USPTO TMs'!A:A,D19060)&gt;0,"Yes","No"),"")</f>
        <v/>
      </c>
      <c r="C19060" s="11"/>
      <c r="D19060" s="11"/>
      <c r="E19060" s="11"/>
      <c r="F19060" s="11"/>
      <c r="G19060" s="11"/>
      <c r="H19060" s="11"/>
      <c r="I19060" s="15"/>
    </row>
    <row r="19061" spans="1:9" ht="16.5">
      <c r="A19061" s="10" t="b">
        <v>0</v>
      </c>
      <c r="B19061" s="11" t="str">
        <f>IF(D19061&lt;&gt;"",IF(COUNTIF('USPTO TMs'!A:A,D19061)&gt;0,"Yes","No"),"")</f>
        <v/>
      </c>
      <c r="C19061" s="11"/>
      <c r="D19061" s="11"/>
      <c r="E19061" s="11"/>
      <c r="F19061" s="11"/>
      <c r="G19061" s="11"/>
      <c r="H19061" s="11"/>
      <c r="I19061" s="15"/>
    </row>
    <row r="19062" spans="1:9" ht="16.5">
      <c r="A19062" s="10" t="b">
        <v>0</v>
      </c>
      <c r="B19062" s="11" t="str">
        <f>IF(D19062&lt;&gt;"",IF(COUNTIF('USPTO TMs'!A:A,D19062)&gt;0,"Yes","No"),"")</f>
        <v/>
      </c>
      <c r="C19062" s="11"/>
      <c r="D19062" s="11"/>
      <c r="E19062" s="11"/>
      <c r="F19062" s="11"/>
      <c r="G19062" s="11"/>
      <c r="H19062" s="11"/>
      <c r="I19062" s="15"/>
    </row>
    <row r="19063" spans="1:9" ht="16.5">
      <c r="A19063" s="10" t="b">
        <v>0</v>
      </c>
      <c r="B19063" s="11" t="str">
        <f>IF(D19063&lt;&gt;"",IF(COUNTIF('USPTO TMs'!A:A,D19063)&gt;0,"Yes","No"),"")</f>
        <v/>
      </c>
      <c r="C19063" s="11"/>
      <c r="D19063" s="11"/>
      <c r="E19063" s="11"/>
      <c r="F19063" s="11"/>
      <c r="G19063" s="11"/>
      <c r="H19063" s="11"/>
      <c r="I19063" s="15"/>
    </row>
    <row r="19064" spans="1:9" ht="16.5">
      <c r="A19064" s="10" t="b">
        <v>0</v>
      </c>
      <c r="B19064" s="11" t="str">
        <f>IF(D19064&lt;&gt;"",IF(COUNTIF('USPTO TMs'!A:A,D19064)&gt;0,"Yes","No"),"")</f>
        <v/>
      </c>
      <c r="C19064" s="11"/>
      <c r="D19064" s="11"/>
      <c r="E19064" s="11"/>
      <c r="F19064" s="11"/>
      <c r="G19064" s="11"/>
      <c r="H19064" s="11"/>
      <c r="I19064" s="15"/>
    </row>
    <row r="19065" spans="1:9" ht="16.5">
      <c r="A19065" s="10" t="b">
        <v>0</v>
      </c>
      <c r="B19065" s="11" t="str">
        <f>IF(D19065&lt;&gt;"",IF(COUNTIF('USPTO TMs'!A:A,D19065)&gt;0,"Yes","No"),"")</f>
        <v/>
      </c>
      <c r="C19065" s="11"/>
      <c r="D19065" s="11"/>
      <c r="E19065" s="11"/>
      <c r="F19065" s="11"/>
      <c r="G19065" s="11"/>
      <c r="H19065" s="11"/>
      <c r="I19065" s="15"/>
    </row>
    <row r="19066" spans="1:9" ht="16.5">
      <c r="A19066" s="10" t="b">
        <v>0</v>
      </c>
      <c r="B19066" s="11" t="str">
        <f>IF(D19066&lt;&gt;"",IF(COUNTIF('USPTO TMs'!A:A,D19066)&gt;0,"Yes","No"),"")</f>
        <v/>
      </c>
      <c r="C19066" s="11"/>
      <c r="D19066" s="11"/>
      <c r="E19066" s="11"/>
      <c r="F19066" s="11"/>
      <c r="G19066" s="11"/>
      <c r="H19066" s="11"/>
      <c r="I19066" s="15"/>
    </row>
    <row r="19067" spans="1:9" ht="16.5">
      <c r="A19067" s="10" t="b">
        <v>0</v>
      </c>
      <c r="B19067" s="11" t="str">
        <f>IF(D19067&lt;&gt;"",IF(COUNTIF('USPTO TMs'!A:A,D19067)&gt;0,"Yes","No"),"")</f>
        <v/>
      </c>
      <c r="C19067" s="11"/>
      <c r="D19067" s="11"/>
      <c r="E19067" s="11"/>
      <c r="F19067" s="11"/>
      <c r="G19067" s="11"/>
      <c r="H19067" s="11"/>
      <c r="I19067" s="15"/>
    </row>
    <row r="19068" spans="1:9" ht="16.5">
      <c r="A19068" s="10" t="b">
        <v>0</v>
      </c>
      <c r="B19068" s="11" t="str">
        <f>IF(D19068&lt;&gt;"",IF(COUNTIF('USPTO TMs'!A:A,D19068)&gt;0,"Yes","No"),"")</f>
        <v/>
      </c>
      <c r="C19068" s="11"/>
      <c r="D19068" s="11"/>
      <c r="E19068" s="11"/>
      <c r="F19068" s="11"/>
      <c r="G19068" s="11"/>
      <c r="H19068" s="11"/>
      <c r="I19068" s="15"/>
    </row>
    <row r="19069" spans="1:9" ht="16.5">
      <c r="A19069" s="10" t="b">
        <v>0</v>
      </c>
      <c r="B19069" s="11" t="str">
        <f>IF(D19069&lt;&gt;"",IF(COUNTIF('USPTO TMs'!A:A,D19069)&gt;0,"Yes","No"),"")</f>
        <v/>
      </c>
      <c r="C19069" s="11"/>
      <c r="D19069" s="11"/>
      <c r="E19069" s="11"/>
      <c r="F19069" s="11"/>
      <c r="G19069" s="11"/>
      <c r="H19069" s="11"/>
      <c r="I19069" s="15"/>
    </row>
    <row r="19070" spans="1:9" ht="16.5">
      <c r="A19070" s="10" t="b">
        <v>0</v>
      </c>
      <c r="B19070" s="11" t="str">
        <f>IF(D19070&lt;&gt;"",IF(COUNTIF('USPTO TMs'!A:A,D19070)&gt;0,"Yes","No"),"")</f>
        <v/>
      </c>
      <c r="C19070" s="11"/>
      <c r="D19070" s="11"/>
      <c r="E19070" s="11"/>
      <c r="F19070" s="11"/>
      <c r="G19070" s="11"/>
      <c r="H19070" s="11"/>
      <c r="I19070" s="15"/>
    </row>
    <row r="19071" spans="1:9" ht="16.5">
      <c r="A19071" s="10" t="b">
        <v>0</v>
      </c>
      <c r="B19071" s="11" t="str">
        <f>IF(D19071&lt;&gt;"",IF(COUNTIF('USPTO TMs'!A:A,D19071)&gt;0,"Yes","No"),"")</f>
        <v/>
      </c>
      <c r="C19071" s="11"/>
      <c r="D19071" s="11"/>
      <c r="E19071" s="11"/>
      <c r="F19071" s="11"/>
      <c r="G19071" s="11"/>
      <c r="H19071" s="11"/>
      <c r="I19071" s="15"/>
    </row>
    <row r="19072" spans="1:9" ht="16.5">
      <c r="A19072" s="10" t="b">
        <v>0</v>
      </c>
      <c r="B19072" s="11" t="str">
        <f>IF(D19072&lt;&gt;"",IF(COUNTIF('USPTO TMs'!A:A,D19072)&gt;0,"Yes","No"),"")</f>
        <v/>
      </c>
      <c r="C19072" s="11"/>
      <c r="D19072" s="11"/>
      <c r="E19072" s="11"/>
      <c r="F19072" s="11"/>
      <c r="G19072" s="11"/>
      <c r="H19072" s="11"/>
      <c r="I19072" s="15"/>
    </row>
    <row r="19073" spans="1:9" ht="16.5">
      <c r="A19073" s="10" t="b">
        <v>0</v>
      </c>
      <c r="B19073" s="11" t="str">
        <f>IF(D19073&lt;&gt;"",IF(COUNTIF('USPTO TMs'!A:A,D19073)&gt;0,"Yes","No"),"")</f>
        <v/>
      </c>
      <c r="C19073" s="11"/>
      <c r="D19073" s="11"/>
      <c r="E19073" s="11"/>
      <c r="F19073" s="11"/>
      <c r="G19073" s="11"/>
      <c r="H19073" s="11"/>
      <c r="I19073" s="15"/>
    </row>
    <row r="19074" spans="1:9" ht="16.5">
      <c r="A19074" s="10" t="b">
        <v>0</v>
      </c>
      <c r="B19074" s="11" t="str">
        <f>IF(D19074&lt;&gt;"",IF(COUNTIF('USPTO TMs'!A:A,D19074)&gt;0,"Yes","No"),"")</f>
        <v/>
      </c>
      <c r="C19074" s="11"/>
      <c r="D19074" s="11"/>
      <c r="E19074" s="11"/>
      <c r="F19074" s="11"/>
      <c r="G19074" s="11"/>
      <c r="H19074" s="11"/>
      <c r="I19074" s="15"/>
    </row>
    <row r="19075" spans="1:9" ht="16.5">
      <c r="A19075" s="10" t="b">
        <v>0</v>
      </c>
      <c r="B19075" s="11" t="str">
        <f>IF(D19075&lt;&gt;"",IF(COUNTIF('USPTO TMs'!A:A,D19075)&gt;0,"Yes","No"),"")</f>
        <v/>
      </c>
      <c r="C19075" s="11"/>
      <c r="D19075" s="11"/>
      <c r="E19075" s="11"/>
      <c r="F19075" s="11"/>
      <c r="G19075" s="11"/>
      <c r="H19075" s="11"/>
      <c r="I19075" s="15"/>
    </row>
    <row r="19076" spans="1:9" ht="16.5">
      <c r="A19076" s="10" t="b">
        <v>0</v>
      </c>
      <c r="B19076" s="11" t="str">
        <f>IF(D19076&lt;&gt;"",IF(COUNTIF('USPTO TMs'!A:A,D19076)&gt;0,"Yes","No"),"")</f>
        <v/>
      </c>
      <c r="C19076" s="11"/>
      <c r="D19076" s="11"/>
      <c r="E19076" s="11"/>
      <c r="F19076" s="11"/>
      <c r="G19076" s="11"/>
      <c r="H19076" s="11"/>
      <c r="I19076" s="15"/>
    </row>
    <row r="19077" spans="1:9" ht="16.5">
      <c r="A19077" s="10" t="b">
        <v>0</v>
      </c>
      <c r="B19077" s="11" t="str">
        <f>IF(D19077&lt;&gt;"",IF(COUNTIF('USPTO TMs'!A:A,D19077)&gt;0,"Yes","No"),"")</f>
        <v/>
      </c>
      <c r="C19077" s="11"/>
      <c r="D19077" s="11"/>
      <c r="E19077" s="11"/>
      <c r="F19077" s="11"/>
      <c r="G19077" s="11"/>
      <c r="H19077" s="11"/>
      <c r="I19077" s="15"/>
    </row>
    <row r="19078" spans="1:9" ht="16.5">
      <c r="A19078" s="10" t="b">
        <v>0</v>
      </c>
      <c r="B19078" s="11" t="str">
        <f>IF(D19078&lt;&gt;"",IF(COUNTIF('USPTO TMs'!A:A,D19078)&gt;0,"Yes","No"),"")</f>
        <v/>
      </c>
      <c r="C19078" s="11"/>
      <c r="D19078" s="11"/>
      <c r="E19078" s="11"/>
      <c r="F19078" s="11"/>
      <c r="G19078" s="11"/>
      <c r="H19078" s="11"/>
      <c r="I19078" s="15"/>
    </row>
    <row r="19079" spans="1:9" ht="16.5">
      <c r="A19079" s="10" t="b">
        <v>0</v>
      </c>
      <c r="B19079" s="11" t="str">
        <f>IF(D19079&lt;&gt;"",IF(COUNTIF('USPTO TMs'!A:A,D19079)&gt;0,"Yes","No"),"")</f>
        <v/>
      </c>
      <c r="C19079" s="11"/>
      <c r="D19079" s="11"/>
      <c r="E19079" s="11"/>
      <c r="F19079" s="11"/>
      <c r="G19079" s="11"/>
      <c r="H19079" s="11"/>
      <c r="I19079" s="15"/>
    </row>
    <row r="19080" spans="1:9" ht="16.5">
      <c r="A19080" s="10" t="b">
        <v>0</v>
      </c>
      <c r="B19080" s="11" t="str">
        <f>IF(D19080&lt;&gt;"",IF(COUNTIF('USPTO TMs'!A:A,D19080)&gt;0,"Yes","No"),"")</f>
        <v/>
      </c>
      <c r="C19080" s="11"/>
      <c r="D19080" s="11"/>
      <c r="E19080" s="11"/>
      <c r="F19080" s="11"/>
      <c r="G19080" s="11"/>
      <c r="H19080" s="11"/>
      <c r="I19080" s="15"/>
    </row>
    <row r="19081" spans="1:9" ht="16.5">
      <c r="A19081" s="10" t="b">
        <v>0</v>
      </c>
      <c r="B19081" s="11" t="str">
        <f>IF(D19081&lt;&gt;"",IF(COUNTIF('USPTO TMs'!A:A,D19081)&gt;0,"Yes","No"),"")</f>
        <v/>
      </c>
      <c r="C19081" s="11"/>
      <c r="D19081" s="11"/>
      <c r="E19081" s="11"/>
      <c r="F19081" s="11"/>
      <c r="G19081" s="11"/>
      <c r="H19081" s="11"/>
      <c r="I19081" s="15"/>
    </row>
    <row r="19082" spans="1:9" ht="16.5">
      <c r="A19082" s="10" t="b">
        <v>0</v>
      </c>
      <c r="B19082" s="11" t="str">
        <f>IF(D19082&lt;&gt;"",IF(COUNTIF('USPTO TMs'!A:A,D19082)&gt;0,"Yes","No"),"")</f>
        <v/>
      </c>
      <c r="C19082" s="11"/>
      <c r="D19082" s="11"/>
      <c r="E19082" s="11"/>
      <c r="F19082" s="11"/>
      <c r="G19082" s="11"/>
      <c r="H19082" s="11"/>
      <c r="I19082" s="15"/>
    </row>
    <row r="19083" spans="1:9" ht="16.5">
      <c r="A19083" s="10" t="b">
        <v>0</v>
      </c>
      <c r="B19083" s="11" t="str">
        <f>IF(D19083&lt;&gt;"",IF(COUNTIF('USPTO TMs'!A:A,D19083)&gt;0,"Yes","No"),"")</f>
        <v/>
      </c>
      <c r="C19083" s="11"/>
      <c r="D19083" s="11"/>
      <c r="E19083" s="11"/>
      <c r="F19083" s="11"/>
      <c r="G19083" s="11"/>
      <c r="H19083" s="11"/>
      <c r="I19083" s="15"/>
    </row>
    <row r="19084" spans="1:9" ht="16.5">
      <c r="A19084" s="10" t="b">
        <v>0</v>
      </c>
      <c r="B19084" s="11" t="str">
        <f>IF(D19084&lt;&gt;"",IF(COUNTIF('USPTO TMs'!A:A,D19084)&gt;0,"Yes","No"),"")</f>
        <v/>
      </c>
      <c r="C19084" s="11"/>
      <c r="D19084" s="11"/>
      <c r="E19084" s="11"/>
      <c r="F19084" s="11"/>
      <c r="G19084" s="11"/>
      <c r="H19084" s="11"/>
      <c r="I19084" s="15"/>
    </row>
    <row r="19085" spans="1:9" ht="16.5">
      <c r="A19085" s="10" t="b">
        <v>0</v>
      </c>
      <c r="B19085" s="11" t="str">
        <f>IF(D19085&lt;&gt;"",IF(COUNTIF('USPTO TMs'!A:A,D19085)&gt;0,"Yes","No"),"")</f>
        <v/>
      </c>
      <c r="C19085" s="11"/>
      <c r="D19085" s="11"/>
      <c r="E19085" s="11"/>
      <c r="F19085" s="11"/>
      <c r="G19085" s="11"/>
      <c r="H19085" s="11"/>
      <c r="I19085" s="15"/>
    </row>
    <row r="19086" spans="1:9" ht="16.5">
      <c r="A19086" s="10" t="b">
        <v>0</v>
      </c>
      <c r="B19086" s="11" t="str">
        <f>IF(D19086&lt;&gt;"",IF(COUNTIF('USPTO TMs'!A:A,D19086)&gt;0,"Yes","No"),"")</f>
        <v/>
      </c>
      <c r="C19086" s="11"/>
      <c r="D19086" s="11"/>
      <c r="E19086" s="11"/>
      <c r="F19086" s="11"/>
      <c r="G19086" s="11"/>
      <c r="H19086" s="11"/>
      <c r="I19086" s="15"/>
    </row>
    <row r="19087" spans="1:9" ht="16.5">
      <c r="A19087" s="10" t="b">
        <v>0</v>
      </c>
      <c r="B19087" s="11" t="str">
        <f>IF(D19087&lt;&gt;"",IF(COUNTIF('USPTO TMs'!A:A,D19087)&gt;0,"Yes","No"),"")</f>
        <v/>
      </c>
      <c r="C19087" s="11"/>
      <c r="D19087" s="11"/>
      <c r="E19087" s="11"/>
      <c r="F19087" s="11"/>
      <c r="G19087" s="11"/>
      <c r="H19087" s="11"/>
      <c r="I19087" s="15"/>
    </row>
    <row r="19088" spans="1:9" ht="16.5">
      <c r="A19088" s="10" t="b">
        <v>0</v>
      </c>
      <c r="B19088" s="11" t="str">
        <f>IF(D19088&lt;&gt;"",IF(COUNTIF('USPTO TMs'!A:A,D19088)&gt;0,"Yes","No"),"")</f>
        <v/>
      </c>
      <c r="C19088" s="11"/>
      <c r="D19088" s="11"/>
      <c r="E19088" s="11"/>
      <c r="F19088" s="11"/>
      <c r="G19088" s="11"/>
      <c r="H19088" s="11"/>
      <c r="I19088" s="15"/>
    </row>
    <row r="19089" spans="1:9" ht="16.5">
      <c r="A19089" s="10" t="b">
        <v>0</v>
      </c>
      <c r="B19089" s="11" t="str">
        <f>IF(D19089&lt;&gt;"",IF(COUNTIF('USPTO TMs'!A:A,D19089)&gt;0,"Yes","No"),"")</f>
        <v/>
      </c>
      <c r="C19089" s="11"/>
      <c r="D19089" s="11"/>
      <c r="E19089" s="11"/>
      <c r="F19089" s="11"/>
      <c r="G19089" s="11"/>
      <c r="H19089" s="11"/>
      <c r="I19089" s="15"/>
    </row>
    <row r="19090" spans="1:9" ht="16.5">
      <c r="A19090" s="10" t="b">
        <v>0</v>
      </c>
      <c r="B19090" s="11" t="str">
        <f>IF(D19090&lt;&gt;"",IF(COUNTIF('USPTO TMs'!A:A,D19090)&gt;0,"Yes","No"),"")</f>
        <v/>
      </c>
      <c r="C19090" s="11"/>
      <c r="D19090" s="11"/>
      <c r="E19090" s="11"/>
      <c r="F19090" s="11"/>
      <c r="G19090" s="11"/>
      <c r="H19090" s="11"/>
      <c r="I19090" s="15"/>
    </row>
    <row r="19091" spans="1:9" ht="16.5">
      <c r="A19091" s="10" t="b">
        <v>0</v>
      </c>
      <c r="B19091" s="11" t="str">
        <f>IF(D19091&lt;&gt;"",IF(COUNTIF('USPTO TMs'!A:A,D19091)&gt;0,"Yes","No"),"")</f>
        <v/>
      </c>
      <c r="C19091" s="11"/>
      <c r="D19091" s="11"/>
      <c r="E19091" s="11"/>
      <c r="F19091" s="11"/>
      <c r="G19091" s="11"/>
      <c r="H19091" s="11"/>
      <c r="I19091" s="15"/>
    </row>
    <row r="19092" spans="1:9" ht="16.5">
      <c r="A19092" s="10" t="b">
        <v>0</v>
      </c>
      <c r="B19092" s="11" t="str">
        <f>IF(D19092&lt;&gt;"",IF(COUNTIF('USPTO TMs'!A:A,D19092)&gt;0,"Yes","No"),"")</f>
        <v/>
      </c>
      <c r="C19092" s="11"/>
      <c r="D19092" s="11"/>
      <c r="E19092" s="11"/>
      <c r="F19092" s="11"/>
      <c r="G19092" s="11"/>
      <c r="H19092" s="11"/>
      <c r="I19092" s="15"/>
    </row>
    <row r="19093" spans="1:9" ht="16.5">
      <c r="A19093" s="10" t="b">
        <v>0</v>
      </c>
      <c r="B19093" s="11" t="str">
        <f>IF(D19093&lt;&gt;"",IF(COUNTIF('USPTO TMs'!A:A,D19093)&gt;0,"Yes","No"),"")</f>
        <v/>
      </c>
      <c r="C19093" s="11"/>
      <c r="D19093" s="11"/>
      <c r="E19093" s="11"/>
      <c r="F19093" s="11"/>
      <c r="G19093" s="11"/>
      <c r="H19093" s="11"/>
      <c r="I19093" s="15"/>
    </row>
    <row r="19094" spans="1:9" ht="16.5">
      <c r="A19094" s="10" t="b">
        <v>0</v>
      </c>
      <c r="B19094" s="11" t="str">
        <f>IF(D19094&lt;&gt;"",IF(COUNTIF('USPTO TMs'!A:A,D19094)&gt;0,"Yes","No"),"")</f>
        <v/>
      </c>
      <c r="C19094" s="11"/>
      <c r="D19094" s="11"/>
      <c r="E19094" s="11"/>
      <c r="F19094" s="11"/>
      <c r="G19094" s="11"/>
      <c r="H19094" s="11"/>
      <c r="I19094" s="15"/>
    </row>
    <row r="19095" spans="1:9" ht="16.5">
      <c r="A19095" s="10" t="b">
        <v>0</v>
      </c>
      <c r="B19095" s="11" t="str">
        <f>IF(D19095&lt;&gt;"",IF(COUNTIF('USPTO TMs'!A:A,D19095)&gt;0,"Yes","No"),"")</f>
        <v/>
      </c>
      <c r="C19095" s="11"/>
      <c r="D19095" s="11"/>
      <c r="E19095" s="11"/>
      <c r="F19095" s="11"/>
      <c r="G19095" s="11"/>
      <c r="H19095" s="11"/>
      <c r="I19095" s="15"/>
    </row>
    <row r="19096" spans="1:9" ht="16.5">
      <c r="A19096" s="10" t="b">
        <v>0</v>
      </c>
      <c r="B19096" s="11" t="str">
        <f>IF(D19096&lt;&gt;"",IF(COUNTIF('USPTO TMs'!A:A,D19096)&gt;0,"Yes","No"),"")</f>
        <v/>
      </c>
      <c r="C19096" s="11"/>
      <c r="D19096" s="11"/>
      <c r="E19096" s="11"/>
      <c r="F19096" s="11"/>
      <c r="G19096" s="11"/>
      <c r="H19096" s="11"/>
      <c r="I19096" s="15"/>
    </row>
    <row r="19097" spans="1:9" ht="16.5">
      <c r="A19097" s="10" t="b">
        <v>0</v>
      </c>
      <c r="B19097" s="11" t="str">
        <f>IF(D19097&lt;&gt;"",IF(COUNTIF('USPTO TMs'!A:A,D19097)&gt;0,"Yes","No"),"")</f>
        <v/>
      </c>
      <c r="C19097" s="11"/>
      <c r="D19097" s="11"/>
      <c r="E19097" s="11"/>
      <c r="F19097" s="11"/>
      <c r="G19097" s="11"/>
      <c r="H19097" s="11"/>
      <c r="I19097" s="15"/>
    </row>
    <row r="19098" spans="1:9" ht="16.5">
      <c r="A19098" s="10" t="b">
        <v>0</v>
      </c>
      <c r="B19098" s="11" t="str">
        <f>IF(D19098&lt;&gt;"",IF(COUNTIF('USPTO TMs'!A:A,D19098)&gt;0,"Yes","No"),"")</f>
        <v/>
      </c>
      <c r="C19098" s="11"/>
      <c r="D19098" s="11"/>
      <c r="E19098" s="11"/>
      <c r="F19098" s="11"/>
      <c r="G19098" s="11"/>
      <c r="H19098" s="11"/>
      <c r="I19098" s="15"/>
    </row>
    <row r="19099" spans="1:9" ht="16.5">
      <c r="A19099" s="10" t="b">
        <v>0</v>
      </c>
      <c r="B19099" s="11" t="str">
        <f>IF(D19099&lt;&gt;"",IF(COUNTIF('USPTO TMs'!A:A,D19099)&gt;0,"Yes","No"),"")</f>
        <v/>
      </c>
      <c r="C19099" s="11"/>
      <c r="D19099" s="11"/>
      <c r="E19099" s="11"/>
      <c r="F19099" s="11"/>
      <c r="G19099" s="11"/>
      <c r="H19099" s="11"/>
      <c r="I19099" s="15"/>
    </row>
    <row r="19100" spans="1:9" ht="16.5">
      <c r="A19100" s="10" t="b">
        <v>0</v>
      </c>
      <c r="B19100" s="11" t="str">
        <f>IF(D19100&lt;&gt;"",IF(COUNTIF('USPTO TMs'!A:A,D19100)&gt;0,"Yes","No"),"")</f>
        <v/>
      </c>
      <c r="C19100" s="11"/>
      <c r="D19100" s="11"/>
      <c r="E19100" s="11"/>
      <c r="F19100" s="11"/>
      <c r="G19100" s="11"/>
      <c r="H19100" s="11"/>
      <c r="I19100" s="15"/>
    </row>
    <row r="19101" spans="1:9" ht="16.5">
      <c r="A19101" s="10" t="b">
        <v>0</v>
      </c>
      <c r="B19101" s="11" t="str">
        <f>IF(D19101&lt;&gt;"",IF(COUNTIF('USPTO TMs'!A:A,D19101)&gt;0,"Yes","No"),"")</f>
        <v/>
      </c>
      <c r="C19101" s="11"/>
      <c r="D19101" s="11"/>
      <c r="E19101" s="11"/>
      <c r="F19101" s="11"/>
      <c r="G19101" s="11"/>
      <c r="H19101" s="11"/>
      <c r="I19101" s="15"/>
    </row>
    <row r="19102" spans="1:9" ht="16.5">
      <c r="A19102" s="10" t="b">
        <v>0</v>
      </c>
      <c r="B19102" s="11" t="str">
        <f>IF(D19102&lt;&gt;"",IF(COUNTIF('USPTO TMs'!A:A,D19102)&gt;0,"Yes","No"),"")</f>
        <v/>
      </c>
      <c r="C19102" s="11"/>
      <c r="D19102" s="11"/>
      <c r="E19102" s="11"/>
      <c r="F19102" s="11"/>
      <c r="G19102" s="11"/>
      <c r="H19102" s="11"/>
      <c r="I19102" s="15"/>
    </row>
    <row r="19103" spans="1:9" ht="16.5">
      <c r="A19103" s="10" t="b">
        <v>0</v>
      </c>
      <c r="B19103" s="11" t="str">
        <f>IF(D19103&lt;&gt;"",IF(COUNTIF('USPTO TMs'!A:A,D19103)&gt;0,"Yes","No"),"")</f>
        <v/>
      </c>
      <c r="C19103" s="11"/>
      <c r="D19103" s="11"/>
      <c r="E19103" s="11"/>
      <c r="F19103" s="11"/>
      <c r="G19103" s="11"/>
      <c r="H19103" s="11"/>
      <c r="I19103" s="15"/>
    </row>
    <row r="19104" spans="1:9" ht="16.5">
      <c r="A19104" s="10" t="b">
        <v>0</v>
      </c>
      <c r="B19104" s="11" t="str">
        <f>IF(D19104&lt;&gt;"",IF(COUNTIF('USPTO TMs'!A:A,D19104)&gt;0,"Yes","No"),"")</f>
        <v/>
      </c>
      <c r="C19104" s="11"/>
      <c r="D19104" s="11"/>
      <c r="E19104" s="11"/>
      <c r="F19104" s="11"/>
      <c r="G19104" s="11"/>
      <c r="H19104" s="11"/>
      <c r="I19104" s="15"/>
    </row>
    <row r="19105" spans="1:9" ht="16.5">
      <c r="A19105" s="10" t="b">
        <v>0</v>
      </c>
      <c r="B19105" s="11" t="str">
        <f>IF(D19105&lt;&gt;"",IF(COUNTIF('USPTO TMs'!A:A,D19105)&gt;0,"Yes","No"),"")</f>
        <v/>
      </c>
      <c r="C19105" s="11"/>
      <c r="D19105" s="11"/>
      <c r="E19105" s="11"/>
      <c r="F19105" s="11"/>
      <c r="G19105" s="11"/>
      <c r="H19105" s="11"/>
      <c r="I19105" s="15"/>
    </row>
    <row r="19106" spans="1:9" ht="16.5">
      <c r="A19106" s="10" t="b">
        <v>0</v>
      </c>
      <c r="B19106" s="11" t="str">
        <f>IF(D19106&lt;&gt;"",IF(COUNTIF('USPTO TMs'!A:A,D19106)&gt;0,"Yes","No"),"")</f>
        <v/>
      </c>
      <c r="C19106" s="11"/>
      <c r="D19106" s="11"/>
      <c r="E19106" s="11"/>
      <c r="F19106" s="11"/>
      <c r="G19106" s="11"/>
      <c r="H19106" s="11"/>
      <c r="I19106" s="15"/>
    </row>
    <row r="19107" spans="1:9" ht="16.5">
      <c r="A19107" s="10" t="b">
        <v>0</v>
      </c>
      <c r="B19107" s="11" t="str">
        <f>IF(D19107&lt;&gt;"",IF(COUNTIF('USPTO TMs'!A:A,D19107)&gt;0,"Yes","No"),"")</f>
        <v/>
      </c>
      <c r="C19107" s="11"/>
      <c r="D19107" s="11"/>
      <c r="E19107" s="11"/>
      <c r="F19107" s="11"/>
      <c r="G19107" s="11"/>
      <c r="H19107" s="11"/>
      <c r="I19107" s="15"/>
    </row>
    <row r="19108" spans="1:9" ht="16.5">
      <c r="A19108" s="10" t="b">
        <v>0</v>
      </c>
      <c r="B19108" s="11" t="str">
        <f>IF(D19108&lt;&gt;"",IF(COUNTIF('USPTO TMs'!A:A,D19108)&gt;0,"Yes","No"),"")</f>
        <v/>
      </c>
      <c r="C19108" s="11"/>
      <c r="D19108" s="11"/>
      <c r="E19108" s="11"/>
      <c r="F19108" s="11"/>
      <c r="G19108" s="11"/>
      <c r="H19108" s="11"/>
      <c r="I19108" s="15"/>
    </row>
    <row r="19109" spans="1:9" ht="16.5">
      <c r="A19109" s="10" t="b">
        <v>0</v>
      </c>
      <c r="B19109" s="11" t="str">
        <f>IF(D19109&lt;&gt;"",IF(COUNTIF('USPTO TMs'!A:A,D19109)&gt;0,"Yes","No"),"")</f>
        <v/>
      </c>
      <c r="C19109" s="11"/>
      <c r="D19109" s="11"/>
      <c r="E19109" s="11"/>
      <c r="F19109" s="11"/>
      <c r="G19109" s="11"/>
      <c r="H19109" s="11"/>
      <c r="I19109" s="15"/>
    </row>
    <row r="19110" spans="1:9" ht="16.5">
      <c r="A19110" s="10" t="b">
        <v>0</v>
      </c>
      <c r="B19110" s="11" t="str">
        <f>IF(D19110&lt;&gt;"",IF(COUNTIF('USPTO TMs'!A:A,D19110)&gt;0,"Yes","No"),"")</f>
        <v/>
      </c>
      <c r="C19110" s="11"/>
      <c r="D19110" s="11"/>
      <c r="E19110" s="11"/>
      <c r="F19110" s="11"/>
      <c r="G19110" s="11"/>
      <c r="H19110" s="11"/>
      <c r="I19110" s="15"/>
    </row>
    <row r="19111" spans="1:9" ht="16.5">
      <c r="A19111" s="10" t="b">
        <v>0</v>
      </c>
      <c r="B19111" s="11" t="str">
        <f>IF(D19111&lt;&gt;"",IF(COUNTIF('USPTO TMs'!A:A,D19111)&gt;0,"Yes","No"),"")</f>
        <v/>
      </c>
      <c r="C19111" s="11"/>
      <c r="D19111" s="11"/>
      <c r="E19111" s="11"/>
      <c r="F19111" s="11"/>
      <c r="G19111" s="11"/>
      <c r="H19111" s="11"/>
      <c r="I19111" s="15"/>
    </row>
    <row r="19112" spans="1:9" ht="16.5">
      <c r="A19112" s="10" t="b">
        <v>0</v>
      </c>
      <c r="B19112" s="11" t="str">
        <f>IF(D19112&lt;&gt;"",IF(COUNTIF('USPTO TMs'!A:A,D19112)&gt;0,"Yes","No"),"")</f>
        <v/>
      </c>
      <c r="C19112" s="11"/>
      <c r="D19112" s="11"/>
      <c r="E19112" s="11"/>
      <c r="F19112" s="11"/>
      <c r="G19112" s="11"/>
      <c r="H19112" s="11"/>
      <c r="I19112" s="15"/>
    </row>
    <row r="19113" spans="1:9" ht="16.5">
      <c r="A19113" s="10" t="b">
        <v>0</v>
      </c>
      <c r="B19113" s="11" t="str">
        <f>IF(D19113&lt;&gt;"",IF(COUNTIF('USPTO TMs'!A:A,D19113)&gt;0,"Yes","No"),"")</f>
        <v/>
      </c>
      <c r="C19113" s="11"/>
      <c r="D19113" s="11"/>
      <c r="E19113" s="11"/>
      <c r="F19113" s="11"/>
      <c r="G19113" s="11"/>
      <c r="H19113" s="11"/>
      <c r="I19113" s="15"/>
    </row>
    <row r="19114" spans="1:9" ht="16.5">
      <c r="A19114" s="10" t="b">
        <v>0</v>
      </c>
      <c r="B19114" s="11" t="str">
        <f>IF(D19114&lt;&gt;"",IF(COUNTIF('USPTO TMs'!A:A,D19114)&gt;0,"Yes","No"),"")</f>
        <v/>
      </c>
      <c r="C19114" s="11"/>
      <c r="D19114" s="11"/>
      <c r="E19114" s="11"/>
      <c r="F19114" s="11"/>
      <c r="G19114" s="11"/>
      <c r="H19114" s="11"/>
      <c r="I19114" s="15"/>
    </row>
    <row r="19115" spans="1:9" ht="16.5">
      <c r="A19115" s="10" t="b">
        <v>0</v>
      </c>
      <c r="B19115" s="11" t="str">
        <f>IF(D19115&lt;&gt;"",IF(COUNTIF('USPTO TMs'!A:A,D19115)&gt;0,"Yes","No"),"")</f>
        <v/>
      </c>
      <c r="C19115" s="11"/>
      <c r="D19115" s="11"/>
      <c r="E19115" s="11"/>
      <c r="F19115" s="11"/>
      <c r="G19115" s="11"/>
      <c r="H19115" s="11"/>
      <c r="I19115" s="15"/>
    </row>
    <row r="19116" spans="1:9" ht="16.5">
      <c r="A19116" s="10" t="b">
        <v>0</v>
      </c>
      <c r="B19116" s="11" t="str">
        <f>IF(D19116&lt;&gt;"",IF(COUNTIF('USPTO TMs'!A:A,D19116)&gt;0,"Yes","No"),"")</f>
        <v/>
      </c>
      <c r="C19116" s="11"/>
      <c r="D19116" s="11"/>
      <c r="E19116" s="11"/>
      <c r="F19116" s="11"/>
      <c r="G19116" s="11"/>
      <c r="H19116" s="11"/>
      <c r="I19116" s="15"/>
    </row>
    <row r="19117" spans="1:9" ht="16.5">
      <c r="A19117" s="10" t="b">
        <v>0</v>
      </c>
      <c r="B19117" s="11" t="str">
        <f>IF(D19117&lt;&gt;"",IF(COUNTIF('USPTO TMs'!A:A,D19117)&gt;0,"Yes","No"),"")</f>
        <v/>
      </c>
      <c r="C19117" s="11"/>
      <c r="D19117" s="11"/>
      <c r="E19117" s="11"/>
      <c r="F19117" s="11"/>
      <c r="G19117" s="11"/>
      <c r="H19117" s="11"/>
      <c r="I19117" s="15"/>
    </row>
    <row r="19118" spans="1:9" ht="16.5">
      <c r="A19118" s="10" t="b">
        <v>0</v>
      </c>
      <c r="B19118" s="11" t="str">
        <f>IF(D19118&lt;&gt;"",IF(COUNTIF('USPTO TMs'!A:A,D19118)&gt;0,"Yes","No"),"")</f>
        <v/>
      </c>
      <c r="C19118" s="11"/>
      <c r="D19118" s="11"/>
      <c r="E19118" s="11"/>
      <c r="F19118" s="11"/>
      <c r="G19118" s="11"/>
      <c r="H19118" s="11"/>
      <c r="I19118" s="15"/>
    </row>
    <row r="19119" spans="1:9" ht="16.5">
      <c r="A19119" s="10" t="b">
        <v>0</v>
      </c>
      <c r="B19119" s="11" t="str">
        <f>IF(D19119&lt;&gt;"",IF(COUNTIF('USPTO TMs'!A:A,D19119)&gt;0,"Yes","No"),"")</f>
        <v/>
      </c>
      <c r="C19119" s="11"/>
      <c r="D19119" s="11"/>
      <c r="E19119" s="11"/>
      <c r="F19119" s="11"/>
      <c r="G19119" s="11"/>
      <c r="H19119" s="11"/>
      <c r="I19119" s="15"/>
    </row>
    <row r="19120" spans="1:9" ht="16.5">
      <c r="A19120" s="10" t="b">
        <v>0</v>
      </c>
      <c r="B19120" s="11" t="str">
        <f>IF(D19120&lt;&gt;"",IF(COUNTIF('USPTO TMs'!A:A,D19120)&gt;0,"Yes","No"),"")</f>
        <v/>
      </c>
      <c r="C19120" s="11"/>
      <c r="D19120" s="11"/>
      <c r="E19120" s="11"/>
      <c r="F19120" s="11"/>
      <c r="G19120" s="11"/>
      <c r="H19120" s="11"/>
      <c r="I19120" s="15"/>
    </row>
    <row r="19121" spans="1:9" ht="16.5">
      <c r="A19121" s="10" t="b">
        <v>0</v>
      </c>
      <c r="B19121" s="11" t="str">
        <f>IF(D19121&lt;&gt;"",IF(COUNTIF('USPTO TMs'!A:A,D19121)&gt;0,"Yes","No"),"")</f>
        <v/>
      </c>
      <c r="C19121" s="11"/>
      <c r="D19121" s="11"/>
      <c r="E19121" s="11"/>
      <c r="F19121" s="11"/>
      <c r="G19121" s="11"/>
      <c r="H19121" s="11"/>
      <c r="I19121" s="15"/>
    </row>
    <row r="19122" spans="1:9" ht="16.5">
      <c r="A19122" s="10" t="b">
        <v>0</v>
      </c>
      <c r="B19122" s="11" t="str">
        <f>IF(D19122&lt;&gt;"",IF(COUNTIF('USPTO TMs'!A:A,D19122)&gt;0,"Yes","No"),"")</f>
        <v/>
      </c>
      <c r="C19122" s="11"/>
      <c r="D19122" s="11"/>
      <c r="E19122" s="11"/>
      <c r="F19122" s="11"/>
      <c r="G19122" s="11"/>
      <c r="H19122" s="11"/>
      <c r="I19122" s="15"/>
    </row>
    <row r="19123" spans="1:9" ht="16.5">
      <c r="A19123" s="10" t="b">
        <v>0</v>
      </c>
      <c r="B19123" s="11" t="str">
        <f>IF(D19123&lt;&gt;"",IF(COUNTIF('USPTO TMs'!A:A,D19123)&gt;0,"Yes","No"),"")</f>
        <v/>
      </c>
      <c r="C19123" s="11"/>
      <c r="D19123" s="11"/>
      <c r="E19123" s="11"/>
      <c r="F19123" s="11"/>
      <c r="G19123" s="11"/>
      <c r="H19123" s="11"/>
      <c r="I19123" s="15"/>
    </row>
    <row r="19124" spans="1:9" ht="16.5">
      <c r="A19124" s="10" t="b">
        <v>0</v>
      </c>
      <c r="B19124" s="11" t="str">
        <f>IF(D19124&lt;&gt;"",IF(COUNTIF('USPTO TMs'!A:A,D19124)&gt;0,"Yes","No"),"")</f>
        <v/>
      </c>
      <c r="C19124" s="11"/>
      <c r="D19124" s="11"/>
      <c r="E19124" s="11"/>
      <c r="F19124" s="11"/>
      <c r="G19124" s="11"/>
      <c r="H19124" s="11"/>
      <c r="I19124" s="15"/>
    </row>
    <row r="19125" spans="1:9" ht="16.5">
      <c r="A19125" s="10" t="b">
        <v>0</v>
      </c>
      <c r="B19125" s="11" t="str">
        <f>IF(D19125&lt;&gt;"",IF(COUNTIF('USPTO TMs'!A:A,D19125)&gt;0,"Yes","No"),"")</f>
        <v/>
      </c>
      <c r="C19125" s="11"/>
      <c r="D19125" s="11"/>
      <c r="E19125" s="11"/>
      <c r="F19125" s="11"/>
      <c r="G19125" s="11"/>
      <c r="H19125" s="11"/>
      <c r="I19125" s="15"/>
    </row>
    <row r="19126" spans="1:9" ht="16.5">
      <c r="A19126" s="10" t="b">
        <v>0</v>
      </c>
      <c r="B19126" s="11" t="str">
        <f>IF(D19126&lt;&gt;"",IF(COUNTIF('USPTO TMs'!A:A,D19126)&gt;0,"Yes","No"),"")</f>
        <v/>
      </c>
      <c r="C19126" s="11"/>
      <c r="D19126" s="11"/>
      <c r="E19126" s="11"/>
      <c r="F19126" s="11"/>
      <c r="G19126" s="11"/>
      <c r="H19126" s="11"/>
      <c r="I19126" s="15"/>
    </row>
    <row r="19127" spans="1:9" ht="16.5">
      <c r="A19127" s="10" t="b">
        <v>0</v>
      </c>
      <c r="B19127" s="11" t="str">
        <f>IF(D19127&lt;&gt;"",IF(COUNTIF('USPTO TMs'!A:A,D19127)&gt;0,"Yes","No"),"")</f>
        <v/>
      </c>
      <c r="C19127" s="11"/>
      <c r="D19127" s="11"/>
      <c r="E19127" s="11"/>
      <c r="F19127" s="11"/>
      <c r="G19127" s="11"/>
      <c r="H19127" s="11"/>
      <c r="I19127" s="15"/>
    </row>
    <row r="19128" spans="1:9" ht="16.5">
      <c r="A19128" s="10" t="b">
        <v>0</v>
      </c>
      <c r="B19128" s="11" t="str">
        <f>IF(D19128&lt;&gt;"",IF(COUNTIF('USPTO TMs'!A:A,D19128)&gt;0,"Yes","No"),"")</f>
        <v/>
      </c>
      <c r="C19128" s="11"/>
      <c r="D19128" s="11"/>
      <c r="E19128" s="11"/>
      <c r="F19128" s="11"/>
      <c r="G19128" s="11"/>
      <c r="H19128" s="11"/>
      <c r="I19128" s="15"/>
    </row>
    <row r="19129" spans="1:9" ht="16.5">
      <c r="A19129" s="10" t="b">
        <v>0</v>
      </c>
      <c r="B19129" s="11" t="str">
        <f>IF(D19129&lt;&gt;"",IF(COUNTIF('USPTO TMs'!A:A,D19129)&gt;0,"Yes","No"),"")</f>
        <v/>
      </c>
      <c r="C19129" s="11"/>
      <c r="D19129" s="11"/>
      <c r="E19129" s="11"/>
      <c r="F19129" s="11"/>
      <c r="G19129" s="11"/>
      <c r="H19129" s="11"/>
      <c r="I19129" s="15"/>
    </row>
    <row r="19130" spans="1:9" ht="16.5">
      <c r="A19130" s="10" t="b">
        <v>0</v>
      </c>
      <c r="B19130" s="11" t="str">
        <f>IF(D19130&lt;&gt;"",IF(COUNTIF('USPTO TMs'!A:A,D19130)&gt;0,"Yes","No"),"")</f>
        <v/>
      </c>
      <c r="C19130" s="11"/>
      <c r="D19130" s="11"/>
      <c r="E19130" s="11"/>
      <c r="F19130" s="11"/>
      <c r="G19130" s="11"/>
      <c r="H19130" s="11"/>
      <c r="I19130" s="15"/>
    </row>
    <row r="19131" spans="1:9" ht="16.5">
      <c r="A19131" s="10" t="b">
        <v>0</v>
      </c>
      <c r="B19131" s="11" t="str">
        <f>IF(D19131&lt;&gt;"",IF(COUNTIF('USPTO TMs'!A:A,D19131)&gt;0,"Yes","No"),"")</f>
        <v/>
      </c>
      <c r="C19131" s="11"/>
      <c r="D19131" s="11"/>
      <c r="E19131" s="11"/>
      <c r="F19131" s="11"/>
      <c r="G19131" s="11"/>
      <c r="H19131" s="11"/>
      <c r="I19131" s="15"/>
    </row>
    <row r="19132" spans="1:9" ht="16.5">
      <c r="A19132" s="10" t="b">
        <v>0</v>
      </c>
      <c r="B19132" s="11" t="str">
        <f>IF(D19132&lt;&gt;"",IF(COUNTIF('USPTO TMs'!A:A,D19132)&gt;0,"Yes","No"),"")</f>
        <v/>
      </c>
      <c r="C19132" s="11"/>
      <c r="D19132" s="11"/>
      <c r="E19132" s="11"/>
      <c r="F19132" s="11"/>
      <c r="G19132" s="11"/>
      <c r="H19132" s="11"/>
      <c r="I19132" s="15"/>
    </row>
    <row r="19133" spans="1:9" ht="16.5">
      <c r="A19133" s="10" t="b">
        <v>0</v>
      </c>
      <c r="B19133" s="11" t="str">
        <f>IF(D19133&lt;&gt;"",IF(COUNTIF('USPTO TMs'!A:A,D19133)&gt;0,"Yes","No"),"")</f>
        <v/>
      </c>
      <c r="C19133" s="11"/>
      <c r="D19133" s="11"/>
      <c r="E19133" s="11"/>
      <c r="F19133" s="11"/>
      <c r="G19133" s="11"/>
      <c r="H19133" s="11"/>
      <c r="I19133" s="15"/>
    </row>
    <row r="19134" spans="1:9" ht="16.5">
      <c r="A19134" s="10" t="b">
        <v>0</v>
      </c>
      <c r="B19134" s="11" t="str">
        <f>IF(D19134&lt;&gt;"",IF(COUNTIF('USPTO TMs'!A:A,D19134)&gt;0,"Yes","No"),"")</f>
        <v/>
      </c>
      <c r="C19134" s="11"/>
      <c r="D19134" s="11"/>
      <c r="E19134" s="11"/>
      <c r="F19134" s="11"/>
      <c r="G19134" s="11"/>
      <c r="H19134" s="11"/>
      <c r="I19134" s="15"/>
    </row>
    <row r="19135" spans="1:9" ht="16.5">
      <c r="A19135" s="10" t="b">
        <v>0</v>
      </c>
      <c r="B19135" s="11" t="str">
        <f>IF(D19135&lt;&gt;"",IF(COUNTIF('USPTO TMs'!A:A,D19135)&gt;0,"Yes","No"),"")</f>
        <v/>
      </c>
      <c r="C19135" s="11"/>
      <c r="D19135" s="11"/>
      <c r="E19135" s="11"/>
      <c r="F19135" s="11"/>
      <c r="G19135" s="11"/>
      <c r="H19135" s="11"/>
      <c r="I19135" s="15"/>
    </row>
    <row r="19136" spans="1:9" ht="16.5">
      <c r="A19136" s="10" t="b">
        <v>0</v>
      </c>
      <c r="B19136" s="11" t="str">
        <f>IF(D19136&lt;&gt;"",IF(COUNTIF('USPTO TMs'!A:A,D19136)&gt;0,"Yes","No"),"")</f>
        <v/>
      </c>
      <c r="C19136" s="11"/>
      <c r="D19136" s="11"/>
      <c r="E19136" s="11"/>
      <c r="F19136" s="11"/>
      <c r="G19136" s="11"/>
      <c r="H19136" s="11"/>
      <c r="I19136" s="15"/>
    </row>
    <row r="19137" spans="1:9" ht="16.5">
      <c r="A19137" s="10" t="b">
        <v>0</v>
      </c>
      <c r="B19137" s="11" t="str">
        <f>IF(D19137&lt;&gt;"",IF(COUNTIF('USPTO TMs'!A:A,D19137)&gt;0,"Yes","No"),"")</f>
        <v/>
      </c>
      <c r="C19137" s="11"/>
      <c r="D19137" s="11"/>
      <c r="E19137" s="11"/>
      <c r="F19137" s="11"/>
      <c r="G19137" s="11"/>
      <c r="H19137" s="11"/>
      <c r="I19137" s="15"/>
    </row>
    <row r="19138" spans="1:9" ht="16.5">
      <c r="A19138" s="10" t="b">
        <v>0</v>
      </c>
      <c r="B19138" s="11" t="str">
        <f>IF(D19138&lt;&gt;"",IF(COUNTIF('USPTO TMs'!A:A,D19138)&gt;0,"Yes","No"),"")</f>
        <v/>
      </c>
      <c r="C19138" s="11"/>
      <c r="D19138" s="11"/>
      <c r="E19138" s="11"/>
      <c r="F19138" s="11"/>
      <c r="G19138" s="11"/>
      <c r="H19138" s="11"/>
      <c r="I19138" s="15"/>
    </row>
    <row r="19139" spans="1:9" ht="16.5">
      <c r="A19139" s="10" t="b">
        <v>0</v>
      </c>
      <c r="B19139" s="11" t="str">
        <f>IF(D19139&lt;&gt;"",IF(COUNTIF('USPTO TMs'!A:A,D19139)&gt;0,"Yes","No"),"")</f>
        <v/>
      </c>
      <c r="C19139" s="11"/>
      <c r="D19139" s="11"/>
      <c r="E19139" s="11"/>
      <c r="F19139" s="11"/>
      <c r="G19139" s="11"/>
      <c r="H19139" s="11"/>
      <c r="I19139" s="15"/>
    </row>
    <row r="19140" spans="1:9" ht="16.5">
      <c r="A19140" s="10" t="b">
        <v>0</v>
      </c>
      <c r="B19140" s="11" t="str">
        <f>IF(D19140&lt;&gt;"",IF(COUNTIF('USPTO TMs'!A:A,D19140)&gt;0,"Yes","No"),"")</f>
        <v/>
      </c>
      <c r="C19140" s="11"/>
      <c r="D19140" s="11"/>
      <c r="E19140" s="11"/>
      <c r="F19140" s="11"/>
      <c r="G19140" s="11"/>
      <c r="H19140" s="11"/>
      <c r="I19140" s="15"/>
    </row>
    <row r="19141" spans="1:9" ht="16.5">
      <c r="A19141" s="10" t="b">
        <v>0</v>
      </c>
      <c r="B19141" s="11" t="str">
        <f>IF(D19141&lt;&gt;"",IF(COUNTIF('USPTO TMs'!A:A,D19141)&gt;0,"Yes","No"),"")</f>
        <v/>
      </c>
      <c r="C19141" s="11"/>
      <c r="D19141" s="11"/>
      <c r="E19141" s="11"/>
      <c r="F19141" s="11"/>
      <c r="G19141" s="11"/>
      <c r="H19141" s="11"/>
      <c r="I19141" s="15"/>
    </row>
    <row r="19142" spans="1:9" ht="16.5">
      <c r="A19142" s="10" t="b">
        <v>0</v>
      </c>
      <c r="B19142" s="11" t="str">
        <f>IF(D19142&lt;&gt;"",IF(COUNTIF('USPTO TMs'!A:A,D19142)&gt;0,"Yes","No"),"")</f>
        <v/>
      </c>
      <c r="C19142" s="11"/>
      <c r="D19142" s="11"/>
      <c r="E19142" s="11"/>
      <c r="F19142" s="11"/>
      <c r="G19142" s="11"/>
      <c r="H19142" s="11"/>
      <c r="I19142" s="15"/>
    </row>
    <row r="19143" spans="1:9" ht="16.5">
      <c r="A19143" s="10" t="b">
        <v>0</v>
      </c>
      <c r="B19143" s="11" t="str">
        <f>IF(D19143&lt;&gt;"",IF(COUNTIF('USPTO TMs'!A:A,D19143)&gt;0,"Yes","No"),"")</f>
        <v/>
      </c>
      <c r="C19143" s="11"/>
      <c r="D19143" s="11"/>
      <c r="E19143" s="11"/>
      <c r="F19143" s="11"/>
      <c r="G19143" s="11"/>
      <c r="H19143" s="11"/>
      <c r="I19143" s="15"/>
    </row>
    <row r="19144" spans="1:9" ht="16.5">
      <c r="A19144" s="10" t="b">
        <v>0</v>
      </c>
      <c r="B19144" s="11" t="str">
        <f>IF(D19144&lt;&gt;"",IF(COUNTIF('USPTO TMs'!A:A,D19144)&gt;0,"Yes","No"),"")</f>
        <v/>
      </c>
      <c r="C19144" s="11"/>
      <c r="D19144" s="11"/>
      <c r="E19144" s="11"/>
      <c r="F19144" s="11"/>
      <c r="G19144" s="11"/>
      <c r="H19144" s="11"/>
      <c r="I19144" s="15"/>
    </row>
    <row r="19145" spans="1:9" ht="16.5">
      <c r="A19145" s="10" t="b">
        <v>0</v>
      </c>
      <c r="B19145" s="11" t="str">
        <f>IF(D19145&lt;&gt;"",IF(COUNTIF('USPTO TMs'!A:A,D19145)&gt;0,"Yes","No"),"")</f>
        <v/>
      </c>
      <c r="C19145" s="11"/>
      <c r="D19145" s="11"/>
      <c r="E19145" s="11"/>
      <c r="F19145" s="11"/>
      <c r="G19145" s="11"/>
      <c r="H19145" s="11"/>
      <c r="I19145" s="15"/>
    </row>
    <row r="19146" spans="1:9" ht="16.5">
      <c r="A19146" s="10" t="b">
        <v>0</v>
      </c>
      <c r="B19146" s="11" t="str">
        <f>IF(D19146&lt;&gt;"",IF(COUNTIF('USPTO TMs'!A:A,D19146)&gt;0,"Yes","No"),"")</f>
        <v/>
      </c>
      <c r="C19146" s="11"/>
      <c r="D19146" s="11"/>
      <c r="E19146" s="11"/>
      <c r="F19146" s="11"/>
      <c r="G19146" s="11"/>
      <c r="H19146" s="11"/>
      <c r="I19146" s="15"/>
    </row>
    <row r="19147" spans="1:9" ht="16.5">
      <c r="A19147" s="10" t="b">
        <v>0</v>
      </c>
      <c r="B19147" s="11" t="str">
        <f>IF(D19147&lt;&gt;"",IF(COUNTIF('USPTO TMs'!A:A,D19147)&gt;0,"Yes","No"),"")</f>
        <v/>
      </c>
      <c r="C19147" s="11"/>
      <c r="D19147" s="11"/>
      <c r="E19147" s="11"/>
      <c r="F19147" s="11"/>
      <c r="G19147" s="11"/>
      <c r="H19147" s="11"/>
      <c r="I19147" s="15"/>
    </row>
    <row r="19148" spans="1:9" ht="16.5">
      <c r="A19148" s="10" t="b">
        <v>0</v>
      </c>
      <c r="B19148" s="11" t="str">
        <f>IF(D19148&lt;&gt;"",IF(COUNTIF('USPTO TMs'!A:A,D19148)&gt;0,"Yes","No"),"")</f>
        <v/>
      </c>
      <c r="C19148" s="11"/>
      <c r="D19148" s="11"/>
      <c r="E19148" s="11"/>
      <c r="F19148" s="11"/>
      <c r="G19148" s="11"/>
      <c r="H19148" s="11"/>
      <c r="I19148" s="15"/>
    </row>
    <row r="19149" spans="1:9" ht="16.5">
      <c r="A19149" s="10" t="b">
        <v>0</v>
      </c>
      <c r="B19149" s="11" t="str">
        <f>IF(D19149&lt;&gt;"",IF(COUNTIF('USPTO TMs'!A:A,D19149)&gt;0,"Yes","No"),"")</f>
        <v/>
      </c>
      <c r="C19149" s="11"/>
      <c r="D19149" s="11"/>
      <c r="E19149" s="11"/>
      <c r="F19149" s="11"/>
      <c r="G19149" s="11"/>
      <c r="H19149" s="11"/>
      <c r="I19149" s="15"/>
    </row>
    <row r="19150" spans="1:9" ht="16.5">
      <c r="A19150" s="10" t="b">
        <v>0</v>
      </c>
      <c r="B19150" s="11" t="str">
        <f>IF(D19150&lt;&gt;"",IF(COUNTIF('USPTO TMs'!A:A,D19150)&gt;0,"Yes","No"),"")</f>
        <v/>
      </c>
      <c r="C19150" s="11"/>
      <c r="D19150" s="11"/>
      <c r="E19150" s="11"/>
      <c r="F19150" s="11"/>
      <c r="G19150" s="11"/>
      <c r="H19150" s="11"/>
      <c r="I19150" s="15"/>
    </row>
    <row r="19151" spans="1:9" ht="16.5">
      <c r="A19151" s="10" t="b">
        <v>0</v>
      </c>
      <c r="B19151" s="11" t="str">
        <f>IF(D19151&lt;&gt;"",IF(COUNTIF('USPTO TMs'!A:A,D19151)&gt;0,"Yes","No"),"")</f>
        <v/>
      </c>
      <c r="C19151" s="11"/>
      <c r="D19151" s="11"/>
      <c r="E19151" s="11"/>
      <c r="F19151" s="11"/>
      <c r="G19151" s="11"/>
      <c r="H19151" s="11"/>
      <c r="I19151" s="15"/>
    </row>
    <row r="19152" spans="1:9" ht="16.5">
      <c r="A19152" s="10" t="b">
        <v>0</v>
      </c>
      <c r="B19152" s="11" t="str">
        <f>IF(D19152&lt;&gt;"",IF(COUNTIF('USPTO TMs'!A:A,D19152)&gt;0,"Yes","No"),"")</f>
        <v/>
      </c>
      <c r="C19152" s="11"/>
      <c r="D19152" s="11"/>
      <c r="E19152" s="11"/>
      <c r="F19152" s="11"/>
      <c r="G19152" s="11"/>
      <c r="H19152" s="11"/>
      <c r="I19152" s="15"/>
    </row>
    <row r="19153" spans="1:9" ht="16.5">
      <c r="A19153" s="10" t="b">
        <v>0</v>
      </c>
      <c r="B19153" s="11" t="str">
        <f>IF(D19153&lt;&gt;"",IF(COUNTIF('USPTO TMs'!A:A,D19153)&gt;0,"Yes","No"),"")</f>
        <v/>
      </c>
      <c r="C19153" s="11"/>
      <c r="D19153" s="11"/>
      <c r="E19153" s="11"/>
      <c r="F19153" s="11"/>
      <c r="G19153" s="11"/>
      <c r="H19153" s="11"/>
      <c r="I19153" s="15"/>
    </row>
    <row r="19154" spans="1:9" ht="16.5">
      <c r="A19154" s="10" t="b">
        <v>0</v>
      </c>
      <c r="B19154" s="11" t="str">
        <f>IF(D19154&lt;&gt;"",IF(COUNTIF('USPTO TMs'!A:A,D19154)&gt;0,"Yes","No"),"")</f>
        <v/>
      </c>
      <c r="C19154" s="11"/>
      <c r="D19154" s="11"/>
      <c r="E19154" s="11"/>
      <c r="F19154" s="11"/>
      <c r="G19154" s="11"/>
      <c r="H19154" s="11"/>
      <c r="I19154" s="15"/>
    </row>
    <row r="19155" spans="1:9" ht="16.5">
      <c r="A19155" s="10" t="b">
        <v>0</v>
      </c>
      <c r="B19155" s="11" t="str">
        <f>IF(D19155&lt;&gt;"",IF(COUNTIF('USPTO TMs'!A:A,D19155)&gt;0,"Yes","No"),"")</f>
        <v/>
      </c>
      <c r="C19155" s="11"/>
      <c r="D19155" s="11"/>
      <c r="E19155" s="11"/>
      <c r="F19155" s="11"/>
      <c r="G19155" s="11"/>
      <c r="H19155" s="11"/>
      <c r="I19155" s="15"/>
    </row>
    <row r="19156" spans="1:9" ht="16.5">
      <c r="A19156" s="10" t="b">
        <v>0</v>
      </c>
      <c r="B19156" s="11" t="str">
        <f>IF(D19156&lt;&gt;"",IF(COUNTIF('USPTO TMs'!A:A,D19156)&gt;0,"Yes","No"),"")</f>
        <v/>
      </c>
      <c r="C19156" s="11"/>
      <c r="D19156" s="11"/>
      <c r="E19156" s="11"/>
      <c r="F19156" s="11"/>
      <c r="G19156" s="11"/>
      <c r="H19156" s="11"/>
      <c r="I19156" s="15"/>
    </row>
    <row r="19157" spans="1:9" ht="16.5">
      <c r="A19157" s="10" t="b">
        <v>0</v>
      </c>
      <c r="B19157" s="11" t="str">
        <f>IF(D19157&lt;&gt;"",IF(COUNTIF('USPTO TMs'!A:A,D19157)&gt;0,"Yes","No"),"")</f>
        <v/>
      </c>
      <c r="C19157" s="11"/>
      <c r="D19157" s="11"/>
      <c r="E19157" s="11"/>
      <c r="F19157" s="11"/>
      <c r="G19157" s="11"/>
      <c r="H19157" s="11"/>
      <c r="I19157" s="15"/>
    </row>
    <row r="19158" spans="1:9" ht="16.5">
      <c r="A19158" s="10" t="b">
        <v>0</v>
      </c>
      <c r="B19158" s="11" t="str">
        <f>IF(D19158&lt;&gt;"",IF(COUNTIF('USPTO TMs'!A:A,D19158)&gt;0,"Yes","No"),"")</f>
        <v/>
      </c>
      <c r="C19158" s="11"/>
      <c r="D19158" s="11"/>
      <c r="E19158" s="11"/>
      <c r="F19158" s="11"/>
      <c r="G19158" s="11"/>
      <c r="H19158" s="11"/>
      <c r="I19158" s="15"/>
    </row>
    <row r="19159" spans="1:9" ht="16.5">
      <c r="A19159" s="10" t="b">
        <v>0</v>
      </c>
      <c r="B19159" s="11" t="str">
        <f>IF(D19159&lt;&gt;"",IF(COUNTIF('USPTO TMs'!A:A,D19159)&gt;0,"Yes","No"),"")</f>
        <v/>
      </c>
      <c r="C19159" s="11"/>
      <c r="D19159" s="11"/>
      <c r="E19159" s="11"/>
      <c r="F19159" s="11"/>
      <c r="G19159" s="11"/>
      <c r="H19159" s="11"/>
      <c r="I19159" s="15"/>
    </row>
    <row r="19160" spans="1:9" ht="16.5">
      <c r="A19160" s="10" t="b">
        <v>0</v>
      </c>
      <c r="B19160" s="11" t="str">
        <f>IF(D19160&lt;&gt;"",IF(COUNTIF('USPTO TMs'!A:A,D19160)&gt;0,"Yes","No"),"")</f>
        <v/>
      </c>
      <c r="C19160" s="11"/>
      <c r="D19160" s="11"/>
      <c r="E19160" s="11"/>
      <c r="F19160" s="11"/>
      <c r="G19160" s="11"/>
      <c r="H19160" s="11"/>
      <c r="I19160" s="15"/>
    </row>
    <row r="19161" spans="1:9" ht="16.5">
      <c r="A19161" s="10" t="b">
        <v>0</v>
      </c>
      <c r="B19161" s="11" t="str">
        <f>IF(D19161&lt;&gt;"",IF(COUNTIF('USPTO TMs'!A:A,D19161)&gt;0,"Yes","No"),"")</f>
        <v/>
      </c>
      <c r="C19161" s="11"/>
      <c r="D19161" s="11"/>
      <c r="E19161" s="11"/>
      <c r="F19161" s="11"/>
      <c r="G19161" s="11"/>
      <c r="H19161" s="11"/>
      <c r="I19161" s="15"/>
    </row>
    <row r="19162" spans="1:9" ht="16.5">
      <c r="A19162" s="10" t="b">
        <v>0</v>
      </c>
      <c r="B19162" s="11" t="str">
        <f>IF(D19162&lt;&gt;"",IF(COUNTIF('USPTO TMs'!A:A,D19162)&gt;0,"Yes","No"),"")</f>
        <v/>
      </c>
      <c r="C19162" s="11"/>
      <c r="D19162" s="11"/>
      <c r="E19162" s="11"/>
      <c r="F19162" s="11"/>
      <c r="G19162" s="11"/>
      <c r="H19162" s="11"/>
      <c r="I19162" s="15"/>
    </row>
    <row r="19163" spans="1:9" ht="16.5">
      <c r="A19163" s="10" t="b">
        <v>0</v>
      </c>
      <c r="B19163" s="11" t="str">
        <f>IF(D19163&lt;&gt;"",IF(COUNTIF('USPTO TMs'!A:A,D19163)&gt;0,"Yes","No"),"")</f>
        <v/>
      </c>
      <c r="C19163" s="11"/>
      <c r="D19163" s="11"/>
      <c r="E19163" s="11"/>
      <c r="F19163" s="11"/>
      <c r="G19163" s="11"/>
      <c r="H19163" s="11"/>
      <c r="I19163" s="15"/>
    </row>
    <row r="19164" spans="1:9" ht="16.5">
      <c r="A19164" s="10" t="b">
        <v>0</v>
      </c>
      <c r="B19164" s="11" t="str">
        <f>IF(D19164&lt;&gt;"",IF(COUNTIF('USPTO TMs'!A:A,D19164)&gt;0,"Yes","No"),"")</f>
        <v/>
      </c>
      <c r="C19164" s="11"/>
      <c r="D19164" s="11"/>
      <c r="E19164" s="11"/>
      <c r="F19164" s="11"/>
      <c r="G19164" s="11"/>
      <c r="H19164" s="11"/>
      <c r="I19164" s="15"/>
    </row>
    <row r="19165" spans="1:9" ht="16.5">
      <c r="A19165" s="10" t="b">
        <v>0</v>
      </c>
      <c r="B19165" s="11" t="str">
        <f>IF(D19165&lt;&gt;"",IF(COUNTIF('USPTO TMs'!A:A,D19165)&gt;0,"Yes","No"),"")</f>
        <v/>
      </c>
      <c r="C19165" s="11"/>
      <c r="D19165" s="11"/>
      <c r="E19165" s="11"/>
      <c r="F19165" s="11"/>
      <c r="G19165" s="11"/>
      <c r="H19165" s="11"/>
      <c r="I19165" s="15"/>
    </row>
    <row r="19166" spans="1:9" ht="16.5">
      <c r="A19166" s="10" t="b">
        <v>0</v>
      </c>
      <c r="B19166" s="11" t="str">
        <f>IF(D19166&lt;&gt;"",IF(COUNTIF('USPTO TMs'!A:A,D19166)&gt;0,"Yes","No"),"")</f>
        <v/>
      </c>
      <c r="C19166" s="11"/>
      <c r="D19166" s="11"/>
      <c r="E19166" s="11"/>
      <c r="F19166" s="11"/>
      <c r="G19166" s="11"/>
      <c r="H19166" s="11"/>
      <c r="I19166" s="15"/>
    </row>
    <row r="19167" spans="1:9" ht="16.5">
      <c r="A19167" s="10" t="b">
        <v>0</v>
      </c>
      <c r="B19167" s="11" t="str">
        <f>IF(D19167&lt;&gt;"",IF(COUNTIF('USPTO TMs'!A:A,D19167)&gt;0,"Yes","No"),"")</f>
        <v/>
      </c>
      <c r="C19167" s="11"/>
      <c r="D19167" s="11"/>
      <c r="E19167" s="11"/>
      <c r="F19167" s="11"/>
      <c r="G19167" s="11"/>
      <c r="H19167" s="11"/>
      <c r="I19167" s="15"/>
    </row>
    <row r="19168" spans="1:9" ht="16.5">
      <c r="A19168" s="10" t="b">
        <v>0</v>
      </c>
      <c r="B19168" s="11" t="str">
        <f>IF(D19168&lt;&gt;"",IF(COUNTIF('USPTO TMs'!A:A,D19168)&gt;0,"Yes","No"),"")</f>
        <v/>
      </c>
      <c r="C19168" s="11"/>
      <c r="D19168" s="11"/>
      <c r="E19168" s="11"/>
      <c r="F19168" s="11"/>
      <c r="G19168" s="11"/>
      <c r="H19168" s="11"/>
      <c r="I19168" s="15"/>
    </row>
    <row r="19169" spans="1:9" ht="16.5">
      <c r="A19169" s="10" t="b">
        <v>0</v>
      </c>
      <c r="B19169" s="11" t="str">
        <f>IF(D19169&lt;&gt;"",IF(COUNTIF('USPTO TMs'!A:A,D19169)&gt;0,"Yes","No"),"")</f>
        <v/>
      </c>
      <c r="C19169" s="11"/>
      <c r="D19169" s="11"/>
      <c r="E19169" s="11"/>
      <c r="F19169" s="11"/>
      <c r="G19169" s="11"/>
      <c r="H19169" s="11"/>
      <c r="I19169" s="15"/>
    </row>
    <row r="19170" spans="1:9" ht="16.5">
      <c r="A19170" s="10" t="b">
        <v>0</v>
      </c>
      <c r="B19170" s="11" t="str">
        <f>IF(D19170&lt;&gt;"",IF(COUNTIF('USPTO TMs'!A:A,D19170)&gt;0,"Yes","No"),"")</f>
        <v/>
      </c>
      <c r="C19170" s="11"/>
      <c r="D19170" s="11"/>
      <c r="E19170" s="11"/>
      <c r="F19170" s="11"/>
      <c r="G19170" s="11"/>
      <c r="H19170" s="11"/>
      <c r="I19170" s="15"/>
    </row>
    <row r="19171" spans="1:9" ht="16.5">
      <c r="A19171" s="10" t="b">
        <v>0</v>
      </c>
      <c r="B19171" s="11" t="str">
        <f>IF(D19171&lt;&gt;"",IF(COUNTIF('USPTO TMs'!A:A,D19171)&gt;0,"Yes","No"),"")</f>
        <v/>
      </c>
      <c r="C19171" s="11"/>
      <c r="D19171" s="11"/>
      <c r="E19171" s="11"/>
      <c r="F19171" s="11"/>
      <c r="G19171" s="11"/>
      <c r="H19171" s="11"/>
      <c r="I19171" s="15"/>
    </row>
    <row r="19172" spans="1:9" ht="16.5">
      <c r="A19172" s="10" t="b">
        <v>0</v>
      </c>
      <c r="B19172" s="11" t="str">
        <f>IF(D19172&lt;&gt;"",IF(COUNTIF('USPTO TMs'!A:A,D19172)&gt;0,"Yes","No"),"")</f>
        <v/>
      </c>
      <c r="C19172" s="11"/>
      <c r="D19172" s="11"/>
      <c r="E19172" s="11"/>
      <c r="F19172" s="11"/>
      <c r="G19172" s="11"/>
      <c r="H19172" s="11"/>
      <c r="I19172" s="15"/>
    </row>
    <row r="19173" spans="1:9" ht="16.5">
      <c r="A19173" s="10" t="b">
        <v>0</v>
      </c>
      <c r="B19173" s="11" t="str">
        <f>IF(D19173&lt;&gt;"",IF(COUNTIF('USPTO TMs'!A:A,D19173)&gt;0,"Yes","No"),"")</f>
        <v/>
      </c>
      <c r="C19173" s="11"/>
      <c r="D19173" s="11"/>
      <c r="E19173" s="11"/>
      <c r="F19173" s="11"/>
      <c r="G19173" s="11"/>
      <c r="H19173" s="11"/>
      <c r="I19173" s="15"/>
    </row>
    <row r="19174" spans="1:9" ht="16.5">
      <c r="A19174" s="10" t="b">
        <v>0</v>
      </c>
      <c r="B19174" s="11" t="str">
        <f>IF(D19174&lt;&gt;"",IF(COUNTIF('USPTO TMs'!A:A,D19174)&gt;0,"Yes","No"),"")</f>
        <v/>
      </c>
      <c r="C19174" s="11"/>
      <c r="D19174" s="11"/>
      <c r="E19174" s="11"/>
      <c r="F19174" s="11"/>
      <c r="G19174" s="11"/>
      <c r="H19174" s="11"/>
      <c r="I19174" s="15"/>
    </row>
    <row r="19175" spans="1:9" ht="16.5">
      <c r="A19175" s="10" t="b">
        <v>0</v>
      </c>
      <c r="B19175" s="11" t="str">
        <f>IF(D19175&lt;&gt;"",IF(COUNTIF('USPTO TMs'!A:A,D19175)&gt;0,"Yes","No"),"")</f>
        <v/>
      </c>
      <c r="C19175" s="11"/>
      <c r="D19175" s="11"/>
      <c r="E19175" s="11"/>
      <c r="F19175" s="11"/>
      <c r="G19175" s="11"/>
      <c r="H19175" s="11"/>
      <c r="I19175" s="15"/>
    </row>
    <row r="19176" spans="1:9" ht="16.5">
      <c r="A19176" s="10" t="b">
        <v>0</v>
      </c>
      <c r="B19176" s="11" t="str">
        <f>IF(D19176&lt;&gt;"",IF(COUNTIF('USPTO TMs'!A:A,D19176)&gt;0,"Yes","No"),"")</f>
        <v/>
      </c>
      <c r="C19176" s="11"/>
      <c r="D19176" s="11"/>
      <c r="E19176" s="11"/>
      <c r="F19176" s="11"/>
      <c r="G19176" s="11"/>
      <c r="H19176" s="11"/>
      <c r="I19176" s="15"/>
    </row>
    <row r="19177" spans="1:9" ht="16.5">
      <c r="A19177" s="10" t="b">
        <v>0</v>
      </c>
      <c r="B19177" s="11" t="str">
        <f>IF(D19177&lt;&gt;"",IF(COUNTIF('USPTO TMs'!A:A,D19177)&gt;0,"Yes","No"),"")</f>
        <v/>
      </c>
      <c r="C19177" s="11"/>
      <c r="D19177" s="11"/>
      <c r="E19177" s="11"/>
      <c r="F19177" s="11"/>
      <c r="G19177" s="11"/>
      <c r="H19177" s="11"/>
      <c r="I19177" s="15"/>
    </row>
    <row r="19178" spans="1:9" ht="16.5">
      <c r="A19178" s="10" t="b">
        <v>0</v>
      </c>
      <c r="B19178" s="11" t="str">
        <f>IF(D19178&lt;&gt;"",IF(COUNTIF('USPTO TMs'!A:A,D19178)&gt;0,"Yes","No"),"")</f>
        <v/>
      </c>
      <c r="C19178" s="11"/>
      <c r="D19178" s="11"/>
      <c r="E19178" s="11"/>
      <c r="F19178" s="11"/>
      <c r="G19178" s="11"/>
      <c r="H19178" s="11"/>
      <c r="I19178" s="15"/>
    </row>
    <row r="19179" spans="1:9" ht="16.5">
      <c r="A19179" s="10" t="b">
        <v>0</v>
      </c>
      <c r="B19179" s="11" t="str">
        <f>IF(D19179&lt;&gt;"",IF(COUNTIF('USPTO TMs'!A:A,D19179)&gt;0,"Yes","No"),"")</f>
        <v/>
      </c>
      <c r="C19179" s="11"/>
      <c r="D19179" s="11"/>
      <c r="E19179" s="11"/>
      <c r="F19179" s="11"/>
      <c r="G19179" s="11"/>
      <c r="H19179" s="11"/>
      <c r="I19179" s="15"/>
    </row>
    <row r="19180" spans="1:9" ht="16.5">
      <c r="A19180" s="10" t="b">
        <v>0</v>
      </c>
      <c r="B19180" s="11" t="str">
        <f>IF(D19180&lt;&gt;"",IF(COUNTIF('USPTO TMs'!A:A,D19180)&gt;0,"Yes","No"),"")</f>
        <v/>
      </c>
      <c r="C19180" s="11"/>
      <c r="D19180" s="11"/>
      <c r="E19180" s="11"/>
      <c r="F19180" s="11"/>
      <c r="G19180" s="11"/>
      <c r="H19180" s="11"/>
      <c r="I19180" s="15"/>
    </row>
    <row r="19181" spans="1:9" ht="16.5">
      <c r="A19181" s="10" t="b">
        <v>0</v>
      </c>
      <c r="B19181" s="11" t="str">
        <f>IF(D19181&lt;&gt;"",IF(COUNTIF('USPTO TMs'!A:A,D19181)&gt;0,"Yes","No"),"")</f>
        <v/>
      </c>
      <c r="C19181" s="11"/>
      <c r="D19181" s="11"/>
      <c r="E19181" s="11"/>
      <c r="F19181" s="11"/>
      <c r="G19181" s="11"/>
      <c r="H19181" s="11"/>
      <c r="I19181" s="15"/>
    </row>
    <row r="19182" spans="1:9" ht="16.5">
      <c r="A19182" s="10" t="b">
        <v>0</v>
      </c>
      <c r="B19182" s="11" t="str">
        <f>IF(D19182&lt;&gt;"",IF(COUNTIF('USPTO TMs'!A:A,D19182)&gt;0,"Yes","No"),"")</f>
        <v/>
      </c>
      <c r="C19182" s="11"/>
      <c r="D19182" s="11"/>
      <c r="E19182" s="11"/>
      <c r="F19182" s="11"/>
      <c r="G19182" s="11"/>
      <c r="H19182" s="11"/>
      <c r="I19182" s="15"/>
    </row>
    <row r="19183" spans="1:9" ht="16.5">
      <c r="A19183" s="10" t="b">
        <v>0</v>
      </c>
      <c r="B19183" s="11" t="str">
        <f>IF(D19183&lt;&gt;"",IF(COUNTIF('USPTO TMs'!A:A,D19183)&gt;0,"Yes","No"),"")</f>
        <v/>
      </c>
      <c r="C19183" s="11"/>
      <c r="D19183" s="11"/>
      <c r="E19183" s="11"/>
      <c r="F19183" s="11"/>
      <c r="G19183" s="11"/>
      <c r="H19183" s="11"/>
      <c r="I19183" s="15"/>
    </row>
    <row r="19184" spans="1:9" ht="16.5">
      <c r="A19184" s="10" t="b">
        <v>0</v>
      </c>
      <c r="B19184" s="11" t="str">
        <f>IF(D19184&lt;&gt;"",IF(COUNTIF('USPTO TMs'!A:A,D19184)&gt;0,"Yes","No"),"")</f>
        <v/>
      </c>
      <c r="C19184" s="11"/>
      <c r="D19184" s="11"/>
      <c r="E19184" s="11"/>
      <c r="F19184" s="11"/>
      <c r="G19184" s="11"/>
      <c r="H19184" s="11"/>
      <c r="I19184" s="15"/>
    </row>
    <row r="19185" spans="1:9" ht="16.5">
      <c r="A19185" s="10" t="b">
        <v>0</v>
      </c>
      <c r="B19185" s="11" t="str">
        <f>IF(D19185&lt;&gt;"",IF(COUNTIF('USPTO TMs'!A:A,D19185)&gt;0,"Yes","No"),"")</f>
        <v/>
      </c>
      <c r="C19185" s="11"/>
      <c r="D19185" s="11"/>
      <c r="E19185" s="11"/>
      <c r="F19185" s="11"/>
      <c r="G19185" s="11"/>
      <c r="H19185" s="11"/>
      <c r="I19185" s="15"/>
    </row>
    <row r="19186" spans="1:9" ht="16.5">
      <c r="A19186" s="10" t="b">
        <v>0</v>
      </c>
      <c r="B19186" s="11" t="str">
        <f>IF(D19186&lt;&gt;"",IF(COUNTIF('USPTO TMs'!A:A,D19186)&gt;0,"Yes","No"),"")</f>
        <v/>
      </c>
      <c r="C19186" s="11"/>
      <c r="D19186" s="11"/>
      <c r="E19186" s="11"/>
      <c r="F19186" s="11"/>
      <c r="G19186" s="11"/>
      <c r="H19186" s="11"/>
      <c r="I19186" s="15"/>
    </row>
    <row r="19187" spans="1:9" ht="16.5">
      <c r="A19187" s="10" t="b">
        <v>0</v>
      </c>
      <c r="B19187" s="11" t="str">
        <f>IF(D19187&lt;&gt;"",IF(COUNTIF('USPTO TMs'!A:A,D19187)&gt;0,"Yes","No"),"")</f>
        <v/>
      </c>
      <c r="C19187" s="11"/>
      <c r="D19187" s="11"/>
      <c r="E19187" s="11"/>
      <c r="F19187" s="11"/>
      <c r="G19187" s="11"/>
      <c r="H19187" s="11"/>
      <c r="I19187" s="15"/>
    </row>
    <row r="19188" spans="1:9" ht="16.5">
      <c r="A19188" s="10" t="b">
        <v>0</v>
      </c>
      <c r="B19188" s="11" t="str">
        <f>IF(D19188&lt;&gt;"",IF(COUNTIF('USPTO TMs'!A:A,D19188)&gt;0,"Yes","No"),"")</f>
        <v/>
      </c>
      <c r="C19188" s="11"/>
      <c r="D19188" s="11"/>
      <c r="E19188" s="11"/>
      <c r="F19188" s="11"/>
      <c r="G19188" s="11"/>
      <c r="H19188" s="11"/>
      <c r="I19188" s="15"/>
    </row>
    <row r="19189" spans="1:9" ht="16.5">
      <c r="A19189" s="10" t="b">
        <v>0</v>
      </c>
      <c r="B19189" s="11" t="str">
        <f>IF(D19189&lt;&gt;"",IF(COUNTIF('USPTO TMs'!A:A,D19189)&gt;0,"Yes","No"),"")</f>
        <v/>
      </c>
      <c r="C19189" s="11"/>
      <c r="D19189" s="11"/>
      <c r="E19189" s="11"/>
      <c r="F19189" s="11"/>
      <c r="G19189" s="11"/>
      <c r="H19189" s="11"/>
      <c r="I19189" s="15"/>
    </row>
    <row r="19190" spans="1:9" ht="16.5">
      <c r="A19190" s="10" t="b">
        <v>0</v>
      </c>
      <c r="B19190" s="11" t="str">
        <f>IF(D19190&lt;&gt;"",IF(COUNTIF('USPTO TMs'!A:A,D19190)&gt;0,"Yes","No"),"")</f>
        <v/>
      </c>
      <c r="C19190" s="11"/>
      <c r="D19190" s="11"/>
      <c r="E19190" s="11"/>
      <c r="F19190" s="11"/>
      <c r="G19190" s="11"/>
      <c r="H19190" s="11"/>
      <c r="I19190" s="15"/>
    </row>
    <row r="19191" spans="1:9" ht="16.5">
      <c r="A19191" s="10" t="b">
        <v>0</v>
      </c>
      <c r="B19191" s="11" t="str">
        <f>IF(D19191&lt;&gt;"",IF(COUNTIF('USPTO TMs'!A:A,D19191)&gt;0,"Yes","No"),"")</f>
        <v/>
      </c>
      <c r="C19191" s="11"/>
      <c r="D19191" s="11"/>
      <c r="E19191" s="11"/>
      <c r="F19191" s="11"/>
      <c r="G19191" s="11"/>
      <c r="H19191" s="11"/>
      <c r="I19191" s="15"/>
    </row>
    <row r="19192" spans="1:9" ht="16.5">
      <c r="A19192" s="10" t="b">
        <v>0</v>
      </c>
      <c r="B19192" s="11" t="str">
        <f>IF(D19192&lt;&gt;"",IF(COUNTIF('USPTO TMs'!A:A,D19192)&gt;0,"Yes","No"),"")</f>
        <v/>
      </c>
      <c r="C19192" s="11"/>
      <c r="D19192" s="11"/>
      <c r="E19192" s="11"/>
      <c r="F19192" s="11"/>
      <c r="G19192" s="11"/>
      <c r="H19192" s="11"/>
      <c r="I19192" s="15"/>
    </row>
    <row r="19193" spans="1:9" ht="16.5">
      <c r="A19193" s="10" t="b">
        <v>0</v>
      </c>
      <c r="B19193" s="11" t="str">
        <f>IF(D19193&lt;&gt;"",IF(COUNTIF('USPTO TMs'!A:A,D19193)&gt;0,"Yes","No"),"")</f>
        <v/>
      </c>
      <c r="C19193" s="11"/>
      <c r="D19193" s="11"/>
      <c r="E19193" s="11"/>
      <c r="F19193" s="11"/>
      <c r="G19193" s="11"/>
      <c r="H19193" s="11"/>
      <c r="I19193" s="15"/>
    </row>
    <row r="19194" spans="1:9" ht="16.5">
      <c r="A19194" s="10" t="b">
        <v>0</v>
      </c>
      <c r="B19194" s="11" t="str">
        <f>IF(D19194&lt;&gt;"",IF(COUNTIF('USPTO TMs'!A:A,D19194)&gt;0,"Yes","No"),"")</f>
        <v/>
      </c>
      <c r="C19194" s="11"/>
      <c r="D19194" s="11"/>
      <c r="E19194" s="11"/>
      <c r="F19194" s="11"/>
      <c r="G19194" s="11"/>
      <c r="H19194" s="11"/>
      <c r="I19194" s="15"/>
    </row>
    <row r="19195" spans="1:9" ht="16.5">
      <c r="A19195" s="10" t="b">
        <v>0</v>
      </c>
      <c r="B19195" s="11" t="str">
        <f>IF(D19195&lt;&gt;"",IF(COUNTIF('USPTO TMs'!A:A,D19195)&gt;0,"Yes","No"),"")</f>
        <v/>
      </c>
      <c r="C19195" s="11"/>
      <c r="D19195" s="11"/>
      <c r="E19195" s="11"/>
      <c r="F19195" s="11"/>
      <c r="G19195" s="11"/>
      <c r="H19195" s="11"/>
      <c r="I19195" s="15"/>
    </row>
    <row r="19196" spans="1:9" ht="16.5">
      <c r="A19196" s="10" t="b">
        <v>0</v>
      </c>
      <c r="B19196" s="11" t="str">
        <f>IF(D19196&lt;&gt;"",IF(COUNTIF('USPTO TMs'!A:A,D19196)&gt;0,"Yes","No"),"")</f>
        <v/>
      </c>
      <c r="C19196" s="11"/>
      <c r="D19196" s="11"/>
      <c r="E19196" s="11"/>
      <c r="F19196" s="11"/>
      <c r="G19196" s="11"/>
      <c r="H19196" s="11"/>
      <c r="I19196" s="15"/>
    </row>
    <row r="19197" spans="1:9" ht="16.5">
      <c r="A19197" s="10" t="b">
        <v>0</v>
      </c>
      <c r="B19197" s="11" t="str">
        <f>IF(D19197&lt;&gt;"",IF(COUNTIF('USPTO TMs'!A:A,D19197)&gt;0,"Yes","No"),"")</f>
        <v/>
      </c>
      <c r="C19197" s="11"/>
      <c r="D19197" s="11"/>
      <c r="E19197" s="11"/>
      <c r="F19197" s="11"/>
      <c r="G19197" s="11"/>
      <c r="H19197" s="11"/>
      <c r="I19197" s="15"/>
    </row>
    <row r="19198" spans="1:9" ht="16.5">
      <c r="A19198" s="10" t="b">
        <v>0</v>
      </c>
      <c r="B19198" s="11" t="str">
        <f>IF(D19198&lt;&gt;"",IF(COUNTIF('USPTO TMs'!A:A,D19198)&gt;0,"Yes","No"),"")</f>
        <v/>
      </c>
      <c r="C19198" s="11"/>
      <c r="D19198" s="11"/>
      <c r="E19198" s="11"/>
      <c r="F19198" s="11"/>
      <c r="G19198" s="11"/>
      <c r="H19198" s="11"/>
      <c r="I19198" s="15"/>
    </row>
    <row r="19199" spans="1:9" ht="16.5">
      <c r="A19199" s="10" t="b">
        <v>0</v>
      </c>
      <c r="B19199" s="11" t="str">
        <f>IF(D19199&lt;&gt;"",IF(COUNTIF('USPTO TMs'!A:A,D19199)&gt;0,"Yes","No"),"")</f>
        <v/>
      </c>
      <c r="C19199" s="11"/>
      <c r="D19199" s="11"/>
      <c r="E19199" s="11"/>
      <c r="F19199" s="11"/>
      <c r="G19199" s="11"/>
      <c r="H19199" s="11"/>
      <c r="I19199" s="15"/>
    </row>
    <row r="19200" spans="1:9" ht="16.5">
      <c r="A19200" s="10" t="b">
        <v>0</v>
      </c>
      <c r="B19200" s="11" t="str">
        <f>IF(D19200&lt;&gt;"",IF(COUNTIF('USPTO TMs'!A:A,D19200)&gt;0,"Yes","No"),"")</f>
        <v/>
      </c>
      <c r="C19200" s="11"/>
      <c r="D19200" s="11"/>
      <c r="E19200" s="11"/>
      <c r="F19200" s="11"/>
      <c r="G19200" s="11"/>
      <c r="H19200" s="11"/>
      <c r="I19200" s="15"/>
    </row>
    <row r="19201" spans="1:9" ht="16.5">
      <c r="A19201" s="10" t="b">
        <v>0</v>
      </c>
      <c r="B19201" s="11" t="str">
        <f>IF(D19201&lt;&gt;"",IF(COUNTIF('USPTO TMs'!A:A,D19201)&gt;0,"Yes","No"),"")</f>
        <v/>
      </c>
      <c r="C19201" s="11"/>
      <c r="D19201" s="11"/>
      <c r="E19201" s="11"/>
      <c r="F19201" s="11"/>
      <c r="G19201" s="11"/>
      <c r="H19201" s="11"/>
      <c r="I19201" s="15"/>
    </row>
    <row r="19202" spans="1:9" ht="16.5">
      <c r="A19202" s="10" t="b">
        <v>0</v>
      </c>
      <c r="B19202" s="11" t="str">
        <f>IF(D19202&lt;&gt;"",IF(COUNTIF('USPTO TMs'!A:A,D19202)&gt;0,"Yes","No"),"")</f>
        <v/>
      </c>
      <c r="C19202" s="11"/>
      <c r="D19202" s="11"/>
      <c r="E19202" s="11"/>
      <c r="F19202" s="11"/>
      <c r="G19202" s="11"/>
      <c r="H19202" s="11"/>
      <c r="I19202" s="15"/>
    </row>
    <row r="19203" spans="1:9" ht="16.5">
      <c r="A19203" s="10" t="b">
        <v>0</v>
      </c>
      <c r="B19203" s="11" t="str">
        <f>IF(D19203&lt;&gt;"",IF(COUNTIF('USPTO TMs'!A:A,D19203)&gt;0,"Yes","No"),"")</f>
        <v/>
      </c>
      <c r="C19203" s="11"/>
      <c r="D19203" s="11"/>
      <c r="E19203" s="11"/>
      <c r="F19203" s="11"/>
      <c r="G19203" s="11"/>
      <c r="H19203" s="11"/>
      <c r="I19203" s="15"/>
    </row>
    <row r="19204" spans="1:9" ht="16.5">
      <c r="A19204" s="10" t="b">
        <v>0</v>
      </c>
      <c r="B19204" s="11" t="str">
        <f>IF(D19204&lt;&gt;"",IF(COUNTIF('USPTO TMs'!A:A,D19204)&gt;0,"Yes","No"),"")</f>
        <v/>
      </c>
      <c r="C19204" s="11"/>
      <c r="D19204" s="11"/>
      <c r="E19204" s="11"/>
      <c r="F19204" s="11"/>
      <c r="G19204" s="11"/>
      <c r="H19204" s="11"/>
      <c r="I19204" s="15"/>
    </row>
    <row r="19205" spans="1:9" ht="16.5">
      <c r="A19205" s="10" t="b">
        <v>0</v>
      </c>
      <c r="B19205" s="11" t="str">
        <f>IF(D19205&lt;&gt;"",IF(COUNTIF('USPTO TMs'!A:A,D19205)&gt;0,"Yes","No"),"")</f>
        <v/>
      </c>
      <c r="C19205" s="11"/>
      <c r="D19205" s="11"/>
      <c r="E19205" s="11"/>
      <c r="F19205" s="11"/>
      <c r="G19205" s="11"/>
      <c r="H19205" s="11"/>
      <c r="I19205" s="15"/>
    </row>
    <row r="19206" spans="1:9" ht="16.5">
      <c r="A19206" s="10" t="b">
        <v>0</v>
      </c>
      <c r="B19206" s="11" t="str">
        <f>IF(D19206&lt;&gt;"",IF(COUNTIF('USPTO TMs'!A:A,D19206)&gt;0,"Yes","No"),"")</f>
        <v/>
      </c>
      <c r="C19206" s="11"/>
      <c r="D19206" s="11"/>
      <c r="E19206" s="11"/>
      <c r="F19206" s="11"/>
      <c r="G19206" s="11"/>
      <c r="H19206" s="11"/>
      <c r="I19206" s="15"/>
    </row>
    <row r="19207" spans="1:9" ht="16.5">
      <c r="A19207" s="10" t="b">
        <v>0</v>
      </c>
      <c r="B19207" s="11" t="str">
        <f>IF(D19207&lt;&gt;"",IF(COUNTIF('USPTO TMs'!A:A,D19207)&gt;0,"Yes","No"),"")</f>
        <v/>
      </c>
      <c r="C19207" s="11"/>
      <c r="D19207" s="11"/>
      <c r="E19207" s="11"/>
      <c r="F19207" s="11"/>
      <c r="G19207" s="11"/>
      <c r="H19207" s="11"/>
      <c r="I19207" s="15"/>
    </row>
    <row r="19208" spans="1:9" ht="16.5">
      <c r="A19208" s="10" t="b">
        <v>0</v>
      </c>
      <c r="B19208" s="11" t="str">
        <f>IF(D19208&lt;&gt;"",IF(COUNTIF('USPTO TMs'!A:A,D19208)&gt;0,"Yes","No"),"")</f>
        <v/>
      </c>
      <c r="C19208" s="11"/>
      <c r="D19208" s="11"/>
      <c r="E19208" s="11"/>
      <c r="F19208" s="11"/>
      <c r="G19208" s="11"/>
      <c r="H19208" s="11"/>
      <c r="I19208" s="15"/>
    </row>
    <row r="19209" spans="1:9" ht="16.5">
      <c r="A19209" s="10" t="b">
        <v>0</v>
      </c>
      <c r="B19209" s="11" t="str">
        <f>IF(D19209&lt;&gt;"",IF(COUNTIF('USPTO TMs'!A:A,D19209)&gt;0,"Yes","No"),"")</f>
        <v/>
      </c>
      <c r="C19209" s="11"/>
      <c r="D19209" s="11"/>
      <c r="E19209" s="11"/>
      <c r="F19209" s="11"/>
      <c r="G19209" s="11"/>
      <c r="H19209" s="11"/>
      <c r="I19209" s="15"/>
    </row>
    <row r="19210" spans="1:9" ht="16.5">
      <c r="A19210" s="10" t="b">
        <v>0</v>
      </c>
      <c r="B19210" s="11" t="str">
        <f>IF(D19210&lt;&gt;"",IF(COUNTIF('USPTO TMs'!A:A,D19210)&gt;0,"Yes","No"),"")</f>
        <v/>
      </c>
      <c r="C19210" s="11"/>
      <c r="D19210" s="11"/>
      <c r="E19210" s="11"/>
      <c r="F19210" s="11"/>
      <c r="G19210" s="11"/>
      <c r="H19210" s="11"/>
      <c r="I19210" s="15"/>
    </row>
    <row r="19211" spans="1:9" ht="16.5">
      <c r="A19211" s="10" t="b">
        <v>0</v>
      </c>
      <c r="B19211" s="11" t="str">
        <f>IF(D19211&lt;&gt;"",IF(COUNTIF('USPTO TMs'!A:A,D19211)&gt;0,"Yes","No"),"")</f>
        <v/>
      </c>
      <c r="C19211" s="11"/>
      <c r="D19211" s="11"/>
      <c r="E19211" s="11"/>
      <c r="F19211" s="11"/>
      <c r="G19211" s="11"/>
      <c r="H19211" s="11"/>
      <c r="I19211" s="15"/>
    </row>
    <row r="19212" spans="1:9" ht="16.5">
      <c r="A19212" s="10" t="b">
        <v>0</v>
      </c>
      <c r="B19212" s="11" t="str">
        <f>IF(D19212&lt;&gt;"",IF(COUNTIF('USPTO TMs'!A:A,D19212)&gt;0,"Yes","No"),"")</f>
        <v/>
      </c>
      <c r="C19212" s="11"/>
      <c r="D19212" s="11"/>
      <c r="E19212" s="11"/>
      <c r="F19212" s="11"/>
      <c r="G19212" s="11"/>
      <c r="H19212" s="11"/>
      <c r="I19212" s="15"/>
    </row>
    <row r="19213" spans="1:9" ht="16.5">
      <c r="A19213" s="10" t="b">
        <v>0</v>
      </c>
      <c r="B19213" s="11" t="str">
        <f>IF(D19213&lt;&gt;"",IF(COUNTIF('USPTO TMs'!A:A,D19213)&gt;0,"Yes","No"),"")</f>
        <v/>
      </c>
      <c r="C19213" s="11"/>
      <c r="D19213" s="11"/>
      <c r="E19213" s="11"/>
      <c r="F19213" s="11"/>
      <c r="G19213" s="11"/>
      <c r="H19213" s="11"/>
      <c r="I19213" s="15"/>
    </row>
    <row r="19214" spans="1:9" ht="16.5">
      <c r="A19214" s="10" t="b">
        <v>0</v>
      </c>
      <c r="B19214" s="11" t="str">
        <f>IF(D19214&lt;&gt;"",IF(COUNTIF('USPTO TMs'!A:A,D19214)&gt;0,"Yes","No"),"")</f>
        <v/>
      </c>
      <c r="C19214" s="11"/>
      <c r="D19214" s="11"/>
      <c r="E19214" s="11"/>
      <c r="F19214" s="11"/>
      <c r="G19214" s="11"/>
      <c r="H19214" s="11"/>
      <c r="I19214" s="15"/>
    </row>
    <row r="19215" spans="1:9" ht="16.5">
      <c r="A19215" s="10" t="b">
        <v>0</v>
      </c>
      <c r="B19215" s="11" t="str">
        <f>IF(D19215&lt;&gt;"",IF(COUNTIF('USPTO TMs'!A:A,D19215)&gt;0,"Yes","No"),"")</f>
        <v/>
      </c>
      <c r="C19215" s="11"/>
      <c r="D19215" s="11"/>
      <c r="E19215" s="11"/>
      <c r="F19215" s="11"/>
      <c r="G19215" s="11"/>
      <c r="H19215" s="11"/>
      <c r="I19215" s="15"/>
    </row>
    <row r="19216" spans="1:9" ht="16.5">
      <c r="A19216" s="10" t="b">
        <v>0</v>
      </c>
      <c r="B19216" s="11" t="str">
        <f>IF(D19216&lt;&gt;"",IF(COUNTIF('USPTO TMs'!A:A,D19216)&gt;0,"Yes","No"),"")</f>
        <v/>
      </c>
      <c r="C19216" s="11"/>
      <c r="D19216" s="11"/>
      <c r="E19216" s="11"/>
      <c r="F19216" s="11"/>
      <c r="G19216" s="11"/>
      <c r="H19216" s="11"/>
      <c r="I19216" s="15"/>
    </row>
    <row r="19217" spans="1:9" ht="16.5">
      <c r="A19217" s="10" t="b">
        <v>0</v>
      </c>
      <c r="B19217" s="11" t="str">
        <f>IF(D19217&lt;&gt;"",IF(COUNTIF('USPTO TMs'!A:A,D19217)&gt;0,"Yes","No"),"")</f>
        <v/>
      </c>
      <c r="C19217" s="11"/>
      <c r="D19217" s="11"/>
      <c r="E19217" s="11"/>
      <c r="F19217" s="11"/>
      <c r="G19217" s="11"/>
      <c r="H19217" s="11"/>
      <c r="I19217" s="15"/>
    </row>
    <row r="19218" spans="1:9" ht="16.5">
      <c r="A19218" s="10" t="b">
        <v>0</v>
      </c>
      <c r="B19218" s="11" t="str">
        <f>IF(D19218&lt;&gt;"",IF(COUNTIF('USPTO TMs'!A:A,D19218)&gt;0,"Yes","No"),"")</f>
        <v/>
      </c>
      <c r="C19218" s="11"/>
      <c r="D19218" s="11"/>
      <c r="E19218" s="11"/>
      <c r="F19218" s="11"/>
      <c r="G19218" s="11"/>
      <c r="H19218" s="11"/>
      <c r="I19218" s="15"/>
    </row>
    <row r="19219" spans="1:9" ht="16.5">
      <c r="A19219" s="10" t="b">
        <v>0</v>
      </c>
      <c r="B19219" s="11" t="str">
        <f>IF(D19219&lt;&gt;"",IF(COUNTIF('USPTO TMs'!A:A,D19219)&gt;0,"Yes","No"),"")</f>
        <v/>
      </c>
      <c r="C19219" s="11"/>
      <c r="D19219" s="11"/>
      <c r="E19219" s="11"/>
      <c r="F19219" s="11"/>
      <c r="G19219" s="11"/>
      <c r="H19219" s="11"/>
      <c r="I19219" s="15"/>
    </row>
    <row r="19220" spans="1:9" ht="16.5">
      <c r="A19220" s="10" t="b">
        <v>0</v>
      </c>
      <c r="B19220" s="11" t="str">
        <f>IF(D19220&lt;&gt;"",IF(COUNTIF('USPTO TMs'!A:A,D19220)&gt;0,"Yes","No"),"")</f>
        <v/>
      </c>
      <c r="C19220" s="11"/>
      <c r="D19220" s="11"/>
      <c r="E19220" s="11"/>
      <c r="F19220" s="11"/>
      <c r="G19220" s="11"/>
      <c r="H19220" s="11"/>
      <c r="I19220" s="15"/>
    </row>
    <row r="19221" spans="1:9" ht="16.5">
      <c r="A19221" s="10" t="b">
        <v>0</v>
      </c>
      <c r="B19221" s="11" t="str">
        <f>IF(D19221&lt;&gt;"",IF(COUNTIF('USPTO TMs'!A:A,D19221)&gt;0,"Yes","No"),"")</f>
        <v/>
      </c>
      <c r="C19221" s="11"/>
      <c r="D19221" s="11"/>
      <c r="E19221" s="11"/>
      <c r="F19221" s="11"/>
      <c r="G19221" s="11"/>
      <c r="H19221" s="11"/>
      <c r="I19221" s="15"/>
    </row>
    <row r="19222" spans="1:9" ht="16.5">
      <c r="A19222" s="10" t="b">
        <v>0</v>
      </c>
      <c r="B19222" s="11" t="str">
        <f>IF(D19222&lt;&gt;"",IF(COUNTIF('USPTO TMs'!A:A,D19222)&gt;0,"Yes","No"),"")</f>
        <v/>
      </c>
      <c r="C19222" s="11"/>
      <c r="D19222" s="11"/>
      <c r="E19222" s="11"/>
      <c r="F19222" s="11"/>
      <c r="G19222" s="11"/>
      <c r="H19222" s="11"/>
      <c r="I19222" s="15"/>
    </row>
    <row r="19223" spans="1:9" ht="16.5">
      <c r="A19223" s="10" t="b">
        <v>0</v>
      </c>
      <c r="B19223" s="11" t="str">
        <f>IF(D19223&lt;&gt;"",IF(COUNTIF('USPTO TMs'!A:A,D19223)&gt;0,"Yes","No"),"")</f>
        <v/>
      </c>
      <c r="C19223" s="11"/>
      <c r="D19223" s="11"/>
      <c r="E19223" s="11"/>
      <c r="F19223" s="11"/>
      <c r="G19223" s="11"/>
      <c r="H19223" s="11"/>
      <c r="I19223" s="15"/>
    </row>
    <row r="19224" spans="1:9" ht="16.5">
      <c r="A19224" s="10" t="b">
        <v>0</v>
      </c>
      <c r="B19224" s="11" t="str">
        <f>IF(D19224&lt;&gt;"",IF(COUNTIF('USPTO TMs'!A:A,D19224)&gt;0,"Yes","No"),"")</f>
        <v/>
      </c>
      <c r="C19224" s="11"/>
      <c r="D19224" s="11"/>
      <c r="E19224" s="11"/>
      <c r="F19224" s="11"/>
      <c r="G19224" s="11"/>
      <c r="H19224" s="11"/>
      <c r="I19224" s="15"/>
    </row>
    <row r="19225" spans="1:9" ht="16.5">
      <c r="A19225" s="10" t="b">
        <v>0</v>
      </c>
      <c r="B19225" s="11" t="str">
        <f>IF(D19225&lt;&gt;"",IF(COUNTIF('USPTO TMs'!A:A,D19225)&gt;0,"Yes","No"),"")</f>
        <v/>
      </c>
      <c r="C19225" s="11"/>
      <c r="D19225" s="11"/>
      <c r="E19225" s="11"/>
      <c r="F19225" s="11"/>
      <c r="G19225" s="11"/>
      <c r="H19225" s="11"/>
      <c r="I19225" s="15"/>
    </row>
    <row r="19226" spans="1:9" ht="16.5">
      <c r="A19226" s="10" t="b">
        <v>0</v>
      </c>
      <c r="B19226" s="11" t="str">
        <f>IF(D19226&lt;&gt;"",IF(COUNTIF('USPTO TMs'!A:A,D19226)&gt;0,"Yes","No"),"")</f>
        <v/>
      </c>
      <c r="C19226" s="11"/>
      <c r="D19226" s="11"/>
      <c r="E19226" s="11"/>
      <c r="F19226" s="11"/>
      <c r="G19226" s="11"/>
      <c r="H19226" s="11"/>
      <c r="I19226" s="15"/>
    </row>
    <row r="19227" spans="1:9" ht="16.5">
      <c r="A19227" s="10" t="b">
        <v>0</v>
      </c>
      <c r="B19227" s="11" t="str">
        <f>IF(D19227&lt;&gt;"",IF(COUNTIF('USPTO TMs'!A:A,D19227)&gt;0,"Yes","No"),"")</f>
        <v/>
      </c>
      <c r="C19227" s="11"/>
      <c r="D19227" s="11"/>
      <c r="E19227" s="11"/>
      <c r="F19227" s="11"/>
      <c r="G19227" s="11"/>
      <c r="H19227" s="11"/>
      <c r="I19227" s="15"/>
    </row>
    <row r="19228" spans="1:9" ht="16.5">
      <c r="A19228" s="10" t="b">
        <v>0</v>
      </c>
      <c r="B19228" s="11" t="str">
        <f>IF(D19228&lt;&gt;"",IF(COUNTIF('USPTO TMs'!A:A,D19228)&gt;0,"Yes","No"),"")</f>
        <v/>
      </c>
      <c r="C19228" s="11"/>
      <c r="D19228" s="11"/>
      <c r="E19228" s="11"/>
      <c r="F19228" s="11"/>
      <c r="G19228" s="11"/>
      <c r="H19228" s="11"/>
      <c r="I19228" s="15"/>
    </row>
    <row r="19229" spans="1:9" ht="16.5">
      <c r="A19229" s="10" t="b">
        <v>0</v>
      </c>
      <c r="B19229" s="11" t="str">
        <f>IF(D19229&lt;&gt;"",IF(COUNTIF('USPTO TMs'!A:A,D19229)&gt;0,"Yes","No"),"")</f>
        <v/>
      </c>
      <c r="C19229" s="11"/>
      <c r="D19229" s="11"/>
      <c r="E19229" s="11"/>
      <c r="F19229" s="11"/>
      <c r="G19229" s="11"/>
      <c r="H19229" s="11"/>
      <c r="I19229" s="15"/>
    </row>
    <row r="19230" spans="1:9" ht="16.5">
      <c r="A19230" s="10" t="b">
        <v>0</v>
      </c>
      <c r="B19230" s="11" t="str">
        <f>IF(D19230&lt;&gt;"",IF(COUNTIF('USPTO TMs'!A:A,D19230)&gt;0,"Yes","No"),"")</f>
        <v/>
      </c>
      <c r="C19230" s="11"/>
      <c r="D19230" s="11"/>
      <c r="E19230" s="11"/>
      <c r="F19230" s="11"/>
      <c r="G19230" s="11"/>
      <c r="H19230" s="11"/>
      <c r="I19230" s="15"/>
    </row>
    <row r="19231" spans="1:9" ht="16.5">
      <c r="A19231" s="10" t="b">
        <v>0</v>
      </c>
      <c r="B19231" s="11" t="str">
        <f>IF(D19231&lt;&gt;"",IF(COUNTIF('USPTO TMs'!A:A,D19231)&gt;0,"Yes","No"),"")</f>
        <v/>
      </c>
      <c r="C19231" s="11"/>
      <c r="D19231" s="11"/>
      <c r="E19231" s="11"/>
      <c r="F19231" s="11"/>
      <c r="G19231" s="11"/>
      <c r="H19231" s="11"/>
      <c r="I19231" s="15"/>
    </row>
    <row r="19232" spans="1:9" ht="16.5">
      <c r="A19232" s="10" t="b">
        <v>0</v>
      </c>
      <c r="B19232" s="11" t="str">
        <f>IF(D19232&lt;&gt;"",IF(COUNTIF('USPTO TMs'!A:A,D19232)&gt;0,"Yes","No"),"")</f>
        <v/>
      </c>
      <c r="C19232" s="11"/>
      <c r="D19232" s="11"/>
      <c r="E19232" s="11"/>
      <c r="F19232" s="11"/>
      <c r="G19232" s="11"/>
      <c r="H19232" s="11"/>
      <c r="I19232" s="15"/>
    </row>
    <row r="19233" spans="1:9" ht="16.5">
      <c r="A19233" s="10" t="b">
        <v>0</v>
      </c>
      <c r="B19233" s="11" t="str">
        <f>IF(D19233&lt;&gt;"",IF(COUNTIF('USPTO TMs'!A:A,D19233)&gt;0,"Yes","No"),"")</f>
        <v/>
      </c>
      <c r="C19233" s="11"/>
      <c r="D19233" s="11"/>
      <c r="E19233" s="11"/>
      <c r="F19233" s="11"/>
      <c r="G19233" s="11"/>
      <c r="H19233" s="11"/>
      <c r="I19233" s="15"/>
    </row>
    <row r="19234" spans="1:9" ht="16.5">
      <c r="A19234" s="10" t="b">
        <v>0</v>
      </c>
      <c r="B19234" s="11" t="str">
        <f>IF(D19234&lt;&gt;"",IF(COUNTIF('USPTO TMs'!A:A,D19234)&gt;0,"Yes","No"),"")</f>
        <v/>
      </c>
      <c r="C19234" s="11"/>
      <c r="D19234" s="11"/>
      <c r="E19234" s="11"/>
      <c r="F19234" s="11"/>
      <c r="G19234" s="11"/>
      <c r="H19234" s="11"/>
      <c r="I19234" s="15"/>
    </row>
    <row r="19235" spans="1:9" ht="16.5">
      <c r="A19235" s="10" t="b">
        <v>0</v>
      </c>
      <c r="B19235" s="11" t="str">
        <f>IF(D19235&lt;&gt;"",IF(COUNTIF('USPTO TMs'!A:A,D19235)&gt;0,"Yes","No"),"")</f>
        <v/>
      </c>
      <c r="C19235" s="11"/>
      <c r="D19235" s="11"/>
      <c r="E19235" s="11"/>
      <c r="F19235" s="11"/>
      <c r="G19235" s="11"/>
      <c r="H19235" s="11"/>
      <c r="I19235" s="15"/>
    </row>
    <row r="19236" spans="1:9" ht="16.5">
      <c r="A19236" s="10" t="b">
        <v>0</v>
      </c>
      <c r="B19236" s="11" t="str">
        <f>IF(D19236&lt;&gt;"",IF(COUNTIF('USPTO TMs'!A:A,D19236)&gt;0,"Yes","No"),"")</f>
        <v/>
      </c>
      <c r="C19236" s="11"/>
      <c r="D19236" s="11"/>
      <c r="E19236" s="11"/>
      <c r="F19236" s="11"/>
      <c r="G19236" s="11"/>
      <c r="H19236" s="11"/>
      <c r="I19236" s="15"/>
    </row>
    <row r="19237" spans="1:9" ht="16.5">
      <c r="A19237" s="10" t="b">
        <v>0</v>
      </c>
      <c r="B19237" s="11" t="str">
        <f>IF(D19237&lt;&gt;"",IF(COUNTIF('USPTO TMs'!A:A,D19237)&gt;0,"Yes","No"),"")</f>
        <v/>
      </c>
      <c r="C19237" s="11"/>
      <c r="D19237" s="11"/>
      <c r="E19237" s="11"/>
      <c r="F19237" s="11"/>
      <c r="G19237" s="11"/>
      <c r="H19237" s="11"/>
      <c r="I19237" s="15"/>
    </row>
    <row r="19238" spans="1:9" ht="16.5">
      <c r="A19238" s="10" t="b">
        <v>0</v>
      </c>
      <c r="B19238" s="11" t="str">
        <f>IF(D19238&lt;&gt;"",IF(COUNTIF('USPTO TMs'!A:A,D19238)&gt;0,"Yes","No"),"")</f>
        <v/>
      </c>
      <c r="C19238" s="11"/>
      <c r="D19238" s="11"/>
      <c r="E19238" s="11"/>
      <c r="F19238" s="11"/>
      <c r="G19238" s="11"/>
      <c r="H19238" s="11"/>
      <c r="I19238" s="15"/>
    </row>
    <row r="19239" spans="1:9" ht="16.5">
      <c r="A19239" s="10" t="b">
        <v>0</v>
      </c>
      <c r="B19239" s="11" t="str">
        <f>IF(D19239&lt;&gt;"",IF(COUNTIF('USPTO TMs'!A:A,D19239)&gt;0,"Yes","No"),"")</f>
        <v/>
      </c>
      <c r="C19239" s="11"/>
      <c r="D19239" s="11"/>
      <c r="E19239" s="11"/>
      <c r="F19239" s="11"/>
      <c r="G19239" s="11"/>
      <c r="H19239" s="11"/>
      <c r="I19239" s="15"/>
    </row>
    <row r="19240" spans="1:9" ht="16.5">
      <c r="A19240" s="10" t="b">
        <v>0</v>
      </c>
      <c r="B19240" s="11" t="str">
        <f>IF(D19240&lt;&gt;"",IF(COUNTIF('USPTO TMs'!A:A,D19240)&gt;0,"Yes","No"),"")</f>
        <v/>
      </c>
      <c r="C19240" s="11"/>
      <c r="D19240" s="11"/>
      <c r="E19240" s="11"/>
      <c r="F19240" s="11"/>
      <c r="G19240" s="11"/>
      <c r="H19240" s="11"/>
      <c r="I19240" s="15"/>
    </row>
    <row r="19241" spans="1:9" ht="16.5">
      <c r="A19241" s="10" t="b">
        <v>0</v>
      </c>
      <c r="B19241" s="11" t="str">
        <f>IF(D19241&lt;&gt;"",IF(COUNTIF('USPTO TMs'!A:A,D19241)&gt;0,"Yes","No"),"")</f>
        <v/>
      </c>
      <c r="C19241" s="11"/>
      <c r="D19241" s="11"/>
      <c r="E19241" s="11"/>
      <c r="F19241" s="11"/>
      <c r="G19241" s="11"/>
      <c r="H19241" s="11"/>
      <c r="I19241" s="15"/>
    </row>
    <row r="19242" spans="1:9" ht="16.5">
      <c r="A19242" s="10" t="b">
        <v>0</v>
      </c>
      <c r="B19242" s="11" t="str">
        <f>IF(D19242&lt;&gt;"",IF(COUNTIF('USPTO TMs'!A:A,D19242)&gt;0,"Yes","No"),"")</f>
        <v/>
      </c>
      <c r="C19242" s="11"/>
      <c r="D19242" s="11"/>
      <c r="E19242" s="11"/>
      <c r="F19242" s="11"/>
      <c r="G19242" s="11"/>
      <c r="H19242" s="11"/>
      <c r="I19242" s="15"/>
    </row>
    <row r="19243" spans="1:9" ht="16.5">
      <c r="A19243" s="10" t="b">
        <v>0</v>
      </c>
      <c r="B19243" s="11" t="str">
        <f>IF(D19243&lt;&gt;"",IF(COUNTIF('USPTO TMs'!A:A,D19243)&gt;0,"Yes","No"),"")</f>
        <v/>
      </c>
      <c r="C19243" s="11"/>
      <c r="D19243" s="11"/>
      <c r="E19243" s="11"/>
      <c r="F19243" s="11"/>
      <c r="G19243" s="11"/>
      <c r="H19243" s="11"/>
      <c r="I19243" s="15"/>
    </row>
    <row r="19244" spans="1:9" ht="16.5">
      <c r="A19244" s="10" t="b">
        <v>0</v>
      </c>
      <c r="B19244" s="11" t="str">
        <f>IF(D19244&lt;&gt;"",IF(COUNTIF('USPTO TMs'!A:A,D19244)&gt;0,"Yes","No"),"")</f>
        <v/>
      </c>
      <c r="C19244" s="11"/>
      <c r="D19244" s="11"/>
      <c r="E19244" s="11"/>
      <c r="F19244" s="11"/>
      <c r="G19244" s="11"/>
      <c r="H19244" s="11"/>
      <c r="I19244" s="15"/>
    </row>
    <row r="19245" spans="1:9" ht="16.5">
      <c r="A19245" s="10" t="b">
        <v>0</v>
      </c>
      <c r="B19245" s="11" t="str">
        <f>IF(D19245&lt;&gt;"",IF(COUNTIF('USPTO TMs'!A:A,D19245)&gt;0,"Yes","No"),"")</f>
        <v/>
      </c>
      <c r="C19245" s="11"/>
      <c r="D19245" s="11"/>
      <c r="E19245" s="11"/>
      <c r="F19245" s="11"/>
      <c r="G19245" s="11"/>
      <c r="H19245" s="11"/>
      <c r="I19245" s="15"/>
    </row>
    <row r="19246" spans="1:9" ht="16.5">
      <c r="A19246" s="10" t="b">
        <v>0</v>
      </c>
      <c r="B19246" s="11" t="str">
        <f>IF(D19246&lt;&gt;"",IF(COUNTIF('USPTO TMs'!A:A,D19246)&gt;0,"Yes","No"),"")</f>
        <v/>
      </c>
      <c r="C19246" s="11"/>
      <c r="D19246" s="11"/>
      <c r="E19246" s="11"/>
      <c r="F19246" s="11"/>
      <c r="G19246" s="11"/>
      <c r="H19246" s="11"/>
      <c r="I19246" s="15"/>
    </row>
    <row r="19247" spans="1:9" ht="16.5">
      <c r="A19247" s="10" t="b">
        <v>0</v>
      </c>
      <c r="B19247" s="11" t="str">
        <f>IF(D19247&lt;&gt;"",IF(COUNTIF('USPTO TMs'!A:A,D19247)&gt;0,"Yes","No"),"")</f>
        <v/>
      </c>
      <c r="C19247" s="11"/>
      <c r="D19247" s="11"/>
      <c r="E19247" s="11"/>
      <c r="F19247" s="11"/>
      <c r="G19247" s="11"/>
      <c r="H19247" s="11"/>
      <c r="I19247" s="15"/>
    </row>
    <row r="19248" spans="1:9" ht="16.5">
      <c r="A19248" s="10" t="b">
        <v>0</v>
      </c>
      <c r="B19248" s="11" t="str">
        <f>IF(D19248&lt;&gt;"",IF(COUNTIF('USPTO TMs'!A:A,D19248)&gt;0,"Yes","No"),"")</f>
        <v/>
      </c>
      <c r="C19248" s="11"/>
      <c r="D19248" s="11"/>
      <c r="E19248" s="11"/>
      <c r="F19248" s="11"/>
      <c r="G19248" s="11"/>
      <c r="H19248" s="11"/>
      <c r="I19248" s="15"/>
    </row>
    <row r="19249" spans="1:9" ht="16.5">
      <c r="A19249" s="10" t="b">
        <v>0</v>
      </c>
      <c r="B19249" s="11" t="str">
        <f>IF(D19249&lt;&gt;"",IF(COUNTIF('USPTO TMs'!A:A,D19249)&gt;0,"Yes","No"),"")</f>
        <v/>
      </c>
      <c r="C19249" s="11"/>
      <c r="D19249" s="11"/>
      <c r="E19249" s="11"/>
      <c r="F19249" s="11"/>
      <c r="G19249" s="11"/>
      <c r="H19249" s="11"/>
      <c r="I19249" s="15"/>
    </row>
    <row r="19250" spans="1:9" ht="16.5">
      <c r="A19250" s="10" t="b">
        <v>0</v>
      </c>
      <c r="B19250" s="11" t="str">
        <f>IF(D19250&lt;&gt;"",IF(COUNTIF('USPTO TMs'!A:A,D19250)&gt;0,"Yes","No"),"")</f>
        <v/>
      </c>
      <c r="C19250" s="11"/>
      <c r="D19250" s="11"/>
      <c r="E19250" s="11"/>
      <c r="F19250" s="11"/>
      <c r="G19250" s="11"/>
      <c r="H19250" s="11"/>
      <c r="I19250" s="15"/>
    </row>
    <row r="19251" spans="1:9" ht="16.5">
      <c r="A19251" s="10" t="b">
        <v>0</v>
      </c>
      <c r="B19251" s="11" t="str">
        <f>IF(D19251&lt;&gt;"",IF(COUNTIF('USPTO TMs'!A:A,D19251)&gt;0,"Yes","No"),"")</f>
        <v/>
      </c>
      <c r="C19251" s="11"/>
      <c r="D19251" s="11"/>
      <c r="E19251" s="11"/>
      <c r="F19251" s="11"/>
      <c r="G19251" s="11"/>
      <c r="H19251" s="11"/>
      <c r="I19251" s="15"/>
    </row>
    <row r="19252" spans="1:9" ht="16.5">
      <c r="A19252" s="10" t="b">
        <v>0</v>
      </c>
      <c r="B19252" s="11" t="str">
        <f>IF(D19252&lt;&gt;"",IF(COUNTIF('USPTO TMs'!A:A,D19252)&gt;0,"Yes","No"),"")</f>
        <v/>
      </c>
      <c r="C19252" s="11"/>
      <c r="D19252" s="11"/>
      <c r="E19252" s="11"/>
      <c r="F19252" s="11"/>
      <c r="G19252" s="11"/>
      <c r="H19252" s="11"/>
      <c r="I19252" s="15"/>
    </row>
    <row r="19253" spans="1:9" ht="16.5">
      <c r="A19253" s="10" t="b">
        <v>0</v>
      </c>
      <c r="B19253" s="11" t="str">
        <f>IF(D19253&lt;&gt;"",IF(COUNTIF('USPTO TMs'!A:A,D19253)&gt;0,"Yes","No"),"")</f>
        <v/>
      </c>
      <c r="C19253" s="11"/>
      <c r="D19253" s="11"/>
      <c r="E19253" s="11"/>
      <c r="F19253" s="11"/>
      <c r="G19253" s="11"/>
      <c r="H19253" s="11"/>
      <c r="I19253" s="15"/>
    </row>
    <row r="19254" spans="1:9" ht="16.5">
      <c r="A19254" s="10" t="b">
        <v>0</v>
      </c>
      <c r="B19254" s="11" t="str">
        <f>IF(D19254&lt;&gt;"",IF(COUNTIF('USPTO TMs'!A:A,D19254)&gt;0,"Yes","No"),"")</f>
        <v/>
      </c>
      <c r="C19254" s="11"/>
      <c r="D19254" s="11"/>
      <c r="E19254" s="11"/>
      <c r="F19254" s="11"/>
      <c r="G19254" s="11"/>
      <c r="H19254" s="11"/>
      <c r="I19254" s="15"/>
    </row>
    <row r="19255" spans="1:9" ht="16.5">
      <c r="A19255" s="10" t="b">
        <v>0</v>
      </c>
      <c r="B19255" s="11" t="str">
        <f>IF(D19255&lt;&gt;"",IF(COUNTIF('USPTO TMs'!A:A,D19255)&gt;0,"Yes","No"),"")</f>
        <v/>
      </c>
      <c r="C19255" s="11"/>
      <c r="D19255" s="11"/>
      <c r="E19255" s="11"/>
      <c r="F19255" s="11"/>
      <c r="G19255" s="11"/>
      <c r="H19255" s="11"/>
      <c r="I19255" s="15"/>
    </row>
    <row r="19256" spans="1:9" ht="16.5">
      <c r="A19256" s="10" t="b">
        <v>0</v>
      </c>
      <c r="B19256" s="11" t="str">
        <f>IF(D19256&lt;&gt;"",IF(COUNTIF('USPTO TMs'!A:A,D19256)&gt;0,"Yes","No"),"")</f>
        <v/>
      </c>
      <c r="C19256" s="11"/>
      <c r="D19256" s="11"/>
      <c r="E19256" s="11"/>
      <c r="F19256" s="11"/>
      <c r="G19256" s="11"/>
      <c r="H19256" s="11"/>
      <c r="I19256" s="15"/>
    </row>
    <row r="19257" spans="1:9" ht="16.5">
      <c r="A19257" s="10" t="b">
        <v>0</v>
      </c>
      <c r="B19257" s="11" t="str">
        <f>IF(D19257&lt;&gt;"",IF(COUNTIF('USPTO TMs'!A:A,D19257)&gt;0,"Yes","No"),"")</f>
        <v/>
      </c>
      <c r="C19257" s="11"/>
      <c r="D19257" s="11"/>
      <c r="E19257" s="11"/>
      <c r="F19257" s="11"/>
      <c r="G19257" s="11"/>
      <c r="H19257" s="11"/>
      <c r="I19257" s="15"/>
    </row>
    <row r="19258" spans="1:9" ht="16.5">
      <c r="A19258" s="10" t="b">
        <v>0</v>
      </c>
      <c r="B19258" s="11" t="str">
        <f>IF(D19258&lt;&gt;"",IF(COUNTIF('USPTO TMs'!A:A,D19258)&gt;0,"Yes","No"),"")</f>
        <v/>
      </c>
      <c r="C19258" s="11"/>
      <c r="D19258" s="11"/>
      <c r="E19258" s="11"/>
      <c r="F19258" s="11"/>
      <c r="G19258" s="11"/>
      <c r="H19258" s="11"/>
      <c r="I19258" s="15"/>
    </row>
    <row r="19259" spans="1:9" ht="16.5">
      <c r="A19259" s="10" t="b">
        <v>0</v>
      </c>
      <c r="B19259" s="11" t="str">
        <f>IF(D19259&lt;&gt;"",IF(COUNTIF('USPTO TMs'!A:A,D19259)&gt;0,"Yes","No"),"")</f>
        <v/>
      </c>
      <c r="C19259" s="11"/>
      <c r="D19259" s="11"/>
      <c r="E19259" s="11"/>
      <c r="F19259" s="11"/>
      <c r="G19259" s="11"/>
      <c r="H19259" s="11"/>
      <c r="I19259" s="15"/>
    </row>
    <row r="19260" spans="1:9" ht="16.5">
      <c r="A19260" s="10" t="b">
        <v>0</v>
      </c>
      <c r="B19260" s="11" t="str">
        <f>IF(D19260&lt;&gt;"",IF(COUNTIF('USPTO TMs'!A:A,D19260)&gt;0,"Yes","No"),"")</f>
        <v/>
      </c>
      <c r="C19260" s="11"/>
      <c r="D19260" s="11"/>
      <c r="E19260" s="11"/>
      <c r="F19260" s="11"/>
      <c r="G19260" s="11"/>
      <c r="H19260" s="11"/>
      <c r="I19260" s="15"/>
    </row>
    <row r="19261" spans="1:9" ht="16.5">
      <c r="A19261" s="10" t="b">
        <v>0</v>
      </c>
      <c r="B19261" s="11" t="str">
        <f>IF(D19261&lt;&gt;"",IF(COUNTIF('USPTO TMs'!A:A,D19261)&gt;0,"Yes","No"),"")</f>
        <v/>
      </c>
      <c r="C19261" s="11"/>
      <c r="D19261" s="11"/>
      <c r="E19261" s="11"/>
      <c r="F19261" s="11"/>
      <c r="G19261" s="11"/>
      <c r="H19261" s="11"/>
      <c r="I19261" s="15"/>
    </row>
    <row r="19262" spans="1:9" ht="16.5">
      <c r="A19262" s="10" t="b">
        <v>0</v>
      </c>
      <c r="B19262" s="11" t="str">
        <f>IF(D19262&lt;&gt;"",IF(COUNTIF('USPTO TMs'!A:A,D19262)&gt;0,"Yes","No"),"")</f>
        <v/>
      </c>
      <c r="C19262" s="11"/>
      <c r="D19262" s="11"/>
      <c r="E19262" s="11"/>
      <c r="F19262" s="11"/>
      <c r="G19262" s="11"/>
      <c r="H19262" s="11"/>
      <c r="I19262" s="15"/>
    </row>
    <row r="19263" spans="1:9" ht="16.5">
      <c r="A19263" s="10" t="b">
        <v>0</v>
      </c>
      <c r="B19263" s="11" t="str">
        <f>IF(D19263&lt;&gt;"",IF(COUNTIF('USPTO TMs'!A:A,D19263)&gt;0,"Yes","No"),"")</f>
        <v/>
      </c>
      <c r="C19263" s="11"/>
      <c r="D19263" s="11"/>
      <c r="E19263" s="11"/>
      <c r="F19263" s="11"/>
      <c r="G19263" s="11"/>
      <c r="H19263" s="11"/>
      <c r="I19263" s="15"/>
    </row>
    <row r="19264" spans="1:9" ht="16.5">
      <c r="A19264" s="10" t="b">
        <v>0</v>
      </c>
      <c r="B19264" s="11" t="str">
        <f>IF(D19264&lt;&gt;"",IF(COUNTIF('USPTO TMs'!A:A,D19264)&gt;0,"Yes","No"),"")</f>
        <v/>
      </c>
      <c r="C19264" s="11"/>
      <c r="D19264" s="11"/>
      <c r="E19264" s="11"/>
      <c r="F19264" s="11"/>
      <c r="G19264" s="11"/>
      <c r="H19264" s="11"/>
      <c r="I19264" s="15"/>
    </row>
    <row r="19265" spans="1:9" ht="16.5">
      <c r="A19265" s="10" t="b">
        <v>0</v>
      </c>
      <c r="B19265" s="11" t="str">
        <f>IF(D19265&lt;&gt;"",IF(COUNTIF('USPTO TMs'!A:A,D19265)&gt;0,"Yes","No"),"")</f>
        <v/>
      </c>
      <c r="C19265" s="11"/>
      <c r="D19265" s="11"/>
      <c r="E19265" s="11"/>
      <c r="F19265" s="11"/>
      <c r="G19265" s="11"/>
      <c r="H19265" s="11"/>
      <c r="I19265" s="15"/>
    </row>
    <row r="19266" spans="1:9" ht="16.5">
      <c r="A19266" s="10" t="b">
        <v>0</v>
      </c>
      <c r="B19266" s="11" t="str">
        <f>IF(D19266&lt;&gt;"",IF(COUNTIF('USPTO TMs'!A:A,D19266)&gt;0,"Yes","No"),"")</f>
        <v/>
      </c>
      <c r="C19266" s="11"/>
      <c r="D19266" s="11"/>
      <c r="E19266" s="11"/>
      <c r="F19266" s="11"/>
      <c r="G19266" s="11"/>
      <c r="H19266" s="11"/>
      <c r="I19266" s="15"/>
    </row>
    <row r="19267" spans="1:9" ht="16.5">
      <c r="A19267" s="10" t="b">
        <v>0</v>
      </c>
      <c r="B19267" s="11" t="str">
        <f>IF(D19267&lt;&gt;"",IF(COUNTIF('USPTO TMs'!A:A,D19267)&gt;0,"Yes","No"),"")</f>
        <v/>
      </c>
      <c r="C19267" s="11"/>
      <c r="D19267" s="11"/>
      <c r="E19267" s="11"/>
      <c r="F19267" s="11"/>
      <c r="G19267" s="11"/>
      <c r="H19267" s="11"/>
      <c r="I19267" s="15"/>
    </row>
    <row r="19268" spans="1:9" ht="16.5">
      <c r="A19268" s="10" t="b">
        <v>0</v>
      </c>
      <c r="B19268" s="11" t="str">
        <f>IF(D19268&lt;&gt;"",IF(COUNTIF('USPTO TMs'!A:A,D19268)&gt;0,"Yes","No"),"")</f>
        <v/>
      </c>
      <c r="C19268" s="11"/>
      <c r="D19268" s="11"/>
      <c r="E19268" s="11"/>
      <c r="F19268" s="11"/>
      <c r="G19268" s="11"/>
      <c r="H19268" s="11"/>
      <c r="I19268" s="15"/>
    </row>
    <row r="19269" spans="1:9" ht="16.5">
      <c r="A19269" s="10" t="b">
        <v>0</v>
      </c>
      <c r="B19269" s="11" t="str">
        <f>IF(D19269&lt;&gt;"",IF(COUNTIF('USPTO TMs'!A:A,D19269)&gt;0,"Yes","No"),"")</f>
        <v/>
      </c>
      <c r="C19269" s="11"/>
      <c r="D19269" s="11"/>
      <c r="E19269" s="11"/>
      <c r="F19269" s="11"/>
      <c r="G19269" s="11"/>
      <c r="H19269" s="11"/>
      <c r="I19269" s="15"/>
    </row>
    <row r="19270" spans="1:9" ht="16.5">
      <c r="A19270" s="10" t="b">
        <v>0</v>
      </c>
      <c r="B19270" s="11" t="str">
        <f>IF(D19270&lt;&gt;"",IF(COUNTIF('USPTO TMs'!A:A,D19270)&gt;0,"Yes","No"),"")</f>
        <v/>
      </c>
      <c r="C19270" s="11"/>
      <c r="D19270" s="11"/>
      <c r="E19270" s="11"/>
      <c r="F19270" s="11"/>
      <c r="G19270" s="11"/>
      <c r="H19270" s="11"/>
      <c r="I19270" s="15"/>
    </row>
    <row r="19271" spans="1:9" ht="16.5">
      <c r="A19271" s="10" t="b">
        <v>0</v>
      </c>
      <c r="B19271" s="11" t="str">
        <f>IF(D19271&lt;&gt;"",IF(COUNTIF('USPTO TMs'!A:A,D19271)&gt;0,"Yes","No"),"")</f>
        <v/>
      </c>
      <c r="C19271" s="11"/>
      <c r="D19271" s="11"/>
      <c r="E19271" s="11"/>
      <c r="F19271" s="11"/>
      <c r="G19271" s="11"/>
      <c r="H19271" s="11"/>
      <c r="I19271" s="15"/>
    </row>
    <row r="19272" spans="1:9" ht="16.5">
      <c r="A19272" s="10" t="b">
        <v>0</v>
      </c>
      <c r="B19272" s="11" t="str">
        <f>IF(D19272&lt;&gt;"",IF(COUNTIF('USPTO TMs'!A:A,D19272)&gt;0,"Yes","No"),"")</f>
        <v/>
      </c>
      <c r="C19272" s="11"/>
      <c r="D19272" s="11"/>
      <c r="E19272" s="11"/>
      <c r="F19272" s="11"/>
      <c r="G19272" s="11"/>
      <c r="H19272" s="11"/>
      <c r="I19272" s="15"/>
    </row>
    <row r="19273" spans="1:9" ht="16.5">
      <c r="A19273" s="10" t="b">
        <v>0</v>
      </c>
      <c r="B19273" s="11" t="str">
        <f>IF(D19273&lt;&gt;"",IF(COUNTIF('USPTO TMs'!A:A,D19273)&gt;0,"Yes","No"),"")</f>
        <v/>
      </c>
      <c r="C19273" s="11"/>
      <c r="D19273" s="11"/>
      <c r="E19273" s="11"/>
      <c r="F19273" s="11"/>
      <c r="G19273" s="11"/>
      <c r="H19273" s="11"/>
      <c r="I19273" s="15"/>
    </row>
    <row r="19274" spans="1:9" ht="16.5">
      <c r="A19274" s="10" t="b">
        <v>0</v>
      </c>
      <c r="B19274" s="11" t="str">
        <f>IF(D19274&lt;&gt;"",IF(COUNTIF('USPTO TMs'!A:A,D19274)&gt;0,"Yes","No"),"")</f>
        <v/>
      </c>
      <c r="C19274" s="11"/>
      <c r="D19274" s="11"/>
      <c r="E19274" s="11"/>
      <c r="F19274" s="11"/>
      <c r="G19274" s="11"/>
      <c r="H19274" s="11"/>
      <c r="I19274" s="15"/>
    </row>
    <row r="19275" spans="1:9" ht="16.5">
      <c r="A19275" s="10" t="b">
        <v>0</v>
      </c>
      <c r="B19275" s="11" t="str">
        <f>IF(D19275&lt;&gt;"",IF(COUNTIF('USPTO TMs'!A:A,D19275)&gt;0,"Yes","No"),"")</f>
        <v/>
      </c>
      <c r="C19275" s="11"/>
      <c r="D19275" s="11"/>
      <c r="E19275" s="11"/>
      <c r="F19275" s="11"/>
      <c r="G19275" s="11"/>
      <c r="H19275" s="11"/>
      <c r="I19275" s="15"/>
    </row>
    <row r="19276" spans="1:9" ht="16.5">
      <c r="A19276" s="10" t="b">
        <v>0</v>
      </c>
      <c r="B19276" s="11" t="str">
        <f>IF(D19276&lt;&gt;"",IF(COUNTIF('USPTO TMs'!A:A,D19276)&gt;0,"Yes","No"),"")</f>
        <v/>
      </c>
      <c r="C19276" s="11"/>
      <c r="D19276" s="11"/>
      <c r="E19276" s="11"/>
      <c r="F19276" s="11"/>
      <c r="G19276" s="11"/>
      <c r="H19276" s="11"/>
      <c r="I19276" s="15"/>
    </row>
    <row r="19277" spans="1:9" ht="16.5">
      <c r="A19277" s="10" t="b">
        <v>0</v>
      </c>
      <c r="B19277" s="11" t="str">
        <f>IF(D19277&lt;&gt;"",IF(COUNTIF('USPTO TMs'!A:A,D19277)&gt;0,"Yes","No"),"")</f>
        <v/>
      </c>
      <c r="C19277" s="11"/>
      <c r="D19277" s="11"/>
      <c r="E19277" s="11"/>
      <c r="F19277" s="11"/>
      <c r="G19277" s="11"/>
      <c r="H19277" s="11"/>
      <c r="I19277" s="15"/>
    </row>
    <row r="19278" spans="1:9" ht="16.5">
      <c r="A19278" s="10" t="b">
        <v>0</v>
      </c>
      <c r="B19278" s="11" t="str">
        <f>IF(D19278&lt;&gt;"",IF(COUNTIF('USPTO TMs'!A:A,D19278)&gt;0,"Yes","No"),"")</f>
        <v/>
      </c>
      <c r="C19278" s="11"/>
      <c r="D19278" s="11"/>
      <c r="E19278" s="11"/>
      <c r="F19278" s="11"/>
      <c r="G19278" s="11"/>
      <c r="H19278" s="11"/>
      <c r="I19278" s="15"/>
    </row>
    <row r="19279" spans="1:9" ht="16.5">
      <c r="A19279" s="10" t="b">
        <v>0</v>
      </c>
      <c r="B19279" s="11" t="str">
        <f>IF(D19279&lt;&gt;"",IF(COUNTIF('USPTO TMs'!A:A,D19279)&gt;0,"Yes","No"),"")</f>
        <v/>
      </c>
      <c r="C19279" s="11"/>
      <c r="D19279" s="11"/>
      <c r="E19279" s="11"/>
      <c r="F19279" s="11"/>
      <c r="G19279" s="11"/>
      <c r="H19279" s="11"/>
      <c r="I19279" s="15"/>
    </row>
    <row r="19280" spans="1:9" ht="16.5">
      <c r="A19280" s="10" t="b">
        <v>0</v>
      </c>
      <c r="B19280" s="11" t="str">
        <f>IF(D19280&lt;&gt;"",IF(COUNTIF('USPTO TMs'!A:A,D19280)&gt;0,"Yes","No"),"")</f>
        <v/>
      </c>
      <c r="C19280" s="11"/>
      <c r="D19280" s="11"/>
      <c r="E19280" s="11"/>
      <c r="F19280" s="11"/>
      <c r="G19280" s="11"/>
      <c r="H19280" s="11"/>
      <c r="I19280" s="15"/>
    </row>
    <row r="19281" spans="1:9" ht="16.5">
      <c r="A19281" s="10" t="b">
        <v>0</v>
      </c>
      <c r="B19281" s="11" t="str">
        <f>IF(D19281&lt;&gt;"",IF(COUNTIF('USPTO TMs'!A:A,D19281)&gt;0,"Yes","No"),"")</f>
        <v/>
      </c>
      <c r="C19281" s="11"/>
      <c r="D19281" s="11"/>
      <c r="E19281" s="11"/>
      <c r="F19281" s="11"/>
      <c r="G19281" s="11"/>
      <c r="H19281" s="11"/>
      <c r="I19281" s="15"/>
    </row>
    <row r="19282" spans="1:9" ht="16.5">
      <c r="A19282" s="10" t="b">
        <v>0</v>
      </c>
      <c r="B19282" s="11" t="str">
        <f>IF(D19282&lt;&gt;"",IF(COUNTIF('USPTO TMs'!A:A,D19282)&gt;0,"Yes","No"),"")</f>
        <v/>
      </c>
      <c r="C19282" s="11"/>
      <c r="D19282" s="11"/>
      <c r="E19282" s="11"/>
      <c r="F19282" s="11"/>
      <c r="G19282" s="11"/>
      <c r="H19282" s="11"/>
      <c r="I19282" s="15"/>
    </row>
    <row r="19283" spans="1:9" ht="16.5">
      <c r="A19283" s="10" t="b">
        <v>0</v>
      </c>
      <c r="B19283" s="11" t="str">
        <f>IF(D19283&lt;&gt;"",IF(COUNTIF('USPTO TMs'!A:A,D19283)&gt;0,"Yes","No"),"")</f>
        <v/>
      </c>
      <c r="C19283" s="11"/>
      <c r="D19283" s="11"/>
      <c r="E19283" s="11"/>
      <c r="F19283" s="11"/>
      <c r="G19283" s="11"/>
      <c r="H19283" s="11"/>
      <c r="I19283" s="15"/>
    </row>
    <row r="19284" spans="1:9" ht="16.5">
      <c r="A19284" s="10" t="b">
        <v>0</v>
      </c>
      <c r="B19284" s="11" t="str">
        <f>IF(D19284&lt;&gt;"",IF(COUNTIF('USPTO TMs'!A:A,D19284)&gt;0,"Yes","No"),"")</f>
        <v/>
      </c>
      <c r="C19284" s="11"/>
      <c r="D19284" s="11"/>
      <c r="E19284" s="11"/>
      <c r="F19284" s="11"/>
      <c r="G19284" s="11"/>
      <c r="H19284" s="11"/>
      <c r="I19284" s="15"/>
    </row>
    <row r="19285" spans="1:9" ht="16.5">
      <c r="A19285" s="10" t="b">
        <v>0</v>
      </c>
      <c r="B19285" s="11" t="str">
        <f>IF(D19285&lt;&gt;"",IF(COUNTIF('USPTO TMs'!A:A,D19285)&gt;0,"Yes","No"),"")</f>
        <v/>
      </c>
      <c r="C19285" s="11"/>
      <c r="D19285" s="11"/>
      <c r="E19285" s="11"/>
      <c r="F19285" s="11"/>
      <c r="G19285" s="11"/>
      <c r="H19285" s="11"/>
      <c r="I19285" s="15"/>
    </row>
    <row r="19286" spans="1:9" ht="16.5">
      <c r="A19286" s="10" t="b">
        <v>0</v>
      </c>
      <c r="B19286" s="11" t="str">
        <f>IF(D19286&lt;&gt;"",IF(COUNTIF('USPTO TMs'!A:A,D19286)&gt;0,"Yes","No"),"")</f>
        <v/>
      </c>
      <c r="C19286" s="11"/>
      <c r="D19286" s="11"/>
      <c r="E19286" s="11"/>
      <c r="F19286" s="11"/>
      <c r="G19286" s="11"/>
      <c r="H19286" s="11"/>
      <c r="I19286" s="15"/>
    </row>
    <row r="19287" spans="1:9" ht="16.5">
      <c r="A19287" s="10" t="b">
        <v>0</v>
      </c>
      <c r="B19287" s="11" t="str">
        <f>IF(D19287&lt;&gt;"",IF(COUNTIF('USPTO TMs'!A:A,D19287)&gt;0,"Yes","No"),"")</f>
        <v/>
      </c>
      <c r="C19287" s="11"/>
      <c r="D19287" s="11"/>
      <c r="E19287" s="11"/>
      <c r="F19287" s="11"/>
      <c r="G19287" s="11"/>
      <c r="H19287" s="11"/>
      <c r="I19287" s="15"/>
    </row>
    <row r="19288" spans="1:9" ht="16.5">
      <c r="A19288" s="10" t="b">
        <v>0</v>
      </c>
      <c r="B19288" s="11" t="str">
        <f>IF(D19288&lt;&gt;"",IF(COUNTIF('USPTO TMs'!A:A,D19288)&gt;0,"Yes","No"),"")</f>
        <v/>
      </c>
      <c r="C19288" s="11"/>
      <c r="D19288" s="11"/>
      <c r="E19288" s="11"/>
      <c r="F19288" s="11"/>
      <c r="G19288" s="11"/>
      <c r="H19288" s="11"/>
      <c r="I19288" s="15"/>
    </row>
    <row r="19289" spans="1:9" ht="16.5">
      <c r="A19289" s="10" t="b">
        <v>0</v>
      </c>
      <c r="B19289" s="11" t="str">
        <f>IF(D19289&lt;&gt;"",IF(COUNTIF('USPTO TMs'!A:A,D19289)&gt;0,"Yes","No"),"")</f>
        <v/>
      </c>
      <c r="C19289" s="11"/>
      <c r="D19289" s="11"/>
      <c r="E19289" s="11"/>
      <c r="F19289" s="11"/>
      <c r="G19289" s="11"/>
      <c r="H19289" s="11"/>
      <c r="I19289" s="15"/>
    </row>
    <row r="19290" spans="1:9" ht="16.5">
      <c r="A19290" s="10" t="b">
        <v>0</v>
      </c>
      <c r="B19290" s="11" t="str">
        <f>IF(D19290&lt;&gt;"",IF(COUNTIF('USPTO TMs'!A:A,D19290)&gt;0,"Yes","No"),"")</f>
        <v/>
      </c>
      <c r="C19290" s="11"/>
      <c r="D19290" s="11"/>
      <c r="E19290" s="11"/>
      <c r="F19290" s="11"/>
      <c r="G19290" s="11"/>
      <c r="H19290" s="11"/>
      <c r="I19290" s="15"/>
    </row>
    <row r="19291" spans="1:9" ht="16.5">
      <c r="A19291" s="10" t="b">
        <v>0</v>
      </c>
      <c r="B19291" s="11" t="str">
        <f>IF(D19291&lt;&gt;"",IF(COUNTIF('USPTO TMs'!A:A,D19291)&gt;0,"Yes","No"),"")</f>
        <v/>
      </c>
      <c r="C19291" s="11"/>
      <c r="D19291" s="11"/>
      <c r="E19291" s="11"/>
      <c r="F19291" s="11"/>
      <c r="G19291" s="11"/>
      <c r="H19291" s="11"/>
      <c r="I19291" s="15"/>
    </row>
    <row r="19292" spans="1:9" ht="16.5">
      <c r="A19292" s="10" t="b">
        <v>0</v>
      </c>
      <c r="B19292" s="11" t="str">
        <f>IF(D19292&lt;&gt;"",IF(COUNTIF('USPTO TMs'!A:A,D19292)&gt;0,"Yes","No"),"")</f>
        <v/>
      </c>
      <c r="C19292" s="11"/>
      <c r="D19292" s="11"/>
      <c r="E19292" s="11"/>
      <c r="F19292" s="11"/>
      <c r="G19292" s="11"/>
      <c r="H19292" s="11"/>
      <c r="I19292" s="15"/>
    </row>
    <row r="19293" spans="1:9" ht="16.5">
      <c r="A19293" s="10" t="b">
        <v>0</v>
      </c>
      <c r="B19293" s="11" t="str">
        <f>IF(D19293&lt;&gt;"",IF(COUNTIF('USPTO TMs'!A:A,D19293)&gt;0,"Yes","No"),"")</f>
        <v/>
      </c>
      <c r="C19293" s="11"/>
      <c r="D19293" s="11"/>
      <c r="E19293" s="11"/>
      <c r="F19293" s="11"/>
      <c r="G19293" s="11"/>
      <c r="H19293" s="11"/>
      <c r="I19293" s="15"/>
    </row>
    <row r="19294" spans="1:9" ht="16.5">
      <c r="A19294" s="10" t="b">
        <v>0</v>
      </c>
      <c r="B19294" s="11" t="str">
        <f>IF(D19294&lt;&gt;"",IF(COUNTIF('USPTO TMs'!A:A,D19294)&gt;0,"Yes","No"),"")</f>
        <v/>
      </c>
      <c r="C19294" s="11"/>
      <c r="D19294" s="11"/>
      <c r="E19294" s="11"/>
      <c r="F19294" s="11"/>
      <c r="G19294" s="11"/>
      <c r="H19294" s="11"/>
      <c r="I19294" s="15"/>
    </row>
    <row r="19295" spans="1:9" ht="16.5">
      <c r="A19295" s="10" t="b">
        <v>0</v>
      </c>
      <c r="B19295" s="11" t="str">
        <f>IF(D19295&lt;&gt;"",IF(COUNTIF('USPTO TMs'!A:A,D19295)&gt;0,"Yes","No"),"")</f>
        <v/>
      </c>
      <c r="C19295" s="11"/>
      <c r="D19295" s="11"/>
      <c r="E19295" s="11"/>
      <c r="F19295" s="11"/>
      <c r="G19295" s="11"/>
      <c r="H19295" s="11"/>
      <c r="I19295" s="15"/>
    </row>
    <row r="19296" spans="1:9" ht="16.5">
      <c r="A19296" s="10" t="b">
        <v>0</v>
      </c>
      <c r="B19296" s="11" t="str">
        <f>IF(D19296&lt;&gt;"",IF(COUNTIF('USPTO TMs'!A:A,D19296)&gt;0,"Yes","No"),"")</f>
        <v/>
      </c>
      <c r="C19296" s="11"/>
      <c r="D19296" s="11"/>
      <c r="E19296" s="11"/>
      <c r="F19296" s="11"/>
      <c r="G19296" s="11"/>
      <c r="H19296" s="11"/>
      <c r="I19296" s="15"/>
    </row>
    <row r="19297" spans="1:9" ht="16.5">
      <c r="A19297" s="10" t="b">
        <v>0</v>
      </c>
      <c r="B19297" s="11" t="str">
        <f>IF(D19297&lt;&gt;"",IF(COUNTIF('USPTO TMs'!A:A,D19297)&gt;0,"Yes","No"),"")</f>
        <v/>
      </c>
      <c r="C19297" s="11"/>
      <c r="D19297" s="11"/>
      <c r="E19297" s="11"/>
      <c r="F19297" s="11"/>
      <c r="G19297" s="11"/>
      <c r="H19297" s="11"/>
      <c r="I19297" s="15"/>
    </row>
    <row r="19298" spans="1:9" ht="16.5">
      <c r="A19298" s="10" t="b">
        <v>0</v>
      </c>
      <c r="B19298" s="11" t="str">
        <f>IF(D19298&lt;&gt;"",IF(COUNTIF('USPTO TMs'!A:A,D19298)&gt;0,"Yes","No"),"")</f>
        <v/>
      </c>
      <c r="C19298" s="11"/>
      <c r="D19298" s="11"/>
      <c r="E19298" s="11"/>
      <c r="F19298" s="11"/>
      <c r="G19298" s="11"/>
      <c r="H19298" s="11"/>
      <c r="I19298" s="15"/>
    </row>
    <row r="19299" spans="1:9" ht="16.5">
      <c r="A19299" s="10" t="b">
        <v>0</v>
      </c>
      <c r="B19299" s="11" t="str">
        <f>IF(D19299&lt;&gt;"",IF(COUNTIF('USPTO TMs'!A:A,D19299)&gt;0,"Yes","No"),"")</f>
        <v/>
      </c>
      <c r="C19299" s="11"/>
      <c r="D19299" s="11"/>
      <c r="E19299" s="11"/>
      <c r="F19299" s="11"/>
      <c r="G19299" s="11"/>
      <c r="H19299" s="11"/>
      <c r="I19299" s="15"/>
    </row>
    <row r="19300" spans="1:9" ht="16.5">
      <c r="A19300" s="10" t="b">
        <v>0</v>
      </c>
      <c r="B19300" s="11" t="str">
        <f>IF(D19300&lt;&gt;"",IF(COUNTIF('USPTO TMs'!A:A,D19300)&gt;0,"Yes","No"),"")</f>
        <v/>
      </c>
      <c r="C19300" s="11"/>
      <c r="D19300" s="11"/>
      <c r="E19300" s="11"/>
      <c r="F19300" s="11"/>
      <c r="G19300" s="11"/>
      <c r="H19300" s="11"/>
      <c r="I19300" s="15"/>
    </row>
    <row r="19301" spans="1:9" ht="16.5">
      <c r="A19301" s="10" t="b">
        <v>0</v>
      </c>
      <c r="B19301" s="11" t="str">
        <f>IF(D19301&lt;&gt;"",IF(COUNTIF('USPTO TMs'!A:A,D19301)&gt;0,"Yes","No"),"")</f>
        <v/>
      </c>
      <c r="C19301" s="11"/>
      <c r="D19301" s="11"/>
      <c r="E19301" s="11"/>
      <c r="F19301" s="11"/>
      <c r="G19301" s="11"/>
      <c r="H19301" s="11"/>
      <c r="I19301" s="15"/>
    </row>
    <row r="19302" spans="1:9" ht="16.5">
      <c r="A19302" s="10" t="b">
        <v>0</v>
      </c>
      <c r="B19302" s="11" t="str">
        <f>IF(D19302&lt;&gt;"",IF(COUNTIF('USPTO TMs'!A:A,D19302)&gt;0,"Yes","No"),"")</f>
        <v/>
      </c>
      <c r="C19302" s="11"/>
      <c r="D19302" s="11"/>
      <c r="E19302" s="11"/>
      <c r="F19302" s="11"/>
      <c r="G19302" s="11"/>
      <c r="H19302" s="11"/>
      <c r="I19302" s="15"/>
    </row>
    <row r="19303" spans="1:9" ht="16.5">
      <c r="A19303" s="10" t="b">
        <v>0</v>
      </c>
      <c r="B19303" s="11" t="str">
        <f>IF(D19303&lt;&gt;"",IF(COUNTIF('USPTO TMs'!A:A,D19303)&gt;0,"Yes","No"),"")</f>
        <v/>
      </c>
      <c r="C19303" s="11"/>
      <c r="D19303" s="11"/>
      <c r="E19303" s="11"/>
      <c r="F19303" s="11"/>
      <c r="G19303" s="11"/>
      <c r="H19303" s="11"/>
      <c r="I19303" s="15"/>
    </row>
    <row r="19304" spans="1:9" ht="16.5">
      <c r="A19304" s="10" t="b">
        <v>0</v>
      </c>
      <c r="B19304" s="11" t="str">
        <f>IF(D19304&lt;&gt;"",IF(COUNTIF('USPTO TMs'!A:A,D19304)&gt;0,"Yes","No"),"")</f>
        <v/>
      </c>
      <c r="C19304" s="11"/>
      <c r="D19304" s="11"/>
      <c r="E19304" s="11"/>
      <c r="F19304" s="11"/>
      <c r="G19304" s="11"/>
      <c r="H19304" s="11"/>
      <c r="I19304" s="15"/>
    </row>
    <row r="19305" spans="1:9" ht="16.5">
      <c r="A19305" s="10" t="b">
        <v>0</v>
      </c>
      <c r="B19305" s="11" t="str">
        <f>IF(D19305&lt;&gt;"",IF(COUNTIF('USPTO TMs'!A:A,D19305)&gt;0,"Yes","No"),"")</f>
        <v/>
      </c>
      <c r="C19305" s="11"/>
      <c r="D19305" s="11"/>
      <c r="E19305" s="11"/>
      <c r="F19305" s="11"/>
      <c r="G19305" s="11"/>
      <c r="H19305" s="11"/>
      <c r="I19305" s="15"/>
    </row>
    <row r="19306" spans="1:9" ht="16.5">
      <c r="A19306" s="10" t="b">
        <v>0</v>
      </c>
      <c r="B19306" s="11" t="str">
        <f>IF(D19306&lt;&gt;"",IF(COUNTIF('USPTO TMs'!A:A,D19306)&gt;0,"Yes","No"),"")</f>
        <v/>
      </c>
      <c r="C19306" s="11"/>
      <c r="D19306" s="11"/>
      <c r="E19306" s="11"/>
      <c r="F19306" s="11"/>
      <c r="G19306" s="11"/>
      <c r="H19306" s="11"/>
      <c r="I19306" s="15"/>
    </row>
    <row r="19307" spans="1:9" ht="16.5">
      <c r="A19307" s="10" t="b">
        <v>0</v>
      </c>
      <c r="B19307" s="11" t="str">
        <f>IF(D19307&lt;&gt;"",IF(COUNTIF('USPTO TMs'!A:A,D19307)&gt;0,"Yes","No"),"")</f>
        <v/>
      </c>
      <c r="C19307" s="11"/>
      <c r="D19307" s="11"/>
      <c r="E19307" s="11"/>
      <c r="F19307" s="11"/>
      <c r="G19307" s="11"/>
      <c r="H19307" s="11"/>
      <c r="I19307" s="15"/>
    </row>
    <row r="19308" spans="1:9" ht="16.5">
      <c r="A19308" s="10" t="b">
        <v>0</v>
      </c>
      <c r="B19308" s="11" t="str">
        <f>IF(D19308&lt;&gt;"",IF(COUNTIF('USPTO TMs'!A:A,D19308)&gt;0,"Yes","No"),"")</f>
        <v/>
      </c>
      <c r="C19308" s="11"/>
      <c r="D19308" s="11"/>
      <c r="E19308" s="11"/>
      <c r="F19308" s="11"/>
      <c r="G19308" s="11"/>
      <c r="H19308" s="11"/>
      <c r="I19308" s="15"/>
    </row>
    <row r="19309" spans="1:9" ht="16.5">
      <c r="A19309" s="10" t="b">
        <v>0</v>
      </c>
      <c r="B19309" s="11" t="str">
        <f>IF(D19309&lt;&gt;"",IF(COUNTIF('USPTO TMs'!A:A,D19309)&gt;0,"Yes","No"),"")</f>
        <v/>
      </c>
      <c r="C19309" s="11"/>
      <c r="D19309" s="11"/>
      <c r="E19309" s="11"/>
      <c r="F19309" s="11"/>
      <c r="G19309" s="11"/>
      <c r="H19309" s="11"/>
      <c r="I19309" s="15"/>
    </row>
    <row r="19310" spans="1:9" ht="16.5">
      <c r="A19310" s="10" t="b">
        <v>0</v>
      </c>
      <c r="B19310" s="11" t="str">
        <f>IF(D19310&lt;&gt;"",IF(COUNTIF('USPTO TMs'!A:A,D19310)&gt;0,"Yes","No"),"")</f>
        <v/>
      </c>
      <c r="C19310" s="11"/>
      <c r="D19310" s="11"/>
      <c r="E19310" s="11"/>
      <c r="F19310" s="11"/>
      <c r="G19310" s="11"/>
      <c r="H19310" s="11"/>
      <c r="I19310" s="15"/>
    </row>
    <row r="19311" spans="1:9" ht="16.5">
      <c r="A19311" s="10" t="b">
        <v>0</v>
      </c>
      <c r="B19311" s="11" t="str">
        <f>IF(D19311&lt;&gt;"",IF(COUNTIF('USPTO TMs'!A:A,D19311)&gt;0,"Yes","No"),"")</f>
        <v/>
      </c>
      <c r="C19311" s="11"/>
      <c r="D19311" s="11"/>
      <c r="E19311" s="11"/>
      <c r="F19311" s="11"/>
      <c r="G19311" s="11"/>
      <c r="H19311" s="11"/>
      <c r="I19311" s="15"/>
    </row>
    <row r="19312" spans="1:9" ht="16.5">
      <c r="A19312" s="10" t="b">
        <v>0</v>
      </c>
      <c r="B19312" s="11" t="str">
        <f>IF(D19312&lt;&gt;"",IF(COUNTIF('USPTO TMs'!A:A,D19312)&gt;0,"Yes","No"),"")</f>
        <v/>
      </c>
      <c r="C19312" s="11"/>
      <c r="D19312" s="11"/>
      <c r="E19312" s="11"/>
      <c r="F19312" s="11"/>
      <c r="G19312" s="11"/>
      <c r="H19312" s="11"/>
      <c r="I19312" s="15"/>
    </row>
    <row r="19313" spans="1:9" ht="16.5">
      <c r="A19313" s="10" t="b">
        <v>0</v>
      </c>
      <c r="B19313" s="11" t="str">
        <f>IF(D19313&lt;&gt;"",IF(COUNTIF('USPTO TMs'!A:A,D19313)&gt;0,"Yes","No"),"")</f>
        <v/>
      </c>
      <c r="C19313" s="11"/>
      <c r="D19313" s="11"/>
      <c r="E19313" s="11"/>
      <c r="F19313" s="11"/>
      <c r="G19313" s="11"/>
      <c r="H19313" s="11"/>
      <c r="I19313" s="15"/>
    </row>
    <row r="19314" spans="1:9" ht="16.5">
      <c r="A19314" s="10" t="b">
        <v>0</v>
      </c>
      <c r="B19314" s="11" t="str">
        <f>IF(D19314&lt;&gt;"",IF(COUNTIF('USPTO TMs'!A:A,D19314)&gt;0,"Yes","No"),"")</f>
        <v/>
      </c>
      <c r="C19314" s="11"/>
      <c r="D19314" s="11"/>
      <c r="E19314" s="11"/>
      <c r="F19314" s="11"/>
      <c r="G19314" s="11"/>
      <c r="H19314" s="11"/>
      <c r="I19314" s="15"/>
    </row>
    <row r="19315" spans="1:9" ht="16.5">
      <c r="A19315" s="10" t="b">
        <v>0</v>
      </c>
      <c r="B19315" s="11" t="str">
        <f>IF(D19315&lt;&gt;"",IF(COUNTIF('USPTO TMs'!A:A,D19315)&gt;0,"Yes","No"),"")</f>
        <v/>
      </c>
      <c r="C19315" s="11"/>
      <c r="D19315" s="11"/>
      <c r="E19315" s="11"/>
      <c r="F19315" s="11"/>
      <c r="G19315" s="11"/>
      <c r="H19315" s="11"/>
      <c r="I19315" s="15"/>
    </row>
    <row r="19316" spans="1:9" ht="16.5">
      <c r="A19316" s="10" t="b">
        <v>0</v>
      </c>
      <c r="B19316" s="11" t="str">
        <f>IF(D19316&lt;&gt;"",IF(COUNTIF('USPTO TMs'!A:A,D19316)&gt;0,"Yes","No"),"")</f>
        <v/>
      </c>
      <c r="C19316" s="11"/>
      <c r="D19316" s="11"/>
      <c r="E19316" s="11"/>
      <c r="F19316" s="11"/>
      <c r="G19316" s="11"/>
      <c r="H19316" s="11"/>
      <c r="I19316" s="15"/>
    </row>
    <row r="19317" spans="1:9" ht="16.5">
      <c r="A19317" s="10" t="b">
        <v>0</v>
      </c>
      <c r="B19317" s="11" t="str">
        <f>IF(D19317&lt;&gt;"",IF(COUNTIF('USPTO TMs'!A:A,D19317)&gt;0,"Yes","No"),"")</f>
        <v/>
      </c>
      <c r="C19317" s="11"/>
      <c r="D19317" s="11"/>
      <c r="E19317" s="11"/>
      <c r="F19317" s="11"/>
      <c r="G19317" s="11"/>
      <c r="H19317" s="11"/>
      <c r="I19317" s="15"/>
    </row>
    <row r="19318" spans="1:9" ht="16.5">
      <c r="A19318" s="10" t="b">
        <v>0</v>
      </c>
      <c r="B19318" s="11" t="str">
        <f>IF(D19318&lt;&gt;"",IF(COUNTIF('USPTO TMs'!A:A,D19318)&gt;0,"Yes","No"),"")</f>
        <v/>
      </c>
      <c r="C19318" s="11"/>
      <c r="D19318" s="11"/>
      <c r="E19318" s="11"/>
      <c r="F19318" s="11"/>
      <c r="G19318" s="11"/>
      <c r="H19318" s="11"/>
      <c r="I19318" s="15"/>
    </row>
    <row r="19319" spans="1:9" ht="16.5">
      <c r="A19319" s="10" t="b">
        <v>0</v>
      </c>
      <c r="B19319" s="11" t="str">
        <f>IF(D19319&lt;&gt;"",IF(COUNTIF('USPTO TMs'!A:A,D19319)&gt;0,"Yes","No"),"")</f>
        <v/>
      </c>
      <c r="C19319" s="11"/>
      <c r="D19319" s="11"/>
      <c r="E19319" s="11"/>
      <c r="F19319" s="11"/>
      <c r="G19319" s="11"/>
      <c r="H19319" s="11"/>
      <c r="I19319" s="15"/>
    </row>
    <row r="19320" spans="1:9" ht="16.5">
      <c r="A19320" s="10" t="b">
        <v>0</v>
      </c>
      <c r="B19320" s="11" t="str">
        <f>IF(D19320&lt;&gt;"",IF(COUNTIF('USPTO TMs'!A:A,D19320)&gt;0,"Yes","No"),"")</f>
        <v/>
      </c>
      <c r="C19320" s="11"/>
      <c r="D19320" s="11"/>
      <c r="E19320" s="11"/>
      <c r="F19320" s="11"/>
      <c r="G19320" s="11"/>
      <c r="H19320" s="11"/>
      <c r="I19320" s="15"/>
    </row>
    <row r="19321" spans="1:9" ht="16.5">
      <c r="A19321" s="10" t="b">
        <v>0</v>
      </c>
      <c r="B19321" s="11" t="str">
        <f>IF(D19321&lt;&gt;"",IF(COUNTIF('USPTO TMs'!A:A,D19321)&gt;0,"Yes","No"),"")</f>
        <v/>
      </c>
      <c r="C19321" s="11"/>
      <c r="D19321" s="11"/>
      <c r="E19321" s="11"/>
      <c r="F19321" s="11"/>
      <c r="G19321" s="11"/>
      <c r="H19321" s="11"/>
      <c r="I19321" s="15"/>
    </row>
    <row r="19322" spans="1:9" ht="16.5">
      <c r="A19322" s="10" t="b">
        <v>0</v>
      </c>
      <c r="B19322" s="11" t="str">
        <f>IF(D19322&lt;&gt;"",IF(COUNTIF('USPTO TMs'!A:A,D19322)&gt;0,"Yes","No"),"")</f>
        <v/>
      </c>
      <c r="C19322" s="11"/>
      <c r="D19322" s="11"/>
      <c r="E19322" s="11"/>
      <c r="F19322" s="11"/>
      <c r="G19322" s="11"/>
      <c r="H19322" s="11"/>
      <c r="I19322" s="15"/>
    </row>
    <row r="19323" spans="1:9" ht="16.5">
      <c r="A19323" s="10" t="b">
        <v>0</v>
      </c>
      <c r="B19323" s="11" t="str">
        <f>IF(D19323&lt;&gt;"",IF(COUNTIF('USPTO TMs'!A:A,D19323)&gt;0,"Yes","No"),"")</f>
        <v/>
      </c>
      <c r="C19323" s="11"/>
      <c r="D19323" s="11"/>
      <c r="E19323" s="11"/>
      <c r="F19323" s="11"/>
      <c r="G19323" s="11"/>
      <c r="H19323" s="11"/>
      <c r="I19323" s="15"/>
    </row>
    <row r="19324" spans="1:9" ht="16.5">
      <c r="A19324" s="10" t="b">
        <v>0</v>
      </c>
      <c r="B19324" s="11" t="str">
        <f>IF(D19324&lt;&gt;"",IF(COUNTIF('USPTO TMs'!A:A,D19324)&gt;0,"Yes","No"),"")</f>
        <v/>
      </c>
      <c r="C19324" s="11"/>
      <c r="D19324" s="11"/>
      <c r="E19324" s="11"/>
      <c r="F19324" s="11"/>
      <c r="G19324" s="11"/>
      <c r="H19324" s="11"/>
      <c r="I19324" s="15"/>
    </row>
    <row r="19325" spans="1:9" ht="16.5">
      <c r="A19325" s="10" t="b">
        <v>0</v>
      </c>
      <c r="B19325" s="11" t="str">
        <f>IF(D19325&lt;&gt;"",IF(COUNTIF('USPTO TMs'!A:A,D19325)&gt;0,"Yes","No"),"")</f>
        <v/>
      </c>
      <c r="C19325" s="11"/>
      <c r="D19325" s="11"/>
      <c r="E19325" s="11"/>
      <c r="F19325" s="11"/>
      <c r="G19325" s="11"/>
      <c r="H19325" s="11"/>
      <c r="I19325" s="15"/>
    </row>
    <row r="19326" spans="1:9" ht="16.5">
      <c r="A19326" s="10" t="b">
        <v>0</v>
      </c>
      <c r="B19326" s="11" t="str">
        <f>IF(D19326&lt;&gt;"",IF(COUNTIF('USPTO TMs'!A:A,D19326)&gt;0,"Yes","No"),"")</f>
        <v/>
      </c>
      <c r="C19326" s="11"/>
      <c r="D19326" s="11"/>
      <c r="E19326" s="11"/>
      <c r="F19326" s="11"/>
      <c r="G19326" s="11"/>
      <c r="H19326" s="11"/>
      <c r="I19326" s="15"/>
    </row>
    <row r="19327" spans="1:9" ht="16.5">
      <c r="A19327" s="10" t="b">
        <v>0</v>
      </c>
      <c r="B19327" s="11" t="str">
        <f>IF(D19327&lt;&gt;"",IF(COUNTIF('USPTO TMs'!A:A,D19327)&gt;0,"Yes","No"),"")</f>
        <v/>
      </c>
      <c r="C19327" s="11"/>
      <c r="D19327" s="11"/>
      <c r="E19327" s="11"/>
      <c r="F19327" s="11"/>
      <c r="G19327" s="11"/>
      <c r="H19327" s="11"/>
      <c r="I19327" s="15"/>
    </row>
    <row r="19328" spans="1:9" ht="16.5">
      <c r="A19328" s="10" t="b">
        <v>0</v>
      </c>
      <c r="B19328" s="11" t="str">
        <f>IF(D19328&lt;&gt;"",IF(COUNTIF('USPTO TMs'!A:A,D19328)&gt;0,"Yes","No"),"")</f>
        <v/>
      </c>
      <c r="C19328" s="11"/>
      <c r="D19328" s="11"/>
      <c r="E19328" s="11"/>
      <c r="F19328" s="11"/>
      <c r="G19328" s="11"/>
      <c r="H19328" s="11"/>
      <c r="I19328" s="15"/>
    </row>
    <row r="19329" spans="1:9" ht="16.5">
      <c r="A19329" s="10" t="b">
        <v>0</v>
      </c>
      <c r="B19329" s="11" t="str">
        <f>IF(D19329&lt;&gt;"",IF(COUNTIF('USPTO TMs'!A:A,D19329)&gt;0,"Yes","No"),"")</f>
        <v/>
      </c>
      <c r="C19329" s="11"/>
      <c r="D19329" s="11"/>
      <c r="E19329" s="11"/>
      <c r="F19329" s="11"/>
      <c r="G19329" s="11"/>
      <c r="H19329" s="11"/>
      <c r="I19329" s="15"/>
    </row>
    <row r="19330" spans="1:9" ht="16.5">
      <c r="A19330" s="10" t="b">
        <v>0</v>
      </c>
      <c r="B19330" s="11" t="str">
        <f>IF(D19330&lt;&gt;"",IF(COUNTIF('USPTO TMs'!A:A,D19330)&gt;0,"Yes","No"),"")</f>
        <v/>
      </c>
      <c r="C19330" s="11"/>
      <c r="D19330" s="11"/>
      <c r="E19330" s="11"/>
      <c r="F19330" s="11"/>
      <c r="G19330" s="11"/>
      <c r="H19330" s="11"/>
      <c r="I19330" s="15"/>
    </row>
    <row r="19331" spans="1:9" ht="16.5">
      <c r="A19331" s="10" t="b">
        <v>0</v>
      </c>
      <c r="B19331" s="11" t="str">
        <f>IF(D19331&lt;&gt;"",IF(COUNTIF('USPTO TMs'!A:A,D19331)&gt;0,"Yes","No"),"")</f>
        <v/>
      </c>
      <c r="C19331" s="11"/>
      <c r="D19331" s="11"/>
      <c r="E19331" s="11"/>
      <c r="F19331" s="11"/>
      <c r="G19331" s="11"/>
      <c r="H19331" s="11"/>
      <c r="I19331" s="15"/>
    </row>
    <row r="19332" spans="1:9" ht="16.5">
      <c r="A19332" s="10" t="b">
        <v>0</v>
      </c>
      <c r="B19332" s="11" t="str">
        <f>IF(D19332&lt;&gt;"",IF(COUNTIF('USPTO TMs'!A:A,D19332)&gt;0,"Yes","No"),"")</f>
        <v/>
      </c>
      <c r="C19332" s="11"/>
      <c r="D19332" s="11"/>
      <c r="E19332" s="11"/>
      <c r="F19332" s="11"/>
      <c r="G19332" s="11"/>
      <c r="H19332" s="11"/>
      <c r="I19332" s="15"/>
    </row>
    <row r="19333" spans="1:9" ht="16.5">
      <c r="A19333" s="10" t="b">
        <v>0</v>
      </c>
      <c r="B19333" s="11" t="str">
        <f>IF(D19333&lt;&gt;"",IF(COUNTIF('USPTO TMs'!A:A,D19333)&gt;0,"Yes","No"),"")</f>
        <v/>
      </c>
      <c r="C19333" s="11"/>
      <c r="D19333" s="11"/>
      <c r="E19333" s="11"/>
      <c r="F19333" s="11"/>
      <c r="G19333" s="11"/>
      <c r="H19333" s="11"/>
      <c r="I19333" s="15"/>
    </row>
    <row r="19334" spans="1:9" ht="16.5">
      <c r="A19334" s="10" t="b">
        <v>0</v>
      </c>
      <c r="B19334" s="11" t="str">
        <f>IF(D19334&lt;&gt;"",IF(COUNTIF('USPTO TMs'!A:A,D19334)&gt;0,"Yes","No"),"")</f>
        <v/>
      </c>
      <c r="C19334" s="11"/>
      <c r="D19334" s="11"/>
      <c r="E19334" s="11"/>
      <c r="F19334" s="11"/>
      <c r="G19334" s="11"/>
      <c r="H19334" s="11"/>
      <c r="I19334" s="15"/>
    </row>
    <row r="19335" spans="1:9" ht="16.5">
      <c r="A19335" s="10" t="b">
        <v>0</v>
      </c>
      <c r="B19335" s="11" t="str">
        <f>IF(D19335&lt;&gt;"",IF(COUNTIF('USPTO TMs'!A:A,D19335)&gt;0,"Yes","No"),"")</f>
        <v/>
      </c>
      <c r="C19335" s="11"/>
      <c r="D19335" s="11"/>
      <c r="E19335" s="11"/>
      <c r="F19335" s="11"/>
      <c r="G19335" s="11"/>
      <c r="H19335" s="11"/>
      <c r="I19335" s="15"/>
    </row>
    <row r="19336" spans="1:9" ht="16.5">
      <c r="A19336" s="10" t="b">
        <v>0</v>
      </c>
      <c r="B19336" s="11" t="str">
        <f>IF(D19336&lt;&gt;"",IF(COUNTIF('USPTO TMs'!A:A,D19336)&gt;0,"Yes","No"),"")</f>
        <v/>
      </c>
      <c r="C19336" s="11"/>
      <c r="D19336" s="11"/>
      <c r="E19336" s="11"/>
      <c r="F19336" s="11"/>
      <c r="G19336" s="11"/>
      <c r="H19336" s="11"/>
      <c r="I19336" s="15"/>
    </row>
    <row r="19337" spans="1:9" ht="16.5">
      <c r="A19337" s="10" t="b">
        <v>0</v>
      </c>
      <c r="B19337" s="11" t="str">
        <f>IF(D19337&lt;&gt;"",IF(COUNTIF('USPTO TMs'!A:A,D19337)&gt;0,"Yes","No"),"")</f>
        <v/>
      </c>
      <c r="C19337" s="11"/>
      <c r="D19337" s="11"/>
      <c r="E19337" s="11"/>
      <c r="F19337" s="11"/>
      <c r="G19337" s="11"/>
      <c r="H19337" s="11"/>
      <c r="I19337" s="15"/>
    </row>
    <row r="19338" spans="1:9" ht="16.5">
      <c r="A19338" s="10" t="b">
        <v>0</v>
      </c>
      <c r="B19338" s="11" t="str">
        <f>IF(D19338&lt;&gt;"",IF(COUNTIF('USPTO TMs'!A:A,D19338)&gt;0,"Yes","No"),"")</f>
        <v/>
      </c>
      <c r="C19338" s="11"/>
      <c r="D19338" s="11"/>
      <c r="E19338" s="11"/>
      <c r="F19338" s="11"/>
      <c r="G19338" s="11"/>
      <c r="H19338" s="11"/>
      <c r="I19338" s="15"/>
    </row>
    <row r="19339" spans="1:9" ht="16.5">
      <c r="A19339" s="10" t="b">
        <v>0</v>
      </c>
      <c r="B19339" s="11" t="str">
        <f>IF(D19339&lt;&gt;"",IF(COUNTIF('USPTO TMs'!A:A,D19339)&gt;0,"Yes","No"),"")</f>
        <v/>
      </c>
      <c r="C19339" s="11"/>
      <c r="D19339" s="11"/>
      <c r="E19339" s="11"/>
      <c r="F19339" s="11"/>
      <c r="G19339" s="11"/>
      <c r="H19339" s="11"/>
      <c r="I19339" s="15"/>
    </row>
    <row r="19340" spans="1:9" ht="16.5">
      <c r="A19340" s="10" t="b">
        <v>0</v>
      </c>
      <c r="B19340" s="11" t="str">
        <f>IF(D19340&lt;&gt;"",IF(COUNTIF('USPTO TMs'!A:A,D19340)&gt;0,"Yes","No"),"")</f>
        <v/>
      </c>
      <c r="C19340" s="11"/>
      <c r="D19340" s="11"/>
      <c r="E19340" s="11"/>
      <c r="F19340" s="11"/>
      <c r="G19340" s="11"/>
      <c r="H19340" s="11"/>
      <c r="I19340" s="15"/>
    </row>
    <row r="19341" spans="1:9" ht="16.5">
      <c r="A19341" s="10" t="b">
        <v>0</v>
      </c>
      <c r="B19341" s="11" t="str">
        <f>IF(D19341&lt;&gt;"",IF(COUNTIF('USPTO TMs'!A:A,D19341)&gt;0,"Yes","No"),"")</f>
        <v/>
      </c>
      <c r="C19341" s="11"/>
      <c r="D19341" s="11"/>
      <c r="E19341" s="11"/>
      <c r="F19341" s="11"/>
      <c r="G19341" s="11"/>
      <c r="H19341" s="11"/>
      <c r="I19341" s="15"/>
    </row>
    <row r="19342" spans="1:9" ht="16.5">
      <c r="A19342" s="10" t="b">
        <v>0</v>
      </c>
      <c r="B19342" s="11" t="str">
        <f>IF(D19342&lt;&gt;"",IF(COUNTIF('USPTO TMs'!A:A,D19342)&gt;0,"Yes","No"),"")</f>
        <v/>
      </c>
      <c r="C19342" s="11"/>
      <c r="D19342" s="11"/>
      <c r="E19342" s="11"/>
      <c r="F19342" s="11"/>
      <c r="G19342" s="11"/>
      <c r="H19342" s="11"/>
      <c r="I19342" s="15"/>
    </row>
    <row r="19343" spans="1:9" ht="16.5">
      <c r="A19343" s="10" t="b">
        <v>0</v>
      </c>
      <c r="B19343" s="11" t="str">
        <f>IF(D19343&lt;&gt;"",IF(COUNTIF('USPTO TMs'!A:A,D19343)&gt;0,"Yes","No"),"")</f>
        <v/>
      </c>
      <c r="C19343" s="11"/>
      <c r="D19343" s="11"/>
      <c r="E19343" s="11"/>
      <c r="F19343" s="11"/>
      <c r="G19343" s="11"/>
      <c r="H19343" s="11"/>
      <c r="I19343" s="15"/>
    </row>
    <row r="19344" spans="1:9" ht="16.5">
      <c r="A19344" s="10" t="b">
        <v>0</v>
      </c>
      <c r="B19344" s="11" t="str">
        <f>IF(D19344&lt;&gt;"",IF(COUNTIF('USPTO TMs'!A:A,D19344)&gt;0,"Yes","No"),"")</f>
        <v/>
      </c>
      <c r="C19344" s="11"/>
      <c r="D19344" s="11"/>
      <c r="E19344" s="11"/>
      <c r="F19344" s="11"/>
      <c r="G19344" s="11"/>
      <c r="H19344" s="11"/>
      <c r="I19344" s="15"/>
    </row>
    <row r="19345" spans="1:9" ht="16.5">
      <c r="A19345" s="10" t="b">
        <v>0</v>
      </c>
      <c r="B19345" s="11" t="str">
        <f>IF(D19345&lt;&gt;"",IF(COUNTIF('USPTO TMs'!A:A,D19345)&gt;0,"Yes","No"),"")</f>
        <v/>
      </c>
      <c r="C19345" s="11"/>
      <c r="D19345" s="11"/>
      <c r="E19345" s="11"/>
      <c r="F19345" s="11"/>
      <c r="G19345" s="11"/>
      <c r="H19345" s="11"/>
      <c r="I19345" s="15"/>
    </row>
    <row r="19346" spans="1:9" ht="16.5">
      <c r="A19346" s="10" t="b">
        <v>0</v>
      </c>
      <c r="B19346" s="11" t="str">
        <f>IF(D19346&lt;&gt;"",IF(COUNTIF('USPTO TMs'!A:A,D19346)&gt;0,"Yes","No"),"")</f>
        <v/>
      </c>
      <c r="C19346" s="11"/>
      <c r="D19346" s="11"/>
      <c r="E19346" s="11"/>
      <c r="F19346" s="11"/>
      <c r="G19346" s="11"/>
      <c r="H19346" s="11"/>
      <c r="I19346" s="15"/>
    </row>
    <row r="19347" spans="1:9" ht="16.5">
      <c r="A19347" s="10" t="b">
        <v>0</v>
      </c>
      <c r="B19347" s="11" t="str">
        <f>IF(D19347&lt;&gt;"",IF(COUNTIF('USPTO TMs'!A:A,D19347)&gt;0,"Yes","No"),"")</f>
        <v/>
      </c>
      <c r="C19347" s="11"/>
      <c r="D19347" s="11"/>
      <c r="E19347" s="11"/>
      <c r="F19347" s="11"/>
      <c r="G19347" s="11"/>
      <c r="H19347" s="11"/>
      <c r="I19347" s="15"/>
    </row>
    <row r="19348" spans="1:9" ht="16.5">
      <c r="A19348" s="10" t="b">
        <v>0</v>
      </c>
      <c r="B19348" s="11" t="str">
        <f>IF(D19348&lt;&gt;"",IF(COUNTIF('USPTO TMs'!A:A,D19348)&gt;0,"Yes","No"),"")</f>
        <v/>
      </c>
      <c r="C19348" s="11"/>
      <c r="D19348" s="11"/>
      <c r="E19348" s="11"/>
      <c r="F19348" s="11"/>
      <c r="G19348" s="11"/>
      <c r="H19348" s="11"/>
      <c r="I19348" s="15"/>
    </row>
    <row r="19349" spans="1:9" ht="16.5">
      <c r="A19349" s="10" t="b">
        <v>0</v>
      </c>
      <c r="B19349" s="11" t="str">
        <f>IF(D19349&lt;&gt;"",IF(COUNTIF('USPTO TMs'!A:A,D19349)&gt;0,"Yes","No"),"")</f>
        <v/>
      </c>
      <c r="C19349" s="11"/>
      <c r="D19349" s="11"/>
      <c r="E19349" s="11"/>
      <c r="F19349" s="11"/>
      <c r="G19349" s="11"/>
      <c r="H19349" s="11"/>
      <c r="I19349" s="15"/>
    </row>
    <row r="19350" spans="1:9" ht="16.5">
      <c r="A19350" s="10" t="b">
        <v>0</v>
      </c>
      <c r="B19350" s="11" t="str">
        <f>IF(D19350&lt;&gt;"",IF(COUNTIF('USPTO TMs'!A:A,D19350)&gt;0,"Yes","No"),"")</f>
        <v/>
      </c>
      <c r="C19350" s="11"/>
      <c r="D19350" s="11"/>
      <c r="E19350" s="11"/>
      <c r="F19350" s="11"/>
      <c r="G19350" s="11"/>
      <c r="H19350" s="11"/>
      <c r="I19350" s="15"/>
    </row>
    <row r="19351" spans="1:9" ht="16.5">
      <c r="A19351" s="10" t="b">
        <v>0</v>
      </c>
      <c r="B19351" s="11" t="str">
        <f>IF(D19351&lt;&gt;"",IF(COUNTIF('USPTO TMs'!A:A,D19351)&gt;0,"Yes","No"),"")</f>
        <v/>
      </c>
      <c r="C19351" s="11"/>
      <c r="D19351" s="11"/>
      <c r="E19351" s="11"/>
      <c r="F19351" s="11"/>
      <c r="G19351" s="11"/>
      <c r="H19351" s="11"/>
      <c r="I19351" s="15"/>
    </row>
    <row r="19352" spans="1:9" ht="16.5">
      <c r="A19352" s="10" t="b">
        <v>0</v>
      </c>
      <c r="B19352" s="11" t="str">
        <f>IF(D19352&lt;&gt;"",IF(COUNTIF('USPTO TMs'!A:A,D19352)&gt;0,"Yes","No"),"")</f>
        <v/>
      </c>
      <c r="C19352" s="11"/>
      <c r="D19352" s="11"/>
      <c r="E19352" s="11"/>
      <c r="F19352" s="11"/>
      <c r="G19352" s="11"/>
      <c r="H19352" s="11"/>
      <c r="I19352" s="15"/>
    </row>
    <row r="19353" spans="1:9" ht="16.5">
      <c r="A19353" s="10" t="b">
        <v>0</v>
      </c>
      <c r="B19353" s="11" t="str">
        <f>IF(D19353&lt;&gt;"",IF(COUNTIF('USPTO TMs'!A:A,D19353)&gt;0,"Yes","No"),"")</f>
        <v/>
      </c>
      <c r="C19353" s="11"/>
      <c r="D19353" s="11"/>
      <c r="E19353" s="11"/>
      <c r="F19353" s="11"/>
      <c r="G19353" s="11"/>
      <c r="H19353" s="11"/>
      <c r="I19353" s="15"/>
    </row>
    <row r="19354" spans="1:9" ht="16.5">
      <c r="A19354" s="10" t="b">
        <v>0</v>
      </c>
      <c r="B19354" s="11" t="str">
        <f>IF(D19354&lt;&gt;"",IF(COUNTIF('USPTO TMs'!A:A,D19354)&gt;0,"Yes","No"),"")</f>
        <v/>
      </c>
      <c r="C19354" s="11"/>
      <c r="D19354" s="11"/>
      <c r="E19354" s="11"/>
      <c r="F19354" s="11"/>
      <c r="G19354" s="11"/>
      <c r="H19354" s="11"/>
      <c r="I19354" s="15"/>
    </row>
    <row r="19355" spans="1:9" ht="16.5">
      <c r="A19355" s="10" t="b">
        <v>0</v>
      </c>
      <c r="B19355" s="11" t="str">
        <f>IF(D19355&lt;&gt;"",IF(COUNTIF('USPTO TMs'!A:A,D19355)&gt;0,"Yes","No"),"")</f>
        <v/>
      </c>
      <c r="C19355" s="11"/>
      <c r="D19355" s="11"/>
      <c r="E19355" s="11"/>
      <c r="F19355" s="11"/>
      <c r="G19355" s="11"/>
      <c r="H19355" s="11"/>
      <c r="I19355" s="15"/>
    </row>
    <row r="19356" spans="1:9" ht="16.5">
      <c r="A19356" s="10" t="b">
        <v>0</v>
      </c>
      <c r="B19356" s="11" t="str">
        <f>IF(D19356&lt;&gt;"",IF(COUNTIF('USPTO TMs'!A:A,D19356)&gt;0,"Yes","No"),"")</f>
        <v/>
      </c>
      <c r="C19356" s="11"/>
      <c r="D19356" s="11"/>
      <c r="E19356" s="11"/>
      <c r="F19356" s="11"/>
      <c r="G19356" s="11"/>
      <c r="H19356" s="11"/>
      <c r="I19356" s="15"/>
    </row>
    <row r="19357" spans="1:9" ht="16.5">
      <c r="A19357" s="10" t="b">
        <v>0</v>
      </c>
      <c r="B19357" s="11" t="str">
        <f>IF(D19357&lt;&gt;"",IF(COUNTIF('USPTO TMs'!A:A,D19357)&gt;0,"Yes","No"),"")</f>
        <v/>
      </c>
      <c r="C19357" s="11"/>
      <c r="D19357" s="11"/>
      <c r="E19357" s="11"/>
      <c r="F19357" s="11"/>
      <c r="G19357" s="11"/>
      <c r="H19357" s="11"/>
      <c r="I19357" s="15"/>
    </row>
    <row r="19358" spans="1:9" ht="16.5">
      <c r="A19358" s="10" t="b">
        <v>0</v>
      </c>
      <c r="B19358" s="11" t="str">
        <f>IF(D19358&lt;&gt;"",IF(COUNTIF('USPTO TMs'!A:A,D19358)&gt;0,"Yes","No"),"")</f>
        <v/>
      </c>
      <c r="C19358" s="11"/>
      <c r="D19358" s="11"/>
      <c r="E19358" s="11"/>
      <c r="F19358" s="11"/>
      <c r="G19358" s="11"/>
      <c r="H19358" s="11"/>
      <c r="I19358" s="15"/>
    </row>
    <row r="19359" spans="1:9" ht="16.5">
      <c r="A19359" s="10" t="b">
        <v>0</v>
      </c>
      <c r="B19359" s="11" t="str">
        <f>IF(D19359&lt;&gt;"",IF(COUNTIF('USPTO TMs'!A:A,D19359)&gt;0,"Yes","No"),"")</f>
        <v/>
      </c>
      <c r="C19359" s="11"/>
      <c r="D19359" s="11"/>
      <c r="E19359" s="11"/>
      <c r="F19359" s="11"/>
      <c r="G19359" s="11"/>
      <c r="H19359" s="11"/>
      <c r="I19359" s="15"/>
    </row>
    <row r="19360" spans="1:9" ht="16.5">
      <c r="A19360" s="10" t="b">
        <v>0</v>
      </c>
      <c r="B19360" s="11" t="str">
        <f>IF(D19360&lt;&gt;"",IF(COUNTIF('USPTO TMs'!A:A,D19360)&gt;0,"Yes","No"),"")</f>
        <v/>
      </c>
      <c r="C19360" s="11"/>
      <c r="D19360" s="11"/>
      <c r="E19360" s="11"/>
      <c r="F19360" s="11"/>
      <c r="G19360" s="11"/>
      <c r="H19360" s="11"/>
      <c r="I19360" s="15"/>
    </row>
    <row r="19361" spans="1:9" ht="16.5">
      <c r="A19361" s="10" t="b">
        <v>0</v>
      </c>
      <c r="B19361" s="11" t="str">
        <f>IF(D19361&lt;&gt;"",IF(COUNTIF('USPTO TMs'!A:A,D19361)&gt;0,"Yes","No"),"")</f>
        <v/>
      </c>
      <c r="C19361" s="11"/>
      <c r="D19361" s="11"/>
      <c r="E19361" s="11"/>
      <c r="F19361" s="11"/>
      <c r="G19361" s="11"/>
      <c r="H19361" s="11"/>
      <c r="I19361" s="15"/>
    </row>
    <row r="19362" spans="1:9" ht="16.5">
      <c r="A19362" s="10" t="b">
        <v>0</v>
      </c>
      <c r="B19362" s="11" t="str">
        <f>IF(D19362&lt;&gt;"",IF(COUNTIF('USPTO TMs'!A:A,D19362)&gt;0,"Yes","No"),"")</f>
        <v/>
      </c>
      <c r="C19362" s="11"/>
      <c r="D19362" s="11"/>
      <c r="E19362" s="11"/>
      <c r="F19362" s="11"/>
      <c r="G19362" s="11"/>
      <c r="H19362" s="11"/>
      <c r="I19362" s="15"/>
    </row>
    <row r="19363" spans="1:9" ht="16.5">
      <c r="A19363" s="10" t="b">
        <v>0</v>
      </c>
      <c r="B19363" s="11" t="str">
        <f>IF(D19363&lt;&gt;"",IF(COUNTIF('USPTO TMs'!A:A,D19363)&gt;0,"Yes","No"),"")</f>
        <v/>
      </c>
      <c r="C19363" s="11"/>
      <c r="D19363" s="11"/>
      <c r="E19363" s="11"/>
      <c r="F19363" s="11"/>
      <c r="G19363" s="11"/>
      <c r="H19363" s="11"/>
      <c r="I19363" s="15"/>
    </row>
    <row r="19364" spans="1:9" ht="16.5">
      <c r="A19364" s="10" t="b">
        <v>0</v>
      </c>
      <c r="B19364" s="11" t="str">
        <f>IF(D19364&lt;&gt;"",IF(COUNTIF('USPTO TMs'!A:A,D19364)&gt;0,"Yes","No"),"")</f>
        <v/>
      </c>
      <c r="C19364" s="11"/>
      <c r="D19364" s="11"/>
      <c r="E19364" s="11"/>
      <c r="F19364" s="11"/>
      <c r="G19364" s="11"/>
      <c r="H19364" s="11"/>
      <c r="I19364" s="15"/>
    </row>
    <row r="19365" spans="1:9" ht="16.5">
      <c r="A19365" s="10" t="b">
        <v>0</v>
      </c>
      <c r="B19365" s="11" t="str">
        <f>IF(D19365&lt;&gt;"",IF(COUNTIF('USPTO TMs'!A:A,D19365)&gt;0,"Yes","No"),"")</f>
        <v/>
      </c>
      <c r="C19365" s="11"/>
      <c r="D19365" s="11"/>
      <c r="E19365" s="11"/>
      <c r="F19365" s="11"/>
      <c r="G19365" s="11"/>
      <c r="H19365" s="11"/>
      <c r="I19365" s="15"/>
    </row>
    <row r="19366" spans="1:9" ht="16.5">
      <c r="A19366" s="10" t="b">
        <v>0</v>
      </c>
      <c r="B19366" s="11" t="str">
        <f>IF(D19366&lt;&gt;"",IF(COUNTIF('USPTO TMs'!A:A,D19366)&gt;0,"Yes","No"),"")</f>
        <v/>
      </c>
      <c r="C19366" s="11"/>
      <c r="D19366" s="11"/>
      <c r="E19366" s="11"/>
      <c r="F19366" s="11"/>
      <c r="G19366" s="11"/>
      <c r="H19366" s="11"/>
      <c r="I19366" s="15"/>
    </row>
    <row r="19367" spans="1:9" ht="16.5">
      <c r="A19367" s="10" t="b">
        <v>0</v>
      </c>
      <c r="B19367" s="11" t="str">
        <f>IF(D19367&lt;&gt;"",IF(COUNTIF('USPTO TMs'!A:A,D19367)&gt;0,"Yes","No"),"")</f>
        <v/>
      </c>
      <c r="C19367" s="11"/>
      <c r="D19367" s="11"/>
      <c r="E19367" s="11"/>
      <c r="F19367" s="11"/>
      <c r="G19367" s="11"/>
      <c r="H19367" s="11"/>
      <c r="I19367" s="15"/>
    </row>
    <row r="19368" spans="1:9" ht="16.5">
      <c r="A19368" s="10" t="b">
        <v>0</v>
      </c>
      <c r="B19368" s="11" t="str">
        <f>IF(D19368&lt;&gt;"",IF(COUNTIF('USPTO TMs'!A:A,D19368)&gt;0,"Yes","No"),"")</f>
        <v/>
      </c>
      <c r="C19368" s="11"/>
      <c r="D19368" s="11"/>
      <c r="E19368" s="11"/>
      <c r="F19368" s="11"/>
      <c r="G19368" s="11"/>
      <c r="H19368" s="11"/>
      <c r="I19368" s="15"/>
    </row>
    <row r="19369" spans="1:9" ht="16.5">
      <c r="A19369" s="10" t="b">
        <v>0</v>
      </c>
      <c r="B19369" s="11" t="str">
        <f>IF(D19369&lt;&gt;"",IF(COUNTIF('USPTO TMs'!A:A,D19369)&gt;0,"Yes","No"),"")</f>
        <v/>
      </c>
      <c r="C19369" s="11"/>
      <c r="D19369" s="11"/>
      <c r="E19369" s="11"/>
      <c r="F19369" s="11"/>
      <c r="G19369" s="11"/>
      <c r="H19369" s="11"/>
      <c r="I19369" s="15"/>
    </row>
    <row r="19370" spans="1:9" ht="16.5">
      <c r="A19370" s="10" t="b">
        <v>0</v>
      </c>
      <c r="B19370" s="11" t="str">
        <f>IF(D19370&lt;&gt;"",IF(COUNTIF('USPTO TMs'!A:A,D19370)&gt;0,"Yes","No"),"")</f>
        <v/>
      </c>
      <c r="C19370" s="11"/>
      <c r="D19370" s="11"/>
      <c r="E19370" s="11"/>
      <c r="F19370" s="11"/>
      <c r="G19370" s="11"/>
      <c r="H19370" s="11"/>
      <c r="I19370" s="15"/>
    </row>
    <row r="19371" spans="1:9" ht="16.5">
      <c r="A19371" s="10" t="b">
        <v>0</v>
      </c>
      <c r="B19371" s="11" t="str">
        <f>IF(D19371&lt;&gt;"",IF(COUNTIF('USPTO TMs'!A:A,D19371)&gt;0,"Yes","No"),"")</f>
        <v/>
      </c>
      <c r="C19371" s="11"/>
      <c r="D19371" s="11"/>
      <c r="E19371" s="11"/>
      <c r="F19371" s="11"/>
      <c r="G19371" s="11"/>
      <c r="H19371" s="11"/>
      <c r="I19371" s="15"/>
    </row>
    <row r="19372" spans="1:9" ht="16.5">
      <c r="A19372" s="10" t="b">
        <v>0</v>
      </c>
      <c r="B19372" s="11" t="str">
        <f>IF(D19372&lt;&gt;"",IF(COUNTIF('USPTO TMs'!A:A,D19372)&gt;0,"Yes","No"),"")</f>
        <v/>
      </c>
      <c r="C19372" s="11"/>
      <c r="D19372" s="11"/>
      <c r="E19372" s="11"/>
      <c r="F19372" s="11"/>
      <c r="G19372" s="11"/>
      <c r="H19372" s="11"/>
      <c r="I19372" s="15"/>
    </row>
    <row r="19373" spans="1:9" ht="16.5">
      <c r="A19373" s="10" t="b">
        <v>0</v>
      </c>
      <c r="B19373" s="11" t="str">
        <f>IF(D19373&lt;&gt;"",IF(COUNTIF('USPTO TMs'!A:A,D19373)&gt;0,"Yes","No"),"")</f>
        <v/>
      </c>
      <c r="C19373" s="11"/>
      <c r="D19373" s="11"/>
      <c r="E19373" s="11"/>
      <c r="F19373" s="11"/>
      <c r="G19373" s="11"/>
      <c r="H19373" s="11"/>
      <c r="I19373" s="15"/>
    </row>
    <row r="19374" spans="1:9" ht="16.5">
      <c r="A19374" s="10" t="b">
        <v>0</v>
      </c>
      <c r="B19374" s="11" t="str">
        <f>IF(D19374&lt;&gt;"",IF(COUNTIF('USPTO TMs'!A:A,D19374)&gt;0,"Yes","No"),"")</f>
        <v/>
      </c>
      <c r="C19374" s="11"/>
      <c r="D19374" s="11"/>
      <c r="E19374" s="11"/>
      <c r="F19374" s="11"/>
      <c r="G19374" s="11"/>
      <c r="H19374" s="11"/>
      <c r="I19374" s="15"/>
    </row>
    <row r="19375" spans="1:9" ht="16.5">
      <c r="A19375" s="10" t="b">
        <v>0</v>
      </c>
      <c r="B19375" s="11" t="str">
        <f>IF(D19375&lt;&gt;"",IF(COUNTIF('USPTO TMs'!A:A,D19375)&gt;0,"Yes","No"),"")</f>
        <v/>
      </c>
      <c r="C19375" s="11"/>
      <c r="D19375" s="11"/>
      <c r="E19375" s="11"/>
      <c r="F19375" s="11"/>
      <c r="G19375" s="11"/>
      <c r="H19375" s="11"/>
      <c r="I19375" s="15"/>
    </row>
    <row r="19376" spans="1:9" ht="16.5">
      <c r="A19376" s="10" t="b">
        <v>0</v>
      </c>
      <c r="B19376" s="11" t="str">
        <f>IF(D19376&lt;&gt;"",IF(COUNTIF('USPTO TMs'!A:A,D19376)&gt;0,"Yes","No"),"")</f>
        <v/>
      </c>
      <c r="C19376" s="11"/>
      <c r="D19376" s="11"/>
      <c r="E19376" s="11"/>
      <c r="F19376" s="11"/>
      <c r="G19376" s="11"/>
      <c r="H19376" s="11"/>
      <c r="I19376" s="15"/>
    </row>
    <row r="19377" spans="1:9" ht="16.5">
      <c r="A19377" s="10" t="b">
        <v>0</v>
      </c>
      <c r="B19377" s="11" t="str">
        <f>IF(D19377&lt;&gt;"",IF(COUNTIF('USPTO TMs'!A:A,D19377)&gt;0,"Yes","No"),"")</f>
        <v/>
      </c>
      <c r="C19377" s="11"/>
      <c r="D19377" s="11"/>
      <c r="E19377" s="11"/>
      <c r="F19377" s="11"/>
      <c r="G19377" s="11"/>
      <c r="H19377" s="11"/>
      <c r="I19377" s="15"/>
    </row>
    <row r="19378" spans="1:9" ht="16.5">
      <c r="A19378" s="10" t="b">
        <v>0</v>
      </c>
      <c r="B19378" s="11" t="str">
        <f>IF(D19378&lt;&gt;"",IF(COUNTIF('USPTO TMs'!A:A,D19378)&gt;0,"Yes","No"),"")</f>
        <v/>
      </c>
      <c r="C19378" s="11"/>
      <c r="D19378" s="11"/>
      <c r="E19378" s="11"/>
      <c r="F19378" s="11"/>
      <c r="G19378" s="11"/>
      <c r="H19378" s="11"/>
      <c r="I19378" s="15"/>
    </row>
    <row r="19379" spans="1:9" ht="16.5">
      <c r="A19379" s="10" t="b">
        <v>0</v>
      </c>
      <c r="B19379" s="11" t="str">
        <f>IF(D19379&lt;&gt;"",IF(COUNTIF('USPTO TMs'!A:A,D19379)&gt;0,"Yes","No"),"")</f>
        <v/>
      </c>
      <c r="C19379" s="11"/>
      <c r="D19379" s="11"/>
      <c r="E19379" s="11"/>
      <c r="F19379" s="11"/>
      <c r="G19379" s="11"/>
      <c r="H19379" s="11"/>
      <c r="I19379" s="15"/>
    </row>
    <row r="19380" spans="1:9" ht="16.5">
      <c r="A19380" s="10" t="b">
        <v>0</v>
      </c>
      <c r="B19380" s="11" t="str">
        <f>IF(D19380&lt;&gt;"",IF(COUNTIF('USPTO TMs'!A:A,D19380)&gt;0,"Yes","No"),"")</f>
        <v/>
      </c>
      <c r="C19380" s="11"/>
      <c r="D19380" s="11"/>
      <c r="E19380" s="11"/>
      <c r="F19380" s="11"/>
      <c r="G19380" s="11"/>
      <c r="H19380" s="11"/>
      <c r="I19380" s="15"/>
    </row>
    <row r="19381" spans="1:9" ht="16.5">
      <c r="A19381" s="10" t="b">
        <v>0</v>
      </c>
      <c r="B19381" s="11" t="str">
        <f>IF(D19381&lt;&gt;"",IF(COUNTIF('USPTO TMs'!A:A,D19381)&gt;0,"Yes","No"),"")</f>
        <v/>
      </c>
      <c r="C19381" s="11"/>
      <c r="D19381" s="11"/>
      <c r="E19381" s="11"/>
      <c r="F19381" s="11"/>
      <c r="G19381" s="11"/>
      <c r="H19381" s="11"/>
      <c r="I19381" s="15"/>
    </row>
    <row r="19382" spans="1:9" ht="16.5">
      <c r="A19382" s="10" t="b">
        <v>0</v>
      </c>
      <c r="B19382" s="11" t="str">
        <f>IF(D19382&lt;&gt;"",IF(COUNTIF('USPTO TMs'!A:A,D19382)&gt;0,"Yes","No"),"")</f>
        <v/>
      </c>
      <c r="C19382" s="11"/>
      <c r="D19382" s="11"/>
      <c r="E19382" s="11"/>
      <c r="F19382" s="11"/>
      <c r="G19382" s="11"/>
      <c r="H19382" s="11"/>
      <c r="I19382" s="15"/>
    </row>
    <row r="19383" spans="1:9" ht="16.5">
      <c r="A19383" s="10" t="b">
        <v>0</v>
      </c>
      <c r="B19383" s="11" t="str">
        <f>IF(D19383&lt;&gt;"",IF(COUNTIF('USPTO TMs'!A:A,D19383)&gt;0,"Yes","No"),"")</f>
        <v/>
      </c>
      <c r="C19383" s="11"/>
      <c r="D19383" s="11"/>
      <c r="E19383" s="11"/>
      <c r="F19383" s="11"/>
      <c r="G19383" s="11"/>
      <c r="H19383" s="11"/>
      <c r="I19383" s="15"/>
    </row>
    <row r="19384" spans="1:9" ht="16.5">
      <c r="A19384" s="10" t="b">
        <v>0</v>
      </c>
      <c r="B19384" s="11" t="str">
        <f>IF(D19384&lt;&gt;"",IF(COUNTIF('USPTO TMs'!A:A,D19384)&gt;0,"Yes","No"),"")</f>
        <v/>
      </c>
      <c r="C19384" s="11"/>
      <c r="D19384" s="11"/>
      <c r="E19384" s="11"/>
      <c r="F19384" s="11"/>
      <c r="G19384" s="11"/>
      <c r="H19384" s="11"/>
      <c r="I19384" s="15"/>
    </row>
    <row r="19385" spans="1:9" ht="16.5">
      <c r="A19385" s="10" t="b">
        <v>0</v>
      </c>
      <c r="B19385" s="11" t="str">
        <f>IF(D19385&lt;&gt;"",IF(COUNTIF('USPTO TMs'!A:A,D19385)&gt;0,"Yes","No"),"")</f>
        <v/>
      </c>
      <c r="C19385" s="11"/>
      <c r="D19385" s="11"/>
      <c r="E19385" s="11"/>
      <c r="F19385" s="11"/>
      <c r="G19385" s="11"/>
      <c r="H19385" s="11"/>
      <c r="I19385" s="15"/>
    </row>
    <row r="19386" spans="1:9" ht="16.5">
      <c r="A19386" s="10" t="b">
        <v>0</v>
      </c>
      <c r="B19386" s="11" t="str">
        <f>IF(D19386&lt;&gt;"",IF(COUNTIF('USPTO TMs'!A:A,D19386)&gt;0,"Yes","No"),"")</f>
        <v/>
      </c>
      <c r="C19386" s="11"/>
      <c r="D19386" s="11"/>
      <c r="E19386" s="11"/>
      <c r="F19386" s="11"/>
      <c r="G19386" s="11"/>
      <c r="H19386" s="11"/>
      <c r="I19386" s="15"/>
    </row>
    <row r="19387" spans="1:9" ht="16.5">
      <c r="A19387" s="10" t="b">
        <v>0</v>
      </c>
      <c r="B19387" s="11" t="str">
        <f>IF(D19387&lt;&gt;"",IF(COUNTIF('USPTO TMs'!A:A,D19387)&gt;0,"Yes","No"),"")</f>
        <v/>
      </c>
      <c r="C19387" s="11"/>
      <c r="D19387" s="11"/>
      <c r="E19387" s="11"/>
      <c r="F19387" s="11"/>
      <c r="G19387" s="11"/>
      <c r="H19387" s="11"/>
      <c r="I19387" s="15"/>
    </row>
    <row r="19388" spans="1:9" ht="16.5">
      <c r="A19388" s="10" t="b">
        <v>0</v>
      </c>
      <c r="B19388" s="11" t="str">
        <f>IF(D19388&lt;&gt;"",IF(COUNTIF('USPTO TMs'!A:A,D19388)&gt;0,"Yes","No"),"")</f>
        <v/>
      </c>
      <c r="C19388" s="11"/>
      <c r="D19388" s="11"/>
      <c r="E19388" s="11"/>
      <c r="F19388" s="11"/>
      <c r="G19388" s="11"/>
      <c r="H19388" s="11"/>
      <c r="I19388" s="15"/>
    </row>
    <row r="19389" spans="1:9" ht="16.5">
      <c r="A19389" s="10" t="b">
        <v>0</v>
      </c>
      <c r="B19389" s="11" t="str">
        <f>IF(D19389&lt;&gt;"",IF(COUNTIF('USPTO TMs'!A:A,D19389)&gt;0,"Yes","No"),"")</f>
        <v/>
      </c>
      <c r="C19389" s="11"/>
      <c r="D19389" s="11"/>
      <c r="E19389" s="11"/>
      <c r="F19389" s="11"/>
      <c r="G19389" s="11"/>
      <c r="H19389" s="11"/>
      <c r="I19389" s="15"/>
    </row>
    <row r="19390" spans="1:9" ht="16.5">
      <c r="A19390" s="10" t="b">
        <v>0</v>
      </c>
      <c r="B19390" s="11" t="str">
        <f>IF(D19390&lt;&gt;"",IF(COUNTIF('USPTO TMs'!A:A,D19390)&gt;0,"Yes","No"),"")</f>
        <v/>
      </c>
      <c r="C19390" s="11"/>
      <c r="D19390" s="11"/>
      <c r="E19390" s="11"/>
      <c r="F19390" s="11"/>
      <c r="G19390" s="11"/>
      <c r="H19390" s="11"/>
      <c r="I19390" s="15"/>
    </row>
    <row r="19391" spans="1:9" ht="16.5">
      <c r="A19391" s="10" t="b">
        <v>0</v>
      </c>
      <c r="B19391" s="11" t="str">
        <f>IF(D19391&lt;&gt;"",IF(COUNTIF('USPTO TMs'!A:A,D19391)&gt;0,"Yes","No"),"")</f>
        <v/>
      </c>
      <c r="C19391" s="11"/>
      <c r="D19391" s="11"/>
      <c r="E19391" s="11"/>
      <c r="F19391" s="11"/>
      <c r="G19391" s="11"/>
      <c r="H19391" s="11"/>
      <c r="I19391" s="15"/>
    </row>
    <row r="19392" spans="1:9" ht="16.5">
      <c r="A19392" s="10" t="b">
        <v>0</v>
      </c>
      <c r="B19392" s="11" t="str">
        <f>IF(D19392&lt;&gt;"",IF(COUNTIF('USPTO TMs'!A:A,D19392)&gt;0,"Yes","No"),"")</f>
        <v/>
      </c>
      <c r="C19392" s="11"/>
      <c r="D19392" s="11"/>
      <c r="E19392" s="11"/>
      <c r="F19392" s="11"/>
      <c r="G19392" s="11"/>
      <c r="H19392" s="11"/>
      <c r="I19392" s="15"/>
    </row>
    <row r="19393" spans="1:9" ht="16.5">
      <c r="A19393" s="10" t="b">
        <v>0</v>
      </c>
      <c r="B19393" s="11" t="str">
        <f>IF(D19393&lt;&gt;"",IF(COUNTIF('USPTO TMs'!A:A,D19393)&gt;0,"Yes","No"),"")</f>
        <v/>
      </c>
      <c r="C19393" s="11"/>
      <c r="D19393" s="11"/>
      <c r="E19393" s="11"/>
      <c r="F19393" s="11"/>
      <c r="G19393" s="11"/>
      <c r="H19393" s="11"/>
      <c r="I19393" s="15"/>
    </row>
    <row r="19394" spans="1:9" ht="16.5">
      <c r="A19394" s="10" t="b">
        <v>0</v>
      </c>
      <c r="B19394" s="11" t="str">
        <f>IF(D19394&lt;&gt;"",IF(COUNTIF('USPTO TMs'!A:A,D19394)&gt;0,"Yes","No"),"")</f>
        <v/>
      </c>
      <c r="C19394" s="11"/>
      <c r="D19394" s="11"/>
      <c r="E19394" s="11"/>
      <c r="F19394" s="11"/>
      <c r="G19394" s="11"/>
      <c r="H19394" s="11"/>
      <c r="I19394" s="15"/>
    </row>
    <row r="19395" spans="1:9" ht="16.5">
      <c r="A19395" s="10" t="b">
        <v>0</v>
      </c>
      <c r="B19395" s="11" t="str">
        <f>IF(D19395&lt;&gt;"",IF(COUNTIF('USPTO TMs'!A:A,D19395)&gt;0,"Yes","No"),"")</f>
        <v/>
      </c>
      <c r="C19395" s="11"/>
      <c r="D19395" s="11"/>
      <c r="E19395" s="11"/>
      <c r="F19395" s="11"/>
      <c r="G19395" s="11"/>
      <c r="H19395" s="11"/>
      <c r="I19395" s="15"/>
    </row>
    <row r="19396" spans="1:9" ht="16.5">
      <c r="A19396" s="10" t="b">
        <v>0</v>
      </c>
      <c r="B19396" s="11" t="str">
        <f>IF(D19396&lt;&gt;"",IF(COUNTIF('USPTO TMs'!A:A,D19396)&gt;0,"Yes","No"),"")</f>
        <v/>
      </c>
      <c r="C19396" s="11"/>
      <c r="D19396" s="11"/>
      <c r="E19396" s="11"/>
      <c r="F19396" s="11"/>
      <c r="G19396" s="11"/>
      <c r="H19396" s="11"/>
      <c r="I19396" s="15"/>
    </row>
    <row r="19397" spans="1:9" ht="16.5">
      <c r="A19397" s="10" t="b">
        <v>0</v>
      </c>
      <c r="B19397" s="11" t="str">
        <f>IF(D19397&lt;&gt;"",IF(COUNTIF('USPTO TMs'!A:A,D19397)&gt;0,"Yes","No"),"")</f>
        <v/>
      </c>
      <c r="C19397" s="11"/>
      <c r="D19397" s="11"/>
      <c r="E19397" s="11"/>
      <c r="F19397" s="11"/>
      <c r="G19397" s="11"/>
      <c r="H19397" s="11"/>
      <c r="I19397" s="15"/>
    </row>
    <row r="19398" spans="1:9" ht="16.5">
      <c r="A19398" s="10" t="b">
        <v>0</v>
      </c>
      <c r="B19398" s="11" t="str">
        <f>IF(D19398&lt;&gt;"",IF(COUNTIF('USPTO TMs'!A:A,D19398)&gt;0,"Yes","No"),"")</f>
        <v/>
      </c>
      <c r="C19398" s="11"/>
      <c r="D19398" s="11"/>
      <c r="E19398" s="11"/>
      <c r="F19398" s="11"/>
      <c r="G19398" s="11"/>
      <c r="H19398" s="11"/>
      <c r="I19398" s="15"/>
    </row>
    <row r="19399" spans="1:9" ht="16.5">
      <c r="A19399" s="10" t="b">
        <v>0</v>
      </c>
      <c r="B19399" s="11" t="str">
        <f>IF(D19399&lt;&gt;"",IF(COUNTIF('USPTO TMs'!A:A,D19399)&gt;0,"Yes","No"),"")</f>
        <v/>
      </c>
      <c r="C19399" s="11"/>
      <c r="D19399" s="11"/>
      <c r="E19399" s="11"/>
      <c r="F19399" s="11"/>
      <c r="G19399" s="11"/>
      <c r="H19399" s="11"/>
      <c r="I19399" s="15"/>
    </row>
    <row r="19400" spans="1:9" ht="16.5">
      <c r="A19400" s="10" t="b">
        <v>0</v>
      </c>
      <c r="B19400" s="11" t="str">
        <f>IF(D19400&lt;&gt;"",IF(COUNTIF('USPTO TMs'!A:A,D19400)&gt;0,"Yes","No"),"")</f>
        <v/>
      </c>
      <c r="C19400" s="11"/>
      <c r="D19400" s="11"/>
      <c r="E19400" s="11"/>
      <c r="F19400" s="11"/>
      <c r="G19400" s="11"/>
      <c r="H19400" s="11"/>
      <c r="I19400" s="15"/>
    </row>
    <row r="19401" spans="1:9" ht="16.5">
      <c r="A19401" s="10" t="b">
        <v>0</v>
      </c>
      <c r="B19401" s="11" t="str">
        <f>IF(D19401&lt;&gt;"",IF(COUNTIF('USPTO TMs'!A:A,D19401)&gt;0,"Yes","No"),"")</f>
        <v/>
      </c>
      <c r="C19401" s="11"/>
      <c r="D19401" s="11"/>
      <c r="E19401" s="11"/>
      <c r="F19401" s="11"/>
      <c r="G19401" s="11"/>
      <c r="H19401" s="11"/>
      <c r="I19401" s="15"/>
    </row>
    <row r="19402" spans="1:9" ht="16.5">
      <c r="A19402" s="10" t="b">
        <v>0</v>
      </c>
      <c r="B19402" s="11" t="str">
        <f>IF(D19402&lt;&gt;"",IF(COUNTIF('USPTO TMs'!A:A,D19402)&gt;0,"Yes","No"),"")</f>
        <v/>
      </c>
      <c r="C19402" s="11"/>
      <c r="D19402" s="11"/>
      <c r="E19402" s="11"/>
      <c r="F19402" s="11"/>
      <c r="G19402" s="11"/>
      <c r="H19402" s="11"/>
      <c r="I19402" s="15"/>
    </row>
    <row r="19403" spans="1:9" ht="16.5">
      <c r="A19403" s="10" t="b">
        <v>0</v>
      </c>
      <c r="B19403" s="11" t="str">
        <f>IF(D19403&lt;&gt;"",IF(COUNTIF('USPTO TMs'!A:A,D19403)&gt;0,"Yes","No"),"")</f>
        <v/>
      </c>
      <c r="C19403" s="11"/>
      <c r="D19403" s="11"/>
      <c r="E19403" s="11"/>
      <c r="F19403" s="11"/>
      <c r="G19403" s="11"/>
      <c r="H19403" s="11"/>
      <c r="I19403" s="15"/>
    </row>
    <row r="19404" spans="1:9" ht="16.5">
      <c r="A19404" s="10" t="b">
        <v>0</v>
      </c>
      <c r="B19404" s="11" t="str">
        <f>IF(D19404&lt;&gt;"",IF(COUNTIF('USPTO TMs'!A:A,D19404)&gt;0,"Yes","No"),"")</f>
        <v/>
      </c>
      <c r="C19404" s="11"/>
      <c r="D19404" s="11"/>
      <c r="E19404" s="11"/>
      <c r="F19404" s="11"/>
      <c r="G19404" s="11"/>
      <c r="H19404" s="11"/>
      <c r="I19404" s="15"/>
    </row>
    <row r="19405" spans="1:9" ht="16.5">
      <c r="A19405" s="10" t="b">
        <v>0</v>
      </c>
      <c r="B19405" s="11" t="str">
        <f>IF(D19405&lt;&gt;"",IF(COUNTIF('USPTO TMs'!A:A,D19405)&gt;0,"Yes","No"),"")</f>
        <v/>
      </c>
      <c r="C19405" s="11"/>
      <c r="D19405" s="11"/>
      <c r="E19405" s="11"/>
      <c r="F19405" s="11"/>
      <c r="G19405" s="11"/>
      <c r="H19405" s="11"/>
      <c r="I19405" s="15"/>
    </row>
    <row r="19406" spans="1:9" ht="16.5">
      <c r="A19406" s="10" t="b">
        <v>0</v>
      </c>
      <c r="B19406" s="11" t="str">
        <f>IF(D19406&lt;&gt;"",IF(COUNTIF('USPTO TMs'!A:A,D19406)&gt;0,"Yes","No"),"")</f>
        <v/>
      </c>
      <c r="C19406" s="11"/>
      <c r="D19406" s="11"/>
      <c r="E19406" s="11"/>
      <c r="F19406" s="11"/>
      <c r="G19406" s="11"/>
      <c r="H19406" s="11"/>
      <c r="I19406" s="15"/>
    </row>
    <row r="19407" spans="1:9" ht="16.5">
      <c r="A19407" s="10" t="b">
        <v>0</v>
      </c>
      <c r="B19407" s="11" t="str">
        <f>IF(D19407&lt;&gt;"",IF(COUNTIF('USPTO TMs'!A:A,D19407)&gt;0,"Yes","No"),"")</f>
        <v/>
      </c>
      <c r="C19407" s="11"/>
      <c r="D19407" s="11"/>
      <c r="E19407" s="11"/>
      <c r="F19407" s="11"/>
      <c r="G19407" s="11"/>
      <c r="H19407" s="11"/>
      <c r="I19407" s="15"/>
    </row>
    <row r="19408" spans="1:9" ht="16.5">
      <c r="A19408" s="10" t="b">
        <v>0</v>
      </c>
      <c r="B19408" s="11" t="str">
        <f>IF(D19408&lt;&gt;"",IF(COUNTIF('USPTO TMs'!A:A,D19408)&gt;0,"Yes","No"),"")</f>
        <v/>
      </c>
      <c r="C19408" s="11"/>
      <c r="D19408" s="11"/>
      <c r="E19408" s="11"/>
      <c r="F19408" s="11"/>
      <c r="G19408" s="11"/>
      <c r="H19408" s="11"/>
      <c r="I19408" s="15"/>
    </row>
    <row r="19409" spans="1:9" ht="16.5">
      <c r="A19409" s="10" t="b">
        <v>0</v>
      </c>
      <c r="B19409" s="11" t="str">
        <f>IF(D19409&lt;&gt;"",IF(COUNTIF('USPTO TMs'!A:A,D19409)&gt;0,"Yes","No"),"")</f>
        <v/>
      </c>
      <c r="C19409" s="11"/>
      <c r="D19409" s="11"/>
      <c r="E19409" s="11"/>
      <c r="F19409" s="11"/>
      <c r="G19409" s="11"/>
      <c r="H19409" s="11"/>
      <c r="I19409" s="15"/>
    </row>
    <row r="19410" spans="1:9" ht="16.5">
      <c r="A19410" s="10" t="b">
        <v>0</v>
      </c>
      <c r="B19410" s="11" t="str">
        <f>IF(D19410&lt;&gt;"",IF(COUNTIF('USPTO TMs'!A:A,D19410)&gt;0,"Yes","No"),"")</f>
        <v/>
      </c>
      <c r="C19410" s="11"/>
      <c r="D19410" s="11"/>
      <c r="E19410" s="11"/>
      <c r="F19410" s="11"/>
      <c r="G19410" s="11"/>
      <c r="H19410" s="11"/>
      <c r="I19410" s="15"/>
    </row>
    <row r="19411" spans="1:9" ht="16.5">
      <c r="A19411" s="10" t="b">
        <v>0</v>
      </c>
      <c r="B19411" s="11" t="str">
        <f>IF(D19411&lt;&gt;"",IF(COUNTIF('USPTO TMs'!A:A,D19411)&gt;0,"Yes","No"),"")</f>
        <v/>
      </c>
      <c r="C19411" s="11"/>
      <c r="D19411" s="11"/>
      <c r="E19411" s="11"/>
      <c r="F19411" s="11"/>
      <c r="G19411" s="11"/>
      <c r="H19411" s="11"/>
      <c r="I19411" s="15"/>
    </row>
    <row r="19412" spans="1:9" ht="16.5">
      <c r="A19412" s="10" t="b">
        <v>0</v>
      </c>
      <c r="B19412" s="11" t="str">
        <f>IF(D19412&lt;&gt;"",IF(COUNTIF('USPTO TMs'!A:A,D19412)&gt;0,"Yes","No"),"")</f>
        <v/>
      </c>
      <c r="C19412" s="11"/>
      <c r="D19412" s="11"/>
      <c r="E19412" s="11"/>
      <c r="F19412" s="11"/>
      <c r="G19412" s="11"/>
      <c r="H19412" s="11"/>
      <c r="I19412" s="15"/>
    </row>
    <row r="19413" spans="1:9" ht="16.5">
      <c r="A19413" s="10" t="b">
        <v>0</v>
      </c>
      <c r="B19413" s="11" t="str">
        <f>IF(D19413&lt;&gt;"",IF(COUNTIF('USPTO TMs'!A:A,D19413)&gt;0,"Yes","No"),"")</f>
        <v/>
      </c>
      <c r="C19413" s="11"/>
      <c r="D19413" s="11"/>
      <c r="E19413" s="11"/>
      <c r="F19413" s="11"/>
      <c r="G19413" s="11"/>
      <c r="H19413" s="11"/>
      <c r="I19413" s="15"/>
    </row>
    <row r="19414" spans="1:9" ht="16.5">
      <c r="A19414" s="10" t="b">
        <v>0</v>
      </c>
      <c r="B19414" s="11" t="str">
        <f>IF(D19414&lt;&gt;"",IF(COUNTIF('USPTO TMs'!A:A,D19414)&gt;0,"Yes","No"),"")</f>
        <v/>
      </c>
      <c r="C19414" s="11"/>
      <c r="D19414" s="11"/>
      <c r="E19414" s="11"/>
      <c r="F19414" s="11"/>
      <c r="G19414" s="11"/>
      <c r="H19414" s="11"/>
      <c r="I19414" s="15"/>
    </row>
    <row r="19415" spans="1:9" ht="16.5">
      <c r="A19415" s="10" t="b">
        <v>0</v>
      </c>
      <c r="B19415" s="11" t="str">
        <f>IF(D19415&lt;&gt;"",IF(COUNTIF('USPTO TMs'!A:A,D19415)&gt;0,"Yes","No"),"")</f>
        <v/>
      </c>
      <c r="C19415" s="11"/>
      <c r="D19415" s="11"/>
      <c r="E19415" s="11"/>
      <c r="F19415" s="11"/>
      <c r="G19415" s="11"/>
      <c r="H19415" s="11"/>
      <c r="I19415" s="15"/>
    </row>
    <row r="19416" spans="1:9" ht="16.5">
      <c r="A19416" s="10" t="b">
        <v>0</v>
      </c>
      <c r="B19416" s="11" t="str">
        <f>IF(D19416&lt;&gt;"",IF(COUNTIF('USPTO TMs'!A:A,D19416)&gt;0,"Yes","No"),"")</f>
        <v/>
      </c>
      <c r="C19416" s="11"/>
      <c r="D19416" s="11"/>
      <c r="E19416" s="11"/>
      <c r="F19416" s="11"/>
      <c r="G19416" s="11"/>
      <c r="H19416" s="11"/>
      <c r="I19416" s="15"/>
    </row>
    <row r="19417" spans="1:9" ht="16.5">
      <c r="A19417" s="10" t="b">
        <v>0</v>
      </c>
      <c r="B19417" s="11" t="str">
        <f>IF(D19417&lt;&gt;"",IF(COUNTIF('USPTO TMs'!A:A,D19417)&gt;0,"Yes","No"),"")</f>
        <v/>
      </c>
      <c r="C19417" s="11"/>
      <c r="D19417" s="11"/>
      <c r="E19417" s="11"/>
      <c r="F19417" s="11"/>
      <c r="G19417" s="11"/>
      <c r="H19417" s="11"/>
      <c r="I19417" s="15"/>
    </row>
    <row r="19418" spans="1:9" ht="16.5">
      <c r="A19418" s="10" t="b">
        <v>0</v>
      </c>
      <c r="B19418" s="11" t="str">
        <f>IF(D19418&lt;&gt;"",IF(COUNTIF('USPTO TMs'!A:A,D19418)&gt;0,"Yes","No"),"")</f>
        <v/>
      </c>
      <c r="C19418" s="11"/>
      <c r="D19418" s="11"/>
      <c r="E19418" s="11"/>
      <c r="F19418" s="11"/>
      <c r="G19418" s="11"/>
      <c r="H19418" s="11"/>
      <c r="I19418" s="15"/>
    </row>
    <row r="19419" spans="1:9" ht="16.5">
      <c r="A19419" s="10" t="b">
        <v>0</v>
      </c>
      <c r="B19419" s="11" t="str">
        <f>IF(D19419&lt;&gt;"",IF(COUNTIF('USPTO TMs'!A:A,D19419)&gt;0,"Yes","No"),"")</f>
        <v/>
      </c>
      <c r="C19419" s="11"/>
      <c r="D19419" s="11"/>
      <c r="E19419" s="11"/>
      <c r="F19419" s="11"/>
      <c r="G19419" s="11"/>
      <c r="H19419" s="11"/>
      <c r="I19419" s="15"/>
    </row>
    <row r="19420" spans="1:9" ht="16.5">
      <c r="A19420" s="10" t="b">
        <v>0</v>
      </c>
      <c r="B19420" s="11" t="str">
        <f>IF(D19420&lt;&gt;"",IF(COUNTIF('USPTO TMs'!A:A,D19420)&gt;0,"Yes","No"),"")</f>
        <v/>
      </c>
      <c r="C19420" s="11"/>
      <c r="D19420" s="11"/>
      <c r="E19420" s="11"/>
      <c r="F19420" s="11"/>
      <c r="G19420" s="11"/>
      <c r="H19420" s="11"/>
      <c r="I19420" s="15"/>
    </row>
    <row r="19421" spans="1:9" ht="16.5">
      <c r="A19421" s="10" t="b">
        <v>0</v>
      </c>
      <c r="B19421" s="11" t="str">
        <f>IF(D19421&lt;&gt;"",IF(COUNTIF('USPTO TMs'!A:A,D19421)&gt;0,"Yes","No"),"")</f>
        <v/>
      </c>
      <c r="C19421" s="11"/>
      <c r="D19421" s="11"/>
      <c r="E19421" s="11"/>
      <c r="F19421" s="11"/>
      <c r="G19421" s="11"/>
      <c r="H19421" s="11"/>
      <c r="I19421" s="15"/>
    </row>
    <row r="19422" spans="1:9" ht="16.5">
      <c r="A19422" s="10" t="b">
        <v>0</v>
      </c>
      <c r="B19422" s="11" t="str">
        <f>IF(D19422&lt;&gt;"",IF(COUNTIF('USPTO TMs'!A:A,D19422)&gt;0,"Yes","No"),"")</f>
        <v/>
      </c>
      <c r="C19422" s="11"/>
      <c r="D19422" s="11"/>
      <c r="E19422" s="11"/>
      <c r="F19422" s="11"/>
      <c r="G19422" s="11"/>
      <c r="H19422" s="11"/>
      <c r="I19422" s="15"/>
    </row>
    <row r="19423" spans="1:9" ht="16.5">
      <c r="A19423" s="10" t="b">
        <v>0</v>
      </c>
      <c r="B19423" s="11" t="str">
        <f>IF(D19423&lt;&gt;"",IF(COUNTIF('USPTO TMs'!A:A,D19423)&gt;0,"Yes","No"),"")</f>
        <v/>
      </c>
      <c r="C19423" s="11"/>
      <c r="D19423" s="11"/>
      <c r="E19423" s="11"/>
      <c r="F19423" s="11"/>
      <c r="G19423" s="11"/>
      <c r="H19423" s="11"/>
      <c r="I19423" s="15"/>
    </row>
    <row r="19424" spans="1:9" ht="16.5">
      <c r="A19424" s="10" t="b">
        <v>0</v>
      </c>
      <c r="B19424" s="11" t="str">
        <f>IF(D19424&lt;&gt;"",IF(COUNTIF('USPTO TMs'!A:A,D19424)&gt;0,"Yes","No"),"")</f>
        <v/>
      </c>
      <c r="C19424" s="11"/>
      <c r="D19424" s="11"/>
      <c r="E19424" s="11"/>
      <c r="F19424" s="11"/>
      <c r="G19424" s="11"/>
      <c r="H19424" s="11"/>
      <c r="I19424" s="15"/>
    </row>
    <row r="19425" spans="1:9" ht="16.5">
      <c r="A19425" s="10" t="b">
        <v>0</v>
      </c>
      <c r="B19425" s="11" t="str">
        <f>IF(D19425&lt;&gt;"",IF(COUNTIF('USPTO TMs'!A:A,D19425)&gt;0,"Yes","No"),"")</f>
        <v/>
      </c>
      <c r="C19425" s="11"/>
      <c r="D19425" s="11"/>
      <c r="E19425" s="11"/>
      <c r="F19425" s="11"/>
      <c r="G19425" s="11"/>
      <c r="H19425" s="11"/>
      <c r="I19425" s="15"/>
    </row>
    <row r="19426" spans="1:9" ht="16.5">
      <c r="A19426" s="10" t="b">
        <v>0</v>
      </c>
      <c r="B19426" s="11" t="str">
        <f>IF(D19426&lt;&gt;"",IF(COUNTIF('USPTO TMs'!A:A,D19426)&gt;0,"Yes","No"),"")</f>
        <v/>
      </c>
      <c r="C19426" s="11"/>
      <c r="D19426" s="11"/>
      <c r="E19426" s="11"/>
      <c r="F19426" s="11"/>
      <c r="G19426" s="11"/>
      <c r="H19426" s="11"/>
      <c r="I19426" s="15"/>
    </row>
    <row r="19427" spans="1:9" ht="16.5">
      <c r="A19427" s="10" t="b">
        <v>0</v>
      </c>
      <c r="B19427" s="11" t="str">
        <f>IF(D19427&lt;&gt;"",IF(COUNTIF('USPTO TMs'!A:A,D19427)&gt;0,"Yes","No"),"")</f>
        <v/>
      </c>
      <c r="C19427" s="11"/>
      <c r="D19427" s="11"/>
      <c r="E19427" s="11"/>
      <c r="F19427" s="11"/>
      <c r="G19427" s="11"/>
      <c r="H19427" s="11"/>
      <c r="I19427" s="15"/>
    </row>
    <row r="19428" spans="1:9" ht="16.5">
      <c r="A19428" s="10" t="b">
        <v>0</v>
      </c>
      <c r="B19428" s="11" t="str">
        <f>IF(D19428&lt;&gt;"",IF(COUNTIF('USPTO TMs'!A:A,D19428)&gt;0,"Yes","No"),"")</f>
        <v/>
      </c>
      <c r="C19428" s="11"/>
      <c r="D19428" s="11"/>
      <c r="E19428" s="11"/>
      <c r="F19428" s="11"/>
      <c r="G19428" s="11"/>
      <c r="H19428" s="11"/>
      <c r="I19428" s="15"/>
    </row>
    <row r="19429" spans="1:9" ht="16.5">
      <c r="A19429" s="10" t="b">
        <v>0</v>
      </c>
      <c r="B19429" s="11" t="str">
        <f>IF(D19429&lt;&gt;"",IF(COUNTIF('USPTO TMs'!A:A,D19429)&gt;0,"Yes","No"),"")</f>
        <v/>
      </c>
      <c r="C19429" s="11"/>
      <c r="D19429" s="11"/>
      <c r="E19429" s="11"/>
      <c r="F19429" s="11"/>
      <c r="G19429" s="11"/>
      <c r="H19429" s="11"/>
      <c r="I19429" s="15"/>
    </row>
    <row r="19430" spans="1:9" ht="16.5">
      <c r="A19430" s="10" t="b">
        <v>0</v>
      </c>
      <c r="B19430" s="11" t="str">
        <f>IF(D19430&lt;&gt;"",IF(COUNTIF('USPTO TMs'!A:A,D19430)&gt;0,"Yes","No"),"")</f>
        <v/>
      </c>
      <c r="C19430" s="11"/>
      <c r="D19430" s="11"/>
      <c r="E19430" s="11"/>
      <c r="F19430" s="11"/>
      <c r="G19430" s="11"/>
      <c r="H19430" s="11"/>
      <c r="I19430" s="15"/>
    </row>
    <row r="19431" spans="1:9" ht="16.5">
      <c r="A19431" s="10" t="b">
        <v>0</v>
      </c>
      <c r="B19431" s="11" t="str">
        <f>IF(D19431&lt;&gt;"",IF(COUNTIF('USPTO TMs'!A:A,D19431)&gt;0,"Yes","No"),"")</f>
        <v/>
      </c>
      <c r="C19431" s="11"/>
      <c r="D19431" s="11"/>
      <c r="E19431" s="11"/>
      <c r="F19431" s="11"/>
      <c r="G19431" s="11"/>
      <c r="H19431" s="11"/>
      <c r="I19431" s="15"/>
    </row>
    <row r="19432" spans="1:9" ht="16.5">
      <c r="A19432" s="10" t="b">
        <v>0</v>
      </c>
      <c r="B19432" s="11" t="str">
        <f>IF(D19432&lt;&gt;"",IF(COUNTIF('USPTO TMs'!A:A,D19432)&gt;0,"Yes","No"),"")</f>
        <v/>
      </c>
      <c r="C19432" s="11"/>
      <c r="D19432" s="11"/>
      <c r="E19432" s="11"/>
      <c r="F19432" s="11"/>
      <c r="G19432" s="11"/>
      <c r="H19432" s="11"/>
      <c r="I19432" s="15"/>
    </row>
    <row r="19433" spans="1:9" ht="16.5">
      <c r="A19433" s="10" t="b">
        <v>0</v>
      </c>
      <c r="B19433" s="11" t="str">
        <f>IF(D19433&lt;&gt;"",IF(COUNTIF('USPTO TMs'!A:A,D19433)&gt;0,"Yes","No"),"")</f>
        <v/>
      </c>
      <c r="C19433" s="11"/>
      <c r="D19433" s="11"/>
      <c r="E19433" s="11"/>
      <c r="F19433" s="11"/>
      <c r="G19433" s="11"/>
      <c r="H19433" s="11"/>
      <c r="I19433" s="15"/>
    </row>
    <row r="19434" spans="1:9" ht="16.5">
      <c r="A19434" s="10" t="b">
        <v>0</v>
      </c>
      <c r="B19434" s="11" t="str">
        <f>IF(D19434&lt;&gt;"",IF(COUNTIF('USPTO TMs'!A:A,D19434)&gt;0,"Yes","No"),"")</f>
        <v/>
      </c>
      <c r="C19434" s="11"/>
      <c r="D19434" s="11"/>
      <c r="E19434" s="11"/>
      <c r="F19434" s="11"/>
      <c r="G19434" s="11"/>
      <c r="H19434" s="11"/>
      <c r="I19434" s="15"/>
    </row>
    <row r="19435" spans="1:9" ht="16.5">
      <c r="A19435" s="10" t="b">
        <v>0</v>
      </c>
      <c r="B19435" s="11" t="str">
        <f>IF(D19435&lt;&gt;"",IF(COUNTIF('USPTO TMs'!A:A,D19435)&gt;0,"Yes","No"),"")</f>
        <v/>
      </c>
      <c r="C19435" s="11"/>
      <c r="D19435" s="11"/>
      <c r="E19435" s="11"/>
      <c r="F19435" s="11"/>
      <c r="G19435" s="11"/>
      <c r="H19435" s="11"/>
      <c r="I19435" s="15"/>
    </row>
    <row r="19436" spans="1:9" ht="16.5">
      <c r="A19436" s="10" t="b">
        <v>0</v>
      </c>
      <c r="B19436" s="11" t="str">
        <f>IF(D19436&lt;&gt;"",IF(COUNTIF('USPTO TMs'!A:A,D19436)&gt;0,"Yes","No"),"")</f>
        <v/>
      </c>
      <c r="C19436" s="11"/>
      <c r="D19436" s="11"/>
      <c r="E19436" s="11"/>
      <c r="F19436" s="11"/>
      <c r="G19436" s="11"/>
      <c r="H19436" s="11"/>
      <c r="I19436" s="15"/>
    </row>
    <row r="19437" spans="1:9" ht="16.5">
      <c r="A19437" s="10" t="b">
        <v>0</v>
      </c>
      <c r="B19437" s="11" t="str">
        <f>IF(D19437&lt;&gt;"",IF(COUNTIF('USPTO TMs'!A:A,D19437)&gt;0,"Yes","No"),"")</f>
        <v/>
      </c>
      <c r="C19437" s="11"/>
      <c r="D19437" s="11"/>
      <c r="E19437" s="11"/>
      <c r="F19437" s="11"/>
      <c r="G19437" s="11"/>
      <c r="H19437" s="11"/>
      <c r="I19437" s="15"/>
    </row>
    <row r="19438" spans="1:9" ht="16.5">
      <c r="A19438" s="10" t="b">
        <v>0</v>
      </c>
      <c r="B19438" s="11" t="str">
        <f>IF(D19438&lt;&gt;"",IF(COUNTIF('USPTO TMs'!A:A,D19438)&gt;0,"Yes","No"),"")</f>
        <v/>
      </c>
      <c r="C19438" s="11"/>
      <c r="D19438" s="11"/>
      <c r="E19438" s="11"/>
      <c r="F19438" s="11"/>
      <c r="G19438" s="11"/>
      <c r="H19438" s="11"/>
      <c r="I19438" s="15"/>
    </row>
    <row r="19439" spans="1:9" ht="16.5">
      <c r="A19439" s="10" t="b">
        <v>0</v>
      </c>
      <c r="B19439" s="11" t="str">
        <f>IF(D19439&lt;&gt;"",IF(COUNTIF('USPTO TMs'!A:A,D19439)&gt;0,"Yes","No"),"")</f>
        <v/>
      </c>
      <c r="C19439" s="11"/>
      <c r="D19439" s="11"/>
      <c r="E19439" s="11"/>
      <c r="F19439" s="11"/>
      <c r="G19439" s="11"/>
      <c r="H19439" s="11"/>
      <c r="I19439" s="15"/>
    </row>
    <row r="19440" spans="1:9" ht="16.5">
      <c r="A19440" s="10" t="b">
        <v>0</v>
      </c>
      <c r="B19440" s="11" t="str">
        <f>IF(D19440&lt;&gt;"",IF(COUNTIF('USPTO TMs'!A:A,D19440)&gt;0,"Yes","No"),"")</f>
        <v/>
      </c>
      <c r="C19440" s="11"/>
      <c r="D19440" s="11"/>
      <c r="E19440" s="11"/>
      <c r="F19440" s="11"/>
      <c r="G19440" s="11"/>
      <c r="H19440" s="11"/>
      <c r="I19440" s="15"/>
    </row>
    <row r="19441" spans="1:9" ht="16.5">
      <c r="A19441" s="10" t="b">
        <v>0</v>
      </c>
      <c r="B19441" s="11" t="str">
        <f>IF(D19441&lt;&gt;"",IF(COUNTIF('USPTO TMs'!A:A,D19441)&gt;0,"Yes","No"),"")</f>
        <v/>
      </c>
      <c r="C19441" s="11"/>
      <c r="D19441" s="11"/>
      <c r="E19441" s="11"/>
      <c r="F19441" s="11"/>
      <c r="G19441" s="11"/>
      <c r="H19441" s="11"/>
      <c r="I19441" s="15"/>
    </row>
    <row r="19442" spans="1:9" ht="16.5">
      <c r="A19442" s="10" t="b">
        <v>0</v>
      </c>
      <c r="B19442" s="11" t="str">
        <f>IF(D19442&lt;&gt;"",IF(COUNTIF('USPTO TMs'!A:A,D19442)&gt;0,"Yes","No"),"")</f>
        <v/>
      </c>
      <c r="C19442" s="11"/>
      <c r="D19442" s="11"/>
      <c r="E19442" s="11"/>
      <c r="F19442" s="11"/>
      <c r="G19442" s="11"/>
      <c r="H19442" s="11"/>
      <c r="I19442" s="15"/>
    </row>
    <row r="19443" spans="1:9" ht="16.5">
      <c r="A19443" s="10" t="b">
        <v>0</v>
      </c>
      <c r="B19443" s="11" t="str">
        <f>IF(D19443&lt;&gt;"",IF(COUNTIF('USPTO TMs'!A:A,D19443)&gt;0,"Yes","No"),"")</f>
        <v/>
      </c>
      <c r="C19443" s="11"/>
      <c r="D19443" s="11"/>
      <c r="E19443" s="11"/>
      <c r="F19443" s="11"/>
      <c r="G19443" s="11"/>
      <c r="H19443" s="11"/>
      <c r="I19443" s="15"/>
    </row>
    <row r="19444" spans="1:9" ht="16.5">
      <c r="A19444" s="10" t="b">
        <v>0</v>
      </c>
      <c r="B19444" s="11" t="str">
        <f>IF(D19444&lt;&gt;"",IF(COUNTIF('USPTO TMs'!A:A,D19444)&gt;0,"Yes","No"),"")</f>
        <v/>
      </c>
      <c r="C19444" s="11"/>
      <c r="D19444" s="11"/>
      <c r="E19444" s="11"/>
      <c r="F19444" s="11"/>
      <c r="G19444" s="11"/>
      <c r="H19444" s="11"/>
      <c r="I19444" s="15"/>
    </row>
    <row r="19445" spans="1:9" ht="16.5">
      <c r="A19445" s="10" t="b">
        <v>0</v>
      </c>
      <c r="B19445" s="11" t="str">
        <f>IF(D19445&lt;&gt;"",IF(COUNTIF('USPTO TMs'!A:A,D19445)&gt;0,"Yes","No"),"")</f>
        <v/>
      </c>
      <c r="C19445" s="11"/>
      <c r="D19445" s="11"/>
      <c r="E19445" s="11"/>
      <c r="F19445" s="11"/>
      <c r="G19445" s="11"/>
      <c r="H19445" s="11"/>
      <c r="I19445" s="15"/>
    </row>
    <row r="19446" spans="1:9" ht="16.5">
      <c r="A19446" s="10" t="b">
        <v>0</v>
      </c>
      <c r="B19446" s="11" t="str">
        <f>IF(D19446&lt;&gt;"",IF(COUNTIF('USPTO TMs'!A:A,D19446)&gt;0,"Yes","No"),"")</f>
        <v/>
      </c>
      <c r="C19446" s="11"/>
      <c r="D19446" s="11"/>
      <c r="E19446" s="11"/>
      <c r="F19446" s="11"/>
      <c r="G19446" s="11"/>
      <c r="H19446" s="11"/>
      <c r="I19446" s="15"/>
    </row>
    <row r="19447" spans="1:9" ht="16.5">
      <c r="A19447" s="10" t="b">
        <v>0</v>
      </c>
      <c r="B19447" s="11" t="str">
        <f>IF(D19447&lt;&gt;"",IF(COUNTIF('USPTO TMs'!A:A,D19447)&gt;0,"Yes","No"),"")</f>
        <v/>
      </c>
      <c r="C19447" s="11"/>
      <c r="D19447" s="11"/>
      <c r="E19447" s="11"/>
      <c r="F19447" s="11"/>
      <c r="G19447" s="11"/>
      <c r="H19447" s="11"/>
      <c r="I19447" s="15"/>
    </row>
    <row r="19448" spans="1:9" ht="16.5">
      <c r="A19448" s="10" t="b">
        <v>0</v>
      </c>
      <c r="B19448" s="11" t="str">
        <f>IF(D19448&lt;&gt;"",IF(COUNTIF('USPTO TMs'!A:A,D19448)&gt;0,"Yes","No"),"")</f>
        <v/>
      </c>
      <c r="C19448" s="11"/>
      <c r="D19448" s="11"/>
      <c r="E19448" s="11"/>
      <c r="F19448" s="11"/>
      <c r="G19448" s="11"/>
      <c r="H19448" s="11"/>
      <c r="I19448" s="15"/>
    </row>
    <row r="19449" spans="1:9" ht="16.5">
      <c r="A19449" s="10" t="b">
        <v>0</v>
      </c>
      <c r="B19449" s="11" t="str">
        <f>IF(D19449&lt;&gt;"",IF(COUNTIF('USPTO TMs'!A:A,D19449)&gt;0,"Yes","No"),"")</f>
        <v/>
      </c>
      <c r="C19449" s="11"/>
      <c r="D19449" s="11"/>
      <c r="E19449" s="11"/>
      <c r="F19449" s="11"/>
      <c r="G19449" s="11"/>
      <c r="H19449" s="11"/>
      <c r="I19449" s="15"/>
    </row>
    <row r="19450" spans="1:9" ht="16.5">
      <c r="A19450" s="10" t="b">
        <v>0</v>
      </c>
      <c r="B19450" s="11" t="str">
        <f>IF(D19450&lt;&gt;"",IF(COUNTIF('USPTO TMs'!A:A,D19450)&gt;0,"Yes","No"),"")</f>
        <v/>
      </c>
      <c r="C19450" s="11"/>
      <c r="D19450" s="11"/>
      <c r="E19450" s="11"/>
      <c r="F19450" s="11"/>
      <c r="G19450" s="11"/>
      <c r="H19450" s="11"/>
      <c r="I19450" s="15"/>
    </row>
    <row r="19451" spans="1:9" ht="16.5">
      <c r="A19451" s="10" t="b">
        <v>0</v>
      </c>
      <c r="B19451" s="11" t="str">
        <f>IF(D19451&lt;&gt;"",IF(COUNTIF('USPTO TMs'!A:A,D19451)&gt;0,"Yes","No"),"")</f>
        <v/>
      </c>
      <c r="C19451" s="11"/>
      <c r="D19451" s="11"/>
      <c r="E19451" s="11"/>
      <c r="F19451" s="11"/>
      <c r="G19451" s="11"/>
      <c r="H19451" s="11"/>
      <c r="I19451" s="15"/>
    </row>
    <row r="19452" spans="1:9" ht="16.5">
      <c r="A19452" s="10" t="b">
        <v>0</v>
      </c>
      <c r="B19452" s="11" t="str">
        <f>IF(D19452&lt;&gt;"",IF(COUNTIF('USPTO TMs'!A:A,D19452)&gt;0,"Yes","No"),"")</f>
        <v/>
      </c>
      <c r="C19452" s="11"/>
      <c r="D19452" s="11"/>
      <c r="E19452" s="11"/>
      <c r="F19452" s="11"/>
      <c r="G19452" s="11"/>
      <c r="H19452" s="11"/>
      <c r="I19452" s="15"/>
    </row>
    <row r="19453" spans="1:9" ht="16.5">
      <c r="A19453" s="10" t="b">
        <v>0</v>
      </c>
      <c r="B19453" s="11" t="str">
        <f>IF(D19453&lt;&gt;"",IF(COUNTIF('USPTO TMs'!A:A,D19453)&gt;0,"Yes","No"),"")</f>
        <v/>
      </c>
      <c r="C19453" s="11"/>
      <c r="D19453" s="11"/>
      <c r="E19453" s="11"/>
      <c r="F19453" s="11"/>
      <c r="G19453" s="11"/>
      <c r="H19453" s="11"/>
      <c r="I19453" s="15"/>
    </row>
    <row r="19454" spans="1:9" ht="16.5">
      <c r="A19454" s="10" t="b">
        <v>0</v>
      </c>
      <c r="B19454" s="11" t="str">
        <f>IF(D19454&lt;&gt;"",IF(COUNTIF('USPTO TMs'!A:A,D19454)&gt;0,"Yes","No"),"")</f>
        <v/>
      </c>
      <c r="C19454" s="11"/>
      <c r="D19454" s="11"/>
      <c r="E19454" s="11"/>
      <c r="F19454" s="11"/>
      <c r="G19454" s="11"/>
      <c r="H19454" s="11"/>
      <c r="I19454" s="15"/>
    </row>
    <row r="19455" spans="1:9" ht="16.5">
      <c r="A19455" s="10" t="b">
        <v>0</v>
      </c>
      <c r="B19455" s="11" t="str">
        <f>IF(D19455&lt;&gt;"",IF(COUNTIF('USPTO TMs'!A:A,D19455)&gt;0,"Yes","No"),"")</f>
        <v/>
      </c>
      <c r="C19455" s="11"/>
      <c r="D19455" s="11"/>
      <c r="E19455" s="11"/>
      <c r="F19455" s="11"/>
      <c r="G19455" s="11"/>
      <c r="H19455" s="11"/>
      <c r="I19455" s="15"/>
    </row>
    <row r="19456" spans="1:9" ht="16.5">
      <c r="A19456" s="10" t="b">
        <v>0</v>
      </c>
      <c r="B19456" s="11" t="str">
        <f>IF(D19456&lt;&gt;"",IF(COUNTIF('USPTO TMs'!A:A,D19456)&gt;0,"Yes","No"),"")</f>
        <v/>
      </c>
      <c r="C19456" s="11"/>
      <c r="D19456" s="11"/>
      <c r="E19456" s="11"/>
      <c r="F19456" s="11"/>
      <c r="G19456" s="11"/>
      <c r="H19456" s="11"/>
      <c r="I19456" s="15"/>
    </row>
    <row r="19457" spans="1:9" ht="16.5">
      <c r="A19457" s="10" t="b">
        <v>0</v>
      </c>
      <c r="B19457" s="11" t="str">
        <f>IF(D19457&lt;&gt;"",IF(COUNTIF('USPTO TMs'!A:A,D19457)&gt;0,"Yes","No"),"")</f>
        <v/>
      </c>
      <c r="C19457" s="11"/>
      <c r="D19457" s="11"/>
      <c r="E19457" s="11"/>
      <c r="F19457" s="11"/>
      <c r="G19457" s="11"/>
      <c r="H19457" s="11"/>
      <c r="I19457" s="15"/>
    </row>
    <row r="19458" spans="1:9" ht="16.5">
      <c r="A19458" s="10" t="b">
        <v>0</v>
      </c>
      <c r="B19458" s="11" t="str">
        <f>IF(D19458&lt;&gt;"",IF(COUNTIF('USPTO TMs'!A:A,D19458)&gt;0,"Yes","No"),"")</f>
        <v/>
      </c>
      <c r="C19458" s="11"/>
      <c r="D19458" s="11"/>
      <c r="E19458" s="11"/>
      <c r="F19458" s="11"/>
      <c r="G19458" s="11"/>
      <c r="H19458" s="11"/>
      <c r="I19458" s="15"/>
    </row>
    <row r="19459" spans="1:9" ht="16.5">
      <c r="A19459" s="10" t="b">
        <v>0</v>
      </c>
      <c r="B19459" s="11" t="str">
        <f>IF(D19459&lt;&gt;"",IF(COUNTIF('USPTO TMs'!A:A,D19459)&gt;0,"Yes","No"),"")</f>
        <v/>
      </c>
      <c r="C19459" s="11"/>
      <c r="D19459" s="11"/>
      <c r="E19459" s="11"/>
      <c r="F19459" s="11"/>
      <c r="G19459" s="11"/>
      <c r="H19459" s="11"/>
      <c r="I19459" s="15"/>
    </row>
    <row r="19460" spans="1:9" ht="16.5">
      <c r="A19460" s="10" t="b">
        <v>0</v>
      </c>
      <c r="B19460" s="11" t="str">
        <f>IF(D19460&lt;&gt;"",IF(COUNTIF('USPTO TMs'!A:A,D19460)&gt;0,"Yes","No"),"")</f>
        <v/>
      </c>
      <c r="C19460" s="11"/>
      <c r="D19460" s="11"/>
      <c r="E19460" s="11"/>
      <c r="F19460" s="11"/>
      <c r="G19460" s="11"/>
      <c r="H19460" s="11"/>
      <c r="I19460" s="15"/>
    </row>
    <row r="19461" spans="1:9" ht="16.5">
      <c r="A19461" s="10" t="b">
        <v>0</v>
      </c>
      <c r="B19461" s="11" t="str">
        <f>IF(D19461&lt;&gt;"",IF(COUNTIF('USPTO TMs'!A:A,D19461)&gt;0,"Yes","No"),"")</f>
        <v/>
      </c>
      <c r="C19461" s="11"/>
      <c r="D19461" s="11"/>
      <c r="E19461" s="11"/>
      <c r="F19461" s="11"/>
      <c r="G19461" s="11"/>
      <c r="H19461" s="11"/>
      <c r="I19461" s="15"/>
    </row>
    <row r="19462" spans="1:9" ht="16.5">
      <c r="A19462" s="10" t="b">
        <v>0</v>
      </c>
      <c r="B19462" s="11" t="str">
        <f>IF(D19462&lt;&gt;"",IF(COUNTIF('USPTO TMs'!A:A,D19462)&gt;0,"Yes","No"),"")</f>
        <v/>
      </c>
      <c r="C19462" s="11"/>
      <c r="D19462" s="11"/>
      <c r="E19462" s="11"/>
      <c r="F19462" s="11"/>
      <c r="G19462" s="11"/>
      <c r="H19462" s="11"/>
      <c r="I19462" s="15"/>
    </row>
    <row r="19463" spans="1:9" ht="16.5">
      <c r="A19463" s="10" t="b">
        <v>0</v>
      </c>
      <c r="B19463" s="11" t="str">
        <f>IF(D19463&lt;&gt;"",IF(COUNTIF('USPTO TMs'!A:A,D19463)&gt;0,"Yes","No"),"")</f>
        <v/>
      </c>
      <c r="C19463" s="11"/>
      <c r="D19463" s="11"/>
      <c r="E19463" s="11"/>
      <c r="F19463" s="11"/>
      <c r="G19463" s="11"/>
      <c r="H19463" s="11"/>
      <c r="I19463" s="15"/>
    </row>
    <row r="19464" spans="1:9" ht="16.5">
      <c r="A19464" s="10" t="b">
        <v>0</v>
      </c>
      <c r="B19464" s="11" t="str">
        <f>IF(D19464&lt;&gt;"",IF(COUNTIF('USPTO TMs'!A:A,D19464)&gt;0,"Yes","No"),"")</f>
        <v/>
      </c>
      <c r="C19464" s="11"/>
      <c r="D19464" s="11"/>
      <c r="E19464" s="11"/>
      <c r="F19464" s="11"/>
      <c r="G19464" s="11"/>
      <c r="H19464" s="11"/>
      <c r="I19464" s="15"/>
    </row>
    <row r="19465" spans="1:9" ht="16.5">
      <c r="A19465" s="10" t="b">
        <v>0</v>
      </c>
      <c r="B19465" s="11" t="str">
        <f>IF(D19465&lt;&gt;"",IF(COUNTIF('USPTO TMs'!A:A,D19465)&gt;0,"Yes","No"),"")</f>
        <v/>
      </c>
      <c r="C19465" s="11"/>
      <c r="D19465" s="11"/>
      <c r="E19465" s="11"/>
      <c r="F19465" s="11"/>
      <c r="G19465" s="11"/>
      <c r="H19465" s="11"/>
      <c r="I19465" s="15"/>
    </row>
    <row r="19466" spans="1:9" ht="16.5">
      <c r="A19466" s="10" t="b">
        <v>0</v>
      </c>
      <c r="B19466" s="11" t="str">
        <f>IF(D19466&lt;&gt;"",IF(COUNTIF('USPTO TMs'!A:A,D19466)&gt;0,"Yes","No"),"")</f>
        <v/>
      </c>
      <c r="C19466" s="11"/>
      <c r="D19466" s="11"/>
      <c r="E19466" s="11"/>
      <c r="F19466" s="11"/>
      <c r="G19466" s="11"/>
      <c r="H19466" s="11"/>
      <c r="I19466" s="15"/>
    </row>
    <row r="19467" spans="1:9" ht="16.5">
      <c r="A19467" s="10" t="b">
        <v>0</v>
      </c>
      <c r="B19467" s="11" t="str">
        <f>IF(D19467&lt;&gt;"",IF(COUNTIF('USPTO TMs'!A:A,D19467)&gt;0,"Yes","No"),"")</f>
        <v/>
      </c>
      <c r="C19467" s="11"/>
      <c r="D19467" s="11"/>
      <c r="E19467" s="11"/>
      <c r="F19467" s="11"/>
      <c r="G19467" s="11"/>
      <c r="H19467" s="11"/>
      <c r="I19467" s="15"/>
    </row>
    <row r="19468" spans="1:9" ht="16.5">
      <c r="A19468" s="10" t="b">
        <v>0</v>
      </c>
      <c r="B19468" s="11" t="str">
        <f>IF(D19468&lt;&gt;"",IF(COUNTIF('USPTO TMs'!A:A,D19468)&gt;0,"Yes","No"),"")</f>
        <v/>
      </c>
      <c r="C19468" s="11"/>
      <c r="D19468" s="11"/>
      <c r="E19468" s="11"/>
      <c r="F19468" s="11"/>
      <c r="G19468" s="11"/>
      <c r="H19468" s="11"/>
      <c r="I19468" s="15"/>
    </row>
    <row r="19469" spans="1:9" ht="16.5">
      <c r="A19469" s="10" t="b">
        <v>0</v>
      </c>
      <c r="B19469" s="11" t="str">
        <f>IF(D19469&lt;&gt;"",IF(COUNTIF('USPTO TMs'!A:A,D19469)&gt;0,"Yes","No"),"")</f>
        <v/>
      </c>
      <c r="C19469" s="11"/>
      <c r="D19469" s="11"/>
      <c r="E19469" s="11"/>
      <c r="F19469" s="11"/>
      <c r="G19469" s="11"/>
      <c r="H19469" s="11"/>
      <c r="I19469" s="15"/>
    </row>
    <row r="19470" spans="1:9" ht="16.5">
      <c r="A19470" s="10" t="b">
        <v>0</v>
      </c>
      <c r="B19470" s="11" t="str">
        <f>IF(D19470&lt;&gt;"",IF(COUNTIF('USPTO TMs'!A:A,D19470)&gt;0,"Yes","No"),"")</f>
        <v/>
      </c>
      <c r="C19470" s="11"/>
      <c r="D19470" s="11"/>
      <c r="E19470" s="11"/>
      <c r="F19470" s="11"/>
      <c r="G19470" s="11"/>
      <c r="H19470" s="11"/>
      <c r="I19470" s="15"/>
    </row>
    <row r="19471" spans="1:9" ht="16.5">
      <c r="A19471" s="10" t="b">
        <v>0</v>
      </c>
      <c r="B19471" s="11" t="str">
        <f>IF(D19471&lt;&gt;"",IF(COUNTIF('USPTO TMs'!A:A,D19471)&gt;0,"Yes","No"),"")</f>
        <v/>
      </c>
      <c r="C19471" s="11"/>
      <c r="D19471" s="11"/>
      <c r="E19471" s="11"/>
      <c r="F19471" s="11"/>
      <c r="G19471" s="11"/>
      <c r="H19471" s="11"/>
      <c r="I19471" s="15"/>
    </row>
    <row r="19472" spans="1:9" ht="16.5">
      <c r="A19472" s="10" t="b">
        <v>0</v>
      </c>
      <c r="B19472" s="11" t="str">
        <f>IF(D19472&lt;&gt;"",IF(COUNTIF('USPTO TMs'!A:A,D19472)&gt;0,"Yes","No"),"")</f>
        <v/>
      </c>
      <c r="C19472" s="11"/>
      <c r="D19472" s="11"/>
      <c r="E19472" s="11"/>
      <c r="F19472" s="11"/>
      <c r="G19472" s="11"/>
      <c r="H19472" s="11"/>
      <c r="I19472" s="15"/>
    </row>
    <row r="19473" spans="1:9" ht="16.5">
      <c r="A19473" s="10" t="b">
        <v>0</v>
      </c>
      <c r="B19473" s="11" t="str">
        <f>IF(D19473&lt;&gt;"",IF(COUNTIF('USPTO TMs'!A:A,D19473)&gt;0,"Yes","No"),"")</f>
        <v/>
      </c>
      <c r="C19473" s="11"/>
      <c r="D19473" s="11"/>
      <c r="E19473" s="11"/>
      <c r="F19473" s="11"/>
      <c r="G19473" s="11"/>
      <c r="H19473" s="11"/>
      <c r="I19473" s="15"/>
    </row>
    <row r="19474" spans="1:9" ht="16.5">
      <c r="A19474" s="10" t="b">
        <v>0</v>
      </c>
      <c r="B19474" s="11" t="str">
        <f>IF(D19474&lt;&gt;"",IF(COUNTIF('USPTO TMs'!A:A,D19474)&gt;0,"Yes","No"),"")</f>
        <v/>
      </c>
      <c r="C19474" s="11"/>
      <c r="D19474" s="11"/>
      <c r="E19474" s="11"/>
      <c r="F19474" s="11"/>
      <c r="G19474" s="11"/>
      <c r="H19474" s="11"/>
      <c r="I19474" s="15"/>
    </row>
    <row r="19475" spans="1:9" ht="16.5">
      <c r="A19475" s="10" t="b">
        <v>0</v>
      </c>
      <c r="B19475" s="11" t="str">
        <f>IF(D19475&lt;&gt;"",IF(COUNTIF('USPTO TMs'!A:A,D19475)&gt;0,"Yes","No"),"")</f>
        <v/>
      </c>
      <c r="C19475" s="11"/>
      <c r="D19475" s="11"/>
      <c r="E19475" s="11"/>
      <c r="F19475" s="11"/>
      <c r="G19475" s="11"/>
      <c r="H19475" s="11"/>
      <c r="I19475" s="15"/>
    </row>
    <row r="19476" spans="1:9" ht="16.5">
      <c r="A19476" s="10" t="b">
        <v>0</v>
      </c>
      <c r="B19476" s="11" t="str">
        <f>IF(D19476&lt;&gt;"",IF(COUNTIF('USPTO TMs'!A:A,D19476)&gt;0,"Yes","No"),"")</f>
        <v/>
      </c>
      <c r="C19476" s="11"/>
      <c r="D19476" s="11"/>
      <c r="E19476" s="11"/>
      <c r="F19476" s="11"/>
      <c r="G19476" s="11"/>
      <c r="H19476" s="11"/>
      <c r="I19476" s="15"/>
    </row>
    <row r="19477" spans="1:9" ht="16.5">
      <c r="A19477" s="10" t="b">
        <v>0</v>
      </c>
      <c r="B19477" s="11" t="str">
        <f>IF(D19477&lt;&gt;"",IF(COUNTIF('USPTO TMs'!A:A,D19477)&gt;0,"Yes","No"),"")</f>
        <v/>
      </c>
      <c r="C19477" s="11"/>
      <c r="D19477" s="11"/>
      <c r="E19477" s="11"/>
      <c r="F19477" s="11"/>
      <c r="G19477" s="11"/>
      <c r="H19477" s="11"/>
      <c r="I19477" s="15"/>
    </row>
    <row r="19478" spans="1:9" ht="16.5">
      <c r="A19478" s="10" t="b">
        <v>0</v>
      </c>
      <c r="B19478" s="11" t="str">
        <f>IF(D19478&lt;&gt;"",IF(COUNTIF('USPTO TMs'!A:A,D19478)&gt;0,"Yes","No"),"")</f>
        <v/>
      </c>
      <c r="C19478" s="11"/>
      <c r="D19478" s="11"/>
      <c r="E19478" s="11"/>
      <c r="F19478" s="11"/>
      <c r="G19478" s="11"/>
      <c r="H19478" s="11"/>
      <c r="I19478" s="15"/>
    </row>
    <row r="19479" spans="1:9" ht="16.5">
      <c r="A19479" s="10" t="b">
        <v>0</v>
      </c>
      <c r="B19479" s="11" t="str">
        <f>IF(D19479&lt;&gt;"",IF(COUNTIF('USPTO TMs'!A:A,D19479)&gt;0,"Yes","No"),"")</f>
        <v/>
      </c>
      <c r="C19479" s="11"/>
      <c r="D19479" s="11"/>
      <c r="E19479" s="11"/>
      <c r="F19479" s="11"/>
      <c r="G19479" s="11"/>
      <c r="H19479" s="11"/>
      <c r="I19479" s="15"/>
    </row>
    <row r="19480" spans="1:9" ht="16.5">
      <c r="A19480" s="10" t="b">
        <v>0</v>
      </c>
      <c r="B19480" s="11" t="str">
        <f>IF(D19480&lt;&gt;"",IF(COUNTIF('USPTO TMs'!A:A,D19480)&gt;0,"Yes","No"),"")</f>
        <v/>
      </c>
      <c r="C19480" s="11"/>
      <c r="D19480" s="11"/>
      <c r="E19480" s="11"/>
      <c r="F19480" s="11"/>
      <c r="G19480" s="11"/>
      <c r="H19480" s="11"/>
      <c r="I19480" s="15"/>
    </row>
    <row r="19481" spans="1:9" ht="16.5">
      <c r="A19481" s="10" t="b">
        <v>0</v>
      </c>
      <c r="B19481" s="11" t="str">
        <f>IF(D19481&lt;&gt;"",IF(COUNTIF('USPTO TMs'!A:A,D19481)&gt;0,"Yes","No"),"")</f>
        <v/>
      </c>
      <c r="C19481" s="11"/>
      <c r="D19481" s="11"/>
      <c r="E19481" s="11"/>
      <c r="F19481" s="11"/>
      <c r="G19481" s="11"/>
      <c r="H19481" s="11"/>
      <c r="I19481" s="15"/>
    </row>
    <row r="19482" spans="1:9" ht="16.5">
      <c r="A19482" s="10" t="b">
        <v>0</v>
      </c>
      <c r="B19482" s="11" t="str">
        <f>IF(D19482&lt;&gt;"",IF(COUNTIF('USPTO TMs'!A:A,D19482)&gt;0,"Yes","No"),"")</f>
        <v/>
      </c>
      <c r="C19482" s="11"/>
      <c r="D19482" s="11"/>
      <c r="E19482" s="11"/>
      <c r="F19482" s="11"/>
      <c r="G19482" s="11"/>
      <c r="H19482" s="11"/>
      <c r="I19482" s="15"/>
    </row>
    <row r="19483" spans="1:9" ht="16.5">
      <c r="A19483" s="10" t="b">
        <v>0</v>
      </c>
      <c r="B19483" s="11" t="str">
        <f>IF(D19483&lt;&gt;"",IF(COUNTIF('USPTO TMs'!A:A,D19483)&gt;0,"Yes","No"),"")</f>
        <v/>
      </c>
      <c r="C19483" s="11"/>
      <c r="D19483" s="11"/>
      <c r="E19483" s="11"/>
      <c r="F19483" s="11"/>
      <c r="G19483" s="11"/>
      <c r="H19483" s="11"/>
      <c r="I19483" s="15"/>
    </row>
    <row r="19484" spans="1:9" ht="16.5">
      <c r="A19484" s="10" t="b">
        <v>0</v>
      </c>
      <c r="B19484" s="11" t="str">
        <f>IF(D19484&lt;&gt;"",IF(COUNTIF('USPTO TMs'!A:A,D19484)&gt;0,"Yes","No"),"")</f>
        <v/>
      </c>
      <c r="C19484" s="11"/>
      <c r="D19484" s="11"/>
      <c r="E19484" s="11"/>
      <c r="F19484" s="11"/>
      <c r="G19484" s="11"/>
      <c r="H19484" s="11"/>
      <c r="I19484" s="15"/>
    </row>
    <row r="19485" spans="1:9" ht="16.5">
      <c r="A19485" s="10" t="b">
        <v>0</v>
      </c>
      <c r="B19485" s="11" t="str">
        <f>IF(D19485&lt;&gt;"",IF(COUNTIF('USPTO TMs'!A:A,D19485)&gt;0,"Yes","No"),"")</f>
        <v/>
      </c>
      <c r="C19485" s="11"/>
      <c r="D19485" s="11"/>
      <c r="E19485" s="11"/>
      <c r="F19485" s="11"/>
      <c r="G19485" s="11"/>
      <c r="H19485" s="11"/>
      <c r="I19485" s="15"/>
    </row>
    <row r="19486" spans="1:9" ht="16.5">
      <c r="A19486" s="10" t="b">
        <v>0</v>
      </c>
      <c r="B19486" s="11" t="str">
        <f>IF(D19486&lt;&gt;"",IF(COUNTIF('USPTO TMs'!A:A,D19486)&gt;0,"Yes","No"),"")</f>
        <v/>
      </c>
      <c r="C19486" s="11"/>
      <c r="D19486" s="11"/>
      <c r="E19486" s="11"/>
      <c r="F19486" s="11"/>
      <c r="G19486" s="11"/>
      <c r="H19486" s="11"/>
      <c r="I19486" s="15"/>
    </row>
    <row r="19487" spans="1:9" ht="16.5">
      <c r="A19487" s="10" t="b">
        <v>0</v>
      </c>
      <c r="B19487" s="11" t="str">
        <f>IF(D19487&lt;&gt;"",IF(COUNTIF('USPTO TMs'!A:A,D19487)&gt;0,"Yes","No"),"")</f>
        <v/>
      </c>
      <c r="C19487" s="11"/>
      <c r="D19487" s="11"/>
      <c r="E19487" s="11"/>
      <c r="F19487" s="11"/>
      <c r="G19487" s="11"/>
      <c r="H19487" s="11"/>
      <c r="I19487" s="15"/>
    </row>
    <row r="19488" spans="1:9" ht="16.5">
      <c r="A19488" s="10" t="b">
        <v>0</v>
      </c>
      <c r="B19488" s="11" t="str">
        <f>IF(D19488&lt;&gt;"",IF(COUNTIF('USPTO TMs'!A:A,D19488)&gt;0,"Yes","No"),"")</f>
        <v/>
      </c>
      <c r="C19488" s="11"/>
      <c r="D19488" s="11"/>
      <c r="E19488" s="11"/>
      <c r="F19488" s="11"/>
      <c r="G19488" s="11"/>
      <c r="H19488" s="11"/>
      <c r="I19488" s="15"/>
    </row>
    <row r="19489" spans="1:9" ht="16.5">
      <c r="A19489" s="10" t="b">
        <v>0</v>
      </c>
      <c r="B19489" s="11" t="str">
        <f>IF(D19489&lt;&gt;"",IF(COUNTIF('USPTO TMs'!A:A,D19489)&gt;0,"Yes","No"),"")</f>
        <v/>
      </c>
      <c r="C19489" s="11"/>
      <c r="D19489" s="11"/>
      <c r="E19489" s="11"/>
      <c r="F19489" s="11"/>
      <c r="G19489" s="11"/>
      <c r="H19489" s="11"/>
      <c r="I19489" s="15"/>
    </row>
    <row r="19490" spans="1:9" ht="16.5">
      <c r="A19490" s="10" t="b">
        <v>0</v>
      </c>
      <c r="B19490" s="11" t="str">
        <f>IF(D19490&lt;&gt;"",IF(COUNTIF('USPTO TMs'!A:A,D19490)&gt;0,"Yes","No"),"")</f>
        <v/>
      </c>
      <c r="C19490" s="11"/>
      <c r="D19490" s="11"/>
      <c r="E19490" s="11"/>
      <c r="F19490" s="11"/>
      <c r="G19490" s="11"/>
      <c r="H19490" s="11"/>
      <c r="I19490" s="15"/>
    </row>
    <row r="19491" spans="1:9" ht="16.5">
      <c r="A19491" s="10" t="b">
        <v>0</v>
      </c>
      <c r="B19491" s="11" t="str">
        <f>IF(D19491&lt;&gt;"",IF(COUNTIF('USPTO TMs'!A:A,D19491)&gt;0,"Yes","No"),"")</f>
        <v/>
      </c>
      <c r="C19491" s="11"/>
      <c r="D19491" s="11"/>
      <c r="E19491" s="11"/>
      <c r="F19491" s="11"/>
      <c r="G19491" s="11"/>
      <c r="H19491" s="11"/>
      <c r="I19491" s="15"/>
    </row>
    <row r="19492" spans="1:9" ht="16.5">
      <c r="A19492" s="10" t="b">
        <v>0</v>
      </c>
      <c r="B19492" s="11" t="str">
        <f>IF(D19492&lt;&gt;"",IF(COUNTIF('USPTO TMs'!A:A,D19492)&gt;0,"Yes","No"),"")</f>
        <v/>
      </c>
      <c r="C19492" s="11"/>
      <c r="D19492" s="11"/>
      <c r="E19492" s="11"/>
      <c r="F19492" s="11"/>
      <c r="G19492" s="11"/>
      <c r="H19492" s="11"/>
      <c r="I19492" s="15"/>
    </row>
    <row r="19493" spans="1:9" ht="16.5">
      <c r="A19493" s="10" t="b">
        <v>0</v>
      </c>
      <c r="B19493" s="11" t="str">
        <f>IF(D19493&lt;&gt;"",IF(COUNTIF('USPTO TMs'!A:A,D19493)&gt;0,"Yes","No"),"")</f>
        <v/>
      </c>
      <c r="C19493" s="11"/>
      <c r="D19493" s="11"/>
      <c r="E19493" s="11"/>
      <c r="F19493" s="11"/>
      <c r="G19493" s="11"/>
      <c r="H19493" s="11"/>
      <c r="I19493" s="15"/>
    </row>
    <row r="19494" spans="1:9" ht="16.5">
      <c r="A19494" s="10" t="b">
        <v>0</v>
      </c>
      <c r="B19494" s="11" t="str">
        <f>IF(D19494&lt;&gt;"",IF(COUNTIF('USPTO TMs'!A:A,D19494)&gt;0,"Yes","No"),"")</f>
        <v/>
      </c>
      <c r="C19494" s="11"/>
      <c r="D19494" s="11"/>
      <c r="E19494" s="11"/>
      <c r="F19494" s="11"/>
      <c r="G19494" s="11"/>
      <c r="H19494" s="11"/>
      <c r="I19494" s="15"/>
    </row>
    <row r="19495" spans="1:9" ht="16.5">
      <c r="A19495" s="10" t="b">
        <v>0</v>
      </c>
      <c r="B19495" s="11" t="str">
        <f>IF(D19495&lt;&gt;"",IF(COUNTIF('USPTO TMs'!A:A,D19495)&gt;0,"Yes","No"),"")</f>
        <v/>
      </c>
      <c r="C19495" s="11"/>
      <c r="D19495" s="11"/>
      <c r="E19495" s="11"/>
      <c r="F19495" s="11"/>
      <c r="G19495" s="11"/>
      <c r="H19495" s="11"/>
      <c r="I19495" s="15"/>
    </row>
    <row r="19496" spans="1:9" ht="16.5">
      <c r="A19496" s="10" t="b">
        <v>0</v>
      </c>
      <c r="B19496" s="11" t="str">
        <f>IF(D19496&lt;&gt;"",IF(COUNTIF('USPTO TMs'!A:A,D19496)&gt;0,"Yes","No"),"")</f>
        <v/>
      </c>
      <c r="C19496" s="11"/>
      <c r="D19496" s="11"/>
      <c r="E19496" s="11"/>
      <c r="F19496" s="11"/>
      <c r="G19496" s="11"/>
      <c r="H19496" s="11"/>
      <c r="I19496" s="15"/>
    </row>
    <row r="19497" spans="1:9" ht="16.5">
      <c r="A19497" s="10" t="b">
        <v>0</v>
      </c>
      <c r="B19497" s="11" t="str">
        <f>IF(D19497&lt;&gt;"",IF(COUNTIF('USPTO TMs'!A:A,D19497)&gt;0,"Yes","No"),"")</f>
        <v/>
      </c>
      <c r="C19497" s="11"/>
      <c r="D19497" s="11"/>
      <c r="E19497" s="11"/>
      <c r="F19497" s="11"/>
      <c r="G19497" s="11"/>
      <c r="H19497" s="11"/>
      <c r="I19497" s="15"/>
    </row>
    <row r="19498" spans="1:9" ht="16.5">
      <c r="A19498" s="10" t="b">
        <v>0</v>
      </c>
      <c r="B19498" s="11" t="str">
        <f>IF(D19498&lt;&gt;"",IF(COUNTIF('USPTO TMs'!A:A,D19498)&gt;0,"Yes","No"),"")</f>
        <v/>
      </c>
      <c r="C19498" s="11"/>
      <c r="D19498" s="11"/>
      <c r="E19498" s="11"/>
      <c r="F19498" s="11"/>
      <c r="G19498" s="11"/>
      <c r="H19498" s="11"/>
      <c r="I19498" s="15"/>
    </row>
    <row r="19499" spans="1:9" ht="16.5">
      <c r="A19499" s="10" t="b">
        <v>0</v>
      </c>
      <c r="B19499" s="11" t="str">
        <f>IF(D19499&lt;&gt;"",IF(COUNTIF('USPTO TMs'!A:A,D19499)&gt;0,"Yes","No"),"")</f>
        <v/>
      </c>
      <c r="C19499" s="11"/>
      <c r="D19499" s="11"/>
      <c r="E19499" s="11"/>
      <c r="F19499" s="11"/>
      <c r="G19499" s="11"/>
      <c r="H19499" s="11"/>
      <c r="I19499" s="15"/>
    </row>
    <row r="19500" spans="1:9" ht="16.5">
      <c r="A19500" s="10" t="b">
        <v>0</v>
      </c>
      <c r="B19500" s="11" t="str">
        <f>IF(D19500&lt;&gt;"",IF(COUNTIF('USPTO TMs'!A:A,D19500)&gt;0,"Yes","No"),"")</f>
        <v/>
      </c>
      <c r="C19500" s="11"/>
      <c r="D19500" s="11"/>
      <c r="E19500" s="11"/>
      <c r="F19500" s="11"/>
      <c r="G19500" s="11"/>
      <c r="H19500" s="11"/>
      <c r="I19500" s="15"/>
    </row>
    <row r="19501" spans="1:9" ht="16.5">
      <c r="A19501" s="10" t="b">
        <v>0</v>
      </c>
      <c r="B19501" s="11" t="str">
        <f>IF(D19501&lt;&gt;"",IF(COUNTIF('USPTO TMs'!A:A,D19501)&gt;0,"Yes","No"),"")</f>
        <v/>
      </c>
      <c r="C19501" s="11"/>
      <c r="D19501" s="11"/>
      <c r="E19501" s="11"/>
      <c r="F19501" s="11"/>
      <c r="G19501" s="11"/>
      <c r="H19501" s="11"/>
      <c r="I19501" s="15"/>
    </row>
    <row r="19502" spans="1:9" ht="16.5">
      <c r="A19502" s="10" t="b">
        <v>0</v>
      </c>
      <c r="B19502" s="11" t="str">
        <f>IF(D19502&lt;&gt;"",IF(COUNTIF('USPTO TMs'!A:A,D19502)&gt;0,"Yes","No"),"")</f>
        <v/>
      </c>
      <c r="C19502" s="11"/>
      <c r="D19502" s="11"/>
      <c r="E19502" s="11"/>
      <c r="F19502" s="11"/>
      <c r="G19502" s="11"/>
      <c r="H19502" s="11"/>
      <c r="I19502" s="15"/>
    </row>
    <row r="19503" spans="1:9" ht="16.5">
      <c r="A19503" s="10" t="b">
        <v>0</v>
      </c>
      <c r="B19503" s="11" t="str">
        <f>IF(D19503&lt;&gt;"",IF(COUNTIF('USPTO TMs'!A:A,D19503)&gt;0,"Yes","No"),"")</f>
        <v/>
      </c>
      <c r="C19503" s="11"/>
      <c r="D19503" s="11"/>
      <c r="E19503" s="11"/>
      <c r="F19503" s="11"/>
      <c r="G19503" s="11"/>
      <c r="H19503" s="11"/>
      <c r="I19503" s="15"/>
    </row>
    <row r="19504" spans="1:9" ht="16.5">
      <c r="A19504" s="10" t="b">
        <v>0</v>
      </c>
      <c r="B19504" s="11" t="str">
        <f>IF(D19504&lt;&gt;"",IF(COUNTIF('USPTO TMs'!A:A,D19504)&gt;0,"Yes","No"),"")</f>
        <v/>
      </c>
      <c r="C19504" s="11"/>
      <c r="D19504" s="11"/>
      <c r="E19504" s="11"/>
      <c r="F19504" s="11"/>
      <c r="G19504" s="11"/>
      <c r="H19504" s="11"/>
      <c r="I19504" s="15"/>
    </row>
    <row r="19505" spans="1:9" ht="16.5">
      <c r="A19505" s="10" t="b">
        <v>0</v>
      </c>
      <c r="B19505" s="11" t="str">
        <f>IF(D19505&lt;&gt;"",IF(COUNTIF('USPTO TMs'!A:A,D19505)&gt;0,"Yes","No"),"")</f>
        <v/>
      </c>
      <c r="C19505" s="11"/>
      <c r="D19505" s="11"/>
      <c r="E19505" s="11"/>
      <c r="F19505" s="11"/>
      <c r="G19505" s="11"/>
      <c r="H19505" s="11"/>
      <c r="I19505" s="15"/>
    </row>
    <row r="19506" spans="1:9" ht="16.5">
      <c r="A19506" s="10" t="b">
        <v>0</v>
      </c>
      <c r="B19506" s="11" t="str">
        <f>IF(D19506&lt;&gt;"",IF(COUNTIF('USPTO TMs'!A:A,D19506)&gt;0,"Yes","No"),"")</f>
        <v/>
      </c>
      <c r="C19506" s="11"/>
      <c r="D19506" s="11"/>
      <c r="E19506" s="11"/>
      <c r="F19506" s="11"/>
      <c r="G19506" s="11"/>
      <c r="H19506" s="11"/>
      <c r="I19506" s="15"/>
    </row>
    <row r="19507" spans="1:9" ht="16.5">
      <c r="A19507" s="10" t="b">
        <v>0</v>
      </c>
      <c r="B19507" s="11" t="str">
        <f>IF(D19507&lt;&gt;"",IF(COUNTIF('USPTO TMs'!A:A,D19507)&gt;0,"Yes","No"),"")</f>
        <v/>
      </c>
      <c r="C19507" s="11"/>
      <c r="D19507" s="11"/>
      <c r="E19507" s="11"/>
      <c r="F19507" s="11"/>
      <c r="G19507" s="11"/>
      <c r="H19507" s="11"/>
      <c r="I19507" s="15"/>
    </row>
    <row r="19508" spans="1:9" ht="16.5">
      <c r="A19508" s="10" t="b">
        <v>0</v>
      </c>
      <c r="B19508" s="11" t="str">
        <f>IF(D19508&lt;&gt;"",IF(COUNTIF('USPTO TMs'!A:A,D19508)&gt;0,"Yes","No"),"")</f>
        <v/>
      </c>
      <c r="C19508" s="11"/>
      <c r="D19508" s="11"/>
      <c r="E19508" s="11"/>
      <c r="F19508" s="11"/>
      <c r="G19508" s="11"/>
      <c r="H19508" s="11"/>
      <c r="I19508" s="15"/>
    </row>
    <row r="19509" spans="1:9" ht="16.5">
      <c r="A19509" s="10" t="b">
        <v>0</v>
      </c>
      <c r="B19509" s="11" t="str">
        <f>IF(D19509&lt;&gt;"",IF(COUNTIF('USPTO TMs'!A:A,D19509)&gt;0,"Yes","No"),"")</f>
        <v/>
      </c>
      <c r="C19509" s="11"/>
      <c r="D19509" s="11"/>
      <c r="E19509" s="11"/>
      <c r="F19509" s="11"/>
      <c r="G19509" s="11"/>
      <c r="H19509" s="11"/>
      <c r="I19509" s="15"/>
    </row>
    <row r="19510" spans="1:9" ht="16.5">
      <c r="A19510" s="10" t="b">
        <v>0</v>
      </c>
      <c r="B19510" s="11" t="str">
        <f>IF(D19510&lt;&gt;"",IF(COUNTIF('USPTO TMs'!A:A,D19510)&gt;0,"Yes","No"),"")</f>
        <v/>
      </c>
      <c r="C19510" s="11"/>
      <c r="D19510" s="11"/>
      <c r="E19510" s="11"/>
      <c r="F19510" s="11"/>
      <c r="G19510" s="11"/>
      <c r="H19510" s="11"/>
      <c r="I19510" s="15"/>
    </row>
    <row r="19511" spans="1:9" ht="16.5">
      <c r="A19511" s="10" t="b">
        <v>0</v>
      </c>
      <c r="B19511" s="11" t="str">
        <f>IF(D19511&lt;&gt;"",IF(COUNTIF('USPTO TMs'!A:A,D19511)&gt;0,"Yes","No"),"")</f>
        <v/>
      </c>
      <c r="C19511" s="11"/>
      <c r="D19511" s="11"/>
      <c r="E19511" s="11"/>
      <c r="F19511" s="11"/>
      <c r="G19511" s="11"/>
      <c r="H19511" s="11"/>
      <c r="I19511" s="15"/>
    </row>
    <row r="19512" spans="1:9" ht="16.5">
      <c r="A19512" s="10" t="b">
        <v>0</v>
      </c>
      <c r="B19512" s="11" t="str">
        <f>IF(D19512&lt;&gt;"",IF(COUNTIF('USPTO TMs'!A:A,D19512)&gt;0,"Yes","No"),"")</f>
        <v/>
      </c>
      <c r="C19512" s="11"/>
      <c r="D19512" s="11"/>
      <c r="E19512" s="11"/>
      <c r="F19512" s="11"/>
      <c r="G19512" s="11"/>
      <c r="H19512" s="11"/>
      <c r="I19512" s="15"/>
    </row>
    <row r="19513" spans="1:9" ht="16.5">
      <c r="A19513" s="10" t="b">
        <v>0</v>
      </c>
      <c r="B19513" s="11" t="str">
        <f>IF(D19513&lt;&gt;"",IF(COUNTIF('USPTO TMs'!A:A,D19513)&gt;0,"Yes","No"),"")</f>
        <v/>
      </c>
      <c r="C19513" s="11"/>
      <c r="D19513" s="11"/>
      <c r="E19513" s="11"/>
      <c r="F19513" s="11"/>
      <c r="G19513" s="11"/>
      <c r="H19513" s="11"/>
      <c r="I19513" s="15"/>
    </row>
    <row r="19514" spans="1:9" ht="16.5">
      <c r="A19514" s="10" t="b">
        <v>0</v>
      </c>
      <c r="B19514" s="11" t="str">
        <f>IF(D19514&lt;&gt;"",IF(COUNTIF('USPTO TMs'!A:A,D19514)&gt;0,"Yes","No"),"")</f>
        <v/>
      </c>
      <c r="C19514" s="11"/>
      <c r="D19514" s="11"/>
      <c r="E19514" s="11"/>
      <c r="F19514" s="11"/>
      <c r="G19514" s="11"/>
      <c r="H19514" s="11"/>
      <c r="I19514" s="15"/>
    </row>
    <row r="19515" spans="1:9" ht="16.5">
      <c r="A19515" s="10" t="b">
        <v>0</v>
      </c>
      <c r="B19515" s="11" t="str">
        <f>IF(D19515&lt;&gt;"",IF(COUNTIF('USPTO TMs'!A:A,D19515)&gt;0,"Yes","No"),"")</f>
        <v/>
      </c>
      <c r="C19515" s="11"/>
      <c r="D19515" s="11"/>
      <c r="E19515" s="11"/>
      <c r="F19515" s="11"/>
      <c r="G19515" s="11"/>
      <c r="H19515" s="11"/>
      <c r="I19515" s="15"/>
    </row>
    <row r="19516" spans="1:9" ht="16.5">
      <c r="A19516" s="10" t="b">
        <v>0</v>
      </c>
      <c r="B19516" s="11" t="str">
        <f>IF(D19516&lt;&gt;"",IF(COUNTIF('USPTO TMs'!A:A,D19516)&gt;0,"Yes","No"),"")</f>
        <v/>
      </c>
      <c r="C19516" s="11"/>
      <c r="D19516" s="11"/>
      <c r="E19516" s="11"/>
      <c r="F19516" s="11"/>
      <c r="G19516" s="11"/>
      <c r="H19516" s="11"/>
      <c r="I19516" s="15"/>
    </row>
    <row r="19517" spans="1:9" ht="16.5">
      <c r="A19517" s="10" t="b">
        <v>0</v>
      </c>
      <c r="B19517" s="11" t="str">
        <f>IF(D19517&lt;&gt;"",IF(COUNTIF('USPTO TMs'!A:A,D19517)&gt;0,"Yes","No"),"")</f>
        <v/>
      </c>
      <c r="C19517" s="11"/>
      <c r="D19517" s="11"/>
      <c r="E19517" s="11"/>
      <c r="F19517" s="11"/>
      <c r="G19517" s="11"/>
      <c r="H19517" s="11"/>
      <c r="I19517" s="15"/>
    </row>
    <row r="19518" spans="1:9" ht="16.5">
      <c r="A19518" s="10" t="b">
        <v>0</v>
      </c>
      <c r="B19518" s="11" t="str">
        <f>IF(D19518&lt;&gt;"",IF(COUNTIF('USPTO TMs'!A:A,D19518)&gt;0,"Yes","No"),"")</f>
        <v/>
      </c>
      <c r="C19518" s="11"/>
      <c r="D19518" s="11"/>
      <c r="E19518" s="11"/>
      <c r="F19518" s="11"/>
      <c r="G19518" s="11"/>
      <c r="H19518" s="11"/>
      <c r="I19518" s="15"/>
    </row>
    <row r="19519" spans="1:9" ht="16.5">
      <c r="A19519" s="10" t="b">
        <v>0</v>
      </c>
      <c r="B19519" s="11" t="str">
        <f>IF(D19519&lt;&gt;"",IF(COUNTIF('USPTO TMs'!A:A,D19519)&gt;0,"Yes","No"),"")</f>
        <v/>
      </c>
      <c r="C19519" s="11"/>
      <c r="D19519" s="11"/>
      <c r="E19519" s="11"/>
      <c r="F19519" s="11"/>
      <c r="G19519" s="11"/>
      <c r="H19519" s="11"/>
      <c r="I19519" s="15"/>
    </row>
    <row r="19520" spans="1:9" ht="16.5">
      <c r="A19520" s="10" t="b">
        <v>0</v>
      </c>
      <c r="B19520" s="11" t="str">
        <f>IF(D19520&lt;&gt;"",IF(COUNTIF('USPTO TMs'!A:A,D19520)&gt;0,"Yes","No"),"")</f>
        <v/>
      </c>
      <c r="C19520" s="11"/>
      <c r="D19520" s="11"/>
      <c r="E19520" s="11"/>
      <c r="F19520" s="11"/>
      <c r="G19520" s="11"/>
      <c r="H19520" s="11"/>
      <c r="I19520" s="15"/>
    </row>
    <row r="19521" spans="1:9" ht="16.5">
      <c r="A19521" s="10" t="b">
        <v>0</v>
      </c>
      <c r="B19521" s="11" t="str">
        <f>IF(D19521&lt;&gt;"",IF(COUNTIF('USPTO TMs'!A:A,D19521)&gt;0,"Yes","No"),"")</f>
        <v/>
      </c>
      <c r="C19521" s="11"/>
      <c r="D19521" s="11"/>
      <c r="E19521" s="11"/>
      <c r="F19521" s="11"/>
      <c r="G19521" s="11"/>
      <c r="H19521" s="11"/>
      <c r="I19521" s="15"/>
    </row>
    <row r="19522" spans="1:9" ht="16.5">
      <c r="A19522" s="10" t="b">
        <v>0</v>
      </c>
      <c r="B19522" s="11" t="str">
        <f>IF(D19522&lt;&gt;"",IF(COUNTIF('USPTO TMs'!A:A,D19522)&gt;0,"Yes","No"),"")</f>
        <v/>
      </c>
      <c r="C19522" s="11"/>
      <c r="D19522" s="11"/>
      <c r="E19522" s="11"/>
      <c r="F19522" s="11"/>
      <c r="G19522" s="11"/>
      <c r="H19522" s="11"/>
      <c r="I19522" s="15"/>
    </row>
    <row r="19523" spans="1:9" ht="16.5">
      <c r="A19523" s="10" t="b">
        <v>0</v>
      </c>
      <c r="B19523" s="11" t="str">
        <f>IF(D19523&lt;&gt;"",IF(COUNTIF('USPTO TMs'!A:A,D19523)&gt;0,"Yes","No"),"")</f>
        <v/>
      </c>
      <c r="C19523" s="11"/>
      <c r="D19523" s="11"/>
      <c r="E19523" s="11"/>
      <c r="F19523" s="11"/>
      <c r="G19523" s="11"/>
      <c r="H19523" s="11"/>
      <c r="I19523" s="15"/>
    </row>
    <row r="19524" spans="1:9" ht="16.5">
      <c r="A19524" s="10" t="b">
        <v>0</v>
      </c>
      <c r="B19524" s="11" t="str">
        <f>IF(D19524&lt;&gt;"",IF(COUNTIF('USPTO TMs'!A:A,D19524)&gt;0,"Yes","No"),"")</f>
        <v/>
      </c>
      <c r="C19524" s="11"/>
      <c r="D19524" s="11"/>
      <c r="E19524" s="11"/>
      <c r="F19524" s="11"/>
      <c r="G19524" s="11"/>
      <c r="H19524" s="11"/>
      <c r="I19524" s="15"/>
    </row>
    <row r="19525" spans="1:9" ht="16.5">
      <c r="A19525" s="10" t="b">
        <v>0</v>
      </c>
      <c r="B19525" s="11" t="str">
        <f>IF(D19525&lt;&gt;"",IF(COUNTIF('USPTO TMs'!A:A,D19525)&gt;0,"Yes","No"),"")</f>
        <v/>
      </c>
      <c r="C19525" s="11"/>
      <c r="D19525" s="11"/>
      <c r="E19525" s="11"/>
      <c r="F19525" s="11"/>
      <c r="G19525" s="11"/>
      <c r="H19525" s="11"/>
      <c r="I19525" s="15"/>
    </row>
    <row r="19526" spans="1:9" ht="16.5">
      <c r="A19526" s="10" t="b">
        <v>0</v>
      </c>
      <c r="B19526" s="11" t="str">
        <f>IF(D19526&lt;&gt;"",IF(COUNTIF('USPTO TMs'!A:A,D19526)&gt;0,"Yes","No"),"")</f>
        <v/>
      </c>
      <c r="C19526" s="11"/>
      <c r="D19526" s="11"/>
      <c r="E19526" s="11"/>
      <c r="F19526" s="11"/>
      <c r="G19526" s="11"/>
      <c r="H19526" s="11"/>
      <c r="I19526" s="15"/>
    </row>
    <row r="19527" spans="1:9" ht="16.5">
      <c r="A19527" s="10" t="b">
        <v>0</v>
      </c>
      <c r="B19527" s="11" t="str">
        <f>IF(D19527&lt;&gt;"",IF(COUNTIF('USPTO TMs'!A:A,D19527)&gt;0,"Yes","No"),"")</f>
        <v/>
      </c>
      <c r="C19527" s="11"/>
      <c r="D19527" s="11"/>
      <c r="E19527" s="11"/>
      <c r="F19527" s="11"/>
      <c r="G19527" s="11"/>
      <c r="H19527" s="11"/>
      <c r="I19527" s="15"/>
    </row>
    <row r="19528" spans="1:9" ht="16.5">
      <c r="A19528" s="10" t="b">
        <v>0</v>
      </c>
      <c r="B19528" s="11" t="str">
        <f>IF(D19528&lt;&gt;"",IF(COUNTIF('USPTO TMs'!A:A,D19528)&gt;0,"Yes","No"),"")</f>
        <v/>
      </c>
      <c r="C19528" s="11"/>
      <c r="D19528" s="11"/>
      <c r="E19528" s="11"/>
      <c r="F19528" s="11"/>
      <c r="G19528" s="11"/>
      <c r="H19528" s="11"/>
      <c r="I19528" s="15"/>
    </row>
    <row r="19529" spans="1:9" ht="16.5">
      <c r="A19529" s="10" t="b">
        <v>0</v>
      </c>
      <c r="B19529" s="11" t="str">
        <f>IF(D19529&lt;&gt;"",IF(COUNTIF('USPTO TMs'!A:A,D19529)&gt;0,"Yes","No"),"")</f>
        <v/>
      </c>
      <c r="C19529" s="11"/>
      <c r="D19529" s="11"/>
      <c r="E19529" s="11"/>
      <c r="F19529" s="11"/>
      <c r="G19529" s="11"/>
      <c r="H19529" s="11"/>
      <c r="I19529" s="15"/>
    </row>
    <row r="19530" spans="1:9" ht="16.5">
      <c r="A19530" s="10" t="b">
        <v>0</v>
      </c>
      <c r="B19530" s="11" t="str">
        <f>IF(D19530&lt;&gt;"",IF(COUNTIF('USPTO TMs'!A:A,D19530)&gt;0,"Yes","No"),"")</f>
        <v/>
      </c>
      <c r="C19530" s="11"/>
      <c r="D19530" s="11"/>
      <c r="E19530" s="11"/>
      <c r="F19530" s="11"/>
      <c r="G19530" s="11"/>
      <c r="H19530" s="11"/>
      <c r="I19530" s="15"/>
    </row>
    <row r="19531" spans="1:9" ht="16.5">
      <c r="A19531" s="10" t="b">
        <v>0</v>
      </c>
      <c r="B19531" s="11" t="str">
        <f>IF(D19531&lt;&gt;"",IF(COUNTIF('USPTO TMs'!A:A,D19531)&gt;0,"Yes","No"),"")</f>
        <v/>
      </c>
      <c r="C19531" s="11"/>
      <c r="D19531" s="11"/>
      <c r="E19531" s="11"/>
      <c r="F19531" s="11"/>
      <c r="G19531" s="11"/>
      <c r="H19531" s="11"/>
      <c r="I19531" s="15"/>
    </row>
    <row r="19532" spans="1:9" ht="16.5">
      <c r="A19532" s="10" t="b">
        <v>0</v>
      </c>
      <c r="B19532" s="11" t="str">
        <f>IF(D19532&lt;&gt;"",IF(COUNTIF('USPTO TMs'!A:A,D19532)&gt;0,"Yes","No"),"")</f>
        <v/>
      </c>
      <c r="C19532" s="11"/>
      <c r="D19532" s="11"/>
      <c r="E19532" s="11"/>
      <c r="F19532" s="11"/>
      <c r="G19532" s="11"/>
      <c r="H19532" s="11"/>
      <c r="I19532" s="15"/>
    </row>
    <row r="19533" spans="1:9" ht="16.5">
      <c r="A19533" s="10" t="b">
        <v>0</v>
      </c>
      <c r="B19533" s="11" t="str">
        <f>IF(D19533&lt;&gt;"",IF(COUNTIF('USPTO TMs'!A:A,D19533)&gt;0,"Yes","No"),"")</f>
        <v/>
      </c>
      <c r="C19533" s="11"/>
      <c r="D19533" s="11"/>
      <c r="E19533" s="11"/>
      <c r="F19533" s="11"/>
      <c r="G19533" s="11"/>
      <c r="H19533" s="11"/>
      <c r="I19533" s="15"/>
    </row>
    <row r="19534" spans="1:9" ht="16.5">
      <c r="A19534" s="10" t="b">
        <v>0</v>
      </c>
      <c r="B19534" s="11" t="str">
        <f>IF(D19534&lt;&gt;"",IF(COUNTIF('USPTO TMs'!A:A,D19534)&gt;0,"Yes","No"),"")</f>
        <v/>
      </c>
      <c r="C19534" s="11"/>
      <c r="D19534" s="11"/>
      <c r="E19534" s="11"/>
      <c r="F19534" s="11"/>
      <c r="G19534" s="11"/>
      <c r="H19534" s="11"/>
      <c r="I19534" s="15"/>
    </row>
    <row r="19535" spans="1:9" ht="16.5">
      <c r="A19535" s="10" t="b">
        <v>0</v>
      </c>
      <c r="B19535" s="11" t="str">
        <f>IF(D19535&lt;&gt;"",IF(COUNTIF('USPTO TMs'!A:A,D19535)&gt;0,"Yes","No"),"")</f>
        <v/>
      </c>
      <c r="C19535" s="11"/>
      <c r="D19535" s="11"/>
      <c r="E19535" s="11"/>
      <c r="F19535" s="11"/>
      <c r="G19535" s="11"/>
      <c r="H19535" s="11"/>
      <c r="I19535" s="15"/>
    </row>
    <row r="19536" spans="1:9" ht="16.5">
      <c r="A19536" s="10" t="b">
        <v>0</v>
      </c>
      <c r="B19536" s="11" t="str">
        <f>IF(D19536&lt;&gt;"",IF(COUNTIF('USPTO TMs'!A:A,D19536)&gt;0,"Yes","No"),"")</f>
        <v/>
      </c>
      <c r="C19536" s="11"/>
      <c r="D19536" s="11"/>
      <c r="E19536" s="11"/>
      <c r="F19536" s="11"/>
      <c r="G19536" s="11"/>
      <c r="H19536" s="11"/>
      <c r="I19536" s="15"/>
    </row>
    <row r="19537" spans="1:9" ht="16.5">
      <c r="A19537" s="10" t="b">
        <v>0</v>
      </c>
      <c r="B19537" s="11" t="str">
        <f>IF(D19537&lt;&gt;"",IF(COUNTIF('USPTO TMs'!A:A,D19537)&gt;0,"Yes","No"),"")</f>
        <v/>
      </c>
      <c r="C19537" s="11"/>
      <c r="D19537" s="11"/>
      <c r="E19537" s="11"/>
      <c r="F19537" s="11"/>
      <c r="G19537" s="11"/>
      <c r="H19537" s="11"/>
      <c r="I19537" s="15"/>
    </row>
    <row r="19538" spans="1:9" ht="16.5">
      <c r="A19538" s="10" t="b">
        <v>0</v>
      </c>
      <c r="B19538" s="11" t="str">
        <f>IF(D19538&lt;&gt;"",IF(COUNTIF('USPTO TMs'!A:A,D19538)&gt;0,"Yes","No"),"")</f>
        <v/>
      </c>
      <c r="C19538" s="11"/>
      <c r="D19538" s="11"/>
      <c r="E19538" s="11"/>
      <c r="F19538" s="11"/>
      <c r="G19538" s="11"/>
      <c r="H19538" s="11"/>
      <c r="I19538" s="15"/>
    </row>
    <row r="19539" spans="1:9" ht="16.5">
      <c r="A19539" s="10" t="b">
        <v>0</v>
      </c>
      <c r="B19539" s="11" t="str">
        <f>IF(D19539&lt;&gt;"",IF(COUNTIF('USPTO TMs'!A:A,D19539)&gt;0,"Yes","No"),"")</f>
        <v/>
      </c>
      <c r="C19539" s="11"/>
      <c r="D19539" s="11"/>
      <c r="E19539" s="11"/>
      <c r="F19539" s="11"/>
      <c r="G19539" s="11"/>
      <c r="H19539" s="11"/>
      <c r="I19539" s="15"/>
    </row>
    <row r="19540" spans="1:9" ht="16.5">
      <c r="A19540" s="10" t="b">
        <v>0</v>
      </c>
      <c r="B19540" s="11" t="str">
        <f>IF(D19540&lt;&gt;"",IF(COUNTIF('USPTO TMs'!A:A,D19540)&gt;0,"Yes","No"),"")</f>
        <v/>
      </c>
      <c r="C19540" s="11"/>
      <c r="D19540" s="11"/>
      <c r="E19540" s="11"/>
      <c r="F19540" s="11"/>
      <c r="G19540" s="11"/>
      <c r="H19540" s="11"/>
      <c r="I19540" s="15"/>
    </row>
    <row r="19541" spans="1:9" ht="16.5">
      <c r="A19541" s="10" t="b">
        <v>0</v>
      </c>
      <c r="B19541" s="11" t="str">
        <f>IF(D19541&lt;&gt;"",IF(COUNTIF('USPTO TMs'!A:A,D19541)&gt;0,"Yes","No"),"")</f>
        <v/>
      </c>
      <c r="C19541" s="11"/>
      <c r="D19541" s="11"/>
      <c r="E19541" s="11"/>
      <c r="F19541" s="11"/>
      <c r="G19541" s="11"/>
      <c r="H19541" s="11"/>
      <c r="I19541" s="15"/>
    </row>
    <row r="19542" spans="1:9" ht="16.5">
      <c r="A19542" s="10" t="b">
        <v>0</v>
      </c>
      <c r="B19542" s="11" t="str">
        <f>IF(D19542&lt;&gt;"",IF(COUNTIF('USPTO TMs'!A:A,D19542)&gt;0,"Yes","No"),"")</f>
        <v/>
      </c>
      <c r="C19542" s="11"/>
      <c r="D19542" s="11"/>
      <c r="E19542" s="11"/>
      <c r="F19542" s="11"/>
      <c r="G19542" s="11"/>
      <c r="H19542" s="11"/>
      <c r="I19542" s="15"/>
    </row>
    <row r="19543" spans="1:9" ht="16.5">
      <c r="A19543" s="10" t="b">
        <v>0</v>
      </c>
      <c r="B19543" s="11" t="str">
        <f>IF(D19543&lt;&gt;"",IF(COUNTIF('USPTO TMs'!A:A,D19543)&gt;0,"Yes","No"),"")</f>
        <v/>
      </c>
      <c r="C19543" s="11"/>
      <c r="D19543" s="11"/>
      <c r="E19543" s="11"/>
      <c r="F19543" s="11"/>
      <c r="G19543" s="11"/>
      <c r="H19543" s="11"/>
      <c r="I19543" s="15"/>
    </row>
    <row r="19544" spans="1:9" ht="16.5">
      <c r="A19544" s="10" t="b">
        <v>0</v>
      </c>
      <c r="B19544" s="11" t="str">
        <f>IF(D19544&lt;&gt;"",IF(COUNTIF('USPTO TMs'!A:A,D19544)&gt;0,"Yes","No"),"")</f>
        <v/>
      </c>
      <c r="C19544" s="11"/>
      <c r="D19544" s="11"/>
      <c r="E19544" s="11"/>
      <c r="F19544" s="11"/>
      <c r="G19544" s="11"/>
      <c r="H19544" s="11"/>
      <c r="I19544" s="15"/>
    </row>
    <row r="19545" spans="1:9" ht="16.5">
      <c r="A19545" s="10" t="b">
        <v>0</v>
      </c>
      <c r="B19545" s="11" t="str">
        <f>IF(D19545&lt;&gt;"",IF(COUNTIF('USPTO TMs'!A:A,D19545)&gt;0,"Yes","No"),"")</f>
        <v/>
      </c>
      <c r="C19545" s="11"/>
      <c r="D19545" s="11"/>
      <c r="E19545" s="11"/>
      <c r="F19545" s="11"/>
      <c r="G19545" s="11"/>
      <c r="H19545" s="11"/>
      <c r="I19545" s="15"/>
    </row>
    <row r="19546" spans="1:9" ht="16.5">
      <c r="A19546" s="10" t="b">
        <v>0</v>
      </c>
      <c r="B19546" s="11" t="str">
        <f>IF(D19546&lt;&gt;"",IF(COUNTIF('USPTO TMs'!A:A,D19546)&gt;0,"Yes","No"),"")</f>
        <v/>
      </c>
      <c r="C19546" s="11"/>
      <c r="D19546" s="11"/>
      <c r="E19546" s="11"/>
      <c r="F19546" s="11"/>
      <c r="G19546" s="11"/>
      <c r="H19546" s="11"/>
      <c r="I19546" s="15"/>
    </row>
    <row r="19547" spans="1:9" ht="16.5">
      <c r="A19547" s="10" t="b">
        <v>0</v>
      </c>
      <c r="B19547" s="11" t="str">
        <f>IF(D19547&lt;&gt;"",IF(COUNTIF('USPTO TMs'!A:A,D19547)&gt;0,"Yes","No"),"")</f>
        <v/>
      </c>
      <c r="C19547" s="11"/>
      <c r="D19547" s="11"/>
      <c r="E19547" s="11"/>
      <c r="F19547" s="11"/>
      <c r="G19547" s="11"/>
      <c r="H19547" s="11"/>
      <c r="I19547" s="15"/>
    </row>
    <row r="19548" spans="1:9" ht="16.5">
      <c r="A19548" s="10" t="b">
        <v>0</v>
      </c>
      <c r="B19548" s="11" t="str">
        <f>IF(D19548&lt;&gt;"",IF(COUNTIF('USPTO TMs'!A:A,D19548)&gt;0,"Yes","No"),"")</f>
        <v/>
      </c>
      <c r="C19548" s="11"/>
      <c r="D19548" s="11"/>
      <c r="E19548" s="11"/>
      <c r="F19548" s="11"/>
      <c r="G19548" s="11"/>
      <c r="H19548" s="11"/>
      <c r="I19548" s="15"/>
    </row>
    <row r="19549" spans="1:9" ht="16.5">
      <c r="A19549" s="10" t="b">
        <v>0</v>
      </c>
      <c r="B19549" s="11" t="str">
        <f>IF(D19549&lt;&gt;"",IF(COUNTIF('USPTO TMs'!A:A,D19549)&gt;0,"Yes","No"),"")</f>
        <v/>
      </c>
      <c r="C19549" s="11"/>
      <c r="D19549" s="11"/>
      <c r="E19549" s="11"/>
      <c r="F19549" s="11"/>
      <c r="G19549" s="11"/>
      <c r="H19549" s="11"/>
      <c r="I19549" s="15"/>
    </row>
    <row r="19550" spans="1:9" ht="16.5">
      <c r="A19550" s="10" t="b">
        <v>0</v>
      </c>
      <c r="B19550" s="11" t="str">
        <f>IF(D19550&lt;&gt;"",IF(COUNTIF('USPTO TMs'!A:A,D19550)&gt;0,"Yes","No"),"")</f>
        <v/>
      </c>
      <c r="C19550" s="11"/>
      <c r="D19550" s="11"/>
      <c r="E19550" s="11"/>
      <c r="F19550" s="11"/>
      <c r="G19550" s="11"/>
      <c r="H19550" s="11"/>
      <c r="I19550" s="15"/>
    </row>
    <row r="19551" spans="1:9" ht="16.5">
      <c r="A19551" s="10" t="b">
        <v>0</v>
      </c>
      <c r="B19551" s="11" t="str">
        <f>IF(D19551&lt;&gt;"",IF(COUNTIF('USPTO TMs'!A:A,D19551)&gt;0,"Yes","No"),"")</f>
        <v/>
      </c>
      <c r="C19551" s="11"/>
      <c r="D19551" s="11"/>
      <c r="E19551" s="11"/>
      <c r="F19551" s="11"/>
      <c r="G19551" s="11"/>
      <c r="H19551" s="11"/>
      <c r="I19551" s="15"/>
    </row>
    <row r="19552" spans="1:9" ht="16.5">
      <c r="A19552" s="10" t="b">
        <v>0</v>
      </c>
      <c r="B19552" s="11" t="str">
        <f>IF(D19552&lt;&gt;"",IF(COUNTIF('USPTO TMs'!A:A,D19552)&gt;0,"Yes","No"),"")</f>
        <v/>
      </c>
      <c r="C19552" s="11"/>
      <c r="D19552" s="11"/>
      <c r="E19552" s="11"/>
      <c r="F19552" s="11"/>
      <c r="G19552" s="11"/>
      <c r="H19552" s="11"/>
      <c r="I19552" s="15"/>
    </row>
    <row r="19553" spans="1:9" ht="16.5">
      <c r="A19553" s="10" t="b">
        <v>0</v>
      </c>
      <c r="B19553" s="11" t="str">
        <f>IF(D19553&lt;&gt;"",IF(COUNTIF('USPTO TMs'!A:A,D19553)&gt;0,"Yes","No"),"")</f>
        <v/>
      </c>
      <c r="C19553" s="11"/>
      <c r="D19553" s="11"/>
      <c r="E19553" s="11"/>
      <c r="F19553" s="11"/>
      <c r="G19553" s="11"/>
      <c r="H19553" s="11"/>
      <c r="I19553" s="15"/>
    </row>
    <row r="19554" spans="1:9" ht="16.5">
      <c r="A19554" s="10" t="b">
        <v>0</v>
      </c>
      <c r="B19554" s="11" t="str">
        <f>IF(D19554&lt;&gt;"",IF(COUNTIF('USPTO TMs'!A:A,D19554)&gt;0,"Yes","No"),"")</f>
        <v/>
      </c>
      <c r="C19554" s="11"/>
      <c r="D19554" s="11"/>
      <c r="E19554" s="11"/>
      <c r="F19554" s="11"/>
      <c r="G19554" s="11"/>
      <c r="H19554" s="11"/>
      <c r="I19554" s="15"/>
    </row>
    <row r="19555" spans="1:9" ht="16.5">
      <c r="A19555" s="10" t="b">
        <v>0</v>
      </c>
      <c r="B19555" s="11" t="str">
        <f>IF(D19555&lt;&gt;"",IF(COUNTIF('USPTO TMs'!A:A,D19555)&gt;0,"Yes","No"),"")</f>
        <v/>
      </c>
      <c r="C19555" s="11"/>
      <c r="D19555" s="11"/>
      <c r="E19555" s="11"/>
      <c r="F19555" s="11"/>
      <c r="G19555" s="11"/>
      <c r="H19555" s="11"/>
      <c r="I19555" s="15"/>
    </row>
    <row r="19556" spans="1:9" ht="16.5">
      <c r="A19556" s="10" t="b">
        <v>0</v>
      </c>
      <c r="B19556" s="11" t="str">
        <f>IF(D19556&lt;&gt;"",IF(COUNTIF('USPTO TMs'!A:A,D19556)&gt;0,"Yes","No"),"")</f>
        <v/>
      </c>
      <c r="C19556" s="11"/>
      <c r="D19556" s="11"/>
      <c r="E19556" s="11"/>
      <c r="F19556" s="11"/>
      <c r="G19556" s="11"/>
      <c r="H19556" s="11"/>
      <c r="I19556" s="15"/>
    </row>
    <row r="19557" spans="1:9" ht="16.5">
      <c r="A19557" s="10" t="b">
        <v>0</v>
      </c>
      <c r="B19557" s="11" t="str">
        <f>IF(D19557&lt;&gt;"",IF(COUNTIF('USPTO TMs'!A:A,D19557)&gt;0,"Yes","No"),"")</f>
        <v/>
      </c>
      <c r="C19557" s="11"/>
      <c r="D19557" s="11"/>
      <c r="E19557" s="11"/>
      <c r="F19557" s="11"/>
      <c r="G19557" s="11"/>
      <c r="H19557" s="11"/>
      <c r="I19557" s="15"/>
    </row>
    <row r="19558" spans="1:9" ht="16.5">
      <c r="A19558" s="10" t="b">
        <v>0</v>
      </c>
      <c r="B19558" s="11" t="str">
        <f>IF(D19558&lt;&gt;"",IF(COUNTIF('USPTO TMs'!A:A,D19558)&gt;0,"Yes","No"),"")</f>
        <v/>
      </c>
      <c r="C19558" s="11"/>
      <c r="D19558" s="11"/>
      <c r="E19558" s="11"/>
      <c r="F19558" s="11"/>
      <c r="G19558" s="11"/>
      <c r="H19558" s="11"/>
      <c r="I19558" s="15"/>
    </row>
    <row r="19559" spans="1:9" ht="16.5">
      <c r="A19559" s="10" t="b">
        <v>0</v>
      </c>
      <c r="B19559" s="11" t="str">
        <f>IF(D19559&lt;&gt;"",IF(COUNTIF('USPTO TMs'!A:A,D19559)&gt;0,"Yes","No"),"")</f>
        <v/>
      </c>
      <c r="C19559" s="11"/>
      <c r="D19559" s="11"/>
      <c r="E19559" s="11"/>
      <c r="F19559" s="11"/>
      <c r="G19559" s="11"/>
      <c r="H19559" s="11"/>
      <c r="I19559" s="15"/>
    </row>
    <row r="19560" spans="1:9" ht="16.5">
      <c r="A19560" s="10" t="b">
        <v>0</v>
      </c>
      <c r="B19560" s="11" t="str">
        <f>IF(D19560&lt;&gt;"",IF(COUNTIF('USPTO TMs'!A:A,D19560)&gt;0,"Yes","No"),"")</f>
        <v/>
      </c>
      <c r="C19560" s="11"/>
      <c r="D19560" s="11"/>
      <c r="E19560" s="11"/>
      <c r="F19560" s="11"/>
      <c r="G19560" s="11"/>
      <c r="H19560" s="11"/>
      <c r="I19560" s="15"/>
    </row>
    <row r="19561" spans="1:9" ht="16.5">
      <c r="A19561" s="10" t="b">
        <v>0</v>
      </c>
      <c r="B19561" s="11" t="str">
        <f>IF(D19561&lt;&gt;"",IF(COUNTIF('USPTO TMs'!A:A,D19561)&gt;0,"Yes","No"),"")</f>
        <v/>
      </c>
      <c r="C19561" s="11"/>
      <c r="D19561" s="11"/>
      <c r="E19561" s="11"/>
      <c r="F19561" s="11"/>
      <c r="G19561" s="11"/>
      <c r="H19561" s="11"/>
      <c r="I19561" s="15"/>
    </row>
    <row r="19562" spans="1:9" ht="16.5">
      <c r="A19562" s="10" t="b">
        <v>0</v>
      </c>
      <c r="B19562" s="11" t="str">
        <f>IF(D19562&lt;&gt;"",IF(COUNTIF('USPTO TMs'!A:A,D19562)&gt;0,"Yes","No"),"")</f>
        <v/>
      </c>
      <c r="C19562" s="11"/>
      <c r="D19562" s="11"/>
      <c r="E19562" s="11"/>
      <c r="F19562" s="11"/>
      <c r="G19562" s="11"/>
      <c r="H19562" s="11"/>
      <c r="I19562" s="15"/>
    </row>
    <row r="19563" spans="1:9" ht="16.5">
      <c r="A19563" s="10" t="b">
        <v>0</v>
      </c>
      <c r="B19563" s="11" t="str">
        <f>IF(D19563&lt;&gt;"",IF(COUNTIF('USPTO TMs'!A:A,D19563)&gt;0,"Yes","No"),"")</f>
        <v/>
      </c>
      <c r="C19563" s="11"/>
      <c r="D19563" s="11"/>
      <c r="E19563" s="11"/>
      <c r="F19563" s="11"/>
      <c r="G19563" s="11"/>
      <c r="H19563" s="11"/>
      <c r="I19563" s="15"/>
    </row>
    <row r="19564" spans="1:9" ht="16.5">
      <c r="A19564" s="10" t="b">
        <v>0</v>
      </c>
      <c r="B19564" s="11" t="str">
        <f>IF(D19564&lt;&gt;"",IF(COUNTIF('USPTO TMs'!A:A,D19564)&gt;0,"Yes","No"),"")</f>
        <v/>
      </c>
      <c r="C19564" s="11"/>
      <c r="D19564" s="11"/>
      <c r="E19564" s="11"/>
      <c r="F19564" s="11"/>
      <c r="G19564" s="11"/>
      <c r="H19564" s="11"/>
      <c r="I19564" s="15"/>
    </row>
    <row r="19565" spans="1:9" ht="16.5">
      <c r="A19565" s="10" t="b">
        <v>0</v>
      </c>
      <c r="B19565" s="11" t="str">
        <f>IF(D19565&lt;&gt;"",IF(COUNTIF('USPTO TMs'!A:A,D19565)&gt;0,"Yes","No"),"")</f>
        <v/>
      </c>
      <c r="C19565" s="11"/>
      <c r="D19565" s="11"/>
      <c r="E19565" s="11"/>
      <c r="F19565" s="11"/>
      <c r="G19565" s="11"/>
      <c r="H19565" s="11"/>
      <c r="I19565" s="15"/>
    </row>
    <row r="19566" spans="1:9" ht="16.5">
      <c r="A19566" s="10" t="b">
        <v>0</v>
      </c>
      <c r="B19566" s="11" t="str">
        <f>IF(D19566&lt;&gt;"",IF(COUNTIF('USPTO TMs'!A:A,D19566)&gt;0,"Yes","No"),"")</f>
        <v/>
      </c>
      <c r="C19566" s="11"/>
      <c r="D19566" s="11"/>
      <c r="E19566" s="11"/>
      <c r="F19566" s="11"/>
      <c r="G19566" s="11"/>
      <c r="H19566" s="11"/>
      <c r="I19566" s="15"/>
    </row>
    <row r="19567" spans="1:9" ht="16.5">
      <c r="A19567" s="10" t="b">
        <v>0</v>
      </c>
      <c r="B19567" s="11" t="str">
        <f>IF(D19567&lt;&gt;"",IF(COUNTIF('USPTO TMs'!A:A,D19567)&gt;0,"Yes","No"),"")</f>
        <v/>
      </c>
      <c r="C19567" s="11"/>
      <c r="D19567" s="11"/>
      <c r="E19567" s="11"/>
      <c r="F19567" s="11"/>
      <c r="G19567" s="11"/>
      <c r="H19567" s="11"/>
      <c r="I19567" s="15"/>
    </row>
    <row r="19568" spans="1:9" ht="16.5">
      <c r="A19568" s="10" t="b">
        <v>0</v>
      </c>
      <c r="B19568" s="11" t="str">
        <f>IF(D19568&lt;&gt;"",IF(COUNTIF('USPTO TMs'!A:A,D19568)&gt;0,"Yes","No"),"")</f>
        <v/>
      </c>
      <c r="C19568" s="11"/>
      <c r="D19568" s="11"/>
      <c r="E19568" s="11"/>
      <c r="F19568" s="11"/>
      <c r="G19568" s="11"/>
      <c r="H19568" s="11"/>
      <c r="I19568" s="15"/>
    </row>
    <row r="19569" spans="1:9" ht="16.5">
      <c r="A19569" s="10" t="b">
        <v>0</v>
      </c>
      <c r="B19569" s="11" t="str">
        <f>IF(D19569&lt;&gt;"",IF(COUNTIF('USPTO TMs'!A:A,D19569)&gt;0,"Yes","No"),"")</f>
        <v/>
      </c>
      <c r="C19569" s="11"/>
      <c r="D19569" s="11"/>
      <c r="E19569" s="11"/>
      <c r="F19569" s="11"/>
      <c r="G19569" s="11"/>
      <c r="H19569" s="11"/>
      <c r="I19569" s="15"/>
    </row>
    <row r="19570" spans="1:9" ht="16.5">
      <c r="A19570" s="10" t="b">
        <v>0</v>
      </c>
      <c r="B19570" s="11" t="str">
        <f>IF(D19570&lt;&gt;"",IF(COUNTIF('USPTO TMs'!A:A,D19570)&gt;0,"Yes","No"),"")</f>
        <v/>
      </c>
      <c r="C19570" s="11"/>
      <c r="D19570" s="11"/>
      <c r="E19570" s="11"/>
      <c r="F19570" s="11"/>
      <c r="G19570" s="11"/>
      <c r="H19570" s="11"/>
      <c r="I19570" s="15"/>
    </row>
    <row r="19571" spans="1:9" ht="16.5">
      <c r="A19571" s="10" t="b">
        <v>0</v>
      </c>
      <c r="B19571" s="11" t="str">
        <f>IF(D19571&lt;&gt;"",IF(COUNTIF('USPTO TMs'!A:A,D19571)&gt;0,"Yes","No"),"")</f>
        <v/>
      </c>
      <c r="C19571" s="11"/>
      <c r="D19571" s="11"/>
      <c r="E19571" s="11"/>
      <c r="F19571" s="11"/>
      <c r="G19571" s="11"/>
      <c r="H19571" s="11"/>
      <c r="I19571" s="15"/>
    </row>
    <row r="19572" spans="1:9" ht="16.5">
      <c r="A19572" s="10" t="b">
        <v>0</v>
      </c>
      <c r="B19572" s="11" t="str">
        <f>IF(D19572&lt;&gt;"",IF(COUNTIF('USPTO TMs'!A:A,D19572)&gt;0,"Yes","No"),"")</f>
        <v/>
      </c>
      <c r="C19572" s="11"/>
      <c r="D19572" s="11"/>
      <c r="E19572" s="11"/>
      <c r="F19572" s="11"/>
      <c r="G19572" s="11"/>
      <c r="H19572" s="11"/>
      <c r="I19572" s="15"/>
    </row>
    <row r="19573" spans="1:9" ht="16.5">
      <c r="A19573" s="10" t="b">
        <v>0</v>
      </c>
      <c r="B19573" s="11" t="str">
        <f>IF(D19573&lt;&gt;"",IF(COUNTIF('USPTO TMs'!A:A,D19573)&gt;0,"Yes","No"),"")</f>
        <v/>
      </c>
      <c r="C19573" s="11"/>
      <c r="D19573" s="11"/>
      <c r="E19573" s="11"/>
      <c r="F19573" s="11"/>
      <c r="G19573" s="11"/>
      <c r="H19573" s="11"/>
      <c r="I19573" s="15"/>
    </row>
    <row r="19574" spans="1:9" ht="16.5">
      <c r="A19574" s="10" t="b">
        <v>0</v>
      </c>
      <c r="B19574" s="11" t="str">
        <f>IF(D19574&lt;&gt;"",IF(COUNTIF('USPTO TMs'!A:A,D19574)&gt;0,"Yes","No"),"")</f>
        <v/>
      </c>
      <c r="C19574" s="11"/>
      <c r="D19574" s="11"/>
      <c r="E19574" s="11"/>
      <c r="F19574" s="11"/>
      <c r="G19574" s="11"/>
      <c r="H19574" s="11"/>
      <c r="I19574" s="15"/>
    </row>
    <row r="19575" spans="1:9" ht="16.5">
      <c r="A19575" s="10" t="b">
        <v>0</v>
      </c>
      <c r="B19575" s="11" t="str">
        <f>IF(D19575&lt;&gt;"",IF(COUNTIF('USPTO TMs'!A:A,D19575)&gt;0,"Yes","No"),"")</f>
        <v/>
      </c>
      <c r="C19575" s="11"/>
      <c r="D19575" s="11"/>
      <c r="E19575" s="11"/>
      <c r="F19575" s="11"/>
      <c r="G19575" s="11"/>
      <c r="H19575" s="11"/>
      <c r="I19575" s="15"/>
    </row>
    <row r="19576" spans="1:9" ht="16.5">
      <c r="A19576" s="10" t="b">
        <v>0</v>
      </c>
      <c r="B19576" s="11" t="str">
        <f>IF(D19576&lt;&gt;"",IF(COUNTIF('USPTO TMs'!A:A,D19576)&gt;0,"Yes","No"),"")</f>
        <v/>
      </c>
      <c r="C19576" s="11"/>
      <c r="D19576" s="11"/>
      <c r="E19576" s="11"/>
      <c r="F19576" s="11"/>
      <c r="G19576" s="11"/>
      <c r="H19576" s="11"/>
      <c r="I19576" s="15"/>
    </row>
    <row r="19577" spans="1:9" ht="16.5">
      <c r="A19577" s="10" t="b">
        <v>0</v>
      </c>
      <c r="B19577" s="11" t="str">
        <f>IF(D19577&lt;&gt;"",IF(COUNTIF('USPTO TMs'!A:A,D19577)&gt;0,"Yes","No"),"")</f>
        <v/>
      </c>
      <c r="C19577" s="11"/>
      <c r="D19577" s="11"/>
      <c r="E19577" s="11"/>
      <c r="F19577" s="11"/>
      <c r="G19577" s="11"/>
      <c r="H19577" s="11"/>
      <c r="I19577" s="15"/>
    </row>
    <row r="19578" spans="1:9" ht="16.5">
      <c r="A19578" s="10" t="b">
        <v>0</v>
      </c>
      <c r="B19578" s="11" t="str">
        <f>IF(D19578&lt;&gt;"",IF(COUNTIF('USPTO TMs'!A:A,D19578)&gt;0,"Yes","No"),"")</f>
        <v/>
      </c>
      <c r="C19578" s="11"/>
      <c r="D19578" s="11"/>
      <c r="E19578" s="11"/>
      <c r="F19578" s="11"/>
      <c r="G19578" s="11"/>
      <c r="H19578" s="11"/>
      <c r="I19578" s="15"/>
    </row>
    <row r="19579" spans="1:9" ht="16.5">
      <c r="A19579" s="10" t="b">
        <v>0</v>
      </c>
      <c r="B19579" s="11" t="str">
        <f>IF(D19579&lt;&gt;"",IF(COUNTIF('USPTO TMs'!A:A,D19579)&gt;0,"Yes","No"),"")</f>
        <v/>
      </c>
      <c r="C19579" s="11"/>
      <c r="D19579" s="11"/>
      <c r="E19579" s="11"/>
      <c r="F19579" s="11"/>
      <c r="G19579" s="11"/>
      <c r="H19579" s="11"/>
      <c r="I19579" s="15"/>
    </row>
    <row r="19580" spans="1:9" ht="16.5">
      <c r="A19580" s="10" t="b">
        <v>0</v>
      </c>
      <c r="B19580" s="11" t="str">
        <f>IF(D19580&lt;&gt;"",IF(COUNTIF('USPTO TMs'!A:A,D19580)&gt;0,"Yes","No"),"")</f>
        <v/>
      </c>
      <c r="C19580" s="11"/>
      <c r="D19580" s="11"/>
      <c r="E19580" s="11"/>
      <c r="F19580" s="11"/>
      <c r="G19580" s="11"/>
      <c r="H19580" s="11"/>
      <c r="I19580" s="15"/>
    </row>
    <row r="19581" spans="1:9" ht="16.5">
      <c r="A19581" s="10" t="b">
        <v>0</v>
      </c>
      <c r="B19581" s="11" t="str">
        <f>IF(D19581&lt;&gt;"",IF(COUNTIF('USPTO TMs'!A:A,D19581)&gt;0,"Yes","No"),"")</f>
        <v/>
      </c>
      <c r="C19581" s="11"/>
      <c r="D19581" s="11"/>
      <c r="E19581" s="11"/>
      <c r="F19581" s="11"/>
      <c r="G19581" s="11"/>
      <c r="H19581" s="11"/>
      <c r="I19581" s="15"/>
    </row>
    <row r="19582" spans="1:9" ht="16.5">
      <c r="A19582" s="10" t="b">
        <v>0</v>
      </c>
      <c r="B19582" s="11" t="str">
        <f>IF(D19582&lt;&gt;"",IF(COUNTIF('USPTO TMs'!A:A,D19582)&gt;0,"Yes","No"),"")</f>
        <v/>
      </c>
      <c r="C19582" s="11"/>
      <c r="D19582" s="11"/>
      <c r="E19582" s="11"/>
      <c r="F19582" s="11"/>
      <c r="G19582" s="11"/>
      <c r="H19582" s="11"/>
      <c r="I19582" s="15"/>
    </row>
    <row r="19583" spans="1:9" ht="16.5">
      <c r="A19583" s="10" t="b">
        <v>0</v>
      </c>
      <c r="B19583" s="11" t="str">
        <f>IF(D19583&lt;&gt;"",IF(COUNTIF('USPTO TMs'!A:A,D19583)&gt;0,"Yes","No"),"")</f>
        <v/>
      </c>
      <c r="C19583" s="11"/>
      <c r="D19583" s="11"/>
      <c r="E19583" s="11"/>
      <c r="F19583" s="11"/>
      <c r="G19583" s="11"/>
      <c r="H19583" s="11"/>
      <c r="I19583" s="15"/>
    </row>
    <row r="19584" spans="1:9" ht="16.5">
      <c r="A19584" s="10" t="b">
        <v>0</v>
      </c>
      <c r="B19584" s="11" t="str">
        <f>IF(D19584&lt;&gt;"",IF(COUNTIF('USPTO TMs'!A:A,D19584)&gt;0,"Yes","No"),"")</f>
        <v/>
      </c>
      <c r="C19584" s="11"/>
      <c r="D19584" s="11"/>
      <c r="E19584" s="11"/>
      <c r="F19584" s="11"/>
      <c r="G19584" s="11"/>
      <c r="H19584" s="11"/>
      <c r="I19584" s="15"/>
    </row>
    <row r="19585" spans="1:9" ht="16.5">
      <c r="A19585" s="10" t="b">
        <v>0</v>
      </c>
      <c r="B19585" s="11" t="str">
        <f>IF(D19585&lt;&gt;"",IF(COUNTIF('USPTO TMs'!A:A,D19585)&gt;0,"Yes","No"),"")</f>
        <v/>
      </c>
      <c r="C19585" s="11"/>
      <c r="D19585" s="11"/>
      <c r="E19585" s="11"/>
      <c r="F19585" s="11"/>
      <c r="G19585" s="11"/>
      <c r="H19585" s="11"/>
      <c r="I19585" s="15"/>
    </row>
    <row r="19586" spans="1:9" ht="16.5">
      <c r="A19586" s="10" t="b">
        <v>0</v>
      </c>
      <c r="B19586" s="11" t="str">
        <f>IF(D19586&lt;&gt;"",IF(COUNTIF('USPTO TMs'!A:A,D19586)&gt;0,"Yes","No"),"")</f>
        <v/>
      </c>
      <c r="C19586" s="11"/>
      <c r="D19586" s="11"/>
      <c r="E19586" s="11"/>
      <c r="F19586" s="11"/>
      <c r="G19586" s="11"/>
      <c r="H19586" s="11"/>
      <c r="I19586" s="15"/>
    </row>
    <row r="19587" spans="1:9" ht="16.5">
      <c r="A19587" s="10" t="b">
        <v>0</v>
      </c>
      <c r="B19587" s="11" t="str">
        <f>IF(D19587&lt;&gt;"",IF(COUNTIF('USPTO TMs'!A:A,D19587)&gt;0,"Yes","No"),"")</f>
        <v/>
      </c>
      <c r="C19587" s="11"/>
      <c r="D19587" s="11"/>
      <c r="E19587" s="11"/>
      <c r="F19587" s="11"/>
      <c r="G19587" s="11"/>
      <c r="H19587" s="11"/>
      <c r="I19587" s="15"/>
    </row>
    <row r="19588" spans="1:9" ht="16.5">
      <c r="A19588" s="10" t="b">
        <v>0</v>
      </c>
      <c r="B19588" s="11" t="str">
        <f>IF(D19588&lt;&gt;"",IF(COUNTIF('USPTO TMs'!A:A,D19588)&gt;0,"Yes","No"),"")</f>
        <v/>
      </c>
      <c r="C19588" s="11"/>
      <c r="D19588" s="11"/>
      <c r="E19588" s="11"/>
      <c r="F19588" s="11"/>
      <c r="G19588" s="11"/>
      <c r="H19588" s="11"/>
      <c r="I19588" s="15"/>
    </row>
    <row r="19589" spans="1:9" ht="16.5">
      <c r="A19589" s="10" t="b">
        <v>0</v>
      </c>
      <c r="B19589" s="11" t="str">
        <f>IF(D19589&lt;&gt;"",IF(COUNTIF('USPTO TMs'!A:A,D19589)&gt;0,"Yes","No"),"")</f>
        <v/>
      </c>
      <c r="C19589" s="11"/>
      <c r="D19589" s="11"/>
      <c r="E19589" s="11"/>
      <c r="F19589" s="11"/>
      <c r="G19589" s="11"/>
      <c r="H19589" s="11"/>
      <c r="I19589" s="15"/>
    </row>
    <row r="19590" spans="1:9" ht="16.5">
      <c r="A19590" s="10" t="b">
        <v>0</v>
      </c>
      <c r="B19590" s="11" t="str">
        <f>IF(D19590&lt;&gt;"",IF(COUNTIF('USPTO TMs'!A:A,D19590)&gt;0,"Yes","No"),"")</f>
        <v/>
      </c>
      <c r="C19590" s="11"/>
      <c r="D19590" s="11"/>
      <c r="E19590" s="11"/>
      <c r="F19590" s="11"/>
      <c r="G19590" s="11"/>
      <c r="H19590" s="11"/>
      <c r="I19590" s="15"/>
    </row>
    <row r="19591" spans="1:9" ht="16.5">
      <c r="A19591" s="10" t="b">
        <v>0</v>
      </c>
      <c r="B19591" s="11" t="str">
        <f>IF(D19591&lt;&gt;"",IF(COUNTIF('USPTO TMs'!A:A,D19591)&gt;0,"Yes","No"),"")</f>
        <v/>
      </c>
      <c r="C19591" s="11"/>
      <c r="D19591" s="11"/>
      <c r="E19591" s="11"/>
      <c r="F19591" s="11"/>
      <c r="G19591" s="11"/>
      <c r="H19591" s="11"/>
      <c r="I19591" s="15"/>
    </row>
    <row r="19592" spans="1:9" ht="16.5">
      <c r="A19592" s="10" t="b">
        <v>0</v>
      </c>
      <c r="B19592" s="11" t="str">
        <f>IF(D19592&lt;&gt;"",IF(COUNTIF('USPTO TMs'!A:A,D19592)&gt;0,"Yes","No"),"")</f>
        <v/>
      </c>
      <c r="C19592" s="11"/>
      <c r="D19592" s="11"/>
      <c r="E19592" s="11"/>
      <c r="F19592" s="11"/>
      <c r="G19592" s="11"/>
      <c r="H19592" s="11"/>
      <c r="I19592" s="15"/>
    </row>
    <row r="19593" spans="1:9" ht="16.5">
      <c r="A19593" s="10" t="b">
        <v>0</v>
      </c>
      <c r="B19593" s="11" t="str">
        <f>IF(D19593&lt;&gt;"",IF(COUNTIF('USPTO TMs'!A:A,D19593)&gt;0,"Yes","No"),"")</f>
        <v/>
      </c>
      <c r="C19593" s="11"/>
      <c r="D19593" s="11"/>
      <c r="E19593" s="11"/>
      <c r="F19593" s="11"/>
      <c r="G19593" s="11"/>
      <c r="H19593" s="11"/>
      <c r="I19593" s="15"/>
    </row>
    <row r="19594" spans="1:9" ht="16.5">
      <c r="A19594" s="10" t="b">
        <v>0</v>
      </c>
      <c r="B19594" s="11" t="str">
        <f>IF(D19594&lt;&gt;"",IF(COUNTIF('USPTO TMs'!A:A,D19594)&gt;0,"Yes","No"),"")</f>
        <v/>
      </c>
      <c r="C19594" s="11"/>
      <c r="D19594" s="11"/>
      <c r="E19594" s="11"/>
      <c r="F19594" s="11"/>
      <c r="G19594" s="11"/>
      <c r="H19594" s="11"/>
      <c r="I19594" s="15"/>
    </row>
    <row r="19595" spans="1:9" ht="16.5">
      <c r="A19595" s="10" t="b">
        <v>0</v>
      </c>
      <c r="B19595" s="11" t="str">
        <f>IF(D19595&lt;&gt;"",IF(COUNTIF('USPTO TMs'!A:A,D19595)&gt;0,"Yes","No"),"")</f>
        <v/>
      </c>
      <c r="C19595" s="11"/>
      <c r="D19595" s="11"/>
      <c r="E19595" s="11"/>
      <c r="F19595" s="11"/>
      <c r="G19595" s="11"/>
      <c r="H19595" s="11"/>
      <c r="I19595" s="15"/>
    </row>
    <row r="19596" spans="1:9" ht="16.5">
      <c r="A19596" s="10" t="b">
        <v>0</v>
      </c>
      <c r="B19596" s="11" t="str">
        <f>IF(D19596&lt;&gt;"",IF(COUNTIF('USPTO TMs'!A:A,D19596)&gt;0,"Yes","No"),"")</f>
        <v/>
      </c>
      <c r="C19596" s="11"/>
      <c r="D19596" s="11"/>
      <c r="E19596" s="11"/>
      <c r="F19596" s="11"/>
      <c r="G19596" s="11"/>
      <c r="H19596" s="11"/>
      <c r="I19596" s="15"/>
    </row>
    <row r="19597" spans="1:9" ht="16.5">
      <c r="A19597" s="10" t="b">
        <v>0</v>
      </c>
      <c r="B19597" s="11" t="str">
        <f>IF(D19597&lt;&gt;"",IF(COUNTIF('USPTO TMs'!A:A,D19597)&gt;0,"Yes","No"),"")</f>
        <v/>
      </c>
      <c r="C19597" s="11"/>
      <c r="D19597" s="11"/>
      <c r="E19597" s="11"/>
      <c r="F19597" s="11"/>
      <c r="G19597" s="11"/>
      <c r="H19597" s="11"/>
      <c r="I19597" s="15"/>
    </row>
    <row r="19598" spans="1:9" ht="16.5">
      <c r="A19598" s="10" t="b">
        <v>0</v>
      </c>
      <c r="B19598" s="11" t="str">
        <f>IF(D19598&lt;&gt;"",IF(COUNTIF('USPTO TMs'!A:A,D19598)&gt;0,"Yes","No"),"")</f>
        <v/>
      </c>
      <c r="C19598" s="11"/>
      <c r="D19598" s="11"/>
      <c r="E19598" s="11"/>
      <c r="F19598" s="11"/>
      <c r="G19598" s="11"/>
      <c r="H19598" s="11"/>
      <c r="I19598" s="15"/>
    </row>
    <row r="19599" spans="1:9" ht="16.5">
      <c r="A19599" s="10" t="b">
        <v>0</v>
      </c>
      <c r="B19599" s="11" t="str">
        <f>IF(D19599&lt;&gt;"",IF(COUNTIF('USPTO TMs'!A:A,D19599)&gt;0,"Yes","No"),"")</f>
        <v/>
      </c>
      <c r="C19599" s="11"/>
      <c r="D19599" s="11"/>
      <c r="E19599" s="11"/>
      <c r="F19599" s="11"/>
      <c r="G19599" s="11"/>
      <c r="H19599" s="11"/>
      <c r="I19599" s="15"/>
    </row>
    <row r="19600" spans="1:9" ht="16.5">
      <c r="A19600" s="10" t="b">
        <v>0</v>
      </c>
      <c r="B19600" s="11" t="str">
        <f>IF(D19600&lt;&gt;"",IF(COUNTIF('USPTO TMs'!A:A,D19600)&gt;0,"Yes","No"),"")</f>
        <v/>
      </c>
      <c r="C19600" s="11"/>
      <c r="D19600" s="11"/>
      <c r="E19600" s="11"/>
      <c r="F19600" s="11"/>
      <c r="G19600" s="11"/>
      <c r="H19600" s="11"/>
      <c r="I19600" s="15"/>
    </row>
    <row r="19601" spans="1:9" ht="16.5">
      <c r="A19601" s="10" t="b">
        <v>0</v>
      </c>
      <c r="B19601" s="11" t="str">
        <f>IF(D19601&lt;&gt;"",IF(COUNTIF('USPTO TMs'!A:A,D19601)&gt;0,"Yes","No"),"")</f>
        <v/>
      </c>
      <c r="C19601" s="11"/>
      <c r="D19601" s="11"/>
      <c r="E19601" s="11"/>
      <c r="F19601" s="11"/>
      <c r="G19601" s="11"/>
      <c r="H19601" s="11"/>
      <c r="I19601" s="15"/>
    </row>
    <row r="19602" spans="1:9" ht="16.5">
      <c r="A19602" s="10" t="b">
        <v>0</v>
      </c>
      <c r="B19602" s="11" t="str">
        <f>IF(D19602&lt;&gt;"",IF(COUNTIF('USPTO TMs'!A:A,D19602)&gt;0,"Yes","No"),"")</f>
        <v/>
      </c>
      <c r="C19602" s="11"/>
      <c r="D19602" s="11"/>
      <c r="E19602" s="11"/>
      <c r="F19602" s="11"/>
      <c r="G19602" s="11"/>
      <c r="H19602" s="11"/>
      <c r="I19602" s="15"/>
    </row>
    <row r="19603" spans="1:9" ht="16.5">
      <c r="A19603" s="10" t="b">
        <v>0</v>
      </c>
      <c r="B19603" s="11" t="str">
        <f>IF(D19603&lt;&gt;"",IF(COUNTIF('USPTO TMs'!A:A,D19603)&gt;0,"Yes","No"),"")</f>
        <v/>
      </c>
      <c r="C19603" s="11"/>
      <c r="D19603" s="11"/>
      <c r="E19603" s="11"/>
      <c r="F19603" s="11"/>
      <c r="G19603" s="11"/>
      <c r="H19603" s="11"/>
      <c r="I19603" s="15"/>
    </row>
    <row r="19604" spans="1:9" ht="16.5">
      <c r="A19604" s="10" t="b">
        <v>0</v>
      </c>
      <c r="B19604" s="11" t="str">
        <f>IF(D19604&lt;&gt;"",IF(COUNTIF('USPTO TMs'!A:A,D19604)&gt;0,"Yes","No"),"")</f>
        <v/>
      </c>
      <c r="C19604" s="11"/>
      <c r="D19604" s="11"/>
      <c r="E19604" s="11"/>
      <c r="F19604" s="11"/>
      <c r="G19604" s="11"/>
      <c r="H19604" s="11"/>
      <c r="I19604" s="15"/>
    </row>
    <row r="19605" spans="1:9" ht="16.5">
      <c r="A19605" s="10" t="b">
        <v>0</v>
      </c>
      <c r="B19605" s="11" t="str">
        <f>IF(D19605&lt;&gt;"",IF(COUNTIF('USPTO TMs'!A:A,D19605)&gt;0,"Yes","No"),"")</f>
        <v/>
      </c>
      <c r="C19605" s="11"/>
      <c r="D19605" s="11"/>
      <c r="E19605" s="11"/>
      <c r="F19605" s="11"/>
      <c r="G19605" s="11"/>
      <c r="H19605" s="11"/>
      <c r="I19605" s="15"/>
    </row>
    <row r="19606" spans="1:9" ht="16.5">
      <c r="A19606" s="10" t="b">
        <v>0</v>
      </c>
      <c r="B19606" s="11" t="str">
        <f>IF(D19606&lt;&gt;"",IF(COUNTIF('USPTO TMs'!A:A,D19606)&gt;0,"Yes","No"),"")</f>
        <v/>
      </c>
      <c r="C19606" s="11"/>
      <c r="D19606" s="11"/>
      <c r="E19606" s="11"/>
      <c r="F19606" s="11"/>
      <c r="G19606" s="11"/>
      <c r="H19606" s="11"/>
      <c r="I19606" s="15"/>
    </row>
    <row r="19607" spans="1:9" ht="16.5">
      <c r="A19607" s="10" t="b">
        <v>0</v>
      </c>
      <c r="B19607" s="11" t="str">
        <f>IF(D19607&lt;&gt;"",IF(COUNTIF('USPTO TMs'!A:A,D19607)&gt;0,"Yes","No"),"")</f>
        <v/>
      </c>
      <c r="C19607" s="11"/>
      <c r="D19607" s="11"/>
      <c r="E19607" s="11"/>
      <c r="F19607" s="11"/>
      <c r="G19607" s="11"/>
      <c r="H19607" s="11"/>
      <c r="I19607" s="15"/>
    </row>
    <row r="19608" spans="1:9" ht="16.5">
      <c r="A19608" s="10" t="b">
        <v>0</v>
      </c>
      <c r="B19608" s="11" t="str">
        <f>IF(D19608&lt;&gt;"",IF(COUNTIF('USPTO TMs'!A:A,D19608)&gt;0,"Yes","No"),"")</f>
        <v/>
      </c>
      <c r="C19608" s="11"/>
      <c r="D19608" s="11"/>
      <c r="E19608" s="11"/>
      <c r="F19608" s="11"/>
      <c r="G19608" s="11"/>
      <c r="H19608" s="11"/>
      <c r="I19608" s="15"/>
    </row>
    <row r="19609" spans="1:9" ht="16.5">
      <c r="A19609" s="10" t="b">
        <v>0</v>
      </c>
      <c r="B19609" s="11" t="str">
        <f>IF(D19609&lt;&gt;"",IF(COUNTIF('USPTO TMs'!A:A,D19609)&gt;0,"Yes","No"),"")</f>
        <v/>
      </c>
      <c r="C19609" s="11"/>
      <c r="D19609" s="11"/>
      <c r="E19609" s="11"/>
      <c r="F19609" s="11"/>
      <c r="G19609" s="11"/>
      <c r="H19609" s="11"/>
      <c r="I19609" s="15"/>
    </row>
    <row r="19610" spans="1:9" ht="16.5">
      <c r="A19610" s="10" t="b">
        <v>0</v>
      </c>
      <c r="B19610" s="11" t="str">
        <f>IF(D19610&lt;&gt;"",IF(COUNTIF('USPTO TMs'!A:A,D19610)&gt;0,"Yes","No"),"")</f>
        <v/>
      </c>
      <c r="C19610" s="11"/>
      <c r="D19610" s="11"/>
      <c r="E19610" s="11"/>
      <c r="F19610" s="11"/>
      <c r="G19610" s="11"/>
      <c r="H19610" s="11"/>
      <c r="I19610" s="15"/>
    </row>
    <row r="19611" spans="1:9" ht="16.5">
      <c r="A19611" s="10" t="b">
        <v>0</v>
      </c>
      <c r="B19611" s="11" t="str">
        <f>IF(D19611&lt;&gt;"",IF(COUNTIF('USPTO TMs'!A:A,D19611)&gt;0,"Yes","No"),"")</f>
        <v/>
      </c>
      <c r="C19611" s="11"/>
      <c r="D19611" s="11"/>
      <c r="E19611" s="11"/>
      <c r="F19611" s="11"/>
      <c r="G19611" s="11"/>
      <c r="H19611" s="11"/>
      <c r="I19611" s="15"/>
    </row>
    <row r="19612" spans="1:9" ht="16.5">
      <c r="A19612" s="10" t="b">
        <v>0</v>
      </c>
      <c r="B19612" s="11" t="str">
        <f>IF(D19612&lt;&gt;"",IF(COUNTIF('USPTO TMs'!A:A,D19612)&gt;0,"Yes","No"),"")</f>
        <v/>
      </c>
      <c r="C19612" s="11"/>
      <c r="D19612" s="11"/>
      <c r="E19612" s="11"/>
      <c r="F19612" s="11"/>
      <c r="G19612" s="11"/>
      <c r="H19612" s="11"/>
      <c r="I19612" s="15"/>
    </row>
    <row r="19613" spans="1:9" ht="16.5">
      <c r="A19613" s="10" t="b">
        <v>0</v>
      </c>
      <c r="B19613" s="11" t="str">
        <f>IF(D19613&lt;&gt;"",IF(COUNTIF('USPTO TMs'!A:A,D19613)&gt;0,"Yes","No"),"")</f>
        <v/>
      </c>
      <c r="C19613" s="11"/>
      <c r="D19613" s="11"/>
      <c r="E19613" s="11"/>
      <c r="F19613" s="11"/>
      <c r="G19613" s="11"/>
      <c r="H19613" s="11"/>
      <c r="I19613" s="15"/>
    </row>
    <row r="19614" spans="1:9" ht="16.5">
      <c r="A19614" s="10" t="b">
        <v>0</v>
      </c>
      <c r="B19614" s="11" t="str">
        <f>IF(D19614&lt;&gt;"",IF(COUNTIF('USPTO TMs'!A:A,D19614)&gt;0,"Yes","No"),"")</f>
        <v/>
      </c>
      <c r="C19614" s="11"/>
      <c r="D19614" s="11"/>
      <c r="E19614" s="11"/>
      <c r="F19614" s="11"/>
      <c r="G19614" s="11"/>
      <c r="H19614" s="11"/>
      <c r="I19614" s="15"/>
    </row>
    <row r="19615" spans="1:9" ht="16.5">
      <c r="A19615" s="10" t="b">
        <v>0</v>
      </c>
      <c r="B19615" s="11" t="str">
        <f>IF(D19615&lt;&gt;"",IF(COUNTIF('USPTO TMs'!A:A,D19615)&gt;0,"Yes","No"),"")</f>
        <v/>
      </c>
      <c r="C19615" s="11"/>
      <c r="D19615" s="11"/>
      <c r="E19615" s="11"/>
      <c r="F19615" s="11"/>
      <c r="G19615" s="11"/>
      <c r="H19615" s="11"/>
      <c r="I19615" s="15"/>
    </row>
    <row r="19616" spans="1:9" ht="16.5">
      <c r="A19616" s="10" t="b">
        <v>0</v>
      </c>
      <c r="B19616" s="11" t="str">
        <f>IF(D19616&lt;&gt;"",IF(COUNTIF('USPTO TMs'!A:A,D19616)&gt;0,"Yes","No"),"")</f>
        <v/>
      </c>
      <c r="C19616" s="11"/>
      <c r="D19616" s="11"/>
      <c r="E19616" s="11"/>
      <c r="F19616" s="11"/>
      <c r="G19616" s="11"/>
      <c r="H19616" s="11"/>
      <c r="I19616" s="15"/>
    </row>
    <row r="19617" spans="1:9" ht="16.5">
      <c r="A19617" s="10" t="b">
        <v>0</v>
      </c>
      <c r="B19617" s="11" t="str">
        <f>IF(D19617&lt;&gt;"",IF(COUNTIF('USPTO TMs'!A:A,D19617)&gt;0,"Yes","No"),"")</f>
        <v/>
      </c>
      <c r="C19617" s="11"/>
      <c r="D19617" s="11"/>
      <c r="E19617" s="11"/>
      <c r="F19617" s="11"/>
      <c r="G19617" s="11"/>
      <c r="H19617" s="11"/>
      <c r="I19617" s="15"/>
    </row>
    <row r="19618" spans="1:9" ht="16.5">
      <c r="A19618" s="10" t="b">
        <v>0</v>
      </c>
      <c r="B19618" s="11" t="str">
        <f>IF(D19618&lt;&gt;"",IF(COUNTIF('USPTO TMs'!A:A,D19618)&gt;0,"Yes","No"),"")</f>
        <v/>
      </c>
      <c r="C19618" s="11"/>
      <c r="D19618" s="11"/>
      <c r="E19618" s="11"/>
      <c r="F19618" s="11"/>
      <c r="G19618" s="11"/>
      <c r="H19618" s="11"/>
      <c r="I19618" s="15"/>
    </row>
    <row r="19619" spans="1:9" ht="16.5">
      <c r="A19619" s="10" t="b">
        <v>0</v>
      </c>
      <c r="B19619" s="11" t="str">
        <f>IF(D19619&lt;&gt;"",IF(COUNTIF('USPTO TMs'!A:A,D19619)&gt;0,"Yes","No"),"")</f>
        <v/>
      </c>
      <c r="C19619" s="11"/>
      <c r="D19619" s="11"/>
      <c r="E19619" s="11"/>
      <c r="F19619" s="11"/>
      <c r="G19619" s="11"/>
      <c r="H19619" s="11"/>
      <c r="I19619" s="15"/>
    </row>
    <row r="19620" spans="1:9" ht="16.5">
      <c r="A19620" s="10" t="b">
        <v>0</v>
      </c>
      <c r="B19620" s="11" t="str">
        <f>IF(D19620&lt;&gt;"",IF(COUNTIF('USPTO TMs'!A:A,D19620)&gt;0,"Yes","No"),"")</f>
        <v/>
      </c>
      <c r="C19620" s="11"/>
      <c r="D19620" s="11"/>
      <c r="E19620" s="11"/>
      <c r="F19620" s="11"/>
      <c r="G19620" s="11"/>
      <c r="H19620" s="11"/>
      <c r="I19620" s="15"/>
    </row>
    <row r="19621" spans="1:9" ht="16.5">
      <c r="A19621" s="10" t="b">
        <v>0</v>
      </c>
      <c r="B19621" s="11" t="str">
        <f>IF(D19621&lt;&gt;"",IF(COUNTIF('USPTO TMs'!A:A,D19621)&gt;0,"Yes","No"),"")</f>
        <v/>
      </c>
      <c r="C19621" s="11"/>
      <c r="D19621" s="11"/>
      <c r="E19621" s="11"/>
      <c r="F19621" s="11"/>
      <c r="G19621" s="11"/>
      <c r="H19621" s="11"/>
      <c r="I19621" s="15"/>
    </row>
    <row r="19622" spans="1:9" ht="16.5">
      <c r="A19622" s="10" t="b">
        <v>0</v>
      </c>
      <c r="B19622" s="11" t="str">
        <f>IF(D19622&lt;&gt;"",IF(COUNTIF('USPTO TMs'!A:A,D19622)&gt;0,"Yes","No"),"")</f>
        <v/>
      </c>
      <c r="C19622" s="11"/>
      <c r="D19622" s="11"/>
      <c r="E19622" s="11"/>
      <c r="F19622" s="11"/>
      <c r="G19622" s="11"/>
      <c r="H19622" s="11"/>
      <c r="I19622" s="15"/>
    </row>
    <row r="19623" spans="1:9" ht="16.5">
      <c r="A19623" s="10" t="b">
        <v>0</v>
      </c>
      <c r="B19623" s="11" t="str">
        <f>IF(D19623&lt;&gt;"",IF(COUNTIF('USPTO TMs'!A:A,D19623)&gt;0,"Yes","No"),"")</f>
        <v/>
      </c>
      <c r="C19623" s="11"/>
      <c r="D19623" s="11"/>
      <c r="E19623" s="11"/>
      <c r="F19623" s="11"/>
      <c r="G19623" s="11"/>
      <c r="H19623" s="11"/>
      <c r="I19623" s="15"/>
    </row>
    <row r="19624" spans="1:9" ht="16.5">
      <c r="A19624" s="10" t="b">
        <v>0</v>
      </c>
      <c r="B19624" s="11" t="str">
        <f>IF(D19624&lt;&gt;"",IF(COUNTIF('USPTO TMs'!A:A,D19624)&gt;0,"Yes","No"),"")</f>
        <v/>
      </c>
      <c r="C19624" s="11"/>
      <c r="D19624" s="11"/>
      <c r="E19624" s="11"/>
      <c r="F19624" s="11"/>
      <c r="G19624" s="11"/>
      <c r="H19624" s="11"/>
      <c r="I19624" s="15"/>
    </row>
    <row r="19625" spans="1:9" ht="16.5">
      <c r="A19625" s="10" t="b">
        <v>0</v>
      </c>
      <c r="B19625" s="11" t="str">
        <f>IF(D19625&lt;&gt;"",IF(COUNTIF('USPTO TMs'!A:A,D19625)&gt;0,"Yes","No"),"")</f>
        <v/>
      </c>
      <c r="C19625" s="11"/>
      <c r="D19625" s="11"/>
      <c r="E19625" s="11"/>
      <c r="F19625" s="11"/>
      <c r="G19625" s="11"/>
      <c r="H19625" s="11"/>
      <c r="I19625" s="15"/>
    </row>
    <row r="19626" spans="1:9" ht="16.5">
      <c r="A19626" s="10" t="b">
        <v>0</v>
      </c>
      <c r="B19626" s="11" t="str">
        <f>IF(D19626&lt;&gt;"",IF(COUNTIF('USPTO TMs'!A:A,D19626)&gt;0,"Yes","No"),"")</f>
        <v/>
      </c>
      <c r="C19626" s="11"/>
      <c r="D19626" s="11"/>
      <c r="E19626" s="11"/>
      <c r="F19626" s="11"/>
      <c r="G19626" s="11"/>
      <c r="H19626" s="11"/>
      <c r="I19626" s="15"/>
    </row>
    <row r="19627" spans="1:9" ht="16.5">
      <c r="A19627" s="10" t="b">
        <v>0</v>
      </c>
      <c r="B19627" s="11" t="str">
        <f>IF(D19627&lt;&gt;"",IF(COUNTIF('USPTO TMs'!A:A,D19627)&gt;0,"Yes","No"),"")</f>
        <v/>
      </c>
      <c r="C19627" s="11"/>
      <c r="D19627" s="11"/>
      <c r="E19627" s="11"/>
      <c r="F19627" s="11"/>
      <c r="G19627" s="11"/>
      <c r="H19627" s="11"/>
      <c r="I19627" s="15"/>
    </row>
    <row r="19628" spans="1:9" ht="16.5">
      <c r="A19628" s="10" t="b">
        <v>0</v>
      </c>
      <c r="B19628" s="11" t="str">
        <f>IF(D19628&lt;&gt;"",IF(COUNTIF('USPTO TMs'!A:A,D19628)&gt;0,"Yes","No"),"")</f>
        <v/>
      </c>
      <c r="C19628" s="11"/>
      <c r="D19628" s="11"/>
      <c r="E19628" s="11"/>
      <c r="F19628" s="11"/>
      <c r="G19628" s="11"/>
      <c r="H19628" s="11"/>
      <c r="I19628" s="15"/>
    </row>
    <row r="19629" spans="1:9" ht="16.5">
      <c r="A19629" s="10" t="b">
        <v>0</v>
      </c>
      <c r="B19629" s="11" t="str">
        <f>IF(D19629&lt;&gt;"",IF(COUNTIF('USPTO TMs'!A:A,D19629)&gt;0,"Yes","No"),"")</f>
        <v/>
      </c>
      <c r="C19629" s="11"/>
      <c r="D19629" s="11"/>
      <c r="E19629" s="11"/>
      <c r="F19629" s="11"/>
      <c r="G19629" s="11"/>
      <c r="H19629" s="11"/>
      <c r="I19629" s="15"/>
    </row>
    <row r="19630" spans="1:9" ht="16.5">
      <c r="A19630" s="10" t="b">
        <v>0</v>
      </c>
      <c r="B19630" s="11" t="str">
        <f>IF(D19630&lt;&gt;"",IF(COUNTIF('USPTO TMs'!A:A,D19630)&gt;0,"Yes","No"),"")</f>
        <v/>
      </c>
      <c r="C19630" s="11"/>
      <c r="D19630" s="11"/>
      <c r="E19630" s="11"/>
      <c r="F19630" s="11"/>
      <c r="G19630" s="11"/>
      <c r="H19630" s="11"/>
      <c r="I19630" s="15"/>
    </row>
    <row r="19631" spans="1:9" ht="16.5">
      <c r="A19631" s="10" t="b">
        <v>0</v>
      </c>
      <c r="B19631" s="11" t="str">
        <f>IF(D19631&lt;&gt;"",IF(COUNTIF('USPTO TMs'!A:A,D19631)&gt;0,"Yes","No"),"")</f>
        <v/>
      </c>
      <c r="C19631" s="11"/>
      <c r="D19631" s="11"/>
      <c r="E19631" s="11"/>
      <c r="F19631" s="11"/>
      <c r="G19631" s="11"/>
      <c r="H19631" s="11"/>
      <c r="I19631" s="15"/>
    </row>
    <row r="19632" spans="1:9" ht="16.5">
      <c r="A19632" s="10" t="b">
        <v>0</v>
      </c>
      <c r="B19632" s="11" t="str">
        <f>IF(D19632&lt;&gt;"",IF(COUNTIF('USPTO TMs'!A:A,D19632)&gt;0,"Yes","No"),"")</f>
        <v/>
      </c>
      <c r="C19632" s="11"/>
      <c r="D19632" s="11"/>
      <c r="E19632" s="11"/>
      <c r="F19632" s="11"/>
      <c r="G19632" s="11"/>
      <c r="H19632" s="11"/>
      <c r="I19632" s="15"/>
    </row>
    <row r="19633" spans="1:9" ht="16.5">
      <c r="A19633" s="10" t="b">
        <v>0</v>
      </c>
      <c r="B19633" s="11" t="str">
        <f>IF(D19633&lt;&gt;"",IF(COUNTIF('USPTO TMs'!A:A,D19633)&gt;0,"Yes","No"),"")</f>
        <v/>
      </c>
      <c r="C19633" s="11"/>
      <c r="D19633" s="11"/>
      <c r="E19633" s="11"/>
      <c r="F19633" s="11"/>
      <c r="G19633" s="11"/>
      <c r="H19633" s="11"/>
      <c r="I19633" s="15"/>
    </row>
    <row r="19634" spans="1:9" ht="16.5">
      <c r="A19634" s="10" t="b">
        <v>0</v>
      </c>
      <c r="B19634" s="11" t="str">
        <f>IF(D19634&lt;&gt;"",IF(COUNTIF('USPTO TMs'!A:A,D19634)&gt;0,"Yes","No"),"")</f>
        <v/>
      </c>
      <c r="C19634" s="11"/>
      <c r="D19634" s="11"/>
      <c r="E19634" s="11"/>
      <c r="F19634" s="11"/>
      <c r="G19634" s="11"/>
      <c r="H19634" s="11"/>
      <c r="I19634" s="15"/>
    </row>
    <row r="19635" spans="1:9" ht="16.5">
      <c r="A19635" s="10" t="b">
        <v>0</v>
      </c>
      <c r="B19635" s="11" t="str">
        <f>IF(D19635&lt;&gt;"",IF(COUNTIF('USPTO TMs'!A:A,D19635)&gt;0,"Yes","No"),"")</f>
        <v/>
      </c>
      <c r="C19635" s="11"/>
      <c r="D19635" s="11"/>
      <c r="E19635" s="11"/>
      <c r="F19635" s="11"/>
      <c r="G19635" s="11"/>
      <c r="H19635" s="11"/>
      <c r="I19635" s="15"/>
    </row>
    <row r="19636" spans="1:9" ht="16.5">
      <c r="A19636" s="10" t="b">
        <v>0</v>
      </c>
      <c r="B19636" s="11" t="str">
        <f>IF(D19636&lt;&gt;"",IF(COUNTIF('USPTO TMs'!A:A,D19636)&gt;0,"Yes","No"),"")</f>
        <v/>
      </c>
      <c r="C19636" s="11"/>
      <c r="D19636" s="11"/>
      <c r="E19636" s="11"/>
      <c r="F19636" s="11"/>
      <c r="G19636" s="11"/>
      <c r="H19636" s="11"/>
      <c r="I19636" s="15"/>
    </row>
    <row r="19637" spans="1:9" ht="16.5">
      <c r="A19637" s="10" t="b">
        <v>0</v>
      </c>
      <c r="B19637" s="11" t="str">
        <f>IF(D19637&lt;&gt;"",IF(COUNTIF('USPTO TMs'!A:A,D19637)&gt;0,"Yes","No"),"")</f>
        <v/>
      </c>
      <c r="C19637" s="11"/>
      <c r="D19637" s="11"/>
      <c r="E19637" s="11"/>
      <c r="F19637" s="11"/>
      <c r="G19637" s="11"/>
      <c r="H19637" s="11"/>
      <c r="I19637" s="15"/>
    </row>
    <row r="19638" spans="1:9" ht="16.5">
      <c r="A19638" s="10" t="b">
        <v>0</v>
      </c>
      <c r="B19638" s="11" t="str">
        <f>IF(D19638&lt;&gt;"",IF(COUNTIF('USPTO TMs'!A:A,D19638)&gt;0,"Yes","No"),"")</f>
        <v/>
      </c>
      <c r="C19638" s="11"/>
      <c r="D19638" s="11"/>
      <c r="E19638" s="11"/>
      <c r="F19638" s="11"/>
      <c r="G19638" s="11"/>
      <c r="H19638" s="11"/>
      <c r="I19638" s="15"/>
    </row>
    <row r="19639" spans="1:9" ht="16.5">
      <c r="A19639" s="10" t="b">
        <v>0</v>
      </c>
      <c r="B19639" s="11" t="str">
        <f>IF(D19639&lt;&gt;"",IF(COUNTIF('USPTO TMs'!A:A,D19639)&gt;0,"Yes","No"),"")</f>
        <v/>
      </c>
      <c r="C19639" s="11"/>
      <c r="D19639" s="11"/>
      <c r="E19639" s="11"/>
      <c r="F19639" s="11"/>
      <c r="G19639" s="11"/>
      <c r="H19639" s="11"/>
      <c r="I19639" s="15"/>
    </row>
    <row r="19640" spans="1:9" ht="16.5">
      <c r="A19640" s="10" t="b">
        <v>0</v>
      </c>
      <c r="B19640" s="11" t="str">
        <f>IF(D19640&lt;&gt;"",IF(COUNTIF('USPTO TMs'!A:A,D19640)&gt;0,"Yes","No"),"")</f>
        <v/>
      </c>
      <c r="C19640" s="11"/>
      <c r="D19640" s="11"/>
      <c r="E19640" s="11"/>
      <c r="F19640" s="11"/>
      <c r="G19640" s="11"/>
      <c r="H19640" s="11"/>
      <c r="I19640" s="15"/>
    </row>
    <row r="19641" spans="1:9" ht="16.5">
      <c r="A19641" s="10" t="b">
        <v>0</v>
      </c>
      <c r="B19641" s="11" t="str">
        <f>IF(D19641&lt;&gt;"",IF(COUNTIF('USPTO TMs'!A:A,D19641)&gt;0,"Yes","No"),"")</f>
        <v/>
      </c>
      <c r="C19641" s="11"/>
      <c r="D19641" s="11"/>
      <c r="E19641" s="11"/>
      <c r="F19641" s="11"/>
      <c r="G19641" s="11"/>
      <c r="H19641" s="11"/>
      <c r="I19641" s="15"/>
    </row>
    <row r="19642" spans="1:9" ht="16.5">
      <c r="A19642" s="10" t="b">
        <v>0</v>
      </c>
      <c r="B19642" s="11" t="str">
        <f>IF(D19642&lt;&gt;"",IF(COUNTIF('USPTO TMs'!A:A,D19642)&gt;0,"Yes","No"),"")</f>
        <v/>
      </c>
      <c r="C19642" s="11"/>
      <c r="D19642" s="11"/>
      <c r="E19642" s="11"/>
      <c r="F19642" s="11"/>
      <c r="G19642" s="11"/>
      <c r="H19642" s="11"/>
      <c r="I19642" s="15"/>
    </row>
    <row r="19643" spans="1:9" ht="16.5">
      <c r="A19643" s="10" t="b">
        <v>0</v>
      </c>
      <c r="B19643" s="11" t="str">
        <f>IF(D19643&lt;&gt;"",IF(COUNTIF('USPTO TMs'!A:A,D19643)&gt;0,"Yes","No"),"")</f>
        <v/>
      </c>
      <c r="C19643" s="11"/>
      <c r="D19643" s="11"/>
      <c r="E19643" s="11"/>
      <c r="F19643" s="11"/>
      <c r="G19643" s="11"/>
      <c r="H19643" s="11"/>
      <c r="I19643" s="15"/>
    </row>
    <row r="19644" spans="1:9" ht="16.5">
      <c r="A19644" s="10" t="b">
        <v>0</v>
      </c>
      <c r="B19644" s="11" t="str">
        <f>IF(D19644&lt;&gt;"",IF(COUNTIF('USPTO TMs'!A:A,D19644)&gt;0,"Yes","No"),"")</f>
        <v/>
      </c>
      <c r="C19644" s="11"/>
      <c r="D19644" s="11"/>
      <c r="E19644" s="11"/>
      <c r="F19644" s="11"/>
      <c r="G19644" s="11"/>
      <c r="H19644" s="11"/>
      <c r="I19644" s="15"/>
    </row>
    <row r="19645" spans="1:9" ht="16.5">
      <c r="A19645" s="10" t="b">
        <v>0</v>
      </c>
      <c r="B19645" s="11" t="str">
        <f>IF(D19645&lt;&gt;"",IF(COUNTIF('USPTO TMs'!A:A,D19645)&gt;0,"Yes","No"),"")</f>
        <v/>
      </c>
      <c r="C19645" s="11"/>
      <c r="D19645" s="11"/>
      <c r="E19645" s="11"/>
      <c r="F19645" s="11"/>
      <c r="G19645" s="11"/>
      <c r="H19645" s="11"/>
      <c r="I19645" s="15"/>
    </row>
    <row r="19646" spans="1:9" ht="16.5">
      <c r="A19646" s="10" t="b">
        <v>0</v>
      </c>
      <c r="B19646" s="11" t="str">
        <f>IF(D19646&lt;&gt;"",IF(COUNTIF('USPTO TMs'!A:A,D19646)&gt;0,"Yes","No"),"")</f>
        <v/>
      </c>
      <c r="C19646" s="11"/>
      <c r="D19646" s="11"/>
      <c r="E19646" s="11"/>
      <c r="F19646" s="11"/>
      <c r="G19646" s="11"/>
      <c r="H19646" s="11"/>
      <c r="I19646" s="15"/>
    </row>
    <row r="19647" spans="1:9" ht="16.5">
      <c r="A19647" s="10" t="b">
        <v>0</v>
      </c>
      <c r="B19647" s="11" t="str">
        <f>IF(D19647&lt;&gt;"",IF(COUNTIF('USPTO TMs'!A:A,D19647)&gt;0,"Yes","No"),"")</f>
        <v/>
      </c>
      <c r="C19647" s="11"/>
      <c r="D19647" s="11"/>
      <c r="E19647" s="11"/>
      <c r="F19647" s="11"/>
      <c r="G19647" s="11"/>
      <c r="H19647" s="11"/>
      <c r="I19647" s="15"/>
    </row>
    <row r="19648" spans="1:9" ht="16.5">
      <c r="A19648" s="10" t="b">
        <v>0</v>
      </c>
      <c r="B19648" s="11" t="str">
        <f>IF(D19648&lt;&gt;"",IF(COUNTIF('USPTO TMs'!A:A,D19648)&gt;0,"Yes","No"),"")</f>
        <v/>
      </c>
      <c r="C19648" s="11"/>
      <c r="D19648" s="11"/>
      <c r="E19648" s="11"/>
      <c r="F19648" s="11"/>
      <c r="G19648" s="11"/>
      <c r="H19648" s="11"/>
      <c r="I19648" s="15"/>
    </row>
    <row r="19649" spans="1:9" ht="16.5">
      <c r="A19649" s="10" t="b">
        <v>0</v>
      </c>
      <c r="B19649" s="11" t="str">
        <f>IF(D19649&lt;&gt;"",IF(COUNTIF('USPTO TMs'!A:A,D19649)&gt;0,"Yes","No"),"")</f>
        <v/>
      </c>
      <c r="C19649" s="11"/>
      <c r="D19649" s="11"/>
      <c r="E19649" s="11"/>
      <c r="F19649" s="11"/>
      <c r="G19649" s="11"/>
      <c r="H19649" s="11"/>
      <c r="I19649" s="15"/>
    </row>
    <row r="19650" spans="1:9" ht="16.5">
      <c r="A19650" s="10" t="b">
        <v>0</v>
      </c>
      <c r="B19650" s="11" t="str">
        <f>IF(D19650&lt;&gt;"",IF(COUNTIF('USPTO TMs'!A:A,D19650)&gt;0,"Yes","No"),"")</f>
        <v/>
      </c>
      <c r="C19650" s="11"/>
      <c r="D19650" s="11"/>
      <c r="E19650" s="11"/>
      <c r="F19650" s="11"/>
      <c r="G19650" s="11"/>
      <c r="H19650" s="11"/>
      <c r="I19650" s="15"/>
    </row>
    <row r="19651" spans="1:9" ht="16.5">
      <c r="A19651" s="10" t="b">
        <v>0</v>
      </c>
      <c r="B19651" s="11" t="str">
        <f>IF(D19651&lt;&gt;"",IF(COUNTIF('USPTO TMs'!A:A,D19651)&gt;0,"Yes","No"),"")</f>
        <v/>
      </c>
      <c r="C19651" s="11"/>
      <c r="D19651" s="11"/>
      <c r="E19651" s="11"/>
      <c r="F19651" s="11"/>
      <c r="G19651" s="11"/>
      <c r="H19651" s="11"/>
      <c r="I19651" s="15"/>
    </row>
    <row r="19652" spans="1:9" ht="16.5">
      <c r="A19652" s="10" t="b">
        <v>0</v>
      </c>
      <c r="B19652" s="11" t="str">
        <f>IF(D19652&lt;&gt;"",IF(COUNTIF('USPTO TMs'!A:A,D19652)&gt;0,"Yes","No"),"")</f>
        <v/>
      </c>
      <c r="C19652" s="11"/>
      <c r="D19652" s="11"/>
      <c r="E19652" s="11"/>
      <c r="F19652" s="11"/>
      <c r="G19652" s="11"/>
      <c r="H19652" s="11"/>
      <c r="I19652" s="15"/>
    </row>
    <row r="19653" spans="1:9" ht="16.5">
      <c r="A19653" s="10" t="b">
        <v>0</v>
      </c>
      <c r="B19653" s="11" t="str">
        <f>IF(D19653&lt;&gt;"",IF(COUNTIF('USPTO TMs'!A:A,D19653)&gt;0,"Yes","No"),"")</f>
        <v/>
      </c>
      <c r="C19653" s="11"/>
      <c r="D19653" s="11"/>
      <c r="E19653" s="11"/>
      <c r="F19653" s="11"/>
      <c r="G19653" s="11"/>
      <c r="H19653" s="11"/>
      <c r="I19653" s="15"/>
    </row>
    <row r="19654" spans="1:9" ht="16.5">
      <c r="A19654" s="10" t="b">
        <v>0</v>
      </c>
      <c r="B19654" s="11" t="str">
        <f>IF(D19654&lt;&gt;"",IF(COUNTIF('USPTO TMs'!A:A,D19654)&gt;0,"Yes","No"),"")</f>
        <v/>
      </c>
      <c r="C19654" s="11"/>
      <c r="D19654" s="11"/>
      <c r="E19654" s="11"/>
      <c r="F19654" s="11"/>
      <c r="G19654" s="11"/>
      <c r="H19654" s="11"/>
      <c r="I19654" s="15"/>
    </row>
    <row r="19655" spans="1:9" ht="16.5">
      <c r="A19655" s="10" t="b">
        <v>0</v>
      </c>
      <c r="B19655" s="11" t="str">
        <f>IF(D19655&lt;&gt;"",IF(COUNTIF('USPTO TMs'!A:A,D19655)&gt;0,"Yes","No"),"")</f>
        <v/>
      </c>
      <c r="C19655" s="11"/>
      <c r="D19655" s="11"/>
      <c r="E19655" s="11"/>
      <c r="F19655" s="11"/>
      <c r="G19655" s="11"/>
      <c r="H19655" s="11"/>
      <c r="I19655" s="15"/>
    </row>
    <row r="19656" spans="1:9" ht="16.5">
      <c r="A19656" s="10" t="b">
        <v>0</v>
      </c>
      <c r="B19656" s="11" t="str">
        <f>IF(D19656&lt;&gt;"",IF(COUNTIF('USPTO TMs'!A:A,D19656)&gt;0,"Yes","No"),"")</f>
        <v/>
      </c>
      <c r="C19656" s="11"/>
      <c r="D19656" s="11"/>
      <c r="E19656" s="11"/>
      <c r="F19656" s="11"/>
      <c r="G19656" s="11"/>
      <c r="H19656" s="11"/>
      <c r="I19656" s="15"/>
    </row>
    <row r="19657" spans="1:9" ht="16.5">
      <c r="A19657" s="10" t="b">
        <v>0</v>
      </c>
      <c r="B19657" s="11" t="str">
        <f>IF(D19657&lt;&gt;"",IF(COUNTIF('USPTO TMs'!A:A,D19657)&gt;0,"Yes","No"),"")</f>
        <v/>
      </c>
      <c r="C19657" s="11"/>
      <c r="D19657" s="11"/>
      <c r="E19657" s="11"/>
      <c r="F19657" s="11"/>
      <c r="G19657" s="11"/>
      <c r="H19657" s="11"/>
      <c r="I19657" s="15"/>
    </row>
    <row r="19658" spans="1:9" ht="16.5">
      <c r="A19658" s="10" t="b">
        <v>0</v>
      </c>
      <c r="B19658" s="11" t="str">
        <f>IF(D19658&lt;&gt;"",IF(COUNTIF('USPTO TMs'!A:A,D19658)&gt;0,"Yes","No"),"")</f>
        <v/>
      </c>
      <c r="C19658" s="11"/>
      <c r="D19658" s="11"/>
      <c r="E19658" s="11"/>
      <c r="F19658" s="11"/>
      <c r="G19658" s="11"/>
      <c r="H19658" s="11"/>
      <c r="I19658" s="15"/>
    </row>
    <row r="19659" spans="1:9" ht="16.5">
      <c r="A19659" s="10" t="b">
        <v>0</v>
      </c>
      <c r="B19659" s="11" t="str">
        <f>IF(D19659&lt;&gt;"",IF(COUNTIF('USPTO TMs'!A:A,D19659)&gt;0,"Yes","No"),"")</f>
        <v/>
      </c>
      <c r="C19659" s="11"/>
      <c r="D19659" s="11"/>
      <c r="E19659" s="11"/>
      <c r="F19659" s="11"/>
      <c r="G19659" s="11"/>
      <c r="H19659" s="11"/>
      <c r="I19659" s="15"/>
    </row>
    <row r="19660" spans="1:9" ht="16.5">
      <c r="A19660" s="10" t="b">
        <v>0</v>
      </c>
      <c r="B19660" s="11" t="str">
        <f>IF(D19660&lt;&gt;"",IF(COUNTIF('USPTO TMs'!A:A,D19660)&gt;0,"Yes","No"),"")</f>
        <v/>
      </c>
      <c r="C19660" s="11"/>
      <c r="D19660" s="11"/>
      <c r="E19660" s="11"/>
      <c r="F19660" s="11"/>
      <c r="G19660" s="11"/>
      <c r="H19660" s="11"/>
      <c r="I19660" s="15"/>
    </row>
    <row r="19661" spans="1:9" ht="16.5">
      <c r="A19661" s="10" t="b">
        <v>0</v>
      </c>
      <c r="B19661" s="11" t="str">
        <f>IF(D19661&lt;&gt;"",IF(COUNTIF('USPTO TMs'!A:A,D19661)&gt;0,"Yes","No"),"")</f>
        <v/>
      </c>
      <c r="C19661" s="11"/>
      <c r="D19661" s="11"/>
      <c r="E19661" s="11"/>
      <c r="F19661" s="11"/>
      <c r="G19661" s="11"/>
      <c r="H19661" s="11"/>
      <c r="I19661" s="15"/>
    </row>
    <row r="19662" spans="1:9" ht="16.5">
      <c r="A19662" s="10" t="b">
        <v>0</v>
      </c>
      <c r="B19662" s="11" t="str">
        <f>IF(D19662&lt;&gt;"",IF(COUNTIF('USPTO TMs'!A:A,D19662)&gt;0,"Yes","No"),"")</f>
        <v/>
      </c>
      <c r="C19662" s="11"/>
      <c r="D19662" s="11"/>
      <c r="E19662" s="11"/>
      <c r="F19662" s="11"/>
      <c r="G19662" s="11"/>
      <c r="H19662" s="11"/>
      <c r="I19662" s="15"/>
    </row>
    <row r="19663" spans="1:9" ht="16.5">
      <c r="A19663" s="10" t="b">
        <v>0</v>
      </c>
      <c r="B19663" s="11" t="str">
        <f>IF(D19663&lt;&gt;"",IF(COUNTIF('USPTO TMs'!A:A,D19663)&gt;0,"Yes","No"),"")</f>
        <v/>
      </c>
      <c r="C19663" s="11"/>
      <c r="D19663" s="11"/>
      <c r="E19663" s="11"/>
      <c r="F19663" s="11"/>
      <c r="G19663" s="11"/>
      <c r="H19663" s="11"/>
      <c r="I19663" s="15"/>
    </row>
    <row r="19664" spans="1:9" ht="16.5">
      <c r="A19664" s="10" t="b">
        <v>0</v>
      </c>
      <c r="B19664" s="11" t="str">
        <f>IF(D19664&lt;&gt;"",IF(COUNTIF('USPTO TMs'!A:A,D19664)&gt;0,"Yes","No"),"")</f>
        <v/>
      </c>
      <c r="C19664" s="11"/>
      <c r="D19664" s="11"/>
      <c r="E19664" s="11"/>
      <c r="F19664" s="11"/>
      <c r="G19664" s="11"/>
      <c r="H19664" s="11"/>
      <c r="I19664" s="15"/>
    </row>
    <row r="19665" spans="1:9" ht="16.5">
      <c r="A19665" s="10" t="b">
        <v>0</v>
      </c>
      <c r="B19665" s="11" t="str">
        <f>IF(D19665&lt;&gt;"",IF(COUNTIF('USPTO TMs'!A:A,D19665)&gt;0,"Yes","No"),"")</f>
        <v/>
      </c>
      <c r="C19665" s="11"/>
      <c r="D19665" s="11"/>
      <c r="E19665" s="11"/>
      <c r="F19665" s="11"/>
      <c r="G19665" s="11"/>
      <c r="H19665" s="11"/>
      <c r="I19665" s="15"/>
    </row>
    <row r="19666" spans="1:9" ht="16.5">
      <c r="A19666" s="10" t="b">
        <v>0</v>
      </c>
      <c r="B19666" s="11" t="str">
        <f>IF(D19666&lt;&gt;"",IF(COUNTIF('USPTO TMs'!A:A,D19666)&gt;0,"Yes","No"),"")</f>
        <v/>
      </c>
      <c r="C19666" s="11"/>
      <c r="D19666" s="11"/>
      <c r="E19666" s="11"/>
      <c r="F19666" s="11"/>
      <c r="G19666" s="11"/>
      <c r="H19666" s="11"/>
      <c r="I19666" s="15"/>
    </row>
    <row r="19667" spans="1:9" ht="16.5">
      <c r="A19667" s="10" t="b">
        <v>0</v>
      </c>
      <c r="B19667" s="11" t="str">
        <f>IF(D19667&lt;&gt;"",IF(COUNTIF('USPTO TMs'!A:A,D19667)&gt;0,"Yes","No"),"")</f>
        <v/>
      </c>
      <c r="C19667" s="11"/>
      <c r="D19667" s="11"/>
      <c r="E19667" s="11"/>
      <c r="F19667" s="11"/>
      <c r="G19667" s="11"/>
      <c r="H19667" s="11"/>
      <c r="I19667" s="15"/>
    </row>
    <row r="19668" spans="1:9" ht="16.5">
      <c r="A19668" s="10" t="b">
        <v>0</v>
      </c>
      <c r="B19668" s="11" t="str">
        <f>IF(D19668&lt;&gt;"",IF(COUNTIF('USPTO TMs'!A:A,D19668)&gt;0,"Yes","No"),"")</f>
        <v/>
      </c>
      <c r="C19668" s="11"/>
      <c r="D19668" s="11"/>
      <c r="E19668" s="11"/>
      <c r="F19668" s="11"/>
      <c r="G19668" s="11"/>
      <c r="H19668" s="11"/>
      <c r="I19668" s="15"/>
    </row>
    <row r="19669" spans="1:9" ht="16.5">
      <c r="A19669" s="10" t="b">
        <v>0</v>
      </c>
      <c r="B19669" s="11" t="str">
        <f>IF(D19669&lt;&gt;"",IF(COUNTIF('USPTO TMs'!A:A,D19669)&gt;0,"Yes","No"),"")</f>
        <v/>
      </c>
      <c r="C19669" s="11"/>
      <c r="D19669" s="11"/>
      <c r="E19669" s="11"/>
      <c r="F19669" s="11"/>
      <c r="G19669" s="11"/>
      <c r="H19669" s="11"/>
      <c r="I19669" s="15"/>
    </row>
    <row r="19670" spans="1:9" ht="16.5">
      <c r="A19670" s="10" t="b">
        <v>0</v>
      </c>
      <c r="B19670" s="11" t="str">
        <f>IF(D19670&lt;&gt;"",IF(COUNTIF('USPTO TMs'!A:A,D19670)&gt;0,"Yes","No"),"")</f>
        <v/>
      </c>
      <c r="C19670" s="11"/>
      <c r="D19670" s="11"/>
      <c r="E19670" s="11"/>
      <c r="F19670" s="11"/>
      <c r="G19670" s="11"/>
      <c r="H19670" s="11"/>
      <c r="I19670" s="15"/>
    </row>
    <row r="19671" spans="1:9" ht="16.5">
      <c r="A19671" s="10" t="b">
        <v>0</v>
      </c>
      <c r="B19671" s="11" t="str">
        <f>IF(D19671&lt;&gt;"",IF(COUNTIF('USPTO TMs'!A:A,D19671)&gt;0,"Yes","No"),"")</f>
        <v/>
      </c>
      <c r="C19671" s="11"/>
      <c r="D19671" s="11"/>
      <c r="E19671" s="11"/>
      <c r="F19671" s="11"/>
      <c r="G19671" s="11"/>
      <c r="H19671" s="11"/>
      <c r="I19671" s="15"/>
    </row>
    <row r="19672" spans="1:9" ht="16.5">
      <c r="A19672" s="10" t="b">
        <v>0</v>
      </c>
      <c r="B19672" s="11" t="str">
        <f>IF(D19672&lt;&gt;"",IF(COUNTIF('USPTO TMs'!A:A,D19672)&gt;0,"Yes","No"),"")</f>
        <v/>
      </c>
      <c r="C19672" s="11"/>
      <c r="D19672" s="11"/>
      <c r="E19672" s="11"/>
      <c r="F19672" s="11"/>
      <c r="G19672" s="11"/>
      <c r="H19672" s="11"/>
      <c r="I19672" s="15"/>
    </row>
    <row r="19673" spans="1:9" ht="16.5">
      <c r="A19673" s="10" t="b">
        <v>0</v>
      </c>
      <c r="B19673" s="11" t="str">
        <f>IF(D19673&lt;&gt;"",IF(COUNTIF('USPTO TMs'!A:A,D19673)&gt;0,"Yes","No"),"")</f>
        <v/>
      </c>
      <c r="C19673" s="11"/>
      <c r="D19673" s="11"/>
      <c r="E19673" s="11"/>
      <c r="F19673" s="11"/>
      <c r="G19673" s="11"/>
      <c r="H19673" s="11"/>
      <c r="I19673" s="15"/>
    </row>
    <row r="19674" spans="1:9" ht="16.5">
      <c r="A19674" s="10" t="b">
        <v>0</v>
      </c>
      <c r="B19674" s="11" t="str">
        <f>IF(D19674&lt;&gt;"",IF(COUNTIF('USPTO TMs'!A:A,D19674)&gt;0,"Yes","No"),"")</f>
        <v/>
      </c>
      <c r="C19674" s="11"/>
      <c r="D19674" s="11"/>
      <c r="E19674" s="11"/>
      <c r="F19674" s="11"/>
      <c r="G19674" s="11"/>
      <c r="H19674" s="11"/>
      <c r="I19674" s="15"/>
    </row>
    <row r="19675" spans="1:9" ht="16.5">
      <c r="A19675" s="10" t="b">
        <v>0</v>
      </c>
      <c r="B19675" s="11" t="str">
        <f>IF(D19675&lt;&gt;"",IF(COUNTIF('USPTO TMs'!A:A,D19675)&gt;0,"Yes","No"),"")</f>
        <v/>
      </c>
      <c r="C19675" s="11"/>
      <c r="D19675" s="11"/>
      <c r="E19675" s="11"/>
      <c r="F19675" s="11"/>
      <c r="G19675" s="11"/>
      <c r="H19675" s="11"/>
      <c r="I19675" s="15"/>
    </row>
    <row r="19676" spans="1:9" ht="16.5">
      <c r="A19676" s="10" t="b">
        <v>0</v>
      </c>
      <c r="B19676" s="11" t="str">
        <f>IF(D19676&lt;&gt;"",IF(COUNTIF('USPTO TMs'!A:A,D19676)&gt;0,"Yes","No"),"")</f>
        <v/>
      </c>
      <c r="C19676" s="11"/>
      <c r="D19676" s="11"/>
      <c r="E19676" s="11"/>
      <c r="F19676" s="11"/>
      <c r="G19676" s="11"/>
      <c r="H19676" s="11"/>
      <c r="I19676" s="15"/>
    </row>
    <row r="19677" spans="1:9" ht="16.5">
      <c r="A19677" s="10" t="b">
        <v>0</v>
      </c>
      <c r="B19677" s="11" t="str">
        <f>IF(D19677&lt;&gt;"",IF(COUNTIF('USPTO TMs'!A:A,D19677)&gt;0,"Yes","No"),"")</f>
        <v/>
      </c>
      <c r="C19677" s="11"/>
      <c r="D19677" s="11"/>
      <c r="E19677" s="11"/>
      <c r="F19677" s="11"/>
      <c r="G19677" s="11"/>
      <c r="H19677" s="11"/>
      <c r="I19677" s="15"/>
    </row>
    <row r="19678" spans="1:9" ht="16.5">
      <c r="A19678" s="10" t="b">
        <v>0</v>
      </c>
      <c r="B19678" s="11" t="str">
        <f>IF(D19678&lt;&gt;"",IF(COUNTIF('USPTO TMs'!A:A,D19678)&gt;0,"Yes","No"),"")</f>
        <v/>
      </c>
      <c r="C19678" s="11"/>
      <c r="D19678" s="11"/>
      <c r="E19678" s="11"/>
      <c r="F19678" s="11"/>
      <c r="G19678" s="11"/>
      <c r="H19678" s="11"/>
      <c r="I19678" s="15"/>
    </row>
    <row r="19679" spans="1:9" ht="16.5">
      <c r="A19679" s="10" t="b">
        <v>0</v>
      </c>
      <c r="B19679" s="11" t="str">
        <f>IF(D19679&lt;&gt;"",IF(COUNTIF('USPTO TMs'!A:A,D19679)&gt;0,"Yes","No"),"")</f>
        <v/>
      </c>
      <c r="C19679" s="11"/>
      <c r="D19679" s="11"/>
      <c r="E19679" s="11"/>
      <c r="F19679" s="11"/>
      <c r="G19679" s="11"/>
      <c r="H19679" s="11"/>
      <c r="I19679" s="15"/>
    </row>
    <row r="19680" spans="1:9" ht="16.5">
      <c r="A19680" s="10" t="b">
        <v>0</v>
      </c>
      <c r="B19680" s="11" t="str">
        <f>IF(D19680&lt;&gt;"",IF(COUNTIF('USPTO TMs'!A:A,D19680)&gt;0,"Yes","No"),"")</f>
        <v/>
      </c>
      <c r="C19680" s="11"/>
      <c r="D19680" s="11"/>
      <c r="E19680" s="11"/>
      <c r="F19680" s="11"/>
      <c r="G19680" s="11"/>
      <c r="H19680" s="11"/>
      <c r="I19680" s="15"/>
    </row>
    <row r="19681" spans="1:9" ht="16.5">
      <c r="A19681" s="10" t="b">
        <v>0</v>
      </c>
      <c r="B19681" s="11" t="str">
        <f>IF(D19681&lt;&gt;"",IF(COUNTIF('USPTO TMs'!A:A,D19681)&gt;0,"Yes","No"),"")</f>
        <v/>
      </c>
      <c r="C19681" s="11"/>
      <c r="D19681" s="11"/>
      <c r="E19681" s="11"/>
      <c r="F19681" s="11"/>
      <c r="G19681" s="11"/>
      <c r="H19681" s="11"/>
      <c r="I19681" s="15"/>
    </row>
    <row r="19682" spans="1:9" ht="16.5">
      <c r="A19682" s="10" t="b">
        <v>0</v>
      </c>
      <c r="B19682" s="11" t="str">
        <f>IF(D19682&lt;&gt;"",IF(COUNTIF('USPTO TMs'!A:A,D19682)&gt;0,"Yes","No"),"")</f>
        <v/>
      </c>
      <c r="C19682" s="11"/>
      <c r="D19682" s="11"/>
      <c r="E19682" s="11"/>
      <c r="F19682" s="11"/>
      <c r="G19682" s="11"/>
      <c r="H19682" s="11"/>
      <c r="I19682" s="15"/>
    </row>
    <row r="19683" spans="1:9" ht="16.5">
      <c r="A19683" s="10" t="b">
        <v>0</v>
      </c>
      <c r="B19683" s="11" t="str">
        <f>IF(D19683&lt;&gt;"",IF(COUNTIF('USPTO TMs'!A:A,D19683)&gt;0,"Yes","No"),"")</f>
        <v/>
      </c>
      <c r="C19683" s="11"/>
      <c r="D19683" s="11"/>
      <c r="E19683" s="11"/>
      <c r="F19683" s="11"/>
      <c r="G19683" s="11"/>
      <c r="H19683" s="11"/>
      <c r="I19683" s="15"/>
    </row>
    <row r="19684" spans="1:9" ht="16.5">
      <c r="A19684" s="10" t="b">
        <v>0</v>
      </c>
      <c r="B19684" s="11" t="str">
        <f>IF(D19684&lt;&gt;"",IF(COUNTIF('USPTO TMs'!A:A,D19684)&gt;0,"Yes","No"),"")</f>
        <v/>
      </c>
      <c r="C19684" s="11"/>
      <c r="D19684" s="11"/>
      <c r="E19684" s="11"/>
      <c r="F19684" s="11"/>
      <c r="G19684" s="11"/>
      <c r="H19684" s="11"/>
      <c r="I19684" s="15"/>
    </row>
    <row r="19685" spans="1:9" ht="16.5">
      <c r="A19685" s="10" t="b">
        <v>0</v>
      </c>
      <c r="B19685" s="11" t="str">
        <f>IF(D19685&lt;&gt;"",IF(COUNTIF('USPTO TMs'!A:A,D19685)&gt;0,"Yes","No"),"")</f>
        <v/>
      </c>
      <c r="C19685" s="11"/>
      <c r="D19685" s="11"/>
      <c r="E19685" s="11"/>
      <c r="F19685" s="11"/>
      <c r="G19685" s="11"/>
      <c r="H19685" s="11"/>
      <c r="I19685" s="15"/>
    </row>
    <row r="19686" spans="1:9" ht="16.5">
      <c r="A19686" s="10" t="b">
        <v>0</v>
      </c>
      <c r="B19686" s="11" t="str">
        <f>IF(D19686&lt;&gt;"",IF(COUNTIF('USPTO TMs'!A:A,D19686)&gt;0,"Yes","No"),"")</f>
        <v/>
      </c>
      <c r="C19686" s="11"/>
      <c r="D19686" s="11"/>
      <c r="E19686" s="11"/>
      <c r="F19686" s="11"/>
      <c r="G19686" s="11"/>
      <c r="H19686" s="11"/>
      <c r="I19686" s="15"/>
    </row>
    <row r="19687" spans="1:9" ht="16.5">
      <c r="A19687" s="10" t="b">
        <v>0</v>
      </c>
      <c r="B19687" s="11" t="str">
        <f>IF(D19687&lt;&gt;"",IF(COUNTIF('USPTO TMs'!A:A,D19687)&gt;0,"Yes","No"),"")</f>
        <v/>
      </c>
      <c r="C19687" s="11"/>
      <c r="D19687" s="11"/>
      <c r="E19687" s="11"/>
      <c r="F19687" s="11"/>
      <c r="G19687" s="11"/>
      <c r="H19687" s="11"/>
      <c r="I19687" s="15"/>
    </row>
    <row r="19688" spans="1:9" ht="16.5">
      <c r="A19688" s="10" t="b">
        <v>0</v>
      </c>
      <c r="B19688" s="11" t="str">
        <f>IF(D19688&lt;&gt;"",IF(COUNTIF('USPTO TMs'!A:A,D19688)&gt;0,"Yes","No"),"")</f>
        <v/>
      </c>
      <c r="C19688" s="11"/>
      <c r="D19688" s="11"/>
      <c r="E19688" s="11"/>
      <c r="F19688" s="11"/>
      <c r="G19688" s="11"/>
      <c r="H19688" s="11"/>
      <c r="I19688" s="15"/>
    </row>
    <row r="19689" spans="1:9" ht="16.5">
      <c r="A19689" s="10" t="b">
        <v>0</v>
      </c>
      <c r="B19689" s="11" t="str">
        <f>IF(D19689&lt;&gt;"",IF(COUNTIF('USPTO TMs'!A:A,D19689)&gt;0,"Yes","No"),"")</f>
        <v/>
      </c>
      <c r="C19689" s="11"/>
      <c r="D19689" s="11"/>
      <c r="E19689" s="11"/>
      <c r="F19689" s="11"/>
      <c r="G19689" s="11"/>
      <c r="H19689" s="11"/>
      <c r="I19689" s="15"/>
    </row>
    <row r="19690" spans="1:9" ht="16.5">
      <c r="A19690" s="10" t="b">
        <v>0</v>
      </c>
      <c r="B19690" s="11" t="str">
        <f>IF(D19690&lt;&gt;"",IF(COUNTIF('USPTO TMs'!A:A,D19690)&gt;0,"Yes","No"),"")</f>
        <v/>
      </c>
      <c r="C19690" s="11"/>
      <c r="D19690" s="11"/>
      <c r="E19690" s="11"/>
      <c r="F19690" s="11"/>
      <c r="G19690" s="11"/>
      <c r="H19690" s="11"/>
      <c r="I19690" s="15"/>
    </row>
    <row r="19691" spans="1:9" ht="16.5">
      <c r="A19691" s="10" t="b">
        <v>0</v>
      </c>
      <c r="B19691" s="11" t="str">
        <f>IF(D19691&lt;&gt;"",IF(COUNTIF('USPTO TMs'!A:A,D19691)&gt;0,"Yes","No"),"")</f>
        <v/>
      </c>
      <c r="C19691" s="11"/>
      <c r="D19691" s="11"/>
      <c r="E19691" s="11"/>
      <c r="F19691" s="11"/>
      <c r="G19691" s="11"/>
      <c r="H19691" s="11"/>
      <c r="I19691" s="15"/>
    </row>
    <row r="19692" spans="1:9" ht="16.5">
      <c r="A19692" s="10" t="b">
        <v>0</v>
      </c>
      <c r="B19692" s="11" t="str">
        <f>IF(D19692&lt;&gt;"",IF(COUNTIF('USPTO TMs'!A:A,D19692)&gt;0,"Yes","No"),"")</f>
        <v/>
      </c>
      <c r="C19692" s="11"/>
      <c r="D19692" s="11"/>
      <c r="E19692" s="11"/>
      <c r="F19692" s="11"/>
      <c r="G19692" s="11"/>
      <c r="H19692" s="11"/>
      <c r="I19692" s="15"/>
    </row>
    <row r="19693" spans="1:9" ht="16.5">
      <c r="A19693" s="10" t="b">
        <v>0</v>
      </c>
      <c r="B19693" s="11" t="str">
        <f>IF(D19693&lt;&gt;"",IF(COUNTIF('USPTO TMs'!A:A,D19693)&gt;0,"Yes","No"),"")</f>
        <v/>
      </c>
      <c r="C19693" s="11"/>
      <c r="D19693" s="11"/>
      <c r="E19693" s="11"/>
      <c r="F19693" s="11"/>
      <c r="G19693" s="11"/>
      <c r="H19693" s="11"/>
      <c r="I19693" s="15"/>
    </row>
    <row r="19694" spans="1:9" ht="16.5">
      <c r="A19694" s="10" t="b">
        <v>0</v>
      </c>
      <c r="B19694" s="11" t="str">
        <f>IF(D19694&lt;&gt;"",IF(COUNTIF('USPTO TMs'!A:A,D19694)&gt;0,"Yes","No"),"")</f>
        <v/>
      </c>
      <c r="C19694" s="11"/>
      <c r="D19694" s="11"/>
      <c r="E19694" s="11"/>
      <c r="F19694" s="11"/>
      <c r="G19694" s="11"/>
      <c r="H19694" s="11"/>
      <c r="I19694" s="15"/>
    </row>
    <row r="19695" spans="1:9" ht="16.5">
      <c r="A19695" s="10" t="b">
        <v>0</v>
      </c>
      <c r="B19695" s="11" t="str">
        <f>IF(D19695&lt;&gt;"",IF(COUNTIF('USPTO TMs'!A:A,D19695)&gt;0,"Yes","No"),"")</f>
        <v/>
      </c>
      <c r="C19695" s="11"/>
      <c r="D19695" s="11"/>
      <c r="E19695" s="11"/>
      <c r="F19695" s="11"/>
      <c r="G19695" s="11"/>
      <c r="H19695" s="11"/>
      <c r="I19695" s="15"/>
    </row>
    <row r="19696" spans="1:9" ht="16.5">
      <c r="A19696" s="10" t="b">
        <v>0</v>
      </c>
      <c r="B19696" s="11" t="str">
        <f>IF(D19696&lt;&gt;"",IF(COUNTIF('USPTO TMs'!A:A,D19696)&gt;0,"Yes","No"),"")</f>
        <v/>
      </c>
      <c r="C19696" s="11"/>
      <c r="D19696" s="11"/>
      <c r="E19696" s="11"/>
      <c r="F19696" s="11"/>
      <c r="G19696" s="11"/>
      <c r="H19696" s="11"/>
      <c r="I19696" s="15"/>
    </row>
    <row r="19697" spans="1:9" ht="16.5">
      <c r="A19697" s="10" t="b">
        <v>0</v>
      </c>
      <c r="B19697" s="11" t="str">
        <f>IF(D19697&lt;&gt;"",IF(COUNTIF('USPTO TMs'!A:A,D19697)&gt;0,"Yes","No"),"")</f>
        <v/>
      </c>
      <c r="C19697" s="11"/>
      <c r="D19697" s="11"/>
      <c r="E19697" s="11"/>
      <c r="F19697" s="11"/>
      <c r="G19697" s="11"/>
      <c r="H19697" s="11"/>
      <c r="I19697" s="15"/>
    </row>
    <row r="19698" spans="1:9" ht="16.5">
      <c r="A19698" s="10" t="b">
        <v>0</v>
      </c>
      <c r="B19698" s="11" t="str">
        <f>IF(D19698&lt;&gt;"",IF(COUNTIF('USPTO TMs'!A:A,D19698)&gt;0,"Yes","No"),"")</f>
        <v/>
      </c>
      <c r="C19698" s="11"/>
      <c r="D19698" s="11"/>
      <c r="E19698" s="11"/>
      <c r="F19698" s="11"/>
      <c r="G19698" s="11"/>
      <c r="H19698" s="11"/>
      <c r="I19698" s="15"/>
    </row>
    <row r="19699" spans="1:9" ht="16.5">
      <c r="A19699" s="10" t="b">
        <v>0</v>
      </c>
      <c r="B19699" s="11" t="str">
        <f>IF(D19699&lt;&gt;"",IF(COUNTIF('USPTO TMs'!A:A,D19699)&gt;0,"Yes","No"),"")</f>
        <v/>
      </c>
      <c r="C19699" s="11"/>
      <c r="D19699" s="11"/>
      <c r="E19699" s="11"/>
      <c r="F19699" s="11"/>
      <c r="G19699" s="11"/>
      <c r="H19699" s="11"/>
      <c r="I19699" s="15"/>
    </row>
    <row r="19700" spans="1:9" ht="16.5">
      <c r="A19700" s="10" t="b">
        <v>0</v>
      </c>
      <c r="B19700" s="11" t="str">
        <f>IF(D19700&lt;&gt;"",IF(COUNTIF('USPTO TMs'!A:A,D19700)&gt;0,"Yes","No"),"")</f>
        <v/>
      </c>
      <c r="C19700" s="11"/>
      <c r="D19700" s="11"/>
      <c r="E19700" s="11"/>
      <c r="F19700" s="11"/>
      <c r="G19700" s="11"/>
      <c r="H19700" s="11"/>
      <c r="I19700" s="15"/>
    </row>
    <row r="19701" spans="1:9" ht="16.5">
      <c r="A19701" s="10" t="b">
        <v>0</v>
      </c>
      <c r="B19701" s="11" t="str">
        <f>IF(D19701&lt;&gt;"",IF(COUNTIF('USPTO TMs'!A:A,D19701)&gt;0,"Yes","No"),"")</f>
        <v/>
      </c>
      <c r="C19701" s="11"/>
      <c r="D19701" s="11"/>
      <c r="E19701" s="11"/>
      <c r="F19701" s="11"/>
      <c r="G19701" s="11"/>
      <c r="H19701" s="11"/>
      <c r="I19701" s="15"/>
    </row>
    <row r="19702" spans="1:9" ht="16.5">
      <c r="A19702" s="10" t="b">
        <v>0</v>
      </c>
      <c r="B19702" s="11" t="str">
        <f>IF(D19702&lt;&gt;"",IF(COUNTIF('USPTO TMs'!A:A,D19702)&gt;0,"Yes","No"),"")</f>
        <v/>
      </c>
      <c r="C19702" s="11"/>
      <c r="D19702" s="11"/>
      <c r="E19702" s="11"/>
      <c r="F19702" s="11"/>
      <c r="G19702" s="11"/>
      <c r="H19702" s="11"/>
      <c r="I19702" s="15"/>
    </row>
    <row r="19703" spans="1:9" ht="16.5">
      <c r="A19703" s="10" t="b">
        <v>0</v>
      </c>
      <c r="B19703" s="11" t="str">
        <f>IF(D19703&lt;&gt;"",IF(COUNTIF('USPTO TMs'!A:A,D19703)&gt;0,"Yes","No"),"")</f>
        <v/>
      </c>
      <c r="C19703" s="11"/>
      <c r="D19703" s="11"/>
      <c r="E19703" s="11"/>
      <c r="F19703" s="11"/>
      <c r="G19703" s="11"/>
      <c r="H19703" s="11"/>
      <c r="I19703" s="15"/>
    </row>
    <row r="19704" spans="1:9" ht="16.5">
      <c r="A19704" s="10" t="b">
        <v>0</v>
      </c>
      <c r="B19704" s="11" t="str">
        <f>IF(D19704&lt;&gt;"",IF(COUNTIF('USPTO TMs'!A:A,D19704)&gt;0,"Yes","No"),"")</f>
        <v/>
      </c>
      <c r="C19704" s="11"/>
      <c r="D19704" s="11"/>
      <c r="E19704" s="11"/>
      <c r="F19704" s="11"/>
      <c r="G19704" s="11"/>
      <c r="H19704" s="11"/>
      <c r="I19704" s="15"/>
    </row>
    <row r="19705" spans="1:9" ht="16.5">
      <c r="A19705" s="10" t="b">
        <v>0</v>
      </c>
      <c r="B19705" s="11" t="str">
        <f>IF(D19705&lt;&gt;"",IF(COUNTIF('USPTO TMs'!A:A,D19705)&gt;0,"Yes","No"),"")</f>
        <v/>
      </c>
      <c r="C19705" s="11"/>
      <c r="D19705" s="11"/>
      <c r="E19705" s="11"/>
      <c r="F19705" s="11"/>
      <c r="G19705" s="11"/>
      <c r="H19705" s="11"/>
      <c r="I19705" s="15"/>
    </row>
    <row r="19706" spans="1:9" ht="16.5">
      <c r="A19706" s="10" t="b">
        <v>0</v>
      </c>
      <c r="B19706" s="11" t="str">
        <f>IF(D19706&lt;&gt;"",IF(COUNTIF('USPTO TMs'!A:A,D19706)&gt;0,"Yes","No"),"")</f>
        <v/>
      </c>
      <c r="C19706" s="11"/>
      <c r="D19706" s="11"/>
      <c r="E19706" s="11"/>
      <c r="F19706" s="11"/>
      <c r="G19706" s="11"/>
      <c r="H19706" s="11"/>
      <c r="I19706" s="15"/>
    </row>
    <row r="19707" spans="1:9" ht="16.5">
      <c r="A19707" s="10" t="b">
        <v>0</v>
      </c>
      <c r="B19707" s="11" t="str">
        <f>IF(D19707&lt;&gt;"",IF(COUNTIF('USPTO TMs'!A:A,D19707)&gt;0,"Yes","No"),"")</f>
        <v/>
      </c>
      <c r="C19707" s="11"/>
      <c r="D19707" s="11"/>
      <c r="E19707" s="11"/>
      <c r="F19707" s="11"/>
      <c r="G19707" s="11"/>
      <c r="H19707" s="11"/>
      <c r="I19707" s="15"/>
    </row>
    <row r="19708" spans="1:9" ht="16.5">
      <c r="A19708" s="10" t="b">
        <v>0</v>
      </c>
      <c r="B19708" s="11" t="str">
        <f>IF(D19708&lt;&gt;"",IF(COUNTIF('USPTO TMs'!A:A,D19708)&gt;0,"Yes","No"),"")</f>
        <v/>
      </c>
      <c r="C19708" s="11"/>
      <c r="D19708" s="11"/>
      <c r="E19708" s="11"/>
      <c r="F19708" s="11"/>
      <c r="G19708" s="11"/>
      <c r="H19708" s="11"/>
      <c r="I19708" s="15"/>
    </row>
    <row r="19709" spans="1:9" ht="16.5">
      <c r="A19709" s="10" t="b">
        <v>0</v>
      </c>
      <c r="B19709" s="11" t="str">
        <f>IF(D19709&lt;&gt;"",IF(COUNTIF('USPTO TMs'!A:A,D19709)&gt;0,"Yes","No"),"")</f>
        <v/>
      </c>
      <c r="C19709" s="11"/>
      <c r="D19709" s="11"/>
      <c r="E19709" s="11"/>
      <c r="F19709" s="11"/>
      <c r="G19709" s="11"/>
      <c r="H19709" s="11"/>
      <c r="I19709" s="15"/>
    </row>
    <row r="19710" spans="1:9" ht="16.5">
      <c r="A19710" s="10" t="b">
        <v>0</v>
      </c>
      <c r="B19710" s="11" t="str">
        <f>IF(D19710&lt;&gt;"",IF(COUNTIF('USPTO TMs'!A:A,D19710)&gt;0,"Yes","No"),"")</f>
        <v/>
      </c>
      <c r="C19710" s="11"/>
      <c r="D19710" s="11"/>
      <c r="E19710" s="11"/>
      <c r="F19710" s="11"/>
      <c r="G19710" s="11"/>
      <c r="H19710" s="11"/>
      <c r="I19710" s="15"/>
    </row>
    <row r="19711" spans="1:9" ht="16.5">
      <c r="A19711" s="10" t="b">
        <v>0</v>
      </c>
      <c r="B19711" s="11" t="str">
        <f>IF(D19711&lt;&gt;"",IF(COUNTIF('USPTO TMs'!A:A,D19711)&gt;0,"Yes","No"),"")</f>
        <v/>
      </c>
      <c r="C19711" s="11"/>
      <c r="D19711" s="11"/>
      <c r="E19711" s="11"/>
      <c r="F19711" s="11"/>
      <c r="G19711" s="11"/>
      <c r="H19711" s="11"/>
      <c r="I19711" s="15"/>
    </row>
    <row r="19712" spans="1:9" ht="16.5">
      <c r="A19712" s="10" t="b">
        <v>0</v>
      </c>
      <c r="B19712" s="11" t="str">
        <f>IF(D19712&lt;&gt;"",IF(COUNTIF('USPTO TMs'!A:A,D19712)&gt;0,"Yes","No"),"")</f>
        <v/>
      </c>
      <c r="C19712" s="11"/>
      <c r="D19712" s="11"/>
      <c r="E19712" s="11"/>
      <c r="F19712" s="11"/>
      <c r="G19712" s="11"/>
      <c r="H19712" s="11"/>
      <c r="I19712" s="15"/>
    </row>
    <row r="19713" spans="1:9" ht="16.5">
      <c r="A19713" s="10" t="b">
        <v>0</v>
      </c>
      <c r="B19713" s="11" t="str">
        <f>IF(D19713&lt;&gt;"",IF(COUNTIF('USPTO TMs'!A:A,D19713)&gt;0,"Yes","No"),"")</f>
        <v/>
      </c>
      <c r="C19713" s="11"/>
      <c r="D19713" s="11"/>
      <c r="E19713" s="11"/>
      <c r="F19713" s="11"/>
      <c r="G19713" s="11"/>
      <c r="H19713" s="11"/>
      <c r="I19713" s="15"/>
    </row>
    <row r="19714" spans="1:9" ht="16.5">
      <c r="A19714" s="10" t="b">
        <v>0</v>
      </c>
      <c r="B19714" s="11" t="str">
        <f>IF(D19714&lt;&gt;"",IF(COUNTIF('USPTO TMs'!A:A,D19714)&gt;0,"Yes","No"),"")</f>
        <v/>
      </c>
      <c r="C19714" s="11"/>
      <c r="D19714" s="11"/>
      <c r="E19714" s="11"/>
      <c r="F19714" s="11"/>
      <c r="G19714" s="11"/>
      <c r="H19714" s="11"/>
      <c r="I19714" s="15"/>
    </row>
    <row r="19715" spans="1:9" ht="16.5">
      <c r="A19715" s="10" t="b">
        <v>0</v>
      </c>
      <c r="B19715" s="11" t="str">
        <f>IF(D19715&lt;&gt;"",IF(COUNTIF('USPTO TMs'!A:A,D19715)&gt;0,"Yes","No"),"")</f>
        <v/>
      </c>
      <c r="C19715" s="11"/>
      <c r="D19715" s="11"/>
      <c r="E19715" s="11"/>
      <c r="F19715" s="11"/>
      <c r="G19715" s="11"/>
      <c r="H19715" s="11"/>
      <c r="I19715" s="15"/>
    </row>
    <row r="19716" spans="1:9" ht="16.5">
      <c r="A19716" s="10" t="b">
        <v>0</v>
      </c>
      <c r="B19716" s="11" t="str">
        <f>IF(D19716&lt;&gt;"",IF(COUNTIF('USPTO TMs'!A:A,D19716)&gt;0,"Yes","No"),"")</f>
        <v/>
      </c>
      <c r="C19716" s="11"/>
      <c r="D19716" s="11"/>
      <c r="E19716" s="11"/>
      <c r="F19716" s="11"/>
      <c r="G19716" s="11"/>
      <c r="H19716" s="11"/>
      <c r="I19716" s="15"/>
    </row>
    <row r="19717" spans="1:9" ht="16.5">
      <c r="A19717" s="10" t="b">
        <v>0</v>
      </c>
      <c r="B19717" s="11" t="str">
        <f>IF(D19717&lt;&gt;"",IF(COUNTIF('USPTO TMs'!A:A,D19717)&gt;0,"Yes","No"),"")</f>
        <v/>
      </c>
      <c r="C19717" s="11"/>
      <c r="D19717" s="11"/>
      <c r="E19717" s="11"/>
      <c r="F19717" s="11"/>
      <c r="G19717" s="11"/>
      <c r="H19717" s="11"/>
      <c r="I19717" s="15"/>
    </row>
    <row r="19718" spans="1:9" ht="16.5">
      <c r="A19718" s="10" t="b">
        <v>0</v>
      </c>
      <c r="B19718" s="11" t="str">
        <f>IF(D19718&lt;&gt;"",IF(COUNTIF('USPTO TMs'!A:A,D19718)&gt;0,"Yes","No"),"")</f>
        <v/>
      </c>
      <c r="C19718" s="11"/>
      <c r="D19718" s="11"/>
      <c r="E19718" s="11"/>
      <c r="F19718" s="11"/>
      <c r="G19718" s="11"/>
      <c r="H19718" s="11"/>
      <c r="I19718" s="15"/>
    </row>
    <row r="19719" spans="1:9" ht="16.5">
      <c r="A19719" s="10" t="b">
        <v>0</v>
      </c>
      <c r="B19719" s="11" t="str">
        <f>IF(D19719&lt;&gt;"",IF(COUNTIF('USPTO TMs'!A:A,D19719)&gt;0,"Yes","No"),"")</f>
        <v/>
      </c>
      <c r="C19719" s="11"/>
      <c r="D19719" s="11"/>
      <c r="E19719" s="11"/>
      <c r="F19719" s="11"/>
      <c r="G19719" s="11"/>
      <c r="H19719" s="11"/>
      <c r="I19719" s="15"/>
    </row>
    <row r="19720" spans="1:9" ht="16.5">
      <c r="A19720" s="10" t="b">
        <v>0</v>
      </c>
      <c r="B19720" s="11" t="str">
        <f>IF(D19720&lt;&gt;"",IF(COUNTIF('USPTO TMs'!A:A,D19720)&gt;0,"Yes","No"),"")</f>
        <v/>
      </c>
      <c r="C19720" s="11"/>
      <c r="D19720" s="11"/>
      <c r="E19720" s="11"/>
      <c r="F19720" s="11"/>
      <c r="G19720" s="11"/>
      <c r="H19720" s="11"/>
      <c r="I19720" s="15"/>
    </row>
    <row r="19721" spans="1:9" ht="16.5">
      <c r="A19721" s="10" t="b">
        <v>0</v>
      </c>
      <c r="B19721" s="11" t="str">
        <f>IF(D19721&lt;&gt;"",IF(COUNTIF('USPTO TMs'!A:A,D19721)&gt;0,"Yes","No"),"")</f>
        <v/>
      </c>
      <c r="C19721" s="11"/>
      <c r="D19721" s="11"/>
      <c r="E19721" s="11"/>
      <c r="F19721" s="11"/>
      <c r="G19721" s="11"/>
      <c r="H19721" s="11"/>
      <c r="I19721" s="15"/>
    </row>
    <row r="19722" spans="1:9" ht="16.5">
      <c r="A19722" s="10" t="b">
        <v>0</v>
      </c>
      <c r="B19722" s="11" t="str">
        <f>IF(D19722&lt;&gt;"",IF(COUNTIF('USPTO TMs'!A:A,D19722)&gt;0,"Yes","No"),"")</f>
        <v/>
      </c>
      <c r="C19722" s="11"/>
      <c r="D19722" s="11"/>
      <c r="E19722" s="11"/>
      <c r="F19722" s="11"/>
      <c r="G19722" s="11"/>
      <c r="H19722" s="11"/>
      <c r="I19722" s="15"/>
    </row>
    <row r="19723" spans="1:9" ht="16.5">
      <c r="A19723" s="10" t="b">
        <v>0</v>
      </c>
      <c r="B19723" s="11" t="str">
        <f>IF(D19723&lt;&gt;"",IF(COUNTIF('USPTO TMs'!A:A,D19723)&gt;0,"Yes","No"),"")</f>
        <v/>
      </c>
      <c r="C19723" s="11"/>
      <c r="D19723" s="11"/>
      <c r="E19723" s="11"/>
      <c r="F19723" s="11"/>
      <c r="G19723" s="11"/>
      <c r="H19723" s="11"/>
      <c r="I19723" s="15"/>
    </row>
    <row r="19724" spans="1:9" ht="16.5">
      <c r="A19724" s="10" t="b">
        <v>0</v>
      </c>
      <c r="B19724" s="11" t="str">
        <f>IF(D19724&lt;&gt;"",IF(COUNTIF('USPTO TMs'!A:A,D19724)&gt;0,"Yes","No"),"")</f>
        <v/>
      </c>
      <c r="C19724" s="11"/>
      <c r="D19724" s="11"/>
      <c r="E19724" s="11"/>
      <c r="F19724" s="11"/>
      <c r="G19724" s="11"/>
      <c r="H19724" s="11"/>
      <c r="I19724" s="15"/>
    </row>
    <row r="19725" spans="1:9" ht="16.5">
      <c r="A19725" s="10" t="b">
        <v>0</v>
      </c>
      <c r="B19725" s="11" t="str">
        <f>IF(D19725&lt;&gt;"",IF(COUNTIF('USPTO TMs'!A:A,D19725)&gt;0,"Yes","No"),"")</f>
        <v/>
      </c>
      <c r="C19725" s="11"/>
      <c r="D19725" s="11"/>
      <c r="E19725" s="11"/>
      <c r="F19725" s="11"/>
      <c r="G19725" s="11"/>
      <c r="H19725" s="11"/>
      <c r="I19725" s="15"/>
    </row>
    <row r="19726" spans="1:9" ht="16.5">
      <c r="A19726" s="10" t="b">
        <v>0</v>
      </c>
      <c r="B19726" s="11" t="str">
        <f>IF(D19726&lt;&gt;"",IF(COUNTIF('USPTO TMs'!A:A,D19726)&gt;0,"Yes","No"),"")</f>
        <v/>
      </c>
      <c r="C19726" s="11"/>
      <c r="D19726" s="11"/>
      <c r="E19726" s="11"/>
      <c r="F19726" s="11"/>
      <c r="G19726" s="11"/>
      <c r="H19726" s="11"/>
      <c r="I19726" s="15"/>
    </row>
    <row r="19727" spans="1:9" ht="16.5">
      <c r="A19727" s="10" t="b">
        <v>0</v>
      </c>
      <c r="B19727" s="11" t="str">
        <f>IF(D19727&lt;&gt;"",IF(COUNTIF('USPTO TMs'!A:A,D19727)&gt;0,"Yes","No"),"")</f>
        <v/>
      </c>
      <c r="C19727" s="11"/>
      <c r="D19727" s="11"/>
      <c r="E19727" s="11"/>
      <c r="F19727" s="11"/>
      <c r="G19727" s="11"/>
      <c r="H19727" s="11"/>
      <c r="I19727" s="15"/>
    </row>
    <row r="19728" spans="1:9" ht="16.5">
      <c r="A19728" s="10" t="b">
        <v>0</v>
      </c>
      <c r="B19728" s="11" t="str">
        <f>IF(D19728&lt;&gt;"",IF(COUNTIF('USPTO TMs'!A:A,D19728)&gt;0,"Yes","No"),"")</f>
        <v/>
      </c>
      <c r="C19728" s="11"/>
      <c r="D19728" s="11"/>
      <c r="E19728" s="11"/>
      <c r="F19728" s="11"/>
      <c r="G19728" s="11"/>
      <c r="H19728" s="11"/>
      <c r="I19728" s="15"/>
    </row>
    <row r="19729" spans="1:9" ht="16.5">
      <c r="A19729" s="10" t="b">
        <v>0</v>
      </c>
      <c r="B19729" s="11" t="str">
        <f>IF(D19729&lt;&gt;"",IF(COUNTIF('USPTO TMs'!A:A,D19729)&gt;0,"Yes","No"),"")</f>
        <v/>
      </c>
      <c r="C19729" s="11"/>
      <c r="D19729" s="11"/>
      <c r="E19729" s="11"/>
      <c r="F19729" s="11"/>
      <c r="G19729" s="11"/>
      <c r="H19729" s="11"/>
      <c r="I19729" s="15"/>
    </row>
    <row r="19730" spans="1:9" ht="16.5">
      <c r="A19730" s="10" t="b">
        <v>0</v>
      </c>
      <c r="B19730" s="11" t="str">
        <f>IF(D19730&lt;&gt;"",IF(COUNTIF('USPTO TMs'!A:A,D19730)&gt;0,"Yes","No"),"")</f>
        <v/>
      </c>
      <c r="C19730" s="11"/>
      <c r="D19730" s="11"/>
      <c r="E19730" s="11"/>
      <c r="F19730" s="11"/>
      <c r="G19730" s="11"/>
      <c r="H19730" s="11"/>
      <c r="I19730" s="15"/>
    </row>
    <row r="19731" spans="1:9" ht="16.5">
      <c r="A19731" s="10" t="b">
        <v>0</v>
      </c>
      <c r="B19731" s="11" t="str">
        <f>IF(D19731&lt;&gt;"",IF(COUNTIF('USPTO TMs'!A:A,D19731)&gt;0,"Yes","No"),"")</f>
        <v/>
      </c>
      <c r="C19731" s="11"/>
      <c r="D19731" s="11"/>
      <c r="E19731" s="11"/>
      <c r="F19731" s="11"/>
      <c r="G19731" s="11"/>
      <c r="H19731" s="11"/>
      <c r="I19731" s="15"/>
    </row>
    <row r="19732" spans="1:9" ht="16.5">
      <c r="A19732" s="10" t="b">
        <v>0</v>
      </c>
      <c r="B19732" s="11" t="str">
        <f>IF(D19732&lt;&gt;"",IF(COUNTIF('USPTO TMs'!A:A,D19732)&gt;0,"Yes","No"),"")</f>
        <v/>
      </c>
      <c r="C19732" s="11"/>
      <c r="D19732" s="11"/>
      <c r="E19732" s="11"/>
      <c r="F19732" s="11"/>
      <c r="G19732" s="11"/>
      <c r="H19732" s="11"/>
      <c r="I19732" s="15"/>
    </row>
    <row r="19733" spans="1:9" ht="16.5">
      <c r="A19733" s="10" t="b">
        <v>0</v>
      </c>
      <c r="B19733" s="11" t="str">
        <f>IF(D19733&lt;&gt;"",IF(COUNTIF('USPTO TMs'!A:A,D19733)&gt;0,"Yes","No"),"")</f>
        <v/>
      </c>
      <c r="C19733" s="11"/>
      <c r="D19733" s="11"/>
      <c r="E19733" s="11"/>
      <c r="F19733" s="11"/>
      <c r="G19733" s="11"/>
      <c r="H19733" s="11"/>
      <c r="I19733" s="15"/>
    </row>
    <row r="19734" spans="1:9" ht="16.5">
      <c r="A19734" s="10" t="b">
        <v>0</v>
      </c>
      <c r="B19734" s="11" t="str">
        <f>IF(D19734&lt;&gt;"",IF(COUNTIF('USPTO TMs'!A:A,D19734)&gt;0,"Yes","No"),"")</f>
        <v/>
      </c>
      <c r="C19734" s="11"/>
      <c r="D19734" s="11"/>
      <c r="E19734" s="11"/>
      <c r="F19734" s="11"/>
      <c r="G19734" s="11"/>
      <c r="H19734" s="11"/>
      <c r="I19734" s="15"/>
    </row>
    <row r="19735" spans="1:9" ht="16.5">
      <c r="A19735" s="10" t="b">
        <v>0</v>
      </c>
      <c r="B19735" s="11" t="str">
        <f>IF(D19735&lt;&gt;"",IF(COUNTIF('USPTO TMs'!A:A,D19735)&gt;0,"Yes","No"),"")</f>
        <v/>
      </c>
      <c r="C19735" s="11"/>
      <c r="D19735" s="11"/>
      <c r="E19735" s="11"/>
      <c r="F19735" s="11"/>
      <c r="G19735" s="11"/>
      <c r="H19735" s="11"/>
      <c r="I19735" s="15"/>
    </row>
    <row r="19736" spans="1:9" ht="16.5">
      <c r="A19736" s="10" t="b">
        <v>0</v>
      </c>
      <c r="B19736" s="11" t="str">
        <f>IF(D19736&lt;&gt;"",IF(COUNTIF('USPTO TMs'!A:A,D19736)&gt;0,"Yes","No"),"")</f>
        <v/>
      </c>
      <c r="C19736" s="11"/>
      <c r="D19736" s="11"/>
      <c r="E19736" s="11"/>
      <c r="F19736" s="11"/>
      <c r="G19736" s="11"/>
      <c r="H19736" s="11"/>
      <c r="I19736" s="15"/>
    </row>
    <row r="19737" spans="1:9" ht="16.5">
      <c r="A19737" s="10" t="b">
        <v>0</v>
      </c>
      <c r="B19737" s="11" t="str">
        <f>IF(D19737&lt;&gt;"",IF(COUNTIF('USPTO TMs'!A:A,D19737)&gt;0,"Yes","No"),"")</f>
        <v/>
      </c>
      <c r="C19737" s="11"/>
      <c r="D19737" s="11"/>
      <c r="E19737" s="11"/>
      <c r="F19737" s="11"/>
      <c r="G19737" s="11"/>
      <c r="H19737" s="11"/>
      <c r="I19737" s="15"/>
    </row>
    <row r="19738" spans="1:9" ht="16.5">
      <c r="A19738" s="10" t="b">
        <v>0</v>
      </c>
      <c r="B19738" s="11" t="str">
        <f>IF(D19738&lt;&gt;"",IF(COUNTIF('USPTO TMs'!A:A,D19738)&gt;0,"Yes","No"),"")</f>
        <v/>
      </c>
      <c r="C19738" s="11"/>
      <c r="D19738" s="11"/>
      <c r="E19738" s="11"/>
      <c r="F19738" s="11"/>
      <c r="G19738" s="11"/>
      <c r="H19738" s="11"/>
      <c r="I19738" s="15"/>
    </row>
    <row r="19739" spans="1:9" ht="16.5">
      <c r="A19739" s="10" t="b">
        <v>0</v>
      </c>
      <c r="B19739" s="11" t="str">
        <f>IF(D19739&lt;&gt;"",IF(COUNTIF('USPTO TMs'!A:A,D19739)&gt;0,"Yes","No"),"")</f>
        <v/>
      </c>
      <c r="C19739" s="11"/>
      <c r="D19739" s="11"/>
      <c r="E19739" s="11"/>
      <c r="F19739" s="11"/>
      <c r="G19739" s="11"/>
      <c r="H19739" s="11"/>
      <c r="I19739" s="15"/>
    </row>
    <row r="19740" spans="1:9" ht="16.5">
      <c r="A19740" s="10" t="b">
        <v>0</v>
      </c>
      <c r="B19740" s="11" t="str">
        <f>IF(D19740&lt;&gt;"",IF(COUNTIF('USPTO TMs'!A:A,D19740)&gt;0,"Yes","No"),"")</f>
        <v/>
      </c>
      <c r="C19740" s="11"/>
      <c r="D19740" s="11"/>
      <c r="E19740" s="11"/>
      <c r="F19740" s="11"/>
      <c r="G19740" s="11"/>
      <c r="H19740" s="11"/>
      <c r="I19740" s="15"/>
    </row>
    <row r="19741" spans="1:9" ht="16.5">
      <c r="A19741" s="10" t="b">
        <v>0</v>
      </c>
      <c r="B19741" s="11" t="str">
        <f>IF(D19741&lt;&gt;"",IF(COUNTIF('USPTO TMs'!A:A,D19741)&gt;0,"Yes","No"),"")</f>
        <v/>
      </c>
      <c r="C19741" s="11"/>
      <c r="D19741" s="11"/>
      <c r="E19741" s="11"/>
      <c r="F19741" s="11"/>
      <c r="G19741" s="11"/>
      <c r="H19741" s="11"/>
      <c r="I19741" s="15"/>
    </row>
    <row r="19742" spans="1:9" ht="16.5">
      <c r="A19742" s="10" t="b">
        <v>0</v>
      </c>
      <c r="B19742" s="11" t="str">
        <f>IF(D19742&lt;&gt;"",IF(COUNTIF('USPTO TMs'!A:A,D19742)&gt;0,"Yes","No"),"")</f>
        <v/>
      </c>
      <c r="C19742" s="11"/>
      <c r="D19742" s="11"/>
      <c r="E19742" s="11"/>
      <c r="F19742" s="11"/>
      <c r="G19742" s="11"/>
      <c r="H19742" s="11"/>
      <c r="I19742" s="15"/>
    </row>
    <row r="19743" spans="1:9" ht="16.5">
      <c r="A19743" s="10" t="b">
        <v>0</v>
      </c>
      <c r="B19743" s="11" t="str">
        <f>IF(D19743&lt;&gt;"",IF(COUNTIF('USPTO TMs'!A:A,D19743)&gt;0,"Yes","No"),"")</f>
        <v/>
      </c>
      <c r="C19743" s="11"/>
      <c r="D19743" s="11"/>
      <c r="E19743" s="11"/>
      <c r="F19743" s="11"/>
      <c r="G19743" s="11"/>
      <c r="H19743" s="11"/>
      <c r="I19743" s="15"/>
    </row>
    <row r="19744" spans="1:9" ht="16.5">
      <c r="A19744" s="10" t="b">
        <v>0</v>
      </c>
      <c r="B19744" s="11" t="str">
        <f>IF(D19744&lt;&gt;"",IF(COUNTIF('USPTO TMs'!A:A,D19744)&gt;0,"Yes","No"),"")</f>
        <v/>
      </c>
      <c r="C19744" s="11"/>
      <c r="D19744" s="11"/>
      <c r="E19744" s="11"/>
      <c r="F19744" s="11"/>
      <c r="G19744" s="11"/>
      <c r="H19744" s="11"/>
      <c r="I19744" s="15"/>
    </row>
    <row r="19745" spans="1:9" ht="16.5">
      <c r="A19745" s="10" t="b">
        <v>0</v>
      </c>
      <c r="B19745" s="11" t="str">
        <f>IF(D19745&lt;&gt;"",IF(COUNTIF('USPTO TMs'!A:A,D19745)&gt;0,"Yes","No"),"")</f>
        <v/>
      </c>
      <c r="C19745" s="11"/>
      <c r="D19745" s="11"/>
      <c r="E19745" s="11"/>
      <c r="F19745" s="11"/>
      <c r="G19745" s="11"/>
      <c r="H19745" s="11"/>
      <c r="I19745" s="15"/>
    </row>
    <row r="19746" spans="1:9" ht="16.5">
      <c r="A19746" s="10" t="b">
        <v>0</v>
      </c>
      <c r="B19746" s="11" t="str">
        <f>IF(D19746&lt;&gt;"",IF(COUNTIF('USPTO TMs'!A:A,D19746)&gt;0,"Yes","No"),"")</f>
        <v/>
      </c>
      <c r="C19746" s="11"/>
      <c r="D19746" s="11"/>
      <c r="E19746" s="11"/>
      <c r="F19746" s="11"/>
      <c r="G19746" s="11"/>
      <c r="H19746" s="11"/>
      <c r="I19746" s="15"/>
    </row>
    <row r="19747" spans="1:9" ht="16.5">
      <c r="A19747" s="10" t="b">
        <v>0</v>
      </c>
      <c r="B19747" s="11" t="str">
        <f>IF(D19747&lt;&gt;"",IF(COUNTIF('USPTO TMs'!A:A,D19747)&gt;0,"Yes","No"),"")</f>
        <v/>
      </c>
      <c r="C19747" s="11"/>
      <c r="D19747" s="11"/>
      <c r="E19747" s="11"/>
      <c r="F19747" s="11"/>
      <c r="G19747" s="11"/>
      <c r="H19747" s="11"/>
      <c r="I19747" s="15"/>
    </row>
    <row r="19748" spans="1:9" ht="16.5">
      <c r="A19748" s="10" t="b">
        <v>0</v>
      </c>
      <c r="B19748" s="11" t="str">
        <f>IF(D19748&lt;&gt;"",IF(COUNTIF('USPTO TMs'!A:A,D19748)&gt;0,"Yes","No"),"")</f>
        <v/>
      </c>
      <c r="C19748" s="11"/>
      <c r="D19748" s="11"/>
      <c r="E19748" s="11"/>
      <c r="F19748" s="11"/>
      <c r="G19748" s="11"/>
      <c r="H19748" s="11"/>
      <c r="I19748" s="15"/>
    </row>
    <row r="19749" spans="1:9" ht="16.5">
      <c r="A19749" s="10" t="b">
        <v>0</v>
      </c>
      <c r="B19749" s="11" t="str">
        <f>IF(D19749&lt;&gt;"",IF(COUNTIF('USPTO TMs'!A:A,D19749)&gt;0,"Yes","No"),"")</f>
        <v/>
      </c>
      <c r="C19749" s="11"/>
      <c r="D19749" s="11"/>
      <c r="E19749" s="11"/>
      <c r="F19749" s="11"/>
      <c r="G19749" s="11"/>
      <c r="H19749" s="11"/>
      <c r="I19749" s="15"/>
    </row>
    <row r="19750" spans="1:9" ht="16.5">
      <c r="A19750" s="10" t="b">
        <v>0</v>
      </c>
      <c r="B19750" s="11" t="str">
        <f>IF(D19750&lt;&gt;"",IF(COUNTIF('USPTO TMs'!A:A,D19750)&gt;0,"Yes","No"),"")</f>
        <v/>
      </c>
      <c r="C19750" s="11"/>
      <c r="D19750" s="11"/>
      <c r="E19750" s="11"/>
      <c r="F19750" s="11"/>
      <c r="G19750" s="11"/>
      <c r="H19750" s="11"/>
      <c r="I19750" s="15"/>
    </row>
    <row r="19751" spans="1:9" ht="16.5">
      <c r="A19751" s="10" t="b">
        <v>0</v>
      </c>
      <c r="B19751" s="11" t="str">
        <f>IF(D19751&lt;&gt;"",IF(COUNTIF('USPTO TMs'!A:A,D19751)&gt;0,"Yes","No"),"")</f>
        <v/>
      </c>
      <c r="C19751" s="11"/>
      <c r="D19751" s="11"/>
      <c r="E19751" s="11"/>
      <c r="F19751" s="11"/>
      <c r="G19751" s="11"/>
      <c r="H19751" s="11"/>
      <c r="I19751" s="15"/>
    </row>
    <row r="19752" spans="1:9" ht="16.5">
      <c r="A19752" s="10" t="b">
        <v>0</v>
      </c>
      <c r="B19752" s="11" t="str">
        <f>IF(D19752&lt;&gt;"",IF(COUNTIF('USPTO TMs'!A:A,D19752)&gt;0,"Yes","No"),"")</f>
        <v/>
      </c>
      <c r="C19752" s="11"/>
      <c r="D19752" s="11"/>
      <c r="E19752" s="11"/>
      <c r="F19752" s="11"/>
      <c r="G19752" s="11"/>
      <c r="H19752" s="11"/>
      <c r="I19752" s="15"/>
    </row>
    <row r="19753" spans="1:9" ht="16.5">
      <c r="A19753" s="10" t="b">
        <v>0</v>
      </c>
      <c r="B19753" s="11" t="str">
        <f>IF(D19753&lt;&gt;"",IF(COUNTIF('USPTO TMs'!A:A,D19753)&gt;0,"Yes","No"),"")</f>
        <v/>
      </c>
      <c r="C19753" s="11"/>
      <c r="D19753" s="11"/>
      <c r="E19753" s="11"/>
      <c r="F19753" s="11"/>
      <c r="G19753" s="11"/>
      <c r="H19753" s="11"/>
      <c r="I19753" s="15"/>
    </row>
    <row r="19754" spans="1:9" ht="16.5">
      <c r="A19754" s="10" t="b">
        <v>0</v>
      </c>
      <c r="B19754" s="11" t="str">
        <f>IF(D19754&lt;&gt;"",IF(COUNTIF('USPTO TMs'!A:A,D19754)&gt;0,"Yes","No"),"")</f>
        <v/>
      </c>
      <c r="C19754" s="11"/>
      <c r="D19754" s="11"/>
      <c r="E19754" s="11"/>
      <c r="F19754" s="11"/>
      <c r="G19754" s="11"/>
      <c r="H19754" s="11"/>
      <c r="I19754" s="15"/>
    </row>
    <row r="19755" spans="1:9" ht="16.5">
      <c r="A19755" s="10" t="b">
        <v>0</v>
      </c>
      <c r="B19755" s="11" t="str">
        <f>IF(D19755&lt;&gt;"",IF(COUNTIF('USPTO TMs'!A:A,D19755)&gt;0,"Yes","No"),"")</f>
        <v/>
      </c>
      <c r="C19755" s="11"/>
      <c r="D19755" s="11"/>
      <c r="E19755" s="11"/>
      <c r="F19755" s="11"/>
      <c r="G19755" s="11"/>
      <c r="H19755" s="11"/>
      <c r="I19755" s="15"/>
    </row>
    <row r="19756" spans="1:9" ht="16.5">
      <c r="A19756" s="10" t="b">
        <v>0</v>
      </c>
      <c r="B19756" s="11" t="str">
        <f>IF(D19756&lt;&gt;"",IF(COUNTIF('USPTO TMs'!A:A,D19756)&gt;0,"Yes","No"),"")</f>
        <v/>
      </c>
      <c r="C19756" s="11"/>
      <c r="D19756" s="11"/>
      <c r="E19756" s="11"/>
      <c r="F19756" s="11"/>
      <c r="G19756" s="11"/>
      <c r="H19756" s="11"/>
      <c r="I19756" s="15"/>
    </row>
    <row r="19757" spans="1:9" ht="16.5">
      <c r="A19757" s="10" t="b">
        <v>0</v>
      </c>
      <c r="B19757" s="11" t="str">
        <f>IF(D19757&lt;&gt;"",IF(COUNTIF('USPTO TMs'!A:A,D19757)&gt;0,"Yes","No"),"")</f>
        <v/>
      </c>
      <c r="C19757" s="11"/>
      <c r="D19757" s="11"/>
      <c r="E19757" s="11"/>
      <c r="F19757" s="11"/>
      <c r="G19757" s="11"/>
      <c r="H19757" s="11"/>
      <c r="I19757" s="15"/>
    </row>
    <row r="19758" spans="1:9" ht="16.5">
      <c r="A19758" s="10" t="b">
        <v>0</v>
      </c>
      <c r="B19758" s="11" t="str">
        <f>IF(D19758&lt;&gt;"",IF(COUNTIF('USPTO TMs'!A:A,D19758)&gt;0,"Yes","No"),"")</f>
        <v/>
      </c>
      <c r="C19758" s="11"/>
      <c r="D19758" s="11"/>
      <c r="E19758" s="11"/>
      <c r="F19758" s="11"/>
      <c r="G19758" s="11"/>
      <c r="H19758" s="11"/>
      <c r="I19758" s="15"/>
    </row>
    <row r="19759" spans="1:9" ht="16.5">
      <c r="A19759" s="10" t="b">
        <v>0</v>
      </c>
      <c r="B19759" s="11" t="str">
        <f>IF(D19759&lt;&gt;"",IF(COUNTIF('USPTO TMs'!A:A,D19759)&gt;0,"Yes","No"),"")</f>
        <v/>
      </c>
      <c r="C19759" s="11"/>
      <c r="D19759" s="11"/>
      <c r="E19759" s="11"/>
      <c r="F19759" s="11"/>
      <c r="G19759" s="11"/>
      <c r="H19759" s="11"/>
      <c r="I19759" s="15"/>
    </row>
    <row r="19760" spans="1:9" ht="16.5">
      <c r="A19760" s="10" t="b">
        <v>0</v>
      </c>
      <c r="B19760" s="11" t="str">
        <f>IF(D19760&lt;&gt;"",IF(COUNTIF('USPTO TMs'!A:A,D19760)&gt;0,"Yes","No"),"")</f>
        <v/>
      </c>
      <c r="C19760" s="11"/>
      <c r="D19760" s="11"/>
      <c r="E19760" s="11"/>
      <c r="F19760" s="11"/>
      <c r="G19760" s="11"/>
      <c r="H19760" s="11"/>
      <c r="I19760" s="15"/>
    </row>
    <row r="19761" spans="1:9" ht="16.5">
      <c r="A19761" s="10" t="b">
        <v>0</v>
      </c>
      <c r="B19761" s="11" t="str">
        <f>IF(D19761&lt;&gt;"",IF(COUNTIF('USPTO TMs'!A:A,D19761)&gt;0,"Yes","No"),"")</f>
        <v/>
      </c>
      <c r="C19761" s="11"/>
      <c r="D19761" s="11"/>
      <c r="E19761" s="11"/>
      <c r="F19761" s="11"/>
      <c r="G19761" s="11"/>
      <c r="H19761" s="11"/>
      <c r="I19761" s="15"/>
    </row>
    <row r="19762" spans="1:9" ht="16.5">
      <c r="A19762" s="10" t="b">
        <v>0</v>
      </c>
      <c r="B19762" s="11" t="str">
        <f>IF(D19762&lt;&gt;"",IF(COUNTIF('USPTO TMs'!A:A,D19762)&gt;0,"Yes","No"),"")</f>
        <v/>
      </c>
      <c r="C19762" s="11"/>
      <c r="D19762" s="11"/>
      <c r="E19762" s="11"/>
      <c r="F19762" s="11"/>
      <c r="G19762" s="11"/>
      <c r="H19762" s="11"/>
      <c r="I19762" s="15"/>
    </row>
    <row r="19763" spans="1:9" ht="16.5">
      <c r="A19763" s="10" t="b">
        <v>0</v>
      </c>
      <c r="B19763" s="11" t="str">
        <f>IF(D19763&lt;&gt;"",IF(COUNTIF('USPTO TMs'!A:A,D19763)&gt;0,"Yes","No"),"")</f>
        <v/>
      </c>
      <c r="C19763" s="11"/>
      <c r="D19763" s="11"/>
      <c r="E19763" s="11"/>
      <c r="F19763" s="11"/>
      <c r="G19763" s="11"/>
      <c r="H19763" s="11"/>
      <c r="I19763" s="15"/>
    </row>
    <row r="19764" spans="1:9" ht="16.5">
      <c r="A19764" s="10" t="b">
        <v>0</v>
      </c>
      <c r="B19764" s="11" t="str">
        <f>IF(D19764&lt;&gt;"",IF(COUNTIF('USPTO TMs'!A:A,D19764)&gt;0,"Yes","No"),"")</f>
        <v/>
      </c>
      <c r="C19764" s="11"/>
      <c r="D19764" s="11"/>
      <c r="E19764" s="11"/>
      <c r="F19764" s="11"/>
      <c r="G19764" s="11"/>
      <c r="H19764" s="11"/>
      <c r="I19764" s="15"/>
    </row>
    <row r="19765" spans="1:9" ht="16.5">
      <c r="A19765" s="10" t="b">
        <v>0</v>
      </c>
      <c r="B19765" s="11" t="str">
        <f>IF(D19765&lt;&gt;"",IF(COUNTIF('USPTO TMs'!A:A,D19765)&gt;0,"Yes","No"),"")</f>
        <v/>
      </c>
      <c r="C19765" s="11"/>
      <c r="D19765" s="11"/>
      <c r="E19765" s="11"/>
      <c r="F19765" s="11"/>
      <c r="G19765" s="11"/>
      <c r="H19765" s="11"/>
      <c r="I19765" s="15"/>
    </row>
    <row r="19766" spans="1:9" ht="16.5">
      <c r="A19766" s="10" t="b">
        <v>0</v>
      </c>
      <c r="B19766" s="11" t="str">
        <f>IF(D19766&lt;&gt;"",IF(COUNTIF('USPTO TMs'!A:A,D19766)&gt;0,"Yes","No"),"")</f>
        <v/>
      </c>
      <c r="C19766" s="11"/>
      <c r="D19766" s="11"/>
      <c r="E19766" s="11"/>
      <c r="F19766" s="11"/>
      <c r="G19766" s="11"/>
      <c r="H19766" s="11"/>
      <c r="I19766" s="15"/>
    </row>
    <row r="19767" spans="1:9" ht="16.5">
      <c r="A19767" s="10" t="b">
        <v>0</v>
      </c>
      <c r="B19767" s="11" t="str">
        <f>IF(D19767&lt;&gt;"",IF(COUNTIF('USPTO TMs'!A:A,D19767)&gt;0,"Yes","No"),"")</f>
        <v/>
      </c>
      <c r="C19767" s="11"/>
      <c r="D19767" s="11"/>
      <c r="E19767" s="11"/>
      <c r="F19767" s="11"/>
      <c r="G19767" s="11"/>
      <c r="H19767" s="11"/>
      <c r="I19767" s="15"/>
    </row>
    <row r="19768" spans="1:9" ht="16.5">
      <c r="A19768" s="10" t="b">
        <v>0</v>
      </c>
      <c r="B19768" s="11" t="str">
        <f>IF(D19768&lt;&gt;"",IF(COUNTIF('USPTO TMs'!A:A,D19768)&gt;0,"Yes","No"),"")</f>
        <v/>
      </c>
      <c r="C19768" s="11"/>
      <c r="D19768" s="11"/>
      <c r="E19768" s="11"/>
      <c r="F19768" s="11"/>
      <c r="G19768" s="11"/>
      <c r="H19768" s="11"/>
      <c r="I19768" s="15"/>
    </row>
    <row r="19769" spans="1:9" ht="16.5">
      <c r="A19769" s="10" t="b">
        <v>0</v>
      </c>
      <c r="B19769" s="11" t="str">
        <f>IF(D19769&lt;&gt;"",IF(COUNTIF('USPTO TMs'!A:A,D19769)&gt;0,"Yes","No"),"")</f>
        <v/>
      </c>
      <c r="C19769" s="11"/>
      <c r="D19769" s="11"/>
      <c r="E19769" s="11"/>
      <c r="F19769" s="11"/>
      <c r="G19769" s="11"/>
      <c r="H19769" s="11"/>
      <c r="I19769" s="15"/>
    </row>
    <row r="19770" spans="1:9" ht="16.5">
      <c r="A19770" s="10" t="b">
        <v>0</v>
      </c>
      <c r="B19770" s="11" t="str">
        <f>IF(D19770&lt;&gt;"",IF(COUNTIF('USPTO TMs'!A:A,D19770)&gt;0,"Yes","No"),"")</f>
        <v/>
      </c>
      <c r="C19770" s="11"/>
      <c r="D19770" s="11"/>
      <c r="E19770" s="11"/>
      <c r="F19770" s="11"/>
      <c r="G19770" s="11"/>
      <c r="H19770" s="11"/>
      <c r="I19770" s="15"/>
    </row>
    <row r="19771" spans="1:9" ht="16.5">
      <c r="A19771" s="10" t="b">
        <v>0</v>
      </c>
      <c r="B19771" s="11" t="str">
        <f>IF(D19771&lt;&gt;"",IF(COUNTIF('USPTO TMs'!A:A,D19771)&gt;0,"Yes","No"),"")</f>
        <v/>
      </c>
      <c r="C19771" s="11"/>
      <c r="D19771" s="11"/>
      <c r="E19771" s="11"/>
      <c r="F19771" s="11"/>
      <c r="G19771" s="11"/>
      <c r="H19771" s="11"/>
      <c r="I19771" s="15"/>
    </row>
    <row r="19772" spans="1:9" ht="16.5">
      <c r="A19772" s="10" t="b">
        <v>0</v>
      </c>
      <c r="B19772" s="11" t="str">
        <f>IF(D19772&lt;&gt;"",IF(COUNTIF('USPTO TMs'!A:A,D19772)&gt;0,"Yes","No"),"")</f>
        <v/>
      </c>
      <c r="C19772" s="11"/>
      <c r="D19772" s="11"/>
      <c r="E19772" s="11"/>
      <c r="F19772" s="11"/>
      <c r="G19772" s="11"/>
      <c r="H19772" s="11"/>
      <c r="I19772" s="15"/>
    </row>
    <row r="19773" spans="1:9" ht="16.5">
      <c r="A19773" s="10" t="b">
        <v>0</v>
      </c>
      <c r="B19773" s="11" t="str">
        <f>IF(D19773&lt;&gt;"",IF(COUNTIF('USPTO TMs'!A:A,D19773)&gt;0,"Yes","No"),"")</f>
        <v/>
      </c>
      <c r="C19773" s="11"/>
      <c r="D19773" s="11"/>
      <c r="E19773" s="11"/>
      <c r="F19773" s="11"/>
      <c r="G19773" s="11"/>
      <c r="H19773" s="11"/>
      <c r="I19773" s="15"/>
    </row>
    <row r="19774" spans="1:9" ht="16.5">
      <c r="A19774" s="10" t="b">
        <v>0</v>
      </c>
      <c r="B19774" s="11" t="str">
        <f>IF(D19774&lt;&gt;"",IF(COUNTIF('USPTO TMs'!A:A,D19774)&gt;0,"Yes","No"),"")</f>
        <v/>
      </c>
      <c r="C19774" s="11"/>
      <c r="D19774" s="11"/>
      <c r="E19774" s="11"/>
      <c r="F19774" s="11"/>
      <c r="G19774" s="11"/>
      <c r="H19774" s="11"/>
      <c r="I19774" s="15"/>
    </row>
    <row r="19775" spans="1:9" ht="16.5">
      <c r="A19775" s="10" t="b">
        <v>0</v>
      </c>
      <c r="B19775" s="11" t="str">
        <f>IF(D19775&lt;&gt;"",IF(COUNTIF('USPTO TMs'!A:A,D19775)&gt;0,"Yes","No"),"")</f>
        <v/>
      </c>
      <c r="C19775" s="11"/>
      <c r="D19775" s="11"/>
      <c r="E19775" s="11"/>
      <c r="F19775" s="11"/>
      <c r="G19775" s="11"/>
      <c r="H19775" s="11"/>
      <c r="I19775" s="15"/>
    </row>
    <row r="19776" spans="1:9" ht="16.5">
      <c r="A19776" s="10" t="b">
        <v>0</v>
      </c>
      <c r="B19776" s="11" t="str">
        <f>IF(D19776&lt;&gt;"",IF(COUNTIF('USPTO TMs'!A:A,D19776)&gt;0,"Yes","No"),"")</f>
        <v/>
      </c>
      <c r="C19776" s="11"/>
      <c r="D19776" s="11"/>
      <c r="E19776" s="11"/>
      <c r="F19776" s="11"/>
      <c r="G19776" s="11"/>
      <c r="H19776" s="11"/>
      <c r="I19776" s="15"/>
    </row>
    <row r="19777" spans="1:9" ht="16.5">
      <c r="A19777" s="10" t="b">
        <v>0</v>
      </c>
      <c r="B19777" s="11" t="str">
        <f>IF(D19777&lt;&gt;"",IF(COUNTIF('USPTO TMs'!A:A,D19777)&gt;0,"Yes","No"),"")</f>
        <v/>
      </c>
      <c r="C19777" s="11"/>
      <c r="D19777" s="11"/>
      <c r="E19777" s="11"/>
      <c r="F19777" s="11"/>
      <c r="G19777" s="11"/>
      <c r="H19777" s="11"/>
      <c r="I19777" s="15"/>
    </row>
    <row r="19778" spans="1:9" ht="16.5">
      <c r="A19778" s="10" t="b">
        <v>0</v>
      </c>
      <c r="B19778" s="11" t="str">
        <f>IF(D19778&lt;&gt;"",IF(COUNTIF('USPTO TMs'!A:A,D19778)&gt;0,"Yes","No"),"")</f>
        <v/>
      </c>
      <c r="C19778" s="11"/>
      <c r="D19778" s="11"/>
      <c r="E19778" s="11"/>
      <c r="F19778" s="11"/>
      <c r="G19778" s="11"/>
      <c r="H19778" s="11"/>
      <c r="I19778" s="15"/>
    </row>
    <row r="19779" spans="1:9" ht="16.5">
      <c r="A19779" s="10" t="b">
        <v>0</v>
      </c>
      <c r="B19779" s="11" t="str">
        <f>IF(D19779&lt;&gt;"",IF(COUNTIF('USPTO TMs'!A:A,D19779)&gt;0,"Yes","No"),"")</f>
        <v/>
      </c>
      <c r="C19779" s="11"/>
      <c r="D19779" s="11"/>
      <c r="E19779" s="11"/>
      <c r="F19779" s="11"/>
      <c r="G19779" s="11"/>
      <c r="H19779" s="11"/>
      <c r="I19779" s="15"/>
    </row>
    <row r="19780" spans="1:9" ht="16.5">
      <c r="A19780" s="10" t="b">
        <v>0</v>
      </c>
      <c r="B19780" s="11" t="str">
        <f>IF(D19780&lt;&gt;"",IF(COUNTIF('USPTO TMs'!A:A,D19780)&gt;0,"Yes","No"),"")</f>
        <v/>
      </c>
      <c r="C19780" s="11"/>
      <c r="D19780" s="11"/>
      <c r="E19780" s="11"/>
      <c r="F19780" s="11"/>
      <c r="G19780" s="11"/>
      <c r="H19780" s="11"/>
      <c r="I19780" s="15"/>
    </row>
    <row r="19781" spans="1:9" ht="16.5">
      <c r="A19781" s="10" t="b">
        <v>0</v>
      </c>
      <c r="B19781" s="11" t="str">
        <f>IF(D19781&lt;&gt;"",IF(COUNTIF('USPTO TMs'!A:A,D19781)&gt;0,"Yes","No"),"")</f>
        <v/>
      </c>
      <c r="C19781" s="11"/>
      <c r="D19781" s="11"/>
      <c r="E19781" s="11"/>
      <c r="F19781" s="11"/>
      <c r="G19781" s="11"/>
      <c r="H19781" s="11"/>
      <c r="I19781" s="15"/>
    </row>
    <row r="19782" spans="1:9" ht="16.5">
      <c r="A19782" s="10" t="b">
        <v>0</v>
      </c>
      <c r="B19782" s="11" t="str">
        <f>IF(D19782&lt;&gt;"",IF(COUNTIF('USPTO TMs'!A:A,D19782)&gt;0,"Yes","No"),"")</f>
        <v/>
      </c>
      <c r="C19782" s="11"/>
      <c r="D19782" s="11"/>
      <c r="E19782" s="11"/>
      <c r="F19782" s="11"/>
      <c r="G19782" s="11"/>
      <c r="H19782" s="11"/>
      <c r="I19782" s="15"/>
    </row>
    <row r="19783" spans="1:9" ht="16.5">
      <c r="A19783" s="10" t="b">
        <v>0</v>
      </c>
      <c r="B19783" s="11" t="str">
        <f>IF(D19783&lt;&gt;"",IF(COUNTIF('USPTO TMs'!A:A,D19783)&gt;0,"Yes","No"),"")</f>
        <v/>
      </c>
      <c r="C19783" s="11"/>
      <c r="D19783" s="11"/>
      <c r="E19783" s="11"/>
      <c r="F19783" s="11"/>
      <c r="G19783" s="11"/>
      <c r="H19783" s="11"/>
      <c r="I19783" s="15"/>
    </row>
    <row r="19784" spans="1:9" ht="16.5">
      <c r="A19784" s="10" t="b">
        <v>0</v>
      </c>
      <c r="B19784" s="11" t="str">
        <f>IF(D19784&lt;&gt;"",IF(COUNTIF('USPTO TMs'!A:A,D19784)&gt;0,"Yes","No"),"")</f>
        <v/>
      </c>
      <c r="C19784" s="11"/>
      <c r="D19784" s="11"/>
      <c r="E19784" s="11"/>
      <c r="F19784" s="11"/>
      <c r="G19784" s="11"/>
      <c r="H19784" s="11"/>
      <c r="I19784" s="15"/>
    </row>
    <row r="19785" spans="1:9" ht="16.5">
      <c r="A19785" s="10" t="b">
        <v>0</v>
      </c>
      <c r="B19785" s="11" t="str">
        <f>IF(D19785&lt;&gt;"",IF(COUNTIF('USPTO TMs'!A:A,D19785)&gt;0,"Yes","No"),"")</f>
        <v/>
      </c>
      <c r="C19785" s="11"/>
      <c r="D19785" s="11"/>
      <c r="E19785" s="11"/>
      <c r="F19785" s="11"/>
      <c r="G19785" s="11"/>
      <c r="H19785" s="11"/>
      <c r="I19785" s="15"/>
    </row>
    <row r="19786" spans="1:9" ht="16.5">
      <c r="A19786" s="10" t="b">
        <v>0</v>
      </c>
      <c r="B19786" s="11" t="str">
        <f>IF(D19786&lt;&gt;"",IF(COUNTIF('USPTO TMs'!A:A,D19786)&gt;0,"Yes","No"),"")</f>
        <v/>
      </c>
      <c r="C19786" s="11"/>
      <c r="D19786" s="11"/>
      <c r="E19786" s="11"/>
      <c r="F19786" s="11"/>
      <c r="G19786" s="11"/>
      <c r="H19786" s="11"/>
      <c r="I19786" s="15"/>
    </row>
    <row r="19787" spans="1:9" ht="16.5">
      <c r="A19787" s="10" t="b">
        <v>0</v>
      </c>
      <c r="B19787" s="11" t="str">
        <f>IF(D19787&lt;&gt;"",IF(COUNTIF('USPTO TMs'!A:A,D19787)&gt;0,"Yes","No"),"")</f>
        <v/>
      </c>
      <c r="C19787" s="11"/>
      <c r="D19787" s="11"/>
      <c r="E19787" s="11"/>
      <c r="F19787" s="11"/>
      <c r="G19787" s="11"/>
      <c r="H19787" s="11"/>
      <c r="I19787" s="15"/>
    </row>
    <row r="19788" spans="1:9" ht="16.5">
      <c r="A19788" s="10" t="b">
        <v>0</v>
      </c>
      <c r="B19788" s="11" t="str">
        <f>IF(D19788&lt;&gt;"",IF(COUNTIF('USPTO TMs'!A:A,D19788)&gt;0,"Yes","No"),"")</f>
        <v/>
      </c>
      <c r="C19788" s="11"/>
      <c r="D19788" s="11"/>
      <c r="E19788" s="11"/>
      <c r="F19788" s="11"/>
      <c r="G19788" s="11"/>
      <c r="H19788" s="11"/>
      <c r="I19788" s="15"/>
    </row>
    <row r="19789" spans="1:9" ht="16.5">
      <c r="A19789" s="10" t="b">
        <v>0</v>
      </c>
      <c r="B19789" s="11" t="str">
        <f>IF(D19789&lt;&gt;"",IF(COUNTIF('USPTO TMs'!A:A,D19789)&gt;0,"Yes","No"),"")</f>
        <v/>
      </c>
      <c r="C19789" s="11"/>
      <c r="D19789" s="11"/>
      <c r="E19789" s="11"/>
      <c r="F19789" s="11"/>
      <c r="G19789" s="11"/>
      <c r="H19789" s="11"/>
      <c r="I19789" s="15"/>
    </row>
    <row r="19790" spans="1:9" ht="16.5">
      <c r="A19790" s="10" t="b">
        <v>0</v>
      </c>
      <c r="B19790" s="11" t="str">
        <f>IF(D19790&lt;&gt;"",IF(COUNTIF('USPTO TMs'!A:A,D19790)&gt;0,"Yes","No"),"")</f>
        <v/>
      </c>
      <c r="C19790" s="11"/>
      <c r="D19790" s="11"/>
      <c r="E19790" s="11"/>
      <c r="F19790" s="11"/>
      <c r="G19790" s="11"/>
      <c r="H19790" s="11"/>
      <c r="I19790" s="15"/>
    </row>
    <row r="19791" spans="1:9" ht="16.5">
      <c r="A19791" s="10" t="b">
        <v>0</v>
      </c>
      <c r="B19791" s="11" t="str">
        <f>IF(D19791&lt;&gt;"",IF(COUNTIF('USPTO TMs'!A:A,D19791)&gt;0,"Yes","No"),"")</f>
        <v/>
      </c>
      <c r="C19791" s="11"/>
      <c r="D19791" s="11"/>
      <c r="E19791" s="11"/>
      <c r="F19791" s="11"/>
      <c r="G19791" s="11"/>
      <c r="H19791" s="11"/>
      <c r="I19791" s="15"/>
    </row>
    <row r="19792" spans="1:9" ht="16.5">
      <c r="A19792" s="10" t="b">
        <v>0</v>
      </c>
      <c r="B19792" s="11" t="str">
        <f>IF(D19792&lt;&gt;"",IF(COUNTIF('USPTO TMs'!A:A,D19792)&gt;0,"Yes","No"),"")</f>
        <v/>
      </c>
      <c r="C19792" s="11"/>
      <c r="D19792" s="11"/>
      <c r="E19792" s="11"/>
      <c r="F19792" s="11"/>
      <c r="G19792" s="11"/>
      <c r="H19792" s="11"/>
      <c r="I19792" s="15"/>
    </row>
    <row r="19793" spans="1:9" ht="16.5">
      <c r="A19793" s="10" t="b">
        <v>0</v>
      </c>
      <c r="B19793" s="11" t="str">
        <f>IF(D19793&lt;&gt;"",IF(COUNTIF('USPTO TMs'!A:A,D19793)&gt;0,"Yes","No"),"")</f>
        <v/>
      </c>
      <c r="C19793" s="11"/>
      <c r="D19793" s="11"/>
      <c r="E19793" s="11"/>
      <c r="F19793" s="11"/>
      <c r="G19793" s="11"/>
      <c r="H19793" s="11"/>
      <c r="I19793" s="15"/>
    </row>
    <row r="19794" spans="1:9" ht="16.5">
      <c r="A19794" s="10" t="b">
        <v>0</v>
      </c>
      <c r="B19794" s="11" t="str">
        <f>IF(D19794&lt;&gt;"",IF(COUNTIF('USPTO TMs'!A:A,D19794)&gt;0,"Yes","No"),"")</f>
        <v/>
      </c>
      <c r="C19794" s="11"/>
      <c r="D19794" s="11"/>
      <c r="E19794" s="11"/>
      <c r="F19794" s="11"/>
      <c r="G19794" s="11"/>
      <c r="H19794" s="11"/>
      <c r="I19794" s="15"/>
    </row>
    <row r="19795" spans="1:9" ht="16.5">
      <c r="A19795" s="10" t="b">
        <v>0</v>
      </c>
      <c r="B19795" s="11" t="str">
        <f>IF(D19795&lt;&gt;"",IF(COUNTIF('USPTO TMs'!A:A,D19795)&gt;0,"Yes","No"),"")</f>
        <v/>
      </c>
      <c r="C19795" s="11"/>
      <c r="D19795" s="11"/>
      <c r="E19795" s="11"/>
      <c r="F19795" s="11"/>
      <c r="G19795" s="11"/>
      <c r="H19795" s="11"/>
      <c r="I19795" s="15"/>
    </row>
    <row r="19796" spans="1:9" ht="16.5">
      <c r="A19796" s="10" t="b">
        <v>0</v>
      </c>
      <c r="B19796" s="11" t="str">
        <f>IF(D19796&lt;&gt;"",IF(COUNTIF('USPTO TMs'!A:A,D19796)&gt;0,"Yes","No"),"")</f>
        <v/>
      </c>
      <c r="C19796" s="11"/>
      <c r="D19796" s="11"/>
      <c r="E19796" s="11"/>
      <c r="F19796" s="11"/>
      <c r="G19796" s="11"/>
      <c r="H19796" s="11"/>
      <c r="I19796" s="15"/>
    </row>
    <row r="19797" spans="1:9" ht="16.5">
      <c r="A19797" s="10" t="b">
        <v>0</v>
      </c>
      <c r="B19797" s="11" t="str">
        <f>IF(D19797&lt;&gt;"",IF(COUNTIF('USPTO TMs'!A:A,D19797)&gt;0,"Yes","No"),"")</f>
        <v/>
      </c>
      <c r="C19797" s="11"/>
      <c r="D19797" s="11"/>
      <c r="E19797" s="11"/>
      <c r="F19797" s="11"/>
      <c r="G19797" s="11"/>
      <c r="H19797" s="11"/>
      <c r="I19797" s="15"/>
    </row>
    <row r="19798" spans="1:9" ht="16.5">
      <c r="A19798" s="10" t="b">
        <v>0</v>
      </c>
      <c r="B19798" s="11" t="str">
        <f>IF(D19798&lt;&gt;"",IF(COUNTIF('USPTO TMs'!A:A,D19798)&gt;0,"Yes","No"),"")</f>
        <v/>
      </c>
      <c r="C19798" s="11"/>
      <c r="D19798" s="11"/>
      <c r="E19798" s="11"/>
      <c r="F19798" s="11"/>
      <c r="G19798" s="11"/>
      <c r="H19798" s="11"/>
      <c r="I19798" s="15"/>
    </row>
    <row r="19799" spans="1:9" ht="16.5">
      <c r="A19799" s="10" t="b">
        <v>0</v>
      </c>
      <c r="B19799" s="11" t="str">
        <f>IF(D19799&lt;&gt;"",IF(COUNTIF('USPTO TMs'!A:A,D19799)&gt;0,"Yes","No"),"")</f>
        <v/>
      </c>
      <c r="C19799" s="11"/>
      <c r="D19799" s="11"/>
      <c r="E19799" s="11"/>
      <c r="F19799" s="11"/>
      <c r="G19799" s="11"/>
      <c r="H19799" s="11"/>
      <c r="I19799" s="15"/>
    </row>
    <row r="19800" spans="1:9" ht="16.5">
      <c r="A19800" s="10" t="b">
        <v>0</v>
      </c>
      <c r="B19800" s="11" t="str">
        <f>IF(D19800&lt;&gt;"",IF(COUNTIF('USPTO TMs'!A:A,D19800)&gt;0,"Yes","No"),"")</f>
        <v/>
      </c>
      <c r="C19800" s="11"/>
      <c r="D19800" s="11"/>
      <c r="E19800" s="11"/>
      <c r="F19800" s="11"/>
      <c r="G19800" s="11"/>
      <c r="H19800" s="11"/>
      <c r="I19800" s="15"/>
    </row>
    <row r="19801" spans="1:9" ht="16.5">
      <c r="A19801" s="10" t="b">
        <v>0</v>
      </c>
      <c r="B19801" s="11" t="str">
        <f>IF(D19801&lt;&gt;"",IF(COUNTIF('USPTO TMs'!A:A,D19801)&gt;0,"Yes","No"),"")</f>
        <v/>
      </c>
      <c r="C19801" s="11"/>
      <c r="D19801" s="11"/>
      <c r="E19801" s="11"/>
      <c r="F19801" s="11"/>
      <c r="G19801" s="11"/>
      <c r="H19801" s="11"/>
      <c r="I19801" s="15"/>
    </row>
    <row r="19802" spans="1:9" ht="16.5">
      <c r="A19802" s="10" t="b">
        <v>0</v>
      </c>
      <c r="B19802" s="11" t="str">
        <f>IF(D19802&lt;&gt;"",IF(COUNTIF('USPTO TMs'!A:A,D19802)&gt;0,"Yes","No"),"")</f>
        <v/>
      </c>
      <c r="C19802" s="11"/>
      <c r="D19802" s="11"/>
      <c r="E19802" s="11"/>
      <c r="F19802" s="11"/>
      <c r="G19802" s="11"/>
      <c r="H19802" s="11"/>
      <c r="I19802" s="15"/>
    </row>
    <row r="19803" spans="1:9" ht="16.5">
      <c r="A19803" s="10" t="b">
        <v>0</v>
      </c>
      <c r="B19803" s="11" t="str">
        <f>IF(D19803&lt;&gt;"",IF(COUNTIF('USPTO TMs'!A:A,D19803)&gt;0,"Yes","No"),"")</f>
        <v/>
      </c>
      <c r="C19803" s="11"/>
      <c r="D19803" s="11"/>
      <c r="E19803" s="11"/>
      <c r="F19803" s="11"/>
      <c r="G19803" s="11"/>
      <c r="H19803" s="11"/>
      <c r="I19803" s="15"/>
    </row>
    <row r="19804" spans="1:9" ht="16.5">
      <c r="A19804" s="10" t="b">
        <v>0</v>
      </c>
      <c r="B19804" s="11" t="str">
        <f>IF(D19804&lt;&gt;"",IF(COUNTIF('USPTO TMs'!A:A,D19804)&gt;0,"Yes","No"),"")</f>
        <v/>
      </c>
      <c r="C19804" s="11"/>
      <c r="D19804" s="11"/>
      <c r="E19804" s="11"/>
      <c r="F19804" s="11"/>
      <c r="G19804" s="11"/>
      <c r="H19804" s="11"/>
      <c r="I19804" s="15"/>
    </row>
    <row r="19805" spans="1:9" ht="16.5">
      <c r="A19805" s="10" t="b">
        <v>0</v>
      </c>
      <c r="B19805" s="11" t="str">
        <f>IF(D19805&lt;&gt;"",IF(COUNTIF('USPTO TMs'!A:A,D19805)&gt;0,"Yes","No"),"")</f>
        <v/>
      </c>
      <c r="C19805" s="11"/>
      <c r="D19805" s="11"/>
      <c r="E19805" s="11"/>
      <c r="F19805" s="11"/>
      <c r="G19805" s="11"/>
      <c r="H19805" s="11"/>
      <c r="I19805" s="15"/>
    </row>
    <row r="19806" spans="1:9" ht="16.5">
      <c r="A19806" s="10" t="b">
        <v>0</v>
      </c>
      <c r="B19806" s="11" t="str">
        <f>IF(D19806&lt;&gt;"",IF(COUNTIF('USPTO TMs'!A:A,D19806)&gt;0,"Yes","No"),"")</f>
        <v/>
      </c>
      <c r="C19806" s="11"/>
      <c r="D19806" s="11"/>
      <c r="E19806" s="11"/>
      <c r="F19806" s="11"/>
      <c r="G19806" s="11"/>
      <c r="H19806" s="11"/>
      <c r="I19806" s="15"/>
    </row>
    <row r="19807" spans="1:9" ht="16.5">
      <c r="A19807" s="10" t="b">
        <v>0</v>
      </c>
      <c r="B19807" s="11" t="str">
        <f>IF(D19807&lt;&gt;"",IF(COUNTIF('USPTO TMs'!A:A,D19807)&gt;0,"Yes","No"),"")</f>
        <v/>
      </c>
      <c r="C19807" s="11"/>
      <c r="D19807" s="11"/>
      <c r="E19807" s="11"/>
      <c r="F19807" s="11"/>
      <c r="G19807" s="11"/>
      <c r="H19807" s="11"/>
      <c r="I19807" s="15"/>
    </row>
    <row r="19808" spans="1:9" ht="16.5">
      <c r="A19808" s="10" t="b">
        <v>0</v>
      </c>
      <c r="B19808" s="11" t="str">
        <f>IF(D19808&lt;&gt;"",IF(COUNTIF('USPTO TMs'!A:A,D19808)&gt;0,"Yes","No"),"")</f>
        <v/>
      </c>
      <c r="C19808" s="11"/>
      <c r="D19808" s="11"/>
      <c r="E19808" s="11"/>
      <c r="F19808" s="11"/>
      <c r="G19808" s="11"/>
      <c r="H19808" s="11"/>
      <c r="I19808" s="15"/>
    </row>
    <row r="19809" spans="1:9" ht="16.5">
      <c r="A19809" s="10" t="b">
        <v>0</v>
      </c>
      <c r="B19809" s="11" t="str">
        <f>IF(D19809&lt;&gt;"",IF(COUNTIF('USPTO TMs'!A:A,D19809)&gt;0,"Yes","No"),"")</f>
        <v/>
      </c>
      <c r="C19809" s="11"/>
      <c r="D19809" s="11"/>
      <c r="E19809" s="11"/>
      <c r="F19809" s="11"/>
      <c r="G19809" s="11"/>
      <c r="H19809" s="11"/>
      <c r="I19809" s="15"/>
    </row>
    <row r="19810" spans="1:9" ht="16.5">
      <c r="A19810" s="10" t="b">
        <v>0</v>
      </c>
      <c r="B19810" s="11" t="str">
        <f>IF(D19810&lt;&gt;"",IF(COUNTIF('USPTO TMs'!A:A,D19810)&gt;0,"Yes","No"),"")</f>
        <v/>
      </c>
      <c r="C19810" s="11"/>
      <c r="D19810" s="11"/>
      <c r="E19810" s="11"/>
      <c r="F19810" s="11"/>
      <c r="G19810" s="11"/>
      <c r="H19810" s="11"/>
      <c r="I19810" s="15"/>
    </row>
    <row r="19811" spans="1:9" ht="16.5">
      <c r="A19811" s="10" t="b">
        <v>0</v>
      </c>
      <c r="B19811" s="11" t="str">
        <f>IF(D19811&lt;&gt;"",IF(COUNTIF('USPTO TMs'!A:A,D19811)&gt;0,"Yes","No"),"")</f>
        <v/>
      </c>
      <c r="C19811" s="11"/>
      <c r="D19811" s="11"/>
      <c r="E19811" s="11"/>
      <c r="F19811" s="11"/>
      <c r="G19811" s="11"/>
      <c r="H19811" s="11"/>
      <c r="I19811" s="15"/>
    </row>
    <row r="19812" spans="1:9" ht="16.5">
      <c r="A19812" s="10" t="b">
        <v>0</v>
      </c>
      <c r="B19812" s="11" t="str">
        <f>IF(D19812&lt;&gt;"",IF(COUNTIF('USPTO TMs'!A:A,D19812)&gt;0,"Yes","No"),"")</f>
        <v/>
      </c>
      <c r="C19812" s="11"/>
      <c r="D19812" s="11"/>
      <c r="E19812" s="11"/>
      <c r="F19812" s="11"/>
      <c r="G19812" s="11"/>
      <c r="H19812" s="11"/>
      <c r="I19812" s="15"/>
    </row>
    <row r="19813" spans="1:9" ht="16.5">
      <c r="A19813" s="10" t="b">
        <v>0</v>
      </c>
      <c r="B19813" s="11" t="str">
        <f>IF(D19813&lt;&gt;"",IF(COUNTIF('USPTO TMs'!A:A,D19813)&gt;0,"Yes","No"),"")</f>
        <v/>
      </c>
      <c r="C19813" s="11"/>
      <c r="D19813" s="11"/>
      <c r="E19813" s="11"/>
      <c r="F19813" s="11"/>
      <c r="G19813" s="11"/>
      <c r="H19813" s="11"/>
      <c r="I19813" s="15"/>
    </row>
    <row r="19814" spans="1:9" ht="16.5">
      <c r="A19814" s="10" t="b">
        <v>0</v>
      </c>
      <c r="B19814" s="11" t="str">
        <f>IF(D19814&lt;&gt;"",IF(COUNTIF('USPTO TMs'!A:A,D19814)&gt;0,"Yes","No"),"")</f>
        <v/>
      </c>
      <c r="C19814" s="11"/>
      <c r="D19814" s="11"/>
      <c r="E19814" s="11"/>
      <c r="F19814" s="11"/>
      <c r="G19814" s="11"/>
      <c r="H19814" s="11"/>
      <c r="I19814" s="15"/>
    </row>
    <row r="19815" spans="1:9" ht="16.5">
      <c r="A19815" s="10" t="b">
        <v>0</v>
      </c>
      <c r="B19815" s="11" t="str">
        <f>IF(D19815&lt;&gt;"",IF(COUNTIF('USPTO TMs'!A:A,D19815)&gt;0,"Yes","No"),"")</f>
        <v/>
      </c>
      <c r="C19815" s="11"/>
      <c r="D19815" s="11"/>
      <c r="E19815" s="11"/>
      <c r="F19815" s="11"/>
      <c r="G19815" s="11"/>
      <c r="H19815" s="11"/>
      <c r="I19815" s="15"/>
    </row>
    <row r="19816" spans="1:9" ht="16.5">
      <c r="A19816" s="10" t="b">
        <v>0</v>
      </c>
      <c r="B19816" s="11" t="str">
        <f>IF(D19816&lt;&gt;"",IF(COUNTIF('USPTO TMs'!A:A,D19816)&gt;0,"Yes","No"),"")</f>
        <v/>
      </c>
      <c r="C19816" s="11"/>
      <c r="D19816" s="11"/>
      <c r="E19816" s="11"/>
      <c r="F19816" s="11"/>
      <c r="G19816" s="11"/>
      <c r="H19816" s="11"/>
      <c r="I19816" s="15"/>
    </row>
    <row r="19817" spans="1:9" ht="16.5">
      <c r="A19817" s="10" t="b">
        <v>0</v>
      </c>
      <c r="B19817" s="11" t="str">
        <f>IF(D19817&lt;&gt;"",IF(COUNTIF('USPTO TMs'!A:A,D19817)&gt;0,"Yes","No"),"")</f>
        <v/>
      </c>
      <c r="C19817" s="11"/>
      <c r="D19817" s="11"/>
      <c r="E19817" s="11"/>
      <c r="F19817" s="11"/>
      <c r="G19817" s="11"/>
      <c r="H19817" s="11"/>
      <c r="I19817" s="15"/>
    </row>
    <row r="19818" spans="1:9" ht="16.5">
      <c r="A19818" s="10" t="b">
        <v>0</v>
      </c>
      <c r="B19818" s="11" t="str">
        <f>IF(D19818&lt;&gt;"",IF(COUNTIF('USPTO TMs'!A:A,D19818)&gt;0,"Yes","No"),"")</f>
        <v/>
      </c>
      <c r="C19818" s="11"/>
      <c r="D19818" s="11"/>
      <c r="E19818" s="11"/>
      <c r="F19818" s="11"/>
      <c r="G19818" s="11"/>
      <c r="H19818" s="11"/>
      <c r="I19818" s="15"/>
    </row>
    <row r="19819" spans="1:9" ht="16.5">
      <c r="A19819" s="10" t="b">
        <v>0</v>
      </c>
      <c r="B19819" s="11" t="str">
        <f>IF(D19819&lt;&gt;"",IF(COUNTIF('USPTO TMs'!A:A,D19819)&gt;0,"Yes","No"),"")</f>
        <v/>
      </c>
      <c r="C19819" s="11"/>
      <c r="D19819" s="11"/>
      <c r="E19819" s="11"/>
      <c r="F19819" s="11"/>
      <c r="G19819" s="11"/>
      <c r="H19819" s="11"/>
      <c r="I19819" s="15"/>
    </row>
    <row r="19820" spans="1:9" ht="16.5">
      <c r="A19820" s="10" t="b">
        <v>0</v>
      </c>
      <c r="B19820" s="11" t="str">
        <f>IF(D19820&lt;&gt;"",IF(COUNTIF('USPTO TMs'!A:A,D19820)&gt;0,"Yes","No"),"")</f>
        <v/>
      </c>
      <c r="C19820" s="11"/>
      <c r="D19820" s="11"/>
      <c r="E19820" s="11"/>
      <c r="F19820" s="11"/>
      <c r="G19820" s="11"/>
      <c r="H19820" s="11"/>
      <c r="I19820" s="15"/>
    </row>
    <row r="19821" spans="1:9" ht="16.5">
      <c r="A19821" s="10" t="b">
        <v>0</v>
      </c>
      <c r="B19821" s="11" t="str">
        <f>IF(D19821&lt;&gt;"",IF(COUNTIF('USPTO TMs'!A:A,D19821)&gt;0,"Yes","No"),"")</f>
        <v/>
      </c>
      <c r="C19821" s="11"/>
      <c r="D19821" s="11"/>
      <c r="E19821" s="11"/>
      <c r="F19821" s="11"/>
      <c r="G19821" s="11"/>
      <c r="H19821" s="11"/>
      <c r="I19821" s="15"/>
    </row>
    <row r="19822" spans="1:9" ht="16.5">
      <c r="A19822" s="10" t="b">
        <v>0</v>
      </c>
      <c r="B19822" s="11" t="str">
        <f>IF(D19822&lt;&gt;"",IF(COUNTIF('USPTO TMs'!A:A,D19822)&gt;0,"Yes","No"),"")</f>
        <v/>
      </c>
      <c r="C19822" s="11"/>
      <c r="D19822" s="11"/>
      <c r="E19822" s="11"/>
      <c r="F19822" s="11"/>
      <c r="G19822" s="11"/>
      <c r="H19822" s="11"/>
      <c r="I19822" s="15"/>
    </row>
    <row r="19823" spans="1:9" ht="16.5">
      <c r="A19823" s="10" t="b">
        <v>0</v>
      </c>
      <c r="B19823" s="11" t="str">
        <f>IF(D19823&lt;&gt;"",IF(COUNTIF('USPTO TMs'!A:A,D19823)&gt;0,"Yes","No"),"")</f>
        <v/>
      </c>
      <c r="C19823" s="11"/>
      <c r="D19823" s="11"/>
      <c r="E19823" s="11"/>
      <c r="F19823" s="11"/>
      <c r="G19823" s="11"/>
      <c r="H19823" s="11"/>
      <c r="I19823" s="15"/>
    </row>
    <row r="19824" spans="1:9" ht="16.5">
      <c r="A19824" s="10" t="b">
        <v>0</v>
      </c>
      <c r="B19824" s="11" t="str">
        <f>IF(D19824&lt;&gt;"",IF(COUNTIF('USPTO TMs'!A:A,D19824)&gt;0,"Yes","No"),"")</f>
        <v/>
      </c>
      <c r="C19824" s="11"/>
      <c r="D19824" s="11"/>
      <c r="E19824" s="11"/>
      <c r="F19824" s="11"/>
      <c r="G19824" s="11"/>
      <c r="H19824" s="11"/>
      <c r="I19824" s="15"/>
    </row>
    <row r="19825" spans="1:9" ht="16.5">
      <c r="A19825" s="10" t="b">
        <v>0</v>
      </c>
      <c r="B19825" s="11" t="str">
        <f>IF(D19825&lt;&gt;"",IF(COUNTIF('USPTO TMs'!A:A,D19825)&gt;0,"Yes","No"),"")</f>
        <v/>
      </c>
      <c r="C19825" s="11"/>
      <c r="D19825" s="11"/>
      <c r="E19825" s="11"/>
      <c r="F19825" s="11"/>
      <c r="G19825" s="11"/>
      <c r="H19825" s="11"/>
      <c r="I19825" s="15"/>
    </row>
    <row r="19826" spans="1:9" ht="16.5">
      <c r="A19826" s="10" t="b">
        <v>0</v>
      </c>
      <c r="B19826" s="11" t="str">
        <f>IF(D19826&lt;&gt;"",IF(COUNTIF('USPTO TMs'!A:A,D19826)&gt;0,"Yes","No"),"")</f>
        <v/>
      </c>
      <c r="C19826" s="11"/>
      <c r="D19826" s="11"/>
      <c r="E19826" s="11"/>
      <c r="F19826" s="11"/>
      <c r="G19826" s="11"/>
      <c r="H19826" s="11"/>
      <c r="I19826" s="15"/>
    </row>
    <row r="19827" spans="1:9" ht="16.5">
      <c r="A19827" s="10" t="b">
        <v>0</v>
      </c>
      <c r="B19827" s="11" t="str">
        <f>IF(D19827&lt;&gt;"",IF(COUNTIF('USPTO TMs'!A:A,D19827)&gt;0,"Yes","No"),"")</f>
        <v/>
      </c>
      <c r="C19827" s="11"/>
      <c r="D19827" s="11"/>
      <c r="E19827" s="11"/>
      <c r="F19827" s="11"/>
      <c r="G19827" s="11"/>
      <c r="H19827" s="11"/>
      <c r="I19827" s="15"/>
    </row>
    <row r="19828" spans="1:9" ht="16.5">
      <c r="A19828" s="10" t="b">
        <v>0</v>
      </c>
      <c r="B19828" s="11" t="str">
        <f>IF(D19828&lt;&gt;"",IF(COUNTIF('USPTO TMs'!A:A,D19828)&gt;0,"Yes","No"),"")</f>
        <v/>
      </c>
      <c r="C19828" s="11"/>
      <c r="D19828" s="11"/>
      <c r="E19828" s="11"/>
      <c r="F19828" s="11"/>
      <c r="G19828" s="11"/>
      <c r="H19828" s="11"/>
      <c r="I19828" s="15"/>
    </row>
    <row r="19829" spans="1:9" ht="16.5">
      <c r="A19829" s="10" t="b">
        <v>0</v>
      </c>
      <c r="B19829" s="11" t="str">
        <f>IF(D19829&lt;&gt;"",IF(COUNTIF('USPTO TMs'!A:A,D19829)&gt;0,"Yes","No"),"")</f>
        <v/>
      </c>
      <c r="C19829" s="11"/>
      <c r="D19829" s="11"/>
      <c r="E19829" s="11"/>
      <c r="F19829" s="11"/>
      <c r="G19829" s="11"/>
      <c r="H19829" s="11"/>
      <c r="I19829" s="15"/>
    </row>
    <row r="19830" spans="1:9" ht="16.5">
      <c r="A19830" s="10" t="b">
        <v>0</v>
      </c>
      <c r="B19830" s="11" t="str">
        <f>IF(D19830&lt;&gt;"",IF(COUNTIF('USPTO TMs'!A:A,D19830)&gt;0,"Yes","No"),"")</f>
        <v/>
      </c>
      <c r="C19830" s="11"/>
      <c r="D19830" s="11"/>
      <c r="E19830" s="11"/>
      <c r="F19830" s="11"/>
      <c r="G19830" s="11"/>
      <c r="H19830" s="11"/>
      <c r="I19830" s="15"/>
    </row>
    <row r="19831" spans="1:9" ht="16.5">
      <c r="A19831" s="10" t="b">
        <v>0</v>
      </c>
      <c r="B19831" s="11" t="str">
        <f>IF(D19831&lt;&gt;"",IF(COUNTIF('USPTO TMs'!A:A,D19831)&gt;0,"Yes","No"),"")</f>
        <v/>
      </c>
      <c r="C19831" s="11"/>
      <c r="D19831" s="11"/>
      <c r="E19831" s="11"/>
      <c r="F19831" s="11"/>
      <c r="G19831" s="11"/>
      <c r="H19831" s="11"/>
      <c r="I19831" s="15"/>
    </row>
    <row r="19832" spans="1:9" ht="16.5">
      <c r="A19832" s="10" t="b">
        <v>0</v>
      </c>
      <c r="B19832" s="11" t="str">
        <f>IF(D19832&lt;&gt;"",IF(COUNTIF('USPTO TMs'!A:A,D19832)&gt;0,"Yes","No"),"")</f>
        <v/>
      </c>
      <c r="C19832" s="11"/>
      <c r="D19832" s="11"/>
      <c r="E19832" s="11"/>
      <c r="F19832" s="11"/>
      <c r="G19832" s="11"/>
      <c r="H19832" s="11"/>
      <c r="I19832" s="15"/>
    </row>
    <row r="19833" spans="1:9" ht="16.5">
      <c r="A19833" s="10" t="b">
        <v>0</v>
      </c>
      <c r="B19833" s="11" t="str">
        <f>IF(D19833&lt;&gt;"",IF(COUNTIF('USPTO TMs'!A:A,D19833)&gt;0,"Yes","No"),"")</f>
        <v/>
      </c>
      <c r="C19833" s="11"/>
      <c r="D19833" s="11"/>
      <c r="E19833" s="11"/>
      <c r="F19833" s="11"/>
      <c r="G19833" s="11"/>
      <c r="H19833" s="11"/>
      <c r="I19833" s="15"/>
    </row>
    <row r="19834" spans="1:9" ht="16.5">
      <c r="A19834" s="10" t="b">
        <v>0</v>
      </c>
      <c r="B19834" s="11" t="str">
        <f>IF(D19834&lt;&gt;"",IF(COUNTIF('USPTO TMs'!A:A,D19834)&gt;0,"Yes","No"),"")</f>
        <v/>
      </c>
      <c r="C19834" s="11"/>
      <c r="D19834" s="11"/>
      <c r="E19834" s="11"/>
      <c r="F19834" s="11"/>
      <c r="G19834" s="11"/>
      <c r="H19834" s="11"/>
      <c r="I19834" s="15"/>
    </row>
    <row r="19835" spans="1:9" ht="16.5">
      <c r="A19835" s="10" t="b">
        <v>0</v>
      </c>
      <c r="B19835" s="11" t="str">
        <f>IF(D19835&lt;&gt;"",IF(COUNTIF('USPTO TMs'!A:A,D19835)&gt;0,"Yes","No"),"")</f>
        <v/>
      </c>
      <c r="C19835" s="11"/>
      <c r="D19835" s="11"/>
      <c r="E19835" s="11"/>
      <c r="F19835" s="11"/>
      <c r="G19835" s="11"/>
      <c r="H19835" s="11"/>
      <c r="I19835" s="15"/>
    </row>
    <row r="19836" spans="1:9" ht="16.5">
      <c r="A19836" s="10" t="b">
        <v>0</v>
      </c>
      <c r="B19836" s="11" t="str">
        <f>IF(D19836&lt;&gt;"",IF(COUNTIF('USPTO TMs'!A:A,D19836)&gt;0,"Yes","No"),"")</f>
        <v/>
      </c>
      <c r="C19836" s="11"/>
      <c r="D19836" s="11"/>
      <c r="E19836" s="11"/>
      <c r="F19836" s="11"/>
      <c r="G19836" s="11"/>
      <c r="H19836" s="11"/>
      <c r="I19836" s="15"/>
    </row>
    <row r="19837" spans="1:9" ht="16.5">
      <c r="A19837" s="10" t="b">
        <v>0</v>
      </c>
      <c r="B19837" s="11" t="str">
        <f>IF(D19837&lt;&gt;"",IF(COUNTIF('USPTO TMs'!A:A,D19837)&gt;0,"Yes","No"),"")</f>
        <v/>
      </c>
      <c r="C19837" s="11"/>
      <c r="D19837" s="11"/>
      <c r="E19837" s="11"/>
      <c r="F19837" s="11"/>
      <c r="G19837" s="11"/>
      <c r="H19837" s="11"/>
      <c r="I19837" s="15"/>
    </row>
    <row r="19838" spans="1:9" ht="16.5">
      <c r="A19838" s="10" t="b">
        <v>0</v>
      </c>
      <c r="B19838" s="11" t="str">
        <f>IF(D19838&lt;&gt;"",IF(COUNTIF('USPTO TMs'!A:A,D19838)&gt;0,"Yes","No"),"")</f>
        <v/>
      </c>
      <c r="C19838" s="11"/>
      <c r="D19838" s="11"/>
      <c r="E19838" s="11"/>
      <c r="F19838" s="11"/>
      <c r="G19838" s="11"/>
      <c r="H19838" s="11"/>
      <c r="I19838" s="15"/>
    </row>
    <row r="19839" spans="1:9" ht="16.5">
      <c r="A19839" s="10" t="b">
        <v>0</v>
      </c>
      <c r="B19839" s="11" t="str">
        <f>IF(D19839&lt;&gt;"",IF(COUNTIF('USPTO TMs'!A:A,D19839)&gt;0,"Yes","No"),"")</f>
        <v/>
      </c>
      <c r="C19839" s="11"/>
      <c r="D19839" s="11"/>
      <c r="E19839" s="11"/>
      <c r="F19839" s="11"/>
      <c r="G19839" s="11"/>
      <c r="H19839" s="11"/>
      <c r="I19839" s="15"/>
    </row>
    <row r="19840" spans="1:9" ht="16.5">
      <c r="A19840" s="10" t="b">
        <v>0</v>
      </c>
      <c r="B19840" s="11" t="str">
        <f>IF(D19840&lt;&gt;"",IF(COUNTIF('USPTO TMs'!A:A,D19840)&gt;0,"Yes","No"),"")</f>
        <v/>
      </c>
      <c r="C19840" s="11"/>
      <c r="D19840" s="11"/>
      <c r="E19840" s="11"/>
      <c r="F19840" s="11"/>
      <c r="G19840" s="11"/>
      <c r="H19840" s="11"/>
      <c r="I19840" s="15"/>
    </row>
    <row r="19841" spans="1:9" ht="16.5">
      <c r="A19841" s="10" t="b">
        <v>0</v>
      </c>
      <c r="B19841" s="11" t="str">
        <f>IF(D19841&lt;&gt;"",IF(COUNTIF('USPTO TMs'!A:A,D19841)&gt;0,"Yes","No"),"")</f>
        <v/>
      </c>
      <c r="C19841" s="11"/>
      <c r="D19841" s="11"/>
      <c r="E19841" s="11"/>
      <c r="F19841" s="11"/>
      <c r="G19841" s="11"/>
      <c r="H19841" s="11"/>
      <c r="I19841" s="15"/>
    </row>
    <row r="19842" spans="1:9" ht="16.5">
      <c r="A19842" s="10" t="b">
        <v>0</v>
      </c>
      <c r="B19842" s="11" t="str">
        <f>IF(D19842&lt;&gt;"",IF(COUNTIF('USPTO TMs'!A:A,D19842)&gt;0,"Yes","No"),"")</f>
        <v/>
      </c>
      <c r="C19842" s="11"/>
      <c r="D19842" s="11"/>
      <c r="E19842" s="11"/>
      <c r="F19842" s="11"/>
      <c r="G19842" s="11"/>
      <c r="H19842" s="11"/>
      <c r="I19842" s="15"/>
    </row>
    <row r="19843" spans="1:9" ht="16.5">
      <c r="A19843" s="10" t="b">
        <v>0</v>
      </c>
      <c r="B19843" s="11" t="str">
        <f>IF(D19843&lt;&gt;"",IF(COUNTIF('USPTO TMs'!A:A,D19843)&gt;0,"Yes","No"),"")</f>
        <v/>
      </c>
      <c r="C19843" s="11"/>
      <c r="D19843" s="11"/>
      <c r="E19843" s="11"/>
      <c r="F19843" s="11"/>
      <c r="G19843" s="11"/>
      <c r="H19843" s="11"/>
      <c r="I19843" s="15"/>
    </row>
    <row r="19844" spans="1:9" ht="16.5">
      <c r="A19844" s="10" t="b">
        <v>0</v>
      </c>
      <c r="B19844" s="11" t="str">
        <f>IF(D19844&lt;&gt;"",IF(COUNTIF('USPTO TMs'!A:A,D19844)&gt;0,"Yes","No"),"")</f>
        <v/>
      </c>
      <c r="C19844" s="11"/>
      <c r="D19844" s="11"/>
      <c r="E19844" s="11"/>
      <c r="F19844" s="11"/>
      <c r="G19844" s="11"/>
      <c r="H19844" s="11"/>
      <c r="I19844" s="15"/>
    </row>
    <row r="19845" spans="1:9" ht="16.5">
      <c r="A19845" s="10" t="b">
        <v>0</v>
      </c>
      <c r="B19845" s="11" t="str">
        <f>IF(D19845&lt;&gt;"",IF(COUNTIF('USPTO TMs'!A:A,D19845)&gt;0,"Yes","No"),"")</f>
        <v/>
      </c>
      <c r="C19845" s="11"/>
      <c r="D19845" s="11"/>
      <c r="E19845" s="11"/>
      <c r="F19845" s="11"/>
      <c r="G19845" s="11"/>
      <c r="H19845" s="11"/>
      <c r="I19845" s="15"/>
    </row>
    <row r="19846" spans="1:9" ht="16.5">
      <c r="A19846" s="10" t="b">
        <v>0</v>
      </c>
      <c r="B19846" s="11" t="str">
        <f>IF(D19846&lt;&gt;"",IF(COUNTIF('USPTO TMs'!A:A,D19846)&gt;0,"Yes","No"),"")</f>
        <v/>
      </c>
      <c r="C19846" s="11"/>
      <c r="D19846" s="11"/>
      <c r="E19846" s="11"/>
      <c r="F19846" s="11"/>
      <c r="G19846" s="11"/>
      <c r="H19846" s="11"/>
      <c r="I19846" s="15"/>
    </row>
    <row r="19847" spans="1:9" ht="16.5">
      <c r="A19847" s="10" t="b">
        <v>0</v>
      </c>
      <c r="B19847" s="11" t="str">
        <f>IF(D19847&lt;&gt;"",IF(COUNTIF('USPTO TMs'!A:A,D19847)&gt;0,"Yes","No"),"")</f>
        <v/>
      </c>
      <c r="C19847" s="11"/>
      <c r="D19847" s="11"/>
      <c r="E19847" s="11"/>
      <c r="F19847" s="11"/>
      <c r="G19847" s="11"/>
      <c r="H19847" s="11"/>
      <c r="I19847" s="15"/>
    </row>
    <row r="19848" spans="1:9" ht="16.5">
      <c r="A19848" s="10" t="b">
        <v>0</v>
      </c>
      <c r="B19848" s="11" t="str">
        <f>IF(D19848&lt;&gt;"",IF(COUNTIF('USPTO TMs'!A:A,D19848)&gt;0,"Yes","No"),"")</f>
        <v/>
      </c>
      <c r="C19848" s="11"/>
      <c r="D19848" s="11"/>
      <c r="E19848" s="11"/>
      <c r="F19848" s="11"/>
      <c r="G19848" s="11"/>
      <c r="H19848" s="11"/>
      <c r="I19848" s="15"/>
    </row>
    <row r="19849" spans="1:9" ht="16.5">
      <c r="A19849" s="10" t="b">
        <v>0</v>
      </c>
      <c r="B19849" s="11" t="str">
        <f>IF(D19849&lt;&gt;"",IF(COUNTIF('USPTO TMs'!A:A,D19849)&gt;0,"Yes","No"),"")</f>
        <v/>
      </c>
      <c r="C19849" s="11"/>
      <c r="D19849" s="11"/>
      <c r="E19849" s="11"/>
      <c r="F19849" s="11"/>
      <c r="G19849" s="11"/>
      <c r="H19849" s="11"/>
      <c r="I19849" s="15"/>
    </row>
    <row r="19850" spans="1:9" ht="16.5">
      <c r="A19850" s="10" t="b">
        <v>0</v>
      </c>
      <c r="B19850" s="11" t="str">
        <f>IF(D19850&lt;&gt;"",IF(COUNTIF('USPTO TMs'!A:A,D19850)&gt;0,"Yes","No"),"")</f>
        <v/>
      </c>
      <c r="C19850" s="11"/>
      <c r="D19850" s="11"/>
      <c r="E19850" s="11"/>
      <c r="F19850" s="11"/>
      <c r="G19850" s="11"/>
      <c r="H19850" s="11"/>
      <c r="I19850" s="15"/>
    </row>
    <row r="19851" spans="1:9" ht="16.5">
      <c r="A19851" s="10" t="b">
        <v>0</v>
      </c>
      <c r="B19851" s="11" t="str">
        <f>IF(D19851&lt;&gt;"",IF(COUNTIF('USPTO TMs'!A:A,D19851)&gt;0,"Yes","No"),"")</f>
        <v/>
      </c>
      <c r="C19851" s="11"/>
      <c r="D19851" s="11"/>
      <c r="E19851" s="11"/>
      <c r="F19851" s="11"/>
      <c r="G19851" s="11"/>
      <c r="H19851" s="11"/>
      <c r="I19851" s="15"/>
    </row>
    <row r="19852" spans="1:9" ht="16.5">
      <c r="A19852" s="10" t="b">
        <v>0</v>
      </c>
      <c r="B19852" s="11" t="str">
        <f>IF(D19852&lt;&gt;"",IF(COUNTIF('USPTO TMs'!A:A,D19852)&gt;0,"Yes","No"),"")</f>
        <v/>
      </c>
      <c r="C19852" s="11"/>
      <c r="D19852" s="11"/>
      <c r="E19852" s="11"/>
      <c r="F19852" s="11"/>
      <c r="G19852" s="11"/>
      <c r="H19852" s="11"/>
      <c r="I19852" s="15"/>
    </row>
    <row r="19853" spans="1:9" ht="16.5">
      <c r="A19853" s="10" t="b">
        <v>0</v>
      </c>
      <c r="B19853" s="11" t="str">
        <f>IF(D19853&lt;&gt;"",IF(COUNTIF('USPTO TMs'!A:A,D19853)&gt;0,"Yes","No"),"")</f>
        <v/>
      </c>
      <c r="C19853" s="11"/>
      <c r="D19853" s="11"/>
      <c r="E19853" s="11"/>
      <c r="F19853" s="11"/>
      <c r="G19853" s="11"/>
      <c r="H19853" s="11"/>
      <c r="I19853" s="15"/>
    </row>
    <row r="19854" spans="1:9" ht="16.5">
      <c r="A19854" s="10" t="b">
        <v>0</v>
      </c>
      <c r="B19854" s="11" t="str">
        <f>IF(D19854&lt;&gt;"",IF(COUNTIF('USPTO TMs'!A:A,D19854)&gt;0,"Yes","No"),"")</f>
        <v/>
      </c>
      <c r="C19854" s="11"/>
      <c r="D19854" s="11"/>
      <c r="E19854" s="11"/>
      <c r="F19854" s="11"/>
      <c r="G19854" s="11"/>
      <c r="H19854" s="11"/>
      <c r="I19854" s="15"/>
    </row>
    <row r="19855" spans="1:9" ht="16.5">
      <c r="A19855" s="10" t="b">
        <v>0</v>
      </c>
      <c r="B19855" s="11" t="str">
        <f>IF(D19855&lt;&gt;"",IF(COUNTIF('USPTO TMs'!A:A,D19855)&gt;0,"Yes","No"),"")</f>
        <v/>
      </c>
      <c r="C19855" s="11"/>
      <c r="D19855" s="11"/>
      <c r="E19855" s="11"/>
      <c r="F19855" s="11"/>
      <c r="G19855" s="11"/>
      <c r="H19855" s="11"/>
      <c r="I19855" s="15"/>
    </row>
    <row r="19856" spans="1:9" ht="16.5">
      <c r="A19856" s="10" t="b">
        <v>0</v>
      </c>
      <c r="B19856" s="11" t="str">
        <f>IF(D19856&lt;&gt;"",IF(COUNTIF('USPTO TMs'!A:A,D19856)&gt;0,"Yes","No"),"")</f>
        <v/>
      </c>
      <c r="C19856" s="11"/>
      <c r="D19856" s="11"/>
      <c r="E19856" s="11"/>
      <c r="F19856" s="11"/>
      <c r="G19856" s="11"/>
      <c r="H19856" s="11"/>
      <c r="I19856" s="15"/>
    </row>
    <row r="19857" spans="1:9" ht="16.5">
      <c r="A19857" s="10" t="b">
        <v>0</v>
      </c>
      <c r="B19857" s="11" t="str">
        <f>IF(D19857&lt;&gt;"",IF(COUNTIF('USPTO TMs'!A:A,D19857)&gt;0,"Yes","No"),"")</f>
        <v/>
      </c>
      <c r="C19857" s="11"/>
      <c r="D19857" s="11"/>
      <c r="E19857" s="11"/>
      <c r="F19857" s="11"/>
      <c r="G19857" s="11"/>
      <c r="H19857" s="11"/>
      <c r="I19857" s="15"/>
    </row>
    <row r="19858" spans="1:9" ht="16.5">
      <c r="A19858" s="10" t="b">
        <v>0</v>
      </c>
      <c r="B19858" s="11" t="str">
        <f>IF(D19858&lt;&gt;"",IF(COUNTIF('USPTO TMs'!A:A,D19858)&gt;0,"Yes","No"),"")</f>
        <v/>
      </c>
      <c r="C19858" s="11"/>
      <c r="D19858" s="11"/>
      <c r="E19858" s="11"/>
      <c r="F19858" s="11"/>
      <c r="G19858" s="11"/>
      <c r="H19858" s="11"/>
      <c r="I19858" s="15"/>
    </row>
    <row r="19859" spans="1:9" ht="16.5">
      <c r="A19859" s="10" t="b">
        <v>0</v>
      </c>
      <c r="B19859" s="11" t="str">
        <f>IF(D19859&lt;&gt;"",IF(COUNTIF('USPTO TMs'!A:A,D19859)&gt;0,"Yes","No"),"")</f>
        <v/>
      </c>
      <c r="C19859" s="11"/>
      <c r="D19859" s="11"/>
      <c r="E19859" s="11"/>
      <c r="F19859" s="11"/>
      <c r="G19859" s="11"/>
      <c r="H19859" s="11"/>
      <c r="I19859" s="15"/>
    </row>
    <row r="19860" spans="1:9" ht="16.5">
      <c r="A19860" s="10" t="b">
        <v>0</v>
      </c>
      <c r="B19860" s="11" t="str">
        <f>IF(D19860&lt;&gt;"",IF(COUNTIF('USPTO TMs'!A:A,D19860)&gt;0,"Yes","No"),"")</f>
        <v/>
      </c>
      <c r="C19860" s="11"/>
      <c r="D19860" s="11"/>
      <c r="E19860" s="11"/>
      <c r="F19860" s="11"/>
      <c r="G19860" s="11"/>
      <c r="H19860" s="11"/>
      <c r="I19860" s="15"/>
    </row>
    <row r="19861" spans="1:9" ht="16.5">
      <c r="A19861" s="10" t="b">
        <v>0</v>
      </c>
      <c r="B19861" s="11" t="str">
        <f>IF(D19861&lt;&gt;"",IF(COUNTIF('USPTO TMs'!A:A,D19861)&gt;0,"Yes","No"),"")</f>
        <v/>
      </c>
      <c r="C19861" s="11"/>
      <c r="D19861" s="11"/>
      <c r="E19861" s="11"/>
      <c r="F19861" s="11"/>
      <c r="G19861" s="11"/>
      <c r="H19861" s="11"/>
      <c r="I19861" s="15"/>
    </row>
    <row r="19862" spans="1:9" ht="16.5">
      <c r="A19862" s="10" t="b">
        <v>0</v>
      </c>
      <c r="B19862" s="11" t="str">
        <f>IF(D19862&lt;&gt;"",IF(COUNTIF('USPTO TMs'!A:A,D19862)&gt;0,"Yes","No"),"")</f>
        <v/>
      </c>
      <c r="C19862" s="11"/>
      <c r="D19862" s="11"/>
      <c r="E19862" s="11"/>
      <c r="F19862" s="11"/>
      <c r="G19862" s="11"/>
      <c r="H19862" s="11"/>
      <c r="I19862" s="15"/>
    </row>
    <row r="19863" spans="1:9" ht="16.5">
      <c r="A19863" s="10" t="b">
        <v>0</v>
      </c>
      <c r="B19863" s="11" t="str">
        <f>IF(D19863&lt;&gt;"",IF(COUNTIF('USPTO TMs'!A:A,D19863)&gt;0,"Yes","No"),"")</f>
        <v/>
      </c>
      <c r="C19863" s="11"/>
      <c r="D19863" s="11"/>
      <c r="E19863" s="11"/>
      <c r="F19863" s="11"/>
      <c r="G19863" s="11"/>
      <c r="H19863" s="11"/>
      <c r="I19863" s="15"/>
    </row>
    <row r="19864" spans="1:9" ht="16.5">
      <c r="A19864" s="10" t="b">
        <v>0</v>
      </c>
      <c r="B19864" s="11" t="str">
        <f>IF(D19864&lt;&gt;"",IF(COUNTIF('USPTO TMs'!A:A,D19864)&gt;0,"Yes","No"),"")</f>
        <v/>
      </c>
      <c r="C19864" s="11"/>
      <c r="D19864" s="11"/>
      <c r="E19864" s="11"/>
      <c r="F19864" s="11"/>
      <c r="G19864" s="11"/>
      <c r="H19864" s="11"/>
      <c r="I19864" s="15"/>
    </row>
    <row r="19865" spans="1:9" ht="16.5">
      <c r="A19865" s="10" t="b">
        <v>0</v>
      </c>
      <c r="B19865" s="11" t="str">
        <f>IF(D19865&lt;&gt;"",IF(COUNTIF('USPTO TMs'!A:A,D19865)&gt;0,"Yes","No"),"")</f>
        <v/>
      </c>
      <c r="C19865" s="11"/>
      <c r="D19865" s="11"/>
      <c r="E19865" s="11"/>
      <c r="F19865" s="11"/>
      <c r="G19865" s="11"/>
      <c r="H19865" s="11"/>
      <c r="I19865" s="15"/>
    </row>
    <row r="19866" spans="1:9" ht="16.5">
      <c r="A19866" s="10" t="b">
        <v>0</v>
      </c>
      <c r="B19866" s="11" t="str">
        <f>IF(D19866&lt;&gt;"",IF(COUNTIF('USPTO TMs'!A:A,D19866)&gt;0,"Yes","No"),"")</f>
        <v/>
      </c>
      <c r="C19866" s="11"/>
      <c r="D19866" s="11"/>
      <c r="E19866" s="11"/>
      <c r="F19866" s="11"/>
      <c r="G19866" s="11"/>
      <c r="H19866" s="11"/>
      <c r="I19866" s="15"/>
    </row>
    <row r="19867" spans="1:9" ht="16.5">
      <c r="A19867" s="10" t="b">
        <v>0</v>
      </c>
      <c r="B19867" s="11" t="str">
        <f>IF(D19867&lt;&gt;"",IF(COUNTIF('USPTO TMs'!A:A,D19867)&gt;0,"Yes","No"),"")</f>
        <v/>
      </c>
      <c r="C19867" s="11"/>
      <c r="D19867" s="11"/>
      <c r="E19867" s="11"/>
      <c r="F19867" s="11"/>
      <c r="G19867" s="11"/>
      <c r="H19867" s="11"/>
      <c r="I19867" s="15"/>
    </row>
    <row r="19868" spans="1:9" ht="16.5">
      <c r="A19868" s="10" t="b">
        <v>0</v>
      </c>
      <c r="B19868" s="11" t="str">
        <f>IF(D19868&lt;&gt;"",IF(COUNTIF('USPTO TMs'!A:A,D19868)&gt;0,"Yes","No"),"")</f>
        <v/>
      </c>
      <c r="C19868" s="11"/>
      <c r="D19868" s="11"/>
      <c r="E19868" s="11"/>
      <c r="F19868" s="11"/>
      <c r="G19868" s="11"/>
      <c r="H19868" s="11"/>
      <c r="I19868" s="15"/>
    </row>
    <row r="19869" spans="1:9" ht="16.5">
      <c r="A19869" s="10" t="b">
        <v>0</v>
      </c>
      <c r="B19869" s="11" t="str">
        <f>IF(D19869&lt;&gt;"",IF(COUNTIF('USPTO TMs'!A:A,D19869)&gt;0,"Yes","No"),"")</f>
        <v/>
      </c>
      <c r="C19869" s="11"/>
      <c r="D19869" s="11"/>
      <c r="E19869" s="11"/>
      <c r="F19869" s="11"/>
      <c r="G19869" s="11"/>
      <c r="H19869" s="11"/>
      <c r="I19869" s="15"/>
    </row>
    <row r="19870" spans="1:9" ht="16.5">
      <c r="A19870" s="10" t="b">
        <v>0</v>
      </c>
      <c r="B19870" s="11" t="str">
        <f>IF(D19870&lt;&gt;"",IF(COUNTIF('USPTO TMs'!A:A,D19870)&gt;0,"Yes","No"),"")</f>
        <v/>
      </c>
      <c r="C19870" s="11"/>
      <c r="D19870" s="11"/>
      <c r="E19870" s="11"/>
      <c r="F19870" s="11"/>
      <c r="G19870" s="11"/>
      <c r="H19870" s="11"/>
      <c r="I19870" s="15"/>
    </row>
    <row r="19871" spans="1:9" ht="16.5">
      <c r="A19871" s="10" t="b">
        <v>0</v>
      </c>
      <c r="B19871" s="11" t="str">
        <f>IF(D19871&lt;&gt;"",IF(COUNTIF('USPTO TMs'!A:A,D19871)&gt;0,"Yes","No"),"")</f>
        <v/>
      </c>
      <c r="C19871" s="11"/>
      <c r="D19871" s="11"/>
      <c r="E19871" s="11"/>
      <c r="F19871" s="11"/>
      <c r="G19871" s="11"/>
      <c r="H19871" s="11"/>
      <c r="I19871" s="15"/>
    </row>
    <row r="19872" spans="1:9" ht="16.5">
      <c r="A19872" s="10" t="b">
        <v>0</v>
      </c>
      <c r="B19872" s="11" t="str">
        <f>IF(D19872&lt;&gt;"",IF(COUNTIF('USPTO TMs'!A:A,D19872)&gt;0,"Yes","No"),"")</f>
        <v/>
      </c>
      <c r="C19872" s="11"/>
      <c r="D19872" s="11"/>
      <c r="E19872" s="11"/>
      <c r="F19872" s="11"/>
      <c r="G19872" s="11"/>
      <c r="H19872" s="11"/>
      <c r="I19872" s="15"/>
    </row>
    <row r="19873" spans="1:9" ht="16.5">
      <c r="A19873" s="10" t="b">
        <v>0</v>
      </c>
      <c r="B19873" s="11" t="str">
        <f>IF(D19873&lt;&gt;"",IF(COUNTIF('USPTO TMs'!A:A,D19873)&gt;0,"Yes","No"),"")</f>
        <v/>
      </c>
      <c r="C19873" s="11"/>
      <c r="D19873" s="11"/>
      <c r="E19873" s="11"/>
      <c r="F19873" s="11"/>
      <c r="G19873" s="11"/>
      <c r="H19873" s="11"/>
      <c r="I19873" s="15"/>
    </row>
    <row r="19874" spans="1:9" ht="16.5">
      <c r="A19874" s="10" t="b">
        <v>0</v>
      </c>
      <c r="B19874" s="11" t="str">
        <f>IF(D19874&lt;&gt;"",IF(COUNTIF('USPTO TMs'!A:A,D19874)&gt;0,"Yes","No"),"")</f>
        <v/>
      </c>
      <c r="C19874" s="11"/>
      <c r="D19874" s="11"/>
      <c r="E19874" s="11"/>
      <c r="F19874" s="11"/>
      <c r="G19874" s="11"/>
      <c r="H19874" s="11"/>
      <c r="I19874" s="15"/>
    </row>
    <row r="19875" spans="1:9" ht="16.5">
      <c r="A19875" s="10" t="b">
        <v>0</v>
      </c>
      <c r="B19875" s="11" t="str">
        <f>IF(D19875&lt;&gt;"",IF(COUNTIF('USPTO TMs'!A:A,D19875)&gt;0,"Yes","No"),"")</f>
        <v/>
      </c>
      <c r="C19875" s="11"/>
      <c r="D19875" s="11"/>
      <c r="E19875" s="11"/>
      <c r="F19875" s="11"/>
      <c r="G19875" s="11"/>
      <c r="H19875" s="11"/>
      <c r="I19875" s="15"/>
    </row>
    <row r="19876" spans="1:9" ht="16.5">
      <c r="A19876" s="10" t="b">
        <v>0</v>
      </c>
      <c r="B19876" s="11" t="str">
        <f>IF(D19876&lt;&gt;"",IF(COUNTIF('USPTO TMs'!A:A,D19876)&gt;0,"Yes","No"),"")</f>
        <v/>
      </c>
      <c r="C19876" s="11"/>
      <c r="D19876" s="11"/>
      <c r="E19876" s="11"/>
      <c r="F19876" s="11"/>
      <c r="G19876" s="11"/>
      <c r="H19876" s="11"/>
      <c r="I19876" s="15"/>
    </row>
    <row r="19877" spans="1:9" ht="16.5">
      <c r="A19877" s="10" t="b">
        <v>0</v>
      </c>
      <c r="B19877" s="11" t="str">
        <f>IF(D19877&lt;&gt;"",IF(COUNTIF('USPTO TMs'!A:A,D19877)&gt;0,"Yes","No"),"")</f>
        <v/>
      </c>
      <c r="C19877" s="11"/>
      <c r="D19877" s="11"/>
      <c r="E19877" s="11"/>
      <c r="F19877" s="11"/>
      <c r="G19877" s="11"/>
      <c r="H19877" s="11"/>
      <c r="I19877" s="15"/>
    </row>
    <row r="19878" spans="1:9" ht="16.5">
      <c r="A19878" s="10" t="b">
        <v>0</v>
      </c>
      <c r="B19878" s="11" t="str">
        <f>IF(D19878&lt;&gt;"",IF(COUNTIF('USPTO TMs'!A:A,D19878)&gt;0,"Yes","No"),"")</f>
        <v/>
      </c>
      <c r="C19878" s="11"/>
      <c r="D19878" s="11"/>
      <c r="E19878" s="11"/>
      <c r="F19878" s="11"/>
      <c r="G19878" s="11"/>
      <c r="H19878" s="11"/>
      <c r="I19878" s="15"/>
    </row>
    <row r="19879" spans="1:9" ht="16.5">
      <c r="A19879" s="10" t="b">
        <v>0</v>
      </c>
      <c r="B19879" s="11" t="str">
        <f>IF(D19879&lt;&gt;"",IF(COUNTIF('USPTO TMs'!A:A,D19879)&gt;0,"Yes","No"),"")</f>
        <v/>
      </c>
      <c r="C19879" s="11"/>
      <c r="D19879" s="11"/>
      <c r="E19879" s="11"/>
      <c r="F19879" s="11"/>
      <c r="G19879" s="11"/>
      <c r="H19879" s="11"/>
      <c r="I19879" s="15"/>
    </row>
    <row r="19880" spans="1:9" ht="16.5">
      <c r="A19880" s="10" t="b">
        <v>0</v>
      </c>
      <c r="B19880" s="11" t="str">
        <f>IF(D19880&lt;&gt;"",IF(COUNTIF('USPTO TMs'!A:A,D19880)&gt;0,"Yes","No"),"")</f>
        <v/>
      </c>
      <c r="C19880" s="11"/>
      <c r="D19880" s="11"/>
      <c r="E19880" s="11"/>
      <c r="F19880" s="11"/>
      <c r="G19880" s="11"/>
      <c r="H19880" s="11"/>
      <c r="I19880" s="15"/>
    </row>
    <row r="19881" spans="1:9" ht="16.5">
      <c r="A19881" s="10" t="b">
        <v>0</v>
      </c>
      <c r="B19881" s="11" t="str">
        <f>IF(D19881&lt;&gt;"",IF(COUNTIF('USPTO TMs'!A:A,D19881)&gt;0,"Yes","No"),"")</f>
        <v/>
      </c>
      <c r="C19881" s="11"/>
      <c r="D19881" s="11"/>
      <c r="E19881" s="11"/>
      <c r="F19881" s="11"/>
      <c r="G19881" s="11"/>
      <c r="H19881" s="11"/>
      <c r="I19881" s="15"/>
    </row>
    <row r="19882" spans="1:9" ht="16.5">
      <c r="A19882" s="10" t="b">
        <v>0</v>
      </c>
      <c r="B19882" s="11" t="str">
        <f>IF(D19882&lt;&gt;"",IF(COUNTIF('USPTO TMs'!A:A,D19882)&gt;0,"Yes","No"),"")</f>
        <v/>
      </c>
      <c r="C19882" s="11"/>
      <c r="D19882" s="11"/>
      <c r="E19882" s="11"/>
      <c r="F19882" s="11"/>
      <c r="G19882" s="11"/>
      <c r="H19882" s="11"/>
      <c r="I19882" s="15"/>
    </row>
    <row r="19883" spans="1:9" ht="16.5">
      <c r="A19883" s="10" t="b">
        <v>0</v>
      </c>
      <c r="B19883" s="11" t="str">
        <f>IF(D19883&lt;&gt;"",IF(COUNTIF('USPTO TMs'!A:A,D19883)&gt;0,"Yes","No"),"")</f>
        <v/>
      </c>
      <c r="C19883" s="11"/>
      <c r="D19883" s="11"/>
      <c r="E19883" s="11"/>
      <c r="F19883" s="11"/>
      <c r="G19883" s="11"/>
      <c r="H19883" s="11"/>
      <c r="I19883" s="15"/>
    </row>
    <row r="19884" spans="1:9" ht="16.5">
      <c r="A19884" s="10" t="b">
        <v>0</v>
      </c>
      <c r="B19884" s="11" t="str">
        <f>IF(D19884&lt;&gt;"",IF(COUNTIF('USPTO TMs'!A:A,D19884)&gt;0,"Yes","No"),"")</f>
        <v/>
      </c>
      <c r="C19884" s="11"/>
      <c r="D19884" s="11"/>
      <c r="E19884" s="11"/>
      <c r="F19884" s="11"/>
      <c r="G19884" s="11"/>
      <c r="H19884" s="11"/>
      <c r="I19884" s="15"/>
    </row>
    <row r="19885" spans="1:9" ht="16.5">
      <c r="A19885" s="10" t="b">
        <v>0</v>
      </c>
      <c r="B19885" s="11" t="str">
        <f>IF(D19885&lt;&gt;"",IF(COUNTIF('USPTO TMs'!A:A,D19885)&gt;0,"Yes","No"),"")</f>
        <v/>
      </c>
      <c r="C19885" s="11"/>
      <c r="D19885" s="11"/>
      <c r="E19885" s="11"/>
      <c r="F19885" s="11"/>
      <c r="G19885" s="11"/>
      <c r="H19885" s="11"/>
      <c r="I19885" s="15"/>
    </row>
    <row r="19886" spans="1:9" ht="16.5">
      <c r="A19886" s="10" t="b">
        <v>0</v>
      </c>
      <c r="B19886" s="11" t="str">
        <f>IF(D19886&lt;&gt;"",IF(COUNTIF('USPTO TMs'!A:A,D19886)&gt;0,"Yes","No"),"")</f>
        <v/>
      </c>
      <c r="C19886" s="11"/>
      <c r="D19886" s="11"/>
      <c r="E19886" s="11"/>
      <c r="F19886" s="11"/>
      <c r="G19886" s="11"/>
      <c r="H19886" s="11"/>
      <c r="I19886" s="15"/>
    </row>
    <row r="19887" spans="1:9" ht="16.5">
      <c r="A19887" s="10" t="b">
        <v>0</v>
      </c>
      <c r="B19887" s="11" t="str">
        <f>IF(D19887&lt;&gt;"",IF(COUNTIF('USPTO TMs'!A:A,D19887)&gt;0,"Yes","No"),"")</f>
        <v/>
      </c>
      <c r="C19887" s="11"/>
      <c r="D19887" s="11"/>
      <c r="E19887" s="11"/>
      <c r="F19887" s="11"/>
      <c r="G19887" s="11"/>
      <c r="H19887" s="11"/>
      <c r="I19887" s="15"/>
    </row>
    <row r="19888" spans="1:9" ht="16.5">
      <c r="A19888" s="10" t="b">
        <v>0</v>
      </c>
      <c r="B19888" s="11" t="str">
        <f>IF(D19888&lt;&gt;"",IF(COUNTIF('USPTO TMs'!A:A,D19888)&gt;0,"Yes","No"),"")</f>
        <v/>
      </c>
      <c r="C19888" s="11"/>
      <c r="D19888" s="11"/>
      <c r="E19888" s="11"/>
      <c r="F19888" s="11"/>
      <c r="G19888" s="11"/>
      <c r="H19888" s="11"/>
      <c r="I19888" s="15"/>
    </row>
    <row r="19889" spans="1:9" ht="16.5">
      <c r="A19889" s="10" t="b">
        <v>0</v>
      </c>
      <c r="B19889" s="11" t="str">
        <f>IF(D19889&lt;&gt;"",IF(COUNTIF('USPTO TMs'!A:A,D19889)&gt;0,"Yes","No"),"")</f>
        <v/>
      </c>
      <c r="C19889" s="11"/>
      <c r="D19889" s="11"/>
      <c r="E19889" s="11"/>
      <c r="F19889" s="11"/>
      <c r="G19889" s="11"/>
      <c r="H19889" s="11"/>
      <c r="I19889" s="15"/>
    </row>
    <row r="19890" spans="1:9" ht="16.5">
      <c r="A19890" s="10" t="b">
        <v>0</v>
      </c>
      <c r="B19890" s="11" t="str">
        <f>IF(D19890&lt;&gt;"",IF(COUNTIF('USPTO TMs'!A:A,D19890)&gt;0,"Yes","No"),"")</f>
        <v/>
      </c>
      <c r="C19890" s="11"/>
      <c r="D19890" s="11"/>
      <c r="E19890" s="11"/>
      <c r="F19890" s="11"/>
      <c r="G19890" s="11"/>
      <c r="H19890" s="11"/>
      <c r="I19890" s="15"/>
    </row>
    <row r="19891" spans="1:9" ht="16.5">
      <c r="A19891" s="10" t="b">
        <v>0</v>
      </c>
      <c r="B19891" s="11" t="str">
        <f>IF(D19891&lt;&gt;"",IF(COUNTIF('USPTO TMs'!A:A,D19891)&gt;0,"Yes","No"),"")</f>
        <v/>
      </c>
      <c r="C19891" s="11"/>
      <c r="D19891" s="11"/>
      <c r="E19891" s="11"/>
      <c r="F19891" s="11"/>
      <c r="G19891" s="11"/>
      <c r="H19891" s="11"/>
      <c r="I19891" s="15"/>
    </row>
    <row r="19892" spans="1:9" ht="16.5">
      <c r="A19892" s="10" t="b">
        <v>0</v>
      </c>
      <c r="B19892" s="11" t="str">
        <f>IF(D19892&lt;&gt;"",IF(COUNTIF('USPTO TMs'!A:A,D19892)&gt;0,"Yes","No"),"")</f>
        <v/>
      </c>
      <c r="C19892" s="11"/>
      <c r="D19892" s="11"/>
      <c r="E19892" s="11"/>
      <c r="F19892" s="11"/>
      <c r="G19892" s="11"/>
      <c r="H19892" s="11"/>
      <c r="I19892" s="15"/>
    </row>
    <row r="19893" spans="1:9" ht="16.5">
      <c r="A19893" s="10" t="b">
        <v>0</v>
      </c>
      <c r="B19893" s="11" t="str">
        <f>IF(D19893&lt;&gt;"",IF(COUNTIF('USPTO TMs'!A:A,D19893)&gt;0,"Yes","No"),"")</f>
        <v/>
      </c>
      <c r="C19893" s="11"/>
      <c r="D19893" s="11"/>
      <c r="E19893" s="11"/>
      <c r="F19893" s="11"/>
      <c r="G19893" s="11"/>
      <c r="H19893" s="11"/>
      <c r="I19893" s="15"/>
    </row>
    <row r="19894" spans="1:9" ht="16.5">
      <c r="A19894" s="10" t="b">
        <v>0</v>
      </c>
      <c r="B19894" s="11" t="str">
        <f>IF(D19894&lt;&gt;"",IF(COUNTIF('USPTO TMs'!A:A,D19894)&gt;0,"Yes","No"),"")</f>
        <v/>
      </c>
      <c r="C19894" s="11"/>
      <c r="D19894" s="11"/>
      <c r="E19894" s="11"/>
      <c r="F19894" s="11"/>
      <c r="G19894" s="11"/>
      <c r="H19894" s="11"/>
      <c r="I19894" s="15"/>
    </row>
    <row r="19895" spans="1:9" ht="16.5">
      <c r="A19895" s="10" t="b">
        <v>0</v>
      </c>
      <c r="B19895" s="11" t="str">
        <f>IF(D19895&lt;&gt;"",IF(COUNTIF('USPTO TMs'!A:A,D19895)&gt;0,"Yes","No"),"")</f>
        <v/>
      </c>
      <c r="C19895" s="11"/>
      <c r="D19895" s="11"/>
      <c r="E19895" s="11"/>
      <c r="F19895" s="11"/>
      <c r="G19895" s="11"/>
      <c r="H19895" s="11"/>
      <c r="I19895" s="15"/>
    </row>
    <row r="19896" spans="1:9" ht="16.5">
      <c r="A19896" s="10" t="b">
        <v>0</v>
      </c>
      <c r="B19896" s="11" t="str">
        <f>IF(D19896&lt;&gt;"",IF(COUNTIF('USPTO TMs'!A:A,D19896)&gt;0,"Yes","No"),"")</f>
        <v/>
      </c>
      <c r="C19896" s="11"/>
      <c r="D19896" s="11"/>
      <c r="E19896" s="11"/>
      <c r="F19896" s="11"/>
      <c r="G19896" s="11"/>
      <c r="H19896" s="11"/>
      <c r="I19896" s="15"/>
    </row>
    <row r="19897" spans="1:9" ht="16.5">
      <c r="A19897" s="10" t="b">
        <v>0</v>
      </c>
      <c r="B19897" s="11" t="str">
        <f>IF(D19897&lt;&gt;"",IF(COUNTIF('USPTO TMs'!A:A,D19897)&gt;0,"Yes","No"),"")</f>
        <v/>
      </c>
      <c r="C19897" s="11"/>
      <c r="D19897" s="11"/>
      <c r="E19897" s="11"/>
      <c r="F19897" s="11"/>
      <c r="G19897" s="11"/>
      <c r="H19897" s="11"/>
      <c r="I19897" s="15"/>
    </row>
    <row r="19898" spans="1:9" ht="16.5">
      <c r="A19898" s="10" t="b">
        <v>0</v>
      </c>
      <c r="B19898" s="11" t="str">
        <f>IF(D19898&lt;&gt;"",IF(COUNTIF('USPTO TMs'!A:A,D19898)&gt;0,"Yes","No"),"")</f>
        <v/>
      </c>
      <c r="C19898" s="11"/>
      <c r="D19898" s="11"/>
      <c r="E19898" s="11"/>
      <c r="F19898" s="11"/>
      <c r="G19898" s="11"/>
      <c r="H19898" s="11"/>
      <c r="I19898" s="15"/>
    </row>
    <row r="19899" spans="1:9" ht="16.5">
      <c r="A19899" s="10" t="b">
        <v>0</v>
      </c>
      <c r="B19899" s="11" t="str">
        <f>IF(D19899&lt;&gt;"",IF(COUNTIF('USPTO TMs'!A:A,D19899)&gt;0,"Yes","No"),"")</f>
        <v/>
      </c>
      <c r="C19899" s="11"/>
      <c r="D19899" s="11"/>
      <c r="E19899" s="11"/>
      <c r="F19899" s="11"/>
      <c r="G19899" s="11"/>
      <c r="H19899" s="11"/>
      <c r="I19899" s="15"/>
    </row>
    <row r="19900" spans="1:9" ht="16.5">
      <c r="A19900" s="10" t="b">
        <v>0</v>
      </c>
      <c r="B19900" s="11" t="str">
        <f>IF(D19900&lt;&gt;"",IF(COUNTIF('USPTO TMs'!A:A,D19900)&gt;0,"Yes","No"),"")</f>
        <v/>
      </c>
      <c r="C19900" s="11"/>
      <c r="D19900" s="11"/>
      <c r="E19900" s="11"/>
      <c r="F19900" s="11"/>
      <c r="G19900" s="11"/>
      <c r="H19900" s="11"/>
      <c r="I19900" s="15"/>
    </row>
    <row r="19901" spans="1:9" ht="16.5">
      <c r="A19901" s="10" t="b">
        <v>0</v>
      </c>
      <c r="B19901" s="11" t="str">
        <f>IF(D19901&lt;&gt;"",IF(COUNTIF('USPTO TMs'!A:A,D19901)&gt;0,"Yes","No"),"")</f>
        <v/>
      </c>
      <c r="C19901" s="11"/>
      <c r="D19901" s="11"/>
      <c r="E19901" s="11"/>
      <c r="F19901" s="11"/>
      <c r="G19901" s="11"/>
      <c r="H19901" s="11"/>
      <c r="I19901" s="15"/>
    </row>
    <row r="19902" spans="1:9" ht="16.5">
      <c r="A19902" s="10" t="b">
        <v>0</v>
      </c>
      <c r="B19902" s="11" t="str">
        <f>IF(D19902&lt;&gt;"",IF(COUNTIF('USPTO TMs'!A:A,D19902)&gt;0,"Yes","No"),"")</f>
        <v/>
      </c>
      <c r="C19902" s="11"/>
      <c r="D19902" s="11"/>
      <c r="E19902" s="11"/>
      <c r="F19902" s="11"/>
      <c r="G19902" s="11"/>
      <c r="H19902" s="11"/>
      <c r="I19902" s="15"/>
    </row>
    <row r="19903" spans="1:9" ht="16.5">
      <c r="A19903" s="10" t="b">
        <v>0</v>
      </c>
      <c r="B19903" s="11" t="str">
        <f>IF(D19903&lt;&gt;"",IF(COUNTIF('USPTO TMs'!A:A,D19903)&gt;0,"Yes","No"),"")</f>
        <v/>
      </c>
      <c r="C19903" s="11"/>
      <c r="D19903" s="11"/>
      <c r="E19903" s="11"/>
      <c r="F19903" s="11"/>
      <c r="G19903" s="11"/>
      <c r="H19903" s="11"/>
      <c r="I19903" s="15"/>
    </row>
    <row r="19904" spans="1:9" ht="16.5">
      <c r="A19904" s="10" t="b">
        <v>0</v>
      </c>
      <c r="B19904" s="11" t="str">
        <f>IF(D19904&lt;&gt;"",IF(COUNTIF('USPTO TMs'!A:A,D19904)&gt;0,"Yes","No"),"")</f>
        <v/>
      </c>
      <c r="C19904" s="11"/>
      <c r="D19904" s="11"/>
      <c r="E19904" s="11"/>
      <c r="F19904" s="11"/>
      <c r="G19904" s="11"/>
      <c r="H19904" s="11"/>
      <c r="I19904" s="15"/>
    </row>
    <row r="19905" spans="1:9" ht="16.5">
      <c r="A19905" s="10" t="b">
        <v>0</v>
      </c>
      <c r="B19905" s="11" t="str">
        <f>IF(D19905&lt;&gt;"",IF(COUNTIF('USPTO TMs'!A:A,D19905)&gt;0,"Yes","No"),"")</f>
        <v/>
      </c>
      <c r="C19905" s="11"/>
      <c r="D19905" s="11"/>
      <c r="E19905" s="11"/>
      <c r="F19905" s="11"/>
      <c r="G19905" s="11"/>
      <c r="H19905" s="11"/>
      <c r="I19905" s="15"/>
    </row>
    <row r="19906" spans="1:9" ht="16.5">
      <c r="A19906" s="10" t="b">
        <v>0</v>
      </c>
      <c r="B19906" s="11" t="str">
        <f>IF(D19906&lt;&gt;"",IF(COUNTIF('USPTO TMs'!A:A,D19906)&gt;0,"Yes","No"),"")</f>
        <v/>
      </c>
      <c r="C19906" s="11"/>
      <c r="D19906" s="11"/>
      <c r="E19906" s="11"/>
      <c r="F19906" s="11"/>
      <c r="G19906" s="11"/>
      <c r="H19906" s="11"/>
      <c r="I19906" s="15"/>
    </row>
    <row r="19907" spans="1:9" ht="16.5">
      <c r="A19907" s="10" t="b">
        <v>0</v>
      </c>
      <c r="B19907" s="11" t="str">
        <f>IF(D19907&lt;&gt;"",IF(COUNTIF('USPTO TMs'!A:A,D19907)&gt;0,"Yes","No"),"")</f>
        <v/>
      </c>
      <c r="C19907" s="11"/>
      <c r="D19907" s="11"/>
      <c r="E19907" s="11"/>
      <c r="F19907" s="11"/>
      <c r="G19907" s="11"/>
      <c r="H19907" s="11"/>
      <c r="I19907" s="15"/>
    </row>
    <row r="19908" spans="1:9" ht="16.5">
      <c r="A19908" s="10" t="b">
        <v>0</v>
      </c>
      <c r="B19908" s="11" t="str">
        <f>IF(D19908&lt;&gt;"",IF(COUNTIF('USPTO TMs'!A:A,D19908)&gt;0,"Yes","No"),"")</f>
        <v/>
      </c>
      <c r="C19908" s="11"/>
      <c r="D19908" s="11"/>
      <c r="E19908" s="11"/>
      <c r="F19908" s="11"/>
      <c r="G19908" s="11"/>
      <c r="H19908" s="11"/>
      <c r="I19908" s="15"/>
    </row>
    <row r="19909" spans="1:9" ht="16.5">
      <c r="A19909" s="10" t="b">
        <v>0</v>
      </c>
      <c r="B19909" s="11" t="str">
        <f>IF(D19909&lt;&gt;"",IF(COUNTIF('USPTO TMs'!A:A,D19909)&gt;0,"Yes","No"),"")</f>
        <v/>
      </c>
      <c r="C19909" s="11"/>
      <c r="D19909" s="11"/>
      <c r="E19909" s="11"/>
      <c r="F19909" s="11"/>
      <c r="G19909" s="11"/>
      <c r="H19909" s="11"/>
      <c r="I19909" s="15"/>
    </row>
    <row r="19910" spans="1:9" ht="16.5">
      <c r="A19910" s="10" t="b">
        <v>0</v>
      </c>
      <c r="B19910" s="11" t="str">
        <f>IF(D19910&lt;&gt;"",IF(COUNTIF('USPTO TMs'!A:A,D19910)&gt;0,"Yes","No"),"")</f>
        <v/>
      </c>
      <c r="C19910" s="11"/>
      <c r="D19910" s="11"/>
      <c r="E19910" s="11"/>
      <c r="F19910" s="11"/>
      <c r="G19910" s="11"/>
      <c r="H19910" s="11"/>
      <c r="I19910" s="15"/>
    </row>
    <row r="19911" spans="1:9" ht="16.5">
      <c r="A19911" s="10" t="b">
        <v>0</v>
      </c>
      <c r="B19911" s="11" t="str">
        <f>IF(D19911&lt;&gt;"",IF(COUNTIF('USPTO TMs'!A:A,D19911)&gt;0,"Yes","No"),"")</f>
        <v/>
      </c>
      <c r="C19911" s="11"/>
      <c r="D19911" s="11"/>
      <c r="E19911" s="11"/>
      <c r="F19911" s="11"/>
      <c r="G19911" s="11"/>
      <c r="H19911" s="11"/>
      <c r="I19911" s="15"/>
    </row>
    <row r="19912" spans="1:9" ht="16.5">
      <c r="A19912" s="10" t="b">
        <v>0</v>
      </c>
      <c r="B19912" s="11" t="str">
        <f>IF(D19912&lt;&gt;"",IF(COUNTIF('USPTO TMs'!A:A,D19912)&gt;0,"Yes","No"),"")</f>
        <v/>
      </c>
      <c r="C19912" s="11"/>
      <c r="D19912" s="11"/>
      <c r="E19912" s="11"/>
      <c r="F19912" s="11"/>
      <c r="G19912" s="11"/>
      <c r="H19912" s="11"/>
      <c r="I19912" s="15"/>
    </row>
    <row r="19913" spans="1:9" ht="16.5">
      <c r="A19913" s="10" t="b">
        <v>0</v>
      </c>
      <c r="B19913" s="11" t="str">
        <f>IF(D19913&lt;&gt;"",IF(COUNTIF('USPTO TMs'!A:A,D19913)&gt;0,"Yes","No"),"")</f>
        <v/>
      </c>
      <c r="C19913" s="11"/>
      <c r="D19913" s="11"/>
      <c r="E19913" s="11"/>
      <c r="F19913" s="11"/>
      <c r="G19913" s="11"/>
      <c r="H19913" s="11"/>
      <c r="I19913" s="15"/>
    </row>
    <row r="19914" spans="1:9" ht="16.5">
      <c r="A19914" s="10" t="b">
        <v>0</v>
      </c>
      <c r="B19914" s="11" t="str">
        <f>IF(D19914&lt;&gt;"",IF(COUNTIF('USPTO TMs'!A:A,D19914)&gt;0,"Yes","No"),"")</f>
        <v/>
      </c>
      <c r="C19914" s="11"/>
      <c r="D19914" s="11"/>
      <c r="E19914" s="11"/>
      <c r="F19914" s="11"/>
      <c r="G19914" s="11"/>
      <c r="H19914" s="11"/>
      <c r="I19914" s="15"/>
    </row>
    <row r="19915" spans="1:9" ht="16.5">
      <c r="A19915" s="10" t="b">
        <v>0</v>
      </c>
      <c r="B19915" s="11" t="str">
        <f>IF(D19915&lt;&gt;"",IF(COUNTIF('USPTO TMs'!A:A,D19915)&gt;0,"Yes","No"),"")</f>
        <v/>
      </c>
      <c r="C19915" s="11"/>
      <c r="D19915" s="11"/>
      <c r="E19915" s="11"/>
      <c r="F19915" s="11"/>
      <c r="G19915" s="11"/>
      <c r="H19915" s="11"/>
      <c r="I19915" s="15"/>
    </row>
    <row r="19916" spans="1:9" ht="16.5">
      <c r="A19916" s="10" t="b">
        <v>0</v>
      </c>
      <c r="B19916" s="11" t="str">
        <f>IF(D19916&lt;&gt;"",IF(COUNTIF('USPTO TMs'!A:A,D19916)&gt;0,"Yes","No"),"")</f>
        <v/>
      </c>
      <c r="C19916" s="11"/>
      <c r="D19916" s="11"/>
      <c r="E19916" s="11"/>
      <c r="F19916" s="11"/>
      <c r="G19916" s="11"/>
      <c r="H19916" s="11"/>
      <c r="I19916" s="15"/>
    </row>
    <row r="19917" spans="1:9" ht="16.5">
      <c r="A19917" s="10" t="b">
        <v>0</v>
      </c>
      <c r="B19917" s="11" t="str">
        <f>IF(D19917&lt;&gt;"",IF(COUNTIF('USPTO TMs'!A:A,D19917)&gt;0,"Yes","No"),"")</f>
        <v/>
      </c>
      <c r="C19917" s="11"/>
      <c r="D19917" s="11"/>
      <c r="E19917" s="11"/>
      <c r="F19917" s="11"/>
      <c r="G19917" s="11"/>
      <c r="H19917" s="11"/>
      <c r="I19917" s="15"/>
    </row>
    <row r="19918" spans="1:9" ht="16.5">
      <c r="A19918" s="10" t="b">
        <v>0</v>
      </c>
      <c r="B19918" s="11" t="str">
        <f>IF(D19918&lt;&gt;"",IF(COUNTIF('USPTO TMs'!A:A,D19918)&gt;0,"Yes","No"),"")</f>
        <v/>
      </c>
      <c r="C19918" s="11"/>
      <c r="D19918" s="11"/>
      <c r="E19918" s="11"/>
      <c r="F19918" s="11"/>
      <c r="G19918" s="11"/>
      <c r="H19918" s="11"/>
      <c r="I19918" s="15"/>
    </row>
    <row r="19919" spans="1:9" ht="16.5">
      <c r="A19919" s="10" t="b">
        <v>0</v>
      </c>
      <c r="B19919" s="11" t="str">
        <f>IF(D19919&lt;&gt;"",IF(COUNTIF('USPTO TMs'!A:A,D19919)&gt;0,"Yes","No"),"")</f>
        <v/>
      </c>
      <c r="C19919" s="11"/>
      <c r="D19919" s="11"/>
      <c r="E19919" s="11"/>
      <c r="F19919" s="11"/>
      <c r="G19919" s="11"/>
      <c r="H19919" s="11"/>
      <c r="I19919" s="15"/>
    </row>
    <row r="19920" spans="1:9" ht="16.5">
      <c r="A19920" s="10" t="b">
        <v>0</v>
      </c>
      <c r="B19920" s="11" t="str">
        <f>IF(D19920&lt;&gt;"",IF(COUNTIF('USPTO TMs'!A:A,D19920)&gt;0,"Yes","No"),"")</f>
        <v/>
      </c>
      <c r="C19920" s="11"/>
      <c r="D19920" s="11"/>
      <c r="E19920" s="11"/>
      <c r="F19920" s="11"/>
      <c r="G19920" s="11"/>
      <c r="H19920" s="11"/>
      <c r="I19920" s="15"/>
    </row>
    <row r="19921" spans="1:9" ht="16.5">
      <c r="A19921" s="10" t="b">
        <v>0</v>
      </c>
      <c r="B19921" s="11" t="str">
        <f>IF(D19921&lt;&gt;"",IF(COUNTIF('USPTO TMs'!A:A,D19921)&gt;0,"Yes","No"),"")</f>
        <v/>
      </c>
      <c r="C19921" s="11"/>
      <c r="D19921" s="11"/>
      <c r="E19921" s="11"/>
      <c r="F19921" s="11"/>
      <c r="G19921" s="11"/>
      <c r="H19921" s="11"/>
      <c r="I19921" s="15"/>
    </row>
    <row r="19922" spans="1:9" ht="16.5">
      <c r="A19922" s="10" t="b">
        <v>0</v>
      </c>
      <c r="B19922" s="11" t="str">
        <f>IF(D19922&lt;&gt;"",IF(COUNTIF('USPTO TMs'!A:A,D19922)&gt;0,"Yes","No"),"")</f>
        <v/>
      </c>
      <c r="C19922" s="11"/>
      <c r="D19922" s="11"/>
      <c r="E19922" s="11"/>
      <c r="F19922" s="11"/>
      <c r="G19922" s="11"/>
      <c r="H19922" s="11"/>
      <c r="I19922" s="15"/>
    </row>
    <row r="19923" spans="1:9" ht="16.5">
      <c r="A19923" s="10" t="b">
        <v>0</v>
      </c>
      <c r="B19923" s="11" t="str">
        <f>IF(D19923&lt;&gt;"",IF(COUNTIF('USPTO TMs'!A:A,D19923)&gt;0,"Yes","No"),"")</f>
        <v/>
      </c>
      <c r="C19923" s="11"/>
      <c r="D19923" s="11"/>
      <c r="E19923" s="11"/>
      <c r="F19923" s="11"/>
      <c r="G19923" s="11"/>
      <c r="H19923" s="11"/>
      <c r="I19923" s="15"/>
    </row>
    <row r="19924" spans="1:9" ht="16.5">
      <c r="A19924" s="10" t="b">
        <v>0</v>
      </c>
      <c r="B19924" s="11" t="str">
        <f>IF(D19924&lt;&gt;"",IF(COUNTIF('USPTO TMs'!A:A,D19924)&gt;0,"Yes","No"),"")</f>
        <v/>
      </c>
      <c r="C19924" s="11"/>
      <c r="D19924" s="11"/>
      <c r="E19924" s="11"/>
      <c r="F19924" s="11"/>
      <c r="G19924" s="11"/>
      <c r="H19924" s="11"/>
      <c r="I19924" s="15"/>
    </row>
    <row r="19925" spans="1:9" ht="16.5">
      <c r="A19925" s="10" t="b">
        <v>0</v>
      </c>
      <c r="B19925" s="11" t="str">
        <f>IF(D19925&lt;&gt;"",IF(COUNTIF('USPTO TMs'!A:A,D19925)&gt;0,"Yes","No"),"")</f>
        <v/>
      </c>
      <c r="C19925" s="11"/>
      <c r="D19925" s="11"/>
      <c r="E19925" s="11"/>
      <c r="F19925" s="11"/>
      <c r="G19925" s="11"/>
      <c r="H19925" s="11"/>
      <c r="I19925" s="15"/>
    </row>
    <row r="19926" spans="1:9" ht="16.5">
      <c r="A19926" s="10" t="b">
        <v>0</v>
      </c>
      <c r="B19926" s="11" t="str">
        <f>IF(D19926&lt;&gt;"",IF(COUNTIF('USPTO TMs'!A:A,D19926)&gt;0,"Yes","No"),"")</f>
        <v/>
      </c>
      <c r="C19926" s="11"/>
      <c r="D19926" s="11"/>
      <c r="E19926" s="11"/>
      <c r="F19926" s="11"/>
      <c r="G19926" s="11"/>
      <c r="H19926" s="11"/>
      <c r="I19926" s="15"/>
    </row>
    <row r="19927" spans="1:9" ht="16.5">
      <c r="A19927" s="10" t="b">
        <v>0</v>
      </c>
      <c r="B19927" s="11" t="str">
        <f>IF(D19927&lt;&gt;"",IF(COUNTIF('USPTO TMs'!A:A,D19927)&gt;0,"Yes","No"),"")</f>
        <v/>
      </c>
      <c r="C19927" s="11"/>
      <c r="D19927" s="11"/>
      <c r="E19927" s="11"/>
      <c r="F19927" s="11"/>
      <c r="G19927" s="11"/>
      <c r="H19927" s="11"/>
      <c r="I19927" s="15"/>
    </row>
    <row r="19928" spans="1:9" ht="16.5">
      <c r="A19928" s="10" t="b">
        <v>0</v>
      </c>
      <c r="B19928" s="11" t="str">
        <f>IF(D19928&lt;&gt;"",IF(COUNTIF('USPTO TMs'!A:A,D19928)&gt;0,"Yes","No"),"")</f>
        <v/>
      </c>
      <c r="C19928" s="11"/>
      <c r="D19928" s="11"/>
      <c r="E19928" s="11"/>
      <c r="F19928" s="11"/>
      <c r="G19928" s="11"/>
      <c r="H19928" s="11"/>
      <c r="I19928" s="15"/>
    </row>
    <row r="19929" spans="1:9" ht="16.5">
      <c r="A19929" s="10" t="b">
        <v>0</v>
      </c>
      <c r="B19929" s="11" t="str">
        <f>IF(D19929&lt;&gt;"",IF(COUNTIF('USPTO TMs'!A:A,D19929)&gt;0,"Yes","No"),"")</f>
        <v/>
      </c>
      <c r="C19929" s="11"/>
      <c r="D19929" s="11"/>
      <c r="E19929" s="11"/>
      <c r="F19929" s="11"/>
      <c r="G19929" s="11"/>
      <c r="H19929" s="11"/>
      <c r="I19929" s="15"/>
    </row>
    <row r="19930" spans="1:9" ht="16.5">
      <c r="A19930" s="10" t="b">
        <v>0</v>
      </c>
      <c r="B19930" s="11" t="str">
        <f>IF(D19930&lt;&gt;"",IF(COUNTIF('USPTO TMs'!A:A,D19930)&gt;0,"Yes","No"),"")</f>
        <v/>
      </c>
      <c r="C19930" s="11"/>
      <c r="D19930" s="11"/>
      <c r="E19930" s="11"/>
      <c r="F19930" s="11"/>
      <c r="G19930" s="11"/>
      <c r="H19930" s="11"/>
      <c r="I19930" s="15"/>
    </row>
    <row r="19931" spans="1:9" ht="16.5">
      <c r="A19931" s="10" t="b">
        <v>0</v>
      </c>
      <c r="B19931" s="11" t="str">
        <f>IF(D19931&lt;&gt;"",IF(COUNTIF('USPTO TMs'!A:A,D19931)&gt;0,"Yes","No"),"")</f>
        <v/>
      </c>
      <c r="C19931" s="11"/>
      <c r="D19931" s="11"/>
      <c r="E19931" s="11"/>
      <c r="F19931" s="11"/>
      <c r="G19931" s="11"/>
      <c r="H19931" s="11"/>
      <c r="I19931" s="15"/>
    </row>
    <row r="19932" spans="1:9" ht="16.5">
      <c r="A19932" s="10" t="b">
        <v>0</v>
      </c>
      <c r="B19932" s="11" t="str">
        <f>IF(D19932&lt;&gt;"",IF(COUNTIF('USPTO TMs'!A:A,D19932)&gt;0,"Yes","No"),"")</f>
        <v/>
      </c>
      <c r="C19932" s="11"/>
      <c r="D19932" s="11"/>
      <c r="E19932" s="11"/>
      <c r="F19932" s="11"/>
      <c r="G19932" s="11"/>
      <c r="H19932" s="11"/>
      <c r="I19932" s="15"/>
    </row>
    <row r="19933" spans="1:9" ht="16.5">
      <c r="A19933" s="10" t="b">
        <v>0</v>
      </c>
      <c r="B19933" s="11" t="str">
        <f>IF(D19933&lt;&gt;"",IF(COUNTIF('USPTO TMs'!A:A,D19933)&gt;0,"Yes","No"),"")</f>
        <v/>
      </c>
      <c r="C19933" s="11"/>
      <c r="D19933" s="11"/>
      <c r="E19933" s="11"/>
      <c r="F19933" s="11"/>
      <c r="G19933" s="11"/>
      <c r="H19933" s="11"/>
      <c r="I19933" s="15"/>
    </row>
    <row r="19934" spans="1:9" ht="16.5">
      <c r="A19934" s="10" t="b">
        <v>0</v>
      </c>
      <c r="B19934" s="11" t="str">
        <f>IF(D19934&lt;&gt;"",IF(COUNTIF('USPTO TMs'!A:A,D19934)&gt;0,"Yes","No"),"")</f>
        <v/>
      </c>
      <c r="C19934" s="11"/>
      <c r="D19934" s="11"/>
      <c r="E19934" s="11"/>
      <c r="F19934" s="11"/>
      <c r="G19934" s="11"/>
      <c r="H19934" s="11"/>
      <c r="I19934" s="15"/>
    </row>
    <row r="19935" spans="1:9" ht="16.5">
      <c r="A19935" s="10" t="b">
        <v>0</v>
      </c>
      <c r="B19935" s="11" t="str">
        <f>IF(D19935&lt;&gt;"",IF(COUNTIF('USPTO TMs'!A:A,D19935)&gt;0,"Yes","No"),"")</f>
        <v/>
      </c>
      <c r="C19935" s="11"/>
      <c r="D19935" s="11"/>
      <c r="E19935" s="11"/>
      <c r="F19935" s="11"/>
      <c r="G19935" s="11"/>
      <c r="H19935" s="11"/>
      <c r="I19935" s="15"/>
    </row>
    <row r="19936" spans="1:9" ht="16.5">
      <c r="A19936" s="10" t="b">
        <v>0</v>
      </c>
      <c r="B19936" s="11" t="str">
        <f>IF(D19936&lt;&gt;"",IF(COUNTIF('USPTO TMs'!A:A,D19936)&gt;0,"Yes","No"),"")</f>
        <v/>
      </c>
      <c r="C19936" s="11"/>
      <c r="D19936" s="11"/>
      <c r="E19936" s="11"/>
      <c r="F19936" s="11"/>
      <c r="G19936" s="11"/>
      <c r="H19936" s="11"/>
      <c r="I19936" s="15"/>
    </row>
    <row r="19937" spans="1:9" ht="16.5">
      <c r="A19937" s="10" t="b">
        <v>0</v>
      </c>
      <c r="B19937" s="11" t="str">
        <f>IF(D19937&lt;&gt;"",IF(COUNTIF('USPTO TMs'!A:A,D19937)&gt;0,"Yes","No"),"")</f>
        <v/>
      </c>
      <c r="C19937" s="11"/>
      <c r="D19937" s="11"/>
      <c r="E19937" s="11"/>
      <c r="F19937" s="11"/>
      <c r="G19937" s="11"/>
      <c r="H19937" s="11"/>
      <c r="I19937" s="15"/>
    </row>
    <row r="19938" spans="1:9" ht="16.5">
      <c r="A19938" s="10" t="b">
        <v>0</v>
      </c>
      <c r="B19938" s="11" t="str">
        <f>IF(D19938&lt;&gt;"",IF(COUNTIF('USPTO TMs'!A:A,D19938)&gt;0,"Yes","No"),"")</f>
        <v/>
      </c>
      <c r="C19938" s="11"/>
      <c r="D19938" s="11"/>
      <c r="E19938" s="11"/>
      <c r="F19938" s="11"/>
      <c r="G19938" s="11"/>
      <c r="H19938" s="11"/>
      <c r="I19938" s="15"/>
    </row>
    <row r="19939" spans="1:9" ht="16.5">
      <c r="A19939" s="10" t="b">
        <v>0</v>
      </c>
      <c r="B19939" s="11" t="str">
        <f>IF(D19939&lt;&gt;"",IF(COUNTIF('USPTO TMs'!A:A,D19939)&gt;0,"Yes","No"),"")</f>
        <v/>
      </c>
      <c r="C19939" s="11"/>
      <c r="D19939" s="11"/>
      <c r="E19939" s="11"/>
      <c r="F19939" s="11"/>
      <c r="G19939" s="11"/>
      <c r="H19939" s="11"/>
      <c r="I19939" s="15"/>
    </row>
    <row r="19940" spans="1:9" ht="16.5">
      <c r="A19940" s="10" t="b">
        <v>0</v>
      </c>
      <c r="B19940" s="11" t="str">
        <f>IF(D19940&lt;&gt;"",IF(COUNTIF('USPTO TMs'!A:A,D19940)&gt;0,"Yes","No"),"")</f>
        <v/>
      </c>
      <c r="C19940" s="11"/>
      <c r="D19940" s="11"/>
      <c r="E19940" s="11"/>
      <c r="F19940" s="11"/>
      <c r="G19940" s="11"/>
      <c r="H19940" s="11"/>
      <c r="I19940" s="15"/>
    </row>
    <row r="19941" spans="1:9" ht="16.5">
      <c r="A19941" s="10" t="b">
        <v>0</v>
      </c>
      <c r="B19941" s="11" t="str">
        <f>IF(D19941&lt;&gt;"",IF(COUNTIF('USPTO TMs'!A:A,D19941)&gt;0,"Yes","No"),"")</f>
        <v/>
      </c>
      <c r="C19941" s="11"/>
      <c r="D19941" s="11"/>
      <c r="E19941" s="11"/>
      <c r="F19941" s="11"/>
      <c r="G19941" s="11"/>
      <c r="H19941" s="11"/>
      <c r="I19941" s="15"/>
    </row>
    <row r="19942" spans="1:9" ht="16.5">
      <c r="A19942" s="10" t="b">
        <v>0</v>
      </c>
      <c r="B19942" s="11" t="str">
        <f>IF(D19942&lt;&gt;"",IF(COUNTIF('USPTO TMs'!A:A,D19942)&gt;0,"Yes","No"),"")</f>
        <v/>
      </c>
      <c r="C19942" s="11"/>
      <c r="D19942" s="11"/>
      <c r="E19942" s="11"/>
      <c r="F19942" s="11"/>
      <c r="G19942" s="11"/>
      <c r="H19942" s="11"/>
      <c r="I19942" s="15"/>
    </row>
    <row r="19943" spans="1:9" ht="16.5">
      <c r="A19943" s="10" t="b">
        <v>0</v>
      </c>
      <c r="B19943" s="11" t="str">
        <f>IF(D19943&lt;&gt;"",IF(COUNTIF('USPTO TMs'!A:A,D19943)&gt;0,"Yes","No"),"")</f>
        <v/>
      </c>
      <c r="C19943" s="11"/>
      <c r="D19943" s="11"/>
      <c r="E19943" s="11"/>
      <c r="F19943" s="11"/>
      <c r="G19943" s="11"/>
      <c r="H19943" s="11"/>
      <c r="I19943" s="15"/>
    </row>
    <row r="19944" spans="1:9" ht="16.5">
      <c r="A19944" s="10" t="b">
        <v>0</v>
      </c>
      <c r="B19944" s="11" t="str">
        <f>IF(D19944&lt;&gt;"",IF(COUNTIF('USPTO TMs'!A:A,D19944)&gt;0,"Yes","No"),"")</f>
        <v/>
      </c>
      <c r="C19944" s="11"/>
      <c r="D19944" s="11"/>
      <c r="E19944" s="11"/>
      <c r="F19944" s="11"/>
      <c r="G19944" s="11"/>
      <c r="H19944" s="11"/>
      <c r="I19944" s="15"/>
    </row>
    <row r="19945" spans="1:9" ht="16.5">
      <c r="A19945" s="10" t="b">
        <v>0</v>
      </c>
      <c r="B19945" s="11" t="str">
        <f>IF(D19945&lt;&gt;"",IF(COUNTIF('USPTO TMs'!A:A,D19945)&gt;0,"Yes","No"),"")</f>
        <v/>
      </c>
      <c r="C19945" s="11"/>
      <c r="D19945" s="11"/>
      <c r="E19945" s="11"/>
      <c r="F19945" s="11"/>
      <c r="G19945" s="11"/>
      <c r="H19945" s="11"/>
      <c r="I19945" s="15"/>
    </row>
    <row r="19946" spans="1:9" ht="16.5">
      <c r="A19946" s="10" t="b">
        <v>0</v>
      </c>
      <c r="B19946" s="11" t="str">
        <f>IF(D19946&lt;&gt;"",IF(COUNTIF('USPTO TMs'!A:A,D19946)&gt;0,"Yes","No"),"")</f>
        <v/>
      </c>
      <c r="C19946" s="11"/>
      <c r="D19946" s="11"/>
      <c r="E19946" s="11"/>
      <c r="F19946" s="11"/>
      <c r="G19946" s="11"/>
      <c r="H19946" s="11"/>
      <c r="I19946" s="15"/>
    </row>
    <row r="19947" spans="1:9" ht="16.5">
      <c r="A19947" s="10" t="b">
        <v>0</v>
      </c>
      <c r="B19947" s="11" t="str">
        <f>IF(D19947&lt;&gt;"",IF(COUNTIF('USPTO TMs'!A:A,D19947)&gt;0,"Yes","No"),"")</f>
        <v/>
      </c>
      <c r="C19947" s="11"/>
      <c r="D19947" s="11"/>
      <c r="E19947" s="11"/>
      <c r="F19947" s="11"/>
      <c r="G19947" s="11"/>
      <c r="H19947" s="11"/>
      <c r="I19947" s="15"/>
    </row>
    <row r="19948" spans="1:9" ht="16.5">
      <c r="A19948" s="10" t="b">
        <v>0</v>
      </c>
      <c r="B19948" s="11" t="str">
        <f>IF(D19948&lt;&gt;"",IF(COUNTIF('USPTO TMs'!A:A,D19948)&gt;0,"Yes","No"),"")</f>
        <v/>
      </c>
      <c r="C19948" s="11"/>
      <c r="D19948" s="11"/>
      <c r="E19948" s="11"/>
      <c r="F19948" s="11"/>
      <c r="G19948" s="11"/>
      <c r="H19948" s="11"/>
      <c r="I19948" s="15"/>
    </row>
    <row r="19949" spans="1:9" ht="16.5">
      <c r="A19949" s="10" t="b">
        <v>0</v>
      </c>
      <c r="B19949" s="11" t="str">
        <f>IF(D19949&lt;&gt;"",IF(COUNTIF('USPTO TMs'!A:A,D19949)&gt;0,"Yes","No"),"")</f>
        <v/>
      </c>
      <c r="C19949" s="11"/>
      <c r="D19949" s="11"/>
      <c r="E19949" s="11"/>
      <c r="F19949" s="11"/>
      <c r="G19949" s="11"/>
      <c r="H19949" s="11"/>
      <c r="I19949" s="15"/>
    </row>
    <row r="19950" spans="1:9" ht="16.5">
      <c r="A19950" s="10" t="b">
        <v>0</v>
      </c>
      <c r="B19950" s="11" t="str">
        <f>IF(D19950&lt;&gt;"",IF(COUNTIF('USPTO TMs'!A:A,D19950)&gt;0,"Yes","No"),"")</f>
        <v/>
      </c>
      <c r="C19950" s="11"/>
      <c r="D19950" s="11"/>
      <c r="E19950" s="11"/>
      <c r="F19950" s="11"/>
      <c r="G19950" s="11"/>
      <c r="H19950" s="11"/>
      <c r="I19950" s="15"/>
    </row>
    <row r="19951" spans="1:9" ht="16.5">
      <c r="A19951" s="10" t="b">
        <v>0</v>
      </c>
      <c r="B19951" s="11" t="str">
        <f>IF(D19951&lt;&gt;"",IF(COUNTIF('USPTO TMs'!A:A,D19951)&gt;0,"Yes","No"),"")</f>
        <v/>
      </c>
      <c r="C19951" s="11"/>
      <c r="D19951" s="11"/>
      <c r="E19951" s="11"/>
      <c r="F19951" s="11"/>
      <c r="G19951" s="11"/>
      <c r="H19951" s="11"/>
      <c r="I19951" s="15"/>
    </row>
    <row r="19952" spans="1:9" ht="16.5">
      <c r="A19952" s="10" t="b">
        <v>0</v>
      </c>
      <c r="B19952" s="11" t="str">
        <f>IF(D19952&lt;&gt;"",IF(COUNTIF('USPTO TMs'!A:A,D19952)&gt;0,"Yes","No"),"")</f>
        <v/>
      </c>
      <c r="C19952" s="11"/>
      <c r="D19952" s="11"/>
      <c r="E19952" s="11"/>
      <c r="F19952" s="11"/>
      <c r="G19952" s="11"/>
      <c r="H19952" s="11"/>
      <c r="I19952" s="15"/>
    </row>
    <row r="19953" spans="1:9" ht="16.5">
      <c r="A19953" s="10" t="b">
        <v>0</v>
      </c>
      <c r="B19953" s="11" t="str">
        <f>IF(D19953&lt;&gt;"",IF(COUNTIF('USPTO TMs'!A:A,D19953)&gt;0,"Yes","No"),"")</f>
        <v/>
      </c>
      <c r="C19953" s="11"/>
      <c r="D19953" s="11"/>
      <c r="E19953" s="11"/>
      <c r="F19953" s="11"/>
      <c r="G19953" s="11"/>
      <c r="H19953" s="11"/>
      <c r="I19953" s="15"/>
    </row>
    <row r="19954" spans="1:9" ht="16.5">
      <c r="A19954" s="10" t="b">
        <v>0</v>
      </c>
      <c r="B19954" s="11" t="str">
        <f>IF(D19954&lt;&gt;"",IF(COUNTIF('USPTO TMs'!A:A,D19954)&gt;0,"Yes","No"),"")</f>
        <v/>
      </c>
      <c r="C19954" s="11"/>
      <c r="D19954" s="11"/>
      <c r="E19954" s="11"/>
      <c r="F19954" s="11"/>
      <c r="G19954" s="11"/>
      <c r="H19954" s="11"/>
      <c r="I19954" s="15"/>
    </row>
    <row r="19955" spans="1:9" ht="16.5">
      <c r="A19955" s="10" t="b">
        <v>0</v>
      </c>
      <c r="B19955" s="11" t="str">
        <f>IF(D19955&lt;&gt;"",IF(COUNTIF('USPTO TMs'!A:A,D19955)&gt;0,"Yes","No"),"")</f>
        <v/>
      </c>
      <c r="C19955" s="11"/>
      <c r="D19955" s="11"/>
      <c r="E19955" s="11"/>
      <c r="F19955" s="11"/>
      <c r="G19955" s="11"/>
      <c r="H19955" s="11"/>
      <c r="I19955" s="15"/>
    </row>
    <row r="19956" spans="1:9" ht="16.5">
      <c r="A19956" s="10" t="b">
        <v>0</v>
      </c>
      <c r="B19956" s="11" t="str">
        <f>IF(D19956&lt;&gt;"",IF(COUNTIF('USPTO TMs'!A:A,D19956)&gt;0,"Yes","No"),"")</f>
        <v/>
      </c>
      <c r="C19956" s="11"/>
      <c r="D19956" s="11"/>
      <c r="E19956" s="11"/>
      <c r="F19956" s="11"/>
      <c r="G19956" s="11"/>
      <c r="H19956" s="11"/>
      <c r="I19956" s="15"/>
    </row>
    <row r="19957" spans="1:9" ht="16.5">
      <c r="A19957" s="10" t="b">
        <v>0</v>
      </c>
      <c r="B19957" s="11" t="str">
        <f>IF(D19957&lt;&gt;"",IF(COUNTIF('USPTO TMs'!A:A,D19957)&gt;0,"Yes","No"),"")</f>
        <v/>
      </c>
      <c r="C19957" s="11"/>
      <c r="D19957" s="11"/>
      <c r="E19957" s="11"/>
      <c r="F19957" s="11"/>
      <c r="G19957" s="11"/>
      <c r="H19957" s="11"/>
      <c r="I19957" s="15"/>
    </row>
    <row r="19958" spans="1:9" ht="16.5">
      <c r="A19958" s="10" t="b">
        <v>0</v>
      </c>
      <c r="B19958" s="11" t="str">
        <f>IF(D19958&lt;&gt;"",IF(COUNTIF('USPTO TMs'!A:A,D19958)&gt;0,"Yes","No"),"")</f>
        <v/>
      </c>
      <c r="C19958" s="11"/>
      <c r="D19958" s="11"/>
      <c r="E19958" s="11"/>
      <c r="F19958" s="11"/>
      <c r="G19958" s="11"/>
      <c r="H19958" s="11"/>
      <c r="I19958" s="15"/>
    </row>
    <row r="19959" spans="1:9" ht="16.5">
      <c r="A19959" s="10" t="b">
        <v>0</v>
      </c>
      <c r="B19959" s="11" t="str">
        <f>IF(D19959&lt;&gt;"",IF(COUNTIF('USPTO TMs'!A:A,D19959)&gt;0,"Yes","No"),"")</f>
        <v/>
      </c>
      <c r="C19959" s="11"/>
      <c r="D19959" s="11"/>
      <c r="E19959" s="11"/>
      <c r="F19959" s="11"/>
      <c r="G19959" s="11"/>
      <c r="H19959" s="11"/>
      <c r="I19959" s="15"/>
    </row>
    <row r="19960" spans="1:9" ht="16.5">
      <c r="A19960" s="10" t="b">
        <v>0</v>
      </c>
      <c r="B19960" s="11" t="str">
        <f>IF(D19960&lt;&gt;"",IF(COUNTIF('USPTO TMs'!A:A,D19960)&gt;0,"Yes","No"),"")</f>
        <v/>
      </c>
      <c r="C19960" s="11"/>
      <c r="D19960" s="11"/>
      <c r="E19960" s="11"/>
      <c r="F19960" s="11"/>
      <c r="G19960" s="11"/>
      <c r="H19960" s="11"/>
      <c r="I19960" s="15"/>
    </row>
    <row r="19961" spans="1:9" ht="16.5">
      <c r="A19961" s="10" t="b">
        <v>0</v>
      </c>
      <c r="B19961" s="11" t="str">
        <f>IF(D19961&lt;&gt;"",IF(COUNTIF('USPTO TMs'!A:A,D19961)&gt;0,"Yes","No"),"")</f>
        <v/>
      </c>
      <c r="C19961" s="11"/>
      <c r="D19961" s="11"/>
      <c r="E19961" s="11"/>
      <c r="F19961" s="11"/>
      <c r="G19961" s="11"/>
      <c r="H19961" s="11"/>
      <c r="I19961" s="15"/>
    </row>
    <row r="19962" spans="1:9" ht="16.5">
      <c r="A19962" s="10" t="b">
        <v>0</v>
      </c>
      <c r="B19962" s="11" t="str">
        <f>IF(D19962&lt;&gt;"",IF(COUNTIF('USPTO TMs'!A:A,D19962)&gt;0,"Yes","No"),"")</f>
        <v/>
      </c>
      <c r="C19962" s="11"/>
      <c r="D19962" s="11"/>
      <c r="E19962" s="11"/>
      <c r="F19962" s="11"/>
      <c r="G19962" s="11"/>
      <c r="H19962" s="11"/>
      <c r="I19962" s="15"/>
    </row>
    <row r="19963" spans="1:9" ht="16.5">
      <c r="A19963" s="10" t="b">
        <v>0</v>
      </c>
      <c r="B19963" s="11" t="str">
        <f>IF(D19963&lt;&gt;"",IF(COUNTIF('USPTO TMs'!A:A,D19963)&gt;0,"Yes","No"),"")</f>
        <v/>
      </c>
      <c r="C19963" s="11"/>
      <c r="D19963" s="11"/>
      <c r="E19963" s="11"/>
      <c r="F19963" s="11"/>
      <c r="G19963" s="11"/>
      <c r="H19963" s="11"/>
      <c r="I19963" s="15"/>
    </row>
    <row r="19964" spans="1:9" ht="16.5">
      <c r="A19964" s="10" t="b">
        <v>0</v>
      </c>
      <c r="B19964" s="11" t="str">
        <f>IF(D19964&lt;&gt;"",IF(COUNTIF('USPTO TMs'!A:A,D19964)&gt;0,"Yes","No"),"")</f>
        <v/>
      </c>
      <c r="C19964" s="11"/>
      <c r="D19964" s="11"/>
      <c r="E19964" s="11"/>
      <c r="F19964" s="11"/>
      <c r="G19964" s="11"/>
      <c r="H19964" s="11"/>
      <c r="I19964" s="15"/>
    </row>
    <row r="19965" spans="1:9" ht="16.5">
      <c r="A19965" s="10" t="b">
        <v>0</v>
      </c>
      <c r="B19965" s="11" t="str">
        <f>IF(D19965&lt;&gt;"",IF(COUNTIF('USPTO TMs'!A:A,D19965)&gt;0,"Yes","No"),"")</f>
        <v/>
      </c>
      <c r="C19965" s="11"/>
      <c r="D19965" s="11"/>
      <c r="E19965" s="11"/>
      <c r="F19965" s="11"/>
      <c r="G19965" s="11"/>
      <c r="H19965" s="11"/>
      <c r="I19965" s="15"/>
    </row>
    <row r="19966" spans="1:9" ht="16.5">
      <c r="A19966" s="10" t="b">
        <v>0</v>
      </c>
      <c r="B19966" s="11" t="str">
        <f>IF(D19966&lt;&gt;"",IF(COUNTIF('USPTO TMs'!A:A,D19966)&gt;0,"Yes","No"),"")</f>
        <v/>
      </c>
      <c r="C19966" s="11"/>
      <c r="D19966" s="11"/>
      <c r="E19966" s="11"/>
      <c r="F19966" s="11"/>
      <c r="G19966" s="11"/>
      <c r="H19966" s="11"/>
      <c r="I19966" s="15"/>
    </row>
    <row r="19967" spans="1:9" ht="16.5">
      <c r="A19967" s="10" t="b">
        <v>0</v>
      </c>
      <c r="B19967" s="11" t="str">
        <f>IF(D19967&lt;&gt;"",IF(COUNTIF('USPTO TMs'!A:A,D19967)&gt;0,"Yes","No"),"")</f>
        <v/>
      </c>
      <c r="C19967" s="11"/>
      <c r="D19967" s="11"/>
      <c r="E19967" s="11"/>
      <c r="F19967" s="11"/>
      <c r="G19967" s="11"/>
      <c r="H19967" s="11"/>
      <c r="I19967" s="15"/>
    </row>
    <row r="19968" spans="1:9" ht="16.5">
      <c r="A19968" s="10" t="b">
        <v>0</v>
      </c>
      <c r="B19968" s="11" t="str">
        <f>IF(D19968&lt;&gt;"",IF(COUNTIF('USPTO TMs'!A:A,D19968)&gt;0,"Yes","No"),"")</f>
        <v/>
      </c>
      <c r="C19968" s="11"/>
      <c r="D19968" s="11"/>
      <c r="E19968" s="11"/>
      <c r="F19968" s="11"/>
      <c r="G19968" s="11"/>
      <c r="H19968" s="11"/>
      <c r="I19968" s="15"/>
    </row>
    <row r="19969" spans="1:9" ht="16.5">
      <c r="A19969" s="10" t="b">
        <v>0</v>
      </c>
      <c r="B19969" s="11" t="str">
        <f>IF(D19969&lt;&gt;"",IF(COUNTIF('USPTO TMs'!A:A,D19969)&gt;0,"Yes","No"),"")</f>
        <v/>
      </c>
      <c r="C19969" s="11"/>
      <c r="D19969" s="11"/>
      <c r="E19969" s="11"/>
      <c r="F19969" s="11"/>
      <c r="G19969" s="11"/>
      <c r="H19969" s="11"/>
      <c r="I19969" s="15"/>
    </row>
    <row r="19970" spans="1:9" ht="16.5">
      <c r="A19970" s="10" t="b">
        <v>0</v>
      </c>
      <c r="B19970" s="11" t="str">
        <f>IF(D19970&lt;&gt;"",IF(COUNTIF('USPTO TMs'!A:A,D19970)&gt;0,"Yes","No"),"")</f>
        <v/>
      </c>
      <c r="C19970" s="11"/>
      <c r="D19970" s="11"/>
      <c r="E19970" s="11"/>
      <c r="F19970" s="11"/>
      <c r="G19970" s="11"/>
      <c r="H19970" s="11"/>
      <c r="I19970" s="15"/>
    </row>
    <row r="19971" spans="1:9" ht="16.5">
      <c r="A19971" s="10" t="b">
        <v>0</v>
      </c>
      <c r="B19971" s="11" t="str">
        <f>IF(D19971&lt;&gt;"",IF(COUNTIF('USPTO TMs'!A:A,D19971)&gt;0,"Yes","No"),"")</f>
        <v/>
      </c>
      <c r="C19971" s="11"/>
      <c r="D19971" s="11"/>
      <c r="E19971" s="11"/>
      <c r="F19971" s="11"/>
      <c r="G19971" s="11"/>
      <c r="H19971" s="11"/>
      <c r="I19971" s="15"/>
    </row>
    <row r="19972" spans="1:9" ht="16.5">
      <c r="A19972" s="10" t="b">
        <v>0</v>
      </c>
      <c r="B19972" s="11" t="str">
        <f>IF(D19972&lt;&gt;"",IF(COUNTIF('USPTO TMs'!A:A,D19972)&gt;0,"Yes","No"),"")</f>
        <v/>
      </c>
      <c r="C19972" s="11"/>
      <c r="D19972" s="11"/>
      <c r="E19972" s="11"/>
      <c r="F19972" s="11"/>
      <c r="G19972" s="11"/>
      <c r="H19972" s="11"/>
      <c r="I19972" s="15"/>
    </row>
    <row r="19973" spans="1:9" ht="16.5">
      <c r="A19973" s="10" t="b">
        <v>0</v>
      </c>
      <c r="B19973" s="11" t="str">
        <f>IF(D19973&lt;&gt;"",IF(COUNTIF('USPTO TMs'!A:A,D19973)&gt;0,"Yes","No"),"")</f>
        <v/>
      </c>
      <c r="C19973" s="11"/>
      <c r="D19973" s="11"/>
      <c r="E19973" s="11"/>
      <c r="F19973" s="11"/>
      <c r="G19973" s="11"/>
      <c r="H19973" s="11"/>
      <c r="I19973" s="15"/>
    </row>
    <row r="19974" spans="1:9" ht="16.5">
      <c r="A19974" s="10" t="b">
        <v>0</v>
      </c>
      <c r="B19974" s="11" t="str">
        <f>IF(D19974&lt;&gt;"",IF(COUNTIF('USPTO TMs'!A:A,D19974)&gt;0,"Yes","No"),"")</f>
        <v/>
      </c>
      <c r="C19974" s="11"/>
      <c r="D19974" s="11"/>
      <c r="E19974" s="11"/>
      <c r="F19974" s="11"/>
      <c r="G19974" s="11"/>
      <c r="H19974" s="11"/>
      <c r="I19974" s="15"/>
    </row>
    <row r="19975" spans="1:9" ht="16.5">
      <c r="A19975" s="10" t="b">
        <v>0</v>
      </c>
      <c r="B19975" s="11" t="str">
        <f>IF(D19975&lt;&gt;"",IF(COUNTIF('USPTO TMs'!A:A,D19975)&gt;0,"Yes","No"),"")</f>
        <v/>
      </c>
      <c r="C19975" s="11"/>
      <c r="D19975" s="11"/>
      <c r="E19975" s="11"/>
      <c r="F19975" s="11"/>
      <c r="G19975" s="11"/>
      <c r="H19975" s="11"/>
      <c r="I19975" s="15"/>
    </row>
    <row r="19976" spans="1:9" ht="16.5">
      <c r="A19976" s="10" t="b">
        <v>0</v>
      </c>
      <c r="B19976" s="11" t="str">
        <f>IF(D19976&lt;&gt;"",IF(COUNTIF('USPTO TMs'!A:A,D19976)&gt;0,"Yes","No"),"")</f>
        <v/>
      </c>
      <c r="C19976" s="11"/>
      <c r="D19976" s="11"/>
      <c r="E19976" s="11"/>
      <c r="F19976" s="11"/>
      <c r="G19976" s="11"/>
      <c r="H19976" s="11"/>
      <c r="I19976" s="15"/>
    </row>
    <row r="19977" spans="1:9" ht="16.5">
      <c r="A19977" s="10" t="b">
        <v>0</v>
      </c>
      <c r="B19977" s="11" t="str">
        <f>IF(D19977&lt;&gt;"",IF(COUNTIF('USPTO TMs'!A:A,D19977)&gt;0,"Yes","No"),"")</f>
        <v/>
      </c>
      <c r="C19977" s="11"/>
      <c r="D19977" s="11"/>
      <c r="E19977" s="11"/>
      <c r="F19977" s="11"/>
      <c r="G19977" s="11"/>
      <c r="H19977" s="11"/>
      <c r="I19977" s="15"/>
    </row>
    <row r="19978" spans="1:9" ht="16.5">
      <c r="A19978" s="10" t="b">
        <v>0</v>
      </c>
      <c r="B19978" s="11" t="str">
        <f>IF(D19978&lt;&gt;"",IF(COUNTIF('USPTO TMs'!A:A,D19978)&gt;0,"Yes","No"),"")</f>
        <v/>
      </c>
      <c r="C19978" s="11"/>
      <c r="D19978" s="11"/>
      <c r="E19978" s="11"/>
      <c r="F19978" s="11"/>
      <c r="G19978" s="11"/>
      <c r="H19978" s="11"/>
      <c r="I19978" s="15"/>
    </row>
    <row r="19979" spans="1:9" ht="16.5">
      <c r="A19979" s="10" t="b">
        <v>0</v>
      </c>
      <c r="B19979" s="11" t="str">
        <f>IF(D19979&lt;&gt;"",IF(COUNTIF('USPTO TMs'!A:A,D19979)&gt;0,"Yes","No"),"")</f>
        <v/>
      </c>
      <c r="C19979" s="11"/>
      <c r="D19979" s="11"/>
      <c r="E19979" s="11"/>
      <c r="F19979" s="11"/>
      <c r="G19979" s="11"/>
      <c r="H19979" s="11"/>
      <c r="I19979" s="15"/>
    </row>
    <row r="19980" spans="1:9" ht="16.5">
      <c r="A19980" s="10" t="b">
        <v>0</v>
      </c>
      <c r="B19980" s="11" t="str">
        <f>IF(D19980&lt;&gt;"",IF(COUNTIF('USPTO TMs'!A:A,D19980)&gt;0,"Yes","No"),"")</f>
        <v/>
      </c>
      <c r="C19980" s="11"/>
      <c r="D19980" s="11"/>
      <c r="E19980" s="11"/>
      <c r="F19980" s="11"/>
      <c r="G19980" s="11"/>
      <c r="H19980" s="11"/>
      <c r="I19980" s="15"/>
    </row>
    <row r="19981" spans="1:9" ht="16.5">
      <c r="A19981" s="10" t="b">
        <v>0</v>
      </c>
      <c r="B19981" s="11" t="str">
        <f>IF(D19981&lt;&gt;"",IF(COUNTIF('USPTO TMs'!A:A,D19981)&gt;0,"Yes","No"),"")</f>
        <v/>
      </c>
      <c r="C19981" s="11"/>
      <c r="D19981" s="11"/>
      <c r="E19981" s="11"/>
      <c r="F19981" s="11"/>
      <c r="G19981" s="11"/>
      <c r="H19981" s="11"/>
      <c r="I19981" s="15"/>
    </row>
    <row r="19982" spans="1:9" ht="16.5">
      <c r="A19982" s="10" t="b">
        <v>0</v>
      </c>
      <c r="B19982" s="11" t="str">
        <f>IF(D19982&lt;&gt;"",IF(COUNTIF('USPTO TMs'!A:A,D19982)&gt;0,"Yes","No"),"")</f>
        <v/>
      </c>
      <c r="C19982" s="11"/>
      <c r="D19982" s="11"/>
      <c r="E19982" s="11"/>
      <c r="F19982" s="11"/>
      <c r="G19982" s="11"/>
      <c r="H19982" s="11"/>
      <c r="I19982" s="15"/>
    </row>
    <row r="19983" spans="1:9" ht="16.5">
      <c r="A19983" s="10" t="b">
        <v>0</v>
      </c>
      <c r="B19983" s="11" t="str">
        <f>IF(D19983&lt;&gt;"",IF(COUNTIF('USPTO TMs'!A:A,D19983)&gt;0,"Yes","No"),"")</f>
        <v/>
      </c>
      <c r="C19983" s="11"/>
      <c r="D19983" s="11"/>
      <c r="E19983" s="11"/>
      <c r="F19983" s="11"/>
      <c r="G19983" s="11"/>
      <c r="H19983" s="11"/>
      <c r="I19983" s="15"/>
    </row>
    <row r="19984" spans="1:9" ht="16.5">
      <c r="A19984" s="10" t="b">
        <v>0</v>
      </c>
      <c r="B19984" s="11" t="str">
        <f>IF(D19984&lt;&gt;"",IF(COUNTIF('USPTO TMs'!A:A,D19984)&gt;0,"Yes","No"),"")</f>
        <v/>
      </c>
      <c r="C19984" s="11"/>
      <c r="D19984" s="11"/>
      <c r="E19984" s="11"/>
      <c r="F19984" s="11"/>
      <c r="G19984" s="11"/>
      <c r="H19984" s="11"/>
      <c r="I19984" s="15"/>
    </row>
    <row r="19985" spans="1:9" ht="16.5">
      <c r="A19985" s="10" t="b">
        <v>0</v>
      </c>
      <c r="B19985" s="11" t="str">
        <f>IF(D19985&lt;&gt;"",IF(COUNTIF('USPTO TMs'!A:A,D19985)&gt;0,"Yes","No"),"")</f>
        <v/>
      </c>
      <c r="C19985" s="11"/>
      <c r="D19985" s="11"/>
      <c r="E19985" s="11"/>
      <c r="F19985" s="11"/>
      <c r="G19985" s="11"/>
      <c r="H19985" s="11"/>
      <c r="I19985" s="15"/>
    </row>
    <row r="19986" spans="1:9" ht="16.5">
      <c r="A19986" s="10" t="b">
        <v>0</v>
      </c>
      <c r="B19986" s="11" t="str">
        <f>IF(D19986&lt;&gt;"",IF(COUNTIF('USPTO TMs'!A:A,D19986)&gt;0,"Yes","No"),"")</f>
        <v/>
      </c>
      <c r="C19986" s="11"/>
      <c r="D19986" s="11"/>
      <c r="E19986" s="11"/>
      <c r="F19986" s="11"/>
      <c r="G19986" s="11"/>
      <c r="H19986" s="11"/>
      <c r="I19986" s="15"/>
    </row>
    <row r="19987" spans="1:9" ht="16.5">
      <c r="A19987" s="10" t="b">
        <v>0</v>
      </c>
      <c r="B19987" s="11" t="str">
        <f>IF(D19987&lt;&gt;"",IF(COUNTIF('USPTO TMs'!A:A,D19987)&gt;0,"Yes","No"),"")</f>
        <v/>
      </c>
      <c r="C19987" s="11"/>
      <c r="D19987" s="11"/>
      <c r="E19987" s="11"/>
      <c r="F19987" s="11"/>
      <c r="G19987" s="11"/>
      <c r="H19987" s="11"/>
      <c r="I19987" s="15"/>
    </row>
    <row r="19988" spans="1:9" ht="16.5">
      <c r="A19988" s="10" t="b">
        <v>0</v>
      </c>
      <c r="B19988" s="11" t="str">
        <f>IF(D19988&lt;&gt;"",IF(COUNTIF('USPTO TMs'!A:A,D19988)&gt;0,"Yes","No"),"")</f>
        <v/>
      </c>
      <c r="C19988" s="11"/>
      <c r="D19988" s="11"/>
      <c r="E19988" s="11"/>
      <c r="F19988" s="11"/>
      <c r="G19988" s="11"/>
      <c r="H19988" s="11"/>
      <c r="I19988" s="15"/>
    </row>
    <row r="19989" spans="1:9" ht="16.5">
      <c r="A19989" s="10" t="b">
        <v>0</v>
      </c>
      <c r="B19989" s="11" t="str">
        <f>IF(D19989&lt;&gt;"",IF(COUNTIF('USPTO TMs'!A:A,D19989)&gt;0,"Yes","No"),"")</f>
        <v/>
      </c>
      <c r="C19989" s="11"/>
      <c r="D19989" s="11"/>
      <c r="E19989" s="11"/>
      <c r="F19989" s="11"/>
      <c r="G19989" s="11"/>
      <c r="H19989" s="11"/>
      <c r="I19989" s="15"/>
    </row>
    <row r="19990" spans="1:9" ht="16.5">
      <c r="A19990" s="10" t="b">
        <v>0</v>
      </c>
      <c r="B19990" s="11" t="str">
        <f>IF(D19990&lt;&gt;"",IF(COUNTIF('USPTO TMs'!A:A,D19990)&gt;0,"Yes","No"),"")</f>
        <v/>
      </c>
      <c r="C19990" s="11"/>
      <c r="D19990" s="11"/>
      <c r="E19990" s="11"/>
      <c r="F19990" s="11"/>
      <c r="G19990" s="11"/>
      <c r="H19990" s="11"/>
      <c r="I19990" s="15"/>
    </row>
    <row r="19991" spans="1:9" ht="16.5">
      <c r="A19991" s="10" t="b">
        <v>0</v>
      </c>
      <c r="B19991" s="11" t="str">
        <f>IF(D19991&lt;&gt;"",IF(COUNTIF('USPTO TMs'!A:A,D19991)&gt;0,"Yes","No"),"")</f>
        <v/>
      </c>
      <c r="C19991" s="11"/>
      <c r="D19991" s="11"/>
      <c r="E19991" s="11"/>
      <c r="F19991" s="11"/>
      <c r="G19991" s="11"/>
      <c r="H19991" s="11"/>
      <c r="I19991" s="15"/>
    </row>
    <row r="19992" spans="1:9" ht="16.5">
      <c r="A19992" s="10" t="b">
        <v>0</v>
      </c>
      <c r="B19992" s="11" t="str">
        <f>IF(D19992&lt;&gt;"",IF(COUNTIF('USPTO TMs'!A:A,D19992)&gt;0,"Yes","No"),"")</f>
        <v/>
      </c>
      <c r="C19992" s="11"/>
      <c r="D19992" s="11"/>
      <c r="E19992" s="11"/>
      <c r="F19992" s="11"/>
      <c r="G19992" s="11"/>
      <c r="H19992" s="11"/>
      <c r="I19992" s="15"/>
    </row>
    <row r="19993" spans="1:9" ht="16.5">
      <c r="A19993" s="10" t="b">
        <v>0</v>
      </c>
      <c r="B19993" s="11" t="str">
        <f>IF(D19993&lt;&gt;"",IF(COUNTIF('USPTO TMs'!A:A,D19993)&gt;0,"Yes","No"),"")</f>
        <v/>
      </c>
      <c r="C19993" s="11"/>
      <c r="D19993" s="11"/>
      <c r="E19993" s="11"/>
      <c r="F19993" s="11"/>
      <c r="G19993" s="11"/>
      <c r="H19993" s="11"/>
      <c r="I19993" s="15"/>
    </row>
    <row r="19994" spans="1:9" ht="16.5">
      <c r="A19994" s="10" t="b">
        <v>0</v>
      </c>
      <c r="B19994" s="11" t="str">
        <f>IF(D19994&lt;&gt;"",IF(COUNTIF('USPTO TMs'!A:A,D19994)&gt;0,"Yes","No"),"")</f>
        <v/>
      </c>
      <c r="C19994" s="11"/>
      <c r="D19994" s="11"/>
      <c r="E19994" s="11"/>
      <c r="F19994" s="11"/>
      <c r="G19994" s="11"/>
      <c r="H19994" s="11"/>
      <c r="I19994" s="15"/>
    </row>
    <row r="19995" spans="1:9" ht="16.5">
      <c r="A19995" s="10" t="b">
        <v>0</v>
      </c>
      <c r="B19995" s="11" t="str">
        <f>IF(D19995&lt;&gt;"",IF(COUNTIF('USPTO TMs'!A:A,D19995)&gt;0,"Yes","No"),"")</f>
        <v/>
      </c>
      <c r="C19995" s="11"/>
      <c r="D19995" s="11"/>
      <c r="E19995" s="11"/>
      <c r="F19995" s="11"/>
      <c r="G19995" s="11"/>
      <c r="H19995" s="11"/>
      <c r="I19995" s="15"/>
    </row>
    <row r="19996" spans="1:9" ht="16.5">
      <c r="A19996" s="10" t="b">
        <v>0</v>
      </c>
      <c r="B19996" s="11" t="str">
        <f>IF(D19996&lt;&gt;"",IF(COUNTIF('USPTO TMs'!A:A,D19996)&gt;0,"Yes","No"),"")</f>
        <v/>
      </c>
      <c r="C19996" s="11"/>
      <c r="D19996" s="11"/>
      <c r="E19996" s="11"/>
      <c r="F19996" s="11"/>
      <c r="G19996" s="11"/>
      <c r="H19996" s="11"/>
      <c r="I19996" s="15"/>
    </row>
    <row r="19997" spans="1:9" ht="16.5">
      <c r="A19997" s="10" t="b">
        <v>0</v>
      </c>
      <c r="B19997" s="11" t="str">
        <f>IF(D19997&lt;&gt;"",IF(COUNTIF('USPTO TMs'!A:A,D19997)&gt;0,"Yes","No"),"")</f>
        <v/>
      </c>
      <c r="C19997" s="11"/>
      <c r="D19997" s="11"/>
      <c r="E19997" s="11"/>
      <c r="F19997" s="11"/>
      <c r="G19997" s="11"/>
      <c r="H19997" s="11"/>
      <c r="I19997" s="15"/>
    </row>
    <row r="19998" spans="1:9" ht="16.5">
      <c r="A19998" s="10" t="b">
        <v>0</v>
      </c>
      <c r="B19998" s="11" t="str">
        <f>IF(D19998&lt;&gt;"",IF(COUNTIF('USPTO TMs'!A:A,D19998)&gt;0,"Yes","No"),"")</f>
        <v/>
      </c>
      <c r="C19998" s="11"/>
      <c r="D19998" s="11"/>
      <c r="E19998" s="11"/>
      <c r="F19998" s="11"/>
      <c r="G19998" s="11"/>
      <c r="H19998" s="11"/>
      <c r="I19998" s="15"/>
    </row>
    <row r="19999" spans="1:9" ht="16.5">
      <c r="A19999" s="10" t="b">
        <v>0</v>
      </c>
      <c r="B19999" s="11" t="str">
        <f>IF(D19999&lt;&gt;"",IF(COUNTIF('USPTO TMs'!A:A,D19999)&gt;0,"Yes","No"),"")</f>
        <v/>
      </c>
      <c r="C19999" s="11"/>
      <c r="D19999" s="11"/>
      <c r="E19999" s="11"/>
      <c r="F19999" s="11"/>
      <c r="G19999" s="11"/>
      <c r="H19999" s="11"/>
      <c r="I19999" s="15"/>
    </row>
    <row r="20000" spans="1:9" ht="16.5">
      <c r="A20000" s="10" t="b">
        <v>0</v>
      </c>
      <c r="B20000" s="11" t="str">
        <f>IF(D20000&lt;&gt;"",IF(COUNTIF('USPTO TMs'!A:A,D20000)&gt;0,"Yes","No"),"")</f>
        <v/>
      </c>
      <c r="C20000" s="11"/>
      <c r="D20000" s="11"/>
      <c r="E20000" s="11"/>
      <c r="F20000" s="11"/>
      <c r="G20000" s="11"/>
      <c r="H20000" s="11"/>
      <c r="I20000" s="15"/>
    </row>
    <row r="20001" spans="1:9" ht="16.5">
      <c r="A20001" s="10" t="b">
        <v>0</v>
      </c>
      <c r="B20001" s="11" t="str">
        <f>IF(D20001&lt;&gt;"",IF(COUNTIF('USPTO TMs'!A:A,D20001)&gt;0,"Yes","No"),"")</f>
        <v/>
      </c>
      <c r="C20001" s="11"/>
      <c r="D20001" s="11"/>
      <c r="E20001" s="11"/>
      <c r="F20001" s="11"/>
      <c r="G20001" s="11"/>
      <c r="H20001" s="11"/>
      <c r="I20001" s="15"/>
    </row>
    <row r="20002" spans="1:9" ht="16.5">
      <c r="A20002" s="10" t="b">
        <v>0</v>
      </c>
      <c r="B20002" s="11" t="str">
        <f>IF(D20002&lt;&gt;"",IF(COUNTIF('USPTO TMs'!A:A,D20002)&gt;0,"Yes","No"),"")</f>
        <v/>
      </c>
      <c r="C20002" s="11"/>
      <c r="D20002" s="11"/>
      <c r="E20002" s="11"/>
      <c r="F20002" s="11"/>
      <c r="G20002" s="11"/>
      <c r="H20002" s="11"/>
      <c r="I20002" s="15"/>
    </row>
    <row r="20003" spans="1:9" ht="16.5">
      <c r="A20003" s="10" t="b">
        <v>0</v>
      </c>
      <c r="B20003" s="11" t="str">
        <f>IF(D20003&lt;&gt;"",IF(COUNTIF('USPTO TMs'!A:A,D20003)&gt;0,"Yes","No"),"")</f>
        <v/>
      </c>
      <c r="C20003" s="11"/>
      <c r="D20003" s="11"/>
      <c r="E20003" s="11"/>
      <c r="F20003" s="11"/>
      <c r="G20003" s="11"/>
      <c r="H20003" s="11"/>
      <c r="I20003" s="15"/>
    </row>
    <row r="20004" spans="1:9" ht="16.5">
      <c r="A20004" s="10" t="b">
        <v>0</v>
      </c>
      <c r="B20004" s="11" t="str">
        <f>IF(D20004&lt;&gt;"",IF(COUNTIF('USPTO TMs'!A:A,D20004)&gt;0,"Yes","No"),"")</f>
        <v/>
      </c>
      <c r="C20004" s="11"/>
      <c r="D20004" s="11"/>
      <c r="E20004" s="11"/>
      <c r="F20004" s="11"/>
      <c r="G20004" s="11"/>
      <c r="H20004" s="11"/>
      <c r="I20004" s="15"/>
    </row>
    <row r="20005" spans="1:9" ht="16.5">
      <c r="A20005" s="10" t="b">
        <v>0</v>
      </c>
      <c r="B20005" s="11" t="str">
        <f>IF(D20005&lt;&gt;"",IF(COUNTIF('USPTO TMs'!A:A,D20005)&gt;0,"Yes","No"),"")</f>
        <v/>
      </c>
      <c r="C20005" s="11"/>
      <c r="D20005" s="11"/>
      <c r="E20005" s="11"/>
      <c r="F20005" s="11"/>
      <c r="G20005" s="11"/>
      <c r="H20005" s="11"/>
      <c r="I20005" s="15"/>
    </row>
    <row r="20006" spans="1:9" ht="16.5">
      <c r="A20006" s="10" t="b">
        <v>0</v>
      </c>
      <c r="B20006" s="11" t="str">
        <f>IF(D20006&lt;&gt;"",IF(COUNTIF('USPTO TMs'!A:A,D20006)&gt;0,"Yes","No"),"")</f>
        <v/>
      </c>
      <c r="C20006" s="11"/>
      <c r="D20006" s="11"/>
      <c r="E20006" s="11"/>
      <c r="F20006" s="11"/>
      <c r="G20006" s="11"/>
      <c r="H20006" s="11"/>
      <c r="I20006" s="15"/>
    </row>
    <row r="20007" spans="1:9" ht="16.5">
      <c r="A20007" s="10" t="b">
        <v>0</v>
      </c>
      <c r="B20007" s="11" t="str">
        <f>IF(D20007&lt;&gt;"",IF(COUNTIF('USPTO TMs'!A:A,D20007)&gt;0,"Yes","No"),"")</f>
        <v/>
      </c>
      <c r="C20007" s="11"/>
      <c r="D20007" s="11"/>
      <c r="E20007" s="11"/>
      <c r="F20007" s="11"/>
      <c r="G20007" s="11"/>
      <c r="H20007" s="11"/>
      <c r="I20007" s="15"/>
    </row>
    <row r="20008" spans="1:9" ht="16.5">
      <c r="A20008" s="10" t="b">
        <v>0</v>
      </c>
      <c r="B20008" s="11" t="str">
        <f>IF(D20008&lt;&gt;"",IF(COUNTIF('USPTO TMs'!A:A,D20008)&gt;0,"Yes","No"),"")</f>
        <v/>
      </c>
      <c r="C20008" s="11"/>
      <c r="D20008" s="11"/>
      <c r="E20008" s="11"/>
      <c r="F20008" s="11"/>
      <c r="G20008" s="11"/>
      <c r="H20008" s="11"/>
      <c r="I20008" s="15"/>
    </row>
    <row r="20009" spans="1:9" ht="16.5">
      <c r="A20009" s="10" t="b">
        <v>0</v>
      </c>
      <c r="B20009" s="11" t="str">
        <f>IF(D20009&lt;&gt;"",IF(COUNTIF('USPTO TMs'!A:A,D20009)&gt;0,"Yes","No"),"")</f>
        <v/>
      </c>
      <c r="C20009" s="11"/>
      <c r="D20009" s="11"/>
      <c r="E20009" s="11"/>
      <c r="F20009" s="11"/>
      <c r="G20009" s="11"/>
      <c r="H20009" s="11"/>
      <c r="I20009" s="15"/>
    </row>
    <row r="20010" spans="1:9" ht="16.5">
      <c r="A20010" s="10" t="b">
        <v>0</v>
      </c>
      <c r="B20010" s="11" t="str">
        <f>IF(D20010&lt;&gt;"",IF(COUNTIF('USPTO TMs'!A:A,D20010)&gt;0,"Yes","No"),"")</f>
        <v/>
      </c>
      <c r="C20010" s="11"/>
      <c r="D20010" s="11"/>
      <c r="E20010" s="11"/>
      <c r="F20010" s="11"/>
      <c r="G20010" s="11"/>
      <c r="H20010" s="11"/>
      <c r="I20010" s="15"/>
    </row>
    <row r="20011" spans="1:9" ht="16.5">
      <c r="A20011" s="10" t="b">
        <v>0</v>
      </c>
      <c r="B20011" s="11" t="str">
        <f>IF(D20011&lt;&gt;"",IF(COUNTIF('USPTO TMs'!A:A,D20011)&gt;0,"Yes","No"),"")</f>
        <v/>
      </c>
      <c r="C20011" s="11"/>
      <c r="D20011" s="11"/>
      <c r="E20011" s="11"/>
      <c r="F20011" s="11"/>
      <c r="G20011" s="11"/>
      <c r="H20011" s="11"/>
      <c r="I20011" s="15"/>
    </row>
    <row r="20012" spans="1:9" ht="16.5">
      <c r="A20012" s="10" t="b">
        <v>0</v>
      </c>
      <c r="B20012" s="11" t="str">
        <f>IF(D20012&lt;&gt;"",IF(COUNTIF('USPTO TMs'!A:A,D20012)&gt;0,"Yes","No"),"")</f>
        <v/>
      </c>
      <c r="C20012" s="11"/>
      <c r="D20012" s="11"/>
      <c r="E20012" s="11"/>
      <c r="F20012" s="11"/>
      <c r="G20012" s="11"/>
      <c r="H20012" s="11"/>
      <c r="I20012" s="15"/>
    </row>
    <row r="20013" spans="1:9" ht="16.5">
      <c r="A20013" s="10" t="b">
        <v>0</v>
      </c>
      <c r="B20013" s="11" t="str">
        <f>IF(D20013&lt;&gt;"",IF(COUNTIF('USPTO TMs'!A:A,D20013)&gt;0,"Yes","No"),"")</f>
        <v/>
      </c>
      <c r="C20013" s="11"/>
      <c r="D20013" s="11"/>
      <c r="E20013" s="11"/>
      <c r="F20013" s="11"/>
      <c r="G20013" s="11"/>
      <c r="H20013" s="11"/>
      <c r="I20013" s="15"/>
    </row>
    <row r="20014" spans="1:9" ht="16.5">
      <c r="A20014" s="10" t="b">
        <v>0</v>
      </c>
      <c r="B20014" s="11" t="str">
        <f>IF(D20014&lt;&gt;"",IF(COUNTIF('USPTO TMs'!A:A,D20014)&gt;0,"Yes","No"),"")</f>
        <v/>
      </c>
      <c r="C20014" s="11"/>
      <c r="D20014" s="11"/>
      <c r="E20014" s="11"/>
      <c r="F20014" s="11"/>
      <c r="G20014" s="11"/>
      <c r="H20014" s="11"/>
      <c r="I20014" s="15"/>
    </row>
    <row r="20015" spans="1:9" ht="16.5">
      <c r="A20015" s="10" t="b">
        <v>0</v>
      </c>
      <c r="B20015" s="11" t="str">
        <f>IF(D20015&lt;&gt;"",IF(COUNTIF('USPTO TMs'!A:A,D20015)&gt;0,"Yes","No"),"")</f>
        <v/>
      </c>
      <c r="C20015" s="11"/>
      <c r="D20015" s="11"/>
      <c r="E20015" s="11"/>
      <c r="F20015" s="11"/>
      <c r="G20015" s="11"/>
      <c r="H20015" s="11"/>
      <c r="I20015" s="15"/>
    </row>
    <row r="20016" spans="1:9" ht="16.5">
      <c r="A20016" s="10" t="b">
        <v>0</v>
      </c>
      <c r="B20016" s="11" t="str">
        <f>IF(D20016&lt;&gt;"",IF(COUNTIF('USPTO TMs'!A:A,D20016)&gt;0,"Yes","No"),"")</f>
        <v/>
      </c>
      <c r="C20016" s="11"/>
      <c r="D20016" s="11"/>
      <c r="E20016" s="11"/>
      <c r="F20016" s="11"/>
      <c r="G20016" s="11"/>
      <c r="H20016" s="11"/>
      <c r="I20016" s="15"/>
    </row>
    <row r="20017" spans="1:9" ht="16.5">
      <c r="A20017" s="10" t="b">
        <v>0</v>
      </c>
      <c r="B20017" s="11" t="str">
        <f>IF(D20017&lt;&gt;"",IF(COUNTIF('USPTO TMs'!A:A,D20017)&gt;0,"Yes","No"),"")</f>
        <v/>
      </c>
      <c r="C20017" s="11"/>
      <c r="D20017" s="11"/>
      <c r="E20017" s="11"/>
      <c r="F20017" s="11"/>
      <c r="G20017" s="11"/>
      <c r="H20017" s="11"/>
      <c r="I20017" s="15"/>
    </row>
    <row r="20018" spans="1:9" ht="16.5">
      <c r="A20018" s="10" t="b">
        <v>0</v>
      </c>
      <c r="B20018" s="11" t="str">
        <f>IF(D20018&lt;&gt;"",IF(COUNTIF('USPTO TMs'!A:A,D20018)&gt;0,"Yes","No"),"")</f>
        <v/>
      </c>
      <c r="C20018" s="11"/>
      <c r="D20018" s="11"/>
      <c r="E20018" s="11"/>
      <c r="F20018" s="11"/>
      <c r="G20018" s="11"/>
      <c r="H20018" s="11"/>
      <c r="I20018" s="15"/>
    </row>
    <row r="20019" spans="1:9" ht="16.5">
      <c r="A20019" s="10" t="b">
        <v>0</v>
      </c>
      <c r="B20019" s="11" t="str">
        <f>IF(D20019&lt;&gt;"",IF(COUNTIF('USPTO TMs'!A:A,D20019)&gt;0,"Yes","No"),"")</f>
        <v/>
      </c>
      <c r="C20019" s="11"/>
      <c r="D20019" s="11"/>
      <c r="E20019" s="11"/>
      <c r="F20019" s="11"/>
      <c r="G20019" s="11"/>
      <c r="H20019" s="11"/>
      <c r="I20019" s="15"/>
    </row>
    <row r="20020" spans="1:9" ht="16.5">
      <c r="A20020" s="10" t="b">
        <v>0</v>
      </c>
      <c r="B20020" s="11" t="str">
        <f>IF(D20020&lt;&gt;"",IF(COUNTIF('USPTO TMs'!A:A,D20020)&gt;0,"Yes","No"),"")</f>
        <v/>
      </c>
      <c r="C20020" s="11"/>
      <c r="D20020" s="11"/>
      <c r="E20020" s="11"/>
      <c r="F20020" s="11"/>
      <c r="G20020" s="11"/>
      <c r="H20020" s="11"/>
      <c r="I20020" s="15"/>
    </row>
    <row r="20021" spans="1:9" ht="16.5">
      <c r="A20021" s="10" t="b">
        <v>0</v>
      </c>
      <c r="B20021" s="11" t="str">
        <f>IF(D20021&lt;&gt;"",IF(COUNTIF('USPTO TMs'!A:A,D20021)&gt;0,"Yes","No"),"")</f>
        <v/>
      </c>
      <c r="C20021" s="11"/>
      <c r="D20021" s="11"/>
      <c r="E20021" s="11"/>
      <c r="F20021" s="11"/>
      <c r="G20021" s="11"/>
      <c r="H20021" s="11"/>
      <c r="I20021" s="15"/>
    </row>
    <row r="20022" spans="1:9" ht="16.5">
      <c r="A20022" s="10" t="b">
        <v>0</v>
      </c>
      <c r="B20022" s="11" t="str">
        <f>IF(D20022&lt;&gt;"",IF(COUNTIF('USPTO TMs'!A:A,D20022)&gt;0,"Yes","No"),"")</f>
        <v/>
      </c>
      <c r="C20022" s="11"/>
      <c r="D20022" s="11"/>
      <c r="E20022" s="11"/>
      <c r="F20022" s="11"/>
      <c r="G20022" s="11"/>
      <c r="H20022" s="11"/>
      <c r="I20022" s="15"/>
    </row>
    <row r="20023" spans="1:9" ht="16.5">
      <c r="A20023" s="10" t="b">
        <v>0</v>
      </c>
      <c r="B20023" s="11" t="str">
        <f>IF(D20023&lt;&gt;"",IF(COUNTIF('USPTO TMs'!A:A,D20023)&gt;0,"Yes","No"),"")</f>
        <v/>
      </c>
      <c r="C20023" s="11"/>
      <c r="D20023" s="11"/>
      <c r="E20023" s="11"/>
      <c r="F20023" s="11"/>
      <c r="G20023" s="11"/>
      <c r="H20023" s="11"/>
      <c r="I20023" s="15"/>
    </row>
    <row r="20024" spans="1:9" ht="16.5">
      <c r="A20024" s="10" t="b">
        <v>0</v>
      </c>
      <c r="B20024" s="11" t="str">
        <f>IF(D20024&lt;&gt;"",IF(COUNTIF('USPTO TMs'!A:A,D20024)&gt;0,"Yes","No"),"")</f>
        <v/>
      </c>
      <c r="C20024" s="11"/>
      <c r="D20024" s="11"/>
      <c r="E20024" s="11"/>
      <c r="F20024" s="11"/>
      <c r="G20024" s="11"/>
      <c r="H20024" s="11"/>
      <c r="I20024" s="15"/>
    </row>
    <row r="20025" spans="1:9" ht="16.5">
      <c r="A20025" s="10" t="b">
        <v>0</v>
      </c>
      <c r="B20025" s="11" t="str">
        <f>IF(D20025&lt;&gt;"",IF(COUNTIF('USPTO TMs'!A:A,D20025)&gt;0,"Yes","No"),"")</f>
        <v/>
      </c>
      <c r="C20025" s="11"/>
      <c r="D20025" s="11"/>
      <c r="E20025" s="11"/>
      <c r="F20025" s="11"/>
      <c r="G20025" s="11"/>
      <c r="H20025" s="11"/>
      <c r="I20025" s="15"/>
    </row>
    <row r="20026" spans="1:9" ht="16.5">
      <c r="A20026" s="10" t="b">
        <v>0</v>
      </c>
      <c r="B20026" s="11" t="str">
        <f>IF(D20026&lt;&gt;"",IF(COUNTIF('USPTO TMs'!A:A,D20026)&gt;0,"Yes","No"),"")</f>
        <v/>
      </c>
      <c r="C20026" s="11"/>
      <c r="D20026" s="11"/>
      <c r="E20026" s="11"/>
      <c r="F20026" s="11"/>
      <c r="G20026" s="11"/>
      <c r="H20026" s="11"/>
      <c r="I20026" s="15"/>
    </row>
    <row r="20027" spans="1:9" ht="16.5">
      <c r="A20027" s="10" t="b">
        <v>0</v>
      </c>
      <c r="B20027" s="11" t="str">
        <f>IF(D20027&lt;&gt;"",IF(COUNTIF('USPTO TMs'!A:A,D20027)&gt;0,"Yes","No"),"")</f>
        <v/>
      </c>
      <c r="C20027" s="11"/>
      <c r="D20027" s="11"/>
      <c r="E20027" s="11"/>
      <c r="F20027" s="11"/>
      <c r="G20027" s="11"/>
      <c r="H20027" s="11"/>
      <c r="I20027" s="15"/>
    </row>
    <row r="20028" spans="1:9" ht="16.5">
      <c r="A20028" s="10" t="b">
        <v>0</v>
      </c>
      <c r="B20028" s="11" t="str">
        <f>IF(D20028&lt;&gt;"",IF(COUNTIF('USPTO TMs'!A:A,D20028)&gt;0,"Yes","No"),"")</f>
        <v/>
      </c>
      <c r="C20028" s="11"/>
      <c r="D20028" s="11"/>
      <c r="E20028" s="11"/>
      <c r="F20028" s="11"/>
      <c r="G20028" s="11"/>
      <c r="H20028" s="11"/>
      <c r="I20028" s="15"/>
    </row>
    <row r="20029" spans="1:9" ht="16.5">
      <c r="A20029" s="10" t="b">
        <v>0</v>
      </c>
      <c r="B20029" s="11" t="str">
        <f>IF(D20029&lt;&gt;"",IF(COUNTIF('USPTO TMs'!A:A,D20029)&gt;0,"Yes","No"),"")</f>
        <v/>
      </c>
      <c r="C20029" s="11"/>
      <c r="D20029" s="11"/>
      <c r="E20029" s="11"/>
      <c r="F20029" s="11"/>
      <c r="G20029" s="11"/>
      <c r="H20029" s="11"/>
      <c r="I20029" s="15"/>
    </row>
    <row r="20030" spans="1:9" ht="16.5">
      <c r="A20030" s="10" t="b">
        <v>0</v>
      </c>
      <c r="B20030" s="11" t="str">
        <f>IF(D20030&lt;&gt;"",IF(COUNTIF('USPTO TMs'!A:A,D20030)&gt;0,"Yes","No"),"")</f>
        <v/>
      </c>
      <c r="C20030" s="11"/>
      <c r="D20030" s="11"/>
      <c r="E20030" s="11"/>
      <c r="F20030" s="11"/>
      <c r="G20030" s="11"/>
      <c r="H20030" s="11"/>
      <c r="I20030" s="15"/>
    </row>
    <row r="20031" spans="1:9" ht="16.5">
      <c r="A20031" s="10" t="b">
        <v>0</v>
      </c>
      <c r="B20031" s="11" t="str">
        <f>IF(D20031&lt;&gt;"",IF(COUNTIF('USPTO TMs'!A:A,D20031)&gt;0,"Yes","No"),"")</f>
        <v/>
      </c>
      <c r="C20031" s="11"/>
      <c r="D20031" s="11"/>
      <c r="E20031" s="11"/>
      <c r="F20031" s="11"/>
      <c r="G20031" s="11"/>
      <c r="H20031" s="11"/>
      <c r="I20031" s="15"/>
    </row>
    <row r="20032" spans="1:9" ht="16.5">
      <c r="A20032" s="10" t="b">
        <v>0</v>
      </c>
      <c r="B20032" s="11" t="str">
        <f>IF(D20032&lt;&gt;"",IF(COUNTIF('USPTO TMs'!A:A,D20032)&gt;0,"Yes","No"),"")</f>
        <v/>
      </c>
      <c r="C20032" s="11"/>
      <c r="D20032" s="11"/>
      <c r="E20032" s="11"/>
      <c r="F20032" s="11"/>
      <c r="G20032" s="11"/>
      <c r="H20032" s="11"/>
      <c r="I20032" s="15"/>
    </row>
    <row r="20033" spans="1:9" ht="16.5">
      <c r="A20033" s="10" t="b">
        <v>0</v>
      </c>
      <c r="B20033" s="11" t="str">
        <f>IF(D20033&lt;&gt;"",IF(COUNTIF('USPTO TMs'!A:A,D20033)&gt;0,"Yes","No"),"")</f>
        <v/>
      </c>
      <c r="C20033" s="11"/>
      <c r="D20033" s="11"/>
      <c r="E20033" s="11"/>
      <c r="F20033" s="11"/>
      <c r="G20033" s="11"/>
      <c r="H20033" s="11"/>
      <c r="I20033" s="15"/>
    </row>
    <row r="20034" spans="1:9" ht="16.5">
      <c r="A20034" s="10" t="b">
        <v>0</v>
      </c>
      <c r="B20034" s="11" t="str">
        <f>IF(D20034&lt;&gt;"",IF(COUNTIF('USPTO TMs'!A:A,D20034)&gt;0,"Yes","No"),"")</f>
        <v/>
      </c>
      <c r="C20034" s="11"/>
      <c r="D20034" s="11"/>
      <c r="E20034" s="11"/>
      <c r="F20034" s="11"/>
      <c r="G20034" s="11"/>
      <c r="H20034" s="11"/>
      <c r="I20034" s="15"/>
    </row>
    <row r="20035" spans="1:9" ht="16.5">
      <c r="A20035" s="10" t="b">
        <v>0</v>
      </c>
      <c r="B20035" s="11" t="str">
        <f>IF(D20035&lt;&gt;"",IF(COUNTIF('USPTO TMs'!A:A,D20035)&gt;0,"Yes","No"),"")</f>
        <v/>
      </c>
      <c r="C20035" s="11"/>
      <c r="D20035" s="11"/>
      <c r="E20035" s="11"/>
      <c r="F20035" s="11"/>
      <c r="G20035" s="11"/>
      <c r="H20035" s="11"/>
      <c r="I20035" s="15"/>
    </row>
    <row r="20036" spans="1:9" ht="16.5">
      <c r="A20036" s="10" t="b">
        <v>0</v>
      </c>
      <c r="B20036" s="11" t="str">
        <f>IF(D20036&lt;&gt;"",IF(COUNTIF('USPTO TMs'!A:A,D20036)&gt;0,"Yes","No"),"")</f>
        <v/>
      </c>
      <c r="C20036" s="11"/>
      <c r="D20036" s="11"/>
      <c r="E20036" s="11"/>
      <c r="F20036" s="11"/>
      <c r="G20036" s="11"/>
      <c r="H20036" s="11"/>
      <c r="I20036" s="15"/>
    </row>
    <row r="20037" spans="1:9" ht="16.5">
      <c r="A20037" s="10" t="b">
        <v>0</v>
      </c>
      <c r="B20037" s="11" t="str">
        <f>IF(D20037&lt;&gt;"",IF(COUNTIF('USPTO TMs'!A:A,D20037)&gt;0,"Yes","No"),"")</f>
        <v/>
      </c>
      <c r="C20037" s="11"/>
      <c r="D20037" s="11"/>
      <c r="E20037" s="11"/>
      <c r="F20037" s="11"/>
      <c r="G20037" s="11"/>
      <c r="H20037" s="11"/>
      <c r="I20037" s="15"/>
    </row>
    <row r="20038" spans="1:9" ht="16.5">
      <c r="A20038" s="10" t="b">
        <v>0</v>
      </c>
      <c r="B20038" s="11" t="str">
        <f>IF(D20038&lt;&gt;"",IF(COUNTIF('USPTO TMs'!A:A,D20038)&gt;0,"Yes","No"),"")</f>
        <v/>
      </c>
      <c r="C20038" s="11"/>
      <c r="D20038" s="11"/>
      <c r="E20038" s="11"/>
      <c r="F20038" s="11"/>
      <c r="G20038" s="11"/>
      <c r="H20038" s="11"/>
      <c r="I20038" s="15"/>
    </row>
    <row r="20039" spans="1:9" ht="16.5">
      <c r="A20039" s="10" t="b">
        <v>0</v>
      </c>
      <c r="B20039" s="11" t="str">
        <f>IF(D20039&lt;&gt;"",IF(COUNTIF('USPTO TMs'!A:A,D20039)&gt;0,"Yes","No"),"")</f>
        <v/>
      </c>
      <c r="C20039" s="11"/>
      <c r="D20039" s="11"/>
      <c r="E20039" s="11"/>
      <c r="F20039" s="11"/>
      <c r="G20039" s="11"/>
      <c r="H20039" s="11"/>
      <c r="I20039" s="15"/>
    </row>
    <row r="20040" spans="1:9" ht="16.5">
      <c r="A20040" s="10" t="b">
        <v>0</v>
      </c>
      <c r="B20040" s="11" t="str">
        <f>IF(D20040&lt;&gt;"",IF(COUNTIF('USPTO TMs'!A:A,D20040)&gt;0,"Yes","No"),"")</f>
        <v/>
      </c>
      <c r="C20040" s="11"/>
      <c r="D20040" s="11"/>
      <c r="E20040" s="11"/>
      <c r="F20040" s="11"/>
      <c r="G20040" s="11"/>
      <c r="H20040" s="11"/>
      <c r="I20040" s="15"/>
    </row>
    <row r="20041" spans="1:9" ht="16.5">
      <c r="A20041" s="10" t="b">
        <v>0</v>
      </c>
      <c r="B20041" s="11" t="str">
        <f>IF(D20041&lt;&gt;"",IF(COUNTIF('USPTO TMs'!A:A,D20041)&gt;0,"Yes","No"),"")</f>
        <v/>
      </c>
      <c r="C20041" s="11"/>
      <c r="D20041" s="11"/>
      <c r="E20041" s="11"/>
      <c r="F20041" s="11"/>
      <c r="G20041" s="11"/>
      <c r="H20041" s="11"/>
      <c r="I20041" s="15"/>
    </row>
    <row r="20042" spans="1:9" ht="16.5">
      <c r="A20042" s="10" t="b">
        <v>0</v>
      </c>
      <c r="B20042" s="11" t="str">
        <f>IF(D20042&lt;&gt;"",IF(COUNTIF('USPTO TMs'!A:A,D20042)&gt;0,"Yes","No"),"")</f>
        <v/>
      </c>
      <c r="C20042" s="11"/>
      <c r="D20042" s="11"/>
      <c r="E20042" s="11"/>
      <c r="F20042" s="11"/>
      <c r="G20042" s="11"/>
      <c r="H20042" s="11"/>
      <c r="I20042" s="15"/>
    </row>
    <row r="20043" spans="1:9" ht="16.5">
      <c r="A20043" s="10" t="b">
        <v>0</v>
      </c>
      <c r="B20043" s="11" t="str">
        <f>IF(D20043&lt;&gt;"",IF(COUNTIF('USPTO TMs'!A:A,D20043)&gt;0,"Yes","No"),"")</f>
        <v/>
      </c>
      <c r="C20043" s="11"/>
      <c r="D20043" s="11"/>
      <c r="E20043" s="11"/>
      <c r="F20043" s="11"/>
      <c r="G20043" s="11"/>
      <c r="H20043" s="11"/>
      <c r="I20043" s="15"/>
    </row>
    <row r="20044" spans="1:9" ht="16.5">
      <c r="A20044" s="10" t="b">
        <v>0</v>
      </c>
      <c r="B20044" s="11" t="str">
        <f>IF(D20044&lt;&gt;"",IF(COUNTIF('USPTO TMs'!A:A,D20044)&gt;0,"Yes","No"),"")</f>
        <v/>
      </c>
      <c r="C20044" s="11"/>
      <c r="D20044" s="11"/>
      <c r="E20044" s="11"/>
      <c r="F20044" s="11"/>
      <c r="G20044" s="11"/>
      <c r="H20044" s="11"/>
      <c r="I20044" s="15"/>
    </row>
    <row r="20045" spans="1:9" ht="16.5">
      <c r="A20045" s="10" t="b">
        <v>0</v>
      </c>
      <c r="B20045" s="11" t="str">
        <f>IF(D20045&lt;&gt;"",IF(COUNTIF('USPTO TMs'!A:A,D20045)&gt;0,"Yes","No"),"")</f>
        <v/>
      </c>
      <c r="C20045" s="11"/>
      <c r="D20045" s="11"/>
      <c r="E20045" s="11"/>
      <c r="F20045" s="11"/>
      <c r="G20045" s="11"/>
      <c r="H20045" s="11"/>
      <c r="I20045" s="15"/>
    </row>
    <row r="20046" spans="1:9" ht="16.5">
      <c r="A20046" s="10" t="b">
        <v>0</v>
      </c>
      <c r="B20046" s="11" t="str">
        <f>IF(D20046&lt;&gt;"",IF(COUNTIF('USPTO TMs'!A:A,D20046)&gt;0,"Yes","No"),"")</f>
        <v/>
      </c>
      <c r="C20046" s="11"/>
      <c r="D20046" s="11"/>
      <c r="E20046" s="11"/>
      <c r="F20046" s="11"/>
      <c r="G20046" s="11"/>
      <c r="H20046" s="11"/>
      <c r="I20046" s="15"/>
    </row>
    <row r="20047" spans="1:9" ht="16.5">
      <c r="A20047" s="10" t="b">
        <v>0</v>
      </c>
      <c r="B20047" s="11" t="str">
        <f>IF(D20047&lt;&gt;"",IF(COUNTIF('USPTO TMs'!A:A,D20047)&gt;0,"Yes","No"),"")</f>
        <v/>
      </c>
      <c r="C20047" s="11"/>
      <c r="D20047" s="11"/>
      <c r="E20047" s="11"/>
      <c r="F20047" s="11"/>
      <c r="G20047" s="11"/>
      <c r="H20047" s="11"/>
      <c r="I20047" s="15"/>
    </row>
    <row r="20048" spans="1:9" ht="16.5">
      <c r="A20048" s="10" t="b">
        <v>0</v>
      </c>
      <c r="B20048" s="11" t="str">
        <f>IF(D20048&lt;&gt;"",IF(COUNTIF('USPTO TMs'!A:A,D20048)&gt;0,"Yes","No"),"")</f>
        <v/>
      </c>
      <c r="C20048" s="11"/>
      <c r="D20048" s="11"/>
      <c r="E20048" s="11"/>
      <c r="F20048" s="11"/>
      <c r="G20048" s="11"/>
      <c r="H20048" s="11"/>
      <c r="I20048" s="15"/>
    </row>
    <row r="20049" spans="1:9" ht="16.5">
      <c r="A20049" s="10" t="b">
        <v>0</v>
      </c>
      <c r="B20049" s="11" t="str">
        <f>IF(D20049&lt;&gt;"",IF(COUNTIF('USPTO TMs'!A:A,D20049)&gt;0,"Yes","No"),"")</f>
        <v/>
      </c>
      <c r="C20049" s="11"/>
      <c r="D20049" s="11"/>
      <c r="E20049" s="11"/>
      <c r="F20049" s="11"/>
      <c r="G20049" s="11"/>
      <c r="H20049" s="11"/>
      <c r="I20049" s="15"/>
    </row>
    <row r="20050" spans="1:9" ht="16.5">
      <c r="A20050" s="10" t="b">
        <v>0</v>
      </c>
      <c r="B20050" s="11" t="str">
        <f>IF(D20050&lt;&gt;"",IF(COUNTIF('USPTO TMs'!A:A,D20050)&gt;0,"Yes","No"),"")</f>
        <v/>
      </c>
      <c r="C20050" s="11"/>
      <c r="D20050" s="11"/>
      <c r="E20050" s="11"/>
      <c r="F20050" s="11"/>
      <c r="G20050" s="11"/>
      <c r="H20050" s="11"/>
      <c r="I20050" s="15"/>
    </row>
    <row r="20051" spans="1:9" ht="16.5">
      <c r="A20051" s="10" t="b">
        <v>0</v>
      </c>
      <c r="B20051" s="11" t="str">
        <f>IF(D20051&lt;&gt;"",IF(COUNTIF('USPTO TMs'!A:A,D20051)&gt;0,"Yes","No"),"")</f>
        <v/>
      </c>
      <c r="C20051" s="11"/>
      <c r="D20051" s="11"/>
      <c r="E20051" s="11"/>
      <c r="F20051" s="11"/>
      <c r="G20051" s="11"/>
      <c r="H20051" s="11"/>
      <c r="I20051" s="15"/>
    </row>
    <row r="20052" spans="1:9" ht="16.5">
      <c r="A20052" s="10" t="b">
        <v>0</v>
      </c>
      <c r="B20052" s="11" t="str">
        <f>IF(D20052&lt;&gt;"",IF(COUNTIF('USPTO TMs'!A:A,D20052)&gt;0,"Yes","No"),"")</f>
        <v/>
      </c>
      <c r="C20052" s="11"/>
      <c r="D20052" s="11"/>
      <c r="E20052" s="11"/>
      <c r="F20052" s="11"/>
      <c r="G20052" s="11"/>
      <c r="H20052" s="11"/>
      <c r="I20052" s="15"/>
    </row>
    <row r="20053" spans="1:9" ht="16.5">
      <c r="A20053" s="10" t="b">
        <v>0</v>
      </c>
      <c r="B20053" s="11" t="str">
        <f>IF(D20053&lt;&gt;"",IF(COUNTIF('USPTO TMs'!A:A,D20053)&gt;0,"Yes","No"),"")</f>
        <v/>
      </c>
      <c r="C20053" s="11"/>
      <c r="D20053" s="11"/>
      <c r="E20053" s="11"/>
      <c r="F20053" s="11"/>
      <c r="G20053" s="11"/>
      <c r="H20053" s="11"/>
      <c r="I20053" s="15"/>
    </row>
    <row r="20054" spans="1:9" ht="16.5">
      <c r="A20054" s="10" t="b">
        <v>0</v>
      </c>
      <c r="B20054" s="11" t="str">
        <f>IF(D20054&lt;&gt;"",IF(COUNTIF('USPTO TMs'!A:A,D20054)&gt;0,"Yes","No"),"")</f>
        <v/>
      </c>
      <c r="C20054" s="11"/>
      <c r="D20054" s="11"/>
      <c r="E20054" s="11"/>
      <c r="F20054" s="11"/>
      <c r="G20054" s="11"/>
      <c r="H20054" s="11"/>
      <c r="I20054" s="15"/>
    </row>
    <row r="20055" spans="1:9" ht="16.5">
      <c r="A20055" s="10" t="b">
        <v>0</v>
      </c>
      <c r="B20055" s="11" t="str">
        <f>IF(D20055&lt;&gt;"",IF(COUNTIF('USPTO TMs'!A:A,D20055)&gt;0,"Yes","No"),"")</f>
        <v/>
      </c>
      <c r="C20055" s="11"/>
      <c r="D20055" s="11"/>
      <c r="E20055" s="11"/>
      <c r="F20055" s="11"/>
      <c r="G20055" s="11"/>
      <c r="H20055" s="11"/>
      <c r="I20055" s="15"/>
    </row>
    <row r="20056" spans="1:9" ht="16.5">
      <c r="A20056" s="10" t="b">
        <v>0</v>
      </c>
      <c r="B20056" s="11" t="str">
        <f>IF(D20056&lt;&gt;"",IF(COUNTIF('USPTO TMs'!A:A,D20056)&gt;0,"Yes","No"),"")</f>
        <v/>
      </c>
      <c r="C20056" s="11"/>
      <c r="D20056" s="11"/>
      <c r="E20056" s="11"/>
      <c r="F20056" s="11"/>
      <c r="G20056" s="11"/>
      <c r="H20056" s="11"/>
      <c r="I20056" s="15"/>
    </row>
    <row r="20057" spans="1:9" ht="16.5">
      <c r="A20057" s="10" t="b">
        <v>0</v>
      </c>
      <c r="B20057" s="11" t="str">
        <f>IF(D20057&lt;&gt;"",IF(COUNTIF('USPTO TMs'!A:A,D20057)&gt;0,"Yes","No"),"")</f>
        <v/>
      </c>
      <c r="C20057" s="11"/>
      <c r="D20057" s="11"/>
      <c r="E20057" s="11"/>
      <c r="F20057" s="11"/>
      <c r="G20057" s="11"/>
      <c r="H20057" s="11"/>
      <c r="I20057" s="15"/>
    </row>
    <row r="20058" spans="1:9" ht="16.5">
      <c r="A20058" s="10" t="b">
        <v>0</v>
      </c>
      <c r="B20058" s="11" t="str">
        <f>IF(D20058&lt;&gt;"",IF(COUNTIF('USPTO TMs'!A:A,D20058)&gt;0,"Yes","No"),"")</f>
        <v/>
      </c>
      <c r="C20058" s="11"/>
      <c r="D20058" s="11"/>
      <c r="E20058" s="11"/>
      <c r="F20058" s="11"/>
      <c r="G20058" s="11"/>
      <c r="H20058" s="11"/>
      <c r="I20058" s="15"/>
    </row>
    <row r="20059" spans="1:9" ht="16.5">
      <c r="A20059" s="10" t="b">
        <v>0</v>
      </c>
      <c r="B20059" s="11" t="str">
        <f>IF(D20059&lt;&gt;"",IF(COUNTIF('USPTO TMs'!A:A,D20059)&gt;0,"Yes","No"),"")</f>
        <v/>
      </c>
      <c r="C20059" s="11"/>
      <c r="D20059" s="11"/>
      <c r="E20059" s="11"/>
      <c r="F20059" s="11"/>
      <c r="G20059" s="11"/>
      <c r="H20059" s="11"/>
      <c r="I20059" s="15"/>
    </row>
    <row r="20060" spans="1:9" ht="16.5">
      <c r="A20060" s="10" t="b">
        <v>0</v>
      </c>
      <c r="B20060" s="11" t="str">
        <f>IF(D20060&lt;&gt;"",IF(COUNTIF('USPTO TMs'!A:A,D20060)&gt;0,"Yes","No"),"")</f>
        <v/>
      </c>
      <c r="C20060" s="11"/>
      <c r="D20060" s="11"/>
      <c r="E20060" s="11"/>
      <c r="F20060" s="11"/>
      <c r="G20060" s="11"/>
      <c r="H20060" s="11"/>
      <c r="I20060" s="15"/>
    </row>
    <row r="20061" spans="1:9" ht="16.5">
      <c r="A20061" s="10" t="b">
        <v>0</v>
      </c>
      <c r="B20061" s="11" t="str">
        <f>IF(D20061&lt;&gt;"",IF(COUNTIF('USPTO TMs'!A:A,D20061)&gt;0,"Yes","No"),"")</f>
        <v/>
      </c>
      <c r="C20061" s="11"/>
      <c r="D20061" s="11"/>
      <c r="E20061" s="11"/>
      <c r="F20061" s="11"/>
      <c r="G20061" s="11"/>
      <c r="H20061" s="11"/>
      <c r="I20061" s="15"/>
    </row>
    <row r="20062" spans="1:9" ht="16.5">
      <c r="A20062" s="10" t="b">
        <v>0</v>
      </c>
      <c r="B20062" s="11" t="str">
        <f>IF(D20062&lt;&gt;"",IF(COUNTIF('USPTO TMs'!A:A,D20062)&gt;0,"Yes","No"),"")</f>
        <v/>
      </c>
      <c r="C20062" s="11"/>
      <c r="D20062" s="11"/>
      <c r="E20062" s="11"/>
      <c r="F20062" s="11"/>
      <c r="G20062" s="11"/>
      <c r="H20062" s="11"/>
      <c r="I20062" s="15"/>
    </row>
    <row r="20063" spans="1:9" ht="16.5">
      <c r="A20063" s="10" t="b">
        <v>0</v>
      </c>
      <c r="B20063" s="11" t="str">
        <f>IF(D20063&lt;&gt;"",IF(COUNTIF('USPTO TMs'!A:A,D20063)&gt;0,"Yes","No"),"")</f>
        <v/>
      </c>
      <c r="C20063" s="11"/>
      <c r="D20063" s="11"/>
      <c r="E20063" s="11"/>
      <c r="F20063" s="11"/>
      <c r="G20063" s="11"/>
      <c r="H20063" s="11"/>
      <c r="I20063" s="15"/>
    </row>
    <row r="20064" spans="1:9" ht="16.5">
      <c r="A20064" s="10" t="b">
        <v>0</v>
      </c>
      <c r="B20064" s="11" t="str">
        <f>IF(D20064&lt;&gt;"",IF(COUNTIF('USPTO TMs'!A:A,D20064)&gt;0,"Yes","No"),"")</f>
        <v/>
      </c>
      <c r="C20064" s="11"/>
      <c r="D20064" s="11"/>
      <c r="E20064" s="11"/>
      <c r="F20064" s="11"/>
      <c r="G20064" s="11"/>
      <c r="H20064" s="11"/>
      <c r="I20064" s="15"/>
    </row>
    <row r="20065" spans="1:9" ht="16.5">
      <c r="A20065" s="10" t="b">
        <v>0</v>
      </c>
      <c r="B20065" s="11" t="str">
        <f>IF(D20065&lt;&gt;"",IF(COUNTIF('USPTO TMs'!A:A,D20065)&gt;0,"Yes","No"),"")</f>
        <v/>
      </c>
      <c r="C20065" s="11"/>
      <c r="D20065" s="11"/>
      <c r="E20065" s="11"/>
      <c r="F20065" s="11"/>
      <c r="G20065" s="11"/>
      <c r="H20065" s="11"/>
      <c r="I20065" s="15"/>
    </row>
    <row r="20066" spans="1:9" ht="16.5">
      <c r="A20066" s="10" t="b">
        <v>0</v>
      </c>
      <c r="B20066" s="11" t="str">
        <f>IF(D20066&lt;&gt;"",IF(COUNTIF('USPTO TMs'!A:A,D20066)&gt;0,"Yes","No"),"")</f>
        <v/>
      </c>
      <c r="C20066" s="11"/>
      <c r="D20066" s="11"/>
      <c r="E20066" s="11"/>
      <c r="F20066" s="11"/>
      <c r="G20066" s="11"/>
      <c r="H20066" s="11"/>
      <c r="I20066" s="15"/>
    </row>
    <row r="20067" spans="1:9" ht="16.5">
      <c r="A20067" s="10" t="b">
        <v>0</v>
      </c>
      <c r="B20067" s="11" t="str">
        <f>IF(D20067&lt;&gt;"",IF(COUNTIF('USPTO TMs'!A:A,D20067)&gt;0,"Yes","No"),"")</f>
        <v/>
      </c>
      <c r="C20067" s="11"/>
      <c r="D20067" s="11"/>
      <c r="E20067" s="11"/>
      <c r="F20067" s="11"/>
      <c r="G20067" s="11"/>
      <c r="H20067" s="11"/>
      <c r="I20067" s="15"/>
    </row>
    <row r="20068" spans="1:9" ht="16.5">
      <c r="A20068" s="10" t="b">
        <v>0</v>
      </c>
      <c r="B20068" s="11" t="str">
        <f>IF(D20068&lt;&gt;"",IF(COUNTIF('USPTO TMs'!A:A,D20068)&gt;0,"Yes","No"),"")</f>
        <v/>
      </c>
      <c r="C20068" s="11"/>
      <c r="D20068" s="11"/>
      <c r="E20068" s="11"/>
      <c r="F20068" s="11"/>
      <c r="G20068" s="11"/>
      <c r="H20068" s="11"/>
      <c r="I20068" s="15"/>
    </row>
    <row r="20069" spans="1:9" ht="16.5">
      <c r="A20069" s="10" t="b">
        <v>0</v>
      </c>
      <c r="B20069" s="11" t="str">
        <f>IF(D20069&lt;&gt;"",IF(COUNTIF('USPTO TMs'!A:A,D20069)&gt;0,"Yes","No"),"")</f>
        <v/>
      </c>
      <c r="C20069" s="11"/>
      <c r="D20069" s="11"/>
      <c r="E20069" s="11"/>
      <c r="F20069" s="11"/>
      <c r="G20069" s="11"/>
      <c r="H20069" s="11"/>
      <c r="I20069" s="15"/>
    </row>
    <row r="20070" spans="1:9" ht="16.5">
      <c r="A20070" s="10" t="b">
        <v>0</v>
      </c>
      <c r="B20070" s="11" t="str">
        <f>IF(D20070&lt;&gt;"",IF(COUNTIF('USPTO TMs'!A:A,D20070)&gt;0,"Yes","No"),"")</f>
        <v/>
      </c>
      <c r="C20070" s="11"/>
      <c r="D20070" s="11"/>
      <c r="E20070" s="11"/>
      <c r="F20070" s="11"/>
      <c r="G20070" s="11"/>
      <c r="H20070" s="11"/>
      <c r="I20070" s="15"/>
    </row>
    <row r="20071" spans="1:9" ht="16.5">
      <c r="A20071" s="10" t="b">
        <v>0</v>
      </c>
      <c r="B20071" s="11" t="str">
        <f>IF(D20071&lt;&gt;"",IF(COUNTIF('USPTO TMs'!A:A,D20071)&gt;0,"Yes","No"),"")</f>
        <v/>
      </c>
      <c r="C20071" s="11"/>
      <c r="D20071" s="11"/>
      <c r="E20071" s="11"/>
      <c r="F20071" s="11"/>
      <c r="G20071" s="11"/>
      <c r="H20071" s="11"/>
      <c r="I20071" s="15"/>
    </row>
    <row r="20072" spans="1:9" ht="16.5">
      <c r="A20072" s="10" t="b">
        <v>0</v>
      </c>
      <c r="B20072" s="11" t="str">
        <f>IF(D20072&lt;&gt;"",IF(COUNTIF('USPTO TMs'!A:A,D20072)&gt;0,"Yes","No"),"")</f>
        <v/>
      </c>
      <c r="C20072" s="11"/>
      <c r="D20072" s="11"/>
      <c r="E20072" s="11"/>
      <c r="F20072" s="11"/>
      <c r="G20072" s="11"/>
      <c r="H20072" s="11"/>
      <c r="I20072" s="15"/>
    </row>
    <row r="20073" spans="1:9" ht="16.5">
      <c r="A20073" s="10" t="b">
        <v>0</v>
      </c>
      <c r="B20073" s="11" t="str">
        <f>IF(D20073&lt;&gt;"",IF(COUNTIF('USPTO TMs'!A:A,D20073)&gt;0,"Yes","No"),"")</f>
        <v/>
      </c>
      <c r="C20073" s="11"/>
      <c r="D20073" s="11"/>
      <c r="E20073" s="11"/>
      <c r="F20073" s="11"/>
      <c r="G20073" s="11"/>
      <c r="H20073" s="11"/>
      <c r="I20073" s="15"/>
    </row>
    <row r="20074" spans="1:9" ht="16.5">
      <c r="A20074" s="10" t="b">
        <v>0</v>
      </c>
      <c r="B20074" s="11" t="str">
        <f>IF(D20074&lt;&gt;"",IF(COUNTIF('USPTO TMs'!A:A,D20074)&gt;0,"Yes","No"),"")</f>
        <v/>
      </c>
      <c r="C20074" s="11"/>
      <c r="D20074" s="11"/>
      <c r="E20074" s="11"/>
      <c r="F20074" s="11"/>
      <c r="G20074" s="11"/>
      <c r="H20074" s="11"/>
      <c r="I20074" s="15"/>
    </row>
    <row r="20075" spans="1:9" ht="16.5">
      <c r="A20075" s="10" t="b">
        <v>0</v>
      </c>
      <c r="B20075" s="11" t="str">
        <f>IF(D20075&lt;&gt;"",IF(COUNTIF('USPTO TMs'!A:A,D20075)&gt;0,"Yes","No"),"")</f>
        <v/>
      </c>
      <c r="C20075" s="11"/>
      <c r="D20075" s="11"/>
      <c r="E20075" s="11"/>
      <c r="F20075" s="11"/>
      <c r="G20075" s="11"/>
      <c r="H20075" s="11"/>
      <c r="I20075" s="15"/>
    </row>
    <row r="20076" spans="1:9" ht="16.5">
      <c r="A20076" s="10" t="b">
        <v>0</v>
      </c>
      <c r="B20076" s="11" t="str">
        <f>IF(D20076&lt;&gt;"",IF(COUNTIF('USPTO TMs'!A:A,D20076)&gt;0,"Yes","No"),"")</f>
        <v/>
      </c>
      <c r="C20076" s="11"/>
      <c r="D20076" s="11"/>
      <c r="E20076" s="11"/>
      <c r="F20076" s="11"/>
      <c r="G20076" s="11"/>
      <c r="H20076" s="11"/>
      <c r="I20076" s="15"/>
    </row>
    <row r="20077" spans="1:9" ht="16.5">
      <c r="A20077" s="10" t="b">
        <v>0</v>
      </c>
      <c r="B20077" s="11" t="str">
        <f>IF(D20077&lt;&gt;"",IF(COUNTIF('USPTO TMs'!A:A,D20077)&gt;0,"Yes","No"),"")</f>
        <v/>
      </c>
      <c r="C20077" s="11"/>
      <c r="D20077" s="11"/>
      <c r="E20077" s="11"/>
      <c r="F20077" s="11"/>
      <c r="G20077" s="11"/>
      <c r="H20077" s="11"/>
      <c r="I20077" s="15"/>
    </row>
    <row r="20078" spans="1:9" ht="16.5">
      <c r="A20078" s="10" t="b">
        <v>0</v>
      </c>
      <c r="B20078" s="11" t="str">
        <f>IF(D20078&lt;&gt;"",IF(COUNTIF('USPTO TMs'!A:A,D20078)&gt;0,"Yes","No"),"")</f>
        <v/>
      </c>
      <c r="C20078" s="11"/>
      <c r="D20078" s="11"/>
      <c r="E20078" s="11"/>
      <c r="F20078" s="11"/>
      <c r="G20078" s="11"/>
      <c r="H20078" s="11"/>
      <c r="I20078" s="15"/>
    </row>
    <row r="20079" spans="1:9" ht="16.5">
      <c r="A20079" s="10" t="b">
        <v>0</v>
      </c>
      <c r="B20079" s="11" t="str">
        <f>IF(D20079&lt;&gt;"",IF(COUNTIF('USPTO TMs'!A:A,D20079)&gt;0,"Yes","No"),"")</f>
        <v/>
      </c>
      <c r="C20079" s="11"/>
      <c r="D20079" s="11"/>
      <c r="E20079" s="11"/>
      <c r="F20079" s="11"/>
      <c r="G20079" s="11"/>
      <c r="H20079" s="11"/>
      <c r="I20079" s="15"/>
    </row>
    <row r="20080" spans="1:9" ht="16.5">
      <c r="A20080" s="10" t="b">
        <v>0</v>
      </c>
      <c r="B20080" s="11" t="str">
        <f>IF(D20080&lt;&gt;"",IF(COUNTIF('USPTO TMs'!A:A,D20080)&gt;0,"Yes","No"),"")</f>
        <v/>
      </c>
      <c r="C20080" s="11"/>
      <c r="D20080" s="11"/>
      <c r="E20080" s="11"/>
      <c r="F20080" s="11"/>
      <c r="G20080" s="11"/>
      <c r="H20080" s="11"/>
      <c r="I20080" s="15"/>
    </row>
    <row r="20081" spans="1:9" ht="16.5">
      <c r="A20081" s="10" t="b">
        <v>0</v>
      </c>
      <c r="B20081" s="11" t="str">
        <f>IF(D20081&lt;&gt;"",IF(COUNTIF('USPTO TMs'!A:A,D20081)&gt;0,"Yes","No"),"")</f>
        <v/>
      </c>
      <c r="C20081" s="11"/>
      <c r="D20081" s="11"/>
      <c r="E20081" s="11"/>
      <c r="F20081" s="11"/>
      <c r="G20081" s="11"/>
      <c r="H20081" s="11"/>
      <c r="I20081" s="15"/>
    </row>
    <row r="20082" spans="1:9" ht="16.5">
      <c r="A20082" s="10" t="b">
        <v>0</v>
      </c>
      <c r="B20082" s="11" t="str">
        <f>IF(D20082&lt;&gt;"",IF(COUNTIF('USPTO TMs'!A:A,D20082)&gt;0,"Yes","No"),"")</f>
        <v/>
      </c>
      <c r="C20082" s="11"/>
      <c r="D20082" s="11"/>
      <c r="E20082" s="11"/>
      <c r="F20082" s="11"/>
      <c r="G20082" s="11"/>
      <c r="H20082" s="11"/>
      <c r="I20082" s="15"/>
    </row>
    <row r="20083" spans="1:9" ht="16.5">
      <c r="A20083" s="10" t="b">
        <v>0</v>
      </c>
      <c r="B20083" s="11" t="str">
        <f>IF(D20083&lt;&gt;"",IF(COUNTIF('USPTO TMs'!A:A,D20083)&gt;0,"Yes","No"),"")</f>
        <v/>
      </c>
      <c r="C20083" s="11"/>
      <c r="D20083" s="11"/>
      <c r="E20083" s="11"/>
      <c r="F20083" s="11"/>
      <c r="G20083" s="11"/>
      <c r="H20083" s="11"/>
      <c r="I20083" s="15"/>
    </row>
    <row r="20084" spans="1:9" ht="16.5">
      <c r="A20084" s="10" t="b">
        <v>0</v>
      </c>
      <c r="B20084" s="11" t="str">
        <f>IF(D20084&lt;&gt;"",IF(COUNTIF('USPTO TMs'!A:A,D20084)&gt;0,"Yes","No"),"")</f>
        <v/>
      </c>
      <c r="C20084" s="11"/>
      <c r="D20084" s="11"/>
      <c r="E20084" s="11"/>
      <c r="F20084" s="11"/>
      <c r="G20084" s="11"/>
      <c r="H20084" s="11"/>
      <c r="I20084" s="15"/>
    </row>
    <row r="20085" spans="1:9" ht="16.5">
      <c r="A20085" s="10" t="b">
        <v>0</v>
      </c>
      <c r="B20085" s="11" t="str">
        <f>IF(D20085&lt;&gt;"",IF(COUNTIF('USPTO TMs'!A:A,D20085)&gt;0,"Yes","No"),"")</f>
        <v/>
      </c>
      <c r="C20085" s="11"/>
      <c r="D20085" s="11"/>
      <c r="E20085" s="11"/>
      <c r="F20085" s="11"/>
      <c r="G20085" s="11"/>
      <c r="H20085" s="11"/>
      <c r="I20085" s="15"/>
    </row>
    <row r="20086" spans="1:9" ht="16.5">
      <c r="A20086" s="10" t="b">
        <v>0</v>
      </c>
      <c r="B20086" s="11" t="str">
        <f>IF(D20086&lt;&gt;"",IF(COUNTIF('USPTO TMs'!A:A,D20086)&gt;0,"Yes","No"),"")</f>
        <v/>
      </c>
      <c r="C20086" s="11"/>
      <c r="D20086" s="11"/>
      <c r="E20086" s="11"/>
      <c r="F20086" s="11"/>
      <c r="G20086" s="11"/>
      <c r="H20086" s="11"/>
      <c r="I20086" s="15"/>
    </row>
    <row r="20087" spans="1:9" ht="16.5">
      <c r="A20087" s="10" t="b">
        <v>0</v>
      </c>
      <c r="B20087" s="11" t="str">
        <f>IF(D20087&lt;&gt;"",IF(COUNTIF('USPTO TMs'!A:A,D20087)&gt;0,"Yes","No"),"")</f>
        <v/>
      </c>
      <c r="C20087" s="11"/>
      <c r="D20087" s="11"/>
      <c r="E20087" s="11"/>
      <c r="F20087" s="11"/>
      <c r="G20087" s="11"/>
      <c r="H20087" s="11"/>
      <c r="I20087" s="15"/>
    </row>
    <row r="20088" spans="1:9" ht="16.5">
      <c r="A20088" s="10" t="b">
        <v>0</v>
      </c>
      <c r="B20088" s="11" t="str">
        <f>IF(D20088&lt;&gt;"",IF(COUNTIF('USPTO TMs'!A:A,D20088)&gt;0,"Yes","No"),"")</f>
        <v/>
      </c>
      <c r="C20088" s="11"/>
      <c r="D20088" s="11"/>
      <c r="E20088" s="11"/>
      <c r="F20088" s="11"/>
      <c r="G20088" s="11"/>
      <c r="H20088" s="11"/>
      <c r="I20088" s="15"/>
    </row>
    <row r="20089" spans="1:9" ht="16.5">
      <c r="A20089" s="10" t="b">
        <v>0</v>
      </c>
      <c r="B20089" s="11" t="str">
        <f>IF(D20089&lt;&gt;"",IF(COUNTIF('USPTO TMs'!A:A,D20089)&gt;0,"Yes","No"),"")</f>
        <v/>
      </c>
      <c r="C20089" s="11"/>
      <c r="D20089" s="11"/>
      <c r="E20089" s="11"/>
      <c r="F20089" s="11"/>
      <c r="G20089" s="11"/>
      <c r="H20089" s="11"/>
      <c r="I20089" s="15"/>
    </row>
    <row r="20090" spans="1:9" ht="16.5">
      <c r="A20090" s="10" t="b">
        <v>0</v>
      </c>
      <c r="B20090" s="11" t="str">
        <f>IF(D20090&lt;&gt;"",IF(COUNTIF('USPTO TMs'!A:A,D20090)&gt;0,"Yes","No"),"")</f>
        <v/>
      </c>
      <c r="C20090" s="11"/>
      <c r="D20090" s="11"/>
      <c r="E20090" s="11"/>
      <c r="F20090" s="11"/>
      <c r="G20090" s="11"/>
      <c r="H20090" s="11"/>
      <c r="I20090" s="15"/>
    </row>
    <row r="20091" spans="1:9" ht="16.5">
      <c r="A20091" s="10" t="b">
        <v>0</v>
      </c>
      <c r="B20091" s="11" t="str">
        <f>IF(D20091&lt;&gt;"",IF(COUNTIF('USPTO TMs'!A:A,D20091)&gt;0,"Yes","No"),"")</f>
        <v/>
      </c>
      <c r="C20091" s="11"/>
      <c r="D20091" s="11"/>
      <c r="E20091" s="11"/>
      <c r="F20091" s="11"/>
      <c r="G20091" s="11"/>
      <c r="H20091" s="11"/>
      <c r="I20091" s="15"/>
    </row>
    <row r="20092" spans="1:9" ht="16.5">
      <c r="A20092" s="10" t="b">
        <v>0</v>
      </c>
      <c r="B20092" s="11" t="str">
        <f>IF(D20092&lt;&gt;"",IF(COUNTIF('USPTO TMs'!A:A,D20092)&gt;0,"Yes","No"),"")</f>
        <v/>
      </c>
      <c r="C20092" s="11"/>
      <c r="D20092" s="11"/>
      <c r="E20092" s="11"/>
      <c r="F20092" s="11"/>
      <c r="G20092" s="11"/>
      <c r="H20092" s="11"/>
      <c r="I20092" s="15"/>
    </row>
    <row r="20093" spans="1:9" ht="16.5">
      <c r="A20093" s="10" t="b">
        <v>0</v>
      </c>
      <c r="B20093" s="11" t="str">
        <f>IF(D20093&lt;&gt;"",IF(COUNTIF('USPTO TMs'!A:A,D20093)&gt;0,"Yes","No"),"")</f>
        <v/>
      </c>
      <c r="C20093" s="11"/>
      <c r="D20093" s="11"/>
      <c r="E20093" s="11"/>
      <c r="F20093" s="11"/>
      <c r="G20093" s="11"/>
      <c r="H20093" s="11"/>
      <c r="I20093" s="15"/>
    </row>
    <row r="20094" spans="1:9" ht="16.5">
      <c r="A20094" s="10" t="b">
        <v>0</v>
      </c>
      <c r="B20094" s="11" t="str">
        <f>IF(D20094&lt;&gt;"",IF(COUNTIF('USPTO TMs'!A:A,D20094)&gt;0,"Yes","No"),"")</f>
        <v/>
      </c>
      <c r="C20094" s="11"/>
      <c r="D20094" s="11"/>
      <c r="E20094" s="11"/>
      <c r="F20094" s="11"/>
      <c r="G20094" s="11"/>
      <c r="H20094" s="11"/>
      <c r="I20094" s="15"/>
    </row>
    <row r="20095" spans="1:9" ht="16.5">
      <c r="A20095" s="10" t="b">
        <v>0</v>
      </c>
      <c r="B20095" s="11" t="str">
        <f>IF(D20095&lt;&gt;"",IF(COUNTIF('USPTO TMs'!A:A,D20095)&gt;0,"Yes","No"),"")</f>
        <v/>
      </c>
      <c r="C20095" s="11"/>
      <c r="D20095" s="11"/>
      <c r="E20095" s="11"/>
      <c r="F20095" s="11"/>
      <c r="G20095" s="11"/>
      <c r="H20095" s="11"/>
      <c r="I20095" s="15"/>
    </row>
    <row r="20096" spans="1:9" ht="16.5">
      <c r="A20096" s="10" t="b">
        <v>0</v>
      </c>
      <c r="B20096" s="11" t="str">
        <f>IF(D20096&lt;&gt;"",IF(COUNTIF('USPTO TMs'!A:A,D20096)&gt;0,"Yes","No"),"")</f>
        <v/>
      </c>
      <c r="C20096" s="11"/>
      <c r="D20096" s="11"/>
      <c r="E20096" s="11"/>
      <c r="F20096" s="11"/>
      <c r="G20096" s="11"/>
      <c r="H20096" s="11"/>
      <c r="I20096" s="15"/>
    </row>
    <row r="20097" spans="1:9" ht="16.5">
      <c r="A20097" s="10" t="b">
        <v>0</v>
      </c>
      <c r="B20097" s="11" t="str">
        <f>IF(D20097&lt;&gt;"",IF(COUNTIF('USPTO TMs'!A:A,D20097)&gt;0,"Yes","No"),"")</f>
        <v/>
      </c>
      <c r="C20097" s="11"/>
      <c r="D20097" s="11"/>
      <c r="E20097" s="11"/>
      <c r="F20097" s="11"/>
      <c r="G20097" s="11"/>
      <c r="H20097" s="11"/>
      <c r="I20097" s="15"/>
    </row>
    <row r="20098" spans="1:9" ht="16.5">
      <c r="A20098" s="10" t="b">
        <v>0</v>
      </c>
      <c r="B20098" s="11" t="str">
        <f>IF(D20098&lt;&gt;"",IF(COUNTIF('USPTO TMs'!A:A,D20098)&gt;0,"Yes","No"),"")</f>
        <v/>
      </c>
      <c r="C20098" s="11"/>
      <c r="D20098" s="11"/>
      <c r="E20098" s="11"/>
      <c r="F20098" s="11"/>
      <c r="G20098" s="11"/>
      <c r="H20098" s="11"/>
      <c r="I20098" s="15"/>
    </row>
    <row r="20099" spans="1:9" ht="16.5">
      <c r="A20099" s="10" t="b">
        <v>0</v>
      </c>
      <c r="B20099" s="11" t="str">
        <f>IF(D20099&lt;&gt;"",IF(COUNTIF('USPTO TMs'!A:A,D20099)&gt;0,"Yes","No"),"")</f>
        <v/>
      </c>
      <c r="C20099" s="11"/>
      <c r="D20099" s="11"/>
      <c r="E20099" s="11"/>
      <c r="F20099" s="11"/>
      <c r="G20099" s="11"/>
      <c r="H20099" s="11"/>
      <c r="I20099" s="15"/>
    </row>
    <row r="20100" spans="1:9" ht="16.5">
      <c r="A20100" s="10" t="b">
        <v>0</v>
      </c>
      <c r="B20100" s="11" t="str">
        <f>IF(D20100&lt;&gt;"",IF(COUNTIF('USPTO TMs'!A:A,D20100)&gt;0,"Yes","No"),"")</f>
        <v/>
      </c>
      <c r="C20100" s="11"/>
      <c r="D20100" s="11"/>
      <c r="E20100" s="11"/>
      <c r="F20100" s="11"/>
      <c r="G20100" s="11"/>
      <c r="H20100" s="11"/>
      <c r="I20100" s="15"/>
    </row>
    <row r="20101" spans="1:9" ht="16.5">
      <c r="A20101" s="10" t="b">
        <v>0</v>
      </c>
      <c r="B20101" s="11" t="str">
        <f>IF(D20101&lt;&gt;"",IF(COUNTIF('USPTO TMs'!A:A,D20101)&gt;0,"Yes","No"),"")</f>
        <v/>
      </c>
      <c r="C20101" s="11"/>
      <c r="D20101" s="11"/>
      <c r="E20101" s="11"/>
      <c r="F20101" s="11"/>
      <c r="G20101" s="11"/>
      <c r="H20101" s="11"/>
      <c r="I20101" s="15"/>
    </row>
    <row r="20102" spans="1:9" ht="16.5">
      <c r="A20102" s="10" t="b">
        <v>0</v>
      </c>
      <c r="B20102" s="11" t="str">
        <f>IF(D20102&lt;&gt;"",IF(COUNTIF('USPTO TMs'!A:A,D20102)&gt;0,"Yes","No"),"")</f>
        <v/>
      </c>
      <c r="C20102" s="11"/>
      <c r="D20102" s="11"/>
      <c r="E20102" s="11"/>
      <c r="F20102" s="11"/>
      <c r="G20102" s="11"/>
      <c r="H20102" s="11"/>
      <c r="I20102" s="15"/>
    </row>
    <row r="20103" spans="1:9" ht="16.5">
      <c r="A20103" s="10" t="b">
        <v>0</v>
      </c>
      <c r="B20103" s="11" t="str">
        <f>IF(D20103&lt;&gt;"",IF(COUNTIF('USPTO TMs'!A:A,D20103)&gt;0,"Yes","No"),"")</f>
        <v/>
      </c>
      <c r="C20103" s="11"/>
      <c r="D20103" s="11"/>
      <c r="E20103" s="11"/>
      <c r="F20103" s="11"/>
      <c r="G20103" s="11"/>
      <c r="H20103" s="11"/>
      <c r="I20103" s="15"/>
    </row>
    <row r="20104" spans="1:9" ht="16.5">
      <c r="A20104" s="10" t="b">
        <v>0</v>
      </c>
      <c r="B20104" s="11" t="str">
        <f>IF(D20104&lt;&gt;"",IF(COUNTIF('USPTO TMs'!A:A,D20104)&gt;0,"Yes","No"),"")</f>
        <v/>
      </c>
      <c r="C20104" s="11"/>
      <c r="D20104" s="11"/>
      <c r="E20104" s="11"/>
      <c r="F20104" s="11"/>
      <c r="G20104" s="11"/>
      <c r="H20104" s="11"/>
      <c r="I20104" s="15"/>
    </row>
    <row r="20105" spans="1:9" ht="16.5">
      <c r="A20105" s="10" t="b">
        <v>0</v>
      </c>
      <c r="B20105" s="11" t="str">
        <f>IF(D20105&lt;&gt;"",IF(COUNTIF('USPTO TMs'!A:A,D20105)&gt;0,"Yes","No"),"")</f>
        <v/>
      </c>
      <c r="C20105" s="11"/>
      <c r="D20105" s="11"/>
      <c r="E20105" s="11"/>
      <c r="F20105" s="11"/>
      <c r="G20105" s="11"/>
      <c r="H20105" s="11"/>
      <c r="I20105" s="15"/>
    </row>
    <row r="20106" spans="1:9" ht="16.5">
      <c r="A20106" s="10" t="b">
        <v>0</v>
      </c>
      <c r="B20106" s="11" t="str">
        <f>IF(D20106&lt;&gt;"",IF(COUNTIF('USPTO TMs'!A:A,D20106)&gt;0,"Yes","No"),"")</f>
        <v/>
      </c>
      <c r="C20106" s="11"/>
      <c r="D20106" s="11"/>
      <c r="E20106" s="11"/>
      <c r="F20106" s="11"/>
      <c r="G20106" s="11"/>
      <c r="H20106" s="11"/>
      <c r="I20106" s="15"/>
    </row>
    <row r="20107" spans="1:9" ht="16.5">
      <c r="A20107" s="10" t="b">
        <v>0</v>
      </c>
      <c r="B20107" s="11" t="str">
        <f>IF(D20107&lt;&gt;"",IF(COUNTIF('USPTO TMs'!A:A,D20107)&gt;0,"Yes","No"),"")</f>
        <v/>
      </c>
      <c r="C20107" s="11"/>
      <c r="D20107" s="11"/>
      <c r="E20107" s="11"/>
      <c r="F20107" s="11"/>
      <c r="G20107" s="11"/>
      <c r="H20107" s="11"/>
      <c r="I20107" s="15"/>
    </row>
    <row r="20108" spans="1:9" ht="16.5">
      <c r="A20108" s="10" t="b">
        <v>0</v>
      </c>
      <c r="B20108" s="11" t="str">
        <f>IF(D20108&lt;&gt;"",IF(COUNTIF('USPTO TMs'!A:A,D20108)&gt;0,"Yes","No"),"")</f>
        <v/>
      </c>
      <c r="C20108" s="11"/>
      <c r="D20108" s="11"/>
      <c r="E20108" s="11"/>
      <c r="F20108" s="11"/>
      <c r="G20108" s="11"/>
      <c r="H20108" s="11"/>
      <c r="I20108" s="15"/>
    </row>
    <row r="20109" spans="1:9" ht="16.5">
      <c r="A20109" s="10" t="b">
        <v>0</v>
      </c>
      <c r="B20109" s="11" t="str">
        <f>IF(D20109&lt;&gt;"",IF(COUNTIF('USPTO TMs'!A:A,D20109)&gt;0,"Yes","No"),"")</f>
        <v/>
      </c>
      <c r="C20109" s="11"/>
      <c r="D20109" s="11"/>
      <c r="E20109" s="11"/>
      <c r="F20109" s="11"/>
      <c r="G20109" s="11"/>
      <c r="H20109" s="11"/>
      <c r="I20109" s="15"/>
    </row>
    <row r="20110" spans="1:9" ht="16.5">
      <c r="A20110" s="10" t="b">
        <v>0</v>
      </c>
      <c r="B20110" s="11" t="str">
        <f>IF(D20110&lt;&gt;"",IF(COUNTIF('USPTO TMs'!A:A,D20110)&gt;0,"Yes","No"),"")</f>
        <v/>
      </c>
      <c r="C20110" s="11"/>
      <c r="D20110" s="11"/>
      <c r="E20110" s="11"/>
      <c r="F20110" s="11"/>
      <c r="G20110" s="11"/>
      <c r="H20110" s="11"/>
      <c r="I20110" s="15"/>
    </row>
    <row r="20111" spans="1:9" ht="16.5">
      <c r="A20111" s="10" t="b">
        <v>0</v>
      </c>
      <c r="B20111" s="11" t="str">
        <f>IF(D20111&lt;&gt;"",IF(COUNTIF('USPTO TMs'!A:A,D20111)&gt;0,"Yes","No"),"")</f>
        <v/>
      </c>
      <c r="C20111" s="11"/>
      <c r="D20111" s="11"/>
      <c r="E20111" s="11"/>
      <c r="F20111" s="11"/>
      <c r="G20111" s="11"/>
      <c r="H20111" s="11"/>
      <c r="I20111" s="15"/>
    </row>
    <row r="20112" spans="1:9" ht="16.5">
      <c r="A20112" s="10" t="b">
        <v>0</v>
      </c>
      <c r="B20112" s="11" t="str">
        <f>IF(D20112&lt;&gt;"",IF(COUNTIF('USPTO TMs'!A:A,D20112)&gt;0,"Yes","No"),"")</f>
        <v/>
      </c>
      <c r="C20112" s="11"/>
      <c r="D20112" s="11"/>
      <c r="E20112" s="11"/>
      <c r="F20112" s="11"/>
      <c r="G20112" s="11"/>
      <c r="H20112" s="11"/>
      <c r="I20112" s="15"/>
    </row>
    <row r="20113" spans="1:9" ht="16.5">
      <c r="A20113" s="10" t="b">
        <v>0</v>
      </c>
      <c r="B20113" s="11" t="str">
        <f>IF(D20113&lt;&gt;"",IF(COUNTIF('USPTO TMs'!A:A,D20113)&gt;0,"Yes","No"),"")</f>
        <v/>
      </c>
      <c r="C20113" s="11"/>
      <c r="D20113" s="11"/>
      <c r="E20113" s="11"/>
      <c r="F20113" s="11"/>
      <c r="G20113" s="11"/>
      <c r="H20113" s="11"/>
      <c r="I20113" s="15"/>
    </row>
    <row r="20114" spans="1:9" ht="16.5">
      <c r="A20114" s="10" t="b">
        <v>0</v>
      </c>
      <c r="B20114" s="11" t="str">
        <f>IF(D20114&lt;&gt;"",IF(COUNTIF('USPTO TMs'!A:A,D20114)&gt;0,"Yes","No"),"")</f>
        <v/>
      </c>
      <c r="C20114" s="11"/>
      <c r="D20114" s="11"/>
      <c r="E20114" s="11"/>
      <c r="F20114" s="11"/>
      <c r="G20114" s="11"/>
      <c r="H20114" s="11"/>
      <c r="I20114" s="15"/>
    </row>
    <row r="20115" spans="1:9" ht="16.5">
      <c r="A20115" s="10" t="b">
        <v>0</v>
      </c>
      <c r="B20115" s="11" t="str">
        <f>IF(D20115&lt;&gt;"",IF(COUNTIF('USPTO TMs'!A:A,D20115)&gt;0,"Yes","No"),"")</f>
        <v/>
      </c>
      <c r="C20115" s="11"/>
      <c r="D20115" s="11"/>
      <c r="E20115" s="11"/>
      <c r="F20115" s="11"/>
      <c r="G20115" s="11"/>
      <c r="H20115" s="11"/>
      <c r="I20115" s="15"/>
    </row>
    <row r="20116" spans="1:9" ht="16.5">
      <c r="A20116" s="10" t="b">
        <v>0</v>
      </c>
      <c r="B20116" s="11" t="str">
        <f>IF(D20116&lt;&gt;"",IF(COUNTIF('USPTO TMs'!A:A,D20116)&gt;0,"Yes","No"),"")</f>
        <v/>
      </c>
      <c r="C20116" s="11"/>
      <c r="D20116" s="11"/>
      <c r="E20116" s="11"/>
      <c r="F20116" s="11"/>
      <c r="G20116" s="11"/>
      <c r="H20116" s="11"/>
      <c r="I20116" s="15"/>
    </row>
    <row r="20117" spans="1:9" ht="16.5">
      <c r="A20117" s="10" t="b">
        <v>0</v>
      </c>
      <c r="B20117" s="11" t="str">
        <f>IF(D20117&lt;&gt;"",IF(COUNTIF('USPTO TMs'!A:A,D20117)&gt;0,"Yes","No"),"")</f>
        <v/>
      </c>
      <c r="C20117" s="11"/>
      <c r="D20117" s="11"/>
      <c r="E20117" s="11"/>
      <c r="F20117" s="11"/>
      <c r="G20117" s="11"/>
      <c r="H20117" s="11"/>
      <c r="I20117" s="15"/>
    </row>
    <row r="20118" spans="1:9" ht="16.5">
      <c r="A20118" s="10" t="b">
        <v>0</v>
      </c>
      <c r="B20118" s="11" t="str">
        <f>IF(D20118&lt;&gt;"",IF(COUNTIF('USPTO TMs'!A:A,D20118)&gt;0,"Yes","No"),"")</f>
        <v/>
      </c>
      <c r="C20118" s="11"/>
      <c r="D20118" s="11"/>
      <c r="E20118" s="11"/>
      <c r="F20118" s="11"/>
      <c r="G20118" s="11"/>
      <c r="H20118" s="11"/>
      <c r="I20118" s="15"/>
    </row>
    <row r="20119" spans="1:9" ht="16.5">
      <c r="A20119" s="10" t="b">
        <v>0</v>
      </c>
      <c r="B20119" s="11" t="str">
        <f>IF(D20119&lt;&gt;"",IF(COUNTIF('USPTO TMs'!A:A,D20119)&gt;0,"Yes","No"),"")</f>
        <v/>
      </c>
      <c r="C20119" s="11"/>
      <c r="D20119" s="11"/>
      <c r="E20119" s="11"/>
      <c r="F20119" s="11"/>
      <c r="G20119" s="11"/>
      <c r="H20119" s="11"/>
      <c r="I20119" s="15"/>
    </row>
    <row r="20120" spans="1:9" ht="16.5">
      <c r="A20120" s="10" t="b">
        <v>0</v>
      </c>
      <c r="B20120" s="11" t="str">
        <f>IF(D20120&lt;&gt;"",IF(COUNTIF('USPTO TMs'!A:A,D20120)&gt;0,"Yes","No"),"")</f>
        <v/>
      </c>
      <c r="C20120" s="11"/>
      <c r="D20120" s="11"/>
      <c r="E20120" s="11"/>
      <c r="F20120" s="11"/>
      <c r="G20120" s="11"/>
      <c r="H20120" s="11"/>
      <c r="I20120" s="15"/>
    </row>
    <row r="20121" spans="1:9" ht="16.5">
      <c r="A20121" s="10" t="b">
        <v>0</v>
      </c>
      <c r="B20121" s="11" t="str">
        <f>IF(D20121&lt;&gt;"",IF(COUNTIF('USPTO TMs'!A:A,D20121)&gt;0,"Yes","No"),"")</f>
        <v/>
      </c>
      <c r="C20121" s="11"/>
      <c r="D20121" s="11"/>
      <c r="E20121" s="11"/>
      <c r="F20121" s="11"/>
      <c r="G20121" s="11"/>
      <c r="H20121" s="11"/>
      <c r="I20121" s="15"/>
    </row>
    <row r="20122" spans="1:9" ht="16.5">
      <c r="A20122" s="10" t="b">
        <v>0</v>
      </c>
      <c r="B20122" s="11" t="str">
        <f>IF(D20122&lt;&gt;"",IF(COUNTIF('USPTO TMs'!A:A,D20122)&gt;0,"Yes","No"),"")</f>
        <v/>
      </c>
      <c r="C20122" s="11"/>
      <c r="D20122" s="11"/>
      <c r="E20122" s="11"/>
      <c r="F20122" s="11"/>
      <c r="G20122" s="11"/>
      <c r="H20122" s="11"/>
      <c r="I20122" s="15"/>
    </row>
    <row r="20123" spans="1:9" ht="16.5">
      <c r="A20123" s="10" t="b">
        <v>0</v>
      </c>
      <c r="B20123" s="11" t="str">
        <f>IF(D20123&lt;&gt;"",IF(COUNTIF('USPTO TMs'!A:A,D20123)&gt;0,"Yes","No"),"")</f>
        <v/>
      </c>
      <c r="C20123" s="11"/>
      <c r="D20123" s="11"/>
      <c r="E20123" s="11"/>
      <c r="F20123" s="11"/>
      <c r="G20123" s="11"/>
      <c r="H20123" s="11"/>
      <c r="I20123" s="15"/>
    </row>
    <row r="20124" spans="1:9" ht="16.5">
      <c r="A20124" s="10" t="b">
        <v>0</v>
      </c>
      <c r="B20124" s="11" t="str">
        <f>IF(D20124&lt;&gt;"",IF(COUNTIF('USPTO TMs'!A:A,D20124)&gt;0,"Yes","No"),"")</f>
        <v/>
      </c>
      <c r="C20124" s="11"/>
      <c r="D20124" s="11"/>
      <c r="E20124" s="11"/>
      <c r="F20124" s="11"/>
      <c r="G20124" s="11"/>
      <c r="H20124" s="11"/>
      <c r="I20124" s="15"/>
    </row>
    <row r="20125" spans="1:9" ht="16.5">
      <c r="A20125" s="10" t="b">
        <v>0</v>
      </c>
      <c r="B20125" s="11" t="str">
        <f>IF(D20125&lt;&gt;"",IF(COUNTIF('USPTO TMs'!A:A,D20125)&gt;0,"Yes","No"),"")</f>
        <v/>
      </c>
      <c r="C20125" s="11"/>
      <c r="D20125" s="11"/>
      <c r="E20125" s="11"/>
      <c r="F20125" s="11"/>
      <c r="G20125" s="11"/>
      <c r="H20125" s="11"/>
      <c r="I20125" s="15"/>
    </row>
    <row r="20126" spans="1:9" ht="16.5">
      <c r="A20126" s="10" t="b">
        <v>0</v>
      </c>
      <c r="B20126" s="11" t="str">
        <f>IF(D20126&lt;&gt;"",IF(COUNTIF('USPTO TMs'!A:A,D20126)&gt;0,"Yes","No"),"")</f>
        <v/>
      </c>
      <c r="C20126" s="11"/>
      <c r="D20126" s="11"/>
      <c r="E20126" s="11"/>
      <c r="F20126" s="11"/>
      <c r="G20126" s="11"/>
      <c r="H20126" s="11"/>
      <c r="I20126" s="15"/>
    </row>
    <row r="20127" spans="1:9" ht="16.5">
      <c r="A20127" s="10" t="b">
        <v>0</v>
      </c>
      <c r="B20127" s="11" t="str">
        <f>IF(D20127&lt;&gt;"",IF(COUNTIF('USPTO TMs'!A:A,D20127)&gt;0,"Yes","No"),"")</f>
        <v/>
      </c>
      <c r="C20127" s="11"/>
      <c r="D20127" s="11"/>
      <c r="E20127" s="11"/>
      <c r="F20127" s="11"/>
      <c r="G20127" s="11"/>
      <c r="H20127" s="11"/>
      <c r="I20127" s="15"/>
    </row>
    <row r="20128" spans="1:9" ht="16.5">
      <c r="A20128" s="10" t="b">
        <v>0</v>
      </c>
      <c r="B20128" s="11" t="str">
        <f>IF(D20128&lt;&gt;"",IF(COUNTIF('USPTO TMs'!A:A,D20128)&gt;0,"Yes","No"),"")</f>
        <v/>
      </c>
      <c r="C20128" s="11"/>
      <c r="D20128" s="11"/>
      <c r="E20128" s="11"/>
      <c r="F20128" s="11"/>
      <c r="G20128" s="11"/>
      <c r="H20128" s="11"/>
      <c r="I20128" s="15"/>
    </row>
    <row r="20129" spans="1:9" ht="16.5">
      <c r="A20129" s="10" t="b">
        <v>0</v>
      </c>
      <c r="B20129" s="11" t="str">
        <f>IF(D20129&lt;&gt;"",IF(COUNTIF('USPTO TMs'!A:A,D20129)&gt;0,"Yes","No"),"")</f>
        <v/>
      </c>
      <c r="C20129" s="11"/>
      <c r="D20129" s="11"/>
      <c r="E20129" s="11"/>
      <c r="F20129" s="11"/>
      <c r="G20129" s="11"/>
      <c r="H20129" s="11"/>
      <c r="I20129" s="15"/>
    </row>
    <row r="20130" spans="1:9" ht="16.5">
      <c r="A20130" s="10" t="b">
        <v>0</v>
      </c>
      <c r="B20130" s="11" t="str">
        <f>IF(D20130&lt;&gt;"",IF(COUNTIF('USPTO TMs'!A:A,D20130)&gt;0,"Yes","No"),"")</f>
        <v/>
      </c>
      <c r="C20130" s="11"/>
      <c r="D20130" s="11"/>
      <c r="E20130" s="11"/>
      <c r="F20130" s="11"/>
      <c r="G20130" s="11"/>
      <c r="H20130" s="11"/>
      <c r="I20130" s="15"/>
    </row>
    <row r="20131" spans="1:9" ht="16.5">
      <c r="A20131" s="10" t="b">
        <v>0</v>
      </c>
      <c r="B20131" s="11" t="str">
        <f>IF(D20131&lt;&gt;"",IF(COUNTIF('USPTO TMs'!A:A,D20131)&gt;0,"Yes","No"),"")</f>
        <v/>
      </c>
      <c r="C20131" s="11"/>
      <c r="D20131" s="11"/>
      <c r="E20131" s="11"/>
      <c r="F20131" s="11"/>
      <c r="G20131" s="11"/>
      <c r="H20131" s="11"/>
      <c r="I20131" s="15"/>
    </row>
    <row r="20132" spans="1:9" ht="16.5">
      <c r="A20132" s="10" t="b">
        <v>0</v>
      </c>
      <c r="B20132" s="11" t="str">
        <f>IF(D20132&lt;&gt;"",IF(COUNTIF('USPTO TMs'!A:A,D20132)&gt;0,"Yes","No"),"")</f>
        <v/>
      </c>
      <c r="C20132" s="11"/>
      <c r="D20132" s="11"/>
      <c r="E20132" s="11"/>
      <c r="F20132" s="11"/>
      <c r="G20132" s="11"/>
      <c r="H20132" s="11"/>
      <c r="I20132" s="15"/>
    </row>
    <row r="20133" spans="1:9" ht="16.5">
      <c r="A20133" s="10" t="b">
        <v>0</v>
      </c>
      <c r="B20133" s="11" t="str">
        <f>IF(D20133&lt;&gt;"",IF(COUNTIF('USPTO TMs'!A:A,D20133)&gt;0,"Yes","No"),"")</f>
        <v/>
      </c>
      <c r="C20133" s="11"/>
      <c r="D20133" s="11"/>
      <c r="E20133" s="11"/>
      <c r="F20133" s="11"/>
      <c r="G20133" s="11"/>
      <c r="H20133" s="11"/>
      <c r="I20133" s="15"/>
    </row>
    <row r="20134" spans="1:9" ht="16.5">
      <c r="A20134" s="10" t="b">
        <v>0</v>
      </c>
      <c r="B20134" s="11" t="str">
        <f>IF(D20134&lt;&gt;"",IF(COUNTIF('USPTO TMs'!A:A,D20134)&gt;0,"Yes","No"),"")</f>
        <v/>
      </c>
      <c r="C20134" s="11"/>
      <c r="D20134" s="11"/>
      <c r="E20134" s="11"/>
      <c r="F20134" s="11"/>
      <c r="G20134" s="11"/>
      <c r="H20134" s="11"/>
      <c r="I20134" s="15"/>
    </row>
    <row r="20135" spans="1:9" ht="16.5">
      <c r="A20135" s="10" t="b">
        <v>0</v>
      </c>
      <c r="B20135" s="11" t="str">
        <f>IF(D20135&lt;&gt;"",IF(COUNTIF('USPTO TMs'!A:A,D20135)&gt;0,"Yes","No"),"")</f>
        <v/>
      </c>
      <c r="C20135" s="11"/>
      <c r="D20135" s="11"/>
      <c r="E20135" s="11"/>
      <c r="F20135" s="11"/>
      <c r="G20135" s="11"/>
      <c r="H20135" s="11"/>
      <c r="I20135" s="15"/>
    </row>
    <row r="20136" spans="1:9" ht="16.5">
      <c r="A20136" s="10" t="b">
        <v>0</v>
      </c>
      <c r="B20136" s="11" t="str">
        <f>IF(D20136&lt;&gt;"",IF(COUNTIF('USPTO TMs'!A:A,D20136)&gt;0,"Yes","No"),"")</f>
        <v/>
      </c>
      <c r="C20136" s="11"/>
      <c r="D20136" s="11"/>
      <c r="E20136" s="11"/>
      <c r="F20136" s="11"/>
      <c r="G20136" s="11"/>
      <c r="H20136" s="11"/>
      <c r="I20136" s="15"/>
    </row>
    <row r="20137" spans="1:9" ht="16.5">
      <c r="A20137" s="10" t="b">
        <v>0</v>
      </c>
      <c r="B20137" s="11" t="str">
        <f>IF(D20137&lt;&gt;"",IF(COUNTIF('USPTO TMs'!A:A,D20137)&gt;0,"Yes","No"),"")</f>
        <v/>
      </c>
      <c r="C20137" s="11"/>
      <c r="D20137" s="11"/>
      <c r="E20137" s="11"/>
      <c r="F20137" s="11"/>
      <c r="G20137" s="11"/>
      <c r="H20137" s="11"/>
      <c r="I20137" s="15"/>
    </row>
    <row r="20138" spans="1:9" ht="16.5">
      <c r="A20138" s="10" t="b">
        <v>0</v>
      </c>
      <c r="B20138" s="11" t="str">
        <f>IF(D20138&lt;&gt;"",IF(COUNTIF('USPTO TMs'!A:A,D20138)&gt;0,"Yes","No"),"")</f>
        <v/>
      </c>
      <c r="C20138" s="11"/>
      <c r="D20138" s="11"/>
      <c r="E20138" s="11"/>
      <c r="F20138" s="11"/>
      <c r="G20138" s="11"/>
      <c r="H20138" s="11"/>
      <c r="I20138" s="15"/>
    </row>
    <row r="20139" spans="1:9" ht="16.5">
      <c r="A20139" s="10" t="b">
        <v>0</v>
      </c>
      <c r="B20139" s="11" t="str">
        <f>IF(D20139&lt;&gt;"",IF(COUNTIF('USPTO TMs'!A:A,D20139)&gt;0,"Yes","No"),"")</f>
        <v/>
      </c>
      <c r="C20139" s="11"/>
      <c r="D20139" s="11"/>
      <c r="E20139" s="11"/>
      <c r="F20139" s="11"/>
      <c r="G20139" s="11"/>
      <c r="H20139" s="11"/>
      <c r="I20139" s="15"/>
    </row>
    <row r="20140" spans="1:9" ht="16.5">
      <c r="A20140" s="10" t="b">
        <v>0</v>
      </c>
      <c r="B20140" s="11" t="str">
        <f>IF(D20140&lt;&gt;"",IF(COUNTIF('USPTO TMs'!A:A,D20140)&gt;0,"Yes","No"),"")</f>
        <v/>
      </c>
      <c r="C20140" s="11"/>
      <c r="D20140" s="11"/>
      <c r="E20140" s="11"/>
      <c r="F20140" s="11"/>
      <c r="G20140" s="11"/>
      <c r="H20140" s="11"/>
      <c r="I20140" s="15"/>
    </row>
    <row r="20141" spans="1:9" ht="16.5">
      <c r="A20141" s="10" t="b">
        <v>0</v>
      </c>
      <c r="B20141" s="11" t="str">
        <f>IF(D20141&lt;&gt;"",IF(COUNTIF('USPTO TMs'!A:A,D20141)&gt;0,"Yes","No"),"")</f>
        <v/>
      </c>
      <c r="C20141" s="11"/>
      <c r="D20141" s="11"/>
      <c r="E20141" s="11"/>
      <c r="F20141" s="11"/>
      <c r="G20141" s="11"/>
      <c r="H20141" s="11"/>
      <c r="I20141" s="15"/>
    </row>
    <row r="20142" spans="1:9" ht="16.5">
      <c r="A20142" s="10" t="b">
        <v>0</v>
      </c>
      <c r="B20142" s="11" t="str">
        <f>IF(D20142&lt;&gt;"",IF(COUNTIF('USPTO TMs'!A:A,D20142)&gt;0,"Yes","No"),"")</f>
        <v/>
      </c>
      <c r="C20142" s="11"/>
      <c r="D20142" s="11"/>
      <c r="E20142" s="11"/>
      <c r="F20142" s="11"/>
      <c r="G20142" s="11"/>
      <c r="H20142" s="11"/>
      <c r="I20142" s="15"/>
    </row>
    <row r="20143" spans="1:9" ht="16.5">
      <c r="A20143" s="10" t="b">
        <v>0</v>
      </c>
      <c r="B20143" s="11" t="str">
        <f>IF(D20143&lt;&gt;"",IF(COUNTIF('USPTO TMs'!A:A,D20143)&gt;0,"Yes","No"),"")</f>
        <v/>
      </c>
      <c r="C20143" s="11"/>
      <c r="D20143" s="11"/>
      <c r="E20143" s="11"/>
      <c r="F20143" s="11"/>
      <c r="G20143" s="11"/>
      <c r="H20143" s="11"/>
      <c r="I20143" s="15"/>
    </row>
    <row r="20144" spans="1:9" ht="16.5">
      <c r="A20144" s="10" t="b">
        <v>0</v>
      </c>
      <c r="B20144" s="11" t="str">
        <f>IF(D20144&lt;&gt;"",IF(COUNTIF('USPTO TMs'!A:A,D20144)&gt;0,"Yes","No"),"")</f>
        <v/>
      </c>
      <c r="C20144" s="11"/>
      <c r="D20144" s="11"/>
      <c r="E20144" s="11"/>
      <c r="F20144" s="11"/>
      <c r="G20144" s="11"/>
      <c r="H20144" s="11"/>
      <c r="I20144" s="15"/>
    </row>
    <row r="20145" spans="1:9" ht="16.5">
      <c r="A20145" s="10" t="b">
        <v>0</v>
      </c>
      <c r="B20145" s="11" t="str">
        <f>IF(D20145&lt;&gt;"",IF(COUNTIF('USPTO TMs'!A:A,D20145)&gt;0,"Yes","No"),"")</f>
        <v/>
      </c>
      <c r="C20145" s="11"/>
      <c r="D20145" s="11"/>
      <c r="E20145" s="11"/>
      <c r="F20145" s="11"/>
      <c r="G20145" s="11"/>
      <c r="H20145" s="11"/>
      <c r="I20145" s="15"/>
    </row>
    <row r="20146" spans="1:9" ht="16.5">
      <c r="A20146" s="10" t="b">
        <v>0</v>
      </c>
      <c r="B20146" s="11" t="str">
        <f>IF(D20146&lt;&gt;"",IF(COUNTIF('USPTO TMs'!A:A,D20146)&gt;0,"Yes","No"),"")</f>
        <v/>
      </c>
      <c r="C20146" s="11"/>
      <c r="D20146" s="11"/>
      <c r="E20146" s="11"/>
      <c r="F20146" s="11"/>
      <c r="G20146" s="11"/>
      <c r="H20146" s="11"/>
      <c r="I20146" s="15"/>
    </row>
    <row r="20147" spans="1:9" ht="16.5">
      <c r="A20147" s="10" t="b">
        <v>0</v>
      </c>
      <c r="B20147" s="11" t="str">
        <f>IF(D20147&lt;&gt;"",IF(COUNTIF('USPTO TMs'!A:A,D20147)&gt;0,"Yes","No"),"")</f>
        <v/>
      </c>
      <c r="C20147" s="11"/>
      <c r="D20147" s="11"/>
      <c r="E20147" s="11"/>
      <c r="F20147" s="11"/>
      <c r="G20147" s="11"/>
      <c r="H20147" s="11"/>
      <c r="I20147" s="15"/>
    </row>
    <row r="20148" spans="1:9" ht="16.5">
      <c r="A20148" s="10" t="b">
        <v>0</v>
      </c>
      <c r="B20148" s="11" t="str">
        <f>IF(D20148&lt;&gt;"",IF(COUNTIF('USPTO TMs'!A:A,D20148)&gt;0,"Yes","No"),"")</f>
        <v/>
      </c>
      <c r="C20148" s="11"/>
      <c r="D20148" s="11"/>
      <c r="E20148" s="11"/>
      <c r="F20148" s="11"/>
      <c r="G20148" s="11"/>
      <c r="H20148" s="11"/>
      <c r="I20148" s="15"/>
    </row>
    <row r="20149" spans="1:9" ht="16.5">
      <c r="A20149" s="10" t="b">
        <v>0</v>
      </c>
      <c r="B20149" s="11" t="str">
        <f>IF(D20149&lt;&gt;"",IF(COUNTIF('USPTO TMs'!A:A,D20149)&gt;0,"Yes","No"),"")</f>
        <v/>
      </c>
      <c r="C20149" s="11"/>
      <c r="D20149" s="11"/>
      <c r="E20149" s="11"/>
      <c r="F20149" s="11"/>
      <c r="G20149" s="11"/>
      <c r="H20149" s="11"/>
      <c r="I20149" s="15"/>
    </row>
    <row r="20150" spans="1:9" ht="16.5">
      <c r="A20150" s="10" t="b">
        <v>0</v>
      </c>
      <c r="B20150" s="11" t="str">
        <f>IF(D20150&lt;&gt;"",IF(COUNTIF('USPTO TMs'!A:A,D20150)&gt;0,"Yes","No"),"")</f>
        <v/>
      </c>
      <c r="C20150" s="11"/>
      <c r="D20150" s="11"/>
      <c r="E20150" s="11"/>
      <c r="F20150" s="11"/>
      <c r="G20150" s="11"/>
      <c r="H20150" s="11"/>
      <c r="I20150" s="15"/>
    </row>
    <row r="20151" spans="1:9" ht="16.5">
      <c r="A20151" s="10" t="b">
        <v>0</v>
      </c>
      <c r="B20151" s="11" t="str">
        <f>IF(D20151&lt;&gt;"",IF(COUNTIF('USPTO TMs'!A:A,D20151)&gt;0,"Yes","No"),"")</f>
        <v/>
      </c>
      <c r="C20151" s="11"/>
      <c r="D20151" s="11"/>
      <c r="E20151" s="11"/>
      <c r="F20151" s="11"/>
      <c r="G20151" s="11"/>
      <c r="H20151" s="11"/>
      <c r="I20151" s="15"/>
    </row>
    <row r="20152" spans="1:9" ht="16.5">
      <c r="A20152" s="10" t="b">
        <v>0</v>
      </c>
      <c r="B20152" s="11" t="str">
        <f>IF(D20152&lt;&gt;"",IF(COUNTIF('USPTO TMs'!A:A,D20152)&gt;0,"Yes","No"),"")</f>
        <v/>
      </c>
      <c r="C20152" s="11"/>
      <c r="D20152" s="11"/>
      <c r="E20152" s="11"/>
      <c r="F20152" s="11"/>
      <c r="G20152" s="11"/>
      <c r="H20152" s="11"/>
      <c r="I20152" s="15"/>
    </row>
    <row r="20153" spans="1:9" ht="16.5">
      <c r="A20153" s="10" t="b">
        <v>0</v>
      </c>
      <c r="B20153" s="11" t="str">
        <f>IF(D20153&lt;&gt;"",IF(COUNTIF('USPTO TMs'!A:A,D20153)&gt;0,"Yes","No"),"")</f>
        <v/>
      </c>
      <c r="C20153" s="11"/>
      <c r="D20153" s="11"/>
      <c r="E20153" s="11"/>
      <c r="F20153" s="11"/>
      <c r="G20153" s="11"/>
      <c r="H20153" s="11"/>
      <c r="I20153" s="15"/>
    </row>
    <row r="20154" spans="1:9" ht="16.5">
      <c r="A20154" s="10" t="b">
        <v>0</v>
      </c>
      <c r="B20154" s="11" t="str">
        <f>IF(D20154&lt;&gt;"",IF(COUNTIF('USPTO TMs'!A:A,D20154)&gt;0,"Yes","No"),"")</f>
        <v/>
      </c>
      <c r="C20154" s="11"/>
      <c r="D20154" s="11"/>
      <c r="E20154" s="11"/>
      <c r="F20154" s="11"/>
      <c r="G20154" s="11"/>
      <c r="H20154" s="11"/>
      <c r="I20154" s="15"/>
    </row>
    <row r="20155" spans="1:9" ht="16.5">
      <c r="A20155" s="10" t="b">
        <v>0</v>
      </c>
      <c r="B20155" s="11" t="str">
        <f>IF(D20155&lt;&gt;"",IF(COUNTIF('USPTO TMs'!A:A,D20155)&gt;0,"Yes","No"),"")</f>
        <v/>
      </c>
      <c r="C20155" s="11"/>
      <c r="D20155" s="11"/>
      <c r="E20155" s="11"/>
      <c r="F20155" s="11"/>
      <c r="G20155" s="11"/>
      <c r="H20155" s="11"/>
      <c r="I20155" s="15"/>
    </row>
    <row r="20156" spans="1:9" ht="16.5">
      <c r="A20156" s="10" t="b">
        <v>0</v>
      </c>
      <c r="B20156" s="11" t="str">
        <f>IF(D20156&lt;&gt;"",IF(COUNTIF('USPTO TMs'!A:A,D20156)&gt;0,"Yes","No"),"")</f>
        <v/>
      </c>
      <c r="C20156" s="11"/>
      <c r="D20156" s="11"/>
      <c r="E20156" s="11"/>
      <c r="F20156" s="11"/>
      <c r="G20156" s="11"/>
      <c r="H20156" s="11"/>
      <c r="I20156" s="15"/>
    </row>
    <row r="20157" spans="1:9" ht="16.5">
      <c r="A20157" s="10" t="b">
        <v>0</v>
      </c>
      <c r="B20157" s="11" t="str">
        <f>IF(D20157&lt;&gt;"",IF(COUNTIF('USPTO TMs'!A:A,D20157)&gt;0,"Yes","No"),"")</f>
        <v/>
      </c>
      <c r="C20157" s="11"/>
      <c r="D20157" s="11"/>
      <c r="E20157" s="11"/>
      <c r="F20157" s="11"/>
      <c r="G20157" s="11"/>
      <c r="H20157" s="11"/>
      <c r="I20157" s="15"/>
    </row>
    <row r="20158" spans="1:9" ht="16.5">
      <c r="A20158" s="10" t="b">
        <v>0</v>
      </c>
      <c r="B20158" s="11" t="str">
        <f>IF(D20158&lt;&gt;"",IF(COUNTIF('USPTO TMs'!A:A,D20158)&gt;0,"Yes","No"),"")</f>
        <v/>
      </c>
      <c r="C20158" s="11"/>
      <c r="D20158" s="11"/>
      <c r="E20158" s="11"/>
      <c r="F20158" s="11"/>
      <c r="G20158" s="11"/>
      <c r="H20158" s="11"/>
      <c r="I20158" s="15"/>
    </row>
    <row r="20159" spans="1:9" ht="16.5">
      <c r="A20159" s="10" t="b">
        <v>0</v>
      </c>
      <c r="B20159" s="11" t="str">
        <f>IF(D20159&lt;&gt;"",IF(COUNTIF('USPTO TMs'!A:A,D20159)&gt;0,"Yes","No"),"")</f>
        <v/>
      </c>
      <c r="C20159" s="11"/>
      <c r="D20159" s="11"/>
      <c r="E20159" s="11"/>
      <c r="F20159" s="11"/>
      <c r="G20159" s="11"/>
      <c r="H20159" s="11"/>
      <c r="I20159" s="15"/>
    </row>
    <row r="20160" spans="1:9" ht="16.5">
      <c r="A20160" s="10" t="b">
        <v>0</v>
      </c>
      <c r="B20160" s="11" t="str">
        <f>IF(D20160&lt;&gt;"",IF(COUNTIF('USPTO TMs'!A:A,D20160)&gt;0,"Yes","No"),"")</f>
        <v/>
      </c>
      <c r="C20160" s="11"/>
      <c r="D20160" s="11"/>
      <c r="E20160" s="11"/>
      <c r="F20160" s="11"/>
      <c r="G20160" s="11"/>
      <c r="H20160" s="11"/>
      <c r="I20160" s="15"/>
    </row>
    <row r="20161" spans="1:9" ht="16.5">
      <c r="A20161" s="10" t="b">
        <v>0</v>
      </c>
      <c r="B20161" s="11" t="str">
        <f>IF(D20161&lt;&gt;"",IF(COUNTIF('USPTO TMs'!A:A,D20161)&gt;0,"Yes","No"),"")</f>
        <v/>
      </c>
      <c r="C20161" s="11"/>
      <c r="D20161" s="11"/>
      <c r="E20161" s="11"/>
      <c r="F20161" s="11"/>
      <c r="G20161" s="11"/>
      <c r="H20161" s="11"/>
      <c r="I20161" s="15"/>
    </row>
    <row r="20162" spans="1:9" ht="16.5">
      <c r="A20162" s="10" t="b">
        <v>0</v>
      </c>
      <c r="B20162" s="11" t="str">
        <f>IF(D20162&lt;&gt;"",IF(COUNTIF('USPTO TMs'!A:A,D20162)&gt;0,"Yes","No"),"")</f>
        <v/>
      </c>
      <c r="C20162" s="11"/>
      <c r="D20162" s="11"/>
      <c r="E20162" s="11"/>
      <c r="F20162" s="11"/>
      <c r="G20162" s="11"/>
      <c r="H20162" s="11"/>
      <c r="I20162" s="15"/>
    </row>
    <row r="20163" spans="1:9" ht="16.5">
      <c r="A20163" s="10" t="b">
        <v>0</v>
      </c>
      <c r="B20163" s="11" t="str">
        <f>IF(D20163&lt;&gt;"",IF(COUNTIF('USPTO TMs'!A:A,D20163)&gt;0,"Yes","No"),"")</f>
        <v/>
      </c>
      <c r="C20163" s="11"/>
      <c r="D20163" s="11"/>
      <c r="E20163" s="11"/>
      <c r="F20163" s="11"/>
      <c r="G20163" s="11"/>
      <c r="H20163" s="11"/>
      <c r="I20163" s="15"/>
    </row>
    <row r="20164" spans="1:9" ht="16.5">
      <c r="A20164" s="10" t="b">
        <v>0</v>
      </c>
      <c r="B20164" s="11" t="str">
        <f>IF(D20164&lt;&gt;"",IF(COUNTIF('USPTO TMs'!A:A,D20164)&gt;0,"Yes","No"),"")</f>
        <v/>
      </c>
      <c r="C20164" s="11"/>
      <c r="D20164" s="11"/>
      <c r="E20164" s="11"/>
      <c r="F20164" s="11"/>
      <c r="G20164" s="11"/>
      <c r="H20164" s="11"/>
      <c r="I20164" s="15"/>
    </row>
    <row r="20165" spans="1:9" ht="16.5">
      <c r="A20165" s="10" t="b">
        <v>0</v>
      </c>
      <c r="B20165" s="11" t="str">
        <f>IF(D20165&lt;&gt;"",IF(COUNTIF('USPTO TMs'!A:A,D20165)&gt;0,"Yes","No"),"")</f>
        <v/>
      </c>
      <c r="C20165" s="11"/>
      <c r="D20165" s="11"/>
      <c r="E20165" s="11"/>
      <c r="F20165" s="11"/>
      <c r="G20165" s="11"/>
      <c r="H20165" s="11"/>
      <c r="I20165" s="15"/>
    </row>
    <row r="20166" spans="1:9" ht="16.5">
      <c r="A20166" s="10" t="b">
        <v>0</v>
      </c>
      <c r="B20166" s="11" t="str">
        <f>IF(D20166&lt;&gt;"",IF(COUNTIF('USPTO TMs'!A:A,D20166)&gt;0,"Yes","No"),"")</f>
        <v/>
      </c>
      <c r="C20166" s="11"/>
      <c r="D20166" s="11"/>
      <c r="E20166" s="11"/>
      <c r="F20166" s="11"/>
      <c r="G20166" s="11"/>
      <c r="H20166" s="11"/>
      <c r="I20166" s="15"/>
    </row>
    <row r="20167" spans="1:9" ht="16.5">
      <c r="A20167" s="10" t="b">
        <v>0</v>
      </c>
      <c r="B20167" s="11" t="str">
        <f>IF(D20167&lt;&gt;"",IF(COUNTIF('USPTO TMs'!A:A,D20167)&gt;0,"Yes","No"),"")</f>
        <v/>
      </c>
      <c r="C20167" s="11"/>
      <c r="D20167" s="11"/>
      <c r="E20167" s="11"/>
      <c r="F20167" s="11"/>
      <c r="G20167" s="11"/>
      <c r="H20167" s="11"/>
      <c r="I20167" s="15"/>
    </row>
    <row r="20168" spans="1:9" ht="16.5">
      <c r="A20168" s="10" t="b">
        <v>0</v>
      </c>
      <c r="B20168" s="11" t="str">
        <f>IF(D20168&lt;&gt;"",IF(COUNTIF('USPTO TMs'!A:A,D20168)&gt;0,"Yes","No"),"")</f>
        <v/>
      </c>
      <c r="C20168" s="11"/>
      <c r="D20168" s="11"/>
      <c r="E20168" s="11"/>
      <c r="F20168" s="11"/>
      <c r="G20168" s="11"/>
      <c r="H20168" s="11"/>
      <c r="I20168" s="15"/>
    </row>
    <row r="20169" spans="1:9" ht="16.5">
      <c r="A20169" s="10" t="b">
        <v>0</v>
      </c>
      <c r="B20169" s="11" t="str">
        <f>IF(D20169&lt;&gt;"",IF(COUNTIF('USPTO TMs'!A:A,D20169)&gt;0,"Yes","No"),"")</f>
        <v/>
      </c>
      <c r="C20169" s="11"/>
      <c r="D20169" s="11"/>
      <c r="E20169" s="11"/>
      <c r="F20169" s="11"/>
      <c r="G20169" s="11"/>
      <c r="H20169" s="11"/>
      <c r="I20169" s="15"/>
    </row>
    <row r="20170" spans="1:9" ht="16.5">
      <c r="A20170" s="10" t="b">
        <v>0</v>
      </c>
      <c r="B20170" s="11" t="str">
        <f>IF(D20170&lt;&gt;"",IF(COUNTIF('USPTO TMs'!A:A,D20170)&gt;0,"Yes","No"),"")</f>
        <v/>
      </c>
      <c r="C20170" s="11"/>
      <c r="D20170" s="11"/>
      <c r="E20170" s="11"/>
      <c r="F20170" s="11"/>
      <c r="G20170" s="11"/>
      <c r="H20170" s="11"/>
      <c r="I20170" s="15"/>
    </row>
    <row r="20171" spans="1:9" ht="16.5">
      <c r="A20171" s="10" t="b">
        <v>0</v>
      </c>
      <c r="B20171" s="11" t="str">
        <f>IF(D20171&lt;&gt;"",IF(COUNTIF('USPTO TMs'!A:A,D20171)&gt;0,"Yes","No"),"")</f>
        <v/>
      </c>
      <c r="C20171" s="11"/>
      <c r="D20171" s="11"/>
      <c r="E20171" s="11"/>
      <c r="F20171" s="11"/>
      <c r="G20171" s="11"/>
      <c r="H20171" s="11"/>
      <c r="I20171" s="15"/>
    </row>
    <row r="20172" spans="1:9" ht="16.5">
      <c r="A20172" s="10" t="b">
        <v>0</v>
      </c>
      <c r="B20172" s="11" t="str">
        <f>IF(D20172&lt;&gt;"",IF(COUNTIF('USPTO TMs'!A:A,D20172)&gt;0,"Yes","No"),"")</f>
        <v/>
      </c>
      <c r="C20172" s="11"/>
      <c r="D20172" s="11"/>
      <c r="E20172" s="11"/>
      <c r="F20172" s="11"/>
      <c r="G20172" s="11"/>
      <c r="H20172" s="11"/>
      <c r="I20172" s="15"/>
    </row>
    <row r="20173" spans="1:9" ht="16.5">
      <c r="A20173" s="10" t="b">
        <v>0</v>
      </c>
      <c r="B20173" s="11" t="str">
        <f>IF(D20173&lt;&gt;"",IF(COUNTIF('USPTO TMs'!A:A,D20173)&gt;0,"Yes","No"),"")</f>
        <v/>
      </c>
      <c r="C20173" s="11"/>
      <c r="D20173" s="11"/>
      <c r="E20173" s="11"/>
      <c r="F20173" s="11"/>
      <c r="G20173" s="11"/>
      <c r="H20173" s="11"/>
      <c r="I20173" s="15"/>
    </row>
    <row r="20174" spans="1:9" ht="16.5">
      <c r="A20174" s="10" t="b">
        <v>0</v>
      </c>
      <c r="B20174" s="11" t="str">
        <f>IF(D20174&lt;&gt;"",IF(COUNTIF('USPTO TMs'!A:A,D20174)&gt;0,"Yes","No"),"")</f>
        <v/>
      </c>
      <c r="C20174" s="11"/>
      <c r="D20174" s="11"/>
      <c r="E20174" s="11"/>
      <c r="F20174" s="11"/>
      <c r="G20174" s="11"/>
      <c r="H20174" s="11"/>
      <c r="I20174" s="15"/>
    </row>
    <row r="20175" spans="1:9" ht="16.5">
      <c r="A20175" s="10" t="b">
        <v>0</v>
      </c>
      <c r="B20175" s="11" t="str">
        <f>IF(D20175&lt;&gt;"",IF(COUNTIF('USPTO TMs'!A:A,D20175)&gt;0,"Yes","No"),"")</f>
        <v/>
      </c>
      <c r="C20175" s="11"/>
      <c r="D20175" s="11"/>
      <c r="E20175" s="11"/>
      <c r="F20175" s="11"/>
      <c r="G20175" s="11"/>
      <c r="H20175" s="11"/>
      <c r="I20175" s="15"/>
    </row>
    <row r="20176" spans="1:9" ht="16.5">
      <c r="A20176" s="10" t="b">
        <v>0</v>
      </c>
      <c r="B20176" s="11" t="str">
        <f>IF(D20176&lt;&gt;"",IF(COUNTIF('USPTO TMs'!A:A,D20176)&gt;0,"Yes","No"),"")</f>
        <v/>
      </c>
      <c r="C20176" s="11"/>
      <c r="D20176" s="11"/>
      <c r="E20176" s="11"/>
      <c r="F20176" s="11"/>
      <c r="G20176" s="11"/>
      <c r="H20176" s="11"/>
      <c r="I20176" s="15"/>
    </row>
    <row r="20177" spans="1:9" ht="16.5">
      <c r="A20177" s="10" t="b">
        <v>0</v>
      </c>
      <c r="B20177" s="11" t="str">
        <f>IF(D20177&lt;&gt;"",IF(COUNTIF('USPTO TMs'!A:A,D20177)&gt;0,"Yes","No"),"")</f>
        <v/>
      </c>
      <c r="C20177" s="11"/>
      <c r="D20177" s="11"/>
      <c r="E20177" s="11"/>
      <c r="F20177" s="11"/>
      <c r="G20177" s="11"/>
      <c r="H20177" s="11"/>
      <c r="I20177" s="15"/>
    </row>
    <row r="20178" spans="1:9" ht="16.5">
      <c r="A20178" s="10" t="b">
        <v>0</v>
      </c>
      <c r="B20178" s="11" t="str">
        <f>IF(D20178&lt;&gt;"",IF(COUNTIF('USPTO TMs'!A:A,D20178)&gt;0,"Yes","No"),"")</f>
        <v/>
      </c>
      <c r="C20178" s="11"/>
      <c r="D20178" s="11"/>
      <c r="E20178" s="11"/>
      <c r="F20178" s="11"/>
      <c r="G20178" s="11"/>
      <c r="H20178" s="11"/>
      <c r="I20178" s="15"/>
    </row>
    <row r="20179" spans="1:9" ht="16.5">
      <c r="A20179" s="10" t="b">
        <v>0</v>
      </c>
      <c r="B20179" s="11" t="str">
        <f>IF(D20179&lt;&gt;"",IF(COUNTIF('USPTO TMs'!A:A,D20179)&gt;0,"Yes","No"),"")</f>
        <v/>
      </c>
      <c r="C20179" s="11"/>
      <c r="D20179" s="11"/>
      <c r="E20179" s="11"/>
      <c r="F20179" s="11"/>
      <c r="G20179" s="11"/>
      <c r="H20179" s="11"/>
      <c r="I20179" s="15"/>
    </row>
    <row r="20180" spans="1:9" ht="16.5">
      <c r="A20180" s="10" t="b">
        <v>0</v>
      </c>
      <c r="B20180" s="11" t="str">
        <f>IF(D20180&lt;&gt;"",IF(COUNTIF('USPTO TMs'!A:A,D20180)&gt;0,"Yes","No"),"")</f>
        <v/>
      </c>
      <c r="C20180" s="11"/>
      <c r="D20180" s="11"/>
      <c r="E20180" s="11"/>
      <c r="F20180" s="11"/>
      <c r="G20180" s="11"/>
      <c r="H20180" s="11"/>
      <c r="I20180" s="15"/>
    </row>
    <row r="20181" spans="1:9" ht="16.5">
      <c r="A20181" s="10" t="b">
        <v>0</v>
      </c>
      <c r="B20181" s="11" t="str">
        <f>IF(D20181&lt;&gt;"",IF(COUNTIF('USPTO TMs'!A:A,D20181)&gt;0,"Yes","No"),"")</f>
        <v/>
      </c>
      <c r="C20181" s="11"/>
      <c r="D20181" s="11"/>
      <c r="E20181" s="11"/>
      <c r="F20181" s="11"/>
      <c r="G20181" s="11"/>
      <c r="H20181" s="11"/>
      <c r="I20181" s="15"/>
    </row>
    <row r="20182" spans="1:9" ht="16.5">
      <c r="A20182" s="10" t="b">
        <v>0</v>
      </c>
      <c r="B20182" s="11" t="str">
        <f>IF(D20182&lt;&gt;"",IF(COUNTIF('USPTO TMs'!A:A,D20182)&gt;0,"Yes","No"),"")</f>
        <v/>
      </c>
      <c r="C20182" s="11"/>
      <c r="D20182" s="11"/>
      <c r="E20182" s="11"/>
      <c r="F20182" s="11"/>
      <c r="G20182" s="11"/>
      <c r="H20182" s="11"/>
      <c r="I20182" s="15"/>
    </row>
    <row r="20183" spans="1:9" ht="16.5">
      <c r="A20183" s="10" t="b">
        <v>0</v>
      </c>
      <c r="B20183" s="11" t="str">
        <f>IF(D20183&lt;&gt;"",IF(COUNTIF('USPTO TMs'!A:A,D20183)&gt;0,"Yes","No"),"")</f>
        <v/>
      </c>
      <c r="C20183" s="11"/>
      <c r="D20183" s="11"/>
      <c r="E20183" s="11"/>
      <c r="F20183" s="11"/>
      <c r="G20183" s="11"/>
      <c r="H20183" s="11"/>
      <c r="I20183" s="15"/>
    </row>
    <row r="20184" spans="1:9" ht="16.5">
      <c r="A20184" s="10" t="b">
        <v>0</v>
      </c>
      <c r="B20184" s="11" t="str">
        <f>IF(D20184&lt;&gt;"",IF(COUNTIF('USPTO TMs'!A:A,D20184)&gt;0,"Yes","No"),"")</f>
        <v/>
      </c>
      <c r="C20184" s="11"/>
      <c r="D20184" s="11"/>
      <c r="E20184" s="11"/>
      <c r="F20184" s="11"/>
      <c r="G20184" s="11"/>
      <c r="H20184" s="11"/>
      <c r="I20184" s="15"/>
    </row>
    <row r="20185" spans="1:9" ht="16.5">
      <c r="A20185" s="10" t="b">
        <v>0</v>
      </c>
      <c r="B20185" s="11" t="str">
        <f>IF(D20185&lt;&gt;"",IF(COUNTIF('USPTO TMs'!A:A,D20185)&gt;0,"Yes","No"),"")</f>
        <v/>
      </c>
      <c r="C20185" s="11"/>
      <c r="D20185" s="11"/>
      <c r="E20185" s="11"/>
      <c r="F20185" s="11"/>
      <c r="G20185" s="11"/>
      <c r="H20185" s="11"/>
      <c r="I20185" s="15"/>
    </row>
    <row r="20186" spans="1:9" ht="16.5">
      <c r="A20186" s="10" t="b">
        <v>0</v>
      </c>
      <c r="B20186" s="11" t="str">
        <f>IF(D20186&lt;&gt;"",IF(COUNTIF('USPTO TMs'!A:A,D20186)&gt;0,"Yes","No"),"")</f>
        <v/>
      </c>
      <c r="C20186" s="11"/>
      <c r="D20186" s="11"/>
      <c r="E20186" s="11"/>
      <c r="F20186" s="11"/>
      <c r="G20186" s="11"/>
      <c r="H20186" s="11"/>
      <c r="I20186" s="15"/>
    </row>
    <row r="20187" spans="1:9" ht="16.5">
      <c r="A20187" s="10" t="b">
        <v>0</v>
      </c>
      <c r="B20187" s="11" t="str">
        <f>IF(D20187&lt;&gt;"",IF(COUNTIF('USPTO TMs'!A:A,D20187)&gt;0,"Yes","No"),"")</f>
        <v/>
      </c>
      <c r="C20187" s="11"/>
      <c r="D20187" s="11"/>
      <c r="E20187" s="11"/>
      <c r="F20187" s="11"/>
      <c r="G20187" s="11"/>
      <c r="H20187" s="11"/>
      <c r="I20187" s="15"/>
    </row>
    <row r="20188" spans="1:9" ht="16.5">
      <c r="A20188" s="10" t="b">
        <v>0</v>
      </c>
      <c r="B20188" s="11" t="str">
        <f>IF(D20188&lt;&gt;"",IF(COUNTIF('USPTO TMs'!A:A,D20188)&gt;0,"Yes","No"),"")</f>
        <v/>
      </c>
      <c r="C20188" s="11"/>
      <c r="D20188" s="11"/>
      <c r="E20188" s="11"/>
      <c r="F20188" s="11"/>
      <c r="G20188" s="11"/>
      <c r="H20188" s="11"/>
      <c r="I20188" s="15"/>
    </row>
    <row r="20189" spans="1:9" ht="16.5">
      <c r="A20189" s="10" t="b">
        <v>0</v>
      </c>
      <c r="B20189" s="11" t="str">
        <f>IF(D20189&lt;&gt;"",IF(COUNTIF('USPTO TMs'!A:A,D20189)&gt;0,"Yes","No"),"")</f>
        <v/>
      </c>
      <c r="C20189" s="11"/>
      <c r="D20189" s="11"/>
      <c r="E20189" s="11"/>
      <c r="F20189" s="11"/>
      <c r="G20189" s="11"/>
      <c r="H20189" s="11"/>
      <c r="I20189" s="15"/>
    </row>
    <row r="20190" spans="1:9" ht="16.5">
      <c r="A20190" s="10" t="b">
        <v>0</v>
      </c>
      <c r="B20190" s="11" t="str">
        <f>IF(D20190&lt;&gt;"",IF(COUNTIF('USPTO TMs'!A:A,D20190)&gt;0,"Yes","No"),"")</f>
        <v/>
      </c>
      <c r="C20190" s="11"/>
      <c r="D20190" s="11"/>
      <c r="E20190" s="11"/>
      <c r="F20190" s="11"/>
      <c r="G20190" s="11"/>
      <c r="H20190" s="11"/>
      <c r="I20190" s="15"/>
    </row>
    <row r="20191" spans="1:9" ht="16.5">
      <c r="A20191" s="10" t="b">
        <v>0</v>
      </c>
      <c r="B20191" s="11" t="str">
        <f>IF(D20191&lt;&gt;"",IF(COUNTIF('USPTO TMs'!A:A,D20191)&gt;0,"Yes","No"),"")</f>
        <v/>
      </c>
      <c r="C20191" s="11"/>
      <c r="D20191" s="11"/>
      <c r="E20191" s="11"/>
      <c r="F20191" s="11"/>
      <c r="G20191" s="11"/>
      <c r="H20191" s="11"/>
      <c r="I20191" s="15"/>
    </row>
    <row r="20192" spans="1:9" ht="16.5">
      <c r="A20192" s="10" t="b">
        <v>0</v>
      </c>
      <c r="B20192" s="11" t="str">
        <f>IF(D20192&lt;&gt;"",IF(COUNTIF('USPTO TMs'!A:A,D20192)&gt;0,"Yes","No"),"")</f>
        <v/>
      </c>
      <c r="C20192" s="11"/>
      <c r="D20192" s="11"/>
      <c r="E20192" s="11"/>
      <c r="F20192" s="11"/>
      <c r="G20192" s="11"/>
      <c r="H20192" s="11"/>
      <c r="I20192" s="15"/>
    </row>
    <row r="20193" spans="1:9" ht="16.5">
      <c r="A20193" s="10" t="b">
        <v>0</v>
      </c>
      <c r="B20193" s="11" t="str">
        <f>IF(D20193&lt;&gt;"",IF(COUNTIF('USPTO TMs'!A:A,D20193)&gt;0,"Yes","No"),"")</f>
        <v/>
      </c>
      <c r="C20193" s="11"/>
      <c r="D20193" s="11"/>
      <c r="E20193" s="11"/>
      <c r="F20193" s="11"/>
      <c r="G20193" s="11"/>
      <c r="H20193" s="11"/>
      <c r="I20193" s="15"/>
    </row>
    <row r="20194" spans="1:9" ht="16.5">
      <c r="A20194" s="10" t="b">
        <v>0</v>
      </c>
      <c r="B20194" s="11" t="str">
        <f>IF(D20194&lt;&gt;"",IF(COUNTIF('USPTO TMs'!A:A,D20194)&gt;0,"Yes","No"),"")</f>
        <v/>
      </c>
      <c r="C20194" s="11"/>
      <c r="D20194" s="11"/>
      <c r="E20194" s="11"/>
      <c r="F20194" s="11"/>
      <c r="G20194" s="11"/>
      <c r="H20194" s="11"/>
      <c r="I20194" s="15"/>
    </row>
    <row r="20195" spans="1:9" ht="16.5">
      <c r="A20195" s="10" t="b">
        <v>0</v>
      </c>
      <c r="B20195" s="11" t="str">
        <f>IF(D20195&lt;&gt;"",IF(COUNTIF('USPTO TMs'!A:A,D20195)&gt;0,"Yes","No"),"")</f>
        <v/>
      </c>
      <c r="C20195" s="11"/>
      <c r="D20195" s="11"/>
      <c r="E20195" s="11"/>
      <c r="F20195" s="11"/>
      <c r="G20195" s="11"/>
      <c r="H20195" s="11"/>
      <c r="I20195" s="15"/>
    </row>
    <row r="20196" spans="1:9" ht="16.5">
      <c r="A20196" s="10" t="b">
        <v>0</v>
      </c>
      <c r="B20196" s="11" t="str">
        <f>IF(D20196&lt;&gt;"",IF(COUNTIF('USPTO TMs'!A:A,D20196)&gt;0,"Yes","No"),"")</f>
        <v/>
      </c>
      <c r="C20196" s="11"/>
      <c r="D20196" s="11"/>
      <c r="E20196" s="11"/>
      <c r="F20196" s="11"/>
      <c r="G20196" s="11"/>
      <c r="H20196" s="11"/>
      <c r="I20196" s="15"/>
    </row>
    <row r="20197" spans="1:9" ht="16.5">
      <c r="A20197" s="10" t="b">
        <v>0</v>
      </c>
      <c r="B20197" s="11" t="str">
        <f>IF(D20197&lt;&gt;"",IF(COUNTIF('USPTO TMs'!A:A,D20197)&gt;0,"Yes","No"),"")</f>
        <v/>
      </c>
      <c r="C20197" s="11"/>
      <c r="D20197" s="11"/>
      <c r="E20197" s="11"/>
      <c r="F20197" s="11"/>
      <c r="G20197" s="11"/>
      <c r="H20197" s="11"/>
      <c r="I20197" s="15"/>
    </row>
    <row r="20198" spans="1:9" ht="16.5">
      <c r="A20198" s="10" t="b">
        <v>0</v>
      </c>
      <c r="B20198" s="11" t="str">
        <f>IF(D20198&lt;&gt;"",IF(COUNTIF('USPTO TMs'!A:A,D20198)&gt;0,"Yes","No"),"")</f>
        <v/>
      </c>
      <c r="C20198" s="11"/>
      <c r="D20198" s="11"/>
      <c r="E20198" s="11"/>
      <c r="F20198" s="11"/>
      <c r="G20198" s="11"/>
      <c r="H20198" s="11"/>
      <c r="I20198" s="15"/>
    </row>
    <row r="20199" spans="1:9" ht="16.5">
      <c r="A20199" s="10" t="b">
        <v>0</v>
      </c>
      <c r="B20199" s="11" t="str">
        <f>IF(D20199&lt;&gt;"",IF(COUNTIF('USPTO TMs'!A:A,D20199)&gt;0,"Yes","No"),"")</f>
        <v/>
      </c>
      <c r="C20199" s="11"/>
      <c r="D20199" s="11"/>
      <c r="E20199" s="11"/>
      <c r="F20199" s="11"/>
      <c r="G20199" s="11"/>
      <c r="H20199" s="11"/>
      <c r="I20199" s="15"/>
    </row>
    <row r="20200" spans="1:9" ht="16.5">
      <c r="A20200" s="10" t="b">
        <v>0</v>
      </c>
      <c r="B20200" s="11" t="str">
        <f>IF(D20200&lt;&gt;"",IF(COUNTIF('USPTO TMs'!A:A,D20200)&gt;0,"Yes","No"),"")</f>
        <v/>
      </c>
      <c r="C20200" s="11"/>
      <c r="D20200" s="11"/>
      <c r="E20200" s="11"/>
      <c r="F20200" s="11"/>
      <c r="G20200" s="11"/>
      <c r="H20200" s="11"/>
      <c r="I20200" s="15"/>
    </row>
    <row r="20201" spans="1:9" ht="16.5">
      <c r="A20201" s="10" t="b">
        <v>0</v>
      </c>
      <c r="B20201" s="11" t="str">
        <f>IF(D20201&lt;&gt;"",IF(COUNTIF('USPTO TMs'!A:A,D20201)&gt;0,"Yes","No"),"")</f>
        <v/>
      </c>
      <c r="C20201" s="11"/>
      <c r="D20201" s="11"/>
      <c r="E20201" s="11"/>
      <c r="F20201" s="11"/>
      <c r="G20201" s="11"/>
      <c r="H20201" s="11"/>
      <c r="I20201" s="15"/>
    </row>
    <row r="20202" spans="1:9" ht="16.5">
      <c r="A20202" s="10" t="b">
        <v>0</v>
      </c>
      <c r="B20202" s="11" t="str">
        <f>IF(D20202&lt;&gt;"",IF(COUNTIF('USPTO TMs'!A:A,D20202)&gt;0,"Yes","No"),"")</f>
        <v/>
      </c>
      <c r="C20202" s="11"/>
      <c r="D20202" s="11"/>
      <c r="E20202" s="11"/>
      <c r="F20202" s="11"/>
      <c r="G20202" s="11"/>
      <c r="H20202" s="11"/>
      <c r="I20202" s="15"/>
    </row>
    <row r="20203" spans="1:9" ht="16.5">
      <c r="A20203" s="10" t="b">
        <v>0</v>
      </c>
      <c r="B20203" s="11" t="str">
        <f>IF(D20203&lt;&gt;"",IF(COUNTIF('USPTO TMs'!A:A,D20203)&gt;0,"Yes","No"),"")</f>
        <v/>
      </c>
      <c r="C20203" s="11"/>
      <c r="D20203" s="11"/>
      <c r="E20203" s="11"/>
      <c r="F20203" s="11"/>
      <c r="G20203" s="11"/>
      <c r="H20203" s="11"/>
      <c r="I20203" s="15"/>
    </row>
    <row r="20204" spans="1:9" ht="16.5">
      <c r="A20204" s="10" t="b">
        <v>0</v>
      </c>
      <c r="B20204" s="11" t="str">
        <f>IF(D20204&lt;&gt;"",IF(COUNTIF('USPTO TMs'!A:A,D20204)&gt;0,"Yes","No"),"")</f>
        <v/>
      </c>
      <c r="C20204" s="11"/>
      <c r="D20204" s="11"/>
      <c r="E20204" s="11"/>
      <c r="F20204" s="11"/>
      <c r="G20204" s="11"/>
      <c r="H20204" s="11"/>
      <c r="I20204" s="15"/>
    </row>
    <row r="20205" spans="1:9" ht="16.5">
      <c r="A20205" s="10" t="b">
        <v>0</v>
      </c>
      <c r="B20205" s="11" t="str">
        <f>IF(D20205&lt;&gt;"",IF(COUNTIF('USPTO TMs'!A:A,D20205)&gt;0,"Yes","No"),"")</f>
        <v/>
      </c>
      <c r="C20205" s="11"/>
      <c r="D20205" s="11"/>
      <c r="E20205" s="11"/>
      <c r="F20205" s="11"/>
      <c r="G20205" s="11"/>
      <c r="H20205" s="11"/>
      <c r="I20205" s="15"/>
    </row>
    <row r="20206" spans="1:9" ht="16.5">
      <c r="A20206" s="10" t="b">
        <v>0</v>
      </c>
      <c r="B20206" s="11" t="str">
        <f>IF(D20206&lt;&gt;"",IF(COUNTIF('USPTO TMs'!A:A,D20206)&gt;0,"Yes","No"),"")</f>
        <v/>
      </c>
      <c r="C20206" s="11"/>
      <c r="D20206" s="11"/>
      <c r="E20206" s="11"/>
      <c r="F20206" s="11"/>
      <c r="G20206" s="11"/>
      <c r="H20206" s="11"/>
      <c r="I20206" s="15"/>
    </row>
    <row r="20207" spans="1:9" ht="16.5">
      <c r="A20207" s="10" t="b">
        <v>0</v>
      </c>
      <c r="B20207" s="11" t="str">
        <f>IF(D20207&lt;&gt;"",IF(COUNTIF('USPTO TMs'!A:A,D20207)&gt;0,"Yes","No"),"")</f>
        <v/>
      </c>
      <c r="C20207" s="11"/>
      <c r="D20207" s="11"/>
      <c r="E20207" s="11"/>
      <c r="F20207" s="11"/>
      <c r="G20207" s="11"/>
      <c r="H20207" s="11"/>
      <c r="I20207" s="15"/>
    </row>
    <row r="20208" spans="1:9" ht="16.5">
      <c r="A20208" s="10" t="b">
        <v>0</v>
      </c>
      <c r="B20208" s="11" t="str">
        <f>IF(D20208&lt;&gt;"",IF(COUNTIF('USPTO TMs'!A:A,D20208)&gt;0,"Yes","No"),"")</f>
        <v/>
      </c>
      <c r="C20208" s="11"/>
      <c r="D20208" s="11"/>
      <c r="E20208" s="11"/>
      <c r="F20208" s="11"/>
      <c r="G20208" s="11"/>
      <c r="H20208" s="11"/>
      <c r="I20208" s="15"/>
    </row>
    <row r="20209" spans="1:9" ht="16.5">
      <c r="A20209" s="10" t="b">
        <v>0</v>
      </c>
      <c r="B20209" s="11" t="str">
        <f>IF(D20209&lt;&gt;"",IF(COUNTIF('USPTO TMs'!A:A,D20209)&gt;0,"Yes","No"),"")</f>
        <v/>
      </c>
      <c r="C20209" s="11"/>
      <c r="D20209" s="11"/>
      <c r="E20209" s="11"/>
      <c r="F20209" s="11"/>
      <c r="G20209" s="11"/>
      <c r="H20209" s="11"/>
      <c r="I20209" s="15"/>
    </row>
    <row r="20210" spans="1:9" ht="16.5">
      <c r="A20210" s="10" t="b">
        <v>0</v>
      </c>
      <c r="B20210" s="11" t="str">
        <f>IF(D20210&lt;&gt;"",IF(COUNTIF('USPTO TMs'!A:A,D20210)&gt;0,"Yes","No"),"")</f>
        <v/>
      </c>
      <c r="C20210" s="11"/>
      <c r="D20210" s="11"/>
      <c r="E20210" s="11"/>
      <c r="F20210" s="11"/>
      <c r="G20210" s="11"/>
      <c r="H20210" s="11"/>
      <c r="I20210" s="15"/>
    </row>
    <row r="20211" spans="1:9" ht="16.5">
      <c r="A20211" s="10" t="b">
        <v>0</v>
      </c>
      <c r="B20211" s="11" t="str">
        <f>IF(D20211&lt;&gt;"",IF(COUNTIF('USPTO TMs'!A:A,D20211)&gt;0,"Yes","No"),"")</f>
        <v/>
      </c>
      <c r="C20211" s="11"/>
      <c r="D20211" s="11"/>
      <c r="E20211" s="11"/>
      <c r="F20211" s="11"/>
      <c r="G20211" s="11"/>
      <c r="H20211" s="11"/>
      <c r="I20211" s="15"/>
    </row>
    <row r="20212" spans="1:9" ht="16.5">
      <c r="A20212" s="10" t="b">
        <v>0</v>
      </c>
      <c r="B20212" s="11" t="str">
        <f>IF(D20212&lt;&gt;"",IF(COUNTIF('USPTO TMs'!A:A,D20212)&gt;0,"Yes","No"),"")</f>
        <v/>
      </c>
      <c r="C20212" s="11"/>
      <c r="D20212" s="11"/>
      <c r="E20212" s="11"/>
      <c r="F20212" s="11"/>
      <c r="G20212" s="11"/>
      <c r="H20212" s="11"/>
      <c r="I20212" s="15"/>
    </row>
    <row r="20213" spans="1:9" ht="16.5">
      <c r="A20213" s="10" t="b">
        <v>0</v>
      </c>
      <c r="B20213" s="11" t="str">
        <f>IF(D20213&lt;&gt;"",IF(COUNTIF('USPTO TMs'!A:A,D20213)&gt;0,"Yes","No"),"")</f>
        <v/>
      </c>
      <c r="C20213" s="11"/>
      <c r="D20213" s="11"/>
      <c r="E20213" s="11"/>
      <c r="F20213" s="11"/>
      <c r="G20213" s="11"/>
      <c r="H20213" s="11"/>
      <c r="I20213" s="15"/>
    </row>
    <row r="20214" spans="1:9" ht="16.5">
      <c r="A20214" s="10" t="b">
        <v>0</v>
      </c>
      <c r="B20214" s="11" t="str">
        <f>IF(D20214&lt;&gt;"",IF(COUNTIF('USPTO TMs'!A:A,D20214)&gt;0,"Yes","No"),"")</f>
        <v/>
      </c>
      <c r="C20214" s="11"/>
      <c r="D20214" s="11"/>
      <c r="E20214" s="11"/>
      <c r="F20214" s="11"/>
      <c r="G20214" s="11"/>
      <c r="H20214" s="11"/>
      <c r="I20214" s="15"/>
    </row>
    <row r="20215" spans="1:9" ht="16.5">
      <c r="A20215" s="10" t="b">
        <v>0</v>
      </c>
      <c r="B20215" s="11" t="str">
        <f>IF(D20215&lt;&gt;"",IF(COUNTIF('USPTO TMs'!A:A,D20215)&gt;0,"Yes","No"),"")</f>
        <v/>
      </c>
      <c r="C20215" s="11"/>
      <c r="D20215" s="11"/>
      <c r="E20215" s="11"/>
      <c r="F20215" s="11"/>
      <c r="G20215" s="11"/>
      <c r="H20215" s="11"/>
      <c r="I20215" s="15"/>
    </row>
    <row r="20216" spans="1:9" ht="16.5">
      <c r="A20216" s="10" t="b">
        <v>0</v>
      </c>
      <c r="B20216" s="11" t="str">
        <f>IF(D20216&lt;&gt;"",IF(COUNTIF('USPTO TMs'!A:A,D20216)&gt;0,"Yes","No"),"")</f>
        <v/>
      </c>
      <c r="C20216" s="11"/>
      <c r="D20216" s="11"/>
      <c r="E20216" s="11"/>
      <c r="F20216" s="11"/>
      <c r="G20216" s="11"/>
      <c r="H20216" s="11"/>
      <c r="I20216" s="15"/>
    </row>
    <row r="20217" spans="1:9" ht="16.5">
      <c r="A20217" s="10" t="b">
        <v>0</v>
      </c>
      <c r="B20217" s="11" t="str">
        <f>IF(D20217&lt;&gt;"",IF(COUNTIF('USPTO TMs'!A:A,D20217)&gt;0,"Yes","No"),"")</f>
        <v/>
      </c>
      <c r="C20217" s="11"/>
      <c r="D20217" s="11"/>
      <c r="E20217" s="11"/>
      <c r="F20217" s="11"/>
      <c r="G20217" s="11"/>
      <c r="H20217" s="11"/>
      <c r="I20217" s="15"/>
    </row>
    <row r="20218" spans="1:9" ht="16.5">
      <c r="A20218" s="10" t="b">
        <v>0</v>
      </c>
      <c r="B20218" s="11" t="str">
        <f>IF(D20218&lt;&gt;"",IF(COUNTIF('USPTO TMs'!A:A,D20218)&gt;0,"Yes","No"),"")</f>
        <v/>
      </c>
      <c r="C20218" s="11"/>
      <c r="D20218" s="11"/>
      <c r="E20218" s="11"/>
      <c r="F20218" s="11"/>
      <c r="G20218" s="11"/>
      <c r="H20218" s="11"/>
      <c r="I20218" s="15"/>
    </row>
    <row r="20219" spans="1:9" ht="16.5">
      <c r="A20219" s="10" t="b">
        <v>0</v>
      </c>
      <c r="B20219" s="11" t="str">
        <f>IF(D20219&lt;&gt;"",IF(COUNTIF('USPTO TMs'!A:A,D20219)&gt;0,"Yes","No"),"")</f>
        <v/>
      </c>
      <c r="C20219" s="11"/>
      <c r="D20219" s="11"/>
      <c r="E20219" s="11"/>
      <c r="F20219" s="11"/>
      <c r="G20219" s="11"/>
      <c r="H20219" s="11"/>
      <c r="I20219" s="15"/>
    </row>
    <row r="20220" spans="1:9" ht="16.5">
      <c r="A20220" s="10" t="b">
        <v>0</v>
      </c>
      <c r="B20220" s="11" t="str">
        <f>IF(D20220&lt;&gt;"",IF(COUNTIF('USPTO TMs'!A:A,D20220)&gt;0,"Yes","No"),"")</f>
        <v/>
      </c>
      <c r="C20220" s="11"/>
      <c r="D20220" s="11"/>
      <c r="E20220" s="11"/>
      <c r="F20220" s="11"/>
      <c r="G20220" s="11"/>
      <c r="H20220" s="11"/>
      <c r="I20220" s="15"/>
    </row>
    <row r="20221" spans="1:9" ht="16.5">
      <c r="A20221" s="10" t="b">
        <v>0</v>
      </c>
      <c r="B20221" s="11" t="str">
        <f>IF(D20221&lt;&gt;"",IF(COUNTIF('USPTO TMs'!A:A,D20221)&gt;0,"Yes","No"),"")</f>
        <v/>
      </c>
      <c r="C20221" s="11"/>
      <c r="D20221" s="11"/>
      <c r="E20221" s="11"/>
      <c r="F20221" s="11"/>
      <c r="G20221" s="11"/>
      <c r="H20221" s="11"/>
      <c r="I20221" s="15"/>
    </row>
    <row r="20222" spans="1:9" ht="16.5">
      <c r="A20222" s="10" t="b">
        <v>0</v>
      </c>
      <c r="B20222" s="11" t="str">
        <f>IF(D20222&lt;&gt;"",IF(COUNTIF('USPTO TMs'!A:A,D20222)&gt;0,"Yes","No"),"")</f>
        <v/>
      </c>
      <c r="C20222" s="11"/>
      <c r="D20222" s="11"/>
      <c r="E20222" s="11"/>
      <c r="F20222" s="11"/>
      <c r="G20222" s="11"/>
      <c r="H20222" s="11"/>
      <c r="I20222" s="15"/>
    </row>
    <row r="20223" spans="1:9" ht="16.5">
      <c r="A20223" s="10" t="b">
        <v>0</v>
      </c>
      <c r="B20223" s="11" t="str">
        <f>IF(D20223&lt;&gt;"",IF(COUNTIF('USPTO TMs'!A:A,D20223)&gt;0,"Yes","No"),"")</f>
        <v/>
      </c>
      <c r="C20223" s="11"/>
      <c r="D20223" s="11"/>
      <c r="E20223" s="11"/>
      <c r="F20223" s="11"/>
      <c r="G20223" s="11"/>
      <c r="H20223" s="11"/>
      <c r="I20223" s="15"/>
    </row>
    <row r="20224" spans="1:9" ht="16.5">
      <c r="A20224" s="10" t="b">
        <v>0</v>
      </c>
      <c r="B20224" s="11" t="str">
        <f>IF(D20224&lt;&gt;"",IF(COUNTIF('USPTO TMs'!A:A,D20224)&gt;0,"Yes","No"),"")</f>
        <v/>
      </c>
      <c r="C20224" s="11"/>
      <c r="D20224" s="11"/>
      <c r="E20224" s="11"/>
      <c r="F20224" s="11"/>
      <c r="G20224" s="11"/>
      <c r="H20224" s="11"/>
      <c r="I20224" s="15"/>
    </row>
    <row r="20225" spans="1:9" ht="16.5">
      <c r="A20225" s="10" t="b">
        <v>0</v>
      </c>
      <c r="B20225" s="11" t="str">
        <f>IF(D20225&lt;&gt;"",IF(COUNTIF('USPTO TMs'!A:A,D20225)&gt;0,"Yes","No"),"")</f>
        <v/>
      </c>
      <c r="C20225" s="11"/>
      <c r="D20225" s="11"/>
      <c r="E20225" s="11"/>
      <c r="F20225" s="11"/>
      <c r="G20225" s="11"/>
      <c r="H20225" s="11"/>
      <c r="I20225" s="15"/>
    </row>
    <row r="20226" spans="1:9" ht="16.5">
      <c r="A20226" s="10" t="b">
        <v>0</v>
      </c>
      <c r="B20226" s="11" t="str">
        <f>IF(D20226&lt;&gt;"",IF(COUNTIF('USPTO TMs'!A:A,D20226)&gt;0,"Yes","No"),"")</f>
        <v/>
      </c>
      <c r="C20226" s="11"/>
      <c r="D20226" s="11"/>
      <c r="E20226" s="11"/>
      <c r="F20226" s="11"/>
      <c r="G20226" s="11"/>
      <c r="H20226" s="11"/>
      <c r="I20226" s="15"/>
    </row>
    <row r="20227" spans="1:9" ht="16.5">
      <c r="A20227" s="10" t="b">
        <v>0</v>
      </c>
      <c r="B20227" s="11" t="str">
        <f>IF(D20227&lt;&gt;"",IF(COUNTIF('USPTO TMs'!A:A,D20227)&gt;0,"Yes","No"),"")</f>
        <v/>
      </c>
      <c r="C20227" s="11"/>
      <c r="D20227" s="11"/>
      <c r="E20227" s="11"/>
      <c r="F20227" s="11"/>
      <c r="G20227" s="11"/>
      <c r="H20227" s="11"/>
      <c r="I20227" s="15"/>
    </row>
    <row r="20228" spans="1:9" ht="16.5">
      <c r="A20228" s="10" t="b">
        <v>0</v>
      </c>
      <c r="B20228" s="11" t="str">
        <f>IF(D20228&lt;&gt;"",IF(COUNTIF('USPTO TMs'!A:A,D20228)&gt;0,"Yes","No"),"")</f>
        <v/>
      </c>
      <c r="C20228" s="11"/>
      <c r="D20228" s="11"/>
      <c r="E20228" s="11"/>
      <c r="F20228" s="11"/>
      <c r="G20228" s="11"/>
      <c r="H20228" s="11"/>
      <c r="I20228" s="15"/>
    </row>
    <row r="20229" spans="1:9" ht="16.5">
      <c r="A20229" s="10" t="b">
        <v>0</v>
      </c>
      <c r="B20229" s="11" t="str">
        <f>IF(D20229&lt;&gt;"",IF(COUNTIF('USPTO TMs'!A:A,D20229)&gt;0,"Yes","No"),"")</f>
        <v/>
      </c>
      <c r="C20229" s="11"/>
      <c r="D20229" s="11"/>
      <c r="E20229" s="11"/>
      <c r="F20229" s="11"/>
      <c r="G20229" s="11"/>
      <c r="H20229" s="11"/>
      <c r="I20229" s="15"/>
    </row>
    <row r="20230" spans="1:9" ht="16.5">
      <c r="A20230" s="10" t="b">
        <v>0</v>
      </c>
      <c r="B20230" s="11" t="str">
        <f>IF(D20230&lt;&gt;"",IF(COUNTIF('USPTO TMs'!A:A,D20230)&gt;0,"Yes","No"),"")</f>
        <v/>
      </c>
      <c r="C20230" s="11"/>
      <c r="D20230" s="11"/>
      <c r="E20230" s="11"/>
      <c r="F20230" s="11"/>
      <c r="G20230" s="11"/>
      <c r="H20230" s="11"/>
      <c r="I20230" s="15"/>
    </row>
    <row r="20231" spans="1:9" ht="16.5">
      <c r="A20231" s="10" t="b">
        <v>0</v>
      </c>
      <c r="B20231" s="11" t="str">
        <f>IF(D20231&lt;&gt;"",IF(COUNTIF('USPTO TMs'!A:A,D20231)&gt;0,"Yes","No"),"")</f>
        <v/>
      </c>
      <c r="C20231" s="11"/>
      <c r="D20231" s="11"/>
      <c r="E20231" s="11"/>
      <c r="F20231" s="11"/>
      <c r="G20231" s="11"/>
      <c r="H20231" s="11"/>
      <c r="I20231" s="15"/>
    </row>
    <row r="20232" spans="1:9" ht="16.5">
      <c r="A20232" s="10" t="b">
        <v>0</v>
      </c>
      <c r="B20232" s="11" t="str">
        <f>IF(D20232&lt;&gt;"",IF(COUNTIF('USPTO TMs'!A:A,D20232)&gt;0,"Yes","No"),"")</f>
        <v/>
      </c>
      <c r="C20232" s="11"/>
      <c r="D20232" s="11"/>
      <c r="E20232" s="11"/>
      <c r="F20232" s="11"/>
      <c r="G20232" s="11"/>
      <c r="H20232" s="11"/>
      <c r="I20232" s="15"/>
    </row>
    <row r="20233" spans="1:9" ht="16.5">
      <c r="A20233" s="10" t="b">
        <v>0</v>
      </c>
      <c r="B20233" s="11" t="str">
        <f>IF(D20233&lt;&gt;"",IF(COUNTIF('USPTO TMs'!A:A,D20233)&gt;0,"Yes","No"),"")</f>
        <v/>
      </c>
      <c r="C20233" s="11"/>
      <c r="D20233" s="11"/>
      <c r="E20233" s="11"/>
      <c r="F20233" s="11"/>
      <c r="G20233" s="11"/>
      <c r="H20233" s="11"/>
      <c r="I20233" s="15"/>
    </row>
    <row r="20234" spans="1:9" ht="16.5">
      <c r="A20234" s="10" t="b">
        <v>0</v>
      </c>
      <c r="B20234" s="11" t="str">
        <f>IF(D20234&lt;&gt;"",IF(COUNTIF('USPTO TMs'!A:A,D20234)&gt;0,"Yes","No"),"")</f>
        <v/>
      </c>
      <c r="C20234" s="11"/>
      <c r="D20234" s="11"/>
      <c r="E20234" s="11"/>
      <c r="F20234" s="11"/>
      <c r="G20234" s="11"/>
      <c r="H20234" s="11"/>
      <c r="I20234" s="15"/>
    </row>
    <row r="20235" spans="1:9" ht="16.5">
      <c r="A20235" s="10" t="b">
        <v>0</v>
      </c>
      <c r="B20235" s="11" t="str">
        <f>IF(D20235&lt;&gt;"",IF(COUNTIF('USPTO TMs'!A:A,D20235)&gt;0,"Yes","No"),"")</f>
        <v/>
      </c>
      <c r="C20235" s="11"/>
      <c r="D20235" s="11"/>
      <c r="E20235" s="11"/>
      <c r="F20235" s="11"/>
      <c r="G20235" s="11"/>
      <c r="H20235" s="11"/>
      <c r="I20235" s="15"/>
    </row>
    <row r="20236" spans="1:9" ht="16.5">
      <c r="A20236" s="10" t="b">
        <v>0</v>
      </c>
      <c r="B20236" s="11" t="str">
        <f>IF(D20236&lt;&gt;"",IF(COUNTIF('USPTO TMs'!A:A,D20236)&gt;0,"Yes","No"),"")</f>
        <v/>
      </c>
      <c r="C20236" s="11"/>
      <c r="D20236" s="11"/>
      <c r="E20236" s="11"/>
      <c r="F20236" s="11"/>
      <c r="G20236" s="11"/>
      <c r="H20236" s="11"/>
      <c r="I20236" s="15"/>
    </row>
    <row r="20237" spans="1:9" ht="16.5">
      <c r="A20237" s="10" t="b">
        <v>0</v>
      </c>
      <c r="B20237" s="11" t="str">
        <f>IF(D20237&lt;&gt;"",IF(COUNTIF('USPTO TMs'!A:A,D20237)&gt;0,"Yes","No"),"")</f>
        <v/>
      </c>
      <c r="C20237" s="11"/>
      <c r="D20237" s="11"/>
      <c r="E20237" s="11"/>
      <c r="F20237" s="11"/>
      <c r="G20237" s="11"/>
      <c r="H20237" s="11"/>
      <c r="I20237" s="15"/>
    </row>
    <row r="20238" spans="1:9" ht="16.5">
      <c r="A20238" s="10" t="b">
        <v>0</v>
      </c>
      <c r="B20238" s="11" t="str">
        <f>IF(D20238&lt;&gt;"",IF(COUNTIF('USPTO TMs'!A:A,D20238)&gt;0,"Yes","No"),"")</f>
        <v/>
      </c>
      <c r="C20238" s="11"/>
      <c r="D20238" s="11"/>
      <c r="E20238" s="11"/>
      <c r="F20238" s="11"/>
      <c r="G20238" s="11"/>
      <c r="H20238" s="11"/>
      <c r="I20238" s="15"/>
    </row>
    <row r="20239" spans="1:9" ht="16.5">
      <c r="A20239" s="10" t="b">
        <v>0</v>
      </c>
      <c r="B20239" s="11" t="str">
        <f>IF(D20239&lt;&gt;"",IF(COUNTIF('USPTO TMs'!A:A,D20239)&gt;0,"Yes","No"),"")</f>
        <v/>
      </c>
      <c r="C20239" s="11"/>
      <c r="D20239" s="11"/>
      <c r="E20239" s="11"/>
      <c r="F20239" s="11"/>
      <c r="G20239" s="11"/>
      <c r="H20239" s="11"/>
      <c r="I20239" s="15"/>
    </row>
    <row r="20240" spans="1:9" ht="16.5">
      <c r="A20240" s="10" t="b">
        <v>0</v>
      </c>
      <c r="B20240" s="11" t="str">
        <f>IF(D20240&lt;&gt;"",IF(COUNTIF('USPTO TMs'!A:A,D20240)&gt;0,"Yes","No"),"")</f>
        <v/>
      </c>
      <c r="C20240" s="11"/>
      <c r="D20240" s="11"/>
      <c r="E20240" s="11"/>
      <c r="F20240" s="11"/>
      <c r="G20240" s="11"/>
      <c r="H20240" s="11"/>
      <c r="I20240" s="15"/>
    </row>
    <row r="20241" spans="1:9" ht="16.5">
      <c r="A20241" s="10" t="b">
        <v>0</v>
      </c>
      <c r="B20241" s="11" t="str">
        <f>IF(D20241&lt;&gt;"",IF(COUNTIF('USPTO TMs'!A:A,D20241)&gt;0,"Yes","No"),"")</f>
        <v/>
      </c>
      <c r="C20241" s="11"/>
      <c r="D20241" s="11"/>
      <c r="E20241" s="11"/>
      <c r="F20241" s="11"/>
      <c r="G20241" s="11"/>
      <c r="H20241" s="11"/>
      <c r="I20241" s="15"/>
    </row>
    <row r="20242" spans="1:9" ht="16.5">
      <c r="A20242" s="10" t="b">
        <v>0</v>
      </c>
      <c r="B20242" s="11" t="str">
        <f>IF(D20242&lt;&gt;"",IF(COUNTIF('USPTO TMs'!A:A,D20242)&gt;0,"Yes","No"),"")</f>
        <v/>
      </c>
      <c r="C20242" s="11"/>
      <c r="D20242" s="11"/>
      <c r="E20242" s="11"/>
      <c r="F20242" s="11"/>
      <c r="G20242" s="11"/>
      <c r="H20242" s="11"/>
      <c r="I20242" s="15"/>
    </row>
    <row r="20243" spans="1:9" ht="16.5">
      <c r="A20243" s="10" t="b">
        <v>0</v>
      </c>
      <c r="B20243" s="11" t="str">
        <f>IF(D20243&lt;&gt;"",IF(COUNTIF('USPTO TMs'!A:A,D20243)&gt;0,"Yes","No"),"")</f>
        <v/>
      </c>
      <c r="C20243" s="11"/>
      <c r="D20243" s="11"/>
      <c r="E20243" s="11"/>
      <c r="F20243" s="11"/>
      <c r="G20243" s="11"/>
      <c r="H20243" s="11"/>
      <c r="I20243" s="15"/>
    </row>
    <row r="20244" spans="1:9" ht="16.5">
      <c r="A20244" s="10" t="b">
        <v>0</v>
      </c>
      <c r="B20244" s="11" t="str">
        <f>IF(D20244&lt;&gt;"",IF(COUNTIF('USPTO TMs'!A:A,D20244)&gt;0,"Yes","No"),"")</f>
        <v/>
      </c>
      <c r="C20244" s="11"/>
      <c r="D20244" s="11"/>
      <c r="E20244" s="11"/>
      <c r="F20244" s="11"/>
      <c r="G20244" s="11"/>
      <c r="H20244" s="11"/>
      <c r="I20244" s="15"/>
    </row>
    <row r="20245" spans="1:9" ht="16.5">
      <c r="A20245" s="10" t="b">
        <v>0</v>
      </c>
      <c r="B20245" s="11" t="str">
        <f>IF(D20245&lt;&gt;"",IF(COUNTIF('USPTO TMs'!A:A,D20245)&gt;0,"Yes","No"),"")</f>
        <v/>
      </c>
      <c r="C20245" s="11"/>
      <c r="D20245" s="11"/>
      <c r="E20245" s="11"/>
      <c r="F20245" s="11"/>
      <c r="G20245" s="11"/>
      <c r="H20245" s="11"/>
      <c r="I20245" s="15"/>
    </row>
    <row r="20246" spans="1:9" ht="16.5">
      <c r="A20246" s="10" t="b">
        <v>0</v>
      </c>
      <c r="B20246" s="11" t="str">
        <f>IF(D20246&lt;&gt;"",IF(COUNTIF('USPTO TMs'!A:A,D20246)&gt;0,"Yes","No"),"")</f>
        <v/>
      </c>
      <c r="C20246" s="11"/>
      <c r="D20246" s="11"/>
      <c r="E20246" s="11"/>
      <c r="F20246" s="11"/>
      <c r="G20246" s="11"/>
      <c r="H20246" s="11"/>
      <c r="I20246" s="15"/>
    </row>
    <row r="20247" spans="1:9" ht="16.5">
      <c r="A20247" s="10" t="b">
        <v>0</v>
      </c>
      <c r="B20247" s="11" t="str">
        <f>IF(D20247&lt;&gt;"",IF(COUNTIF('USPTO TMs'!A:A,D20247)&gt;0,"Yes","No"),"")</f>
        <v/>
      </c>
      <c r="C20247" s="11"/>
      <c r="D20247" s="11"/>
      <c r="E20247" s="11"/>
      <c r="F20247" s="11"/>
      <c r="G20247" s="11"/>
      <c r="H20247" s="11"/>
      <c r="I20247" s="15"/>
    </row>
    <row r="20248" spans="1:9" ht="16.5">
      <c r="A20248" s="10" t="b">
        <v>0</v>
      </c>
      <c r="B20248" s="11" t="str">
        <f>IF(D20248&lt;&gt;"",IF(COUNTIF('USPTO TMs'!A:A,D20248)&gt;0,"Yes","No"),"")</f>
        <v/>
      </c>
      <c r="C20248" s="11"/>
      <c r="D20248" s="11"/>
      <c r="E20248" s="11"/>
      <c r="F20248" s="11"/>
      <c r="G20248" s="11"/>
      <c r="H20248" s="11"/>
      <c r="I20248" s="15"/>
    </row>
    <row r="20249" spans="1:9" ht="16.5">
      <c r="A20249" s="10" t="b">
        <v>0</v>
      </c>
      <c r="B20249" s="11" t="str">
        <f>IF(D20249&lt;&gt;"",IF(COUNTIF('USPTO TMs'!A:A,D20249)&gt;0,"Yes","No"),"")</f>
        <v/>
      </c>
      <c r="C20249" s="11"/>
      <c r="D20249" s="11"/>
      <c r="E20249" s="11"/>
      <c r="F20249" s="11"/>
      <c r="G20249" s="11"/>
      <c r="H20249" s="11"/>
      <c r="I20249" s="15"/>
    </row>
    <row r="20250" spans="1:9" ht="16.5">
      <c r="A20250" s="10" t="b">
        <v>0</v>
      </c>
      <c r="B20250" s="11" t="str">
        <f>IF(D20250&lt;&gt;"",IF(COUNTIF('USPTO TMs'!A:A,D20250)&gt;0,"Yes","No"),"")</f>
        <v/>
      </c>
      <c r="C20250" s="11"/>
      <c r="D20250" s="11"/>
      <c r="E20250" s="11"/>
      <c r="F20250" s="11"/>
      <c r="G20250" s="11"/>
      <c r="H20250" s="11"/>
      <c r="I20250" s="15"/>
    </row>
    <row r="20251" spans="1:9" ht="16.5">
      <c r="A20251" s="10" t="b">
        <v>0</v>
      </c>
      <c r="B20251" s="11" t="str">
        <f>IF(D20251&lt;&gt;"",IF(COUNTIF('USPTO TMs'!A:A,D20251)&gt;0,"Yes","No"),"")</f>
        <v/>
      </c>
      <c r="C20251" s="11"/>
      <c r="D20251" s="11"/>
      <c r="E20251" s="11"/>
      <c r="F20251" s="11"/>
      <c r="G20251" s="11"/>
      <c r="H20251" s="11"/>
      <c r="I20251" s="15"/>
    </row>
    <row r="20252" spans="1:9" ht="16.5">
      <c r="A20252" s="10" t="b">
        <v>0</v>
      </c>
      <c r="B20252" s="11" t="str">
        <f>IF(D20252&lt;&gt;"",IF(COUNTIF('USPTO TMs'!A:A,D20252)&gt;0,"Yes","No"),"")</f>
        <v/>
      </c>
      <c r="C20252" s="11"/>
      <c r="D20252" s="11"/>
      <c r="E20252" s="11"/>
      <c r="F20252" s="11"/>
      <c r="G20252" s="11"/>
      <c r="H20252" s="11"/>
      <c r="I20252" s="15"/>
    </row>
    <row r="20253" spans="1:9" ht="16.5">
      <c r="A20253" s="10" t="b">
        <v>0</v>
      </c>
      <c r="B20253" s="11" t="str">
        <f>IF(D20253&lt;&gt;"",IF(COUNTIF('USPTO TMs'!A:A,D20253)&gt;0,"Yes","No"),"")</f>
        <v/>
      </c>
      <c r="C20253" s="11"/>
      <c r="D20253" s="11"/>
      <c r="E20253" s="11"/>
      <c r="F20253" s="11"/>
      <c r="G20253" s="11"/>
      <c r="H20253" s="11"/>
      <c r="I20253" s="15"/>
    </row>
    <row r="20254" spans="1:9" ht="16.5">
      <c r="A20254" s="10" t="b">
        <v>0</v>
      </c>
      <c r="B20254" s="11" t="str">
        <f>IF(D20254&lt;&gt;"",IF(COUNTIF('USPTO TMs'!A:A,D20254)&gt;0,"Yes","No"),"")</f>
        <v/>
      </c>
      <c r="C20254" s="11"/>
      <c r="D20254" s="11"/>
      <c r="E20254" s="11"/>
      <c r="F20254" s="11"/>
      <c r="G20254" s="11"/>
      <c r="H20254" s="11"/>
      <c r="I20254" s="15"/>
    </row>
    <row r="20255" spans="1:9" ht="16.5">
      <c r="A20255" s="10" t="b">
        <v>0</v>
      </c>
      <c r="B20255" s="11" t="str">
        <f>IF(D20255&lt;&gt;"",IF(COUNTIF('USPTO TMs'!A:A,D20255)&gt;0,"Yes","No"),"")</f>
        <v/>
      </c>
      <c r="C20255" s="11"/>
      <c r="D20255" s="11"/>
      <c r="E20255" s="11"/>
      <c r="F20255" s="11"/>
      <c r="G20255" s="11"/>
      <c r="H20255" s="11"/>
      <c r="I20255" s="15"/>
    </row>
    <row r="20256" spans="1:9" ht="16.5">
      <c r="A20256" s="10" t="b">
        <v>0</v>
      </c>
      <c r="B20256" s="11" t="str">
        <f>IF(D20256&lt;&gt;"",IF(COUNTIF('USPTO TMs'!A:A,D20256)&gt;0,"Yes","No"),"")</f>
        <v/>
      </c>
      <c r="C20256" s="11"/>
      <c r="D20256" s="11"/>
      <c r="E20256" s="11"/>
      <c r="F20256" s="11"/>
      <c r="G20256" s="11"/>
      <c r="H20256" s="11"/>
      <c r="I20256" s="15"/>
    </row>
    <row r="20257" spans="1:9" ht="16.5">
      <c r="A20257" s="10" t="b">
        <v>0</v>
      </c>
      <c r="B20257" s="11" t="str">
        <f>IF(D20257&lt;&gt;"",IF(COUNTIF('USPTO TMs'!A:A,D20257)&gt;0,"Yes","No"),"")</f>
        <v/>
      </c>
      <c r="C20257" s="11"/>
      <c r="D20257" s="11"/>
      <c r="E20257" s="11"/>
      <c r="F20257" s="11"/>
      <c r="G20257" s="11"/>
      <c r="H20257" s="11"/>
      <c r="I20257" s="15"/>
    </row>
    <row r="20258" spans="1:9" ht="16.5">
      <c r="A20258" s="10" t="b">
        <v>0</v>
      </c>
      <c r="B20258" s="11" t="str">
        <f>IF(D20258&lt;&gt;"",IF(COUNTIF('USPTO TMs'!A:A,D20258)&gt;0,"Yes","No"),"")</f>
        <v/>
      </c>
      <c r="C20258" s="11"/>
      <c r="D20258" s="11"/>
      <c r="E20258" s="11"/>
      <c r="F20258" s="11"/>
      <c r="G20258" s="11"/>
      <c r="H20258" s="11"/>
      <c r="I20258" s="15"/>
    </row>
    <row r="20259" spans="1:9" ht="16.5">
      <c r="A20259" s="10" t="b">
        <v>0</v>
      </c>
      <c r="B20259" s="11" t="str">
        <f>IF(D20259&lt;&gt;"",IF(COUNTIF('USPTO TMs'!A:A,D20259)&gt;0,"Yes","No"),"")</f>
        <v/>
      </c>
      <c r="C20259" s="11"/>
      <c r="D20259" s="11"/>
      <c r="E20259" s="11"/>
      <c r="F20259" s="11"/>
      <c r="G20259" s="11"/>
      <c r="H20259" s="11"/>
      <c r="I20259" s="15"/>
    </row>
    <row r="20260" spans="1:9" ht="16.5">
      <c r="A20260" s="10" t="b">
        <v>0</v>
      </c>
      <c r="B20260" s="11" t="str">
        <f>IF(D20260&lt;&gt;"",IF(COUNTIF('USPTO TMs'!A:A,D20260)&gt;0,"Yes","No"),"")</f>
        <v/>
      </c>
      <c r="C20260" s="11"/>
      <c r="D20260" s="11"/>
      <c r="E20260" s="11"/>
      <c r="F20260" s="11"/>
      <c r="G20260" s="11"/>
      <c r="H20260" s="11"/>
      <c r="I20260" s="15"/>
    </row>
    <row r="20261" spans="1:9" ht="16.5">
      <c r="A20261" s="10" t="b">
        <v>0</v>
      </c>
      <c r="B20261" s="11" t="str">
        <f>IF(D20261&lt;&gt;"",IF(COUNTIF('USPTO TMs'!A:A,D20261)&gt;0,"Yes","No"),"")</f>
        <v/>
      </c>
      <c r="C20261" s="11"/>
      <c r="D20261" s="11"/>
      <c r="E20261" s="11"/>
      <c r="F20261" s="11"/>
      <c r="G20261" s="11"/>
      <c r="H20261" s="11"/>
      <c r="I20261" s="15"/>
    </row>
    <row r="20262" spans="1:9" ht="16.5">
      <c r="A20262" s="10" t="b">
        <v>0</v>
      </c>
      <c r="B20262" s="11" t="str">
        <f>IF(D20262&lt;&gt;"",IF(COUNTIF('USPTO TMs'!A:A,D20262)&gt;0,"Yes","No"),"")</f>
        <v/>
      </c>
      <c r="C20262" s="11"/>
      <c r="D20262" s="11"/>
      <c r="E20262" s="11"/>
      <c r="F20262" s="11"/>
      <c r="G20262" s="11"/>
      <c r="H20262" s="11"/>
      <c r="I20262" s="15"/>
    </row>
    <row r="20263" spans="1:9" ht="16.5">
      <c r="A20263" s="10" t="b">
        <v>0</v>
      </c>
      <c r="B20263" s="11" t="str">
        <f>IF(D20263&lt;&gt;"",IF(COUNTIF('USPTO TMs'!A:A,D20263)&gt;0,"Yes","No"),"")</f>
        <v/>
      </c>
      <c r="C20263" s="11"/>
      <c r="D20263" s="11"/>
      <c r="E20263" s="11"/>
      <c r="F20263" s="11"/>
      <c r="G20263" s="11"/>
      <c r="H20263" s="11"/>
      <c r="I20263" s="15"/>
    </row>
    <row r="20264" spans="1:9" ht="16.5">
      <c r="A20264" s="10" t="b">
        <v>0</v>
      </c>
      <c r="B20264" s="11" t="str">
        <f>IF(D20264&lt;&gt;"",IF(COUNTIF('USPTO TMs'!A:A,D20264)&gt;0,"Yes","No"),"")</f>
        <v/>
      </c>
      <c r="C20264" s="11"/>
      <c r="D20264" s="11"/>
      <c r="E20264" s="11"/>
      <c r="F20264" s="11"/>
      <c r="G20264" s="11"/>
      <c r="H20264" s="11"/>
      <c r="I20264" s="15"/>
    </row>
    <row r="20265" spans="1:9" ht="16.5">
      <c r="A20265" s="10" t="b">
        <v>0</v>
      </c>
      <c r="B20265" s="11" t="str">
        <f>IF(D20265&lt;&gt;"",IF(COUNTIF('USPTO TMs'!A:A,D20265)&gt;0,"Yes","No"),"")</f>
        <v/>
      </c>
      <c r="C20265" s="11"/>
      <c r="D20265" s="11"/>
      <c r="E20265" s="11"/>
      <c r="F20265" s="11"/>
      <c r="G20265" s="11"/>
      <c r="H20265" s="11"/>
      <c r="I20265" s="15"/>
    </row>
    <row r="20266" spans="1:9" ht="16.5">
      <c r="A20266" s="10" t="b">
        <v>0</v>
      </c>
      <c r="B20266" s="11" t="str">
        <f>IF(D20266&lt;&gt;"",IF(COUNTIF('USPTO TMs'!A:A,D20266)&gt;0,"Yes","No"),"")</f>
        <v/>
      </c>
      <c r="C20266" s="11"/>
      <c r="D20266" s="11"/>
      <c r="E20266" s="11"/>
      <c r="F20266" s="11"/>
      <c r="G20266" s="11"/>
      <c r="H20266" s="11"/>
      <c r="I20266" s="15"/>
    </row>
    <row r="20267" spans="1:9" ht="16.5">
      <c r="A20267" s="10" t="b">
        <v>0</v>
      </c>
      <c r="B20267" s="11" t="str">
        <f>IF(D20267&lt;&gt;"",IF(COUNTIF('USPTO TMs'!A:A,D20267)&gt;0,"Yes","No"),"")</f>
        <v/>
      </c>
      <c r="C20267" s="11"/>
      <c r="D20267" s="11"/>
      <c r="E20267" s="11"/>
      <c r="F20267" s="11"/>
      <c r="G20267" s="11"/>
      <c r="H20267" s="11"/>
      <c r="I20267" s="15"/>
    </row>
    <row r="20268" spans="1:9" ht="16.5">
      <c r="A20268" s="10" t="b">
        <v>0</v>
      </c>
      <c r="B20268" s="11" t="str">
        <f>IF(D20268&lt;&gt;"",IF(COUNTIF('USPTO TMs'!A:A,D20268)&gt;0,"Yes","No"),"")</f>
        <v/>
      </c>
      <c r="C20268" s="11"/>
      <c r="D20268" s="11"/>
      <c r="E20268" s="11"/>
      <c r="F20268" s="11"/>
      <c r="G20268" s="11"/>
      <c r="H20268" s="11"/>
      <c r="I20268" s="15"/>
    </row>
    <row r="20269" spans="1:9" ht="16.5">
      <c r="A20269" s="10" t="b">
        <v>0</v>
      </c>
      <c r="B20269" s="11" t="str">
        <f>IF(D20269&lt;&gt;"",IF(COUNTIF('USPTO TMs'!A:A,D20269)&gt;0,"Yes","No"),"")</f>
        <v/>
      </c>
      <c r="C20269" s="11"/>
      <c r="D20269" s="11"/>
      <c r="E20269" s="11"/>
      <c r="F20269" s="11"/>
      <c r="G20269" s="11"/>
      <c r="H20269" s="11"/>
      <c r="I20269" s="15"/>
    </row>
    <row r="20270" spans="1:9" ht="16.5">
      <c r="A20270" s="10" t="b">
        <v>0</v>
      </c>
      <c r="B20270" s="11" t="str">
        <f>IF(D20270&lt;&gt;"",IF(COUNTIF('USPTO TMs'!A:A,D20270)&gt;0,"Yes","No"),"")</f>
        <v/>
      </c>
      <c r="C20270" s="11"/>
      <c r="D20270" s="11"/>
      <c r="E20270" s="11"/>
      <c r="F20270" s="11"/>
      <c r="G20270" s="11"/>
      <c r="H20270" s="11"/>
      <c r="I20270" s="15"/>
    </row>
    <row r="20271" spans="1:9" ht="16.5">
      <c r="A20271" s="10" t="b">
        <v>0</v>
      </c>
      <c r="B20271" s="11" t="str">
        <f>IF(D20271&lt;&gt;"",IF(COUNTIF('USPTO TMs'!A:A,D20271)&gt;0,"Yes","No"),"")</f>
        <v/>
      </c>
      <c r="C20271" s="11"/>
      <c r="D20271" s="11"/>
      <c r="E20271" s="11"/>
      <c r="F20271" s="11"/>
      <c r="G20271" s="11"/>
      <c r="H20271" s="11"/>
      <c r="I20271" s="15"/>
    </row>
    <row r="20272" spans="1:9" ht="16.5">
      <c r="A20272" s="10" t="b">
        <v>0</v>
      </c>
      <c r="B20272" s="11" t="str">
        <f>IF(D20272&lt;&gt;"",IF(COUNTIF('USPTO TMs'!A:A,D20272)&gt;0,"Yes","No"),"")</f>
        <v/>
      </c>
      <c r="C20272" s="11"/>
      <c r="D20272" s="11"/>
      <c r="E20272" s="11"/>
      <c r="F20272" s="11"/>
      <c r="G20272" s="11"/>
      <c r="H20272" s="11"/>
      <c r="I20272" s="15"/>
    </row>
    <row r="20273" spans="1:9" ht="16.5">
      <c r="A20273" s="10" t="b">
        <v>0</v>
      </c>
      <c r="B20273" s="11" t="str">
        <f>IF(D20273&lt;&gt;"",IF(COUNTIF('USPTO TMs'!A:A,D20273)&gt;0,"Yes","No"),"")</f>
        <v/>
      </c>
      <c r="C20273" s="11"/>
      <c r="D20273" s="11"/>
      <c r="E20273" s="11"/>
      <c r="F20273" s="11"/>
      <c r="G20273" s="11"/>
      <c r="H20273" s="11"/>
      <c r="I20273" s="15"/>
    </row>
    <row r="20274" spans="1:9" ht="16.5">
      <c r="A20274" s="10" t="b">
        <v>0</v>
      </c>
      <c r="B20274" s="11" t="str">
        <f>IF(D20274&lt;&gt;"",IF(COUNTIF('USPTO TMs'!A:A,D20274)&gt;0,"Yes","No"),"")</f>
        <v/>
      </c>
      <c r="C20274" s="11"/>
      <c r="D20274" s="11"/>
      <c r="E20274" s="11"/>
      <c r="F20274" s="11"/>
      <c r="G20274" s="11"/>
      <c r="H20274" s="11"/>
      <c r="I20274" s="15"/>
    </row>
    <row r="20275" spans="1:9" ht="16.5">
      <c r="A20275" s="10" t="b">
        <v>0</v>
      </c>
      <c r="B20275" s="11" t="str">
        <f>IF(D20275&lt;&gt;"",IF(COUNTIF('USPTO TMs'!A:A,D20275)&gt;0,"Yes","No"),"")</f>
        <v/>
      </c>
      <c r="C20275" s="11"/>
      <c r="D20275" s="11"/>
      <c r="E20275" s="11"/>
      <c r="F20275" s="11"/>
      <c r="G20275" s="11"/>
      <c r="H20275" s="11"/>
      <c r="I20275" s="15"/>
    </row>
    <row r="20276" spans="1:9" ht="16.5">
      <c r="A20276" s="10" t="b">
        <v>0</v>
      </c>
      <c r="B20276" s="11" t="str">
        <f>IF(D20276&lt;&gt;"",IF(COUNTIF('USPTO TMs'!A:A,D20276)&gt;0,"Yes","No"),"")</f>
        <v/>
      </c>
      <c r="C20276" s="11"/>
      <c r="D20276" s="11"/>
      <c r="E20276" s="11"/>
      <c r="F20276" s="11"/>
      <c r="G20276" s="11"/>
      <c r="H20276" s="11"/>
      <c r="I20276" s="15"/>
    </row>
    <row r="20277" spans="1:9" ht="16.5">
      <c r="A20277" s="10" t="b">
        <v>0</v>
      </c>
      <c r="B20277" s="11" t="str">
        <f>IF(D20277&lt;&gt;"",IF(COUNTIF('USPTO TMs'!A:A,D20277)&gt;0,"Yes","No"),"")</f>
        <v/>
      </c>
      <c r="C20277" s="11"/>
      <c r="D20277" s="11"/>
      <c r="E20277" s="11"/>
      <c r="F20277" s="11"/>
      <c r="G20277" s="11"/>
      <c r="H20277" s="11"/>
      <c r="I20277" s="15"/>
    </row>
    <row r="20278" spans="1:9" ht="16.5">
      <c r="A20278" s="10" t="b">
        <v>0</v>
      </c>
      <c r="B20278" s="11" t="str">
        <f>IF(D20278&lt;&gt;"",IF(COUNTIF('USPTO TMs'!A:A,D20278)&gt;0,"Yes","No"),"")</f>
        <v/>
      </c>
      <c r="C20278" s="11"/>
      <c r="D20278" s="11"/>
      <c r="E20278" s="11"/>
      <c r="F20278" s="11"/>
      <c r="G20278" s="11"/>
      <c r="H20278" s="11"/>
      <c r="I20278" s="15"/>
    </row>
    <row r="20279" spans="1:9" ht="16.5">
      <c r="A20279" s="10" t="b">
        <v>0</v>
      </c>
      <c r="B20279" s="11" t="str">
        <f>IF(D20279&lt;&gt;"",IF(COUNTIF('USPTO TMs'!A:A,D20279)&gt;0,"Yes","No"),"")</f>
        <v/>
      </c>
      <c r="C20279" s="11"/>
      <c r="D20279" s="11"/>
      <c r="E20279" s="11"/>
      <c r="F20279" s="11"/>
      <c r="G20279" s="11"/>
      <c r="H20279" s="11"/>
      <c r="I20279" s="15"/>
    </row>
    <row r="20280" spans="1:9" ht="16.5">
      <c r="A20280" s="10" t="b">
        <v>0</v>
      </c>
      <c r="B20280" s="11" t="str">
        <f>IF(D20280&lt;&gt;"",IF(COUNTIF('USPTO TMs'!A:A,D20280)&gt;0,"Yes","No"),"")</f>
        <v/>
      </c>
      <c r="C20280" s="11"/>
      <c r="D20280" s="11"/>
      <c r="E20280" s="11"/>
      <c r="F20280" s="11"/>
      <c r="G20280" s="11"/>
      <c r="H20280" s="11"/>
      <c r="I20280" s="15"/>
    </row>
    <row r="20281" spans="1:9" ht="16.5">
      <c r="A20281" s="10" t="b">
        <v>0</v>
      </c>
      <c r="B20281" s="11" t="str">
        <f>IF(D20281&lt;&gt;"",IF(COUNTIF('USPTO TMs'!A:A,D20281)&gt;0,"Yes","No"),"")</f>
        <v/>
      </c>
      <c r="C20281" s="11"/>
      <c r="D20281" s="11"/>
      <c r="E20281" s="11"/>
      <c r="F20281" s="11"/>
      <c r="G20281" s="11"/>
      <c r="H20281" s="11"/>
      <c r="I20281" s="15"/>
    </row>
    <row r="20282" spans="1:9" ht="16.5">
      <c r="A20282" s="10" t="b">
        <v>0</v>
      </c>
      <c r="B20282" s="11" t="str">
        <f>IF(D20282&lt;&gt;"",IF(COUNTIF('USPTO TMs'!A:A,D20282)&gt;0,"Yes","No"),"")</f>
        <v/>
      </c>
      <c r="C20282" s="11"/>
      <c r="D20282" s="11"/>
      <c r="E20282" s="11"/>
      <c r="F20282" s="11"/>
      <c r="G20282" s="11"/>
      <c r="H20282" s="11"/>
      <c r="I20282" s="15"/>
    </row>
    <row r="20283" spans="1:9" ht="16.5">
      <c r="A20283" s="10" t="b">
        <v>0</v>
      </c>
      <c r="B20283" s="11" t="str">
        <f>IF(D20283&lt;&gt;"",IF(COUNTIF('USPTO TMs'!A:A,D20283)&gt;0,"Yes","No"),"")</f>
        <v/>
      </c>
      <c r="C20283" s="11"/>
      <c r="D20283" s="11"/>
      <c r="E20283" s="11"/>
      <c r="F20283" s="11"/>
      <c r="G20283" s="11"/>
      <c r="H20283" s="11"/>
      <c r="I20283" s="15"/>
    </row>
    <row r="20284" spans="1:9" ht="16.5">
      <c r="A20284" s="10" t="b">
        <v>0</v>
      </c>
      <c r="B20284" s="11" t="str">
        <f>IF(D20284&lt;&gt;"",IF(COUNTIF('USPTO TMs'!A:A,D20284)&gt;0,"Yes","No"),"")</f>
        <v/>
      </c>
      <c r="C20284" s="11"/>
      <c r="D20284" s="11"/>
      <c r="E20284" s="11"/>
      <c r="F20284" s="11"/>
      <c r="G20284" s="11"/>
      <c r="H20284" s="11"/>
      <c r="I20284" s="15"/>
    </row>
    <row r="20285" spans="1:9" ht="16.5">
      <c r="A20285" s="10" t="b">
        <v>0</v>
      </c>
      <c r="B20285" s="11" t="str">
        <f>IF(D20285&lt;&gt;"",IF(COUNTIF('USPTO TMs'!A:A,D20285)&gt;0,"Yes","No"),"")</f>
        <v/>
      </c>
      <c r="C20285" s="11"/>
      <c r="D20285" s="11"/>
      <c r="E20285" s="11"/>
      <c r="F20285" s="11"/>
      <c r="G20285" s="11"/>
      <c r="H20285" s="11"/>
      <c r="I20285" s="15"/>
    </row>
    <row r="20286" spans="1:9" ht="16.5">
      <c r="A20286" s="10" t="b">
        <v>0</v>
      </c>
      <c r="B20286" s="11" t="str">
        <f>IF(D20286&lt;&gt;"",IF(COUNTIF('USPTO TMs'!A:A,D20286)&gt;0,"Yes","No"),"")</f>
        <v/>
      </c>
      <c r="C20286" s="11"/>
      <c r="D20286" s="11"/>
      <c r="E20286" s="11"/>
      <c r="F20286" s="11"/>
      <c r="G20286" s="11"/>
      <c r="H20286" s="11"/>
      <c r="I20286" s="15"/>
    </row>
    <row r="20287" spans="1:9" ht="16.5">
      <c r="A20287" s="10" t="b">
        <v>0</v>
      </c>
      <c r="B20287" s="11" t="str">
        <f>IF(D20287&lt;&gt;"",IF(COUNTIF('USPTO TMs'!A:A,D20287)&gt;0,"Yes","No"),"")</f>
        <v/>
      </c>
      <c r="C20287" s="11"/>
      <c r="D20287" s="11"/>
      <c r="E20287" s="11"/>
      <c r="F20287" s="11"/>
      <c r="G20287" s="11"/>
      <c r="H20287" s="11"/>
      <c r="I20287" s="15"/>
    </row>
    <row r="20288" spans="1:9" ht="16.5">
      <c r="A20288" s="10" t="b">
        <v>0</v>
      </c>
      <c r="B20288" s="11" t="str">
        <f>IF(D20288&lt;&gt;"",IF(COUNTIF('USPTO TMs'!A:A,D20288)&gt;0,"Yes","No"),"")</f>
        <v/>
      </c>
      <c r="C20288" s="11"/>
      <c r="D20288" s="11"/>
      <c r="E20288" s="11"/>
      <c r="F20288" s="11"/>
      <c r="G20288" s="11"/>
      <c r="H20288" s="11"/>
      <c r="I20288" s="15"/>
    </row>
    <row r="20289" spans="1:9" ht="16.5">
      <c r="A20289" s="10" t="b">
        <v>0</v>
      </c>
      <c r="B20289" s="11" t="str">
        <f>IF(D20289&lt;&gt;"",IF(COUNTIF('USPTO TMs'!A:A,D20289)&gt;0,"Yes","No"),"")</f>
        <v/>
      </c>
      <c r="C20289" s="11"/>
      <c r="D20289" s="11"/>
      <c r="E20289" s="11"/>
      <c r="F20289" s="11"/>
      <c r="G20289" s="11"/>
      <c r="H20289" s="11"/>
      <c r="I20289" s="15"/>
    </row>
    <row r="20290" spans="1:9" ht="16.5">
      <c r="A20290" s="10" t="b">
        <v>0</v>
      </c>
      <c r="B20290" s="11" t="str">
        <f>IF(D20290&lt;&gt;"",IF(COUNTIF('USPTO TMs'!A:A,D20290)&gt;0,"Yes","No"),"")</f>
        <v/>
      </c>
      <c r="C20290" s="11"/>
      <c r="D20290" s="11"/>
      <c r="E20290" s="11"/>
      <c r="F20290" s="11"/>
      <c r="G20290" s="11"/>
      <c r="H20290" s="11"/>
      <c r="I20290" s="15"/>
    </row>
    <row r="20291" spans="1:9" ht="16.5">
      <c r="A20291" s="10" t="b">
        <v>0</v>
      </c>
      <c r="B20291" s="11" t="str">
        <f>IF(D20291&lt;&gt;"",IF(COUNTIF('USPTO TMs'!A:A,D20291)&gt;0,"Yes","No"),"")</f>
        <v/>
      </c>
      <c r="C20291" s="11"/>
      <c r="D20291" s="11"/>
      <c r="E20291" s="11"/>
      <c r="F20291" s="11"/>
      <c r="G20291" s="11"/>
      <c r="H20291" s="11"/>
      <c r="I20291" s="15"/>
    </row>
    <row r="20292" spans="1:9" ht="16.5">
      <c r="A20292" s="10" t="b">
        <v>0</v>
      </c>
      <c r="B20292" s="11" t="str">
        <f>IF(D20292&lt;&gt;"",IF(COUNTIF('USPTO TMs'!A:A,D20292)&gt;0,"Yes","No"),"")</f>
        <v/>
      </c>
      <c r="C20292" s="11"/>
      <c r="D20292" s="11"/>
      <c r="E20292" s="11"/>
      <c r="F20292" s="11"/>
      <c r="G20292" s="11"/>
      <c r="H20292" s="11"/>
      <c r="I20292" s="15"/>
    </row>
    <row r="20293" spans="1:9" ht="16.5">
      <c r="A20293" s="10" t="b">
        <v>0</v>
      </c>
      <c r="B20293" s="11" t="str">
        <f>IF(D20293&lt;&gt;"",IF(COUNTIF('USPTO TMs'!A:A,D20293)&gt;0,"Yes","No"),"")</f>
        <v/>
      </c>
      <c r="C20293" s="11"/>
      <c r="D20293" s="11"/>
      <c r="E20293" s="11"/>
      <c r="F20293" s="11"/>
      <c r="G20293" s="11"/>
      <c r="H20293" s="11"/>
      <c r="I20293" s="15"/>
    </row>
    <row r="20294" spans="1:9" ht="16.5">
      <c r="A20294" s="10" t="b">
        <v>0</v>
      </c>
      <c r="B20294" s="11" t="str">
        <f>IF(D20294&lt;&gt;"",IF(COUNTIF('USPTO TMs'!A:A,D20294)&gt;0,"Yes","No"),"")</f>
        <v/>
      </c>
      <c r="C20294" s="11"/>
      <c r="D20294" s="11"/>
      <c r="E20294" s="11"/>
      <c r="F20294" s="11"/>
      <c r="G20294" s="11"/>
      <c r="H20294" s="11"/>
      <c r="I20294" s="15"/>
    </row>
    <row r="20295" spans="1:9" ht="16.5">
      <c r="A20295" s="10" t="b">
        <v>0</v>
      </c>
      <c r="B20295" s="11" t="str">
        <f>IF(D20295&lt;&gt;"",IF(COUNTIF('USPTO TMs'!A:A,D20295)&gt;0,"Yes","No"),"")</f>
        <v/>
      </c>
      <c r="C20295" s="11"/>
      <c r="D20295" s="11"/>
      <c r="E20295" s="11"/>
      <c r="F20295" s="11"/>
      <c r="G20295" s="11"/>
      <c r="H20295" s="11"/>
      <c r="I20295" s="15"/>
    </row>
    <row r="20296" spans="1:9" ht="16.5">
      <c r="A20296" s="10" t="b">
        <v>0</v>
      </c>
      <c r="B20296" s="11" t="str">
        <f>IF(D20296&lt;&gt;"",IF(COUNTIF('USPTO TMs'!A:A,D20296)&gt;0,"Yes","No"),"")</f>
        <v/>
      </c>
      <c r="C20296" s="11"/>
      <c r="D20296" s="11"/>
      <c r="E20296" s="11"/>
      <c r="F20296" s="11"/>
      <c r="G20296" s="11"/>
      <c r="H20296" s="11"/>
      <c r="I20296" s="15"/>
    </row>
    <row r="20297" spans="1:9" ht="16.5">
      <c r="A20297" s="10" t="b">
        <v>0</v>
      </c>
      <c r="B20297" s="11" t="str">
        <f>IF(D20297&lt;&gt;"",IF(COUNTIF('USPTO TMs'!A:A,D20297)&gt;0,"Yes","No"),"")</f>
        <v/>
      </c>
      <c r="C20297" s="11"/>
      <c r="D20297" s="11"/>
      <c r="E20297" s="11"/>
      <c r="F20297" s="11"/>
      <c r="G20297" s="11"/>
      <c r="H20297" s="11"/>
      <c r="I20297" s="15"/>
    </row>
    <row r="20298" spans="1:9" ht="16.5">
      <c r="A20298" s="10" t="b">
        <v>0</v>
      </c>
      <c r="B20298" s="11" t="str">
        <f>IF(D20298&lt;&gt;"",IF(COUNTIF('USPTO TMs'!A:A,D20298)&gt;0,"Yes","No"),"")</f>
        <v/>
      </c>
      <c r="C20298" s="11"/>
      <c r="D20298" s="11"/>
      <c r="E20298" s="11"/>
      <c r="F20298" s="11"/>
      <c r="G20298" s="11"/>
      <c r="H20298" s="11"/>
      <c r="I20298" s="15"/>
    </row>
    <row r="20299" spans="1:9" ht="16.5">
      <c r="A20299" s="10" t="b">
        <v>0</v>
      </c>
      <c r="B20299" s="11" t="str">
        <f>IF(D20299&lt;&gt;"",IF(COUNTIF('USPTO TMs'!A:A,D20299)&gt;0,"Yes","No"),"")</f>
        <v/>
      </c>
      <c r="C20299" s="11"/>
      <c r="D20299" s="11"/>
      <c r="E20299" s="11"/>
      <c r="F20299" s="11"/>
      <c r="G20299" s="11"/>
      <c r="H20299" s="11"/>
      <c r="I20299" s="15"/>
    </row>
    <row r="20300" spans="1:9" ht="16.5">
      <c r="A20300" s="10" t="b">
        <v>0</v>
      </c>
      <c r="B20300" s="11" t="str">
        <f>IF(D20300&lt;&gt;"",IF(COUNTIF('USPTO TMs'!A:A,D20300)&gt;0,"Yes","No"),"")</f>
        <v/>
      </c>
      <c r="C20300" s="11"/>
      <c r="D20300" s="11"/>
      <c r="E20300" s="11"/>
      <c r="F20300" s="11"/>
      <c r="G20300" s="11"/>
      <c r="H20300" s="11"/>
      <c r="I20300" s="15"/>
    </row>
    <row r="20301" spans="1:9" ht="16.5">
      <c r="A20301" s="10" t="b">
        <v>0</v>
      </c>
      <c r="B20301" s="11" t="str">
        <f>IF(D20301&lt;&gt;"",IF(COUNTIF('USPTO TMs'!A:A,D20301)&gt;0,"Yes","No"),"")</f>
        <v/>
      </c>
      <c r="C20301" s="11"/>
      <c r="D20301" s="11"/>
      <c r="E20301" s="11"/>
      <c r="F20301" s="11"/>
      <c r="G20301" s="11"/>
      <c r="H20301" s="11"/>
      <c r="I20301" s="15"/>
    </row>
    <row r="20302" spans="1:9" ht="16.5">
      <c r="A20302" s="10" t="b">
        <v>0</v>
      </c>
      <c r="B20302" s="11" t="str">
        <f>IF(D20302&lt;&gt;"",IF(COUNTIF('USPTO TMs'!A:A,D20302)&gt;0,"Yes","No"),"")</f>
        <v/>
      </c>
      <c r="C20302" s="11"/>
      <c r="D20302" s="11"/>
      <c r="E20302" s="11"/>
      <c r="F20302" s="11"/>
      <c r="G20302" s="11"/>
      <c r="H20302" s="11"/>
      <c r="I20302" s="15"/>
    </row>
    <row r="20303" spans="1:9" ht="16.5">
      <c r="A20303" s="10" t="b">
        <v>0</v>
      </c>
      <c r="B20303" s="11" t="str">
        <f>IF(D20303&lt;&gt;"",IF(COUNTIF('USPTO TMs'!A:A,D20303)&gt;0,"Yes","No"),"")</f>
        <v/>
      </c>
      <c r="C20303" s="11"/>
      <c r="D20303" s="11"/>
      <c r="E20303" s="11"/>
      <c r="F20303" s="11"/>
      <c r="G20303" s="11"/>
      <c r="H20303" s="11"/>
      <c r="I20303" s="15"/>
    </row>
    <row r="20304" spans="1:9" ht="16.5">
      <c r="A20304" s="10" t="b">
        <v>0</v>
      </c>
      <c r="B20304" s="11" t="str">
        <f>IF(D20304&lt;&gt;"",IF(COUNTIF('USPTO TMs'!A:A,D20304)&gt;0,"Yes","No"),"")</f>
        <v/>
      </c>
      <c r="C20304" s="11"/>
      <c r="D20304" s="11"/>
      <c r="E20304" s="11"/>
      <c r="F20304" s="11"/>
      <c r="G20304" s="11"/>
      <c r="H20304" s="11"/>
      <c r="I20304" s="15"/>
    </row>
    <row r="20305" spans="1:9" ht="16.5">
      <c r="A20305" s="10" t="b">
        <v>0</v>
      </c>
      <c r="B20305" s="11" t="str">
        <f>IF(D20305&lt;&gt;"",IF(COUNTIF('USPTO TMs'!A:A,D20305)&gt;0,"Yes","No"),"")</f>
        <v/>
      </c>
      <c r="C20305" s="11"/>
      <c r="D20305" s="11"/>
      <c r="E20305" s="11"/>
      <c r="F20305" s="11"/>
      <c r="G20305" s="11"/>
      <c r="H20305" s="11"/>
      <c r="I20305" s="15"/>
    </row>
    <row r="20306" spans="1:9" ht="16.5">
      <c r="A20306" s="10" t="b">
        <v>0</v>
      </c>
      <c r="B20306" s="11" t="str">
        <f>IF(D20306&lt;&gt;"",IF(COUNTIF('USPTO TMs'!A:A,D20306)&gt;0,"Yes","No"),"")</f>
        <v/>
      </c>
      <c r="C20306" s="11"/>
      <c r="D20306" s="11"/>
      <c r="E20306" s="11"/>
      <c r="F20306" s="11"/>
      <c r="G20306" s="11"/>
      <c r="H20306" s="11"/>
      <c r="I20306" s="15"/>
    </row>
    <row r="20307" spans="1:9" ht="16.5">
      <c r="A20307" s="10" t="b">
        <v>0</v>
      </c>
      <c r="B20307" s="11" t="str">
        <f>IF(D20307&lt;&gt;"",IF(COUNTIF('USPTO TMs'!A:A,D20307)&gt;0,"Yes","No"),"")</f>
        <v/>
      </c>
      <c r="C20307" s="11"/>
      <c r="D20307" s="11"/>
      <c r="E20307" s="11"/>
      <c r="F20307" s="11"/>
      <c r="G20307" s="11"/>
      <c r="H20307" s="11"/>
      <c r="I20307" s="15"/>
    </row>
    <row r="20308" spans="1:9" ht="16.5">
      <c r="A20308" s="10" t="b">
        <v>0</v>
      </c>
      <c r="B20308" s="11" t="str">
        <f>IF(D20308&lt;&gt;"",IF(COUNTIF('USPTO TMs'!A:A,D20308)&gt;0,"Yes","No"),"")</f>
        <v/>
      </c>
      <c r="C20308" s="11"/>
      <c r="D20308" s="11"/>
      <c r="E20308" s="11"/>
      <c r="F20308" s="11"/>
      <c r="G20308" s="11"/>
      <c r="H20308" s="11"/>
      <c r="I20308" s="15"/>
    </row>
    <row r="20309" spans="1:9" ht="16.5">
      <c r="A20309" s="10" t="b">
        <v>0</v>
      </c>
      <c r="B20309" s="11" t="str">
        <f>IF(D20309&lt;&gt;"",IF(COUNTIF('USPTO TMs'!A:A,D20309)&gt;0,"Yes","No"),"")</f>
        <v/>
      </c>
      <c r="C20309" s="11"/>
      <c r="D20309" s="11"/>
      <c r="E20309" s="11"/>
      <c r="F20309" s="11"/>
      <c r="G20309" s="11"/>
      <c r="H20309" s="11"/>
      <c r="I20309" s="15"/>
    </row>
    <row r="20310" spans="1:9" ht="16.5">
      <c r="A20310" s="10" t="b">
        <v>0</v>
      </c>
      <c r="B20310" s="11" t="str">
        <f>IF(D20310&lt;&gt;"",IF(COUNTIF('USPTO TMs'!A:A,D20310)&gt;0,"Yes","No"),"")</f>
        <v/>
      </c>
      <c r="C20310" s="11"/>
      <c r="D20310" s="11"/>
      <c r="E20310" s="11"/>
      <c r="F20310" s="11"/>
      <c r="G20310" s="11"/>
      <c r="H20310" s="11"/>
      <c r="I20310" s="15"/>
    </row>
    <row r="20311" spans="1:9" ht="16.5">
      <c r="A20311" s="10" t="b">
        <v>0</v>
      </c>
      <c r="B20311" s="11" t="str">
        <f>IF(D20311&lt;&gt;"",IF(COUNTIF('USPTO TMs'!A:A,D20311)&gt;0,"Yes","No"),"")</f>
        <v/>
      </c>
      <c r="C20311" s="11"/>
      <c r="D20311" s="11"/>
      <c r="E20311" s="11"/>
      <c r="F20311" s="11"/>
      <c r="G20311" s="11"/>
      <c r="H20311" s="11"/>
      <c r="I20311" s="15"/>
    </row>
    <row r="20312" spans="1:9" ht="16.5">
      <c r="A20312" s="10" t="b">
        <v>0</v>
      </c>
      <c r="B20312" s="11" t="str">
        <f>IF(D20312&lt;&gt;"",IF(COUNTIF('USPTO TMs'!A:A,D20312)&gt;0,"Yes","No"),"")</f>
        <v/>
      </c>
      <c r="C20312" s="11"/>
      <c r="D20312" s="11"/>
      <c r="E20312" s="11"/>
      <c r="F20312" s="11"/>
      <c r="G20312" s="11"/>
      <c r="H20312" s="11"/>
      <c r="I20312" s="15"/>
    </row>
    <row r="20313" spans="1:9" ht="16.5">
      <c r="A20313" s="10" t="b">
        <v>0</v>
      </c>
      <c r="B20313" s="11" t="str">
        <f>IF(D20313&lt;&gt;"",IF(COUNTIF('USPTO TMs'!A:A,D20313)&gt;0,"Yes","No"),"")</f>
        <v/>
      </c>
      <c r="C20313" s="11"/>
      <c r="D20313" s="11"/>
      <c r="E20313" s="11"/>
      <c r="F20313" s="11"/>
      <c r="G20313" s="11"/>
      <c r="H20313" s="11"/>
      <c r="I20313" s="15"/>
    </row>
    <row r="20314" spans="1:9" ht="16.5">
      <c r="A20314" s="10" t="b">
        <v>0</v>
      </c>
      <c r="B20314" s="11" t="str">
        <f>IF(D20314&lt;&gt;"",IF(COUNTIF('USPTO TMs'!A:A,D20314)&gt;0,"Yes","No"),"")</f>
        <v/>
      </c>
      <c r="C20314" s="11"/>
      <c r="D20314" s="11"/>
      <c r="E20314" s="11"/>
      <c r="F20314" s="11"/>
      <c r="G20314" s="11"/>
      <c r="H20314" s="11"/>
      <c r="I20314" s="15"/>
    </row>
    <row r="20315" spans="1:9" ht="16.5">
      <c r="A20315" s="10" t="b">
        <v>0</v>
      </c>
      <c r="B20315" s="11" t="str">
        <f>IF(D20315&lt;&gt;"",IF(COUNTIF('USPTO TMs'!A:A,D20315)&gt;0,"Yes","No"),"")</f>
        <v/>
      </c>
      <c r="C20315" s="11"/>
      <c r="D20315" s="11"/>
      <c r="E20315" s="11"/>
      <c r="F20315" s="11"/>
      <c r="G20315" s="11"/>
      <c r="H20315" s="11"/>
      <c r="I20315" s="15"/>
    </row>
    <row r="20316" spans="1:9" ht="16.5">
      <c r="A20316" s="10" t="b">
        <v>0</v>
      </c>
      <c r="B20316" s="11" t="str">
        <f>IF(D20316&lt;&gt;"",IF(COUNTIF('USPTO TMs'!A:A,D20316)&gt;0,"Yes","No"),"")</f>
        <v/>
      </c>
      <c r="C20316" s="11"/>
      <c r="D20316" s="11"/>
      <c r="E20316" s="11"/>
      <c r="F20316" s="11"/>
      <c r="G20316" s="11"/>
      <c r="H20316" s="11"/>
      <c r="I20316" s="15"/>
    </row>
    <row r="20317" spans="1:9" ht="16.5">
      <c r="A20317" s="10" t="b">
        <v>0</v>
      </c>
      <c r="B20317" s="11" t="str">
        <f>IF(D20317&lt;&gt;"",IF(COUNTIF('USPTO TMs'!A:A,D20317)&gt;0,"Yes","No"),"")</f>
        <v/>
      </c>
      <c r="C20317" s="11"/>
      <c r="D20317" s="11"/>
      <c r="E20317" s="11"/>
      <c r="F20317" s="11"/>
      <c r="G20317" s="11"/>
      <c r="H20317" s="11"/>
      <c r="I20317" s="15"/>
    </row>
    <row r="20318" spans="1:9" ht="16.5">
      <c r="A20318" s="10" t="b">
        <v>0</v>
      </c>
      <c r="B20318" s="11" t="str">
        <f>IF(D20318&lt;&gt;"",IF(COUNTIF('USPTO TMs'!A:A,D20318)&gt;0,"Yes","No"),"")</f>
        <v/>
      </c>
      <c r="C20318" s="11"/>
      <c r="D20318" s="11"/>
      <c r="E20318" s="11"/>
      <c r="F20318" s="11"/>
      <c r="G20318" s="11"/>
      <c r="H20318" s="11"/>
      <c r="I20318" s="15"/>
    </row>
    <row r="20319" spans="1:9" ht="16.5">
      <c r="A20319" s="10" t="b">
        <v>0</v>
      </c>
      <c r="B20319" s="11" t="str">
        <f>IF(D20319&lt;&gt;"",IF(COUNTIF('USPTO TMs'!A:A,D20319)&gt;0,"Yes","No"),"")</f>
        <v/>
      </c>
      <c r="C20319" s="11"/>
      <c r="D20319" s="11"/>
      <c r="E20319" s="11"/>
      <c r="F20319" s="11"/>
      <c r="G20319" s="11"/>
      <c r="H20319" s="11"/>
      <c r="I20319" s="15"/>
    </row>
    <row r="20320" spans="1:9" ht="16.5">
      <c r="A20320" s="10" t="b">
        <v>0</v>
      </c>
      <c r="B20320" s="11" t="str">
        <f>IF(D20320&lt;&gt;"",IF(COUNTIF('USPTO TMs'!A:A,D20320)&gt;0,"Yes","No"),"")</f>
        <v/>
      </c>
      <c r="C20320" s="11"/>
      <c r="D20320" s="11"/>
      <c r="E20320" s="11"/>
      <c r="F20320" s="11"/>
      <c r="G20320" s="11"/>
      <c r="H20320" s="11"/>
      <c r="I20320" s="15"/>
    </row>
    <row r="20321" spans="1:9" ht="16.5">
      <c r="A20321" s="10" t="b">
        <v>0</v>
      </c>
      <c r="B20321" s="11" t="str">
        <f>IF(D20321&lt;&gt;"",IF(COUNTIF('USPTO TMs'!A:A,D20321)&gt;0,"Yes","No"),"")</f>
        <v/>
      </c>
      <c r="C20321" s="11"/>
      <c r="D20321" s="11"/>
      <c r="E20321" s="11"/>
      <c r="F20321" s="11"/>
      <c r="G20321" s="11"/>
      <c r="H20321" s="11"/>
      <c r="I20321" s="15"/>
    </row>
    <row r="20322" spans="1:9" ht="16.5">
      <c r="A20322" s="10" t="b">
        <v>0</v>
      </c>
      <c r="B20322" s="11" t="str">
        <f>IF(D20322&lt;&gt;"",IF(COUNTIF('USPTO TMs'!A:A,D20322)&gt;0,"Yes","No"),"")</f>
        <v/>
      </c>
      <c r="C20322" s="11"/>
      <c r="D20322" s="11"/>
      <c r="E20322" s="11"/>
      <c r="F20322" s="11"/>
      <c r="G20322" s="11"/>
      <c r="H20322" s="11"/>
      <c r="I20322" s="15"/>
    </row>
    <row r="20323" spans="1:9" ht="16.5">
      <c r="A20323" s="10" t="b">
        <v>0</v>
      </c>
      <c r="B20323" s="11" t="str">
        <f>IF(D20323&lt;&gt;"",IF(COUNTIF('USPTO TMs'!A:A,D20323)&gt;0,"Yes","No"),"")</f>
        <v/>
      </c>
      <c r="C20323" s="11"/>
      <c r="D20323" s="11"/>
      <c r="E20323" s="11"/>
      <c r="F20323" s="11"/>
      <c r="G20323" s="11"/>
      <c r="H20323" s="11"/>
      <c r="I20323" s="15"/>
    </row>
    <row r="20324" spans="1:9" ht="16.5">
      <c r="A20324" s="10" t="b">
        <v>0</v>
      </c>
      <c r="B20324" s="11" t="str">
        <f>IF(D20324&lt;&gt;"",IF(COUNTIF('USPTO TMs'!A:A,D20324)&gt;0,"Yes","No"),"")</f>
        <v/>
      </c>
      <c r="C20324" s="11"/>
      <c r="D20324" s="11"/>
      <c r="E20324" s="11"/>
      <c r="F20324" s="11"/>
      <c r="G20324" s="11"/>
      <c r="H20324" s="11"/>
      <c r="I20324" s="15"/>
    </row>
    <row r="20325" spans="1:9" ht="16.5">
      <c r="A20325" s="10" t="b">
        <v>0</v>
      </c>
      <c r="B20325" s="11" t="str">
        <f>IF(D20325&lt;&gt;"",IF(COUNTIF('USPTO TMs'!A:A,D20325)&gt;0,"Yes","No"),"")</f>
        <v/>
      </c>
      <c r="C20325" s="11"/>
      <c r="D20325" s="11"/>
      <c r="E20325" s="11"/>
      <c r="F20325" s="11"/>
      <c r="G20325" s="11"/>
      <c r="H20325" s="11"/>
      <c r="I20325" s="15"/>
    </row>
    <row r="20326" spans="1:9" ht="16.5">
      <c r="A20326" s="10" t="b">
        <v>0</v>
      </c>
      <c r="B20326" s="11" t="str">
        <f>IF(D20326&lt;&gt;"",IF(COUNTIF('USPTO TMs'!A:A,D20326)&gt;0,"Yes","No"),"")</f>
        <v/>
      </c>
      <c r="C20326" s="11"/>
      <c r="D20326" s="11"/>
      <c r="E20326" s="11"/>
      <c r="F20326" s="11"/>
      <c r="G20326" s="11"/>
      <c r="H20326" s="11"/>
      <c r="I20326" s="15"/>
    </row>
    <row r="20327" spans="1:9" ht="16.5">
      <c r="A20327" s="10" t="b">
        <v>0</v>
      </c>
      <c r="B20327" s="11" t="str">
        <f>IF(D20327&lt;&gt;"",IF(COUNTIF('USPTO TMs'!A:A,D20327)&gt;0,"Yes","No"),"")</f>
        <v/>
      </c>
      <c r="C20327" s="11"/>
      <c r="D20327" s="11"/>
      <c r="E20327" s="11"/>
      <c r="F20327" s="11"/>
      <c r="G20327" s="11"/>
      <c r="H20327" s="11"/>
      <c r="I20327" s="15"/>
    </row>
    <row r="20328" spans="1:9" ht="16.5">
      <c r="A20328" s="10" t="b">
        <v>0</v>
      </c>
      <c r="B20328" s="11" t="str">
        <f>IF(D20328&lt;&gt;"",IF(COUNTIF('USPTO TMs'!A:A,D20328)&gt;0,"Yes","No"),"")</f>
        <v/>
      </c>
      <c r="C20328" s="11"/>
      <c r="D20328" s="11"/>
      <c r="E20328" s="11"/>
      <c r="F20328" s="11"/>
      <c r="G20328" s="11"/>
      <c r="H20328" s="11"/>
      <c r="I20328" s="15"/>
    </row>
    <row r="20329" spans="1:9" ht="16.5">
      <c r="A20329" s="10" t="b">
        <v>0</v>
      </c>
      <c r="B20329" s="11" t="str">
        <f>IF(D20329&lt;&gt;"",IF(COUNTIF('USPTO TMs'!A:A,D20329)&gt;0,"Yes","No"),"")</f>
        <v/>
      </c>
      <c r="C20329" s="11"/>
      <c r="D20329" s="11"/>
      <c r="E20329" s="11"/>
      <c r="F20329" s="11"/>
      <c r="G20329" s="11"/>
      <c r="H20329" s="11"/>
      <c r="I20329" s="15"/>
    </row>
    <row r="20330" spans="1:9" ht="16.5">
      <c r="A20330" s="10" t="b">
        <v>0</v>
      </c>
      <c r="B20330" s="11" t="str">
        <f>IF(D20330&lt;&gt;"",IF(COUNTIF('USPTO TMs'!A:A,D20330)&gt;0,"Yes","No"),"")</f>
        <v/>
      </c>
      <c r="C20330" s="11"/>
      <c r="D20330" s="11"/>
      <c r="E20330" s="11"/>
      <c r="F20330" s="11"/>
      <c r="G20330" s="11"/>
      <c r="H20330" s="11"/>
      <c r="I20330" s="15"/>
    </row>
    <row r="20331" spans="1:9" ht="16.5">
      <c r="A20331" s="10" t="b">
        <v>0</v>
      </c>
      <c r="B20331" s="11" t="str">
        <f>IF(D20331&lt;&gt;"",IF(COUNTIF('USPTO TMs'!A:A,D20331)&gt;0,"Yes","No"),"")</f>
        <v/>
      </c>
      <c r="C20331" s="11"/>
      <c r="D20331" s="11"/>
      <c r="E20331" s="11"/>
      <c r="F20331" s="11"/>
      <c r="G20331" s="11"/>
      <c r="H20331" s="11"/>
      <c r="I20331" s="15"/>
    </row>
    <row r="20332" spans="1:9" ht="16.5">
      <c r="A20332" s="10" t="b">
        <v>0</v>
      </c>
      <c r="B20332" s="11" t="str">
        <f>IF(D20332&lt;&gt;"",IF(COUNTIF('USPTO TMs'!A:A,D20332)&gt;0,"Yes","No"),"")</f>
        <v/>
      </c>
      <c r="C20332" s="11"/>
      <c r="D20332" s="11"/>
      <c r="E20332" s="11"/>
      <c r="F20332" s="11"/>
      <c r="G20332" s="11"/>
      <c r="H20332" s="11"/>
      <c r="I20332" s="15"/>
    </row>
    <row r="20333" spans="1:9" ht="16.5">
      <c r="A20333" s="10" t="b">
        <v>0</v>
      </c>
      <c r="B20333" s="11" t="str">
        <f>IF(D20333&lt;&gt;"",IF(COUNTIF('USPTO TMs'!A:A,D20333)&gt;0,"Yes","No"),"")</f>
        <v/>
      </c>
      <c r="C20333" s="11"/>
      <c r="D20333" s="11"/>
      <c r="E20333" s="11"/>
      <c r="F20333" s="11"/>
      <c r="G20333" s="11"/>
      <c r="H20333" s="11"/>
      <c r="I20333" s="15"/>
    </row>
    <row r="20334" spans="1:9" ht="16.5">
      <c r="A20334" s="10" t="b">
        <v>0</v>
      </c>
      <c r="B20334" s="11" t="str">
        <f>IF(D20334&lt;&gt;"",IF(COUNTIF('USPTO TMs'!A:A,D20334)&gt;0,"Yes","No"),"")</f>
        <v/>
      </c>
      <c r="C20334" s="11"/>
      <c r="D20334" s="11"/>
      <c r="E20334" s="11"/>
      <c r="F20334" s="11"/>
      <c r="G20334" s="11"/>
      <c r="H20334" s="11"/>
      <c r="I20334" s="15"/>
    </row>
    <row r="20335" spans="1:9" ht="16.5">
      <c r="A20335" s="10" t="b">
        <v>0</v>
      </c>
      <c r="B20335" s="11" t="str">
        <f>IF(D20335&lt;&gt;"",IF(COUNTIF('USPTO TMs'!A:A,D20335)&gt;0,"Yes","No"),"")</f>
        <v/>
      </c>
      <c r="C20335" s="11"/>
      <c r="D20335" s="11"/>
      <c r="E20335" s="11"/>
      <c r="F20335" s="11"/>
      <c r="G20335" s="11"/>
      <c r="H20335" s="11"/>
      <c r="I20335" s="15"/>
    </row>
    <row r="20336" spans="1:9" ht="16.5">
      <c r="A20336" s="10" t="b">
        <v>0</v>
      </c>
      <c r="B20336" s="11" t="str">
        <f>IF(D20336&lt;&gt;"",IF(COUNTIF('USPTO TMs'!A:A,D20336)&gt;0,"Yes","No"),"")</f>
        <v/>
      </c>
      <c r="C20336" s="11"/>
      <c r="D20336" s="11"/>
      <c r="E20336" s="11"/>
      <c r="F20336" s="11"/>
      <c r="G20336" s="11"/>
      <c r="H20336" s="11"/>
      <c r="I20336" s="15"/>
    </row>
    <row r="20337" spans="1:9" ht="16.5">
      <c r="A20337" s="10" t="b">
        <v>0</v>
      </c>
      <c r="B20337" s="11" t="str">
        <f>IF(D20337&lt;&gt;"",IF(COUNTIF('USPTO TMs'!A:A,D20337)&gt;0,"Yes","No"),"")</f>
        <v/>
      </c>
      <c r="C20337" s="11"/>
      <c r="D20337" s="11"/>
      <c r="E20337" s="11"/>
      <c r="F20337" s="11"/>
      <c r="G20337" s="11"/>
      <c r="H20337" s="11"/>
      <c r="I20337" s="15"/>
    </row>
    <row r="20338" spans="1:9" ht="16.5">
      <c r="A20338" s="10" t="b">
        <v>0</v>
      </c>
      <c r="B20338" s="11" t="str">
        <f>IF(D20338&lt;&gt;"",IF(COUNTIF('USPTO TMs'!A:A,D20338)&gt;0,"Yes","No"),"")</f>
        <v/>
      </c>
      <c r="C20338" s="11"/>
      <c r="D20338" s="11"/>
      <c r="E20338" s="11"/>
      <c r="F20338" s="11"/>
      <c r="G20338" s="11"/>
      <c r="H20338" s="11"/>
      <c r="I20338" s="15"/>
    </row>
    <row r="20339" spans="1:9" ht="16.5">
      <c r="A20339" s="10" t="b">
        <v>0</v>
      </c>
      <c r="B20339" s="11" t="str">
        <f>IF(D20339&lt;&gt;"",IF(COUNTIF('USPTO TMs'!A:A,D20339)&gt;0,"Yes","No"),"")</f>
        <v/>
      </c>
      <c r="C20339" s="11"/>
      <c r="D20339" s="11"/>
      <c r="E20339" s="11"/>
      <c r="F20339" s="11"/>
      <c r="G20339" s="11"/>
      <c r="H20339" s="11"/>
      <c r="I20339" s="15"/>
    </row>
    <row r="20340" spans="1:9" ht="16.5">
      <c r="A20340" s="10" t="b">
        <v>0</v>
      </c>
      <c r="B20340" s="11" t="str">
        <f>IF(D20340&lt;&gt;"",IF(COUNTIF('USPTO TMs'!A:A,D20340)&gt;0,"Yes","No"),"")</f>
        <v/>
      </c>
      <c r="C20340" s="11"/>
      <c r="D20340" s="11"/>
      <c r="E20340" s="11"/>
      <c r="F20340" s="11"/>
      <c r="G20340" s="11"/>
      <c r="H20340" s="11"/>
      <c r="I20340" s="15"/>
    </row>
    <row r="20341" spans="1:9" ht="16.5">
      <c r="A20341" s="10" t="b">
        <v>0</v>
      </c>
      <c r="B20341" s="11" t="str">
        <f>IF(D20341&lt;&gt;"",IF(COUNTIF('USPTO TMs'!A:A,D20341)&gt;0,"Yes","No"),"")</f>
        <v/>
      </c>
      <c r="C20341" s="11"/>
      <c r="D20341" s="11"/>
      <c r="E20341" s="11"/>
      <c r="F20341" s="11"/>
      <c r="G20341" s="11"/>
      <c r="H20341" s="11"/>
      <c r="I20341" s="15"/>
    </row>
    <row r="20342" spans="1:9" ht="16.5">
      <c r="A20342" s="10" t="b">
        <v>0</v>
      </c>
      <c r="B20342" s="11" t="str">
        <f>IF(D20342&lt;&gt;"",IF(COUNTIF('USPTO TMs'!A:A,D20342)&gt;0,"Yes","No"),"")</f>
        <v/>
      </c>
      <c r="C20342" s="11"/>
      <c r="D20342" s="11"/>
      <c r="E20342" s="11"/>
      <c r="F20342" s="11"/>
      <c r="G20342" s="11"/>
      <c r="H20342" s="11"/>
      <c r="I20342" s="15"/>
    </row>
    <row r="20343" spans="1:9" ht="16.5">
      <c r="A20343" s="10" t="b">
        <v>0</v>
      </c>
      <c r="B20343" s="11" t="str">
        <f>IF(D20343&lt;&gt;"",IF(COUNTIF('USPTO TMs'!A:A,D20343)&gt;0,"Yes","No"),"")</f>
        <v/>
      </c>
      <c r="C20343" s="11"/>
      <c r="D20343" s="11"/>
      <c r="E20343" s="11"/>
      <c r="F20343" s="11"/>
      <c r="G20343" s="11"/>
      <c r="H20343" s="11"/>
      <c r="I20343" s="15"/>
    </row>
    <row r="20344" spans="1:9" ht="16.5">
      <c r="A20344" s="10" t="b">
        <v>0</v>
      </c>
      <c r="B20344" s="11" t="str">
        <f>IF(D20344&lt;&gt;"",IF(COUNTIF('USPTO TMs'!A:A,D20344)&gt;0,"Yes","No"),"")</f>
        <v/>
      </c>
      <c r="C20344" s="11"/>
      <c r="D20344" s="11"/>
      <c r="E20344" s="11"/>
      <c r="F20344" s="11"/>
      <c r="G20344" s="11"/>
      <c r="H20344" s="11"/>
      <c r="I20344" s="15"/>
    </row>
    <row r="20345" spans="1:9" ht="16.5">
      <c r="A20345" s="10" t="b">
        <v>0</v>
      </c>
      <c r="B20345" s="11" t="str">
        <f>IF(D20345&lt;&gt;"",IF(COUNTIF('USPTO TMs'!A:A,D20345)&gt;0,"Yes","No"),"")</f>
        <v/>
      </c>
      <c r="C20345" s="11"/>
      <c r="D20345" s="11"/>
      <c r="E20345" s="11"/>
      <c r="F20345" s="11"/>
      <c r="G20345" s="11"/>
      <c r="H20345" s="11"/>
      <c r="I20345" s="15"/>
    </row>
    <row r="20346" spans="1:9" ht="16.5">
      <c r="A20346" s="10" t="b">
        <v>0</v>
      </c>
      <c r="B20346" s="11" t="str">
        <f>IF(D20346&lt;&gt;"",IF(COUNTIF('USPTO TMs'!A:A,D20346)&gt;0,"Yes","No"),"")</f>
        <v/>
      </c>
      <c r="C20346" s="11"/>
      <c r="D20346" s="11"/>
      <c r="E20346" s="11"/>
      <c r="F20346" s="11"/>
      <c r="G20346" s="11"/>
      <c r="H20346" s="11"/>
      <c r="I20346" s="15"/>
    </row>
    <row r="20347" spans="1:9" ht="16.5">
      <c r="A20347" s="10" t="b">
        <v>0</v>
      </c>
      <c r="B20347" s="11" t="str">
        <f>IF(D20347&lt;&gt;"",IF(COUNTIF('USPTO TMs'!A:A,D20347)&gt;0,"Yes","No"),"")</f>
        <v/>
      </c>
      <c r="C20347" s="11"/>
      <c r="D20347" s="11"/>
      <c r="E20347" s="11"/>
      <c r="F20347" s="11"/>
      <c r="G20347" s="11"/>
      <c r="H20347" s="11"/>
      <c r="I20347" s="15"/>
    </row>
    <row r="20348" spans="1:9" ht="16.5">
      <c r="A20348" s="10" t="b">
        <v>0</v>
      </c>
      <c r="B20348" s="11" t="str">
        <f>IF(D20348&lt;&gt;"",IF(COUNTIF('USPTO TMs'!A:A,D20348)&gt;0,"Yes","No"),"")</f>
        <v/>
      </c>
      <c r="C20348" s="11"/>
      <c r="D20348" s="11"/>
      <c r="E20348" s="11"/>
      <c r="F20348" s="11"/>
      <c r="G20348" s="11"/>
      <c r="H20348" s="11"/>
      <c r="I20348" s="15"/>
    </row>
    <row r="20349" spans="1:9" ht="16.5">
      <c r="A20349" s="10" t="b">
        <v>0</v>
      </c>
      <c r="B20349" s="11" t="str">
        <f>IF(D20349&lt;&gt;"",IF(COUNTIF('USPTO TMs'!A:A,D20349)&gt;0,"Yes","No"),"")</f>
        <v/>
      </c>
      <c r="C20349" s="11"/>
      <c r="D20349" s="11"/>
      <c r="E20349" s="11"/>
      <c r="F20349" s="11"/>
      <c r="G20349" s="11"/>
      <c r="H20349" s="11"/>
      <c r="I20349" s="15"/>
    </row>
    <row r="20350" spans="1:9" ht="16.5">
      <c r="A20350" s="10" t="b">
        <v>0</v>
      </c>
      <c r="B20350" s="11" t="str">
        <f>IF(D20350&lt;&gt;"",IF(COUNTIF('USPTO TMs'!A:A,D20350)&gt;0,"Yes","No"),"")</f>
        <v/>
      </c>
      <c r="C20350" s="11"/>
      <c r="D20350" s="11"/>
      <c r="E20350" s="11"/>
      <c r="F20350" s="11"/>
      <c r="G20350" s="11"/>
      <c r="H20350" s="11"/>
      <c r="I20350" s="15"/>
    </row>
    <row r="20351" spans="1:9" ht="16.5">
      <c r="A20351" s="10" t="b">
        <v>0</v>
      </c>
      <c r="B20351" s="11" t="str">
        <f>IF(D20351&lt;&gt;"",IF(COUNTIF('USPTO TMs'!A:A,D20351)&gt;0,"Yes","No"),"")</f>
        <v/>
      </c>
      <c r="C20351" s="11"/>
      <c r="D20351" s="11"/>
      <c r="E20351" s="11"/>
      <c r="F20351" s="11"/>
      <c r="G20351" s="11"/>
      <c r="H20351" s="11"/>
      <c r="I20351" s="15"/>
    </row>
    <row r="20352" spans="1:9" ht="16.5">
      <c r="A20352" s="10" t="b">
        <v>0</v>
      </c>
      <c r="B20352" s="11" t="str">
        <f>IF(D20352&lt;&gt;"",IF(COUNTIF('USPTO TMs'!A:A,D20352)&gt;0,"Yes","No"),"")</f>
        <v/>
      </c>
      <c r="C20352" s="11"/>
      <c r="D20352" s="11"/>
      <c r="E20352" s="11"/>
      <c r="F20352" s="11"/>
      <c r="G20352" s="11"/>
      <c r="H20352" s="11"/>
      <c r="I20352" s="15"/>
    </row>
    <row r="20353" spans="1:9" ht="16.5">
      <c r="A20353" s="10" t="b">
        <v>0</v>
      </c>
      <c r="B20353" s="11" t="str">
        <f>IF(D20353&lt;&gt;"",IF(COUNTIF('USPTO TMs'!A:A,D20353)&gt;0,"Yes","No"),"")</f>
        <v/>
      </c>
      <c r="C20353" s="11"/>
      <c r="D20353" s="11"/>
      <c r="E20353" s="11"/>
      <c r="F20353" s="11"/>
      <c r="G20353" s="11"/>
      <c r="H20353" s="11"/>
      <c r="I20353" s="15"/>
    </row>
    <row r="20354" spans="1:9" ht="16.5">
      <c r="A20354" s="10" t="b">
        <v>0</v>
      </c>
      <c r="B20354" s="11" t="str">
        <f>IF(D20354&lt;&gt;"",IF(COUNTIF('USPTO TMs'!A:A,D20354)&gt;0,"Yes","No"),"")</f>
        <v/>
      </c>
      <c r="C20354" s="11"/>
      <c r="D20354" s="11"/>
      <c r="E20354" s="11"/>
      <c r="F20354" s="11"/>
      <c r="G20354" s="11"/>
      <c r="H20354" s="11"/>
      <c r="I20354" s="15"/>
    </row>
    <row r="20355" spans="1:9" ht="16.5">
      <c r="A20355" s="10" t="b">
        <v>0</v>
      </c>
      <c r="B20355" s="11" t="str">
        <f>IF(D20355&lt;&gt;"",IF(COUNTIF('USPTO TMs'!A:A,D20355)&gt;0,"Yes","No"),"")</f>
        <v/>
      </c>
      <c r="C20355" s="11"/>
      <c r="D20355" s="11"/>
      <c r="E20355" s="11"/>
      <c r="F20355" s="11"/>
      <c r="G20355" s="11"/>
      <c r="H20355" s="11"/>
      <c r="I20355" s="15"/>
    </row>
    <row r="20356" spans="1:9" ht="16.5">
      <c r="A20356" s="10" t="b">
        <v>0</v>
      </c>
      <c r="B20356" s="11" t="str">
        <f>IF(D20356&lt;&gt;"",IF(COUNTIF('USPTO TMs'!A:A,D20356)&gt;0,"Yes","No"),"")</f>
        <v/>
      </c>
      <c r="C20356" s="11"/>
      <c r="D20356" s="11"/>
      <c r="E20356" s="11"/>
      <c r="F20356" s="11"/>
      <c r="G20356" s="11"/>
      <c r="H20356" s="11"/>
      <c r="I20356" s="15"/>
    </row>
    <row r="20357" spans="1:9" ht="16.5">
      <c r="A20357" s="10" t="b">
        <v>0</v>
      </c>
      <c r="B20357" s="11" t="str">
        <f>IF(D20357&lt;&gt;"",IF(COUNTIF('USPTO TMs'!A:A,D20357)&gt;0,"Yes","No"),"")</f>
        <v/>
      </c>
      <c r="C20357" s="11"/>
      <c r="D20357" s="11"/>
      <c r="E20357" s="11"/>
      <c r="F20357" s="11"/>
      <c r="G20357" s="11"/>
      <c r="H20357" s="11"/>
      <c r="I20357" s="15"/>
    </row>
    <row r="20358" spans="1:9" ht="16.5">
      <c r="A20358" s="10" t="b">
        <v>0</v>
      </c>
      <c r="B20358" s="11" t="str">
        <f>IF(D20358&lt;&gt;"",IF(COUNTIF('USPTO TMs'!A:A,D20358)&gt;0,"Yes","No"),"")</f>
        <v/>
      </c>
      <c r="C20358" s="11"/>
      <c r="D20358" s="11"/>
      <c r="E20358" s="11"/>
      <c r="F20358" s="11"/>
      <c r="G20358" s="11"/>
      <c r="H20358" s="11"/>
      <c r="I20358" s="15"/>
    </row>
    <row r="20359" spans="1:9" ht="16.5">
      <c r="A20359" s="10" t="b">
        <v>0</v>
      </c>
      <c r="B20359" s="11" t="str">
        <f>IF(D20359&lt;&gt;"",IF(COUNTIF('USPTO TMs'!A:A,D20359)&gt;0,"Yes","No"),"")</f>
        <v/>
      </c>
      <c r="C20359" s="11"/>
      <c r="D20359" s="11"/>
      <c r="E20359" s="11"/>
      <c r="F20359" s="11"/>
      <c r="G20359" s="11"/>
      <c r="H20359" s="11"/>
      <c r="I20359" s="15"/>
    </row>
    <row r="20360" spans="1:9" ht="16.5">
      <c r="A20360" s="10" t="b">
        <v>0</v>
      </c>
      <c r="B20360" s="11" t="str">
        <f>IF(D20360&lt;&gt;"",IF(COUNTIF('USPTO TMs'!A:A,D20360)&gt;0,"Yes","No"),"")</f>
        <v/>
      </c>
      <c r="C20360" s="11"/>
      <c r="D20360" s="11"/>
      <c r="E20360" s="11"/>
      <c r="F20360" s="11"/>
      <c r="G20360" s="11"/>
      <c r="H20360" s="11"/>
      <c r="I20360" s="15"/>
    </row>
    <row r="20361" spans="1:9" ht="16.5">
      <c r="A20361" s="10" t="b">
        <v>0</v>
      </c>
      <c r="B20361" s="11" t="str">
        <f>IF(D20361&lt;&gt;"",IF(COUNTIF('USPTO TMs'!A:A,D20361)&gt;0,"Yes","No"),"")</f>
        <v/>
      </c>
      <c r="C20361" s="11"/>
      <c r="D20361" s="11"/>
      <c r="E20361" s="11"/>
      <c r="F20361" s="11"/>
      <c r="G20361" s="11"/>
      <c r="H20361" s="11"/>
      <c r="I20361" s="15"/>
    </row>
    <row r="20362" spans="1:9" ht="16.5">
      <c r="A20362" s="10" t="b">
        <v>0</v>
      </c>
      <c r="B20362" s="11" t="str">
        <f>IF(D20362&lt;&gt;"",IF(COUNTIF('USPTO TMs'!A:A,D20362)&gt;0,"Yes","No"),"")</f>
        <v/>
      </c>
      <c r="C20362" s="11"/>
      <c r="D20362" s="11"/>
      <c r="E20362" s="11"/>
      <c r="F20362" s="11"/>
      <c r="G20362" s="11"/>
      <c r="H20362" s="11"/>
      <c r="I20362" s="15"/>
    </row>
    <row r="20363" spans="1:9" ht="16.5">
      <c r="A20363" s="10" t="b">
        <v>0</v>
      </c>
      <c r="B20363" s="11" t="str">
        <f>IF(D20363&lt;&gt;"",IF(COUNTIF('USPTO TMs'!A:A,D20363)&gt;0,"Yes","No"),"")</f>
        <v/>
      </c>
      <c r="C20363" s="11"/>
      <c r="D20363" s="11"/>
      <c r="E20363" s="11"/>
      <c r="F20363" s="11"/>
      <c r="G20363" s="11"/>
      <c r="H20363" s="11"/>
      <c r="I20363" s="15"/>
    </row>
    <row r="20364" spans="1:9" ht="16.5">
      <c r="A20364" s="10" t="b">
        <v>0</v>
      </c>
      <c r="B20364" s="11" t="str">
        <f>IF(D20364&lt;&gt;"",IF(COUNTIF('USPTO TMs'!A:A,D20364)&gt;0,"Yes","No"),"")</f>
        <v/>
      </c>
      <c r="C20364" s="11"/>
      <c r="D20364" s="11"/>
      <c r="E20364" s="11"/>
      <c r="F20364" s="11"/>
      <c r="G20364" s="11"/>
      <c r="H20364" s="11"/>
      <c r="I20364" s="15"/>
    </row>
    <row r="20365" spans="1:9" ht="16.5">
      <c r="A20365" s="10" t="b">
        <v>0</v>
      </c>
      <c r="B20365" s="11" t="str">
        <f>IF(D20365&lt;&gt;"",IF(COUNTIF('USPTO TMs'!A:A,D20365)&gt;0,"Yes","No"),"")</f>
        <v/>
      </c>
      <c r="C20365" s="11"/>
      <c r="D20365" s="11"/>
      <c r="E20365" s="11"/>
      <c r="F20365" s="11"/>
      <c r="G20365" s="11"/>
      <c r="H20365" s="11"/>
      <c r="I20365" s="15"/>
    </row>
    <row r="20366" spans="1:9" ht="16.5">
      <c r="A20366" s="10" t="b">
        <v>0</v>
      </c>
      <c r="B20366" s="11" t="str">
        <f>IF(D20366&lt;&gt;"",IF(COUNTIF('USPTO TMs'!A:A,D20366)&gt;0,"Yes","No"),"")</f>
        <v/>
      </c>
      <c r="C20366" s="11"/>
      <c r="D20366" s="11"/>
      <c r="E20366" s="11"/>
      <c r="F20366" s="11"/>
      <c r="G20366" s="11"/>
      <c r="H20366" s="11"/>
      <c r="I20366" s="15"/>
    </row>
    <row r="20367" spans="1:9" ht="16.5">
      <c r="A20367" s="10" t="b">
        <v>0</v>
      </c>
      <c r="B20367" s="11" t="str">
        <f>IF(D20367&lt;&gt;"",IF(COUNTIF('USPTO TMs'!A:A,D20367)&gt;0,"Yes","No"),"")</f>
        <v/>
      </c>
      <c r="C20367" s="11"/>
      <c r="D20367" s="11"/>
      <c r="E20367" s="11"/>
      <c r="F20367" s="11"/>
      <c r="G20367" s="11"/>
      <c r="H20367" s="11"/>
      <c r="I20367" s="15"/>
    </row>
    <row r="20368" spans="1:9" ht="16.5">
      <c r="A20368" s="10" t="b">
        <v>0</v>
      </c>
      <c r="B20368" s="11" t="str">
        <f>IF(D20368&lt;&gt;"",IF(COUNTIF('USPTO TMs'!A:A,D20368)&gt;0,"Yes","No"),"")</f>
        <v/>
      </c>
      <c r="C20368" s="11"/>
      <c r="D20368" s="11"/>
      <c r="E20368" s="11"/>
      <c r="F20368" s="11"/>
      <c r="G20368" s="11"/>
      <c r="H20368" s="11"/>
      <c r="I20368" s="15"/>
    </row>
    <row r="20369" spans="1:9" ht="16.5">
      <c r="A20369" s="10" t="b">
        <v>0</v>
      </c>
      <c r="B20369" s="11" t="str">
        <f>IF(D20369&lt;&gt;"",IF(COUNTIF('USPTO TMs'!A:A,D20369)&gt;0,"Yes","No"),"")</f>
        <v/>
      </c>
      <c r="C20369" s="11"/>
      <c r="D20369" s="11"/>
      <c r="E20369" s="11"/>
      <c r="F20369" s="11"/>
      <c r="G20369" s="11"/>
      <c r="H20369" s="11"/>
      <c r="I20369" s="15"/>
    </row>
    <row r="20370" spans="1:9" ht="16.5">
      <c r="A20370" s="10" t="b">
        <v>0</v>
      </c>
      <c r="B20370" s="11" t="str">
        <f>IF(D20370&lt;&gt;"",IF(COUNTIF('USPTO TMs'!A:A,D20370)&gt;0,"Yes","No"),"")</f>
        <v/>
      </c>
      <c r="C20370" s="11"/>
      <c r="D20370" s="11"/>
      <c r="E20370" s="11"/>
      <c r="F20370" s="11"/>
      <c r="G20370" s="11"/>
      <c r="H20370" s="11"/>
      <c r="I20370" s="15"/>
    </row>
    <row r="20371" spans="1:9" ht="16.5">
      <c r="A20371" s="10" t="b">
        <v>0</v>
      </c>
      <c r="B20371" s="11" t="str">
        <f>IF(D20371&lt;&gt;"",IF(COUNTIF('USPTO TMs'!A:A,D20371)&gt;0,"Yes","No"),"")</f>
        <v/>
      </c>
      <c r="C20371" s="11"/>
      <c r="D20371" s="11"/>
      <c r="E20371" s="11"/>
      <c r="F20371" s="11"/>
      <c r="G20371" s="11"/>
      <c r="H20371" s="11"/>
      <c r="I20371" s="15"/>
    </row>
    <row r="20372" spans="1:9" ht="16.5">
      <c r="A20372" s="10" t="b">
        <v>0</v>
      </c>
      <c r="B20372" s="11" t="str">
        <f>IF(D20372&lt;&gt;"",IF(COUNTIF('USPTO TMs'!A:A,D20372)&gt;0,"Yes","No"),"")</f>
        <v/>
      </c>
      <c r="C20372" s="11"/>
      <c r="D20372" s="11"/>
      <c r="E20372" s="11"/>
      <c r="F20372" s="11"/>
      <c r="G20372" s="11"/>
      <c r="H20372" s="11"/>
      <c r="I20372" s="15"/>
    </row>
    <row r="20373" spans="1:9" ht="16.5">
      <c r="A20373" s="10" t="b">
        <v>0</v>
      </c>
      <c r="B20373" s="11" t="str">
        <f>IF(D20373&lt;&gt;"",IF(COUNTIF('USPTO TMs'!A:A,D20373)&gt;0,"Yes","No"),"")</f>
        <v/>
      </c>
      <c r="C20373" s="11"/>
      <c r="D20373" s="11"/>
      <c r="E20373" s="11"/>
      <c r="F20373" s="11"/>
      <c r="G20373" s="11"/>
      <c r="H20373" s="11"/>
      <c r="I20373" s="15"/>
    </row>
    <row r="20374" spans="1:9" ht="16.5">
      <c r="A20374" s="10" t="b">
        <v>0</v>
      </c>
      <c r="B20374" s="11" t="str">
        <f>IF(D20374&lt;&gt;"",IF(COUNTIF('USPTO TMs'!A:A,D20374)&gt;0,"Yes","No"),"")</f>
        <v/>
      </c>
      <c r="C20374" s="11"/>
      <c r="D20374" s="11"/>
      <c r="E20374" s="11"/>
      <c r="F20374" s="11"/>
      <c r="G20374" s="11"/>
      <c r="H20374" s="11"/>
      <c r="I20374" s="15"/>
    </row>
    <row r="20375" spans="1:9" ht="16.5">
      <c r="A20375" s="10" t="b">
        <v>0</v>
      </c>
      <c r="B20375" s="11" t="str">
        <f>IF(D20375&lt;&gt;"",IF(COUNTIF('USPTO TMs'!A:A,D20375)&gt;0,"Yes","No"),"")</f>
        <v/>
      </c>
      <c r="C20375" s="11"/>
      <c r="D20375" s="11"/>
      <c r="E20375" s="11"/>
      <c r="F20375" s="11"/>
      <c r="G20375" s="11"/>
      <c r="H20375" s="11"/>
      <c r="I20375" s="15"/>
    </row>
    <row r="20376" spans="1:9" ht="16.5">
      <c r="A20376" s="10" t="b">
        <v>0</v>
      </c>
      <c r="B20376" s="11" t="str">
        <f>IF(D20376&lt;&gt;"",IF(COUNTIF('USPTO TMs'!A:A,D20376)&gt;0,"Yes","No"),"")</f>
        <v/>
      </c>
      <c r="C20376" s="11"/>
      <c r="D20376" s="11"/>
      <c r="E20376" s="11"/>
      <c r="F20376" s="11"/>
      <c r="G20376" s="11"/>
      <c r="H20376" s="11"/>
      <c r="I20376" s="15"/>
    </row>
    <row r="20377" spans="1:9" ht="16.5">
      <c r="A20377" s="10" t="b">
        <v>0</v>
      </c>
      <c r="B20377" s="11" t="str">
        <f>IF(D20377&lt;&gt;"",IF(COUNTIF('USPTO TMs'!A:A,D20377)&gt;0,"Yes","No"),"")</f>
        <v/>
      </c>
      <c r="C20377" s="11"/>
      <c r="D20377" s="11"/>
      <c r="E20377" s="11"/>
      <c r="F20377" s="11"/>
      <c r="G20377" s="11"/>
      <c r="H20377" s="11"/>
      <c r="I20377" s="15"/>
    </row>
    <row r="20378" spans="1:9" ht="16.5">
      <c r="A20378" s="10" t="b">
        <v>0</v>
      </c>
      <c r="B20378" s="11" t="str">
        <f>IF(D20378&lt;&gt;"",IF(COUNTIF('USPTO TMs'!A:A,D20378)&gt;0,"Yes","No"),"")</f>
        <v/>
      </c>
      <c r="C20378" s="11"/>
      <c r="D20378" s="11"/>
      <c r="E20378" s="11"/>
      <c r="F20378" s="11"/>
      <c r="G20378" s="11"/>
      <c r="H20378" s="11"/>
      <c r="I20378" s="15"/>
    </row>
    <row r="20379" spans="1:9" ht="16.5">
      <c r="A20379" s="10" t="b">
        <v>0</v>
      </c>
      <c r="B20379" s="11" t="str">
        <f>IF(D20379&lt;&gt;"",IF(COUNTIF('USPTO TMs'!A:A,D20379)&gt;0,"Yes","No"),"")</f>
        <v/>
      </c>
      <c r="C20379" s="11"/>
      <c r="D20379" s="11"/>
      <c r="E20379" s="11"/>
      <c r="F20379" s="11"/>
      <c r="G20379" s="11"/>
      <c r="H20379" s="11"/>
      <c r="I20379" s="15"/>
    </row>
    <row r="20380" spans="1:9" ht="16.5">
      <c r="A20380" s="10" t="b">
        <v>0</v>
      </c>
      <c r="B20380" s="11" t="str">
        <f>IF(D20380&lt;&gt;"",IF(COUNTIF('USPTO TMs'!A:A,D20380)&gt;0,"Yes","No"),"")</f>
        <v/>
      </c>
      <c r="C20380" s="11"/>
      <c r="D20380" s="11"/>
      <c r="E20380" s="11"/>
      <c r="F20380" s="11"/>
      <c r="G20380" s="11"/>
      <c r="H20380" s="11"/>
      <c r="I20380" s="15"/>
    </row>
    <row r="20381" spans="1:9" ht="16.5">
      <c r="A20381" s="10" t="b">
        <v>0</v>
      </c>
      <c r="B20381" s="11" t="str">
        <f>IF(D20381&lt;&gt;"",IF(COUNTIF('USPTO TMs'!A:A,D20381)&gt;0,"Yes","No"),"")</f>
        <v/>
      </c>
      <c r="C20381" s="11"/>
      <c r="D20381" s="11"/>
      <c r="E20381" s="11"/>
      <c r="F20381" s="11"/>
      <c r="G20381" s="11"/>
      <c r="H20381" s="11"/>
      <c r="I20381" s="15"/>
    </row>
    <row r="20382" spans="1:9" ht="16.5">
      <c r="A20382" s="10" t="b">
        <v>0</v>
      </c>
      <c r="B20382" s="11" t="str">
        <f>IF(D20382&lt;&gt;"",IF(COUNTIF('USPTO TMs'!A:A,D20382)&gt;0,"Yes","No"),"")</f>
        <v/>
      </c>
      <c r="C20382" s="11"/>
      <c r="D20382" s="11"/>
      <c r="E20382" s="11"/>
      <c r="F20382" s="11"/>
      <c r="G20382" s="11"/>
      <c r="H20382" s="11"/>
      <c r="I20382" s="15"/>
    </row>
    <row r="20383" spans="1:9" ht="16.5">
      <c r="A20383" s="10" t="b">
        <v>0</v>
      </c>
      <c r="B20383" s="11" t="str">
        <f>IF(D20383&lt;&gt;"",IF(COUNTIF('USPTO TMs'!A:A,D20383)&gt;0,"Yes","No"),"")</f>
        <v/>
      </c>
      <c r="C20383" s="11"/>
      <c r="D20383" s="11"/>
      <c r="E20383" s="11"/>
      <c r="F20383" s="11"/>
      <c r="G20383" s="11"/>
      <c r="H20383" s="11"/>
      <c r="I20383" s="15"/>
    </row>
    <row r="20384" spans="1:9" ht="16.5">
      <c r="A20384" s="10" t="b">
        <v>0</v>
      </c>
      <c r="B20384" s="11" t="str">
        <f>IF(D20384&lt;&gt;"",IF(COUNTIF('USPTO TMs'!A:A,D20384)&gt;0,"Yes","No"),"")</f>
        <v/>
      </c>
      <c r="C20384" s="11"/>
      <c r="D20384" s="11"/>
      <c r="E20384" s="11"/>
      <c r="F20384" s="11"/>
      <c r="G20384" s="11"/>
      <c r="H20384" s="11"/>
      <c r="I20384" s="15"/>
    </row>
    <row r="20385" spans="1:9" ht="16.5">
      <c r="A20385" s="10" t="b">
        <v>0</v>
      </c>
      <c r="B20385" s="11" t="str">
        <f>IF(D20385&lt;&gt;"",IF(COUNTIF('USPTO TMs'!A:A,D20385)&gt;0,"Yes","No"),"")</f>
        <v/>
      </c>
      <c r="C20385" s="11"/>
      <c r="D20385" s="11"/>
      <c r="E20385" s="11"/>
      <c r="F20385" s="11"/>
      <c r="G20385" s="11"/>
      <c r="H20385" s="11"/>
      <c r="I20385" s="15"/>
    </row>
    <row r="20386" spans="1:9" ht="16.5">
      <c r="A20386" s="10" t="b">
        <v>0</v>
      </c>
      <c r="B20386" s="11" t="str">
        <f>IF(D20386&lt;&gt;"",IF(COUNTIF('USPTO TMs'!A:A,D20386)&gt;0,"Yes","No"),"")</f>
        <v/>
      </c>
      <c r="C20386" s="11"/>
      <c r="D20386" s="11"/>
      <c r="E20386" s="11"/>
      <c r="F20386" s="11"/>
      <c r="G20386" s="11"/>
      <c r="H20386" s="11"/>
      <c r="I20386" s="15"/>
    </row>
    <row r="20387" spans="1:9" ht="16.5">
      <c r="A20387" s="10" t="b">
        <v>0</v>
      </c>
      <c r="B20387" s="11" t="str">
        <f>IF(D20387&lt;&gt;"",IF(COUNTIF('USPTO TMs'!A:A,D20387)&gt;0,"Yes","No"),"")</f>
        <v/>
      </c>
      <c r="C20387" s="11"/>
      <c r="D20387" s="11"/>
      <c r="E20387" s="11"/>
      <c r="F20387" s="11"/>
      <c r="G20387" s="11"/>
      <c r="H20387" s="11"/>
      <c r="I20387" s="15"/>
    </row>
    <row r="20388" spans="1:9" ht="16.5">
      <c r="A20388" s="10" t="b">
        <v>0</v>
      </c>
      <c r="B20388" s="11" t="str">
        <f>IF(D20388&lt;&gt;"",IF(COUNTIF('USPTO TMs'!A:A,D20388)&gt;0,"Yes","No"),"")</f>
        <v/>
      </c>
      <c r="C20388" s="11"/>
      <c r="D20388" s="11"/>
      <c r="E20388" s="11"/>
      <c r="F20388" s="11"/>
      <c r="G20388" s="11"/>
      <c r="H20388" s="11"/>
      <c r="I20388" s="15"/>
    </row>
    <row r="20389" spans="1:9" ht="16.5">
      <c r="A20389" s="10" t="b">
        <v>0</v>
      </c>
      <c r="B20389" s="11" t="str">
        <f>IF(D20389&lt;&gt;"",IF(COUNTIF('USPTO TMs'!A:A,D20389)&gt;0,"Yes","No"),"")</f>
        <v/>
      </c>
      <c r="C20389" s="11"/>
      <c r="D20389" s="11"/>
      <c r="E20389" s="11"/>
      <c r="F20389" s="11"/>
      <c r="G20389" s="11"/>
      <c r="H20389" s="11"/>
      <c r="I20389" s="15"/>
    </row>
    <row r="20390" spans="1:9" ht="16.5">
      <c r="A20390" s="10" t="b">
        <v>0</v>
      </c>
      <c r="B20390" s="11" t="str">
        <f>IF(D20390&lt;&gt;"",IF(COUNTIF('USPTO TMs'!A:A,D20390)&gt;0,"Yes","No"),"")</f>
        <v/>
      </c>
      <c r="C20390" s="11"/>
      <c r="D20390" s="11"/>
      <c r="E20390" s="11"/>
      <c r="F20390" s="11"/>
      <c r="G20390" s="11"/>
      <c r="H20390" s="11"/>
      <c r="I20390" s="15"/>
    </row>
    <row r="20391" spans="1:9" ht="16.5">
      <c r="A20391" s="10" t="b">
        <v>0</v>
      </c>
      <c r="B20391" s="11" t="str">
        <f>IF(D20391&lt;&gt;"",IF(COUNTIF('USPTO TMs'!A:A,D20391)&gt;0,"Yes","No"),"")</f>
        <v/>
      </c>
      <c r="C20391" s="11"/>
      <c r="D20391" s="11"/>
      <c r="E20391" s="11"/>
      <c r="F20391" s="11"/>
      <c r="G20391" s="11"/>
      <c r="H20391" s="11"/>
      <c r="I20391" s="15"/>
    </row>
    <row r="20392" spans="1:9" ht="16.5">
      <c r="A20392" s="10" t="b">
        <v>0</v>
      </c>
      <c r="B20392" s="11" t="str">
        <f>IF(D20392&lt;&gt;"",IF(COUNTIF('USPTO TMs'!A:A,D20392)&gt;0,"Yes","No"),"")</f>
        <v/>
      </c>
      <c r="C20392" s="11"/>
      <c r="D20392" s="11"/>
      <c r="E20392" s="11"/>
      <c r="F20392" s="11"/>
      <c r="G20392" s="11"/>
      <c r="H20392" s="11"/>
      <c r="I20392" s="15"/>
    </row>
    <row r="20393" spans="1:9" ht="16.5">
      <c r="A20393" s="10" t="b">
        <v>0</v>
      </c>
      <c r="B20393" s="11" t="str">
        <f>IF(D20393&lt;&gt;"",IF(COUNTIF('USPTO TMs'!A:A,D20393)&gt;0,"Yes","No"),"")</f>
        <v/>
      </c>
      <c r="C20393" s="11"/>
      <c r="D20393" s="11"/>
      <c r="E20393" s="11"/>
      <c r="F20393" s="11"/>
      <c r="G20393" s="11"/>
      <c r="H20393" s="11"/>
      <c r="I20393" s="15"/>
    </row>
    <row r="20394" spans="1:9" ht="16.5">
      <c r="A20394" s="10" t="b">
        <v>0</v>
      </c>
      <c r="B20394" s="11" t="str">
        <f>IF(D20394&lt;&gt;"",IF(COUNTIF('USPTO TMs'!A:A,D20394)&gt;0,"Yes","No"),"")</f>
        <v/>
      </c>
      <c r="C20394" s="11"/>
      <c r="D20394" s="11"/>
      <c r="E20394" s="11"/>
      <c r="F20394" s="11"/>
      <c r="G20394" s="11"/>
      <c r="H20394" s="11"/>
      <c r="I20394" s="15"/>
    </row>
    <row r="20395" spans="1:9" ht="16.5">
      <c r="A20395" s="10" t="b">
        <v>0</v>
      </c>
      <c r="B20395" s="11" t="str">
        <f>IF(D20395&lt;&gt;"",IF(COUNTIF('USPTO TMs'!A:A,D20395)&gt;0,"Yes","No"),"")</f>
        <v/>
      </c>
      <c r="C20395" s="11"/>
      <c r="D20395" s="11"/>
      <c r="E20395" s="11"/>
      <c r="F20395" s="11"/>
      <c r="G20395" s="11"/>
      <c r="H20395" s="11"/>
      <c r="I20395" s="15"/>
    </row>
    <row r="20396" spans="1:9" ht="16.5">
      <c r="A20396" s="10" t="b">
        <v>0</v>
      </c>
      <c r="B20396" s="11" t="str">
        <f>IF(D20396&lt;&gt;"",IF(COUNTIF('USPTO TMs'!A:A,D20396)&gt;0,"Yes","No"),"")</f>
        <v/>
      </c>
      <c r="C20396" s="11"/>
      <c r="D20396" s="11"/>
      <c r="E20396" s="11"/>
      <c r="F20396" s="11"/>
      <c r="G20396" s="11"/>
      <c r="H20396" s="11"/>
      <c r="I20396" s="15"/>
    </row>
    <row r="20397" spans="1:9" ht="16.5">
      <c r="A20397" s="10" t="b">
        <v>0</v>
      </c>
      <c r="B20397" s="11" t="str">
        <f>IF(D20397&lt;&gt;"",IF(COUNTIF('USPTO TMs'!A:A,D20397)&gt;0,"Yes","No"),"")</f>
        <v/>
      </c>
      <c r="C20397" s="11"/>
      <c r="D20397" s="11"/>
      <c r="E20397" s="11"/>
      <c r="F20397" s="11"/>
      <c r="G20397" s="11"/>
      <c r="H20397" s="11"/>
      <c r="I20397" s="15"/>
    </row>
    <row r="20398" spans="1:9" ht="16.5">
      <c r="A20398" s="10" t="b">
        <v>0</v>
      </c>
      <c r="B20398" s="11" t="str">
        <f>IF(D20398&lt;&gt;"",IF(COUNTIF('USPTO TMs'!A:A,D20398)&gt;0,"Yes","No"),"")</f>
        <v/>
      </c>
      <c r="C20398" s="11"/>
      <c r="D20398" s="11"/>
      <c r="E20398" s="11"/>
      <c r="F20398" s="11"/>
      <c r="G20398" s="11"/>
      <c r="H20398" s="11"/>
      <c r="I20398" s="15"/>
    </row>
    <row r="20399" spans="1:9" ht="16.5">
      <c r="A20399" s="10" t="b">
        <v>0</v>
      </c>
      <c r="B20399" s="11" t="str">
        <f>IF(D20399&lt;&gt;"",IF(COUNTIF('USPTO TMs'!A:A,D20399)&gt;0,"Yes","No"),"")</f>
        <v/>
      </c>
      <c r="C20399" s="11"/>
      <c r="D20399" s="11"/>
      <c r="E20399" s="11"/>
      <c r="F20399" s="11"/>
      <c r="G20399" s="11"/>
      <c r="H20399" s="11"/>
      <c r="I20399" s="15"/>
    </row>
    <row r="20400" spans="1:9" ht="16.5">
      <c r="A20400" s="10" t="b">
        <v>0</v>
      </c>
      <c r="B20400" s="11" t="str">
        <f>IF(D20400&lt;&gt;"",IF(COUNTIF('USPTO TMs'!A:A,D20400)&gt;0,"Yes","No"),"")</f>
        <v/>
      </c>
      <c r="C20400" s="11"/>
      <c r="D20400" s="11"/>
      <c r="E20400" s="11"/>
      <c r="F20400" s="11"/>
      <c r="G20400" s="11"/>
      <c r="H20400" s="11"/>
      <c r="I20400" s="15"/>
    </row>
    <row r="20401" spans="1:9" ht="16.5">
      <c r="A20401" s="10" t="b">
        <v>0</v>
      </c>
      <c r="B20401" s="11" t="str">
        <f>IF(D20401&lt;&gt;"",IF(COUNTIF('USPTO TMs'!A:A,D20401)&gt;0,"Yes","No"),"")</f>
        <v/>
      </c>
      <c r="C20401" s="11"/>
      <c r="D20401" s="11"/>
      <c r="E20401" s="11"/>
      <c r="F20401" s="11"/>
      <c r="G20401" s="11"/>
      <c r="H20401" s="11"/>
      <c r="I20401" s="15"/>
    </row>
    <row r="20402" spans="1:9" ht="16.5">
      <c r="A20402" s="10" t="b">
        <v>0</v>
      </c>
      <c r="B20402" s="11" t="str">
        <f>IF(D20402&lt;&gt;"",IF(COUNTIF('USPTO TMs'!A:A,D20402)&gt;0,"Yes","No"),"")</f>
        <v/>
      </c>
      <c r="C20402" s="11"/>
      <c r="D20402" s="11"/>
      <c r="E20402" s="11"/>
      <c r="F20402" s="11"/>
      <c r="G20402" s="11"/>
      <c r="H20402" s="11"/>
      <c r="I20402" s="15"/>
    </row>
    <row r="20403" spans="1:9" ht="16.5">
      <c r="A20403" s="10" t="b">
        <v>0</v>
      </c>
      <c r="B20403" s="11" t="str">
        <f>IF(D20403&lt;&gt;"",IF(COUNTIF('USPTO TMs'!A:A,D20403)&gt;0,"Yes","No"),"")</f>
        <v/>
      </c>
      <c r="C20403" s="11"/>
      <c r="D20403" s="11"/>
      <c r="E20403" s="11"/>
      <c r="F20403" s="11"/>
      <c r="G20403" s="11"/>
      <c r="H20403" s="11"/>
      <c r="I20403" s="15"/>
    </row>
    <row r="20404" spans="1:9" ht="16.5">
      <c r="A20404" s="10" t="b">
        <v>0</v>
      </c>
      <c r="B20404" s="11" t="str">
        <f>IF(D20404&lt;&gt;"",IF(COUNTIF('USPTO TMs'!A:A,D20404)&gt;0,"Yes","No"),"")</f>
        <v/>
      </c>
      <c r="C20404" s="11"/>
      <c r="D20404" s="11"/>
      <c r="E20404" s="11"/>
      <c r="F20404" s="11"/>
      <c r="G20404" s="11"/>
      <c r="H20404" s="11"/>
      <c r="I20404" s="15"/>
    </row>
    <row r="20405" spans="1:9" ht="16.5">
      <c r="A20405" s="10" t="b">
        <v>0</v>
      </c>
      <c r="B20405" s="11" t="str">
        <f>IF(D20405&lt;&gt;"",IF(COUNTIF('USPTO TMs'!A:A,D20405)&gt;0,"Yes","No"),"")</f>
        <v/>
      </c>
      <c r="C20405" s="11"/>
      <c r="D20405" s="11"/>
      <c r="E20405" s="11"/>
      <c r="F20405" s="11"/>
      <c r="G20405" s="11"/>
      <c r="H20405" s="11"/>
      <c r="I20405" s="15"/>
    </row>
    <row r="20406" spans="1:9" ht="16.5">
      <c r="A20406" s="10" t="b">
        <v>0</v>
      </c>
      <c r="B20406" s="11" t="str">
        <f>IF(D20406&lt;&gt;"",IF(COUNTIF('USPTO TMs'!A:A,D20406)&gt;0,"Yes","No"),"")</f>
        <v/>
      </c>
      <c r="C20406" s="11"/>
      <c r="D20406" s="11"/>
      <c r="E20406" s="11"/>
      <c r="F20406" s="11"/>
      <c r="G20406" s="11"/>
      <c r="H20406" s="11"/>
      <c r="I20406" s="15"/>
    </row>
    <row r="20407" spans="1:9" ht="16.5">
      <c r="A20407" s="10" t="b">
        <v>0</v>
      </c>
      <c r="B20407" s="11" t="str">
        <f>IF(D20407&lt;&gt;"",IF(COUNTIF('USPTO TMs'!A:A,D20407)&gt;0,"Yes","No"),"")</f>
        <v/>
      </c>
      <c r="C20407" s="11"/>
      <c r="D20407" s="11"/>
      <c r="E20407" s="11"/>
      <c r="F20407" s="11"/>
      <c r="G20407" s="11"/>
      <c r="H20407" s="11"/>
      <c r="I20407" s="15"/>
    </row>
    <row r="20408" spans="1:9" ht="16.5">
      <c r="A20408" s="10" t="b">
        <v>0</v>
      </c>
      <c r="B20408" s="11" t="str">
        <f>IF(D20408&lt;&gt;"",IF(COUNTIF('USPTO TMs'!A:A,D20408)&gt;0,"Yes","No"),"")</f>
        <v/>
      </c>
      <c r="C20408" s="11"/>
      <c r="D20408" s="11"/>
      <c r="E20408" s="11"/>
      <c r="F20408" s="11"/>
      <c r="G20408" s="11"/>
      <c r="H20408" s="11"/>
      <c r="I20408" s="15"/>
    </row>
    <row r="20409" spans="1:9" ht="16.5">
      <c r="A20409" s="10" t="b">
        <v>0</v>
      </c>
      <c r="B20409" s="11" t="str">
        <f>IF(D20409&lt;&gt;"",IF(COUNTIF('USPTO TMs'!A:A,D20409)&gt;0,"Yes","No"),"")</f>
        <v/>
      </c>
      <c r="C20409" s="11"/>
      <c r="D20409" s="11"/>
      <c r="E20409" s="11"/>
      <c r="F20409" s="11"/>
      <c r="G20409" s="11"/>
      <c r="H20409" s="11"/>
      <c r="I20409" s="15"/>
    </row>
    <row r="20410" spans="1:9" ht="16.5">
      <c r="A20410" s="10" t="b">
        <v>0</v>
      </c>
      <c r="B20410" s="11" t="str">
        <f>IF(D20410&lt;&gt;"",IF(COUNTIF('USPTO TMs'!A:A,D20410)&gt;0,"Yes","No"),"")</f>
        <v/>
      </c>
      <c r="C20410" s="11"/>
      <c r="D20410" s="11"/>
      <c r="E20410" s="11"/>
      <c r="F20410" s="11"/>
      <c r="G20410" s="11"/>
      <c r="H20410" s="11"/>
      <c r="I20410" s="15"/>
    </row>
    <row r="20411" spans="1:9" ht="16.5">
      <c r="A20411" s="10" t="b">
        <v>0</v>
      </c>
      <c r="B20411" s="11" t="str">
        <f>IF(D20411&lt;&gt;"",IF(COUNTIF('USPTO TMs'!A:A,D20411)&gt;0,"Yes","No"),"")</f>
        <v/>
      </c>
      <c r="C20411" s="11"/>
      <c r="D20411" s="11"/>
      <c r="E20411" s="11"/>
      <c r="F20411" s="11"/>
      <c r="G20411" s="11"/>
      <c r="H20411" s="11"/>
      <c r="I20411" s="15"/>
    </row>
    <row r="20412" spans="1:9" ht="16.5">
      <c r="A20412" s="10" t="b">
        <v>0</v>
      </c>
      <c r="B20412" s="11" t="str">
        <f>IF(D20412&lt;&gt;"",IF(COUNTIF('USPTO TMs'!A:A,D20412)&gt;0,"Yes","No"),"")</f>
        <v/>
      </c>
      <c r="C20412" s="11"/>
      <c r="D20412" s="11"/>
      <c r="E20412" s="11"/>
      <c r="F20412" s="11"/>
      <c r="G20412" s="11"/>
      <c r="H20412" s="11"/>
      <c r="I20412" s="15"/>
    </row>
    <row r="20413" spans="1:9" ht="16.5">
      <c r="A20413" s="10" t="b">
        <v>0</v>
      </c>
      <c r="B20413" s="11" t="str">
        <f>IF(D20413&lt;&gt;"",IF(COUNTIF('USPTO TMs'!A:A,D20413)&gt;0,"Yes","No"),"")</f>
        <v/>
      </c>
      <c r="C20413" s="11"/>
      <c r="D20413" s="11"/>
      <c r="E20413" s="11"/>
      <c r="F20413" s="11"/>
      <c r="G20413" s="11"/>
      <c r="H20413" s="11"/>
      <c r="I20413" s="15"/>
    </row>
    <row r="20414" spans="1:9" ht="16.5">
      <c r="A20414" s="10" t="b">
        <v>0</v>
      </c>
      <c r="B20414" s="11" t="str">
        <f>IF(D20414&lt;&gt;"",IF(COUNTIF('USPTO TMs'!A:A,D20414)&gt;0,"Yes","No"),"")</f>
        <v/>
      </c>
      <c r="C20414" s="11"/>
      <c r="D20414" s="11"/>
      <c r="E20414" s="11"/>
      <c r="F20414" s="11"/>
      <c r="G20414" s="11"/>
      <c r="H20414" s="11"/>
      <c r="I20414" s="15"/>
    </row>
    <row r="20415" spans="1:9" ht="16.5">
      <c r="A20415" s="10" t="b">
        <v>0</v>
      </c>
      <c r="B20415" s="11" t="str">
        <f>IF(D20415&lt;&gt;"",IF(COUNTIF('USPTO TMs'!A:A,D20415)&gt;0,"Yes","No"),"")</f>
        <v/>
      </c>
      <c r="C20415" s="11"/>
      <c r="D20415" s="11"/>
      <c r="E20415" s="11"/>
      <c r="F20415" s="11"/>
      <c r="G20415" s="11"/>
      <c r="H20415" s="11"/>
      <c r="I20415" s="15"/>
    </row>
    <row r="20416" spans="1:9" ht="16.5">
      <c r="A20416" s="10" t="b">
        <v>0</v>
      </c>
      <c r="B20416" s="11" t="str">
        <f>IF(D20416&lt;&gt;"",IF(COUNTIF('USPTO TMs'!A:A,D20416)&gt;0,"Yes","No"),"")</f>
        <v/>
      </c>
      <c r="C20416" s="11"/>
      <c r="D20416" s="11"/>
      <c r="E20416" s="11"/>
      <c r="F20416" s="11"/>
      <c r="G20416" s="11"/>
      <c r="H20416" s="11"/>
      <c r="I20416" s="15"/>
    </row>
    <row r="20417" spans="1:9" ht="16.5">
      <c r="A20417" s="10" t="b">
        <v>0</v>
      </c>
      <c r="B20417" s="11" t="str">
        <f>IF(D20417&lt;&gt;"",IF(COUNTIF('USPTO TMs'!A:A,D20417)&gt;0,"Yes","No"),"")</f>
        <v/>
      </c>
      <c r="C20417" s="11"/>
      <c r="D20417" s="11"/>
      <c r="E20417" s="11"/>
      <c r="F20417" s="11"/>
      <c r="G20417" s="11"/>
      <c r="H20417" s="11"/>
      <c r="I20417" s="15"/>
    </row>
    <row r="20418" spans="1:9" ht="16.5">
      <c r="A20418" s="10" t="b">
        <v>0</v>
      </c>
      <c r="B20418" s="11" t="str">
        <f>IF(D20418&lt;&gt;"",IF(COUNTIF('USPTO TMs'!A:A,D20418)&gt;0,"Yes","No"),"")</f>
        <v/>
      </c>
      <c r="C20418" s="11"/>
      <c r="D20418" s="11"/>
      <c r="E20418" s="11"/>
      <c r="F20418" s="11"/>
      <c r="G20418" s="11"/>
      <c r="H20418" s="11"/>
      <c r="I20418" s="15"/>
    </row>
    <row r="20419" spans="1:9" ht="16.5">
      <c r="A20419" s="10" t="b">
        <v>0</v>
      </c>
      <c r="B20419" s="11" t="str">
        <f>IF(D20419&lt;&gt;"",IF(COUNTIF('USPTO TMs'!A:A,D20419)&gt;0,"Yes","No"),"")</f>
        <v/>
      </c>
      <c r="C20419" s="11"/>
      <c r="D20419" s="11"/>
      <c r="E20419" s="11"/>
      <c r="F20419" s="11"/>
      <c r="G20419" s="11"/>
      <c r="H20419" s="11"/>
      <c r="I20419" s="15"/>
    </row>
    <row r="20420" spans="1:9" ht="16.5">
      <c r="A20420" s="10" t="b">
        <v>0</v>
      </c>
      <c r="B20420" s="11" t="str">
        <f>IF(D20420&lt;&gt;"",IF(COUNTIF('USPTO TMs'!A:A,D20420)&gt;0,"Yes","No"),"")</f>
        <v/>
      </c>
      <c r="C20420" s="11"/>
      <c r="D20420" s="11"/>
      <c r="E20420" s="11"/>
      <c r="F20420" s="11"/>
      <c r="G20420" s="11"/>
      <c r="H20420" s="11"/>
      <c r="I20420" s="15"/>
    </row>
    <row r="20421" spans="1:9" ht="16.5">
      <c r="A20421" s="10" t="b">
        <v>0</v>
      </c>
      <c r="B20421" s="11" t="str">
        <f>IF(D20421&lt;&gt;"",IF(COUNTIF('USPTO TMs'!A:A,D20421)&gt;0,"Yes","No"),"")</f>
        <v/>
      </c>
      <c r="C20421" s="11"/>
      <c r="D20421" s="11"/>
      <c r="E20421" s="11"/>
      <c r="F20421" s="11"/>
      <c r="G20421" s="11"/>
      <c r="H20421" s="11"/>
      <c r="I20421" s="15"/>
    </row>
    <row r="20422" spans="1:9" ht="16.5">
      <c r="A20422" s="10" t="b">
        <v>0</v>
      </c>
      <c r="B20422" s="11" t="str">
        <f>IF(D20422&lt;&gt;"",IF(COUNTIF('USPTO TMs'!A:A,D20422)&gt;0,"Yes","No"),"")</f>
        <v/>
      </c>
      <c r="C20422" s="11"/>
      <c r="D20422" s="11"/>
      <c r="E20422" s="11"/>
      <c r="F20422" s="11"/>
      <c r="G20422" s="11"/>
      <c r="H20422" s="11"/>
      <c r="I20422" s="15"/>
    </row>
    <row r="20423" spans="1:9" ht="16.5">
      <c r="A20423" s="10" t="b">
        <v>0</v>
      </c>
      <c r="B20423" s="11" t="str">
        <f>IF(D20423&lt;&gt;"",IF(COUNTIF('USPTO TMs'!A:A,D20423)&gt;0,"Yes","No"),"")</f>
        <v/>
      </c>
      <c r="C20423" s="11"/>
      <c r="D20423" s="11"/>
      <c r="E20423" s="11"/>
      <c r="F20423" s="11"/>
      <c r="G20423" s="11"/>
      <c r="H20423" s="11"/>
      <c r="I20423" s="15"/>
    </row>
    <row r="20424" spans="1:9" ht="16.5">
      <c r="A20424" s="10" t="b">
        <v>0</v>
      </c>
      <c r="B20424" s="11" t="str">
        <f>IF(D20424&lt;&gt;"",IF(COUNTIF('USPTO TMs'!A:A,D20424)&gt;0,"Yes","No"),"")</f>
        <v/>
      </c>
      <c r="C20424" s="11"/>
      <c r="D20424" s="11"/>
      <c r="E20424" s="11"/>
      <c r="F20424" s="11"/>
      <c r="G20424" s="11"/>
      <c r="H20424" s="11"/>
      <c r="I20424" s="15"/>
    </row>
    <row r="20425" spans="1:9" ht="16.5">
      <c r="A20425" s="10" t="b">
        <v>0</v>
      </c>
      <c r="B20425" s="11" t="str">
        <f>IF(D20425&lt;&gt;"",IF(COUNTIF('USPTO TMs'!A:A,D20425)&gt;0,"Yes","No"),"")</f>
        <v/>
      </c>
      <c r="C20425" s="11"/>
      <c r="D20425" s="11"/>
      <c r="E20425" s="11"/>
      <c r="F20425" s="11"/>
      <c r="G20425" s="11"/>
      <c r="H20425" s="11"/>
      <c r="I20425" s="15"/>
    </row>
    <row r="20426" spans="1:9" ht="16.5">
      <c r="A20426" s="10" t="b">
        <v>0</v>
      </c>
      <c r="B20426" s="11" t="str">
        <f>IF(D20426&lt;&gt;"",IF(COUNTIF('USPTO TMs'!A:A,D20426)&gt;0,"Yes","No"),"")</f>
        <v/>
      </c>
      <c r="C20426" s="11"/>
      <c r="D20426" s="11"/>
      <c r="E20426" s="11"/>
      <c r="F20426" s="11"/>
      <c r="G20426" s="11"/>
      <c r="H20426" s="11"/>
      <c r="I20426" s="15"/>
    </row>
    <row r="20427" spans="1:9" ht="16.5">
      <c r="A20427" s="10" t="b">
        <v>0</v>
      </c>
      <c r="B20427" s="11" t="str">
        <f>IF(D20427&lt;&gt;"",IF(COUNTIF('USPTO TMs'!A:A,D20427)&gt;0,"Yes","No"),"")</f>
        <v/>
      </c>
      <c r="C20427" s="11"/>
      <c r="D20427" s="11"/>
      <c r="E20427" s="11"/>
      <c r="F20427" s="11"/>
      <c r="G20427" s="11"/>
      <c r="H20427" s="11"/>
      <c r="I20427" s="15"/>
    </row>
    <row r="20428" spans="1:9" ht="16.5">
      <c r="A20428" s="10" t="b">
        <v>0</v>
      </c>
      <c r="B20428" s="11" t="str">
        <f>IF(D20428&lt;&gt;"",IF(COUNTIF('USPTO TMs'!A:A,D20428)&gt;0,"Yes","No"),"")</f>
        <v/>
      </c>
      <c r="C20428" s="11"/>
      <c r="D20428" s="11"/>
      <c r="E20428" s="11"/>
      <c r="F20428" s="11"/>
      <c r="G20428" s="11"/>
      <c r="H20428" s="11"/>
      <c r="I20428" s="15"/>
    </row>
    <row r="20429" spans="1:9" ht="16.5">
      <c r="A20429" s="10" t="b">
        <v>0</v>
      </c>
      <c r="B20429" s="11" t="str">
        <f>IF(D20429&lt;&gt;"",IF(COUNTIF('USPTO TMs'!A:A,D20429)&gt;0,"Yes","No"),"")</f>
        <v/>
      </c>
      <c r="C20429" s="11"/>
      <c r="D20429" s="11"/>
      <c r="E20429" s="11"/>
      <c r="F20429" s="11"/>
      <c r="G20429" s="11"/>
      <c r="H20429" s="11"/>
      <c r="I20429" s="15"/>
    </row>
    <row r="20430" spans="1:9" ht="16.5">
      <c r="A20430" s="10" t="b">
        <v>0</v>
      </c>
      <c r="B20430" s="11" t="str">
        <f>IF(D20430&lt;&gt;"",IF(COUNTIF('USPTO TMs'!A:A,D20430)&gt;0,"Yes","No"),"")</f>
        <v/>
      </c>
      <c r="C20430" s="11"/>
      <c r="D20430" s="11"/>
      <c r="E20430" s="11"/>
      <c r="F20430" s="11"/>
      <c r="G20430" s="11"/>
      <c r="H20430" s="11"/>
      <c r="I20430" s="15"/>
    </row>
    <row r="20431" spans="1:9" ht="16.5">
      <c r="A20431" s="10" t="b">
        <v>0</v>
      </c>
      <c r="B20431" s="11" t="str">
        <f>IF(D20431&lt;&gt;"",IF(COUNTIF('USPTO TMs'!A:A,D20431)&gt;0,"Yes","No"),"")</f>
        <v/>
      </c>
      <c r="C20431" s="11"/>
      <c r="D20431" s="11"/>
      <c r="E20431" s="11"/>
      <c r="F20431" s="11"/>
      <c r="G20431" s="11"/>
      <c r="H20431" s="11"/>
      <c r="I20431" s="15"/>
    </row>
    <row r="20432" spans="1:9" ht="16.5">
      <c r="A20432" s="10" t="b">
        <v>0</v>
      </c>
      <c r="B20432" s="11" t="str">
        <f>IF(D20432&lt;&gt;"",IF(COUNTIF('USPTO TMs'!A:A,D20432)&gt;0,"Yes","No"),"")</f>
        <v/>
      </c>
      <c r="C20432" s="11"/>
      <c r="D20432" s="11"/>
      <c r="E20432" s="11"/>
      <c r="F20432" s="11"/>
      <c r="G20432" s="11"/>
      <c r="H20432" s="11"/>
      <c r="I20432" s="15"/>
    </row>
    <row r="20433" spans="1:9" ht="16.5">
      <c r="A20433" s="10" t="b">
        <v>0</v>
      </c>
      <c r="B20433" s="11" t="str">
        <f>IF(D20433&lt;&gt;"",IF(COUNTIF('USPTO TMs'!A:A,D20433)&gt;0,"Yes","No"),"")</f>
        <v/>
      </c>
      <c r="C20433" s="11"/>
      <c r="D20433" s="11"/>
      <c r="E20433" s="11"/>
      <c r="F20433" s="11"/>
      <c r="G20433" s="11"/>
      <c r="H20433" s="11"/>
      <c r="I20433" s="15"/>
    </row>
    <row r="20434" spans="1:9" ht="16.5">
      <c r="A20434" s="10" t="b">
        <v>0</v>
      </c>
      <c r="B20434" s="11" t="str">
        <f>IF(D20434&lt;&gt;"",IF(COUNTIF('USPTO TMs'!A:A,D20434)&gt;0,"Yes","No"),"")</f>
        <v/>
      </c>
      <c r="C20434" s="11"/>
      <c r="D20434" s="11"/>
      <c r="E20434" s="11"/>
      <c r="F20434" s="11"/>
      <c r="G20434" s="11"/>
      <c r="H20434" s="11"/>
      <c r="I20434" s="15"/>
    </row>
    <row r="20435" spans="1:9" ht="16.5">
      <c r="A20435" s="10" t="b">
        <v>0</v>
      </c>
      <c r="B20435" s="11" t="str">
        <f>IF(D20435&lt;&gt;"",IF(COUNTIF('USPTO TMs'!A:A,D20435)&gt;0,"Yes","No"),"")</f>
        <v/>
      </c>
      <c r="C20435" s="11"/>
      <c r="D20435" s="11"/>
      <c r="E20435" s="11"/>
      <c r="F20435" s="11"/>
      <c r="G20435" s="11"/>
      <c r="H20435" s="11"/>
      <c r="I20435" s="15"/>
    </row>
    <row r="20436" spans="1:9" ht="16.5">
      <c r="A20436" s="10" t="b">
        <v>0</v>
      </c>
      <c r="B20436" s="11" t="str">
        <f>IF(D20436&lt;&gt;"",IF(COUNTIF('USPTO TMs'!A:A,D20436)&gt;0,"Yes","No"),"")</f>
        <v/>
      </c>
      <c r="C20436" s="11"/>
      <c r="D20436" s="11"/>
      <c r="E20436" s="11"/>
      <c r="F20436" s="11"/>
      <c r="G20436" s="11"/>
      <c r="H20436" s="11"/>
      <c r="I20436" s="15"/>
    </row>
    <row r="20437" spans="1:9" ht="16.5">
      <c r="A20437" s="10" t="b">
        <v>0</v>
      </c>
      <c r="B20437" s="11" t="str">
        <f>IF(D20437&lt;&gt;"",IF(COUNTIF('USPTO TMs'!A:A,D20437)&gt;0,"Yes","No"),"")</f>
        <v/>
      </c>
      <c r="C20437" s="11"/>
      <c r="D20437" s="11"/>
      <c r="E20437" s="11"/>
      <c r="F20437" s="11"/>
      <c r="G20437" s="11"/>
      <c r="H20437" s="11"/>
      <c r="I20437" s="15"/>
    </row>
    <row r="20438" spans="1:9" ht="16.5">
      <c r="A20438" s="10" t="b">
        <v>0</v>
      </c>
      <c r="B20438" s="11" t="str">
        <f>IF(D20438&lt;&gt;"",IF(COUNTIF('USPTO TMs'!A:A,D20438)&gt;0,"Yes","No"),"")</f>
        <v/>
      </c>
      <c r="C20438" s="11"/>
      <c r="D20438" s="11"/>
      <c r="E20438" s="11"/>
      <c r="F20438" s="11"/>
      <c r="G20438" s="11"/>
      <c r="H20438" s="11"/>
      <c r="I20438" s="15"/>
    </row>
    <row r="20439" spans="1:9" ht="16.5">
      <c r="A20439" s="10" t="b">
        <v>0</v>
      </c>
      <c r="B20439" s="11" t="str">
        <f>IF(D20439&lt;&gt;"",IF(COUNTIF('USPTO TMs'!A:A,D20439)&gt;0,"Yes","No"),"")</f>
        <v/>
      </c>
      <c r="C20439" s="11"/>
      <c r="D20439" s="11"/>
      <c r="E20439" s="11"/>
      <c r="F20439" s="11"/>
      <c r="G20439" s="11"/>
      <c r="H20439" s="11"/>
      <c r="I20439" s="15"/>
    </row>
    <row r="20440" spans="1:9" ht="16.5">
      <c r="A20440" s="10" t="b">
        <v>0</v>
      </c>
      <c r="B20440" s="11" t="str">
        <f>IF(D20440&lt;&gt;"",IF(COUNTIF('USPTO TMs'!A:A,D20440)&gt;0,"Yes","No"),"")</f>
        <v/>
      </c>
      <c r="C20440" s="11"/>
      <c r="D20440" s="11"/>
      <c r="E20440" s="11"/>
      <c r="F20440" s="11"/>
      <c r="G20440" s="11"/>
      <c r="H20440" s="11"/>
      <c r="I20440" s="15"/>
    </row>
    <row r="20441" spans="1:9" ht="16.5">
      <c r="A20441" s="10" t="b">
        <v>0</v>
      </c>
      <c r="B20441" s="11" t="str">
        <f>IF(D20441&lt;&gt;"",IF(COUNTIF('USPTO TMs'!A:A,D20441)&gt;0,"Yes","No"),"")</f>
        <v/>
      </c>
      <c r="C20441" s="11"/>
      <c r="D20441" s="11"/>
      <c r="E20441" s="11"/>
      <c r="F20441" s="11"/>
      <c r="G20441" s="11"/>
      <c r="H20441" s="11"/>
      <c r="I20441" s="15"/>
    </row>
    <row r="20442" spans="1:9" ht="16.5">
      <c r="A20442" s="10" t="b">
        <v>0</v>
      </c>
      <c r="B20442" s="11" t="str">
        <f>IF(D20442&lt;&gt;"",IF(COUNTIF('USPTO TMs'!A:A,D20442)&gt;0,"Yes","No"),"")</f>
        <v/>
      </c>
      <c r="C20442" s="11"/>
      <c r="D20442" s="11"/>
      <c r="E20442" s="11"/>
      <c r="F20442" s="11"/>
      <c r="G20442" s="11"/>
      <c r="H20442" s="11"/>
      <c r="I20442" s="15"/>
    </row>
    <row r="20443" spans="1:9" ht="16.5">
      <c r="A20443" s="10" t="b">
        <v>0</v>
      </c>
      <c r="B20443" s="11" t="str">
        <f>IF(D20443&lt;&gt;"",IF(COUNTIF('USPTO TMs'!A:A,D20443)&gt;0,"Yes","No"),"")</f>
        <v/>
      </c>
      <c r="C20443" s="11"/>
      <c r="D20443" s="11"/>
      <c r="E20443" s="11"/>
      <c r="F20443" s="11"/>
      <c r="G20443" s="11"/>
      <c r="H20443" s="11"/>
      <c r="I20443" s="15"/>
    </row>
    <row r="20444" spans="1:9" ht="16.5">
      <c r="A20444" s="10" t="b">
        <v>0</v>
      </c>
      <c r="B20444" s="11" t="str">
        <f>IF(D20444&lt;&gt;"",IF(COUNTIF('USPTO TMs'!A:A,D20444)&gt;0,"Yes","No"),"")</f>
        <v/>
      </c>
      <c r="C20444" s="11"/>
      <c r="D20444" s="11"/>
      <c r="E20444" s="11"/>
      <c r="F20444" s="11"/>
      <c r="G20444" s="11"/>
      <c r="H20444" s="11"/>
      <c r="I20444" s="15"/>
    </row>
    <row r="20445" spans="1:9" ht="16.5">
      <c r="A20445" s="10" t="b">
        <v>0</v>
      </c>
      <c r="B20445" s="11" t="str">
        <f>IF(D20445&lt;&gt;"",IF(COUNTIF('USPTO TMs'!A:A,D20445)&gt;0,"Yes","No"),"")</f>
        <v/>
      </c>
      <c r="C20445" s="11"/>
      <c r="D20445" s="11"/>
      <c r="E20445" s="11"/>
      <c r="F20445" s="11"/>
      <c r="G20445" s="11"/>
      <c r="H20445" s="11"/>
      <c r="I20445" s="15"/>
    </row>
    <row r="20446" spans="1:9" ht="16.5">
      <c r="A20446" s="10" t="b">
        <v>0</v>
      </c>
      <c r="B20446" s="11" t="str">
        <f>IF(D20446&lt;&gt;"",IF(COUNTIF('USPTO TMs'!A:A,D20446)&gt;0,"Yes","No"),"")</f>
        <v/>
      </c>
      <c r="C20446" s="11"/>
      <c r="D20446" s="11"/>
      <c r="E20446" s="11"/>
      <c r="F20446" s="11"/>
      <c r="G20446" s="11"/>
      <c r="H20446" s="11"/>
      <c r="I20446" s="15"/>
    </row>
    <row r="20447" spans="1:9" ht="16.5">
      <c r="A20447" s="10" t="b">
        <v>0</v>
      </c>
      <c r="B20447" s="11" t="str">
        <f>IF(D20447&lt;&gt;"",IF(COUNTIF('USPTO TMs'!A:A,D20447)&gt;0,"Yes","No"),"")</f>
        <v/>
      </c>
      <c r="C20447" s="11"/>
      <c r="D20447" s="11"/>
      <c r="E20447" s="11"/>
      <c r="F20447" s="11"/>
      <c r="G20447" s="11"/>
      <c r="H20447" s="11"/>
      <c r="I20447" s="15"/>
    </row>
    <row r="20448" spans="1:9" ht="16.5">
      <c r="A20448" s="10" t="b">
        <v>0</v>
      </c>
      <c r="B20448" s="11" t="str">
        <f>IF(D20448&lt;&gt;"",IF(COUNTIF('USPTO TMs'!A:A,D20448)&gt;0,"Yes","No"),"")</f>
        <v/>
      </c>
      <c r="C20448" s="11"/>
      <c r="D20448" s="11"/>
      <c r="E20448" s="11"/>
      <c r="F20448" s="11"/>
      <c r="G20448" s="11"/>
      <c r="H20448" s="11"/>
      <c r="I20448" s="15"/>
    </row>
    <row r="20449" spans="1:9" ht="16.5">
      <c r="A20449" s="10" t="b">
        <v>0</v>
      </c>
      <c r="B20449" s="11" t="str">
        <f>IF(D20449&lt;&gt;"",IF(COUNTIF('USPTO TMs'!A:A,D20449)&gt;0,"Yes","No"),"")</f>
        <v/>
      </c>
      <c r="C20449" s="11"/>
      <c r="D20449" s="11"/>
      <c r="E20449" s="11"/>
      <c r="F20449" s="11"/>
      <c r="G20449" s="11"/>
      <c r="H20449" s="11"/>
      <c r="I20449" s="15"/>
    </row>
    <row r="20450" spans="1:9" ht="16.5">
      <c r="A20450" s="10" t="b">
        <v>0</v>
      </c>
      <c r="B20450" s="11" t="str">
        <f>IF(D20450&lt;&gt;"",IF(COUNTIF('USPTO TMs'!A:A,D20450)&gt;0,"Yes","No"),"")</f>
        <v/>
      </c>
      <c r="C20450" s="11"/>
      <c r="D20450" s="11"/>
      <c r="E20450" s="11"/>
      <c r="F20450" s="11"/>
      <c r="G20450" s="11"/>
      <c r="H20450" s="11"/>
      <c r="I20450" s="15"/>
    </row>
    <row r="20451" spans="1:9" ht="16.5">
      <c r="A20451" s="10" t="b">
        <v>0</v>
      </c>
      <c r="B20451" s="11" t="str">
        <f>IF(D20451&lt;&gt;"",IF(COUNTIF('USPTO TMs'!A:A,D20451)&gt;0,"Yes","No"),"")</f>
        <v/>
      </c>
      <c r="C20451" s="11"/>
      <c r="D20451" s="11"/>
      <c r="E20451" s="11"/>
      <c r="F20451" s="11"/>
      <c r="G20451" s="11"/>
      <c r="H20451" s="11"/>
      <c r="I20451" s="15"/>
    </row>
    <row r="20452" spans="1:9" ht="16.5">
      <c r="A20452" s="10" t="b">
        <v>0</v>
      </c>
      <c r="B20452" s="11" t="str">
        <f>IF(D20452&lt;&gt;"",IF(COUNTIF('USPTO TMs'!A:A,D20452)&gt;0,"Yes","No"),"")</f>
        <v/>
      </c>
      <c r="C20452" s="11"/>
      <c r="D20452" s="11"/>
      <c r="E20452" s="11"/>
      <c r="F20452" s="11"/>
      <c r="G20452" s="11"/>
      <c r="H20452" s="11"/>
      <c r="I20452" s="15"/>
    </row>
    <row r="20453" spans="1:9" ht="16.5">
      <c r="A20453" s="10" t="b">
        <v>0</v>
      </c>
      <c r="B20453" s="11" t="str">
        <f>IF(D20453&lt;&gt;"",IF(COUNTIF('USPTO TMs'!A:A,D20453)&gt;0,"Yes","No"),"")</f>
        <v/>
      </c>
      <c r="C20453" s="11"/>
      <c r="D20453" s="11"/>
      <c r="E20453" s="11"/>
      <c r="F20453" s="11"/>
      <c r="G20453" s="11"/>
      <c r="H20453" s="11"/>
      <c r="I20453" s="15"/>
    </row>
    <row r="20454" spans="1:9" ht="16.5">
      <c r="A20454" s="10" t="b">
        <v>0</v>
      </c>
      <c r="B20454" s="11" t="str">
        <f>IF(D20454&lt;&gt;"",IF(COUNTIF('USPTO TMs'!A:A,D20454)&gt;0,"Yes","No"),"")</f>
        <v/>
      </c>
      <c r="C20454" s="11"/>
      <c r="D20454" s="11"/>
      <c r="E20454" s="11"/>
      <c r="F20454" s="11"/>
      <c r="G20454" s="11"/>
      <c r="H20454" s="11"/>
      <c r="I20454" s="15"/>
    </row>
    <row r="20455" spans="1:9" ht="16.5">
      <c r="A20455" s="10" t="b">
        <v>0</v>
      </c>
      <c r="B20455" s="11" t="str">
        <f>IF(D20455&lt;&gt;"",IF(COUNTIF('USPTO TMs'!A:A,D20455)&gt;0,"Yes","No"),"")</f>
        <v/>
      </c>
      <c r="C20455" s="11"/>
      <c r="D20455" s="11"/>
      <c r="E20455" s="11"/>
      <c r="F20455" s="11"/>
      <c r="G20455" s="11"/>
      <c r="H20455" s="11"/>
      <c r="I20455" s="15"/>
    </row>
    <row r="20456" spans="1:9" ht="16.5">
      <c r="A20456" s="10" t="b">
        <v>0</v>
      </c>
      <c r="B20456" s="11" t="str">
        <f>IF(D20456&lt;&gt;"",IF(COUNTIF('USPTO TMs'!A:A,D20456)&gt;0,"Yes","No"),"")</f>
        <v/>
      </c>
      <c r="C20456" s="11"/>
      <c r="D20456" s="11"/>
      <c r="E20456" s="11"/>
      <c r="F20456" s="11"/>
      <c r="G20456" s="11"/>
      <c r="H20456" s="11"/>
      <c r="I20456" s="15"/>
    </row>
    <row r="20457" spans="1:9" ht="16.5">
      <c r="A20457" s="10" t="b">
        <v>0</v>
      </c>
      <c r="B20457" s="11" t="str">
        <f>IF(D20457&lt;&gt;"",IF(COUNTIF('USPTO TMs'!A:A,D20457)&gt;0,"Yes","No"),"")</f>
        <v/>
      </c>
      <c r="C20457" s="11"/>
      <c r="D20457" s="11"/>
      <c r="E20457" s="11"/>
      <c r="F20457" s="11"/>
      <c r="G20457" s="11"/>
      <c r="H20457" s="11"/>
      <c r="I20457" s="15"/>
    </row>
    <row r="20458" spans="1:9" ht="16.5">
      <c r="A20458" s="10" t="b">
        <v>0</v>
      </c>
      <c r="B20458" s="11" t="str">
        <f>IF(D20458&lt;&gt;"",IF(COUNTIF('USPTO TMs'!A:A,D20458)&gt;0,"Yes","No"),"")</f>
        <v/>
      </c>
      <c r="C20458" s="11"/>
      <c r="D20458" s="11"/>
      <c r="E20458" s="11"/>
      <c r="F20458" s="11"/>
      <c r="G20458" s="11"/>
      <c r="H20458" s="11"/>
      <c r="I20458" s="15"/>
    </row>
    <row r="20459" spans="1:9" ht="16.5">
      <c r="A20459" s="10" t="b">
        <v>0</v>
      </c>
      <c r="B20459" s="11" t="str">
        <f>IF(D20459&lt;&gt;"",IF(COUNTIF('USPTO TMs'!A:A,D20459)&gt;0,"Yes","No"),"")</f>
        <v/>
      </c>
      <c r="C20459" s="11"/>
      <c r="D20459" s="11"/>
      <c r="E20459" s="11"/>
      <c r="F20459" s="11"/>
      <c r="G20459" s="11"/>
      <c r="H20459" s="11"/>
      <c r="I20459" s="15"/>
    </row>
    <row r="20460" spans="1:9" ht="16.5">
      <c r="A20460" s="10" t="b">
        <v>0</v>
      </c>
      <c r="B20460" s="11" t="str">
        <f>IF(D20460&lt;&gt;"",IF(COUNTIF('USPTO TMs'!A:A,D20460)&gt;0,"Yes","No"),"")</f>
        <v/>
      </c>
      <c r="C20460" s="11"/>
      <c r="D20460" s="11"/>
      <c r="E20460" s="11"/>
      <c r="F20460" s="11"/>
      <c r="G20460" s="11"/>
      <c r="H20460" s="11"/>
      <c r="I20460" s="15"/>
    </row>
    <row r="20461" spans="1:9" ht="16.5">
      <c r="A20461" s="10" t="b">
        <v>0</v>
      </c>
      <c r="B20461" s="11" t="str">
        <f>IF(D20461&lt;&gt;"",IF(COUNTIF('USPTO TMs'!A:A,D20461)&gt;0,"Yes","No"),"")</f>
        <v/>
      </c>
      <c r="C20461" s="11"/>
      <c r="D20461" s="11"/>
      <c r="E20461" s="11"/>
      <c r="F20461" s="11"/>
      <c r="G20461" s="11"/>
      <c r="H20461" s="11"/>
      <c r="I20461" s="15"/>
    </row>
    <row r="20462" spans="1:9" ht="16.5">
      <c r="A20462" s="10" t="b">
        <v>0</v>
      </c>
      <c r="B20462" s="11" t="str">
        <f>IF(D20462&lt;&gt;"",IF(COUNTIF('USPTO TMs'!A:A,D20462)&gt;0,"Yes","No"),"")</f>
        <v/>
      </c>
      <c r="C20462" s="11"/>
      <c r="D20462" s="11"/>
      <c r="E20462" s="11"/>
      <c r="F20462" s="11"/>
      <c r="G20462" s="11"/>
      <c r="H20462" s="11"/>
      <c r="I20462" s="15"/>
    </row>
    <row r="20463" spans="1:9" ht="16.5">
      <c r="A20463" s="10" t="b">
        <v>0</v>
      </c>
      <c r="B20463" s="11" t="str">
        <f>IF(D20463&lt;&gt;"",IF(COUNTIF('USPTO TMs'!A:A,D20463)&gt;0,"Yes","No"),"")</f>
        <v/>
      </c>
      <c r="C20463" s="11"/>
      <c r="D20463" s="11"/>
      <c r="E20463" s="11"/>
      <c r="F20463" s="11"/>
      <c r="G20463" s="11"/>
      <c r="H20463" s="11"/>
      <c r="I20463" s="15"/>
    </row>
    <row r="20464" spans="1:9" ht="16.5">
      <c r="A20464" s="10" t="b">
        <v>0</v>
      </c>
      <c r="B20464" s="11" t="str">
        <f>IF(D20464&lt;&gt;"",IF(COUNTIF('USPTO TMs'!A:A,D20464)&gt;0,"Yes","No"),"")</f>
        <v/>
      </c>
      <c r="C20464" s="11"/>
      <c r="D20464" s="11"/>
      <c r="E20464" s="11"/>
      <c r="F20464" s="11"/>
      <c r="G20464" s="11"/>
      <c r="H20464" s="11"/>
      <c r="I20464" s="15"/>
    </row>
    <row r="20465" spans="1:9" ht="16.5">
      <c r="A20465" s="10" t="b">
        <v>0</v>
      </c>
      <c r="B20465" s="11" t="str">
        <f>IF(D20465&lt;&gt;"",IF(COUNTIF('USPTO TMs'!A:A,D20465)&gt;0,"Yes","No"),"")</f>
        <v/>
      </c>
      <c r="C20465" s="11"/>
      <c r="D20465" s="11"/>
      <c r="E20465" s="11"/>
      <c r="F20465" s="11"/>
      <c r="G20465" s="11"/>
      <c r="H20465" s="11"/>
      <c r="I20465" s="15"/>
    </row>
    <row r="20466" spans="1:9" ht="16.5">
      <c r="A20466" s="10" t="b">
        <v>0</v>
      </c>
      <c r="B20466" s="11" t="str">
        <f>IF(D20466&lt;&gt;"",IF(COUNTIF('USPTO TMs'!A:A,D20466)&gt;0,"Yes","No"),"")</f>
        <v/>
      </c>
      <c r="C20466" s="11"/>
      <c r="D20466" s="11"/>
      <c r="E20466" s="11"/>
      <c r="F20466" s="11"/>
      <c r="G20466" s="11"/>
      <c r="H20466" s="11"/>
      <c r="I20466" s="15"/>
    </row>
    <row r="20467" spans="1:9" ht="16.5">
      <c r="A20467" s="10" t="b">
        <v>0</v>
      </c>
      <c r="B20467" s="11" t="str">
        <f>IF(D20467&lt;&gt;"",IF(COUNTIF('USPTO TMs'!A:A,D20467)&gt;0,"Yes","No"),"")</f>
        <v/>
      </c>
      <c r="C20467" s="11"/>
      <c r="D20467" s="11"/>
      <c r="E20467" s="11"/>
      <c r="F20467" s="11"/>
      <c r="G20467" s="11"/>
      <c r="H20467" s="11"/>
      <c r="I20467" s="15"/>
    </row>
    <row r="20468" spans="1:9" ht="16.5">
      <c r="A20468" s="10" t="b">
        <v>0</v>
      </c>
      <c r="B20468" s="11" t="str">
        <f>IF(D20468&lt;&gt;"",IF(COUNTIF('USPTO TMs'!A:A,D20468)&gt;0,"Yes","No"),"")</f>
        <v/>
      </c>
      <c r="C20468" s="11"/>
      <c r="D20468" s="11"/>
      <c r="E20468" s="11"/>
      <c r="F20468" s="11"/>
      <c r="G20468" s="11"/>
      <c r="H20468" s="11"/>
      <c r="I20468" s="15"/>
    </row>
    <row r="20469" spans="1:9" ht="16.5">
      <c r="A20469" s="10" t="b">
        <v>0</v>
      </c>
      <c r="B20469" s="11" t="str">
        <f>IF(D20469&lt;&gt;"",IF(COUNTIF('USPTO TMs'!A:A,D20469)&gt;0,"Yes","No"),"")</f>
        <v/>
      </c>
      <c r="C20469" s="11"/>
      <c r="D20469" s="11"/>
      <c r="E20469" s="11"/>
      <c r="F20469" s="11"/>
      <c r="G20469" s="11"/>
      <c r="H20469" s="11"/>
      <c r="I20469" s="15"/>
    </row>
    <row r="20470" spans="1:9" ht="16.5">
      <c r="A20470" s="10" t="b">
        <v>0</v>
      </c>
      <c r="B20470" s="11" t="str">
        <f>IF(D20470&lt;&gt;"",IF(COUNTIF('USPTO TMs'!A:A,D20470)&gt;0,"Yes","No"),"")</f>
        <v/>
      </c>
      <c r="C20470" s="11"/>
      <c r="D20470" s="11"/>
      <c r="E20470" s="11"/>
      <c r="F20470" s="11"/>
      <c r="G20470" s="11"/>
      <c r="H20470" s="11"/>
      <c r="I20470" s="15"/>
    </row>
    <row r="20471" spans="1:9" ht="16.5">
      <c r="A20471" s="10" t="b">
        <v>0</v>
      </c>
      <c r="B20471" s="11" t="str">
        <f>IF(D20471&lt;&gt;"",IF(COUNTIF('USPTO TMs'!A:A,D20471)&gt;0,"Yes","No"),"")</f>
        <v/>
      </c>
      <c r="C20471" s="11"/>
      <c r="D20471" s="11"/>
      <c r="E20471" s="11"/>
      <c r="F20471" s="11"/>
      <c r="G20471" s="11"/>
      <c r="H20471" s="11"/>
      <c r="I20471" s="15"/>
    </row>
    <row r="20472" spans="1:9" ht="16.5">
      <c r="A20472" s="10" t="b">
        <v>0</v>
      </c>
      <c r="B20472" s="11" t="str">
        <f>IF(D20472&lt;&gt;"",IF(COUNTIF('USPTO TMs'!A:A,D20472)&gt;0,"Yes","No"),"")</f>
        <v/>
      </c>
      <c r="C20472" s="11"/>
      <c r="D20472" s="11"/>
      <c r="E20472" s="11"/>
      <c r="F20472" s="11"/>
      <c r="G20472" s="11"/>
      <c r="H20472" s="11"/>
      <c r="I20472" s="15"/>
    </row>
    <row r="20473" spans="1:9" ht="16.5">
      <c r="A20473" s="10" t="b">
        <v>0</v>
      </c>
      <c r="B20473" s="11" t="str">
        <f>IF(D20473&lt;&gt;"",IF(COUNTIF('USPTO TMs'!A:A,D20473)&gt;0,"Yes","No"),"")</f>
        <v/>
      </c>
      <c r="C20473" s="11"/>
      <c r="D20473" s="11"/>
      <c r="E20473" s="11"/>
      <c r="F20473" s="11"/>
      <c r="G20473" s="11"/>
      <c r="H20473" s="11"/>
      <c r="I20473" s="15"/>
    </row>
    <row r="20474" spans="1:9" ht="16.5">
      <c r="A20474" s="10" t="b">
        <v>0</v>
      </c>
      <c r="B20474" s="11" t="str">
        <f>IF(D20474&lt;&gt;"",IF(COUNTIF('USPTO TMs'!A:A,D20474)&gt;0,"Yes","No"),"")</f>
        <v/>
      </c>
      <c r="C20474" s="11"/>
      <c r="D20474" s="11"/>
      <c r="E20474" s="11"/>
      <c r="F20474" s="11"/>
      <c r="G20474" s="11"/>
      <c r="H20474" s="11"/>
      <c r="I20474" s="15"/>
    </row>
    <row r="20475" spans="1:9" ht="16.5">
      <c r="A20475" s="10" t="b">
        <v>0</v>
      </c>
      <c r="B20475" s="11" t="str">
        <f>IF(D20475&lt;&gt;"",IF(COUNTIF('USPTO TMs'!A:A,D20475)&gt;0,"Yes","No"),"")</f>
        <v/>
      </c>
      <c r="C20475" s="11"/>
      <c r="D20475" s="11"/>
      <c r="E20475" s="11"/>
      <c r="F20475" s="11"/>
      <c r="G20475" s="11"/>
      <c r="H20475" s="11"/>
      <c r="I20475" s="15"/>
    </row>
    <row r="20476" spans="1:9" ht="16.5">
      <c r="A20476" s="10" t="b">
        <v>0</v>
      </c>
      <c r="B20476" s="11" t="str">
        <f>IF(D20476&lt;&gt;"",IF(COUNTIF('USPTO TMs'!A:A,D20476)&gt;0,"Yes","No"),"")</f>
        <v/>
      </c>
      <c r="C20476" s="11"/>
      <c r="D20476" s="11"/>
      <c r="E20476" s="11"/>
      <c r="F20476" s="11"/>
      <c r="G20476" s="11"/>
      <c r="H20476" s="11"/>
      <c r="I20476" s="15"/>
    </row>
    <row r="20477" spans="1:9" ht="16.5">
      <c r="A20477" s="10" t="b">
        <v>0</v>
      </c>
      <c r="B20477" s="11" t="str">
        <f>IF(D20477&lt;&gt;"",IF(COUNTIF('USPTO TMs'!A:A,D20477)&gt;0,"Yes","No"),"")</f>
        <v/>
      </c>
      <c r="C20477" s="11"/>
      <c r="D20477" s="11"/>
      <c r="E20477" s="11"/>
      <c r="F20477" s="11"/>
      <c r="G20477" s="11"/>
      <c r="H20477" s="11"/>
      <c r="I20477" s="15"/>
    </row>
    <row r="20478" spans="1:9" ht="16.5">
      <c r="A20478" s="10" t="b">
        <v>0</v>
      </c>
      <c r="B20478" s="11" t="str">
        <f>IF(D20478&lt;&gt;"",IF(COUNTIF('USPTO TMs'!A:A,D20478)&gt;0,"Yes","No"),"")</f>
        <v/>
      </c>
      <c r="C20478" s="11"/>
      <c r="D20478" s="11"/>
      <c r="E20478" s="11"/>
      <c r="F20478" s="11"/>
      <c r="G20478" s="11"/>
      <c r="H20478" s="11"/>
      <c r="I20478" s="15"/>
    </row>
    <row r="20479" spans="1:9" ht="16.5">
      <c r="A20479" s="10" t="b">
        <v>0</v>
      </c>
      <c r="B20479" s="11" t="str">
        <f>IF(D20479&lt;&gt;"",IF(COUNTIF('USPTO TMs'!A:A,D20479)&gt;0,"Yes","No"),"")</f>
        <v/>
      </c>
      <c r="C20479" s="11"/>
      <c r="D20479" s="11"/>
      <c r="E20479" s="11"/>
      <c r="F20479" s="11"/>
      <c r="G20479" s="11"/>
      <c r="H20479" s="11"/>
      <c r="I20479" s="15"/>
    </row>
    <row r="20480" spans="1:9" ht="16.5">
      <c r="A20480" s="10" t="b">
        <v>0</v>
      </c>
      <c r="B20480" s="11" t="str">
        <f>IF(D20480&lt;&gt;"",IF(COUNTIF('USPTO TMs'!A:A,D20480)&gt;0,"Yes","No"),"")</f>
        <v/>
      </c>
      <c r="C20480" s="11"/>
      <c r="D20480" s="11"/>
      <c r="E20480" s="11"/>
      <c r="F20480" s="11"/>
      <c r="G20480" s="11"/>
      <c r="H20480" s="11"/>
      <c r="I20480" s="15"/>
    </row>
    <row r="20481" spans="1:9" ht="16.5">
      <c r="A20481" s="10" t="b">
        <v>0</v>
      </c>
      <c r="B20481" s="11" t="str">
        <f>IF(D20481&lt;&gt;"",IF(COUNTIF('USPTO TMs'!A:A,D20481)&gt;0,"Yes","No"),"")</f>
        <v/>
      </c>
      <c r="C20481" s="11"/>
      <c r="D20481" s="11"/>
      <c r="E20481" s="11"/>
      <c r="F20481" s="11"/>
      <c r="G20481" s="11"/>
      <c r="H20481" s="11"/>
      <c r="I20481" s="15"/>
    </row>
    <row r="20482" spans="1:9" ht="16.5">
      <c r="A20482" s="10" t="b">
        <v>0</v>
      </c>
      <c r="B20482" s="11" t="str">
        <f>IF(D20482&lt;&gt;"",IF(COUNTIF('USPTO TMs'!A:A,D20482)&gt;0,"Yes","No"),"")</f>
        <v/>
      </c>
      <c r="C20482" s="11"/>
      <c r="D20482" s="11"/>
      <c r="E20482" s="11"/>
      <c r="F20482" s="11"/>
      <c r="G20482" s="11"/>
      <c r="H20482" s="11"/>
      <c r="I20482" s="15"/>
    </row>
    <row r="20483" spans="1:9" ht="16.5">
      <c r="A20483" s="10" t="b">
        <v>0</v>
      </c>
      <c r="B20483" s="11" t="str">
        <f>IF(D20483&lt;&gt;"",IF(COUNTIF('USPTO TMs'!A:A,D20483)&gt;0,"Yes","No"),"")</f>
        <v/>
      </c>
      <c r="C20483" s="11"/>
      <c r="D20483" s="11"/>
      <c r="E20483" s="11"/>
      <c r="F20483" s="11"/>
      <c r="G20483" s="11"/>
      <c r="H20483" s="11"/>
      <c r="I20483" s="15"/>
    </row>
    <row r="20484" spans="1:9" ht="16.5">
      <c r="A20484" s="10" t="b">
        <v>0</v>
      </c>
      <c r="B20484" s="11" t="str">
        <f>IF(D20484&lt;&gt;"",IF(COUNTIF('USPTO TMs'!A:A,D20484)&gt;0,"Yes","No"),"")</f>
        <v/>
      </c>
      <c r="C20484" s="11"/>
      <c r="D20484" s="11"/>
      <c r="E20484" s="11"/>
      <c r="F20484" s="11"/>
      <c r="G20484" s="11"/>
      <c r="H20484" s="11"/>
      <c r="I20484" s="15"/>
    </row>
    <row r="20485" spans="1:9" ht="16.5">
      <c r="A20485" s="10" t="b">
        <v>0</v>
      </c>
      <c r="B20485" s="11" t="str">
        <f>IF(D20485&lt;&gt;"",IF(COUNTIF('USPTO TMs'!A:A,D20485)&gt;0,"Yes","No"),"")</f>
        <v/>
      </c>
      <c r="C20485" s="11"/>
      <c r="D20485" s="11"/>
      <c r="E20485" s="11"/>
      <c r="F20485" s="11"/>
      <c r="G20485" s="11"/>
      <c r="H20485" s="11"/>
      <c r="I20485" s="15"/>
    </row>
    <row r="20486" spans="1:9" ht="16.5">
      <c r="A20486" s="10" t="b">
        <v>0</v>
      </c>
      <c r="B20486" s="11" t="str">
        <f>IF(D20486&lt;&gt;"",IF(COUNTIF('USPTO TMs'!A:A,D20486)&gt;0,"Yes","No"),"")</f>
        <v/>
      </c>
      <c r="C20486" s="11"/>
      <c r="D20486" s="11"/>
      <c r="E20486" s="11"/>
      <c r="F20486" s="11"/>
      <c r="G20486" s="11"/>
      <c r="H20486" s="11"/>
      <c r="I20486" s="15"/>
    </row>
    <row r="20487" spans="1:9" ht="16.5">
      <c r="A20487" s="10" t="b">
        <v>0</v>
      </c>
      <c r="B20487" s="11" t="str">
        <f>IF(D20487&lt;&gt;"",IF(COUNTIF('USPTO TMs'!A:A,D20487)&gt;0,"Yes","No"),"")</f>
        <v/>
      </c>
      <c r="C20487" s="11"/>
      <c r="D20487" s="11"/>
      <c r="E20487" s="11"/>
      <c r="F20487" s="11"/>
      <c r="G20487" s="11"/>
      <c r="H20487" s="11"/>
      <c r="I20487" s="15"/>
    </row>
    <row r="20488" spans="1:9" ht="16.5">
      <c r="A20488" s="10" t="b">
        <v>0</v>
      </c>
      <c r="B20488" s="11" t="str">
        <f>IF(D20488&lt;&gt;"",IF(COUNTIF('USPTO TMs'!A:A,D20488)&gt;0,"Yes","No"),"")</f>
        <v/>
      </c>
      <c r="C20488" s="11"/>
      <c r="D20488" s="11"/>
      <c r="E20488" s="11"/>
      <c r="F20488" s="11"/>
      <c r="G20488" s="11"/>
      <c r="H20488" s="11"/>
      <c r="I20488" s="15"/>
    </row>
    <row r="20489" spans="1:9" ht="16.5">
      <c r="A20489" s="10" t="b">
        <v>0</v>
      </c>
      <c r="B20489" s="11" t="str">
        <f>IF(D20489&lt;&gt;"",IF(COUNTIF('USPTO TMs'!A:A,D20489)&gt;0,"Yes","No"),"")</f>
        <v/>
      </c>
      <c r="C20489" s="11"/>
      <c r="D20489" s="11"/>
      <c r="E20489" s="11"/>
      <c r="F20489" s="11"/>
      <c r="G20489" s="11"/>
      <c r="H20489" s="11"/>
      <c r="I20489" s="15"/>
    </row>
    <row r="20490" spans="1:9" ht="16.5">
      <c r="A20490" s="10" t="b">
        <v>0</v>
      </c>
      <c r="B20490" s="11" t="str">
        <f>IF(D20490&lt;&gt;"",IF(COUNTIF('USPTO TMs'!A:A,D20490)&gt;0,"Yes","No"),"")</f>
        <v/>
      </c>
      <c r="C20490" s="11"/>
      <c r="D20490" s="11"/>
      <c r="E20490" s="11"/>
      <c r="F20490" s="11"/>
      <c r="G20490" s="11"/>
      <c r="H20490" s="11"/>
      <c r="I20490" s="15"/>
    </row>
    <row r="20491" spans="1:9" ht="16.5">
      <c r="A20491" s="10" t="b">
        <v>0</v>
      </c>
      <c r="B20491" s="11" t="str">
        <f>IF(D20491&lt;&gt;"",IF(COUNTIF('USPTO TMs'!A:A,D20491)&gt;0,"Yes","No"),"")</f>
        <v/>
      </c>
      <c r="C20491" s="11"/>
      <c r="D20491" s="11"/>
      <c r="E20491" s="11"/>
      <c r="F20491" s="11"/>
      <c r="G20491" s="11"/>
      <c r="H20491" s="11"/>
      <c r="I20491" s="15"/>
    </row>
    <row r="20492" spans="1:9" ht="16.5">
      <c r="A20492" s="10" t="b">
        <v>0</v>
      </c>
      <c r="B20492" s="11" t="str">
        <f>IF(D20492&lt;&gt;"",IF(COUNTIF('USPTO TMs'!A:A,D20492)&gt;0,"Yes","No"),"")</f>
        <v/>
      </c>
      <c r="C20492" s="11"/>
      <c r="D20492" s="11"/>
      <c r="E20492" s="11"/>
      <c r="F20492" s="11"/>
      <c r="G20492" s="11"/>
      <c r="H20492" s="11"/>
      <c r="I20492" s="15"/>
    </row>
    <row r="20493" spans="1:9" ht="16.5">
      <c r="A20493" s="10" t="b">
        <v>0</v>
      </c>
      <c r="B20493" s="11" t="str">
        <f>IF(D20493&lt;&gt;"",IF(COUNTIF('USPTO TMs'!A:A,D20493)&gt;0,"Yes","No"),"")</f>
        <v/>
      </c>
      <c r="C20493" s="11"/>
      <c r="D20493" s="11"/>
      <c r="E20493" s="11"/>
      <c r="F20493" s="11"/>
      <c r="G20493" s="11"/>
      <c r="H20493" s="11"/>
      <c r="I20493" s="15"/>
    </row>
    <row r="20494" spans="1:9" ht="16.5">
      <c r="A20494" s="10" t="b">
        <v>0</v>
      </c>
      <c r="B20494" s="11" t="str">
        <f>IF(D20494&lt;&gt;"",IF(COUNTIF('USPTO TMs'!A:A,D20494)&gt;0,"Yes","No"),"")</f>
        <v/>
      </c>
      <c r="C20494" s="11"/>
      <c r="D20494" s="11"/>
      <c r="E20494" s="11"/>
      <c r="F20494" s="11"/>
      <c r="G20494" s="11"/>
      <c r="H20494" s="11"/>
      <c r="I20494" s="15"/>
    </row>
    <row r="20495" spans="1:9" ht="16.5">
      <c r="A20495" s="10" t="b">
        <v>0</v>
      </c>
      <c r="B20495" s="11" t="str">
        <f>IF(D20495&lt;&gt;"",IF(COUNTIF('USPTO TMs'!A:A,D20495)&gt;0,"Yes","No"),"")</f>
        <v/>
      </c>
      <c r="C20495" s="11"/>
      <c r="D20495" s="11"/>
      <c r="E20495" s="11"/>
      <c r="F20495" s="11"/>
      <c r="G20495" s="11"/>
      <c r="H20495" s="11"/>
      <c r="I20495" s="15"/>
    </row>
    <row r="20496" spans="1:9" ht="16.5">
      <c r="A20496" s="10" t="b">
        <v>0</v>
      </c>
      <c r="B20496" s="11" t="str">
        <f>IF(D20496&lt;&gt;"",IF(COUNTIF('USPTO TMs'!A:A,D20496)&gt;0,"Yes","No"),"")</f>
        <v/>
      </c>
      <c r="C20496" s="11"/>
      <c r="D20496" s="11"/>
      <c r="E20496" s="11"/>
      <c r="F20496" s="11"/>
      <c r="G20496" s="11"/>
      <c r="H20496" s="11"/>
      <c r="I20496" s="15"/>
    </row>
    <row r="20497" spans="1:9" ht="16.5">
      <c r="A20497" s="10" t="b">
        <v>0</v>
      </c>
      <c r="B20497" s="11" t="str">
        <f>IF(D20497&lt;&gt;"",IF(COUNTIF('USPTO TMs'!A:A,D20497)&gt;0,"Yes","No"),"")</f>
        <v/>
      </c>
      <c r="C20497" s="11"/>
      <c r="D20497" s="11"/>
      <c r="E20497" s="11"/>
      <c r="F20497" s="11"/>
      <c r="G20497" s="11"/>
      <c r="H20497" s="11"/>
      <c r="I20497" s="15"/>
    </row>
    <row r="20498" spans="1:9" ht="16.5">
      <c r="A20498" s="10" t="b">
        <v>0</v>
      </c>
      <c r="B20498" s="11" t="str">
        <f>IF(D20498&lt;&gt;"",IF(COUNTIF('USPTO TMs'!A:A,D20498)&gt;0,"Yes","No"),"")</f>
        <v/>
      </c>
      <c r="C20498" s="11"/>
      <c r="D20498" s="11"/>
      <c r="E20498" s="11"/>
      <c r="F20498" s="11"/>
      <c r="G20498" s="11"/>
      <c r="H20498" s="11"/>
      <c r="I20498" s="15"/>
    </row>
    <row r="20499" spans="1:9" ht="16.5">
      <c r="A20499" s="10" t="b">
        <v>0</v>
      </c>
      <c r="B20499" s="11" t="str">
        <f>IF(D20499&lt;&gt;"",IF(COUNTIF('USPTO TMs'!A:A,D20499)&gt;0,"Yes","No"),"")</f>
        <v/>
      </c>
      <c r="C20499" s="11"/>
      <c r="D20499" s="11"/>
      <c r="E20499" s="11"/>
      <c r="F20499" s="11"/>
      <c r="G20499" s="11"/>
      <c r="H20499" s="11"/>
      <c r="I20499" s="15"/>
    </row>
    <row r="20500" spans="1:9" ht="16.5">
      <c r="A20500" s="10" t="b">
        <v>0</v>
      </c>
      <c r="B20500" s="11" t="str">
        <f>IF(D20500&lt;&gt;"",IF(COUNTIF('USPTO TMs'!A:A,D20500)&gt;0,"Yes","No"),"")</f>
        <v/>
      </c>
      <c r="C20500" s="11"/>
      <c r="D20500" s="11"/>
      <c r="E20500" s="11"/>
      <c r="F20500" s="11"/>
      <c r="G20500" s="11"/>
      <c r="H20500" s="11"/>
      <c r="I20500" s="15"/>
    </row>
    <row r="20501" spans="1:9" ht="16.5">
      <c r="A20501" s="10" t="b">
        <v>0</v>
      </c>
      <c r="B20501" s="11" t="str">
        <f>IF(D20501&lt;&gt;"",IF(COUNTIF('USPTO TMs'!A:A,D20501)&gt;0,"Yes","No"),"")</f>
        <v/>
      </c>
      <c r="C20501" s="11"/>
      <c r="D20501" s="11"/>
      <c r="E20501" s="11"/>
      <c r="F20501" s="11"/>
      <c r="G20501" s="11"/>
      <c r="H20501" s="11"/>
      <c r="I20501" s="15"/>
    </row>
    <row r="20502" spans="1:9" ht="16.5">
      <c r="A20502" s="10" t="b">
        <v>0</v>
      </c>
      <c r="B20502" s="11" t="str">
        <f>IF(D20502&lt;&gt;"",IF(COUNTIF('USPTO TMs'!A:A,D20502)&gt;0,"Yes","No"),"")</f>
        <v/>
      </c>
      <c r="C20502" s="11"/>
      <c r="D20502" s="11"/>
      <c r="E20502" s="11"/>
      <c r="F20502" s="11"/>
      <c r="G20502" s="11"/>
      <c r="H20502" s="11"/>
      <c r="I20502" s="15"/>
    </row>
    <row r="20503" spans="1:9" ht="16.5">
      <c r="A20503" s="10" t="b">
        <v>0</v>
      </c>
      <c r="B20503" s="11" t="str">
        <f>IF(D20503&lt;&gt;"",IF(COUNTIF('USPTO TMs'!A:A,D20503)&gt;0,"Yes","No"),"")</f>
        <v/>
      </c>
      <c r="C20503" s="11"/>
      <c r="D20503" s="11"/>
      <c r="E20503" s="11"/>
      <c r="F20503" s="11"/>
      <c r="G20503" s="11"/>
      <c r="H20503" s="11"/>
      <c r="I20503" s="15"/>
    </row>
    <row r="20504" spans="1:9" ht="16.5">
      <c r="A20504" s="10" t="b">
        <v>0</v>
      </c>
      <c r="B20504" s="11" t="str">
        <f>IF(D20504&lt;&gt;"",IF(COUNTIF('USPTO TMs'!A:A,D20504)&gt;0,"Yes","No"),"")</f>
        <v/>
      </c>
      <c r="C20504" s="11"/>
      <c r="D20504" s="11"/>
      <c r="E20504" s="11"/>
      <c r="F20504" s="11"/>
      <c r="G20504" s="11"/>
      <c r="H20504" s="11"/>
      <c r="I20504" s="15"/>
    </row>
    <row r="20505" spans="1:9" ht="16.5">
      <c r="A20505" s="10" t="b">
        <v>0</v>
      </c>
      <c r="B20505" s="11" t="str">
        <f>IF(D20505&lt;&gt;"",IF(COUNTIF('USPTO TMs'!A:A,D20505)&gt;0,"Yes","No"),"")</f>
        <v/>
      </c>
      <c r="C20505" s="11"/>
      <c r="D20505" s="11"/>
      <c r="E20505" s="11"/>
      <c r="F20505" s="11"/>
      <c r="G20505" s="11"/>
      <c r="H20505" s="11"/>
      <c r="I20505" s="15"/>
    </row>
    <row r="20506" spans="1:9" ht="16.5">
      <c r="A20506" s="10" t="b">
        <v>0</v>
      </c>
      <c r="B20506" s="11" t="str">
        <f>IF(D20506&lt;&gt;"",IF(COUNTIF('USPTO TMs'!A:A,D20506)&gt;0,"Yes","No"),"")</f>
        <v/>
      </c>
      <c r="C20506" s="11"/>
      <c r="D20506" s="11"/>
      <c r="E20506" s="11"/>
      <c r="F20506" s="11"/>
      <c r="G20506" s="11"/>
      <c r="H20506" s="11"/>
      <c r="I20506" s="15"/>
    </row>
    <row r="20507" spans="1:9" ht="16.5">
      <c r="A20507" s="10" t="b">
        <v>0</v>
      </c>
      <c r="B20507" s="11" t="str">
        <f>IF(D20507&lt;&gt;"",IF(COUNTIF('USPTO TMs'!A:A,D20507)&gt;0,"Yes","No"),"")</f>
        <v/>
      </c>
      <c r="C20507" s="11"/>
      <c r="D20507" s="11"/>
      <c r="E20507" s="11"/>
      <c r="F20507" s="11"/>
      <c r="G20507" s="11"/>
      <c r="H20507" s="11"/>
      <c r="I20507" s="15"/>
    </row>
    <row r="20508" spans="1:9" ht="16.5">
      <c r="A20508" s="10" t="b">
        <v>0</v>
      </c>
      <c r="B20508" s="11" t="str">
        <f>IF(D20508&lt;&gt;"",IF(COUNTIF('USPTO TMs'!A:A,D20508)&gt;0,"Yes","No"),"")</f>
        <v/>
      </c>
      <c r="C20508" s="11"/>
      <c r="D20508" s="11"/>
      <c r="E20508" s="11"/>
      <c r="F20508" s="11"/>
      <c r="G20508" s="11"/>
      <c r="H20508" s="11"/>
      <c r="I20508" s="15"/>
    </row>
    <row r="20509" spans="1:9" ht="16.5">
      <c r="A20509" s="10" t="b">
        <v>0</v>
      </c>
      <c r="B20509" s="11" t="str">
        <f>IF(D20509&lt;&gt;"",IF(COUNTIF('USPTO TMs'!A:A,D20509)&gt;0,"Yes","No"),"")</f>
        <v/>
      </c>
      <c r="C20509" s="11"/>
      <c r="D20509" s="11"/>
      <c r="E20509" s="11"/>
      <c r="F20509" s="11"/>
      <c r="G20509" s="11"/>
      <c r="H20509" s="11"/>
      <c r="I20509" s="15"/>
    </row>
    <row r="20510" spans="1:9" ht="16.5">
      <c r="A20510" s="10" t="b">
        <v>0</v>
      </c>
      <c r="B20510" s="11" t="str">
        <f>IF(D20510&lt;&gt;"",IF(COUNTIF('USPTO TMs'!A:A,D20510)&gt;0,"Yes","No"),"")</f>
        <v/>
      </c>
      <c r="C20510" s="11"/>
      <c r="D20510" s="11"/>
      <c r="E20510" s="11"/>
      <c r="F20510" s="11"/>
      <c r="G20510" s="11"/>
      <c r="H20510" s="11"/>
      <c r="I20510" s="15"/>
    </row>
    <row r="20511" spans="1:9" ht="16.5">
      <c r="A20511" s="10" t="b">
        <v>0</v>
      </c>
      <c r="B20511" s="11" t="str">
        <f>IF(D20511&lt;&gt;"",IF(COUNTIF('USPTO TMs'!A:A,D20511)&gt;0,"Yes","No"),"")</f>
        <v/>
      </c>
      <c r="C20511" s="11"/>
      <c r="D20511" s="11"/>
      <c r="E20511" s="11"/>
      <c r="F20511" s="11"/>
      <c r="G20511" s="11"/>
      <c r="H20511" s="11"/>
      <c r="I20511" s="15"/>
    </row>
    <row r="20512" spans="1:9" ht="16.5">
      <c r="A20512" s="10" t="b">
        <v>0</v>
      </c>
      <c r="B20512" s="11" t="str">
        <f>IF(D20512&lt;&gt;"",IF(COUNTIF('USPTO TMs'!A:A,D20512)&gt;0,"Yes","No"),"")</f>
        <v/>
      </c>
      <c r="C20512" s="11"/>
      <c r="D20512" s="11"/>
      <c r="E20512" s="11"/>
      <c r="F20512" s="11"/>
      <c r="G20512" s="11"/>
      <c r="H20512" s="11"/>
      <c r="I20512" s="15"/>
    </row>
    <row r="20513" spans="1:9" ht="16.5">
      <c r="A20513" s="10" t="b">
        <v>0</v>
      </c>
      <c r="B20513" s="11" t="str">
        <f>IF(D20513&lt;&gt;"",IF(COUNTIF('USPTO TMs'!A:A,D20513)&gt;0,"Yes","No"),"")</f>
        <v/>
      </c>
      <c r="C20513" s="11"/>
      <c r="D20513" s="11"/>
      <c r="E20513" s="11"/>
      <c r="F20513" s="11"/>
      <c r="G20513" s="11"/>
      <c r="H20513" s="11"/>
      <c r="I20513" s="15"/>
    </row>
    <row r="20514" spans="1:9" ht="16.5">
      <c r="A20514" s="10" t="b">
        <v>0</v>
      </c>
      <c r="B20514" s="11" t="str">
        <f>IF(D20514&lt;&gt;"",IF(COUNTIF('USPTO TMs'!A:A,D20514)&gt;0,"Yes","No"),"")</f>
        <v/>
      </c>
      <c r="C20514" s="11"/>
      <c r="D20514" s="11"/>
      <c r="E20514" s="11"/>
      <c r="F20514" s="11"/>
      <c r="G20514" s="11"/>
      <c r="H20514" s="11"/>
      <c r="I20514" s="15"/>
    </row>
    <row r="20515" spans="1:9" ht="16.5">
      <c r="A20515" s="10" t="b">
        <v>0</v>
      </c>
      <c r="B20515" s="11" t="str">
        <f>IF(D20515&lt;&gt;"",IF(COUNTIF('USPTO TMs'!A:A,D20515)&gt;0,"Yes","No"),"")</f>
        <v/>
      </c>
      <c r="C20515" s="11"/>
      <c r="D20515" s="11"/>
      <c r="E20515" s="11"/>
      <c r="F20515" s="11"/>
      <c r="G20515" s="11"/>
      <c r="H20515" s="11"/>
      <c r="I20515" s="15"/>
    </row>
    <row r="20516" spans="1:9" ht="16.5">
      <c r="A20516" s="10" t="b">
        <v>0</v>
      </c>
      <c r="B20516" s="11" t="str">
        <f>IF(D20516&lt;&gt;"",IF(COUNTIF('USPTO TMs'!A:A,D20516)&gt;0,"Yes","No"),"")</f>
        <v/>
      </c>
      <c r="C20516" s="11"/>
      <c r="D20516" s="11"/>
      <c r="E20516" s="11"/>
      <c r="F20516" s="11"/>
      <c r="G20516" s="11"/>
      <c r="H20516" s="11"/>
      <c r="I20516" s="15"/>
    </row>
    <row r="20517" spans="1:9" ht="16.5">
      <c r="A20517" s="10" t="b">
        <v>0</v>
      </c>
      <c r="B20517" s="11" t="str">
        <f>IF(D20517&lt;&gt;"",IF(COUNTIF('USPTO TMs'!A:A,D20517)&gt;0,"Yes","No"),"")</f>
        <v/>
      </c>
      <c r="C20517" s="11"/>
      <c r="D20517" s="11"/>
      <c r="E20517" s="11"/>
      <c r="F20517" s="11"/>
      <c r="G20517" s="11"/>
      <c r="H20517" s="11"/>
      <c r="I20517" s="15"/>
    </row>
    <row r="20518" spans="1:9" ht="16.5">
      <c r="A20518" s="10" t="b">
        <v>0</v>
      </c>
      <c r="B20518" s="11" t="str">
        <f>IF(D20518&lt;&gt;"",IF(COUNTIF('USPTO TMs'!A:A,D20518)&gt;0,"Yes","No"),"")</f>
        <v/>
      </c>
      <c r="C20518" s="11"/>
      <c r="D20518" s="11"/>
      <c r="E20518" s="11"/>
      <c r="F20518" s="11"/>
      <c r="G20518" s="11"/>
      <c r="H20518" s="11"/>
      <c r="I20518" s="15"/>
    </row>
    <row r="20519" spans="1:9" ht="16.5">
      <c r="A20519" s="10" t="b">
        <v>0</v>
      </c>
      <c r="B20519" s="11" t="str">
        <f>IF(D20519&lt;&gt;"",IF(COUNTIF('USPTO TMs'!A:A,D20519)&gt;0,"Yes","No"),"")</f>
        <v/>
      </c>
      <c r="C20519" s="11"/>
      <c r="D20519" s="11"/>
      <c r="E20519" s="11"/>
      <c r="F20519" s="11"/>
      <c r="G20519" s="11"/>
      <c r="H20519" s="11"/>
      <c r="I20519" s="15"/>
    </row>
    <row r="20520" spans="1:9" ht="16.5">
      <c r="A20520" s="10" t="b">
        <v>0</v>
      </c>
      <c r="B20520" s="11" t="str">
        <f>IF(D20520&lt;&gt;"",IF(COUNTIF('USPTO TMs'!A:A,D20520)&gt;0,"Yes","No"),"")</f>
        <v/>
      </c>
      <c r="C20520" s="11"/>
      <c r="D20520" s="11"/>
      <c r="E20520" s="11"/>
      <c r="F20520" s="11"/>
      <c r="G20520" s="11"/>
      <c r="H20520" s="11"/>
      <c r="I20520" s="15"/>
    </row>
    <row r="20521" spans="1:9" ht="16.5">
      <c r="A20521" s="10" t="b">
        <v>0</v>
      </c>
      <c r="B20521" s="11" t="str">
        <f>IF(D20521&lt;&gt;"",IF(COUNTIF('USPTO TMs'!A:A,D20521)&gt;0,"Yes","No"),"")</f>
        <v/>
      </c>
      <c r="C20521" s="11"/>
      <c r="D20521" s="11"/>
      <c r="E20521" s="11"/>
      <c r="F20521" s="11"/>
      <c r="G20521" s="11"/>
      <c r="H20521" s="11"/>
      <c r="I20521" s="15"/>
    </row>
    <row r="20522" spans="1:9" ht="16.5">
      <c r="A20522" s="10" t="b">
        <v>0</v>
      </c>
      <c r="B20522" s="11" t="str">
        <f>IF(D20522&lt;&gt;"",IF(COUNTIF('USPTO TMs'!A:A,D20522)&gt;0,"Yes","No"),"")</f>
        <v/>
      </c>
      <c r="C20522" s="11"/>
      <c r="D20522" s="11"/>
      <c r="E20522" s="11"/>
      <c r="F20522" s="11"/>
      <c r="G20522" s="11"/>
      <c r="H20522" s="11"/>
      <c r="I20522" s="15"/>
    </row>
    <row r="20523" spans="1:9" ht="16.5">
      <c r="A20523" s="10" t="b">
        <v>0</v>
      </c>
      <c r="B20523" s="11" t="str">
        <f>IF(D20523&lt;&gt;"",IF(COUNTIF('USPTO TMs'!A:A,D20523)&gt;0,"Yes","No"),"")</f>
        <v/>
      </c>
      <c r="C20523" s="11"/>
      <c r="D20523" s="11"/>
      <c r="E20523" s="11"/>
      <c r="F20523" s="11"/>
      <c r="G20523" s="11"/>
      <c r="H20523" s="11"/>
      <c r="I20523" s="15"/>
    </row>
    <row r="20524" spans="1:9" ht="16.5">
      <c r="A20524" s="10" t="b">
        <v>0</v>
      </c>
      <c r="B20524" s="11" t="str">
        <f>IF(D20524&lt;&gt;"",IF(COUNTIF('USPTO TMs'!A:A,D20524)&gt;0,"Yes","No"),"")</f>
        <v/>
      </c>
      <c r="C20524" s="11"/>
      <c r="D20524" s="11"/>
      <c r="E20524" s="11"/>
      <c r="F20524" s="11"/>
      <c r="G20524" s="11"/>
      <c r="H20524" s="11"/>
      <c r="I20524" s="15"/>
    </row>
    <row r="20525" spans="1:9" ht="16.5">
      <c r="A20525" s="10" t="b">
        <v>0</v>
      </c>
      <c r="B20525" s="11" t="str">
        <f>IF(D20525&lt;&gt;"",IF(COUNTIF('USPTO TMs'!A:A,D20525)&gt;0,"Yes","No"),"")</f>
        <v/>
      </c>
      <c r="C20525" s="11"/>
      <c r="D20525" s="11"/>
      <c r="E20525" s="11"/>
      <c r="F20525" s="11"/>
      <c r="G20525" s="11"/>
      <c r="H20525" s="11"/>
      <c r="I20525" s="15"/>
    </row>
    <row r="20526" spans="1:9" ht="16.5">
      <c r="A20526" s="10" t="b">
        <v>0</v>
      </c>
      <c r="B20526" s="11" t="str">
        <f>IF(D20526&lt;&gt;"",IF(COUNTIF('USPTO TMs'!A:A,D20526)&gt;0,"Yes","No"),"")</f>
        <v/>
      </c>
      <c r="C20526" s="11"/>
      <c r="D20526" s="11"/>
      <c r="E20526" s="11"/>
      <c r="F20526" s="11"/>
      <c r="G20526" s="11"/>
      <c r="H20526" s="11"/>
      <c r="I20526" s="15"/>
    </row>
    <row r="20527" spans="1:9" ht="16.5">
      <c r="A20527" s="10" t="b">
        <v>0</v>
      </c>
      <c r="B20527" s="11" t="str">
        <f>IF(D20527&lt;&gt;"",IF(COUNTIF('USPTO TMs'!A:A,D20527)&gt;0,"Yes","No"),"")</f>
        <v/>
      </c>
      <c r="C20527" s="11"/>
      <c r="D20527" s="11"/>
      <c r="E20527" s="11"/>
      <c r="F20527" s="11"/>
      <c r="G20527" s="11"/>
      <c r="H20527" s="11"/>
      <c r="I20527" s="15"/>
    </row>
    <row r="20528" spans="1:9" ht="16.5">
      <c r="A20528" s="10" t="b">
        <v>0</v>
      </c>
      <c r="B20528" s="11" t="str">
        <f>IF(D20528&lt;&gt;"",IF(COUNTIF('USPTO TMs'!A:A,D20528)&gt;0,"Yes","No"),"")</f>
        <v/>
      </c>
      <c r="C20528" s="11"/>
      <c r="D20528" s="11"/>
      <c r="E20528" s="11"/>
      <c r="F20528" s="11"/>
      <c r="G20528" s="11"/>
      <c r="H20528" s="11"/>
      <c r="I20528" s="15"/>
    </row>
    <row r="20529" spans="1:9" ht="16.5">
      <c r="A20529" s="10" t="b">
        <v>0</v>
      </c>
      <c r="B20529" s="11" t="str">
        <f>IF(D20529&lt;&gt;"",IF(COUNTIF('USPTO TMs'!A:A,D20529)&gt;0,"Yes","No"),"")</f>
        <v/>
      </c>
      <c r="C20529" s="11"/>
      <c r="D20529" s="11"/>
      <c r="E20529" s="11"/>
      <c r="F20529" s="11"/>
      <c r="G20529" s="11"/>
      <c r="H20529" s="11"/>
      <c r="I20529" s="15"/>
    </row>
    <row r="20530" spans="1:9" ht="16.5">
      <c r="A20530" s="10" t="b">
        <v>0</v>
      </c>
      <c r="B20530" s="11" t="str">
        <f>IF(D20530&lt;&gt;"",IF(COUNTIF('USPTO TMs'!A:A,D20530)&gt;0,"Yes","No"),"")</f>
        <v/>
      </c>
      <c r="C20530" s="11"/>
      <c r="D20530" s="11"/>
      <c r="E20530" s="11"/>
      <c r="F20530" s="11"/>
      <c r="G20530" s="11"/>
      <c r="H20530" s="11"/>
      <c r="I20530" s="15"/>
    </row>
    <row r="20531" spans="1:9" ht="16.5">
      <c r="A20531" s="10" t="b">
        <v>0</v>
      </c>
      <c r="B20531" s="11" t="str">
        <f>IF(D20531&lt;&gt;"",IF(COUNTIF('USPTO TMs'!A:A,D20531)&gt;0,"Yes","No"),"")</f>
        <v/>
      </c>
      <c r="C20531" s="11"/>
      <c r="D20531" s="11"/>
      <c r="E20531" s="11"/>
      <c r="F20531" s="11"/>
      <c r="G20531" s="11"/>
      <c r="H20531" s="11"/>
      <c r="I20531" s="15"/>
    </row>
    <row r="20532" spans="1:9" ht="16.5">
      <c r="A20532" s="10" t="b">
        <v>0</v>
      </c>
      <c r="B20532" s="11" t="str">
        <f>IF(D20532&lt;&gt;"",IF(COUNTIF('USPTO TMs'!A:A,D20532)&gt;0,"Yes","No"),"")</f>
        <v/>
      </c>
      <c r="C20532" s="11"/>
      <c r="D20532" s="11"/>
      <c r="E20532" s="11"/>
      <c r="F20532" s="11"/>
      <c r="G20532" s="11"/>
      <c r="H20532" s="11"/>
      <c r="I20532" s="15"/>
    </row>
    <row r="20533" spans="1:9" ht="16.5">
      <c r="A20533" s="10" t="b">
        <v>0</v>
      </c>
      <c r="B20533" s="11" t="str">
        <f>IF(D20533&lt;&gt;"",IF(COUNTIF('USPTO TMs'!A:A,D20533)&gt;0,"Yes","No"),"")</f>
        <v/>
      </c>
      <c r="C20533" s="11"/>
      <c r="D20533" s="11"/>
      <c r="E20533" s="11"/>
      <c r="F20533" s="11"/>
      <c r="G20533" s="11"/>
      <c r="H20533" s="11"/>
      <c r="I20533" s="15"/>
    </row>
    <row r="20534" spans="1:9" ht="16.5">
      <c r="A20534" s="10" t="b">
        <v>0</v>
      </c>
      <c r="B20534" s="11" t="str">
        <f>IF(D20534&lt;&gt;"",IF(COUNTIF('USPTO TMs'!A:A,D20534)&gt;0,"Yes","No"),"")</f>
        <v/>
      </c>
      <c r="C20534" s="11"/>
      <c r="D20534" s="11"/>
      <c r="E20534" s="11"/>
      <c r="F20534" s="11"/>
      <c r="G20534" s="11"/>
      <c r="H20534" s="11"/>
      <c r="I20534" s="15"/>
    </row>
    <row r="20535" spans="1:9" ht="16.5">
      <c r="A20535" s="10" t="b">
        <v>0</v>
      </c>
      <c r="B20535" s="11" t="str">
        <f>IF(D20535&lt;&gt;"",IF(COUNTIF('USPTO TMs'!A:A,D20535)&gt;0,"Yes","No"),"")</f>
        <v/>
      </c>
      <c r="C20535" s="11"/>
      <c r="D20535" s="11"/>
      <c r="E20535" s="11"/>
      <c r="F20535" s="11"/>
      <c r="G20535" s="11"/>
      <c r="H20535" s="11"/>
      <c r="I20535" s="15"/>
    </row>
    <row r="20536" spans="1:9" ht="16.5">
      <c r="A20536" s="10" t="b">
        <v>0</v>
      </c>
      <c r="B20536" s="11" t="str">
        <f>IF(D20536&lt;&gt;"",IF(COUNTIF('USPTO TMs'!A:A,D20536)&gt;0,"Yes","No"),"")</f>
        <v/>
      </c>
      <c r="C20536" s="11"/>
      <c r="D20536" s="11"/>
      <c r="E20536" s="11"/>
      <c r="F20536" s="11"/>
      <c r="G20536" s="11"/>
      <c r="H20536" s="11"/>
      <c r="I20536" s="15"/>
    </row>
    <row r="20537" spans="1:9" ht="16.5">
      <c r="A20537" s="10" t="b">
        <v>0</v>
      </c>
      <c r="B20537" s="11" t="str">
        <f>IF(D20537&lt;&gt;"",IF(COUNTIF('USPTO TMs'!A:A,D20537)&gt;0,"Yes","No"),"")</f>
        <v/>
      </c>
      <c r="C20537" s="11"/>
      <c r="D20537" s="11"/>
      <c r="E20537" s="11"/>
      <c r="F20537" s="11"/>
      <c r="G20537" s="11"/>
      <c r="H20537" s="11"/>
      <c r="I20537" s="15"/>
    </row>
    <row r="20538" spans="1:9" ht="16.5">
      <c r="A20538" s="10" t="b">
        <v>0</v>
      </c>
      <c r="B20538" s="11" t="str">
        <f>IF(D20538&lt;&gt;"",IF(COUNTIF('USPTO TMs'!A:A,D20538)&gt;0,"Yes","No"),"")</f>
        <v/>
      </c>
      <c r="C20538" s="11"/>
      <c r="D20538" s="11"/>
      <c r="E20538" s="11"/>
      <c r="F20538" s="11"/>
      <c r="G20538" s="11"/>
      <c r="H20538" s="11"/>
      <c r="I20538" s="15"/>
    </row>
    <row r="20539" spans="1:9" ht="16.5">
      <c r="A20539" s="10" t="b">
        <v>0</v>
      </c>
      <c r="B20539" s="11" t="str">
        <f>IF(D20539&lt;&gt;"",IF(COUNTIF('USPTO TMs'!A:A,D20539)&gt;0,"Yes","No"),"")</f>
        <v/>
      </c>
      <c r="C20539" s="11"/>
      <c r="D20539" s="11"/>
      <c r="E20539" s="11"/>
      <c r="F20539" s="11"/>
      <c r="G20539" s="11"/>
      <c r="H20539" s="11"/>
      <c r="I20539" s="15"/>
    </row>
    <row r="20540" spans="1:9" ht="16.5">
      <c r="A20540" s="10" t="b">
        <v>0</v>
      </c>
      <c r="B20540" s="11" t="str">
        <f>IF(D20540&lt;&gt;"",IF(COUNTIF('USPTO TMs'!A:A,D20540)&gt;0,"Yes","No"),"")</f>
        <v/>
      </c>
      <c r="C20540" s="11"/>
      <c r="D20540" s="11"/>
      <c r="E20540" s="11"/>
      <c r="F20540" s="11"/>
      <c r="G20540" s="11"/>
      <c r="H20540" s="11"/>
      <c r="I20540" s="15"/>
    </row>
    <row r="20541" spans="1:9" ht="16.5">
      <c r="A20541" s="10" t="b">
        <v>0</v>
      </c>
      <c r="B20541" s="11" t="str">
        <f>IF(D20541&lt;&gt;"",IF(COUNTIF('USPTO TMs'!A:A,D20541)&gt;0,"Yes","No"),"")</f>
        <v/>
      </c>
      <c r="C20541" s="11"/>
      <c r="D20541" s="11"/>
      <c r="E20541" s="11"/>
      <c r="F20541" s="11"/>
      <c r="G20541" s="11"/>
      <c r="H20541" s="11"/>
      <c r="I20541" s="15"/>
    </row>
    <row r="20542" spans="1:9" ht="16.5">
      <c r="A20542" s="10" t="b">
        <v>0</v>
      </c>
      <c r="B20542" s="11" t="str">
        <f>IF(D20542&lt;&gt;"",IF(COUNTIF('USPTO TMs'!A:A,D20542)&gt;0,"Yes","No"),"")</f>
        <v/>
      </c>
      <c r="C20542" s="11"/>
      <c r="D20542" s="11"/>
      <c r="E20542" s="11"/>
      <c r="F20542" s="11"/>
      <c r="G20542" s="11"/>
      <c r="H20542" s="11"/>
      <c r="I20542" s="15"/>
    </row>
    <row r="20543" spans="1:9" ht="16.5">
      <c r="A20543" s="10" t="b">
        <v>0</v>
      </c>
      <c r="B20543" s="11" t="str">
        <f>IF(D20543&lt;&gt;"",IF(COUNTIF('USPTO TMs'!A:A,D20543)&gt;0,"Yes","No"),"")</f>
        <v/>
      </c>
      <c r="C20543" s="11"/>
      <c r="D20543" s="11"/>
      <c r="E20543" s="11"/>
      <c r="F20543" s="11"/>
      <c r="G20543" s="11"/>
      <c r="H20543" s="11"/>
      <c r="I20543" s="15"/>
    </row>
    <row r="20544" spans="1:9" ht="16.5">
      <c r="A20544" s="10" t="b">
        <v>0</v>
      </c>
      <c r="B20544" s="11" t="str">
        <f>IF(D20544&lt;&gt;"",IF(COUNTIF('USPTO TMs'!A:A,D20544)&gt;0,"Yes","No"),"")</f>
        <v/>
      </c>
      <c r="C20544" s="11"/>
      <c r="D20544" s="11"/>
      <c r="E20544" s="11"/>
      <c r="F20544" s="11"/>
      <c r="G20544" s="11"/>
      <c r="H20544" s="11"/>
      <c r="I20544" s="15"/>
    </row>
    <row r="20545" spans="1:9" ht="16.5">
      <c r="A20545" s="10" t="b">
        <v>0</v>
      </c>
      <c r="B20545" s="11" t="str">
        <f>IF(D20545&lt;&gt;"",IF(COUNTIF('USPTO TMs'!A:A,D20545)&gt;0,"Yes","No"),"")</f>
        <v/>
      </c>
      <c r="C20545" s="11"/>
      <c r="D20545" s="11"/>
      <c r="E20545" s="11"/>
      <c r="F20545" s="11"/>
      <c r="G20545" s="11"/>
      <c r="H20545" s="11"/>
      <c r="I20545" s="15"/>
    </row>
    <row r="20546" spans="1:9" ht="16.5">
      <c r="A20546" s="10" t="b">
        <v>0</v>
      </c>
      <c r="B20546" s="11" t="str">
        <f>IF(D20546&lt;&gt;"",IF(COUNTIF('USPTO TMs'!A:A,D20546)&gt;0,"Yes","No"),"")</f>
        <v/>
      </c>
      <c r="C20546" s="11"/>
      <c r="D20546" s="11"/>
      <c r="E20546" s="11"/>
      <c r="F20546" s="11"/>
      <c r="G20546" s="11"/>
      <c r="H20546" s="11"/>
      <c r="I20546" s="15"/>
    </row>
    <row r="20547" spans="1:9" ht="16.5">
      <c r="A20547" s="10" t="b">
        <v>0</v>
      </c>
      <c r="B20547" s="11" t="str">
        <f>IF(D20547&lt;&gt;"",IF(COUNTIF('USPTO TMs'!A:A,D20547)&gt;0,"Yes","No"),"")</f>
        <v/>
      </c>
      <c r="C20547" s="11"/>
      <c r="D20547" s="11"/>
      <c r="E20547" s="11"/>
      <c r="F20547" s="11"/>
      <c r="G20547" s="11"/>
      <c r="H20547" s="11"/>
      <c r="I20547" s="15"/>
    </row>
    <row r="20548" spans="1:9" ht="16.5">
      <c r="A20548" s="10" t="b">
        <v>0</v>
      </c>
      <c r="B20548" s="11" t="str">
        <f>IF(D20548&lt;&gt;"",IF(COUNTIF('USPTO TMs'!A:A,D20548)&gt;0,"Yes","No"),"")</f>
        <v/>
      </c>
      <c r="C20548" s="11"/>
      <c r="D20548" s="11"/>
      <c r="E20548" s="11"/>
      <c r="F20548" s="11"/>
      <c r="G20548" s="11"/>
      <c r="H20548" s="11"/>
      <c r="I20548" s="15"/>
    </row>
    <row r="20549" spans="1:9" ht="16.5">
      <c r="A20549" s="10" t="b">
        <v>0</v>
      </c>
      <c r="B20549" s="11" t="str">
        <f>IF(D20549&lt;&gt;"",IF(COUNTIF('USPTO TMs'!A:A,D20549)&gt;0,"Yes","No"),"")</f>
        <v/>
      </c>
      <c r="C20549" s="11"/>
      <c r="D20549" s="11"/>
      <c r="E20549" s="11"/>
      <c r="F20549" s="11"/>
      <c r="G20549" s="11"/>
      <c r="H20549" s="11"/>
      <c r="I20549" s="15"/>
    </row>
    <row r="20550" spans="1:9" ht="16.5">
      <c r="A20550" s="10" t="b">
        <v>0</v>
      </c>
      <c r="B20550" s="11" t="str">
        <f>IF(D20550&lt;&gt;"",IF(COUNTIF('USPTO TMs'!A:A,D20550)&gt;0,"Yes","No"),"")</f>
        <v/>
      </c>
      <c r="C20550" s="11"/>
      <c r="D20550" s="11"/>
      <c r="E20550" s="11"/>
      <c r="F20550" s="11"/>
      <c r="G20550" s="11"/>
      <c r="H20550" s="11"/>
      <c r="I20550" s="15"/>
    </row>
    <row r="20551" spans="1:9" ht="16.5">
      <c r="A20551" s="10" t="b">
        <v>0</v>
      </c>
      <c r="B20551" s="11" t="str">
        <f>IF(D20551&lt;&gt;"",IF(COUNTIF('USPTO TMs'!A:A,D20551)&gt;0,"Yes","No"),"")</f>
        <v/>
      </c>
      <c r="C20551" s="11"/>
      <c r="D20551" s="11"/>
      <c r="E20551" s="11"/>
      <c r="F20551" s="11"/>
      <c r="G20551" s="11"/>
      <c r="H20551" s="11"/>
      <c r="I20551" s="15"/>
    </row>
    <row r="20552" spans="1:9" ht="16.5">
      <c r="A20552" s="10" t="b">
        <v>0</v>
      </c>
      <c r="B20552" s="11" t="str">
        <f>IF(D20552&lt;&gt;"",IF(COUNTIF('USPTO TMs'!A:A,D20552)&gt;0,"Yes","No"),"")</f>
        <v/>
      </c>
      <c r="C20552" s="11"/>
      <c r="D20552" s="11"/>
      <c r="E20552" s="11"/>
      <c r="F20552" s="11"/>
      <c r="G20552" s="11"/>
      <c r="H20552" s="11"/>
      <c r="I20552" s="15"/>
    </row>
    <row r="20553" spans="1:9" ht="16.5">
      <c r="A20553" s="10" t="b">
        <v>0</v>
      </c>
      <c r="B20553" s="11" t="str">
        <f>IF(D20553&lt;&gt;"",IF(COUNTIF('USPTO TMs'!A:A,D20553)&gt;0,"Yes","No"),"")</f>
        <v/>
      </c>
      <c r="C20553" s="11"/>
      <c r="D20553" s="11"/>
      <c r="E20553" s="11"/>
      <c r="F20553" s="11"/>
      <c r="G20553" s="11"/>
      <c r="H20553" s="11"/>
      <c r="I20553" s="15"/>
    </row>
    <row r="20554" spans="1:9" ht="16.5">
      <c r="A20554" s="10" t="b">
        <v>0</v>
      </c>
      <c r="B20554" s="11" t="str">
        <f>IF(D20554&lt;&gt;"",IF(COUNTIF('USPTO TMs'!A:A,D20554)&gt;0,"Yes","No"),"")</f>
        <v/>
      </c>
      <c r="C20554" s="11"/>
      <c r="D20554" s="11"/>
      <c r="E20554" s="11"/>
      <c r="F20554" s="11"/>
      <c r="G20554" s="11"/>
      <c r="H20554" s="11"/>
      <c r="I20554" s="15"/>
    </row>
    <row r="20555" spans="1:9" ht="16.5">
      <c r="A20555" s="10" t="b">
        <v>0</v>
      </c>
      <c r="B20555" s="11" t="str">
        <f>IF(D20555&lt;&gt;"",IF(COUNTIF('USPTO TMs'!A:A,D20555)&gt;0,"Yes","No"),"")</f>
        <v/>
      </c>
      <c r="C20555" s="11"/>
      <c r="D20555" s="11"/>
      <c r="E20555" s="11"/>
      <c r="F20555" s="11"/>
      <c r="G20555" s="11"/>
      <c r="H20555" s="11"/>
      <c r="I20555" s="15"/>
    </row>
    <row r="20556" spans="1:9" ht="16.5">
      <c r="A20556" s="10" t="b">
        <v>0</v>
      </c>
      <c r="B20556" s="11" t="str">
        <f>IF(D20556&lt;&gt;"",IF(COUNTIF('USPTO TMs'!A:A,D20556)&gt;0,"Yes","No"),"")</f>
        <v/>
      </c>
      <c r="C20556" s="11"/>
      <c r="D20556" s="11"/>
      <c r="E20556" s="11"/>
      <c r="F20556" s="11"/>
      <c r="G20556" s="11"/>
      <c r="H20556" s="11"/>
      <c r="I20556" s="15"/>
    </row>
    <row r="20557" spans="1:9" ht="16.5">
      <c r="A20557" s="10" t="b">
        <v>0</v>
      </c>
      <c r="B20557" s="11" t="str">
        <f>IF(D20557&lt;&gt;"",IF(COUNTIF('USPTO TMs'!A:A,D20557)&gt;0,"Yes","No"),"")</f>
        <v/>
      </c>
      <c r="C20557" s="11"/>
      <c r="D20557" s="11"/>
      <c r="E20557" s="11"/>
      <c r="F20557" s="11"/>
      <c r="G20557" s="11"/>
      <c r="H20557" s="11"/>
      <c r="I20557" s="15"/>
    </row>
    <row r="20558" spans="1:9" ht="16.5">
      <c r="A20558" s="10" t="b">
        <v>0</v>
      </c>
      <c r="B20558" s="11" t="str">
        <f>IF(D20558&lt;&gt;"",IF(COUNTIF('USPTO TMs'!A:A,D20558)&gt;0,"Yes","No"),"")</f>
        <v/>
      </c>
      <c r="C20558" s="11"/>
      <c r="D20558" s="11"/>
      <c r="E20558" s="11"/>
      <c r="F20558" s="11"/>
      <c r="G20558" s="11"/>
      <c r="H20558" s="11"/>
      <c r="I20558" s="15"/>
    </row>
    <row r="20559" spans="1:9" ht="16.5">
      <c r="A20559" s="10" t="b">
        <v>0</v>
      </c>
      <c r="B20559" s="11" t="str">
        <f>IF(D20559&lt;&gt;"",IF(COUNTIF('USPTO TMs'!A:A,D20559)&gt;0,"Yes","No"),"")</f>
        <v/>
      </c>
      <c r="C20559" s="11"/>
      <c r="D20559" s="11"/>
      <c r="E20559" s="11"/>
      <c r="F20559" s="11"/>
      <c r="G20559" s="11"/>
      <c r="H20559" s="11"/>
      <c r="I20559" s="15"/>
    </row>
    <row r="20560" spans="1:9" ht="16.5">
      <c r="A20560" s="10" t="b">
        <v>0</v>
      </c>
      <c r="B20560" s="11" t="str">
        <f>IF(D20560&lt;&gt;"",IF(COUNTIF('USPTO TMs'!A:A,D20560)&gt;0,"Yes","No"),"")</f>
        <v/>
      </c>
      <c r="C20560" s="11"/>
      <c r="D20560" s="11"/>
      <c r="E20560" s="11"/>
      <c r="F20560" s="11"/>
      <c r="G20560" s="11"/>
      <c r="H20560" s="11"/>
      <c r="I20560" s="15"/>
    </row>
    <row r="20561" spans="1:9" ht="16.5">
      <c r="A20561" s="10" t="b">
        <v>0</v>
      </c>
      <c r="B20561" s="11" t="str">
        <f>IF(D20561&lt;&gt;"",IF(COUNTIF('USPTO TMs'!A:A,D20561)&gt;0,"Yes","No"),"")</f>
        <v/>
      </c>
      <c r="C20561" s="11"/>
      <c r="D20561" s="11"/>
      <c r="E20561" s="11"/>
      <c r="F20561" s="11"/>
      <c r="G20561" s="11"/>
      <c r="H20561" s="11"/>
      <c r="I20561" s="15"/>
    </row>
    <row r="20562" spans="1:9" ht="16.5">
      <c r="A20562" s="10" t="b">
        <v>0</v>
      </c>
      <c r="B20562" s="11" t="str">
        <f>IF(D20562&lt;&gt;"",IF(COUNTIF('USPTO TMs'!A:A,D20562)&gt;0,"Yes","No"),"")</f>
        <v/>
      </c>
      <c r="C20562" s="11"/>
      <c r="D20562" s="11"/>
      <c r="E20562" s="11"/>
      <c r="F20562" s="11"/>
      <c r="G20562" s="11"/>
      <c r="H20562" s="11"/>
      <c r="I20562" s="15"/>
    </row>
    <row r="20563" spans="1:9" ht="16.5">
      <c r="A20563" s="10" t="b">
        <v>0</v>
      </c>
      <c r="B20563" s="11" t="str">
        <f>IF(D20563&lt;&gt;"",IF(COUNTIF('USPTO TMs'!A:A,D20563)&gt;0,"Yes","No"),"")</f>
        <v/>
      </c>
      <c r="C20563" s="11"/>
      <c r="D20563" s="11"/>
      <c r="E20563" s="11"/>
      <c r="F20563" s="11"/>
      <c r="G20563" s="11"/>
      <c r="H20563" s="11"/>
      <c r="I20563" s="15"/>
    </row>
    <row r="20564" spans="1:9" ht="16.5">
      <c r="A20564" s="10" t="b">
        <v>0</v>
      </c>
      <c r="B20564" s="11" t="str">
        <f>IF(D20564&lt;&gt;"",IF(COUNTIF('USPTO TMs'!A:A,D20564)&gt;0,"Yes","No"),"")</f>
        <v/>
      </c>
      <c r="C20564" s="11"/>
      <c r="D20564" s="11"/>
      <c r="E20564" s="11"/>
      <c r="F20564" s="11"/>
      <c r="G20564" s="11"/>
      <c r="H20564" s="11"/>
      <c r="I20564" s="15"/>
    </row>
    <row r="20565" spans="1:9" ht="16.5">
      <c r="A20565" s="10" t="b">
        <v>0</v>
      </c>
      <c r="B20565" s="11" t="str">
        <f>IF(D20565&lt;&gt;"",IF(COUNTIF('USPTO TMs'!A:A,D20565)&gt;0,"Yes","No"),"")</f>
        <v/>
      </c>
      <c r="C20565" s="11"/>
      <c r="D20565" s="11"/>
      <c r="E20565" s="11"/>
      <c r="F20565" s="11"/>
      <c r="G20565" s="11"/>
      <c r="H20565" s="11"/>
      <c r="I20565" s="15"/>
    </row>
    <row r="20566" spans="1:9" ht="16.5">
      <c r="A20566" s="10" t="b">
        <v>0</v>
      </c>
      <c r="B20566" s="11" t="str">
        <f>IF(D20566&lt;&gt;"",IF(COUNTIF('USPTO TMs'!A:A,D20566)&gt;0,"Yes","No"),"")</f>
        <v/>
      </c>
      <c r="C20566" s="11"/>
      <c r="D20566" s="11"/>
      <c r="E20566" s="11"/>
      <c r="F20566" s="11"/>
      <c r="G20566" s="11"/>
      <c r="H20566" s="11"/>
      <c r="I20566" s="15"/>
    </row>
    <row r="20567" spans="1:9" ht="16.5">
      <c r="A20567" s="10" t="b">
        <v>0</v>
      </c>
      <c r="B20567" s="11" t="str">
        <f>IF(D20567&lt;&gt;"",IF(COUNTIF('USPTO TMs'!A:A,D20567)&gt;0,"Yes","No"),"")</f>
        <v/>
      </c>
      <c r="C20567" s="11"/>
      <c r="D20567" s="11"/>
      <c r="E20567" s="11"/>
      <c r="F20567" s="11"/>
      <c r="G20567" s="11"/>
      <c r="H20567" s="11"/>
      <c r="I20567" s="15"/>
    </row>
    <row r="20568" spans="1:9" ht="16.5">
      <c r="A20568" s="10" t="b">
        <v>0</v>
      </c>
      <c r="B20568" s="11" t="str">
        <f>IF(D20568&lt;&gt;"",IF(COUNTIF('USPTO TMs'!A:A,D20568)&gt;0,"Yes","No"),"")</f>
        <v/>
      </c>
      <c r="C20568" s="11"/>
      <c r="D20568" s="11"/>
      <c r="E20568" s="11"/>
      <c r="F20568" s="11"/>
      <c r="G20568" s="11"/>
      <c r="H20568" s="11"/>
      <c r="I20568" s="15"/>
    </row>
    <row r="20569" spans="1:9" ht="16.5">
      <c r="A20569" s="10" t="b">
        <v>0</v>
      </c>
      <c r="B20569" s="11" t="str">
        <f>IF(D20569&lt;&gt;"",IF(COUNTIF('USPTO TMs'!A:A,D20569)&gt;0,"Yes","No"),"")</f>
        <v/>
      </c>
      <c r="C20569" s="11"/>
      <c r="D20569" s="11"/>
      <c r="E20569" s="11"/>
      <c r="F20569" s="11"/>
      <c r="G20569" s="11"/>
      <c r="H20569" s="11"/>
      <c r="I20569" s="15"/>
    </row>
    <row r="20570" spans="1:9" ht="16.5">
      <c r="A20570" s="10" t="b">
        <v>0</v>
      </c>
      <c r="B20570" s="11" t="str">
        <f>IF(D20570&lt;&gt;"",IF(COUNTIF('USPTO TMs'!A:A,D20570)&gt;0,"Yes","No"),"")</f>
        <v/>
      </c>
      <c r="C20570" s="11"/>
      <c r="D20570" s="11"/>
      <c r="E20570" s="11"/>
      <c r="F20570" s="11"/>
      <c r="G20570" s="11"/>
      <c r="H20570" s="11"/>
      <c r="I20570" s="15"/>
    </row>
    <row r="20571" spans="1:9" ht="16.5">
      <c r="A20571" s="10" t="b">
        <v>0</v>
      </c>
      <c r="B20571" s="11" t="str">
        <f>IF(D20571&lt;&gt;"",IF(COUNTIF('USPTO TMs'!A:A,D20571)&gt;0,"Yes","No"),"")</f>
        <v/>
      </c>
      <c r="C20571" s="11"/>
      <c r="D20571" s="11"/>
      <c r="E20571" s="11"/>
      <c r="F20571" s="11"/>
      <c r="G20571" s="11"/>
      <c r="H20571" s="11"/>
      <c r="I20571" s="15"/>
    </row>
    <row r="20572" spans="1:9" ht="16.5">
      <c r="A20572" s="10" t="b">
        <v>0</v>
      </c>
      <c r="B20572" s="11" t="str">
        <f>IF(D20572&lt;&gt;"",IF(COUNTIF('USPTO TMs'!A:A,D20572)&gt;0,"Yes","No"),"")</f>
        <v/>
      </c>
      <c r="C20572" s="11"/>
      <c r="D20572" s="11"/>
      <c r="E20572" s="11"/>
      <c r="F20572" s="11"/>
      <c r="G20572" s="11"/>
      <c r="H20572" s="11"/>
      <c r="I20572" s="15"/>
    </row>
    <row r="20573" spans="1:9" ht="16.5">
      <c r="A20573" s="10" t="b">
        <v>0</v>
      </c>
      <c r="B20573" s="11" t="str">
        <f>IF(D20573&lt;&gt;"",IF(COUNTIF('USPTO TMs'!A:A,D20573)&gt;0,"Yes","No"),"")</f>
        <v/>
      </c>
      <c r="C20573" s="11"/>
      <c r="D20573" s="11"/>
      <c r="E20573" s="11"/>
      <c r="F20573" s="11"/>
      <c r="G20573" s="11"/>
      <c r="H20573" s="11"/>
      <c r="I20573" s="15"/>
    </row>
    <row r="20574" spans="1:9" ht="16.5">
      <c r="A20574" s="10" t="b">
        <v>0</v>
      </c>
      <c r="B20574" s="11" t="str">
        <f>IF(D20574&lt;&gt;"",IF(COUNTIF('USPTO TMs'!A:A,D20574)&gt;0,"Yes","No"),"")</f>
        <v/>
      </c>
      <c r="C20574" s="11"/>
      <c r="D20574" s="11"/>
      <c r="E20574" s="11"/>
      <c r="F20574" s="11"/>
      <c r="G20574" s="11"/>
      <c r="H20574" s="11"/>
      <c r="I20574" s="15"/>
    </row>
    <row r="20575" spans="1:9" ht="16.5">
      <c r="A20575" s="10" t="b">
        <v>0</v>
      </c>
      <c r="B20575" s="11" t="str">
        <f>IF(D20575&lt;&gt;"",IF(COUNTIF('USPTO TMs'!A:A,D20575)&gt;0,"Yes","No"),"")</f>
        <v/>
      </c>
      <c r="C20575" s="11"/>
      <c r="D20575" s="11"/>
      <c r="E20575" s="11"/>
      <c r="F20575" s="11"/>
      <c r="G20575" s="11"/>
      <c r="H20575" s="11"/>
      <c r="I20575" s="15"/>
    </row>
    <row r="20576" spans="1:9" ht="16.5">
      <c r="A20576" s="10" t="b">
        <v>0</v>
      </c>
      <c r="B20576" s="11" t="str">
        <f>IF(D20576&lt;&gt;"",IF(COUNTIF('USPTO TMs'!A:A,D20576)&gt;0,"Yes","No"),"")</f>
        <v/>
      </c>
      <c r="C20576" s="11"/>
      <c r="D20576" s="11"/>
      <c r="E20576" s="11"/>
      <c r="F20576" s="11"/>
      <c r="G20576" s="11"/>
      <c r="H20576" s="11"/>
      <c r="I20576" s="15"/>
    </row>
    <row r="20577" spans="1:9" ht="16.5">
      <c r="A20577" s="10" t="b">
        <v>0</v>
      </c>
      <c r="B20577" s="11" t="str">
        <f>IF(D20577&lt;&gt;"",IF(COUNTIF('USPTO TMs'!A:A,D20577)&gt;0,"Yes","No"),"")</f>
        <v/>
      </c>
      <c r="C20577" s="11"/>
      <c r="D20577" s="11"/>
      <c r="E20577" s="11"/>
      <c r="F20577" s="11"/>
      <c r="G20577" s="11"/>
      <c r="H20577" s="11"/>
      <c r="I20577" s="15"/>
    </row>
    <row r="20578" spans="1:9" ht="16.5">
      <c r="A20578" s="10" t="b">
        <v>0</v>
      </c>
      <c r="B20578" s="11" t="str">
        <f>IF(D20578&lt;&gt;"",IF(COUNTIF('USPTO TMs'!A:A,D20578)&gt;0,"Yes","No"),"")</f>
        <v/>
      </c>
      <c r="C20578" s="11"/>
      <c r="D20578" s="11"/>
      <c r="E20578" s="11"/>
      <c r="F20578" s="11"/>
      <c r="G20578" s="11"/>
      <c r="H20578" s="11"/>
      <c r="I20578" s="15"/>
    </row>
    <row r="20579" spans="1:9" ht="16.5">
      <c r="A20579" s="10" t="b">
        <v>0</v>
      </c>
      <c r="B20579" s="11" t="str">
        <f>IF(D20579&lt;&gt;"",IF(COUNTIF('USPTO TMs'!A:A,D20579)&gt;0,"Yes","No"),"")</f>
        <v/>
      </c>
      <c r="C20579" s="11"/>
      <c r="D20579" s="11"/>
      <c r="E20579" s="11"/>
      <c r="F20579" s="11"/>
      <c r="G20579" s="11"/>
      <c r="H20579" s="11"/>
      <c r="I20579" s="15"/>
    </row>
    <row r="20580" spans="1:9" ht="16.5">
      <c r="A20580" s="10" t="b">
        <v>0</v>
      </c>
      <c r="B20580" s="11" t="str">
        <f>IF(D20580&lt;&gt;"",IF(COUNTIF('USPTO TMs'!A:A,D20580)&gt;0,"Yes","No"),"")</f>
        <v/>
      </c>
      <c r="C20580" s="11"/>
      <c r="D20580" s="11"/>
      <c r="E20580" s="11"/>
      <c r="F20580" s="11"/>
      <c r="G20580" s="11"/>
      <c r="H20580" s="11"/>
      <c r="I20580" s="15"/>
    </row>
    <row r="20581" spans="1:9" ht="16.5">
      <c r="A20581" s="10" t="b">
        <v>0</v>
      </c>
      <c r="B20581" s="11" t="str">
        <f>IF(D20581&lt;&gt;"",IF(COUNTIF('USPTO TMs'!A:A,D20581)&gt;0,"Yes","No"),"")</f>
        <v/>
      </c>
      <c r="C20581" s="11"/>
      <c r="D20581" s="11"/>
      <c r="E20581" s="11"/>
      <c r="F20581" s="11"/>
      <c r="G20581" s="11"/>
      <c r="H20581" s="11"/>
      <c r="I20581" s="15"/>
    </row>
    <row r="20582" spans="1:9" ht="16.5">
      <c r="A20582" s="10" t="b">
        <v>0</v>
      </c>
      <c r="B20582" s="11" t="str">
        <f>IF(D20582&lt;&gt;"",IF(COUNTIF('USPTO TMs'!A:A,D20582)&gt;0,"Yes","No"),"")</f>
        <v/>
      </c>
      <c r="C20582" s="11"/>
      <c r="D20582" s="11"/>
      <c r="E20582" s="11"/>
      <c r="F20582" s="11"/>
      <c r="G20582" s="11"/>
      <c r="H20582" s="11"/>
      <c r="I20582" s="15"/>
    </row>
    <row r="20583" spans="1:9" ht="16.5">
      <c r="A20583" s="10" t="b">
        <v>0</v>
      </c>
      <c r="B20583" s="11" t="str">
        <f>IF(D20583&lt;&gt;"",IF(COUNTIF('USPTO TMs'!A:A,D20583)&gt;0,"Yes","No"),"")</f>
        <v/>
      </c>
      <c r="C20583" s="11"/>
      <c r="D20583" s="11"/>
      <c r="E20583" s="11"/>
      <c r="F20583" s="11"/>
      <c r="G20583" s="11"/>
      <c r="H20583" s="11"/>
      <c r="I20583" s="15"/>
    </row>
    <row r="20584" spans="1:9" ht="16.5">
      <c r="A20584" s="10" t="b">
        <v>0</v>
      </c>
      <c r="B20584" s="11" t="str">
        <f>IF(D20584&lt;&gt;"",IF(COUNTIF('USPTO TMs'!A:A,D20584)&gt;0,"Yes","No"),"")</f>
        <v/>
      </c>
      <c r="C20584" s="11"/>
      <c r="D20584" s="11"/>
      <c r="E20584" s="11"/>
      <c r="F20584" s="11"/>
      <c r="G20584" s="11"/>
      <c r="H20584" s="11"/>
      <c r="I20584" s="15"/>
    </row>
    <row r="20585" spans="1:9" ht="16.5">
      <c r="A20585" s="10" t="b">
        <v>0</v>
      </c>
      <c r="B20585" s="11" t="str">
        <f>IF(D20585&lt;&gt;"",IF(COUNTIF('USPTO TMs'!A:A,D20585)&gt;0,"Yes","No"),"")</f>
        <v/>
      </c>
      <c r="C20585" s="11"/>
      <c r="D20585" s="11"/>
      <c r="E20585" s="11"/>
      <c r="F20585" s="11"/>
      <c r="G20585" s="11"/>
      <c r="H20585" s="11"/>
      <c r="I20585" s="15"/>
    </row>
    <row r="20586" spans="1:9" ht="16.5">
      <c r="A20586" s="10" t="b">
        <v>0</v>
      </c>
      <c r="B20586" s="11" t="str">
        <f>IF(D20586&lt;&gt;"",IF(COUNTIF('USPTO TMs'!A:A,D20586)&gt;0,"Yes","No"),"")</f>
        <v/>
      </c>
      <c r="C20586" s="11"/>
      <c r="D20586" s="11"/>
      <c r="E20586" s="11"/>
      <c r="F20586" s="11"/>
      <c r="G20586" s="11"/>
      <c r="H20586" s="11"/>
      <c r="I20586" s="15"/>
    </row>
    <row r="20587" spans="1:9" ht="16.5">
      <c r="A20587" s="10" t="b">
        <v>0</v>
      </c>
      <c r="B20587" s="11" t="str">
        <f>IF(D20587&lt;&gt;"",IF(COUNTIF('USPTO TMs'!A:A,D20587)&gt;0,"Yes","No"),"")</f>
        <v/>
      </c>
      <c r="C20587" s="11"/>
      <c r="D20587" s="11"/>
      <c r="E20587" s="11"/>
      <c r="F20587" s="11"/>
      <c r="G20587" s="11"/>
      <c r="H20587" s="11"/>
      <c r="I20587" s="15"/>
    </row>
    <row r="20588" spans="1:9" ht="16.5">
      <c r="A20588" s="10" t="b">
        <v>0</v>
      </c>
      <c r="B20588" s="11" t="str">
        <f>IF(D20588&lt;&gt;"",IF(COUNTIF('USPTO TMs'!A:A,D20588)&gt;0,"Yes","No"),"")</f>
        <v/>
      </c>
      <c r="C20588" s="11"/>
      <c r="D20588" s="11"/>
      <c r="E20588" s="11"/>
      <c r="F20588" s="11"/>
      <c r="G20588" s="11"/>
      <c r="H20588" s="11"/>
      <c r="I20588" s="15"/>
    </row>
    <row r="20589" spans="1:9" ht="16.5">
      <c r="A20589" s="10" t="b">
        <v>0</v>
      </c>
      <c r="B20589" s="11" t="str">
        <f>IF(D20589&lt;&gt;"",IF(COUNTIF('USPTO TMs'!A:A,D20589)&gt;0,"Yes","No"),"")</f>
        <v/>
      </c>
      <c r="C20589" s="11"/>
      <c r="D20589" s="11"/>
      <c r="E20589" s="11"/>
      <c r="F20589" s="11"/>
      <c r="G20589" s="11"/>
      <c r="H20589" s="11"/>
      <c r="I20589" s="15"/>
    </row>
    <row r="20590" spans="1:9" ht="16.5">
      <c r="A20590" s="10" t="b">
        <v>0</v>
      </c>
      <c r="B20590" s="11" t="str">
        <f>IF(D20590&lt;&gt;"",IF(COUNTIF('USPTO TMs'!A:A,D20590)&gt;0,"Yes","No"),"")</f>
        <v/>
      </c>
      <c r="C20590" s="11"/>
      <c r="D20590" s="11"/>
      <c r="E20590" s="11"/>
      <c r="F20590" s="11"/>
      <c r="G20590" s="11"/>
      <c r="H20590" s="11"/>
      <c r="I20590" s="15"/>
    </row>
    <row r="20591" spans="1:9" ht="16.5">
      <c r="A20591" s="10" t="b">
        <v>0</v>
      </c>
      <c r="B20591" s="11" t="str">
        <f>IF(D20591&lt;&gt;"",IF(COUNTIF('USPTO TMs'!A:A,D20591)&gt;0,"Yes","No"),"")</f>
        <v/>
      </c>
      <c r="C20591" s="11"/>
      <c r="D20591" s="11"/>
      <c r="E20591" s="11"/>
      <c r="F20591" s="11"/>
      <c r="G20591" s="11"/>
      <c r="H20591" s="11"/>
      <c r="I20591" s="15"/>
    </row>
    <row r="20592" spans="1:9" ht="16.5">
      <c r="A20592" s="10" t="b">
        <v>0</v>
      </c>
      <c r="B20592" s="11" t="str">
        <f>IF(D20592&lt;&gt;"",IF(COUNTIF('USPTO TMs'!A:A,D20592)&gt;0,"Yes","No"),"")</f>
        <v/>
      </c>
      <c r="C20592" s="11"/>
      <c r="D20592" s="11"/>
      <c r="E20592" s="11"/>
      <c r="F20592" s="11"/>
      <c r="G20592" s="11"/>
      <c r="H20592" s="11"/>
      <c r="I20592" s="15"/>
    </row>
    <row r="20593" spans="1:9" ht="16.5">
      <c r="A20593" s="10" t="b">
        <v>0</v>
      </c>
      <c r="B20593" s="11" t="str">
        <f>IF(D20593&lt;&gt;"",IF(COUNTIF('USPTO TMs'!A:A,D20593)&gt;0,"Yes","No"),"")</f>
        <v/>
      </c>
      <c r="C20593" s="11"/>
      <c r="D20593" s="11"/>
      <c r="E20593" s="11"/>
      <c r="F20593" s="11"/>
      <c r="G20593" s="11"/>
      <c r="H20593" s="11"/>
      <c r="I20593" s="15"/>
    </row>
    <row r="20594" spans="1:9" ht="16.5">
      <c r="A20594" s="10" t="b">
        <v>0</v>
      </c>
      <c r="B20594" s="11" t="str">
        <f>IF(D20594&lt;&gt;"",IF(COUNTIF('USPTO TMs'!A:A,D20594)&gt;0,"Yes","No"),"")</f>
        <v/>
      </c>
      <c r="C20594" s="11"/>
      <c r="D20594" s="11"/>
      <c r="E20594" s="11"/>
      <c r="F20594" s="11"/>
      <c r="G20594" s="11"/>
      <c r="H20594" s="11"/>
      <c r="I20594" s="15"/>
    </row>
    <row r="20595" spans="1:9" ht="16.5">
      <c r="A20595" s="10" t="b">
        <v>0</v>
      </c>
      <c r="B20595" s="11" t="str">
        <f>IF(D20595&lt;&gt;"",IF(COUNTIF('USPTO TMs'!A:A,D20595)&gt;0,"Yes","No"),"")</f>
        <v/>
      </c>
      <c r="C20595" s="11"/>
      <c r="D20595" s="11"/>
      <c r="E20595" s="11"/>
      <c r="F20595" s="11"/>
      <c r="G20595" s="11"/>
      <c r="H20595" s="11"/>
      <c r="I20595" s="15"/>
    </row>
    <row r="20596" spans="1:9" ht="16.5">
      <c r="A20596" s="10" t="b">
        <v>0</v>
      </c>
      <c r="B20596" s="11" t="str">
        <f>IF(D20596&lt;&gt;"",IF(COUNTIF('USPTO TMs'!A:A,D20596)&gt;0,"Yes","No"),"")</f>
        <v/>
      </c>
      <c r="C20596" s="11"/>
      <c r="D20596" s="11"/>
      <c r="E20596" s="11"/>
      <c r="F20596" s="11"/>
      <c r="G20596" s="11"/>
      <c r="H20596" s="11"/>
      <c r="I20596" s="15"/>
    </row>
    <row r="20597" spans="1:9" ht="16.5">
      <c r="A20597" s="10" t="b">
        <v>0</v>
      </c>
      <c r="B20597" s="11" t="str">
        <f>IF(D20597&lt;&gt;"",IF(COUNTIF('USPTO TMs'!A:A,D20597)&gt;0,"Yes","No"),"")</f>
        <v/>
      </c>
      <c r="C20597" s="11"/>
      <c r="D20597" s="11"/>
      <c r="E20597" s="11"/>
      <c r="F20597" s="11"/>
      <c r="G20597" s="11"/>
      <c r="H20597" s="11"/>
      <c r="I20597" s="15"/>
    </row>
    <row r="20598" spans="1:9" ht="16.5">
      <c r="A20598" s="10" t="b">
        <v>0</v>
      </c>
      <c r="B20598" s="11" t="str">
        <f>IF(D20598&lt;&gt;"",IF(COUNTIF('USPTO TMs'!A:A,D20598)&gt;0,"Yes","No"),"")</f>
        <v/>
      </c>
      <c r="C20598" s="11"/>
      <c r="D20598" s="11"/>
      <c r="E20598" s="11"/>
      <c r="F20598" s="11"/>
      <c r="G20598" s="11"/>
      <c r="H20598" s="11"/>
      <c r="I20598" s="15"/>
    </row>
    <row r="20599" spans="1:9" ht="16.5">
      <c r="A20599" s="10" t="b">
        <v>0</v>
      </c>
      <c r="B20599" s="11" t="str">
        <f>IF(D20599&lt;&gt;"",IF(COUNTIF('USPTO TMs'!A:A,D20599)&gt;0,"Yes","No"),"")</f>
        <v/>
      </c>
      <c r="C20599" s="11"/>
      <c r="D20599" s="11"/>
      <c r="E20599" s="11"/>
      <c r="F20599" s="11"/>
      <c r="G20599" s="11"/>
      <c r="H20599" s="11"/>
      <c r="I20599" s="15"/>
    </row>
    <row r="20600" spans="1:9" ht="16.5">
      <c r="A20600" s="10" t="b">
        <v>0</v>
      </c>
      <c r="B20600" s="11" t="str">
        <f>IF(D20600&lt;&gt;"",IF(COUNTIF('USPTO TMs'!A:A,D20600)&gt;0,"Yes","No"),"")</f>
        <v/>
      </c>
      <c r="C20600" s="11"/>
      <c r="D20600" s="11"/>
      <c r="E20600" s="11"/>
      <c r="F20600" s="11"/>
      <c r="G20600" s="11"/>
      <c r="H20600" s="11"/>
      <c r="I20600" s="15"/>
    </row>
    <row r="20601" spans="1:9" ht="16.5">
      <c r="A20601" s="10" t="b">
        <v>0</v>
      </c>
      <c r="B20601" s="11" t="str">
        <f>IF(D20601&lt;&gt;"",IF(COUNTIF('USPTO TMs'!A:A,D20601)&gt;0,"Yes","No"),"")</f>
        <v/>
      </c>
      <c r="C20601" s="11"/>
      <c r="D20601" s="11"/>
      <c r="E20601" s="11"/>
      <c r="F20601" s="11"/>
      <c r="G20601" s="11"/>
      <c r="H20601" s="11"/>
      <c r="I20601" s="15"/>
    </row>
    <row r="20602" spans="1:9" ht="16.5">
      <c r="A20602" s="10" t="b">
        <v>0</v>
      </c>
      <c r="B20602" s="11" t="str">
        <f>IF(D20602&lt;&gt;"",IF(COUNTIF('USPTO TMs'!A:A,D20602)&gt;0,"Yes","No"),"")</f>
        <v/>
      </c>
      <c r="C20602" s="11"/>
      <c r="D20602" s="11"/>
      <c r="E20602" s="11"/>
      <c r="F20602" s="11"/>
      <c r="G20602" s="11"/>
      <c r="H20602" s="11"/>
      <c r="I20602" s="15"/>
    </row>
    <row r="20603" spans="1:9" ht="16.5">
      <c r="A20603" s="10" t="b">
        <v>0</v>
      </c>
      <c r="B20603" s="11" t="str">
        <f>IF(D20603&lt;&gt;"",IF(COUNTIF('USPTO TMs'!A:A,D20603)&gt;0,"Yes","No"),"")</f>
        <v/>
      </c>
      <c r="C20603" s="11"/>
      <c r="D20603" s="11"/>
      <c r="E20603" s="11"/>
      <c r="F20603" s="11"/>
      <c r="G20603" s="11"/>
      <c r="H20603" s="11"/>
      <c r="I20603" s="15"/>
    </row>
    <row r="20604" spans="1:9" ht="16.5">
      <c r="A20604" s="10" t="b">
        <v>0</v>
      </c>
      <c r="B20604" s="11" t="str">
        <f>IF(D20604&lt;&gt;"",IF(COUNTIF('USPTO TMs'!A:A,D20604)&gt;0,"Yes","No"),"")</f>
        <v/>
      </c>
      <c r="C20604" s="11"/>
      <c r="D20604" s="11"/>
      <c r="E20604" s="11"/>
      <c r="F20604" s="11"/>
      <c r="G20604" s="11"/>
      <c r="H20604" s="11"/>
      <c r="I20604" s="15"/>
    </row>
    <row r="20605" spans="1:9" ht="16.5">
      <c r="A20605" s="10" t="b">
        <v>0</v>
      </c>
      <c r="B20605" s="11" t="str">
        <f>IF(D20605&lt;&gt;"",IF(COUNTIF('USPTO TMs'!A:A,D20605)&gt;0,"Yes","No"),"")</f>
        <v/>
      </c>
      <c r="C20605" s="11"/>
      <c r="D20605" s="11"/>
      <c r="E20605" s="11"/>
      <c r="F20605" s="11"/>
      <c r="G20605" s="11"/>
      <c r="H20605" s="11"/>
      <c r="I20605" s="15"/>
    </row>
    <row r="20606" spans="1:9" ht="16.5">
      <c r="A20606" s="10" t="b">
        <v>0</v>
      </c>
      <c r="B20606" s="11" t="str">
        <f>IF(D20606&lt;&gt;"",IF(COUNTIF('USPTO TMs'!A:A,D20606)&gt;0,"Yes","No"),"")</f>
        <v/>
      </c>
      <c r="C20606" s="11"/>
      <c r="D20606" s="11"/>
      <c r="E20606" s="11"/>
      <c r="F20606" s="11"/>
      <c r="G20606" s="11"/>
      <c r="H20606" s="11"/>
      <c r="I20606" s="15"/>
    </row>
    <row r="20607" spans="1:9" ht="16.5">
      <c r="A20607" s="10" t="b">
        <v>0</v>
      </c>
      <c r="B20607" s="11" t="str">
        <f>IF(D20607&lt;&gt;"",IF(COUNTIF('USPTO TMs'!A:A,D20607)&gt;0,"Yes","No"),"")</f>
        <v/>
      </c>
      <c r="C20607" s="11"/>
      <c r="D20607" s="11"/>
      <c r="E20607" s="11"/>
      <c r="F20607" s="11"/>
      <c r="G20607" s="11"/>
      <c r="H20607" s="11"/>
      <c r="I20607" s="15"/>
    </row>
    <row r="20608" spans="1:9" ht="16.5">
      <c r="A20608" s="10" t="b">
        <v>0</v>
      </c>
      <c r="B20608" s="11" t="str">
        <f>IF(D20608&lt;&gt;"",IF(COUNTIF('USPTO TMs'!A:A,D20608)&gt;0,"Yes","No"),"")</f>
        <v/>
      </c>
      <c r="C20608" s="11"/>
      <c r="D20608" s="11"/>
      <c r="E20608" s="11"/>
      <c r="F20608" s="11"/>
      <c r="G20608" s="11"/>
      <c r="H20608" s="11"/>
      <c r="I20608" s="15"/>
    </row>
    <row r="20609" spans="1:9" ht="16.5">
      <c r="A20609" s="10" t="b">
        <v>0</v>
      </c>
      <c r="B20609" s="11" t="str">
        <f>IF(D20609&lt;&gt;"",IF(COUNTIF('USPTO TMs'!A:A,D20609)&gt;0,"Yes","No"),"")</f>
        <v/>
      </c>
      <c r="C20609" s="11"/>
      <c r="D20609" s="11"/>
      <c r="E20609" s="11"/>
      <c r="F20609" s="11"/>
      <c r="G20609" s="11"/>
      <c r="H20609" s="11"/>
      <c r="I20609" s="15"/>
    </row>
    <row r="20610" spans="1:9" ht="16.5">
      <c r="A20610" s="10" t="b">
        <v>0</v>
      </c>
      <c r="B20610" s="11" t="str">
        <f>IF(D20610&lt;&gt;"",IF(COUNTIF('USPTO TMs'!A:A,D20610)&gt;0,"Yes","No"),"")</f>
        <v/>
      </c>
      <c r="C20610" s="11"/>
      <c r="D20610" s="11"/>
      <c r="E20610" s="11"/>
      <c r="F20610" s="11"/>
      <c r="G20610" s="11"/>
      <c r="H20610" s="11"/>
      <c r="I20610" s="15"/>
    </row>
    <row r="20611" spans="1:9" ht="16.5">
      <c r="A20611" s="10" t="b">
        <v>0</v>
      </c>
      <c r="B20611" s="11" t="str">
        <f>IF(D20611&lt;&gt;"",IF(COUNTIF('USPTO TMs'!A:A,D20611)&gt;0,"Yes","No"),"")</f>
        <v/>
      </c>
      <c r="C20611" s="11"/>
      <c r="D20611" s="11"/>
      <c r="E20611" s="11"/>
      <c r="F20611" s="11"/>
      <c r="G20611" s="11"/>
      <c r="H20611" s="11"/>
      <c r="I20611" s="15"/>
    </row>
    <row r="20612" spans="1:9" ht="16.5">
      <c r="A20612" s="10" t="b">
        <v>0</v>
      </c>
      <c r="B20612" s="11" t="str">
        <f>IF(D20612&lt;&gt;"",IF(COUNTIF('USPTO TMs'!A:A,D20612)&gt;0,"Yes","No"),"")</f>
        <v/>
      </c>
      <c r="C20612" s="11"/>
      <c r="D20612" s="11"/>
      <c r="E20612" s="11"/>
      <c r="F20612" s="11"/>
      <c r="G20612" s="11"/>
      <c r="H20612" s="11"/>
      <c r="I20612" s="15"/>
    </row>
    <row r="20613" spans="1:9" ht="16.5">
      <c r="A20613" s="10" t="b">
        <v>0</v>
      </c>
      <c r="B20613" s="11" t="str">
        <f>IF(D20613&lt;&gt;"",IF(COUNTIF('USPTO TMs'!A:A,D20613)&gt;0,"Yes","No"),"")</f>
        <v/>
      </c>
      <c r="C20613" s="11"/>
      <c r="D20613" s="11"/>
      <c r="E20613" s="11"/>
      <c r="F20613" s="11"/>
      <c r="G20613" s="11"/>
      <c r="H20613" s="11"/>
      <c r="I20613" s="15"/>
    </row>
    <row r="20614" spans="1:9" ht="16.5">
      <c r="A20614" s="10" t="b">
        <v>0</v>
      </c>
      <c r="B20614" s="11" t="str">
        <f>IF(D20614&lt;&gt;"",IF(COUNTIF('USPTO TMs'!A:A,D20614)&gt;0,"Yes","No"),"")</f>
        <v/>
      </c>
      <c r="C20614" s="11"/>
      <c r="D20614" s="11"/>
      <c r="E20614" s="11"/>
      <c r="F20614" s="11"/>
      <c r="G20614" s="11"/>
      <c r="H20614" s="11"/>
      <c r="I20614" s="15"/>
    </row>
    <row r="20615" spans="1:9" ht="16.5">
      <c r="A20615" s="10" t="b">
        <v>0</v>
      </c>
      <c r="B20615" s="11" t="str">
        <f>IF(D20615&lt;&gt;"",IF(COUNTIF('USPTO TMs'!A:A,D20615)&gt;0,"Yes","No"),"")</f>
        <v/>
      </c>
      <c r="C20615" s="11"/>
      <c r="D20615" s="11"/>
      <c r="E20615" s="11"/>
      <c r="F20615" s="11"/>
      <c r="G20615" s="11"/>
      <c r="H20615" s="11"/>
      <c r="I20615" s="15"/>
    </row>
    <row r="20616" spans="1:9" ht="16.5">
      <c r="A20616" s="10" t="b">
        <v>0</v>
      </c>
      <c r="B20616" s="11" t="str">
        <f>IF(D20616&lt;&gt;"",IF(COUNTIF('USPTO TMs'!A:A,D20616)&gt;0,"Yes","No"),"")</f>
        <v/>
      </c>
      <c r="C20616" s="11"/>
      <c r="D20616" s="11"/>
      <c r="E20616" s="11"/>
      <c r="F20616" s="11"/>
      <c r="G20616" s="11"/>
      <c r="H20616" s="11"/>
      <c r="I20616" s="15"/>
    </row>
    <row r="20617" spans="1:9" ht="16.5">
      <c r="A20617" s="10" t="b">
        <v>0</v>
      </c>
      <c r="B20617" s="11" t="str">
        <f>IF(D20617&lt;&gt;"",IF(COUNTIF('USPTO TMs'!A:A,D20617)&gt;0,"Yes","No"),"")</f>
        <v/>
      </c>
      <c r="C20617" s="11"/>
      <c r="D20617" s="11"/>
      <c r="E20617" s="11"/>
      <c r="F20617" s="11"/>
      <c r="G20617" s="11"/>
      <c r="H20617" s="11"/>
      <c r="I20617" s="15"/>
    </row>
    <row r="20618" spans="1:9" ht="16.5">
      <c r="A20618" s="10" t="b">
        <v>0</v>
      </c>
      <c r="B20618" s="11" t="str">
        <f>IF(D20618&lt;&gt;"",IF(COUNTIF('USPTO TMs'!A:A,D20618)&gt;0,"Yes","No"),"")</f>
        <v/>
      </c>
      <c r="C20618" s="11"/>
      <c r="D20618" s="11"/>
      <c r="E20618" s="11"/>
      <c r="F20618" s="11"/>
      <c r="G20618" s="11"/>
      <c r="H20618" s="11"/>
      <c r="I20618" s="15"/>
    </row>
    <row r="20619" spans="1:9" ht="16.5">
      <c r="A20619" s="10" t="b">
        <v>0</v>
      </c>
      <c r="B20619" s="11" t="str">
        <f>IF(D20619&lt;&gt;"",IF(COUNTIF('USPTO TMs'!A:A,D20619)&gt;0,"Yes","No"),"")</f>
        <v/>
      </c>
      <c r="C20619" s="11"/>
      <c r="D20619" s="11"/>
      <c r="E20619" s="11"/>
      <c r="F20619" s="11"/>
      <c r="G20619" s="11"/>
      <c r="H20619" s="11"/>
      <c r="I20619" s="15"/>
    </row>
    <row r="20620" spans="1:9" ht="16.5">
      <c r="A20620" s="10" t="b">
        <v>0</v>
      </c>
      <c r="B20620" s="11" t="str">
        <f>IF(D20620&lt;&gt;"",IF(COUNTIF('USPTO TMs'!A:A,D20620)&gt;0,"Yes","No"),"")</f>
        <v/>
      </c>
      <c r="C20620" s="11"/>
      <c r="D20620" s="11"/>
      <c r="E20620" s="11"/>
      <c r="F20620" s="11"/>
      <c r="G20620" s="11"/>
      <c r="H20620" s="11"/>
      <c r="I20620" s="15"/>
    </row>
    <row r="20621" spans="1:9" ht="16.5">
      <c r="A20621" s="10" t="b">
        <v>0</v>
      </c>
      <c r="B20621" s="11" t="str">
        <f>IF(D20621&lt;&gt;"",IF(COUNTIF('USPTO TMs'!A:A,D20621)&gt;0,"Yes","No"),"")</f>
        <v/>
      </c>
      <c r="C20621" s="11"/>
      <c r="D20621" s="11"/>
      <c r="E20621" s="11"/>
      <c r="F20621" s="11"/>
      <c r="G20621" s="11"/>
      <c r="H20621" s="11"/>
      <c r="I20621" s="15"/>
    </row>
    <row r="20622" spans="1:9" ht="16.5">
      <c r="A20622" s="10" t="b">
        <v>0</v>
      </c>
      <c r="B20622" s="11" t="str">
        <f>IF(D20622&lt;&gt;"",IF(COUNTIF('USPTO TMs'!A:A,D20622)&gt;0,"Yes","No"),"")</f>
        <v/>
      </c>
      <c r="C20622" s="11"/>
      <c r="D20622" s="11"/>
      <c r="E20622" s="11"/>
      <c r="F20622" s="11"/>
      <c r="G20622" s="11"/>
      <c r="H20622" s="11"/>
      <c r="I20622" s="15"/>
    </row>
    <row r="20623" spans="1:9" ht="16.5">
      <c r="A20623" s="10" t="b">
        <v>0</v>
      </c>
      <c r="B20623" s="11" t="str">
        <f>IF(D20623&lt;&gt;"",IF(COUNTIF('USPTO TMs'!A:A,D20623)&gt;0,"Yes","No"),"")</f>
        <v/>
      </c>
      <c r="C20623" s="11"/>
      <c r="D20623" s="11"/>
      <c r="E20623" s="11"/>
      <c r="F20623" s="11"/>
      <c r="G20623" s="11"/>
      <c r="H20623" s="11"/>
      <c r="I20623" s="15"/>
    </row>
    <row r="20624" spans="1:9" ht="16.5">
      <c r="A20624" s="10" t="b">
        <v>0</v>
      </c>
      <c r="B20624" s="11" t="str">
        <f>IF(D20624&lt;&gt;"",IF(COUNTIF('USPTO TMs'!A:A,D20624)&gt;0,"Yes","No"),"")</f>
        <v/>
      </c>
      <c r="C20624" s="11"/>
      <c r="D20624" s="11"/>
      <c r="E20624" s="11"/>
      <c r="F20624" s="11"/>
      <c r="G20624" s="11"/>
      <c r="H20624" s="11"/>
      <c r="I20624" s="15"/>
    </row>
    <row r="20625" spans="1:9" ht="16.5">
      <c r="A20625" s="10" t="b">
        <v>0</v>
      </c>
      <c r="B20625" s="11" t="str">
        <f>IF(D20625&lt;&gt;"",IF(COUNTIF('USPTO TMs'!A:A,D20625)&gt;0,"Yes","No"),"")</f>
        <v/>
      </c>
      <c r="C20625" s="11"/>
      <c r="D20625" s="11"/>
      <c r="E20625" s="11"/>
      <c r="F20625" s="11"/>
      <c r="G20625" s="11"/>
      <c r="H20625" s="11"/>
      <c r="I20625" s="15"/>
    </row>
    <row r="20626" spans="1:9" ht="16.5">
      <c r="A20626" s="10" t="b">
        <v>0</v>
      </c>
      <c r="B20626" s="11" t="str">
        <f>IF(D20626&lt;&gt;"",IF(COUNTIF('USPTO TMs'!A:A,D20626)&gt;0,"Yes","No"),"")</f>
        <v/>
      </c>
      <c r="C20626" s="11"/>
      <c r="D20626" s="11"/>
      <c r="E20626" s="11"/>
      <c r="F20626" s="11"/>
      <c r="G20626" s="11"/>
      <c r="H20626" s="11"/>
      <c r="I20626" s="15"/>
    </row>
    <row r="20627" spans="1:9" ht="16.5">
      <c r="A20627" s="10" t="b">
        <v>0</v>
      </c>
      <c r="B20627" s="11" t="str">
        <f>IF(D20627&lt;&gt;"",IF(COUNTIF('USPTO TMs'!A:A,D20627)&gt;0,"Yes","No"),"")</f>
        <v/>
      </c>
      <c r="C20627" s="11"/>
      <c r="D20627" s="11"/>
      <c r="E20627" s="11"/>
      <c r="F20627" s="11"/>
      <c r="G20627" s="11"/>
      <c r="H20627" s="11"/>
      <c r="I20627" s="15"/>
    </row>
    <row r="20628" spans="1:9" ht="16.5">
      <c r="A20628" s="10" t="b">
        <v>0</v>
      </c>
      <c r="B20628" s="11" t="str">
        <f>IF(D20628&lt;&gt;"",IF(COUNTIF('USPTO TMs'!A:A,D20628)&gt;0,"Yes","No"),"")</f>
        <v/>
      </c>
      <c r="C20628" s="11"/>
      <c r="D20628" s="11"/>
      <c r="E20628" s="11"/>
      <c r="F20628" s="11"/>
      <c r="G20628" s="11"/>
      <c r="H20628" s="11"/>
      <c r="I20628" s="15"/>
    </row>
    <row r="20629" spans="1:9" ht="16.5">
      <c r="A20629" s="10" t="b">
        <v>0</v>
      </c>
      <c r="B20629" s="11" t="str">
        <f>IF(D20629&lt;&gt;"",IF(COUNTIF('USPTO TMs'!A:A,D20629)&gt;0,"Yes","No"),"")</f>
        <v/>
      </c>
      <c r="C20629" s="11"/>
      <c r="D20629" s="11"/>
      <c r="E20629" s="11"/>
      <c r="F20629" s="11"/>
      <c r="G20629" s="11"/>
      <c r="H20629" s="11"/>
      <c r="I20629" s="15"/>
    </row>
    <row r="20630" spans="1:9" ht="16.5">
      <c r="A20630" s="10" t="b">
        <v>0</v>
      </c>
      <c r="B20630" s="11" t="str">
        <f>IF(D20630&lt;&gt;"",IF(COUNTIF('USPTO TMs'!A:A,D20630)&gt;0,"Yes","No"),"")</f>
        <v/>
      </c>
      <c r="C20630" s="11"/>
      <c r="D20630" s="11"/>
      <c r="E20630" s="11"/>
      <c r="F20630" s="11"/>
      <c r="G20630" s="11"/>
      <c r="H20630" s="11"/>
      <c r="I20630" s="15"/>
    </row>
    <row r="20631" spans="1:9" ht="16.5">
      <c r="A20631" s="10" t="b">
        <v>0</v>
      </c>
      <c r="B20631" s="11" t="str">
        <f>IF(D20631&lt;&gt;"",IF(COUNTIF('USPTO TMs'!A:A,D20631)&gt;0,"Yes","No"),"")</f>
        <v/>
      </c>
      <c r="C20631" s="11"/>
      <c r="D20631" s="11"/>
      <c r="E20631" s="11"/>
      <c r="F20631" s="11"/>
      <c r="G20631" s="11"/>
      <c r="H20631" s="11"/>
      <c r="I20631" s="15"/>
    </row>
    <row r="20632" spans="1:9" ht="16.5">
      <c r="A20632" s="10" t="b">
        <v>0</v>
      </c>
      <c r="B20632" s="11" t="str">
        <f>IF(D20632&lt;&gt;"",IF(COUNTIF('USPTO TMs'!A:A,D20632)&gt;0,"Yes","No"),"")</f>
        <v/>
      </c>
      <c r="C20632" s="11"/>
      <c r="D20632" s="11"/>
      <c r="E20632" s="11"/>
      <c r="F20632" s="11"/>
      <c r="G20632" s="11"/>
      <c r="H20632" s="11"/>
      <c r="I20632" s="15"/>
    </row>
    <row r="20633" spans="1:9" ht="16.5">
      <c r="A20633" s="10" t="b">
        <v>0</v>
      </c>
      <c r="B20633" s="11" t="str">
        <f>IF(D20633&lt;&gt;"",IF(COUNTIF('USPTO TMs'!A:A,D20633)&gt;0,"Yes","No"),"")</f>
        <v/>
      </c>
      <c r="C20633" s="11"/>
      <c r="D20633" s="11"/>
      <c r="E20633" s="11"/>
      <c r="F20633" s="11"/>
      <c r="G20633" s="11"/>
      <c r="H20633" s="11"/>
      <c r="I20633" s="15"/>
    </row>
    <row r="20634" spans="1:9" ht="16.5">
      <c r="A20634" s="10" t="b">
        <v>0</v>
      </c>
      <c r="B20634" s="11" t="str">
        <f>IF(D20634&lt;&gt;"",IF(COUNTIF('USPTO TMs'!A:A,D20634)&gt;0,"Yes","No"),"")</f>
        <v/>
      </c>
      <c r="C20634" s="11"/>
      <c r="D20634" s="11"/>
      <c r="E20634" s="11"/>
      <c r="F20634" s="11"/>
      <c r="G20634" s="11"/>
      <c r="H20634" s="11"/>
      <c r="I20634" s="15"/>
    </row>
    <row r="20635" spans="1:9" ht="16.5">
      <c r="A20635" s="10" t="b">
        <v>0</v>
      </c>
      <c r="B20635" s="11" t="str">
        <f>IF(D20635&lt;&gt;"",IF(COUNTIF('USPTO TMs'!A:A,D20635)&gt;0,"Yes","No"),"")</f>
        <v/>
      </c>
      <c r="C20635" s="11"/>
      <c r="D20635" s="11"/>
      <c r="E20635" s="11"/>
      <c r="F20635" s="11"/>
      <c r="G20635" s="11"/>
      <c r="H20635" s="11"/>
      <c r="I20635" s="15"/>
    </row>
    <row r="20636" spans="1:9" ht="16.5">
      <c r="A20636" s="10" t="b">
        <v>0</v>
      </c>
      <c r="B20636" s="11" t="str">
        <f>IF(D20636&lt;&gt;"",IF(COUNTIF('USPTO TMs'!A:A,D20636)&gt;0,"Yes","No"),"")</f>
        <v/>
      </c>
      <c r="C20636" s="11"/>
      <c r="D20636" s="11"/>
      <c r="E20636" s="11"/>
      <c r="F20636" s="11"/>
      <c r="G20636" s="11"/>
      <c r="H20636" s="11"/>
      <c r="I20636" s="15"/>
    </row>
    <row r="20637" spans="1:9" ht="16.5">
      <c r="A20637" s="10" t="b">
        <v>0</v>
      </c>
      <c r="B20637" s="11" t="str">
        <f>IF(D20637&lt;&gt;"",IF(COUNTIF('USPTO TMs'!A:A,D20637)&gt;0,"Yes","No"),"")</f>
        <v/>
      </c>
      <c r="C20637" s="11"/>
      <c r="D20637" s="11"/>
      <c r="E20637" s="11"/>
      <c r="F20637" s="11"/>
      <c r="G20637" s="11"/>
      <c r="H20637" s="11"/>
      <c r="I20637" s="15"/>
    </row>
    <row r="20638" spans="1:9" ht="16.5">
      <c r="A20638" s="10" t="b">
        <v>0</v>
      </c>
      <c r="B20638" s="11" t="str">
        <f>IF(D20638&lt;&gt;"",IF(COUNTIF('USPTO TMs'!A:A,D20638)&gt;0,"Yes","No"),"")</f>
        <v/>
      </c>
      <c r="C20638" s="11"/>
      <c r="D20638" s="11"/>
      <c r="E20638" s="11"/>
      <c r="F20638" s="11"/>
      <c r="G20638" s="11"/>
      <c r="H20638" s="11"/>
      <c r="I20638" s="15"/>
    </row>
    <row r="20639" spans="1:9" ht="16.5">
      <c r="A20639" s="10" t="b">
        <v>0</v>
      </c>
      <c r="B20639" s="11" t="str">
        <f>IF(D20639&lt;&gt;"",IF(COUNTIF('USPTO TMs'!A:A,D20639)&gt;0,"Yes","No"),"")</f>
        <v/>
      </c>
      <c r="C20639" s="11"/>
      <c r="D20639" s="11"/>
      <c r="E20639" s="11"/>
      <c r="F20639" s="11"/>
      <c r="G20639" s="11"/>
      <c r="H20639" s="11"/>
      <c r="I20639" s="15"/>
    </row>
    <row r="20640" spans="1:9" ht="16.5">
      <c r="A20640" s="10" t="b">
        <v>0</v>
      </c>
      <c r="B20640" s="11" t="str">
        <f>IF(D20640&lt;&gt;"",IF(COUNTIF('USPTO TMs'!A:A,D20640)&gt;0,"Yes","No"),"")</f>
        <v/>
      </c>
      <c r="C20640" s="11"/>
      <c r="D20640" s="11"/>
      <c r="E20640" s="11"/>
      <c r="F20640" s="11"/>
      <c r="G20640" s="11"/>
      <c r="H20640" s="11"/>
      <c r="I20640" s="15"/>
    </row>
    <row r="20641" spans="1:9" ht="16.5">
      <c r="A20641" s="10" t="b">
        <v>0</v>
      </c>
      <c r="B20641" s="11" t="str">
        <f>IF(D20641&lt;&gt;"",IF(COUNTIF('USPTO TMs'!A:A,D20641)&gt;0,"Yes","No"),"")</f>
        <v/>
      </c>
      <c r="C20641" s="11"/>
      <c r="D20641" s="11"/>
      <c r="E20641" s="11"/>
      <c r="F20641" s="11"/>
      <c r="G20641" s="11"/>
      <c r="H20641" s="11"/>
      <c r="I20641" s="15"/>
    </row>
    <row r="20642" spans="1:9" ht="16.5">
      <c r="A20642" s="10" t="b">
        <v>0</v>
      </c>
      <c r="B20642" s="11" t="str">
        <f>IF(D20642&lt;&gt;"",IF(COUNTIF('USPTO TMs'!A:A,D20642)&gt;0,"Yes","No"),"")</f>
        <v/>
      </c>
      <c r="C20642" s="11"/>
      <c r="D20642" s="11"/>
      <c r="E20642" s="11"/>
      <c r="F20642" s="11"/>
      <c r="G20642" s="11"/>
      <c r="H20642" s="11"/>
      <c r="I20642" s="15"/>
    </row>
    <row r="20643" spans="1:9" ht="16.5">
      <c r="A20643" s="10" t="b">
        <v>0</v>
      </c>
      <c r="B20643" s="11" t="str">
        <f>IF(D20643&lt;&gt;"",IF(COUNTIF('USPTO TMs'!A:A,D20643)&gt;0,"Yes","No"),"")</f>
        <v/>
      </c>
      <c r="C20643" s="11"/>
      <c r="D20643" s="11"/>
      <c r="E20643" s="11"/>
      <c r="F20643" s="11"/>
      <c r="G20643" s="11"/>
      <c r="H20643" s="11"/>
      <c r="I20643" s="15"/>
    </row>
    <row r="20644" spans="1:9" ht="16.5">
      <c r="A20644" s="10" t="b">
        <v>0</v>
      </c>
      <c r="B20644" s="11" t="str">
        <f>IF(D20644&lt;&gt;"",IF(COUNTIF('USPTO TMs'!A:A,D20644)&gt;0,"Yes","No"),"")</f>
        <v/>
      </c>
      <c r="C20644" s="11"/>
      <c r="D20644" s="11"/>
      <c r="E20644" s="11"/>
      <c r="F20644" s="11"/>
      <c r="G20644" s="11"/>
      <c r="H20644" s="11"/>
      <c r="I20644" s="15"/>
    </row>
    <row r="20645" spans="1:9" ht="16.5">
      <c r="A20645" s="10" t="b">
        <v>0</v>
      </c>
      <c r="B20645" s="11" t="str">
        <f>IF(D20645&lt;&gt;"",IF(COUNTIF('USPTO TMs'!A:A,D20645)&gt;0,"Yes","No"),"")</f>
        <v/>
      </c>
      <c r="C20645" s="11"/>
      <c r="D20645" s="11"/>
      <c r="E20645" s="11"/>
      <c r="F20645" s="11"/>
      <c r="G20645" s="11"/>
      <c r="H20645" s="11"/>
      <c r="I20645" s="15"/>
    </row>
    <row r="20646" spans="1:9" ht="16.5">
      <c r="A20646" s="10" t="b">
        <v>0</v>
      </c>
      <c r="B20646" s="11" t="str">
        <f>IF(D20646&lt;&gt;"",IF(COUNTIF('USPTO TMs'!A:A,D20646)&gt;0,"Yes","No"),"")</f>
        <v/>
      </c>
      <c r="C20646" s="11"/>
      <c r="D20646" s="11"/>
      <c r="E20646" s="11"/>
      <c r="F20646" s="11"/>
      <c r="G20646" s="11"/>
      <c r="H20646" s="11"/>
      <c r="I20646" s="15"/>
    </row>
    <row r="20647" spans="1:9" ht="16.5">
      <c r="A20647" s="10" t="b">
        <v>0</v>
      </c>
      <c r="B20647" s="11" t="str">
        <f>IF(D20647&lt;&gt;"",IF(COUNTIF('USPTO TMs'!A:A,D20647)&gt;0,"Yes","No"),"")</f>
        <v/>
      </c>
      <c r="C20647" s="11"/>
      <c r="D20647" s="11"/>
      <c r="E20647" s="11"/>
      <c r="F20647" s="11"/>
      <c r="G20647" s="11"/>
      <c r="H20647" s="11"/>
      <c r="I20647" s="15"/>
    </row>
    <row r="20648" spans="1:9" ht="16.5">
      <c r="A20648" s="10" t="b">
        <v>0</v>
      </c>
      <c r="B20648" s="11" t="str">
        <f>IF(D20648&lt;&gt;"",IF(COUNTIF('USPTO TMs'!A:A,D20648)&gt;0,"Yes","No"),"")</f>
        <v/>
      </c>
      <c r="C20648" s="11"/>
      <c r="D20648" s="11"/>
      <c r="E20648" s="11"/>
      <c r="F20648" s="11"/>
      <c r="G20648" s="11"/>
      <c r="H20648" s="11"/>
      <c r="I20648" s="15"/>
    </row>
    <row r="20649" spans="1:9" ht="16.5">
      <c r="A20649" s="10" t="b">
        <v>0</v>
      </c>
      <c r="B20649" s="11" t="str">
        <f>IF(D20649&lt;&gt;"",IF(COUNTIF('USPTO TMs'!A:A,D20649)&gt;0,"Yes","No"),"")</f>
        <v/>
      </c>
      <c r="C20649" s="11"/>
      <c r="D20649" s="11"/>
      <c r="E20649" s="11"/>
      <c r="F20649" s="11"/>
      <c r="G20649" s="11"/>
      <c r="H20649" s="11"/>
      <c r="I20649" s="15"/>
    </row>
    <row r="20650" spans="1:9" ht="16.5">
      <c r="A20650" s="10" t="b">
        <v>0</v>
      </c>
      <c r="B20650" s="11" t="str">
        <f>IF(D20650&lt;&gt;"",IF(COUNTIF('USPTO TMs'!A:A,D20650)&gt;0,"Yes","No"),"")</f>
        <v/>
      </c>
      <c r="C20650" s="11"/>
      <c r="D20650" s="11"/>
      <c r="E20650" s="11"/>
      <c r="F20650" s="11"/>
      <c r="G20650" s="11"/>
      <c r="H20650" s="11"/>
      <c r="I20650" s="15"/>
    </row>
    <row r="20651" spans="1:9" ht="16.5">
      <c r="A20651" s="10" t="b">
        <v>0</v>
      </c>
      <c r="B20651" s="11" t="str">
        <f>IF(D20651&lt;&gt;"",IF(COUNTIF('USPTO TMs'!A:A,D20651)&gt;0,"Yes","No"),"")</f>
        <v/>
      </c>
      <c r="C20651" s="11"/>
      <c r="D20651" s="11"/>
      <c r="E20651" s="11"/>
      <c r="F20651" s="11"/>
      <c r="G20651" s="11"/>
      <c r="H20651" s="11"/>
      <c r="I20651" s="15"/>
    </row>
    <row r="20652" spans="1:9" ht="16.5">
      <c r="A20652" s="10" t="b">
        <v>0</v>
      </c>
      <c r="B20652" s="11" t="str">
        <f>IF(D20652&lt;&gt;"",IF(COUNTIF('USPTO TMs'!A:A,D20652)&gt;0,"Yes","No"),"")</f>
        <v/>
      </c>
      <c r="C20652" s="11"/>
      <c r="D20652" s="11"/>
      <c r="E20652" s="11"/>
      <c r="F20652" s="11"/>
      <c r="G20652" s="11"/>
      <c r="H20652" s="11"/>
      <c r="I20652" s="15"/>
    </row>
    <row r="20653" spans="1:9" ht="16.5">
      <c r="A20653" s="10" t="b">
        <v>0</v>
      </c>
      <c r="B20653" s="11" t="str">
        <f>IF(D20653&lt;&gt;"",IF(COUNTIF('USPTO TMs'!A:A,D20653)&gt;0,"Yes","No"),"")</f>
        <v/>
      </c>
      <c r="C20653" s="11"/>
      <c r="D20653" s="11"/>
      <c r="E20653" s="11"/>
      <c r="F20653" s="11"/>
      <c r="G20653" s="11"/>
      <c r="H20653" s="11"/>
      <c r="I20653" s="15"/>
    </row>
    <row r="20654" spans="1:9" ht="16.5">
      <c r="A20654" s="10" t="b">
        <v>0</v>
      </c>
      <c r="B20654" s="11" t="str">
        <f>IF(D20654&lt;&gt;"",IF(COUNTIF('USPTO TMs'!A:A,D20654)&gt;0,"Yes","No"),"")</f>
        <v/>
      </c>
      <c r="C20654" s="11"/>
      <c r="D20654" s="11"/>
      <c r="E20654" s="11"/>
      <c r="F20654" s="11"/>
      <c r="G20654" s="11"/>
      <c r="H20654" s="11"/>
      <c r="I20654" s="15"/>
    </row>
    <row r="20655" spans="1:9" ht="16.5">
      <c r="A20655" s="10" t="b">
        <v>0</v>
      </c>
      <c r="B20655" s="11" t="str">
        <f>IF(D20655&lt;&gt;"",IF(COUNTIF('USPTO TMs'!A:A,D20655)&gt;0,"Yes","No"),"")</f>
        <v/>
      </c>
      <c r="C20655" s="11"/>
      <c r="D20655" s="11"/>
      <c r="E20655" s="11"/>
      <c r="F20655" s="11"/>
      <c r="G20655" s="11"/>
      <c r="H20655" s="11"/>
      <c r="I20655" s="15"/>
    </row>
    <row r="20656" spans="1:9" ht="16.5">
      <c r="A20656" s="10" t="b">
        <v>0</v>
      </c>
      <c r="B20656" s="11" t="str">
        <f>IF(D20656&lt;&gt;"",IF(COUNTIF('USPTO TMs'!A:A,D20656)&gt;0,"Yes","No"),"")</f>
        <v/>
      </c>
      <c r="C20656" s="11"/>
      <c r="D20656" s="11"/>
      <c r="E20656" s="11"/>
      <c r="F20656" s="11"/>
      <c r="G20656" s="11"/>
      <c r="H20656" s="11"/>
      <c r="I20656" s="15"/>
    </row>
    <row r="20657" spans="1:9" ht="16.5">
      <c r="A20657" s="10" t="b">
        <v>0</v>
      </c>
      <c r="B20657" s="11" t="str">
        <f>IF(D20657&lt;&gt;"",IF(COUNTIF('USPTO TMs'!A:A,D20657)&gt;0,"Yes","No"),"")</f>
        <v/>
      </c>
      <c r="C20657" s="11"/>
      <c r="D20657" s="11"/>
      <c r="E20657" s="11"/>
      <c r="F20657" s="11"/>
      <c r="G20657" s="11"/>
      <c r="H20657" s="11"/>
      <c r="I20657" s="15"/>
    </row>
    <row r="20658" spans="1:9" ht="16.5">
      <c r="A20658" s="10" t="b">
        <v>0</v>
      </c>
      <c r="B20658" s="11" t="str">
        <f>IF(D20658&lt;&gt;"",IF(COUNTIF('USPTO TMs'!A:A,D20658)&gt;0,"Yes","No"),"")</f>
        <v/>
      </c>
      <c r="C20658" s="11"/>
      <c r="D20658" s="11"/>
      <c r="E20658" s="11"/>
      <c r="F20658" s="11"/>
      <c r="G20658" s="11"/>
      <c r="H20658" s="11"/>
      <c r="I20658" s="15"/>
    </row>
    <row r="20659" spans="1:9" ht="16.5">
      <c r="A20659" s="10" t="b">
        <v>0</v>
      </c>
      <c r="B20659" s="11" t="str">
        <f>IF(D20659&lt;&gt;"",IF(COUNTIF('USPTO TMs'!A:A,D20659)&gt;0,"Yes","No"),"")</f>
        <v/>
      </c>
      <c r="C20659" s="11"/>
      <c r="D20659" s="11"/>
      <c r="E20659" s="11"/>
      <c r="F20659" s="11"/>
      <c r="G20659" s="11"/>
      <c r="H20659" s="11"/>
      <c r="I20659" s="15"/>
    </row>
    <row r="20660" spans="1:9" ht="16.5">
      <c r="A20660" s="10" t="b">
        <v>0</v>
      </c>
      <c r="B20660" s="11" t="str">
        <f>IF(D20660&lt;&gt;"",IF(COUNTIF('USPTO TMs'!A:A,D20660)&gt;0,"Yes","No"),"")</f>
        <v/>
      </c>
      <c r="C20660" s="11"/>
      <c r="D20660" s="11"/>
      <c r="E20660" s="11"/>
      <c r="F20660" s="11"/>
      <c r="G20660" s="11"/>
      <c r="H20660" s="11"/>
      <c r="I20660" s="15"/>
    </row>
    <row r="20661" spans="1:9" ht="16.5">
      <c r="A20661" s="10" t="b">
        <v>0</v>
      </c>
      <c r="B20661" s="11" t="str">
        <f>IF(D20661&lt;&gt;"",IF(COUNTIF('USPTO TMs'!A:A,D20661)&gt;0,"Yes","No"),"")</f>
        <v/>
      </c>
      <c r="C20661" s="11"/>
      <c r="D20661" s="11"/>
      <c r="E20661" s="11"/>
      <c r="F20661" s="11"/>
      <c r="G20661" s="11"/>
      <c r="H20661" s="11"/>
      <c r="I20661" s="15"/>
    </row>
    <row r="20662" spans="1:9" ht="16.5">
      <c r="A20662" s="10" t="b">
        <v>0</v>
      </c>
      <c r="B20662" s="11" t="str">
        <f>IF(D20662&lt;&gt;"",IF(COUNTIF('USPTO TMs'!A:A,D20662)&gt;0,"Yes","No"),"")</f>
        <v/>
      </c>
      <c r="C20662" s="11"/>
      <c r="D20662" s="11"/>
      <c r="E20662" s="11"/>
      <c r="F20662" s="11"/>
      <c r="G20662" s="11"/>
      <c r="H20662" s="11"/>
      <c r="I20662" s="15"/>
    </row>
    <row r="20663" spans="1:9" ht="16.5">
      <c r="A20663" s="10" t="b">
        <v>0</v>
      </c>
      <c r="B20663" s="11" t="str">
        <f>IF(D20663&lt;&gt;"",IF(COUNTIF('USPTO TMs'!A:A,D20663)&gt;0,"Yes","No"),"")</f>
        <v/>
      </c>
      <c r="C20663" s="11"/>
      <c r="D20663" s="11"/>
      <c r="E20663" s="11"/>
      <c r="F20663" s="11"/>
      <c r="G20663" s="11"/>
      <c r="H20663" s="11"/>
      <c r="I20663" s="15"/>
    </row>
    <row r="20664" spans="1:9" ht="16.5">
      <c r="A20664" s="10" t="b">
        <v>0</v>
      </c>
      <c r="B20664" s="11" t="str">
        <f>IF(D20664&lt;&gt;"",IF(COUNTIF('USPTO TMs'!A:A,D20664)&gt;0,"Yes","No"),"")</f>
        <v/>
      </c>
      <c r="C20664" s="11"/>
      <c r="D20664" s="11"/>
      <c r="E20664" s="11"/>
      <c r="F20664" s="11"/>
      <c r="G20664" s="11"/>
      <c r="H20664" s="11"/>
      <c r="I20664" s="15"/>
    </row>
    <row r="20665" spans="1:9" ht="16.5">
      <c r="A20665" s="10" t="b">
        <v>0</v>
      </c>
      <c r="B20665" s="11" t="str">
        <f>IF(D20665&lt;&gt;"",IF(COUNTIF('USPTO TMs'!A:A,D20665)&gt;0,"Yes","No"),"")</f>
        <v/>
      </c>
      <c r="C20665" s="11"/>
      <c r="D20665" s="11"/>
      <c r="E20665" s="11"/>
      <c r="F20665" s="11"/>
      <c r="G20665" s="11"/>
      <c r="H20665" s="11"/>
      <c r="I20665" s="15"/>
    </row>
    <row r="20666" spans="1:9" ht="16.5">
      <c r="A20666" s="10" t="b">
        <v>0</v>
      </c>
      <c r="B20666" s="11" t="str">
        <f>IF(D20666&lt;&gt;"",IF(COUNTIF('USPTO TMs'!A:A,D20666)&gt;0,"Yes","No"),"")</f>
        <v/>
      </c>
      <c r="C20666" s="11"/>
      <c r="D20666" s="11"/>
      <c r="E20666" s="11"/>
      <c r="F20666" s="11"/>
      <c r="G20666" s="11"/>
      <c r="H20666" s="11"/>
      <c r="I20666" s="15"/>
    </row>
    <row r="20667" spans="1:9" ht="16.5">
      <c r="A20667" s="10" t="b">
        <v>0</v>
      </c>
      <c r="B20667" s="11" t="str">
        <f>IF(D20667&lt;&gt;"",IF(COUNTIF('USPTO TMs'!A:A,D20667)&gt;0,"Yes","No"),"")</f>
        <v/>
      </c>
      <c r="C20667" s="11"/>
      <c r="D20667" s="11"/>
      <c r="E20667" s="11"/>
      <c r="F20667" s="11"/>
      <c r="G20667" s="11"/>
      <c r="H20667" s="11"/>
      <c r="I20667" s="15"/>
    </row>
    <row r="20668" spans="1:9" ht="16.5">
      <c r="A20668" s="10" t="b">
        <v>0</v>
      </c>
      <c r="B20668" s="11" t="str">
        <f>IF(D20668&lt;&gt;"",IF(COUNTIF('USPTO TMs'!A:A,D20668)&gt;0,"Yes","No"),"")</f>
        <v/>
      </c>
      <c r="C20668" s="11"/>
      <c r="D20668" s="11"/>
      <c r="E20668" s="11"/>
      <c r="F20668" s="11"/>
      <c r="G20668" s="11"/>
      <c r="H20668" s="11"/>
      <c r="I20668" s="15"/>
    </row>
    <row r="20669" spans="1:9" ht="16.5">
      <c r="A20669" s="10" t="b">
        <v>0</v>
      </c>
      <c r="B20669" s="11" t="str">
        <f>IF(D20669&lt;&gt;"",IF(COUNTIF('USPTO TMs'!A:A,D20669)&gt;0,"Yes","No"),"")</f>
        <v/>
      </c>
      <c r="C20669" s="11"/>
      <c r="D20669" s="11"/>
      <c r="E20669" s="11"/>
      <c r="F20669" s="11"/>
      <c r="G20669" s="11"/>
      <c r="H20669" s="11"/>
      <c r="I20669" s="15"/>
    </row>
    <row r="20670" spans="1:9" ht="16.5">
      <c r="A20670" s="10" t="b">
        <v>0</v>
      </c>
      <c r="B20670" s="11" t="str">
        <f>IF(D20670&lt;&gt;"",IF(COUNTIF('USPTO TMs'!A:A,D20670)&gt;0,"Yes","No"),"")</f>
        <v/>
      </c>
      <c r="C20670" s="11"/>
      <c r="D20670" s="11"/>
      <c r="E20670" s="11"/>
      <c r="F20670" s="11"/>
      <c r="G20670" s="11"/>
      <c r="H20670" s="11"/>
      <c r="I20670" s="15"/>
    </row>
    <row r="20671" spans="1:9" ht="16.5">
      <c r="A20671" s="10" t="b">
        <v>0</v>
      </c>
      <c r="B20671" s="11" t="str">
        <f>IF(D20671&lt;&gt;"",IF(COUNTIF('USPTO TMs'!A:A,D20671)&gt;0,"Yes","No"),"")</f>
        <v/>
      </c>
      <c r="C20671" s="11"/>
      <c r="D20671" s="11"/>
      <c r="E20671" s="11"/>
      <c r="F20671" s="11"/>
      <c r="G20671" s="11"/>
      <c r="H20671" s="11"/>
      <c r="I20671" s="15"/>
    </row>
    <row r="20672" spans="1:9" ht="16.5">
      <c r="A20672" s="10" t="b">
        <v>0</v>
      </c>
      <c r="B20672" s="11" t="str">
        <f>IF(D20672&lt;&gt;"",IF(COUNTIF('USPTO TMs'!A:A,D20672)&gt;0,"Yes","No"),"")</f>
        <v/>
      </c>
      <c r="C20672" s="11"/>
      <c r="D20672" s="11"/>
      <c r="E20672" s="11"/>
      <c r="F20672" s="11"/>
      <c r="G20672" s="11"/>
      <c r="H20672" s="11"/>
      <c r="I20672" s="15"/>
    </row>
    <row r="20673" spans="1:9" ht="16.5">
      <c r="A20673" s="10" t="b">
        <v>0</v>
      </c>
      <c r="B20673" s="11" t="str">
        <f>IF(D20673&lt;&gt;"",IF(COUNTIF('USPTO TMs'!A:A,D20673)&gt;0,"Yes","No"),"")</f>
        <v/>
      </c>
      <c r="C20673" s="11"/>
      <c r="D20673" s="11"/>
      <c r="E20673" s="11"/>
      <c r="F20673" s="11"/>
      <c r="G20673" s="11"/>
      <c r="H20673" s="11"/>
      <c r="I20673" s="15"/>
    </row>
    <row r="20674" spans="1:9" ht="16.5">
      <c r="A20674" s="10" t="b">
        <v>0</v>
      </c>
      <c r="B20674" s="11" t="str">
        <f>IF(D20674&lt;&gt;"",IF(COUNTIF('USPTO TMs'!A:A,D20674)&gt;0,"Yes","No"),"")</f>
        <v/>
      </c>
      <c r="C20674" s="11"/>
      <c r="D20674" s="11"/>
      <c r="E20674" s="11"/>
      <c r="F20674" s="11"/>
      <c r="G20674" s="11"/>
      <c r="H20674" s="11"/>
      <c r="I20674" s="15"/>
    </row>
    <row r="20675" spans="1:9" ht="16.5">
      <c r="A20675" s="10" t="b">
        <v>0</v>
      </c>
      <c r="B20675" s="11" t="str">
        <f>IF(D20675&lt;&gt;"",IF(COUNTIF('USPTO TMs'!A:A,D20675)&gt;0,"Yes","No"),"")</f>
        <v/>
      </c>
      <c r="C20675" s="11"/>
      <c r="D20675" s="11"/>
      <c r="E20675" s="11"/>
      <c r="F20675" s="11"/>
      <c r="G20675" s="11"/>
      <c r="H20675" s="11"/>
      <c r="I20675" s="15"/>
    </row>
    <row r="20676" spans="1:9" ht="16.5">
      <c r="A20676" s="10" t="b">
        <v>0</v>
      </c>
      <c r="B20676" s="11" t="str">
        <f>IF(D20676&lt;&gt;"",IF(COUNTIF('USPTO TMs'!A:A,D20676)&gt;0,"Yes","No"),"")</f>
        <v/>
      </c>
      <c r="C20676" s="11"/>
      <c r="D20676" s="11"/>
      <c r="E20676" s="11"/>
      <c r="F20676" s="11"/>
      <c r="G20676" s="11"/>
      <c r="H20676" s="11"/>
      <c r="I20676" s="15"/>
    </row>
    <row r="20677" spans="1:9" ht="16.5">
      <c r="A20677" s="10" t="b">
        <v>0</v>
      </c>
      <c r="B20677" s="11" t="str">
        <f>IF(D20677&lt;&gt;"",IF(COUNTIF('USPTO TMs'!A:A,D20677)&gt;0,"Yes","No"),"")</f>
        <v/>
      </c>
      <c r="C20677" s="11"/>
      <c r="D20677" s="11"/>
      <c r="E20677" s="11"/>
      <c r="F20677" s="11"/>
      <c r="G20677" s="11"/>
      <c r="H20677" s="11"/>
      <c r="I20677" s="15"/>
    </row>
    <row r="20678" spans="1:9" ht="16.5">
      <c r="A20678" s="10" t="b">
        <v>0</v>
      </c>
      <c r="B20678" s="11" t="str">
        <f>IF(D20678&lt;&gt;"",IF(COUNTIF('USPTO TMs'!A:A,D20678)&gt;0,"Yes","No"),"")</f>
        <v/>
      </c>
      <c r="C20678" s="11"/>
      <c r="D20678" s="11"/>
      <c r="E20678" s="11"/>
      <c r="F20678" s="11"/>
      <c r="G20678" s="11"/>
      <c r="H20678" s="11"/>
      <c r="I20678" s="15"/>
    </row>
    <row r="20679" spans="1:9" ht="16.5">
      <c r="A20679" s="10" t="b">
        <v>0</v>
      </c>
      <c r="B20679" s="11" t="str">
        <f>IF(D20679&lt;&gt;"",IF(COUNTIF('USPTO TMs'!A:A,D20679)&gt;0,"Yes","No"),"")</f>
        <v/>
      </c>
      <c r="C20679" s="11"/>
      <c r="D20679" s="11"/>
      <c r="E20679" s="11"/>
      <c r="F20679" s="11"/>
      <c r="G20679" s="11"/>
      <c r="H20679" s="11"/>
      <c r="I20679" s="15"/>
    </row>
    <row r="20680" spans="1:9" ht="16.5">
      <c r="A20680" s="10" t="b">
        <v>0</v>
      </c>
      <c r="B20680" s="11" t="str">
        <f>IF(D20680&lt;&gt;"",IF(COUNTIF('USPTO TMs'!A:A,D20680)&gt;0,"Yes","No"),"")</f>
        <v/>
      </c>
      <c r="C20680" s="11"/>
      <c r="D20680" s="11"/>
      <c r="E20680" s="11"/>
      <c r="F20680" s="11"/>
      <c r="G20680" s="11"/>
      <c r="H20680" s="11"/>
      <c r="I20680" s="15"/>
    </row>
    <row r="20681" spans="1:9" ht="16.5">
      <c r="A20681" s="10" t="b">
        <v>0</v>
      </c>
      <c r="B20681" s="11" t="str">
        <f>IF(D20681&lt;&gt;"",IF(COUNTIF('USPTO TMs'!A:A,D20681)&gt;0,"Yes","No"),"")</f>
        <v/>
      </c>
      <c r="C20681" s="11"/>
      <c r="D20681" s="11"/>
      <c r="E20681" s="11"/>
      <c r="F20681" s="11"/>
      <c r="G20681" s="11"/>
      <c r="H20681" s="11"/>
      <c r="I20681" s="15"/>
    </row>
    <row r="20682" spans="1:9" ht="16.5">
      <c r="A20682" s="10" t="b">
        <v>0</v>
      </c>
      <c r="B20682" s="11" t="str">
        <f>IF(D20682&lt;&gt;"",IF(COUNTIF('USPTO TMs'!A:A,D20682)&gt;0,"Yes","No"),"")</f>
        <v/>
      </c>
      <c r="C20682" s="11"/>
      <c r="D20682" s="11"/>
      <c r="E20682" s="11"/>
      <c r="F20682" s="11"/>
      <c r="G20682" s="11"/>
      <c r="H20682" s="11"/>
      <c r="I20682" s="15"/>
    </row>
    <row r="20683" spans="1:9" ht="16.5">
      <c r="A20683" s="10" t="b">
        <v>0</v>
      </c>
      <c r="B20683" s="11" t="str">
        <f>IF(D20683&lt;&gt;"",IF(COUNTIF('USPTO TMs'!A:A,D20683)&gt;0,"Yes","No"),"")</f>
        <v/>
      </c>
      <c r="C20683" s="11"/>
      <c r="D20683" s="11"/>
      <c r="E20683" s="11"/>
      <c r="F20683" s="11"/>
      <c r="G20683" s="11"/>
      <c r="H20683" s="11"/>
      <c r="I20683" s="15"/>
    </row>
    <row r="20684" spans="1:9" ht="16.5">
      <c r="A20684" s="10" t="b">
        <v>0</v>
      </c>
      <c r="B20684" s="11" t="str">
        <f>IF(D20684&lt;&gt;"",IF(COUNTIF('USPTO TMs'!A:A,D20684)&gt;0,"Yes","No"),"")</f>
        <v/>
      </c>
      <c r="C20684" s="11"/>
      <c r="D20684" s="11"/>
      <c r="E20684" s="11"/>
      <c r="F20684" s="11"/>
      <c r="G20684" s="11"/>
      <c r="H20684" s="11"/>
      <c r="I20684" s="15"/>
    </row>
    <row r="20685" spans="1:9" ht="16.5">
      <c r="A20685" s="10" t="b">
        <v>0</v>
      </c>
      <c r="B20685" s="11" t="str">
        <f>IF(D20685&lt;&gt;"",IF(COUNTIF('USPTO TMs'!A:A,D20685)&gt;0,"Yes","No"),"")</f>
        <v/>
      </c>
      <c r="C20685" s="11"/>
      <c r="D20685" s="11"/>
      <c r="E20685" s="11"/>
      <c r="F20685" s="11"/>
      <c r="G20685" s="11"/>
      <c r="H20685" s="11"/>
      <c r="I20685" s="15"/>
    </row>
    <row r="20686" spans="1:9" ht="16.5">
      <c r="A20686" s="10" t="b">
        <v>0</v>
      </c>
      <c r="B20686" s="11" t="str">
        <f>IF(D20686&lt;&gt;"",IF(COUNTIF('USPTO TMs'!A:A,D20686)&gt;0,"Yes","No"),"")</f>
        <v/>
      </c>
      <c r="C20686" s="11"/>
      <c r="D20686" s="11"/>
      <c r="E20686" s="11"/>
      <c r="F20686" s="11"/>
      <c r="G20686" s="11"/>
      <c r="H20686" s="11"/>
      <c r="I20686" s="15"/>
    </row>
    <row r="20687" spans="1:9" ht="16.5">
      <c r="A20687" s="10" t="b">
        <v>0</v>
      </c>
      <c r="B20687" s="11" t="str">
        <f>IF(D20687&lt;&gt;"",IF(COUNTIF('USPTO TMs'!A:A,D20687)&gt;0,"Yes","No"),"")</f>
        <v/>
      </c>
      <c r="C20687" s="11"/>
      <c r="D20687" s="11"/>
      <c r="E20687" s="11"/>
      <c r="F20687" s="11"/>
      <c r="G20687" s="11"/>
      <c r="H20687" s="11"/>
      <c r="I20687" s="15"/>
    </row>
    <row r="20688" spans="1:9" ht="16.5">
      <c r="A20688" s="10" t="b">
        <v>0</v>
      </c>
      <c r="B20688" s="11" t="str">
        <f>IF(D20688&lt;&gt;"",IF(COUNTIF('USPTO TMs'!A:A,D20688)&gt;0,"Yes","No"),"")</f>
        <v/>
      </c>
      <c r="C20688" s="11"/>
      <c r="D20688" s="11"/>
      <c r="E20688" s="11"/>
      <c r="F20688" s="11"/>
      <c r="G20688" s="11"/>
      <c r="H20688" s="11"/>
      <c r="I20688" s="15"/>
    </row>
    <row r="20689" spans="1:9" ht="16.5">
      <c r="A20689" s="10" t="b">
        <v>0</v>
      </c>
      <c r="B20689" s="11" t="str">
        <f>IF(D20689&lt;&gt;"",IF(COUNTIF('USPTO TMs'!A:A,D20689)&gt;0,"Yes","No"),"")</f>
        <v/>
      </c>
      <c r="C20689" s="11"/>
      <c r="D20689" s="11"/>
      <c r="E20689" s="11"/>
      <c r="F20689" s="11"/>
      <c r="G20689" s="11"/>
      <c r="H20689" s="11"/>
      <c r="I20689" s="15"/>
    </row>
    <row r="20690" spans="1:9" ht="16.5">
      <c r="A20690" s="10" t="b">
        <v>0</v>
      </c>
      <c r="B20690" s="11" t="str">
        <f>IF(D20690&lt;&gt;"",IF(COUNTIF('USPTO TMs'!A:A,D20690)&gt;0,"Yes","No"),"")</f>
        <v/>
      </c>
      <c r="C20690" s="11"/>
      <c r="D20690" s="11"/>
      <c r="E20690" s="11"/>
      <c r="F20690" s="11"/>
      <c r="G20690" s="11"/>
      <c r="H20690" s="11"/>
      <c r="I20690" s="15"/>
    </row>
    <row r="20691" spans="1:9" ht="16.5">
      <c r="A20691" s="10" t="b">
        <v>0</v>
      </c>
      <c r="B20691" s="11" t="str">
        <f>IF(D20691&lt;&gt;"",IF(COUNTIF('USPTO TMs'!A:A,D20691)&gt;0,"Yes","No"),"")</f>
        <v/>
      </c>
      <c r="C20691" s="11"/>
      <c r="D20691" s="11"/>
      <c r="E20691" s="11"/>
      <c r="F20691" s="11"/>
      <c r="G20691" s="11"/>
      <c r="H20691" s="11"/>
      <c r="I20691" s="15"/>
    </row>
    <row r="20692" spans="1:9" ht="16.5">
      <c r="A20692" s="10" t="b">
        <v>0</v>
      </c>
      <c r="B20692" s="11" t="str">
        <f>IF(D20692&lt;&gt;"",IF(COUNTIF('USPTO TMs'!A:A,D20692)&gt;0,"Yes","No"),"")</f>
        <v/>
      </c>
      <c r="C20692" s="11"/>
      <c r="D20692" s="11"/>
      <c r="E20692" s="11"/>
      <c r="F20692" s="11"/>
      <c r="G20692" s="11"/>
      <c r="H20692" s="11"/>
      <c r="I20692" s="15"/>
    </row>
    <row r="20693" spans="1:9" ht="16.5">
      <c r="A20693" s="10" t="b">
        <v>0</v>
      </c>
      <c r="B20693" s="11" t="str">
        <f>IF(D20693&lt;&gt;"",IF(COUNTIF('USPTO TMs'!A:A,D20693)&gt;0,"Yes","No"),"")</f>
        <v/>
      </c>
      <c r="C20693" s="11"/>
      <c r="D20693" s="11"/>
      <c r="E20693" s="11"/>
      <c r="F20693" s="11"/>
      <c r="G20693" s="11"/>
      <c r="H20693" s="11"/>
      <c r="I20693" s="15"/>
    </row>
    <row r="20694" spans="1:9" ht="16.5">
      <c r="A20694" s="10" t="b">
        <v>0</v>
      </c>
      <c r="B20694" s="11" t="str">
        <f>IF(D20694&lt;&gt;"",IF(COUNTIF('USPTO TMs'!A:A,D20694)&gt;0,"Yes","No"),"")</f>
        <v/>
      </c>
      <c r="C20694" s="11"/>
      <c r="D20694" s="11"/>
      <c r="E20694" s="11"/>
      <c r="F20694" s="11"/>
      <c r="G20694" s="11"/>
      <c r="H20694" s="11"/>
      <c r="I20694" s="15"/>
    </row>
    <row r="20695" spans="1:9" ht="16.5">
      <c r="A20695" s="10" t="b">
        <v>0</v>
      </c>
      <c r="B20695" s="11" t="str">
        <f>IF(D20695&lt;&gt;"",IF(COUNTIF('USPTO TMs'!A:A,D20695)&gt;0,"Yes","No"),"")</f>
        <v/>
      </c>
      <c r="C20695" s="11"/>
      <c r="D20695" s="11"/>
      <c r="E20695" s="11"/>
      <c r="F20695" s="11"/>
      <c r="G20695" s="11"/>
      <c r="H20695" s="11"/>
      <c r="I20695" s="15"/>
    </row>
    <row r="20696" spans="1:9" ht="16.5">
      <c r="A20696" s="10" t="b">
        <v>0</v>
      </c>
      <c r="B20696" s="11" t="str">
        <f>IF(D20696&lt;&gt;"",IF(COUNTIF('USPTO TMs'!A:A,D20696)&gt;0,"Yes","No"),"")</f>
        <v/>
      </c>
      <c r="C20696" s="11"/>
      <c r="D20696" s="11"/>
      <c r="E20696" s="11"/>
      <c r="F20696" s="11"/>
      <c r="G20696" s="11"/>
      <c r="H20696" s="11"/>
      <c r="I20696" s="15"/>
    </row>
    <row r="20697" spans="1:9" ht="16.5">
      <c r="A20697" s="10" t="b">
        <v>0</v>
      </c>
      <c r="B20697" s="11" t="str">
        <f>IF(D20697&lt;&gt;"",IF(COUNTIF('USPTO TMs'!A:A,D20697)&gt;0,"Yes","No"),"")</f>
        <v/>
      </c>
      <c r="C20697" s="11"/>
      <c r="D20697" s="11"/>
      <c r="E20697" s="11"/>
      <c r="F20697" s="11"/>
      <c r="G20697" s="11"/>
      <c r="H20697" s="11"/>
      <c r="I20697" s="15"/>
    </row>
    <row r="20698" spans="1:9" ht="16.5">
      <c r="A20698" s="10" t="b">
        <v>0</v>
      </c>
      <c r="B20698" s="11" t="str">
        <f>IF(D20698&lt;&gt;"",IF(COUNTIF('USPTO TMs'!A:A,D20698)&gt;0,"Yes","No"),"")</f>
        <v/>
      </c>
      <c r="C20698" s="11"/>
      <c r="D20698" s="11"/>
      <c r="E20698" s="11"/>
      <c r="F20698" s="11"/>
      <c r="G20698" s="11"/>
      <c r="H20698" s="11"/>
      <c r="I20698" s="15"/>
    </row>
    <row r="20699" spans="1:9" ht="16.5">
      <c r="A20699" s="10" t="b">
        <v>0</v>
      </c>
      <c r="B20699" s="11" t="str">
        <f>IF(D20699&lt;&gt;"",IF(COUNTIF('USPTO TMs'!A:A,D20699)&gt;0,"Yes","No"),"")</f>
        <v/>
      </c>
      <c r="C20699" s="11"/>
      <c r="D20699" s="11"/>
      <c r="E20699" s="11"/>
      <c r="F20699" s="11"/>
      <c r="G20699" s="11"/>
      <c r="H20699" s="11"/>
      <c r="I20699" s="15"/>
    </row>
    <row r="20700" spans="1:9" ht="16.5">
      <c r="A20700" s="10" t="b">
        <v>0</v>
      </c>
      <c r="B20700" s="11" t="str">
        <f>IF(D20700&lt;&gt;"",IF(COUNTIF('USPTO TMs'!A:A,D20700)&gt;0,"Yes","No"),"")</f>
        <v/>
      </c>
      <c r="C20700" s="11"/>
      <c r="D20700" s="11"/>
      <c r="E20700" s="11"/>
      <c r="F20700" s="11"/>
      <c r="G20700" s="11"/>
      <c r="H20700" s="11"/>
      <c r="I20700" s="15"/>
    </row>
    <row r="20701" spans="1:9" ht="16.5">
      <c r="A20701" s="10" t="b">
        <v>0</v>
      </c>
      <c r="B20701" s="11" t="str">
        <f>IF(D20701&lt;&gt;"",IF(COUNTIF('USPTO TMs'!A:A,D20701)&gt;0,"Yes","No"),"")</f>
        <v/>
      </c>
      <c r="C20701" s="11"/>
      <c r="D20701" s="11"/>
      <c r="E20701" s="11"/>
      <c r="F20701" s="11"/>
      <c r="G20701" s="11"/>
      <c r="H20701" s="11"/>
      <c r="I20701" s="15"/>
    </row>
    <row r="20702" spans="1:9" ht="16.5">
      <c r="A20702" s="10" t="b">
        <v>0</v>
      </c>
      <c r="B20702" s="11" t="str">
        <f>IF(D20702&lt;&gt;"",IF(COUNTIF('USPTO TMs'!A:A,D20702)&gt;0,"Yes","No"),"")</f>
        <v/>
      </c>
      <c r="C20702" s="11"/>
      <c r="D20702" s="11"/>
      <c r="E20702" s="11"/>
      <c r="F20702" s="11"/>
      <c r="G20702" s="11"/>
      <c r="H20702" s="11"/>
      <c r="I20702" s="15"/>
    </row>
    <row r="20703" spans="1:9" ht="16.5">
      <c r="A20703" s="10" t="b">
        <v>0</v>
      </c>
      <c r="B20703" s="11" t="str">
        <f>IF(D20703&lt;&gt;"",IF(COUNTIF('USPTO TMs'!A:A,D20703)&gt;0,"Yes","No"),"")</f>
        <v/>
      </c>
      <c r="C20703" s="11"/>
      <c r="D20703" s="11"/>
      <c r="E20703" s="11"/>
      <c r="F20703" s="11"/>
      <c r="G20703" s="11"/>
      <c r="H20703" s="11"/>
      <c r="I20703" s="15"/>
    </row>
    <row r="20704" spans="1:9" ht="16.5">
      <c r="A20704" s="10" t="b">
        <v>0</v>
      </c>
      <c r="B20704" s="11" t="str">
        <f>IF(D20704&lt;&gt;"",IF(COUNTIF('USPTO TMs'!A:A,D20704)&gt;0,"Yes","No"),"")</f>
        <v/>
      </c>
      <c r="C20704" s="11"/>
      <c r="D20704" s="11"/>
      <c r="E20704" s="11"/>
      <c r="F20704" s="11"/>
      <c r="G20704" s="11"/>
      <c r="H20704" s="11"/>
      <c r="I20704" s="15"/>
    </row>
    <row r="20705" spans="1:9" ht="16.5">
      <c r="A20705" s="10" t="b">
        <v>0</v>
      </c>
      <c r="B20705" s="11" t="str">
        <f>IF(D20705&lt;&gt;"",IF(COUNTIF('USPTO TMs'!A:A,D20705)&gt;0,"Yes","No"),"")</f>
        <v/>
      </c>
      <c r="C20705" s="11"/>
      <c r="D20705" s="11"/>
      <c r="E20705" s="11"/>
      <c r="F20705" s="11"/>
      <c r="G20705" s="11"/>
      <c r="H20705" s="11"/>
      <c r="I20705" s="15"/>
    </row>
    <row r="20706" spans="1:9" ht="16.5">
      <c r="A20706" s="10" t="b">
        <v>0</v>
      </c>
      <c r="B20706" s="11" t="str">
        <f>IF(D20706&lt;&gt;"",IF(COUNTIF('USPTO TMs'!A:A,D20706)&gt;0,"Yes","No"),"")</f>
        <v/>
      </c>
      <c r="C20706" s="11"/>
      <c r="D20706" s="11"/>
      <c r="E20706" s="11"/>
      <c r="F20706" s="11"/>
      <c r="G20706" s="11"/>
      <c r="H20706" s="11"/>
      <c r="I20706" s="15"/>
    </row>
    <row r="20707" spans="1:9" ht="16.5">
      <c r="A20707" s="10" t="b">
        <v>0</v>
      </c>
      <c r="B20707" s="11" t="str">
        <f>IF(D20707&lt;&gt;"",IF(COUNTIF('USPTO TMs'!A:A,D20707)&gt;0,"Yes","No"),"")</f>
        <v/>
      </c>
      <c r="C20707" s="11"/>
      <c r="D20707" s="11"/>
      <c r="E20707" s="11"/>
      <c r="F20707" s="11"/>
      <c r="G20707" s="11"/>
      <c r="H20707" s="11"/>
      <c r="I20707" s="15"/>
    </row>
    <row r="20708" spans="1:9" ht="16.5">
      <c r="A20708" s="10" t="b">
        <v>0</v>
      </c>
      <c r="B20708" s="11" t="str">
        <f>IF(D20708&lt;&gt;"",IF(COUNTIF('USPTO TMs'!A:A,D20708)&gt;0,"Yes","No"),"")</f>
        <v/>
      </c>
      <c r="C20708" s="11"/>
      <c r="D20708" s="11"/>
      <c r="E20708" s="11"/>
      <c r="F20708" s="11"/>
      <c r="G20708" s="11"/>
      <c r="H20708" s="11"/>
      <c r="I20708" s="15"/>
    </row>
    <row r="20709" spans="1:9" ht="16.5">
      <c r="A20709" s="10" t="b">
        <v>0</v>
      </c>
      <c r="B20709" s="11" t="str">
        <f>IF(D20709&lt;&gt;"",IF(COUNTIF('USPTO TMs'!A:A,D20709)&gt;0,"Yes","No"),"")</f>
        <v/>
      </c>
      <c r="C20709" s="11"/>
      <c r="D20709" s="11"/>
      <c r="E20709" s="11"/>
      <c r="F20709" s="11"/>
      <c r="G20709" s="11"/>
      <c r="H20709" s="11"/>
      <c r="I20709" s="15"/>
    </row>
    <row r="20710" spans="1:9" ht="16.5">
      <c r="A20710" s="10" t="b">
        <v>0</v>
      </c>
      <c r="B20710" s="11" t="str">
        <f>IF(D20710&lt;&gt;"",IF(COUNTIF('USPTO TMs'!A:A,D20710)&gt;0,"Yes","No"),"")</f>
        <v/>
      </c>
      <c r="C20710" s="11"/>
      <c r="D20710" s="11"/>
      <c r="E20710" s="11"/>
      <c r="F20710" s="11"/>
      <c r="G20710" s="11"/>
      <c r="H20710" s="11"/>
      <c r="I20710" s="15"/>
    </row>
    <row r="20711" spans="1:9" ht="16.5">
      <c r="A20711" s="10" t="b">
        <v>0</v>
      </c>
      <c r="B20711" s="11" t="str">
        <f>IF(D20711&lt;&gt;"",IF(COUNTIF('USPTO TMs'!A:A,D20711)&gt;0,"Yes","No"),"")</f>
        <v/>
      </c>
      <c r="C20711" s="11"/>
      <c r="D20711" s="11"/>
      <c r="E20711" s="11"/>
      <c r="F20711" s="11"/>
      <c r="G20711" s="11"/>
      <c r="H20711" s="11"/>
      <c r="I20711" s="15"/>
    </row>
    <row r="20712" spans="1:9" ht="16.5">
      <c r="A20712" s="10" t="b">
        <v>0</v>
      </c>
      <c r="B20712" s="11" t="str">
        <f>IF(D20712&lt;&gt;"",IF(COUNTIF('USPTO TMs'!A:A,D20712)&gt;0,"Yes","No"),"")</f>
        <v/>
      </c>
      <c r="C20712" s="11"/>
      <c r="D20712" s="11"/>
      <c r="E20712" s="11"/>
      <c r="F20712" s="11"/>
      <c r="G20712" s="11"/>
      <c r="H20712" s="11"/>
      <c r="I20712" s="15"/>
    </row>
    <row r="20713" spans="1:9" ht="16.5">
      <c r="A20713" s="10" t="b">
        <v>0</v>
      </c>
      <c r="B20713" s="11" t="str">
        <f>IF(D20713&lt;&gt;"",IF(COUNTIF('USPTO TMs'!A:A,D20713)&gt;0,"Yes","No"),"")</f>
        <v/>
      </c>
      <c r="C20713" s="11"/>
      <c r="D20713" s="11"/>
      <c r="E20713" s="11"/>
      <c r="F20713" s="11"/>
      <c r="G20713" s="11"/>
      <c r="H20713" s="11"/>
      <c r="I20713" s="15"/>
    </row>
    <row r="20714" spans="1:9" ht="16.5">
      <c r="A20714" s="10" t="b">
        <v>0</v>
      </c>
      <c r="B20714" s="11" t="str">
        <f>IF(D20714&lt;&gt;"",IF(COUNTIF('USPTO TMs'!A:A,D20714)&gt;0,"Yes","No"),"")</f>
        <v/>
      </c>
      <c r="C20714" s="11"/>
      <c r="D20714" s="11"/>
      <c r="E20714" s="11"/>
      <c r="F20714" s="11"/>
      <c r="G20714" s="11"/>
      <c r="H20714" s="11"/>
      <c r="I20714" s="15"/>
    </row>
    <row r="20715" spans="1:9" ht="16.5">
      <c r="A20715" s="10" t="b">
        <v>0</v>
      </c>
      <c r="B20715" s="11" t="str">
        <f>IF(D20715&lt;&gt;"",IF(COUNTIF('USPTO TMs'!A:A,D20715)&gt;0,"Yes","No"),"")</f>
        <v/>
      </c>
      <c r="C20715" s="11"/>
      <c r="D20715" s="11"/>
      <c r="E20715" s="11"/>
      <c r="F20715" s="11"/>
      <c r="G20715" s="11"/>
      <c r="H20715" s="11"/>
      <c r="I20715" s="15"/>
    </row>
    <row r="20716" spans="1:9" ht="16.5">
      <c r="A20716" s="10" t="b">
        <v>0</v>
      </c>
      <c r="B20716" s="11" t="str">
        <f>IF(D20716&lt;&gt;"",IF(COUNTIF('USPTO TMs'!A:A,D20716)&gt;0,"Yes","No"),"")</f>
        <v/>
      </c>
      <c r="C20716" s="11"/>
      <c r="D20716" s="11"/>
      <c r="E20716" s="11"/>
      <c r="F20716" s="11"/>
      <c r="G20716" s="11"/>
      <c r="H20716" s="11"/>
      <c r="I20716" s="15"/>
    </row>
    <row r="20717" spans="1:9" ht="16.5">
      <c r="A20717" s="10" t="b">
        <v>0</v>
      </c>
      <c r="B20717" s="11" t="str">
        <f>IF(D20717&lt;&gt;"",IF(COUNTIF('USPTO TMs'!A:A,D20717)&gt;0,"Yes","No"),"")</f>
        <v/>
      </c>
      <c r="C20717" s="11"/>
      <c r="D20717" s="11"/>
      <c r="E20717" s="11"/>
      <c r="F20717" s="11"/>
      <c r="G20717" s="11"/>
      <c r="H20717" s="11"/>
      <c r="I20717" s="15"/>
    </row>
    <row r="20718" spans="1:9" ht="16.5">
      <c r="A20718" s="10" t="b">
        <v>0</v>
      </c>
      <c r="B20718" s="11" t="str">
        <f>IF(D20718&lt;&gt;"",IF(COUNTIF('USPTO TMs'!A:A,D20718)&gt;0,"Yes","No"),"")</f>
        <v/>
      </c>
      <c r="C20718" s="11"/>
      <c r="D20718" s="11"/>
      <c r="E20718" s="11"/>
      <c r="F20718" s="11"/>
      <c r="G20718" s="11"/>
      <c r="H20718" s="11"/>
      <c r="I20718" s="15"/>
    </row>
    <row r="20719" spans="1:9" ht="16.5">
      <c r="A20719" s="10" t="b">
        <v>0</v>
      </c>
      <c r="B20719" s="11" t="str">
        <f>IF(D20719&lt;&gt;"",IF(COUNTIF('USPTO TMs'!A:A,D20719)&gt;0,"Yes","No"),"")</f>
        <v/>
      </c>
      <c r="C20719" s="11"/>
      <c r="D20719" s="11"/>
      <c r="E20719" s="11"/>
      <c r="F20719" s="11"/>
      <c r="G20719" s="11"/>
      <c r="H20719" s="11"/>
      <c r="I20719" s="15"/>
    </row>
    <row r="20720" spans="1:9" ht="16.5">
      <c r="A20720" s="10" t="b">
        <v>0</v>
      </c>
      <c r="B20720" s="11" t="str">
        <f>IF(D20720&lt;&gt;"",IF(COUNTIF('USPTO TMs'!A:A,D20720)&gt;0,"Yes","No"),"")</f>
        <v/>
      </c>
      <c r="C20720" s="11"/>
      <c r="D20720" s="11"/>
      <c r="E20720" s="11"/>
      <c r="F20720" s="11"/>
      <c r="G20720" s="11"/>
      <c r="H20720" s="11"/>
      <c r="I20720" s="15"/>
    </row>
    <row r="20721" spans="1:9" ht="16.5">
      <c r="A20721" s="10" t="b">
        <v>0</v>
      </c>
      <c r="B20721" s="11" t="str">
        <f>IF(D20721&lt;&gt;"",IF(COUNTIF('USPTO TMs'!A:A,D20721)&gt;0,"Yes","No"),"")</f>
        <v/>
      </c>
      <c r="C20721" s="11"/>
      <c r="D20721" s="11"/>
      <c r="E20721" s="11"/>
      <c r="F20721" s="11"/>
      <c r="G20721" s="11"/>
      <c r="H20721" s="11"/>
      <c r="I20721" s="15"/>
    </row>
    <row r="20722" spans="1:9" ht="16.5">
      <c r="A20722" s="10" t="b">
        <v>0</v>
      </c>
      <c r="B20722" s="11" t="str">
        <f>IF(D20722&lt;&gt;"",IF(COUNTIF('USPTO TMs'!A:A,D20722)&gt;0,"Yes","No"),"")</f>
        <v/>
      </c>
      <c r="C20722" s="11"/>
      <c r="D20722" s="11"/>
      <c r="E20722" s="11"/>
      <c r="F20722" s="11"/>
      <c r="G20722" s="11"/>
      <c r="H20722" s="11"/>
      <c r="I20722" s="15"/>
    </row>
    <row r="20723" spans="1:9" ht="16.5">
      <c r="A20723" s="10" t="b">
        <v>0</v>
      </c>
      <c r="B20723" s="11" t="str">
        <f>IF(D20723&lt;&gt;"",IF(COUNTIF('USPTO TMs'!A:A,D20723)&gt;0,"Yes","No"),"")</f>
        <v/>
      </c>
      <c r="C20723" s="11"/>
      <c r="D20723" s="11"/>
      <c r="E20723" s="11"/>
      <c r="F20723" s="11"/>
      <c r="G20723" s="11"/>
      <c r="H20723" s="11"/>
      <c r="I20723" s="15"/>
    </row>
    <row r="20724" spans="1:9" ht="16.5">
      <c r="A20724" s="10" t="b">
        <v>0</v>
      </c>
      <c r="B20724" s="11" t="str">
        <f>IF(D20724&lt;&gt;"",IF(COUNTIF('USPTO TMs'!A:A,D20724)&gt;0,"Yes","No"),"")</f>
        <v/>
      </c>
      <c r="C20724" s="11"/>
      <c r="D20724" s="11"/>
      <c r="E20724" s="11"/>
      <c r="F20724" s="11"/>
      <c r="G20724" s="11"/>
      <c r="H20724" s="11"/>
      <c r="I20724" s="15"/>
    </row>
    <row r="20725" spans="1:9" ht="16.5">
      <c r="A20725" s="10" t="b">
        <v>0</v>
      </c>
      <c r="B20725" s="11" t="str">
        <f>IF(D20725&lt;&gt;"",IF(COUNTIF('USPTO TMs'!A:A,D20725)&gt;0,"Yes","No"),"")</f>
        <v/>
      </c>
      <c r="C20725" s="11"/>
      <c r="D20725" s="11"/>
      <c r="E20725" s="11"/>
      <c r="F20725" s="11"/>
      <c r="G20725" s="11"/>
      <c r="H20725" s="11"/>
      <c r="I20725" s="15"/>
    </row>
    <row r="20726" spans="1:9" ht="16.5">
      <c r="A20726" s="10" t="b">
        <v>0</v>
      </c>
      <c r="B20726" s="11" t="str">
        <f>IF(D20726&lt;&gt;"",IF(COUNTIF('USPTO TMs'!A:A,D20726)&gt;0,"Yes","No"),"")</f>
        <v/>
      </c>
      <c r="C20726" s="11"/>
      <c r="D20726" s="11"/>
      <c r="E20726" s="11"/>
      <c r="F20726" s="11"/>
      <c r="G20726" s="11"/>
      <c r="H20726" s="11"/>
      <c r="I20726" s="15"/>
    </row>
    <row r="20727" spans="1:9" ht="16.5">
      <c r="A20727" s="10" t="b">
        <v>0</v>
      </c>
      <c r="B20727" s="11" t="str">
        <f>IF(D20727&lt;&gt;"",IF(COUNTIF('USPTO TMs'!A:A,D20727)&gt;0,"Yes","No"),"")</f>
        <v/>
      </c>
      <c r="C20727" s="11"/>
      <c r="D20727" s="11"/>
      <c r="E20727" s="11"/>
      <c r="F20727" s="11"/>
      <c r="G20727" s="11"/>
      <c r="H20727" s="11"/>
      <c r="I20727" s="15"/>
    </row>
    <row r="20728" spans="1:9" ht="16.5">
      <c r="A20728" s="10" t="b">
        <v>0</v>
      </c>
      <c r="B20728" s="11" t="str">
        <f>IF(D20728&lt;&gt;"",IF(COUNTIF('USPTO TMs'!A:A,D20728)&gt;0,"Yes","No"),"")</f>
        <v/>
      </c>
      <c r="C20728" s="11"/>
      <c r="D20728" s="11"/>
      <c r="E20728" s="11"/>
      <c r="F20728" s="11"/>
      <c r="G20728" s="11"/>
      <c r="H20728" s="11"/>
      <c r="I20728" s="15"/>
    </row>
    <row r="20729" spans="1:9" ht="16.5">
      <c r="A20729" s="10" t="b">
        <v>0</v>
      </c>
      <c r="B20729" s="11" t="str">
        <f>IF(D20729&lt;&gt;"",IF(COUNTIF('USPTO TMs'!A:A,D20729)&gt;0,"Yes","No"),"")</f>
        <v/>
      </c>
      <c r="C20729" s="11"/>
      <c r="D20729" s="11"/>
      <c r="E20729" s="11"/>
      <c r="F20729" s="11"/>
      <c r="G20729" s="11"/>
      <c r="H20729" s="11"/>
      <c r="I20729" s="15"/>
    </row>
    <row r="20730" spans="1:9" ht="16.5">
      <c r="A20730" s="10" t="b">
        <v>0</v>
      </c>
      <c r="B20730" s="11" t="str">
        <f>IF(D20730&lt;&gt;"",IF(COUNTIF('USPTO TMs'!A:A,D20730)&gt;0,"Yes","No"),"")</f>
        <v/>
      </c>
      <c r="C20730" s="11"/>
      <c r="D20730" s="11"/>
      <c r="E20730" s="11"/>
      <c r="F20730" s="11"/>
      <c r="G20730" s="11"/>
      <c r="H20730" s="11"/>
      <c r="I20730" s="15"/>
    </row>
    <row r="20731" spans="1:9" ht="16.5">
      <c r="A20731" s="10" t="b">
        <v>0</v>
      </c>
      <c r="B20731" s="11" t="str">
        <f>IF(D20731&lt;&gt;"",IF(COUNTIF('USPTO TMs'!A:A,D20731)&gt;0,"Yes","No"),"")</f>
        <v/>
      </c>
      <c r="C20731" s="11"/>
      <c r="D20731" s="11"/>
      <c r="E20731" s="11"/>
      <c r="F20731" s="11"/>
      <c r="G20731" s="11"/>
      <c r="H20731" s="11"/>
      <c r="I20731" s="15"/>
    </row>
    <row r="20732" spans="1:9" ht="16.5">
      <c r="A20732" s="10" t="b">
        <v>0</v>
      </c>
      <c r="B20732" s="11" t="str">
        <f>IF(D20732&lt;&gt;"",IF(COUNTIF('USPTO TMs'!A:A,D20732)&gt;0,"Yes","No"),"")</f>
        <v/>
      </c>
      <c r="C20732" s="11"/>
      <c r="D20732" s="11"/>
      <c r="E20732" s="11"/>
      <c r="F20732" s="11"/>
      <c r="G20732" s="11"/>
      <c r="H20732" s="11"/>
      <c r="I20732" s="15"/>
    </row>
    <row r="20733" spans="1:9" ht="16.5">
      <c r="A20733" s="10" t="b">
        <v>0</v>
      </c>
      <c r="B20733" s="11" t="str">
        <f>IF(D20733&lt;&gt;"",IF(COUNTIF('USPTO TMs'!A:A,D20733)&gt;0,"Yes","No"),"")</f>
        <v/>
      </c>
      <c r="C20733" s="11"/>
      <c r="D20733" s="11"/>
      <c r="E20733" s="11"/>
      <c r="F20733" s="11"/>
      <c r="G20733" s="11"/>
      <c r="H20733" s="11"/>
      <c r="I20733" s="15"/>
    </row>
    <row r="20734" spans="1:9" ht="16.5">
      <c r="A20734" s="10" t="b">
        <v>0</v>
      </c>
      <c r="B20734" s="11" t="str">
        <f>IF(D20734&lt;&gt;"",IF(COUNTIF('USPTO TMs'!A:A,D20734)&gt;0,"Yes","No"),"")</f>
        <v/>
      </c>
      <c r="C20734" s="11"/>
      <c r="D20734" s="11"/>
      <c r="E20734" s="11"/>
      <c r="F20734" s="11"/>
      <c r="G20734" s="11"/>
      <c r="H20734" s="11"/>
      <c r="I20734" s="15"/>
    </row>
    <row r="20735" spans="1:9" ht="16.5">
      <c r="A20735" s="10" t="b">
        <v>0</v>
      </c>
      <c r="B20735" s="11" t="str">
        <f>IF(D20735&lt;&gt;"",IF(COUNTIF('USPTO TMs'!A:A,D20735)&gt;0,"Yes","No"),"")</f>
        <v/>
      </c>
      <c r="C20735" s="11"/>
      <c r="D20735" s="11"/>
      <c r="E20735" s="11"/>
      <c r="F20735" s="11"/>
      <c r="G20735" s="11"/>
      <c r="H20735" s="11"/>
      <c r="I20735" s="15"/>
    </row>
    <row r="20736" spans="1:9" ht="16.5">
      <c r="A20736" s="10" t="b">
        <v>0</v>
      </c>
      <c r="B20736" s="11" t="str">
        <f>IF(D20736&lt;&gt;"",IF(COUNTIF('USPTO TMs'!A:A,D20736)&gt;0,"Yes","No"),"")</f>
        <v/>
      </c>
      <c r="C20736" s="11"/>
      <c r="D20736" s="11"/>
      <c r="E20736" s="11"/>
      <c r="F20736" s="11"/>
      <c r="G20736" s="11"/>
      <c r="H20736" s="11"/>
      <c r="I20736" s="15"/>
    </row>
    <row r="20737" spans="1:9" ht="16.5">
      <c r="A20737" s="10" t="b">
        <v>0</v>
      </c>
      <c r="B20737" s="11" t="str">
        <f>IF(D20737&lt;&gt;"",IF(COUNTIF('USPTO TMs'!A:A,D20737)&gt;0,"Yes","No"),"")</f>
        <v/>
      </c>
      <c r="C20737" s="11"/>
      <c r="D20737" s="11"/>
      <c r="E20737" s="11"/>
      <c r="F20737" s="11"/>
      <c r="G20737" s="11"/>
      <c r="H20737" s="11"/>
      <c r="I20737" s="15"/>
    </row>
    <row r="20738" spans="1:9" ht="16.5">
      <c r="A20738" s="10" t="b">
        <v>0</v>
      </c>
      <c r="B20738" s="11" t="str">
        <f>IF(D20738&lt;&gt;"",IF(COUNTIF('USPTO TMs'!A:A,D20738)&gt;0,"Yes","No"),"")</f>
        <v/>
      </c>
      <c r="C20738" s="11"/>
      <c r="D20738" s="11"/>
      <c r="E20738" s="11"/>
      <c r="F20738" s="11"/>
      <c r="G20738" s="11"/>
      <c r="H20738" s="11"/>
      <c r="I20738" s="15"/>
    </row>
    <row r="20739" spans="1:9" ht="16.5">
      <c r="A20739" s="10" t="b">
        <v>0</v>
      </c>
      <c r="B20739" s="11" t="str">
        <f>IF(D20739&lt;&gt;"",IF(COUNTIF('USPTO TMs'!A:A,D20739)&gt;0,"Yes","No"),"")</f>
        <v/>
      </c>
      <c r="C20739" s="11"/>
      <c r="D20739" s="11"/>
      <c r="E20739" s="11"/>
      <c r="F20739" s="11"/>
      <c r="G20739" s="11"/>
      <c r="H20739" s="11"/>
      <c r="I20739" s="15"/>
    </row>
    <row r="20740" spans="1:9" ht="16.5">
      <c r="A20740" s="10" t="b">
        <v>0</v>
      </c>
      <c r="B20740" s="11" t="str">
        <f>IF(D20740&lt;&gt;"",IF(COUNTIF('USPTO TMs'!A:A,D20740)&gt;0,"Yes","No"),"")</f>
        <v/>
      </c>
      <c r="C20740" s="11"/>
      <c r="D20740" s="11"/>
      <c r="E20740" s="11"/>
      <c r="F20740" s="11"/>
      <c r="G20740" s="11"/>
      <c r="H20740" s="11"/>
      <c r="I20740" s="15"/>
    </row>
    <row r="20741" spans="1:9" ht="16.5">
      <c r="A20741" s="10" t="b">
        <v>0</v>
      </c>
      <c r="B20741" s="11" t="str">
        <f>IF(D20741&lt;&gt;"",IF(COUNTIF('USPTO TMs'!A:A,D20741)&gt;0,"Yes","No"),"")</f>
        <v/>
      </c>
      <c r="C20741" s="11"/>
      <c r="D20741" s="11"/>
      <c r="E20741" s="11"/>
      <c r="F20741" s="11"/>
      <c r="G20741" s="11"/>
      <c r="H20741" s="11"/>
      <c r="I20741" s="15"/>
    </row>
    <row r="20742" spans="1:9" ht="16.5">
      <c r="A20742" s="10" t="b">
        <v>0</v>
      </c>
      <c r="B20742" s="11" t="str">
        <f>IF(D20742&lt;&gt;"",IF(COUNTIF('USPTO TMs'!A:A,D20742)&gt;0,"Yes","No"),"")</f>
        <v/>
      </c>
      <c r="C20742" s="11"/>
      <c r="D20742" s="11"/>
      <c r="E20742" s="11"/>
      <c r="F20742" s="11"/>
      <c r="G20742" s="11"/>
      <c r="H20742" s="11"/>
      <c r="I20742" s="15"/>
    </row>
    <row r="20743" spans="1:9" ht="16.5">
      <c r="A20743" s="10" t="b">
        <v>0</v>
      </c>
      <c r="B20743" s="11" t="str">
        <f>IF(D20743&lt;&gt;"",IF(COUNTIF('USPTO TMs'!A:A,D20743)&gt;0,"Yes","No"),"")</f>
        <v/>
      </c>
      <c r="C20743" s="11"/>
      <c r="D20743" s="11"/>
      <c r="E20743" s="11"/>
      <c r="F20743" s="11"/>
      <c r="G20743" s="11"/>
      <c r="H20743" s="11"/>
      <c r="I20743" s="15"/>
    </row>
    <row r="20744" spans="1:9" ht="16.5">
      <c r="A20744" s="10" t="b">
        <v>0</v>
      </c>
      <c r="B20744" s="11" t="str">
        <f>IF(D20744&lt;&gt;"",IF(COUNTIF('USPTO TMs'!A:A,D20744)&gt;0,"Yes","No"),"")</f>
        <v/>
      </c>
      <c r="C20744" s="11"/>
      <c r="D20744" s="11"/>
      <c r="E20744" s="11"/>
      <c r="F20744" s="11"/>
      <c r="G20744" s="11"/>
      <c r="H20744" s="11"/>
      <c r="I20744" s="15"/>
    </row>
    <row r="20745" spans="1:9" ht="16.5">
      <c r="A20745" s="10" t="b">
        <v>0</v>
      </c>
      <c r="B20745" s="11" t="str">
        <f>IF(D20745&lt;&gt;"",IF(COUNTIF('USPTO TMs'!A:A,D20745)&gt;0,"Yes","No"),"")</f>
        <v/>
      </c>
      <c r="C20745" s="11"/>
      <c r="D20745" s="11"/>
      <c r="E20745" s="11"/>
      <c r="F20745" s="11"/>
      <c r="G20745" s="11"/>
      <c r="H20745" s="11"/>
      <c r="I20745" s="15"/>
    </row>
    <row r="20746" spans="1:9" ht="16.5">
      <c r="A20746" s="10" t="b">
        <v>0</v>
      </c>
      <c r="B20746" s="11" t="str">
        <f>IF(D20746&lt;&gt;"",IF(COUNTIF('USPTO TMs'!A:A,D20746)&gt;0,"Yes","No"),"")</f>
        <v/>
      </c>
      <c r="C20746" s="11"/>
      <c r="D20746" s="11"/>
      <c r="E20746" s="11"/>
      <c r="F20746" s="11"/>
      <c r="G20746" s="11"/>
      <c r="H20746" s="11"/>
      <c r="I20746" s="15"/>
    </row>
    <row r="20747" spans="1:9" ht="16.5">
      <c r="A20747" s="10" t="b">
        <v>0</v>
      </c>
      <c r="B20747" s="11" t="str">
        <f>IF(D20747&lt;&gt;"",IF(COUNTIF('USPTO TMs'!A:A,D20747)&gt;0,"Yes","No"),"")</f>
        <v/>
      </c>
      <c r="C20747" s="11"/>
      <c r="D20747" s="11"/>
      <c r="E20747" s="11"/>
      <c r="F20747" s="11"/>
      <c r="G20747" s="11"/>
      <c r="H20747" s="11"/>
      <c r="I20747" s="15"/>
    </row>
    <row r="20748" spans="1:9" ht="16.5">
      <c r="A20748" s="10" t="b">
        <v>0</v>
      </c>
      <c r="B20748" s="11" t="str">
        <f>IF(D20748&lt;&gt;"",IF(COUNTIF('USPTO TMs'!A:A,D20748)&gt;0,"Yes","No"),"")</f>
        <v/>
      </c>
      <c r="C20748" s="11"/>
      <c r="D20748" s="11"/>
      <c r="E20748" s="11"/>
      <c r="F20748" s="11"/>
      <c r="G20748" s="11"/>
      <c r="H20748" s="11"/>
      <c r="I20748" s="15"/>
    </row>
    <row r="20749" spans="1:9" ht="16.5">
      <c r="A20749" s="10" t="b">
        <v>0</v>
      </c>
      <c r="B20749" s="11" t="str">
        <f>IF(D20749&lt;&gt;"",IF(COUNTIF('USPTO TMs'!A:A,D20749)&gt;0,"Yes","No"),"")</f>
        <v/>
      </c>
      <c r="C20749" s="11"/>
      <c r="D20749" s="11"/>
      <c r="E20749" s="11"/>
      <c r="F20749" s="11"/>
      <c r="G20749" s="11"/>
      <c r="H20749" s="11"/>
      <c r="I20749" s="15"/>
    </row>
    <row r="20750" spans="1:9" ht="16.5">
      <c r="A20750" s="10" t="b">
        <v>0</v>
      </c>
      <c r="B20750" s="11" t="str">
        <f>IF(D20750&lt;&gt;"",IF(COUNTIF('USPTO TMs'!A:A,D20750)&gt;0,"Yes","No"),"")</f>
        <v/>
      </c>
      <c r="C20750" s="11"/>
      <c r="D20750" s="11"/>
      <c r="E20750" s="11"/>
      <c r="F20750" s="11"/>
      <c r="G20750" s="11"/>
      <c r="H20750" s="11"/>
      <c r="I20750" s="15"/>
    </row>
    <row r="20751" spans="1:9" ht="16.5">
      <c r="A20751" s="10" t="b">
        <v>0</v>
      </c>
      <c r="B20751" s="11" t="str">
        <f>IF(D20751&lt;&gt;"",IF(COUNTIF('USPTO TMs'!A:A,D20751)&gt;0,"Yes","No"),"")</f>
        <v/>
      </c>
      <c r="C20751" s="11"/>
      <c r="D20751" s="11"/>
      <c r="E20751" s="11"/>
      <c r="F20751" s="11"/>
      <c r="G20751" s="11"/>
      <c r="H20751" s="11"/>
      <c r="I20751" s="15"/>
    </row>
    <row r="20752" spans="1:9" ht="16.5">
      <c r="A20752" s="10" t="b">
        <v>0</v>
      </c>
      <c r="B20752" s="11" t="str">
        <f>IF(D20752&lt;&gt;"",IF(COUNTIF('USPTO TMs'!A:A,D20752)&gt;0,"Yes","No"),"")</f>
        <v/>
      </c>
      <c r="C20752" s="11"/>
      <c r="D20752" s="11"/>
      <c r="E20752" s="11"/>
      <c r="F20752" s="11"/>
      <c r="G20752" s="11"/>
      <c r="H20752" s="11"/>
      <c r="I20752" s="15"/>
    </row>
    <row r="20753" spans="1:9" ht="16.5">
      <c r="A20753" s="10" t="b">
        <v>0</v>
      </c>
      <c r="B20753" s="11" t="str">
        <f>IF(D20753&lt;&gt;"",IF(COUNTIF('USPTO TMs'!A:A,D20753)&gt;0,"Yes","No"),"")</f>
        <v/>
      </c>
      <c r="C20753" s="11"/>
      <c r="D20753" s="11"/>
      <c r="E20753" s="11"/>
      <c r="F20753" s="11"/>
      <c r="G20753" s="11"/>
      <c r="H20753" s="11"/>
      <c r="I20753" s="15"/>
    </row>
    <row r="20754" spans="1:9" ht="16.5">
      <c r="A20754" s="10" t="b">
        <v>0</v>
      </c>
      <c r="B20754" s="11" t="str">
        <f>IF(D20754&lt;&gt;"",IF(COUNTIF('USPTO TMs'!A:A,D20754)&gt;0,"Yes","No"),"")</f>
        <v/>
      </c>
      <c r="C20754" s="11"/>
      <c r="D20754" s="11"/>
      <c r="E20754" s="11"/>
      <c r="F20754" s="11"/>
      <c r="G20754" s="11"/>
      <c r="H20754" s="11"/>
      <c r="I20754" s="15"/>
    </row>
    <row r="20755" spans="1:9" ht="16.5">
      <c r="A20755" s="10" t="b">
        <v>0</v>
      </c>
      <c r="B20755" s="11" t="str">
        <f>IF(D20755&lt;&gt;"",IF(COUNTIF('USPTO TMs'!A:A,D20755)&gt;0,"Yes","No"),"")</f>
        <v/>
      </c>
      <c r="C20755" s="11"/>
      <c r="D20755" s="11"/>
      <c r="E20755" s="11"/>
      <c r="F20755" s="11"/>
      <c r="G20755" s="11"/>
      <c r="H20755" s="11"/>
      <c r="I20755" s="15"/>
    </row>
    <row r="20756" spans="1:9" ht="16.5">
      <c r="A20756" s="10" t="b">
        <v>0</v>
      </c>
      <c r="B20756" s="11" t="str">
        <f>IF(D20756&lt;&gt;"",IF(COUNTIF('USPTO TMs'!A:A,D20756)&gt;0,"Yes","No"),"")</f>
        <v/>
      </c>
      <c r="C20756" s="11"/>
      <c r="D20756" s="11"/>
      <c r="E20756" s="11"/>
      <c r="F20756" s="11"/>
      <c r="G20756" s="11"/>
      <c r="H20756" s="11"/>
      <c r="I20756" s="15"/>
    </row>
    <row r="20757" spans="1:9" ht="16.5">
      <c r="A20757" s="10" t="b">
        <v>0</v>
      </c>
      <c r="B20757" s="11" t="str">
        <f>IF(D20757&lt;&gt;"",IF(COUNTIF('USPTO TMs'!A:A,D20757)&gt;0,"Yes","No"),"")</f>
        <v/>
      </c>
      <c r="C20757" s="11"/>
      <c r="D20757" s="11"/>
      <c r="E20757" s="11"/>
      <c r="F20757" s="11"/>
      <c r="G20757" s="11"/>
      <c r="H20757" s="11"/>
      <c r="I20757" s="15"/>
    </row>
    <row r="20758" spans="1:9" ht="16.5">
      <c r="A20758" s="10" t="b">
        <v>0</v>
      </c>
      <c r="B20758" s="11" t="str">
        <f>IF(D20758&lt;&gt;"",IF(COUNTIF('USPTO TMs'!A:A,D20758)&gt;0,"Yes","No"),"")</f>
        <v/>
      </c>
      <c r="C20758" s="11"/>
      <c r="D20758" s="11"/>
      <c r="E20758" s="11"/>
      <c r="F20758" s="11"/>
      <c r="G20758" s="11"/>
      <c r="H20758" s="11"/>
      <c r="I20758" s="15"/>
    </row>
    <row r="20759" spans="1:9" ht="16.5">
      <c r="A20759" s="10" t="b">
        <v>0</v>
      </c>
      <c r="B20759" s="11" t="str">
        <f>IF(D20759&lt;&gt;"",IF(COUNTIF('USPTO TMs'!A:A,D20759)&gt;0,"Yes","No"),"")</f>
        <v/>
      </c>
      <c r="C20759" s="11"/>
      <c r="D20759" s="11"/>
      <c r="E20759" s="11"/>
      <c r="F20759" s="11"/>
      <c r="G20759" s="11"/>
      <c r="H20759" s="11"/>
      <c r="I20759" s="15"/>
    </row>
    <row r="20760" spans="1:9" ht="16.5">
      <c r="A20760" s="10" t="b">
        <v>0</v>
      </c>
      <c r="B20760" s="11" t="str">
        <f>IF(D20760&lt;&gt;"",IF(COUNTIF('USPTO TMs'!A:A,D20760)&gt;0,"Yes","No"),"")</f>
        <v/>
      </c>
      <c r="C20760" s="11"/>
      <c r="D20760" s="11"/>
      <c r="E20760" s="11"/>
      <c r="F20760" s="11"/>
      <c r="G20760" s="11"/>
      <c r="H20760" s="11"/>
      <c r="I20760" s="15"/>
    </row>
    <row r="20761" spans="1:9" ht="16.5">
      <c r="A20761" s="10" t="b">
        <v>0</v>
      </c>
      <c r="B20761" s="11" t="str">
        <f>IF(D20761&lt;&gt;"",IF(COUNTIF('USPTO TMs'!A:A,D20761)&gt;0,"Yes","No"),"")</f>
        <v/>
      </c>
      <c r="C20761" s="11"/>
      <c r="D20761" s="11"/>
      <c r="E20761" s="11"/>
      <c r="F20761" s="11"/>
      <c r="G20761" s="11"/>
      <c r="H20761" s="11"/>
      <c r="I20761" s="15"/>
    </row>
    <row r="20762" spans="1:9" ht="16.5">
      <c r="A20762" s="10" t="b">
        <v>0</v>
      </c>
      <c r="B20762" s="11" t="str">
        <f>IF(D20762&lt;&gt;"",IF(COUNTIF('USPTO TMs'!A:A,D20762)&gt;0,"Yes","No"),"")</f>
        <v/>
      </c>
      <c r="C20762" s="11"/>
      <c r="D20762" s="11"/>
      <c r="E20762" s="11"/>
      <c r="F20762" s="11"/>
      <c r="G20762" s="11"/>
      <c r="H20762" s="11"/>
      <c r="I20762" s="15"/>
    </row>
    <row r="20763" spans="1:9" ht="16.5">
      <c r="A20763" s="10" t="b">
        <v>0</v>
      </c>
      <c r="B20763" s="11" t="str">
        <f>IF(D20763&lt;&gt;"",IF(COUNTIF('USPTO TMs'!A:A,D20763)&gt;0,"Yes","No"),"")</f>
        <v/>
      </c>
      <c r="C20763" s="11"/>
      <c r="D20763" s="11"/>
      <c r="E20763" s="11"/>
      <c r="F20763" s="11"/>
      <c r="G20763" s="11"/>
      <c r="H20763" s="11"/>
      <c r="I20763" s="15"/>
    </row>
    <row r="20764" spans="1:9" ht="16.5">
      <c r="A20764" s="10" t="b">
        <v>0</v>
      </c>
      <c r="B20764" s="11" t="str">
        <f>IF(D20764&lt;&gt;"",IF(COUNTIF('USPTO TMs'!A:A,D20764)&gt;0,"Yes","No"),"")</f>
        <v/>
      </c>
      <c r="C20764" s="11"/>
      <c r="D20764" s="11"/>
      <c r="E20764" s="11"/>
      <c r="F20764" s="11"/>
      <c r="G20764" s="11"/>
      <c r="H20764" s="11"/>
      <c r="I20764" s="15"/>
    </row>
    <row r="20765" spans="1:9" ht="16.5">
      <c r="A20765" s="10" t="b">
        <v>0</v>
      </c>
      <c r="B20765" s="11" t="str">
        <f>IF(D20765&lt;&gt;"",IF(COUNTIF('USPTO TMs'!A:A,D20765)&gt;0,"Yes","No"),"")</f>
        <v/>
      </c>
      <c r="C20765" s="11"/>
      <c r="D20765" s="11"/>
      <c r="E20765" s="11"/>
      <c r="F20765" s="11"/>
      <c r="G20765" s="11"/>
      <c r="H20765" s="11"/>
      <c r="I20765" s="15"/>
    </row>
    <row r="20766" spans="1:9" ht="16.5">
      <c r="A20766" s="10" t="b">
        <v>0</v>
      </c>
      <c r="B20766" s="11" t="str">
        <f>IF(D20766&lt;&gt;"",IF(COUNTIF('USPTO TMs'!A:A,D20766)&gt;0,"Yes","No"),"")</f>
        <v/>
      </c>
      <c r="C20766" s="11"/>
      <c r="D20766" s="11"/>
      <c r="E20766" s="11"/>
      <c r="F20766" s="11"/>
      <c r="G20766" s="11"/>
      <c r="H20766" s="11"/>
      <c r="I20766" s="15"/>
    </row>
    <row r="20767" spans="1:9" ht="16.5">
      <c r="A20767" s="10" t="b">
        <v>0</v>
      </c>
      <c r="B20767" s="11" t="str">
        <f>IF(D20767&lt;&gt;"",IF(COUNTIF('USPTO TMs'!A:A,D20767)&gt;0,"Yes","No"),"")</f>
        <v/>
      </c>
      <c r="C20767" s="11"/>
      <c r="D20767" s="11"/>
      <c r="E20767" s="11"/>
      <c r="F20767" s="11"/>
      <c r="G20767" s="11"/>
      <c r="H20767" s="11"/>
      <c r="I20767" s="15"/>
    </row>
    <row r="20768" spans="1:9" ht="16.5">
      <c r="A20768" s="10" t="b">
        <v>0</v>
      </c>
      <c r="B20768" s="11" t="str">
        <f>IF(D20768&lt;&gt;"",IF(COUNTIF('USPTO TMs'!A:A,D20768)&gt;0,"Yes","No"),"")</f>
        <v/>
      </c>
      <c r="C20768" s="11"/>
      <c r="D20768" s="11"/>
      <c r="E20768" s="11"/>
      <c r="F20768" s="11"/>
      <c r="G20768" s="11"/>
      <c r="H20768" s="11"/>
      <c r="I20768" s="15"/>
    </row>
    <row r="20769" spans="1:9" ht="16.5">
      <c r="A20769" s="10" t="b">
        <v>0</v>
      </c>
      <c r="B20769" s="11" t="str">
        <f>IF(D20769&lt;&gt;"",IF(COUNTIF('USPTO TMs'!A:A,D20769)&gt;0,"Yes","No"),"")</f>
        <v/>
      </c>
      <c r="C20769" s="11"/>
      <c r="D20769" s="11"/>
      <c r="E20769" s="11"/>
      <c r="F20769" s="11"/>
      <c r="G20769" s="11"/>
      <c r="H20769" s="11"/>
      <c r="I20769" s="15"/>
    </row>
    <row r="20770" spans="1:9" ht="16.5">
      <c r="A20770" s="10" t="b">
        <v>0</v>
      </c>
      <c r="B20770" s="11" t="str">
        <f>IF(D20770&lt;&gt;"",IF(COUNTIF('USPTO TMs'!A:A,D20770)&gt;0,"Yes","No"),"")</f>
        <v/>
      </c>
      <c r="C20770" s="11"/>
      <c r="D20770" s="11"/>
      <c r="E20770" s="11"/>
      <c r="F20770" s="11"/>
      <c r="G20770" s="11"/>
      <c r="H20770" s="11"/>
      <c r="I20770" s="15"/>
    </row>
    <row r="20771" spans="1:9" ht="16.5">
      <c r="A20771" s="10" t="b">
        <v>0</v>
      </c>
      <c r="B20771" s="11" t="str">
        <f>IF(D20771&lt;&gt;"",IF(COUNTIF('USPTO TMs'!A:A,D20771)&gt;0,"Yes","No"),"")</f>
        <v/>
      </c>
      <c r="C20771" s="11"/>
      <c r="D20771" s="11"/>
      <c r="E20771" s="11"/>
      <c r="F20771" s="11"/>
      <c r="G20771" s="11"/>
      <c r="H20771" s="11"/>
      <c r="I20771" s="15"/>
    </row>
    <row r="20772" spans="1:9" ht="16.5">
      <c r="A20772" s="10" t="b">
        <v>0</v>
      </c>
      <c r="B20772" s="11" t="str">
        <f>IF(D20772&lt;&gt;"",IF(COUNTIF('USPTO TMs'!A:A,D20772)&gt;0,"Yes","No"),"")</f>
        <v/>
      </c>
      <c r="C20772" s="11"/>
      <c r="D20772" s="11"/>
      <c r="E20772" s="11"/>
      <c r="F20772" s="11"/>
      <c r="G20772" s="11"/>
      <c r="H20772" s="11"/>
      <c r="I20772" s="15"/>
    </row>
    <row r="20773" spans="1:9" ht="16.5">
      <c r="A20773" s="10" t="b">
        <v>0</v>
      </c>
      <c r="B20773" s="11" t="str">
        <f>IF(D20773&lt;&gt;"",IF(COUNTIF('USPTO TMs'!A:A,D20773)&gt;0,"Yes","No"),"")</f>
        <v/>
      </c>
      <c r="C20773" s="11"/>
      <c r="D20773" s="11"/>
      <c r="E20773" s="11"/>
      <c r="F20773" s="11"/>
      <c r="G20773" s="11"/>
      <c r="H20773" s="11"/>
      <c r="I20773" s="15"/>
    </row>
    <row r="20774" spans="1:9" ht="16.5">
      <c r="A20774" s="10" t="b">
        <v>0</v>
      </c>
      <c r="B20774" s="11" t="str">
        <f>IF(D20774&lt;&gt;"",IF(COUNTIF('USPTO TMs'!A:A,D20774)&gt;0,"Yes","No"),"")</f>
        <v/>
      </c>
      <c r="C20774" s="11"/>
      <c r="D20774" s="11"/>
      <c r="E20774" s="11"/>
      <c r="F20774" s="11"/>
      <c r="G20774" s="11"/>
      <c r="H20774" s="11"/>
      <c r="I20774" s="15"/>
    </row>
    <row r="20775" spans="1:9" ht="16.5">
      <c r="A20775" s="10" t="b">
        <v>0</v>
      </c>
      <c r="B20775" s="11" t="str">
        <f>IF(D20775&lt;&gt;"",IF(COUNTIF('USPTO TMs'!A:A,D20775)&gt;0,"Yes","No"),"")</f>
        <v/>
      </c>
      <c r="C20775" s="11"/>
      <c r="D20775" s="11"/>
      <c r="E20775" s="11"/>
      <c r="F20775" s="11"/>
      <c r="G20775" s="11"/>
      <c r="H20775" s="11"/>
      <c r="I20775" s="15"/>
    </row>
    <row r="20776" spans="1:9" ht="16.5">
      <c r="A20776" s="10" t="b">
        <v>0</v>
      </c>
      <c r="B20776" s="11" t="str">
        <f>IF(D20776&lt;&gt;"",IF(COUNTIF('USPTO TMs'!A:A,D20776)&gt;0,"Yes","No"),"")</f>
        <v/>
      </c>
      <c r="C20776" s="11"/>
      <c r="D20776" s="11"/>
      <c r="E20776" s="11"/>
      <c r="F20776" s="11"/>
      <c r="G20776" s="11"/>
      <c r="H20776" s="11"/>
      <c r="I20776" s="15"/>
    </row>
    <row r="20777" spans="1:9" ht="16.5">
      <c r="A20777" s="10" t="b">
        <v>0</v>
      </c>
      <c r="B20777" s="11" t="str">
        <f>IF(D20777&lt;&gt;"",IF(COUNTIF('USPTO TMs'!A:A,D20777)&gt;0,"Yes","No"),"")</f>
        <v/>
      </c>
      <c r="C20777" s="11"/>
      <c r="D20777" s="11"/>
      <c r="E20777" s="11"/>
      <c r="F20777" s="11"/>
      <c r="G20777" s="11"/>
      <c r="H20777" s="11"/>
      <c r="I20777" s="15"/>
    </row>
    <row r="20778" spans="1:9" ht="16.5">
      <c r="A20778" s="10" t="b">
        <v>0</v>
      </c>
      <c r="B20778" s="11" t="str">
        <f>IF(D20778&lt;&gt;"",IF(COUNTIF('USPTO TMs'!A:A,D20778)&gt;0,"Yes","No"),"")</f>
        <v/>
      </c>
      <c r="C20778" s="11"/>
      <c r="D20778" s="11"/>
      <c r="E20778" s="11"/>
      <c r="F20778" s="11"/>
      <c r="G20778" s="11"/>
      <c r="H20778" s="11"/>
      <c r="I20778" s="15"/>
    </row>
    <row r="20779" spans="1:9" ht="16.5">
      <c r="A20779" s="10" t="b">
        <v>0</v>
      </c>
      <c r="B20779" s="11" t="str">
        <f>IF(D20779&lt;&gt;"",IF(COUNTIF('USPTO TMs'!A:A,D20779)&gt;0,"Yes","No"),"")</f>
        <v/>
      </c>
      <c r="C20779" s="11"/>
      <c r="D20779" s="11"/>
      <c r="E20779" s="11"/>
      <c r="F20779" s="11"/>
      <c r="G20779" s="11"/>
      <c r="H20779" s="11"/>
      <c r="I20779" s="15"/>
    </row>
    <row r="20780" spans="1:9" ht="16.5">
      <c r="A20780" s="10" t="b">
        <v>0</v>
      </c>
      <c r="B20780" s="11" t="str">
        <f>IF(D20780&lt;&gt;"",IF(COUNTIF('USPTO TMs'!A:A,D20780)&gt;0,"Yes","No"),"")</f>
        <v/>
      </c>
      <c r="C20780" s="11"/>
      <c r="D20780" s="11"/>
      <c r="E20780" s="11"/>
      <c r="F20780" s="11"/>
      <c r="G20780" s="11"/>
      <c r="H20780" s="11"/>
      <c r="I20780" s="15"/>
    </row>
    <row r="20781" spans="1:9" ht="16.5">
      <c r="A20781" s="10" t="b">
        <v>0</v>
      </c>
      <c r="B20781" s="11" t="str">
        <f>IF(D20781&lt;&gt;"",IF(COUNTIF('USPTO TMs'!A:A,D20781)&gt;0,"Yes","No"),"")</f>
        <v/>
      </c>
      <c r="C20781" s="11"/>
      <c r="D20781" s="11"/>
      <c r="E20781" s="11"/>
      <c r="F20781" s="11"/>
      <c r="G20781" s="11"/>
      <c r="H20781" s="11"/>
      <c r="I20781" s="15"/>
    </row>
    <row r="20782" spans="1:9" ht="16.5">
      <c r="A20782" s="10" t="b">
        <v>0</v>
      </c>
      <c r="B20782" s="11" t="str">
        <f>IF(D20782&lt;&gt;"",IF(COUNTIF('USPTO TMs'!A:A,D20782)&gt;0,"Yes","No"),"")</f>
        <v/>
      </c>
      <c r="C20782" s="11"/>
      <c r="D20782" s="11"/>
      <c r="E20782" s="11"/>
      <c r="F20782" s="11"/>
      <c r="G20782" s="11"/>
      <c r="H20782" s="11"/>
      <c r="I20782" s="15"/>
    </row>
    <row r="20783" spans="1:9" ht="16.5">
      <c r="A20783" s="10" t="b">
        <v>0</v>
      </c>
      <c r="B20783" s="11" t="str">
        <f>IF(D20783&lt;&gt;"",IF(COUNTIF('USPTO TMs'!A:A,D20783)&gt;0,"Yes","No"),"")</f>
        <v/>
      </c>
      <c r="C20783" s="11"/>
      <c r="D20783" s="11"/>
      <c r="E20783" s="11"/>
      <c r="F20783" s="11"/>
      <c r="G20783" s="11"/>
      <c r="H20783" s="11"/>
      <c r="I20783" s="15"/>
    </row>
    <row r="20784" spans="1:9" ht="16.5">
      <c r="A20784" s="10" t="b">
        <v>0</v>
      </c>
      <c r="B20784" s="11" t="str">
        <f>IF(D20784&lt;&gt;"",IF(COUNTIF('USPTO TMs'!A:A,D20784)&gt;0,"Yes","No"),"")</f>
        <v/>
      </c>
      <c r="C20784" s="11"/>
      <c r="D20784" s="11"/>
      <c r="E20784" s="11"/>
      <c r="F20784" s="11"/>
      <c r="G20784" s="11"/>
      <c r="H20784" s="11"/>
      <c r="I20784" s="15"/>
    </row>
    <row r="20785" spans="1:9" ht="16.5">
      <c r="A20785" s="10" t="b">
        <v>0</v>
      </c>
      <c r="B20785" s="11" t="str">
        <f>IF(D20785&lt;&gt;"",IF(COUNTIF('USPTO TMs'!A:A,D20785)&gt;0,"Yes","No"),"")</f>
        <v/>
      </c>
      <c r="C20785" s="11"/>
      <c r="D20785" s="11"/>
      <c r="E20785" s="11"/>
      <c r="F20785" s="11"/>
      <c r="G20785" s="11"/>
      <c r="H20785" s="11"/>
      <c r="I20785" s="15"/>
    </row>
    <row r="20786" spans="1:9" ht="16.5">
      <c r="A20786" s="10" t="b">
        <v>0</v>
      </c>
      <c r="B20786" s="11" t="str">
        <f>IF(D20786&lt;&gt;"",IF(COUNTIF('USPTO TMs'!A:A,D20786)&gt;0,"Yes","No"),"")</f>
        <v/>
      </c>
      <c r="C20786" s="11"/>
      <c r="D20786" s="11"/>
      <c r="E20786" s="11"/>
      <c r="F20786" s="11"/>
      <c r="G20786" s="11"/>
      <c r="H20786" s="11"/>
      <c r="I20786" s="15"/>
    </row>
    <row r="20787" spans="1:9" ht="16.5">
      <c r="A20787" s="10" t="b">
        <v>0</v>
      </c>
      <c r="B20787" s="11" t="str">
        <f>IF(D20787&lt;&gt;"",IF(COUNTIF('USPTO TMs'!A:A,D20787)&gt;0,"Yes","No"),"")</f>
        <v/>
      </c>
      <c r="C20787" s="11"/>
      <c r="D20787" s="11"/>
      <c r="E20787" s="11"/>
      <c r="F20787" s="11"/>
      <c r="G20787" s="11"/>
      <c r="H20787" s="11"/>
      <c r="I20787" s="15"/>
    </row>
    <row r="20788" spans="1:9" ht="16.5">
      <c r="A20788" s="10" t="b">
        <v>0</v>
      </c>
      <c r="B20788" s="11" t="str">
        <f>IF(D20788&lt;&gt;"",IF(COUNTIF('USPTO TMs'!A:A,D20788)&gt;0,"Yes","No"),"")</f>
        <v/>
      </c>
      <c r="C20788" s="11"/>
      <c r="D20788" s="11"/>
      <c r="E20788" s="11"/>
      <c r="F20788" s="11"/>
      <c r="G20788" s="11"/>
      <c r="H20788" s="11"/>
      <c r="I20788" s="15"/>
    </row>
    <row r="20789" spans="1:9" ht="16.5">
      <c r="A20789" s="10" t="b">
        <v>0</v>
      </c>
      <c r="B20789" s="11" t="str">
        <f>IF(D20789&lt;&gt;"",IF(COUNTIF('USPTO TMs'!A:A,D20789)&gt;0,"Yes","No"),"")</f>
        <v/>
      </c>
      <c r="C20789" s="11"/>
      <c r="D20789" s="11"/>
      <c r="E20789" s="11"/>
      <c r="F20789" s="11"/>
      <c r="G20789" s="11"/>
      <c r="H20789" s="11"/>
      <c r="I20789" s="15"/>
    </row>
    <row r="20790" spans="1:9" ht="16.5">
      <c r="A20790" s="10" t="b">
        <v>0</v>
      </c>
      <c r="B20790" s="11" t="str">
        <f>IF(D20790&lt;&gt;"",IF(COUNTIF('USPTO TMs'!A:A,D20790)&gt;0,"Yes","No"),"")</f>
        <v/>
      </c>
      <c r="C20790" s="11"/>
      <c r="D20790" s="11"/>
      <c r="E20790" s="11"/>
      <c r="F20790" s="11"/>
      <c r="G20790" s="11"/>
      <c r="H20790" s="11"/>
      <c r="I20790" s="15"/>
    </row>
    <row r="20791" spans="1:9" ht="16.5">
      <c r="A20791" s="10" t="b">
        <v>0</v>
      </c>
      <c r="B20791" s="11" t="str">
        <f>IF(D20791&lt;&gt;"",IF(COUNTIF('USPTO TMs'!A:A,D20791)&gt;0,"Yes","No"),"")</f>
        <v/>
      </c>
      <c r="C20791" s="11"/>
      <c r="D20791" s="11"/>
      <c r="E20791" s="11"/>
      <c r="F20791" s="11"/>
      <c r="G20791" s="11"/>
      <c r="H20791" s="11"/>
      <c r="I20791" s="15"/>
    </row>
    <row r="20792" spans="1:9" ht="16.5">
      <c r="A20792" s="10" t="b">
        <v>0</v>
      </c>
      <c r="B20792" s="11" t="str">
        <f>IF(D20792&lt;&gt;"",IF(COUNTIF('USPTO TMs'!A:A,D20792)&gt;0,"Yes","No"),"")</f>
        <v/>
      </c>
      <c r="C20792" s="11"/>
      <c r="D20792" s="11"/>
      <c r="E20792" s="11"/>
      <c r="F20792" s="11"/>
      <c r="G20792" s="11"/>
      <c r="H20792" s="11"/>
      <c r="I20792" s="15"/>
    </row>
    <row r="20793" spans="1:9" ht="16.5">
      <c r="A20793" s="10" t="b">
        <v>0</v>
      </c>
      <c r="B20793" s="11" t="str">
        <f>IF(D20793&lt;&gt;"",IF(COUNTIF('USPTO TMs'!A:A,D20793)&gt;0,"Yes","No"),"")</f>
        <v/>
      </c>
      <c r="C20793" s="11"/>
      <c r="D20793" s="11"/>
      <c r="E20793" s="11"/>
      <c r="F20793" s="11"/>
      <c r="G20793" s="11"/>
      <c r="H20793" s="11"/>
      <c r="I20793" s="15"/>
    </row>
    <row r="20794" spans="1:9" ht="16.5">
      <c r="A20794" s="10" t="b">
        <v>0</v>
      </c>
      <c r="B20794" s="11" t="str">
        <f>IF(D20794&lt;&gt;"",IF(COUNTIF('USPTO TMs'!A:A,D20794)&gt;0,"Yes","No"),"")</f>
        <v/>
      </c>
      <c r="C20794" s="11"/>
      <c r="D20794" s="11"/>
      <c r="E20794" s="11"/>
      <c r="F20794" s="11"/>
      <c r="G20794" s="11"/>
      <c r="H20794" s="11"/>
      <c r="I20794" s="15"/>
    </row>
    <row r="20795" spans="1:9" ht="16.5">
      <c r="A20795" s="10" t="b">
        <v>0</v>
      </c>
      <c r="B20795" s="11" t="str">
        <f>IF(D20795&lt;&gt;"",IF(COUNTIF('USPTO TMs'!A:A,D20795)&gt;0,"Yes","No"),"")</f>
        <v/>
      </c>
      <c r="C20795" s="11"/>
      <c r="D20795" s="11"/>
      <c r="E20795" s="11"/>
      <c r="F20795" s="11"/>
      <c r="G20795" s="11"/>
      <c r="H20795" s="11"/>
      <c r="I20795" s="15"/>
    </row>
    <row r="20796" spans="1:9" ht="16.5">
      <c r="A20796" s="10" t="b">
        <v>0</v>
      </c>
      <c r="B20796" s="11" t="str">
        <f>IF(D20796&lt;&gt;"",IF(COUNTIF('USPTO TMs'!A:A,D20796)&gt;0,"Yes","No"),"")</f>
        <v/>
      </c>
      <c r="C20796" s="11"/>
      <c r="D20796" s="11"/>
      <c r="E20796" s="11"/>
      <c r="F20796" s="11"/>
      <c r="G20796" s="11"/>
      <c r="H20796" s="11"/>
      <c r="I20796" s="15"/>
    </row>
    <row r="20797" spans="1:9" ht="16.5">
      <c r="A20797" s="10" t="b">
        <v>0</v>
      </c>
      <c r="B20797" s="11" t="str">
        <f>IF(D20797&lt;&gt;"",IF(COUNTIF('USPTO TMs'!A:A,D20797)&gt;0,"Yes","No"),"")</f>
        <v/>
      </c>
      <c r="C20797" s="11"/>
      <c r="D20797" s="11"/>
      <c r="E20797" s="11"/>
      <c r="F20797" s="11"/>
      <c r="G20797" s="11"/>
      <c r="H20797" s="11"/>
      <c r="I20797" s="15"/>
    </row>
    <row r="20798" spans="1:9" ht="16.5">
      <c r="A20798" s="10" t="b">
        <v>0</v>
      </c>
      <c r="B20798" s="11" t="str">
        <f>IF(D20798&lt;&gt;"",IF(COUNTIF('USPTO TMs'!A:A,D20798)&gt;0,"Yes","No"),"")</f>
        <v/>
      </c>
      <c r="C20798" s="11"/>
      <c r="D20798" s="11"/>
      <c r="E20798" s="11"/>
      <c r="F20798" s="11"/>
      <c r="G20798" s="11"/>
      <c r="H20798" s="11"/>
      <c r="I20798" s="15"/>
    </row>
    <row r="20799" spans="1:9" ht="16.5">
      <c r="A20799" s="10" t="b">
        <v>0</v>
      </c>
      <c r="B20799" s="11" t="str">
        <f>IF(D20799&lt;&gt;"",IF(COUNTIF('USPTO TMs'!A:A,D20799)&gt;0,"Yes","No"),"")</f>
        <v/>
      </c>
      <c r="C20799" s="11"/>
      <c r="D20799" s="11"/>
      <c r="E20799" s="11"/>
      <c r="F20799" s="11"/>
      <c r="G20799" s="11"/>
      <c r="H20799" s="11"/>
      <c r="I20799" s="15"/>
    </row>
    <row r="20800" spans="1:9" ht="16.5">
      <c r="A20800" s="10" t="b">
        <v>0</v>
      </c>
      <c r="B20800" s="11" t="str">
        <f>IF(D20800&lt;&gt;"",IF(COUNTIF('USPTO TMs'!A:A,D20800)&gt;0,"Yes","No"),"")</f>
        <v/>
      </c>
      <c r="C20800" s="11"/>
      <c r="D20800" s="11"/>
      <c r="E20800" s="11"/>
      <c r="F20800" s="11"/>
      <c r="G20800" s="11"/>
      <c r="H20800" s="11"/>
      <c r="I20800" s="15"/>
    </row>
    <row r="20801" spans="1:9" ht="16.5">
      <c r="A20801" s="10" t="b">
        <v>0</v>
      </c>
      <c r="B20801" s="11" t="str">
        <f>IF(D20801&lt;&gt;"",IF(COUNTIF('USPTO TMs'!A:A,D20801)&gt;0,"Yes","No"),"")</f>
        <v/>
      </c>
      <c r="C20801" s="11"/>
      <c r="D20801" s="11"/>
      <c r="E20801" s="11"/>
      <c r="F20801" s="11"/>
      <c r="G20801" s="11"/>
      <c r="H20801" s="11"/>
      <c r="I20801" s="15"/>
    </row>
    <row r="20802" spans="1:9" ht="16.5">
      <c r="A20802" s="10" t="b">
        <v>0</v>
      </c>
      <c r="B20802" s="11" t="str">
        <f>IF(D20802&lt;&gt;"",IF(COUNTIF('USPTO TMs'!A:A,D20802)&gt;0,"Yes","No"),"")</f>
        <v/>
      </c>
      <c r="C20802" s="11"/>
      <c r="D20802" s="11"/>
      <c r="E20802" s="11"/>
      <c r="F20802" s="11"/>
      <c r="G20802" s="11"/>
      <c r="H20802" s="11"/>
      <c r="I20802" s="15"/>
    </row>
    <row r="20803" spans="1:9" ht="16.5">
      <c r="A20803" s="10" t="b">
        <v>0</v>
      </c>
      <c r="B20803" s="11" t="str">
        <f>IF(D20803&lt;&gt;"",IF(COUNTIF('USPTO TMs'!A:A,D20803)&gt;0,"Yes","No"),"")</f>
        <v/>
      </c>
      <c r="C20803" s="11"/>
      <c r="D20803" s="11"/>
      <c r="E20803" s="11"/>
      <c r="F20803" s="11"/>
      <c r="G20803" s="11"/>
      <c r="H20803" s="11"/>
      <c r="I20803" s="15"/>
    </row>
    <row r="20804" spans="1:9" ht="16.5">
      <c r="A20804" s="10" t="b">
        <v>0</v>
      </c>
      <c r="B20804" s="11" t="str">
        <f>IF(D20804&lt;&gt;"",IF(COUNTIF('USPTO TMs'!A:A,D20804)&gt;0,"Yes","No"),"")</f>
        <v/>
      </c>
      <c r="C20804" s="11"/>
      <c r="D20804" s="11"/>
      <c r="E20804" s="11"/>
      <c r="F20804" s="11"/>
      <c r="G20804" s="11"/>
      <c r="H20804" s="11"/>
      <c r="I20804" s="15"/>
    </row>
    <row r="20805" spans="1:9" ht="16.5">
      <c r="A20805" s="10" t="b">
        <v>0</v>
      </c>
      <c r="B20805" s="11" t="str">
        <f>IF(D20805&lt;&gt;"",IF(COUNTIF('USPTO TMs'!A:A,D20805)&gt;0,"Yes","No"),"")</f>
        <v/>
      </c>
      <c r="C20805" s="11"/>
      <c r="D20805" s="11"/>
      <c r="E20805" s="11"/>
      <c r="F20805" s="11"/>
      <c r="G20805" s="11"/>
      <c r="H20805" s="11"/>
      <c r="I20805" s="15"/>
    </row>
    <row r="20806" spans="1:9" ht="16.5">
      <c r="A20806" s="10" t="b">
        <v>0</v>
      </c>
      <c r="B20806" s="11" t="str">
        <f>IF(D20806&lt;&gt;"",IF(COUNTIF('USPTO TMs'!A:A,D20806)&gt;0,"Yes","No"),"")</f>
        <v/>
      </c>
      <c r="C20806" s="11"/>
      <c r="D20806" s="11"/>
      <c r="E20806" s="11"/>
      <c r="F20806" s="11"/>
      <c r="G20806" s="11"/>
      <c r="H20806" s="11"/>
      <c r="I20806" s="15"/>
    </row>
    <row r="20807" spans="1:9" ht="16.5">
      <c r="A20807" s="10" t="b">
        <v>0</v>
      </c>
      <c r="B20807" s="11" t="str">
        <f>IF(D20807&lt;&gt;"",IF(COUNTIF('USPTO TMs'!A:A,D20807)&gt;0,"Yes","No"),"")</f>
        <v/>
      </c>
      <c r="C20807" s="11"/>
      <c r="D20807" s="11"/>
      <c r="E20807" s="11"/>
      <c r="F20807" s="11"/>
      <c r="G20807" s="11"/>
      <c r="H20807" s="11"/>
      <c r="I20807" s="15"/>
    </row>
    <row r="20808" spans="1:9" ht="16.5">
      <c r="A20808" s="10" t="b">
        <v>0</v>
      </c>
      <c r="B20808" s="11" t="str">
        <f>IF(D20808&lt;&gt;"",IF(COUNTIF('USPTO TMs'!A:A,D20808)&gt;0,"Yes","No"),"")</f>
        <v/>
      </c>
      <c r="C20808" s="11"/>
      <c r="D20808" s="11"/>
      <c r="E20808" s="11"/>
      <c r="F20808" s="11"/>
      <c r="G20808" s="11"/>
      <c r="H20808" s="11"/>
      <c r="I20808" s="15"/>
    </row>
    <row r="20809" spans="1:9" ht="16.5">
      <c r="A20809" s="10" t="b">
        <v>0</v>
      </c>
      <c r="B20809" s="11" t="str">
        <f>IF(D20809&lt;&gt;"",IF(COUNTIF('USPTO TMs'!A:A,D20809)&gt;0,"Yes","No"),"")</f>
        <v/>
      </c>
      <c r="C20809" s="11"/>
      <c r="D20809" s="11"/>
      <c r="E20809" s="11"/>
      <c r="F20809" s="11"/>
      <c r="G20809" s="11"/>
      <c r="H20809" s="11"/>
      <c r="I20809" s="15"/>
    </row>
    <row r="20810" spans="1:9" ht="16.5">
      <c r="A20810" s="10" t="b">
        <v>0</v>
      </c>
      <c r="B20810" s="11" t="str">
        <f>IF(D20810&lt;&gt;"",IF(COUNTIF('USPTO TMs'!A:A,D20810)&gt;0,"Yes","No"),"")</f>
        <v/>
      </c>
      <c r="C20810" s="11"/>
      <c r="D20810" s="11"/>
      <c r="E20810" s="11"/>
      <c r="F20810" s="11"/>
      <c r="G20810" s="11"/>
      <c r="H20810" s="11"/>
      <c r="I20810" s="15"/>
    </row>
    <row r="20811" spans="1:9" ht="16.5">
      <c r="A20811" s="10" t="b">
        <v>0</v>
      </c>
      <c r="B20811" s="11" t="str">
        <f>IF(D20811&lt;&gt;"",IF(COUNTIF('USPTO TMs'!A:A,D20811)&gt;0,"Yes","No"),"")</f>
        <v/>
      </c>
      <c r="C20811" s="11"/>
      <c r="D20811" s="11"/>
      <c r="E20811" s="11"/>
      <c r="F20811" s="11"/>
      <c r="G20811" s="11"/>
      <c r="H20811" s="11"/>
      <c r="I20811" s="15"/>
    </row>
    <row r="20812" spans="1:9" ht="16.5">
      <c r="A20812" s="10" t="b">
        <v>0</v>
      </c>
      <c r="B20812" s="11" t="str">
        <f>IF(D20812&lt;&gt;"",IF(COUNTIF('USPTO TMs'!A:A,D20812)&gt;0,"Yes","No"),"")</f>
        <v/>
      </c>
      <c r="C20812" s="11"/>
      <c r="D20812" s="11"/>
      <c r="E20812" s="11"/>
      <c r="F20812" s="11"/>
      <c r="G20812" s="11"/>
      <c r="H20812" s="11"/>
      <c r="I20812" s="15"/>
    </row>
    <row r="20813" spans="1:9" ht="16.5">
      <c r="A20813" s="10" t="b">
        <v>0</v>
      </c>
      <c r="B20813" s="11" t="str">
        <f>IF(D20813&lt;&gt;"",IF(COUNTIF('USPTO TMs'!A:A,D20813)&gt;0,"Yes","No"),"")</f>
        <v/>
      </c>
      <c r="C20813" s="11"/>
      <c r="D20813" s="11"/>
      <c r="E20813" s="11"/>
      <c r="F20813" s="11"/>
      <c r="G20813" s="11"/>
      <c r="H20813" s="11"/>
      <c r="I20813" s="15"/>
    </row>
    <row r="20814" spans="1:9" ht="16.5">
      <c r="A20814" s="10" t="b">
        <v>0</v>
      </c>
      <c r="B20814" s="11" t="str">
        <f>IF(D20814&lt;&gt;"",IF(COUNTIF('USPTO TMs'!A:A,D20814)&gt;0,"Yes","No"),"")</f>
        <v/>
      </c>
      <c r="C20814" s="11"/>
      <c r="D20814" s="11"/>
      <c r="E20814" s="11"/>
      <c r="F20814" s="11"/>
      <c r="G20814" s="11"/>
      <c r="H20814" s="11"/>
      <c r="I20814" s="15"/>
    </row>
    <row r="20815" spans="1:9" ht="16.5">
      <c r="A20815" s="10" t="b">
        <v>0</v>
      </c>
      <c r="B20815" s="11" t="str">
        <f>IF(D20815&lt;&gt;"",IF(COUNTIF('USPTO TMs'!A:A,D20815)&gt;0,"Yes","No"),"")</f>
        <v/>
      </c>
      <c r="C20815" s="11"/>
      <c r="D20815" s="11"/>
      <c r="E20815" s="11"/>
      <c r="F20815" s="11"/>
      <c r="G20815" s="11"/>
      <c r="H20815" s="11"/>
      <c r="I20815" s="15"/>
    </row>
    <row r="20816" spans="1:9" ht="16.5">
      <c r="A20816" s="10" t="b">
        <v>0</v>
      </c>
      <c r="B20816" s="11" t="str">
        <f>IF(D20816&lt;&gt;"",IF(COUNTIF('USPTO TMs'!A:A,D20816)&gt;0,"Yes","No"),"")</f>
        <v/>
      </c>
      <c r="C20816" s="11"/>
      <c r="D20816" s="11"/>
      <c r="E20816" s="11"/>
      <c r="F20816" s="11"/>
      <c r="G20816" s="11"/>
      <c r="H20816" s="11"/>
      <c r="I20816" s="15"/>
    </row>
    <row r="20817" spans="1:9" ht="16.5">
      <c r="A20817" s="10" t="b">
        <v>0</v>
      </c>
      <c r="B20817" s="11" t="str">
        <f>IF(D20817&lt;&gt;"",IF(COUNTIF('USPTO TMs'!A:A,D20817)&gt;0,"Yes","No"),"")</f>
        <v/>
      </c>
      <c r="C20817" s="11"/>
      <c r="D20817" s="11"/>
      <c r="E20817" s="11"/>
      <c r="F20817" s="11"/>
      <c r="G20817" s="11"/>
      <c r="H20817" s="11"/>
      <c r="I20817" s="15"/>
    </row>
    <row r="20818" spans="1:9" ht="16.5">
      <c r="A20818" s="10" t="b">
        <v>0</v>
      </c>
      <c r="B20818" s="11" t="str">
        <f>IF(D20818&lt;&gt;"",IF(COUNTIF('USPTO TMs'!A:A,D20818)&gt;0,"Yes","No"),"")</f>
        <v/>
      </c>
      <c r="C20818" s="11"/>
      <c r="D20818" s="11"/>
      <c r="E20818" s="11"/>
      <c r="F20818" s="11"/>
      <c r="G20818" s="11"/>
      <c r="H20818" s="11"/>
      <c r="I20818" s="15"/>
    </row>
    <row r="20819" spans="1:9" ht="16.5">
      <c r="A20819" s="10" t="b">
        <v>0</v>
      </c>
      <c r="B20819" s="11" t="str">
        <f>IF(D20819&lt;&gt;"",IF(COUNTIF('USPTO TMs'!A:A,D20819)&gt;0,"Yes","No"),"")</f>
        <v/>
      </c>
      <c r="C20819" s="11"/>
      <c r="D20819" s="11"/>
      <c r="E20819" s="11"/>
      <c r="F20819" s="11"/>
      <c r="G20819" s="11"/>
      <c r="H20819" s="11"/>
      <c r="I20819" s="15"/>
    </row>
    <row r="20820" spans="1:9" ht="16.5">
      <c r="A20820" s="10" t="b">
        <v>0</v>
      </c>
      <c r="B20820" s="11" t="str">
        <f>IF(D20820&lt;&gt;"",IF(COUNTIF('USPTO TMs'!A:A,D20820)&gt;0,"Yes","No"),"")</f>
        <v/>
      </c>
      <c r="C20820" s="11"/>
      <c r="D20820" s="11"/>
      <c r="E20820" s="11"/>
      <c r="F20820" s="11"/>
      <c r="G20820" s="11"/>
      <c r="H20820" s="11"/>
      <c r="I20820" s="15"/>
    </row>
    <row r="20821" spans="1:9" ht="16.5">
      <c r="A20821" s="10" t="b">
        <v>0</v>
      </c>
      <c r="B20821" s="11" t="str">
        <f>IF(D20821&lt;&gt;"",IF(COUNTIF('USPTO TMs'!A:A,D20821)&gt;0,"Yes","No"),"")</f>
        <v/>
      </c>
      <c r="C20821" s="11"/>
      <c r="D20821" s="11"/>
      <c r="E20821" s="11"/>
      <c r="F20821" s="11"/>
      <c r="G20821" s="11"/>
      <c r="H20821" s="11"/>
      <c r="I20821" s="15"/>
    </row>
    <row r="20822" spans="1:9" ht="16.5">
      <c r="A20822" s="10" t="b">
        <v>0</v>
      </c>
      <c r="B20822" s="11" t="str">
        <f>IF(D20822&lt;&gt;"",IF(COUNTIF('USPTO TMs'!A:A,D20822)&gt;0,"Yes","No"),"")</f>
        <v/>
      </c>
      <c r="C20822" s="11"/>
      <c r="D20822" s="11"/>
      <c r="E20822" s="11"/>
      <c r="F20822" s="11"/>
      <c r="G20822" s="11"/>
      <c r="H20822" s="11"/>
      <c r="I20822" s="15"/>
    </row>
    <row r="20823" spans="1:9" ht="16.5">
      <c r="A20823" s="10" t="b">
        <v>0</v>
      </c>
      <c r="B20823" s="11" t="str">
        <f>IF(D20823&lt;&gt;"",IF(COUNTIF('USPTO TMs'!A:A,D20823)&gt;0,"Yes","No"),"")</f>
        <v/>
      </c>
      <c r="C20823" s="11"/>
      <c r="D20823" s="11"/>
      <c r="E20823" s="11"/>
      <c r="F20823" s="11"/>
      <c r="G20823" s="11"/>
      <c r="H20823" s="11"/>
      <c r="I20823" s="15"/>
    </row>
    <row r="20824" spans="1:9" ht="16.5">
      <c r="A20824" s="10" t="b">
        <v>0</v>
      </c>
      <c r="B20824" s="11" t="str">
        <f>IF(D20824&lt;&gt;"",IF(COUNTIF('USPTO TMs'!A:A,D20824)&gt;0,"Yes","No"),"")</f>
        <v/>
      </c>
      <c r="C20824" s="11"/>
      <c r="D20824" s="11"/>
      <c r="E20824" s="11"/>
      <c r="F20824" s="11"/>
      <c r="G20824" s="11"/>
      <c r="H20824" s="11"/>
      <c r="I20824" s="15"/>
    </row>
    <row r="20825" spans="1:9" ht="16.5">
      <c r="A20825" s="10" t="b">
        <v>0</v>
      </c>
      <c r="B20825" s="11" t="str">
        <f>IF(D20825&lt;&gt;"",IF(COUNTIF('USPTO TMs'!A:A,D20825)&gt;0,"Yes","No"),"")</f>
        <v/>
      </c>
      <c r="C20825" s="11"/>
      <c r="D20825" s="11"/>
      <c r="E20825" s="11"/>
      <c r="F20825" s="11"/>
      <c r="G20825" s="11"/>
      <c r="H20825" s="11"/>
      <c r="I20825" s="15"/>
    </row>
    <row r="20826" spans="1:9" ht="16.5">
      <c r="A20826" s="10" t="b">
        <v>0</v>
      </c>
      <c r="B20826" s="11" t="str">
        <f>IF(D20826&lt;&gt;"",IF(COUNTIF('USPTO TMs'!A:A,D20826)&gt;0,"Yes","No"),"")</f>
        <v/>
      </c>
      <c r="C20826" s="11"/>
      <c r="D20826" s="11"/>
      <c r="E20826" s="11"/>
      <c r="F20826" s="11"/>
      <c r="G20826" s="11"/>
      <c r="H20826" s="11"/>
      <c r="I20826" s="15"/>
    </row>
    <row r="20827" spans="1:9" ht="16.5">
      <c r="A20827" s="10" t="b">
        <v>0</v>
      </c>
      <c r="B20827" s="11" t="str">
        <f>IF(D20827&lt;&gt;"",IF(COUNTIF('USPTO TMs'!A:A,D20827)&gt;0,"Yes","No"),"")</f>
        <v/>
      </c>
      <c r="C20827" s="11"/>
      <c r="D20827" s="11"/>
      <c r="E20827" s="11"/>
      <c r="F20827" s="11"/>
      <c r="G20827" s="11"/>
      <c r="H20827" s="11"/>
      <c r="I20827" s="15"/>
    </row>
    <row r="20828" spans="1:9" ht="16.5">
      <c r="A20828" s="10" t="b">
        <v>0</v>
      </c>
      <c r="B20828" s="11" t="str">
        <f>IF(D20828&lt;&gt;"",IF(COUNTIF('USPTO TMs'!A:A,D20828)&gt;0,"Yes","No"),"")</f>
        <v/>
      </c>
      <c r="C20828" s="11"/>
      <c r="D20828" s="11"/>
      <c r="E20828" s="11"/>
      <c r="F20828" s="11"/>
      <c r="G20828" s="11"/>
      <c r="H20828" s="11"/>
      <c r="I20828" s="15"/>
    </row>
    <row r="20829" spans="1:9" ht="16.5">
      <c r="A20829" s="10" t="b">
        <v>0</v>
      </c>
      <c r="B20829" s="11" t="str">
        <f>IF(D20829&lt;&gt;"",IF(COUNTIF('USPTO TMs'!A:A,D20829)&gt;0,"Yes","No"),"")</f>
        <v/>
      </c>
      <c r="C20829" s="11"/>
      <c r="D20829" s="11"/>
      <c r="E20829" s="11"/>
      <c r="F20829" s="11"/>
      <c r="G20829" s="11"/>
      <c r="H20829" s="11"/>
      <c r="I20829" s="15"/>
    </row>
    <row r="20830" spans="1:9" ht="16.5">
      <c r="A20830" s="10" t="b">
        <v>0</v>
      </c>
      <c r="B20830" s="11" t="str">
        <f>IF(D20830&lt;&gt;"",IF(COUNTIF('USPTO TMs'!A:A,D20830)&gt;0,"Yes","No"),"")</f>
        <v/>
      </c>
      <c r="C20830" s="11"/>
      <c r="D20830" s="11"/>
      <c r="E20830" s="11"/>
      <c r="F20830" s="11"/>
      <c r="G20830" s="11"/>
      <c r="H20830" s="11"/>
      <c r="I20830" s="15"/>
    </row>
    <row r="20831" spans="1:9" ht="16.5">
      <c r="A20831" s="10" t="b">
        <v>0</v>
      </c>
      <c r="B20831" s="11" t="str">
        <f>IF(D20831&lt;&gt;"",IF(COUNTIF('USPTO TMs'!A:A,D20831)&gt;0,"Yes","No"),"")</f>
        <v/>
      </c>
      <c r="C20831" s="11"/>
      <c r="D20831" s="11"/>
      <c r="E20831" s="11"/>
      <c r="F20831" s="11"/>
      <c r="G20831" s="11"/>
      <c r="H20831" s="11"/>
      <c r="I20831" s="15"/>
    </row>
    <row r="20832" spans="1:9" ht="16.5">
      <c r="A20832" s="10" t="b">
        <v>0</v>
      </c>
      <c r="B20832" s="11" t="str">
        <f>IF(D20832&lt;&gt;"",IF(COUNTIF('USPTO TMs'!A:A,D20832)&gt;0,"Yes","No"),"")</f>
        <v/>
      </c>
      <c r="C20832" s="11"/>
      <c r="D20832" s="11"/>
      <c r="E20832" s="11"/>
      <c r="F20832" s="11"/>
      <c r="G20832" s="11"/>
      <c r="H20832" s="11"/>
      <c r="I20832" s="15"/>
    </row>
    <row r="20833" spans="1:9" ht="16.5">
      <c r="A20833" s="10" t="b">
        <v>0</v>
      </c>
      <c r="B20833" s="11" t="str">
        <f>IF(D20833&lt;&gt;"",IF(COUNTIF('USPTO TMs'!A:A,D20833)&gt;0,"Yes","No"),"")</f>
        <v/>
      </c>
      <c r="C20833" s="11"/>
      <c r="D20833" s="11"/>
      <c r="E20833" s="11"/>
      <c r="F20833" s="11"/>
      <c r="G20833" s="11"/>
      <c r="H20833" s="11"/>
      <c r="I20833" s="15"/>
    </row>
    <row r="20834" spans="1:9" ht="16.5">
      <c r="A20834" s="10" t="b">
        <v>0</v>
      </c>
      <c r="B20834" s="11" t="str">
        <f>IF(D20834&lt;&gt;"",IF(COUNTIF('USPTO TMs'!A:A,D20834)&gt;0,"Yes","No"),"")</f>
        <v/>
      </c>
      <c r="C20834" s="11"/>
      <c r="D20834" s="11"/>
      <c r="E20834" s="11"/>
      <c r="F20834" s="11"/>
      <c r="G20834" s="11"/>
      <c r="H20834" s="11"/>
      <c r="I20834" s="15"/>
    </row>
    <row r="20835" spans="1:9" ht="16.5">
      <c r="A20835" s="10" t="b">
        <v>0</v>
      </c>
      <c r="B20835" s="11" t="str">
        <f>IF(D20835&lt;&gt;"",IF(COUNTIF('USPTO TMs'!A:A,D20835)&gt;0,"Yes","No"),"")</f>
        <v/>
      </c>
      <c r="C20835" s="11"/>
      <c r="D20835" s="11"/>
      <c r="E20835" s="11"/>
      <c r="F20835" s="11"/>
      <c r="G20835" s="11"/>
      <c r="H20835" s="11"/>
      <c r="I20835" s="15"/>
    </row>
    <row r="20836" spans="1:9" ht="16.5">
      <c r="A20836" s="10" t="b">
        <v>0</v>
      </c>
      <c r="B20836" s="11" t="str">
        <f>IF(D20836&lt;&gt;"",IF(COUNTIF('USPTO TMs'!A:A,D20836)&gt;0,"Yes","No"),"")</f>
        <v/>
      </c>
      <c r="C20836" s="11"/>
      <c r="D20836" s="11"/>
      <c r="E20836" s="11"/>
      <c r="F20836" s="11"/>
      <c r="G20836" s="11"/>
      <c r="H20836" s="11"/>
      <c r="I20836" s="15"/>
    </row>
    <row r="20837" spans="1:9" ht="16.5">
      <c r="A20837" s="10" t="b">
        <v>0</v>
      </c>
      <c r="B20837" s="11" t="str">
        <f>IF(D20837&lt;&gt;"",IF(COUNTIF('USPTO TMs'!A:A,D20837)&gt;0,"Yes","No"),"")</f>
        <v/>
      </c>
      <c r="C20837" s="11"/>
      <c r="D20837" s="11"/>
      <c r="E20837" s="11"/>
      <c r="F20837" s="11"/>
      <c r="G20837" s="11"/>
      <c r="H20837" s="11"/>
      <c r="I20837" s="15"/>
    </row>
    <row r="20838" spans="1:9" ht="16.5">
      <c r="A20838" s="10" t="b">
        <v>0</v>
      </c>
      <c r="B20838" s="11" t="str">
        <f>IF(D20838&lt;&gt;"",IF(COUNTIF('USPTO TMs'!A:A,D20838)&gt;0,"Yes","No"),"")</f>
        <v/>
      </c>
      <c r="C20838" s="11"/>
      <c r="D20838" s="11"/>
      <c r="E20838" s="11"/>
      <c r="F20838" s="11"/>
      <c r="G20838" s="11"/>
      <c r="H20838" s="11"/>
      <c r="I20838" s="15"/>
    </row>
    <row r="20839" spans="1:9" ht="16.5">
      <c r="A20839" s="10" t="b">
        <v>0</v>
      </c>
      <c r="B20839" s="11" t="str">
        <f>IF(D20839&lt;&gt;"",IF(COUNTIF('USPTO TMs'!A:A,D20839)&gt;0,"Yes","No"),"")</f>
        <v/>
      </c>
      <c r="C20839" s="11"/>
      <c r="D20839" s="11"/>
      <c r="E20839" s="11"/>
      <c r="F20839" s="11"/>
      <c r="G20839" s="11"/>
      <c r="H20839" s="11"/>
      <c r="I20839" s="15"/>
    </row>
    <row r="20840" spans="1:9" ht="16.5">
      <c r="A20840" s="10" t="b">
        <v>0</v>
      </c>
      <c r="B20840" s="11" t="str">
        <f>IF(D20840&lt;&gt;"",IF(COUNTIF('USPTO TMs'!A:A,D20840)&gt;0,"Yes","No"),"")</f>
        <v/>
      </c>
      <c r="C20840" s="11"/>
      <c r="D20840" s="11"/>
      <c r="E20840" s="11"/>
      <c r="F20840" s="11"/>
      <c r="G20840" s="11"/>
      <c r="H20840" s="11"/>
      <c r="I20840" s="15"/>
    </row>
    <row r="20841" spans="1:9" ht="16.5">
      <c r="A20841" s="10" t="b">
        <v>0</v>
      </c>
      <c r="B20841" s="11" t="str">
        <f>IF(D20841&lt;&gt;"",IF(COUNTIF('USPTO TMs'!A:A,D20841)&gt;0,"Yes","No"),"")</f>
        <v/>
      </c>
      <c r="C20841" s="11"/>
      <c r="D20841" s="11"/>
      <c r="E20841" s="11"/>
      <c r="F20841" s="11"/>
      <c r="G20841" s="11"/>
      <c r="H20841" s="11"/>
      <c r="I20841" s="15"/>
    </row>
    <row r="20842" spans="1:9" ht="16.5">
      <c r="A20842" s="10" t="b">
        <v>0</v>
      </c>
      <c r="B20842" s="11" t="str">
        <f>IF(D20842&lt;&gt;"",IF(COUNTIF('USPTO TMs'!A:A,D20842)&gt;0,"Yes","No"),"")</f>
        <v/>
      </c>
      <c r="C20842" s="11"/>
      <c r="D20842" s="11"/>
      <c r="E20842" s="11"/>
      <c r="F20842" s="11"/>
      <c r="G20842" s="11"/>
      <c r="H20842" s="11"/>
      <c r="I20842" s="15"/>
    </row>
    <row r="20843" spans="1:9" ht="16.5">
      <c r="A20843" s="10" t="b">
        <v>0</v>
      </c>
      <c r="B20843" s="11" t="str">
        <f>IF(D20843&lt;&gt;"",IF(COUNTIF('USPTO TMs'!A:A,D20843)&gt;0,"Yes","No"),"")</f>
        <v/>
      </c>
      <c r="C20843" s="11"/>
      <c r="D20843" s="11"/>
      <c r="E20843" s="11"/>
      <c r="F20843" s="11"/>
      <c r="G20843" s="11"/>
      <c r="H20843" s="11"/>
      <c r="I20843" s="15"/>
    </row>
    <row r="20844" spans="1:9" ht="16.5">
      <c r="A20844" s="10" t="b">
        <v>0</v>
      </c>
      <c r="B20844" s="11" t="str">
        <f>IF(D20844&lt;&gt;"",IF(COUNTIF('USPTO TMs'!A:A,D20844)&gt;0,"Yes","No"),"")</f>
        <v/>
      </c>
      <c r="C20844" s="11"/>
      <c r="D20844" s="11"/>
      <c r="E20844" s="11"/>
      <c r="F20844" s="11"/>
      <c r="G20844" s="11"/>
      <c r="H20844" s="11"/>
      <c r="I20844" s="15"/>
    </row>
    <row r="20845" spans="1:9" ht="16.5">
      <c r="A20845" s="10" t="b">
        <v>0</v>
      </c>
      <c r="B20845" s="11" t="str">
        <f>IF(D20845&lt;&gt;"",IF(COUNTIF('USPTO TMs'!A:A,D20845)&gt;0,"Yes","No"),"")</f>
        <v/>
      </c>
      <c r="C20845" s="11"/>
      <c r="D20845" s="11"/>
      <c r="E20845" s="11"/>
      <c r="F20845" s="11"/>
      <c r="G20845" s="11"/>
      <c r="H20845" s="11"/>
      <c r="I20845" s="15"/>
    </row>
    <row r="20846" spans="1:9" ht="16.5">
      <c r="A20846" s="10" t="b">
        <v>0</v>
      </c>
      <c r="B20846" s="11" t="str">
        <f>IF(D20846&lt;&gt;"",IF(COUNTIF('USPTO TMs'!A:A,D20846)&gt;0,"Yes","No"),"")</f>
        <v/>
      </c>
      <c r="C20846" s="11"/>
      <c r="D20846" s="11"/>
      <c r="E20846" s="11"/>
      <c r="F20846" s="11"/>
      <c r="G20846" s="11"/>
      <c r="H20846" s="11"/>
      <c r="I20846" s="15"/>
    </row>
    <row r="20847" spans="1:9" ht="16.5">
      <c r="A20847" s="10" t="b">
        <v>0</v>
      </c>
      <c r="B20847" s="11" t="str">
        <f>IF(D20847&lt;&gt;"",IF(COUNTIF('USPTO TMs'!A:A,D20847)&gt;0,"Yes","No"),"")</f>
        <v/>
      </c>
      <c r="C20847" s="11"/>
      <c r="D20847" s="11"/>
      <c r="E20847" s="11"/>
      <c r="F20847" s="11"/>
      <c r="G20847" s="11"/>
      <c r="H20847" s="11"/>
      <c r="I20847" s="15"/>
    </row>
    <row r="20848" spans="1:9" ht="16.5">
      <c r="A20848" s="10" t="b">
        <v>0</v>
      </c>
      <c r="B20848" s="11" t="str">
        <f>IF(D20848&lt;&gt;"",IF(COUNTIF('USPTO TMs'!A:A,D20848)&gt;0,"Yes","No"),"")</f>
        <v/>
      </c>
      <c r="C20848" s="11"/>
      <c r="D20848" s="11"/>
      <c r="E20848" s="11"/>
      <c r="F20848" s="11"/>
      <c r="G20848" s="11"/>
      <c r="H20848" s="11"/>
      <c r="I20848" s="15"/>
    </row>
    <row r="20849" spans="1:9" ht="16.5">
      <c r="A20849" s="10" t="b">
        <v>0</v>
      </c>
      <c r="B20849" s="11" t="str">
        <f>IF(D20849&lt;&gt;"",IF(COUNTIF('USPTO TMs'!A:A,D20849)&gt;0,"Yes","No"),"")</f>
        <v/>
      </c>
      <c r="C20849" s="11"/>
      <c r="D20849" s="11"/>
      <c r="E20849" s="11"/>
      <c r="F20849" s="11"/>
      <c r="G20849" s="11"/>
      <c r="H20849" s="11"/>
      <c r="I20849" s="15"/>
    </row>
    <row r="20850" spans="1:9" ht="16.5">
      <c r="A20850" s="10" t="b">
        <v>0</v>
      </c>
      <c r="B20850" s="11" t="str">
        <f>IF(D20850&lt;&gt;"",IF(COUNTIF('USPTO TMs'!A:A,D20850)&gt;0,"Yes","No"),"")</f>
        <v/>
      </c>
      <c r="C20850" s="11"/>
      <c r="D20850" s="11"/>
      <c r="E20850" s="11"/>
      <c r="F20850" s="11"/>
      <c r="G20850" s="11"/>
      <c r="H20850" s="11"/>
      <c r="I20850" s="15"/>
    </row>
    <row r="20851" spans="1:9" ht="16.5">
      <c r="A20851" s="10" t="b">
        <v>0</v>
      </c>
      <c r="B20851" s="11" t="str">
        <f>IF(D20851&lt;&gt;"",IF(COUNTIF('USPTO TMs'!A:A,D20851)&gt;0,"Yes","No"),"")</f>
        <v/>
      </c>
      <c r="C20851" s="11"/>
      <c r="D20851" s="11"/>
      <c r="E20851" s="11"/>
      <c r="F20851" s="11"/>
      <c r="G20851" s="11"/>
      <c r="H20851" s="11"/>
      <c r="I20851" s="15"/>
    </row>
    <row r="20852" spans="1:9" ht="16.5">
      <c r="A20852" s="10" t="b">
        <v>0</v>
      </c>
      <c r="B20852" s="11" t="str">
        <f>IF(D20852&lt;&gt;"",IF(COUNTIF('USPTO TMs'!A:A,D20852)&gt;0,"Yes","No"),"")</f>
        <v/>
      </c>
      <c r="C20852" s="11"/>
      <c r="D20852" s="11"/>
      <c r="E20852" s="11"/>
      <c r="F20852" s="11"/>
      <c r="G20852" s="11"/>
      <c r="H20852" s="11"/>
      <c r="I20852" s="15"/>
    </row>
    <row r="20853" spans="1:9" ht="16.5">
      <c r="A20853" s="10" t="b">
        <v>0</v>
      </c>
      <c r="B20853" s="11" t="str">
        <f>IF(D20853&lt;&gt;"",IF(COUNTIF('USPTO TMs'!A:A,D20853)&gt;0,"Yes","No"),"")</f>
        <v/>
      </c>
      <c r="C20853" s="11"/>
      <c r="D20853" s="11"/>
      <c r="E20853" s="11"/>
      <c r="F20853" s="11"/>
      <c r="G20853" s="11"/>
      <c r="H20853" s="11"/>
      <c r="I20853" s="15"/>
    </row>
    <row r="20854" spans="1:9" ht="16.5">
      <c r="A20854" s="10" t="b">
        <v>0</v>
      </c>
      <c r="B20854" s="11" t="str">
        <f>IF(D20854&lt;&gt;"",IF(COUNTIF('USPTO TMs'!A:A,D20854)&gt;0,"Yes","No"),"")</f>
        <v/>
      </c>
      <c r="C20854" s="11"/>
      <c r="D20854" s="11"/>
      <c r="E20854" s="11"/>
      <c r="F20854" s="11"/>
      <c r="G20854" s="11"/>
      <c r="H20854" s="11"/>
      <c r="I20854" s="15"/>
    </row>
    <row r="20855" spans="1:9" ht="16.5">
      <c r="A20855" s="10" t="b">
        <v>0</v>
      </c>
      <c r="B20855" s="11" t="str">
        <f>IF(D20855&lt;&gt;"",IF(COUNTIF('USPTO TMs'!A:A,D20855)&gt;0,"Yes","No"),"")</f>
        <v/>
      </c>
      <c r="C20855" s="11"/>
      <c r="D20855" s="11"/>
      <c r="E20855" s="11"/>
      <c r="F20855" s="11"/>
      <c r="G20855" s="11"/>
      <c r="H20855" s="11"/>
      <c r="I20855" s="15"/>
    </row>
    <row r="20856" spans="1:9" ht="16.5">
      <c r="A20856" s="10" t="b">
        <v>0</v>
      </c>
      <c r="B20856" s="11" t="str">
        <f>IF(D20856&lt;&gt;"",IF(COUNTIF('USPTO TMs'!A:A,D20856)&gt;0,"Yes","No"),"")</f>
        <v/>
      </c>
      <c r="C20856" s="11"/>
      <c r="D20856" s="11"/>
      <c r="E20856" s="11"/>
      <c r="F20856" s="11"/>
      <c r="G20856" s="11"/>
      <c r="H20856" s="11"/>
      <c r="I20856" s="15"/>
    </row>
    <row r="20857" spans="1:9" ht="16.5">
      <c r="A20857" s="10" t="b">
        <v>0</v>
      </c>
      <c r="B20857" s="11" t="str">
        <f>IF(D20857&lt;&gt;"",IF(COUNTIF('USPTO TMs'!A:A,D20857)&gt;0,"Yes","No"),"")</f>
        <v/>
      </c>
      <c r="C20857" s="11"/>
      <c r="D20857" s="11"/>
      <c r="E20857" s="11"/>
      <c r="F20857" s="11"/>
      <c r="G20857" s="11"/>
      <c r="H20857" s="11"/>
      <c r="I20857" s="15"/>
    </row>
    <row r="20858" spans="1:9" ht="16.5">
      <c r="A20858" s="10" t="b">
        <v>0</v>
      </c>
      <c r="B20858" s="11" t="str">
        <f>IF(D20858&lt;&gt;"",IF(COUNTIF('USPTO TMs'!A:A,D20858)&gt;0,"Yes","No"),"")</f>
        <v/>
      </c>
      <c r="C20858" s="11"/>
      <c r="D20858" s="11"/>
      <c r="E20858" s="11"/>
      <c r="F20858" s="11"/>
      <c r="G20858" s="11"/>
      <c r="H20858" s="11"/>
      <c r="I20858" s="15"/>
    </row>
    <row r="20859" spans="1:9" ht="16.5">
      <c r="A20859" s="10" t="b">
        <v>0</v>
      </c>
      <c r="B20859" s="11" t="str">
        <f>IF(D20859&lt;&gt;"",IF(COUNTIF('USPTO TMs'!A:A,D20859)&gt;0,"Yes","No"),"")</f>
        <v/>
      </c>
      <c r="C20859" s="11"/>
      <c r="D20859" s="11"/>
      <c r="E20859" s="11"/>
      <c r="F20859" s="11"/>
      <c r="G20859" s="11"/>
      <c r="H20859" s="11"/>
      <c r="I20859" s="15"/>
    </row>
    <row r="20860" spans="1:9" ht="16.5">
      <c r="A20860" s="10" t="b">
        <v>0</v>
      </c>
      <c r="B20860" s="11" t="str">
        <f>IF(D20860&lt;&gt;"",IF(COUNTIF('USPTO TMs'!A:A,D20860)&gt;0,"Yes","No"),"")</f>
        <v/>
      </c>
      <c r="C20860" s="11"/>
      <c r="D20860" s="11"/>
      <c r="E20860" s="11"/>
      <c r="F20860" s="11"/>
      <c r="G20860" s="11"/>
      <c r="H20860" s="11"/>
      <c r="I20860" s="15"/>
    </row>
    <row r="20861" spans="1:9" ht="16.5">
      <c r="A20861" s="10" t="b">
        <v>0</v>
      </c>
      <c r="B20861" s="11" t="str">
        <f>IF(D20861&lt;&gt;"",IF(COUNTIF('USPTO TMs'!A:A,D20861)&gt;0,"Yes","No"),"")</f>
        <v/>
      </c>
      <c r="C20861" s="11"/>
      <c r="D20861" s="11"/>
      <c r="E20861" s="11"/>
      <c r="F20861" s="11"/>
      <c r="G20861" s="11"/>
      <c r="H20861" s="11"/>
      <c r="I20861" s="15"/>
    </row>
    <row r="20862" spans="1:9" ht="16.5">
      <c r="A20862" s="10" t="b">
        <v>0</v>
      </c>
      <c r="B20862" s="11" t="str">
        <f>IF(D20862&lt;&gt;"",IF(COUNTIF('USPTO TMs'!A:A,D20862)&gt;0,"Yes","No"),"")</f>
        <v/>
      </c>
      <c r="C20862" s="11"/>
      <c r="D20862" s="11"/>
      <c r="E20862" s="11"/>
      <c r="F20862" s="11"/>
      <c r="G20862" s="11"/>
      <c r="H20862" s="11"/>
      <c r="I20862" s="15"/>
    </row>
    <row r="20863" spans="1:9" ht="16.5">
      <c r="A20863" s="10" t="b">
        <v>0</v>
      </c>
      <c r="B20863" s="11" t="str">
        <f>IF(D20863&lt;&gt;"",IF(COUNTIF('USPTO TMs'!A:A,D20863)&gt;0,"Yes","No"),"")</f>
        <v/>
      </c>
      <c r="C20863" s="11"/>
      <c r="D20863" s="11"/>
      <c r="E20863" s="11"/>
      <c r="F20863" s="11"/>
      <c r="G20863" s="11"/>
      <c r="H20863" s="11"/>
      <c r="I20863" s="15"/>
    </row>
    <row r="20864" spans="1:9" ht="16.5">
      <c r="A20864" s="10" t="b">
        <v>0</v>
      </c>
      <c r="B20864" s="11" t="str">
        <f>IF(D20864&lt;&gt;"",IF(COUNTIF('USPTO TMs'!A:A,D20864)&gt;0,"Yes","No"),"")</f>
        <v/>
      </c>
      <c r="C20864" s="11"/>
      <c r="D20864" s="11"/>
      <c r="E20864" s="11"/>
      <c r="F20864" s="11"/>
      <c r="G20864" s="11"/>
      <c r="H20864" s="11"/>
      <c r="I20864" s="15"/>
    </row>
    <row r="20865" spans="1:9" ht="16.5">
      <c r="A20865" s="10" t="b">
        <v>0</v>
      </c>
      <c r="B20865" s="11" t="str">
        <f>IF(D20865&lt;&gt;"",IF(COUNTIF('USPTO TMs'!A:A,D20865)&gt;0,"Yes","No"),"")</f>
        <v/>
      </c>
      <c r="C20865" s="11"/>
      <c r="D20865" s="11"/>
      <c r="E20865" s="11"/>
      <c r="F20865" s="11"/>
      <c r="G20865" s="11"/>
      <c r="H20865" s="11"/>
      <c r="I20865" s="15"/>
    </row>
    <row r="20866" spans="1:9" ht="16.5">
      <c r="A20866" s="10" t="b">
        <v>0</v>
      </c>
      <c r="B20866" s="11" t="str">
        <f>IF(D20866&lt;&gt;"",IF(COUNTIF('USPTO TMs'!A:A,D20866)&gt;0,"Yes","No"),"")</f>
        <v/>
      </c>
      <c r="C20866" s="11"/>
      <c r="D20866" s="11"/>
      <c r="E20866" s="11"/>
      <c r="F20866" s="11"/>
      <c r="G20866" s="11"/>
      <c r="H20866" s="11"/>
      <c r="I20866" s="15"/>
    </row>
    <row r="20867" spans="1:9" ht="16.5">
      <c r="A20867" s="10" t="b">
        <v>0</v>
      </c>
      <c r="B20867" s="11" t="str">
        <f>IF(D20867&lt;&gt;"",IF(COUNTIF('USPTO TMs'!A:A,D20867)&gt;0,"Yes","No"),"")</f>
        <v/>
      </c>
      <c r="C20867" s="11"/>
      <c r="D20867" s="11"/>
      <c r="E20867" s="11"/>
      <c r="F20867" s="11"/>
      <c r="G20867" s="11"/>
      <c r="H20867" s="11"/>
      <c r="I20867" s="15"/>
    </row>
    <row r="20868" spans="1:9" ht="16.5">
      <c r="A20868" s="10" t="b">
        <v>0</v>
      </c>
      <c r="B20868" s="11" t="str">
        <f>IF(D20868&lt;&gt;"",IF(COUNTIF('USPTO TMs'!A:A,D20868)&gt;0,"Yes","No"),"")</f>
        <v/>
      </c>
      <c r="C20868" s="11"/>
      <c r="D20868" s="11"/>
      <c r="E20868" s="11"/>
      <c r="F20868" s="11"/>
      <c r="G20868" s="11"/>
      <c r="H20868" s="11"/>
      <c r="I20868" s="15"/>
    </row>
    <row r="20869" spans="1:9" ht="16.5">
      <c r="A20869" s="10" t="b">
        <v>0</v>
      </c>
      <c r="B20869" s="11" t="str">
        <f>IF(D20869&lt;&gt;"",IF(COUNTIF('USPTO TMs'!A:A,D20869)&gt;0,"Yes","No"),"")</f>
        <v/>
      </c>
      <c r="C20869" s="11"/>
      <c r="D20869" s="11"/>
      <c r="E20869" s="11"/>
      <c r="F20869" s="11"/>
      <c r="G20869" s="11"/>
      <c r="H20869" s="11"/>
      <c r="I20869" s="15"/>
    </row>
    <row r="20870" spans="1:9" ht="16.5">
      <c r="A20870" s="10" t="b">
        <v>0</v>
      </c>
      <c r="B20870" s="11" t="str">
        <f>IF(D20870&lt;&gt;"",IF(COUNTIF('USPTO TMs'!A:A,D20870)&gt;0,"Yes","No"),"")</f>
        <v/>
      </c>
      <c r="C20870" s="11"/>
      <c r="D20870" s="11"/>
      <c r="E20870" s="11"/>
      <c r="F20870" s="11"/>
      <c r="G20870" s="11"/>
      <c r="H20870" s="11"/>
      <c r="I20870" s="15"/>
    </row>
    <row r="20871" spans="1:9" ht="16.5">
      <c r="A20871" s="10" t="b">
        <v>0</v>
      </c>
      <c r="B20871" s="11" t="str">
        <f>IF(D20871&lt;&gt;"",IF(COUNTIF('USPTO TMs'!A:A,D20871)&gt;0,"Yes","No"),"")</f>
        <v/>
      </c>
      <c r="C20871" s="11"/>
      <c r="D20871" s="11"/>
      <c r="E20871" s="11"/>
      <c r="F20871" s="11"/>
      <c r="G20871" s="11"/>
      <c r="H20871" s="11"/>
      <c r="I20871" s="15"/>
    </row>
    <row r="20872" spans="1:9" ht="16.5">
      <c r="A20872" s="10" t="b">
        <v>0</v>
      </c>
      <c r="B20872" s="11" t="str">
        <f>IF(D20872&lt;&gt;"",IF(COUNTIF('USPTO TMs'!A:A,D20872)&gt;0,"Yes","No"),"")</f>
        <v/>
      </c>
      <c r="C20872" s="11"/>
      <c r="D20872" s="11"/>
      <c r="E20872" s="11"/>
      <c r="F20872" s="11"/>
      <c r="G20872" s="11"/>
      <c r="H20872" s="11"/>
      <c r="I20872" s="15"/>
    </row>
    <row r="20873" spans="1:9" ht="16.5">
      <c r="A20873" s="10" t="b">
        <v>0</v>
      </c>
      <c r="B20873" s="11" t="str">
        <f>IF(D20873&lt;&gt;"",IF(COUNTIF('USPTO TMs'!A:A,D20873)&gt;0,"Yes","No"),"")</f>
        <v/>
      </c>
      <c r="C20873" s="11"/>
      <c r="D20873" s="11"/>
      <c r="E20873" s="11"/>
      <c r="F20873" s="11"/>
      <c r="G20873" s="11"/>
      <c r="H20873" s="11"/>
      <c r="I20873" s="15"/>
    </row>
    <row r="20874" spans="1:9" ht="16.5">
      <c r="A20874" s="10" t="b">
        <v>0</v>
      </c>
      <c r="B20874" s="11" t="str">
        <f>IF(D20874&lt;&gt;"",IF(COUNTIF('USPTO TMs'!A:A,D20874)&gt;0,"Yes","No"),"")</f>
        <v/>
      </c>
      <c r="C20874" s="11"/>
      <c r="D20874" s="11"/>
      <c r="E20874" s="11"/>
      <c r="F20874" s="11"/>
      <c r="G20874" s="11"/>
      <c r="H20874" s="11"/>
      <c r="I20874" s="15"/>
    </row>
    <row r="20875" spans="1:9" ht="16.5">
      <c r="A20875" s="10" t="b">
        <v>0</v>
      </c>
      <c r="B20875" s="11" t="str">
        <f>IF(D20875&lt;&gt;"",IF(COUNTIF('USPTO TMs'!A:A,D20875)&gt;0,"Yes","No"),"")</f>
        <v/>
      </c>
      <c r="C20875" s="11"/>
      <c r="D20875" s="11"/>
      <c r="E20875" s="11"/>
      <c r="F20875" s="11"/>
      <c r="G20875" s="11"/>
      <c r="H20875" s="11"/>
      <c r="I20875" s="15"/>
    </row>
    <row r="20876" spans="1:9" ht="16.5">
      <c r="A20876" s="10" t="b">
        <v>0</v>
      </c>
      <c r="B20876" s="11" t="str">
        <f>IF(D20876&lt;&gt;"",IF(COUNTIF('USPTO TMs'!A:A,D20876)&gt;0,"Yes","No"),"")</f>
        <v/>
      </c>
      <c r="C20876" s="11"/>
      <c r="D20876" s="11"/>
      <c r="E20876" s="11"/>
      <c r="F20876" s="11"/>
      <c r="G20876" s="11"/>
      <c r="H20876" s="11"/>
      <c r="I20876" s="15"/>
    </row>
    <row r="20877" spans="1:9" ht="16.5">
      <c r="A20877" s="10" t="b">
        <v>0</v>
      </c>
      <c r="B20877" s="11" t="str">
        <f>IF(D20877&lt;&gt;"",IF(COUNTIF('USPTO TMs'!A:A,D20877)&gt;0,"Yes","No"),"")</f>
        <v/>
      </c>
      <c r="C20877" s="11"/>
      <c r="D20877" s="11"/>
      <c r="E20877" s="11"/>
      <c r="F20877" s="11"/>
      <c r="G20877" s="11"/>
      <c r="H20877" s="11"/>
      <c r="I20877" s="15"/>
    </row>
    <row r="20878" spans="1:9" ht="16.5">
      <c r="A20878" s="10" t="b">
        <v>0</v>
      </c>
      <c r="B20878" s="11" t="str">
        <f>IF(D20878&lt;&gt;"",IF(COUNTIF('USPTO TMs'!A:A,D20878)&gt;0,"Yes","No"),"")</f>
        <v/>
      </c>
      <c r="C20878" s="11"/>
      <c r="D20878" s="11"/>
      <c r="E20878" s="11"/>
      <c r="F20878" s="11"/>
      <c r="G20878" s="11"/>
      <c r="H20878" s="11"/>
      <c r="I20878" s="15"/>
    </row>
    <row r="20879" spans="1:9" ht="16.5">
      <c r="A20879" s="10" t="b">
        <v>0</v>
      </c>
      <c r="B20879" s="11" t="str">
        <f>IF(D20879&lt;&gt;"",IF(COUNTIF('USPTO TMs'!A:A,D20879)&gt;0,"Yes","No"),"")</f>
        <v/>
      </c>
      <c r="C20879" s="11"/>
      <c r="D20879" s="11"/>
      <c r="E20879" s="11"/>
      <c r="F20879" s="11"/>
      <c r="G20879" s="11"/>
      <c r="H20879" s="11"/>
      <c r="I20879" s="15"/>
    </row>
    <row r="20880" spans="1:9" ht="16.5">
      <c r="A20880" s="10" t="b">
        <v>0</v>
      </c>
      <c r="B20880" s="11" t="str">
        <f>IF(D20880&lt;&gt;"",IF(COUNTIF('USPTO TMs'!A:A,D20880)&gt;0,"Yes","No"),"")</f>
        <v/>
      </c>
      <c r="C20880" s="11"/>
      <c r="D20880" s="11"/>
      <c r="E20880" s="11"/>
      <c r="F20880" s="11"/>
      <c r="G20880" s="11"/>
      <c r="H20880" s="11"/>
      <c r="I20880" s="15"/>
    </row>
    <row r="20881" spans="1:9" ht="16.5">
      <c r="A20881" s="10" t="b">
        <v>0</v>
      </c>
      <c r="B20881" s="11" t="str">
        <f>IF(D20881&lt;&gt;"",IF(COUNTIF('USPTO TMs'!A:A,D20881)&gt;0,"Yes","No"),"")</f>
        <v/>
      </c>
      <c r="C20881" s="11"/>
      <c r="D20881" s="11"/>
      <c r="E20881" s="11"/>
      <c r="F20881" s="11"/>
      <c r="G20881" s="11"/>
      <c r="H20881" s="11"/>
      <c r="I20881" s="15"/>
    </row>
    <row r="20882" spans="1:9" ht="16.5">
      <c r="A20882" s="10" t="b">
        <v>0</v>
      </c>
      <c r="B20882" s="11" t="str">
        <f>IF(D20882&lt;&gt;"",IF(COUNTIF('USPTO TMs'!A:A,D20882)&gt;0,"Yes","No"),"")</f>
        <v/>
      </c>
      <c r="C20882" s="11"/>
      <c r="D20882" s="11"/>
      <c r="E20882" s="11"/>
      <c r="F20882" s="11"/>
      <c r="G20882" s="11"/>
      <c r="H20882" s="11"/>
      <c r="I20882" s="15"/>
    </row>
    <row r="20883" spans="1:9" ht="16.5">
      <c r="A20883" s="10" t="b">
        <v>0</v>
      </c>
      <c r="B20883" s="11" t="str">
        <f>IF(D20883&lt;&gt;"",IF(COUNTIF('USPTO TMs'!A:A,D20883)&gt;0,"Yes","No"),"")</f>
        <v/>
      </c>
      <c r="C20883" s="11"/>
      <c r="D20883" s="11"/>
      <c r="E20883" s="11"/>
      <c r="F20883" s="11"/>
      <c r="G20883" s="11"/>
      <c r="H20883" s="11"/>
      <c r="I20883" s="15"/>
    </row>
    <row r="20884" spans="1:9" ht="16.5">
      <c r="A20884" s="10" t="b">
        <v>0</v>
      </c>
      <c r="B20884" s="11" t="str">
        <f>IF(D20884&lt;&gt;"",IF(COUNTIF('USPTO TMs'!A:A,D20884)&gt;0,"Yes","No"),"")</f>
        <v/>
      </c>
      <c r="C20884" s="11"/>
      <c r="D20884" s="11"/>
      <c r="E20884" s="11"/>
      <c r="F20884" s="11"/>
      <c r="G20884" s="11"/>
      <c r="H20884" s="11"/>
      <c r="I20884" s="15"/>
    </row>
    <row r="20885" spans="1:9" ht="16.5">
      <c r="A20885" s="10" t="b">
        <v>0</v>
      </c>
      <c r="B20885" s="11" t="str">
        <f>IF(D20885&lt;&gt;"",IF(COUNTIF('USPTO TMs'!A:A,D20885)&gt;0,"Yes","No"),"")</f>
        <v/>
      </c>
      <c r="C20885" s="11"/>
      <c r="D20885" s="11"/>
      <c r="E20885" s="11"/>
      <c r="F20885" s="11"/>
      <c r="G20885" s="11"/>
      <c r="H20885" s="11"/>
      <c r="I20885" s="15"/>
    </row>
    <row r="20886" spans="1:9" ht="16.5">
      <c r="A20886" s="10" t="b">
        <v>0</v>
      </c>
      <c r="B20886" s="11" t="str">
        <f>IF(D20886&lt;&gt;"",IF(COUNTIF('USPTO TMs'!A:A,D20886)&gt;0,"Yes","No"),"")</f>
        <v/>
      </c>
      <c r="C20886" s="11"/>
      <c r="D20886" s="11"/>
      <c r="E20886" s="11"/>
      <c r="F20886" s="11"/>
      <c r="G20886" s="11"/>
      <c r="H20886" s="11"/>
      <c r="I20886" s="15"/>
    </row>
    <row r="20887" spans="1:9" ht="16.5">
      <c r="A20887" s="10" t="b">
        <v>0</v>
      </c>
      <c r="B20887" s="11" t="str">
        <f>IF(D20887&lt;&gt;"",IF(COUNTIF('USPTO TMs'!A:A,D20887)&gt;0,"Yes","No"),"")</f>
        <v/>
      </c>
      <c r="C20887" s="11"/>
      <c r="D20887" s="11"/>
      <c r="E20887" s="11"/>
      <c r="F20887" s="11"/>
      <c r="G20887" s="11"/>
      <c r="H20887" s="11"/>
      <c r="I20887" s="15"/>
    </row>
    <row r="20888" spans="1:9" ht="16.5">
      <c r="A20888" s="10" t="b">
        <v>0</v>
      </c>
      <c r="B20888" s="11" t="str">
        <f>IF(D20888&lt;&gt;"",IF(COUNTIF('USPTO TMs'!A:A,D20888)&gt;0,"Yes","No"),"")</f>
        <v/>
      </c>
      <c r="C20888" s="11"/>
      <c r="D20888" s="11"/>
      <c r="E20888" s="11"/>
      <c r="F20888" s="11"/>
      <c r="G20888" s="11"/>
      <c r="H20888" s="11"/>
      <c r="I20888" s="15"/>
    </row>
    <row r="20889" spans="1:9" ht="16.5">
      <c r="A20889" s="10" t="b">
        <v>0</v>
      </c>
      <c r="B20889" s="11" t="str">
        <f>IF(D20889&lt;&gt;"",IF(COUNTIF('USPTO TMs'!A:A,D20889)&gt;0,"Yes","No"),"")</f>
        <v/>
      </c>
      <c r="C20889" s="11"/>
      <c r="D20889" s="11"/>
      <c r="E20889" s="11"/>
      <c r="F20889" s="11"/>
      <c r="G20889" s="11"/>
      <c r="H20889" s="11"/>
      <c r="I20889" s="15"/>
    </row>
    <row r="20890" spans="1:9" ht="16.5">
      <c r="A20890" s="10" t="b">
        <v>0</v>
      </c>
      <c r="B20890" s="11" t="str">
        <f>IF(D20890&lt;&gt;"",IF(COUNTIF('USPTO TMs'!A:A,D20890)&gt;0,"Yes","No"),"")</f>
        <v/>
      </c>
      <c r="C20890" s="11"/>
      <c r="D20890" s="11"/>
      <c r="E20890" s="11"/>
      <c r="F20890" s="11"/>
      <c r="G20890" s="11"/>
      <c r="H20890" s="11"/>
      <c r="I20890" s="15"/>
    </row>
    <row r="20891" spans="1:9" ht="16.5">
      <c r="A20891" s="10" t="b">
        <v>0</v>
      </c>
      <c r="B20891" s="11" t="str">
        <f>IF(D20891&lt;&gt;"",IF(COUNTIF('USPTO TMs'!A:A,D20891)&gt;0,"Yes","No"),"")</f>
        <v/>
      </c>
      <c r="C20891" s="11"/>
      <c r="D20891" s="11"/>
      <c r="E20891" s="11"/>
      <c r="F20891" s="11"/>
      <c r="G20891" s="11"/>
      <c r="H20891" s="11"/>
      <c r="I20891" s="15"/>
    </row>
    <row r="20892" spans="1:9" ht="16.5">
      <c r="A20892" s="10" t="b">
        <v>0</v>
      </c>
      <c r="B20892" s="11" t="str">
        <f>IF(D20892&lt;&gt;"",IF(COUNTIF('USPTO TMs'!A:A,D20892)&gt;0,"Yes","No"),"")</f>
        <v/>
      </c>
      <c r="C20892" s="11"/>
      <c r="D20892" s="11"/>
      <c r="E20892" s="11"/>
      <c r="F20892" s="11"/>
      <c r="G20892" s="11"/>
      <c r="H20892" s="11"/>
      <c r="I20892" s="15"/>
    </row>
    <row r="20893" spans="1:9" ht="16.5">
      <c r="A20893" s="10" t="b">
        <v>0</v>
      </c>
      <c r="B20893" s="11" t="str">
        <f>IF(D20893&lt;&gt;"",IF(COUNTIF('USPTO TMs'!A:A,D20893)&gt;0,"Yes","No"),"")</f>
        <v/>
      </c>
      <c r="C20893" s="11"/>
      <c r="D20893" s="11"/>
      <c r="E20893" s="11"/>
      <c r="F20893" s="11"/>
      <c r="G20893" s="11"/>
      <c r="H20893" s="11"/>
      <c r="I20893" s="15"/>
    </row>
    <row r="20894" spans="1:9" ht="16.5">
      <c r="A20894" s="10" t="b">
        <v>0</v>
      </c>
      <c r="B20894" s="11" t="str">
        <f>IF(D20894&lt;&gt;"",IF(COUNTIF('USPTO TMs'!A:A,D20894)&gt;0,"Yes","No"),"")</f>
        <v/>
      </c>
      <c r="C20894" s="11"/>
      <c r="D20894" s="11"/>
      <c r="E20894" s="11"/>
      <c r="F20894" s="11"/>
      <c r="G20894" s="11"/>
      <c r="H20894" s="11"/>
      <c r="I20894" s="15"/>
    </row>
    <row r="20895" spans="1:9" ht="16.5">
      <c r="A20895" s="10" t="b">
        <v>0</v>
      </c>
      <c r="B20895" s="11" t="str">
        <f>IF(D20895&lt;&gt;"",IF(COUNTIF('USPTO TMs'!A:A,D20895)&gt;0,"Yes","No"),"")</f>
        <v/>
      </c>
      <c r="C20895" s="11"/>
      <c r="D20895" s="11"/>
      <c r="E20895" s="11"/>
      <c r="F20895" s="11"/>
      <c r="G20895" s="11"/>
      <c r="H20895" s="11"/>
      <c r="I20895" s="15"/>
    </row>
    <row r="20896" spans="1:9" ht="16.5">
      <c r="A20896" s="10" t="b">
        <v>0</v>
      </c>
      <c r="B20896" s="11" t="str">
        <f>IF(D20896&lt;&gt;"",IF(COUNTIF('USPTO TMs'!A:A,D20896)&gt;0,"Yes","No"),"")</f>
        <v/>
      </c>
      <c r="C20896" s="11"/>
      <c r="D20896" s="11"/>
      <c r="E20896" s="11"/>
      <c r="F20896" s="11"/>
      <c r="G20896" s="11"/>
      <c r="H20896" s="11"/>
      <c r="I20896" s="15"/>
    </row>
    <row r="20897" spans="1:9" ht="16.5">
      <c r="A20897" s="10" t="b">
        <v>0</v>
      </c>
      <c r="B20897" s="11" t="str">
        <f>IF(D20897&lt;&gt;"",IF(COUNTIF('USPTO TMs'!A:A,D20897)&gt;0,"Yes","No"),"")</f>
        <v/>
      </c>
      <c r="C20897" s="11"/>
      <c r="D20897" s="11"/>
      <c r="E20897" s="11"/>
      <c r="F20897" s="11"/>
      <c r="G20897" s="11"/>
      <c r="H20897" s="11"/>
      <c r="I20897" s="15"/>
    </row>
    <row r="20898" spans="1:9" ht="16.5">
      <c r="A20898" s="10" t="b">
        <v>0</v>
      </c>
      <c r="B20898" s="11" t="str">
        <f>IF(D20898&lt;&gt;"",IF(COUNTIF('USPTO TMs'!A:A,D20898)&gt;0,"Yes","No"),"")</f>
        <v/>
      </c>
      <c r="C20898" s="11"/>
      <c r="D20898" s="11"/>
      <c r="E20898" s="11"/>
      <c r="F20898" s="11"/>
      <c r="G20898" s="11"/>
      <c r="H20898" s="11"/>
      <c r="I20898" s="15"/>
    </row>
    <row r="20899" spans="1:9" ht="16.5">
      <c r="A20899" s="10" t="b">
        <v>0</v>
      </c>
      <c r="B20899" s="11" t="str">
        <f>IF(D20899&lt;&gt;"",IF(COUNTIF('USPTO TMs'!A:A,D20899)&gt;0,"Yes","No"),"")</f>
        <v/>
      </c>
      <c r="C20899" s="11"/>
      <c r="D20899" s="11"/>
      <c r="E20899" s="11"/>
      <c r="F20899" s="11"/>
      <c r="G20899" s="11"/>
      <c r="H20899" s="11"/>
      <c r="I20899" s="15"/>
    </row>
    <row r="20900" spans="1:9" ht="16.5">
      <c r="A20900" s="10" t="b">
        <v>0</v>
      </c>
      <c r="B20900" s="11" t="str">
        <f>IF(D20900&lt;&gt;"",IF(COUNTIF('USPTO TMs'!A:A,D20900)&gt;0,"Yes","No"),"")</f>
        <v/>
      </c>
      <c r="C20900" s="11"/>
      <c r="D20900" s="11"/>
      <c r="E20900" s="11"/>
      <c r="F20900" s="11"/>
      <c r="G20900" s="11"/>
      <c r="H20900" s="11"/>
      <c r="I20900" s="15"/>
    </row>
    <row r="20901" spans="1:9" ht="16.5">
      <c r="A20901" s="10" t="b">
        <v>0</v>
      </c>
      <c r="B20901" s="11" t="str">
        <f>IF(D20901&lt;&gt;"",IF(COUNTIF('USPTO TMs'!A:A,D20901)&gt;0,"Yes","No"),"")</f>
        <v/>
      </c>
      <c r="C20901" s="11"/>
      <c r="D20901" s="11"/>
      <c r="E20901" s="11"/>
      <c r="F20901" s="11"/>
      <c r="G20901" s="11"/>
      <c r="H20901" s="11"/>
      <c r="I20901" s="15"/>
    </row>
    <row r="20902" spans="1:9" ht="16.5">
      <c r="A20902" s="10" t="b">
        <v>0</v>
      </c>
      <c r="B20902" s="11" t="str">
        <f>IF(D20902&lt;&gt;"",IF(COUNTIF('USPTO TMs'!A:A,D20902)&gt;0,"Yes","No"),"")</f>
        <v/>
      </c>
      <c r="C20902" s="11"/>
      <c r="D20902" s="11"/>
      <c r="E20902" s="11"/>
      <c r="F20902" s="11"/>
      <c r="G20902" s="11"/>
      <c r="H20902" s="11"/>
      <c r="I20902" s="15"/>
    </row>
    <row r="20903" spans="1:9" ht="16.5">
      <c r="A20903" s="10" t="b">
        <v>0</v>
      </c>
      <c r="B20903" s="11" t="str">
        <f>IF(D20903&lt;&gt;"",IF(COUNTIF('USPTO TMs'!A:A,D20903)&gt;0,"Yes","No"),"")</f>
        <v/>
      </c>
      <c r="C20903" s="11"/>
      <c r="D20903" s="11"/>
      <c r="E20903" s="11"/>
      <c r="F20903" s="11"/>
      <c r="G20903" s="11"/>
      <c r="H20903" s="11"/>
      <c r="I20903" s="15"/>
    </row>
    <row r="20904" spans="1:9" ht="16.5">
      <c r="A20904" s="10" t="b">
        <v>0</v>
      </c>
      <c r="B20904" s="11" t="str">
        <f>IF(D20904&lt;&gt;"",IF(COUNTIF('USPTO TMs'!A:A,D20904)&gt;0,"Yes","No"),"")</f>
        <v/>
      </c>
      <c r="C20904" s="11"/>
      <c r="D20904" s="11"/>
      <c r="E20904" s="11"/>
      <c r="F20904" s="11"/>
      <c r="G20904" s="11"/>
      <c r="H20904" s="11"/>
      <c r="I20904" s="15"/>
    </row>
    <row r="20905" spans="1:9" ht="16.5">
      <c r="A20905" s="10" t="b">
        <v>0</v>
      </c>
      <c r="B20905" s="11" t="str">
        <f>IF(D20905&lt;&gt;"",IF(COUNTIF('USPTO TMs'!A:A,D20905)&gt;0,"Yes","No"),"")</f>
        <v/>
      </c>
      <c r="C20905" s="11"/>
      <c r="D20905" s="11"/>
      <c r="E20905" s="11"/>
      <c r="F20905" s="11"/>
      <c r="G20905" s="11"/>
      <c r="H20905" s="11"/>
      <c r="I20905" s="15"/>
    </row>
    <row r="20906" spans="1:9" ht="16.5">
      <c r="A20906" s="10" t="b">
        <v>0</v>
      </c>
      <c r="B20906" s="11" t="str">
        <f>IF(D20906&lt;&gt;"",IF(COUNTIF('USPTO TMs'!A:A,D20906)&gt;0,"Yes","No"),"")</f>
        <v/>
      </c>
      <c r="C20906" s="11"/>
      <c r="D20906" s="11"/>
      <c r="E20906" s="11"/>
      <c r="F20906" s="11"/>
      <c r="G20906" s="11"/>
      <c r="H20906" s="11"/>
      <c r="I20906" s="15"/>
    </row>
    <row r="20907" spans="1:9" ht="16.5">
      <c r="A20907" s="10" t="b">
        <v>0</v>
      </c>
      <c r="B20907" s="11" t="str">
        <f>IF(D20907&lt;&gt;"",IF(COUNTIF('USPTO TMs'!A:A,D20907)&gt;0,"Yes","No"),"")</f>
        <v/>
      </c>
      <c r="C20907" s="11"/>
      <c r="D20907" s="11"/>
      <c r="E20907" s="11"/>
      <c r="F20907" s="11"/>
      <c r="G20907" s="11"/>
      <c r="H20907" s="11"/>
      <c r="I20907" s="15"/>
    </row>
    <row r="20908" spans="1:9" ht="16.5">
      <c r="A20908" s="10" t="b">
        <v>0</v>
      </c>
      <c r="B20908" s="11" t="str">
        <f>IF(D20908&lt;&gt;"",IF(COUNTIF('USPTO TMs'!A:A,D20908)&gt;0,"Yes","No"),"")</f>
        <v/>
      </c>
      <c r="C20908" s="11"/>
      <c r="D20908" s="11"/>
      <c r="E20908" s="11"/>
      <c r="F20908" s="11"/>
      <c r="G20908" s="11"/>
      <c r="H20908" s="11"/>
      <c r="I20908" s="15"/>
    </row>
    <row r="20909" spans="1:9" ht="16.5">
      <c r="A20909" s="10" t="b">
        <v>0</v>
      </c>
      <c r="B20909" s="11" t="str">
        <f>IF(D20909&lt;&gt;"",IF(COUNTIF('USPTO TMs'!A:A,D20909)&gt;0,"Yes","No"),"")</f>
        <v/>
      </c>
      <c r="C20909" s="11"/>
      <c r="D20909" s="11"/>
      <c r="E20909" s="11"/>
      <c r="F20909" s="11"/>
      <c r="G20909" s="11"/>
      <c r="H20909" s="11"/>
      <c r="I20909" s="15"/>
    </row>
    <row r="20910" spans="1:9" ht="16.5">
      <c r="A20910" s="10" t="b">
        <v>0</v>
      </c>
      <c r="B20910" s="11" t="str">
        <f>IF(D20910&lt;&gt;"",IF(COUNTIF('USPTO TMs'!A:A,D20910)&gt;0,"Yes","No"),"")</f>
        <v/>
      </c>
      <c r="C20910" s="11"/>
      <c r="D20910" s="11"/>
      <c r="E20910" s="11"/>
      <c r="F20910" s="11"/>
      <c r="G20910" s="11"/>
      <c r="H20910" s="11"/>
      <c r="I20910" s="15"/>
    </row>
    <row r="20911" spans="1:9" ht="16.5">
      <c r="A20911" s="10" t="b">
        <v>0</v>
      </c>
      <c r="B20911" s="11" t="str">
        <f>IF(D20911&lt;&gt;"",IF(COUNTIF('USPTO TMs'!A:A,D20911)&gt;0,"Yes","No"),"")</f>
        <v/>
      </c>
      <c r="C20911" s="11"/>
      <c r="D20911" s="11"/>
      <c r="E20911" s="11"/>
      <c r="F20911" s="11"/>
      <c r="G20911" s="11"/>
      <c r="H20911" s="11"/>
      <c r="I20911" s="15"/>
    </row>
    <row r="20912" spans="1:9" ht="16.5">
      <c r="A20912" s="10" t="b">
        <v>0</v>
      </c>
      <c r="B20912" s="11" t="str">
        <f>IF(D20912&lt;&gt;"",IF(COUNTIF('USPTO TMs'!A:A,D20912)&gt;0,"Yes","No"),"")</f>
        <v/>
      </c>
      <c r="C20912" s="11"/>
      <c r="D20912" s="11"/>
      <c r="E20912" s="11"/>
      <c r="F20912" s="11"/>
      <c r="G20912" s="11"/>
      <c r="H20912" s="11"/>
      <c r="I20912" s="15"/>
    </row>
    <row r="20913" spans="1:9" ht="16.5">
      <c r="A20913" s="10" t="b">
        <v>0</v>
      </c>
      <c r="B20913" s="11" t="str">
        <f>IF(D20913&lt;&gt;"",IF(COUNTIF('USPTO TMs'!A:A,D20913)&gt;0,"Yes","No"),"")</f>
        <v/>
      </c>
      <c r="C20913" s="11"/>
      <c r="D20913" s="11"/>
      <c r="E20913" s="11"/>
      <c r="F20913" s="11"/>
      <c r="G20913" s="11"/>
      <c r="H20913" s="11"/>
      <c r="I20913" s="15"/>
    </row>
    <row r="20914" spans="1:9" ht="16.5">
      <c r="A20914" s="10" t="b">
        <v>0</v>
      </c>
      <c r="B20914" s="11" t="str">
        <f>IF(D20914&lt;&gt;"",IF(COUNTIF('USPTO TMs'!A:A,D20914)&gt;0,"Yes","No"),"")</f>
        <v/>
      </c>
      <c r="C20914" s="11"/>
      <c r="D20914" s="11"/>
      <c r="E20914" s="11"/>
      <c r="F20914" s="11"/>
      <c r="G20914" s="11"/>
      <c r="H20914" s="11"/>
      <c r="I20914" s="15"/>
    </row>
    <row r="20915" spans="1:9" ht="16.5">
      <c r="A20915" s="10" t="b">
        <v>0</v>
      </c>
      <c r="B20915" s="11" t="str">
        <f>IF(D20915&lt;&gt;"",IF(COUNTIF('USPTO TMs'!A:A,D20915)&gt;0,"Yes","No"),"")</f>
        <v/>
      </c>
      <c r="C20915" s="11"/>
      <c r="D20915" s="11"/>
      <c r="E20915" s="11"/>
      <c r="F20915" s="11"/>
      <c r="G20915" s="11"/>
      <c r="H20915" s="11"/>
      <c r="I20915" s="15"/>
    </row>
    <row r="20916" spans="1:9" ht="16.5">
      <c r="A20916" s="10" t="b">
        <v>0</v>
      </c>
      <c r="B20916" s="11" t="str">
        <f>IF(D20916&lt;&gt;"",IF(COUNTIF('USPTO TMs'!A:A,D20916)&gt;0,"Yes","No"),"")</f>
        <v/>
      </c>
      <c r="C20916" s="11"/>
      <c r="D20916" s="11"/>
      <c r="E20916" s="11"/>
      <c r="F20916" s="11"/>
      <c r="G20916" s="11"/>
      <c r="H20916" s="11"/>
      <c r="I20916" s="15"/>
    </row>
    <row r="20917" spans="1:9" ht="16.5">
      <c r="A20917" s="10" t="b">
        <v>0</v>
      </c>
      <c r="B20917" s="11" t="str">
        <f>IF(D20917&lt;&gt;"",IF(COUNTIF('USPTO TMs'!A:A,D20917)&gt;0,"Yes","No"),"")</f>
        <v/>
      </c>
      <c r="C20917" s="11"/>
      <c r="D20917" s="11"/>
      <c r="E20917" s="11"/>
      <c r="F20917" s="11"/>
      <c r="G20917" s="11"/>
      <c r="H20917" s="11"/>
      <c r="I20917" s="15"/>
    </row>
    <row r="20918" spans="1:9" ht="16.5">
      <c r="A20918" s="10" t="b">
        <v>0</v>
      </c>
      <c r="B20918" s="11" t="str">
        <f>IF(D20918&lt;&gt;"",IF(COUNTIF('USPTO TMs'!A:A,D20918)&gt;0,"Yes","No"),"")</f>
        <v/>
      </c>
      <c r="C20918" s="11"/>
      <c r="D20918" s="11"/>
      <c r="E20918" s="11"/>
      <c r="F20918" s="11"/>
      <c r="G20918" s="11"/>
      <c r="H20918" s="11"/>
      <c r="I20918" s="15"/>
    </row>
    <row r="20919" spans="1:9" ht="16.5">
      <c r="A20919" s="10" t="b">
        <v>0</v>
      </c>
      <c r="B20919" s="11" t="str">
        <f>IF(D20919&lt;&gt;"",IF(COUNTIF('USPTO TMs'!A:A,D20919)&gt;0,"Yes","No"),"")</f>
        <v/>
      </c>
      <c r="C20919" s="11"/>
      <c r="D20919" s="11"/>
      <c r="E20919" s="11"/>
      <c r="F20919" s="11"/>
      <c r="G20919" s="11"/>
      <c r="H20919" s="11"/>
      <c r="I20919" s="15"/>
    </row>
    <row r="20920" spans="1:9" ht="16.5">
      <c r="A20920" s="10" t="b">
        <v>0</v>
      </c>
      <c r="B20920" s="11" t="str">
        <f>IF(D20920&lt;&gt;"",IF(COUNTIF('USPTO TMs'!A:A,D20920)&gt;0,"Yes","No"),"")</f>
        <v/>
      </c>
      <c r="C20920" s="11"/>
      <c r="D20920" s="11"/>
      <c r="E20920" s="11"/>
      <c r="F20920" s="11"/>
      <c r="G20920" s="11"/>
      <c r="H20920" s="11"/>
      <c r="I20920" s="15"/>
    </row>
    <row r="20921" spans="1:9" ht="16.5">
      <c r="A20921" s="10" t="b">
        <v>0</v>
      </c>
      <c r="B20921" s="11" t="str">
        <f>IF(D20921&lt;&gt;"",IF(COUNTIF('USPTO TMs'!A:A,D20921)&gt;0,"Yes","No"),"")</f>
        <v/>
      </c>
      <c r="C20921" s="11"/>
      <c r="D20921" s="11"/>
      <c r="E20921" s="11"/>
      <c r="F20921" s="11"/>
      <c r="G20921" s="11"/>
      <c r="H20921" s="11"/>
      <c r="I20921" s="15"/>
    </row>
    <row r="20922" spans="1:9" ht="16.5">
      <c r="A20922" s="10" t="b">
        <v>0</v>
      </c>
      <c r="B20922" s="11" t="str">
        <f>IF(D20922&lt;&gt;"",IF(COUNTIF('USPTO TMs'!A:A,D20922)&gt;0,"Yes","No"),"")</f>
        <v/>
      </c>
      <c r="C20922" s="11"/>
      <c r="D20922" s="11"/>
      <c r="E20922" s="11"/>
      <c r="F20922" s="11"/>
      <c r="G20922" s="11"/>
      <c r="H20922" s="11"/>
      <c r="I20922" s="15"/>
    </row>
    <row r="20923" spans="1:9" ht="16.5">
      <c r="A20923" s="10" t="b">
        <v>0</v>
      </c>
      <c r="B20923" s="11" t="str">
        <f>IF(D20923&lt;&gt;"",IF(COUNTIF('USPTO TMs'!A:A,D20923)&gt;0,"Yes","No"),"")</f>
        <v/>
      </c>
      <c r="C20923" s="11"/>
      <c r="D20923" s="11"/>
      <c r="E20923" s="11"/>
      <c r="F20923" s="11"/>
      <c r="G20923" s="11"/>
      <c r="H20923" s="11"/>
      <c r="I20923" s="15"/>
    </row>
    <row r="20924" spans="1:9" ht="16.5">
      <c r="A20924" s="10" t="b">
        <v>0</v>
      </c>
      <c r="B20924" s="11" t="str">
        <f>IF(D20924&lt;&gt;"",IF(COUNTIF('USPTO TMs'!A:A,D20924)&gt;0,"Yes","No"),"")</f>
        <v/>
      </c>
      <c r="C20924" s="11"/>
      <c r="D20924" s="11"/>
      <c r="E20924" s="11"/>
      <c r="F20924" s="11"/>
      <c r="G20924" s="11"/>
      <c r="H20924" s="11"/>
      <c r="I20924" s="15"/>
    </row>
    <row r="20925" spans="1:9" ht="16.5">
      <c r="A20925" s="10" t="b">
        <v>0</v>
      </c>
      <c r="B20925" s="11" t="str">
        <f>IF(D20925&lt;&gt;"",IF(COUNTIF('USPTO TMs'!A:A,D20925)&gt;0,"Yes","No"),"")</f>
        <v/>
      </c>
      <c r="C20925" s="11"/>
      <c r="D20925" s="11"/>
      <c r="E20925" s="11"/>
      <c r="F20925" s="11"/>
      <c r="G20925" s="11"/>
      <c r="H20925" s="11"/>
      <c r="I20925" s="15"/>
    </row>
    <row r="20926" spans="1:9" ht="16.5">
      <c r="A20926" s="10" t="b">
        <v>0</v>
      </c>
      <c r="B20926" s="11" t="str">
        <f>IF(D20926&lt;&gt;"",IF(COUNTIF('USPTO TMs'!A:A,D20926)&gt;0,"Yes","No"),"")</f>
        <v/>
      </c>
      <c r="C20926" s="11"/>
      <c r="D20926" s="11"/>
      <c r="E20926" s="11"/>
      <c r="F20926" s="11"/>
      <c r="G20926" s="11"/>
      <c r="H20926" s="11"/>
      <c r="I20926" s="15"/>
    </row>
    <row r="20927" spans="1:9" ht="16.5">
      <c r="A20927" s="10" t="b">
        <v>0</v>
      </c>
      <c r="B20927" s="11" t="str">
        <f>IF(D20927&lt;&gt;"",IF(COUNTIF('USPTO TMs'!A:A,D20927)&gt;0,"Yes","No"),"")</f>
        <v/>
      </c>
      <c r="C20927" s="11"/>
      <c r="D20927" s="11"/>
      <c r="E20927" s="11"/>
      <c r="F20927" s="11"/>
      <c r="G20927" s="11"/>
      <c r="H20927" s="11"/>
      <c r="I20927" s="15"/>
    </row>
    <row r="20928" spans="1:9" ht="16.5">
      <c r="A20928" s="10" t="b">
        <v>0</v>
      </c>
      <c r="B20928" s="11" t="str">
        <f>IF(D20928&lt;&gt;"",IF(COUNTIF('USPTO TMs'!A:A,D20928)&gt;0,"Yes","No"),"")</f>
        <v/>
      </c>
      <c r="C20928" s="11"/>
      <c r="D20928" s="11"/>
      <c r="E20928" s="11"/>
      <c r="F20928" s="11"/>
      <c r="G20928" s="11"/>
      <c r="H20928" s="11"/>
      <c r="I20928" s="15"/>
    </row>
    <row r="20929" spans="1:9" ht="16.5">
      <c r="A20929" s="10" t="b">
        <v>0</v>
      </c>
      <c r="B20929" s="11" t="str">
        <f>IF(D20929&lt;&gt;"",IF(COUNTIF('USPTO TMs'!A:A,D20929)&gt;0,"Yes","No"),"")</f>
        <v/>
      </c>
      <c r="C20929" s="11"/>
      <c r="D20929" s="11"/>
      <c r="E20929" s="11"/>
      <c r="F20929" s="11"/>
      <c r="G20929" s="11"/>
      <c r="H20929" s="11"/>
      <c r="I20929" s="15"/>
    </row>
    <row r="20930" spans="1:9" ht="16.5">
      <c r="A20930" s="10" t="b">
        <v>0</v>
      </c>
      <c r="B20930" s="11" t="str">
        <f>IF(D20930&lt;&gt;"",IF(COUNTIF('USPTO TMs'!A:A,D20930)&gt;0,"Yes","No"),"")</f>
        <v/>
      </c>
      <c r="C20930" s="11"/>
      <c r="D20930" s="11"/>
      <c r="E20930" s="11"/>
      <c r="F20930" s="11"/>
      <c r="G20930" s="11"/>
      <c r="H20930" s="11"/>
      <c r="I20930" s="15"/>
    </row>
    <row r="20931" spans="1:9" ht="16.5">
      <c r="A20931" s="10" t="b">
        <v>0</v>
      </c>
      <c r="B20931" s="11" t="str">
        <f>IF(D20931&lt;&gt;"",IF(COUNTIF('USPTO TMs'!A:A,D20931)&gt;0,"Yes","No"),"")</f>
        <v/>
      </c>
      <c r="C20931" s="11"/>
      <c r="D20931" s="11"/>
      <c r="E20931" s="11"/>
      <c r="F20931" s="11"/>
      <c r="G20931" s="11"/>
      <c r="H20931" s="11"/>
      <c r="I20931" s="15"/>
    </row>
    <row r="20932" spans="1:9" ht="16.5">
      <c r="A20932" s="10" t="b">
        <v>0</v>
      </c>
      <c r="B20932" s="11" t="str">
        <f>IF(D20932&lt;&gt;"",IF(COUNTIF('USPTO TMs'!A:A,D20932)&gt;0,"Yes","No"),"")</f>
        <v/>
      </c>
      <c r="C20932" s="11"/>
      <c r="D20932" s="11"/>
      <c r="E20932" s="11"/>
      <c r="F20932" s="11"/>
      <c r="G20932" s="11"/>
      <c r="H20932" s="11"/>
      <c r="I20932" s="15"/>
    </row>
    <row r="20933" spans="1:9" ht="16.5">
      <c r="A20933" s="10" t="b">
        <v>0</v>
      </c>
      <c r="B20933" s="11" t="str">
        <f>IF(D20933&lt;&gt;"",IF(COUNTIF('USPTO TMs'!A:A,D20933)&gt;0,"Yes","No"),"")</f>
        <v/>
      </c>
      <c r="C20933" s="11"/>
      <c r="D20933" s="11"/>
      <c r="E20933" s="11"/>
      <c r="F20933" s="11"/>
      <c r="G20933" s="11"/>
      <c r="H20933" s="11"/>
      <c r="I20933" s="15"/>
    </row>
    <row r="20934" spans="1:9" ht="16.5">
      <c r="A20934" s="10" t="b">
        <v>0</v>
      </c>
      <c r="B20934" s="11" t="str">
        <f>IF(D20934&lt;&gt;"",IF(COUNTIF('USPTO TMs'!A:A,D20934)&gt;0,"Yes","No"),"")</f>
        <v/>
      </c>
      <c r="C20934" s="11"/>
      <c r="D20934" s="11"/>
      <c r="E20934" s="11"/>
      <c r="F20934" s="11"/>
      <c r="G20934" s="11"/>
      <c r="H20934" s="11"/>
      <c r="I20934" s="15"/>
    </row>
    <row r="20935" spans="1:9" ht="16.5">
      <c r="A20935" s="10" t="b">
        <v>0</v>
      </c>
      <c r="B20935" s="11" t="str">
        <f>IF(D20935&lt;&gt;"",IF(COUNTIF('USPTO TMs'!A:A,D20935)&gt;0,"Yes","No"),"")</f>
        <v/>
      </c>
      <c r="C20935" s="11"/>
      <c r="D20935" s="11"/>
      <c r="E20935" s="11"/>
      <c r="F20935" s="11"/>
      <c r="G20935" s="11"/>
      <c r="H20935" s="11"/>
      <c r="I20935" s="15"/>
    </row>
    <row r="20936" spans="1:9" ht="16.5">
      <c r="A20936" s="10" t="b">
        <v>0</v>
      </c>
      <c r="B20936" s="11" t="str">
        <f>IF(D20936&lt;&gt;"",IF(COUNTIF('USPTO TMs'!A:A,D20936)&gt;0,"Yes","No"),"")</f>
        <v/>
      </c>
      <c r="C20936" s="11"/>
      <c r="D20936" s="11"/>
      <c r="E20936" s="11"/>
      <c r="F20936" s="11"/>
      <c r="G20936" s="11"/>
      <c r="H20936" s="11"/>
      <c r="I20936" s="15"/>
    </row>
    <row r="20937" spans="1:9" ht="16.5">
      <c r="A20937" s="10" t="b">
        <v>0</v>
      </c>
      <c r="B20937" s="11" t="str">
        <f>IF(D20937&lt;&gt;"",IF(COUNTIF('USPTO TMs'!A:A,D20937)&gt;0,"Yes","No"),"")</f>
        <v/>
      </c>
      <c r="C20937" s="11"/>
      <c r="D20937" s="11"/>
      <c r="E20937" s="11"/>
      <c r="F20937" s="11"/>
      <c r="G20937" s="11"/>
      <c r="H20937" s="11"/>
      <c r="I20937" s="15"/>
    </row>
    <row r="20938" spans="1:9" ht="16.5">
      <c r="A20938" s="10" t="b">
        <v>0</v>
      </c>
      <c r="B20938" s="11" t="str">
        <f>IF(D20938&lt;&gt;"",IF(COUNTIF('USPTO TMs'!A:A,D20938)&gt;0,"Yes","No"),"")</f>
        <v/>
      </c>
      <c r="C20938" s="11"/>
      <c r="D20938" s="11"/>
      <c r="E20938" s="11"/>
      <c r="F20938" s="11"/>
      <c r="G20938" s="11"/>
      <c r="H20938" s="11"/>
      <c r="I20938" s="15"/>
    </row>
    <row r="20939" spans="1:9" ht="16.5">
      <c r="A20939" s="10" t="b">
        <v>0</v>
      </c>
      <c r="B20939" s="11" t="str">
        <f>IF(D20939&lt;&gt;"",IF(COUNTIF('USPTO TMs'!A:A,D20939)&gt;0,"Yes","No"),"")</f>
        <v/>
      </c>
      <c r="C20939" s="11"/>
      <c r="D20939" s="11"/>
      <c r="E20939" s="11"/>
      <c r="F20939" s="11"/>
      <c r="G20939" s="11"/>
      <c r="H20939" s="11"/>
      <c r="I20939" s="15"/>
    </row>
    <row r="20940" spans="1:9" ht="16.5">
      <c r="A20940" s="10" t="b">
        <v>0</v>
      </c>
      <c r="B20940" s="11" t="str">
        <f>IF(D20940&lt;&gt;"",IF(COUNTIF('USPTO TMs'!A:A,D20940)&gt;0,"Yes","No"),"")</f>
        <v/>
      </c>
      <c r="C20940" s="11"/>
      <c r="D20940" s="11"/>
      <c r="E20940" s="11"/>
      <c r="F20940" s="11"/>
      <c r="G20940" s="11"/>
      <c r="H20940" s="11"/>
      <c r="I20940" s="15"/>
    </row>
    <row r="20941" spans="1:9" ht="16.5">
      <c r="A20941" s="10" t="b">
        <v>0</v>
      </c>
      <c r="B20941" s="11" t="str">
        <f>IF(D20941&lt;&gt;"",IF(COUNTIF('USPTO TMs'!A:A,D20941)&gt;0,"Yes","No"),"")</f>
        <v/>
      </c>
      <c r="C20941" s="11"/>
      <c r="D20941" s="11"/>
      <c r="E20941" s="11"/>
      <c r="F20941" s="11"/>
      <c r="G20941" s="11"/>
      <c r="H20941" s="11"/>
      <c r="I20941" s="15"/>
    </row>
    <row r="20942" spans="1:9" ht="16.5">
      <c r="A20942" s="10" t="b">
        <v>0</v>
      </c>
      <c r="B20942" s="11" t="str">
        <f>IF(D20942&lt;&gt;"",IF(COUNTIF('USPTO TMs'!A:A,D20942)&gt;0,"Yes","No"),"")</f>
        <v/>
      </c>
      <c r="C20942" s="11"/>
      <c r="D20942" s="11"/>
      <c r="E20942" s="11"/>
      <c r="F20942" s="11"/>
      <c r="G20942" s="11"/>
      <c r="H20942" s="11"/>
      <c r="I20942" s="15"/>
    </row>
    <row r="20943" spans="1:9" ht="16.5">
      <c r="A20943" s="10" t="b">
        <v>0</v>
      </c>
      <c r="B20943" s="11" t="str">
        <f>IF(D20943&lt;&gt;"",IF(COUNTIF('USPTO TMs'!A:A,D20943)&gt;0,"Yes","No"),"")</f>
        <v/>
      </c>
      <c r="C20943" s="11"/>
      <c r="D20943" s="11"/>
      <c r="E20943" s="11"/>
      <c r="F20943" s="11"/>
      <c r="G20943" s="11"/>
      <c r="H20943" s="11"/>
      <c r="I20943" s="15"/>
    </row>
    <row r="20944" spans="1:9" ht="16.5">
      <c r="A20944" s="10" t="b">
        <v>0</v>
      </c>
      <c r="B20944" s="11" t="str">
        <f>IF(D20944&lt;&gt;"",IF(COUNTIF('USPTO TMs'!A:A,D20944)&gt;0,"Yes","No"),"")</f>
        <v/>
      </c>
      <c r="C20944" s="11"/>
      <c r="D20944" s="11"/>
      <c r="E20944" s="11"/>
      <c r="F20944" s="11"/>
      <c r="G20944" s="11"/>
      <c r="H20944" s="11"/>
      <c r="I20944" s="15"/>
    </row>
    <row r="20945" spans="1:9" ht="16.5">
      <c r="A20945" s="10" t="b">
        <v>0</v>
      </c>
      <c r="B20945" s="11" t="str">
        <f>IF(D20945&lt;&gt;"",IF(COUNTIF('USPTO TMs'!A:A,D20945)&gt;0,"Yes","No"),"")</f>
        <v/>
      </c>
      <c r="C20945" s="11"/>
      <c r="D20945" s="11"/>
      <c r="E20945" s="11"/>
      <c r="F20945" s="11"/>
      <c r="G20945" s="11"/>
      <c r="H20945" s="11"/>
      <c r="I20945" s="15"/>
    </row>
    <row r="20946" spans="1:9" ht="16.5">
      <c r="A20946" s="10" t="b">
        <v>0</v>
      </c>
      <c r="B20946" s="11" t="str">
        <f>IF(D20946&lt;&gt;"",IF(COUNTIF('USPTO TMs'!A:A,D20946)&gt;0,"Yes","No"),"")</f>
        <v/>
      </c>
      <c r="C20946" s="11"/>
      <c r="D20946" s="11"/>
      <c r="E20946" s="11"/>
      <c r="F20946" s="11"/>
      <c r="G20946" s="11"/>
      <c r="H20946" s="11"/>
      <c r="I20946" s="15"/>
    </row>
    <row r="20947" spans="1:9" ht="16.5">
      <c r="A20947" s="10" t="b">
        <v>0</v>
      </c>
      <c r="B20947" s="11" t="str">
        <f>IF(D20947&lt;&gt;"",IF(COUNTIF('USPTO TMs'!A:A,D20947)&gt;0,"Yes","No"),"")</f>
        <v/>
      </c>
      <c r="C20947" s="11"/>
      <c r="D20947" s="11"/>
      <c r="E20947" s="11"/>
      <c r="F20947" s="11"/>
      <c r="G20947" s="11"/>
      <c r="H20947" s="11"/>
      <c r="I20947" s="15"/>
    </row>
    <row r="20948" spans="1:9" ht="16.5">
      <c r="A20948" s="10" t="b">
        <v>0</v>
      </c>
      <c r="B20948" s="11" t="str">
        <f>IF(D20948&lt;&gt;"",IF(COUNTIF('USPTO TMs'!A:A,D20948)&gt;0,"Yes","No"),"")</f>
        <v/>
      </c>
      <c r="C20948" s="11"/>
      <c r="D20948" s="11"/>
      <c r="E20948" s="11"/>
      <c r="F20948" s="11"/>
      <c r="G20948" s="11"/>
      <c r="H20948" s="11"/>
      <c r="I20948" s="15"/>
    </row>
    <row r="20949" spans="1:9" ht="16.5">
      <c r="A20949" s="10" t="b">
        <v>0</v>
      </c>
      <c r="B20949" s="11" t="str">
        <f>IF(D20949&lt;&gt;"",IF(COUNTIF('USPTO TMs'!A:A,D20949)&gt;0,"Yes","No"),"")</f>
        <v/>
      </c>
      <c r="C20949" s="11"/>
      <c r="D20949" s="11"/>
      <c r="E20949" s="11"/>
      <c r="F20949" s="11"/>
      <c r="G20949" s="11"/>
      <c r="H20949" s="11"/>
      <c r="I20949" s="15"/>
    </row>
    <row r="20950" spans="1:9" ht="16.5">
      <c r="A20950" s="10" t="b">
        <v>0</v>
      </c>
      <c r="B20950" s="11" t="str">
        <f>IF(D20950&lt;&gt;"",IF(COUNTIF('USPTO TMs'!A:A,D20950)&gt;0,"Yes","No"),"")</f>
        <v/>
      </c>
      <c r="C20950" s="11"/>
      <c r="D20950" s="11"/>
      <c r="E20950" s="11"/>
      <c r="F20950" s="11"/>
      <c r="G20950" s="11"/>
      <c r="H20950" s="11"/>
      <c r="I20950" s="15"/>
    </row>
    <row r="20951" spans="1:9" ht="16.5">
      <c r="A20951" s="10" t="b">
        <v>0</v>
      </c>
      <c r="B20951" s="11" t="str">
        <f>IF(D20951&lt;&gt;"",IF(COUNTIF('USPTO TMs'!A:A,D20951)&gt;0,"Yes","No"),"")</f>
        <v/>
      </c>
      <c r="C20951" s="11"/>
      <c r="D20951" s="11"/>
      <c r="E20951" s="11"/>
      <c r="F20951" s="11"/>
      <c r="G20951" s="11"/>
      <c r="H20951" s="11"/>
      <c r="I20951" s="15"/>
    </row>
    <row r="20952" spans="1:9" ht="16.5">
      <c r="A20952" s="10" t="b">
        <v>0</v>
      </c>
      <c r="B20952" s="11" t="str">
        <f>IF(D20952&lt;&gt;"",IF(COUNTIF('USPTO TMs'!A:A,D20952)&gt;0,"Yes","No"),"")</f>
        <v/>
      </c>
      <c r="C20952" s="11"/>
      <c r="D20952" s="11"/>
      <c r="E20952" s="11"/>
      <c r="F20952" s="11"/>
      <c r="G20952" s="11"/>
      <c r="H20952" s="11"/>
      <c r="I20952" s="15"/>
    </row>
    <row r="20953" spans="1:9" ht="16.5">
      <c r="A20953" s="10" t="b">
        <v>0</v>
      </c>
      <c r="B20953" s="11" t="str">
        <f>IF(D20953&lt;&gt;"",IF(COUNTIF('USPTO TMs'!A:A,D20953)&gt;0,"Yes","No"),"")</f>
        <v/>
      </c>
      <c r="C20953" s="11"/>
      <c r="D20953" s="11"/>
      <c r="E20953" s="11"/>
      <c r="F20953" s="11"/>
      <c r="G20953" s="11"/>
      <c r="H20953" s="11"/>
      <c r="I20953" s="15"/>
    </row>
    <row r="20954" spans="1:9" ht="16.5">
      <c r="A20954" s="10" t="b">
        <v>0</v>
      </c>
      <c r="B20954" s="11" t="str">
        <f>IF(D20954&lt;&gt;"",IF(COUNTIF('USPTO TMs'!A:A,D20954)&gt;0,"Yes","No"),"")</f>
        <v/>
      </c>
      <c r="C20954" s="11"/>
      <c r="D20954" s="11"/>
      <c r="E20954" s="11"/>
      <c r="F20954" s="11"/>
      <c r="G20954" s="11"/>
      <c r="H20954" s="11"/>
      <c r="I20954" s="15"/>
    </row>
    <row r="20955" spans="1:9" ht="16.5">
      <c r="A20955" s="10" t="b">
        <v>0</v>
      </c>
      <c r="B20955" s="11" t="str">
        <f>IF(D20955&lt;&gt;"",IF(COUNTIF('USPTO TMs'!A:A,D20955)&gt;0,"Yes","No"),"")</f>
        <v/>
      </c>
      <c r="C20955" s="11"/>
      <c r="D20955" s="11"/>
      <c r="E20955" s="11"/>
      <c r="F20955" s="11"/>
      <c r="G20955" s="11"/>
      <c r="H20955" s="11"/>
      <c r="I20955" s="15"/>
    </row>
    <row r="20956" spans="1:9" ht="16.5">
      <c r="A20956" s="10" t="b">
        <v>0</v>
      </c>
      <c r="B20956" s="11" t="str">
        <f>IF(D20956&lt;&gt;"",IF(COUNTIF('USPTO TMs'!A:A,D20956)&gt;0,"Yes","No"),"")</f>
        <v/>
      </c>
      <c r="C20956" s="11"/>
      <c r="D20956" s="11"/>
      <c r="E20956" s="11"/>
      <c r="F20956" s="11"/>
      <c r="G20956" s="11"/>
      <c r="H20956" s="11"/>
      <c r="I20956" s="15"/>
    </row>
    <row r="20957" spans="1:9" ht="16.5">
      <c r="A20957" s="10" t="b">
        <v>0</v>
      </c>
      <c r="B20957" s="11" t="str">
        <f>IF(D20957&lt;&gt;"",IF(COUNTIF('USPTO TMs'!A:A,D20957)&gt;0,"Yes","No"),"")</f>
        <v/>
      </c>
      <c r="C20957" s="11"/>
      <c r="D20957" s="11"/>
      <c r="E20957" s="11"/>
      <c r="F20957" s="11"/>
      <c r="G20957" s="11"/>
      <c r="H20957" s="11"/>
      <c r="I20957" s="15"/>
    </row>
    <row r="20958" spans="1:9" ht="16.5">
      <c r="A20958" s="10" t="b">
        <v>0</v>
      </c>
      <c r="B20958" s="11" t="str">
        <f>IF(D20958&lt;&gt;"",IF(COUNTIF('USPTO TMs'!A:A,D20958)&gt;0,"Yes","No"),"")</f>
        <v/>
      </c>
      <c r="C20958" s="11"/>
      <c r="D20958" s="11"/>
      <c r="E20958" s="11"/>
      <c r="F20958" s="11"/>
      <c r="G20958" s="11"/>
      <c r="H20958" s="11"/>
      <c r="I20958" s="15"/>
    </row>
    <row r="20959" spans="1:9" ht="16.5">
      <c r="A20959" s="10" t="b">
        <v>0</v>
      </c>
      <c r="B20959" s="11" t="str">
        <f>IF(D20959&lt;&gt;"",IF(COUNTIF('USPTO TMs'!A:A,D20959)&gt;0,"Yes","No"),"")</f>
        <v/>
      </c>
      <c r="C20959" s="11"/>
      <c r="D20959" s="11"/>
      <c r="E20959" s="11"/>
      <c r="F20959" s="11"/>
      <c r="G20959" s="11"/>
      <c r="H20959" s="11"/>
      <c r="I20959" s="15"/>
    </row>
    <row r="20960" spans="1:9" ht="16.5">
      <c r="A20960" s="10" t="b">
        <v>0</v>
      </c>
      <c r="B20960" s="11" t="str">
        <f>IF(D20960&lt;&gt;"",IF(COUNTIF('USPTO TMs'!A:A,D20960)&gt;0,"Yes","No"),"")</f>
        <v/>
      </c>
      <c r="C20960" s="11"/>
      <c r="D20960" s="11"/>
      <c r="E20960" s="11"/>
      <c r="F20960" s="11"/>
      <c r="G20960" s="11"/>
      <c r="H20960" s="11"/>
      <c r="I20960" s="15"/>
    </row>
    <row r="20961" spans="1:9" ht="16.5">
      <c r="A20961" s="10" t="b">
        <v>0</v>
      </c>
      <c r="B20961" s="11" t="str">
        <f>IF(D20961&lt;&gt;"",IF(COUNTIF('USPTO TMs'!A:A,D20961)&gt;0,"Yes","No"),"")</f>
        <v/>
      </c>
      <c r="C20961" s="11"/>
      <c r="D20961" s="11"/>
      <c r="E20961" s="11"/>
      <c r="F20961" s="11"/>
      <c r="G20961" s="11"/>
      <c r="H20961" s="11"/>
      <c r="I20961" s="15"/>
    </row>
    <row r="20962" spans="1:9" ht="16.5">
      <c r="A20962" s="10" t="b">
        <v>0</v>
      </c>
      <c r="B20962" s="11" t="str">
        <f>IF(D20962&lt;&gt;"",IF(COUNTIF('USPTO TMs'!A:A,D20962)&gt;0,"Yes","No"),"")</f>
        <v/>
      </c>
      <c r="C20962" s="11"/>
      <c r="D20962" s="11"/>
      <c r="E20962" s="11"/>
      <c r="F20962" s="11"/>
      <c r="G20962" s="11"/>
      <c r="H20962" s="11"/>
      <c r="I20962" s="15"/>
    </row>
    <row r="20963" spans="1:9" ht="16.5">
      <c r="A20963" s="10" t="b">
        <v>0</v>
      </c>
      <c r="B20963" s="11" t="str">
        <f>IF(D20963&lt;&gt;"",IF(COUNTIF('USPTO TMs'!A:A,D20963)&gt;0,"Yes","No"),"")</f>
        <v/>
      </c>
      <c r="C20963" s="11"/>
      <c r="D20963" s="11"/>
      <c r="E20963" s="11"/>
      <c r="F20963" s="11"/>
      <c r="G20963" s="11"/>
      <c r="H20963" s="11"/>
      <c r="I20963" s="15"/>
    </row>
    <row r="20964" spans="1:9" ht="16.5">
      <c r="A20964" s="10" t="b">
        <v>0</v>
      </c>
      <c r="B20964" s="11" t="str">
        <f>IF(D20964&lt;&gt;"",IF(COUNTIF('USPTO TMs'!A:A,D20964)&gt;0,"Yes","No"),"")</f>
        <v/>
      </c>
      <c r="C20964" s="11"/>
      <c r="D20964" s="11"/>
      <c r="E20964" s="11"/>
      <c r="F20964" s="11"/>
      <c r="G20964" s="11"/>
      <c r="H20964" s="11"/>
      <c r="I20964" s="15"/>
    </row>
    <row r="20965" spans="1:9" ht="16.5">
      <c r="A20965" s="10" t="b">
        <v>0</v>
      </c>
      <c r="B20965" s="11" t="str">
        <f>IF(D20965&lt;&gt;"",IF(COUNTIF('USPTO TMs'!A:A,D20965)&gt;0,"Yes","No"),"")</f>
        <v/>
      </c>
      <c r="C20965" s="11"/>
      <c r="D20965" s="11"/>
      <c r="E20965" s="11"/>
      <c r="F20965" s="11"/>
      <c r="G20965" s="11"/>
      <c r="H20965" s="11"/>
      <c r="I20965" s="15"/>
    </row>
    <row r="20966" spans="1:9" ht="16.5">
      <c r="A20966" s="10" t="b">
        <v>0</v>
      </c>
      <c r="B20966" s="11" t="str">
        <f>IF(D20966&lt;&gt;"",IF(COUNTIF('USPTO TMs'!A:A,D20966)&gt;0,"Yes","No"),"")</f>
        <v/>
      </c>
      <c r="C20966" s="11"/>
      <c r="D20966" s="11"/>
      <c r="E20966" s="11"/>
      <c r="F20966" s="11"/>
      <c r="G20966" s="11"/>
      <c r="H20966" s="11"/>
      <c r="I20966" s="15"/>
    </row>
    <row r="20967" spans="1:9" ht="16.5">
      <c r="A20967" s="10" t="b">
        <v>0</v>
      </c>
      <c r="B20967" s="11" t="str">
        <f>IF(D20967&lt;&gt;"",IF(COUNTIF('USPTO TMs'!A:A,D20967)&gt;0,"Yes","No"),"")</f>
        <v/>
      </c>
      <c r="C20967" s="11"/>
      <c r="D20967" s="11"/>
      <c r="E20967" s="11"/>
      <c r="F20967" s="11"/>
      <c r="G20967" s="11"/>
      <c r="H20967" s="11"/>
      <c r="I20967" s="15"/>
    </row>
    <row r="20968" spans="1:9" ht="16.5">
      <c r="A20968" s="10" t="b">
        <v>0</v>
      </c>
      <c r="B20968" s="11" t="str">
        <f>IF(D20968&lt;&gt;"",IF(COUNTIF('USPTO TMs'!A:A,D20968)&gt;0,"Yes","No"),"")</f>
        <v/>
      </c>
      <c r="C20968" s="11"/>
      <c r="D20968" s="11"/>
      <c r="E20968" s="11"/>
      <c r="F20968" s="11"/>
      <c r="G20968" s="11"/>
      <c r="H20968" s="11"/>
      <c r="I20968" s="15"/>
    </row>
    <row r="20969" spans="1:9" ht="16.5">
      <c r="A20969" s="10" t="b">
        <v>0</v>
      </c>
      <c r="B20969" s="11" t="str">
        <f>IF(D20969&lt;&gt;"",IF(COUNTIF('USPTO TMs'!A:A,D20969)&gt;0,"Yes","No"),"")</f>
        <v/>
      </c>
      <c r="C20969" s="11"/>
      <c r="D20969" s="11"/>
      <c r="E20969" s="11"/>
      <c r="F20969" s="11"/>
      <c r="G20969" s="11"/>
      <c r="H20969" s="11"/>
      <c r="I20969" s="15"/>
    </row>
    <row r="20970" spans="1:9" ht="16.5">
      <c r="A20970" s="10" t="b">
        <v>0</v>
      </c>
      <c r="B20970" s="11" t="str">
        <f>IF(D20970&lt;&gt;"",IF(COUNTIF('USPTO TMs'!A:A,D20970)&gt;0,"Yes","No"),"")</f>
        <v/>
      </c>
      <c r="C20970" s="11"/>
      <c r="D20970" s="11"/>
      <c r="E20970" s="11"/>
      <c r="F20970" s="11"/>
      <c r="G20970" s="11"/>
      <c r="H20970" s="11"/>
      <c r="I20970" s="15"/>
    </row>
    <row r="20971" spans="1:9" ht="16.5">
      <c r="A20971" s="10" t="b">
        <v>0</v>
      </c>
      <c r="B20971" s="11" t="str">
        <f>IF(D20971&lt;&gt;"",IF(COUNTIF('USPTO TMs'!A:A,D20971)&gt;0,"Yes","No"),"")</f>
        <v/>
      </c>
      <c r="C20971" s="11"/>
      <c r="D20971" s="11"/>
      <c r="E20971" s="11"/>
      <c r="F20971" s="11"/>
      <c r="G20971" s="11"/>
      <c r="H20971" s="11"/>
      <c r="I20971" s="15"/>
    </row>
    <row r="20972" spans="1:9" ht="16.5">
      <c r="A20972" s="10" t="b">
        <v>0</v>
      </c>
      <c r="B20972" s="11" t="str">
        <f>IF(D20972&lt;&gt;"",IF(COUNTIF('USPTO TMs'!A:A,D20972)&gt;0,"Yes","No"),"")</f>
        <v/>
      </c>
      <c r="C20972" s="11"/>
      <c r="D20972" s="11"/>
      <c r="E20972" s="11"/>
      <c r="F20972" s="11"/>
      <c r="G20972" s="11"/>
      <c r="H20972" s="11"/>
      <c r="I20972" s="15"/>
    </row>
    <row r="20973" spans="1:9" ht="16.5">
      <c r="A20973" s="10" t="b">
        <v>0</v>
      </c>
      <c r="B20973" s="11" t="str">
        <f>IF(D20973&lt;&gt;"",IF(COUNTIF('USPTO TMs'!A:A,D20973)&gt;0,"Yes","No"),"")</f>
        <v/>
      </c>
      <c r="C20973" s="11"/>
      <c r="D20973" s="11"/>
      <c r="E20973" s="11"/>
      <c r="F20973" s="11"/>
      <c r="G20973" s="11"/>
      <c r="H20973" s="11"/>
      <c r="I20973" s="15"/>
    </row>
    <row r="20974" spans="1:9" ht="16.5">
      <c r="A20974" s="10" t="b">
        <v>0</v>
      </c>
      <c r="B20974" s="11" t="str">
        <f>IF(D20974&lt;&gt;"",IF(COUNTIF('USPTO TMs'!A:A,D20974)&gt;0,"Yes","No"),"")</f>
        <v/>
      </c>
      <c r="C20974" s="11"/>
      <c r="D20974" s="11"/>
      <c r="E20974" s="11"/>
      <c r="F20974" s="11"/>
      <c r="G20974" s="11"/>
      <c r="H20974" s="11"/>
      <c r="I20974" s="15"/>
    </row>
    <row r="20975" spans="1:9" ht="16.5">
      <c r="A20975" s="10" t="b">
        <v>0</v>
      </c>
      <c r="B20975" s="11" t="str">
        <f>IF(D20975&lt;&gt;"",IF(COUNTIF('USPTO TMs'!A:A,D20975)&gt;0,"Yes","No"),"")</f>
        <v/>
      </c>
      <c r="C20975" s="11"/>
      <c r="D20975" s="11"/>
      <c r="E20975" s="11"/>
      <c r="F20975" s="11"/>
      <c r="G20975" s="11"/>
      <c r="H20975" s="11"/>
      <c r="I20975" s="15"/>
    </row>
    <row r="20976" spans="1:9" ht="16.5">
      <c r="A20976" s="10" t="b">
        <v>0</v>
      </c>
      <c r="B20976" s="11" t="str">
        <f>IF(D20976&lt;&gt;"",IF(COUNTIF('USPTO TMs'!A:A,D20976)&gt;0,"Yes","No"),"")</f>
        <v/>
      </c>
      <c r="C20976" s="11"/>
      <c r="D20976" s="11"/>
      <c r="E20976" s="11"/>
      <c r="F20976" s="11"/>
      <c r="G20976" s="11"/>
      <c r="H20976" s="11"/>
      <c r="I20976" s="15"/>
    </row>
    <row r="20977" spans="1:9" ht="16.5">
      <c r="A20977" s="10" t="b">
        <v>0</v>
      </c>
      <c r="B20977" s="11" t="str">
        <f>IF(D20977&lt;&gt;"",IF(COUNTIF('USPTO TMs'!A:A,D20977)&gt;0,"Yes","No"),"")</f>
        <v/>
      </c>
      <c r="C20977" s="11"/>
      <c r="D20977" s="11"/>
      <c r="E20977" s="11"/>
      <c r="F20977" s="11"/>
      <c r="G20977" s="11"/>
      <c r="H20977" s="11"/>
      <c r="I20977" s="15"/>
    </row>
    <row r="20978" spans="1:9" ht="16.5">
      <c r="A20978" s="10" t="b">
        <v>0</v>
      </c>
      <c r="B20978" s="11" t="str">
        <f>IF(D20978&lt;&gt;"",IF(COUNTIF('USPTO TMs'!A:A,D20978)&gt;0,"Yes","No"),"")</f>
        <v/>
      </c>
      <c r="C20978" s="11"/>
      <c r="D20978" s="11"/>
      <c r="E20978" s="11"/>
      <c r="F20978" s="11"/>
      <c r="G20978" s="11"/>
      <c r="H20978" s="11"/>
      <c r="I20978" s="15"/>
    </row>
    <row r="20979" spans="1:9" ht="16.5">
      <c r="A20979" s="10" t="b">
        <v>0</v>
      </c>
      <c r="B20979" s="11" t="str">
        <f>IF(D20979&lt;&gt;"",IF(COUNTIF('USPTO TMs'!A:A,D20979)&gt;0,"Yes","No"),"")</f>
        <v/>
      </c>
      <c r="C20979" s="11"/>
      <c r="D20979" s="11"/>
      <c r="E20979" s="11"/>
      <c r="F20979" s="11"/>
      <c r="G20979" s="11"/>
      <c r="H20979" s="11"/>
      <c r="I20979" s="15"/>
    </row>
    <row r="20980" spans="1:9" ht="16.5">
      <c r="A20980" s="10" t="b">
        <v>0</v>
      </c>
      <c r="B20980" s="11" t="str">
        <f>IF(D20980&lt;&gt;"",IF(COUNTIF('USPTO TMs'!A:A,D20980)&gt;0,"Yes","No"),"")</f>
        <v/>
      </c>
      <c r="C20980" s="11"/>
      <c r="D20980" s="11"/>
      <c r="E20980" s="11"/>
      <c r="F20980" s="11"/>
      <c r="G20980" s="11"/>
      <c r="H20980" s="11"/>
      <c r="I20980" s="15"/>
    </row>
    <row r="20981" spans="1:9" ht="16.5">
      <c r="A20981" s="10" t="b">
        <v>0</v>
      </c>
      <c r="B20981" s="11" t="str">
        <f>IF(D20981&lt;&gt;"",IF(COUNTIF('USPTO TMs'!A:A,D20981)&gt;0,"Yes","No"),"")</f>
        <v/>
      </c>
      <c r="C20981" s="11"/>
      <c r="D20981" s="11"/>
      <c r="E20981" s="11"/>
      <c r="F20981" s="11"/>
      <c r="G20981" s="11"/>
      <c r="H20981" s="11"/>
      <c r="I20981" s="15"/>
    </row>
    <row r="20982" spans="1:9" ht="16.5">
      <c r="A20982" s="10" t="b">
        <v>0</v>
      </c>
      <c r="B20982" s="11" t="str">
        <f>IF(D20982&lt;&gt;"",IF(COUNTIF('USPTO TMs'!A:A,D20982)&gt;0,"Yes","No"),"")</f>
        <v/>
      </c>
      <c r="C20982" s="11"/>
      <c r="D20982" s="11"/>
      <c r="E20982" s="11"/>
      <c r="F20982" s="11"/>
      <c r="G20982" s="11"/>
      <c r="H20982" s="11"/>
      <c r="I20982" s="15"/>
    </row>
    <row r="20983" spans="1:9" ht="16.5">
      <c r="A20983" s="10" t="b">
        <v>0</v>
      </c>
      <c r="B20983" s="11" t="str">
        <f>IF(D20983&lt;&gt;"",IF(COUNTIF('USPTO TMs'!A:A,D20983)&gt;0,"Yes","No"),"")</f>
        <v/>
      </c>
      <c r="C20983" s="11"/>
      <c r="D20983" s="11"/>
      <c r="E20983" s="11"/>
      <c r="F20983" s="11"/>
      <c r="G20983" s="11"/>
      <c r="H20983" s="11"/>
      <c r="I20983" s="15"/>
    </row>
    <row r="20984" spans="1:9" ht="16.5">
      <c r="A20984" s="10" t="b">
        <v>0</v>
      </c>
      <c r="B20984" s="11" t="str">
        <f>IF(D20984&lt;&gt;"",IF(COUNTIF('USPTO TMs'!A:A,D20984)&gt;0,"Yes","No"),"")</f>
        <v/>
      </c>
      <c r="C20984" s="11"/>
      <c r="D20984" s="11"/>
      <c r="E20984" s="11"/>
      <c r="F20984" s="11"/>
      <c r="G20984" s="11"/>
      <c r="H20984" s="11"/>
      <c r="I20984" s="15"/>
    </row>
    <row r="20985" spans="1:9" ht="16.5">
      <c r="A20985" s="10" t="b">
        <v>0</v>
      </c>
      <c r="B20985" s="11" t="str">
        <f>IF(D20985&lt;&gt;"",IF(COUNTIF('USPTO TMs'!A:A,D20985)&gt;0,"Yes","No"),"")</f>
        <v/>
      </c>
      <c r="C20985" s="11"/>
      <c r="D20985" s="11"/>
      <c r="E20985" s="11"/>
      <c r="F20985" s="11"/>
      <c r="G20985" s="11"/>
      <c r="H20985" s="11"/>
      <c r="I20985" s="15"/>
    </row>
    <row r="20986" spans="1:9" ht="16.5">
      <c r="A20986" s="10" t="b">
        <v>0</v>
      </c>
      <c r="B20986" s="11" t="str">
        <f>IF(D20986&lt;&gt;"",IF(COUNTIF('USPTO TMs'!A:A,D20986)&gt;0,"Yes","No"),"")</f>
        <v/>
      </c>
      <c r="C20986" s="11"/>
      <c r="D20986" s="11"/>
      <c r="E20986" s="11"/>
      <c r="F20986" s="11"/>
      <c r="G20986" s="11"/>
      <c r="H20986" s="11"/>
      <c r="I20986" s="15"/>
    </row>
    <row r="20987" spans="1:9" ht="16.5">
      <c r="A20987" s="10" t="b">
        <v>0</v>
      </c>
      <c r="B20987" s="11" t="str">
        <f>IF(D20987&lt;&gt;"",IF(COUNTIF('USPTO TMs'!A:A,D20987)&gt;0,"Yes","No"),"")</f>
        <v/>
      </c>
      <c r="C20987" s="11"/>
      <c r="D20987" s="11"/>
      <c r="E20987" s="11"/>
      <c r="F20987" s="11"/>
      <c r="G20987" s="11"/>
      <c r="H20987" s="11"/>
      <c r="I20987" s="15"/>
    </row>
    <row r="20988" spans="1:9" ht="16.5">
      <c r="A20988" s="10" t="b">
        <v>0</v>
      </c>
      <c r="B20988" s="11" t="str">
        <f>IF(D20988&lt;&gt;"",IF(COUNTIF('USPTO TMs'!A:A,D20988)&gt;0,"Yes","No"),"")</f>
        <v/>
      </c>
      <c r="C20988" s="11"/>
      <c r="D20988" s="11"/>
      <c r="E20988" s="11"/>
      <c r="F20988" s="11"/>
      <c r="G20988" s="11"/>
      <c r="H20988" s="11"/>
      <c r="I20988" s="15"/>
    </row>
    <row r="20989" spans="1:9" ht="16.5">
      <c r="A20989" s="10" t="b">
        <v>0</v>
      </c>
      <c r="B20989" s="11" t="str">
        <f>IF(D20989&lt;&gt;"",IF(COUNTIF('USPTO TMs'!A:A,D20989)&gt;0,"Yes","No"),"")</f>
        <v/>
      </c>
      <c r="C20989" s="11"/>
      <c r="D20989" s="11"/>
      <c r="E20989" s="11"/>
      <c r="F20989" s="11"/>
      <c r="G20989" s="11"/>
      <c r="H20989" s="11"/>
      <c r="I20989" s="15"/>
    </row>
    <row r="20990" spans="1:9" ht="16.5">
      <c r="A20990" s="10" t="b">
        <v>0</v>
      </c>
      <c r="B20990" s="11" t="str">
        <f>IF(D20990&lt;&gt;"",IF(COUNTIF('USPTO TMs'!A:A,D20990)&gt;0,"Yes","No"),"")</f>
        <v/>
      </c>
      <c r="C20990" s="11"/>
      <c r="D20990" s="11"/>
      <c r="E20990" s="11"/>
      <c r="F20990" s="11"/>
      <c r="G20990" s="11"/>
      <c r="H20990" s="11"/>
      <c r="I20990" s="15"/>
    </row>
    <row r="20991" spans="1:9" ht="16.5">
      <c r="A20991" s="10" t="b">
        <v>0</v>
      </c>
      <c r="B20991" s="11" t="str">
        <f>IF(D20991&lt;&gt;"",IF(COUNTIF('USPTO TMs'!A:A,D20991)&gt;0,"Yes","No"),"")</f>
        <v/>
      </c>
      <c r="C20991" s="11"/>
      <c r="D20991" s="11"/>
      <c r="E20991" s="11"/>
      <c r="F20991" s="11"/>
      <c r="G20991" s="11"/>
      <c r="H20991" s="11"/>
      <c r="I20991" s="15"/>
    </row>
    <row r="20992" spans="1:9" ht="16.5">
      <c r="A20992" s="10" t="b">
        <v>0</v>
      </c>
      <c r="B20992" s="11" t="str">
        <f>IF(D20992&lt;&gt;"",IF(COUNTIF('USPTO TMs'!A:A,D20992)&gt;0,"Yes","No"),"")</f>
        <v/>
      </c>
      <c r="C20992" s="11"/>
      <c r="D20992" s="11"/>
      <c r="E20992" s="11"/>
      <c r="F20992" s="11"/>
      <c r="G20992" s="11"/>
      <c r="H20992" s="11"/>
      <c r="I20992" s="15"/>
    </row>
    <row r="20993" spans="1:9" ht="16.5">
      <c r="A20993" s="10" t="b">
        <v>0</v>
      </c>
      <c r="B20993" s="11" t="str">
        <f>IF(D20993&lt;&gt;"",IF(COUNTIF('USPTO TMs'!A:A,D20993)&gt;0,"Yes","No"),"")</f>
        <v/>
      </c>
      <c r="C20993" s="11"/>
      <c r="D20993" s="11"/>
      <c r="E20993" s="11"/>
      <c r="F20993" s="11"/>
      <c r="G20993" s="11"/>
      <c r="H20993" s="11"/>
      <c r="I20993" s="15"/>
    </row>
    <row r="20994" spans="1:9" ht="16.5">
      <c r="A20994" s="10" t="b">
        <v>0</v>
      </c>
      <c r="B20994" s="11" t="str">
        <f>IF(D20994&lt;&gt;"",IF(COUNTIF('USPTO TMs'!A:A,D20994)&gt;0,"Yes","No"),"")</f>
        <v/>
      </c>
      <c r="C20994" s="11"/>
      <c r="D20994" s="11"/>
      <c r="E20994" s="11"/>
      <c r="F20994" s="11"/>
      <c r="G20994" s="11"/>
      <c r="H20994" s="11"/>
      <c r="I20994" s="15"/>
    </row>
    <row r="20995" spans="1:9" ht="16.5">
      <c r="A20995" s="10" t="b">
        <v>0</v>
      </c>
      <c r="B20995" s="11" t="str">
        <f>IF(D20995&lt;&gt;"",IF(COUNTIF('USPTO TMs'!A:A,D20995)&gt;0,"Yes","No"),"")</f>
        <v/>
      </c>
      <c r="C20995" s="11"/>
      <c r="D20995" s="11"/>
      <c r="E20995" s="11"/>
      <c r="F20995" s="11"/>
      <c r="G20995" s="11"/>
      <c r="H20995" s="11"/>
      <c r="I20995" s="15"/>
    </row>
    <row r="20996" spans="1:9" ht="16.5">
      <c r="A20996" s="10" t="b">
        <v>0</v>
      </c>
      <c r="B20996" s="11" t="str">
        <f>IF(D20996&lt;&gt;"",IF(COUNTIF('USPTO TMs'!A:A,D20996)&gt;0,"Yes","No"),"")</f>
        <v/>
      </c>
      <c r="C20996" s="11"/>
      <c r="D20996" s="11"/>
      <c r="E20996" s="11"/>
      <c r="F20996" s="11"/>
      <c r="G20996" s="11"/>
      <c r="H20996" s="11"/>
      <c r="I20996" s="15"/>
    </row>
    <row r="20997" spans="1:9" ht="16.5">
      <c r="A20997" s="10" t="b">
        <v>0</v>
      </c>
      <c r="B20997" s="11" t="str">
        <f>IF(D20997&lt;&gt;"",IF(COUNTIF('USPTO TMs'!A:A,D20997)&gt;0,"Yes","No"),"")</f>
        <v/>
      </c>
      <c r="C20997" s="11"/>
      <c r="D20997" s="11"/>
      <c r="E20997" s="11"/>
      <c r="F20997" s="11"/>
      <c r="G20997" s="11"/>
      <c r="H20997" s="11"/>
      <c r="I20997" s="15"/>
    </row>
    <row r="20998" spans="1:9" ht="16.5">
      <c r="A20998" s="10" t="b">
        <v>0</v>
      </c>
      <c r="B20998" s="11" t="str">
        <f>IF(D20998&lt;&gt;"",IF(COUNTIF('USPTO TMs'!A:A,D20998)&gt;0,"Yes","No"),"")</f>
        <v/>
      </c>
      <c r="C20998" s="11"/>
      <c r="D20998" s="11"/>
      <c r="E20998" s="11"/>
      <c r="F20998" s="11"/>
      <c r="G20998" s="11"/>
      <c r="H20998" s="11"/>
      <c r="I20998" s="15"/>
    </row>
    <row r="20999" spans="1:9" ht="16.5">
      <c r="A20999" s="10" t="b">
        <v>0</v>
      </c>
      <c r="B20999" s="11" t="str">
        <f>IF(D20999&lt;&gt;"",IF(COUNTIF('USPTO TMs'!A:A,D20999)&gt;0,"Yes","No"),"")</f>
        <v/>
      </c>
      <c r="C20999" s="11"/>
      <c r="D20999" s="11"/>
      <c r="E20999" s="11"/>
      <c r="F20999" s="11"/>
      <c r="G20999" s="11"/>
      <c r="H20999" s="11"/>
      <c r="I20999" s="15"/>
    </row>
    <row r="21000" spans="1:9" ht="16.5">
      <c r="A21000" s="10" t="b">
        <v>0</v>
      </c>
      <c r="B21000" s="11" t="str">
        <f>IF(D21000&lt;&gt;"",IF(COUNTIF('USPTO TMs'!A:A,D21000)&gt;0,"Yes","No"),"")</f>
        <v/>
      </c>
      <c r="C21000" s="11"/>
      <c r="D21000" s="11"/>
      <c r="E21000" s="11"/>
      <c r="F21000" s="11"/>
      <c r="G21000" s="11"/>
      <c r="H21000" s="11"/>
      <c r="I21000" s="15"/>
    </row>
    <row r="21001" spans="1:9" ht="16.5">
      <c r="A21001" s="10" t="b">
        <v>0</v>
      </c>
      <c r="B21001" s="11" t="str">
        <f>IF(D21001&lt;&gt;"",IF(COUNTIF('USPTO TMs'!A:A,D21001)&gt;0,"Yes","No"),"")</f>
        <v/>
      </c>
      <c r="C21001" s="11"/>
      <c r="D21001" s="11"/>
      <c r="E21001" s="11"/>
      <c r="F21001" s="11"/>
      <c r="G21001" s="11"/>
      <c r="H21001" s="11"/>
      <c r="I21001" s="15"/>
    </row>
    <row r="21002" spans="1:9" ht="16.5">
      <c r="A21002" s="10" t="b">
        <v>0</v>
      </c>
      <c r="B21002" s="11" t="str">
        <f>IF(D21002&lt;&gt;"",IF(COUNTIF('USPTO TMs'!A:A,D21002)&gt;0,"Yes","No"),"")</f>
        <v/>
      </c>
      <c r="C21002" s="11"/>
      <c r="D21002" s="11"/>
      <c r="E21002" s="11"/>
      <c r="F21002" s="11"/>
      <c r="G21002" s="11"/>
      <c r="H21002" s="11"/>
      <c r="I21002" s="15"/>
    </row>
    <row r="21003" spans="1:9" ht="16.5">
      <c r="A21003" s="10" t="b">
        <v>0</v>
      </c>
      <c r="B21003" s="11" t="str">
        <f>IF(D21003&lt;&gt;"",IF(COUNTIF('USPTO TMs'!A:A,D21003)&gt;0,"Yes","No"),"")</f>
        <v/>
      </c>
      <c r="C21003" s="11"/>
      <c r="D21003" s="11"/>
      <c r="E21003" s="11"/>
      <c r="F21003" s="11"/>
      <c r="G21003" s="11"/>
      <c r="H21003" s="11"/>
      <c r="I21003" s="15"/>
    </row>
    <row r="21004" spans="1:9" ht="16.5">
      <c r="A21004" s="10" t="b">
        <v>0</v>
      </c>
      <c r="B21004" s="11" t="str">
        <f>IF(D21004&lt;&gt;"",IF(COUNTIF('USPTO TMs'!A:A,D21004)&gt;0,"Yes","No"),"")</f>
        <v/>
      </c>
      <c r="C21004" s="11"/>
      <c r="D21004" s="11"/>
      <c r="E21004" s="11"/>
      <c r="F21004" s="11"/>
      <c r="G21004" s="11"/>
      <c r="H21004" s="11"/>
      <c r="I21004" s="15"/>
    </row>
    <row r="21005" spans="1:9" ht="16.5">
      <c r="A21005" s="10" t="b">
        <v>0</v>
      </c>
      <c r="B21005" s="11" t="str">
        <f>IF(D21005&lt;&gt;"",IF(COUNTIF('USPTO TMs'!A:A,D21005)&gt;0,"Yes","No"),"")</f>
        <v/>
      </c>
      <c r="C21005" s="11"/>
      <c r="D21005" s="11"/>
      <c r="E21005" s="11"/>
      <c r="F21005" s="11"/>
      <c r="G21005" s="11"/>
      <c r="H21005" s="11"/>
      <c r="I21005" s="15"/>
    </row>
    <row r="21006" spans="1:9" ht="16.5">
      <c r="A21006" s="10" t="b">
        <v>0</v>
      </c>
      <c r="B21006" s="11" t="str">
        <f>IF(D21006&lt;&gt;"",IF(COUNTIF('USPTO TMs'!A:A,D21006)&gt;0,"Yes","No"),"")</f>
        <v/>
      </c>
      <c r="C21006" s="11"/>
      <c r="D21006" s="11"/>
      <c r="E21006" s="11"/>
      <c r="F21006" s="11"/>
      <c r="G21006" s="11"/>
      <c r="H21006" s="11"/>
      <c r="I21006" s="15"/>
    </row>
    <row r="21007" spans="1:9" ht="16.5">
      <c r="A21007" s="10" t="b">
        <v>0</v>
      </c>
      <c r="B21007" s="11" t="str">
        <f>IF(D21007&lt;&gt;"",IF(COUNTIF('USPTO TMs'!A:A,D21007)&gt;0,"Yes","No"),"")</f>
        <v/>
      </c>
      <c r="C21007" s="11"/>
      <c r="D21007" s="11"/>
      <c r="E21007" s="11"/>
      <c r="F21007" s="11"/>
      <c r="G21007" s="11"/>
      <c r="H21007" s="11"/>
      <c r="I21007" s="15"/>
    </row>
    <row r="21008" spans="1:9" ht="16.5">
      <c r="A21008" s="10" t="b">
        <v>0</v>
      </c>
      <c r="B21008" s="11" t="str">
        <f>IF(D21008&lt;&gt;"",IF(COUNTIF('USPTO TMs'!A:A,D21008)&gt;0,"Yes","No"),"")</f>
        <v/>
      </c>
      <c r="C21008" s="11"/>
      <c r="D21008" s="11"/>
      <c r="E21008" s="11"/>
      <c r="F21008" s="11"/>
      <c r="G21008" s="11"/>
      <c r="H21008" s="11"/>
      <c r="I21008" s="15"/>
    </row>
    <row r="21009" spans="1:9" ht="16.5">
      <c r="A21009" s="10" t="b">
        <v>0</v>
      </c>
      <c r="B21009" s="11" t="str">
        <f>IF(D21009&lt;&gt;"",IF(COUNTIF('USPTO TMs'!A:A,D21009)&gt;0,"Yes","No"),"")</f>
        <v/>
      </c>
      <c r="C21009" s="11"/>
      <c r="D21009" s="11"/>
      <c r="E21009" s="11"/>
      <c r="F21009" s="11"/>
      <c r="G21009" s="11"/>
      <c r="H21009" s="11"/>
      <c r="I21009" s="15"/>
    </row>
    <row r="21010" spans="1:9" ht="16.5">
      <c r="A21010" s="10" t="b">
        <v>0</v>
      </c>
      <c r="B21010" s="11" t="str">
        <f>IF(D21010&lt;&gt;"",IF(COUNTIF('USPTO TMs'!A:A,D21010)&gt;0,"Yes","No"),"")</f>
        <v/>
      </c>
      <c r="C21010" s="11"/>
      <c r="D21010" s="11"/>
      <c r="E21010" s="11"/>
      <c r="F21010" s="11"/>
      <c r="G21010" s="11"/>
      <c r="H21010" s="11"/>
      <c r="I21010" s="15"/>
    </row>
    <row r="21011" spans="1:9" ht="16.5">
      <c r="A21011" s="10" t="b">
        <v>0</v>
      </c>
      <c r="B21011" s="11" t="str">
        <f>IF(D21011&lt;&gt;"",IF(COUNTIF('USPTO TMs'!A:A,D21011)&gt;0,"Yes","No"),"")</f>
        <v/>
      </c>
      <c r="C21011" s="11"/>
      <c r="D21011" s="11"/>
      <c r="E21011" s="11"/>
      <c r="F21011" s="11"/>
      <c r="G21011" s="11"/>
      <c r="H21011" s="11"/>
      <c r="I21011" s="15"/>
    </row>
    <row r="21012" spans="1:9" ht="16.5">
      <c r="A21012" s="10" t="b">
        <v>0</v>
      </c>
      <c r="B21012" s="11" t="str">
        <f>IF(D21012&lt;&gt;"",IF(COUNTIF('USPTO TMs'!A:A,D21012)&gt;0,"Yes","No"),"")</f>
        <v/>
      </c>
      <c r="C21012" s="11"/>
      <c r="D21012" s="11"/>
      <c r="E21012" s="11"/>
      <c r="F21012" s="11"/>
      <c r="G21012" s="11"/>
      <c r="H21012" s="11"/>
      <c r="I21012" s="15"/>
    </row>
    <row r="21013" spans="1:9" ht="16.5">
      <c r="A21013" s="10" t="b">
        <v>0</v>
      </c>
      <c r="B21013" s="11" t="str">
        <f>IF(D21013&lt;&gt;"",IF(COUNTIF('USPTO TMs'!A:A,D21013)&gt;0,"Yes","No"),"")</f>
        <v/>
      </c>
      <c r="C21013" s="11"/>
      <c r="D21013" s="11"/>
      <c r="E21013" s="11"/>
      <c r="F21013" s="11"/>
      <c r="G21013" s="11"/>
      <c r="H21013" s="11"/>
      <c r="I21013" s="15"/>
    </row>
    <row r="21014" spans="1:9" ht="16.5">
      <c r="A21014" s="10" t="b">
        <v>0</v>
      </c>
      <c r="B21014" s="11" t="str">
        <f>IF(D21014&lt;&gt;"",IF(COUNTIF('USPTO TMs'!A:A,D21014)&gt;0,"Yes","No"),"")</f>
        <v/>
      </c>
      <c r="C21014" s="11"/>
      <c r="D21014" s="11"/>
      <c r="E21014" s="11"/>
      <c r="F21014" s="11"/>
      <c r="G21014" s="11"/>
      <c r="H21014" s="11"/>
      <c r="I21014" s="15"/>
    </row>
    <row r="21015" spans="1:9" ht="16.5">
      <c r="A21015" s="10" t="b">
        <v>0</v>
      </c>
      <c r="B21015" s="11" t="str">
        <f>IF(D21015&lt;&gt;"",IF(COUNTIF('USPTO TMs'!A:A,D21015)&gt;0,"Yes","No"),"")</f>
        <v/>
      </c>
      <c r="C21015" s="11"/>
      <c r="D21015" s="11"/>
      <c r="E21015" s="11"/>
      <c r="F21015" s="11"/>
      <c r="G21015" s="11"/>
      <c r="H21015" s="11"/>
      <c r="I21015" s="15"/>
    </row>
    <row r="21016" spans="1:9" ht="16.5">
      <c r="A21016" s="10" t="b">
        <v>0</v>
      </c>
      <c r="B21016" s="11" t="str">
        <f>IF(D21016&lt;&gt;"",IF(COUNTIF('USPTO TMs'!A:A,D21016)&gt;0,"Yes","No"),"")</f>
        <v/>
      </c>
      <c r="C21016" s="11"/>
      <c r="D21016" s="11"/>
      <c r="E21016" s="11"/>
      <c r="F21016" s="11"/>
      <c r="G21016" s="11"/>
      <c r="H21016" s="11"/>
      <c r="I21016" s="15"/>
    </row>
    <row r="21017" spans="1:9" ht="16.5">
      <c r="A21017" s="10" t="b">
        <v>0</v>
      </c>
      <c r="B21017" s="11" t="str">
        <f>IF(D21017&lt;&gt;"",IF(COUNTIF('USPTO TMs'!A:A,D21017)&gt;0,"Yes","No"),"")</f>
        <v/>
      </c>
      <c r="C21017" s="11"/>
      <c r="D21017" s="11"/>
      <c r="E21017" s="11"/>
      <c r="F21017" s="11"/>
      <c r="G21017" s="11"/>
      <c r="H21017" s="11"/>
      <c r="I21017" s="15"/>
    </row>
    <row r="21018" spans="1:9" ht="16.5">
      <c r="A21018" s="10" t="b">
        <v>0</v>
      </c>
      <c r="B21018" s="11" t="str">
        <f>IF(D21018&lt;&gt;"",IF(COUNTIF('USPTO TMs'!A:A,D21018)&gt;0,"Yes","No"),"")</f>
        <v/>
      </c>
      <c r="C21018" s="11"/>
      <c r="D21018" s="11"/>
      <c r="E21018" s="11"/>
      <c r="F21018" s="11"/>
      <c r="G21018" s="11"/>
      <c r="H21018" s="11"/>
      <c r="I21018" s="15"/>
    </row>
    <row r="21019" spans="1:9" ht="16.5">
      <c r="A21019" s="10" t="b">
        <v>0</v>
      </c>
      <c r="B21019" s="11" t="str">
        <f>IF(D21019&lt;&gt;"",IF(COUNTIF('USPTO TMs'!A:A,D21019)&gt;0,"Yes","No"),"")</f>
        <v/>
      </c>
      <c r="C21019" s="11"/>
      <c r="D21019" s="11"/>
      <c r="E21019" s="11"/>
      <c r="F21019" s="11"/>
      <c r="G21019" s="11"/>
      <c r="H21019" s="11"/>
      <c r="I21019" s="15"/>
    </row>
    <row r="21020" spans="1:9" ht="16.5">
      <c r="A21020" s="10" t="b">
        <v>0</v>
      </c>
      <c r="B21020" s="11" t="str">
        <f>IF(D21020&lt;&gt;"",IF(COUNTIF('USPTO TMs'!A:A,D21020)&gt;0,"Yes","No"),"")</f>
        <v/>
      </c>
      <c r="C21020" s="11"/>
      <c r="D21020" s="11"/>
      <c r="E21020" s="11"/>
      <c r="F21020" s="11"/>
      <c r="G21020" s="11"/>
      <c r="H21020" s="11"/>
      <c r="I21020" s="15"/>
    </row>
    <row r="21021" spans="1:9" ht="16.5">
      <c r="A21021" s="10" t="b">
        <v>0</v>
      </c>
      <c r="B21021" s="11" t="str">
        <f>IF(D21021&lt;&gt;"",IF(COUNTIF('USPTO TMs'!A:A,D21021)&gt;0,"Yes","No"),"")</f>
        <v/>
      </c>
      <c r="C21021" s="11"/>
      <c r="D21021" s="11"/>
      <c r="E21021" s="11"/>
      <c r="F21021" s="11"/>
      <c r="G21021" s="11"/>
      <c r="H21021" s="11"/>
      <c r="I21021" s="15"/>
    </row>
    <row r="21022" spans="1:9" ht="16.5">
      <c r="A21022" s="10" t="b">
        <v>0</v>
      </c>
      <c r="B21022" s="11" t="str">
        <f>IF(D21022&lt;&gt;"",IF(COUNTIF('USPTO TMs'!A:A,D21022)&gt;0,"Yes","No"),"")</f>
        <v/>
      </c>
      <c r="C21022" s="11"/>
      <c r="D21022" s="11"/>
      <c r="E21022" s="11"/>
      <c r="F21022" s="11"/>
      <c r="G21022" s="11"/>
      <c r="H21022" s="11"/>
      <c r="I21022" s="15"/>
    </row>
    <row r="21023" spans="1:9" ht="16.5">
      <c r="A21023" s="10" t="b">
        <v>0</v>
      </c>
      <c r="B21023" s="11" t="str">
        <f>IF(D21023&lt;&gt;"",IF(COUNTIF('USPTO TMs'!A:A,D21023)&gt;0,"Yes","No"),"")</f>
        <v/>
      </c>
      <c r="C21023" s="11"/>
      <c r="D21023" s="11"/>
      <c r="E21023" s="11"/>
      <c r="F21023" s="11"/>
      <c r="G21023" s="11"/>
      <c r="H21023" s="11"/>
      <c r="I21023" s="15"/>
    </row>
    <row r="21024" spans="1:9" ht="16.5">
      <c r="A21024" s="10" t="b">
        <v>0</v>
      </c>
      <c r="B21024" s="11" t="str">
        <f>IF(D21024&lt;&gt;"",IF(COUNTIF('USPTO TMs'!A:A,D21024)&gt;0,"Yes","No"),"")</f>
        <v/>
      </c>
      <c r="C21024" s="11"/>
      <c r="D21024" s="11"/>
      <c r="E21024" s="11"/>
      <c r="F21024" s="11"/>
      <c r="G21024" s="11"/>
      <c r="H21024" s="11"/>
      <c r="I21024" s="15"/>
    </row>
    <row r="21025" spans="1:9" ht="16.5">
      <c r="A21025" s="10" t="b">
        <v>0</v>
      </c>
      <c r="B21025" s="11" t="str">
        <f>IF(D21025&lt;&gt;"",IF(COUNTIF('USPTO TMs'!A:A,D21025)&gt;0,"Yes","No"),"")</f>
        <v/>
      </c>
      <c r="C21025" s="11"/>
      <c r="D21025" s="11"/>
      <c r="E21025" s="11"/>
      <c r="F21025" s="11"/>
      <c r="G21025" s="11"/>
      <c r="H21025" s="11"/>
      <c r="I21025" s="15"/>
    </row>
    <row r="21026" spans="1:9" ht="16.5">
      <c r="A21026" s="10" t="b">
        <v>0</v>
      </c>
      <c r="B21026" s="11" t="str">
        <f>IF(D21026&lt;&gt;"",IF(COUNTIF('USPTO TMs'!A:A,D21026)&gt;0,"Yes","No"),"")</f>
        <v/>
      </c>
      <c r="C21026" s="11"/>
      <c r="D21026" s="11"/>
      <c r="E21026" s="11"/>
      <c r="F21026" s="11"/>
      <c r="G21026" s="11"/>
      <c r="H21026" s="11"/>
      <c r="I21026" s="15"/>
    </row>
    <row r="21027" spans="1:9" ht="16.5">
      <c r="A21027" s="10" t="b">
        <v>0</v>
      </c>
      <c r="B21027" s="11" t="str">
        <f>IF(D21027&lt;&gt;"",IF(COUNTIF('USPTO TMs'!A:A,D21027)&gt;0,"Yes","No"),"")</f>
        <v/>
      </c>
      <c r="C21027" s="11"/>
      <c r="D21027" s="11"/>
      <c r="E21027" s="11"/>
      <c r="F21027" s="11"/>
      <c r="G21027" s="11"/>
      <c r="H21027" s="11"/>
      <c r="I21027" s="15"/>
    </row>
    <row r="21028" spans="1:9" ht="16.5">
      <c r="A21028" s="10" t="b">
        <v>0</v>
      </c>
      <c r="B21028" s="11" t="str">
        <f>IF(D21028&lt;&gt;"",IF(COUNTIF('USPTO TMs'!A:A,D21028)&gt;0,"Yes","No"),"")</f>
        <v/>
      </c>
      <c r="C21028" s="11"/>
      <c r="D21028" s="11"/>
      <c r="E21028" s="11"/>
      <c r="F21028" s="11"/>
      <c r="G21028" s="11"/>
      <c r="H21028" s="11"/>
      <c r="I21028" s="15"/>
    </row>
    <row r="21029" spans="1:9" ht="16.5">
      <c r="A21029" s="10" t="b">
        <v>0</v>
      </c>
      <c r="B21029" s="11" t="str">
        <f>IF(D21029&lt;&gt;"",IF(COUNTIF('USPTO TMs'!A:A,D21029)&gt;0,"Yes","No"),"")</f>
        <v/>
      </c>
      <c r="C21029" s="11"/>
      <c r="D21029" s="11"/>
      <c r="E21029" s="11"/>
      <c r="F21029" s="11"/>
      <c r="G21029" s="11"/>
      <c r="H21029" s="11"/>
      <c r="I21029" s="15"/>
    </row>
    <row r="21030" spans="1:9" ht="16.5">
      <c r="A21030" s="10" t="b">
        <v>0</v>
      </c>
      <c r="B21030" s="11" t="str">
        <f>IF(D21030&lt;&gt;"",IF(COUNTIF('USPTO TMs'!A:A,D21030)&gt;0,"Yes","No"),"")</f>
        <v/>
      </c>
      <c r="C21030" s="11"/>
      <c r="D21030" s="11"/>
      <c r="E21030" s="11"/>
      <c r="F21030" s="11"/>
      <c r="G21030" s="11"/>
      <c r="H21030" s="11"/>
      <c r="I21030" s="15"/>
    </row>
    <row r="21031" spans="1:9" ht="16.5">
      <c r="A21031" s="10" t="b">
        <v>0</v>
      </c>
      <c r="B21031" s="11" t="str">
        <f>IF(D21031&lt;&gt;"",IF(COUNTIF('USPTO TMs'!A:A,D21031)&gt;0,"Yes","No"),"")</f>
        <v/>
      </c>
      <c r="C21031" s="11"/>
      <c r="D21031" s="11"/>
      <c r="E21031" s="11"/>
      <c r="F21031" s="11"/>
      <c r="G21031" s="11"/>
      <c r="H21031" s="11"/>
      <c r="I21031" s="15"/>
    </row>
    <row r="21032" spans="1:9" ht="16.5">
      <c r="A21032" s="10" t="b">
        <v>0</v>
      </c>
      <c r="B21032" s="11" t="str">
        <f>IF(D21032&lt;&gt;"",IF(COUNTIF('USPTO TMs'!A:A,D21032)&gt;0,"Yes","No"),"")</f>
        <v/>
      </c>
      <c r="C21032" s="11"/>
      <c r="D21032" s="11"/>
      <c r="E21032" s="11"/>
      <c r="F21032" s="11"/>
      <c r="G21032" s="11"/>
      <c r="H21032" s="11"/>
      <c r="I21032" s="15"/>
    </row>
    <row r="21033" spans="1:9" ht="16.5">
      <c r="A21033" s="10" t="b">
        <v>0</v>
      </c>
      <c r="B21033" s="11" t="str">
        <f>IF(D21033&lt;&gt;"",IF(COUNTIF('USPTO TMs'!A:A,D21033)&gt;0,"Yes","No"),"")</f>
        <v/>
      </c>
      <c r="C21033" s="11"/>
      <c r="D21033" s="11"/>
      <c r="E21033" s="11"/>
      <c r="F21033" s="11"/>
      <c r="G21033" s="11"/>
      <c r="H21033" s="11"/>
      <c r="I21033" s="15"/>
    </row>
    <row r="21034" spans="1:9" ht="16.5">
      <c r="A21034" s="10" t="b">
        <v>0</v>
      </c>
      <c r="B21034" s="11" t="str">
        <f>IF(D21034&lt;&gt;"",IF(COUNTIF('USPTO TMs'!A:A,D21034)&gt;0,"Yes","No"),"")</f>
        <v/>
      </c>
      <c r="C21034" s="11"/>
      <c r="D21034" s="11"/>
      <c r="E21034" s="11"/>
      <c r="F21034" s="11"/>
      <c r="G21034" s="11"/>
      <c r="H21034" s="11"/>
      <c r="I21034" s="15"/>
    </row>
    <row r="21035" spans="1:9" ht="16.5">
      <c r="A21035" s="10" t="b">
        <v>0</v>
      </c>
      <c r="B21035" s="11" t="str">
        <f>IF(D21035&lt;&gt;"",IF(COUNTIF('USPTO TMs'!A:A,D21035)&gt;0,"Yes","No"),"")</f>
        <v/>
      </c>
      <c r="C21035" s="11"/>
      <c r="D21035" s="11"/>
      <c r="E21035" s="11"/>
      <c r="F21035" s="11"/>
      <c r="G21035" s="11"/>
      <c r="H21035" s="11"/>
      <c r="I21035" s="15"/>
    </row>
    <row r="21036" spans="1:9" ht="16.5">
      <c r="A21036" s="10" t="b">
        <v>0</v>
      </c>
      <c r="B21036" s="11" t="str">
        <f>IF(D21036&lt;&gt;"",IF(COUNTIF('USPTO TMs'!A:A,D21036)&gt;0,"Yes","No"),"")</f>
        <v/>
      </c>
      <c r="C21036" s="11"/>
      <c r="D21036" s="11"/>
      <c r="E21036" s="11"/>
      <c r="F21036" s="11"/>
      <c r="G21036" s="11"/>
      <c r="H21036" s="11"/>
      <c r="I21036" s="15"/>
    </row>
    <row r="21037" spans="1:9" ht="16.5">
      <c r="A21037" s="10" t="b">
        <v>0</v>
      </c>
      <c r="B21037" s="11" t="str">
        <f>IF(D21037&lt;&gt;"",IF(COUNTIF('USPTO TMs'!A:A,D21037)&gt;0,"Yes","No"),"")</f>
        <v/>
      </c>
      <c r="C21037" s="11"/>
      <c r="D21037" s="11"/>
      <c r="E21037" s="11"/>
      <c r="F21037" s="11"/>
      <c r="G21037" s="11"/>
      <c r="H21037" s="11"/>
      <c r="I21037" s="15"/>
    </row>
    <row r="21038" spans="1:9" ht="16.5">
      <c r="A21038" s="10" t="b">
        <v>0</v>
      </c>
      <c r="B21038" s="11" t="str">
        <f>IF(D21038&lt;&gt;"",IF(COUNTIF('USPTO TMs'!A:A,D21038)&gt;0,"Yes","No"),"")</f>
        <v/>
      </c>
      <c r="C21038" s="11"/>
      <c r="D21038" s="11"/>
      <c r="E21038" s="11"/>
      <c r="F21038" s="11"/>
      <c r="G21038" s="11"/>
      <c r="H21038" s="11"/>
      <c r="I21038" s="15"/>
    </row>
    <row r="21039" spans="1:9" ht="16.5">
      <c r="A21039" s="10" t="b">
        <v>0</v>
      </c>
      <c r="B21039" s="11" t="str">
        <f>IF(D21039&lt;&gt;"",IF(COUNTIF('USPTO TMs'!A:A,D21039)&gt;0,"Yes","No"),"")</f>
        <v/>
      </c>
      <c r="C21039" s="11"/>
      <c r="D21039" s="11"/>
      <c r="E21039" s="11"/>
      <c r="F21039" s="11"/>
      <c r="G21039" s="11"/>
      <c r="H21039" s="11"/>
      <c r="I21039" s="15"/>
    </row>
    <row r="21040" spans="1:9" ht="16.5">
      <c r="A21040" s="10" t="b">
        <v>0</v>
      </c>
      <c r="B21040" s="11" t="str">
        <f>IF(D21040&lt;&gt;"",IF(COUNTIF('USPTO TMs'!A:A,D21040)&gt;0,"Yes","No"),"")</f>
        <v/>
      </c>
      <c r="C21040" s="11"/>
      <c r="D21040" s="11"/>
      <c r="E21040" s="11"/>
      <c r="F21040" s="11"/>
      <c r="G21040" s="11"/>
      <c r="H21040" s="11"/>
      <c r="I21040" s="15"/>
    </row>
    <row r="21041" spans="1:9" ht="16.5">
      <c r="A21041" s="10" t="b">
        <v>0</v>
      </c>
      <c r="B21041" s="11" t="str">
        <f>IF(D21041&lt;&gt;"",IF(COUNTIF('USPTO TMs'!A:A,D21041)&gt;0,"Yes","No"),"")</f>
        <v/>
      </c>
      <c r="C21041" s="11"/>
      <c r="D21041" s="11"/>
      <c r="E21041" s="11"/>
      <c r="F21041" s="11"/>
      <c r="G21041" s="11"/>
      <c r="H21041" s="11"/>
      <c r="I21041" s="15"/>
    </row>
    <row r="21042" spans="1:9" ht="16.5">
      <c r="A21042" s="10" t="b">
        <v>0</v>
      </c>
      <c r="B21042" s="11" t="str">
        <f>IF(D21042&lt;&gt;"",IF(COUNTIF('USPTO TMs'!A:A,D21042)&gt;0,"Yes","No"),"")</f>
        <v/>
      </c>
      <c r="C21042" s="11"/>
      <c r="D21042" s="11"/>
      <c r="E21042" s="11"/>
      <c r="F21042" s="11"/>
      <c r="G21042" s="11"/>
      <c r="H21042" s="11"/>
      <c r="I21042" s="15"/>
    </row>
    <row r="21043" spans="1:9" ht="16.5">
      <c r="A21043" s="10" t="b">
        <v>0</v>
      </c>
      <c r="B21043" s="11" t="str">
        <f>IF(D21043&lt;&gt;"",IF(COUNTIF('USPTO TMs'!A:A,D21043)&gt;0,"Yes","No"),"")</f>
        <v/>
      </c>
      <c r="C21043" s="11"/>
      <c r="D21043" s="11"/>
      <c r="E21043" s="11"/>
      <c r="F21043" s="11"/>
      <c r="G21043" s="11"/>
      <c r="H21043" s="11"/>
      <c r="I21043" s="15"/>
    </row>
    <row r="21044" spans="1:9" ht="16.5">
      <c r="A21044" s="10" t="b">
        <v>0</v>
      </c>
      <c r="B21044" s="11" t="str">
        <f>IF(D21044&lt;&gt;"",IF(COUNTIF('USPTO TMs'!A:A,D21044)&gt;0,"Yes","No"),"")</f>
        <v/>
      </c>
      <c r="C21044" s="11"/>
      <c r="D21044" s="11"/>
      <c r="E21044" s="11"/>
      <c r="F21044" s="11"/>
      <c r="G21044" s="11"/>
      <c r="H21044" s="11"/>
      <c r="I21044" s="15"/>
    </row>
    <row r="21045" spans="1:9" ht="16.5">
      <c r="A21045" s="10" t="b">
        <v>0</v>
      </c>
      <c r="B21045" s="11" t="str">
        <f>IF(D21045&lt;&gt;"",IF(COUNTIF('USPTO TMs'!A:A,D21045)&gt;0,"Yes","No"),"")</f>
        <v/>
      </c>
      <c r="C21045" s="11"/>
      <c r="D21045" s="11"/>
      <c r="E21045" s="11"/>
      <c r="F21045" s="11"/>
      <c r="G21045" s="11"/>
      <c r="H21045" s="11"/>
      <c r="I21045" s="15"/>
    </row>
    <row r="21046" spans="1:9" ht="16.5">
      <c r="A21046" s="10" t="b">
        <v>0</v>
      </c>
      <c r="B21046" s="11" t="str">
        <f>IF(D21046&lt;&gt;"",IF(COUNTIF('USPTO TMs'!A:A,D21046)&gt;0,"Yes","No"),"")</f>
        <v/>
      </c>
      <c r="C21046" s="11"/>
      <c r="D21046" s="11"/>
      <c r="E21046" s="11"/>
      <c r="F21046" s="11"/>
      <c r="G21046" s="11"/>
      <c r="H21046" s="11"/>
      <c r="I21046" s="15"/>
    </row>
    <row r="21047" spans="1:9" ht="16.5">
      <c r="A21047" s="10" t="b">
        <v>0</v>
      </c>
      <c r="B21047" s="11" t="str">
        <f>IF(D21047&lt;&gt;"",IF(COUNTIF('USPTO TMs'!A:A,D21047)&gt;0,"Yes","No"),"")</f>
        <v/>
      </c>
      <c r="C21047" s="11"/>
      <c r="D21047" s="11"/>
      <c r="E21047" s="11"/>
      <c r="F21047" s="11"/>
      <c r="G21047" s="11"/>
      <c r="H21047" s="11"/>
      <c r="I21047" s="15"/>
    </row>
    <row r="21048" spans="1:9" ht="16.5">
      <c r="A21048" s="10" t="b">
        <v>0</v>
      </c>
      <c r="B21048" s="11" t="str">
        <f>IF(D21048&lt;&gt;"",IF(COUNTIF('USPTO TMs'!A:A,D21048)&gt;0,"Yes","No"),"")</f>
        <v/>
      </c>
      <c r="C21048" s="11"/>
      <c r="D21048" s="11"/>
      <c r="E21048" s="11"/>
      <c r="F21048" s="11"/>
      <c r="G21048" s="11"/>
      <c r="H21048" s="11"/>
      <c r="I21048" s="15"/>
    </row>
    <row r="21049" spans="1:9" ht="16.5">
      <c r="A21049" s="10" t="b">
        <v>0</v>
      </c>
      <c r="B21049" s="11" t="str">
        <f>IF(D21049&lt;&gt;"",IF(COUNTIF('USPTO TMs'!A:A,D21049)&gt;0,"Yes","No"),"")</f>
        <v/>
      </c>
      <c r="C21049" s="11"/>
      <c r="D21049" s="11"/>
      <c r="E21049" s="11"/>
      <c r="F21049" s="11"/>
      <c r="G21049" s="11"/>
      <c r="H21049" s="11"/>
      <c r="I21049" s="15"/>
    </row>
    <row r="21050" spans="1:9" ht="16.5">
      <c r="A21050" s="10" t="b">
        <v>0</v>
      </c>
      <c r="B21050" s="11" t="str">
        <f>IF(D21050&lt;&gt;"",IF(COUNTIF('USPTO TMs'!A:A,D21050)&gt;0,"Yes","No"),"")</f>
        <v/>
      </c>
      <c r="C21050" s="11"/>
      <c r="D21050" s="11"/>
      <c r="E21050" s="11"/>
      <c r="F21050" s="11"/>
      <c r="G21050" s="11"/>
      <c r="H21050" s="11"/>
      <c r="I21050" s="15"/>
    </row>
    <row r="21051" spans="1:9" ht="16.5">
      <c r="A21051" s="10" t="b">
        <v>0</v>
      </c>
      <c r="B21051" s="11" t="str">
        <f>IF(D21051&lt;&gt;"",IF(COUNTIF('USPTO TMs'!A:A,D21051)&gt;0,"Yes","No"),"")</f>
        <v/>
      </c>
      <c r="C21051" s="11"/>
      <c r="D21051" s="11"/>
      <c r="E21051" s="11"/>
      <c r="F21051" s="11"/>
      <c r="G21051" s="11"/>
      <c r="H21051" s="11"/>
      <c r="I21051" s="15"/>
    </row>
    <row r="21052" spans="1:9" ht="16.5">
      <c r="A21052" s="10" t="b">
        <v>0</v>
      </c>
      <c r="B21052" s="11" t="str">
        <f>IF(D21052&lt;&gt;"",IF(COUNTIF('USPTO TMs'!A:A,D21052)&gt;0,"Yes","No"),"")</f>
        <v/>
      </c>
      <c r="C21052" s="11"/>
      <c r="D21052" s="11"/>
      <c r="E21052" s="11"/>
      <c r="F21052" s="11"/>
      <c r="G21052" s="11"/>
      <c r="H21052" s="11"/>
      <c r="I21052" s="15"/>
    </row>
    <row r="21053" spans="1:9" ht="16.5">
      <c r="A21053" s="10" t="b">
        <v>0</v>
      </c>
      <c r="B21053" s="11" t="str">
        <f>IF(D21053&lt;&gt;"",IF(COUNTIF('USPTO TMs'!A:A,D21053)&gt;0,"Yes","No"),"")</f>
        <v/>
      </c>
      <c r="C21053" s="11"/>
      <c r="D21053" s="11"/>
      <c r="E21053" s="11"/>
      <c r="F21053" s="11"/>
      <c r="G21053" s="11"/>
      <c r="H21053" s="11"/>
      <c r="I21053" s="15"/>
    </row>
    <row r="21054" spans="1:9" ht="16.5">
      <c r="A21054" s="10" t="b">
        <v>0</v>
      </c>
      <c r="B21054" s="11" t="str">
        <f>IF(D21054&lt;&gt;"",IF(COUNTIF('USPTO TMs'!A:A,D21054)&gt;0,"Yes","No"),"")</f>
        <v/>
      </c>
      <c r="C21054" s="11"/>
      <c r="D21054" s="11"/>
      <c r="E21054" s="11"/>
      <c r="F21054" s="11"/>
      <c r="G21054" s="11"/>
      <c r="H21054" s="11"/>
      <c r="I21054" s="15"/>
    </row>
    <row r="21055" spans="1:9" ht="16.5">
      <c r="A21055" s="10" t="b">
        <v>0</v>
      </c>
      <c r="B21055" s="11" t="str">
        <f>IF(D21055&lt;&gt;"",IF(COUNTIF('USPTO TMs'!A:A,D21055)&gt;0,"Yes","No"),"")</f>
        <v/>
      </c>
      <c r="C21055" s="11"/>
      <c r="D21055" s="11"/>
      <c r="E21055" s="11"/>
      <c r="F21055" s="11"/>
      <c r="G21055" s="11"/>
      <c r="H21055" s="11"/>
      <c r="I21055" s="15"/>
    </row>
    <row r="21056" spans="1:9" ht="16.5">
      <c r="A21056" s="10" t="b">
        <v>0</v>
      </c>
      <c r="B21056" s="11" t="str">
        <f>IF(D21056&lt;&gt;"",IF(COUNTIF('USPTO TMs'!A:A,D21056)&gt;0,"Yes","No"),"")</f>
        <v/>
      </c>
      <c r="C21056" s="11"/>
      <c r="D21056" s="11"/>
      <c r="E21056" s="11"/>
      <c r="F21056" s="11"/>
      <c r="G21056" s="11"/>
      <c r="H21056" s="11"/>
      <c r="I21056" s="15"/>
    </row>
    <row r="21057" spans="1:9" ht="16.5">
      <c r="A21057" s="10" t="b">
        <v>0</v>
      </c>
      <c r="B21057" s="11" t="str">
        <f>IF(D21057&lt;&gt;"",IF(COUNTIF('USPTO TMs'!A:A,D21057)&gt;0,"Yes","No"),"")</f>
        <v/>
      </c>
      <c r="C21057" s="11"/>
      <c r="D21057" s="11"/>
      <c r="E21057" s="11"/>
      <c r="F21057" s="11"/>
      <c r="G21057" s="11"/>
      <c r="H21057" s="11"/>
      <c r="I21057" s="15"/>
    </row>
    <row r="21058" spans="1:9" ht="16.5">
      <c r="A21058" s="10" t="b">
        <v>0</v>
      </c>
      <c r="B21058" s="11" t="str">
        <f>IF(D21058&lt;&gt;"",IF(COUNTIF('USPTO TMs'!A:A,D21058)&gt;0,"Yes","No"),"")</f>
        <v/>
      </c>
      <c r="C21058" s="11"/>
      <c r="D21058" s="11"/>
      <c r="E21058" s="11"/>
      <c r="F21058" s="11"/>
      <c r="G21058" s="11"/>
      <c r="H21058" s="11"/>
      <c r="I21058" s="15"/>
    </row>
    <row r="21059" spans="1:9" ht="16.5">
      <c r="A21059" s="10" t="b">
        <v>0</v>
      </c>
      <c r="B21059" s="11" t="str">
        <f>IF(D21059&lt;&gt;"",IF(COUNTIF('USPTO TMs'!A:A,D21059)&gt;0,"Yes","No"),"")</f>
        <v/>
      </c>
      <c r="C21059" s="11"/>
      <c r="D21059" s="11"/>
      <c r="E21059" s="11"/>
      <c r="F21059" s="11"/>
      <c r="G21059" s="11"/>
      <c r="H21059" s="11"/>
      <c r="I21059" s="15"/>
    </row>
    <row r="21060" spans="1:9" ht="16.5">
      <c r="A21060" s="10" t="b">
        <v>0</v>
      </c>
      <c r="B21060" s="11" t="str">
        <f>IF(D21060&lt;&gt;"",IF(COUNTIF('USPTO TMs'!A:A,D21060)&gt;0,"Yes","No"),"")</f>
        <v/>
      </c>
      <c r="C21060" s="11"/>
      <c r="D21060" s="11"/>
      <c r="E21060" s="11"/>
      <c r="F21060" s="11"/>
      <c r="G21060" s="11"/>
      <c r="H21060" s="11"/>
      <c r="I21060" s="15"/>
    </row>
    <row r="21061" spans="1:9" ht="16.5">
      <c r="A21061" s="10" t="b">
        <v>0</v>
      </c>
      <c r="B21061" s="11" t="str">
        <f>IF(D21061&lt;&gt;"",IF(COUNTIF('USPTO TMs'!A:A,D21061)&gt;0,"Yes","No"),"")</f>
        <v/>
      </c>
      <c r="C21061" s="11"/>
      <c r="D21061" s="11"/>
      <c r="E21061" s="11"/>
      <c r="F21061" s="11"/>
      <c r="G21061" s="11"/>
      <c r="H21061" s="11"/>
      <c r="I21061" s="15"/>
    </row>
    <row r="21062" spans="1:9" ht="16.5">
      <c r="A21062" s="10" t="b">
        <v>0</v>
      </c>
      <c r="B21062" s="11" t="str">
        <f>IF(D21062&lt;&gt;"",IF(COUNTIF('USPTO TMs'!A:A,D21062)&gt;0,"Yes","No"),"")</f>
        <v/>
      </c>
      <c r="C21062" s="11"/>
      <c r="D21062" s="11"/>
      <c r="E21062" s="11"/>
      <c r="F21062" s="11"/>
      <c r="G21062" s="11"/>
      <c r="H21062" s="11"/>
      <c r="I21062" s="15"/>
    </row>
    <row r="21063" spans="1:9" ht="16.5">
      <c r="A21063" s="10" t="b">
        <v>0</v>
      </c>
      <c r="B21063" s="11" t="str">
        <f>IF(D21063&lt;&gt;"",IF(COUNTIF('USPTO TMs'!A:A,D21063)&gt;0,"Yes","No"),"")</f>
        <v/>
      </c>
      <c r="C21063" s="11"/>
      <c r="D21063" s="11"/>
      <c r="E21063" s="11"/>
      <c r="F21063" s="11"/>
      <c r="G21063" s="11"/>
      <c r="H21063" s="11"/>
      <c r="I21063" s="15"/>
    </row>
    <row r="21064" spans="1:9" ht="16.5">
      <c r="A21064" s="10" t="b">
        <v>0</v>
      </c>
      <c r="B21064" s="11" t="str">
        <f>IF(D21064&lt;&gt;"",IF(COUNTIF('USPTO TMs'!A:A,D21064)&gt;0,"Yes","No"),"")</f>
        <v/>
      </c>
      <c r="C21064" s="11"/>
      <c r="D21064" s="11"/>
      <c r="E21064" s="11"/>
      <c r="F21064" s="11"/>
      <c r="G21064" s="11"/>
      <c r="H21064" s="11"/>
      <c r="I21064" s="15"/>
    </row>
    <row r="21065" spans="1:9" ht="16.5">
      <c r="A21065" s="10" t="b">
        <v>0</v>
      </c>
      <c r="B21065" s="11" t="str">
        <f>IF(D21065&lt;&gt;"",IF(COUNTIF('USPTO TMs'!A:A,D21065)&gt;0,"Yes","No"),"")</f>
        <v/>
      </c>
      <c r="C21065" s="11"/>
      <c r="D21065" s="11"/>
      <c r="E21065" s="11"/>
      <c r="F21065" s="11"/>
      <c r="G21065" s="11"/>
      <c r="H21065" s="11"/>
      <c r="I21065" s="15"/>
    </row>
    <row r="21066" spans="1:9" ht="16.5">
      <c r="A21066" s="10" t="b">
        <v>0</v>
      </c>
      <c r="B21066" s="11" t="str">
        <f>IF(D21066&lt;&gt;"",IF(COUNTIF('USPTO TMs'!A:A,D21066)&gt;0,"Yes","No"),"")</f>
        <v/>
      </c>
      <c r="C21066" s="11"/>
      <c r="D21066" s="11"/>
      <c r="E21066" s="11"/>
      <c r="F21066" s="11"/>
      <c r="G21066" s="11"/>
      <c r="H21066" s="11"/>
      <c r="I21066" s="15"/>
    </row>
    <row r="21067" spans="1:9" ht="16.5">
      <c r="A21067" s="10" t="b">
        <v>0</v>
      </c>
      <c r="B21067" s="11" t="str">
        <f>IF(D21067&lt;&gt;"",IF(COUNTIF('USPTO TMs'!A:A,D21067)&gt;0,"Yes","No"),"")</f>
        <v/>
      </c>
      <c r="C21067" s="11"/>
      <c r="D21067" s="11"/>
      <c r="E21067" s="11"/>
      <c r="F21067" s="11"/>
      <c r="G21067" s="11"/>
      <c r="H21067" s="11"/>
      <c r="I21067" s="15"/>
    </row>
    <row r="21068" spans="1:9" ht="16.5">
      <c r="A21068" s="10" t="b">
        <v>0</v>
      </c>
      <c r="B21068" s="11" t="str">
        <f>IF(D21068&lt;&gt;"",IF(COUNTIF('USPTO TMs'!A:A,D21068)&gt;0,"Yes","No"),"")</f>
        <v/>
      </c>
      <c r="C21068" s="11"/>
      <c r="D21068" s="11"/>
      <c r="E21068" s="11"/>
      <c r="F21068" s="11"/>
      <c r="G21068" s="11"/>
      <c r="H21068" s="11"/>
      <c r="I21068" s="15"/>
    </row>
    <row r="21069" spans="1:9" ht="16.5">
      <c r="A21069" s="10" t="b">
        <v>0</v>
      </c>
      <c r="B21069" s="11" t="str">
        <f>IF(D21069&lt;&gt;"",IF(COUNTIF('USPTO TMs'!A:A,D21069)&gt;0,"Yes","No"),"")</f>
        <v/>
      </c>
      <c r="C21069" s="11"/>
      <c r="D21069" s="11"/>
      <c r="E21069" s="11"/>
      <c r="F21069" s="11"/>
      <c r="G21069" s="11"/>
      <c r="H21069" s="11"/>
      <c r="I21069" s="15"/>
    </row>
    <row r="21070" spans="1:9" ht="16.5">
      <c r="A21070" s="10" t="b">
        <v>0</v>
      </c>
      <c r="B21070" s="11" t="str">
        <f>IF(D21070&lt;&gt;"",IF(COUNTIF('USPTO TMs'!A:A,D21070)&gt;0,"Yes","No"),"")</f>
        <v/>
      </c>
      <c r="C21070" s="11"/>
      <c r="D21070" s="11"/>
      <c r="E21070" s="11"/>
      <c r="F21070" s="11"/>
      <c r="G21070" s="11"/>
      <c r="H21070" s="11"/>
      <c r="I21070" s="15"/>
    </row>
    <row r="21071" spans="1:9" ht="16.5">
      <c r="A21071" s="10" t="b">
        <v>0</v>
      </c>
      <c r="B21071" s="11" t="str">
        <f>IF(D21071&lt;&gt;"",IF(COUNTIF('USPTO TMs'!A:A,D21071)&gt;0,"Yes","No"),"")</f>
        <v/>
      </c>
      <c r="C21071" s="11"/>
      <c r="D21071" s="11"/>
      <c r="E21071" s="11"/>
      <c r="F21071" s="11"/>
      <c r="G21071" s="11"/>
      <c r="H21071" s="11"/>
      <c r="I21071" s="15"/>
    </row>
    <row r="21072" spans="1:9" ht="16.5">
      <c r="A21072" s="10" t="b">
        <v>0</v>
      </c>
      <c r="B21072" s="11" t="str">
        <f>IF(D21072&lt;&gt;"",IF(COUNTIF('USPTO TMs'!A:A,D21072)&gt;0,"Yes","No"),"")</f>
        <v/>
      </c>
      <c r="C21072" s="11"/>
      <c r="D21072" s="11"/>
      <c r="E21072" s="11"/>
      <c r="F21072" s="11"/>
      <c r="G21072" s="11"/>
      <c r="H21072" s="11"/>
      <c r="I21072" s="15"/>
    </row>
    <row r="21073" spans="1:9" ht="16.5">
      <c r="A21073" s="10" t="b">
        <v>0</v>
      </c>
      <c r="B21073" s="11" t="str">
        <f>IF(D21073&lt;&gt;"",IF(COUNTIF('USPTO TMs'!A:A,D21073)&gt;0,"Yes","No"),"")</f>
        <v/>
      </c>
      <c r="C21073" s="11"/>
      <c r="D21073" s="11"/>
      <c r="E21073" s="11"/>
      <c r="F21073" s="11"/>
      <c r="G21073" s="11"/>
      <c r="H21073" s="11"/>
      <c r="I21073" s="15"/>
    </row>
    <row r="21074" spans="1:9" ht="16.5">
      <c r="A21074" s="10" t="b">
        <v>0</v>
      </c>
      <c r="B21074" s="11" t="str">
        <f>IF(D21074&lt;&gt;"",IF(COUNTIF('USPTO TMs'!A:A,D21074)&gt;0,"Yes","No"),"")</f>
        <v/>
      </c>
      <c r="C21074" s="11"/>
      <c r="D21074" s="11"/>
      <c r="E21074" s="11"/>
      <c r="F21074" s="11"/>
      <c r="G21074" s="11"/>
      <c r="H21074" s="11"/>
      <c r="I21074" s="15"/>
    </row>
    <row r="21075" spans="1:9" ht="16.5">
      <c r="A21075" s="10" t="b">
        <v>0</v>
      </c>
      <c r="B21075" s="11" t="str">
        <f>IF(D21075&lt;&gt;"",IF(COUNTIF('USPTO TMs'!A:A,D21075)&gt;0,"Yes","No"),"")</f>
        <v/>
      </c>
      <c r="C21075" s="11"/>
      <c r="D21075" s="11"/>
      <c r="E21075" s="11"/>
      <c r="F21075" s="11"/>
      <c r="G21075" s="11"/>
      <c r="H21075" s="11"/>
      <c r="I21075" s="15"/>
    </row>
    <row r="21076" spans="1:9" ht="16.5">
      <c r="A21076" s="10" t="b">
        <v>0</v>
      </c>
      <c r="B21076" s="11" t="str">
        <f>IF(D21076&lt;&gt;"",IF(COUNTIF('USPTO TMs'!A:A,D21076)&gt;0,"Yes","No"),"")</f>
        <v/>
      </c>
      <c r="C21076" s="11"/>
      <c r="D21076" s="11"/>
      <c r="E21076" s="11"/>
      <c r="F21076" s="11"/>
      <c r="G21076" s="11"/>
      <c r="H21076" s="11"/>
      <c r="I21076" s="15"/>
    </row>
    <row r="21077" spans="1:9" ht="16.5">
      <c r="A21077" s="10" t="b">
        <v>0</v>
      </c>
      <c r="B21077" s="11" t="str">
        <f>IF(D21077&lt;&gt;"",IF(COUNTIF('USPTO TMs'!A:A,D21077)&gt;0,"Yes","No"),"")</f>
        <v/>
      </c>
      <c r="C21077" s="11"/>
      <c r="D21077" s="11"/>
      <c r="E21077" s="11"/>
      <c r="F21077" s="11"/>
      <c r="G21077" s="11"/>
      <c r="H21077" s="11"/>
      <c r="I21077" s="15"/>
    </row>
    <row r="21078" spans="1:9" ht="16.5">
      <c r="A21078" s="10" t="b">
        <v>0</v>
      </c>
      <c r="B21078" s="11" t="str">
        <f>IF(D21078&lt;&gt;"",IF(COUNTIF('USPTO TMs'!A:A,D21078)&gt;0,"Yes","No"),"")</f>
        <v/>
      </c>
      <c r="C21078" s="11"/>
      <c r="D21078" s="11"/>
      <c r="E21078" s="11"/>
      <c r="F21078" s="11"/>
      <c r="G21078" s="11"/>
      <c r="H21078" s="11"/>
      <c r="I21078" s="15"/>
    </row>
    <row r="21079" spans="1:9" ht="16.5">
      <c r="A21079" s="10" t="b">
        <v>0</v>
      </c>
      <c r="B21079" s="11" t="str">
        <f>IF(D21079&lt;&gt;"",IF(COUNTIF('USPTO TMs'!A:A,D21079)&gt;0,"Yes","No"),"")</f>
        <v/>
      </c>
      <c r="C21079" s="11"/>
      <c r="D21079" s="11"/>
      <c r="E21079" s="11"/>
      <c r="F21079" s="11"/>
      <c r="G21079" s="11"/>
      <c r="H21079" s="11"/>
      <c r="I21079" s="15"/>
    </row>
    <row r="21080" spans="1:9" ht="16.5">
      <c r="A21080" s="10" t="b">
        <v>0</v>
      </c>
      <c r="B21080" s="11" t="str">
        <f>IF(D21080&lt;&gt;"",IF(COUNTIF('USPTO TMs'!A:A,D21080)&gt;0,"Yes","No"),"")</f>
        <v/>
      </c>
      <c r="C21080" s="11"/>
      <c r="D21080" s="11"/>
      <c r="E21080" s="11"/>
      <c r="F21080" s="11"/>
      <c r="G21080" s="11"/>
      <c r="H21080" s="11"/>
      <c r="I21080" s="15"/>
    </row>
    <row r="21081" spans="1:9" ht="16.5">
      <c r="A21081" s="10" t="b">
        <v>0</v>
      </c>
      <c r="B21081" s="11" t="str">
        <f>IF(D21081&lt;&gt;"",IF(COUNTIF('USPTO TMs'!A:A,D21081)&gt;0,"Yes","No"),"")</f>
        <v/>
      </c>
      <c r="C21081" s="11"/>
      <c r="D21081" s="11"/>
      <c r="E21081" s="11"/>
      <c r="F21081" s="11"/>
      <c r="G21081" s="11"/>
      <c r="H21081" s="11"/>
      <c r="I21081" s="15"/>
    </row>
    <row r="21082" spans="1:9" ht="16.5">
      <c r="A21082" s="10" t="b">
        <v>0</v>
      </c>
      <c r="B21082" s="11" t="str">
        <f>IF(D21082&lt;&gt;"",IF(COUNTIF('USPTO TMs'!A:A,D21082)&gt;0,"Yes","No"),"")</f>
        <v/>
      </c>
      <c r="C21082" s="11"/>
      <c r="D21082" s="11"/>
      <c r="E21082" s="11"/>
      <c r="F21082" s="11"/>
      <c r="G21082" s="11"/>
      <c r="H21082" s="11"/>
      <c r="I21082" s="15"/>
    </row>
    <row r="21083" spans="1:9" ht="16.5">
      <c r="A21083" s="10" t="b">
        <v>0</v>
      </c>
      <c r="B21083" s="11" t="str">
        <f>IF(D21083&lt;&gt;"",IF(COUNTIF('USPTO TMs'!A:A,D21083)&gt;0,"Yes","No"),"")</f>
        <v/>
      </c>
      <c r="C21083" s="11"/>
      <c r="D21083" s="11"/>
      <c r="E21083" s="11"/>
      <c r="F21083" s="11"/>
      <c r="G21083" s="11"/>
      <c r="H21083" s="11"/>
      <c r="I21083" s="15"/>
    </row>
    <row r="21084" spans="1:9" ht="16.5">
      <c r="A21084" s="10" t="b">
        <v>0</v>
      </c>
      <c r="B21084" s="11" t="str">
        <f>IF(D21084&lt;&gt;"",IF(COUNTIF('USPTO TMs'!A:A,D21084)&gt;0,"Yes","No"),"")</f>
        <v/>
      </c>
      <c r="C21084" s="11"/>
      <c r="D21084" s="11"/>
      <c r="E21084" s="11"/>
      <c r="F21084" s="11"/>
      <c r="G21084" s="11"/>
      <c r="H21084" s="11"/>
      <c r="I21084" s="15"/>
    </row>
    <row r="21085" spans="1:9" ht="16.5">
      <c r="A21085" s="10" t="b">
        <v>0</v>
      </c>
      <c r="B21085" s="11" t="str">
        <f>IF(D21085&lt;&gt;"",IF(COUNTIF('USPTO TMs'!A:A,D21085)&gt;0,"Yes","No"),"")</f>
        <v/>
      </c>
      <c r="C21085" s="11"/>
      <c r="D21085" s="11"/>
      <c r="E21085" s="11"/>
      <c r="F21085" s="11"/>
      <c r="G21085" s="11"/>
      <c r="H21085" s="11"/>
      <c r="I21085" s="15"/>
    </row>
    <row r="21086" spans="1:9" ht="16.5">
      <c r="A21086" s="10" t="b">
        <v>0</v>
      </c>
      <c r="B21086" s="11" t="str">
        <f>IF(D21086&lt;&gt;"",IF(COUNTIF('USPTO TMs'!A:A,D21086)&gt;0,"Yes","No"),"")</f>
        <v/>
      </c>
      <c r="C21086" s="11"/>
      <c r="D21086" s="11"/>
      <c r="E21086" s="11"/>
      <c r="F21086" s="11"/>
      <c r="G21086" s="11"/>
      <c r="H21086" s="11"/>
      <c r="I21086" s="15"/>
    </row>
    <row r="21087" spans="1:9" ht="16.5">
      <c r="A21087" s="10" t="b">
        <v>0</v>
      </c>
      <c r="B21087" s="11" t="str">
        <f>IF(D21087&lt;&gt;"",IF(COUNTIF('USPTO TMs'!A:A,D21087)&gt;0,"Yes","No"),"")</f>
        <v/>
      </c>
      <c r="C21087" s="11"/>
      <c r="D21087" s="11"/>
      <c r="E21087" s="11"/>
      <c r="F21087" s="11"/>
      <c r="G21087" s="11"/>
      <c r="H21087" s="11"/>
      <c r="I21087" s="15"/>
    </row>
    <row r="21088" spans="1:9" ht="16.5">
      <c r="A21088" s="10" t="b">
        <v>0</v>
      </c>
      <c r="B21088" s="11" t="str">
        <f>IF(D21088&lt;&gt;"",IF(COUNTIF('USPTO TMs'!A:A,D21088)&gt;0,"Yes","No"),"")</f>
        <v/>
      </c>
      <c r="C21088" s="11"/>
      <c r="D21088" s="11"/>
      <c r="E21088" s="11"/>
      <c r="F21088" s="11"/>
      <c r="G21088" s="11"/>
      <c r="H21088" s="11"/>
      <c r="I21088" s="15"/>
    </row>
    <row r="21089" spans="1:9" ht="16.5">
      <c r="A21089" s="10" t="b">
        <v>0</v>
      </c>
      <c r="B21089" s="11" t="str">
        <f>IF(D21089&lt;&gt;"",IF(COUNTIF('USPTO TMs'!A:A,D21089)&gt;0,"Yes","No"),"")</f>
        <v/>
      </c>
      <c r="C21089" s="11"/>
      <c r="D21089" s="11"/>
      <c r="E21089" s="11"/>
      <c r="F21089" s="11"/>
      <c r="G21089" s="11"/>
      <c r="H21089" s="11"/>
      <c r="I21089" s="15"/>
    </row>
    <row r="21090" spans="1:9" ht="16.5">
      <c r="A21090" s="10" t="b">
        <v>0</v>
      </c>
      <c r="B21090" s="11" t="str">
        <f>IF(D21090&lt;&gt;"",IF(COUNTIF('USPTO TMs'!A:A,D21090)&gt;0,"Yes","No"),"")</f>
        <v/>
      </c>
      <c r="C21090" s="11"/>
      <c r="D21090" s="11"/>
      <c r="E21090" s="11"/>
      <c r="F21090" s="11"/>
      <c r="G21090" s="11"/>
      <c r="H21090" s="11"/>
      <c r="I21090" s="15"/>
    </row>
    <row r="21091" spans="1:9" ht="16.5">
      <c r="A21091" s="10" t="b">
        <v>0</v>
      </c>
      <c r="B21091" s="11" t="str">
        <f>IF(D21091&lt;&gt;"",IF(COUNTIF('USPTO TMs'!A:A,D21091)&gt;0,"Yes","No"),"")</f>
        <v/>
      </c>
      <c r="C21091" s="11"/>
      <c r="D21091" s="11"/>
      <c r="E21091" s="11"/>
      <c r="F21091" s="11"/>
      <c r="G21091" s="11"/>
      <c r="H21091" s="11"/>
      <c r="I21091" s="15"/>
    </row>
    <row r="21092" spans="1:9" ht="16.5">
      <c r="A21092" s="10" t="b">
        <v>0</v>
      </c>
      <c r="B21092" s="11" t="str">
        <f>IF(D21092&lt;&gt;"",IF(COUNTIF('USPTO TMs'!A:A,D21092)&gt;0,"Yes","No"),"")</f>
        <v/>
      </c>
      <c r="C21092" s="11"/>
      <c r="D21092" s="11"/>
      <c r="E21092" s="11"/>
      <c r="F21092" s="11"/>
      <c r="G21092" s="11"/>
      <c r="H21092" s="11"/>
      <c r="I21092" s="15"/>
    </row>
    <row r="21093" spans="1:9" ht="16.5">
      <c r="A21093" s="10" t="b">
        <v>0</v>
      </c>
      <c r="B21093" s="11" t="str">
        <f>IF(D21093&lt;&gt;"",IF(COUNTIF('USPTO TMs'!A:A,D21093)&gt;0,"Yes","No"),"")</f>
        <v/>
      </c>
      <c r="C21093" s="11"/>
      <c r="D21093" s="11"/>
      <c r="E21093" s="11"/>
      <c r="F21093" s="11"/>
      <c r="G21093" s="11"/>
      <c r="H21093" s="11"/>
      <c r="I21093" s="15"/>
    </row>
    <row r="21094" spans="1:9" ht="16.5">
      <c r="A21094" s="10" t="b">
        <v>0</v>
      </c>
      <c r="B21094" s="11" t="str">
        <f>IF(D21094&lt;&gt;"",IF(COUNTIF('USPTO TMs'!A:A,D21094)&gt;0,"Yes","No"),"")</f>
        <v/>
      </c>
      <c r="C21094" s="11"/>
      <c r="D21094" s="11"/>
      <c r="E21094" s="11"/>
      <c r="F21094" s="11"/>
      <c r="G21094" s="11"/>
      <c r="H21094" s="11"/>
      <c r="I21094" s="15"/>
    </row>
    <row r="21095" spans="1:9" ht="16.5">
      <c r="A21095" s="10" t="b">
        <v>0</v>
      </c>
      <c r="B21095" s="11" t="str">
        <f>IF(D21095&lt;&gt;"",IF(COUNTIF('USPTO TMs'!A:A,D21095)&gt;0,"Yes","No"),"")</f>
        <v/>
      </c>
      <c r="C21095" s="11"/>
      <c r="D21095" s="11"/>
      <c r="E21095" s="11"/>
      <c r="F21095" s="11"/>
      <c r="G21095" s="11"/>
      <c r="H21095" s="11"/>
      <c r="I21095" s="15"/>
    </row>
    <row r="21096" spans="1:9" ht="16.5">
      <c r="A21096" s="10" t="b">
        <v>0</v>
      </c>
      <c r="B21096" s="11" t="str">
        <f>IF(D21096&lt;&gt;"",IF(COUNTIF('USPTO TMs'!A:A,D21096)&gt;0,"Yes","No"),"")</f>
        <v/>
      </c>
      <c r="C21096" s="11"/>
      <c r="D21096" s="11"/>
      <c r="E21096" s="11"/>
      <c r="F21096" s="11"/>
      <c r="G21096" s="11"/>
      <c r="H21096" s="11"/>
      <c r="I21096" s="15"/>
    </row>
    <row r="21097" spans="1:9" ht="16.5">
      <c r="A21097" s="10" t="b">
        <v>0</v>
      </c>
      <c r="B21097" s="11" t="str">
        <f>IF(D21097&lt;&gt;"",IF(COUNTIF('USPTO TMs'!A:A,D21097)&gt;0,"Yes","No"),"")</f>
        <v/>
      </c>
      <c r="C21097" s="11"/>
      <c r="D21097" s="11"/>
      <c r="E21097" s="11"/>
      <c r="F21097" s="11"/>
      <c r="G21097" s="11"/>
      <c r="H21097" s="11"/>
      <c r="I21097" s="15"/>
    </row>
    <row r="21098" spans="1:9" ht="16.5">
      <c r="A21098" s="10" t="b">
        <v>0</v>
      </c>
      <c r="B21098" s="11" t="str">
        <f>IF(D21098&lt;&gt;"",IF(COUNTIF('USPTO TMs'!A:A,D21098)&gt;0,"Yes","No"),"")</f>
        <v/>
      </c>
      <c r="C21098" s="11"/>
      <c r="D21098" s="11"/>
      <c r="E21098" s="11"/>
      <c r="F21098" s="11"/>
      <c r="G21098" s="11"/>
      <c r="H21098" s="11"/>
      <c r="I21098" s="15"/>
    </row>
    <row r="21099" spans="1:9" ht="16.5">
      <c r="A21099" s="10" t="b">
        <v>0</v>
      </c>
      <c r="B21099" s="11" t="str">
        <f>IF(D21099&lt;&gt;"",IF(COUNTIF('USPTO TMs'!A:A,D21099)&gt;0,"Yes","No"),"")</f>
        <v/>
      </c>
      <c r="C21099" s="11"/>
      <c r="D21099" s="11"/>
      <c r="E21099" s="11"/>
      <c r="F21099" s="11"/>
      <c r="G21099" s="11"/>
      <c r="H21099" s="11"/>
      <c r="I21099" s="15"/>
    </row>
    <row r="21100" spans="1:9" ht="16.5">
      <c r="A21100" s="10" t="b">
        <v>0</v>
      </c>
      <c r="B21100" s="11" t="str">
        <f>IF(D21100&lt;&gt;"",IF(COUNTIF('USPTO TMs'!A:A,D21100)&gt;0,"Yes","No"),"")</f>
        <v/>
      </c>
      <c r="C21100" s="11"/>
      <c r="D21100" s="11"/>
      <c r="E21100" s="11"/>
      <c r="F21100" s="11"/>
      <c r="G21100" s="11"/>
      <c r="H21100" s="11"/>
      <c r="I21100" s="15"/>
    </row>
    <row r="21101" spans="1:9" ht="16.5">
      <c r="A21101" s="10" t="b">
        <v>0</v>
      </c>
      <c r="B21101" s="11" t="str">
        <f>IF(D21101&lt;&gt;"",IF(COUNTIF('USPTO TMs'!A:A,D21101)&gt;0,"Yes","No"),"")</f>
        <v/>
      </c>
      <c r="C21101" s="11"/>
      <c r="D21101" s="11"/>
      <c r="E21101" s="11"/>
      <c r="F21101" s="11"/>
      <c r="G21101" s="11"/>
      <c r="H21101" s="11"/>
      <c r="I21101" s="15"/>
    </row>
    <row r="21102" spans="1:9" ht="16.5">
      <c r="A21102" s="10" t="b">
        <v>0</v>
      </c>
      <c r="B21102" s="11" t="str">
        <f>IF(D21102&lt;&gt;"",IF(COUNTIF('USPTO TMs'!A:A,D21102)&gt;0,"Yes","No"),"")</f>
        <v/>
      </c>
      <c r="C21102" s="11"/>
      <c r="D21102" s="11"/>
      <c r="E21102" s="11"/>
      <c r="F21102" s="11"/>
      <c r="G21102" s="11"/>
      <c r="H21102" s="11"/>
      <c r="I21102" s="15"/>
    </row>
    <row r="21103" spans="1:9" ht="16.5">
      <c r="A21103" s="10" t="b">
        <v>0</v>
      </c>
      <c r="B21103" s="11" t="str">
        <f>IF(D21103&lt;&gt;"",IF(COUNTIF('USPTO TMs'!A:A,D21103)&gt;0,"Yes","No"),"")</f>
        <v/>
      </c>
      <c r="C21103" s="11"/>
      <c r="D21103" s="11"/>
      <c r="E21103" s="11"/>
      <c r="F21103" s="11"/>
      <c r="G21103" s="11"/>
      <c r="H21103" s="11"/>
      <c r="I21103" s="15"/>
    </row>
    <row r="21104" spans="1:9" ht="16.5">
      <c r="A21104" s="10" t="b">
        <v>0</v>
      </c>
      <c r="B21104" s="11" t="str">
        <f>IF(D21104&lt;&gt;"",IF(COUNTIF('USPTO TMs'!A:A,D21104)&gt;0,"Yes","No"),"")</f>
        <v/>
      </c>
      <c r="C21104" s="11"/>
      <c r="D21104" s="11"/>
      <c r="E21104" s="11"/>
      <c r="F21104" s="11"/>
      <c r="G21104" s="11"/>
      <c r="H21104" s="11"/>
      <c r="I21104" s="15"/>
    </row>
    <row r="21105" spans="1:9" ht="16.5">
      <c r="A21105" s="10" t="b">
        <v>0</v>
      </c>
      <c r="B21105" s="11" t="str">
        <f>IF(D21105&lt;&gt;"",IF(COUNTIF('USPTO TMs'!A:A,D21105)&gt;0,"Yes","No"),"")</f>
        <v/>
      </c>
      <c r="C21105" s="11"/>
      <c r="D21105" s="11"/>
      <c r="E21105" s="11"/>
      <c r="F21105" s="11"/>
      <c r="G21105" s="11"/>
      <c r="H21105" s="11"/>
      <c r="I21105" s="15"/>
    </row>
    <row r="21106" spans="1:9" ht="16.5">
      <c r="A21106" s="10" t="b">
        <v>0</v>
      </c>
      <c r="B21106" s="11" t="str">
        <f>IF(D21106&lt;&gt;"",IF(COUNTIF('USPTO TMs'!A:A,D21106)&gt;0,"Yes","No"),"")</f>
        <v/>
      </c>
      <c r="C21106" s="11"/>
      <c r="D21106" s="11"/>
      <c r="E21106" s="11"/>
      <c r="F21106" s="11"/>
      <c r="G21106" s="11"/>
      <c r="H21106" s="11"/>
      <c r="I21106" s="15"/>
    </row>
    <row r="21107" spans="1:9" ht="16.5">
      <c r="A21107" s="10" t="b">
        <v>0</v>
      </c>
      <c r="B21107" s="11" t="str">
        <f>IF(D21107&lt;&gt;"",IF(COUNTIF('USPTO TMs'!A:A,D21107)&gt;0,"Yes","No"),"")</f>
        <v/>
      </c>
      <c r="C21107" s="11"/>
      <c r="D21107" s="11"/>
      <c r="E21107" s="11"/>
      <c r="F21107" s="11"/>
      <c r="G21107" s="11"/>
      <c r="H21107" s="11"/>
      <c r="I21107" s="15"/>
    </row>
    <row r="21108" spans="1:9" ht="16.5">
      <c r="A21108" s="10" t="b">
        <v>0</v>
      </c>
      <c r="B21108" s="11" t="str">
        <f>IF(D21108&lt;&gt;"",IF(COUNTIF('USPTO TMs'!A:A,D21108)&gt;0,"Yes","No"),"")</f>
        <v/>
      </c>
      <c r="C21108" s="11"/>
      <c r="D21108" s="11"/>
      <c r="E21108" s="11"/>
      <c r="F21108" s="11"/>
      <c r="G21108" s="11"/>
      <c r="H21108" s="11"/>
      <c r="I21108" s="15"/>
    </row>
    <row r="21109" spans="1:9" ht="16.5">
      <c r="A21109" s="10" t="b">
        <v>0</v>
      </c>
      <c r="B21109" s="11" t="str">
        <f>IF(D21109&lt;&gt;"",IF(COUNTIF('USPTO TMs'!A:A,D21109)&gt;0,"Yes","No"),"")</f>
        <v/>
      </c>
      <c r="C21109" s="11"/>
      <c r="D21109" s="11"/>
      <c r="E21109" s="11"/>
      <c r="F21109" s="11"/>
      <c r="G21109" s="11"/>
      <c r="H21109" s="11"/>
      <c r="I21109" s="15"/>
    </row>
    <row r="21110" spans="1:9" ht="16.5">
      <c r="A21110" s="10" t="b">
        <v>0</v>
      </c>
      <c r="B21110" s="11" t="str">
        <f>IF(D21110&lt;&gt;"",IF(COUNTIF('USPTO TMs'!A:A,D21110)&gt;0,"Yes","No"),"")</f>
        <v/>
      </c>
      <c r="C21110" s="11"/>
      <c r="D21110" s="11"/>
      <c r="E21110" s="11"/>
      <c r="F21110" s="11"/>
      <c r="G21110" s="11"/>
      <c r="H21110" s="11"/>
      <c r="I21110" s="15"/>
    </row>
    <row r="21111" spans="1:9" ht="16.5">
      <c r="A21111" s="10" t="b">
        <v>0</v>
      </c>
      <c r="B21111" s="11" t="str">
        <f>IF(D21111&lt;&gt;"",IF(COUNTIF('USPTO TMs'!A:A,D21111)&gt;0,"Yes","No"),"")</f>
        <v/>
      </c>
      <c r="C21111" s="11"/>
      <c r="D21111" s="11"/>
      <c r="E21111" s="11"/>
      <c r="F21111" s="11"/>
      <c r="G21111" s="11"/>
      <c r="H21111" s="11"/>
      <c r="I21111" s="15"/>
    </row>
    <row r="21112" spans="1:9" ht="16.5">
      <c r="A21112" s="10" t="b">
        <v>0</v>
      </c>
      <c r="B21112" s="11" t="str">
        <f>IF(D21112&lt;&gt;"",IF(COUNTIF('USPTO TMs'!A:A,D21112)&gt;0,"Yes","No"),"")</f>
        <v/>
      </c>
      <c r="C21112" s="11"/>
      <c r="D21112" s="11"/>
      <c r="E21112" s="11"/>
      <c r="F21112" s="11"/>
      <c r="G21112" s="11"/>
      <c r="H21112" s="11"/>
      <c r="I21112" s="15"/>
    </row>
    <row r="21113" spans="1:9" ht="16.5">
      <c r="A21113" s="10" t="b">
        <v>0</v>
      </c>
      <c r="B21113" s="11" t="str">
        <f>IF(D21113&lt;&gt;"",IF(COUNTIF('USPTO TMs'!A:A,D21113)&gt;0,"Yes","No"),"")</f>
        <v/>
      </c>
      <c r="C21113" s="11"/>
      <c r="D21113" s="11"/>
      <c r="E21113" s="11"/>
      <c r="F21113" s="11"/>
      <c r="G21113" s="11"/>
      <c r="H21113" s="11"/>
      <c r="I21113" s="15"/>
    </row>
    <row r="21114" spans="1:9" ht="16.5">
      <c r="A21114" s="10" t="b">
        <v>0</v>
      </c>
      <c r="B21114" s="11" t="str">
        <f>IF(D21114&lt;&gt;"",IF(COUNTIF('USPTO TMs'!A:A,D21114)&gt;0,"Yes","No"),"")</f>
        <v/>
      </c>
      <c r="C21114" s="11"/>
      <c r="D21114" s="11"/>
      <c r="E21114" s="11"/>
      <c r="F21114" s="11"/>
      <c r="G21114" s="11"/>
      <c r="H21114" s="11"/>
      <c r="I21114" s="15"/>
    </row>
    <row r="21115" spans="1:9" ht="16.5">
      <c r="A21115" s="10" t="b">
        <v>0</v>
      </c>
      <c r="B21115" s="11" t="str">
        <f>IF(D21115&lt;&gt;"",IF(COUNTIF('USPTO TMs'!A:A,D21115)&gt;0,"Yes","No"),"")</f>
        <v/>
      </c>
      <c r="C21115" s="11"/>
      <c r="D21115" s="11"/>
      <c r="E21115" s="11"/>
      <c r="F21115" s="11"/>
      <c r="G21115" s="11"/>
      <c r="H21115" s="11"/>
      <c r="I21115" s="15"/>
    </row>
    <row r="21116" spans="1:9" ht="16.5">
      <c r="A21116" s="10" t="b">
        <v>0</v>
      </c>
      <c r="B21116" s="11" t="str">
        <f>IF(D21116&lt;&gt;"",IF(COUNTIF('USPTO TMs'!A:A,D21116)&gt;0,"Yes","No"),"")</f>
        <v/>
      </c>
      <c r="C21116" s="11"/>
      <c r="D21116" s="11"/>
      <c r="E21116" s="11"/>
      <c r="F21116" s="11"/>
      <c r="G21116" s="11"/>
      <c r="H21116" s="11"/>
      <c r="I21116" s="15"/>
    </row>
    <row r="21117" spans="1:9" ht="16.5">
      <c r="A21117" s="10" t="b">
        <v>0</v>
      </c>
      <c r="B21117" s="11" t="str">
        <f>IF(D21117&lt;&gt;"",IF(COUNTIF('USPTO TMs'!A:A,D21117)&gt;0,"Yes","No"),"")</f>
        <v/>
      </c>
      <c r="C21117" s="11"/>
      <c r="D21117" s="11"/>
      <c r="E21117" s="11"/>
      <c r="F21117" s="11"/>
      <c r="G21117" s="11"/>
      <c r="H21117" s="11"/>
      <c r="I21117" s="15"/>
    </row>
    <row r="21118" spans="1:9" ht="16.5">
      <c r="A21118" s="10" t="b">
        <v>0</v>
      </c>
      <c r="B21118" s="11" t="str">
        <f>IF(D21118&lt;&gt;"",IF(COUNTIF('USPTO TMs'!A:A,D21118)&gt;0,"Yes","No"),"")</f>
        <v/>
      </c>
      <c r="C21118" s="11"/>
      <c r="D21118" s="11"/>
      <c r="E21118" s="11"/>
      <c r="F21118" s="11"/>
      <c r="G21118" s="11"/>
      <c r="H21118" s="11"/>
      <c r="I21118" s="15"/>
    </row>
    <row r="21119" spans="1:9" ht="16.5">
      <c r="A21119" s="10" t="b">
        <v>0</v>
      </c>
      <c r="B21119" s="11" t="str">
        <f>IF(D21119&lt;&gt;"",IF(COUNTIF('USPTO TMs'!A:A,D21119)&gt;0,"Yes","No"),"")</f>
        <v/>
      </c>
      <c r="C21119" s="11"/>
      <c r="D21119" s="11"/>
      <c r="E21119" s="11"/>
      <c r="F21119" s="11"/>
      <c r="G21119" s="11"/>
      <c r="H21119" s="11"/>
      <c r="I21119" s="15"/>
    </row>
    <row r="21120" spans="1:9" ht="16.5">
      <c r="A21120" s="10" t="b">
        <v>0</v>
      </c>
      <c r="B21120" s="11" t="str">
        <f>IF(D21120&lt;&gt;"",IF(COUNTIF('USPTO TMs'!A:A,D21120)&gt;0,"Yes","No"),"")</f>
        <v/>
      </c>
      <c r="C21120" s="11"/>
      <c r="D21120" s="11"/>
      <c r="E21120" s="11"/>
      <c r="F21120" s="11"/>
      <c r="G21120" s="11"/>
      <c r="H21120" s="11"/>
      <c r="I21120" s="15"/>
    </row>
    <row r="21121" spans="1:9" ht="16.5">
      <c r="A21121" s="10" t="b">
        <v>0</v>
      </c>
      <c r="B21121" s="11" t="str">
        <f>IF(D21121&lt;&gt;"",IF(COUNTIF('USPTO TMs'!A:A,D21121)&gt;0,"Yes","No"),"")</f>
        <v/>
      </c>
      <c r="C21121" s="11"/>
      <c r="D21121" s="11"/>
      <c r="E21121" s="11"/>
      <c r="F21121" s="11"/>
      <c r="G21121" s="11"/>
      <c r="H21121" s="11"/>
      <c r="I21121" s="15"/>
    </row>
    <row r="21122" spans="1:9" ht="16.5">
      <c r="A21122" s="10" t="b">
        <v>0</v>
      </c>
      <c r="B21122" s="11" t="str">
        <f>IF(D21122&lt;&gt;"",IF(COUNTIF('USPTO TMs'!A:A,D21122)&gt;0,"Yes","No"),"")</f>
        <v/>
      </c>
      <c r="C21122" s="11"/>
      <c r="D21122" s="11"/>
      <c r="E21122" s="11"/>
      <c r="F21122" s="11"/>
      <c r="G21122" s="11"/>
      <c r="H21122" s="11"/>
      <c r="I21122" s="15"/>
    </row>
    <row r="21123" spans="1:9" ht="16.5">
      <c r="A21123" s="10" t="b">
        <v>0</v>
      </c>
      <c r="B21123" s="11" t="str">
        <f>IF(D21123&lt;&gt;"",IF(COUNTIF('USPTO TMs'!A:A,D21123)&gt;0,"Yes","No"),"")</f>
        <v/>
      </c>
      <c r="C21123" s="11"/>
      <c r="D21123" s="11"/>
      <c r="E21123" s="11"/>
      <c r="F21123" s="11"/>
      <c r="G21123" s="11"/>
      <c r="H21123" s="11"/>
      <c r="I21123" s="15"/>
    </row>
    <row r="21124" spans="1:9" ht="16.5">
      <c r="A21124" s="10" t="b">
        <v>0</v>
      </c>
      <c r="B21124" s="11" t="str">
        <f>IF(D21124&lt;&gt;"",IF(COUNTIF('USPTO TMs'!A:A,D21124)&gt;0,"Yes","No"),"")</f>
        <v/>
      </c>
      <c r="C21124" s="11"/>
      <c r="D21124" s="11"/>
      <c r="E21124" s="11"/>
      <c r="F21124" s="11"/>
      <c r="G21124" s="11"/>
      <c r="H21124" s="11"/>
      <c r="I21124" s="15"/>
    </row>
    <row r="21125" spans="1:9" ht="16.5">
      <c r="A21125" s="10" t="b">
        <v>0</v>
      </c>
      <c r="B21125" s="11" t="str">
        <f>IF(D21125&lt;&gt;"",IF(COUNTIF('USPTO TMs'!A:A,D21125)&gt;0,"Yes","No"),"")</f>
        <v/>
      </c>
      <c r="C21125" s="11"/>
      <c r="D21125" s="11"/>
      <c r="E21125" s="11"/>
      <c r="F21125" s="11"/>
      <c r="G21125" s="11"/>
      <c r="H21125" s="11"/>
      <c r="I21125" s="15"/>
    </row>
    <row r="21126" spans="1:9" ht="16.5">
      <c r="A21126" s="10" t="b">
        <v>0</v>
      </c>
      <c r="B21126" s="11" t="str">
        <f>IF(D21126&lt;&gt;"",IF(COUNTIF('USPTO TMs'!A:A,D21126)&gt;0,"Yes","No"),"")</f>
        <v/>
      </c>
      <c r="C21126" s="11"/>
      <c r="D21126" s="11"/>
      <c r="E21126" s="11"/>
      <c r="F21126" s="11"/>
      <c r="G21126" s="11"/>
      <c r="H21126" s="11"/>
      <c r="I21126" s="15"/>
    </row>
    <row r="21127" spans="1:9" ht="16.5">
      <c r="A21127" s="10" t="b">
        <v>0</v>
      </c>
      <c r="B21127" s="11" t="str">
        <f>IF(D21127&lt;&gt;"",IF(COUNTIF('USPTO TMs'!A:A,D21127)&gt;0,"Yes","No"),"")</f>
        <v/>
      </c>
      <c r="C21127" s="11"/>
      <c r="D21127" s="11"/>
      <c r="E21127" s="11"/>
      <c r="F21127" s="11"/>
      <c r="G21127" s="11"/>
      <c r="H21127" s="11"/>
      <c r="I21127" s="15"/>
    </row>
    <row r="21128" spans="1:9" ht="16.5">
      <c r="A21128" s="10" t="b">
        <v>0</v>
      </c>
      <c r="B21128" s="11" t="str">
        <f>IF(D21128&lt;&gt;"",IF(COUNTIF('USPTO TMs'!A:A,D21128)&gt;0,"Yes","No"),"")</f>
        <v/>
      </c>
      <c r="C21128" s="11"/>
      <c r="D21128" s="11"/>
      <c r="E21128" s="11"/>
      <c r="F21128" s="11"/>
      <c r="G21128" s="11"/>
      <c r="H21128" s="11"/>
      <c r="I21128" s="15"/>
    </row>
    <row r="21129" spans="1:9" ht="16.5">
      <c r="A21129" s="10" t="b">
        <v>0</v>
      </c>
      <c r="B21129" s="11" t="str">
        <f>IF(D21129&lt;&gt;"",IF(COUNTIF('USPTO TMs'!A:A,D21129)&gt;0,"Yes","No"),"")</f>
        <v/>
      </c>
      <c r="C21129" s="11"/>
      <c r="D21129" s="11"/>
      <c r="E21129" s="11"/>
      <c r="F21129" s="11"/>
      <c r="G21129" s="11"/>
      <c r="H21129" s="11"/>
      <c r="I21129" s="15"/>
    </row>
    <row r="21130" spans="1:9" ht="16.5">
      <c r="A21130" s="10" t="b">
        <v>0</v>
      </c>
      <c r="B21130" s="11" t="str">
        <f>IF(D21130&lt;&gt;"",IF(COUNTIF('USPTO TMs'!A:A,D21130)&gt;0,"Yes","No"),"")</f>
        <v/>
      </c>
      <c r="C21130" s="11"/>
      <c r="D21130" s="11"/>
      <c r="E21130" s="11"/>
      <c r="F21130" s="11"/>
      <c r="G21130" s="11"/>
      <c r="H21130" s="11"/>
      <c r="I21130" s="15"/>
    </row>
    <row r="21131" spans="1:9" ht="16.5">
      <c r="A21131" s="10" t="b">
        <v>0</v>
      </c>
      <c r="B21131" s="11" t="str">
        <f>IF(D21131&lt;&gt;"",IF(COUNTIF('USPTO TMs'!A:A,D21131)&gt;0,"Yes","No"),"")</f>
        <v/>
      </c>
      <c r="C21131" s="11"/>
      <c r="D21131" s="11"/>
      <c r="E21131" s="11"/>
      <c r="F21131" s="11"/>
      <c r="G21131" s="11"/>
      <c r="H21131" s="11"/>
      <c r="I21131" s="15"/>
    </row>
    <row r="21132" spans="1:9" ht="16.5">
      <c r="A21132" s="10" t="b">
        <v>0</v>
      </c>
      <c r="B21132" s="11" t="str">
        <f>IF(D21132&lt;&gt;"",IF(COUNTIF('USPTO TMs'!A:A,D21132)&gt;0,"Yes","No"),"")</f>
        <v/>
      </c>
      <c r="C21132" s="11"/>
      <c r="D21132" s="11"/>
      <c r="E21132" s="11"/>
      <c r="F21132" s="11"/>
      <c r="G21132" s="11"/>
      <c r="H21132" s="11"/>
      <c r="I21132" s="15"/>
    </row>
    <row r="21133" spans="1:9" ht="16.5">
      <c r="A21133" s="10" t="b">
        <v>0</v>
      </c>
      <c r="B21133" s="11" t="str">
        <f>IF(D21133&lt;&gt;"",IF(COUNTIF('USPTO TMs'!A:A,D21133)&gt;0,"Yes","No"),"")</f>
        <v/>
      </c>
      <c r="C21133" s="11"/>
      <c r="D21133" s="11"/>
      <c r="E21133" s="11"/>
      <c r="F21133" s="11"/>
      <c r="G21133" s="11"/>
      <c r="H21133" s="11"/>
      <c r="I21133" s="15"/>
    </row>
    <row r="21134" spans="1:9" ht="16.5">
      <c r="A21134" s="10" t="b">
        <v>0</v>
      </c>
      <c r="B21134" s="11" t="str">
        <f>IF(D21134&lt;&gt;"",IF(COUNTIF('USPTO TMs'!A:A,D21134)&gt;0,"Yes","No"),"")</f>
        <v/>
      </c>
      <c r="C21134" s="11"/>
      <c r="D21134" s="11"/>
      <c r="E21134" s="11"/>
      <c r="F21134" s="11"/>
      <c r="G21134" s="11"/>
      <c r="H21134" s="11"/>
      <c r="I21134" s="15"/>
    </row>
    <row r="21135" spans="1:9" ht="16.5">
      <c r="A21135" s="10" t="b">
        <v>0</v>
      </c>
      <c r="B21135" s="11" t="str">
        <f>IF(D21135&lt;&gt;"",IF(COUNTIF('USPTO TMs'!A:A,D21135)&gt;0,"Yes","No"),"")</f>
        <v/>
      </c>
      <c r="C21135" s="11"/>
      <c r="D21135" s="11"/>
      <c r="E21135" s="11"/>
      <c r="F21135" s="11"/>
      <c r="G21135" s="11"/>
      <c r="H21135" s="11"/>
      <c r="I21135" s="15"/>
    </row>
    <row r="21136" spans="1:9" ht="16.5">
      <c r="A21136" s="10" t="b">
        <v>0</v>
      </c>
      <c r="B21136" s="11" t="str">
        <f>IF(D21136&lt;&gt;"",IF(COUNTIF('USPTO TMs'!A:A,D21136)&gt;0,"Yes","No"),"")</f>
        <v/>
      </c>
      <c r="C21136" s="11"/>
      <c r="D21136" s="11"/>
      <c r="E21136" s="11"/>
      <c r="F21136" s="11"/>
      <c r="G21136" s="11"/>
      <c r="H21136" s="11"/>
      <c r="I21136" s="15"/>
    </row>
    <row r="21137" spans="1:9" ht="16.5">
      <c r="A21137" s="10" t="b">
        <v>0</v>
      </c>
      <c r="B21137" s="11" t="str">
        <f>IF(D21137&lt;&gt;"",IF(COUNTIF('USPTO TMs'!A:A,D21137)&gt;0,"Yes","No"),"")</f>
        <v/>
      </c>
      <c r="C21137" s="11"/>
      <c r="D21137" s="11"/>
      <c r="E21137" s="11"/>
      <c r="F21137" s="11"/>
      <c r="G21137" s="11"/>
      <c r="H21137" s="11"/>
      <c r="I21137" s="15"/>
    </row>
    <row r="21138" spans="1:9" ht="16.5">
      <c r="A21138" s="10" t="b">
        <v>0</v>
      </c>
      <c r="B21138" s="11" t="str">
        <f>IF(D21138&lt;&gt;"",IF(COUNTIF('USPTO TMs'!A:A,D21138)&gt;0,"Yes","No"),"")</f>
        <v/>
      </c>
      <c r="C21138" s="11"/>
      <c r="D21138" s="11"/>
      <c r="E21138" s="11"/>
      <c r="F21138" s="11"/>
      <c r="G21138" s="11"/>
      <c r="H21138" s="11"/>
      <c r="I21138" s="15"/>
    </row>
    <row r="21139" spans="1:9" ht="16.5">
      <c r="A21139" s="10" t="b">
        <v>0</v>
      </c>
      <c r="B21139" s="11" t="str">
        <f>IF(D21139&lt;&gt;"",IF(COUNTIF('USPTO TMs'!A:A,D21139)&gt;0,"Yes","No"),"")</f>
        <v/>
      </c>
      <c r="C21139" s="11"/>
      <c r="D21139" s="11"/>
      <c r="E21139" s="11"/>
      <c r="F21139" s="11"/>
      <c r="G21139" s="11"/>
      <c r="H21139" s="11"/>
      <c r="I21139" s="15"/>
    </row>
    <row r="21140" spans="1:9" ht="16.5">
      <c r="A21140" s="10" t="b">
        <v>0</v>
      </c>
      <c r="B21140" s="11" t="str">
        <f>IF(D21140&lt;&gt;"",IF(COUNTIF('USPTO TMs'!A:A,D21140)&gt;0,"Yes","No"),"")</f>
        <v/>
      </c>
      <c r="C21140" s="11"/>
      <c r="D21140" s="11"/>
      <c r="E21140" s="11"/>
      <c r="F21140" s="11"/>
      <c r="G21140" s="11"/>
      <c r="H21140" s="11"/>
      <c r="I21140" s="15"/>
    </row>
    <row r="21141" spans="1:9" ht="16.5">
      <c r="A21141" s="10" t="b">
        <v>0</v>
      </c>
      <c r="B21141" s="11" t="str">
        <f>IF(D21141&lt;&gt;"",IF(COUNTIF('USPTO TMs'!A:A,D21141)&gt;0,"Yes","No"),"")</f>
        <v/>
      </c>
      <c r="C21141" s="11"/>
      <c r="D21141" s="11"/>
      <c r="E21141" s="11"/>
      <c r="F21141" s="11"/>
      <c r="G21141" s="11"/>
      <c r="H21141" s="11"/>
      <c r="I21141" s="15"/>
    </row>
    <row r="21142" spans="1:9" ht="16.5">
      <c r="A21142" s="10" t="b">
        <v>0</v>
      </c>
      <c r="B21142" s="11" t="str">
        <f>IF(D21142&lt;&gt;"",IF(COUNTIF('USPTO TMs'!A:A,D21142)&gt;0,"Yes","No"),"")</f>
        <v/>
      </c>
      <c r="C21142" s="11"/>
      <c r="D21142" s="11"/>
      <c r="E21142" s="11"/>
      <c r="F21142" s="11"/>
      <c r="G21142" s="11"/>
      <c r="H21142" s="11"/>
      <c r="I21142" s="15"/>
    </row>
    <row r="21143" spans="1:9" ht="16.5">
      <c r="A21143" s="10" t="b">
        <v>0</v>
      </c>
      <c r="B21143" s="11" t="str">
        <f>IF(D21143&lt;&gt;"",IF(COUNTIF('USPTO TMs'!A:A,D21143)&gt;0,"Yes","No"),"")</f>
        <v/>
      </c>
      <c r="C21143" s="11"/>
      <c r="D21143" s="11"/>
      <c r="E21143" s="11"/>
      <c r="F21143" s="11"/>
      <c r="G21143" s="11"/>
      <c r="H21143" s="11"/>
      <c r="I21143" s="15"/>
    </row>
    <row r="21144" spans="1:9" ht="16.5">
      <c r="A21144" s="10" t="b">
        <v>0</v>
      </c>
      <c r="B21144" s="11" t="str">
        <f>IF(D21144&lt;&gt;"",IF(COUNTIF('USPTO TMs'!A:A,D21144)&gt;0,"Yes","No"),"")</f>
        <v/>
      </c>
      <c r="C21144" s="11"/>
      <c r="D21144" s="11"/>
      <c r="E21144" s="11"/>
      <c r="F21144" s="11"/>
      <c r="G21144" s="11"/>
      <c r="H21144" s="11"/>
      <c r="I21144" s="15"/>
    </row>
    <row r="21145" spans="1:9" ht="16.5">
      <c r="A21145" s="10" t="b">
        <v>0</v>
      </c>
      <c r="B21145" s="11" t="str">
        <f>IF(D21145&lt;&gt;"",IF(COUNTIF('USPTO TMs'!A:A,D21145)&gt;0,"Yes","No"),"")</f>
        <v/>
      </c>
      <c r="C21145" s="11"/>
      <c r="D21145" s="11"/>
      <c r="E21145" s="11"/>
      <c r="F21145" s="11"/>
      <c r="G21145" s="11"/>
      <c r="H21145" s="11"/>
      <c r="I21145" s="15"/>
    </row>
    <row r="21146" spans="1:9" ht="16.5">
      <c r="A21146" s="10" t="b">
        <v>0</v>
      </c>
      <c r="B21146" s="11" t="str">
        <f>IF(D21146&lt;&gt;"",IF(COUNTIF('USPTO TMs'!A:A,D21146)&gt;0,"Yes","No"),"")</f>
        <v/>
      </c>
      <c r="C21146" s="11"/>
      <c r="D21146" s="11"/>
      <c r="E21146" s="11"/>
      <c r="F21146" s="11"/>
      <c r="G21146" s="11"/>
      <c r="H21146" s="11"/>
      <c r="I21146" s="15"/>
    </row>
    <row r="21147" spans="1:9" ht="16.5">
      <c r="A21147" s="10" t="b">
        <v>0</v>
      </c>
      <c r="B21147" s="11" t="str">
        <f>IF(D21147&lt;&gt;"",IF(COUNTIF('USPTO TMs'!A:A,D21147)&gt;0,"Yes","No"),"")</f>
        <v/>
      </c>
      <c r="C21147" s="11"/>
      <c r="D21147" s="11"/>
      <c r="E21147" s="11"/>
      <c r="F21147" s="11"/>
      <c r="G21147" s="11"/>
      <c r="H21147" s="11"/>
      <c r="I21147" s="15"/>
    </row>
    <row r="21148" spans="1:9" ht="16.5">
      <c r="A21148" s="10" t="b">
        <v>0</v>
      </c>
      <c r="B21148" s="11" t="str">
        <f>IF(D21148&lt;&gt;"",IF(COUNTIF('USPTO TMs'!A:A,D21148)&gt;0,"Yes","No"),"")</f>
        <v/>
      </c>
      <c r="C21148" s="11"/>
      <c r="D21148" s="11"/>
      <c r="E21148" s="11"/>
      <c r="F21148" s="11"/>
      <c r="G21148" s="11"/>
      <c r="H21148" s="11"/>
      <c r="I21148" s="15"/>
    </row>
    <row r="21149" spans="1:9" ht="16.5">
      <c r="A21149" s="10" t="b">
        <v>0</v>
      </c>
      <c r="B21149" s="11" t="str">
        <f>IF(D21149&lt;&gt;"",IF(COUNTIF('USPTO TMs'!A:A,D21149)&gt;0,"Yes","No"),"")</f>
        <v/>
      </c>
      <c r="C21149" s="11"/>
      <c r="D21149" s="11"/>
      <c r="E21149" s="11"/>
      <c r="F21149" s="11"/>
      <c r="G21149" s="11"/>
      <c r="H21149" s="11"/>
      <c r="I21149" s="15"/>
    </row>
    <row r="21150" spans="1:9" ht="16.5">
      <c r="A21150" s="10" t="b">
        <v>0</v>
      </c>
      <c r="B21150" s="11" t="str">
        <f>IF(D21150&lt;&gt;"",IF(COUNTIF('USPTO TMs'!A:A,D21150)&gt;0,"Yes","No"),"")</f>
        <v/>
      </c>
      <c r="C21150" s="11"/>
      <c r="D21150" s="11"/>
      <c r="E21150" s="11"/>
      <c r="F21150" s="11"/>
      <c r="G21150" s="11"/>
      <c r="H21150" s="11"/>
      <c r="I21150" s="15"/>
    </row>
    <row r="21151" spans="1:9" ht="16.5">
      <c r="A21151" s="10" t="b">
        <v>0</v>
      </c>
      <c r="B21151" s="11" t="str">
        <f>IF(D21151&lt;&gt;"",IF(COUNTIF('USPTO TMs'!A:A,D21151)&gt;0,"Yes","No"),"")</f>
        <v/>
      </c>
      <c r="C21151" s="11"/>
      <c r="D21151" s="11"/>
      <c r="E21151" s="11"/>
      <c r="F21151" s="11"/>
      <c r="G21151" s="11"/>
      <c r="H21151" s="11"/>
      <c r="I21151" s="15"/>
    </row>
    <row r="21152" spans="1:9" ht="16.5">
      <c r="A21152" s="10" t="b">
        <v>0</v>
      </c>
      <c r="B21152" s="11" t="str">
        <f>IF(D21152&lt;&gt;"",IF(COUNTIF('USPTO TMs'!A:A,D21152)&gt;0,"Yes","No"),"")</f>
        <v/>
      </c>
      <c r="C21152" s="11"/>
      <c r="D21152" s="11"/>
      <c r="E21152" s="11"/>
      <c r="F21152" s="11"/>
      <c r="G21152" s="11"/>
      <c r="H21152" s="11"/>
      <c r="I21152" s="15"/>
    </row>
    <row r="21153" spans="1:9" ht="16.5">
      <c r="A21153" s="10" t="b">
        <v>0</v>
      </c>
      <c r="B21153" s="11" t="str">
        <f>IF(D21153&lt;&gt;"",IF(COUNTIF('USPTO TMs'!A:A,D21153)&gt;0,"Yes","No"),"")</f>
        <v/>
      </c>
      <c r="C21153" s="11"/>
      <c r="D21153" s="11"/>
      <c r="E21153" s="11"/>
      <c r="F21153" s="11"/>
      <c r="G21153" s="11"/>
      <c r="H21153" s="11"/>
      <c r="I21153" s="15"/>
    </row>
    <row r="21154" spans="1:9" ht="16.5">
      <c r="A21154" s="10" t="b">
        <v>0</v>
      </c>
      <c r="B21154" s="11" t="str">
        <f>IF(D21154&lt;&gt;"",IF(COUNTIF('USPTO TMs'!A:A,D21154)&gt;0,"Yes","No"),"")</f>
        <v/>
      </c>
      <c r="C21154" s="11"/>
      <c r="D21154" s="11"/>
      <c r="E21154" s="11"/>
      <c r="F21154" s="11"/>
      <c r="G21154" s="11"/>
      <c r="H21154" s="11"/>
      <c r="I21154" s="15"/>
    </row>
    <row r="21155" spans="1:9" ht="16.5">
      <c r="A21155" s="10" t="b">
        <v>0</v>
      </c>
      <c r="B21155" s="11" t="str">
        <f>IF(D21155&lt;&gt;"",IF(COUNTIF('USPTO TMs'!A:A,D21155)&gt;0,"Yes","No"),"")</f>
        <v/>
      </c>
      <c r="C21155" s="11"/>
      <c r="D21155" s="11"/>
      <c r="E21155" s="11"/>
      <c r="F21155" s="11"/>
      <c r="G21155" s="11"/>
      <c r="H21155" s="11"/>
      <c r="I21155" s="15"/>
    </row>
    <row r="21156" spans="1:9" ht="16.5">
      <c r="A21156" s="10" t="b">
        <v>0</v>
      </c>
      <c r="B21156" s="11" t="str">
        <f>IF(D21156&lt;&gt;"",IF(COUNTIF('USPTO TMs'!A:A,D21156)&gt;0,"Yes","No"),"")</f>
        <v/>
      </c>
      <c r="C21156" s="11"/>
      <c r="D21156" s="11"/>
      <c r="E21156" s="11"/>
      <c r="F21156" s="11"/>
      <c r="G21156" s="11"/>
      <c r="H21156" s="11"/>
      <c r="I21156" s="15"/>
    </row>
    <row r="21157" spans="1:9" ht="16.5">
      <c r="A21157" s="10" t="b">
        <v>0</v>
      </c>
      <c r="B21157" s="11" t="str">
        <f>IF(D21157&lt;&gt;"",IF(COUNTIF('USPTO TMs'!A:A,D21157)&gt;0,"Yes","No"),"")</f>
        <v/>
      </c>
      <c r="C21157" s="11"/>
      <c r="D21157" s="11"/>
      <c r="E21157" s="11"/>
      <c r="F21157" s="11"/>
      <c r="G21157" s="11"/>
      <c r="H21157" s="11"/>
      <c r="I21157" s="15"/>
    </row>
    <row r="21158" spans="1:9" ht="16.5">
      <c r="A21158" s="10" t="b">
        <v>0</v>
      </c>
      <c r="B21158" s="11" t="str">
        <f>IF(D21158&lt;&gt;"",IF(COUNTIF('USPTO TMs'!A:A,D21158)&gt;0,"Yes","No"),"")</f>
        <v/>
      </c>
      <c r="C21158" s="11"/>
      <c r="D21158" s="11"/>
      <c r="E21158" s="11"/>
      <c r="F21158" s="11"/>
      <c r="G21158" s="11"/>
      <c r="H21158" s="11"/>
      <c r="I21158" s="15"/>
    </row>
    <row r="21159" spans="1:9" ht="16.5">
      <c r="A21159" s="10" t="b">
        <v>0</v>
      </c>
      <c r="B21159" s="11" t="str">
        <f>IF(D21159&lt;&gt;"",IF(COUNTIF('USPTO TMs'!A:A,D21159)&gt;0,"Yes","No"),"")</f>
        <v/>
      </c>
      <c r="C21159" s="11"/>
      <c r="D21159" s="11"/>
      <c r="E21159" s="11"/>
      <c r="F21159" s="11"/>
      <c r="G21159" s="11"/>
      <c r="H21159" s="11"/>
      <c r="I21159" s="15"/>
    </row>
    <row r="21160" spans="1:9" ht="16.5">
      <c r="A21160" s="10" t="b">
        <v>0</v>
      </c>
      <c r="B21160" s="11" t="str">
        <f>IF(D21160&lt;&gt;"",IF(COUNTIF('USPTO TMs'!A:A,D21160)&gt;0,"Yes","No"),"")</f>
        <v/>
      </c>
      <c r="C21160" s="11"/>
      <c r="D21160" s="11"/>
      <c r="E21160" s="11"/>
      <c r="F21160" s="11"/>
      <c r="G21160" s="11"/>
      <c r="H21160" s="11"/>
      <c r="I21160" s="15"/>
    </row>
    <row r="21161" spans="1:9" ht="16.5">
      <c r="A21161" s="10" t="b">
        <v>0</v>
      </c>
      <c r="B21161" s="11" t="str">
        <f>IF(D21161&lt;&gt;"",IF(COUNTIF('USPTO TMs'!A:A,D21161)&gt;0,"Yes","No"),"")</f>
        <v/>
      </c>
      <c r="C21161" s="11"/>
      <c r="D21161" s="11"/>
      <c r="E21161" s="11"/>
      <c r="F21161" s="11"/>
      <c r="G21161" s="11"/>
      <c r="H21161" s="11"/>
      <c r="I21161" s="15"/>
    </row>
    <row r="21162" spans="1:9" ht="16.5">
      <c r="A21162" s="10" t="b">
        <v>0</v>
      </c>
      <c r="B21162" s="11" t="str">
        <f>IF(D21162&lt;&gt;"",IF(COUNTIF('USPTO TMs'!A:A,D21162)&gt;0,"Yes","No"),"")</f>
        <v/>
      </c>
      <c r="C21162" s="11"/>
      <c r="D21162" s="11"/>
      <c r="E21162" s="11"/>
      <c r="F21162" s="11"/>
      <c r="G21162" s="11"/>
      <c r="H21162" s="11"/>
      <c r="I21162" s="15"/>
    </row>
    <row r="21163" spans="1:9" ht="16.5">
      <c r="A21163" s="10" t="b">
        <v>0</v>
      </c>
      <c r="B21163" s="11" t="str">
        <f>IF(D21163&lt;&gt;"",IF(COUNTIF('USPTO TMs'!A:A,D21163)&gt;0,"Yes","No"),"")</f>
        <v/>
      </c>
      <c r="C21163" s="11"/>
      <c r="D21163" s="11"/>
      <c r="E21163" s="11"/>
      <c r="F21163" s="11"/>
      <c r="G21163" s="11"/>
      <c r="H21163" s="11"/>
      <c r="I21163" s="15"/>
    </row>
    <row r="21164" spans="1:9" ht="16.5">
      <c r="A21164" s="10" t="b">
        <v>0</v>
      </c>
      <c r="B21164" s="11" t="str">
        <f>IF(D21164&lt;&gt;"",IF(COUNTIF('USPTO TMs'!A:A,D21164)&gt;0,"Yes","No"),"")</f>
        <v/>
      </c>
      <c r="C21164" s="11"/>
      <c r="D21164" s="11"/>
      <c r="E21164" s="11"/>
      <c r="F21164" s="11"/>
      <c r="G21164" s="11"/>
      <c r="H21164" s="11"/>
      <c r="I21164" s="15"/>
    </row>
    <row r="21165" spans="1:9" ht="16.5">
      <c r="A21165" s="10" t="b">
        <v>0</v>
      </c>
      <c r="B21165" s="11" t="str">
        <f>IF(D21165&lt;&gt;"",IF(COUNTIF('USPTO TMs'!A:A,D21165)&gt;0,"Yes","No"),"")</f>
        <v/>
      </c>
      <c r="C21165" s="11"/>
      <c r="D21165" s="11"/>
      <c r="E21165" s="11"/>
      <c r="F21165" s="11"/>
      <c r="G21165" s="11"/>
      <c r="H21165" s="11"/>
      <c r="I21165" s="15"/>
    </row>
    <row r="21166" spans="1:9" ht="16.5">
      <c r="A21166" s="10" t="b">
        <v>0</v>
      </c>
      <c r="B21166" s="11" t="str">
        <f>IF(D21166&lt;&gt;"",IF(COUNTIF('USPTO TMs'!A:A,D21166)&gt;0,"Yes","No"),"")</f>
        <v/>
      </c>
      <c r="C21166" s="11"/>
      <c r="D21166" s="11"/>
      <c r="E21166" s="11"/>
      <c r="F21166" s="11"/>
      <c r="G21166" s="11"/>
      <c r="H21166" s="11"/>
      <c r="I21166" s="15"/>
    </row>
    <row r="21167" spans="1:9" ht="16.5">
      <c r="A21167" s="10" t="b">
        <v>0</v>
      </c>
      <c r="B21167" s="11" t="str">
        <f>IF(D21167&lt;&gt;"",IF(COUNTIF('USPTO TMs'!A:A,D21167)&gt;0,"Yes","No"),"")</f>
        <v/>
      </c>
      <c r="C21167" s="11"/>
      <c r="D21167" s="11"/>
      <c r="E21167" s="11"/>
      <c r="F21167" s="11"/>
      <c r="G21167" s="11"/>
      <c r="H21167" s="11"/>
      <c r="I21167" s="15"/>
    </row>
    <row r="21168" spans="1:9" ht="16.5">
      <c r="A21168" s="10" t="b">
        <v>0</v>
      </c>
      <c r="B21168" s="11" t="str">
        <f>IF(D21168&lt;&gt;"",IF(COUNTIF('USPTO TMs'!A:A,D21168)&gt;0,"Yes","No"),"")</f>
        <v/>
      </c>
      <c r="C21168" s="11"/>
      <c r="D21168" s="11"/>
      <c r="E21168" s="11"/>
      <c r="F21168" s="11"/>
      <c r="G21168" s="11"/>
      <c r="H21168" s="11"/>
      <c r="I21168" s="15"/>
    </row>
    <row r="21169" spans="1:9" ht="16.5">
      <c r="A21169" s="10" t="b">
        <v>0</v>
      </c>
      <c r="B21169" s="11" t="str">
        <f>IF(D21169&lt;&gt;"",IF(COUNTIF('USPTO TMs'!A:A,D21169)&gt;0,"Yes","No"),"")</f>
        <v/>
      </c>
      <c r="C21169" s="11"/>
      <c r="D21169" s="11"/>
      <c r="E21169" s="11"/>
      <c r="F21169" s="11"/>
      <c r="G21169" s="11"/>
      <c r="H21169" s="11"/>
      <c r="I21169" s="15"/>
    </row>
    <row r="21170" spans="1:9" ht="16.5">
      <c r="A21170" s="10" t="b">
        <v>0</v>
      </c>
      <c r="B21170" s="11" t="str">
        <f>IF(D21170&lt;&gt;"",IF(COUNTIF('USPTO TMs'!A:A,D21170)&gt;0,"Yes","No"),"")</f>
        <v/>
      </c>
      <c r="C21170" s="11"/>
      <c r="D21170" s="11"/>
      <c r="E21170" s="11"/>
      <c r="F21170" s="11"/>
      <c r="G21170" s="11"/>
      <c r="H21170" s="11"/>
      <c r="I21170" s="15"/>
    </row>
    <row r="21171" spans="1:9" ht="16.5">
      <c r="A21171" s="10" t="b">
        <v>0</v>
      </c>
      <c r="B21171" s="11" t="str">
        <f>IF(D21171&lt;&gt;"",IF(COUNTIF('USPTO TMs'!A:A,D21171)&gt;0,"Yes","No"),"")</f>
        <v/>
      </c>
      <c r="C21171" s="11"/>
      <c r="D21171" s="11"/>
      <c r="E21171" s="11"/>
      <c r="F21171" s="11"/>
      <c r="G21171" s="11"/>
      <c r="H21171" s="11"/>
      <c r="I21171" s="15"/>
    </row>
    <row r="21172" spans="1:9" ht="16.5">
      <c r="A21172" s="10" t="b">
        <v>0</v>
      </c>
      <c r="B21172" s="11" t="str">
        <f>IF(D21172&lt;&gt;"",IF(COUNTIF('USPTO TMs'!A:A,D21172)&gt;0,"Yes","No"),"")</f>
        <v/>
      </c>
      <c r="C21172" s="11"/>
      <c r="D21172" s="11"/>
      <c r="E21172" s="11"/>
      <c r="F21172" s="11"/>
      <c r="G21172" s="11"/>
      <c r="H21172" s="11"/>
      <c r="I21172" s="15"/>
    </row>
    <row r="21173" spans="1:9" ht="16.5">
      <c r="A21173" s="10" t="b">
        <v>0</v>
      </c>
      <c r="B21173" s="11" t="str">
        <f>IF(D21173&lt;&gt;"",IF(COUNTIF('USPTO TMs'!A:A,D21173)&gt;0,"Yes","No"),"")</f>
        <v/>
      </c>
      <c r="C21173" s="11"/>
      <c r="D21173" s="11"/>
      <c r="E21173" s="11"/>
      <c r="F21173" s="11"/>
      <c r="G21173" s="11"/>
      <c r="H21173" s="11"/>
      <c r="I21173" s="15"/>
    </row>
    <row r="21174" spans="1:9" ht="16.5">
      <c r="A21174" s="10" t="b">
        <v>0</v>
      </c>
      <c r="B21174" s="11" t="str">
        <f>IF(D21174&lt;&gt;"",IF(COUNTIF('USPTO TMs'!A:A,D21174)&gt;0,"Yes","No"),"")</f>
        <v/>
      </c>
      <c r="C21174" s="11"/>
      <c r="D21174" s="11"/>
      <c r="E21174" s="11"/>
      <c r="F21174" s="11"/>
      <c r="G21174" s="11"/>
      <c r="H21174" s="11"/>
      <c r="I21174" s="15"/>
    </row>
    <row r="21175" spans="1:9" ht="16.5">
      <c r="A21175" s="10" t="b">
        <v>0</v>
      </c>
      <c r="B21175" s="11" t="str">
        <f>IF(D21175&lt;&gt;"",IF(COUNTIF('USPTO TMs'!A:A,D21175)&gt;0,"Yes","No"),"")</f>
        <v/>
      </c>
      <c r="C21175" s="11"/>
      <c r="D21175" s="11"/>
      <c r="E21175" s="11"/>
      <c r="F21175" s="11"/>
      <c r="G21175" s="11"/>
      <c r="H21175" s="11"/>
      <c r="I21175" s="15"/>
    </row>
    <row r="21176" spans="1:9" ht="16.5">
      <c r="A21176" s="10" t="b">
        <v>0</v>
      </c>
      <c r="B21176" s="11" t="str">
        <f>IF(D21176&lt;&gt;"",IF(COUNTIF('USPTO TMs'!A:A,D21176)&gt;0,"Yes","No"),"")</f>
        <v/>
      </c>
      <c r="C21176" s="11"/>
      <c r="D21176" s="11"/>
      <c r="E21176" s="11"/>
      <c r="F21176" s="11"/>
      <c r="G21176" s="11"/>
      <c r="H21176" s="11"/>
      <c r="I21176" s="15"/>
    </row>
    <row r="21177" spans="1:9" ht="16.5">
      <c r="A21177" s="10" t="b">
        <v>0</v>
      </c>
      <c r="B21177" s="11" t="str">
        <f>IF(D21177&lt;&gt;"",IF(COUNTIF('USPTO TMs'!A:A,D21177)&gt;0,"Yes","No"),"")</f>
        <v/>
      </c>
      <c r="C21177" s="11"/>
      <c r="D21177" s="11"/>
      <c r="E21177" s="11"/>
      <c r="F21177" s="11"/>
      <c r="G21177" s="11"/>
      <c r="H21177" s="11"/>
      <c r="I21177" s="15"/>
    </row>
    <row r="21178" spans="1:9" ht="16.5">
      <c r="A21178" s="10" t="b">
        <v>0</v>
      </c>
      <c r="B21178" s="11" t="str">
        <f>IF(D21178&lt;&gt;"",IF(COUNTIF('USPTO TMs'!A:A,D21178)&gt;0,"Yes","No"),"")</f>
        <v/>
      </c>
      <c r="C21178" s="11"/>
      <c r="D21178" s="11"/>
      <c r="E21178" s="11"/>
      <c r="F21178" s="11"/>
      <c r="G21178" s="11"/>
      <c r="H21178" s="11"/>
      <c r="I21178" s="15"/>
    </row>
    <row r="21179" spans="1:9" ht="16.5">
      <c r="A21179" s="10" t="b">
        <v>0</v>
      </c>
      <c r="B21179" s="11" t="str">
        <f>IF(D21179&lt;&gt;"",IF(COUNTIF('USPTO TMs'!A:A,D21179)&gt;0,"Yes","No"),"")</f>
        <v/>
      </c>
      <c r="C21179" s="11"/>
      <c r="D21179" s="11"/>
      <c r="E21179" s="11"/>
      <c r="F21179" s="11"/>
      <c r="G21179" s="11"/>
      <c r="H21179" s="11"/>
      <c r="I21179" s="15"/>
    </row>
    <row r="21180" spans="1:9" ht="16.5">
      <c r="A21180" s="10" t="b">
        <v>0</v>
      </c>
      <c r="B21180" s="11" t="str">
        <f>IF(D21180&lt;&gt;"",IF(COUNTIF('USPTO TMs'!A:A,D21180)&gt;0,"Yes","No"),"")</f>
        <v/>
      </c>
      <c r="C21180" s="11"/>
      <c r="D21180" s="11"/>
      <c r="E21180" s="11"/>
      <c r="F21180" s="11"/>
      <c r="G21180" s="11"/>
      <c r="H21180" s="11"/>
      <c r="I21180" s="15"/>
    </row>
    <row r="21181" spans="1:9" ht="16.5">
      <c r="A21181" s="10" t="b">
        <v>0</v>
      </c>
      <c r="B21181" s="11" t="str">
        <f>IF(D21181&lt;&gt;"",IF(COUNTIF('USPTO TMs'!A:A,D21181)&gt;0,"Yes","No"),"")</f>
        <v/>
      </c>
      <c r="C21181" s="11"/>
      <c r="D21181" s="11"/>
      <c r="E21181" s="11"/>
      <c r="F21181" s="11"/>
      <c r="G21181" s="11"/>
      <c r="H21181" s="11"/>
      <c r="I21181" s="15"/>
    </row>
    <row r="21182" spans="1:9" ht="16.5">
      <c r="A21182" s="10" t="b">
        <v>0</v>
      </c>
      <c r="B21182" s="11" t="str">
        <f>IF(D21182&lt;&gt;"",IF(COUNTIF('USPTO TMs'!A:A,D21182)&gt;0,"Yes","No"),"")</f>
        <v/>
      </c>
      <c r="C21182" s="11"/>
      <c r="D21182" s="11"/>
      <c r="E21182" s="11"/>
      <c r="F21182" s="11"/>
      <c r="G21182" s="11"/>
      <c r="H21182" s="11"/>
      <c r="I21182" s="15"/>
    </row>
    <row r="21183" spans="1:9" ht="16.5">
      <c r="A21183" s="10" t="b">
        <v>0</v>
      </c>
      <c r="B21183" s="11" t="str">
        <f>IF(D21183&lt;&gt;"",IF(COUNTIF('USPTO TMs'!A:A,D21183)&gt;0,"Yes","No"),"")</f>
        <v/>
      </c>
      <c r="C21183" s="11"/>
      <c r="D21183" s="11"/>
      <c r="E21183" s="11"/>
      <c r="F21183" s="11"/>
      <c r="G21183" s="11"/>
      <c r="H21183" s="11"/>
      <c r="I21183" s="15"/>
    </row>
    <row r="21184" spans="1:9" ht="16.5">
      <c r="A21184" s="10" t="b">
        <v>0</v>
      </c>
      <c r="B21184" s="11" t="str">
        <f>IF(D21184&lt;&gt;"",IF(COUNTIF('USPTO TMs'!A:A,D21184)&gt;0,"Yes","No"),"")</f>
        <v/>
      </c>
      <c r="C21184" s="11"/>
      <c r="D21184" s="11"/>
      <c r="E21184" s="11"/>
      <c r="F21184" s="11"/>
      <c r="G21184" s="11"/>
      <c r="H21184" s="11"/>
      <c r="I21184" s="15"/>
    </row>
    <row r="21185" spans="1:9" ht="16.5">
      <c r="A21185" s="10" t="b">
        <v>0</v>
      </c>
      <c r="B21185" s="11" t="str">
        <f>IF(D21185&lt;&gt;"",IF(COUNTIF('USPTO TMs'!A:A,D21185)&gt;0,"Yes","No"),"")</f>
        <v/>
      </c>
      <c r="C21185" s="11"/>
      <c r="D21185" s="11"/>
      <c r="E21185" s="11"/>
      <c r="F21185" s="11"/>
      <c r="G21185" s="11"/>
      <c r="H21185" s="11"/>
      <c r="I21185" s="15"/>
    </row>
    <row r="21186" spans="1:9" ht="16.5">
      <c r="A21186" s="10" t="b">
        <v>0</v>
      </c>
      <c r="B21186" s="11" t="str">
        <f>IF(D21186&lt;&gt;"",IF(COUNTIF('USPTO TMs'!A:A,D21186)&gt;0,"Yes","No"),"")</f>
        <v/>
      </c>
      <c r="C21186" s="11"/>
      <c r="D21186" s="11"/>
      <c r="E21186" s="11"/>
      <c r="F21186" s="11"/>
      <c r="G21186" s="11"/>
      <c r="H21186" s="11"/>
      <c r="I21186" s="15"/>
    </row>
    <row r="21187" spans="1:9" ht="16.5">
      <c r="A21187" s="10" t="b">
        <v>0</v>
      </c>
      <c r="B21187" s="11" t="str">
        <f>IF(D21187&lt;&gt;"",IF(COUNTIF('USPTO TMs'!A:A,D21187)&gt;0,"Yes","No"),"")</f>
        <v/>
      </c>
      <c r="C21187" s="11"/>
      <c r="D21187" s="11"/>
      <c r="E21187" s="11"/>
      <c r="F21187" s="11"/>
      <c r="G21187" s="11"/>
      <c r="H21187" s="11"/>
      <c r="I21187" s="15"/>
    </row>
    <row r="21188" spans="1:9" ht="16.5">
      <c r="A21188" s="10" t="b">
        <v>0</v>
      </c>
      <c r="B21188" s="11" t="str">
        <f>IF(D21188&lt;&gt;"",IF(COUNTIF('USPTO TMs'!A:A,D21188)&gt;0,"Yes","No"),"")</f>
        <v/>
      </c>
      <c r="C21188" s="11"/>
      <c r="D21188" s="11"/>
      <c r="E21188" s="11"/>
      <c r="F21188" s="11"/>
      <c r="G21188" s="11"/>
      <c r="H21188" s="11"/>
      <c r="I21188" s="15"/>
    </row>
    <row r="21189" spans="1:9" ht="16.5">
      <c r="A21189" s="10" t="b">
        <v>0</v>
      </c>
      <c r="B21189" s="11" t="str">
        <f>IF(D21189&lt;&gt;"",IF(COUNTIF('USPTO TMs'!A:A,D21189)&gt;0,"Yes","No"),"")</f>
        <v/>
      </c>
      <c r="C21189" s="11"/>
      <c r="D21189" s="11"/>
      <c r="E21189" s="11"/>
      <c r="F21189" s="11"/>
      <c r="G21189" s="11"/>
      <c r="H21189" s="11"/>
      <c r="I21189" s="15"/>
    </row>
    <row r="21190" spans="1:9" ht="16.5">
      <c r="A21190" s="10" t="b">
        <v>0</v>
      </c>
      <c r="B21190" s="11" t="str">
        <f>IF(D21190&lt;&gt;"",IF(COUNTIF('USPTO TMs'!A:A,D21190)&gt;0,"Yes","No"),"")</f>
        <v/>
      </c>
      <c r="C21190" s="11"/>
      <c r="D21190" s="11"/>
      <c r="E21190" s="11"/>
      <c r="F21190" s="11"/>
      <c r="G21190" s="11"/>
      <c r="H21190" s="11"/>
      <c r="I21190" s="15"/>
    </row>
    <row r="21191" spans="1:9" ht="16.5">
      <c r="A21191" s="10" t="b">
        <v>0</v>
      </c>
      <c r="B21191" s="11" t="str">
        <f>IF(D21191&lt;&gt;"",IF(COUNTIF('USPTO TMs'!A:A,D21191)&gt;0,"Yes","No"),"")</f>
        <v/>
      </c>
      <c r="C21191" s="11"/>
      <c r="D21191" s="11"/>
      <c r="E21191" s="11"/>
      <c r="F21191" s="11"/>
      <c r="G21191" s="11"/>
      <c r="H21191" s="11"/>
      <c r="I21191" s="15"/>
    </row>
    <row r="21192" spans="1:9" ht="16.5">
      <c r="A21192" s="10" t="b">
        <v>0</v>
      </c>
      <c r="B21192" s="11" t="str">
        <f>IF(D21192&lt;&gt;"",IF(COUNTIF('USPTO TMs'!A:A,D21192)&gt;0,"Yes","No"),"")</f>
        <v/>
      </c>
      <c r="C21192" s="11"/>
      <c r="D21192" s="11"/>
      <c r="E21192" s="11"/>
      <c r="F21192" s="11"/>
      <c r="G21192" s="11"/>
      <c r="H21192" s="11"/>
      <c r="I21192" s="15"/>
    </row>
    <row r="21193" spans="1:9" ht="16.5">
      <c r="A21193" s="10" t="b">
        <v>0</v>
      </c>
      <c r="B21193" s="11" t="str">
        <f>IF(D21193&lt;&gt;"",IF(COUNTIF('USPTO TMs'!A:A,D21193)&gt;0,"Yes","No"),"")</f>
        <v/>
      </c>
      <c r="C21193" s="11"/>
      <c r="D21193" s="11"/>
      <c r="E21193" s="11"/>
      <c r="F21193" s="11"/>
      <c r="G21193" s="11"/>
      <c r="H21193" s="11"/>
      <c r="I21193" s="15"/>
    </row>
    <row r="21194" spans="1:9" ht="16.5">
      <c r="A21194" s="10" t="b">
        <v>0</v>
      </c>
      <c r="B21194" s="11" t="str">
        <f>IF(D21194&lt;&gt;"",IF(COUNTIF('USPTO TMs'!A:A,D21194)&gt;0,"Yes","No"),"")</f>
        <v/>
      </c>
      <c r="C21194" s="11"/>
      <c r="D21194" s="11"/>
      <c r="E21194" s="11"/>
      <c r="F21194" s="11"/>
      <c r="G21194" s="11"/>
      <c r="H21194" s="11"/>
      <c r="I21194" s="15"/>
    </row>
    <row r="21195" spans="1:9" ht="16.5">
      <c r="A21195" s="10" t="b">
        <v>0</v>
      </c>
      <c r="B21195" s="11" t="str">
        <f>IF(D21195&lt;&gt;"",IF(COUNTIF('USPTO TMs'!A:A,D21195)&gt;0,"Yes","No"),"")</f>
        <v/>
      </c>
      <c r="C21195" s="11"/>
      <c r="D21195" s="11"/>
      <c r="E21195" s="11"/>
      <c r="F21195" s="11"/>
      <c r="G21195" s="11"/>
      <c r="H21195" s="11"/>
      <c r="I21195" s="15"/>
    </row>
    <row r="21196" spans="1:9" ht="16.5">
      <c r="A21196" s="10" t="b">
        <v>0</v>
      </c>
      <c r="B21196" s="11" t="str">
        <f>IF(D21196&lt;&gt;"",IF(COUNTIF('USPTO TMs'!A:A,D21196)&gt;0,"Yes","No"),"")</f>
        <v/>
      </c>
      <c r="C21196" s="11"/>
      <c r="D21196" s="11"/>
      <c r="E21196" s="11"/>
      <c r="F21196" s="11"/>
      <c r="G21196" s="11"/>
      <c r="H21196" s="11"/>
      <c r="I21196" s="15"/>
    </row>
    <row r="21197" spans="1:9" ht="16.5">
      <c r="A21197" s="10" t="b">
        <v>0</v>
      </c>
      <c r="B21197" s="11" t="str">
        <f>IF(D21197&lt;&gt;"",IF(COUNTIF('USPTO TMs'!A:A,D21197)&gt;0,"Yes","No"),"")</f>
        <v/>
      </c>
      <c r="C21197" s="11"/>
      <c r="D21197" s="11"/>
      <c r="E21197" s="11"/>
      <c r="F21197" s="11"/>
      <c r="G21197" s="11"/>
      <c r="H21197" s="11"/>
      <c r="I21197" s="15"/>
    </row>
    <row r="21198" spans="1:9" ht="16.5">
      <c r="A21198" s="10" t="b">
        <v>0</v>
      </c>
      <c r="B21198" s="11" t="str">
        <f>IF(D21198&lt;&gt;"",IF(COUNTIF('USPTO TMs'!A:A,D21198)&gt;0,"Yes","No"),"")</f>
        <v/>
      </c>
      <c r="C21198" s="11"/>
      <c r="D21198" s="11"/>
      <c r="E21198" s="11"/>
      <c r="F21198" s="11"/>
      <c r="G21198" s="11"/>
      <c r="H21198" s="11"/>
      <c r="I21198" s="15"/>
    </row>
    <row r="21199" spans="1:9" ht="16.5">
      <c r="A21199" s="10" t="b">
        <v>0</v>
      </c>
      <c r="B21199" s="11" t="str">
        <f>IF(D21199&lt;&gt;"",IF(COUNTIF('USPTO TMs'!A:A,D21199)&gt;0,"Yes","No"),"")</f>
        <v/>
      </c>
      <c r="C21199" s="11"/>
      <c r="D21199" s="11"/>
      <c r="E21199" s="11"/>
      <c r="F21199" s="11"/>
      <c r="G21199" s="11"/>
      <c r="H21199" s="11"/>
      <c r="I21199" s="15"/>
    </row>
    <row r="21200" spans="1:9" ht="16.5">
      <c r="A21200" s="10" t="b">
        <v>0</v>
      </c>
      <c r="B21200" s="11" t="str">
        <f>IF(D21200&lt;&gt;"",IF(COUNTIF('USPTO TMs'!A:A,D21200)&gt;0,"Yes","No"),"")</f>
        <v/>
      </c>
      <c r="C21200" s="11"/>
      <c r="D21200" s="11"/>
      <c r="E21200" s="11"/>
      <c r="F21200" s="11"/>
      <c r="G21200" s="11"/>
      <c r="H21200" s="11"/>
      <c r="I21200" s="15"/>
    </row>
    <row r="21201" spans="1:9" ht="16.5">
      <c r="A21201" s="10" t="b">
        <v>0</v>
      </c>
      <c r="B21201" s="11" t="str">
        <f>IF(D21201&lt;&gt;"",IF(COUNTIF('USPTO TMs'!A:A,D21201)&gt;0,"Yes","No"),"")</f>
        <v/>
      </c>
      <c r="C21201" s="11"/>
      <c r="D21201" s="11"/>
      <c r="E21201" s="11"/>
      <c r="F21201" s="11"/>
      <c r="G21201" s="11"/>
      <c r="H21201" s="11"/>
      <c r="I21201" s="15"/>
    </row>
    <row r="21202" spans="1:9" ht="16.5">
      <c r="A21202" s="10" t="b">
        <v>0</v>
      </c>
      <c r="B21202" s="11" t="str">
        <f>IF(D21202&lt;&gt;"",IF(COUNTIF('USPTO TMs'!A:A,D21202)&gt;0,"Yes","No"),"")</f>
        <v/>
      </c>
      <c r="C21202" s="11"/>
      <c r="D21202" s="11"/>
      <c r="E21202" s="11"/>
      <c r="F21202" s="11"/>
      <c r="G21202" s="11"/>
      <c r="H21202" s="11"/>
      <c r="I21202" s="15"/>
    </row>
    <row r="21203" spans="1:9" ht="16.5">
      <c r="A21203" s="10" t="b">
        <v>0</v>
      </c>
      <c r="B21203" s="11" t="str">
        <f>IF(D21203&lt;&gt;"",IF(COUNTIF('USPTO TMs'!A:A,D21203)&gt;0,"Yes","No"),"")</f>
        <v/>
      </c>
      <c r="C21203" s="11"/>
      <c r="D21203" s="11"/>
      <c r="E21203" s="11"/>
      <c r="F21203" s="11"/>
      <c r="G21203" s="11"/>
      <c r="H21203" s="11"/>
      <c r="I21203" s="15"/>
    </row>
    <row r="21204" spans="1:9" ht="16.5">
      <c r="A21204" s="10" t="b">
        <v>0</v>
      </c>
      <c r="B21204" s="11" t="str">
        <f>IF(D21204&lt;&gt;"",IF(COUNTIF('USPTO TMs'!A:A,D21204)&gt;0,"Yes","No"),"")</f>
        <v/>
      </c>
      <c r="C21204" s="11"/>
      <c r="D21204" s="11"/>
      <c r="E21204" s="11"/>
      <c r="F21204" s="11"/>
      <c r="G21204" s="11"/>
      <c r="H21204" s="11"/>
      <c r="I21204" s="15"/>
    </row>
    <row r="21205" spans="1:9" ht="16.5">
      <c r="A21205" s="10" t="b">
        <v>0</v>
      </c>
      <c r="B21205" s="11" t="str">
        <f>IF(D21205&lt;&gt;"",IF(COUNTIF('USPTO TMs'!A:A,D21205)&gt;0,"Yes","No"),"")</f>
        <v/>
      </c>
      <c r="C21205" s="11"/>
      <c r="D21205" s="11"/>
      <c r="E21205" s="11"/>
      <c r="F21205" s="11"/>
      <c r="G21205" s="11"/>
      <c r="H21205" s="11"/>
      <c r="I21205" s="15"/>
    </row>
    <row r="21206" spans="1:9" ht="16.5">
      <c r="A21206" s="10" t="b">
        <v>0</v>
      </c>
      <c r="B21206" s="11" t="str">
        <f>IF(D21206&lt;&gt;"",IF(COUNTIF('USPTO TMs'!A:A,D21206)&gt;0,"Yes","No"),"")</f>
        <v/>
      </c>
      <c r="C21206" s="11"/>
      <c r="D21206" s="11"/>
      <c r="E21206" s="11"/>
      <c r="F21206" s="11"/>
      <c r="G21206" s="11"/>
      <c r="H21206" s="11"/>
      <c r="I21206" s="15"/>
    </row>
    <row r="21207" spans="1:9" ht="16.5">
      <c r="A21207" s="10" t="b">
        <v>0</v>
      </c>
      <c r="B21207" s="11" t="str">
        <f>IF(D21207&lt;&gt;"",IF(COUNTIF('USPTO TMs'!A:A,D21207)&gt;0,"Yes","No"),"")</f>
        <v/>
      </c>
      <c r="C21207" s="11"/>
      <c r="D21207" s="11"/>
      <c r="E21207" s="11"/>
      <c r="F21207" s="11"/>
      <c r="G21207" s="11"/>
      <c r="H21207" s="11"/>
      <c r="I21207" s="15"/>
    </row>
    <row r="21208" spans="1:9" ht="16.5">
      <c r="A21208" s="10" t="b">
        <v>0</v>
      </c>
      <c r="B21208" s="11" t="str">
        <f>IF(D21208&lt;&gt;"",IF(COUNTIF('USPTO TMs'!A:A,D21208)&gt;0,"Yes","No"),"")</f>
        <v/>
      </c>
      <c r="C21208" s="11"/>
      <c r="D21208" s="11"/>
      <c r="E21208" s="11"/>
      <c r="F21208" s="11"/>
      <c r="G21208" s="11"/>
      <c r="H21208" s="11"/>
      <c r="I21208" s="15"/>
    </row>
    <row r="21209" spans="1:9" ht="16.5">
      <c r="A21209" s="10" t="b">
        <v>0</v>
      </c>
      <c r="B21209" s="11" t="str">
        <f>IF(D21209&lt;&gt;"",IF(COUNTIF('USPTO TMs'!A:A,D21209)&gt;0,"Yes","No"),"")</f>
        <v/>
      </c>
      <c r="C21209" s="11"/>
      <c r="D21209" s="11"/>
      <c r="E21209" s="11"/>
      <c r="F21209" s="11"/>
      <c r="G21209" s="11"/>
      <c r="H21209" s="11"/>
      <c r="I21209" s="15"/>
    </row>
    <row r="21210" spans="1:9" ht="16.5">
      <c r="A21210" s="10" t="b">
        <v>0</v>
      </c>
      <c r="B21210" s="11" t="str">
        <f>IF(D21210&lt;&gt;"",IF(COUNTIF('USPTO TMs'!A:A,D21210)&gt;0,"Yes","No"),"")</f>
        <v/>
      </c>
      <c r="C21210" s="11"/>
      <c r="D21210" s="11"/>
      <c r="E21210" s="11"/>
      <c r="F21210" s="11"/>
      <c r="G21210" s="11"/>
      <c r="H21210" s="11"/>
      <c r="I21210" s="15"/>
    </row>
    <row r="21211" spans="1:9" ht="16.5">
      <c r="A21211" s="10" t="b">
        <v>0</v>
      </c>
      <c r="B21211" s="11" t="str">
        <f>IF(D21211&lt;&gt;"",IF(COUNTIF('USPTO TMs'!A:A,D21211)&gt;0,"Yes","No"),"")</f>
        <v/>
      </c>
      <c r="C21211" s="11"/>
      <c r="D21211" s="11"/>
      <c r="E21211" s="11"/>
      <c r="F21211" s="11"/>
      <c r="G21211" s="11"/>
      <c r="H21211" s="11"/>
      <c r="I21211" s="15"/>
    </row>
    <row r="21212" spans="1:9" ht="16.5">
      <c r="A21212" s="10" t="b">
        <v>0</v>
      </c>
      <c r="B21212" s="11" t="str">
        <f>IF(D21212&lt;&gt;"",IF(COUNTIF('USPTO TMs'!A:A,D21212)&gt;0,"Yes","No"),"")</f>
        <v/>
      </c>
      <c r="C21212" s="11"/>
      <c r="D21212" s="11"/>
      <c r="E21212" s="11"/>
      <c r="F21212" s="11"/>
      <c r="G21212" s="11"/>
      <c r="H21212" s="11"/>
      <c r="I21212" s="15"/>
    </row>
    <row r="21213" spans="1:9" ht="16.5">
      <c r="A21213" s="10" t="b">
        <v>0</v>
      </c>
      <c r="B21213" s="11" t="str">
        <f>IF(D21213&lt;&gt;"",IF(COUNTIF('USPTO TMs'!A:A,D21213)&gt;0,"Yes","No"),"")</f>
        <v/>
      </c>
      <c r="C21213" s="11"/>
      <c r="D21213" s="11"/>
      <c r="E21213" s="11"/>
      <c r="F21213" s="11"/>
      <c r="G21213" s="11"/>
      <c r="H21213" s="11"/>
      <c r="I21213" s="15"/>
    </row>
    <row r="21214" spans="1:9" ht="16.5">
      <c r="A21214" s="10" t="b">
        <v>0</v>
      </c>
      <c r="B21214" s="11" t="str">
        <f>IF(D21214&lt;&gt;"",IF(COUNTIF('USPTO TMs'!A:A,D21214)&gt;0,"Yes","No"),"")</f>
        <v/>
      </c>
      <c r="C21214" s="11"/>
      <c r="D21214" s="11"/>
      <c r="E21214" s="11"/>
      <c r="F21214" s="11"/>
      <c r="G21214" s="11"/>
      <c r="H21214" s="11"/>
      <c r="I21214" s="15"/>
    </row>
    <row r="21215" spans="1:9" ht="16.5">
      <c r="A21215" s="10" t="b">
        <v>0</v>
      </c>
      <c r="B21215" s="11" t="str">
        <f>IF(D21215&lt;&gt;"",IF(COUNTIF('USPTO TMs'!A:A,D21215)&gt;0,"Yes","No"),"")</f>
        <v/>
      </c>
      <c r="C21215" s="11"/>
      <c r="D21215" s="11"/>
      <c r="E21215" s="11"/>
      <c r="F21215" s="11"/>
      <c r="G21215" s="11"/>
      <c r="H21215" s="11"/>
      <c r="I21215" s="15"/>
    </row>
    <row r="21216" spans="1:9" ht="16.5">
      <c r="A21216" s="10" t="b">
        <v>0</v>
      </c>
      <c r="B21216" s="11" t="str">
        <f>IF(D21216&lt;&gt;"",IF(COUNTIF('USPTO TMs'!A:A,D21216)&gt;0,"Yes","No"),"")</f>
        <v/>
      </c>
      <c r="C21216" s="11"/>
      <c r="D21216" s="11"/>
      <c r="E21216" s="11"/>
      <c r="F21216" s="11"/>
      <c r="G21216" s="11"/>
      <c r="H21216" s="11"/>
      <c r="I21216" s="15"/>
    </row>
    <row r="21217" spans="1:9" ht="16.5">
      <c r="A21217" s="10" t="b">
        <v>0</v>
      </c>
      <c r="B21217" s="11" t="str">
        <f>IF(D21217&lt;&gt;"",IF(COUNTIF('USPTO TMs'!A:A,D21217)&gt;0,"Yes","No"),"")</f>
        <v/>
      </c>
      <c r="C21217" s="11"/>
      <c r="D21217" s="11"/>
      <c r="E21217" s="11"/>
      <c r="F21217" s="11"/>
      <c r="G21217" s="11"/>
      <c r="H21217" s="11"/>
      <c r="I21217" s="15"/>
    </row>
    <row r="21218" spans="1:9" ht="16.5">
      <c r="A21218" s="10" t="b">
        <v>0</v>
      </c>
      <c r="B21218" s="11" t="str">
        <f>IF(D21218&lt;&gt;"",IF(COUNTIF('USPTO TMs'!A:A,D21218)&gt;0,"Yes","No"),"")</f>
        <v/>
      </c>
      <c r="C21218" s="11"/>
      <c r="D21218" s="11"/>
      <c r="E21218" s="11"/>
      <c r="F21218" s="11"/>
      <c r="G21218" s="11"/>
      <c r="H21218" s="11"/>
      <c r="I21218" s="15"/>
    </row>
    <row r="21219" spans="1:9" ht="16.5">
      <c r="A21219" s="10" t="b">
        <v>0</v>
      </c>
      <c r="B21219" s="11" t="str">
        <f>IF(D21219&lt;&gt;"",IF(COUNTIF('USPTO TMs'!A:A,D21219)&gt;0,"Yes","No"),"")</f>
        <v/>
      </c>
      <c r="C21219" s="11"/>
      <c r="D21219" s="11"/>
      <c r="E21219" s="11"/>
      <c r="F21219" s="11"/>
      <c r="G21219" s="11"/>
      <c r="H21219" s="11"/>
      <c r="I21219" s="15"/>
    </row>
    <row r="21220" spans="1:9" ht="16.5">
      <c r="A21220" s="10" t="b">
        <v>0</v>
      </c>
      <c r="B21220" s="11" t="str">
        <f>IF(D21220&lt;&gt;"",IF(COUNTIF('USPTO TMs'!A:A,D21220)&gt;0,"Yes","No"),"")</f>
        <v/>
      </c>
      <c r="C21220" s="11"/>
      <c r="D21220" s="11"/>
      <c r="E21220" s="11"/>
      <c r="F21220" s="11"/>
      <c r="G21220" s="11"/>
      <c r="H21220" s="11"/>
      <c r="I21220" s="15"/>
    </row>
    <row r="21221" spans="1:9" ht="16.5">
      <c r="A21221" s="10" t="b">
        <v>0</v>
      </c>
      <c r="B21221" s="11" t="str">
        <f>IF(D21221&lt;&gt;"",IF(COUNTIF('USPTO TMs'!A:A,D21221)&gt;0,"Yes","No"),"")</f>
        <v/>
      </c>
      <c r="C21221" s="11"/>
      <c r="D21221" s="11"/>
      <c r="E21221" s="11"/>
      <c r="F21221" s="11"/>
      <c r="G21221" s="11"/>
      <c r="H21221" s="11"/>
      <c r="I21221" s="15"/>
    </row>
    <row r="21222" spans="1:9" ht="16.5">
      <c r="A21222" s="10" t="b">
        <v>0</v>
      </c>
      <c r="B21222" s="11" t="str">
        <f>IF(D21222&lt;&gt;"",IF(COUNTIF('USPTO TMs'!A:A,D21222)&gt;0,"Yes","No"),"")</f>
        <v/>
      </c>
      <c r="C21222" s="11"/>
      <c r="D21222" s="11"/>
      <c r="E21222" s="11"/>
      <c r="F21222" s="11"/>
      <c r="G21222" s="11"/>
      <c r="H21222" s="11"/>
      <c r="I21222" s="15"/>
    </row>
    <row r="21223" spans="1:9" ht="16.5">
      <c r="A21223" s="10" t="b">
        <v>0</v>
      </c>
      <c r="B21223" s="11" t="str">
        <f>IF(D21223&lt;&gt;"",IF(COUNTIF('USPTO TMs'!A:A,D21223)&gt;0,"Yes","No"),"")</f>
        <v/>
      </c>
      <c r="C21223" s="11"/>
      <c r="D21223" s="11"/>
      <c r="E21223" s="11"/>
      <c r="F21223" s="11"/>
      <c r="G21223" s="11"/>
      <c r="H21223" s="11"/>
      <c r="I21223" s="15"/>
    </row>
    <row r="21224" spans="1:9" ht="16.5">
      <c r="A21224" s="10" t="b">
        <v>0</v>
      </c>
      <c r="B21224" s="11" t="str">
        <f>IF(D21224&lt;&gt;"",IF(COUNTIF('USPTO TMs'!A:A,D21224)&gt;0,"Yes","No"),"")</f>
        <v/>
      </c>
      <c r="C21224" s="11"/>
      <c r="D21224" s="11"/>
      <c r="E21224" s="11"/>
      <c r="F21224" s="11"/>
      <c r="G21224" s="11"/>
      <c r="H21224" s="11"/>
      <c r="I21224" s="15"/>
    </row>
    <row r="21225" spans="1:9" ht="16.5">
      <c r="A21225" s="10" t="b">
        <v>0</v>
      </c>
      <c r="B21225" s="11" t="str">
        <f>IF(D21225&lt;&gt;"",IF(COUNTIF('USPTO TMs'!A:A,D21225)&gt;0,"Yes","No"),"")</f>
        <v/>
      </c>
      <c r="C21225" s="11"/>
      <c r="D21225" s="11"/>
      <c r="E21225" s="11"/>
      <c r="F21225" s="11"/>
      <c r="G21225" s="11"/>
      <c r="H21225" s="11"/>
      <c r="I21225" s="15"/>
    </row>
    <row r="21226" spans="1:9" ht="16.5">
      <c r="A21226" s="10" t="b">
        <v>0</v>
      </c>
      <c r="B21226" s="11" t="str">
        <f>IF(D21226&lt;&gt;"",IF(COUNTIF('USPTO TMs'!A:A,D21226)&gt;0,"Yes","No"),"")</f>
        <v/>
      </c>
      <c r="C21226" s="11"/>
      <c r="D21226" s="11"/>
      <c r="E21226" s="11"/>
      <c r="F21226" s="11"/>
      <c r="G21226" s="11"/>
      <c r="H21226" s="11"/>
      <c r="I21226" s="15"/>
    </row>
    <row r="21227" spans="1:9" ht="16.5">
      <c r="A21227" s="10" t="b">
        <v>0</v>
      </c>
      <c r="B21227" s="11" t="str">
        <f>IF(D21227&lt;&gt;"",IF(COUNTIF('USPTO TMs'!A:A,D21227)&gt;0,"Yes","No"),"")</f>
        <v/>
      </c>
      <c r="C21227" s="11"/>
      <c r="D21227" s="11"/>
      <c r="E21227" s="11"/>
      <c r="F21227" s="11"/>
      <c r="G21227" s="11"/>
      <c r="H21227" s="11"/>
      <c r="I21227" s="15"/>
    </row>
    <row r="21228" spans="1:9" ht="16.5">
      <c r="A21228" s="10" t="b">
        <v>0</v>
      </c>
      <c r="B21228" s="11" t="str">
        <f>IF(D21228&lt;&gt;"",IF(COUNTIF('USPTO TMs'!A:A,D21228)&gt;0,"Yes","No"),"")</f>
        <v/>
      </c>
      <c r="C21228" s="11"/>
      <c r="D21228" s="11"/>
      <c r="E21228" s="11"/>
      <c r="F21228" s="11"/>
      <c r="G21228" s="11"/>
      <c r="H21228" s="11"/>
      <c r="I21228" s="15"/>
    </row>
    <row r="21229" spans="1:9" ht="16.5">
      <c r="A21229" s="10" t="b">
        <v>0</v>
      </c>
      <c r="B21229" s="11" t="str">
        <f>IF(D21229&lt;&gt;"",IF(COUNTIF('USPTO TMs'!A:A,D21229)&gt;0,"Yes","No"),"")</f>
        <v/>
      </c>
      <c r="C21229" s="11"/>
      <c r="D21229" s="11"/>
      <c r="E21229" s="11"/>
      <c r="F21229" s="11"/>
      <c r="G21229" s="11"/>
      <c r="H21229" s="11"/>
      <c r="I21229" s="15"/>
    </row>
    <row r="21230" spans="1:9" ht="16.5">
      <c r="A21230" s="10" t="b">
        <v>0</v>
      </c>
      <c r="B21230" s="11" t="str">
        <f>IF(D21230&lt;&gt;"",IF(COUNTIF('USPTO TMs'!A:A,D21230)&gt;0,"Yes","No"),"")</f>
        <v/>
      </c>
      <c r="C21230" s="11"/>
      <c r="D21230" s="11"/>
      <c r="E21230" s="11"/>
      <c r="F21230" s="11"/>
      <c r="G21230" s="11"/>
      <c r="H21230" s="11"/>
      <c r="I21230" s="15"/>
    </row>
    <row r="21231" spans="1:9" ht="16.5">
      <c r="A21231" s="10" t="b">
        <v>0</v>
      </c>
      <c r="B21231" s="11" t="str">
        <f>IF(D21231&lt;&gt;"",IF(COUNTIF('USPTO TMs'!A:A,D21231)&gt;0,"Yes","No"),"")</f>
        <v/>
      </c>
      <c r="C21231" s="11"/>
      <c r="D21231" s="11"/>
      <c r="E21231" s="11"/>
      <c r="F21231" s="11"/>
      <c r="G21231" s="11"/>
      <c r="H21231" s="11"/>
      <c r="I21231" s="15"/>
    </row>
    <row r="21232" spans="1:9" ht="16.5">
      <c r="A21232" s="10" t="b">
        <v>0</v>
      </c>
      <c r="B21232" s="11" t="str">
        <f>IF(D21232&lt;&gt;"",IF(COUNTIF('USPTO TMs'!A:A,D21232)&gt;0,"Yes","No"),"")</f>
        <v/>
      </c>
      <c r="C21232" s="11"/>
      <c r="D21232" s="11"/>
      <c r="E21232" s="11"/>
      <c r="F21232" s="11"/>
      <c r="G21232" s="11"/>
      <c r="H21232" s="11"/>
      <c r="I21232" s="15"/>
    </row>
    <row r="21233" spans="1:9" ht="16.5">
      <c r="A21233" s="10" t="b">
        <v>0</v>
      </c>
      <c r="B21233" s="11" t="str">
        <f>IF(D21233&lt;&gt;"",IF(COUNTIF('USPTO TMs'!A:A,D21233)&gt;0,"Yes","No"),"")</f>
        <v/>
      </c>
      <c r="C21233" s="11"/>
      <c r="D21233" s="11"/>
      <c r="E21233" s="11"/>
      <c r="F21233" s="11"/>
      <c r="G21233" s="11"/>
      <c r="H21233" s="11"/>
      <c r="I21233" s="15"/>
    </row>
    <row r="21234" spans="1:9" ht="16.5">
      <c r="A21234" s="10" t="b">
        <v>0</v>
      </c>
      <c r="B21234" s="11" t="str">
        <f>IF(D21234&lt;&gt;"",IF(COUNTIF('USPTO TMs'!A:A,D21234)&gt;0,"Yes","No"),"")</f>
        <v/>
      </c>
      <c r="C21234" s="11"/>
      <c r="D21234" s="11"/>
      <c r="E21234" s="11"/>
      <c r="F21234" s="11"/>
      <c r="G21234" s="11"/>
      <c r="H21234" s="11"/>
      <c r="I21234" s="15"/>
    </row>
    <row r="21235" spans="1:9" ht="16.5">
      <c r="A21235" s="10" t="b">
        <v>0</v>
      </c>
      <c r="B21235" s="11" t="str">
        <f>IF(D21235&lt;&gt;"",IF(COUNTIF('USPTO TMs'!A:A,D21235)&gt;0,"Yes","No"),"")</f>
        <v/>
      </c>
      <c r="C21235" s="11"/>
      <c r="D21235" s="11"/>
      <c r="E21235" s="11"/>
      <c r="F21235" s="11"/>
      <c r="G21235" s="11"/>
      <c r="H21235" s="11"/>
      <c r="I21235" s="15"/>
    </row>
    <row r="21236" spans="1:9" ht="16.5">
      <c r="A21236" s="10" t="b">
        <v>0</v>
      </c>
      <c r="B21236" s="11" t="str">
        <f>IF(D21236&lt;&gt;"",IF(COUNTIF('USPTO TMs'!A:A,D21236)&gt;0,"Yes","No"),"")</f>
        <v/>
      </c>
      <c r="C21236" s="11"/>
      <c r="D21236" s="11"/>
      <c r="E21236" s="11"/>
      <c r="F21236" s="11"/>
      <c r="G21236" s="11"/>
      <c r="H21236" s="11"/>
      <c r="I21236" s="15"/>
    </row>
    <row r="21237" spans="1:9" ht="16.5">
      <c r="A21237" s="10" t="b">
        <v>0</v>
      </c>
      <c r="B21237" s="11" t="str">
        <f>IF(D21237&lt;&gt;"",IF(COUNTIF('USPTO TMs'!A:A,D21237)&gt;0,"Yes","No"),"")</f>
        <v/>
      </c>
      <c r="C21237" s="11"/>
      <c r="D21237" s="11"/>
      <c r="E21237" s="11"/>
      <c r="F21237" s="11"/>
      <c r="G21237" s="11"/>
      <c r="H21237" s="11"/>
      <c r="I21237" s="15"/>
    </row>
    <row r="21238" spans="1:9" ht="16.5">
      <c r="A21238" s="10" t="b">
        <v>0</v>
      </c>
      <c r="B21238" s="11" t="str">
        <f>IF(D21238&lt;&gt;"",IF(COUNTIF('USPTO TMs'!A:A,D21238)&gt;0,"Yes","No"),"")</f>
        <v/>
      </c>
      <c r="C21238" s="11"/>
      <c r="D21238" s="11"/>
      <c r="E21238" s="11"/>
      <c r="F21238" s="11"/>
      <c r="G21238" s="11"/>
      <c r="H21238" s="11"/>
      <c r="I21238" s="15"/>
    </row>
    <row r="21239" spans="1:9" ht="16.5">
      <c r="A21239" s="10" t="b">
        <v>0</v>
      </c>
      <c r="B21239" s="11" t="str">
        <f>IF(D21239&lt;&gt;"",IF(COUNTIF('USPTO TMs'!A:A,D21239)&gt;0,"Yes","No"),"")</f>
        <v/>
      </c>
      <c r="C21239" s="11"/>
      <c r="D21239" s="11"/>
      <c r="E21239" s="11"/>
      <c r="F21239" s="11"/>
      <c r="G21239" s="11"/>
      <c r="H21239" s="11"/>
      <c r="I21239" s="15"/>
    </row>
    <row r="21240" spans="1:9" ht="16.5">
      <c r="A21240" s="10" t="b">
        <v>0</v>
      </c>
      <c r="B21240" s="11" t="str">
        <f>IF(D21240&lt;&gt;"",IF(COUNTIF('USPTO TMs'!A:A,D21240)&gt;0,"Yes","No"),"")</f>
        <v/>
      </c>
      <c r="C21240" s="11"/>
      <c r="D21240" s="11"/>
      <c r="E21240" s="11"/>
      <c r="F21240" s="11"/>
      <c r="G21240" s="11"/>
      <c r="H21240" s="11"/>
      <c r="I21240" s="15"/>
    </row>
    <row r="21241" spans="1:9" ht="16.5">
      <c r="A21241" s="10" t="b">
        <v>0</v>
      </c>
      <c r="B21241" s="11" t="str">
        <f>IF(D21241&lt;&gt;"",IF(COUNTIF('USPTO TMs'!A:A,D21241)&gt;0,"Yes","No"),"")</f>
        <v/>
      </c>
      <c r="C21241" s="11"/>
      <c r="D21241" s="11"/>
      <c r="E21241" s="11"/>
      <c r="F21241" s="11"/>
      <c r="G21241" s="11"/>
      <c r="H21241" s="11"/>
      <c r="I21241" s="15"/>
    </row>
    <row r="21242" spans="1:9" ht="16.5">
      <c r="A21242" s="10" t="b">
        <v>0</v>
      </c>
      <c r="B21242" s="11" t="str">
        <f>IF(D21242&lt;&gt;"",IF(COUNTIF('USPTO TMs'!A:A,D21242)&gt;0,"Yes","No"),"")</f>
        <v/>
      </c>
      <c r="C21242" s="11"/>
      <c r="D21242" s="11"/>
      <c r="E21242" s="11"/>
      <c r="F21242" s="11"/>
      <c r="G21242" s="11"/>
      <c r="H21242" s="11"/>
      <c r="I21242" s="15"/>
    </row>
    <row r="21243" spans="1:9" ht="16.5">
      <c r="A21243" s="10" t="b">
        <v>0</v>
      </c>
      <c r="B21243" s="11" t="str">
        <f>IF(D21243&lt;&gt;"",IF(COUNTIF('USPTO TMs'!A:A,D21243)&gt;0,"Yes","No"),"")</f>
        <v/>
      </c>
      <c r="C21243" s="11"/>
      <c r="D21243" s="11"/>
      <c r="E21243" s="11"/>
      <c r="F21243" s="11"/>
      <c r="G21243" s="11"/>
      <c r="H21243" s="11"/>
      <c r="I21243" s="15"/>
    </row>
    <row r="21244" spans="1:9" ht="16.5">
      <c r="A21244" s="10" t="b">
        <v>0</v>
      </c>
      <c r="B21244" s="11" t="str">
        <f>IF(D21244&lt;&gt;"",IF(COUNTIF('USPTO TMs'!A:A,D21244)&gt;0,"Yes","No"),"")</f>
        <v/>
      </c>
      <c r="C21244" s="11"/>
      <c r="D21244" s="11"/>
      <c r="E21244" s="11"/>
      <c r="F21244" s="11"/>
      <c r="G21244" s="11"/>
      <c r="H21244" s="11"/>
      <c r="I21244" s="15"/>
    </row>
    <row r="21245" spans="1:9" ht="16.5">
      <c r="A21245" s="10" t="b">
        <v>0</v>
      </c>
      <c r="B21245" s="11" t="str">
        <f>IF(D21245&lt;&gt;"",IF(COUNTIF('USPTO TMs'!A:A,D21245)&gt;0,"Yes","No"),"")</f>
        <v/>
      </c>
      <c r="C21245" s="11"/>
      <c r="D21245" s="11"/>
      <c r="E21245" s="11"/>
      <c r="F21245" s="11"/>
      <c r="G21245" s="11"/>
      <c r="H21245" s="11"/>
      <c r="I21245" s="15"/>
    </row>
    <row r="21246" spans="1:9" ht="16.5">
      <c r="A21246" s="10" t="b">
        <v>0</v>
      </c>
      <c r="B21246" s="11" t="str">
        <f>IF(D21246&lt;&gt;"",IF(COUNTIF('USPTO TMs'!A:A,D21246)&gt;0,"Yes","No"),"")</f>
        <v/>
      </c>
      <c r="C21246" s="11"/>
      <c r="D21246" s="11"/>
      <c r="E21246" s="11"/>
      <c r="F21246" s="11"/>
      <c r="G21246" s="11"/>
      <c r="H21246" s="11"/>
      <c r="I21246" s="15"/>
    </row>
    <row r="21247" spans="1:9" ht="16.5">
      <c r="A21247" s="10" t="b">
        <v>0</v>
      </c>
      <c r="B21247" s="11" t="str">
        <f>IF(D21247&lt;&gt;"",IF(COUNTIF('USPTO TMs'!A:A,D21247)&gt;0,"Yes","No"),"")</f>
        <v/>
      </c>
      <c r="C21247" s="11"/>
      <c r="D21247" s="11"/>
      <c r="E21247" s="11"/>
      <c r="F21247" s="11"/>
      <c r="G21247" s="11"/>
      <c r="H21247" s="11"/>
      <c r="I21247" s="15"/>
    </row>
    <row r="21248" spans="1:9" ht="16.5">
      <c r="A21248" s="10" t="b">
        <v>0</v>
      </c>
      <c r="B21248" s="11" t="str">
        <f>IF(D21248&lt;&gt;"",IF(COUNTIF('USPTO TMs'!A:A,D21248)&gt;0,"Yes","No"),"")</f>
        <v/>
      </c>
      <c r="C21248" s="11"/>
      <c r="D21248" s="11"/>
      <c r="E21248" s="11"/>
      <c r="F21248" s="11"/>
      <c r="G21248" s="11"/>
      <c r="H21248" s="11"/>
      <c r="I21248" s="15"/>
    </row>
    <row r="21249" spans="1:9" ht="16.5">
      <c r="A21249" s="10" t="b">
        <v>0</v>
      </c>
      <c r="B21249" s="11" t="str">
        <f>IF(D21249&lt;&gt;"",IF(COUNTIF('USPTO TMs'!A:A,D21249)&gt;0,"Yes","No"),"")</f>
        <v/>
      </c>
      <c r="C21249" s="11"/>
      <c r="D21249" s="11"/>
      <c r="E21249" s="11"/>
      <c r="F21249" s="11"/>
      <c r="G21249" s="11"/>
      <c r="H21249" s="11"/>
      <c r="I21249" s="15"/>
    </row>
    <row r="21250" spans="1:9" ht="16.5">
      <c r="A21250" s="10" t="b">
        <v>0</v>
      </c>
      <c r="B21250" s="11" t="str">
        <f>IF(D21250&lt;&gt;"",IF(COUNTIF('USPTO TMs'!A:A,D21250)&gt;0,"Yes","No"),"")</f>
        <v/>
      </c>
      <c r="C21250" s="11"/>
      <c r="D21250" s="11"/>
      <c r="E21250" s="11"/>
      <c r="F21250" s="11"/>
      <c r="G21250" s="11"/>
      <c r="H21250" s="11"/>
      <c r="I21250" s="15"/>
    </row>
    <row r="21251" spans="1:9" ht="16.5">
      <c r="A21251" s="10" t="b">
        <v>0</v>
      </c>
      <c r="B21251" s="11" t="str">
        <f>IF(D21251&lt;&gt;"",IF(COUNTIF('USPTO TMs'!A:A,D21251)&gt;0,"Yes","No"),"")</f>
        <v/>
      </c>
      <c r="C21251" s="11"/>
      <c r="D21251" s="11"/>
      <c r="E21251" s="11"/>
      <c r="F21251" s="11"/>
      <c r="G21251" s="11"/>
      <c r="H21251" s="11"/>
      <c r="I21251" s="15"/>
    </row>
    <row r="21252" spans="1:9" ht="16.5">
      <c r="A21252" s="10" t="b">
        <v>0</v>
      </c>
      <c r="B21252" s="11" t="str">
        <f>IF(D21252&lt;&gt;"",IF(COUNTIF('USPTO TMs'!A:A,D21252)&gt;0,"Yes","No"),"")</f>
        <v/>
      </c>
      <c r="C21252" s="11"/>
      <c r="D21252" s="11"/>
      <c r="E21252" s="11"/>
      <c r="F21252" s="11"/>
      <c r="G21252" s="11"/>
      <c r="H21252" s="11"/>
      <c r="I21252" s="15"/>
    </row>
    <row r="21253" spans="1:9" ht="16.5">
      <c r="A21253" s="10" t="b">
        <v>0</v>
      </c>
      <c r="B21253" s="11" t="str">
        <f>IF(D21253&lt;&gt;"",IF(COUNTIF('USPTO TMs'!A:A,D21253)&gt;0,"Yes","No"),"")</f>
        <v/>
      </c>
      <c r="C21253" s="11"/>
      <c r="D21253" s="11"/>
      <c r="E21253" s="11"/>
      <c r="F21253" s="11"/>
      <c r="G21253" s="11"/>
      <c r="H21253" s="11"/>
      <c r="I21253" s="15"/>
    </row>
    <row r="21254" spans="1:9" ht="16.5">
      <c r="A21254" s="10" t="b">
        <v>0</v>
      </c>
      <c r="B21254" s="11" t="str">
        <f>IF(D21254&lt;&gt;"",IF(COUNTIF('USPTO TMs'!A:A,D21254)&gt;0,"Yes","No"),"")</f>
        <v/>
      </c>
      <c r="C21254" s="11"/>
      <c r="D21254" s="11"/>
      <c r="E21254" s="11"/>
      <c r="F21254" s="11"/>
      <c r="G21254" s="11"/>
      <c r="H21254" s="11"/>
      <c r="I21254" s="15"/>
    </row>
    <row r="21255" spans="1:9" ht="16.5">
      <c r="A21255" s="10" t="b">
        <v>0</v>
      </c>
      <c r="B21255" s="11" t="str">
        <f>IF(D21255&lt;&gt;"",IF(COUNTIF('USPTO TMs'!A:A,D21255)&gt;0,"Yes","No"),"")</f>
        <v/>
      </c>
      <c r="C21255" s="11"/>
      <c r="D21255" s="11"/>
      <c r="E21255" s="11"/>
      <c r="F21255" s="11"/>
      <c r="G21255" s="11"/>
      <c r="H21255" s="11"/>
      <c r="I21255" s="15"/>
    </row>
    <row r="21256" spans="1:9" ht="16.5">
      <c r="A21256" s="10" t="b">
        <v>0</v>
      </c>
      <c r="B21256" s="11" t="str">
        <f>IF(D21256&lt;&gt;"",IF(COUNTIF('USPTO TMs'!A:A,D21256)&gt;0,"Yes","No"),"")</f>
        <v/>
      </c>
      <c r="C21256" s="11"/>
      <c r="D21256" s="11"/>
      <c r="E21256" s="11"/>
      <c r="F21256" s="11"/>
      <c r="G21256" s="11"/>
      <c r="H21256" s="11"/>
      <c r="I21256" s="15"/>
    </row>
    <row r="21257" spans="1:9" ht="16.5">
      <c r="A21257" s="10" t="b">
        <v>0</v>
      </c>
      <c r="B21257" s="11" t="str">
        <f>IF(D21257&lt;&gt;"",IF(COUNTIF('USPTO TMs'!A:A,D21257)&gt;0,"Yes","No"),"")</f>
        <v/>
      </c>
      <c r="C21257" s="11"/>
      <c r="D21257" s="11"/>
      <c r="E21257" s="11"/>
      <c r="F21257" s="11"/>
      <c r="G21257" s="11"/>
      <c r="H21257" s="11"/>
      <c r="I21257" s="15"/>
    </row>
    <row r="21258" spans="1:9" ht="16.5">
      <c r="A21258" s="10" t="b">
        <v>0</v>
      </c>
      <c r="B21258" s="11" t="str">
        <f>IF(D21258&lt;&gt;"",IF(COUNTIF('USPTO TMs'!A:A,D21258)&gt;0,"Yes","No"),"")</f>
        <v/>
      </c>
      <c r="C21258" s="11"/>
      <c r="D21258" s="11"/>
      <c r="E21258" s="11"/>
      <c r="F21258" s="11"/>
      <c r="G21258" s="11"/>
      <c r="H21258" s="11"/>
      <c r="I21258" s="15"/>
    </row>
    <row r="21259" spans="1:9" ht="16.5">
      <c r="A21259" s="10" t="b">
        <v>0</v>
      </c>
      <c r="B21259" s="11" t="str">
        <f>IF(D21259&lt;&gt;"",IF(COUNTIF('USPTO TMs'!A:A,D21259)&gt;0,"Yes","No"),"")</f>
        <v/>
      </c>
      <c r="C21259" s="11"/>
      <c r="D21259" s="11"/>
      <c r="E21259" s="11"/>
      <c r="F21259" s="11"/>
      <c r="G21259" s="11"/>
      <c r="H21259" s="11"/>
      <c r="I21259" s="15"/>
    </row>
    <row r="21260" spans="1:9" ht="16.5">
      <c r="A21260" s="10" t="b">
        <v>0</v>
      </c>
      <c r="B21260" s="11" t="str">
        <f>IF(D21260&lt;&gt;"",IF(COUNTIF('USPTO TMs'!A:A,D21260)&gt;0,"Yes","No"),"")</f>
        <v/>
      </c>
      <c r="C21260" s="11"/>
      <c r="D21260" s="11"/>
      <c r="E21260" s="11"/>
      <c r="F21260" s="11"/>
      <c r="G21260" s="11"/>
      <c r="H21260" s="11"/>
      <c r="I21260" s="15"/>
    </row>
    <row r="21261" spans="1:9" ht="16.5">
      <c r="A21261" s="10" t="b">
        <v>0</v>
      </c>
      <c r="B21261" s="11" t="str">
        <f>IF(D21261&lt;&gt;"",IF(COUNTIF('USPTO TMs'!A:A,D21261)&gt;0,"Yes","No"),"")</f>
        <v/>
      </c>
      <c r="C21261" s="11"/>
      <c r="D21261" s="11"/>
      <c r="E21261" s="11"/>
      <c r="F21261" s="11"/>
      <c r="G21261" s="11"/>
      <c r="H21261" s="11"/>
      <c r="I21261" s="15"/>
    </row>
    <row r="21262" spans="1:9" ht="16.5">
      <c r="A21262" s="10" t="b">
        <v>0</v>
      </c>
      <c r="B21262" s="11" t="str">
        <f>IF(D21262&lt;&gt;"",IF(COUNTIF('USPTO TMs'!A:A,D21262)&gt;0,"Yes","No"),"")</f>
        <v/>
      </c>
      <c r="C21262" s="11"/>
      <c r="D21262" s="11"/>
      <c r="E21262" s="11"/>
      <c r="F21262" s="11"/>
      <c r="G21262" s="11"/>
      <c r="H21262" s="11"/>
      <c r="I21262" s="15"/>
    </row>
    <row r="21263" spans="1:9" ht="16.5">
      <c r="A21263" s="10" t="b">
        <v>0</v>
      </c>
      <c r="B21263" s="11" t="str">
        <f>IF(D21263&lt;&gt;"",IF(COUNTIF('USPTO TMs'!A:A,D21263)&gt;0,"Yes","No"),"")</f>
        <v/>
      </c>
      <c r="C21263" s="11"/>
      <c r="D21263" s="11"/>
      <c r="E21263" s="11"/>
      <c r="F21263" s="11"/>
      <c r="G21263" s="11"/>
      <c r="H21263" s="11"/>
      <c r="I21263" s="15"/>
    </row>
    <row r="21264" spans="1:9" ht="16.5">
      <c r="A21264" s="10" t="b">
        <v>0</v>
      </c>
      <c r="B21264" s="11" t="str">
        <f>IF(D21264&lt;&gt;"",IF(COUNTIF('USPTO TMs'!A:A,D21264)&gt;0,"Yes","No"),"")</f>
        <v/>
      </c>
      <c r="C21264" s="11"/>
      <c r="D21264" s="11"/>
      <c r="E21264" s="11"/>
      <c r="F21264" s="11"/>
      <c r="G21264" s="11"/>
      <c r="H21264" s="11"/>
      <c r="I21264" s="15"/>
    </row>
    <row r="21265" spans="1:9" ht="16.5">
      <c r="A21265" s="10" t="b">
        <v>0</v>
      </c>
      <c r="B21265" s="11" t="str">
        <f>IF(D21265&lt;&gt;"",IF(COUNTIF('USPTO TMs'!A:A,D21265)&gt;0,"Yes","No"),"")</f>
        <v/>
      </c>
      <c r="C21265" s="11"/>
      <c r="D21265" s="11"/>
      <c r="E21265" s="11"/>
      <c r="F21265" s="11"/>
      <c r="G21265" s="11"/>
      <c r="H21265" s="11"/>
      <c r="I21265" s="15"/>
    </row>
    <row r="21266" spans="1:9" ht="16.5">
      <c r="A21266" s="10" t="b">
        <v>0</v>
      </c>
      <c r="B21266" s="11" t="str">
        <f>IF(D21266&lt;&gt;"",IF(COUNTIF('USPTO TMs'!A:A,D21266)&gt;0,"Yes","No"),"")</f>
        <v/>
      </c>
      <c r="C21266" s="11"/>
      <c r="D21266" s="11"/>
      <c r="E21266" s="11"/>
      <c r="F21266" s="11"/>
      <c r="G21266" s="11"/>
      <c r="H21266" s="11"/>
      <c r="I21266" s="15"/>
    </row>
    <row r="21267" spans="1:9" ht="16.5">
      <c r="A21267" s="10" t="b">
        <v>0</v>
      </c>
      <c r="B21267" s="11" t="str">
        <f>IF(D21267&lt;&gt;"",IF(COUNTIF('USPTO TMs'!A:A,D21267)&gt;0,"Yes","No"),"")</f>
        <v/>
      </c>
      <c r="C21267" s="11"/>
      <c r="D21267" s="11"/>
      <c r="E21267" s="11"/>
      <c r="F21267" s="11"/>
      <c r="G21267" s="11"/>
      <c r="H21267" s="11"/>
      <c r="I21267" s="15"/>
    </row>
    <row r="21268" spans="1:9" ht="16.5">
      <c r="A21268" s="10" t="b">
        <v>0</v>
      </c>
      <c r="B21268" s="11" t="str">
        <f>IF(D21268&lt;&gt;"",IF(COUNTIF('USPTO TMs'!A:A,D21268)&gt;0,"Yes","No"),"")</f>
        <v/>
      </c>
      <c r="C21268" s="11"/>
      <c r="D21268" s="11"/>
      <c r="E21268" s="11"/>
      <c r="F21268" s="11"/>
      <c r="G21268" s="11"/>
      <c r="H21268" s="11"/>
      <c r="I21268" s="15"/>
    </row>
    <row r="21269" spans="1:9" ht="16.5">
      <c r="A21269" s="10" t="b">
        <v>0</v>
      </c>
      <c r="B21269" s="11" t="str">
        <f>IF(D21269&lt;&gt;"",IF(COUNTIF('USPTO TMs'!A:A,D21269)&gt;0,"Yes","No"),"")</f>
        <v/>
      </c>
      <c r="C21269" s="11"/>
      <c r="D21269" s="11"/>
      <c r="E21269" s="11"/>
      <c r="F21269" s="11"/>
      <c r="G21269" s="11"/>
      <c r="H21269" s="11"/>
      <c r="I21269" s="15"/>
    </row>
    <row r="21270" spans="1:9" ht="16.5">
      <c r="A21270" s="10" t="b">
        <v>0</v>
      </c>
      <c r="B21270" s="11" t="str">
        <f>IF(D21270&lt;&gt;"",IF(COUNTIF('USPTO TMs'!A:A,D21270)&gt;0,"Yes","No"),"")</f>
        <v/>
      </c>
      <c r="C21270" s="11"/>
      <c r="D21270" s="11"/>
      <c r="E21270" s="11"/>
      <c r="F21270" s="11"/>
      <c r="G21270" s="11"/>
      <c r="H21270" s="11"/>
      <c r="I21270" s="15"/>
    </row>
    <row r="21271" spans="1:9" ht="16.5">
      <c r="A21271" s="10" t="b">
        <v>0</v>
      </c>
      <c r="B21271" s="11" t="str">
        <f>IF(D21271&lt;&gt;"",IF(COUNTIF('USPTO TMs'!A:A,D21271)&gt;0,"Yes","No"),"")</f>
        <v/>
      </c>
      <c r="C21271" s="11"/>
      <c r="D21271" s="11"/>
      <c r="E21271" s="11"/>
      <c r="F21271" s="11"/>
      <c r="G21271" s="11"/>
      <c r="H21271" s="11"/>
      <c r="I21271" s="15"/>
    </row>
    <row r="21272" spans="1:9" ht="16.5">
      <c r="A21272" s="10" t="b">
        <v>0</v>
      </c>
      <c r="B21272" s="11" t="str">
        <f>IF(D21272&lt;&gt;"",IF(COUNTIF('USPTO TMs'!A:A,D21272)&gt;0,"Yes","No"),"")</f>
        <v/>
      </c>
      <c r="C21272" s="11"/>
      <c r="D21272" s="11"/>
      <c r="E21272" s="11"/>
      <c r="F21272" s="11"/>
      <c r="G21272" s="11"/>
      <c r="H21272" s="11"/>
      <c r="I21272" s="15"/>
    </row>
    <row r="21273" spans="1:9" ht="16.5">
      <c r="A21273" s="10" t="b">
        <v>0</v>
      </c>
      <c r="B21273" s="11" t="str">
        <f>IF(D21273&lt;&gt;"",IF(COUNTIF('USPTO TMs'!A:A,D21273)&gt;0,"Yes","No"),"")</f>
        <v/>
      </c>
      <c r="C21273" s="11"/>
      <c r="D21273" s="11"/>
      <c r="E21273" s="11"/>
      <c r="F21273" s="11"/>
      <c r="G21273" s="11"/>
      <c r="H21273" s="11"/>
      <c r="I21273" s="15"/>
    </row>
    <row r="21274" spans="1:9" ht="16.5">
      <c r="A21274" s="10" t="b">
        <v>0</v>
      </c>
      <c r="B21274" s="11" t="str">
        <f>IF(D21274&lt;&gt;"",IF(COUNTIF('USPTO TMs'!A:A,D21274)&gt;0,"Yes","No"),"")</f>
        <v/>
      </c>
      <c r="C21274" s="11"/>
      <c r="D21274" s="11"/>
      <c r="E21274" s="11"/>
      <c r="F21274" s="11"/>
      <c r="G21274" s="11"/>
      <c r="H21274" s="11"/>
      <c r="I21274" s="15"/>
    </row>
    <row r="21275" spans="1:9" ht="16.5">
      <c r="A21275" s="10" t="b">
        <v>0</v>
      </c>
      <c r="B21275" s="11" t="str">
        <f>IF(D21275&lt;&gt;"",IF(COUNTIF('USPTO TMs'!A:A,D21275)&gt;0,"Yes","No"),"")</f>
        <v/>
      </c>
      <c r="C21275" s="11"/>
      <c r="D21275" s="11"/>
      <c r="E21275" s="11"/>
      <c r="F21275" s="11"/>
      <c r="G21275" s="11"/>
      <c r="H21275" s="11"/>
      <c r="I21275" s="15"/>
    </row>
    <row r="21276" spans="1:9" ht="16.5">
      <c r="A21276" s="10" t="b">
        <v>0</v>
      </c>
      <c r="B21276" s="11" t="str">
        <f>IF(D21276&lt;&gt;"",IF(COUNTIF('USPTO TMs'!A:A,D21276)&gt;0,"Yes","No"),"")</f>
        <v/>
      </c>
      <c r="C21276" s="11"/>
      <c r="D21276" s="11"/>
      <c r="E21276" s="11"/>
      <c r="F21276" s="11"/>
      <c r="G21276" s="11"/>
      <c r="H21276" s="11"/>
      <c r="I21276" s="15"/>
    </row>
    <row r="21277" spans="1:9" ht="16.5">
      <c r="A21277" s="10" t="b">
        <v>0</v>
      </c>
      <c r="B21277" s="11" t="str">
        <f>IF(D21277&lt;&gt;"",IF(COUNTIF('USPTO TMs'!A:A,D21277)&gt;0,"Yes","No"),"")</f>
        <v/>
      </c>
      <c r="C21277" s="11"/>
      <c r="D21277" s="11"/>
      <c r="E21277" s="11"/>
      <c r="F21277" s="11"/>
      <c r="G21277" s="11"/>
      <c r="H21277" s="11"/>
      <c r="I21277" s="15"/>
    </row>
    <row r="21278" spans="1:9" ht="16.5">
      <c r="A21278" s="10" t="b">
        <v>0</v>
      </c>
      <c r="B21278" s="11" t="str">
        <f>IF(D21278&lt;&gt;"",IF(COUNTIF('USPTO TMs'!A:A,D21278)&gt;0,"Yes","No"),"")</f>
        <v/>
      </c>
      <c r="C21278" s="11"/>
      <c r="D21278" s="11"/>
      <c r="E21278" s="11"/>
      <c r="F21278" s="11"/>
      <c r="G21278" s="11"/>
      <c r="H21278" s="11"/>
      <c r="I21278" s="15"/>
    </row>
    <row r="21279" spans="1:9" ht="16.5">
      <c r="A21279" s="10" t="b">
        <v>0</v>
      </c>
      <c r="B21279" s="11" t="str">
        <f>IF(D21279&lt;&gt;"",IF(COUNTIF('USPTO TMs'!A:A,D21279)&gt;0,"Yes","No"),"")</f>
        <v/>
      </c>
      <c r="C21279" s="11"/>
      <c r="D21279" s="11"/>
      <c r="E21279" s="11"/>
      <c r="F21279" s="11"/>
      <c r="G21279" s="11"/>
      <c r="H21279" s="11"/>
      <c r="I21279" s="15"/>
    </row>
    <row r="21280" spans="1:9" ht="16.5">
      <c r="A21280" s="10" t="b">
        <v>0</v>
      </c>
      <c r="B21280" s="11" t="str">
        <f>IF(D21280&lt;&gt;"",IF(COUNTIF('USPTO TMs'!A:A,D21280)&gt;0,"Yes","No"),"")</f>
        <v/>
      </c>
      <c r="C21280" s="11"/>
      <c r="D21280" s="11"/>
      <c r="E21280" s="11"/>
      <c r="F21280" s="11"/>
      <c r="G21280" s="11"/>
      <c r="H21280" s="11"/>
      <c r="I21280" s="15"/>
    </row>
    <row r="21281" spans="1:9" ht="16.5">
      <c r="A21281" s="10" t="b">
        <v>0</v>
      </c>
      <c r="B21281" s="11" t="str">
        <f>IF(D21281&lt;&gt;"",IF(COUNTIF('USPTO TMs'!A:A,D21281)&gt;0,"Yes","No"),"")</f>
        <v/>
      </c>
      <c r="C21281" s="11"/>
      <c r="D21281" s="11"/>
      <c r="E21281" s="11"/>
      <c r="F21281" s="11"/>
      <c r="G21281" s="11"/>
      <c r="H21281" s="11"/>
      <c r="I21281" s="15"/>
    </row>
    <row r="21282" spans="1:9" ht="16.5">
      <c r="A21282" s="10" t="b">
        <v>0</v>
      </c>
      <c r="B21282" s="11" t="str">
        <f>IF(D21282&lt;&gt;"",IF(COUNTIF('USPTO TMs'!A:A,D21282)&gt;0,"Yes","No"),"")</f>
        <v/>
      </c>
      <c r="C21282" s="11"/>
      <c r="D21282" s="11"/>
      <c r="E21282" s="11"/>
      <c r="F21282" s="11"/>
      <c r="G21282" s="11"/>
      <c r="H21282" s="11"/>
      <c r="I21282" s="15"/>
    </row>
    <row r="21283" spans="1:9" ht="16.5">
      <c r="A21283" s="10" t="b">
        <v>0</v>
      </c>
      <c r="B21283" s="11" t="str">
        <f>IF(D21283&lt;&gt;"",IF(COUNTIF('USPTO TMs'!A:A,D21283)&gt;0,"Yes","No"),"")</f>
        <v/>
      </c>
      <c r="C21283" s="11"/>
      <c r="D21283" s="11"/>
      <c r="E21283" s="11"/>
      <c r="F21283" s="11"/>
      <c r="G21283" s="11"/>
      <c r="H21283" s="11"/>
      <c r="I21283" s="15"/>
    </row>
    <row r="21284" spans="1:9" ht="16.5">
      <c r="A21284" s="10" t="b">
        <v>0</v>
      </c>
      <c r="B21284" s="11" t="str">
        <f>IF(D21284&lt;&gt;"",IF(COUNTIF('USPTO TMs'!A:A,D21284)&gt;0,"Yes","No"),"")</f>
        <v/>
      </c>
      <c r="C21284" s="11"/>
      <c r="D21284" s="11"/>
      <c r="E21284" s="11"/>
      <c r="F21284" s="11"/>
      <c r="G21284" s="11"/>
      <c r="H21284" s="11"/>
      <c r="I21284" s="15"/>
    </row>
    <row r="21285" spans="1:9" ht="16.5">
      <c r="A21285" s="10" t="b">
        <v>0</v>
      </c>
      <c r="B21285" s="11" t="str">
        <f>IF(D21285&lt;&gt;"",IF(COUNTIF('USPTO TMs'!A:A,D21285)&gt;0,"Yes","No"),"")</f>
        <v/>
      </c>
      <c r="C21285" s="11"/>
      <c r="D21285" s="11"/>
      <c r="E21285" s="11"/>
      <c r="F21285" s="11"/>
      <c r="G21285" s="11"/>
      <c r="H21285" s="11"/>
      <c r="I21285" s="15"/>
    </row>
    <row r="21286" spans="1:9" ht="16.5">
      <c r="A21286" s="10" t="b">
        <v>0</v>
      </c>
      <c r="B21286" s="11" t="str">
        <f>IF(D21286&lt;&gt;"",IF(COUNTIF('USPTO TMs'!A:A,D21286)&gt;0,"Yes","No"),"")</f>
        <v/>
      </c>
      <c r="C21286" s="11"/>
      <c r="D21286" s="11"/>
      <c r="E21286" s="11"/>
      <c r="F21286" s="11"/>
      <c r="G21286" s="11"/>
      <c r="H21286" s="11"/>
      <c r="I21286" s="15"/>
    </row>
    <row r="21287" spans="1:9" ht="16.5">
      <c r="A21287" s="10" t="b">
        <v>0</v>
      </c>
      <c r="B21287" s="11" t="str">
        <f>IF(D21287&lt;&gt;"",IF(COUNTIF('USPTO TMs'!A:A,D21287)&gt;0,"Yes","No"),"")</f>
        <v/>
      </c>
      <c r="C21287" s="11"/>
      <c r="D21287" s="11"/>
      <c r="E21287" s="11"/>
      <c r="F21287" s="11"/>
      <c r="G21287" s="11"/>
      <c r="H21287" s="11"/>
      <c r="I21287" s="15"/>
    </row>
    <row r="21288" spans="1:9" ht="16.5">
      <c r="A21288" s="10" t="b">
        <v>0</v>
      </c>
      <c r="B21288" s="11" t="str">
        <f>IF(D21288&lt;&gt;"",IF(COUNTIF('USPTO TMs'!A:A,D21288)&gt;0,"Yes","No"),"")</f>
        <v/>
      </c>
      <c r="C21288" s="11"/>
      <c r="D21288" s="11"/>
      <c r="E21288" s="11"/>
      <c r="F21288" s="11"/>
      <c r="G21288" s="11"/>
      <c r="H21288" s="11"/>
      <c r="I21288" s="15"/>
    </row>
    <row r="21289" spans="1:9" ht="16.5">
      <c r="A21289" s="10" t="b">
        <v>0</v>
      </c>
      <c r="B21289" s="11" t="str">
        <f>IF(D21289&lt;&gt;"",IF(COUNTIF('USPTO TMs'!A:A,D21289)&gt;0,"Yes","No"),"")</f>
        <v/>
      </c>
      <c r="C21289" s="11"/>
      <c r="D21289" s="11"/>
      <c r="E21289" s="11"/>
      <c r="F21289" s="11"/>
      <c r="G21289" s="11"/>
      <c r="H21289" s="11"/>
      <c r="I21289" s="15"/>
    </row>
    <row r="21290" spans="1:9" ht="16.5">
      <c r="A21290" s="10" t="b">
        <v>0</v>
      </c>
      <c r="B21290" s="11" t="str">
        <f>IF(D21290&lt;&gt;"",IF(COUNTIF('USPTO TMs'!A:A,D21290)&gt;0,"Yes","No"),"")</f>
        <v/>
      </c>
      <c r="C21290" s="11"/>
      <c r="D21290" s="11"/>
      <c r="E21290" s="11"/>
      <c r="F21290" s="11"/>
      <c r="G21290" s="11"/>
      <c r="H21290" s="11"/>
      <c r="I21290" s="15"/>
    </row>
    <row r="21291" spans="1:9" ht="16.5">
      <c r="A21291" s="10" t="b">
        <v>0</v>
      </c>
      <c r="B21291" s="11" t="str">
        <f>IF(D21291&lt;&gt;"",IF(COUNTIF('USPTO TMs'!A:A,D21291)&gt;0,"Yes","No"),"")</f>
        <v/>
      </c>
      <c r="C21291" s="11"/>
      <c r="D21291" s="11"/>
      <c r="E21291" s="11"/>
      <c r="F21291" s="11"/>
      <c r="G21291" s="11"/>
      <c r="H21291" s="11"/>
      <c r="I21291" s="15"/>
    </row>
    <row r="21292" spans="1:9" ht="16.5">
      <c r="A21292" s="10" t="b">
        <v>0</v>
      </c>
      <c r="B21292" s="11" t="str">
        <f>IF(D21292&lt;&gt;"",IF(COUNTIF('USPTO TMs'!A:A,D21292)&gt;0,"Yes","No"),"")</f>
        <v/>
      </c>
      <c r="C21292" s="11"/>
      <c r="D21292" s="11"/>
      <c r="E21292" s="11"/>
      <c r="F21292" s="11"/>
      <c r="G21292" s="11"/>
      <c r="H21292" s="11"/>
      <c r="I21292" s="15"/>
    </row>
    <row r="21293" spans="1:9" ht="16.5">
      <c r="A21293" s="10" t="b">
        <v>0</v>
      </c>
      <c r="B21293" s="11" t="str">
        <f>IF(D21293&lt;&gt;"",IF(COUNTIF('USPTO TMs'!A:A,D21293)&gt;0,"Yes","No"),"")</f>
        <v/>
      </c>
      <c r="C21293" s="11"/>
      <c r="D21293" s="11"/>
      <c r="E21293" s="11"/>
      <c r="F21293" s="11"/>
      <c r="G21293" s="11"/>
      <c r="H21293" s="11"/>
      <c r="I21293" s="15"/>
    </row>
    <row r="21294" spans="1:9" ht="16.5">
      <c r="A21294" s="10" t="b">
        <v>0</v>
      </c>
      <c r="B21294" s="11" t="str">
        <f>IF(D21294&lt;&gt;"",IF(COUNTIF('USPTO TMs'!A:A,D21294)&gt;0,"Yes","No"),"")</f>
        <v/>
      </c>
      <c r="C21294" s="11"/>
      <c r="D21294" s="11"/>
      <c r="E21294" s="11"/>
      <c r="F21294" s="11"/>
      <c r="G21294" s="11"/>
      <c r="H21294" s="11"/>
      <c r="I21294" s="15"/>
    </row>
    <row r="21295" spans="1:9" ht="16.5">
      <c r="A21295" s="10" t="b">
        <v>0</v>
      </c>
      <c r="B21295" s="11" t="str">
        <f>IF(D21295&lt;&gt;"",IF(COUNTIF('USPTO TMs'!A:A,D21295)&gt;0,"Yes","No"),"")</f>
        <v/>
      </c>
      <c r="C21295" s="11"/>
      <c r="D21295" s="11"/>
      <c r="E21295" s="11"/>
      <c r="F21295" s="11"/>
      <c r="G21295" s="11"/>
      <c r="H21295" s="11"/>
      <c r="I21295" s="15"/>
    </row>
    <row r="21296" spans="1:9" ht="16.5">
      <c r="A21296" s="10" t="b">
        <v>0</v>
      </c>
      <c r="B21296" s="11" t="str">
        <f>IF(D21296&lt;&gt;"",IF(COUNTIF('USPTO TMs'!A:A,D21296)&gt;0,"Yes","No"),"")</f>
        <v/>
      </c>
      <c r="C21296" s="11"/>
      <c r="D21296" s="11"/>
      <c r="E21296" s="11"/>
      <c r="F21296" s="11"/>
      <c r="G21296" s="11"/>
      <c r="H21296" s="11"/>
      <c r="I21296" s="15"/>
    </row>
    <row r="21297" spans="1:9" ht="16.5">
      <c r="A21297" s="10" t="b">
        <v>0</v>
      </c>
      <c r="B21297" s="11" t="str">
        <f>IF(D21297&lt;&gt;"",IF(COUNTIF('USPTO TMs'!A:A,D21297)&gt;0,"Yes","No"),"")</f>
        <v/>
      </c>
      <c r="C21297" s="11"/>
      <c r="D21297" s="11"/>
      <c r="E21297" s="11"/>
      <c r="F21297" s="11"/>
      <c r="G21297" s="11"/>
      <c r="H21297" s="11"/>
      <c r="I21297" s="15"/>
    </row>
    <row r="21298" spans="1:9" ht="16.5">
      <c r="A21298" s="10" t="b">
        <v>0</v>
      </c>
      <c r="B21298" s="11" t="str">
        <f>IF(D21298&lt;&gt;"",IF(COUNTIF('USPTO TMs'!A:A,D21298)&gt;0,"Yes","No"),"")</f>
        <v/>
      </c>
      <c r="C21298" s="11"/>
      <c r="D21298" s="11"/>
      <c r="E21298" s="11"/>
      <c r="F21298" s="11"/>
      <c r="G21298" s="11"/>
      <c r="H21298" s="11"/>
      <c r="I21298" s="15"/>
    </row>
    <row r="21299" spans="1:9" ht="16.5">
      <c r="A21299" s="10" t="b">
        <v>0</v>
      </c>
      <c r="B21299" s="11" t="str">
        <f>IF(D21299&lt;&gt;"",IF(COUNTIF('USPTO TMs'!A:A,D21299)&gt;0,"Yes","No"),"")</f>
        <v/>
      </c>
      <c r="C21299" s="11"/>
      <c r="D21299" s="11"/>
      <c r="E21299" s="11"/>
      <c r="F21299" s="11"/>
      <c r="G21299" s="11"/>
      <c r="H21299" s="11"/>
      <c r="I21299" s="15"/>
    </row>
    <row r="21300" spans="1:9" ht="16.5">
      <c r="A21300" s="10" t="b">
        <v>0</v>
      </c>
      <c r="B21300" s="11" t="str">
        <f>IF(D21300&lt;&gt;"",IF(COUNTIF('USPTO TMs'!A:A,D21300)&gt;0,"Yes","No"),"")</f>
        <v/>
      </c>
      <c r="C21300" s="11"/>
      <c r="D21300" s="11"/>
      <c r="E21300" s="11"/>
      <c r="F21300" s="11"/>
      <c r="G21300" s="11"/>
      <c r="H21300" s="11"/>
      <c r="I21300" s="15"/>
    </row>
    <row r="21301" spans="1:9" ht="16.5">
      <c r="A21301" s="10" t="b">
        <v>0</v>
      </c>
      <c r="B21301" s="11" t="str">
        <f>IF(D21301&lt;&gt;"",IF(COUNTIF('USPTO TMs'!A:A,D21301)&gt;0,"Yes","No"),"")</f>
        <v/>
      </c>
      <c r="C21301" s="11"/>
      <c r="D21301" s="11"/>
      <c r="E21301" s="11"/>
      <c r="F21301" s="11"/>
      <c r="G21301" s="11"/>
      <c r="H21301" s="11"/>
      <c r="I21301" s="15"/>
    </row>
    <row r="21302" spans="1:9" ht="16.5">
      <c r="A21302" s="10" t="b">
        <v>0</v>
      </c>
      <c r="B21302" s="11" t="str">
        <f>IF(D21302&lt;&gt;"",IF(COUNTIF('USPTO TMs'!A:A,D21302)&gt;0,"Yes","No"),"")</f>
        <v/>
      </c>
      <c r="C21302" s="11"/>
      <c r="D21302" s="11"/>
      <c r="E21302" s="11"/>
      <c r="F21302" s="11"/>
      <c r="G21302" s="11"/>
      <c r="H21302" s="11"/>
      <c r="I21302" s="15"/>
    </row>
    <row r="21303" spans="1:9" ht="16.5">
      <c r="A21303" s="10" t="b">
        <v>0</v>
      </c>
      <c r="B21303" s="11" t="str">
        <f>IF(D21303&lt;&gt;"",IF(COUNTIF('USPTO TMs'!A:A,D21303)&gt;0,"Yes","No"),"")</f>
        <v/>
      </c>
      <c r="C21303" s="11"/>
      <c r="D21303" s="11"/>
      <c r="E21303" s="11"/>
      <c r="F21303" s="11"/>
      <c r="G21303" s="11"/>
      <c r="H21303" s="11"/>
      <c r="I21303" s="15"/>
    </row>
    <row r="21304" spans="1:9" ht="16.5">
      <c r="A21304" s="10" t="b">
        <v>0</v>
      </c>
      <c r="B21304" s="11" t="str">
        <f>IF(D21304&lt;&gt;"",IF(COUNTIF('USPTO TMs'!A:A,D21304)&gt;0,"Yes","No"),"")</f>
        <v/>
      </c>
      <c r="C21304" s="11"/>
      <c r="D21304" s="11"/>
      <c r="E21304" s="11"/>
      <c r="F21304" s="11"/>
      <c r="G21304" s="11"/>
      <c r="H21304" s="11"/>
      <c r="I21304" s="15"/>
    </row>
    <row r="21305" spans="1:9" ht="16.5">
      <c r="A21305" s="10" t="b">
        <v>0</v>
      </c>
      <c r="B21305" s="11" t="str">
        <f>IF(D21305&lt;&gt;"",IF(COUNTIF('USPTO TMs'!A:A,D21305)&gt;0,"Yes","No"),"")</f>
        <v/>
      </c>
      <c r="C21305" s="11"/>
      <c r="D21305" s="11"/>
      <c r="E21305" s="11"/>
      <c r="F21305" s="11"/>
      <c r="G21305" s="11"/>
      <c r="H21305" s="11"/>
      <c r="I21305" s="15"/>
    </row>
    <row r="21306" spans="1:9" ht="16.5">
      <c r="A21306" s="10" t="b">
        <v>0</v>
      </c>
      <c r="B21306" s="11" t="str">
        <f>IF(D21306&lt;&gt;"",IF(COUNTIF('USPTO TMs'!A:A,D21306)&gt;0,"Yes","No"),"")</f>
        <v/>
      </c>
      <c r="C21306" s="11"/>
      <c r="D21306" s="11"/>
      <c r="E21306" s="11"/>
      <c r="F21306" s="11"/>
      <c r="G21306" s="11"/>
      <c r="H21306" s="11"/>
      <c r="I21306" s="15"/>
    </row>
    <row r="21307" spans="1:9" ht="16.5">
      <c r="A21307" s="10" t="b">
        <v>0</v>
      </c>
      <c r="B21307" s="11" t="str">
        <f>IF(D21307&lt;&gt;"",IF(COUNTIF('USPTO TMs'!A:A,D21307)&gt;0,"Yes","No"),"")</f>
        <v/>
      </c>
      <c r="C21307" s="11"/>
      <c r="D21307" s="11"/>
      <c r="E21307" s="11"/>
      <c r="F21307" s="11"/>
      <c r="G21307" s="11"/>
      <c r="H21307" s="11"/>
      <c r="I21307" s="15"/>
    </row>
    <row r="21308" spans="1:9" ht="16.5">
      <c r="A21308" s="10" t="b">
        <v>0</v>
      </c>
      <c r="B21308" s="11" t="str">
        <f>IF(D21308&lt;&gt;"",IF(COUNTIF('USPTO TMs'!A:A,D21308)&gt;0,"Yes","No"),"")</f>
        <v/>
      </c>
      <c r="C21308" s="11"/>
      <c r="D21308" s="11"/>
      <c r="E21308" s="11"/>
      <c r="F21308" s="11"/>
      <c r="G21308" s="11"/>
      <c r="H21308" s="11"/>
      <c r="I21308" s="15"/>
    </row>
    <row r="21309" spans="1:9" ht="16.5">
      <c r="A21309" s="10" t="b">
        <v>0</v>
      </c>
      <c r="B21309" s="11" t="str">
        <f>IF(D21309&lt;&gt;"",IF(COUNTIF('USPTO TMs'!A:A,D21309)&gt;0,"Yes","No"),"")</f>
        <v/>
      </c>
      <c r="C21309" s="11"/>
      <c r="D21309" s="11"/>
      <c r="E21309" s="11"/>
      <c r="F21309" s="11"/>
      <c r="G21309" s="11"/>
      <c r="H21309" s="11"/>
      <c r="I21309" s="15"/>
    </row>
    <row r="21310" spans="1:9" ht="16.5">
      <c r="A21310" s="10" t="b">
        <v>0</v>
      </c>
      <c r="B21310" s="11" t="str">
        <f>IF(D21310&lt;&gt;"",IF(COUNTIF('USPTO TMs'!A:A,D21310)&gt;0,"Yes","No"),"")</f>
        <v/>
      </c>
      <c r="C21310" s="11"/>
      <c r="D21310" s="11"/>
      <c r="E21310" s="11"/>
      <c r="F21310" s="11"/>
      <c r="G21310" s="11"/>
      <c r="H21310" s="11"/>
      <c r="I21310" s="15"/>
    </row>
    <row r="21311" spans="1:9" ht="16.5">
      <c r="A21311" s="10" t="b">
        <v>0</v>
      </c>
      <c r="B21311" s="11" t="str">
        <f>IF(D21311&lt;&gt;"",IF(COUNTIF('USPTO TMs'!A:A,D21311)&gt;0,"Yes","No"),"")</f>
        <v/>
      </c>
      <c r="C21311" s="11"/>
      <c r="D21311" s="11"/>
      <c r="E21311" s="11"/>
      <c r="F21311" s="11"/>
      <c r="G21311" s="11"/>
      <c r="H21311" s="11"/>
      <c r="I21311" s="15"/>
    </row>
    <row r="21312" spans="1:9" ht="16.5">
      <c r="A21312" s="10" t="b">
        <v>0</v>
      </c>
      <c r="B21312" s="11" t="str">
        <f>IF(D21312&lt;&gt;"",IF(COUNTIF('USPTO TMs'!A:A,D21312)&gt;0,"Yes","No"),"")</f>
        <v/>
      </c>
      <c r="C21312" s="11"/>
      <c r="D21312" s="11"/>
      <c r="E21312" s="11"/>
      <c r="F21312" s="11"/>
      <c r="G21312" s="11"/>
      <c r="H21312" s="11"/>
      <c r="I21312" s="15"/>
    </row>
    <row r="21313" spans="1:9" ht="16.5">
      <c r="A21313" s="10" t="b">
        <v>0</v>
      </c>
      <c r="B21313" s="11" t="str">
        <f>IF(D21313&lt;&gt;"",IF(COUNTIF('USPTO TMs'!A:A,D21313)&gt;0,"Yes","No"),"")</f>
        <v/>
      </c>
      <c r="C21313" s="11"/>
      <c r="D21313" s="11"/>
      <c r="E21313" s="11"/>
      <c r="F21313" s="11"/>
      <c r="G21313" s="11"/>
      <c r="H21313" s="11"/>
      <c r="I21313" s="15"/>
    </row>
    <row r="21314" spans="1:9" ht="16.5">
      <c r="A21314" s="10" t="b">
        <v>0</v>
      </c>
      <c r="B21314" s="11" t="str">
        <f>IF(D21314&lt;&gt;"",IF(COUNTIF('USPTO TMs'!A:A,D21314)&gt;0,"Yes","No"),"")</f>
        <v/>
      </c>
      <c r="C21314" s="11"/>
      <c r="D21314" s="11"/>
      <c r="E21314" s="11"/>
      <c r="F21314" s="11"/>
      <c r="G21314" s="11"/>
      <c r="H21314" s="11"/>
      <c r="I21314" s="15"/>
    </row>
    <row r="21315" spans="1:9" ht="16.5">
      <c r="A21315" s="10" t="b">
        <v>0</v>
      </c>
      <c r="B21315" s="11" t="str">
        <f>IF(D21315&lt;&gt;"",IF(COUNTIF('USPTO TMs'!A:A,D21315)&gt;0,"Yes","No"),"")</f>
        <v/>
      </c>
      <c r="C21315" s="11"/>
      <c r="D21315" s="11"/>
      <c r="E21315" s="11"/>
      <c r="F21315" s="11"/>
      <c r="G21315" s="11"/>
      <c r="H21315" s="11"/>
      <c r="I21315" s="15"/>
    </row>
    <row r="21316" spans="1:9" ht="16.5">
      <c r="A21316" s="10" t="b">
        <v>0</v>
      </c>
      <c r="B21316" s="11" t="str">
        <f>IF(D21316&lt;&gt;"",IF(COUNTIF('USPTO TMs'!A:A,D21316)&gt;0,"Yes","No"),"")</f>
        <v/>
      </c>
      <c r="C21316" s="11"/>
      <c r="D21316" s="11"/>
      <c r="E21316" s="11"/>
      <c r="F21316" s="11"/>
      <c r="G21316" s="11"/>
      <c r="H21316" s="11"/>
      <c r="I21316" s="15"/>
    </row>
    <row r="21317" spans="1:9" ht="16.5">
      <c r="A21317" s="10" t="b">
        <v>0</v>
      </c>
      <c r="B21317" s="11" t="str">
        <f>IF(D21317&lt;&gt;"",IF(COUNTIF('USPTO TMs'!A:A,D21317)&gt;0,"Yes","No"),"")</f>
        <v/>
      </c>
      <c r="C21317" s="11"/>
      <c r="D21317" s="11"/>
      <c r="E21317" s="11"/>
      <c r="F21317" s="11"/>
      <c r="G21317" s="11"/>
      <c r="H21317" s="11"/>
      <c r="I21317" s="15"/>
    </row>
    <row r="21318" spans="1:9" ht="16.5">
      <c r="A21318" s="10" t="b">
        <v>0</v>
      </c>
      <c r="B21318" s="11" t="str">
        <f>IF(D21318&lt;&gt;"",IF(COUNTIF('USPTO TMs'!A:A,D21318)&gt;0,"Yes","No"),"")</f>
        <v/>
      </c>
      <c r="C21318" s="11"/>
      <c r="D21318" s="11"/>
      <c r="E21318" s="11"/>
      <c r="F21318" s="11"/>
      <c r="G21318" s="11"/>
      <c r="H21318" s="11"/>
      <c r="I21318" s="15"/>
    </row>
    <row r="21319" spans="1:9" ht="16.5">
      <c r="A21319" s="10" t="b">
        <v>0</v>
      </c>
      <c r="B21319" s="11" t="str">
        <f>IF(D21319&lt;&gt;"",IF(COUNTIF('USPTO TMs'!A:A,D21319)&gt;0,"Yes","No"),"")</f>
        <v/>
      </c>
      <c r="C21319" s="11"/>
      <c r="D21319" s="11"/>
      <c r="E21319" s="11"/>
      <c r="F21319" s="11"/>
      <c r="G21319" s="11"/>
      <c r="H21319" s="11"/>
      <c r="I21319" s="15"/>
    </row>
    <row r="21320" spans="1:9" ht="16.5">
      <c r="A21320" s="10" t="b">
        <v>0</v>
      </c>
      <c r="B21320" s="11" t="str">
        <f>IF(D21320&lt;&gt;"",IF(COUNTIF('USPTO TMs'!A:A,D21320)&gt;0,"Yes","No"),"")</f>
        <v/>
      </c>
      <c r="C21320" s="11"/>
      <c r="D21320" s="11"/>
      <c r="E21320" s="11"/>
      <c r="F21320" s="11"/>
      <c r="G21320" s="11"/>
      <c r="H21320" s="11"/>
      <c r="I21320" s="15"/>
    </row>
    <row r="21321" spans="1:9" ht="16.5">
      <c r="A21321" s="10" t="b">
        <v>0</v>
      </c>
      <c r="B21321" s="11" t="str">
        <f>IF(D21321&lt;&gt;"",IF(COUNTIF('USPTO TMs'!A:A,D21321)&gt;0,"Yes","No"),"")</f>
        <v/>
      </c>
      <c r="C21321" s="11"/>
      <c r="D21321" s="11"/>
      <c r="E21321" s="11"/>
      <c r="F21321" s="11"/>
      <c r="G21321" s="11"/>
      <c r="H21321" s="11"/>
      <c r="I21321" s="15"/>
    </row>
    <row r="21322" spans="1:9" ht="16.5">
      <c r="A21322" s="10" t="b">
        <v>0</v>
      </c>
      <c r="B21322" s="11" t="str">
        <f>IF(D21322&lt;&gt;"",IF(COUNTIF('USPTO TMs'!A:A,D21322)&gt;0,"Yes","No"),"")</f>
        <v/>
      </c>
      <c r="C21322" s="11"/>
      <c r="D21322" s="11"/>
      <c r="E21322" s="11"/>
      <c r="F21322" s="11"/>
      <c r="G21322" s="11"/>
      <c r="H21322" s="11"/>
      <c r="I21322" s="15"/>
    </row>
    <row r="21323" spans="1:9" ht="16.5">
      <c r="A21323" s="10" t="b">
        <v>0</v>
      </c>
      <c r="B21323" s="11" t="str">
        <f>IF(D21323&lt;&gt;"",IF(COUNTIF('USPTO TMs'!A:A,D21323)&gt;0,"Yes","No"),"")</f>
        <v/>
      </c>
      <c r="C21323" s="11"/>
      <c r="D21323" s="11"/>
      <c r="E21323" s="11"/>
      <c r="F21323" s="11"/>
      <c r="G21323" s="11"/>
      <c r="H21323" s="11"/>
      <c r="I21323" s="15"/>
    </row>
    <row r="21324" spans="1:9" ht="16.5">
      <c r="A21324" s="10" t="b">
        <v>0</v>
      </c>
      <c r="B21324" s="11" t="str">
        <f>IF(D21324&lt;&gt;"",IF(COUNTIF('USPTO TMs'!A:A,D21324)&gt;0,"Yes","No"),"")</f>
        <v/>
      </c>
      <c r="C21324" s="11"/>
      <c r="D21324" s="11"/>
      <c r="E21324" s="11"/>
      <c r="F21324" s="11"/>
      <c r="G21324" s="11"/>
      <c r="H21324" s="11"/>
      <c r="I21324" s="15"/>
    </row>
    <row r="21325" spans="1:9" ht="16.5">
      <c r="A21325" s="10" t="b">
        <v>0</v>
      </c>
      <c r="B21325" s="11" t="str">
        <f>IF(D21325&lt;&gt;"",IF(COUNTIF('USPTO TMs'!A:A,D21325)&gt;0,"Yes","No"),"")</f>
        <v/>
      </c>
      <c r="C21325" s="11"/>
      <c r="D21325" s="11"/>
      <c r="E21325" s="11"/>
      <c r="F21325" s="11"/>
      <c r="G21325" s="11"/>
      <c r="H21325" s="11"/>
      <c r="I21325" s="15"/>
    </row>
    <row r="21326" spans="1:9" ht="16.5">
      <c r="A21326" s="10" t="b">
        <v>0</v>
      </c>
      <c r="B21326" s="11" t="str">
        <f>IF(D21326&lt;&gt;"",IF(COUNTIF('USPTO TMs'!A:A,D21326)&gt;0,"Yes","No"),"")</f>
        <v/>
      </c>
      <c r="C21326" s="11"/>
      <c r="D21326" s="11"/>
      <c r="E21326" s="11"/>
      <c r="F21326" s="11"/>
      <c r="G21326" s="11"/>
      <c r="H21326" s="11"/>
      <c r="I21326" s="15"/>
    </row>
    <row r="21327" spans="1:9" ht="16.5">
      <c r="A21327" s="10" t="b">
        <v>0</v>
      </c>
      <c r="B21327" s="11" t="str">
        <f>IF(D21327&lt;&gt;"",IF(COUNTIF('USPTO TMs'!A:A,D21327)&gt;0,"Yes","No"),"")</f>
        <v/>
      </c>
      <c r="C21327" s="11"/>
      <c r="D21327" s="11"/>
      <c r="E21327" s="11"/>
      <c r="F21327" s="11"/>
      <c r="G21327" s="11"/>
      <c r="H21327" s="11"/>
      <c r="I21327" s="15"/>
    </row>
    <row r="21328" spans="1:9" ht="16.5">
      <c r="A21328" s="10" t="b">
        <v>0</v>
      </c>
      <c r="B21328" s="11" t="str">
        <f>IF(D21328&lt;&gt;"",IF(COUNTIF('USPTO TMs'!A:A,D21328)&gt;0,"Yes","No"),"")</f>
        <v/>
      </c>
      <c r="C21328" s="11"/>
      <c r="D21328" s="11"/>
      <c r="E21328" s="11"/>
      <c r="F21328" s="11"/>
      <c r="G21328" s="11"/>
      <c r="H21328" s="11"/>
      <c r="I21328" s="15"/>
    </row>
    <row r="21329" spans="1:9" ht="16.5">
      <c r="A21329" s="10" t="b">
        <v>0</v>
      </c>
      <c r="B21329" s="11" t="str">
        <f>IF(D21329&lt;&gt;"",IF(COUNTIF('USPTO TMs'!A:A,D21329)&gt;0,"Yes","No"),"")</f>
        <v/>
      </c>
      <c r="C21329" s="11"/>
      <c r="D21329" s="11"/>
      <c r="E21329" s="11"/>
      <c r="F21329" s="11"/>
      <c r="G21329" s="11"/>
      <c r="H21329" s="11"/>
      <c r="I21329" s="15"/>
    </row>
    <row r="21330" spans="1:9" ht="16.5">
      <c r="A21330" s="10" t="b">
        <v>0</v>
      </c>
      <c r="B21330" s="11" t="str">
        <f>IF(D21330&lt;&gt;"",IF(COUNTIF('USPTO TMs'!A:A,D21330)&gt;0,"Yes","No"),"")</f>
        <v/>
      </c>
      <c r="C21330" s="11"/>
      <c r="D21330" s="11"/>
      <c r="E21330" s="11"/>
      <c r="F21330" s="11"/>
      <c r="G21330" s="11"/>
      <c r="H21330" s="11"/>
      <c r="I21330" s="15"/>
    </row>
    <row r="21331" spans="1:9" ht="16.5">
      <c r="A21331" s="10" t="b">
        <v>0</v>
      </c>
      <c r="B21331" s="11" t="str">
        <f>IF(D21331&lt;&gt;"",IF(COUNTIF('USPTO TMs'!A:A,D21331)&gt;0,"Yes","No"),"")</f>
        <v/>
      </c>
      <c r="C21331" s="11"/>
      <c r="D21331" s="11"/>
      <c r="E21331" s="11"/>
      <c r="F21331" s="11"/>
      <c r="G21331" s="11"/>
      <c r="H21331" s="11"/>
      <c r="I21331" s="15"/>
    </row>
    <row r="21332" spans="1:9" ht="16.5">
      <c r="A21332" s="10" t="b">
        <v>0</v>
      </c>
      <c r="B21332" s="11" t="str">
        <f>IF(D21332&lt;&gt;"",IF(COUNTIF('USPTO TMs'!A:A,D21332)&gt;0,"Yes","No"),"")</f>
        <v/>
      </c>
      <c r="C21332" s="11"/>
      <c r="D21332" s="11"/>
      <c r="E21332" s="11"/>
      <c r="F21332" s="11"/>
      <c r="G21332" s="11"/>
      <c r="H21332" s="11"/>
      <c r="I21332" s="15"/>
    </row>
    <row r="21333" spans="1:9" ht="16.5">
      <c r="A21333" s="10" t="b">
        <v>0</v>
      </c>
      <c r="B21333" s="11" t="str">
        <f>IF(D21333&lt;&gt;"",IF(COUNTIF('USPTO TMs'!A:A,D21333)&gt;0,"Yes","No"),"")</f>
        <v/>
      </c>
      <c r="C21333" s="11"/>
      <c r="D21333" s="11"/>
      <c r="E21333" s="11"/>
      <c r="F21333" s="11"/>
      <c r="G21333" s="11"/>
      <c r="H21333" s="11"/>
      <c r="I21333" s="15"/>
    </row>
    <row r="21334" spans="1:9" ht="16.5">
      <c r="A21334" s="10" t="b">
        <v>0</v>
      </c>
      <c r="B21334" s="11" t="str">
        <f>IF(D21334&lt;&gt;"",IF(COUNTIF('USPTO TMs'!A:A,D21334)&gt;0,"Yes","No"),"")</f>
        <v/>
      </c>
      <c r="C21334" s="11"/>
      <c r="D21334" s="11"/>
      <c r="E21334" s="11"/>
      <c r="F21334" s="11"/>
      <c r="G21334" s="11"/>
      <c r="H21334" s="11"/>
      <c r="I21334" s="15"/>
    </row>
    <row r="21335" spans="1:9" ht="16.5">
      <c r="A21335" s="10" t="b">
        <v>0</v>
      </c>
      <c r="B21335" s="11" t="str">
        <f>IF(D21335&lt;&gt;"",IF(COUNTIF('USPTO TMs'!A:A,D21335)&gt;0,"Yes","No"),"")</f>
        <v/>
      </c>
      <c r="C21335" s="11"/>
      <c r="D21335" s="11"/>
      <c r="E21335" s="11"/>
      <c r="F21335" s="11"/>
      <c r="G21335" s="11"/>
      <c r="H21335" s="11"/>
      <c r="I21335" s="15"/>
    </row>
    <row r="21336" spans="1:9" ht="16.5">
      <c r="A21336" s="10" t="b">
        <v>0</v>
      </c>
      <c r="B21336" s="11" t="str">
        <f>IF(D21336&lt;&gt;"",IF(COUNTIF('USPTO TMs'!A:A,D21336)&gt;0,"Yes","No"),"")</f>
        <v/>
      </c>
      <c r="C21336" s="11"/>
      <c r="D21336" s="11"/>
      <c r="E21336" s="11"/>
      <c r="F21336" s="11"/>
      <c r="G21336" s="11"/>
      <c r="H21336" s="11"/>
      <c r="I21336" s="15"/>
    </row>
    <row r="21337" spans="1:9" ht="16.5">
      <c r="A21337" s="10" t="b">
        <v>0</v>
      </c>
      <c r="B21337" s="11" t="str">
        <f>IF(D21337&lt;&gt;"",IF(COUNTIF('USPTO TMs'!A:A,D21337)&gt;0,"Yes","No"),"")</f>
        <v/>
      </c>
      <c r="C21337" s="11"/>
      <c r="D21337" s="11"/>
      <c r="E21337" s="11"/>
      <c r="F21337" s="11"/>
      <c r="G21337" s="11"/>
      <c r="H21337" s="11"/>
      <c r="I21337" s="15"/>
    </row>
    <row r="21338" spans="1:9" ht="16.5">
      <c r="A21338" s="10" t="b">
        <v>0</v>
      </c>
      <c r="B21338" s="11" t="str">
        <f>IF(D21338&lt;&gt;"",IF(COUNTIF('USPTO TMs'!A:A,D21338)&gt;0,"Yes","No"),"")</f>
        <v/>
      </c>
      <c r="C21338" s="11"/>
      <c r="D21338" s="11"/>
      <c r="E21338" s="11"/>
      <c r="F21338" s="11"/>
      <c r="G21338" s="11"/>
      <c r="H21338" s="11"/>
      <c r="I21338" s="15"/>
    </row>
    <row r="21339" spans="1:9" ht="16.5">
      <c r="A21339" s="10" t="b">
        <v>0</v>
      </c>
      <c r="B21339" s="11" t="str">
        <f>IF(D21339&lt;&gt;"",IF(COUNTIF('USPTO TMs'!A:A,D21339)&gt;0,"Yes","No"),"")</f>
        <v/>
      </c>
      <c r="C21339" s="11"/>
      <c r="D21339" s="11"/>
      <c r="E21339" s="11"/>
      <c r="F21339" s="11"/>
      <c r="G21339" s="11"/>
      <c r="H21339" s="11"/>
      <c r="I21339" s="15"/>
    </row>
    <row r="21340" spans="1:9" ht="16.5">
      <c r="A21340" s="10" t="b">
        <v>0</v>
      </c>
      <c r="B21340" s="11" t="str">
        <f>IF(D21340&lt;&gt;"",IF(COUNTIF('USPTO TMs'!A:A,D21340)&gt;0,"Yes","No"),"")</f>
        <v/>
      </c>
      <c r="C21340" s="11"/>
      <c r="D21340" s="11"/>
      <c r="E21340" s="11"/>
      <c r="F21340" s="11"/>
      <c r="G21340" s="11"/>
      <c r="H21340" s="11"/>
      <c r="I21340" s="15"/>
    </row>
    <row r="21341" spans="1:9" ht="16.5">
      <c r="A21341" s="10" t="b">
        <v>0</v>
      </c>
      <c r="B21341" s="11" t="str">
        <f>IF(D21341&lt;&gt;"",IF(COUNTIF('USPTO TMs'!A:A,D21341)&gt;0,"Yes","No"),"")</f>
        <v/>
      </c>
      <c r="C21341" s="11"/>
      <c r="D21341" s="11"/>
      <c r="E21341" s="11"/>
      <c r="F21341" s="11"/>
      <c r="G21341" s="11"/>
      <c r="H21341" s="11"/>
      <c r="I21341" s="15"/>
    </row>
    <row r="21342" spans="1:9" ht="16.5">
      <c r="A21342" s="10" t="b">
        <v>0</v>
      </c>
      <c r="B21342" s="11" t="str">
        <f>IF(D21342&lt;&gt;"",IF(COUNTIF('USPTO TMs'!A:A,D21342)&gt;0,"Yes","No"),"")</f>
        <v/>
      </c>
      <c r="C21342" s="11"/>
      <c r="D21342" s="11"/>
      <c r="E21342" s="11"/>
      <c r="F21342" s="11"/>
      <c r="G21342" s="11"/>
      <c r="H21342" s="11"/>
      <c r="I21342" s="15"/>
    </row>
    <row r="21343" spans="1:9" ht="16.5">
      <c r="A21343" s="10" t="b">
        <v>0</v>
      </c>
      <c r="B21343" s="11" t="str">
        <f>IF(D21343&lt;&gt;"",IF(COUNTIF('USPTO TMs'!A:A,D21343)&gt;0,"Yes","No"),"")</f>
        <v/>
      </c>
      <c r="C21343" s="11"/>
      <c r="D21343" s="11"/>
      <c r="E21343" s="11"/>
      <c r="F21343" s="11"/>
      <c r="G21343" s="11"/>
      <c r="H21343" s="11"/>
      <c r="I21343" s="15"/>
    </row>
    <row r="21344" spans="1:9" ht="16.5">
      <c r="A21344" s="10" t="b">
        <v>0</v>
      </c>
      <c r="B21344" s="11" t="str">
        <f>IF(D21344&lt;&gt;"",IF(COUNTIF('USPTO TMs'!A:A,D21344)&gt;0,"Yes","No"),"")</f>
        <v/>
      </c>
      <c r="C21344" s="11"/>
      <c r="D21344" s="11"/>
      <c r="E21344" s="11"/>
      <c r="F21344" s="11"/>
      <c r="G21344" s="11"/>
      <c r="H21344" s="11"/>
      <c r="I21344" s="15"/>
    </row>
    <row r="21345" spans="1:9" ht="16.5">
      <c r="A21345" s="10" t="b">
        <v>0</v>
      </c>
      <c r="B21345" s="11" t="str">
        <f>IF(D21345&lt;&gt;"",IF(COUNTIF('USPTO TMs'!A:A,D21345)&gt;0,"Yes","No"),"")</f>
        <v/>
      </c>
      <c r="C21345" s="11"/>
      <c r="D21345" s="11"/>
      <c r="E21345" s="11"/>
      <c r="F21345" s="11"/>
      <c r="G21345" s="11"/>
      <c r="H21345" s="11"/>
      <c r="I21345" s="15"/>
    </row>
    <row r="21346" spans="1:9" ht="16.5">
      <c r="A21346" s="10" t="b">
        <v>0</v>
      </c>
      <c r="B21346" s="11" t="str">
        <f>IF(D21346&lt;&gt;"",IF(COUNTIF('USPTO TMs'!A:A,D21346)&gt;0,"Yes","No"),"")</f>
        <v/>
      </c>
      <c r="C21346" s="11"/>
      <c r="D21346" s="11"/>
      <c r="E21346" s="11"/>
      <c r="F21346" s="11"/>
      <c r="G21346" s="11"/>
      <c r="H21346" s="11"/>
      <c r="I21346" s="15"/>
    </row>
    <row r="21347" spans="1:9" ht="16.5">
      <c r="A21347" s="10" t="b">
        <v>0</v>
      </c>
      <c r="B21347" s="11" t="str">
        <f>IF(D21347&lt;&gt;"",IF(COUNTIF('USPTO TMs'!A:A,D21347)&gt;0,"Yes","No"),"")</f>
        <v/>
      </c>
      <c r="C21347" s="11"/>
      <c r="D21347" s="11"/>
      <c r="E21347" s="11"/>
      <c r="F21347" s="11"/>
      <c r="G21347" s="11"/>
      <c r="H21347" s="11"/>
      <c r="I21347" s="15"/>
    </row>
    <row r="21348" spans="1:9" ht="16.5">
      <c r="A21348" s="10" t="b">
        <v>0</v>
      </c>
      <c r="B21348" s="11" t="str">
        <f>IF(D21348&lt;&gt;"",IF(COUNTIF('USPTO TMs'!A:A,D21348)&gt;0,"Yes","No"),"")</f>
        <v/>
      </c>
      <c r="C21348" s="11"/>
      <c r="D21348" s="11"/>
      <c r="E21348" s="11"/>
      <c r="F21348" s="11"/>
      <c r="G21348" s="11"/>
      <c r="H21348" s="11"/>
      <c r="I21348" s="15"/>
    </row>
    <row r="21349" spans="1:9" ht="16.5">
      <c r="A21349" s="10" t="b">
        <v>0</v>
      </c>
      <c r="B21349" s="11" t="str">
        <f>IF(D21349&lt;&gt;"",IF(COUNTIF('USPTO TMs'!A:A,D21349)&gt;0,"Yes","No"),"")</f>
        <v/>
      </c>
      <c r="C21349" s="11"/>
      <c r="D21349" s="11"/>
      <c r="E21349" s="11"/>
      <c r="F21349" s="11"/>
      <c r="G21349" s="11"/>
      <c r="H21349" s="11"/>
      <c r="I21349" s="15"/>
    </row>
    <row r="21350" spans="1:9" ht="16.5">
      <c r="A21350" s="10" t="b">
        <v>0</v>
      </c>
      <c r="B21350" s="11" t="str">
        <f>IF(D21350&lt;&gt;"",IF(COUNTIF('USPTO TMs'!A:A,D21350)&gt;0,"Yes","No"),"")</f>
        <v/>
      </c>
      <c r="C21350" s="11"/>
      <c r="D21350" s="11"/>
      <c r="E21350" s="11"/>
      <c r="F21350" s="11"/>
      <c r="G21350" s="11"/>
      <c r="H21350" s="11"/>
      <c r="I21350" s="15"/>
    </row>
    <row r="21351" spans="1:9" ht="16.5">
      <c r="A21351" s="10" t="b">
        <v>0</v>
      </c>
      <c r="B21351" s="11" t="str">
        <f>IF(D21351&lt;&gt;"",IF(COUNTIF('USPTO TMs'!A:A,D21351)&gt;0,"Yes","No"),"")</f>
        <v/>
      </c>
      <c r="C21351" s="11"/>
      <c r="D21351" s="11"/>
      <c r="E21351" s="11"/>
      <c r="F21351" s="11"/>
      <c r="G21351" s="11"/>
      <c r="H21351" s="11"/>
      <c r="I21351" s="15"/>
    </row>
    <row r="21352" spans="1:9" ht="16.5">
      <c r="A21352" s="10" t="b">
        <v>0</v>
      </c>
      <c r="B21352" s="11" t="str">
        <f>IF(D21352&lt;&gt;"",IF(COUNTIF('USPTO TMs'!A:A,D21352)&gt;0,"Yes","No"),"")</f>
        <v/>
      </c>
      <c r="C21352" s="11"/>
      <c r="D21352" s="11"/>
      <c r="E21352" s="11"/>
      <c r="F21352" s="11"/>
      <c r="G21352" s="11"/>
      <c r="H21352" s="11"/>
      <c r="I21352" s="15"/>
    </row>
    <row r="21353" spans="1:9" ht="16.5">
      <c r="A21353" s="10" t="b">
        <v>0</v>
      </c>
      <c r="B21353" s="11" t="str">
        <f>IF(D21353&lt;&gt;"",IF(COUNTIF('USPTO TMs'!A:A,D21353)&gt;0,"Yes","No"),"")</f>
        <v/>
      </c>
      <c r="C21353" s="11"/>
      <c r="D21353" s="11"/>
      <c r="E21353" s="11"/>
      <c r="F21353" s="11"/>
      <c r="G21353" s="11"/>
      <c r="H21353" s="11"/>
      <c r="I21353" s="15"/>
    </row>
    <row r="21354" spans="1:9" ht="16.5">
      <c r="A21354" s="10" t="b">
        <v>0</v>
      </c>
      <c r="B21354" s="11" t="str">
        <f>IF(D21354&lt;&gt;"",IF(COUNTIF('USPTO TMs'!A:A,D21354)&gt;0,"Yes","No"),"")</f>
        <v/>
      </c>
      <c r="C21354" s="11"/>
      <c r="D21354" s="11"/>
      <c r="E21354" s="11"/>
      <c r="F21354" s="11"/>
      <c r="G21354" s="11"/>
      <c r="H21354" s="11"/>
      <c r="I21354" s="15"/>
    </row>
    <row r="21355" spans="1:9" ht="16.5">
      <c r="A21355" s="10" t="b">
        <v>0</v>
      </c>
      <c r="B21355" s="11" t="str">
        <f>IF(D21355&lt;&gt;"",IF(COUNTIF('USPTO TMs'!A:A,D21355)&gt;0,"Yes","No"),"")</f>
        <v/>
      </c>
      <c r="C21355" s="11"/>
      <c r="D21355" s="11"/>
      <c r="E21355" s="11"/>
      <c r="F21355" s="11"/>
      <c r="G21355" s="11"/>
      <c r="H21355" s="11"/>
      <c r="I21355" s="15"/>
    </row>
    <row r="21356" spans="1:9" ht="16.5">
      <c r="A21356" s="10" t="b">
        <v>0</v>
      </c>
      <c r="B21356" s="11" t="str">
        <f>IF(D21356&lt;&gt;"",IF(COUNTIF('USPTO TMs'!A:A,D21356)&gt;0,"Yes","No"),"")</f>
        <v/>
      </c>
      <c r="C21356" s="11"/>
      <c r="D21356" s="11"/>
      <c r="E21356" s="11"/>
      <c r="F21356" s="11"/>
      <c r="G21356" s="11"/>
      <c r="H21356" s="11"/>
      <c r="I21356" s="15"/>
    </row>
    <row r="21357" spans="1:9" ht="16.5">
      <c r="A21357" s="10" t="b">
        <v>0</v>
      </c>
      <c r="B21357" s="11" t="str">
        <f>IF(D21357&lt;&gt;"",IF(COUNTIF('USPTO TMs'!A:A,D21357)&gt;0,"Yes","No"),"")</f>
        <v/>
      </c>
      <c r="C21357" s="11"/>
      <c r="D21357" s="11"/>
      <c r="E21357" s="11"/>
      <c r="F21357" s="11"/>
      <c r="G21357" s="11"/>
      <c r="H21357" s="11"/>
      <c r="I21357" s="15"/>
    </row>
    <row r="21358" spans="1:9" ht="16.5">
      <c r="A21358" s="10" t="b">
        <v>0</v>
      </c>
      <c r="B21358" s="11" t="str">
        <f>IF(D21358&lt;&gt;"",IF(COUNTIF('USPTO TMs'!A:A,D21358)&gt;0,"Yes","No"),"")</f>
        <v/>
      </c>
      <c r="C21358" s="11"/>
      <c r="D21358" s="11"/>
      <c r="E21358" s="11"/>
      <c r="F21358" s="11"/>
      <c r="G21358" s="11"/>
      <c r="H21358" s="11"/>
      <c r="I21358" s="15"/>
    </row>
    <row r="21359" spans="1:9" ht="16.5">
      <c r="A21359" s="10" t="b">
        <v>0</v>
      </c>
      <c r="B21359" s="11" t="str">
        <f>IF(D21359&lt;&gt;"",IF(COUNTIF('USPTO TMs'!A:A,D21359)&gt;0,"Yes","No"),"")</f>
        <v/>
      </c>
      <c r="C21359" s="11"/>
      <c r="D21359" s="11"/>
      <c r="E21359" s="11"/>
      <c r="F21359" s="11"/>
      <c r="G21359" s="11"/>
      <c r="H21359" s="11"/>
      <c r="I21359" s="15"/>
    </row>
    <row r="21360" spans="1:9" ht="16.5">
      <c r="A21360" s="10" t="b">
        <v>0</v>
      </c>
      <c r="B21360" s="11" t="str">
        <f>IF(D21360&lt;&gt;"",IF(COUNTIF('USPTO TMs'!A:A,D21360)&gt;0,"Yes","No"),"")</f>
        <v/>
      </c>
      <c r="C21360" s="11"/>
      <c r="D21360" s="11"/>
      <c r="E21360" s="11"/>
      <c r="F21360" s="11"/>
      <c r="G21360" s="11"/>
      <c r="H21360" s="11"/>
      <c r="I21360" s="15"/>
    </row>
    <row r="21361" spans="1:9" ht="16.5">
      <c r="A21361" s="10" t="b">
        <v>0</v>
      </c>
      <c r="B21361" s="11" t="str">
        <f>IF(D21361&lt;&gt;"",IF(COUNTIF('USPTO TMs'!A:A,D21361)&gt;0,"Yes","No"),"")</f>
        <v/>
      </c>
      <c r="C21361" s="11"/>
      <c r="D21361" s="11"/>
      <c r="E21361" s="11"/>
      <c r="F21361" s="11"/>
      <c r="G21361" s="11"/>
      <c r="H21361" s="11"/>
      <c r="I21361" s="15"/>
    </row>
    <row r="21362" spans="1:9" ht="16.5">
      <c r="A21362" s="10" t="b">
        <v>0</v>
      </c>
      <c r="B21362" s="11" t="str">
        <f>IF(D21362&lt;&gt;"",IF(COUNTIF('USPTO TMs'!A:A,D21362)&gt;0,"Yes","No"),"")</f>
        <v/>
      </c>
      <c r="C21362" s="11"/>
      <c r="D21362" s="11"/>
      <c r="E21362" s="11"/>
      <c r="F21362" s="11"/>
      <c r="G21362" s="11"/>
      <c r="H21362" s="11"/>
      <c r="I21362" s="15"/>
    </row>
    <row r="21363" spans="1:9" ht="16.5">
      <c r="A21363" s="10" t="b">
        <v>0</v>
      </c>
      <c r="B21363" s="11" t="str">
        <f>IF(D21363&lt;&gt;"",IF(COUNTIF('USPTO TMs'!A:A,D21363)&gt;0,"Yes","No"),"")</f>
        <v/>
      </c>
      <c r="C21363" s="11"/>
      <c r="D21363" s="11"/>
      <c r="E21363" s="11"/>
      <c r="F21363" s="11"/>
      <c r="G21363" s="11"/>
      <c r="H21363" s="11"/>
      <c r="I21363" s="15"/>
    </row>
    <row r="21364" spans="1:9" ht="16.5">
      <c r="A21364" s="10" t="b">
        <v>0</v>
      </c>
      <c r="B21364" s="11" t="str">
        <f>IF(D21364&lt;&gt;"",IF(COUNTIF('USPTO TMs'!A:A,D21364)&gt;0,"Yes","No"),"")</f>
        <v/>
      </c>
      <c r="C21364" s="11"/>
      <c r="D21364" s="11"/>
      <c r="E21364" s="11"/>
      <c r="F21364" s="11"/>
      <c r="G21364" s="11"/>
      <c r="H21364" s="11"/>
      <c r="I21364" s="15"/>
    </row>
    <row r="21365" spans="1:9" ht="16.5">
      <c r="A21365" s="10" t="b">
        <v>0</v>
      </c>
      <c r="B21365" s="11" t="str">
        <f>IF(D21365&lt;&gt;"",IF(COUNTIF('USPTO TMs'!A:A,D21365)&gt;0,"Yes","No"),"")</f>
        <v/>
      </c>
      <c r="C21365" s="11"/>
      <c r="D21365" s="11"/>
      <c r="E21365" s="11"/>
      <c r="F21365" s="11"/>
      <c r="G21365" s="11"/>
      <c r="H21365" s="11"/>
      <c r="I21365" s="15"/>
    </row>
    <row r="21366" spans="1:9" ht="16.5">
      <c r="A21366" s="10" t="b">
        <v>0</v>
      </c>
      <c r="B21366" s="11" t="str">
        <f>IF(D21366&lt;&gt;"",IF(COUNTIF('USPTO TMs'!A:A,D21366)&gt;0,"Yes","No"),"")</f>
        <v/>
      </c>
      <c r="C21366" s="11"/>
      <c r="D21366" s="11"/>
      <c r="E21366" s="11"/>
      <c r="F21366" s="11"/>
      <c r="G21366" s="11"/>
      <c r="H21366" s="11"/>
      <c r="I21366" s="15"/>
    </row>
    <row r="21367" spans="1:9" ht="16.5">
      <c r="A21367" s="10" t="b">
        <v>0</v>
      </c>
      <c r="B21367" s="11" t="str">
        <f>IF(D21367&lt;&gt;"",IF(COUNTIF('USPTO TMs'!A:A,D21367)&gt;0,"Yes","No"),"")</f>
        <v/>
      </c>
      <c r="C21367" s="11"/>
      <c r="D21367" s="11"/>
      <c r="E21367" s="11"/>
      <c r="F21367" s="11"/>
      <c r="G21367" s="11"/>
      <c r="H21367" s="11"/>
      <c r="I21367" s="15"/>
    </row>
    <row r="21368" spans="1:9" ht="16.5">
      <c r="A21368" s="10" t="b">
        <v>0</v>
      </c>
      <c r="B21368" s="11" t="str">
        <f>IF(D21368&lt;&gt;"",IF(COUNTIF('USPTO TMs'!A:A,D21368)&gt;0,"Yes","No"),"")</f>
        <v/>
      </c>
      <c r="C21368" s="11"/>
      <c r="D21368" s="11"/>
      <c r="E21368" s="11"/>
      <c r="F21368" s="11"/>
      <c r="G21368" s="11"/>
      <c r="H21368" s="11"/>
      <c r="I21368" s="15"/>
    </row>
    <row r="21369" spans="1:9" ht="16.5">
      <c r="A21369" s="10" t="b">
        <v>0</v>
      </c>
      <c r="B21369" s="11" t="str">
        <f>IF(D21369&lt;&gt;"",IF(COUNTIF('USPTO TMs'!A:A,D21369)&gt;0,"Yes","No"),"")</f>
        <v/>
      </c>
      <c r="C21369" s="11"/>
      <c r="D21369" s="11"/>
      <c r="E21369" s="11"/>
      <c r="F21369" s="11"/>
      <c r="G21369" s="11"/>
      <c r="H21369" s="11"/>
      <c r="I21369" s="15"/>
    </row>
    <row r="21370" spans="1:9" ht="16.5">
      <c r="A21370" s="10" t="b">
        <v>0</v>
      </c>
      <c r="B21370" s="11" t="str">
        <f>IF(D21370&lt;&gt;"",IF(COUNTIF('USPTO TMs'!A:A,D21370)&gt;0,"Yes","No"),"")</f>
        <v/>
      </c>
      <c r="C21370" s="11"/>
      <c r="D21370" s="11"/>
      <c r="E21370" s="11"/>
      <c r="F21370" s="11"/>
      <c r="G21370" s="11"/>
      <c r="H21370" s="11"/>
      <c r="I21370" s="15"/>
    </row>
    <row r="21371" spans="1:9" ht="16.5">
      <c r="A21371" s="10" t="b">
        <v>0</v>
      </c>
      <c r="B21371" s="11" t="str">
        <f>IF(D21371&lt;&gt;"",IF(COUNTIF('USPTO TMs'!A:A,D21371)&gt;0,"Yes","No"),"")</f>
        <v/>
      </c>
      <c r="C21371" s="11"/>
      <c r="D21371" s="11"/>
      <c r="E21371" s="11"/>
      <c r="F21371" s="11"/>
      <c r="G21371" s="11"/>
      <c r="H21371" s="11"/>
      <c r="I21371" s="15"/>
    </row>
    <row r="21372" spans="1:9" ht="16.5">
      <c r="A21372" s="10" t="b">
        <v>0</v>
      </c>
      <c r="B21372" s="11" t="str">
        <f>IF(D21372&lt;&gt;"",IF(COUNTIF('USPTO TMs'!A:A,D21372)&gt;0,"Yes","No"),"")</f>
        <v/>
      </c>
      <c r="C21372" s="11"/>
      <c r="D21372" s="11"/>
      <c r="E21372" s="11"/>
      <c r="F21372" s="11"/>
      <c r="G21372" s="11"/>
      <c r="H21372" s="11"/>
      <c r="I21372" s="15"/>
    </row>
    <row r="21373" spans="1:9" ht="16.5">
      <c r="A21373" s="10" t="b">
        <v>0</v>
      </c>
      <c r="B21373" s="11" t="str">
        <f>IF(D21373&lt;&gt;"",IF(COUNTIF('USPTO TMs'!A:A,D21373)&gt;0,"Yes","No"),"")</f>
        <v/>
      </c>
      <c r="C21373" s="11"/>
      <c r="D21373" s="11"/>
      <c r="E21373" s="11"/>
      <c r="F21373" s="11"/>
      <c r="G21373" s="11"/>
      <c r="H21373" s="11"/>
      <c r="I21373" s="15"/>
    </row>
    <row r="21374" spans="1:9" ht="16.5">
      <c r="A21374" s="10" t="b">
        <v>0</v>
      </c>
      <c r="B21374" s="11" t="str">
        <f>IF(D21374&lt;&gt;"",IF(COUNTIF('USPTO TMs'!A:A,D21374)&gt;0,"Yes","No"),"")</f>
        <v/>
      </c>
      <c r="C21374" s="11"/>
      <c r="D21374" s="11"/>
      <c r="E21374" s="11"/>
      <c r="F21374" s="11"/>
      <c r="G21374" s="11"/>
      <c r="H21374" s="11"/>
      <c r="I21374" s="15"/>
    </row>
    <row r="21375" spans="1:9" ht="16.5">
      <c r="A21375" s="10" t="b">
        <v>0</v>
      </c>
      <c r="B21375" s="11" t="str">
        <f>IF(D21375&lt;&gt;"",IF(COUNTIF('USPTO TMs'!A:A,D21375)&gt;0,"Yes","No"),"")</f>
        <v/>
      </c>
      <c r="C21375" s="11"/>
      <c r="D21375" s="11"/>
      <c r="E21375" s="11"/>
      <c r="F21375" s="11"/>
      <c r="G21375" s="11"/>
      <c r="H21375" s="11"/>
      <c r="I21375" s="15"/>
    </row>
    <row r="21376" spans="1:9" ht="16.5">
      <c r="A21376" s="10" t="b">
        <v>0</v>
      </c>
      <c r="B21376" s="11" t="str">
        <f>IF(D21376&lt;&gt;"",IF(COUNTIF('USPTO TMs'!A:A,D21376)&gt;0,"Yes","No"),"")</f>
        <v/>
      </c>
      <c r="C21376" s="11"/>
      <c r="D21376" s="11"/>
      <c r="E21376" s="11"/>
      <c r="F21376" s="11"/>
      <c r="G21376" s="11"/>
      <c r="H21376" s="11"/>
      <c r="I21376" s="15"/>
    </row>
    <row r="21377" spans="1:9" ht="16.5">
      <c r="A21377" s="10" t="b">
        <v>0</v>
      </c>
      <c r="B21377" s="11" t="str">
        <f>IF(D21377&lt;&gt;"",IF(COUNTIF('USPTO TMs'!A:A,D21377)&gt;0,"Yes","No"),"")</f>
        <v/>
      </c>
      <c r="C21377" s="11"/>
      <c r="D21377" s="11"/>
      <c r="E21377" s="11"/>
      <c r="F21377" s="11"/>
      <c r="G21377" s="11"/>
      <c r="H21377" s="11"/>
      <c r="I21377" s="15"/>
    </row>
    <row r="21378" spans="1:9" ht="16.5">
      <c r="A21378" s="10" t="b">
        <v>0</v>
      </c>
      <c r="B21378" s="11" t="str">
        <f>IF(D21378&lt;&gt;"",IF(COUNTIF('USPTO TMs'!A:A,D21378)&gt;0,"Yes","No"),"")</f>
        <v/>
      </c>
      <c r="C21378" s="11"/>
      <c r="D21378" s="11"/>
      <c r="E21378" s="11"/>
      <c r="F21378" s="11"/>
      <c r="G21378" s="11"/>
      <c r="H21378" s="11"/>
      <c r="I21378" s="15"/>
    </row>
    <row r="21379" spans="1:9" ht="16.5">
      <c r="A21379" s="10" t="b">
        <v>0</v>
      </c>
      <c r="B21379" s="11" t="str">
        <f>IF(D21379&lt;&gt;"",IF(COUNTIF('USPTO TMs'!A:A,D21379)&gt;0,"Yes","No"),"")</f>
        <v/>
      </c>
      <c r="C21379" s="11"/>
      <c r="D21379" s="11"/>
      <c r="E21379" s="11"/>
      <c r="F21379" s="11"/>
      <c r="G21379" s="11"/>
      <c r="H21379" s="11"/>
      <c r="I21379" s="15"/>
    </row>
    <row r="21380" spans="1:9" ht="16.5">
      <c r="A21380" s="10" t="b">
        <v>0</v>
      </c>
      <c r="B21380" s="11" t="str">
        <f>IF(D21380&lt;&gt;"",IF(COUNTIF('USPTO TMs'!A:A,D21380)&gt;0,"Yes","No"),"")</f>
        <v/>
      </c>
      <c r="C21380" s="11"/>
      <c r="D21380" s="11"/>
      <c r="E21380" s="11"/>
      <c r="F21380" s="11"/>
      <c r="G21380" s="11"/>
      <c r="H21380" s="11"/>
      <c r="I21380" s="15"/>
    </row>
    <row r="21381" spans="1:9" ht="16.5">
      <c r="A21381" s="10" t="b">
        <v>0</v>
      </c>
      <c r="B21381" s="11" t="str">
        <f>IF(D21381&lt;&gt;"",IF(COUNTIF('USPTO TMs'!A:A,D21381)&gt;0,"Yes","No"),"")</f>
        <v/>
      </c>
      <c r="C21381" s="11"/>
      <c r="D21381" s="11"/>
      <c r="E21381" s="11"/>
      <c r="F21381" s="11"/>
      <c r="G21381" s="11"/>
      <c r="H21381" s="11"/>
      <c r="I21381" s="15"/>
    </row>
    <row r="21382" spans="1:9" ht="16.5">
      <c r="A21382" s="10" t="b">
        <v>0</v>
      </c>
      <c r="B21382" s="11" t="str">
        <f>IF(D21382&lt;&gt;"",IF(COUNTIF('USPTO TMs'!A:A,D21382)&gt;0,"Yes","No"),"")</f>
        <v/>
      </c>
      <c r="C21382" s="11"/>
      <c r="D21382" s="11"/>
      <c r="E21382" s="11"/>
      <c r="F21382" s="11"/>
      <c r="G21382" s="11"/>
      <c r="H21382" s="11"/>
      <c r="I21382" s="15"/>
    </row>
    <row r="21383" spans="1:9" ht="16.5">
      <c r="A21383" s="10" t="b">
        <v>0</v>
      </c>
      <c r="B21383" s="11" t="str">
        <f>IF(D21383&lt;&gt;"",IF(COUNTIF('USPTO TMs'!A:A,D21383)&gt;0,"Yes","No"),"")</f>
        <v/>
      </c>
      <c r="C21383" s="11"/>
      <c r="D21383" s="11"/>
      <c r="E21383" s="11"/>
      <c r="F21383" s="11"/>
      <c r="G21383" s="11"/>
      <c r="H21383" s="11"/>
      <c r="I21383" s="15"/>
    </row>
    <row r="21384" spans="1:9" ht="16.5">
      <c r="A21384" s="10" t="b">
        <v>0</v>
      </c>
      <c r="B21384" s="11" t="str">
        <f>IF(D21384&lt;&gt;"",IF(COUNTIF('USPTO TMs'!A:A,D21384)&gt;0,"Yes","No"),"")</f>
        <v/>
      </c>
      <c r="C21384" s="11"/>
      <c r="D21384" s="11"/>
      <c r="E21384" s="11"/>
      <c r="F21384" s="11"/>
      <c r="G21384" s="11"/>
      <c r="H21384" s="11"/>
      <c r="I21384" s="15"/>
    </row>
    <row r="21385" spans="1:9" ht="16.5">
      <c r="A21385" s="10" t="b">
        <v>0</v>
      </c>
      <c r="B21385" s="11" t="str">
        <f>IF(D21385&lt;&gt;"",IF(COUNTIF('USPTO TMs'!A:A,D21385)&gt;0,"Yes","No"),"")</f>
        <v/>
      </c>
      <c r="C21385" s="11"/>
      <c r="D21385" s="11"/>
      <c r="E21385" s="11"/>
      <c r="F21385" s="11"/>
      <c r="G21385" s="11"/>
      <c r="H21385" s="11"/>
      <c r="I21385" s="15"/>
    </row>
    <row r="21386" spans="1:9" ht="16.5">
      <c r="A21386" s="10" t="b">
        <v>0</v>
      </c>
      <c r="B21386" s="11" t="str">
        <f>IF(D21386&lt;&gt;"",IF(COUNTIF('USPTO TMs'!A:A,D21386)&gt;0,"Yes","No"),"")</f>
        <v/>
      </c>
      <c r="C21386" s="11"/>
      <c r="D21386" s="11"/>
      <c r="E21386" s="11"/>
      <c r="F21386" s="11"/>
      <c r="G21386" s="11"/>
      <c r="H21386" s="11"/>
      <c r="I21386" s="15"/>
    </row>
    <row r="21387" spans="1:9" ht="16.5">
      <c r="A21387" s="10" t="b">
        <v>0</v>
      </c>
      <c r="B21387" s="11" t="str">
        <f>IF(D21387&lt;&gt;"",IF(COUNTIF('USPTO TMs'!A:A,D21387)&gt;0,"Yes","No"),"")</f>
        <v/>
      </c>
      <c r="C21387" s="11"/>
      <c r="D21387" s="11"/>
      <c r="E21387" s="11"/>
      <c r="F21387" s="11"/>
      <c r="G21387" s="11"/>
      <c r="H21387" s="11"/>
      <c r="I21387" s="15"/>
    </row>
    <row r="21388" spans="1:9" ht="16.5">
      <c r="A21388" s="10" t="b">
        <v>0</v>
      </c>
      <c r="B21388" s="11" t="str">
        <f>IF(D21388&lt;&gt;"",IF(COUNTIF('USPTO TMs'!A:A,D21388)&gt;0,"Yes","No"),"")</f>
        <v/>
      </c>
      <c r="C21388" s="11"/>
      <c r="D21388" s="11"/>
      <c r="E21388" s="11"/>
      <c r="F21388" s="11"/>
      <c r="G21388" s="11"/>
      <c r="H21388" s="11"/>
      <c r="I21388" s="15"/>
    </row>
    <row r="21389" spans="1:9" ht="16.5">
      <c r="A21389" s="10" t="b">
        <v>0</v>
      </c>
      <c r="B21389" s="11" t="str">
        <f>IF(D21389&lt;&gt;"",IF(COUNTIF('USPTO TMs'!A:A,D21389)&gt;0,"Yes","No"),"")</f>
        <v/>
      </c>
      <c r="C21389" s="11"/>
      <c r="D21389" s="11"/>
      <c r="E21389" s="11"/>
      <c r="F21389" s="11"/>
      <c r="G21389" s="11"/>
      <c r="H21389" s="11"/>
      <c r="I21389" s="15"/>
    </row>
    <row r="21390" spans="1:9" ht="16.5">
      <c r="A21390" s="10" t="b">
        <v>0</v>
      </c>
      <c r="B21390" s="11" t="str">
        <f>IF(D21390&lt;&gt;"",IF(COUNTIF('USPTO TMs'!A:A,D21390)&gt;0,"Yes","No"),"")</f>
        <v/>
      </c>
      <c r="C21390" s="11"/>
      <c r="D21390" s="11"/>
      <c r="E21390" s="11"/>
      <c r="F21390" s="11"/>
      <c r="G21390" s="11"/>
      <c r="H21390" s="11"/>
      <c r="I21390" s="15"/>
    </row>
    <row r="21391" spans="1:9" ht="16.5">
      <c r="A21391" s="10" t="b">
        <v>0</v>
      </c>
      <c r="B21391" s="11" t="str">
        <f>IF(D21391&lt;&gt;"",IF(COUNTIF('USPTO TMs'!A:A,D21391)&gt;0,"Yes","No"),"")</f>
        <v/>
      </c>
      <c r="C21391" s="11"/>
      <c r="D21391" s="11"/>
      <c r="E21391" s="11"/>
      <c r="F21391" s="11"/>
      <c r="G21391" s="11"/>
      <c r="H21391" s="11"/>
      <c r="I21391" s="15"/>
    </row>
    <row r="21392" spans="1:9" ht="16.5">
      <c r="A21392" s="10" t="b">
        <v>0</v>
      </c>
      <c r="B21392" s="11" t="str">
        <f>IF(D21392&lt;&gt;"",IF(COUNTIF('USPTO TMs'!A:A,D21392)&gt;0,"Yes","No"),"")</f>
        <v/>
      </c>
      <c r="C21392" s="11"/>
      <c r="D21392" s="11"/>
      <c r="E21392" s="11"/>
      <c r="F21392" s="11"/>
      <c r="G21392" s="11"/>
      <c r="H21392" s="11"/>
      <c r="I21392" s="15"/>
    </row>
    <row r="21393" spans="1:9" ht="16.5">
      <c r="A21393" s="10" t="b">
        <v>0</v>
      </c>
      <c r="B21393" s="11" t="str">
        <f>IF(D21393&lt;&gt;"",IF(COUNTIF('USPTO TMs'!A:A,D21393)&gt;0,"Yes","No"),"")</f>
        <v/>
      </c>
      <c r="C21393" s="11"/>
      <c r="D21393" s="11"/>
      <c r="E21393" s="11"/>
      <c r="F21393" s="11"/>
      <c r="G21393" s="11"/>
      <c r="H21393" s="11"/>
      <c r="I21393" s="15"/>
    </row>
    <row r="21394" spans="1:9" ht="16.5">
      <c r="A21394" s="10" t="b">
        <v>0</v>
      </c>
      <c r="B21394" s="11" t="str">
        <f>IF(D21394&lt;&gt;"",IF(COUNTIF('USPTO TMs'!A:A,D21394)&gt;0,"Yes","No"),"")</f>
        <v/>
      </c>
      <c r="C21394" s="11"/>
      <c r="D21394" s="11"/>
      <c r="E21394" s="11"/>
      <c r="F21394" s="11"/>
      <c r="G21394" s="11"/>
      <c r="H21394" s="11"/>
      <c r="I21394" s="15"/>
    </row>
    <row r="21395" spans="1:9" ht="16.5">
      <c r="A21395" s="10" t="b">
        <v>0</v>
      </c>
      <c r="B21395" s="11" t="str">
        <f>IF(D21395&lt;&gt;"",IF(COUNTIF('USPTO TMs'!A:A,D21395)&gt;0,"Yes","No"),"")</f>
        <v/>
      </c>
      <c r="C21395" s="11"/>
      <c r="D21395" s="11"/>
      <c r="E21395" s="11"/>
      <c r="F21395" s="11"/>
      <c r="G21395" s="11"/>
      <c r="H21395" s="11"/>
      <c r="I21395" s="15"/>
    </row>
    <row r="21396" spans="1:9" ht="16.5">
      <c r="A21396" s="10" t="b">
        <v>0</v>
      </c>
      <c r="B21396" s="11" t="str">
        <f>IF(D21396&lt;&gt;"",IF(COUNTIF('USPTO TMs'!A:A,D21396)&gt;0,"Yes","No"),"")</f>
        <v/>
      </c>
      <c r="C21396" s="11"/>
      <c r="D21396" s="11"/>
      <c r="E21396" s="11"/>
      <c r="F21396" s="11"/>
      <c r="G21396" s="11"/>
      <c r="H21396" s="11"/>
      <c r="I21396" s="15"/>
    </row>
    <row r="21397" spans="1:9" ht="16.5">
      <c r="A21397" s="10" t="b">
        <v>0</v>
      </c>
      <c r="B21397" s="11" t="str">
        <f>IF(D21397&lt;&gt;"",IF(COUNTIF('USPTO TMs'!A:A,D21397)&gt;0,"Yes","No"),"")</f>
        <v/>
      </c>
      <c r="C21397" s="11"/>
      <c r="D21397" s="11"/>
      <c r="E21397" s="11"/>
      <c r="F21397" s="11"/>
      <c r="G21397" s="11"/>
      <c r="H21397" s="11"/>
      <c r="I21397" s="15"/>
    </row>
    <row r="21398" spans="1:9" ht="16.5">
      <c r="A21398" s="10" t="b">
        <v>0</v>
      </c>
      <c r="B21398" s="11" t="str">
        <f>IF(D21398&lt;&gt;"",IF(COUNTIF('USPTO TMs'!A:A,D21398)&gt;0,"Yes","No"),"")</f>
        <v/>
      </c>
      <c r="C21398" s="11"/>
      <c r="D21398" s="11"/>
      <c r="E21398" s="11"/>
      <c r="F21398" s="11"/>
      <c r="G21398" s="11"/>
      <c r="H21398" s="11"/>
      <c r="I21398" s="15"/>
    </row>
    <row r="21399" spans="1:9" ht="16.5">
      <c r="A21399" s="10" t="b">
        <v>0</v>
      </c>
      <c r="B21399" s="11" t="str">
        <f>IF(D21399&lt;&gt;"",IF(COUNTIF('USPTO TMs'!A:A,D21399)&gt;0,"Yes","No"),"")</f>
        <v/>
      </c>
      <c r="C21399" s="11"/>
      <c r="D21399" s="11"/>
      <c r="E21399" s="11"/>
      <c r="F21399" s="11"/>
      <c r="G21399" s="11"/>
      <c r="H21399" s="11"/>
      <c r="I21399" s="15"/>
    </row>
    <row r="21400" spans="1:9" ht="16.5">
      <c r="A21400" s="10" t="b">
        <v>0</v>
      </c>
      <c r="B21400" s="11" t="str">
        <f>IF(D21400&lt;&gt;"",IF(COUNTIF('USPTO TMs'!A:A,D21400)&gt;0,"Yes","No"),"")</f>
        <v/>
      </c>
      <c r="C21400" s="11"/>
      <c r="D21400" s="11"/>
      <c r="E21400" s="11"/>
      <c r="F21400" s="11"/>
      <c r="G21400" s="11"/>
      <c r="H21400" s="11"/>
      <c r="I21400" s="15"/>
    </row>
    <row r="21401" spans="1:9" ht="16.5">
      <c r="A21401" s="10" t="b">
        <v>0</v>
      </c>
      <c r="B21401" s="11" t="str">
        <f>IF(D21401&lt;&gt;"",IF(COUNTIF('USPTO TMs'!A:A,D21401)&gt;0,"Yes","No"),"")</f>
        <v/>
      </c>
      <c r="C21401" s="11"/>
      <c r="D21401" s="11"/>
      <c r="E21401" s="11"/>
      <c r="F21401" s="11"/>
      <c r="G21401" s="11"/>
      <c r="H21401" s="11"/>
      <c r="I21401" s="15"/>
    </row>
    <row r="21402" spans="1:9" ht="16.5">
      <c r="A21402" s="10" t="b">
        <v>0</v>
      </c>
      <c r="B21402" s="11" t="str">
        <f>IF(D21402&lt;&gt;"",IF(COUNTIF('USPTO TMs'!A:A,D21402)&gt;0,"Yes","No"),"")</f>
        <v/>
      </c>
      <c r="C21402" s="11"/>
      <c r="D21402" s="11"/>
      <c r="E21402" s="11"/>
      <c r="F21402" s="11"/>
      <c r="G21402" s="11"/>
      <c r="H21402" s="11"/>
      <c r="I21402" s="15"/>
    </row>
    <row r="21403" spans="1:9" ht="16.5">
      <c r="A21403" s="10" t="b">
        <v>0</v>
      </c>
      <c r="B21403" s="11" t="str">
        <f>IF(D21403&lt;&gt;"",IF(COUNTIF('USPTO TMs'!A:A,D21403)&gt;0,"Yes","No"),"")</f>
        <v/>
      </c>
      <c r="C21403" s="11"/>
      <c r="D21403" s="11"/>
      <c r="E21403" s="11"/>
      <c r="F21403" s="11"/>
      <c r="G21403" s="11"/>
      <c r="H21403" s="11"/>
      <c r="I21403" s="15"/>
    </row>
    <row r="21404" spans="1:9" ht="16.5">
      <c r="A21404" s="10" t="b">
        <v>0</v>
      </c>
      <c r="B21404" s="11" t="str">
        <f>IF(D21404&lt;&gt;"",IF(COUNTIF('USPTO TMs'!A:A,D21404)&gt;0,"Yes","No"),"")</f>
        <v/>
      </c>
      <c r="C21404" s="11"/>
      <c r="D21404" s="11"/>
      <c r="E21404" s="11"/>
      <c r="F21404" s="11"/>
      <c r="G21404" s="11"/>
      <c r="H21404" s="11"/>
      <c r="I21404" s="15"/>
    </row>
    <row r="21405" spans="1:9" ht="16.5">
      <c r="A21405" s="10" t="b">
        <v>0</v>
      </c>
      <c r="B21405" s="11" t="str">
        <f>IF(D21405&lt;&gt;"",IF(COUNTIF('USPTO TMs'!A:A,D21405)&gt;0,"Yes","No"),"")</f>
        <v/>
      </c>
      <c r="C21405" s="11"/>
      <c r="D21405" s="11"/>
      <c r="E21405" s="11"/>
      <c r="F21405" s="11"/>
      <c r="G21405" s="11"/>
      <c r="H21405" s="11"/>
      <c r="I21405" s="15"/>
    </row>
    <row r="21406" spans="1:9" ht="16.5">
      <c r="A21406" s="10" t="b">
        <v>0</v>
      </c>
      <c r="B21406" s="11" t="str">
        <f>IF(D21406&lt;&gt;"",IF(COUNTIF('USPTO TMs'!A:A,D21406)&gt;0,"Yes","No"),"")</f>
        <v/>
      </c>
      <c r="C21406" s="11"/>
      <c r="D21406" s="11"/>
      <c r="E21406" s="11"/>
      <c r="F21406" s="11"/>
      <c r="G21406" s="11"/>
      <c r="H21406" s="11"/>
      <c r="I21406" s="15"/>
    </row>
    <row r="21407" spans="1:9" ht="16.5">
      <c r="A21407" s="10" t="b">
        <v>0</v>
      </c>
      <c r="B21407" s="11" t="str">
        <f>IF(D21407&lt;&gt;"",IF(COUNTIF('USPTO TMs'!A:A,D21407)&gt;0,"Yes","No"),"")</f>
        <v/>
      </c>
      <c r="C21407" s="11"/>
      <c r="D21407" s="11"/>
      <c r="E21407" s="11"/>
      <c r="F21407" s="11"/>
      <c r="G21407" s="11"/>
      <c r="H21407" s="11"/>
      <c r="I21407" s="15"/>
    </row>
    <row r="21408" spans="1:9" ht="16.5">
      <c r="A21408" s="10" t="b">
        <v>0</v>
      </c>
      <c r="B21408" s="11" t="str">
        <f>IF(D21408&lt;&gt;"",IF(COUNTIF('USPTO TMs'!A:A,D21408)&gt;0,"Yes","No"),"")</f>
        <v/>
      </c>
      <c r="C21408" s="11"/>
      <c r="D21408" s="11"/>
      <c r="E21408" s="11"/>
      <c r="F21408" s="11"/>
      <c r="G21408" s="11"/>
      <c r="H21408" s="11"/>
      <c r="I21408" s="15"/>
    </row>
    <row r="21409" spans="1:9" ht="16.5">
      <c r="A21409" s="10" t="b">
        <v>0</v>
      </c>
      <c r="B21409" s="11" t="str">
        <f>IF(D21409&lt;&gt;"",IF(COUNTIF('USPTO TMs'!A:A,D21409)&gt;0,"Yes","No"),"")</f>
        <v/>
      </c>
      <c r="C21409" s="11"/>
      <c r="D21409" s="11"/>
      <c r="E21409" s="11"/>
      <c r="F21409" s="11"/>
      <c r="G21409" s="11"/>
      <c r="H21409" s="11"/>
      <c r="I21409" s="15"/>
    </row>
    <row r="21410" spans="1:9" ht="16.5">
      <c r="A21410" s="10" t="b">
        <v>0</v>
      </c>
      <c r="B21410" s="11" t="str">
        <f>IF(D21410&lt;&gt;"",IF(COUNTIF('USPTO TMs'!A:A,D21410)&gt;0,"Yes","No"),"")</f>
        <v/>
      </c>
      <c r="C21410" s="11"/>
      <c r="D21410" s="11"/>
      <c r="E21410" s="11"/>
      <c r="F21410" s="11"/>
      <c r="G21410" s="11"/>
      <c r="H21410" s="11"/>
      <c r="I21410" s="15"/>
    </row>
    <row r="21411" spans="1:9" ht="16.5">
      <c r="A21411" s="10" t="b">
        <v>0</v>
      </c>
      <c r="B21411" s="11" t="str">
        <f>IF(D21411&lt;&gt;"",IF(COUNTIF('USPTO TMs'!A:A,D21411)&gt;0,"Yes","No"),"")</f>
        <v/>
      </c>
      <c r="C21411" s="11"/>
      <c r="D21411" s="11"/>
      <c r="E21411" s="11"/>
      <c r="F21411" s="11"/>
      <c r="G21411" s="11"/>
      <c r="H21411" s="11"/>
      <c r="I21411" s="15"/>
    </row>
    <row r="21412" spans="1:9" ht="16.5">
      <c r="A21412" s="10" t="b">
        <v>0</v>
      </c>
      <c r="B21412" s="11" t="str">
        <f>IF(D21412&lt;&gt;"",IF(COUNTIF('USPTO TMs'!A:A,D21412)&gt;0,"Yes","No"),"")</f>
        <v/>
      </c>
      <c r="C21412" s="11"/>
      <c r="D21412" s="11"/>
      <c r="E21412" s="11"/>
      <c r="F21412" s="11"/>
      <c r="G21412" s="11"/>
      <c r="H21412" s="11"/>
      <c r="I21412" s="15"/>
    </row>
    <row r="21413" spans="1:9" ht="16.5">
      <c r="A21413" s="10" t="b">
        <v>0</v>
      </c>
      <c r="B21413" s="11" t="str">
        <f>IF(D21413&lt;&gt;"",IF(COUNTIF('USPTO TMs'!A:A,D21413)&gt;0,"Yes","No"),"")</f>
        <v/>
      </c>
      <c r="C21413" s="11"/>
      <c r="D21413" s="11"/>
      <c r="E21413" s="11"/>
      <c r="F21413" s="11"/>
      <c r="G21413" s="11"/>
      <c r="H21413" s="11"/>
      <c r="I21413" s="15"/>
    </row>
    <row r="21414" spans="1:9" ht="16.5">
      <c r="A21414" s="10" t="b">
        <v>0</v>
      </c>
      <c r="B21414" s="11" t="str">
        <f>IF(D21414&lt;&gt;"",IF(COUNTIF('USPTO TMs'!A:A,D21414)&gt;0,"Yes","No"),"")</f>
        <v/>
      </c>
      <c r="C21414" s="11"/>
      <c r="D21414" s="11"/>
      <c r="E21414" s="11"/>
      <c r="F21414" s="11"/>
      <c r="G21414" s="11"/>
      <c r="H21414" s="11"/>
      <c r="I21414" s="15"/>
    </row>
    <row r="21415" spans="1:9" ht="16.5">
      <c r="A21415" s="10" t="b">
        <v>0</v>
      </c>
      <c r="B21415" s="11" t="str">
        <f>IF(D21415&lt;&gt;"",IF(COUNTIF('USPTO TMs'!A:A,D21415)&gt;0,"Yes","No"),"")</f>
        <v/>
      </c>
      <c r="C21415" s="11"/>
      <c r="D21415" s="11"/>
      <c r="E21415" s="11"/>
      <c r="F21415" s="11"/>
      <c r="G21415" s="11"/>
      <c r="H21415" s="11"/>
      <c r="I21415" s="15"/>
    </row>
    <row r="21416" spans="1:9" ht="16.5">
      <c r="A21416" s="10" t="b">
        <v>0</v>
      </c>
      <c r="B21416" s="11" t="str">
        <f>IF(D21416&lt;&gt;"",IF(COUNTIF('USPTO TMs'!A:A,D21416)&gt;0,"Yes","No"),"")</f>
        <v/>
      </c>
      <c r="C21416" s="11"/>
      <c r="D21416" s="11"/>
      <c r="E21416" s="11"/>
      <c r="F21416" s="11"/>
      <c r="G21416" s="11"/>
      <c r="H21416" s="11"/>
      <c r="I21416" s="15"/>
    </row>
    <row r="21417" spans="1:9" ht="16.5">
      <c r="A21417" s="10" t="b">
        <v>0</v>
      </c>
      <c r="B21417" s="11" t="str">
        <f>IF(D21417&lt;&gt;"",IF(COUNTIF('USPTO TMs'!A:A,D21417)&gt;0,"Yes","No"),"")</f>
        <v/>
      </c>
      <c r="C21417" s="11"/>
      <c r="D21417" s="11"/>
      <c r="E21417" s="11"/>
      <c r="F21417" s="11"/>
      <c r="G21417" s="11"/>
      <c r="H21417" s="11"/>
      <c r="I21417" s="15"/>
    </row>
    <row r="21418" spans="1:9" ht="16.5">
      <c r="A21418" s="10" t="b">
        <v>0</v>
      </c>
      <c r="B21418" s="11" t="str">
        <f>IF(D21418&lt;&gt;"",IF(COUNTIF('USPTO TMs'!A:A,D21418)&gt;0,"Yes","No"),"")</f>
        <v/>
      </c>
      <c r="C21418" s="11"/>
      <c r="D21418" s="11"/>
      <c r="E21418" s="11"/>
      <c r="F21418" s="11"/>
      <c r="G21418" s="11"/>
      <c r="H21418" s="11"/>
      <c r="I21418" s="15"/>
    </row>
    <row r="21419" spans="1:9" ht="16.5">
      <c r="A21419" s="10" t="b">
        <v>0</v>
      </c>
      <c r="B21419" s="11" t="str">
        <f>IF(D21419&lt;&gt;"",IF(COUNTIF('USPTO TMs'!A:A,D21419)&gt;0,"Yes","No"),"")</f>
        <v/>
      </c>
      <c r="C21419" s="11"/>
      <c r="D21419" s="11"/>
      <c r="E21419" s="11"/>
      <c r="F21419" s="11"/>
      <c r="G21419" s="11"/>
      <c r="H21419" s="11"/>
      <c r="I21419" s="15"/>
    </row>
    <row r="21420" spans="1:9" ht="16.5">
      <c r="A21420" s="10" t="b">
        <v>0</v>
      </c>
      <c r="B21420" s="11" t="str">
        <f>IF(D21420&lt;&gt;"",IF(COUNTIF('USPTO TMs'!A:A,D21420)&gt;0,"Yes","No"),"")</f>
        <v/>
      </c>
      <c r="C21420" s="11"/>
      <c r="D21420" s="11"/>
      <c r="E21420" s="11"/>
      <c r="F21420" s="11"/>
      <c r="G21420" s="11"/>
      <c r="H21420" s="11"/>
      <c r="I21420" s="15"/>
    </row>
    <row r="21421" spans="1:9" ht="16.5">
      <c r="A21421" s="10" t="b">
        <v>0</v>
      </c>
      <c r="B21421" s="11" t="str">
        <f>IF(D21421&lt;&gt;"",IF(COUNTIF('USPTO TMs'!A:A,D21421)&gt;0,"Yes","No"),"")</f>
        <v/>
      </c>
      <c r="C21421" s="11"/>
      <c r="D21421" s="11"/>
      <c r="E21421" s="11"/>
      <c r="F21421" s="11"/>
      <c r="G21421" s="11"/>
      <c r="H21421" s="11"/>
      <c r="I21421" s="15"/>
    </row>
    <row r="21422" spans="1:9" ht="16.5">
      <c r="A21422" s="10" t="b">
        <v>0</v>
      </c>
      <c r="B21422" s="11" t="str">
        <f>IF(D21422&lt;&gt;"",IF(COUNTIF('USPTO TMs'!A:A,D21422)&gt;0,"Yes","No"),"")</f>
        <v/>
      </c>
      <c r="C21422" s="11"/>
      <c r="D21422" s="11"/>
      <c r="E21422" s="11"/>
      <c r="F21422" s="11"/>
      <c r="G21422" s="11"/>
      <c r="H21422" s="11"/>
      <c r="I21422" s="15"/>
    </row>
    <row r="21423" spans="1:9" ht="16.5">
      <c r="A21423" s="10" t="b">
        <v>0</v>
      </c>
      <c r="B21423" s="11" t="str">
        <f>IF(D21423&lt;&gt;"",IF(COUNTIF('USPTO TMs'!A:A,D21423)&gt;0,"Yes","No"),"")</f>
        <v/>
      </c>
      <c r="C21423" s="11"/>
      <c r="D21423" s="11"/>
      <c r="E21423" s="11"/>
      <c r="F21423" s="11"/>
      <c r="G21423" s="11"/>
      <c r="H21423" s="11"/>
      <c r="I21423" s="15"/>
    </row>
    <row r="21424" spans="1:9" ht="16.5">
      <c r="A21424" s="10" t="b">
        <v>0</v>
      </c>
      <c r="B21424" s="11" t="str">
        <f>IF(D21424&lt;&gt;"",IF(COUNTIF('USPTO TMs'!A:A,D21424)&gt;0,"Yes","No"),"")</f>
        <v/>
      </c>
      <c r="C21424" s="11"/>
      <c r="D21424" s="11"/>
      <c r="E21424" s="11"/>
      <c r="F21424" s="11"/>
      <c r="G21424" s="11"/>
      <c r="H21424" s="11"/>
      <c r="I21424" s="15"/>
    </row>
    <row r="21425" spans="1:9" ht="16.5">
      <c r="A21425" s="10" t="b">
        <v>0</v>
      </c>
      <c r="B21425" s="11" t="str">
        <f>IF(D21425&lt;&gt;"",IF(COUNTIF('USPTO TMs'!A:A,D21425)&gt;0,"Yes","No"),"")</f>
        <v/>
      </c>
      <c r="C21425" s="11"/>
      <c r="D21425" s="11"/>
      <c r="E21425" s="11"/>
      <c r="F21425" s="11"/>
      <c r="G21425" s="11"/>
      <c r="H21425" s="11"/>
      <c r="I21425" s="15"/>
    </row>
    <row r="21426" spans="1:9" ht="16.5">
      <c r="A21426" s="10" t="b">
        <v>0</v>
      </c>
      <c r="B21426" s="11" t="str">
        <f>IF(D21426&lt;&gt;"",IF(COUNTIF('USPTO TMs'!A:A,D21426)&gt;0,"Yes","No"),"")</f>
        <v/>
      </c>
      <c r="C21426" s="11"/>
      <c r="D21426" s="11"/>
      <c r="E21426" s="11"/>
      <c r="F21426" s="11"/>
      <c r="G21426" s="11"/>
      <c r="H21426" s="11"/>
      <c r="I21426" s="15"/>
    </row>
    <row r="21427" spans="1:9" ht="16.5">
      <c r="A21427" s="10" t="b">
        <v>0</v>
      </c>
      <c r="B21427" s="11" t="str">
        <f>IF(D21427&lt;&gt;"",IF(COUNTIF('USPTO TMs'!A:A,D21427)&gt;0,"Yes","No"),"")</f>
        <v/>
      </c>
      <c r="C21427" s="11"/>
      <c r="D21427" s="11"/>
      <c r="E21427" s="11"/>
      <c r="F21427" s="11"/>
      <c r="G21427" s="11"/>
      <c r="H21427" s="11"/>
      <c r="I21427" s="15"/>
    </row>
    <row r="21428" spans="1:9" ht="16.5">
      <c r="A21428" s="10" t="b">
        <v>0</v>
      </c>
      <c r="B21428" s="11" t="str">
        <f>IF(D21428&lt;&gt;"",IF(COUNTIF('USPTO TMs'!A:A,D21428)&gt;0,"Yes","No"),"")</f>
        <v/>
      </c>
      <c r="C21428" s="11"/>
      <c r="D21428" s="11"/>
      <c r="E21428" s="11"/>
      <c r="F21428" s="11"/>
      <c r="G21428" s="11"/>
      <c r="H21428" s="11"/>
      <c r="I21428" s="15"/>
    </row>
    <row r="21429" spans="1:9" ht="16.5">
      <c r="A21429" s="10" t="b">
        <v>0</v>
      </c>
      <c r="B21429" s="11" t="str">
        <f>IF(D21429&lt;&gt;"",IF(COUNTIF('USPTO TMs'!A:A,D21429)&gt;0,"Yes","No"),"")</f>
        <v/>
      </c>
      <c r="C21429" s="11"/>
      <c r="D21429" s="11"/>
      <c r="E21429" s="11"/>
      <c r="F21429" s="11"/>
      <c r="G21429" s="11"/>
      <c r="H21429" s="11"/>
      <c r="I21429" s="15"/>
    </row>
    <row r="21430" spans="1:9" ht="16.5">
      <c r="A21430" s="10" t="b">
        <v>0</v>
      </c>
      <c r="B21430" s="11" t="str">
        <f>IF(D21430&lt;&gt;"",IF(COUNTIF('USPTO TMs'!A:A,D21430)&gt;0,"Yes","No"),"")</f>
        <v/>
      </c>
      <c r="C21430" s="11"/>
      <c r="D21430" s="11"/>
      <c r="E21430" s="11"/>
      <c r="F21430" s="11"/>
      <c r="G21430" s="11"/>
      <c r="H21430" s="11"/>
      <c r="I21430" s="15"/>
    </row>
    <row r="21431" spans="1:9" ht="16.5">
      <c r="A21431" s="10" t="b">
        <v>0</v>
      </c>
      <c r="B21431" s="11" t="str">
        <f>IF(D21431&lt;&gt;"",IF(COUNTIF('USPTO TMs'!A:A,D21431)&gt;0,"Yes","No"),"")</f>
        <v/>
      </c>
      <c r="C21431" s="11"/>
      <c r="D21431" s="11"/>
      <c r="E21431" s="11"/>
      <c r="F21431" s="11"/>
      <c r="G21431" s="11"/>
      <c r="H21431" s="11"/>
      <c r="I21431" s="15"/>
    </row>
    <row r="21432" spans="1:9" ht="16.5">
      <c r="A21432" s="10" t="b">
        <v>0</v>
      </c>
      <c r="B21432" s="11" t="str">
        <f>IF(D21432&lt;&gt;"",IF(COUNTIF('USPTO TMs'!A:A,D21432)&gt;0,"Yes","No"),"")</f>
        <v/>
      </c>
      <c r="C21432" s="11"/>
      <c r="D21432" s="11"/>
      <c r="E21432" s="11"/>
      <c r="F21432" s="11"/>
      <c r="G21432" s="11"/>
      <c r="H21432" s="11"/>
      <c r="I21432" s="15"/>
    </row>
    <row r="21433" spans="1:9" ht="16.5">
      <c r="A21433" s="10" t="b">
        <v>0</v>
      </c>
      <c r="B21433" s="11" t="str">
        <f>IF(D21433&lt;&gt;"",IF(COUNTIF('USPTO TMs'!A:A,D21433)&gt;0,"Yes","No"),"")</f>
        <v/>
      </c>
      <c r="C21433" s="11"/>
      <c r="D21433" s="11"/>
      <c r="E21433" s="11"/>
      <c r="F21433" s="11"/>
      <c r="G21433" s="11"/>
      <c r="H21433" s="11"/>
      <c r="I21433" s="15"/>
    </row>
    <row r="21434" spans="1:9" ht="16.5">
      <c r="A21434" s="10" t="b">
        <v>0</v>
      </c>
      <c r="B21434" s="11" t="str">
        <f>IF(D21434&lt;&gt;"",IF(COUNTIF('USPTO TMs'!A:A,D21434)&gt;0,"Yes","No"),"")</f>
        <v/>
      </c>
      <c r="C21434" s="11"/>
      <c r="D21434" s="11"/>
      <c r="E21434" s="11"/>
      <c r="F21434" s="11"/>
      <c r="G21434" s="11"/>
      <c r="H21434" s="11"/>
      <c r="I21434" s="15"/>
    </row>
    <row r="21435" spans="1:9" ht="16.5">
      <c r="A21435" s="10" t="b">
        <v>0</v>
      </c>
      <c r="B21435" s="11" t="str">
        <f>IF(D21435&lt;&gt;"",IF(COUNTIF('USPTO TMs'!A:A,D21435)&gt;0,"Yes","No"),"")</f>
        <v/>
      </c>
      <c r="C21435" s="11"/>
      <c r="D21435" s="11"/>
      <c r="E21435" s="11"/>
      <c r="F21435" s="11"/>
      <c r="G21435" s="11"/>
      <c r="H21435" s="11"/>
      <c r="I21435" s="15"/>
    </row>
    <row r="21436" spans="1:9" ht="16.5">
      <c r="A21436" s="10" t="b">
        <v>0</v>
      </c>
      <c r="B21436" s="11" t="str">
        <f>IF(D21436&lt;&gt;"",IF(COUNTIF('USPTO TMs'!A:A,D21436)&gt;0,"Yes","No"),"")</f>
        <v/>
      </c>
      <c r="C21436" s="11"/>
      <c r="D21436" s="11"/>
      <c r="E21436" s="11"/>
      <c r="F21436" s="11"/>
      <c r="G21436" s="11"/>
      <c r="H21436" s="11"/>
      <c r="I21436" s="15"/>
    </row>
    <row r="21437" spans="1:9" ht="16.5">
      <c r="A21437" s="10" t="b">
        <v>0</v>
      </c>
      <c r="B21437" s="11" t="str">
        <f>IF(D21437&lt;&gt;"",IF(COUNTIF('USPTO TMs'!A:A,D21437)&gt;0,"Yes","No"),"")</f>
        <v/>
      </c>
      <c r="C21437" s="11"/>
      <c r="D21437" s="11"/>
      <c r="E21437" s="11"/>
      <c r="F21437" s="11"/>
      <c r="G21437" s="11"/>
      <c r="H21437" s="11"/>
      <c r="I21437" s="15"/>
    </row>
    <row r="21438" spans="1:9" ht="16.5">
      <c r="A21438" s="10" t="b">
        <v>0</v>
      </c>
      <c r="B21438" s="11" t="str">
        <f>IF(D21438&lt;&gt;"",IF(COUNTIF('USPTO TMs'!A:A,D21438)&gt;0,"Yes","No"),"")</f>
        <v/>
      </c>
      <c r="C21438" s="11"/>
      <c r="D21438" s="11"/>
      <c r="E21438" s="11"/>
      <c r="F21438" s="11"/>
      <c r="G21438" s="11"/>
      <c r="H21438" s="11"/>
      <c r="I21438" s="15"/>
    </row>
    <row r="21439" spans="1:9" ht="16.5">
      <c r="A21439" s="10" t="b">
        <v>0</v>
      </c>
      <c r="B21439" s="11" t="str">
        <f>IF(D21439&lt;&gt;"",IF(COUNTIF('USPTO TMs'!A:A,D21439)&gt;0,"Yes","No"),"")</f>
        <v/>
      </c>
      <c r="C21439" s="11"/>
      <c r="D21439" s="11"/>
      <c r="E21439" s="11"/>
      <c r="F21439" s="11"/>
      <c r="G21439" s="11"/>
      <c r="H21439" s="11"/>
      <c r="I21439" s="15"/>
    </row>
    <row r="21440" spans="1:9" ht="16.5">
      <c r="A21440" s="10" t="b">
        <v>0</v>
      </c>
      <c r="B21440" s="11" t="str">
        <f>IF(D21440&lt;&gt;"",IF(COUNTIF('USPTO TMs'!A:A,D21440)&gt;0,"Yes","No"),"")</f>
        <v/>
      </c>
      <c r="C21440" s="11"/>
      <c r="D21440" s="11"/>
      <c r="E21440" s="11"/>
      <c r="F21440" s="11"/>
      <c r="G21440" s="11"/>
      <c r="H21440" s="11"/>
      <c r="I21440" s="15"/>
    </row>
    <row r="21441" spans="1:9" ht="16.5">
      <c r="A21441" s="10" t="b">
        <v>0</v>
      </c>
      <c r="B21441" s="11" t="str">
        <f>IF(D21441&lt;&gt;"",IF(COUNTIF('USPTO TMs'!A:A,D21441)&gt;0,"Yes","No"),"")</f>
        <v/>
      </c>
      <c r="C21441" s="11"/>
      <c r="D21441" s="11"/>
      <c r="E21441" s="11"/>
      <c r="F21441" s="11"/>
      <c r="G21441" s="11"/>
      <c r="H21441" s="11"/>
      <c r="I21441" s="15"/>
    </row>
    <row r="21442" spans="1:9" ht="16.5">
      <c r="A21442" s="10" t="b">
        <v>0</v>
      </c>
      <c r="B21442" s="11" t="str">
        <f>IF(D21442&lt;&gt;"",IF(COUNTIF('USPTO TMs'!A:A,D21442)&gt;0,"Yes","No"),"")</f>
        <v/>
      </c>
      <c r="C21442" s="11"/>
      <c r="D21442" s="11"/>
      <c r="E21442" s="11"/>
      <c r="F21442" s="11"/>
      <c r="G21442" s="11"/>
      <c r="H21442" s="11"/>
      <c r="I21442" s="15"/>
    </row>
    <row r="21443" spans="1:9" ht="16.5">
      <c r="A21443" s="10" t="b">
        <v>0</v>
      </c>
      <c r="B21443" s="11" t="str">
        <f>IF(D21443&lt;&gt;"",IF(COUNTIF('USPTO TMs'!A:A,D21443)&gt;0,"Yes","No"),"")</f>
        <v/>
      </c>
      <c r="C21443" s="11"/>
      <c r="D21443" s="11"/>
      <c r="E21443" s="11"/>
      <c r="F21443" s="11"/>
      <c r="G21443" s="11"/>
      <c r="H21443" s="11"/>
      <c r="I21443" s="15"/>
    </row>
    <row r="21444" spans="1:9" ht="16.5">
      <c r="A21444" s="10" t="b">
        <v>0</v>
      </c>
      <c r="B21444" s="11" t="str">
        <f>IF(D21444&lt;&gt;"",IF(COUNTIF('USPTO TMs'!A:A,D21444)&gt;0,"Yes","No"),"")</f>
        <v/>
      </c>
      <c r="C21444" s="11"/>
      <c r="D21444" s="11"/>
      <c r="E21444" s="11"/>
      <c r="F21444" s="11"/>
      <c r="G21444" s="11"/>
      <c r="H21444" s="11"/>
      <c r="I21444" s="15"/>
    </row>
    <row r="21445" spans="1:9" ht="16.5">
      <c r="A21445" s="10" t="b">
        <v>0</v>
      </c>
      <c r="B21445" s="11" t="str">
        <f>IF(D21445&lt;&gt;"",IF(COUNTIF('USPTO TMs'!A:A,D21445)&gt;0,"Yes","No"),"")</f>
        <v/>
      </c>
      <c r="C21445" s="11"/>
      <c r="D21445" s="11"/>
      <c r="E21445" s="11"/>
      <c r="F21445" s="11"/>
      <c r="G21445" s="11"/>
      <c r="H21445" s="11"/>
      <c r="I21445" s="15"/>
    </row>
    <row r="21446" spans="1:9" ht="16.5">
      <c r="A21446" s="10" t="b">
        <v>0</v>
      </c>
      <c r="B21446" s="11" t="str">
        <f>IF(D21446&lt;&gt;"",IF(COUNTIF('USPTO TMs'!A:A,D21446)&gt;0,"Yes","No"),"")</f>
        <v/>
      </c>
      <c r="C21446" s="11"/>
      <c r="D21446" s="11"/>
      <c r="E21446" s="11"/>
      <c r="F21446" s="11"/>
      <c r="G21446" s="11"/>
      <c r="H21446" s="11"/>
      <c r="I21446" s="15"/>
    </row>
    <row r="21447" spans="1:9" ht="16.5">
      <c r="A21447" s="10" t="b">
        <v>0</v>
      </c>
      <c r="B21447" s="11" t="str">
        <f>IF(D21447&lt;&gt;"",IF(COUNTIF('USPTO TMs'!A:A,D21447)&gt;0,"Yes","No"),"")</f>
        <v/>
      </c>
      <c r="C21447" s="11"/>
      <c r="D21447" s="11"/>
      <c r="E21447" s="11"/>
      <c r="F21447" s="11"/>
      <c r="G21447" s="11"/>
      <c r="H21447" s="11"/>
      <c r="I21447" s="15"/>
    </row>
    <row r="21448" spans="1:9" ht="16.5">
      <c r="A21448" s="10" t="b">
        <v>0</v>
      </c>
      <c r="B21448" s="11" t="str">
        <f>IF(D21448&lt;&gt;"",IF(COUNTIF('USPTO TMs'!A:A,D21448)&gt;0,"Yes","No"),"")</f>
        <v/>
      </c>
      <c r="C21448" s="11"/>
      <c r="D21448" s="11"/>
      <c r="E21448" s="11"/>
      <c r="F21448" s="11"/>
      <c r="G21448" s="11"/>
      <c r="H21448" s="11"/>
      <c r="I21448" s="15"/>
    </row>
    <row r="21449" spans="1:9" ht="16.5">
      <c r="A21449" s="10" t="b">
        <v>0</v>
      </c>
      <c r="B21449" s="11" t="str">
        <f>IF(D21449&lt;&gt;"",IF(COUNTIF('USPTO TMs'!A:A,D21449)&gt;0,"Yes","No"),"")</f>
        <v/>
      </c>
      <c r="C21449" s="11"/>
      <c r="D21449" s="11"/>
      <c r="E21449" s="11"/>
      <c r="F21449" s="11"/>
      <c r="G21449" s="11"/>
      <c r="H21449" s="11"/>
      <c r="I21449" s="15"/>
    </row>
    <row r="21450" spans="1:9" ht="16.5">
      <c r="A21450" s="10" t="b">
        <v>0</v>
      </c>
      <c r="B21450" s="11" t="str">
        <f>IF(D21450&lt;&gt;"",IF(COUNTIF('USPTO TMs'!A:A,D21450)&gt;0,"Yes","No"),"")</f>
        <v/>
      </c>
      <c r="C21450" s="11"/>
      <c r="D21450" s="11"/>
      <c r="E21450" s="11"/>
      <c r="F21450" s="11"/>
      <c r="G21450" s="11"/>
      <c r="H21450" s="11"/>
      <c r="I21450" s="15"/>
    </row>
    <row r="21451" spans="1:9" ht="16.5">
      <c r="A21451" s="10" t="b">
        <v>0</v>
      </c>
      <c r="B21451" s="11" t="str">
        <f>IF(D21451&lt;&gt;"",IF(COUNTIF('USPTO TMs'!A:A,D21451)&gt;0,"Yes","No"),"")</f>
        <v/>
      </c>
      <c r="C21451" s="11"/>
      <c r="D21451" s="11"/>
      <c r="E21451" s="11"/>
      <c r="F21451" s="11"/>
      <c r="G21451" s="11"/>
      <c r="H21451" s="11"/>
      <c r="I21451" s="15"/>
    </row>
    <row r="21452" spans="1:9" ht="16.5">
      <c r="A21452" s="10" t="b">
        <v>0</v>
      </c>
      <c r="B21452" s="11" t="str">
        <f>IF(D21452&lt;&gt;"",IF(COUNTIF('USPTO TMs'!A:A,D21452)&gt;0,"Yes","No"),"")</f>
        <v/>
      </c>
      <c r="C21452" s="11"/>
      <c r="D21452" s="11"/>
      <c r="E21452" s="11"/>
      <c r="F21452" s="11"/>
      <c r="G21452" s="11"/>
      <c r="H21452" s="11"/>
      <c r="I21452" s="15"/>
    </row>
    <row r="21453" spans="1:9" ht="16.5">
      <c r="A21453" s="10" t="b">
        <v>0</v>
      </c>
      <c r="B21453" s="11" t="str">
        <f>IF(D21453&lt;&gt;"",IF(COUNTIF('USPTO TMs'!A:A,D21453)&gt;0,"Yes","No"),"")</f>
        <v/>
      </c>
      <c r="C21453" s="11"/>
      <c r="D21453" s="11"/>
      <c r="E21453" s="11"/>
      <c r="F21453" s="11"/>
      <c r="G21453" s="11"/>
      <c r="H21453" s="11"/>
      <c r="I21453" s="15"/>
    </row>
    <row r="21454" spans="1:9" ht="16.5">
      <c r="A21454" s="10" t="b">
        <v>0</v>
      </c>
      <c r="B21454" s="11" t="str">
        <f>IF(D21454&lt;&gt;"",IF(COUNTIF('USPTO TMs'!A:A,D21454)&gt;0,"Yes","No"),"")</f>
        <v/>
      </c>
      <c r="C21454" s="11"/>
      <c r="D21454" s="11"/>
      <c r="E21454" s="11"/>
      <c r="F21454" s="11"/>
      <c r="G21454" s="11"/>
      <c r="H21454" s="11"/>
      <c r="I21454" s="15"/>
    </row>
    <row r="21455" spans="1:9" ht="16.5">
      <c r="A21455" s="10" t="b">
        <v>0</v>
      </c>
      <c r="B21455" s="11" t="str">
        <f>IF(D21455&lt;&gt;"",IF(COUNTIF('USPTO TMs'!A:A,D21455)&gt;0,"Yes","No"),"")</f>
        <v/>
      </c>
      <c r="C21455" s="11"/>
      <c r="D21455" s="11"/>
      <c r="E21455" s="11"/>
      <c r="F21455" s="11"/>
      <c r="G21455" s="11"/>
      <c r="H21455" s="11"/>
      <c r="I21455" s="15"/>
    </row>
    <row r="21456" spans="1:9" ht="16.5">
      <c r="A21456" s="10" t="b">
        <v>0</v>
      </c>
      <c r="B21456" s="11" t="str">
        <f>IF(D21456&lt;&gt;"",IF(COUNTIF('USPTO TMs'!A:A,D21456)&gt;0,"Yes","No"),"")</f>
        <v/>
      </c>
      <c r="C21456" s="11"/>
      <c r="D21456" s="11"/>
      <c r="E21456" s="11"/>
      <c r="F21456" s="11"/>
      <c r="G21456" s="11"/>
      <c r="H21456" s="11"/>
      <c r="I21456" s="15"/>
    </row>
    <row r="21457" spans="1:9" ht="16.5">
      <c r="A21457" s="10" t="b">
        <v>0</v>
      </c>
      <c r="B21457" s="11" t="str">
        <f>IF(D21457&lt;&gt;"",IF(COUNTIF('USPTO TMs'!A:A,D21457)&gt;0,"Yes","No"),"")</f>
        <v/>
      </c>
      <c r="C21457" s="11"/>
      <c r="D21457" s="11"/>
      <c r="E21457" s="11"/>
      <c r="F21457" s="11"/>
      <c r="G21457" s="11"/>
      <c r="H21457" s="11"/>
      <c r="I21457" s="15"/>
    </row>
    <row r="21458" spans="1:9" ht="16.5">
      <c r="A21458" s="10" t="b">
        <v>0</v>
      </c>
      <c r="B21458" s="11" t="str">
        <f>IF(D21458&lt;&gt;"",IF(COUNTIF('USPTO TMs'!A:A,D21458)&gt;0,"Yes","No"),"")</f>
        <v/>
      </c>
      <c r="C21458" s="11"/>
      <c r="D21458" s="11"/>
      <c r="E21458" s="11"/>
      <c r="F21458" s="11"/>
      <c r="G21458" s="11"/>
      <c r="H21458" s="11"/>
      <c r="I21458" s="15"/>
    </row>
    <row r="21459" spans="1:9" ht="16.5">
      <c r="A21459" s="10" t="b">
        <v>0</v>
      </c>
      <c r="B21459" s="11" t="str">
        <f>IF(D21459&lt;&gt;"",IF(COUNTIF('USPTO TMs'!A:A,D21459)&gt;0,"Yes","No"),"")</f>
        <v/>
      </c>
      <c r="C21459" s="11"/>
      <c r="D21459" s="11"/>
      <c r="E21459" s="11"/>
      <c r="F21459" s="11"/>
      <c r="G21459" s="11"/>
      <c r="H21459" s="11"/>
      <c r="I21459" s="15"/>
    </row>
    <row r="21460" spans="1:9" ht="16.5">
      <c r="A21460" s="10" t="b">
        <v>0</v>
      </c>
      <c r="B21460" s="11" t="str">
        <f>IF(D21460&lt;&gt;"",IF(COUNTIF('USPTO TMs'!A:A,D21460)&gt;0,"Yes","No"),"")</f>
        <v/>
      </c>
      <c r="C21460" s="11"/>
      <c r="D21460" s="11"/>
      <c r="E21460" s="11"/>
      <c r="F21460" s="11"/>
      <c r="G21460" s="11"/>
      <c r="H21460" s="11"/>
      <c r="I21460" s="15"/>
    </row>
    <row r="21461" spans="1:9" ht="16.5">
      <c r="A21461" s="10" t="b">
        <v>0</v>
      </c>
      <c r="B21461" s="11" t="str">
        <f>IF(D21461&lt;&gt;"",IF(COUNTIF('USPTO TMs'!A:A,D21461)&gt;0,"Yes","No"),"")</f>
        <v/>
      </c>
      <c r="C21461" s="11"/>
      <c r="D21461" s="11"/>
      <c r="E21461" s="11"/>
      <c r="F21461" s="11"/>
      <c r="G21461" s="11"/>
      <c r="H21461" s="11"/>
      <c r="I21461" s="15"/>
    </row>
    <row r="21462" spans="1:9" ht="16.5">
      <c r="A21462" s="10" t="b">
        <v>0</v>
      </c>
      <c r="B21462" s="11" t="str">
        <f>IF(D21462&lt;&gt;"",IF(COUNTIF('USPTO TMs'!A:A,D21462)&gt;0,"Yes","No"),"")</f>
        <v/>
      </c>
      <c r="C21462" s="11"/>
      <c r="D21462" s="11"/>
      <c r="E21462" s="11"/>
      <c r="F21462" s="11"/>
      <c r="G21462" s="11"/>
      <c r="H21462" s="11"/>
      <c r="I21462" s="15"/>
    </row>
    <row r="21463" spans="1:9" ht="16.5">
      <c r="A21463" s="10" t="b">
        <v>0</v>
      </c>
      <c r="B21463" s="11" t="str">
        <f>IF(D21463&lt;&gt;"",IF(COUNTIF('USPTO TMs'!A:A,D21463)&gt;0,"Yes","No"),"")</f>
        <v/>
      </c>
      <c r="C21463" s="11"/>
      <c r="D21463" s="11"/>
      <c r="E21463" s="11"/>
      <c r="F21463" s="11"/>
      <c r="G21463" s="11"/>
      <c r="H21463" s="11"/>
      <c r="I21463" s="15"/>
    </row>
    <row r="21464" spans="1:9" ht="16.5">
      <c r="A21464" s="10" t="b">
        <v>0</v>
      </c>
      <c r="B21464" s="11" t="str">
        <f>IF(D21464&lt;&gt;"",IF(COUNTIF('USPTO TMs'!A:A,D21464)&gt;0,"Yes","No"),"")</f>
        <v/>
      </c>
      <c r="C21464" s="11"/>
      <c r="D21464" s="11"/>
      <c r="E21464" s="11"/>
      <c r="F21464" s="11"/>
      <c r="G21464" s="11"/>
      <c r="H21464" s="11"/>
      <c r="I21464" s="15"/>
    </row>
    <row r="21465" spans="1:9" ht="16.5">
      <c r="A21465" s="10" t="b">
        <v>0</v>
      </c>
      <c r="B21465" s="11" t="str">
        <f>IF(D21465&lt;&gt;"",IF(COUNTIF('USPTO TMs'!A:A,D21465)&gt;0,"Yes","No"),"")</f>
        <v/>
      </c>
      <c r="C21465" s="11"/>
      <c r="D21465" s="11"/>
      <c r="E21465" s="11"/>
      <c r="F21465" s="11"/>
      <c r="G21465" s="11"/>
      <c r="H21465" s="11"/>
      <c r="I21465" s="15"/>
    </row>
    <row r="21466" spans="1:9" ht="16.5">
      <c r="A21466" s="10" t="b">
        <v>0</v>
      </c>
      <c r="B21466" s="11" t="str">
        <f>IF(D21466&lt;&gt;"",IF(COUNTIF('USPTO TMs'!A:A,D21466)&gt;0,"Yes","No"),"")</f>
        <v/>
      </c>
      <c r="C21466" s="11"/>
      <c r="D21466" s="11"/>
      <c r="E21466" s="11"/>
      <c r="F21466" s="11"/>
      <c r="G21466" s="11"/>
      <c r="H21466" s="11"/>
      <c r="I21466" s="15"/>
    </row>
    <row r="21467" spans="1:9" ht="16.5">
      <c r="A21467" s="10" t="b">
        <v>0</v>
      </c>
      <c r="B21467" s="11" t="str">
        <f>IF(D21467&lt;&gt;"",IF(COUNTIF('USPTO TMs'!A:A,D21467)&gt;0,"Yes","No"),"")</f>
        <v/>
      </c>
      <c r="C21467" s="11"/>
      <c r="D21467" s="11"/>
      <c r="E21467" s="11"/>
      <c r="F21467" s="11"/>
      <c r="G21467" s="11"/>
      <c r="H21467" s="11"/>
      <c r="I21467" s="15"/>
    </row>
    <row r="21468" spans="1:9" ht="16.5">
      <c r="A21468" s="10" t="b">
        <v>0</v>
      </c>
      <c r="B21468" s="11" t="str">
        <f>IF(D21468&lt;&gt;"",IF(COUNTIF('USPTO TMs'!A:A,D21468)&gt;0,"Yes","No"),"")</f>
        <v/>
      </c>
      <c r="C21468" s="11"/>
      <c r="D21468" s="11"/>
      <c r="E21468" s="11"/>
      <c r="F21468" s="11"/>
      <c r="G21468" s="11"/>
      <c r="H21468" s="11"/>
      <c r="I21468" s="15"/>
    </row>
    <row r="21469" spans="1:9" ht="16.5">
      <c r="A21469" s="10" t="b">
        <v>0</v>
      </c>
      <c r="B21469" s="11" t="str">
        <f>IF(D21469&lt;&gt;"",IF(COUNTIF('USPTO TMs'!A:A,D21469)&gt;0,"Yes","No"),"")</f>
        <v/>
      </c>
      <c r="C21469" s="11"/>
      <c r="D21469" s="11"/>
      <c r="E21469" s="11"/>
      <c r="F21469" s="11"/>
      <c r="G21469" s="11"/>
      <c r="H21469" s="11"/>
      <c r="I21469" s="15"/>
    </row>
    <row r="21470" spans="1:9" ht="16.5">
      <c r="A21470" s="10" t="b">
        <v>0</v>
      </c>
      <c r="B21470" s="11" t="str">
        <f>IF(D21470&lt;&gt;"",IF(COUNTIF('USPTO TMs'!A:A,D21470)&gt;0,"Yes","No"),"")</f>
        <v/>
      </c>
      <c r="C21470" s="11"/>
      <c r="D21470" s="11"/>
      <c r="E21470" s="11"/>
      <c r="F21470" s="11"/>
      <c r="G21470" s="11"/>
      <c r="H21470" s="11"/>
      <c r="I21470" s="15"/>
    </row>
    <row r="21471" spans="1:9" ht="16.5">
      <c r="A21471" s="10" t="b">
        <v>0</v>
      </c>
      <c r="B21471" s="11" t="str">
        <f>IF(D21471&lt;&gt;"",IF(COUNTIF('USPTO TMs'!A:A,D21471)&gt;0,"Yes","No"),"")</f>
        <v/>
      </c>
      <c r="C21471" s="11"/>
      <c r="D21471" s="11"/>
      <c r="E21471" s="11"/>
      <c r="F21471" s="11"/>
      <c r="G21471" s="11"/>
      <c r="H21471" s="11"/>
      <c r="I21471" s="15"/>
    </row>
    <row r="21472" spans="1:9" ht="16.5">
      <c r="A21472" s="10" t="b">
        <v>0</v>
      </c>
      <c r="B21472" s="11" t="str">
        <f>IF(D21472&lt;&gt;"",IF(COUNTIF('USPTO TMs'!A:A,D21472)&gt;0,"Yes","No"),"")</f>
        <v/>
      </c>
      <c r="C21472" s="11"/>
      <c r="D21472" s="11"/>
      <c r="E21472" s="11"/>
      <c r="F21472" s="11"/>
      <c r="G21472" s="11"/>
      <c r="H21472" s="11"/>
      <c r="I21472" s="15"/>
    </row>
    <row r="21473" spans="1:9" ht="16.5">
      <c r="A21473" s="10" t="b">
        <v>0</v>
      </c>
      <c r="B21473" s="11" t="str">
        <f>IF(D21473&lt;&gt;"",IF(COUNTIF('USPTO TMs'!A:A,D21473)&gt;0,"Yes","No"),"")</f>
        <v/>
      </c>
      <c r="C21473" s="11"/>
      <c r="D21473" s="11"/>
      <c r="E21473" s="11"/>
      <c r="F21473" s="11"/>
      <c r="G21473" s="11"/>
      <c r="H21473" s="11"/>
      <c r="I21473" s="15"/>
    </row>
    <row r="21474" spans="1:9" ht="16.5">
      <c r="A21474" s="10" t="b">
        <v>0</v>
      </c>
      <c r="B21474" s="11" t="str">
        <f>IF(D21474&lt;&gt;"",IF(COUNTIF('USPTO TMs'!A:A,D21474)&gt;0,"Yes","No"),"")</f>
        <v/>
      </c>
      <c r="C21474" s="11"/>
      <c r="D21474" s="11"/>
      <c r="E21474" s="11"/>
      <c r="F21474" s="11"/>
      <c r="G21474" s="11"/>
      <c r="H21474" s="11"/>
      <c r="I21474" s="15"/>
    </row>
    <row r="21475" spans="1:9" ht="16.5">
      <c r="A21475" s="10" t="b">
        <v>0</v>
      </c>
      <c r="B21475" s="11" t="str">
        <f>IF(D21475&lt;&gt;"",IF(COUNTIF('USPTO TMs'!A:A,D21475)&gt;0,"Yes","No"),"")</f>
        <v/>
      </c>
      <c r="C21475" s="11"/>
      <c r="D21475" s="11"/>
      <c r="E21475" s="11"/>
      <c r="F21475" s="11"/>
      <c r="G21475" s="11"/>
      <c r="H21475" s="11"/>
      <c r="I21475" s="15"/>
    </row>
    <row r="21476" spans="1:9" ht="16.5">
      <c r="A21476" s="10" t="b">
        <v>0</v>
      </c>
      <c r="B21476" s="11" t="str">
        <f>IF(D21476&lt;&gt;"",IF(COUNTIF('USPTO TMs'!A:A,D21476)&gt;0,"Yes","No"),"")</f>
        <v/>
      </c>
      <c r="C21476" s="11"/>
      <c r="D21476" s="11"/>
      <c r="E21476" s="11"/>
      <c r="F21476" s="11"/>
      <c r="G21476" s="11"/>
      <c r="H21476" s="11"/>
      <c r="I21476" s="15"/>
    </row>
    <row r="21477" spans="1:9" ht="16.5">
      <c r="A21477" s="10" t="b">
        <v>0</v>
      </c>
      <c r="B21477" s="11" t="str">
        <f>IF(D21477&lt;&gt;"",IF(COUNTIF('USPTO TMs'!A:A,D21477)&gt;0,"Yes","No"),"")</f>
        <v/>
      </c>
      <c r="C21477" s="11"/>
      <c r="D21477" s="11"/>
      <c r="E21477" s="11"/>
      <c r="F21477" s="11"/>
      <c r="G21477" s="11"/>
      <c r="H21477" s="11"/>
      <c r="I21477" s="15"/>
    </row>
    <row r="21478" spans="1:9" ht="16.5">
      <c r="A21478" s="10" t="b">
        <v>0</v>
      </c>
      <c r="B21478" s="11" t="str">
        <f>IF(D21478&lt;&gt;"",IF(COUNTIF('USPTO TMs'!A:A,D21478)&gt;0,"Yes","No"),"")</f>
        <v/>
      </c>
      <c r="C21478" s="11"/>
      <c r="D21478" s="11"/>
      <c r="E21478" s="11"/>
      <c r="F21478" s="11"/>
      <c r="G21478" s="11"/>
      <c r="H21478" s="11"/>
      <c r="I21478" s="15"/>
    </row>
    <row r="21479" spans="1:9" ht="16.5">
      <c r="A21479" s="10" t="b">
        <v>0</v>
      </c>
      <c r="B21479" s="11" t="str">
        <f>IF(D21479&lt;&gt;"",IF(COUNTIF('USPTO TMs'!A:A,D21479)&gt;0,"Yes","No"),"")</f>
        <v/>
      </c>
      <c r="C21479" s="11"/>
      <c r="D21479" s="11"/>
      <c r="E21479" s="11"/>
      <c r="F21479" s="11"/>
      <c r="G21479" s="11"/>
      <c r="H21479" s="11"/>
      <c r="I21479" s="15"/>
    </row>
    <row r="21480" spans="1:9" ht="16.5">
      <c r="A21480" s="10" t="b">
        <v>0</v>
      </c>
      <c r="B21480" s="11" t="str">
        <f>IF(D21480&lt;&gt;"",IF(COUNTIF('USPTO TMs'!A:A,D21480)&gt;0,"Yes","No"),"")</f>
        <v/>
      </c>
      <c r="C21480" s="11"/>
      <c r="D21480" s="11"/>
      <c r="E21480" s="11"/>
      <c r="F21480" s="11"/>
      <c r="G21480" s="11"/>
      <c r="H21480" s="11"/>
      <c r="I21480" s="15"/>
    </row>
    <row r="21481" spans="1:9" ht="16.5">
      <c r="A21481" s="10" t="b">
        <v>0</v>
      </c>
      <c r="B21481" s="11" t="str">
        <f>IF(D21481&lt;&gt;"",IF(COUNTIF('USPTO TMs'!A:A,D21481)&gt;0,"Yes","No"),"")</f>
        <v/>
      </c>
      <c r="C21481" s="11"/>
      <c r="D21481" s="11"/>
      <c r="E21481" s="11"/>
      <c r="F21481" s="11"/>
      <c r="G21481" s="11"/>
      <c r="H21481" s="11"/>
      <c r="I21481" s="15"/>
    </row>
    <row r="21482" spans="1:9" ht="16.5">
      <c r="A21482" s="10" t="b">
        <v>0</v>
      </c>
      <c r="B21482" s="11" t="str">
        <f>IF(D21482&lt;&gt;"",IF(COUNTIF('USPTO TMs'!A:A,D21482)&gt;0,"Yes","No"),"")</f>
        <v/>
      </c>
      <c r="C21482" s="11"/>
      <c r="D21482" s="11"/>
      <c r="E21482" s="11"/>
      <c r="F21482" s="11"/>
      <c r="G21482" s="11"/>
      <c r="H21482" s="11"/>
      <c r="I21482" s="15"/>
    </row>
    <row r="21483" spans="1:9" ht="16.5">
      <c r="A21483" s="10" t="b">
        <v>0</v>
      </c>
      <c r="B21483" s="11" t="str">
        <f>IF(D21483&lt;&gt;"",IF(COUNTIF('USPTO TMs'!A:A,D21483)&gt;0,"Yes","No"),"")</f>
        <v/>
      </c>
      <c r="C21483" s="11"/>
      <c r="D21483" s="11"/>
      <c r="E21483" s="11"/>
      <c r="F21483" s="11"/>
      <c r="G21483" s="11"/>
      <c r="H21483" s="11"/>
      <c r="I21483" s="15"/>
    </row>
    <row r="21484" spans="1:9" ht="16.5">
      <c r="A21484" s="10" t="b">
        <v>0</v>
      </c>
      <c r="B21484" s="11" t="str">
        <f>IF(D21484&lt;&gt;"",IF(COUNTIF('USPTO TMs'!A:A,D21484)&gt;0,"Yes","No"),"")</f>
        <v/>
      </c>
      <c r="C21484" s="11"/>
      <c r="D21484" s="11"/>
      <c r="E21484" s="11"/>
      <c r="F21484" s="11"/>
      <c r="G21484" s="11"/>
      <c r="H21484" s="11"/>
      <c r="I21484" s="15"/>
    </row>
    <row r="21485" spans="1:9" ht="16.5">
      <c r="A21485" s="10" t="b">
        <v>0</v>
      </c>
      <c r="B21485" s="11" t="str">
        <f>IF(D21485&lt;&gt;"",IF(COUNTIF('USPTO TMs'!A:A,D21485)&gt;0,"Yes","No"),"")</f>
        <v/>
      </c>
      <c r="C21485" s="11"/>
      <c r="D21485" s="11"/>
      <c r="E21485" s="11"/>
      <c r="F21485" s="11"/>
      <c r="G21485" s="11"/>
      <c r="H21485" s="11"/>
      <c r="I21485" s="15"/>
    </row>
    <row r="21486" spans="1:9" ht="16.5">
      <c r="A21486" s="10" t="b">
        <v>0</v>
      </c>
      <c r="B21486" s="11" t="str">
        <f>IF(D21486&lt;&gt;"",IF(COUNTIF('USPTO TMs'!A:A,D21486)&gt;0,"Yes","No"),"")</f>
        <v/>
      </c>
      <c r="C21486" s="11"/>
      <c r="D21486" s="11"/>
      <c r="E21486" s="11"/>
      <c r="F21486" s="11"/>
      <c r="G21486" s="11"/>
      <c r="H21486" s="11"/>
      <c r="I21486" s="15"/>
    </row>
    <row r="21487" spans="1:9" ht="16.5">
      <c r="A21487" s="10" t="b">
        <v>0</v>
      </c>
      <c r="B21487" s="11" t="str">
        <f>IF(D21487&lt;&gt;"",IF(COUNTIF('USPTO TMs'!A:A,D21487)&gt;0,"Yes","No"),"")</f>
        <v/>
      </c>
      <c r="C21487" s="11"/>
      <c r="D21487" s="11"/>
      <c r="E21487" s="11"/>
      <c r="F21487" s="11"/>
      <c r="G21487" s="11"/>
      <c r="H21487" s="11"/>
      <c r="I21487" s="15"/>
    </row>
    <row r="21488" spans="1:9" ht="16.5">
      <c r="A21488" s="10" t="b">
        <v>0</v>
      </c>
      <c r="B21488" s="11" t="str">
        <f>IF(D21488&lt;&gt;"",IF(COUNTIF('USPTO TMs'!A:A,D21488)&gt;0,"Yes","No"),"")</f>
        <v/>
      </c>
      <c r="C21488" s="11"/>
      <c r="D21488" s="11"/>
      <c r="E21488" s="11"/>
      <c r="F21488" s="11"/>
      <c r="G21488" s="11"/>
      <c r="H21488" s="11"/>
      <c r="I21488" s="15"/>
    </row>
    <row r="21489" spans="1:9" ht="16.5">
      <c r="A21489" s="10" t="b">
        <v>0</v>
      </c>
      <c r="B21489" s="11" t="str">
        <f>IF(D21489&lt;&gt;"",IF(COUNTIF('USPTO TMs'!A:A,D21489)&gt;0,"Yes","No"),"")</f>
        <v/>
      </c>
      <c r="C21489" s="11"/>
      <c r="D21489" s="11"/>
      <c r="E21489" s="11"/>
      <c r="F21489" s="11"/>
      <c r="G21489" s="11"/>
      <c r="H21489" s="11"/>
      <c r="I21489" s="15"/>
    </row>
    <row r="21490" spans="1:9" ht="16.5">
      <c r="A21490" s="10" t="b">
        <v>0</v>
      </c>
      <c r="B21490" s="11" t="str">
        <f>IF(D21490&lt;&gt;"",IF(COUNTIF('USPTO TMs'!A:A,D21490)&gt;0,"Yes","No"),"")</f>
        <v/>
      </c>
      <c r="C21490" s="11"/>
      <c r="D21490" s="11"/>
      <c r="E21490" s="11"/>
      <c r="F21490" s="11"/>
      <c r="G21490" s="11"/>
      <c r="H21490" s="11"/>
      <c r="I21490" s="15"/>
    </row>
    <row r="21491" spans="1:9" ht="16.5">
      <c r="A21491" s="10" t="b">
        <v>0</v>
      </c>
      <c r="B21491" s="11" t="str">
        <f>IF(D21491&lt;&gt;"",IF(COUNTIF('USPTO TMs'!A:A,D21491)&gt;0,"Yes","No"),"")</f>
        <v/>
      </c>
      <c r="C21491" s="11"/>
      <c r="D21491" s="11"/>
      <c r="E21491" s="11"/>
      <c r="F21491" s="11"/>
      <c r="G21491" s="11"/>
      <c r="H21491" s="11"/>
      <c r="I21491" s="15"/>
    </row>
    <row r="21492" spans="1:9" ht="16.5">
      <c r="A21492" s="10" t="b">
        <v>0</v>
      </c>
      <c r="B21492" s="11" t="str">
        <f>IF(D21492&lt;&gt;"",IF(COUNTIF('USPTO TMs'!A:A,D21492)&gt;0,"Yes","No"),"")</f>
        <v/>
      </c>
      <c r="C21492" s="11"/>
      <c r="D21492" s="11"/>
      <c r="E21492" s="11"/>
      <c r="F21492" s="11"/>
      <c r="G21492" s="11"/>
      <c r="H21492" s="11"/>
      <c r="I21492" s="15"/>
    </row>
    <row r="21493" spans="1:9" ht="16.5">
      <c r="A21493" s="10" t="b">
        <v>0</v>
      </c>
      <c r="B21493" s="11" t="str">
        <f>IF(D21493&lt;&gt;"",IF(COUNTIF('USPTO TMs'!A:A,D21493)&gt;0,"Yes","No"),"")</f>
        <v/>
      </c>
      <c r="C21493" s="11"/>
      <c r="D21493" s="11"/>
      <c r="E21493" s="11"/>
      <c r="F21493" s="11"/>
      <c r="G21493" s="11"/>
      <c r="H21493" s="11"/>
      <c r="I21493" s="15"/>
    </row>
    <row r="21494" spans="1:9" ht="16.5">
      <c r="A21494" s="10" t="b">
        <v>0</v>
      </c>
      <c r="B21494" s="11" t="str">
        <f>IF(D21494&lt;&gt;"",IF(COUNTIF('USPTO TMs'!A:A,D21494)&gt;0,"Yes","No"),"")</f>
        <v/>
      </c>
      <c r="C21494" s="11"/>
      <c r="D21494" s="11"/>
      <c r="E21494" s="11"/>
      <c r="F21494" s="11"/>
      <c r="G21494" s="11"/>
      <c r="H21494" s="11"/>
      <c r="I21494" s="15"/>
    </row>
    <row r="21495" spans="1:9" ht="16.5">
      <c r="A21495" s="10" t="b">
        <v>0</v>
      </c>
      <c r="B21495" s="11" t="str">
        <f>IF(D21495&lt;&gt;"",IF(COUNTIF('USPTO TMs'!A:A,D21495)&gt;0,"Yes","No"),"")</f>
        <v/>
      </c>
      <c r="C21495" s="11"/>
      <c r="D21495" s="11"/>
      <c r="E21495" s="11"/>
      <c r="F21495" s="11"/>
      <c r="G21495" s="11"/>
      <c r="H21495" s="11"/>
      <c r="I21495" s="15"/>
    </row>
    <row r="21496" spans="1:9" ht="16.5">
      <c r="A21496" s="10" t="b">
        <v>0</v>
      </c>
      <c r="B21496" s="11" t="str">
        <f>IF(D21496&lt;&gt;"",IF(COUNTIF('USPTO TMs'!A:A,D21496)&gt;0,"Yes","No"),"")</f>
        <v/>
      </c>
      <c r="C21496" s="11"/>
      <c r="D21496" s="11"/>
      <c r="E21496" s="11"/>
      <c r="F21496" s="11"/>
      <c r="G21496" s="11"/>
      <c r="H21496" s="11"/>
      <c r="I21496" s="15"/>
    </row>
    <row r="21497" spans="1:9" ht="16.5">
      <c r="A21497" s="10" t="b">
        <v>0</v>
      </c>
      <c r="B21497" s="11" t="str">
        <f>IF(D21497&lt;&gt;"",IF(COUNTIF('USPTO TMs'!A:A,D21497)&gt;0,"Yes","No"),"")</f>
        <v/>
      </c>
      <c r="C21497" s="11"/>
      <c r="D21497" s="11"/>
      <c r="E21497" s="11"/>
      <c r="F21497" s="11"/>
      <c r="G21497" s="11"/>
      <c r="H21497" s="11"/>
      <c r="I21497" s="15"/>
    </row>
    <row r="21498" spans="1:9" ht="16.5">
      <c r="A21498" s="10" t="b">
        <v>0</v>
      </c>
      <c r="B21498" s="11" t="str">
        <f>IF(D21498&lt;&gt;"",IF(COUNTIF('USPTO TMs'!A:A,D21498)&gt;0,"Yes","No"),"")</f>
        <v/>
      </c>
      <c r="C21498" s="11"/>
      <c r="D21498" s="11"/>
      <c r="E21498" s="11"/>
      <c r="F21498" s="11"/>
      <c r="G21498" s="11"/>
      <c r="H21498" s="11"/>
      <c r="I21498" s="15"/>
    </row>
    <row r="21499" spans="1:9" ht="16.5">
      <c r="A21499" s="10" t="b">
        <v>0</v>
      </c>
      <c r="B21499" s="11" t="str">
        <f>IF(D21499&lt;&gt;"",IF(COUNTIF('USPTO TMs'!A:A,D21499)&gt;0,"Yes","No"),"")</f>
        <v/>
      </c>
      <c r="C21499" s="11"/>
      <c r="D21499" s="11"/>
      <c r="E21499" s="11"/>
      <c r="F21499" s="11"/>
      <c r="G21499" s="11"/>
      <c r="H21499" s="11"/>
      <c r="I21499" s="15"/>
    </row>
    <row r="21500" spans="1:9" ht="16.5">
      <c r="A21500" s="10" t="b">
        <v>0</v>
      </c>
      <c r="B21500" s="11" t="str">
        <f>IF(D21500&lt;&gt;"",IF(COUNTIF('USPTO TMs'!A:A,D21500)&gt;0,"Yes","No"),"")</f>
        <v/>
      </c>
      <c r="C21500" s="11"/>
      <c r="D21500" s="11"/>
      <c r="E21500" s="11"/>
      <c r="F21500" s="11"/>
      <c r="G21500" s="11"/>
      <c r="H21500" s="11"/>
      <c r="I21500" s="15"/>
    </row>
    <row r="21501" spans="1:9" ht="16.5">
      <c r="A21501" s="10" t="b">
        <v>0</v>
      </c>
      <c r="B21501" s="11" t="str">
        <f>IF(D21501&lt;&gt;"",IF(COUNTIF('USPTO TMs'!A:A,D21501)&gt;0,"Yes","No"),"")</f>
        <v/>
      </c>
      <c r="C21501" s="11"/>
      <c r="D21501" s="11"/>
      <c r="E21501" s="11"/>
      <c r="F21501" s="11"/>
      <c r="G21501" s="11"/>
      <c r="H21501" s="11"/>
      <c r="I21501" s="15"/>
    </row>
    <row r="21502" spans="1:9" ht="16.5">
      <c r="A21502" s="10" t="b">
        <v>0</v>
      </c>
      <c r="B21502" s="11" t="str">
        <f>IF(D21502&lt;&gt;"",IF(COUNTIF('USPTO TMs'!A:A,D21502)&gt;0,"Yes","No"),"")</f>
        <v/>
      </c>
      <c r="C21502" s="11"/>
      <c r="D21502" s="11"/>
      <c r="E21502" s="11"/>
      <c r="F21502" s="11"/>
      <c r="G21502" s="11"/>
      <c r="H21502" s="11"/>
      <c r="I21502" s="15"/>
    </row>
    <row r="21503" spans="1:9" ht="16.5">
      <c r="A21503" s="10" t="b">
        <v>0</v>
      </c>
      <c r="B21503" s="11" t="str">
        <f>IF(D21503&lt;&gt;"",IF(COUNTIF('USPTO TMs'!A:A,D21503)&gt;0,"Yes","No"),"")</f>
        <v/>
      </c>
      <c r="C21503" s="11"/>
      <c r="D21503" s="11"/>
      <c r="E21503" s="11"/>
      <c r="F21503" s="11"/>
      <c r="G21503" s="11"/>
      <c r="H21503" s="11"/>
      <c r="I21503" s="15"/>
    </row>
    <row r="21504" spans="1:9" ht="16.5">
      <c r="A21504" s="10" t="b">
        <v>0</v>
      </c>
      <c r="B21504" s="11" t="str">
        <f>IF(D21504&lt;&gt;"",IF(COUNTIF('USPTO TMs'!A:A,D21504)&gt;0,"Yes","No"),"")</f>
        <v/>
      </c>
      <c r="C21504" s="11"/>
      <c r="D21504" s="11"/>
      <c r="E21504" s="11"/>
      <c r="F21504" s="11"/>
      <c r="G21504" s="11"/>
      <c r="H21504" s="11"/>
      <c r="I21504" s="15"/>
    </row>
    <row r="21505" spans="1:9" ht="16.5">
      <c r="A21505" s="10" t="b">
        <v>0</v>
      </c>
      <c r="B21505" s="11" t="str">
        <f>IF(D21505&lt;&gt;"",IF(COUNTIF('USPTO TMs'!A:A,D21505)&gt;0,"Yes","No"),"")</f>
        <v/>
      </c>
      <c r="C21505" s="11"/>
      <c r="D21505" s="11"/>
      <c r="E21505" s="11"/>
      <c r="F21505" s="11"/>
      <c r="G21505" s="11"/>
      <c r="H21505" s="11"/>
      <c r="I21505" s="15"/>
    </row>
    <row r="21506" spans="1:9" ht="16.5">
      <c r="A21506" s="10" t="b">
        <v>0</v>
      </c>
      <c r="B21506" s="11" t="str">
        <f>IF(D21506&lt;&gt;"",IF(COUNTIF('USPTO TMs'!A:A,D21506)&gt;0,"Yes","No"),"")</f>
        <v/>
      </c>
      <c r="C21506" s="11"/>
      <c r="D21506" s="11"/>
      <c r="E21506" s="11"/>
      <c r="F21506" s="11"/>
      <c r="G21506" s="11"/>
      <c r="H21506" s="11"/>
      <c r="I21506" s="15"/>
    </row>
    <row r="21507" spans="1:9" ht="16.5">
      <c r="A21507" s="10" t="b">
        <v>0</v>
      </c>
      <c r="B21507" s="11" t="str">
        <f>IF(D21507&lt;&gt;"",IF(COUNTIF('USPTO TMs'!A:A,D21507)&gt;0,"Yes","No"),"")</f>
        <v/>
      </c>
      <c r="C21507" s="11"/>
      <c r="D21507" s="11"/>
      <c r="E21507" s="11"/>
      <c r="F21507" s="11"/>
      <c r="G21507" s="11"/>
      <c r="H21507" s="11"/>
      <c r="I21507" s="15"/>
    </row>
    <row r="21508" spans="1:9" ht="16.5">
      <c r="A21508" s="10" t="b">
        <v>0</v>
      </c>
      <c r="B21508" s="11" t="str">
        <f>IF(D21508&lt;&gt;"",IF(COUNTIF('USPTO TMs'!A:A,D21508)&gt;0,"Yes","No"),"")</f>
        <v/>
      </c>
      <c r="C21508" s="11"/>
      <c r="D21508" s="11"/>
      <c r="E21508" s="11"/>
      <c r="F21508" s="11"/>
      <c r="G21508" s="11"/>
      <c r="H21508" s="11"/>
      <c r="I21508" s="15"/>
    </row>
    <row r="21509" spans="1:9" ht="16.5">
      <c r="A21509" s="10" t="b">
        <v>0</v>
      </c>
      <c r="B21509" s="11" t="str">
        <f>IF(D21509&lt;&gt;"",IF(COUNTIF('USPTO TMs'!A:A,D21509)&gt;0,"Yes","No"),"")</f>
        <v/>
      </c>
      <c r="C21509" s="11"/>
      <c r="D21509" s="11"/>
      <c r="E21509" s="11"/>
      <c r="F21509" s="11"/>
      <c r="G21509" s="11"/>
      <c r="H21509" s="11"/>
      <c r="I21509" s="15"/>
    </row>
    <row r="21510" spans="1:9" ht="16.5">
      <c r="A21510" s="10" t="b">
        <v>0</v>
      </c>
      <c r="B21510" s="11" t="str">
        <f>IF(D21510&lt;&gt;"",IF(COUNTIF('USPTO TMs'!A:A,D21510)&gt;0,"Yes","No"),"")</f>
        <v/>
      </c>
      <c r="C21510" s="11"/>
      <c r="D21510" s="11"/>
      <c r="E21510" s="11"/>
      <c r="F21510" s="11"/>
      <c r="G21510" s="11"/>
      <c r="H21510" s="11"/>
      <c r="I21510" s="15"/>
    </row>
    <row r="21511" spans="1:9" ht="16.5">
      <c r="A21511" s="10" t="b">
        <v>0</v>
      </c>
      <c r="B21511" s="11" t="str">
        <f>IF(D21511&lt;&gt;"",IF(COUNTIF('USPTO TMs'!A:A,D21511)&gt;0,"Yes","No"),"")</f>
        <v/>
      </c>
      <c r="C21511" s="11"/>
      <c r="D21511" s="11"/>
      <c r="E21511" s="11"/>
      <c r="F21511" s="11"/>
      <c r="G21511" s="11"/>
      <c r="H21511" s="11"/>
      <c r="I21511" s="15"/>
    </row>
    <row r="21512" spans="1:9" ht="16.5">
      <c r="A21512" s="10" t="b">
        <v>0</v>
      </c>
      <c r="B21512" s="11" t="str">
        <f>IF(D21512&lt;&gt;"",IF(COUNTIF('USPTO TMs'!A:A,D21512)&gt;0,"Yes","No"),"")</f>
        <v/>
      </c>
      <c r="C21512" s="11"/>
      <c r="D21512" s="11"/>
      <c r="E21512" s="11"/>
      <c r="F21512" s="11"/>
      <c r="G21512" s="11"/>
      <c r="H21512" s="11"/>
      <c r="I21512" s="15"/>
    </row>
    <row r="21513" spans="1:9" ht="16.5">
      <c r="A21513" s="10" t="b">
        <v>0</v>
      </c>
      <c r="B21513" s="11" t="str">
        <f>IF(D21513&lt;&gt;"",IF(COUNTIF('USPTO TMs'!A:A,D21513)&gt;0,"Yes","No"),"")</f>
        <v/>
      </c>
      <c r="C21513" s="11"/>
      <c r="D21513" s="11"/>
      <c r="E21513" s="11"/>
      <c r="F21513" s="11"/>
      <c r="G21513" s="11"/>
      <c r="H21513" s="11"/>
      <c r="I21513" s="15"/>
    </row>
    <row r="21514" spans="1:9" ht="16.5">
      <c r="A21514" s="10" t="b">
        <v>0</v>
      </c>
      <c r="B21514" s="11" t="str">
        <f>IF(D21514&lt;&gt;"",IF(COUNTIF('USPTO TMs'!A:A,D21514)&gt;0,"Yes","No"),"")</f>
        <v/>
      </c>
      <c r="C21514" s="11"/>
      <c r="D21514" s="11"/>
      <c r="E21514" s="11"/>
      <c r="F21514" s="11"/>
      <c r="G21514" s="11"/>
      <c r="H21514" s="11"/>
      <c r="I21514" s="15"/>
    </row>
    <row r="21515" spans="1:9" ht="16.5">
      <c r="A21515" s="10" t="b">
        <v>0</v>
      </c>
      <c r="B21515" s="11" t="str">
        <f>IF(D21515&lt;&gt;"",IF(COUNTIF('USPTO TMs'!A:A,D21515)&gt;0,"Yes","No"),"")</f>
        <v/>
      </c>
      <c r="C21515" s="11"/>
      <c r="D21515" s="11"/>
      <c r="E21515" s="11"/>
      <c r="F21515" s="11"/>
      <c r="G21515" s="11"/>
      <c r="H21515" s="11"/>
      <c r="I21515" s="15"/>
    </row>
    <row r="21516" spans="1:9" ht="16.5">
      <c r="A21516" s="10" t="b">
        <v>0</v>
      </c>
      <c r="B21516" s="11" t="str">
        <f>IF(D21516&lt;&gt;"",IF(COUNTIF('USPTO TMs'!A:A,D21516)&gt;0,"Yes","No"),"")</f>
        <v/>
      </c>
      <c r="C21516" s="11"/>
      <c r="D21516" s="11"/>
      <c r="E21516" s="11"/>
      <c r="F21516" s="11"/>
      <c r="G21516" s="11"/>
      <c r="H21516" s="11"/>
      <c r="I21516" s="15"/>
    </row>
    <row r="21517" spans="1:9" ht="16.5">
      <c r="A21517" s="10" t="b">
        <v>0</v>
      </c>
      <c r="B21517" s="11" t="str">
        <f>IF(D21517&lt;&gt;"",IF(COUNTIF('USPTO TMs'!A:A,D21517)&gt;0,"Yes","No"),"")</f>
        <v/>
      </c>
      <c r="C21517" s="11"/>
      <c r="D21517" s="11"/>
      <c r="E21517" s="11"/>
      <c r="F21517" s="11"/>
      <c r="G21517" s="11"/>
      <c r="H21517" s="11"/>
      <c r="I21517" s="15"/>
    </row>
    <row r="21518" spans="1:9" ht="16.5">
      <c r="A21518" s="10" t="b">
        <v>0</v>
      </c>
      <c r="B21518" s="11" t="str">
        <f>IF(D21518&lt;&gt;"",IF(COUNTIF('USPTO TMs'!A:A,D21518)&gt;0,"Yes","No"),"")</f>
        <v/>
      </c>
      <c r="C21518" s="11"/>
      <c r="D21518" s="11"/>
      <c r="E21518" s="11"/>
      <c r="F21518" s="11"/>
      <c r="G21518" s="11"/>
      <c r="H21518" s="11"/>
      <c r="I21518" s="15"/>
    </row>
    <row r="21519" spans="1:9" ht="16.5">
      <c r="A21519" s="10" t="b">
        <v>0</v>
      </c>
      <c r="B21519" s="11" t="str">
        <f>IF(D21519&lt;&gt;"",IF(COUNTIF('USPTO TMs'!A:A,D21519)&gt;0,"Yes","No"),"")</f>
        <v/>
      </c>
      <c r="C21519" s="11"/>
      <c r="D21519" s="11"/>
      <c r="E21519" s="11"/>
      <c r="F21519" s="11"/>
      <c r="G21519" s="11"/>
      <c r="H21519" s="11"/>
      <c r="I21519" s="15"/>
    </row>
    <row r="21520" spans="1:9" ht="16.5">
      <c r="A21520" s="10" t="b">
        <v>0</v>
      </c>
      <c r="B21520" s="11" t="str">
        <f>IF(D21520&lt;&gt;"",IF(COUNTIF('USPTO TMs'!A:A,D21520)&gt;0,"Yes","No"),"")</f>
        <v/>
      </c>
      <c r="C21520" s="11"/>
      <c r="D21520" s="11"/>
      <c r="E21520" s="11"/>
      <c r="F21520" s="11"/>
      <c r="G21520" s="11"/>
      <c r="H21520" s="11"/>
      <c r="I21520" s="15"/>
    </row>
    <row r="21521" spans="1:9" ht="16.5">
      <c r="A21521" s="10" t="b">
        <v>0</v>
      </c>
      <c r="B21521" s="11" t="str">
        <f>IF(D21521&lt;&gt;"",IF(COUNTIF('USPTO TMs'!A:A,D21521)&gt;0,"Yes","No"),"")</f>
        <v/>
      </c>
      <c r="C21521" s="11"/>
      <c r="D21521" s="11"/>
      <c r="E21521" s="11"/>
      <c r="F21521" s="11"/>
      <c r="G21521" s="11"/>
      <c r="H21521" s="11"/>
      <c r="I21521" s="15"/>
    </row>
    <row r="21522" spans="1:9" ht="16.5">
      <c r="A21522" s="10" t="b">
        <v>0</v>
      </c>
      <c r="B21522" s="11" t="str">
        <f>IF(D21522&lt;&gt;"",IF(COUNTIF('USPTO TMs'!A:A,D21522)&gt;0,"Yes","No"),"")</f>
        <v/>
      </c>
      <c r="C21522" s="11"/>
      <c r="D21522" s="11"/>
      <c r="E21522" s="11"/>
      <c r="F21522" s="11"/>
      <c r="G21522" s="11"/>
      <c r="H21522" s="11"/>
      <c r="I21522" s="15"/>
    </row>
    <row r="21523" spans="1:9" ht="16.5">
      <c r="A21523" s="10" t="b">
        <v>0</v>
      </c>
      <c r="B21523" s="11" t="str">
        <f>IF(D21523&lt;&gt;"",IF(COUNTIF('USPTO TMs'!A:A,D21523)&gt;0,"Yes","No"),"")</f>
        <v/>
      </c>
      <c r="C21523" s="11"/>
      <c r="D21523" s="11"/>
      <c r="E21523" s="11"/>
      <c r="F21523" s="11"/>
      <c r="G21523" s="11"/>
      <c r="H21523" s="11"/>
      <c r="I21523" s="15"/>
    </row>
    <row r="21524" spans="1:9" ht="16.5">
      <c r="A21524" s="10" t="b">
        <v>0</v>
      </c>
      <c r="B21524" s="11" t="str">
        <f>IF(D21524&lt;&gt;"",IF(COUNTIF('USPTO TMs'!A:A,D21524)&gt;0,"Yes","No"),"")</f>
        <v/>
      </c>
      <c r="C21524" s="11"/>
      <c r="D21524" s="11"/>
      <c r="E21524" s="11"/>
      <c r="F21524" s="11"/>
      <c r="G21524" s="11"/>
      <c r="H21524" s="11"/>
      <c r="I21524" s="15"/>
    </row>
    <row r="21525" spans="1:9" ht="16.5">
      <c r="A21525" s="10" t="b">
        <v>0</v>
      </c>
      <c r="B21525" s="11" t="str">
        <f>IF(D21525&lt;&gt;"",IF(COUNTIF('USPTO TMs'!A:A,D21525)&gt;0,"Yes","No"),"")</f>
        <v/>
      </c>
      <c r="C21525" s="11"/>
      <c r="D21525" s="11"/>
      <c r="E21525" s="11"/>
      <c r="F21525" s="11"/>
      <c r="G21525" s="11"/>
      <c r="H21525" s="11"/>
      <c r="I21525" s="15"/>
    </row>
    <row r="21526" spans="1:9" ht="16.5">
      <c r="A21526" s="10" t="b">
        <v>0</v>
      </c>
      <c r="B21526" s="11" t="str">
        <f>IF(D21526&lt;&gt;"",IF(COUNTIF('USPTO TMs'!A:A,D21526)&gt;0,"Yes","No"),"")</f>
        <v/>
      </c>
      <c r="C21526" s="11"/>
      <c r="D21526" s="11"/>
      <c r="E21526" s="11"/>
      <c r="F21526" s="11"/>
      <c r="G21526" s="11"/>
      <c r="H21526" s="11"/>
      <c r="I21526" s="15"/>
    </row>
    <row r="21527" spans="1:9" ht="16.5">
      <c r="A21527" s="10" t="b">
        <v>0</v>
      </c>
      <c r="B21527" s="11" t="str">
        <f>IF(D21527&lt;&gt;"",IF(COUNTIF('USPTO TMs'!A:A,D21527)&gt;0,"Yes","No"),"")</f>
        <v/>
      </c>
      <c r="C21527" s="11"/>
      <c r="D21527" s="11"/>
      <c r="E21527" s="11"/>
      <c r="F21527" s="11"/>
      <c r="G21527" s="11"/>
      <c r="H21527" s="11"/>
      <c r="I21527" s="15"/>
    </row>
    <row r="21528" spans="1:9" ht="16.5">
      <c r="A21528" s="10" t="b">
        <v>0</v>
      </c>
      <c r="B21528" s="11" t="str">
        <f>IF(D21528&lt;&gt;"",IF(COUNTIF('USPTO TMs'!A:A,D21528)&gt;0,"Yes","No"),"")</f>
        <v/>
      </c>
      <c r="C21528" s="11"/>
      <c r="D21528" s="11"/>
      <c r="E21528" s="11"/>
      <c r="F21528" s="11"/>
      <c r="G21528" s="11"/>
      <c r="H21528" s="11"/>
      <c r="I21528" s="15"/>
    </row>
    <row r="21529" spans="1:9" ht="16.5">
      <c r="A21529" s="10" t="b">
        <v>0</v>
      </c>
      <c r="B21529" s="11" t="str">
        <f>IF(D21529&lt;&gt;"",IF(COUNTIF('USPTO TMs'!A:A,D21529)&gt;0,"Yes","No"),"")</f>
        <v/>
      </c>
      <c r="C21529" s="11"/>
      <c r="D21529" s="11"/>
      <c r="E21529" s="11"/>
      <c r="F21529" s="11"/>
      <c r="G21529" s="11"/>
      <c r="H21529" s="11"/>
      <c r="I21529" s="15"/>
    </row>
    <row r="21530" spans="1:9" ht="16.5">
      <c r="A21530" s="10" t="b">
        <v>0</v>
      </c>
      <c r="B21530" s="11" t="str">
        <f>IF(D21530&lt;&gt;"",IF(COUNTIF('USPTO TMs'!A:A,D21530)&gt;0,"Yes","No"),"")</f>
        <v/>
      </c>
      <c r="C21530" s="11"/>
      <c r="D21530" s="11"/>
      <c r="E21530" s="11"/>
      <c r="F21530" s="11"/>
      <c r="G21530" s="11"/>
      <c r="H21530" s="11"/>
      <c r="I21530" s="15"/>
    </row>
    <row r="21531" spans="1:9" ht="16.5">
      <c r="A21531" s="10" t="b">
        <v>0</v>
      </c>
      <c r="B21531" s="11" t="str">
        <f>IF(D21531&lt;&gt;"",IF(COUNTIF('USPTO TMs'!A:A,D21531)&gt;0,"Yes","No"),"")</f>
        <v/>
      </c>
      <c r="C21531" s="11"/>
      <c r="D21531" s="11"/>
      <c r="E21531" s="11"/>
      <c r="F21531" s="11"/>
      <c r="G21531" s="11"/>
      <c r="H21531" s="11"/>
      <c r="I21531" s="15"/>
    </row>
    <row r="21532" spans="1:9" ht="16.5">
      <c r="A21532" s="10" t="b">
        <v>0</v>
      </c>
      <c r="B21532" s="11" t="str">
        <f>IF(D21532&lt;&gt;"",IF(COUNTIF('USPTO TMs'!A:A,D21532)&gt;0,"Yes","No"),"")</f>
        <v/>
      </c>
      <c r="C21532" s="11"/>
      <c r="D21532" s="11"/>
      <c r="E21532" s="11"/>
      <c r="F21532" s="11"/>
      <c r="G21532" s="11"/>
      <c r="H21532" s="11"/>
      <c r="I21532" s="15"/>
    </row>
    <row r="21533" spans="1:9" ht="16.5">
      <c r="A21533" s="10" t="b">
        <v>0</v>
      </c>
      <c r="B21533" s="11" t="str">
        <f>IF(D21533&lt;&gt;"",IF(COUNTIF('USPTO TMs'!A:A,D21533)&gt;0,"Yes","No"),"")</f>
        <v/>
      </c>
      <c r="C21533" s="11"/>
      <c r="D21533" s="11"/>
      <c r="E21533" s="11"/>
      <c r="F21533" s="11"/>
      <c r="G21533" s="11"/>
      <c r="H21533" s="11"/>
      <c r="I21533" s="15"/>
    </row>
    <row r="21534" spans="1:9" ht="16.5">
      <c r="A21534" s="10" t="b">
        <v>0</v>
      </c>
      <c r="B21534" s="11" t="str">
        <f>IF(D21534&lt;&gt;"",IF(COUNTIF('USPTO TMs'!A:A,D21534)&gt;0,"Yes","No"),"")</f>
        <v/>
      </c>
      <c r="C21534" s="11"/>
      <c r="D21534" s="11"/>
      <c r="E21534" s="11"/>
      <c r="F21534" s="11"/>
      <c r="G21534" s="11"/>
      <c r="H21534" s="11"/>
      <c r="I21534" s="15"/>
    </row>
    <row r="21535" spans="1:9" ht="16.5">
      <c r="A21535" s="10" t="b">
        <v>0</v>
      </c>
      <c r="B21535" s="11" t="str">
        <f>IF(D21535&lt;&gt;"",IF(COUNTIF('USPTO TMs'!A:A,D21535)&gt;0,"Yes","No"),"")</f>
        <v/>
      </c>
      <c r="C21535" s="11"/>
      <c r="D21535" s="11"/>
      <c r="E21535" s="11"/>
      <c r="F21535" s="11"/>
      <c r="G21535" s="11"/>
      <c r="H21535" s="11"/>
      <c r="I21535" s="15"/>
    </row>
    <row r="21536" spans="1:9" ht="16.5">
      <c r="A21536" s="10" t="b">
        <v>0</v>
      </c>
      <c r="B21536" s="11" t="str">
        <f>IF(D21536&lt;&gt;"",IF(COUNTIF('USPTO TMs'!A:A,D21536)&gt;0,"Yes","No"),"")</f>
        <v/>
      </c>
      <c r="C21536" s="11"/>
      <c r="D21536" s="11"/>
      <c r="E21536" s="11"/>
      <c r="F21536" s="11"/>
      <c r="G21536" s="11"/>
      <c r="H21536" s="11"/>
      <c r="I21536" s="15"/>
    </row>
    <row r="21537" spans="1:9" ht="16.5">
      <c r="A21537" s="10" t="b">
        <v>0</v>
      </c>
      <c r="B21537" s="11" t="str">
        <f>IF(D21537&lt;&gt;"",IF(COUNTIF('USPTO TMs'!A:A,D21537)&gt;0,"Yes","No"),"")</f>
        <v/>
      </c>
      <c r="C21537" s="11"/>
      <c r="D21537" s="11"/>
      <c r="E21537" s="11"/>
      <c r="F21537" s="11"/>
      <c r="G21537" s="11"/>
      <c r="H21537" s="11"/>
      <c r="I21537" s="15"/>
    </row>
    <row r="21538" spans="1:9" ht="16.5">
      <c r="A21538" s="10" t="b">
        <v>0</v>
      </c>
      <c r="B21538" s="11" t="str">
        <f>IF(D21538&lt;&gt;"",IF(COUNTIF('USPTO TMs'!A:A,D21538)&gt;0,"Yes","No"),"")</f>
        <v/>
      </c>
      <c r="C21538" s="11"/>
      <c r="D21538" s="11"/>
      <c r="E21538" s="11"/>
      <c r="F21538" s="11"/>
      <c r="G21538" s="11"/>
      <c r="H21538" s="11"/>
      <c r="I21538" s="15"/>
    </row>
    <row r="21539" spans="1:9" ht="16.5">
      <c r="A21539" s="10" t="b">
        <v>0</v>
      </c>
      <c r="B21539" s="11" t="str">
        <f>IF(D21539&lt;&gt;"",IF(COUNTIF('USPTO TMs'!A:A,D21539)&gt;0,"Yes","No"),"")</f>
        <v/>
      </c>
      <c r="C21539" s="11"/>
      <c r="D21539" s="11"/>
      <c r="E21539" s="11"/>
      <c r="F21539" s="11"/>
      <c r="G21539" s="11"/>
      <c r="H21539" s="11"/>
      <c r="I21539" s="15"/>
    </row>
    <row r="21540" spans="1:9" ht="16.5">
      <c r="A21540" s="10" t="b">
        <v>0</v>
      </c>
      <c r="B21540" s="11" t="str">
        <f>IF(D21540&lt;&gt;"",IF(COUNTIF('USPTO TMs'!A:A,D21540)&gt;0,"Yes","No"),"")</f>
        <v/>
      </c>
      <c r="C21540" s="11"/>
      <c r="D21540" s="11"/>
      <c r="E21540" s="11"/>
      <c r="F21540" s="11"/>
      <c r="G21540" s="11"/>
      <c r="H21540" s="11"/>
      <c r="I21540" s="15"/>
    </row>
    <row r="21541" spans="1:9" ht="16.5">
      <c r="A21541" s="10" t="b">
        <v>0</v>
      </c>
      <c r="B21541" s="11" t="str">
        <f>IF(D21541&lt;&gt;"",IF(COUNTIF('USPTO TMs'!A:A,D21541)&gt;0,"Yes","No"),"")</f>
        <v/>
      </c>
      <c r="C21541" s="11"/>
      <c r="D21541" s="11"/>
      <c r="E21541" s="11"/>
      <c r="F21541" s="11"/>
      <c r="G21541" s="11"/>
      <c r="H21541" s="11"/>
      <c r="I21541" s="15"/>
    </row>
    <row r="21542" spans="1:9" ht="16.5">
      <c r="A21542" s="10" t="b">
        <v>0</v>
      </c>
      <c r="B21542" s="11" t="str">
        <f>IF(D21542&lt;&gt;"",IF(COUNTIF('USPTO TMs'!A:A,D21542)&gt;0,"Yes","No"),"")</f>
        <v/>
      </c>
      <c r="C21542" s="11"/>
      <c r="D21542" s="11"/>
      <c r="E21542" s="11"/>
      <c r="F21542" s="11"/>
      <c r="G21542" s="11"/>
      <c r="H21542" s="11"/>
      <c r="I21542" s="15"/>
    </row>
    <row r="21543" spans="1:9" ht="16.5">
      <c r="A21543" s="10" t="b">
        <v>0</v>
      </c>
      <c r="B21543" s="11" t="str">
        <f>IF(D21543&lt;&gt;"",IF(COUNTIF('USPTO TMs'!A:A,D21543)&gt;0,"Yes","No"),"")</f>
        <v/>
      </c>
      <c r="C21543" s="11"/>
      <c r="D21543" s="11"/>
      <c r="E21543" s="11"/>
      <c r="F21543" s="11"/>
      <c r="G21543" s="11"/>
      <c r="H21543" s="11"/>
      <c r="I21543" s="15"/>
    </row>
    <row r="21544" spans="1:9" ht="16.5">
      <c r="A21544" s="10" t="b">
        <v>0</v>
      </c>
      <c r="B21544" s="11" t="str">
        <f>IF(D21544&lt;&gt;"",IF(COUNTIF('USPTO TMs'!A:A,D21544)&gt;0,"Yes","No"),"")</f>
        <v/>
      </c>
      <c r="C21544" s="11"/>
      <c r="D21544" s="11"/>
      <c r="E21544" s="11"/>
      <c r="F21544" s="11"/>
      <c r="G21544" s="11"/>
      <c r="H21544" s="11"/>
      <c r="I21544" s="15"/>
    </row>
    <row r="21545" spans="1:9" ht="16.5">
      <c r="A21545" s="10" t="b">
        <v>0</v>
      </c>
      <c r="B21545" s="11" t="str">
        <f>IF(D21545&lt;&gt;"",IF(COUNTIF('USPTO TMs'!A:A,D21545)&gt;0,"Yes","No"),"")</f>
        <v/>
      </c>
      <c r="C21545" s="11"/>
      <c r="D21545" s="11"/>
      <c r="E21545" s="11"/>
      <c r="F21545" s="11"/>
      <c r="G21545" s="11"/>
      <c r="H21545" s="11"/>
      <c r="I21545" s="15"/>
    </row>
    <row r="21546" spans="1:9" ht="16.5">
      <c r="A21546" s="10" t="b">
        <v>0</v>
      </c>
      <c r="B21546" s="11" t="str">
        <f>IF(D21546&lt;&gt;"",IF(COUNTIF('USPTO TMs'!A:A,D21546)&gt;0,"Yes","No"),"")</f>
        <v/>
      </c>
      <c r="C21546" s="11"/>
      <c r="D21546" s="11"/>
      <c r="E21546" s="11"/>
      <c r="F21546" s="11"/>
      <c r="G21546" s="11"/>
      <c r="H21546" s="11"/>
      <c r="I21546" s="15"/>
    </row>
    <row r="21547" spans="1:9" ht="16.5">
      <c r="A21547" s="10" t="b">
        <v>0</v>
      </c>
      <c r="B21547" s="11" t="str">
        <f>IF(D21547&lt;&gt;"",IF(COUNTIF('USPTO TMs'!A:A,D21547)&gt;0,"Yes","No"),"")</f>
        <v/>
      </c>
      <c r="C21547" s="11"/>
      <c r="D21547" s="11"/>
      <c r="E21547" s="11"/>
      <c r="F21547" s="11"/>
      <c r="G21547" s="11"/>
      <c r="H21547" s="11"/>
      <c r="I21547" s="15"/>
    </row>
    <row r="21548" spans="1:9" ht="16.5">
      <c r="A21548" s="10" t="b">
        <v>0</v>
      </c>
      <c r="B21548" s="11" t="str">
        <f>IF(D21548&lt;&gt;"",IF(COUNTIF('USPTO TMs'!A:A,D21548)&gt;0,"Yes","No"),"")</f>
        <v/>
      </c>
      <c r="C21548" s="11"/>
      <c r="D21548" s="11"/>
      <c r="E21548" s="11"/>
      <c r="F21548" s="11"/>
      <c r="G21548" s="11"/>
      <c r="H21548" s="11"/>
      <c r="I21548" s="15"/>
    </row>
    <row r="21549" spans="1:9" ht="16.5">
      <c r="A21549" s="10" t="b">
        <v>0</v>
      </c>
      <c r="B21549" s="11" t="str">
        <f>IF(D21549&lt;&gt;"",IF(COUNTIF('USPTO TMs'!A:A,D21549)&gt;0,"Yes","No"),"")</f>
        <v/>
      </c>
      <c r="C21549" s="11"/>
      <c r="D21549" s="11"/>
      <c r="E21549" s="11"/>
      <c r="F21549" s="11"/>
      <c r="G21549" s="11"/>
      <c r="H21549" s="11"/>
      <c r="I21549" s="15"/>
    </row>
    <row r="21550" spans="1:9" ht="16.5">
      <c r="A21550" s="10" t="b">
        <v>0</v>
      </c>
      <c r="B21550" s="11" t="str">
        <f>IF(D21550&lt;&gt;"",IF(COUNTIF('USPTO TMs'!A:A,D21550)&gt;0,"Yes","No"),"")</f>
        <v/>
      </c>
      <c r="C21550" s="11"/>
      <c r="D21550" s="11"/>
      <c r="E21550" s="11"/>
      <c r="F21550" s="11"/>
      <c r="G21550" s="11"/>
      <c r="H21550" s="11"/>
      <c r="I21550" s="15"/>
    </row>
    <row r="21551" spans="1:9" ht="16.5">
      <c r="A21551" s="10" t="b">
        <v>0</v>
      </c>
      <c r="B21551" s="11" t="str">
        <f>IF(D21551&lt;&gt;"",IF(COUNTIF('USPTO TMs'!A:A,D21551)&gt;0,"Yes","No"),"")</f>
        <v/>
      </c>
      <c r="C21551" s="11"/>
      <c r="D21551" s="11"/>
      <c r="E21551" s="11"/>
      <c r="F21551" s="11"/>
      <c r="G21551" s="11"/>
      <c r="H21551" s="11"/>
      <c r="I21551" s="15"/>
    </row>
    <row r="21552" spans="1:9" ht="16.5">
      <c r="A21552" s="10" t="b">
        <v>0</v>
      </c>
      <c r="B21552" s="11" t="str">
        <f>IF(D21552&lt;&gt;"",IF(COUNTIF('USPTO TMs'!A:A,D21552)&gt;0,"Yes","No"),"")</f>
        <v/>
      </c>
      <c r="C21552" s="11"/>
      <c r="D21552" s="11"/>
      <c r="E21552" s="11"/>
      <c r="F21552" s="11"/>
      <c r="G21552" s="11"/>
      <c r="H21552" s="11"/>
      <c r="I21552" s="15"/>
    </row>
    <row r="21553" spans="1:9" ht="16.5">
      <c r="A21553" s="10" t="b">
        <v>0</v>
      </c>
      <c r="B21553" s="11" t="str">
        <f>IF(D21553&lt;&gt;"",IF(COUNTIF('USPTO TMs'!A:A,D21553)&gt;0,"Yes","No"),"")</f>
        <v/>
      </c>
      <c r="C21553" s="11"/>
      <c r="D21553" s="11"/>
      <c r="E21553" s="11"/>
      <c r="F21553" s="11"/>
      <c r="G21553" s="11"/>
      <c r="H21553" s="11"/>
      <c r="I21553" s="15"/>
    </row>
    <row r="21554" spans="1:9" ht="16.5">
      <c r="A21554" s="10" t="b">
        <v>0</v>
      </c>
      <c r="B21554" s="11" t="str">
        <f>IF(D21554&lt;&gt;"",IF(COUNTIF('USPTO TMs'!A:A,D21554)&gt;0,"Yes","No"),"")</f>
        <v/>
      </c>
      <c r="C21554" s="11"/>
      <c r="D21554" s="11"/>
      <c r="E21554" s="11"/>
      <c r="F21554" s="11"/>
      <c r="G21554" s="11"/>
      <c r="H21554" s="11"/>
      <c r="I21554" s="15"/>
    </row>
    <row r="21555" spans="1:9" ht="16.5">
      <c r="A21555" s="10" t="b">
        <v>0</v>
      </c>
      <c r="B21555" s="11" t="str">
        <f>IF(D21555&lt;&gt;"",IF(COUNTIF('USPTO TMs'!A:A,D21555)&gt;0,"Yes","No"),"")</f>
        <v/>
      </c>
      <c r="C21555" s="11"/>
      <c r="D21555" s="11"/>
      <c r="E21555" s="11"/>
      <c r="F21555" s="11"/>
      <c r="G21555" s="11"/>
      <c r="H21555" s="11"/>
      <c r="I21555" s="15"/>
    </row>
    <row r="21556" spans="1:9" ht="16.5">
      <c r="A21556" s="10" t="b">
        <v>0</v>
      </c>
      <c r="B21556" s="11" t="str">
        <f>IF(D21556&lt;&gt;"",IF(COUNTIF('USPTO TMs'!A:A,D21556)&gt;0,"Yes","No"),"")</f>
        <v/>
      </c>
      <c r="C21556" s="11"/>
      <c r="D21556" s="11"/>
      <c r="E21556" s="11"/>
      <c r="F21556" s="11"/>
      <c r="G21556" s="11"/>
      <c r="H21556" s="11"/>
      <c r="I21556" s="15"/>
    </row>
    <row r="21557" spans="1:9" ht="16.5">
      <c r="A21557" s="10" t="b">
        <v>0</v>
      </c>
      <c r="B21557" s="11" t="str">
        <f>IF(D21557&lt;&gt;"",IF(COUNTIF('USPTO TMs'!A:A,D21557)&gt;0,"Yes","No"),"")</f>
        <v/>
      </c>
      <c r="C21557" s="11"/>
      <c r="D21557" s="11"/>
      <c r="E21557" s="11"/>
      <c r="F21557" s="11"/>
      <c r="G21557" s="11"/>
      <c r="H21557" s="11"/>
      <c r="I21557" s="15"/>
    </row>
    <row r="21558" spans="1:9" ht="16.5">
      <c r="A21558" s="10" t="b">
        <v>0</v>
      </c>
      <c r="B21558" s="11" t="str">
        <f>IF(D21558&lt;&gt;"",IF(COUNTIF('USPTO TMs'!A:A,D21558)&gt;0,"Yes","No"),"")</f>
        <v/>
      </c>
      <c r="C21558" s="11"/>
      <c r="D21558" s="11"/>
      <c r="E21558" s="11"/>
      <c r="F21558" s="11"/>
      <c r="G21558" s="11"/>
      <c r="H21558" s="11"/>
      <c r="I21558" s="15"/>
    </row>
    <row r="21559" spans="1:9" ht="16.5">
      <c r="A21559" s="10" t="b">
        <v>0</v>
      </c>
      <c r="B21559" s="11" t="str">
        <f>IF(D21559&lt;&gt;"",IF(COUNTIF('USPTO TMs'!A:A,D21559)&gt;0,"Yes","No"),"")</f>
        <v/>
      </c>
      <c r="C21559" s="11"/>
      <c r="D21559" s="11"/>
      <c r="E21559" s="11"/>
      <c r="F21559" s="11"/>
      <c r="G21559" s="11"/>
      <c r="H21559" s="11"/>
      <c r="I21559" s="15"/>
    </row>
    <row r="21560" spans="1:9" ht="16.5">
      <c r="A21560" s="10" t="b">
        <v>0</v>
      </c>
      <c r="B21560" s="11" t="str">
        <f>IF(D21560&lt;&gt;"",IF(COUNTIF('USPTO TMs'!A:A,D21560)&gt;0,"Yes","No"),"")</f>
        <v/>
      </c>
      <c r="C21560" s="11"/>
      <c r="D21560" s="11"/>
      <c r="E21560" s="11"/>
      <c r="F21560" s="11"/>
      <c r="G21560" s="11"/>
      <c r="H21560" s="11"/>
      <c r="I21560" s="15"/>
    </row>
    <row r="21561" spans="1:9" ht="16.5">
      <c r="A21561" s="10" t="b">
        <v>0</v>
      </c>
      <c r="B21561" s="11" t="str">
        <f>IF(D21561&lt;&gt;"",IF(COUNTIF('USPTO TMs'!A:A,D21561)&gt;0,"Yes","No"),"")</f>
        <v/>
      </c>
      <c r="C21561" s="11"/>
      <c r="D21561" s="11"/>
      <c r="E21561" s="11"/>
      <c r="F21561" s="11"/>
      <c r="G21561" s="11"/>
      <c r="H21561" s="11"/>
      <c r="I21561" s="15"/>
    </row>
    <row r="21562" spans="1:9" ht="16.5">
      <c r="A21562" s="10" t="b">
        <v>0</v>
      </c>
      <c r="B21562" s="11" t="str">
        <f>IF(D21562&lt;&gt;"",IF(COUNTIF('USPTO TMs'!A:A,D21562)&gt;0,"Yes","No"),"")</f>
        <v/>
      </c>
      <c r="C21562" s="11"/>
      <c r="D21562" s="11"/>
      <c r="E21562" s="11"/>
      <c r="F21562" s="11"/>
      <c r="G21562" s="11"/>
      <c r="H21562" s="11"/>
      <c r="I21562" s="15"/>
    </row>
    <row r="21563" spans="1:9" ht="16.5">
      <c r="A21563" s="10" t="b">
        <v>0</v>
      </c>
      <c r="B21563" s="11" t="str">
        <f>IF(D21563&lt;&gt;"",IF(COUNTIF('USPTO TMs'!A:A,D21563)&gt;0,"Yes","No"),"")</f>
        <v/>
      </c>
      <c r="C21563" s="11"/>
      <c r="D21563" s="11"/>
      <c r="E21563" s="11"/>
      <c r="F21563" s="11"/>
      <c r="G21563" s="11"/>
      <c r="H21563" s="11"/>
      <c r="I21563" s="15"/>
    </row>
    <row r="21564" spans="1:9" ht="16.5">
      <c r="A21564" s="10" t="b">
        <v>0</v>
      </c>
      <c r="B21564" s="11" t="str">
        <f>IF(D21564&lt;&gt;"",IF(COUNTIF('USPTO TMs'!A:A,D21564)&gt;0,"Yes","No"),"")</f>
        <v/>
      </c>
      <c r="C21564" s="11"/>
      <c r="D21564" s="11"/>
      <c r="E21564" s="11"/>
      <c r="F21564" s="11"/>
      <c r="G21564" s="11"/>
      <c r="H21564" s="11"/>
      <c r="I21564" s="15"/>
    </row>
    <row r="21565" spans="1:9" ht="16.5">
      <c r="A21565" s="10" t="b">
        <v>0</v>
      </c>
      <c r="B21565" s="11" t="str">
        <f>IF(D21565&lt;&gt;"",IF(COUNTIF('USPTO TMs'!A:A,D21565)&gt;0,"Yes","No"),"")</f>
        <v/>
      </c>
      <c r="C21565" s="11"/>
      <c r="D21565" s="11"/>
      <c r="E21565" s="11"/>
      <c r="F21565" s="11"/>
      <c r="G21565" s="11"/>
      <c r="H21565" s="11"/>
      <c r="I21565" s="15"/>
    </row>
    <row r="21566" spans="1:9" ht="16.5">
      <c r="A21566" s="10" t="b">
        <v>0</v>
      </c>
      <c r="B21566" s="11" t="str">
        <f>IF(D21566&lt;&gt;"",IF(COUNTIF('USPTO TMs'!A:A,D21566)&gt;0,"Yes","No"),"")</f>
        <v/>
      </c>
      <c r="C21566" s="11"/>
      <c r="D21566" s="11"/>
      <c r="E21566" s="11"/>
      <c r="F21566" s="11"/>
      <c r="G21566" s="11"/>
      <c r="H21566" s="11"/>
      <c r="I21566" s="15"/>
    </row>
    <row r="21567" spans="1:9" ht="16.5">
      <c r="A21567" s="10" t="b">
        <v>0</v>
      </c>
      <c r="B21567" s="11" t="str">
        <f>IF(D21567&lt;&gt;"",IF(COUNTIF('USPTO TMs'!A:A,D21567)&gt;0,"Yes","No"),"")</f>
        <v/>
      </c>
      <c r="C21567" s="11"/>
      <c r="D21567" s="11"/>
      <c r="E21567" s="11"/>
      <c r="F21567" s="11"/>
      <c r="G21567" s="11"/>
      <c r="H21567" s="11"/>
      <c r="I21567" s="15"/>
    </row>
    <row r="21568" spans="1:9" ht="16.5">
      <c r="A21568" s="10" t="b">
        <v>0</v>
      </c>
      <c r="B21568" s="11" t="str">
        <f>IF(D21568&lt;&gt;"",IF(COUNTIF('USPTO TMs'!A:A,D21568)&gt;0,"Yes","No"),"")</f>
        <v/>
      </c>
      <c r="C21568" s="11"/>
      <c r="D21568" s="11"/>
      <c r="E21568" s="11"/>
      <c r="F21568" s="11"/>
      <c r="G21568" s="11"/>
      <c r="H21568" s="11"/>
      <c r="I21568" s="15"/>
    </row>
    <row r="21569" spans="1:9" ht="16.5">
      <c r="A21569" s="10" t="b">
        <v>0</v>
      </c>
      <c r="B21569" s="11" t="str">
        <f>IF(D21569&lt;&gt;"",IF(COUNTIF('USPTO TMs'!A:A,D21569)&gt;0,"Yes","No"),"")</f>
        <v/>
      </c>
      <c r="C21569" s="11"/>
      <c r="D21569" s="11"/>
      <c r="E21569" s="11"/>
      <c r="F21569" s="11"/>
      <c r="G21569" s="11"/>
      <c r="H21569" s="11"/>
      <c r="I21569" s="15"/>
    </row>
    <row r="21570" spans="1:9" ht="16.5">
      <c r="A21570" s="10" t="b">
        <v>0</v>
      </c>
      <c r="B21570" s="11" t="str">
        <f>IF(D21570&lt;&gt;"",IF(COUNTIF('USPTO TMs'!A:A,D21570)&gt;0,"Yes","No"),"")</f>
        <v/>
      </c>
      <c r="C21570" s="11"/>
      <c r="D21570" s="11"/>
      <c r="E21570" s="11"/>
      <c r="F21570" s="11"/>
      <c r="G21570" s="11"/>
      <c r="H21570" s="11"/>
      <c r="I21570" s="15"/>
    </row>
    <row r="21571" spans="1:9" ht="16.5">
      <c r="A21571" s="10" t="b">
        <v>0</v>
      </c>
      <c r="B21571" s="11" t="str">
        <f>IF(D21571&lt;&gt;"",IF(COUNTIF('USPTO TMs'!A:A,D21571)&gt;0,"Yes","No"),"")</f>
        <v/>
      </c>
      <c r="C21571" s="11"/>
      <c r="D21571" s="11"/>
      <c r="E21571" s="11"/>
      <c r="F21571" s="11"/>
      <c r="G21571" s="11"/>
      <c r="H21571" s="11"/>
      <c r="I21571" s="15"/>
    </row>
    <row r="21572" spans="1:9" ht="16.5">
      <c r="A21572" s="10" t="b">
        <v>0</v>
      </c>
      <c r="B21572" s="11" t="str">
        <f>IF(D21572&lt;&gt;"",IF(COUNTIF('USPTO TMs'!A:A,D21572)&gt;0,"Yes","No"),"")</f>
        <v/>
      </c>
      <c r="C21572" s="11"/>
      <c r="D21572" s="11"/>
      <c r="E21572" s="11"/>
      <c r="F21572" s="11"/>
      <c r="G21572" s="11"/>
      <c r="H21572" s="11"/>
      <c r="I21572" s="15"/>
    </row>
    <row r="21573" spans="1:9" ht="16.5">
      <c r="A21573" s="10" t="b">
        <v>0</v>
      </c>
      <c r="B21573" s="11" t="str">
        <f>IF(D21573&lt;&gt;"",IF(COUNTIF('USPTO TMs'!A:A,D21573)&gt;0,"Yes","No"),"")</f>
        <v/>
      </c>
      <c r="C21573" s="11"/>
      <c r="D21573" s="11"/>
      <c r="E21573" s="11"/>
      <c r="F21573" s="11"/>
      <c r="G21573" s="11"/>
      <c r="H21573" s="11"/>
      <c r="I21573" s="15"/>
    </row>
    <row r="21574" spans="1:9" ht="16.5">
      <c r="A21574" s="10" t="b">
        <v>0</v>
      </c>
      <c r="B21574" s="11" t="str">
        <f>IF(D21574&lt;&gt;"",IF(COUNTIF('USPTO TMs'!A:A,D21574)&gt;0,"Yes","No"),"")</f>
        <v/>
      </c>
      <c r="C21574" s="11"/>
      <c r="D21574" s="11"/>
      <c r="E21574" s="11"/>
      <c r="F21574" s="11"/>
      <c r="G21574" s="11"/>
      <c r="H21574" s="11"/>
      <c r="I21574" s="15"/>
    </row>
    <row r="21575" spans="1:9" ht="16.5">
      <c r="A21575" s="10" t="b">
        <v>0</v>
      </c>
      <c r="B21575" s="11" t="str">
        <f>IF(D21575&lt;&gt;"",IF(COUNTIF('USPTO TMs'!A:A,D21575)&gt;0,"Yes","No"),"")</f>
        <v/>
      </c>
      <c r="C21575" s="11"/>
      <c r="D21575" s="11"/>
      <c r="E21575" s="11"/>
      <c r="F21575" s="11"/>
      <c r="G21575" s="11"/>
      <c r="H21575" s="11"/>
      <c r="I21575" s="15"/>
    </row>
    <row r="21576" spans="1:9" ht="16.5">
      <c r="A21576" s="10" t="b">
        <v>0</v>
      </c>
      <c r="B21576" s="11" t="str">
        <f>IF(D21576&lt;&gt;"",IF(COUNTIF('USPTO TMs'!A:A,D21576)&gt;0,"Yes","No"),"")</f>
        <v/>
      </c>
      <c r="C21576" s="11"/>
      <c r="D21576" s="11"/>
      <c r="E21576" s="11"/>
      <c r="F21576" s="11"/>
      <c r="G21576" s="11"/>
      <c r="H21576" s="11"/>
      <c r="I21576" s="15"/>
    </row>
    <row r="21577" spans="1:9" ht="16.5">
      <c r="A21577" s="10" t="b">
        <v>0</v>
      </c>
      <c r="B21577" s="11" t="str">
        <f>IF(D21577&lt;&gt;"",IF(COUNTIF('USPTO TMs'!A:A,D21577)&gt;0,"Yes","No"),"")</f>
        <v/>
      </c>
      <c r="C21577" s="11"/>
      <c r="D21577" s="11"/>
      <c r="E21577" s="11"/>
      <c r="F21577" s="11"/>
      <c r="G21577" s="11"/>
      <c r="H21577" s="11"/>
      <c r="I21577" s="15"/>
    </row>
    <row r="21578" spans="1:9" ht="16.5">
      <c r="A21578" s="10" t="b">
        <v>0</v>
      </c>
      <c r="B21578" s="11" t="str">
        <f>IF(D21578&lt;&gt;"",IF(COUNTIF('USPTO TMs'!A:A,D21578)&gt;0,"Yes","No"),"")</f>
        <v/>
      </c>
      <c r="C21578" s="11"/>
      <c r="D21578" s="11"/>
      <c r="E21578" s="11"/>
      <c r="F21578" s="11"/>
      <c r="G21578" s="11"/>
      <c r="H21578" s="11"/>
      <c r="I21578" s="15"/>
    </row>
    <row r="21579" spans="1:9" ht="16.5">
      <c r="A21579" s="10" t="b">
        <v>0</v>
      </c>
      <c r="B21579" s="11" t="str">
        <f>IF(D21579&lt;&gt;"",IF(COUNTIF('USPTO TMs'!A:A,D21579)&gt;0,"Yes","No"),"")</f>
        <v/>
      </c>
      <c r="C21579" s="11"/>
      <c r="D21579" s="11"/>
      <c r="E21579" s="11"/>
      <c r="F21579" s="11"/>
      <c r="G21579" s="11"/>
      <c r="H21579" s="11"/>
      <c r="I21579" s="15"/>
    </row>
    <row r="21580" spans="1:9" ht="16.5">
      <c r="A21580" s="10" t="b">
        <v>0</v>
      </c>
      <c r="B21580" s="11" t="str">
        <f>IF(D21580&lt;&gt;"",IF(COUNTIF('USPTO TMs'!A:A,D21580)&gt;0,"Yes","No"),"")</f>
        <v/>
      </c>
      <c r="C21580" s="11"/>
      <c r="D21580" s="11"/>
      <c r="E21580" s="11"/>
      <c r="F21580" s="11"/>
      <c r="G21580" s="11"/>
      <c r="H21580" s="11"/>
      <c r="I21580" s="15"/>
    </row>
    <row r="21581" spans="1:9" ht="16.5">
      <c r="A21581" s="10" t="b">
        <v>0</v>
      </c>
      <c r="B21581" s="11" t="str">
        <f>IF(D21581&lt;&gt;"",IF(COUNTIF('USPTO TMs'!A:A,D21581)&gt;0,"Yes","No"),"")</f>
        <v/>
      </c>
      <c r="C21581" s="11"/>
      <c r="D21581" s="11"/>
      <c r="E21581" s="11"/>
      <c r="F21581" s="11"/>
      <c r="G21581" s="11"/>
      <c r="H21581" s="11"/>
      <c r="I21581" s="15"/>
    </row>
    <row r="21582" spans="1:9" ht="16.5">
      <c r="A21582" s="10" t="b">
        <v>0</v>
      </c>
      <c r="B21582" s="11" t="str">
        <f>IF(D21582&lt;&gt;"",IF(COUNTIF('USPTO TMs'!A:A,D21582)&gt;0,"Yes","No"),"")</f>
        <v/>
      </c>
      <c r="C21582" s="11"/>
      <c r="D21582" s="11"/>
      <c r="E21582" s="11"/>
      <c r="F21582" s="11"/>
      <c r="G21582" s="11"/>
      <c r="H21582" s="11"/>
      <c r="I21582" s="15"/>
    </row>
    <row r="21583" spans="1:9" ht="16.5">
      <c r="A21583" s="10" t="b">
        <v>0</v>
      </c>
      <c r="B21583" s="11" t="str">
        <f>IF(D21583&lt;&gt;"",IF(COUNTIF('USPTO TMs'!A:A,D21583)&gt;0,"Yes","No"),"")</f>
        <v/>
      </c>
      <c r="C21583" s="11"/>
      <c r="D21583" s="11"/>
      <c r="E21583" s="11"/>
      <c r="F21583" s="11"/>
      <c r="G21583" s="11"/>
      <c r="H21583" s="11"/>
      <c r="I21583" s="15"/>
    </row>
    <row r="21584" spans="1:9" ht="16.5">
      <c r="A21584" s="10" t="b">
        <v>0</v>
      </c>
      <c r="B21584" s="11" t="str">
        <f>IF(D21584&lt;&gt;"",IF(COUNTIF('USPTO TMs'!A:A,D21584)&gt;0,"Yes","No"),"")</f>
        <v/>
      </c>
      <c r="C21584" s="11"/>
      <c r="D21584" s="11"/>
      <c r="E21584" s="11"/>
      <c r="F21584" s="11"/>
      <c r="G21584" s="11"/>
      <c r="H21584" s="11"/>
      <c r="I21584" s="15"/>
    </row>
    <row r="21585" spans="1:9" ht="16.5">
      <c r="A21585" s="10" t="b">
        <v>0</v>
      </c>
      <c r="B21585" s="11" t="str">
        <f>IF(D21585&lt;&gt;"",IF(COUNTIF('USPTO TMs'!A:A,D21585)&gt;0,"Yes","No"),"")</f>
        <v/>
      </c>
      <c r="C21585" s="11"/>
      <c r="D21585" s="11"/>
      <c r="E21585" s="11"/>
      <c r="F21585" s="11"/>
      <c r="G21585" s="11"/>
      <c r="H21585" s="11"/>
      <c r="I21585" s="15"/>
    </row>
    <row r="21586" spans="1:9" ht="16.5">
      <c r="A21586" s="10" t="b">
        <v>0</v>
      </c>
      <c r="B21586" s="11" t="str">
        <f>IF(D21586&lt;&gt;"",IF(COUNTIF('USPTO TMs'!A:A,D21586)&gt;0,"Yes","No"),"")</f>
        <v/>
      </c>
      <c r="C21586" s="11"/>
      <c r="D21586" s="11"/>
      <c r="E21586" s="11"/>
      <c r="F21586" s="11"/>
      <c r="G21586" s="11"/>
      <c r="H21586" s="11"/>
      <c r="I21586" s="15"/>
    </row>
    <row r="21587" spans="1:9" ht="16.5">
      <c r="A21587" s="10" t="b">
        <v>0</v>
      </c>
      <c r="B21587" s="11" t="str">
        <f>IF(D21587&lt;&gt;"",IF(COUNTIF('USPTO TMs'!A:A,D21587)&gt;0,"Yes","No"),"")</f>
        <v/>
      </c>
      <c r="C21587" s="11"/>
      <c r="D21587" s="11"/>
      <c r="E21587" s="11"/>
      <c r="F21587" s="11"/>
      <c r="G21587" s="11"/>
      <c r="H21587" s="11"/>
      <c r="I21587" s="15"/>
    </row>
    <row r="21588" spans="1:9" ht="16.5">
      <c r="A21588" s="10" t="b">
        <v>0</v>
      </c>
      <c r="B21588" s="11" t="str">
        <f>IF(D21588&lt;&gt;"",IF(COUNTIF('USPTO TMs'!A:A,D21588)&gt;0,"Yes","No"),"")</f>
        <v/>
      </c>
      <c r="C21588" s="11"/>
      <c r="D21588" s="11"/>
      <c r="E21588" s="11"/>
      <c r="F21588" s="11"/>
      <c r="G21588" s="11"/>
      <c r="H21588" s="11"/>
      <c r="I21588" s="15"/>
    </row>
    <row r="21589" spans="1:9" ht="16.5">
      <c r="A21589" s="10" t="b">
        <v>0</v>
      </c>
      <c r="B21589" s="11" t="str">
        <f>IF(D21589&lt;&gt;"",IF(COUNTIF('USPTO TMs'!A:A,D21589)&gt;0,"Yes","No"),"")</f>
        <v/>
      </c>
      <c r="C21589" s="11"/>
      <c r="D21589" s="11"/>
      <c r="E21589" s="11"/>
      <c r="F21589" s="11"/>
      <c r="G21589" s="11"/>
      <c r="H21589" s="11"/>
      <c r="I21589" s="15"/>
    </row>
    <row r="21590" spans="1:9" ht="16.5">
      <c r="A21590" s="10" t="b">
        <v>0</v>
      </c>
      <c r="B21590" s="11" t="str">
        <f>IF(D21590&lt;&gt;"",IF(COUNTIF('USPTO TMs'!A:A,D21590)&gt;0,"Yes","No"),"")</f>
        <v/>
      </c>
      <c r="C21590" s="11"/>
      <c r="D21590" s="11"/>
      <c r="E21590" s="11"/>
      <c r="F21590" s="11"/>
      <c r="G21590" s="11"/>
      <c r="H21590" s="11"/>
      <c r="I21590" s="15"/>
    </row>
    <row r="21591" spans="1:9" ht="16.5">
      <c r="A21591" s="10" t="b">
        <v>0</v>
      </c>
      <c r="B21591" s="11" t="str">
        <f>IF(D21591&lt;&gt;"",IF(COUNTIF('USPTO TMs'!A:A,D21591)&gt;0,"Yes","No"),"")</f>
        <v/>
      </c>
      <c r="C21591" s="11"/>
      <c r="D21591" s="11"/>
      <c r="E21591" s="11"/>
      <c r="F21591" s="11"/>
      <c r="G21591" s="11"/>
      <c r="H21591" s="11"/>
      <c r="I21591" s="15"/>
    </row>
    <row r="21592" spans="1:9" ht="16.5">
      <c r="A21592" s="10" t="b">
        <v>0</v>
      </c>
      <c r="B21592" s="11" t="str">
        <f>IF(D21592&lt;&gt;"",IF(COUNTIF('USPTO TMs'!A:A,D21592)&gt;0,"Yes","No"),"")</f>
        <v/>
      </c>
      <c r="C21592" s="11"/>
      <c r="D21592" s="11"/>
      <c r="E21592" s="11"/>
      <c r="F21592" s="11"/>
      <c r="G21592" s="11"/>
      <c r="H21592" s="11"/>
      <c r="I21592" s="15"/>
    </row>
    <row r="21593" spans="1:9" ht="16.5">
      <c r="A21593" s="10" t="b">
        <v>0</v>
      </c>
      <c r="B21593" s="11" t="str">
        <f>IF(D21593&lt;&gt;"",IF(COUNTIF('USPTO TMs'!A:A,D21593)&gt;0,"Yes","No"),"")</f>
        <v/>
      </c>
      <c r="C21593" s="11"/>
      <c r="D21593" s="11"/>
      <c r="E21593" s="11"/>
      <c r="F21593" s="11"/>
      <c r="G21593" s="11"/>
      <c r="H21593" s="11"/>
      <c r="I21593" s="15"/>
    </row>
    <row r="21594" spans="1:9" ht="16.5">
      <c r="A21594" s="10" t="b">
        <v>0</v>
      </c>
      <c r="B21594" s="11" t="str">
        <f>IF(D21594&lt;&gt;"",IF(COUNTIF('USPTO TMs'!A:A,D21594)&gt;0,"Yes","No"),"")</f>
        <v/>
      </c>
      <c r="C21594" s="11"/>
      <c r="D21594" s="11"/>
      <c r="E21594" s="11"/>
      <c r="F21594" s="11"/>
      <c r="G21594" s="11"/>
      <c r="H21594" s="11"/>
      <c r="I21594" s="15"/>
    </row>
    <row r="21595" spans="1:9" ht="16.5">
      <c r="A21595" s="10" t="b">
        <v>0</v>
      </c>
      <c r="B21595" s="11" t="str">
        <f>IF(D21595&lt;&gt;"",IF(COUNTIF('USPTO TMs'!A:A,D21595)&gt;0,"Yes","No"),"")</f>
        <v/>
      </c>
      <c r="C21595" s="11"/>
      <c r="D21595" s="11"/>
      <c r="E21595" s="11"/>
      <c r="F21595" s="11"/>
      <c r="G21595" s="11"/>
      <c r="H21595" s="11"/>
      <c r="I21595" s="15"/>
    </row>
    <row r="21596" spans="1:9" ht="16.5">
      <c r="A21596" s="10" t="b">
        <v>0</v>
      </c>
      <c r="B21596" s="11" t="str">
        <f>IF(D21596&lt;&gt;"",IF(COUNTIF('USPTO TMs'!A:A,D21596)&gt;0,"Yes","No"),"")</f>
        <v/>
      </c>
      <c r="C21596" s="11"/>
      <c r="D21596" s="11"/>
      <c r="E21596" s="11"/>
      <c r="F21596" s="11"/>
      <c r="G21596" s="11"/>
      <c r="H21596" s="11"/>
      <c r="I21596" s="15"/>
    </row>
    <row r="21597" spans="1:9" ht="16.5">
      <c r="A21597" s="10" t="b">
        <v>0</v>
      </c>
      <c r="B21597" s="11" t="str">
        <f>IF(D21597&lt;&gt;"",IF(COUNTIF('USPTO TMs'!A:A,D21597)&gt;0,"Yes","No"),"")</f>
        <v/>
      </c>
      <c r="C21597" s="11"/>
      <c r="D21597" s="11"/>
      <c r="E21597" s="11"/>
      <c r="F21597" s="11"/>
      <c r="G21597" s="11"/>
      <c r="H21597" s="11"/>
      <c r="I21597" s="15"/>
    </row>
    <row r="21598" spans="1:9" ht="16.5">
      <c r="A21598" s="10" t="b">
        <v>0</v>
      </c>
      <c r="B21598" s="11" t="str">
        <f>IF(D21598&lt;&gt;"",IF(COUNTIF('USPTO TMs'!A:A,D21598)&gt;0,"Yes","No"),"")</f>
        <v/>
      </c>
      <c r="C21598" s="11"/>
      <c r="D21598" s="11"/>
      <c r="E21598" s="11"/>
      <c r="F21598" s="11"/>
      <c r="G21598" s="11"/>
      <c r="H21598" s="11"/>
      <c r="I21598" s="15"/>
    </row>
    <row r="21599" spans="1:9" ht="16.5">
      <c r="A21599" s="10" t="b">
        <v>0</v>
      </c>
      <c r="B21599" s="11" t="str">
        <f>IF(D21599&lt;&gt;"",IF(COUNTIF('USPTO TMs'!A:A,D21599)&gt;0,"Yes","No"),"")</f>
        <v/>
      </c>
      <c r="C21599" s="11"/>
      <c r="D21599" s="11"/>
      <c r="E21599" s="11"/>
      <c r="F21599" s="11"/>
      <c r="G21599" s="11"/>
      <c r="H21599" s="11"/>
      <c r="I21599" s="15"/>
    </row>
    <row r="21600" spans="1:9" ht="16.5">
      <c r="A21600" s="10" t="b">
        <v>0</v>
      </c>
      <c r="B21600" s="11" t="str">
        <f>IF(D21600&lt;&gt;"",IF(COUNTIF('USPTO TMs'!A:A,D21600)&gt;0,"Yes","No"),"")</f>
        <v/>
      </c>
      <c r="C21600" s="11"/>
      <c r="D21600" s="11"/>
      <c r="E21600" s="11"/>
      <c r="F21600" s="11"/>
      <c r="G21600" s="11"/>
      <c r="H21600" s="11"/>
      <c r="I21600" s="15"/>
    </row>
    <row r="21601" spans="1:9" ht="16.5">
      <c r="A21601" s="10" t="b">
        <v>0</v>
      </c>
      <c r="B21601" s="11" t="str">
        <f>IF(D21601&lt;&gt;"",IF(COUNTIF('USPTO TMs'!A:A,D21601)&gt;0,"Yes","No"),"")</f>
        <v/>
      </c>
      <c r="C21601" s="11"/>
      <c r="D21601" s="11"/>
      <c r="E21601" s="11"/>
      <c r="F21601" s="11"/>
      <c r="G21601" s="11"/>
      <c r="H21601" s="11"/>
      <c r="I21601" s="15"/>
    </row>
    <row r="21602" spans="1:9" ht="16.5">
      <c r="A21602" s="10" t="b">
        <v>0</v>
      </c>
      <c r="B21602" s="11" t="str">
        <f>IF(D21602&lt;&gt;"",IF(COUNTIF('USPTO TMs'!A:A,D21602)&gt;0,"Yes","No"),"")</f>
        <v/>
      </c>
      <c r="C21602" s="11"/>
      <c r="D21602" s="11"/>
      <c r="E21602" s="11"/>
      <c r="F21602" s="11"/>
      <c r="G21602" s="11"/>
      <c r="H21602" s="11"/>
      <c r="I21602" s="15"/>
    </row>
    <row r="21603" spans="1:9" ht="16.5">
      <c r="A21603" s="10" t="b">
        <v>0</v>
      </c>
      <c r="B21603" s="11" t="str">
        <f>IF(D21603&lt;&gt;"",IF(COUNTIF('USPTO TMs'!A:A,D21603)&gt;0,"Yes","No"),"")</f>
        <v/>
      </c>
      <c r="C21603" s="11"/>
      <c r="D21603" s="11"/>
      <c r="E21603" s="11"/>
      <c r="F21603" s="11"/>
      <c r="G21603" s="11"/>
      <c r="H21603" s="11"/>
      <c r="I21603" s="15"/>
    </row>
    <row r="21604" spans="1:9" ht="16.5">
      <c r="A21604" s="10" t="b">
        <v>0</v>
      </c>
      <c r="B21604" s="11" t="str">
        <f>IF(D21604&lt;&gt;"",IF(COUNTIF('USPTO TMs'!A:A,D21604)&gt;0,"Yes","No"),"")</f>
        <v/>
      </c>
      <c r="C21604" s="11"/>
      <c r="D21604" s="11"/>
      <c r="E21604" s="11"/>
      <c r="F21604" s="11"/>
      <c r="G21604" s="11"/>
      <c r="H21604" s="11"/>
      <c r="I21604" s="15"/>
    </row>
    <row r="21605" spans="1:9" ht="16.5">
      <c r="A21605" s="10" t="b">
        <v>0</v>
      </c>
      <c r="B21605" s="11" t="str">
        <f>IF(D21605&lt;&gt;"",IF(COUNTIF('USPTO TMs'!A:A,D21605)&gt;0,"Yes","No"),"")</f>
        <v/>
      </c>
      <c r="C21605" s="11"/>
      <c r="D21605" s="11"/>
      <c r="E21605" s="11"/>
      <c r="F21605" s="11"/>
      <c r="G21605" s="11"/>
      <c r="H21605" s="11"/>
      <c r="I21605" s="15"/>
    </row>
    <row r="21606" spans="1:9" ht="16.5">
      <c r="A21606" s="10" t="b">
        <v>0</v>
      </c>
      <c r="B21606" s="11" t="str">
        <f>IF(D21606&lt;&gt;"",IF(COUNTIF('USPTO TMs'!A:A,D21606)&gt;0,"Yes","No"),"")</f>
        <v/>
      </c>
      <c r="C21606" s="11"/>
      <c r="D21606" s="11"/>
      <c r="E21606" s="11"/>
      <c r="F21606" s="11"/>
      <c r="G21606" s="11"/>
      <c r="H21606" s="11"/>
      <c r="I21606" s="15"/>
    </row>
    <row r="21607" spans="1:9" ht="16.5">
      <c r="A21607" s="10" t="b">
        <v>0</v>
      </c>
      <c r="B21607" s="11" t="str">
        <f>IF(D21607&lt;&gt;"",IF(COUNTIF('USPTO TMs'!A:A,D21607)&gt;0,"Yes","No"),"")</f>
        <v/>
      </c>
      <c r="C21607" s="11"/>
      <c r="D21607" s="11"/>
      <c r="E21607" s="11"/>
      <c r="F21607" s="11"/>
      <c r="G21607" s="11"/>
      <c r="H21607" s="11"/>
      <c r="I21607" s="15"/>
    </row>
    <row r="21608" spans="1:9" ht="16.5">
      <c r="A21608" s="10" t="b">
        <v>0</v>
      </c>
      <c r="B21608" s="11" t="str">
        <f>IF(D21608&lt;&gt;"",IF(COUNTIF('USPTO TMs'!A:A,D21608)&gt;0,"Yes","No"),"")</f>
        <v/>
      </c>
      <c r="C21608" s="11"/>
      <c r="D21608" s="11"/>
      <c r="E21608" s="11"/>
      <c r="F21608" s="11"/>
      <c r="G21608" s="11"/>
      <c r="H21608" s="11"/>
      <c r="I21608" s="15"/>
    </row>
    <row r="21609" spans="1:9" ht="16.5">
      <c r="A21609" s="10" t="b">
        <v>0</v>
      </c>
      <c r="B21609" s="11" t="str">
        <f>IF(D21609&lt;&gt;"",IF(COUNTIF('USPTO TMs'!A:A,D21609)&gt;0,"Yes","No"),"")</f>
        <v/>
      </c>
      <c r="C21609" s="11"/>
      <c r="D21609" s="11"/>
      <c r="E21609" s="11"/>
      <c r="F21609" s="11"/>
      <c r="G21609" s="11"/>
      <c r="H21609" s="11"/>
      <c r="I21609" s="15"/>
    </row>
    <row r="21610" spans="1:9" ht="16.5">
      <c r="A21610" s="10" t="b">
        <v>0</v>
      </c>
      <c r="B21610" s="11" t="str">
        <f>IF(D21610&lt;&gt;"",IF(COUNTIF('USPTO TMs'!A:A,D21610)&gt;0,"Yes","No"),"")</f>
        <v/>
      </c>
      <c r="C21610" s="11"/>
      <c r="D21610" s="11"/>
      <c r="E21610" s="11"/>
      <c r="F21610" s="11"/>
      <c r="G21610" s="11"/>
      <c r="H21610" s="11"/>
      <c r="I21610" s="15"/>
    </row>
    <row r="21611" spans="1:9" ht="16.5">
      <c r="A21611" s="10" t="b">
        <v>0</v>
      </c>
      <c r="B21611" s="11" t="str">
        <f>IF(D21611&lt;&gt;"",IF(COUNTIF('USPTO TMs'!A:A,D21611)&gt;0,"Yes","No"),"")</f>
        <v/>
      </c>
      <c r="C21611" s="11"/>
      <c r="D21611" s="11"/>
      <c r="E21611" s="11"/>
      <c r="F21611" s="11"/>
      <c r="G21611" s="11"/>
      <c r="H21611" s="11"/>
      <c r="I21611" s="15"/>
    </row>
    <row r="21612" spans="1:9" ht="16.5">
      <c r="A21612" s="10" t="b">
        <v>0</v>
      </c>
      <c r="B21612" s="11" t="str">
        <f>IF(D21612&lt;&gt;"",IF(COUNTIF('USPTO TMs'!A:A,D21612)&gt;0,"Yes","No"),"")</f>
        <v/>
      </c>
      <c r="C21612" s="11"/>
      <c r="D21612" s="11"/>
      <c r="E21612" s="11"/>
      <c r="F21612" s="11"/>
      <c r="G21612" s="11"/>
      <c r="H21612" s="11"/>
      <c r="I21612" s="15"/>
    </row>
    <row r="21613" spans="1:9" ht="16.5">
      <c r="A21613" s="10" t="b">
        <v>0</v>
      </c>
      <c r="B21613" s="11" t="str">
        <f>IF(D21613&lt;&gt;"",IF(COUNTIF('USPTO TMs'!A:A,D21613)&gt;0,"Yes","No"),"")</f>
        <v/>
      </c>
      <c r="C21613" s="11"/>
      <c r="D21613" s="11"/>
      <c r="E21613" s="11"/>
      <c r="F21613" s="11"/>
      <c r="G21613" s="11"/>
      <c r="H21613" s="11"/>
      <c r="I21613" s="15"/>
    </row>
    <row r="21614" spans="1:9" ht="16.5">
      <c r="A21614" s="10" t="b">
        <v>0</v>
      </c>
      <c r="B21614" s="11" t="str">
        <f>IF(D21614&lt;&gt;"",IF(COUNTIF('USPTO TMs'!A:A,D21614)&gt;0,"Yes","No"),"")</f>
        <v/>
      </c>
      <c r="C21614" s="11"/>
      <c r="D21614" s="11"/>
      <c r="E21614" s="11"/>
      <c r="F21614" s="11"/>
      <c r="G21614" s="11"/>
      <c r="H21614" s="11"/>
      <c r="I21614" s="15"/>
    </row>
    <row r="21615" spans="1:9" ht="16.5">
      <c r="A21615" s="10" t="b">
        <v>0</v>
      </c>
      <c r="B21615" s="11" t="str">
        <f>IF(D21615&lt;&gt;"",IF(COUNTIF('USPTO TMs'!A:A,D21615)&gt;0,"Yes","No"),"")</f>
        <v/>
      </c>
      <c r="C21615" s="11"/>
      <c r="D21615" s="11"/>
      <c r="E21615" s="11"/>
      <c r="F21615" s="11"/>
      <c r="G21615" s="11"/>
      <c r="H21615" s="11"/>
      <c r="I21615" s="15"/>
    </row>
    <row r="21616" spans="1:9" ht="16.5">
      <c r="A21616" s="10" t="b">
        <v>0</v>
      </c>
      <c r="B21616" s="11" t="str">
        <f>IF(D21616&lt;&gt;"",IF(COUNTIF('USPTO TMs'!A:A,D21616)&gt;0,"Yes","No"),"")</f>
        <v/>
      </c>
      <c r="C21616" s="11"/>
      <c r="D21616" s="11"/>
      <c r="E21616" s="11"/>
      <c r="F21616" s="11"/>
      <c r="G21616" s="11"/>
      <c r="H21616" s="11"/>
      <c r="I21616" s="15"/>
    </row>
    <row r="21617" spans="1:9" ht="16.5">
      <c r="A21617" s="10" t="b">
        <v>0</v>
      </c>
      <c r="B21617" s="11" t="str">
        <f>IF(D21617&lt;&gt;"",IF(COUNTIF('USPTO TMs'!A:A,D21617)&gt;0,"Yes","No"),"")</f>
        <v/>
      </c>
      <c r="C21617" s="11"/>
      <c r="D21617" s="11"/>
      <c r="E21617" s="11"/>
      <c r="F21617" s="11"/>
      <c r="G21617" s="11"/>
      <c r="H21617" s="11"/>
      <c r="I21617" s="15"/>
    </row>
    <row r="21618" spans="1:9" ht="16.5">
      <c r="A21618" s="10" t="b">
        <v>0</v>
      </c>
      <c r="B21618" s="11" t="str">
        <f>IF(D21618&lt;&gt;"",IF(COUNTIF('USPTO TMs'!A:A,D21618)&gt;0,"Yes","No"),"")</f>
        <v/>
      </c>
      <c r="C21618" s="11"/>
      <c r="D21618" s="11"/>
      <c r="E21618" s="11"/>
      <c r="F21618" s="11"/>
      <c r="G21618" s="11"/>
      <c r="H21618" s="11"/>
      <c r="I21618" s="15"/>
    </row>
    <row r="21619" spans="1:9" ht="16.5">
      <c r="A21619" s="10" t="b">
        <v>0</v>
      </c>
      <c r="B21619" s="11" t="str">
        <f>IF(D21619&lt;&gt;"",IF(COUNTIF('USPTO TMs'!A:A,D21619)&gt;0,"Yes","No"),"")</f>
        <v/>
      </c>
      <c r="C21619" s="11"/>
      <c r="D21619" s="11"/>
      <c r="E21619" s="11"/>
      <c r="F21619" s="11"/>
      <c r="G21619" s="11"/>
      <c r="H21619" s="11"/>
      <c r="I21619" s="15"/>
    </row>
    <row r="21620" spans="1:9" ht="16.5">
      <c r="A21620" s="10" t="b">
        <v>0</v>
      </c>
      <c r="B21620" s="11" t="str">
        <f>IF(D21620&lt;&gt;"",IF(COUNTIF('USPTO TMs'!A:A,D21620)&gt;0,"Yes","No"),"")</f>
        <v/>
      </c>
      <c r="C21620" s="11"/>
      <c r="D21620" s="11"/>
      <c r="E21620" s="11"/>
      <c r="F21620" s="11"/>
      <c r="G21620" s="11"/>
      <c r="H21620" s="11"/>
      <c r="I21620" s="15"/>
    </row>
    <row r="21621" spans="1:9" ht="16.5">
      <c r="A21621" s="10" t="b">
        <v>0</v>
      </c>
      <c r="B21621" s="11" t="str">
        <f>IF(D21621&lt;&gt;"",IF(COUNTIF('USPTO TMs'!A:A,D21621)&gt;0,"Yes","No"),"")</f>
        <v/>
      </c>
      <c r="C21621" s="11"/>
      <c r="D21621" s="11"/>
      <c r="E21621" s="11"/>
      <c r="F21621" s="11"/>
      <c r="G21621" s="11"/>
      <c r="H21621" s="11"/>
      <c r="I21621" s="15"/>
    </row>
    <row r="21622" spans="1:9" ht="16.5">
      <c r="A21622" s="10" t="b">
        <v>0</v>
      </c>
      <c r="B21622" s="11" t="str">
        <f>IF(D21622&lt;&gt;"",IF(COUNTIF('USPTO TMs'!A:A,D21622)&gt;0,"Yes","No"),"")</f>
        <v/>
      </c>
      <c r="C21622" s="11"/>
      <c r="D21622" s="11"/>
      <c r="E21622" s="11"/>
      <c r="F21622" s="11"/>
      <c r="G21622" s="11"/>
      <c r="H21622" s="11"/>
      <c r="I21622" s="15"/>
    </row>
    <row r="21623" spans="1:9" ht="16.5">
      <c r="A21623" s="10" t="b">
        <v>0</v>
      </c>
      <c r="B21623" s="11" t="str">
        <f>IF(D21623&lt;&gt;"",IF(COUNTIF('USPTO TMs'!A:A,D21623)&gt;0,"Yes","No"),"")</f>
        <v/>
      </c>
      <c r="C21623" s="11"/>
      <c r="D21623" s="11"/>
      <c r="E21623" s="11"/>
      <c r="F21623" s="11"/>
      <c r="G21623" s="11"/>
      <c r="H21623" s="11"/>
      <c r="I21623" s="15"/>
    </row>
    <row r="21624" spans="1:9" ht="16.5">
      <c r="A21624" s="10" t="b">
        <v>0</v>
      </c>
      <c r="B21624" s="11" t="str">
        <f>IF(D21624&lt;&gt;"",IF(COUNTIF('USPTO TMs'!A:A,D21624)&gt;0,"Yes","No"),"")</f>
        <v/>
      </c>
      <c r="C21624" s="11"/>
      <c r="D21624" s="11"/>
      <c r="E21624" s="11"/>
      <c r="F21624" s="11"/>
      <c r="G21624" s="11"/>
      <c r="H21624" s="11"/>
      <c r="I21624" s="15"/>
    </row>
    <row r="21625" spans="1:9" ht="16.5">
      <c r="A21625" s="10" t="b">
        <v>0</v>
      </c>
      <c r="B21625" s="11" t="str">
        <f>IF(D21625&lt;&gt;"",IF(COUNTIF('USPTO TMs'!A:A,D21625)&gt;0,"Yes","No"),"")</f>
        <v/>
      </c>
      <c r="C21625" s="11"/>
      <c r="D21625" s="11"/>
      <c r="E21625" s="11"/>
      <c r="F21625" s="11"/>
      <c r="G21625" s="11"/>
      <c r="H21625" s="11"/>
      <c r="I21625" s="15"/>
    </row>
    <row r="21626" spans="1:9" ht="16.5">
      <c r="A21626" s="10" t="b">
        <v>0</v>
      </c>
      <c r="B21626" s="11" t="str">
        <f>IF(D21626&lt;&gt;"",IF(COUNTIF('USPTO TMs'!A:A,D21626)&gt;0,"Yes","No"),"")</f>
        <v/>
      </c>
      <c r="C21626" s="11"/>
      <c r="D21626" s="11"/>
      <c r="E21626" s="11"/>
      <c r="F21626" s="11"/>
      <c r="G21626" s="11"/>
      <c r="H21626" s="11"/>
      <c r="I21626" s="15"/>
    </row>
    <row r="21627" spans="1:9" ht="16.5">
      <c r="A21627" s="10" t="b">
        <v>0</v>
      </c>
      <c r="B21627" s="11" t="str">
        <f>IF(D21627&lt;&gt;"",IF(COUNTIF('USPTO TMs'!A:A,D21627)&gt;0,"Yes","No"),"")</f>
        <v/>
      </c>
      <c r="C21627" s="11"/>
      <c r="D21627" s="11"/>
      <c r="E21627" s="11"/>
      <c r="F21627" s="11"/>
      <c r="G21627" s="11"/>
      <c r="H21627" s="11"/>
      <c r="I21627" s="15"/>
    </row>
    <row r="21628" spans="1:9" ht="16.5">
      <c r="A21628" s="10" t="b">
        <v>0</v>
      </c>
      <c r="B21628" s="11" t="str">
        <f>IF(D21628&lt;&gt;"",IF(COUNTIF('USPTO TMs'!A:A,D21628)&gt;0,"Yes","No"),"")</f>
        <v/>
      </c>
      <c r="C21628" s="11"/>
      <c r="D21628" s="11"/>
      <c r="E21628" s="11"/>
      <c r="F21628" s="11"/>
      <c r="G21628" s="11"/>
      <c r="H21628" s="11"/>
      <c r="I21628" s="15"/>
    </row>
    <row r="21629" spans="1:9" ht="16.5">
      <c r="A21629" s="10" t="b">
        <v>0</v>
      </c>
      <c r="B21629" s="11" t="str">
        <f>IF(D21629&lt;&gt;"",IF(COUNTIF('USPTO TMs'!A:A,D21629)&gt;0,"Yes","No"),"")</f>
        <v/>
      </c>
      <c r="C21629" s="11"/>
      <c r="D21629" s="11"/>
      <c r="E21629" s="11"/>
      <c r="F21629" s="11"/>
      <c r="G21629" s="11"/>
      <c r="H21629" s="11"/>
      <c r="I21629" s="15"/>
    </row>
    <row r="21630" spans="1:9" ht="16.5">
      <c r="A21630" s="10" t="b">
        <v>0</v>
      </c>
      <c r="B21630" s="11" t="str">
        <f>IF(D21630&lt;&gt;"",IF(COUNTIF('USPTO TMs'!A:A,D21630)&gt;0,"Yes","No"),"")</f>
        <v/>
      </c>
      <c r="C21630" s="11"/>
      <c r="D21630" s="11"/>
      <c r="E21630" s="11"/>
      <c r="F21630" s="11"/>
      <c r="G21630" s="11"/>
      <c r="H21630" s="11"/>
      <c r="I21630" s="15"/>
    </row>
    <row r="21631" spans="1:9" ht="16.5">
      <c r="A21631" s="10" t="b">
        <v>0</v>
      </c>
      <c r="B21631" s="11" t="str">
        <f>IF(D21631&lt;&gt;"",IF(COUNTIF('USPTO TMs'!A:A,D21631)&gt;0,"Yes","No"),"")</f>
        <v/>
      </c>
      <c r="C21631" s="11"/>
      <c r="D21631" s="11"/>
      <c r="E21631" s="11"/>
      <c r="F21631" s="11"/>
      <c r="G21631" s="11"/>
      <c r="H21631" s="11"/>
      <c r="I21631" s="15"/>
    </row>
    <row r="21632" spans="1:9" ht="16.5">
      <c r="A21632" s="10" t="b">
        <v>0</v>
      </c>
      <c r="B21632" s="11" t="str">
        <f>IF(D21632&lt;&gt;"",IF(COUNTIF('USPTO TMs'!A:A,D21632)&gt;0,"Yes","No"),"")</f>
        <v/>
      </c>
      <c r="C21632" s="11"/>
      <c r="D21632" s="11"/>
      <c r="E21632" s="11"/>
      <c r="F21632" s="11"/>
      <c r="G21632" s="11"/>
      <c r="H21632" s="11"/>
      <c r="I21632" s="15"/>
    </row>
    <row r="21633" spans="1:9" ht="16.5">
      <c r="A21633" s="10" t="b">
        <v>0</v>
      </c>
      <c r="B21633" s="11" t="str">
        <f>IF(D21633&lt;&gt;"",IF(COUNTIF('USPTO TMs'!A:A,D21633)&gt;0,"Yes","No"),"")</f>
        <v/>
      </c>
      <c r="C21633" s="11"/>
      <c r="D21633" s="11"/>
      <c r="E21633" s="11"/>
      <c r="F21633" s="11"/>
      <c r="G21633" s="11"/>
      <c r="H21633" s="11"/>
      <c r="I21633" s="15"/>
    </row>
    <row r="21634" spans="1:9" ht="16.5">
      <c r="A21634" s="10" t="b">
        <v>0</v>
      </c>
      <c r="B21634" s="11" t="str">
        <f>IF(D21634&lt;&gt;"",IF(COUNTIF('USPTO TMs'!A:A,D21634)&gt;0,"Yes","No"),"")</f>
        <v/>
      </c>
      <c r="C21634" s="11"/>
      <c r="D21634" s="11"/>
      <c r="E21634" s="11"/>
      <c r="F21634" s="11"/>
      <c r="G21634" s="11"/>
      <c r="H21634" s="11"/>
      <c r="I21634" s="15"/>
    </row>
    <row r="21635" spans="1:9" ht="16.5">
      <c r="A21635" s="10" t="b">
        <v>0</v>
      </c>
      <c r="B21635" s="11" t="str">
        <f>IF(D21635&lt;&gt;"",IF(COUNTIF('USPTO TMs'!A:A,D21635)&gt;0,"Yes","No"),"")</f>
        <v/>
      </c>
      <c r="C21635" s="11"/>
      <c r="D21635" s="11"/>
      <c r="E21635" s="11"/>
      <c r="F21635" s="11"/>
      <c r="G21635" s="11"/>
      <c r="H21635" s="11"/>
      <c r="I21635" s="15"/>
    </row>
    <row r="21636" spans="1:9" ht="16.5">
      <c r="A21636" s="10" t="b">
        <v>0</v>
      </c>
      <c r="B21636" s="11" t="str">
        <f>IF(D21636&lt;&gt;"",IF(COUNTIF('USPTO TMs'!A:A,D21636)&gt;0,"Yes","No"),"")</f>
        <v/>
      </c>
      <c r="C21636" s="11"/>
      <c r="D21636" s="11"/>
      <c r="E21636" s="11"/>
      <c r="F21636" s="11"/>
      <c r="G21636" s="11"/>
      <c r="H21636" s="11"/>
      <c r="I21636" s="15"/>
    </row>
    <row r="21637" spans="1:9" ht="16.5">
      <c r="A21637" s="10" t="b">
        <v>0</v>
      </c>
      <c r="B21637" s="11" t="str">
        <f>IF(D21637&lt;&gt;"",IF(COUNTIF('USPTO TMs'!A:A,D21637)&gt;0,"Yes","No"),"")</f>
        <v/>
      </c>
      <c r="C21637" s="11"/>
      <c r="D21637" s="11"/>
      <c r="E21637" s="11"/>
      <c r="F21637" s="11"/>
      <c r="G21637" s="11"/>
      <c r="H21637" s="11"/>
      <c r="I21637" s="15"/>
    </row>
    <row r="21638" spans="1:9" ht="16.5">
      <c r="A21638" s="10" t="b">
        <v>0</v>
      </c>
      <c r="B21638" s="11" t="str">
        <f>IF(D21638&lt;&gt;"",IF(COUNTIF('USPTO TMs'!A:A,D21638)&gt;0,"Yes","No"),"")</f>
        <v/>
      </c>
      <c r="C21638" s="11"/>
      <c r="D21638" s="11"/>
      <c r="E21638" s="11"/>
      <c r="F21638" s="11"/>
      <c r="G21638" s="11"/>
      <c r="H21638" s="11"/>
      <c r="I21638" s="15"/>
    </row>
    <row r="21639" spans="1:9" ht="16.5">
      <c r="A21639" s="10" t="b">
        <v>0</v>
      </c>
      <c r="B21639" s="11" t="str">
        <f>IF(D21639&lt;&gt;"",IF(COUNTIF('USPTO TMs'!A:A,D21639)&gt;0,"Yes","No"),"")</f>
        <v/>
      </c>
      <c r="C21639" s="11"/>
      <c r="D21639" s="11"/>
      <c r="E21639" s="11"/>
      <c r="F21639" s="11"/>
      <c r="G21639" s="11"/>
      <c r="H21639" s="11"/>
      <c r="I21639" s="15"/>
    </row>
    <row r="21640" spans="1:9" ht="16.5">
      <c r="A21640" s="10" t="b">
        <v>0</v>
      </c>
      <c r="B21640" s="11" t="str">
        <f>IF(D21640&lt;&gt;"",IF(COUNTIF('USPTO TMs'!A:A,D21640)&gt;0,"Yes","No"),"")</f>
        <v/>
      </c>
      <c r="C21640" s="11"/>
      <c r="D21640" s="11"/>
      <c r="E21640" s="11"/>
      <c r="F21640" s="11"/>
      <c r="G21640" s="11"/>
      <c r="H21640" s="11"/>
      <c r="I21640" s="15"/>
    </row>
    <row r="21641" spans="1:9" ht="16.5">
      <c r="A21641" s="10" t="b">
        <v>0</v>
      </c>
      <c r="B21641" s="11" t="str">
        <f>IF(D21641&lt;&gt;"",IF(COUNTIF('USPTO TMs'!A:A,D21641)&gt;0,"Yes","No"),"")</f>
        <v/>
      </c>
      <c r="C21641" s="11"/>
      <c r="D21641" s="11"/>
      <c r="E21641" s="11"/>
      <c r="F21641" s="11"/>
      <c r="G21641" s="11"/>
      <c r="H21641" s="11"/>
      <c r="I21641" s="15"/>
    </row>
    <row r="21642" spans="1:9" ht="16.5">
      <c r="A21642" s="10" t="b">
        <v>0</v>
      </c>
      <c r="B21642" s="11" t="str">
        <f>IF(D21642&lt;&gt;"",IF(COUNTIF('USPTO TMs'!A:A,D21642)&gt;0,"Yes","No"),"")</f>
        <v/>
      </c>
      <c r="C21642" s="11"/>
      <c r="D21642" s="11"/>
      <c r="E21642" s="11"/>
      <c r="F21642" s="11"/>
      <c r="G21642" s="11"/>
      <c r="H21642" s="11"/>
      <c r="I21642" s="15"/>
    </row>
    <row r="21643" spans="1:9" ht="16.5">
      <c r="A21643" s="10" t="b">
        <v>0</v>
      </c>
      <c r="B21643" s="11" t="str">
        <f>IF(D21643&lt;&gt;"",IF(COUNTIF('USPTO TMs'!A:A,D21643)&gt;0,"Yes","No"),"")</f>
        <v/>
      </c>
      <c r="C21643" s="11"/>
      <c r="D21643" s="11"/>
      <c r="E21643" s="11"/>
      <c r="F21643" s="11"/>
      <c r="G21643" s="11"/>
      <c r="H21643" s="11"/>
      <c r="I21643" s="15"/>
    </row>
    <row r="21644" spans="1:9" ht="16.5">
      <c r="A21644" s="10" t="b">
        <v>0</v>
      </c>
      <c r="B21644" s="11" t="str">
        <f>IF(D21644&lt;&gt;"",IF(COUNTIF('USPTO TMs'!A:A,D21644)&gt;0,"Yes","No"),"")</f>
        <v/>
      </c>
      <c r="C21644" s="11"/>
      <c r="D21644" s="11"/>
      <c r="E21644" s="11"/>
      <c r="F21644" s="11"/>
      <c r="G21644" s="11"/>
      <c r="H21644" s="11"/>
      <c r="I21644" s="15"/>
    </row>
    <row r="21645" spans="1:9" ht="16.5">
      <c r="A21645" s="10" t="b">
        <v>0</v>
      </c>
      <c r="B21645" s="11" t="str">
        <f>IF(D21645&lt;&gt;"",IF(COUNTIF('USPTO TMs'!A:A,D21645)&gt;0,"Yes","No"),"")</f>
        <v/>
      </c>
      <c r="C21645" s="11"/>
      <c r="D21645" s="11"/>
      <c r="E21645" s="11"/>
      <c r="F21645" s="11"/>
      <c r="G21645" s="11"/>
      <c r="H21645" s="11"/>
      <c r="I21645" s="15"/>
    </row>
    <row r="21646" spans="1:9" ht="16.5">
      <c r="A21646" s="10" t="b">
        <v>0</v>
      </c>
      <c r="B21646" s="11" t="str">
        <f>IF(D21646&lt;&gt;"",IF(COUNTIF('USPTO TMs'!A:A,D21646)&gt;0,"Yes","No"),"")</f>
        <v/>
      </c>
      <c r="C21646" s="11"/>
      <c r="D21646" s="11"/>
      <c r="E21646" s="11"/>
      <c r="F21646" s="11"/>
      <c r="G21646" s="11"/>
      <c r="H21646" s="11"/>
      <c r="I21646" s="15"/>
    </row>
    <row r="21647" spans="1:9" ht="16.5">
      <c r="A21647" s="10" t="b">
        <v>0</v>
      </c>
      <c r="B21647" s="11" t="str">
        <f>IF(D21647&lt;&gt;"",IF(COUNTIF('USPTO TMs'!A:A,D21647)&gt;0,"Yes","No"),"")</f>
        <v/>
      </c>
      <c r="C21647" s="11"/>
      <c r="D21647" s="11"/>
      <c r="E21647" s="11"/>
      <c r="F21647" s="11"/>
      <c r="G21647" s="11"/>
      <c r="H21647" s="11"/>
      <c r="I21647" s="15"/>
    </row>
    <row r="21648" spans="1:9" ht="16.5">
      <c r="A21648" s="10" t="b">
        <v>0</v>
      </c>
      <c r="B21648" s="11" t="str">
        <f>IF(D21648&lt;&gt;"",IF(COUNTIF('USPTO TMs'!A:A,D21648)&gt;0,"Yes","No"),"")</f>
        <v/>
      </c>
      <c r="C21648" s="11"/>
      <c r="D21648" s="11"/>
      <c r="E21648" s="11"/>
      <c r="F21648" s="11"/>
      <c r="G21648" s="11"/>
      <c r="H21648" s="11"/>
      <c r="I21648" s="15"/>
    </row>
    <row r="21649" spans="1:9" ht="16.5">
      <c r="A21649" s="10" t="b">
        <v>0</v>
      </c>
      <c r="B21649" s="11" t="str">
        <f>IF(D21649&lt;&gt;"",IF(COUNTIF('USPTO TMs'!A:A,D21649)&gt;0,"Yes","No"),"")</f>
        <v/>
      </c>
      <c r="C21649" s="11"/>
      <c r="D21649" s="11"/>
      <c r="E21649" s="11"/>
      <c r="F21649" s="11"/>
      <c r="G21649" s="11"/>
      <c r="H21649" s="11"/>
      <c r="I21649" s="15"/>
    </row>
    <row r="21650" spans="1:9" ht="16.5">
      <c r="A21650" s="10" t="b">
        <v>0</v>
      </c>
      <c r="B21650" s="11" t="str">
        <f>IF(D21650&lt;&gt;"",IF(COUNTIF('USPTO TMs'!A:A,D21650)&gt;0,"Yes","No"),"")</f>
        <v/>
      </c>
      <c r="C21650" s="11"/>
      <c r="D21650" s="11"/>
      <c r="E21650" s="11"/>
      <c r="F21650" s="11"/>
      <c r="G21650" s="11"/>
      <c r="H21650" s="11"/>
      <c r="I21650" s="15"/>
    </row>
    <row r="21651" spans="1:9" ht="16.5">
      <c r="A21651" s="10" t="b">
        <v>0</v>
      </c>
      <c r="B21651" s="11" t="str">
        <f>IF(D21651&lt;&gt;"",IF(COUNTIF('USPTO TMs'!A:A,D21651)&gt;0,"Yes","No"),"")</f>
        <v/>
      </c>
      <c r="C21651" s="11"/>
      <c r="D21651" s="11"/>
      <c r="E21651" s="11"/>
      <c r="F21651" s="11"/>
      <c r="G21651" s="11"/>
      <c r="H21651" s="11"/>
      <c r="I21651" s="15"/>
    </row>
    <row r="21652" spans="1:9" ht="16.5">
      <c r="A21652" s="10" t="b">
        <v>0</v>
      </c>
      <c r="B21652" s="11" t="str">
        <f>IF(D21652&lt;&gt;"",IF(COUNTIF('USPTO TMs'!A:A,D21652)&gt;0,"Yes","No"),"")</f>
        <v/>
      </c>
      <c r="C21652" s="11"/>
      <c r="D21652" s="11"/>
      <c r="E21652" s="11"/>
      <c r="F21652" s="11"/>
      <c r="G21652" s="11"/>
      <c r="H21652" s="11"/>
      <c r="I21652" s="15"/>
    </row>
    <row r="21653" spans="1:9" ht="16.5">
      <c r="A21653" s="10" t="b">
        <v>0</v>
      </c>
      <c r="B21653" s="11" t="str">
        <f>IF(D21653&lt;&gt;"",IF(COUNTIF('USPTO TMs'!A:A,D21653)&gt;0,"Yes","No"),"")</f>
        <v/>
      </c>
      <c r="C21653" s="11"/>
      <c r="D21653" s="11"/>
      <c r="E21653" s="11"/>
      <c r="F21653" s="11"/>
      <c r="G21653" s="11"/>
      <c r="H21653" s="11"/>
      <c r="I21653" s="15"/>
    </row>
    <row r="21654" spans="1:9" ht="16.5">
      <c r="A21654" s="10" t="b">
        <v>0</v>
      </c>
      <c r="B21654" s="11" t="str">
        <f>IF(D21654&lt;&gt;"",IF(COUNTIF('USPTO TMs'!A:A,D21654)&gt;0,"Yes","No"),"")</f>
        <v/>
      </c>
      <c r="C21654" s="11"/>
      <c r="D21654" s="11"/>
      <c r="E21654" s="11"/>
      <c r="F21654" s="11"/>
      <c r="G21654" s="11"/>
      <c r="H21654" s="11"/>
      <c r="I21654" s="15"/>
    </row>
    <row r="21655" spans="1:9" ht="16.5">
      <c r="A21655" s="10" t="b">
        <v>0</v>
      </c>
      <c r="B21655" s="11" t="str">
        <f>IF(D21655&lt;&gt;"",IF(COUNTIF('USPTO TMs'!A:A,D21655)&gt;0,"Yes","No"),"")</f>
        <v/>
      </c>
      <c r="C21655" s="11"/>
      <c r="D21655" s="11"/>
      <c r="E21655" s="11"/>
      <c r="F21655" s="11"/>
      <c r="G21655" s="11"/>
      <c r="H21655" s="11"/>
      <c r="I21655" s="15"/>
    </row>
    <row r="21656" spans="1:9" ht="16.5">
      <c r="A21656" s="10" t="b">
        <v>0</v>
      </c>
      <c r="B21656" s="11" t="str">
        <f>IF(D21656&lt;&gt;"",IF(COUNTIF('USPTO TMs'!A:A,D21656)&gt;0,"Yes","No"),"")</f>
        <v/>
      </c>
      <c r="C21656" s="11"/>
      <c r="D21656" s="11"/>
      <c r="E21656" s="11"/>
      <c r="F21656" s="11"/>
      <c r="G21656" s="11"/>
      <c r="H21656" s="11"/>
      <c r="I21656" s="15"/>
    </row>
    <row r="21657" spans="1:9" ht="16.5">
      <c r="A21657" s="10" t="b">
        <v>0</v>
      </c>
      <c r="B21657" s="11" t="str">
        <f>IF(D21657&lt;&gt;"",IF(COUNTIF('USPTO TMs'!A:A,D21657)&gt;0,"Yes","No"),"")</f>
        <v/>
      </c>
      <c r="C21657" s="11"/>
      <c r="D21657" s="11"/>
      <c r="E21657" s="11"/>
      <c r="F21657" s="11"/>
      <c r="G21657" s="11"/>
      <c r="H21657" s="11"/>
      <c r="I21657" s="15"/>
    </row>
    <row r="21658" spans="1:9" ht="16.5">
      <c r="A21658" s="10" t="b">
        <v>0</v>
      </c>
      <c r="B21658" s="11" t="str">
        <f>IF(D21658&lt;&gt;"",IF(COUNTIF('USPTO TMs'!A:A,D21658)&gt;0,"Yes","No"),"")</f>
        <v/>
      </c>
      <c r="C21658" s="11"/>
      <c r="D21658" s="11"/>
      <c r="E21658" s="11"/>
      <c r="F21658" s="11"/>
      <c r="G21658" s="11"/>
      <c r="H21658" s="11"/>
      <c r="I21658" s="15"/>
    </row>
    <row r="21659" spans="1:9" ht="16.5">
      <c r="A21659" s="10" t="b">
        <v>0</v>
      </c>
      <c r="B21659" s="11" t="str">
        <f>IF(D21659&lt;&gt;"",IF(COUNTIF('USPTO TMs'!A:A,D21659)&gt;0,"Yes","No"),"")</f>
        <v/>
      </c>
      <c r="C21659" s="11"/>
      <c r="D21659" s="11"/>
      <c r="E21659" s="11"/>
      <c r="F21659" s="11"/>
      <c r="G21659" s="11"/>
      <c r="H21659" s="11"/>
      <c r="I21659" s="15"/>
    </row>
    <row r="21660" spans="1:9" ht="16.5">
      <c r="A21660" s="10" t="b">
        <v>0</v>
      </c>
      <c r="B21660" s="11" t="str">
        <f>IF(D21660&lt;&gt;"",IF(COUNTIF('USPTO TMs'!A:A,D21660)&gt;0,"Yes","No"),"")</f>
        <v/>
      </c>
      <c r="C21660" s="11"/>
      <c r="D21660" s="11"/>
      <c r="E21660" s="11"/>
      <c r="F21660" s="11"/>
      <c r="G21660" s="11"/>
      <c r="H21660" s="11"/>
      <c r="I21660" s="15"/>
    </row>
    <row r="21661" spans="1:9" ht="16.5">
      <c r="A21661" s="10" t="b">
        <v>0</v>
      </c>
      <c r="B21661" s="11" t="str">
        <f>IF(D21661&lt;&gt;"",IF(COUNTIF('USPTO TMs'!A:A,D21661)&gt;0,"Yes","No"),"")</f>
        <v/>
      </c>
      <c r="C21661" s="11"/>
      <c r="D21661" s="11"/>
      <c r="E21661" s="11"/>
      <c r="F21661" s="11"/>
      <c r="G21661" s="11"/>
      <c r="H21661" s="11"/>
      <c r="I21661" s="15"/>
    </row>
    <row r="21662" spans="1:9" ht="16.5">
      <c r="A21662" s="10" t="b">
        <v>0</v>
      </c>
      <c r="B21662" s="11" t="str">
        <f>IF(D21662&lt;&gt;"",IF(COUNTIF('USPTO TMs'!A:A,D21662)&gt;0,"Yes","No"),"")</f>
        <v/>
      </c>
      <c r="C21662" s="11"/>
      <c r="D21662" s="11"/>
      <c r="E21662" s="11"/>
      <c r="F21662" s="11"/>
      <c r="G21662" s="11"/>
      <c r="H21662" s="11"/>
      <c r="I21662" s="15"/>
    </row>
    <row r="21663" spans="1:9" ht="16.5">
      <c r="A21663" s="10" t="b">
        <v>0</v>
      </c>
      <c r="B21663" s="11" t="str">
        <f>IF(D21663&lt;&gt;"",IF(COUNTIF('USPTO TMs'!A:A,D21663)&gt;0,"Yes","No"),"")</f>
        <v/>
      </c>
      <c r="C21663" s="11"/>
      <c r="D21663" s="11"/>
      <c r="E21663" s="11"/>
      <c r="F21663" s="11"/>
      <c r="G21663" s="11"/>
      <c r="H21663" s="11"/>
      <c r="I21663" s="15"/>
    </row>
    <row r="21664" spans="1:9" ht="16.5">
      <c r="A21664" s="10" t="b">
        <v>0</v>
      </c>
      <c r="B21664" s="11" t="str">
        <f>IF(D21664&lt;&gt;"",IF(COUNTIF('USPTO TMs'!A:A,D21664)&gt;0,"Yes","No"),"")</f>
        <v/>
      </c>
      <c r="C21664" s="11"/>
      <c r="D21664" s="11"/>
      <c r="E21664" s="11"/>
      <c r="F21664" s="11"/>
      <c r="G21664" s="11"/>
      <c r="H21664" s="11"/>
      <c r="I21664" s="15"/>
    </row>
    <row r="21665" spans="1:9" ht="16.5">
      <c r="A21665" s="10" t="b">
        <v>0</v>
      </c>
      <c r="B21665" s="11" t="str">
        <f>IF(D21665&lt;&gt;"",IF(COUNTIF('USPTO TMs'!A:A,D21665)&gt;0,"Yes","No"),"")</f>
        <v/>
      </c>
      <c r="C21665" s="11"/>
      <c r="D21665" s="11"/>
      <c r="E21665" s="11"/>
      <c r="F21665" s="11"/>
      <c r="G21665" s="11"/>
      <c r="H21665" s="11"/>
      <c r="I21665" s="15"/>
    </row>
    <row r="21666" spans="1:9" ht="16.5">
      <c r="A21666" s="10" t="b">
        <v>0</v>
      </c>
      <c r="B21666" s="11" t="str">
        <f>IF(D21666&lt;&gt;"",IF(COUNTIF('USPTO TMs'!A:A,D21666)&gt;0,"Yes","No"),"")</f>
        <v/>
      </c>
      <c r="C21666" s="11"/>
      <c r="D21666" s="11"/>
      <c r="E21666" s="11"/>
      <c r="F21666" s="11"/>
      <c r="G21666" s="11"/>
      <c r="H21666" s="11"/>
      <c r="I21666" s="15"/>
    </row>
    <row r="21667" spans="1:9" ht="16.5">
      <c r="A21667" s="10" t="b">
        <v>0</v>
      </c>
      <c r="B21667" s="11" t="str">
        <f>IF(D21667&lt;&gt;"",IF(COUNTIF('USPTO TMs'!A:A,D21667)&gt;0,"Yes","No"),"")</f>
        <v/>
      </c>
      <c r="C21667" s="11"/>
      <c r="D21667" s="11"/>
      <c r="E21667" s="11"/>
      <c r="F21667" s="11"/>
      <c r="G21667" s="11"/>
      <c r="H21667" s="11"/>
      <c r="I21667" s="15"/>
    </row>
    <row r="21668" spans="1:9" ht="16.5">
      <c r="A21668" s="10" t="b">
        <v>0</v>
      </c>
      <c r="B21668" s="11" t="str">
        <f>IF(D21668&lt;&gt;"",IF(COUNTIF('USPTO TMs'!A:A,D21668)&gt;0,"Yes","No"),"")</f>
        <v/>
      </c>
      <c r="C21668" s="11"/>
      <c r="D21668" s="11"/>
      <c r="E21668" s="11"/>
      <c r="F21668" s="11"/>
      <c r="G21668" s="11"/>
      <c r="H21668" s="11"/>
      <c r="I21668" s="15"/>
    </row>
    <row r="21669" spans="1:9" ht="16.5">
      <c r="A21669" s="10" t="b">
        <v>0</v>
      </c>
      <c r="B21669" s="11" t="str">
        <f>IF(D21669&lt;&gt;"",IF(COUNTIF('USPTO TMs'!A:A,D21669)&gt;0,"Yes","No"),"")</f>
        <v/>
      </c>
      <c r="C21669" s="11"/>
      <c r="D21669" s="11"/>
      <c r="E21669" s="11"/>
      <c r="F21669" s="11"/>
      <c r="G21669" s="11"/>
      <c r="H21669" s="11"/>
      <c r="I21669" s="15"/>
    </row>
    <row r="21670" spans="1:9" ht="16.5">
      <c r="A21670" s="10" t="b">
        <v>0</v>
      </c>
      <c r="B21670" s="11" t="str">
        <f>IF(D21670&lt;&gt;"",IF(COUNTIF('USPTO TMs'!A:A,D21670)&gt;0,"Yes","No"),"")</f>
        <v/>
      </c>
      <c r="C21670" s="11"/>
      <c r="D21670" s="11"/>
      <c r="E21670" s="11"/>
      <c r="F21670" s="11"/>
      <c r="G21670" s="11"/>
      <c r="H21670" s="11"/>
      <c r="I21670" s="15"/>
    </row>
    <row r="21671" spans="1:9" ht="16.5">
      <c r="A21671" s="10" t="b">
        <v>0</v>
      </c>
      <c r="B21671" s="11" t="str">
        <f>IF(D21671&lt;&gt;"",IF(COUNTIF('USPTO TMs'!A:A,D21671)&gt;0,"Yes","No"),"")</f>
        <v/>
      </c>
      <c r="C21671" s="11"/>
      <c r="D21671" s="11"/>
      <c r="E21671" s="11"/>
      <c r="F21671" s="11"/>
      <c r="G21671" s="11"/>
      <c r="H21671" s="11"/>
      <c r="I21671" s="15"/>
    </row>
    <row r="21672" spans="1:9" ht="16.5">
      <c r="A21672" s="10" t="b">
        <v>0</v>
      </c>
      <c r="B21672" s="11" t="str">
        <f>IF(D21672&lt;&gt;"",IF(COUNTIF('USPTO TMs'!A:A,D21672)&gt;0,"Yes","No"),"")</f>
        <v/>
      </c>
      <c r="C21672" s="11"/>
      <c r="D21672" s="11"/>
      <c r="E21672" s="11"/>
      <c r="F21672" s="11"/>
      <c r="G21672" s="11"/>
      <c r="H21672" s="11"/>
      <c r="I21672" s="15"/>
    </row>
    <row r="21673" spans="1:9" ht="16.5">
      <c r="A21673" s="10" t="b">
        <v>0</v>
      </c>
      <c r="B21673" s="11" t="str">
        <f>IF(D21673&lt;&gt;"",IF(COUNTIF('USPTO TMs'!A:A,D21673)&gt;0,"Yes","No"),"")</f>
        <v/>
      </c>
      <c r="C21673" s="11"/>
      <c r="D21673" s="11"/>
      <c r="E21673" s="11"/>
      <c r="F21673" s="11"/>
      <c r="G21673" s="11"/>
      <c r="H21673" s="11"/>
      <c r="I21673" s="15"/>
    </row>
    <row r="21674" spans="1:9" ht="16.5">
      <c r="A21674" s="10" t="b">
        <v>0</v>
      </c>
      <c r="B21674" s="11" t="str">
        <f>IF(D21674&lt;&gt;"",IF(COUNTIF('USPTO TMs'!A:A,D21674)&gt;0,"Yes","No"),"")</f>
        <v/>
      </c>
      <c r="C21674" s="11"/>
      <c r="D21674" s="11"/>
      <c r="E21674" s="11"/>
      <c r="F21674" s="11"/>
      <c r="G21674" s="11"/>
      <c r="H21674" s="11"/>
      <c r="I21674" s="15"/>
    </row>
    <row r="21675" spans="1:9" ht="16.5">
      <c r="A21675" s="10" t="b">
        <v>0</v>
      </c>
      <c r="B21675" s="11" t="str">
        <f>IF(D21675&lt;&gt;"",IF(COUNTIF('USPTO TMs'!A:A,D21675)&gt;0,"Yes","No"),"")</f>
        <v/>
      </c>
      <c r="C21675" s="11"/>
      <c r="D21675" s="11"/>
      <c r="E21675" s="11"/>
      <c r="F21675" s="11"/>
      <c r="G21675" s="11"/>
      <c r="H21675" s="11"/>
      <c r="I21675" s="15"/>
    </row>
    <row r="21676" spans="1:9" ht="16.5">
      <c r="A21676" s="10" t="b">
        <v>0</v>
      </c>
      <c r="B21676" s="11" t="str">
        <f>IF(D21676&lt;&gt;"",IF(COUNTIF('USPTO TMs'!A:A,D21676)&gt;0,"Yes","No"),"")</f>
        <v/>
      </c>
      <c r="C21676" s="11"/>
      <c r="D21676" s="11"/>
      <c r="E21676" s="11"/>
      <c r="F21676" s="11"/>
      <c r="G21676" s="11"/>
      <c r="H21676" s="11"/>
      <c r="I21676" s="15"/>
    </row>
    <row r="21677" spans="1:9" ht="16.5">
      <c r="A21677" s="10" t="b">
        <v>0</v>
      </c>
      <c r="B21677" s="11" t="str">
        <f>IF(D21677&lt;&gt;"",IF(COUNTIF('USPTO TMs'!A:A,D21677)&gt;0,"Yes","No"),"")</f>
        <v/>
      </c>
      <c r="C21677" s="11"/>
      <c r="D21677" s="11"/>
      <c r="E21677" s="11"/>
      <c r="F21677" s="11"/>
      <c r="G21677" s="11"/>
      <c r="H21677" s="11"/>
      <c r="I21677" s="15"/>
    </row>
    <row r="21678" spans="1:9" ht="16.5">
      <c r="A21678" s="10" t="b">
        <v>0</v>
      </c>
      <c r="B21678" s="11" t="str">
        <f>IF(D21678&lt;&gt;"",IF(COUNTIF('USPTO TMs'!A:A,D21678)&gt;0,"Yes","No"),"")</f>
        <v/>
      </c>
      <c r="C21678" s="11"/>
      <c r="D21678" s="11"/>
      <c r="E21678" s="11"/>
      <c r="F21678" s="11"/>
      <c r="G21678" s="11"/>
      <c r="H21678" s="11"/>
      <c r="I21678" s="15"/>
    </row>
    <row r="21679" spans="1:9" ht="16.5">
      <c r="A21679" s="10" t="b">
        <v>0</v>
      </c>
      <c r="B21679" s="11" t="str">
        <f>IF(D21679&lt;&gt;"",IF(COUNTIF('USPTO TMs'!A:A,D21679)&gt;0,"Yes","No"),"")</f>
        <v/>
      </c>
      <c r="C21679" s="11"/>
      <c r="D21679" s="11"/>
      <c r="E21679" s="11"/>
      <c r="F21679" s="11"/>
      <c r="G21679" s="11"/>
      <c r="H21679" s="11"/>
      <c r="I21679" s="15"/>
    </row>
    <row r="21680" spans="1:9" ht="16.5">
      <c r="A21680" s="10" t="b">
        <v>0</v>
      </c>
      <c r="B21680" s="11" t="str">
        <f>IF(D21680&lt;&gt;"",IF(COUNTIF('USPTO TMs'!A:A,D21680)&gt;0,"Yes","No"),"")</f>
        <v/>
      </c>
      <c r="C21680" s="11"/>
      <c r="D21680" s="11"/>
      <c r="E21680" s="11"/>
      <c r="F21680" s="11"/>
      <c r="G21680" s="11"/>
      <c r="H21680" s="11"/>
      <c r="I21680" s="15"/>
    </row>
    <row r="21681" spans="1:9" ht="16.5">
      <c r="A21681" s="10" t="b">
        <v>0</v>
      </c>
      <c r="B21681" s="11" t="str">
        <f>IF(D21681&lt;&gt;"",IF(COUNTIF('USPTO TMs'!A:A,D21681)&gt;0,"Yes","No"),"")</f>
        <v/>
      </c>
      <c r="C21681" s="11"/>
      <c r="D21681" s="11"/>
      <c r="E21681" s="11"/>
      <c r="F21681" s="11"/>
      <c r="G21681" s="11"/>
      <c r="H21681" s="11"/>
      <c r="I21681" s="15"/>
    </row>
    <row r="21682" spans="1:9" ht="16.5">
      <c r="A21682" s="10" t="b">
        <v>0</v>
      </c>
      <c r="B21682" s="11" t="str">
        <f>IF(D21682&lt;&gt;"",IF(COUNTIF('USPTO TMs'!A:A,D21682)&gt;0,"Yes","No"),"")</f>
        <v/>
      </c>
      <c r="C21682" s="11"/>
      <c r="D21682" s="11"/>
      <c r="E21682" s="11"/>
      <c r="F21682" s="11"/>
      <c r="G21682" s="11"/>
      <c r="H21682" s="11"/>
      <c r="I21682" s="15"/>
    </row>
    <row r="21683" spans="1:9" ht="16.5">
      <c r="A21683" s="10" t="b">
        <v>0</v>
      </c>
      <c r="B21683" s="11" t="str">
        <f>IF(D21683&lt;&gt;"",IF(COUNTIF('USPTO TMs'!A:A,D21683)&gt;0,"Yes","No"),"")</f>
        <v/>
      </c>
      <c r="C21683" s="11"/>
      <c r="D21683" s="11"/>
      <c r="E21683" s="11"/>
      <c r="F21683" s="11"/>
      <c r="G21683" s="11"/>
      <c r="H21683" s="11"/>
      <c r="I21683" s="15"/>
    </row>
    <row r="21684" spans="1:9" ht="16.5">
      <c r="A21684" s="10" t="b">
        <v>0</v>
      </c>
      <c r="B21684" s="11" t="str">
        <f>IF(D21684&lt;&gt;"",IF(COUNTIF('USPTO TMs'!A:A,D21684)&gt;0,"Yes","No"),"")</f>
        <v/>
      </c>
      <c r="C21684" s="11"/>
      <c r="D21684" s="11"/>
      <c r="E21684" s="11"/>
      <c r="F21684" s="11"/>
      <c r="G21684" s="11"/>
      <c r="H21684" s="11"/>
      <c r="I21684" s="15"/>
    </row>
    <row r="21685" spans="1:9" ht="16.5">
      <c r="A21685" s="10" t="b">
        <v>0</v>
      </c>
      <c r="B21685" s="11" t="str">
        <f>IF(D21685&lt;&gt;"",IF(COUNTIF('USPTO TMs'!A:A,D21685)&gt;0,"Yes","No"),"")</f>
        <v/>
      </c>
      <c r="C21685" s="11"/>
      <c r="D21685" s="11"/>
      <c r="E21685" s="11"/>
      <c r="F21685" s="11"/>
      <c r="G21685" s="11"/>
      <c r="H21685" s="11"/>
      <c r="I21685" s="15"/>
    </row>
    <row r="21686" spans="1:9" ht="16.5">
      <c r="A21686" s="10" t="b">
        <v>0</v>
      </c>
      <c r="B21686" s="11" t="str">
        <f>IF(D21686&lt;&gt;"",IF(COUNTIF('USPTO TMs'!A:A,D21686)&gt;0,"Yes","No"),"")</f>
        <v/>
      </c>
      <c r="C21686" s="11"/>
      <c r="D21686" s="11"/>
      <c r="E21686" s="11"/>
      <c r="F21686" s="11"/>
      <c r="G21686" s="11"/>
      <c r="H21686" s="11"/>
      <c r="I21686" s="15"/>
    </row>
    <row r="21687" spans="1:9" ht="16.5">
      <c r="A21687" s="10" t="b">
        <v>0</v>
      </c>
      <c r="B21687" s="11" t="str">
        <f>IF(D21687&lt;&gt;"",IF(COUNTIF('USPTO TMs'!A:A,D21687)&gt;0,"Yes","No"),"")</f>
        <v/>
      </c>
      <c r="C21687" s="11"/>
      <c r="D21687" s="11"/>
      <c r="E21687" s="11"/>
      <c r="F21687" s="11"/>
      <c r="G21687" s="11"/>
      <c r="H21687" s="11"/>
      <c r="I21687" s="15"/>
    </row>
    <row r="21688" spans="1:9" ht="16.5">
      <c r="A21688" s="10" t="b">
        <v>0</v>
      </c>
      <c r="B21688" s="11" t="str">
        <f>IF(D21688&lt;&gt;"",IF(COUNTIF('USPTO TMs'!A:A,D21688)&gt;0,"Yes","No"),"")</f>
        <v/>
      </c>
      <c r="C21688" s="11"/>
      <c r="D21688" s="11"/>
      <c r="E21688" s="11"/>
      <c r="F21688" s="11"/>
      <c r="G21688" s="11"/>
      <c r="H21688" s="11"/>
      <c r="I21688" s="15"/>
    </row>
    <row r="21689" spans="1:9" ht="16.5">
      <c r="A21689" s="10" t="b">
        <v>0</v>
      </c>
      <c r="B21689" s="11" t="str">
        <f>IF(D21689&lt;&gt;"",IF(COUNTIF('USPTO TMs'!A:A,D21689)&gt;0,"Yes","No"),"")</f>
        <v/>
      </c>
      <c r="C21689" s="11"/>
      <c r="D21689" s="11"/>
      <c r="E21689" s="11"/>
      <c r="F21689" s="11"/>
      <c r="G21689" s="11"/>
      <c r="H21689" s="11"/>
      <c r="I21689" s="15"/>
    </row>
    <row r="21690" spans="1:9" ht="16.5">
      <c r="A21690" s="10" t="b">
        <v>0</v>
      </c>
      <c r="B21690" s="11" t="str">
        <f>IF(D21690&lt;&gt;"",IF(COUNTIF('USPTO TMs'!A:A,D21690)&gt;0,"Yes","No"),"")</f>
        <v/>
      </c>
      <c r="C21690" s="11"/>
      <c r="D21690" s="11"/>
      <c r="E21690" s="11"/>
      <c r="F21690" s="11"/>
      <c r="G21690" s="11"/>
      <c r="H21690" s="11"/>
      <c r="I21690" s="15"/>
    </row>
    <row r="21691" spans="1:9" ht="16.5">
      <c r="A21691" s="10" t="b">
        <v>0</v>
      </c>
      <c r="B21691" s="11" t="str">
        <f>IF(D21691&lt;&gt;"",IF(COUNTIF('USPTO TMs'!A:A,D21691)&gt;0,"Yes","No"),"")</f>
        <v/>
      </c>
      <c r="C21691" s="11"/>
      <c r="D21691" s="11"/>
      <c r="E21691" s="11"/>
      <c r="F21691" s="11"/>
      <c r="G21691" s="11"/>
      <c r="H21691" s="11"/>
      <c r="I21691" s="15"/>
    </row>
    <row r="21692" spans="1:9" ht="16.5">
      <c r="A21692" s="10" t="b">
        <v>0</v>
      </c>
      <c r="B21692" s="11" t="str">
        <f>IF(D21692&lt;&gt;"",IF(COUNTIF('USPTO TMs'!A:A,D21692)&gt;0,"Yes","No"),"")</f>
        <v/>
      </c>
      <c r="C21692" s="11"/>
      <c r="D21692" s="11"/>
      <c r="E21692" s="11"/>
      <c r="F21692" s="11"/>
      <c r="G21692" s="11"/>
      <c r="H21692" s="11"/>
      <c r="I21692" s="15"/>
    </row>
    <row r="21693" spans="1:9" ht="16.5">
      <c r="A21693" s="10" t="b">
        <v>0</v>
      </c>
      <c r="B21693" s="11" t="str">
        <f>IF(D21693&lt;&gt;"",IF(COUNTIF('USPTO TMs'!A:A,D21693)&gt;0,"Yes","No"),"")</f>
        <v/>
      </c>
      <c r="C21693" s="11"/>
      <c r="D21693" s="11"/>
      <c r="E21693" s="11"/>
      <c r="F21693" s="11"/>
      <c r="G21693" s="11"/>
      <c r="H21693" s="11"/>
      <c r="I21693" s="15"/>
    </row>
    <row r="21694" spans="1:9" ht="16.5">
      <c r="A21694" s="10" t="b">
        <v>0</v>
      </c>
      <c r="B21694" s="11" t="str">
        <f>IF(D21694&lt;&gt;"",IF(COUNTIF('USPTO TMs'!A:A,D21694)&gt;0,"Yes","No"),"")</f>
        <v/>
      </c>
      <c r="C21694" s="11"/>
      <c r="D21694" s="11"/>
      <c r="E21694" s="11"/>
      <c r="F21694" s="11"/>
      <c r="G21694" s="11"/>
      <c r="H21694" s="11"/>
      <c r="I21694" s="15"/>
    </row>
    <row r="21695" spans="1:9" ht="16.5">
      <c r="A21695" s="10" t="b">
        <v>0</v>
      </c>
      <c r="B21695" s="11" t="str">
        <f>IF(D21695&lt;&gt;"",IF(COUNTIF('USPTO TMs'!A:A,D21695)&gt;0,"Yes","No"),"")</f>
        <v/>
      </c>
      <c r="C21695" s="11"/>
      <c r="D21695" s="11"/>
      <c r="E21695" s="11"/>
      <c r="F21695" s="11"/>
      <c r="G21695" s="11"/>
      <c r="H21695" s="11"/>
      <c r="I21695" s="15"/>
    </row>
    <row r="21696" spans="1:9" ht="16.5">
      <c r="A21696" s="10" t="b">
        <v>0</v>
      </c>
      <c r="B21696" s="11" t="str">
        <f>IF(D21696&lt;&gt;"",IF(COUNTIF('USPTO TMs'!A:A,D21696)&gt;0,"Yes","No"),"")</f>
        <v/>
      </c>
      <c r="C21696" s="11"/>
      <c r="D21696" s="11"/>
      <c r="E21696" s="11"/>
      <c r="F21696" s="11"/>
      <c r="G21696" s="11"/>
      <c r="H21696" s="11"/>
      <c r="I21696" s="15"/>
    </row>
    <row r="21697" spans="1:9" ht="16.5">
      <c r="A21697" s="10" t="b">
        <v>0</v>
      </c>
      <c r="B21697" s="11" t="str">
        <f>IF(D21697&lt;&gt;"",IF(COUNTIF('USPTO TMs'!A:A,D21697)&gt;0,"Yes","No"),"")</f>
        <v/>
      </c>
      <c r="C21697" s="11"/>
      <c r="D21697" s="11"/>
      <c r="E21697" s="11"/>
      <c r="F21697" s="11"/>
      <c r="G21697" s="11"/>
      <c r="H21697" s="11"/>
      <c r="I21697" s="15"/>
    </row>
    <row r="21698" spans="1:9" ht="16.5">
      <c r="A21698" s="10" t="b">
        <v>0</v>
      </c>
      <c r="B21698" s="11" t="str">
        <f>IF(D21698&lt;&gt;"",IF(COUNTIF('USPTO TMs'!A:A,D21698)&gt;0,"Yes","No"),"")</f>
        <v/>
      </c>
      <c r="C21698" s="11"/>
      <c r="D21698" s="11"/>
      <c r="E21698" s="11"/>
      <c r="F21698" s="11"/>
      <c r="G21698" s="11"/>
      <c r="H21698" s="11"/>
      <c r="I21698" s="15"/>
    </row>
    <row r="21699" spans="1:9" ht="16.5">
      <c r="A21699" s="10" t="b">
        <v>0</v>
      </c>
      <c r="B21699" s="11" t="str">
        <f>IF(D21699&lt;&gt;"",IF(COUNTIF('USPTO TMs'!A:A,D21699)&gt;0,"Yes","No"),"")</f>
        <v/>
      </c>
      <c r="C21699" s="11"/>
      <c r="D21699" s="11"/>
      <c r="E21699" s="11"/>
      <c r="F21699" s="11"/>
      <c r="G21699" s="11"/>
      <c r="H21699" s="11"/>
      <c r="I21699" s="15"/>
    </row>
    <row r="21700" spans="1:9" ht="16.5">
      <c r="A21700" s="10" t="b">
        <v>0</v>
      </c>
      <c r="B21700" s="11" t="str">
        <f>IF(D21700&lt;&gt;"",IF(COUNTIF('USPTO TMs'!A:A,D21700)&gt;0,"Yes","No"),"")</f>
        <v/>
      </c>
      <c r="C21700" s="11"/>
      <c r="D21700" s="11"/>
      <c r="E21700" s="11"/>
      <c r="F21700" s="11"/>
      <c r="G21700" s="11"/>
      <c r="H21700" s="11"/>
      <c r="I21700" s="15"/>
    </row>
    <row r="21701" spans="1:9" ht="16.5">
      <c r="A21701" s="10" t="b">
        <v>0</v>
      </c>
      <c r="B21701" s="11" t="str">
        <f>IF(D21701&lt;&gt;"",IF(COUNTIF('USPTO TMs'!A:A,D21701)&gt;0,"Yes","No"),"")</f>
        <v/>
      </c>
      <c r="C21701" s="11"/>
      <c r="D21701" s="11"/>
      <c r="E21701" s="11"/>
      <c r="F21701" s="11"/>
      <c r="G21701" s="11"/>
      <c r="H21701" s="11"/>
      <c r="I21701" s="15"/>
    </row>
    <row r="21702" spans="1:9" ht="16.5">
      <c r="A21702" s="10" t="b">
        <v>0</v>
      </c>
      <c r="B21702" s="11" t="str">
        <f>IF(D21702&lt;&gt;"",IF(COUNTIF('USPTO TMs'!A:A,D21702)&gt;0,"Yes","No"),"")</f>
        <v/>
      </c>
      <c r="C21702" s="11"/>
      <c r="D21702" s="11"/>
      <c r="E21702" s="11"/>
      <c r="F21702" s="11"/>
      <c r="G21702" s="11"/>
      <c r="H21702" s="11"/>
      <c r="I21702" s="15"/>
    </row>
    <row r="21703" spans="1:9" ht="16.5">
      <c r="A21703" s="10" t="b">
        <v>0</v>
      </c>
      <c r="B21703" s="11" t="str">
        <f>IF(D21703&lt;&gt;"",IF(COUNTIF('USPTO TMs'!A:A,D21703)&gt;0,"Yes","No"),"")</f>
        <v/>
      </c>
      <c r="C21703" s="11"/>
      <c r="D21703" s="11"/>
      <c r="E21703" s="11"/>
      <c r="F21703" s="11"/>
      <c r="G21703" s="11"/>
      <c r="H21703" s="11"/>
      <c r="I21703" s="15"/>
    </row>
    <row r="21704" spans="1:9" ht="16.5">
      <c r="A21704" s="10" t="b">
        <v>0</v>
      </c>
      <c r="B21704" s="11" t="str">
        <f>IF(D21704&lt;&gt;"",IF(COUNTIF('USPTO TMs'!A:A,D21704)&gt;0,"Yes","No"),"")</f>
        <v/>
      </c>
      <c r="C21704" s="11"/>
      <c r="D21704" s="11"/>
      <c r="E21704" s="11"/>
      <c r="F21704" s="11"/>
      <c r="G21704" s="11"/>
      <c r="H21704" s="11"/>
      <c r="I21704" s="15"/>
    </row>
    <row r="21705" spans="1:9" ht="16.5">
      <c r="A21705" s="10" t="b">
        <v>0</v>
      </c>
      <c r="B21705" s="11" t="str">
        <f>IF(D21705&lt;&gt;"",IF(COUNTIF('USPTO TMs'!A:A,D21705)&gt;0,"Yes","No"),"")</f>
        <v/>
      </c>
      <c r="C21705" s="11"/>
      <c r="D21705" s="11"/>
      <c r="E21705" s="11"/>
      <c r="F21705" s="11"/>
      <c r="G21705" s="11"/>
      <c r="H21705" s="11"/>
      <c r="I21705" s="15"/>
    </row>
    <row r="21706" spans="1:9" ht="16.5">
      <c r="A21706" s="10" t="b">
        <v>0</v>
      </c>
      <c r="B21706" s="11" t="str">
        <f>IF(D21706&lt;&gt;"",IF(COUNTIF('USPTO TMs'!A:A,D21706)&gt;0,"Yes","No"),"")</f>
        <v/>
      </c>
      <c r="C21706" s="11"/>
      <c r="D21706" s="11"/>
      <c r="E21706" s="11"/>
      <c r="F21706" s="11"/>
      <c r="G21706" s="11"/>
      <c r="H21706" s="11"/>
      <c r="I21706" s="15"/>
    </row>
    <row r="21707" spans="1:9" ht="16.5">
      <c r="A21707" s="10" t="b">
        <v>0</v>
      </c>
      <c r="B21707" s="11" t="str">
        <f>IF(D21707&lt;&gt;"",IF(COUNTIF('USPTO TMs'!A:A,D21707)&gt;0,"Yes","No"),"")</f>
        <v/>
      </c>
      <c r="C21707" s="11"/>
      <c r="D21707" s="11"/>
      <c r="E21707" s="11"/>
      <c r="F21707" s="11"/>
      <c r="G21707" s="11"/>
      <c r="H21707" s="11"/>
      <c r="I21707" s="15"/>
    </row>
    <row r="21708" spans="1:9" ht="16.5">
      <c r="A21708" s="10" t="b">
        <v>0</v>
      </c>
      <c r="B21708" s="11" t="str">
        <f>IF(D21708&lt;&gt;"",IF(COUNTIF('USPTO TMs'!A:A,D21708)&gt;0,"Yes","No"),"")</f>
        <v/>
      </c>
      <c r="C21708" s="11"/>
      <c r="D21708" s="11"/>
      <c r="E21708" s="11"/>
      <c r="F21708" s="11"/>
      <c r="G21708" s="11"/>
      <c r="H21708" s="11"/>
      <c r="I21708" s="15"/>
    </row>
    <row r="21709" spans="1:9" ht="16.5">
      <c r="A21709" s="10" t="b">
        <v>0</v>
      </c>
      <c r="B21709" s="11" t="str">
        <f>IF(D21709&lt;&gt;"",IF(COUNTIF('USPTO TMs'!A:A,D21709)&gt;0,"Yes","No"),"")</f>
        <v/>
      </c>
      <c r="C21709" s="11"/>
      <c r="D21709" s="11"/>
      <c r="E21709" s="11"/>
      <c r="F21709" s="11"/>
      <c r="G21709" s="11"/>
      <c r="H21709" s="11"/>
      <c r="I21709" s="15"/>
    </row>
    <row r="21710" spans="1:9" ht="16.5">
      <c r="A21710" s="10" t="b">
        <v>0</v>
      </c>
      <c r="B21710" s="11" t="str">
        <f>IF(D21710&lt;&gt;"",IF(COUNTIF('USPTO TMs'!A:A,D21710)&gt;0,"Yes","No"),"")</f>
        <v/>
      </c>
      <c r="C21710" s="11"/>
      <c r="D21710" s="11"/>
      <c r="E21710" s="11"/>
      <c r="F21710" s="11"/>
      <c r="G21710" s="11"/>
      <c r="H21710" s="11"/>
      <c r="I21710" s="15"/>
    </row>
    <row r="21711" spans="1:9" ht="16.5">
      <c r="A21711" s="10" t="b">
        <v>0</v>
      </c>
      <c r="B21711" s="11" t="str">
        <f>IF(D21711&lt;&gt;"",IF(COUNTIF('USPTO TMs'!A:A,D21711)&gt;0,"Yes","No"),"")</f>
        <v/>
      </c>
      <c r="C21711" s="11"/>
      <c r="D21711" s="11"/>
      <c r="E21711" s="11"/>
      <c r="F21711" s="11"/>
      <c r="G21711" s="11"/>
      <c r="H21711" s="11"/>
      <c r="I21711" s="15"/>
    </row>
    <row r="21712" spans="1:9" ht="16.5">
      <c r="A21712" s="10" t="b">
        <v>0</v>
      </c>
      <c r="B21712" s="11" t="str">
        <f>IF(D21712&lt;&gt;"",IF(COUNTIF('USPTO TMs'!A:A,D21712)&gt;0,"Yes","No"),"")</f>
        <v/>
      </c>
      <c r="C21712" s="11"/>
      <c r="D21712" s="11"/>
      <c r="E21712" s="11"/>
      <c r="F21712" s="11"/>
      <c r="G21712" s="11"/>
      <c r="H21712" s="11"/>
      <c r="I21712" s="15"/>
    </row>
    <row r="21713" spans="1:9" ht="16.5">
      <c r="A21713" s="10" t="b">
        <v>0</v>
      </c>
      <c r="B21713" s="11" t="str">
        <f>IF(D21713&lt;&gt;"",IF(COUNTIF('USPTO TMs'!A:A,D21713)&gt;0,"Yes","No"),"")</f>
        <v/>
      </c>
      <c r="C21713" s="11"/>
      <c r="D21713" s="11"/>
      <c r="E21713" s="11"/>
      <c r="F21713" s="11"/>
      <c r="G21713" s="11"/>
      <c r="H21713" s="11"/>
      <c r="I21713" s="15"/>
    </row>
    <row r="21714" spans="1:9" ht="16.5">
      <c r="A21714" s="10" t="b">
        <v>0</v>
      </c>
      <c r="B21714" s="11" t="str">
        <f>IF(D21714&lt;&gt;"",IF(COUNTIF('USPTO TMs'!A:A,D21714)&gt;0,"Yes","No"),"")</f>
        <v/>
      </c>
      <c r="C21714" s="11"/>
      <c r="D21714" s="11"/>
      <c r="E21714" s="11"/>
      <c r="F21714" s="11"/>
      <c r="G21714" s="11"/>
      <c r="H21714" s="11"/>
      <c r="I21714" s="15"/>
    </row>
    <row r="21715" spans="1:9" ht="16.5">
      <c r="A21715" s="10" t="b">
        <v>0</v>
      </c>
      <c r="B21715" s="11" t="str">
        <f>IF(D21715&lt;&gt;"",IF(COUNTIF('USPTO TMs'!A:A,D21715)&gt;0,"Yes","No"),"")</f>
        <v/>
      </c>
      <c r="C21715" s="11"/>
      <c r="D21715" s="11"/>
      <c r="E21715" s="11"/>
      <c r="F21715" s="11"/>
      <c r="G21715" s="11"/>
      <c r="H21715" s="11"/>
      <c r="I21715" s="15"/>
    </row>
    <row r="21716" spans="1:9" ht="16.5">
      <c r="A21716" s="10" t="b">
        <v>0</v>
      </c>
      <c r="B21716" s="11" t="str">
        <f>IF(D21716&lt;&gt;"",IF(COUNTIF('USPTO TMs'!A:A,D21716)&gt;0,"Yes","No"),"")</f>
        <v/>
      </c>
      <c r="C21716" s="11"/>
      <c r="D21716" s="11"/>
      <c r="E21716" s="11"/>
      <c r="F21716" s="11"/>
      <c r="G21716" s="11"/>
      <c r="H21716" s="11"/>
      <c r="I21716" s="15"/>
    </row>
    <row r="21717" spans="1:9" ht="16.5">
      <c r="A21717" s="10" t="b">
        <v>0</v>
      </c>
      <c r="B21717" s="11" t="str">
        <f>IF(D21717&lt;&gt;"",IF(COUNTIF('USPTO TMs'!A:A,D21717)&gt;0,"Yes","No"),"")</f>
        <v/>
      </c>
      <c r="C21717" s="11"/>
      <c r="D21717" s="11"/>
      <c r="E21717" s="11"/>
      <c r="F21717" s="11"/>
      <c r="G21717" s="11"/>
      <c r="H21717" s="11"/>
      <c r="I21717" s="15"/>
    </row>
    <row r="21718" spans="1:9" ht="16.5">
      <c r="A21718" s="10" t="b">
        <v>0</v>
      </c>
      <c r="B21718" s="11" t="str">
        <f>IF(D21718&lt;&gt;"",IF(COUNTIF('USPTO TMs'!A:A,D21718)&gt;0,"Yes","No"),"")</f>
        <v/>
      </c>
      <c r="C21718" s="11"/>
      <c r="D21718" s="11"/>
      <c r="E21718" s="11"/>
      <c r="F21718" s="11"/>
      <c r="G21718" s="11"/>
      <c r="H21718" s="11"/>
      <c r="I21718" s="15"/>
    </row>
    <row r="21719" spans="1:9" ht="16.5">
      <c r="A21719" s="10" t="b">
        <v>0</v>
      </c>
      <c r="B21719" s="11" t="str">
        <f>IF(D21719&lt;&gt;"",IF(COUNTIF('USPTO TMs'!A:A,D21719)&gt;0,"Yes","No"),"")</f>
        <v/>
      </c>
      <c r="C21719" s="11"/>
      <c r="D21719" s="11"/>
      <c r="E21719" s="11"/>
      <c r="F21719" s="11"/>
      <c r="G21719" s="11"/>
      <c r="H21719" s="11"/>
      <c r="I21719" s="15"/>
    </row>
    <row r="21720" spans="1:9" ht="16.5">
      <c r="A21720" s="10" t="b">
        <v>0</v>
      </c>
      <c r="B21720" s="11" t="str">
        <f>IF(D21720&lt;&gt;"",IF(COUNTIF('USPTO TMs'!A:A,D21720)&gt;0,"Yes","No"),"")</f>
        <v/>
      </c>
      <c r="C21720" s="11"/>
      <c r="D21720" s="11"/>
      <c r="E21720" s="11"/>
      <c r="F21720" s="11"/>
      <c r="G21720" s="11"/>
      <c r="H21720" s="11"/>
      <c r="I21720" s="15"/>
    </row>
    <row r="21721" spans="1:9" ht="16.5">
      <c r="A21721" s="10" t="b">
        <v>0</v>
      </c>
      <c r="B21721" s="11" t="str">
        <f>IF(D21721&lt;&gt;"",IF(COUNTIF('USPTO TMs'!A:A,D21721)&gt;0,"Yes","No"),"")</f>
        <v/>
      </c>
      <c r="C21721" s="11"/>
      <c r="D21721" s="11"/>
      <c r="E21721" s="11"/>
      <c r="F21721" s="11"/>
      <c r="G21721" s="11"/>
      <c r="H21721" s="11"/>
      <c r="I21721" s="15"/>
    </row>
    <row r="21722" spans="1:9" ht="16.5">
      <c r="A21722" s="10" t="b">
        <v>0</v>
      </c>
      <c r="B21722" s="11" t="str">
        <f>IF(D21722&lt;&gt;"",IF(COUNTIF('USPTO TMs'!A:A,D21722)&gt;0,"Yes","No"),"")</f>
        <v/>
      </c>
      <c r="C21722" s="11"/>
      <c r="D21722" s="11"/>
      <c r="E21722" s="11"/>
      <c r="F21722" s="11"/>
      <c r="G21722" s="11"/>
      <c r="H21722" s="11"/>
      <c r="I21722" s="15"/>
    </row>
    <row r="21723" spans="1:9" ht="16.5">
      <c r="A21723" s="10" t="b">
        <v>0</v>
      </c>
      <c r="B21723" s="11" t="str">
        <f>IF(D21723&lt;&gt;"",IF(COUNTIF('USPTO TMs'!A:A,D21723)&gt;0,"Yes","No"),"")</f>
        <v/>
      </c>
      <c r="C21723" s="11"/>
      <c r="D21723" s="11"/>
      <c r="E21723" s="11"/>
      <c r="F21723" s="11"/>
      <c r="G21723" s="11"/>
      <c r="H21723" s="11"/>
      <c r="I21723" s="15"/>
    </row>
    <row r="21724" spans="1:9" ht="16.5">
      <c r="A21724" s="10" t="b">
        <v>0</v>
      </c>
      <c r="B21724" s="11" t="str">
        <f>IF(D21724&lt;&gt;"",IF(COUNTIF('USPTO TMs'!A:A,D21724)&gt;0,"Yes","No"),"")</f>
        <v/>
      </c>
      <c r="C21724" s="11"/>
      <c r="D21724" s="11"/>
      <c r="E21724" s="11"/>
      <c r="F21724" s="11"/>
      <c r="G21724" s="11"/>
      <c r="H21724" s="11"/>
      <c r="I21724" s="15"/>
    </row>
    <row r="21725" spans="1:9" ht="16.5">
      <c r="A21725" s="10" t="b">
        <v>0</v>
      </c>
      <c r="B21725" s="11" t="str">
        <f>IF(D21725&lt;&gt;"",IF(COUNTIF('USPTO TMs'!A:A,D21725)&gt;0,"Yes","No"),"")</f>
        <v/>
      </c>
      <c r="C21725" s="11"/>
      <c r="D21725" s="11"/>
      <c r="E21725" s="11"/>
      <c r="F21725" s="11"/>
      <c r="G21725" s="11"/>
      <c r="H21725" s="11"/>
      <c r="I21725" s="15"/>
    </row>
    <row r="21726" spans="1:9" ht="16.5">
      <c r="A21726" s="10" t="b">
        <v>0</v>
      </c>
      <c r="B21726" s="11" t="str">
        <f>IF(D21726&lt;&gt;"",IF(COUNTIF('USPTO TMs'!A:A,D21726)&gt;0,"Yes","No"),"")</f>
        <v/>
      </c>
      <c r="C21726" s="11"/>
      <c r="D21726" s="11"/>
      <c r="E21726" s="11"/>
      <c r="F21726" s="11"/>
      <c r="G21726" s="11"/>
      <c r="H21726" s="11"/>
      <c r="I21726" s="15"/>
    </row>
    <row r="21727" spans="1:9" ht="16.5">
      <c r="A21727" s="10" t="b">
        <v>0</v>
      </c>
      <c r="B21727" s="11" t="str">
        <f>IF(D21727&lt;&gt;"",IF(COUNTIF('USPTO TMs'!A:A,D21727)&gt;0,"Yes","No"),"")</f>
        <v/>
      </c>
      <c r="C21727" s="11"/>
      <c r="D21727" s="11"/>
      <c r="E21727" s="11"/>
      <c r="F21727" s="11"/>
      <c r="G21727" s="11"/>
      <c r="H21727" s="11"/>
      <c r="I21727" s="15"/>
    </row>
    <row r="21728" spans="1:9" ht="16.5">
      <c r="A21728" s="10" t="b">
        <v>0</v>
      </c>
      <c r="B21728" s="11" t="str">
        <f>IF(D21728&lt;&gt;"",IF(COUNTIF('USPTO TMs'!A:A,D21728)&gt;0,"Yes","No"),"")</f>
        <v/>
      </c>
      <c r="C21728" s="11"/>
      <c r="D21728" s="11"/>
      <c r="E21728" s="11"/>
      <c r="F21728" s="11"/>
      <c r="G21728" s="11"/>
      <c r="H21728" s="11"/>
      <c r="I21728" s="15"/>
    </row>
    <row r="21729" spans="1:9" ht="16.5">
      <c r="A21729" s="10" t="b">
        <v>0</v>
      </c>
      <c r="B21729" s="11" t="str">
        <f>IF(D21729&lt;&gt;"",IF(COUNTIF('USPTO TMs'!A:A,D21729)&gt;0,"Yes","No"),"")</f>
        <v/>
      </c>
      <c r="C21729" s="11"/>
      <c r="D21729" s="11"/>
      <c r="E21729" s="11"/>
      <c r="F21729" s="11"/>
      <c r="G21729" s="11"/>
      <c r="H21729" s="11"/>
      <c r="I21729" s="15"/>
    </row>
    <row r="21730" spans="1:9" ht="16.5">
      <c r="A21730" s="10" t="b">
        <v>0</v>
      </c>
      <c r="B21730" s="11" t="str">
        <f>IF(D21730&lt;&gt;"",IF(COUNTIF('USPTO TMs'!A:A,D21730)&gt;0,"Yes","No"),"")</f>
        <v/>
      </c>
      <c r="C21730" s="11"/>
      <c r="D21730" s="11"/>
      <c r="E21730" s="11"/>
      <c r="F21730" s="11"/>
      <c r="G21730" s="11"/>
      <c r="H21730" s="11"/>
      <c r="I21730" s="15"/>
    </row>
    <row r="21731" spans="1:9" ht="16.5">
      <c r="A21731" s="10" t="b">
        <v>0</v>
      </c>
      <c r="B21731" s="11" t="str">
        <f>IF(D21731&lt;&gt;"",IF(COUNTIF('USPTO TMs'!A:A,D21731)&gt;0,"Yes","No"),"")</f>
        <v/>
      </c>
      <c r="C21731" s="11"/>
      <c r="D21731" s="11"/>
      <c r="E21731" s="11"/>
      <c r="F21731" s="11"/>
      <c r="G21731" s="11"/>
      <c r="H21731" s="11"/>
      <c r="I21731" s="15"/>
    </row>
    <row r="21732" spans="1:9" ht="16.5">
      <c r="A21732" s="10" t="b">
        <v>0</v>
      </c>
      <c r="B21732" s="11" t="str">
        <f>IF(D21732&lt;&gt;"",IF(COUNTIF('USPTO TMs'!A:A,D21732)&gt;0,"Yes","No"),"")</f>
        <v/>
      </c>
      <c r="C21732" s="11"/>
      <c r="D21732" s="11"/>
      <c r="E21732" s="11"/>
      <c r="F21732" s="11"/>
      <c r="G21732" s="11"/>
      <c r="H21732" s="11"/>
      <c r="I21732" s="15"/>
    </row>
    <row r="21733" spans="1:9" ht="16.5">
      <c r="A21733" s="10" t="b">
        <v>0</v>
      </c>
      <c r="B21733" s="11" t="str">
        <f>IF(D21733&lt;&gt;"",IF(COUNTIF('USPTO TMs'!A:A,D21733)&gt;0,"Yes","No"),"")</f>
        <v/>
      </c>
      <c r="C21733" s="11"/>
      <c r="D21733" s="11"/>
      <c r="E21733" s="11"/>
      <c r="F21733" s="11"/>
      <c r="G21733" s="11"/>
      <c r="H21733" s="11"/>
      <c r="I21733" s="15"/>
    </row>
    <row r="21734" spans="1:9" ht="16.5">
      <c r="A21734" s="10" t="b">
        <v>0</v>
      </c>
      <c r="B21734" s="11" t="str">
        <f>IF(D21734&lt;&gt;"",IF(COUNTIF('USPTO TMs'!A:A,D21734)&gt;0,"Yes","No"),"")</f>
        <v/>
      </c>
      <c r="C21734" s="11"/>
      <c r="D21734" s="11"/>
      <c r="E21734" s="11"/>
      <c r="F21734" s="11"/>
      <c r="G21734" s="11"/>
      <c r="H21734" s="11"/>
      <c r="I21734" s="15"/>
    </row>
    <row r="21735" spans="1:9" ht="16.5">
      <c r="A21735" s="10" t="b">
        <v>0</v>
      </c>
      <c r="B21735" s="11" t="str">
        <f>IF(D21735&lt;&gt;"",IF(COUNTIF('USPTO TMs'!A:A,D21735)&gt;0,"Yes","No"),"")</f>
        <v/>
      </c>
      <c r="C21735" s="11"/>
      <c r="D21735" s="11"/>
      <c r="E21735" s="11"/>
      <c r="F21735" s="11"/>
      <c r="G21735" s="11"/>
      <c r="H21735" s="11"/>
      <c r="I21735" s="15"/>
    </row>
    <row r="21736" spans="1:9" ht="16.5">
      <c r="A21736" s="10" t="b">
        <v>0</v>
      </c>
      <c r="B21736" s="11" t="str">
        <f>IF(D21736&lt;&gt;"",IF(COUNTIF('USPTO TMs'!A:A,D21736)&gt;0,"Yes","No"),"")</f>
        <v/>
      </c>
      <c r="C21736" s="11"/>
      <c r="D21736" s="11"/>
      <c r="E21736" s="11"/>
      <c r="F21736" s="11"/>
      <c r="G21736" s="11"/>
      <c r="H21736" s="11"/>
      <c r="I21736" s="15"/>
    </row>
    <row r="21737" spans="1:9" ht="16.5">
      <c r="A21737" s="10" t="b">
        <v>0</v>
      </c>
      <c r="B21737" s="11" t="str">
        <f>IF(D21737&lt;&gt;"",IF(COUNTIF('USPTO TMs'!A:A,D21737)&gt;0,"Yes","No"),"")</f>
        <v/>
      </c>
      <c r="C21737" s="11"/>
      <c r="D21737" s="11"/>
      <c r="E21737" s="11"/>
      <c r="F21737" s="11"/>
      <c r="G21737" s="11"/>
      <c r="H21737" s="11"/>
      <c r="I21737" s="15"/>
    </row>
    <row r="21738" spans="1:9" ht="16.5">
      <c r="A21738" s="10" t="b">
        <v>0</v>
      </c>
      <c r="B21738" s="11" t="str">
        <f>IF(D21738&lt;&gt;"",IF(COUNTIF('USPTO TMs'!A:A,D21738)&gt;0,"Yes","No"),"")</f>
        <v/>
      </c>
      <c r="C21738" s="11"/>
      <c r="D21738" s="11"/>
      <c r="E21738" s="11"/>
      <c r="F21738" s="11"/>
      <c r="G21738" s="11"/>
      <c r="H21738" s="11"/>
      <c r="I21738" s="15"/>
    </row>
    <row r="21739" spans="1:9" ht="16.5">
      <c r="A21739" s="10" t="b">
        <v>0</v>
      </c>
      <c r="B21739" s="11" t="str">
        <f>IF(D21739&lt;&gt;"",IF(COUNTIF('USPTO TMs'!A:A,D21739)&gt;0,"Yes","No"),"")</f>
        <v/>
      </c>
      <c r="C21739" s="11"/>
      <c r="D21739" s="11"/>
      <c r="E21739" s="11"/>
      <c r="F21739" s="11"/>
      <c r="G21739" s="11"/>
      <c r="H21739" s="11"/>
      <c r="I21739" s="15"/>
    </row>
    <row r="21740" spans="1:9" ht="16.5">
      <c r="A21740" s="10" t="b">
        <v>0</v>
      </c>
      <c r="B21740" s="11" t="str">
        <f>IF(D21740&lt;&gt;"",IF(COUNTIF('USPTO TMs'!A:A,D21740)&gt;0,"Yes","No"),"")</f>
        <v/>
      </c>
      <c r="C21740" s="11"/>
      <c r="D21740" s="11"/>
      <c r="E21740" s="11"/>
      <c r="F21740" s="11"/>
      <c r="G21740" s="11"/>
      <c r="H21740" s="11"/>
      <c r="I21740" s="15"/>
    </row>
    <row r="21741" spans="1:9" ht="16.5">
      <c r="A21741" s="10" t="b">
        <v>0</v>
      </c>
      <c r="B21741" s="11" t="str">
        <f>IF(D21741&lt;&gt;"",IF(COUNTIF('USPTO TMs'!A:A,D21741)&gt;0,"Yes","No"),"")</f>
        <v/>
      </c>
      <c r="C21741" s="11"/>
      <c r="D21741" s="11"/>
      <c r="E21741" s="11"/>
      <c r="F21741" s="11"/>
      <c r="G21741" s="11"/>
      <c r="H21741" s="11"/>
      <c r="I21741" s="15"/>
    </row>
    <row r="21742" spans="1:9" ht="16.5">
      <c r="A21742" s="10" t="b">
        <v>0</v>
      </c>
      <c r="B21742" s="11" t="str">
        <f>IF(D21742&lt;&gt;"",IF(COUNTIF('USPTO TMs'!A:A,D21742)&gt;0,"Yes","No"),"")</f>
        <v/>
      </c>
      <c r="C21742" s="11"/>
      <c r="D21742" s="11"/>
      <c r="E21742" s="11"/>
      <c r="F21742" s="11"/>
      <c r="G21742" s="11"/>
      <c r="H21742" s="11"/>
      <c r="I21742" s="15"/>
    </row>
    <row r="21743" spans="1:9" ht="16.5">
      <c r="A21743" s="10" t="b">
        <v>0</v>
      </c>
      <c r="B21743" s="11" t="str">
        <f>IF(D21743&lt;&gt;"",IF(COUNTIF('USPTO TMs'!A:A,D21743)&gt;0,"Yes","No"),"")</f>
        <v/>
      </c>
      <c r="C21743" s="11"/>
      <c r="D21743" s="11"/>
      <c r="E21743" s="11"/>
      <c r="F21743" s="11"/>
      <c r="G21743" s="11"/>
      <c r="H21743" s="11"/>
      <c r="I21743" s="15"/>
    </row>
    <row r="21744" spans="1:9" ht="16.5">
      <c r="A21744" s="10" t="b">
        <v>0</v>
      </c>
      <c r="B21744" s="11" t="str">
        <f>IF(D21744&lt;&gt;"",IF(COUNTIF('USPTO TMs'!A:A,D21744)&gt;0,"Yes","No"),"")</f>
        <v/>
      </c>
      <c r="C21744" s="11"/>
      <c r="D21744" s="11"/>
      <c r="E21744" s="11"/>
      <c r="F21744" s="11"/>
      <c r="G21744" s="11"/>
      <c r="H21744" s="11"/>
      <c r="I21744" s="15"/>
    </row>
    <row r="21745" spans="1:9" ht="16.5">
      <c r="A21745" s="10" t="b">
        <v>0</v>
      </c>
      <c r="B21745" s="11" t="str">
        <f>IF(D21745&lt;&gt;"",IF(COUNTIF('USPTO TMs'!A:A,D21745)&gt;0,"Yes","No"),"")</f>
        <v/>
      </c>
      <c r="C21745" s="11"/>
      <c r="D21745" s="11"/>
      <c r="E21745" s="11"/>
      <c r="F21745" s="11"/>
      <c r="G21745" s="11"/>
      <c r="H21745" s="11"/>
      <c r="I21745" s="15"/>
    </row>
    <row r="21746" spans="1:9" ht="16.5">
      <c r="A21746" s="10" t="b">
        <v>0</v>
      </c>
      <c r="B21746" s="11" t="str">
        <f>IF(D21746&lt;&gt;"",IF(COUNTIF('USPTO TMs'!A:A,D21746)&gt;0,"Yes","No"),"")</f>
        <v/>
      </c>
      <c r="C21746" s="11"/>
      <c r="D21746" s="11"/>
      <c r="E21746" s="11"/>
      <c r="F21746" s="11"/>
      <c r="G21746" s="11"/>
      <c r="H21746" s="11"/>
      <c r="I21746" s="15"/>
    </row>
    <row r="21747" spans="1:9" ht="16.5">
      <c r="A21747" s="10" t="b">
        <v>0</v>
      </c>
      <c r="B21747" s="11" t="str">
        <f>IF(D21747&lt;&gt;"",IF(COUNTIF('USPTO TMs'!A:A,D21747)&gt;0,"Yes","No"),"")</f>
        <v/>
      </c>
      <c r="C21747" s="11"/>
      <c r="D21747" s="11"/>
      <c r="E21747" s="11"/>
      <c r="F21747" s="11"/>
      <c r="G21747" s="11"/>
      <c r="H21747" s="11"/>
      <c r="I21747" s="15"/>
    </row>
    <row r="21748" spans="1:9" ht="16.5">
      <c r="A21748" s="10" t="b">
        <v>0</v>
      </c>
      <c r="B21748" s="11" t="str">
        <f>IF(D21748&lt;&gt;"",IF(COUNTIF('USPTO TMs'!A:A,D21748)&gt;0,"Yes","No"),"")</f>
        <v/>
      </c>
      <c r="C21748" s="11"/>
      <c r="D21748" s="11"/>
      <c r="E21748" s="11"/>
      <c r="F21748" s="11"/>
      <c r="G21748" s="11"/>
      <c r="H21748" s="11"/>
      <c r="I21748" s="15"/>
    </row>
    <row r="21749" spans="1:9" ht="16.5">
      <c r="A21749" s="10" t="b">
        <v>0</v>
      </c>
      <c r="B21749" s="11" t="str">
        <f>IF(D21749&lt;&gt;"",IF(COUNTIF('USPTO TMs'!A:A,D21749)&gt;0,"Yes","No"),"")</f>
        <v/>
      </c>
      <c r="C21749" s="11"/>
      <c r="D21749" s="11"/>
      <c r="E21749" s="11"/>
      <c r="F21749" s="11"/>
      <c r="G21749" s="11"/>
      <c r="H21749" s="11"/>
      <c r="I21749" s="15"/>
    </row>
    <row r="21750" spans="1:9" ht="16.5">
      <c r="A21750" s="10" t="b">
        <v>0</v>
      </c>
      <c r="B21750" s="11" t="str">
        <f>IF(D21750&lt;&gt;"",IF(COUNTIF('USPTO TMs'!A:A,D21750)&gt;0,"Yes","No"),"")</f>
        <v/>
      </c>
      <c r="C21750" s="11"/>
      <c r="D21750" s="11"/>
      <c r="E21750" s="11"/>
      <c r="F21750" s="11"/>
      <c r="G21750" s="11"/>
      <c r="H21750" s="11"/>
      <c r="I21750" s="15"/>
    </row>
    <row r="21751" spans="1:9" ht="16.5">
      <c r="A21751" s="10" t="b">
        <v>0</v>
      </c>
      <c r="B21751" s="11" t="str">
        <f>IF(D21751&lt;&gt;"",IF(COUNTIF('USPTO TMs'!A:A,D21751)&gt;0,"Yes","No"),"")</f>
        <v/>
      </c>
      <c r="C21751" s="11"/>
      <c r="D21751" s="11"/>
      <c r="E21751" s="11"/>
      <c r="F21751" s="11"/>
      <c r="G21751" s="11"/>
      <c r="H21751" s="11"/>
      <c r="I21751" s="15"/>
    </row>
    <row r="21752" spans="1:9" ht="16.5">
      <c r="A21752" s="10" t="b">
        <v>0</v>
      </c>
      <c r="B21752" s="11" t="str">
        <f>IF(D21752&lt;&gt;"",IF(COUNTIF('USPTO TMs'!A:A,D21752)&gt;0,"Yes","No"),"")</f>
        <v/>
      </c>
      <c r="C21752" s="11"/>
      <c r="D21752" s="11"/>
      <c r="E21752" s="11"/>
      <c r="F21752" s="11"/>
      <c r="G21752" s="11"/>
      <c r="H21752" s="11"/>
      <c r="I21752" s="15"/>
    </row>
    <row r="21753" spans="1:9" ht="16.5">
      <c r="A21753" s="10" t="b">
        <v>0</v>
      </c>
      <c r="B21753" s="11" t="str">
        <f>IF(D21753&lt;&gt;"",IF(COUNTIF('USPTO TMs'!A:A,D21753)&gt;0,"Yes","No"),"")</f>
        <v/>
      </c>
      <c r="C21753" s="11"/>
      <c r="D21753" s="11"/>
      <c r="E21753" s="11"/>
      <c r="F21753" s="11"/>
      <c r="G21753" s="11"/>
      <c r="H21753" s="11"/>
      <c r="I21753" s="15"/>
    </row>
    <row r="21754" spans="1:9" ht="16.5">
      <c r="A21754" s="10" t="b">
        <v>0</v>
      </c>
      <c r="B21754" s="11" t="str">
        <f>IF(D21754&lt;&gt;"",IF(COUNTIF('USPTO TMs'!A:A,D21754)&gt;0,"Yes","No"),"")</f>
        <v/>
      </c>
      <c r="C21754" s="11"/>
      <c r="D21754" s="11"/>
      <c r="E21754" s="11"/>
      <c r="F21754" s="11"/>
      <c r="G21754" s="11"/>
      <c r="H21754" s="11"/>
      <c r="I21754" s="15"/>
    </row>
    <row r="21755" spans="1:9" ht="16.5">
      <c r="A21755" s="10" t="b">
        <v>0</v>
      </c>
      <c r="B21755" s="11" t="str">
        <f>IF(D21755&lt;&gt;"",IF(COUNTIF('USPTO TMs'!A:A,D21755)&gt;0,"Yes","No"),"")</f>
        <v/>
      </c>
      <c r="C21755" s="11"/>
      <c r="D21755" s="11"/>
      <c r="E21755" s="11"/>
      <c r="F21755" s="11"/>
      <c r="G21755" s="11"/>
      <c r="H21755" s="11"/>
      <c r="I21755" s="15"/>
    </row>
    <row r="21756" spans="1:9" ht="16.5">
      <c r="A21756" s="10" t="b">
        <v>0</v>
      </c>
      <c r="B21756" s="11" t="str">
        <f>IF(D21756&lt;&gt;"",IF(COUNTIF('USPTO TMs'!A:A,D21756)&gt;0,"Yes","No"),"")</f>
        <v/>
      </c>
      <c r="C21756" s="11"/>
      <c r="D21756" s="11"/>
      <c r="E21756" s="11"/>
      <c r="F21756" s="11"/>
      <c r="G21756" s="11"/>
      <c r="H21756" s="11"/>
      <c r="I21756" s="15"/>
    </row>
    <row r="21757" spans="1:9" ht="16.5">
      <c r="A21757" s="10" t="b">
        <v>0</v>
      </c>
      <c r="B21757" s="11" t="str">
        <f>IF(D21757&lt;&gt;"",IF(COUNTIF('USPTO TMs'!A:A,D21757)&gt;0,"Yes","No"),"")</f>
        <v/>
      </c>
      <c r="C21757" s="11"/>
      <c r="D21757" s="11"/>
      <c r="E21757" s="11"/>
      <c r="F21757" s="11"/>
      <c r="G21757" s="11"/>
      <c r="H21757" s="11"/>
      <c r="I21757" s="15"/>
    </row>
    <row r="21758" spans="1:9" ht="16.5">
      <c r="A21758" s="10" t="b">
        <v>0</v>
      </c>
      <c r="B21758" s="11" t="str">
        <f>IF(D21758&lt;&gt;"",IF(COUNTIF('USPTO TMs'!A:A,D21758)&gt;0,"Yes","No"),"")</f>
        <v/>
      </c>
      <c r="C21758" s="11"/>
      <c r="D21758" s="11"/>
      <c r="E21758" s="11"/>
      <c r="F21758" s="11"/>
      <c r="G21758" s="11"/>
      <c r="H21758" s="11"/>
      <c r="I21758" s="15"/>
    </row>
    <row r="21759" spans="1:9" ht="16.5">
      <c r="A21759" s="10" t="b">
        <v>0</v>
      </c>
      <c r="B21759" s="11" t="str">
        <f>IF(D21759&lt;&gt;"",IF(COUNTIF('USPTO TMs'!A:A,D21759)&gt;0,"Yes","No"),"")</f>
        <v/>
      </c>
      <c r="C21759" s="11"/>
      <c r="D21759" s="11"/>
      <c r="E21759" s="11"/>
      <c r="F21759" s="11"/>
      <c r="G21759" s="11"/>
      <c r="H21759" s="11"/>
      <c r="I21759" s="15"/>
    </row>
    <row r="21760" spans="1:9" ht="16.5">
      <c r="A21760" s="10" t="b">
        <v>0</v>
      </c>
      <c r="B21760" s="11" t="str">
        <f>IF(D21760&lt;&gt;"",IF(COUNTIF('USPTO TMs'!A:A,D21760)&gt;0,"Yes","No"),"")</f>
        <v/>
      </c>
      <c r="C21760" s="11"/>
      <c r="D21760" s="11"/>
      <c r="E21760" s="11"/>
      <c r="F21760" s="11"/>
      <c r="G21760" s="11"/>
      <c r="H21760" s="11"/>
      <c r="I21760" s="15"/>
    </row>
    <row r="21761" spans="1:9" ht="16.5">
      <c r="A21761" s="10" t="b">
        <v>0</v>
      </c>
      <c r="B21761" s="11" t="str">
        <f>IF(D21761&lt;&gt;"",IF(COUNTIF('USPTO TMs'!A:A,D21761)&gt;0,"Yes","No"),"")</f>
        <v/>
      </c>
      <c r="C21761" s="11"/>
      <c r="D21761" s="11"/>
      <c r="E21761" s="11"/>
      <c r="F21761" s="11"/>
      <c r="G21761" s="11"/>
      <c r="H21761" s="11"/>
      <c r="I21761" s="15"/>
    </row>
    <row r="21762" spans="1:9" ht="16.5">
      <c r="A21762" s="10" t="b">
        <v>0</v>
      </c>
      <c r="B21762" s="11" t="str">
        <f>IF(D21762&lt;&gt;"",IF(COUNTIF('USPTO TMs'!A:A,D21762)&gt;0,"Yes","No"),"")</f>
        <v/>
      </c>
      <c r="C21762" s="11"/>
      <c r="D21762" s="11"/>
      <c r="E21762" s="11"/>
      <c r="F21762" s="11"/>
      <c r="G21762" s="11"/>
      <c r="H21762" s="11"/>
      <c r="I21762" s="15"/>
    </row>
    <row r="21763" spans="1:9" ht="16.5">
      <c r="A21763" s="10" t="b">
        <v>0</v>
      </c>
      <c r="B21763" s="11" t="str">
        <f>IF(D21763&lt;&gt;"",IF(COUNTIF('USPTO TMs'!A:A,D21763)&gt;0,"Yes","No"),"")</f>
        <v/>
      </c>
      <c r="C21763" s="11"/>
      <c r="D21763" s="11"/>
      <c r="E21763" s="11"/>
      <c r="F21763" s="11"/>
      <c r="G21763" s="11"/>
      <c r="H21763" s="11"/>
      <c r="I21763" s="15"/>
    </row>
    <row r="21764" spans="1:9" ht="16.5">
      <c r="A21764" s="10" t="b">
        <v>0</v>
      </c>
      <c r="B21764" s="11" t="str">
        <f>IF(D21764&lt;&gt;"",IF(COUNTIF('USPTO TMs'!A:A,D21764)&gt;0,"Yes","No"),"")</f>
        <v/>
      </c>
      <c r="C21764" s="11"/>
      <c r="D21764" s="11"/>
      <c r="E21764" s="11"/>
      <c r="F21764" s="11"/>
      <c r="G21764" s="11"/>
      <c r="H21764" s="11"/>
      <c r="I21764" s="15"/>
    </row>
    <row r="21765" spans="1:9" ht="16.5">
      <c r="A21765" s="10" t="b">
        <v>0</v>
      </c>
      <c r="B21765" s="11" t="str">
        <f>IF(D21765&lt;&gt;"",IF(COUNTIF('USPTO TMs'!A:A,D21765)&gt;0,"Yes","No"),"")</f>
        <v/>
      </c>
      <c r="C21765" s="11"/>
      <c r="D21765" s="11"/>
      <c r="E21765" s="11"/>
      <c r="F21765" s="11"/>
      <c r="G21765" s="11"/>
      <c r="H21765" s="11"/>
      <c r="I21765" s="15"/>
    </row>
    <row r="21766" spans="1:9" ht="16.5">
      <c r="A21766" s="10" t="b">
        <v>0</v>
      </c>
      <c r="B21766" s="11" t="str">
        <f>IF(D21766&lt;&gt;"",IF(COUNTIF('USPTO TMs'!A:A,D21766)&gt;0,"Yes","No"),"")</f>
        <v/>
      </c>
      <c r="C21766" s="11"/>
      <c r="D21766" s="11"/>
      <c r="E21766" s="11"/>
      <c r="F21766" s="11"/>
      <c r="G21766" s="11"/>
      <c r="H21766" s="11"/>
      <c r="I21766" s="15"/>
    </row>
    <row r="21767" spans="1:9" ht="16.5">
      <c r="A21767" s="10" t="b">
        <v>0</v>
      </c>
      <c r="B21767" s="11" t="str">
        <f>IF(D21767&lt;&gt;"",IF(COUNTIF('USPTO TMs'!A:A,D21767)&gt;0,"Yes","No"),"")</f>
        <v/>
      </c>
      <c r="C21767" s="11"/>
      <c r="D21767" s="11"/>
      <c r="E21767" s="11"/>
      <c r="F21767" s="11"/>
      <c r="G21767" s="11"/>
      <c r="H21767" s="11"/>
      <c r="I21767" s="15"/>
    </row>
    <row r="21768" spans="1:9" ht="16.5">
      <c r="A21768" s="10" t="b">
        <v>0</v>
      </c>
      <c r="B21768" s="11" t="str">
        <f>IF(D21768&lt;&gt;"",IF(COUNTIF('USPTO TMs'!A:A,D21768)&gt;0,"Yes","No"),"")</f>
        <v/>
      </c>
      <c r="C21768" s="11"/>
      <c r="D21768" s="11"/>
      <c r="E21768" s="11"/>
      <c r="F21768" s="11"/>
      <c r="G21768" s="11"/>
      <c r="H21768" s="11"/>
      <c r="I21768" s="15"/>
    </row>
    <row r="21769" spans="1:9" ht="16.5">
      <c r="A21769" s="10" t="b">
        <v>0</v>
      </c>
      <c r="B21769" s="11" t="str">
        <f>IF(D21769&lt;&gt;"",IF(COUNTIF('USPTO TMs'!A:A,D21769)&gt;0,"Yes","No"),"")</f>
        <v/>
      </c>
      <c r="C21769" s="11"/>
      <c r="D21769" s="11"/>
      <c r="E21769" s="11"/>
      <c r="F21769" s="11"/>
      <c r="G21769" s="11"/>
      <c r="H21769" s="11"/>
      <c r="I21769" s="15"/>
    </row>
    <row r="21770" spans="1:9" ht="16.5">
      <c r="A21770" s="10" t="b">
        <v>0</v>
      </c>
      <c r="B21770" s="11" t="str">
        <f>IF(D21770&lt;&gt;"",IF(COUNTIF('USPTO TMs'!A:A,D21770)&gt;0,"Yes","No"),"")</f>
        <v/>
      </c>
      <c r="C21770" s="11"/>
      <c r="D21770" s="11"/>
      <c r="E21770" s="11"/>
      <c r="F21770" s="11"/>
      <c r="G21770" s="11"/>
      <c r="H21770" s="11"/>
      <c r="I21770" s="15"/>
    </row>
  </sheetData>
  <autoFilter ref="A1:I21770" xr:uid="{00000000-0009-0000-0000-00000100000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C395"/>
  <sheetViews>
    <sheetView workbookViewId="0">
      <pane ySplit="1" topLeftCell="A2" activePane="bottomLeft" state="frozen"/>
      <selection pane="bottomLeft" activeCell="B3" sqref="B3"/>
    </sheetView>
  </sheetViews>
  <sheetFormatPr defaultColWidth="14.42578125" defaultRowHeight="15.75" customHeight="1"/>
  <sheetData>
    <row r="1" spans="1:3">
      <c r="A1" s="140" t="s">
        <v>1804</v>
      </c>
      <c r="B1" s="140" t="s">
        <v>1805</v>
      </c>
      <c r="C1" s="140" t="s">
        <v>1806</v>
      </c>
    </row>
    <row r="2" spans="1:3">
      <c r="A2" s="141" t="s">
        <v>1807</v>
      </c>
      <c r="B2" s="141" t="s">
        <v>268</v>
      </c>
      <c r="C2" s="141" t="s">
        <v>1808</v>
      </c>
    </row>
    <row r="3" spans="1:3">
      <c r="A3" s="141" t="s">
        <v>1809</v>
      </c>
      <c r="B3" s="141" t="s">
        <v>1180</v>
      </c>
      <c r="C3" s="141" t="s">
        <v>1810</v>
      </c>
    </row>
    <row r="4" spans="1:3">
      <c r="A4" s="141" t="s">
        <v>1811</v>
      </c>
      <c r="B4" s="141" t="s">
        <v>1812</v>
      </c>
      <c r="C4" s="141" t="s">
        <v>1813</v>
      </c>
    </row>
    <row r="5" spans="1:3">
      <c r="A5" s="141" t="s">
        <v>1814</v>
      </c>
      <c r="B5" s="141" t="s">
        <v>1815</v>
      </c>
      <c r="C5" s="141" t="s">
        <v>1816</v>
      </c>
    </row>
    <row r="6" spans="1:3">
      <c r="A6" s="141" t="s">
        <v>1817</v>
      </c>
      <c r="B6" s="141" t="s">
        <v>1818</v>
      </c>
      <c r="C6" s="141" t="s">
        <v>1819</v>
      </c>
    </row>
    <row r="7" spans="1:3">
      <c r="A7" s="141" t="s">
        <v>1820</v>
      </c>
      <c r="B7" s="141" t="s">
        <v>1821</v>
      </c>
      <c r="C7" s="141" t="s">
        <v>1822</v>
      </c>
    </row>
    <row r="8" spans="1:3">
      <c r="A8" s="141" t="s">
        <v>1823</v>
      </c>
      <c r="B8" s="141" t="s">
        <v>1824</v>
      </c>
      <c r="C8" s="141" t="s">
        <v>1825</v>
      </c>
    </row>
    <row r="9" spans="1:3">
      <c r="A9" s="141" t="s">
        <v>1826</v>
      </c>
      <c r="B9" s="141" t="s">
        <v>1827</v>
      </c>
      <c r="C9" s="141" t="s">
        <v>1828</v>
      </c>
    </row>
    <row r="10" spans="1:3">
      <c r="A10" s="141" t="s">
        <v>1829</v>
      </c>
      <c r="B10" s="141" t="s">
        <v>250</v>
      </c>
      <c r="C10" s="141" t="s">
        <v>1830</v>
      </c>
    </row>
    <row r="11" spans="1:3">
      <c r="A11" s="141" t="s">
        <v>1831</v>
      </c>
      <c r="B11" s="141" t="s">
        <v>279</v>
      </c>
      <c r="C11" s="141" t="s">
        <v>1832</v>
      </c>
    </row>
    <row r="12" spans="1:3">
      <c r="A12" s="141" t="s">
        <v>1833</v>
      </c>
      <c r="B12" s="141" t="s">
        <v>276</v>
      </c>
      <c r="C12" s="141" t="s">
        <v>1834</v>
      </c>
    </row>
    <row r="13" spans="1:3">
      <c r="A13" s="141" t="s">
        <v>1835</v>
      </c>
      <c r="B13" s="141" t="s">
        <v>260</v>
      </c>
      <c r="C13" s="141" t="s">
        <v>1836</v>
      </c>
    </row>
    <row r="14" spans="1:3">
      <c r="A14" s="141" t="s">
        <v>1837</v>
      </c>
      <c r="B14" s="141" t="s">
        <v>294</v>
      </c>
      <c r="C14" s="141" t="s">
        <v>1838</v>
      </c>
    </row>
    <row r="15" spans="1:3">
      <c r="A15" s="141" t="s">
        <v>1839</v>
      </c>
      <c r="B15" s="141" t="s">
        <v>872</v>
      </c>
      <c r="C15" s="141" t="s">
        <v>1840</v>
      </c>
    </row>
    <row r="16" spans="1:3">
      <c r="A16" s="141" t="s">
        <v>1841</v>
      </c>
      <c r="B16" s="141" t="s">
        <v>1842</v>
      </c>
      <c r="C16" s="141" t="s">
        <v>1843</v>
      </c>
    </row>
    <row r="17" spans="1:3">
      <c r="A17" s="141" t="s">
        <v>1844</v>
      </c>
      <c r="B17" s="141" t="s">
        <v>1845</v>
      </c>
      <c r="C17" s="141" t="s">
        <v>1846</v>
      </c>
    </row>
    <row r="18" spans="1:3">
      <c r="A18" s="141" t="s">
        <v>1847</v>
      </c>
      <c r="B18" s="141" t="s">
        <v>1848</v>
      </c>
      <c r="C18" s="141" t="s">
        <v>1849</v>
      </c>
    </row>
    <row r="19" spans="1:3">
      <c r="A19" s="141" t="s">
        <v>1850</v>
      </c>
      <c r="B19" s="141" t="s">
        <v>1851</v>
      </c>
      <c r="C19" s="141" t="s">
        <v>1852</v>
      </c>
    </row>
    <row r="20" spans="1:3">
      <c r="A20" s="141" t="s">
        <v>1853</v>
      </c>
      <c r="B20" s="141" t="s">
        <v>1854</v>
      </c>
      <c r="C20" s="141" t="s">
        <v>1855</v>
      </c>
    </row>
    <row r="21" spans="1:3">
      <c r="A21" s="141" t="s">
        <v>1856</v>
      </c>
      <c r="B21" s="141" t="s">
        <v>272</v>
      </c>
      <c r="C21" s="141" t="s">
        <v>1857</v>
      </c>
    </row>
    <row r="22" spans="1:3">
      <c r="A22" s="141" t="s">
        <v>1858</v>
      </c>
      <c r="B22" s="141" t="s">
        <v>1859</v>
      </c>
      <c r="C22" s="141" t="s">
        <v>286</v>
      </c>
    </row>
    <row r="23" spans="1:3">
      <c r="A23" s="141" t="s">
        <v>1860</v>
      </c>
      <c r="B23" s="141" t="s">
        <v>282</v>
      </c>
      <c r="C23" s="141" t="s">
        <v>1861</v>
      </c>
    </row>
    <row r="24" spans="1:3">
      <c r="A24" s="141" t="s">
        <v>1862</v>
      </c>
      <c r="B24" s="141" t="s">
        <v>1863</v>
      </c>
      <c r="C24" s="141" t="s">
        <v>1864</v>
      </c>
    </row>
    <row r="25" spans="1:3">
      <c r="A25" s="141" t="s">
        <v>1865</v>
      </c>
      <c r="B25" s="141" t="s">
        <v>306</v>
      </c>
      <c r="C25" s="141" t="s">
        <v>1866</v>
      </c>
    </row>
    <row r="26" spans="1:3">
      <c r="A26" s="141" t="s">
        <v>1867</v>
      </c>
      <c r="B26" s="141" t="s">
        <v>302</v>
      </c>
      <c r="C26" s="141" t="s">
        <v>1868</v>
      </c>
    </row>
    <row r="27" spans="1:3">
      <c r="A27" s="141" t="s">
        <v>1869</v>
      </c>
      <c r="B27" s="141" t="s">
        <v>1870</v>
      </c>
      <c r="C27" s="141" t="s">
        <v>1871</v>
      </c>
    </row>
    <row r="28" spans="1:3">
      <c r="A28" s="141" t="s">
        <v>1872</v>
      </c>
      <c r="B28" s="141" t="s">
        <v>1873</v>
      </c>
      <c r="C28" s="141" t="s">
        <v>1874</v>
      </c>
    </row>
    <row r="29" spans="1:3">
      <c r="A29" s="141" t="s">
        <v>1875</v>
      </c>
      <c r="B29" s="141" t="s">
        <v>299</v>
      </c>
      <c r="C29" s="141" t="s">
        <v>1876</v>
      </c>
    </row>
    <row r="30" spans="1:3">
      <c r="A30" s="141" t="s">
        <v>1877</v>
      </c>
      <c r="B30" s="141" t="s">
        <v>310</v>
      </c>
      <c r="C30" s="141" t="s">
        <v>1878</v>
      </c>
    </row>
    <row r="31" spans="1:3">
      <c r="A31" s="141" t="s">
        <v>1879</v>
      </c>
      <c r="B31" s="141" t="s">
        <v>362</v>
      </c>
      <c r="C31" s="141" t="s">
        <v>1880</v>
      </c>
    </row>
    <row r="32" spans="1:3">
      <c r="A32" s="141" t="s">
        <v>1881</v>
      </c>
      <c r="B32" s="141" t="s">
        <v>327</v>
      </c>
      <c r="C32" s="141" t="s">
        <v>1882</v>
      </c>
    </row>
    <row r="33" spans="1:3">
      <c r="A33" s="141" t="s">
        <v>1883</v>
      </c>
      <c r="B33" s="141" t="s">
        <v>323</v>
      </c>
      <c r="C33" s="141" t="s">
        <v>1884</v>
      </c>
    </row>
    <row r="34" spans="1:3">
      <c r="A34" s="141" t="s">
        <v>1885</v>
      </c>
      <c r="B34" s="141" t="s">
        <v>334</v>
      </c>
      <c r="C34" s="141" t="s">
        <v>1886</v>
      </c>
    </row>
    <row r="35" spans="1:3">
      <c r="A35" s="141" t="s">
        <v>1887</v>
      </c>
      <c r="B35" s="141" t="s">
        <v>381</v>
      </c>
      <c r="C35" s="141" t="s">
        <v>1888</v>
      </c>
    </row>
    <row r="36" spans="1:3">
      <c r="A36" s="141" t="s">
        <v>1889</v>
      </c>
      <c r="B36" s="141" t="s">
        <v>377</v>
      </c>
      <c r="C36" s="141" t="s">
        <v>1890</v>
      </c>
    </row>
    <row r="37" spans="1:3">
      <c r="A37" s="141" t="s">
        <v>1891</v>
      </c>
      <c r="B37" s="141" t="s">
        <v>319</v>
      </c>
      <c r="C37" s="141" t="s">
        <v>1892</v>
      </c>
    </row>
    <row r="38" spans="1:3">
      <c r="A38" s="141" t="s">
        <v>1893</v>
      </c>
      <c r="B38" s="141" t="s">
        <v>384</v>
      </c>
      <c r="C38" s="141" t="s">
        <v>1894</v>
      </c>
    </row>
    <row r="39" spans="1:3">
      <c r="A39" s="141" t="s">
        <v>1895</v>
      </c>
      <c r="B39" s="141" t="s">
        <v>344</v>
      </c>
      <c r="C39" s="141" t="s">
        <v>1896</v>
      </c>
    </row>
    <row r="40" spans="1:3">
      <c r="A40" s="141" t="s">
        <v>1897</v>
      </c>
      <c r="B40" s="141" t="s">
        <v>348</v>
      </c>
      <c r="C40" s="141" t="s">
        <v>1898</v>
      </c>
    </row>
    <row r="41" spans="1:3">
      <c r="A41" s="141" t="s">
        <v>1899</v>
      </c>
      <c r="B41" s="141" t="s">
        <v>373</v>
      </c>
      <c r="C41" s="141" t="s">
        <v>1900</v>
      </c>
    </row>
    <row r="42" spans="1:3">
      <c r="A42" s="141" t="s">
        <v>1901</v>
      </c>
      <c r="B42" s="141" t="s">
        <v>355</v>
      </c>
      <c r="C42" s="141" t="s">
        <v>1902</v>
      </c>
    </row>
    <row r="43" spans="1:3">
      <c r="A43" s="141" t="s">
        <v>1903</v>
      </c>
      <c r="B43" s="141" t="s">
        <v>359</v>
      </c>
      <c r="C43" s="141" t="s">
        <v>1904</v>
      </c>
    </row>
    <row r="44" spans="1:3">
      <c r="A44" s="141" t="s">
        <v>1905</v>
      </c>
      <c r="B44" s="70" t="s">
        <v>412</v>
      </c>
      <c r="C44" s="70"/>
    </row>
    <row r="45" spans="1:3">
      <c r="A45" s="141" t="s">
        <v>1906</v>
      </c>
      <c r="B45" s="141" t="s">
        <v>370</v>
      </c>
      <c r="C45" s="141" t="s">
        <v>1907</v>
      </c>
    </row>
    <row r="46" spans="1:3">
      <c r="A46" s="141" t="s">
        <v>1908</v>
      </c>
      <c r="B46" s="141" t="s">
        <v>314</v>
      </c>
      <c r="C46" s="141" t="s">
        <v>1909</v>
      </c>
    </row>
    <row r="47" spans="1:3">
      <c r="A47" s="141" t="s">
        <v>1910</v>
      </c>
      <c r="B47" s="141" t="s">
        <v>351</v>
      </c>
      <c r="C47" s="141" t="s">
        <v>1911</v>
      </c>
    </row>
    <row r="48" spans="1:3">
      <c r="A48" s="141" t="s">
        <v>1912</v>
      </c>
      <c r="B48" s="141" t="s">
        <v>1913</v>
      </c>
      <c r="C48" s="141" t="s">
        <v>1914</v>
      </c>
    </row>
    <row r="49" spans="1:3">
      <c r="A49" s="141" t="s">
        <v>1915</v>
      </c>
      <c r="B49" s="141" t="s">
        <v>366</v>
      </c>
      <c r="C49" s="141" t="s">
        <v>1916</v>
      </c>
    </row>
    <row r="50" spans="1:3">
      <c r="A50" s="141" t="s">
        <v>1917</v>
      </c>
      <c r="B50" s="141" t="s">
        <v>341</v>
      </c>
      <c r="C50" s="141" t="s">
        <v>1918</v>
      </c>
    </row>
    <row r="51" spans="1:3">
      <c r="A51" s="141" t="s">
        <v>1919</v>
      </c>
      <c r="B51" s="141" t="s">
        <v>330</v>
      </c>
      <c r="C51" s="141" t="s">
        <v>1920</v>
      </c>
    </row>
    <row r="52" spans="1:3">
      <c r="A52" s="141" t="s">
        <v>1921</v>
      </c>
      <c r="B52" s="141" t="s">
        <v>338</v>
      </c>
      <c r="C52" s="141" t="s">
        <v>1922</v>
      </c>
    </row>
    <row r="53" spans="1:3">
      <c r="A53" s="141" t="s">
        <v>1923</v>
      </c>
      <c r="B53" s="141" t="s">
        <v>409</v>
      </c>
      <c r="C53" s="141" t="s">
        <v>1924</v>
      </c>
    </row>
    <row r="54" spans="1:3">
      <c r="A54" s="141" t="s">
        <v>1925</v>
      </c>
      <c r="B54" s="141" t="s">
        <v>1926</v>
      </c>
      <c r="C54" s="141" t="s">
        <v>1927</v>
      </c>
    </row>
    <row r="55" spans="1:3">
      <c r="A55" s="141" t="s">
        <v>1928</v>
      </c>
      <c r="B55" s="141" t="s">
        <v>1929</v>
      </c>
      <c r="C55" s="141" t="s">
        <v>1928</v>
      </c>
    </row>
    <row r="56" spans="1:3">
      <c r="A56" s="141" t="s">
        <v>1930</v>
      </c>
      <c r="B56" s="141" t="s">
        <v>1931</v>
      </c>
      <c r="C56" s="141" t="s">
        <v>1930</v>
      </c>
    </row>
    <row r="57" spans="1:3">
      <c r="A57" s="141" t="s">
        <v>1932</v>
      </c>
      <c r="B57" s="141" t="s">
        <v>1933</v>
      </c>
      <c r="C57" s="141" t="s">
        <v>1932</v>
      </c>
    </row>
    <row r="58" spans="1:3">
      <c r="A58" s="141" t="s">
        <v>1934</v>
      </c>
      <c r="B58" s="141" t="s">
        <v>891</v>
      </c>
      <c r="C58" s="141" t="s">
        <v>1934</v>
      </c>
    </row>
    <row r="59" spans="1:3">
      <c r="A59" s="141" t="s">
        <v>1935</v>
      </c>
      <c r="B59" s="141" t="s">
        <v>1936</v>
      </c>
      <c r="C59" s="141" t="s">
        <v>1935</v>
      </c>
    </row>
    <row r="60" spans="1:3">
      <c r="A60" s="141" t="s">
        <v>1937</v>
      </c>
      <c r="B60" s="141" t="s">
        <v>1938</v>
      </c>
      <c r="C60" s="141" t="s">
        <v>1937</v>
      </c>
    </row>
    <row r="61" spans="1:3">
      <c r="A61" s="141" t="s">
        <v>1939</v>
      </c>
      <c r="B61" s="141" t="s">
        <v>1940</v>
      </c>
      <c r="C61" s="141" t="s">
        <v>1939</v>
      </c>
    </row>
    <row r="62" spans="1:3">
      <c r="A62" s="141" t="s">
        <v>1941</v>
      </c>
      <c r="B62" s="141" t="s">
        <v>1942</v>
      </c>
      <c r="C62" s="141" t="s">
        <v>1943</v>
      </c>
    </row>
    <row r="63" spans="1:3">
      <c r="A63" s="141" t="s">
        <v>1944</v>
      </c>
      <c r="B63" s="141" t="s">
        <v>1945</v>
      </c>
      <c r="C63" s="141" t="s">
        <v>1944</v>
      </c>
    </row>
    <row r="64" spans="1:3">
      <c r="A64" s="141" t="s">
        <v>1946</v>
      </c>
      <c r="B64" s="141" t="s">
        <v>1947</v>
      </c>
      <c r="C64" s="141" t="s">
        <v>1946</v>
      </c>
    </row>
    <row r="65" spans="1:3">
      <c r="A65" s="141" t="s">
        <v>1948</v>
      </c>
      <c r="B65" s="141" t="s">
        <v>1949</v>
      </c>
      <c r="C65" s="141" t="s">
        <v>1948</v>
      </c>
    </row>
    <row r="66" spans="1:3">
      <c r="A66" s="141" t="s">
        <v>1950</v>
      </c>
      <c r="B66" s="141" t="s">
        <v>482</v>
      </c>
      <c r="C66" s="141" t="s">
        <v>1951</v>
      </c>
    </row>
    <row r="67" spans="1:3">
      <c r="A67" s="141" t="s">
        <v>1952</v>
      </c>
      <c r="B67" s="141" t="s">
        <v>421</v>
      </c>
      <c r="C67" s="141" t="s">
        <v>1953</v>
      </c>
    </row>
    <row r="68" spans="1:3">
      <c r="A68" s="141" t="s">
        <v>1954</v>
      </c>
      <c r="B68" s="141" t="s">
        <v>1955</v>
      </c>
      <c r="C68" s="141" t="s">
        <v>1956</v>
      </c>
    </row>
    <row r="69" spans="1:3">
      <c r="A69" s="141" t="s">
        <v>1957</v>
      </c>
      <c r="B69" s="141" t="s">
        <v>1103</v>
      </c>
      <c r="C69" s="141" t="s">
        <v>1958</v>
      </c>
    </row>
    <row r="70" spans="1:3">
      <c r="A70" s="141" t="s">
        <v>1959</v>
      </c>
      <c r="B70" s="141" t="s">
        <v>1960</v>
      </c>
      <c r="C70" s="141" t="s">
        <v>1961</v>
      </c>
    </row>
    <row r="71" spans="1:3">
      <c r="A71" s="141" t="s">
        <v>1962</v>
      </c>
      <c r="B71" s="141" t="s">
        <v>450</v>
      </c>
      <c r="C71" s="141" t="s">
        <v>1963</v>
      </c>
    </row>
    <row r="72" spans="1:3">
      <c r="A72" s="141" t="s">
        <v>1964</v>
      </c>
      <c r="B72" s="141" t="s">
        <v>428</v>
      </c>
      <c r="C72" s="141" t="s">
        <v>1965</v>
      </c>
    </row>
    <row r="73" spans="1:3">
      <c r="A73" s="141" t="s">
        <v>1966</v>
      </c>
      <c r="B73" s="141" t="s">
        <v>405</v>
      </c>
      <c r="C73" s="141" t="s">
        <v>1967</v>
      </c>
    </row>
    <row r="74" spans="1:3">
      <c r="A74" s="141" t="s">
        <v>1968</v>
      </c>
      <c r="B74" s="141" t="s">
        <v>431</v>
      </c>
      <c r="C74" s="141" t="s">
        <v>1969</v>
      </c>
    </row>
    <row r="75" spans="1:3">
      <c r="A75" s="141" t="s">
        <v>1970</v>
      </c>
      <c r="B75" s="141" t="s">
        <v>437</v>
      </c>
      <c r="C75" s="141" t="s">
        <v>1971</v>
      </c>
    </row>
    <row r="76" spans="1:3">
      <c r="A76" s="141" t="s">
        <v>1972</v>
      </c>
      <c r="B76" s="141" t="s">
        <v>453</v>
      </c>
      <c r="C76" s="141" t="s">
        <v>1973</v>
      </c>
    </row>
    <row r="77" spans="1:3">
      <c r="A77" s="141" t="s">
        <v>1974</v>
      </c>
      <c r="B77" s="141" t="s">
        <v>1975</v>
      </c>
      <c r="C77" s="141" t="s">
        <v>1974</v>
      </c>
    </row>
    <row r="78" spans="1:3">
      <c r="A78" s="141" t="s">
        <v>1976</v>
      </c>
      <c r="B78" s="141" t="s">
        <v>922</v>
      </c>
      <c r="C78" s="141" t="s">
        <v>1977</v>
      </c>
    </row>
    <row r="79" spans="1:3">
      <c r="A79" s="141" t="s">
        <v>1978</v>
      </c>
      <c r="B79" s="141" t="s">
        <v>465</v>
      </c>
      <c r="C79" s="141" t="s">
        <v>1979</v>
      </c>
    </row>
    <row r="80" spans="1:3">
      <c r="A80" s="141" t="s">
        <v>1980</v>
      </c>
      <c r="B80" s="141" t="s">
        <v>1981</v>
      </c>
      <c r="C80" s="141" t="s">
        <v>1982</v>
      </c>
    </row>
    <row r="81" spans="1:3">
      <c r="A81" s="141" t="s">
        <v>1983</v>
      </c>
      <c r="B81" s="141" t="s">
        <v>468</v>
      </c>
      <c r="C81" s="142"/>
    </row>
    <row r="82" spans="1:3">
      <c r="A82" s="141" t="s">
        <v>1984</v>
      </c>
      <c r="B82" s="141" t="s">
        <v>472</v>
      </c>
      <c r="C82" s="141" t="s">
        <v>1985</v>
      </c>
    </row>
    <row r="83" spans="1:3">
      <c r="A83" s="141" t="s">
        <v>1986</v>
      </c>
      <c r="B83" s="141" t="s">
        <v>476</v>
      </c>
      <c r="C83" s="141" t="s">
        <v>1987</v>
      </c>
    </row>
    <row r="84" spans="1:3">
      <c r="A84" s="141" t="s">
        <v>1988</v>
      </c>
      <c r="B84" s="141" t="s">
        <v>1989</v>
      </c>
      <c r="C84" s="141" t="s">
        <v>1990</v>
      </c>
    </row>
    <row r="85" spans="1:3">
      <c r="A85" s="141" t="s">
        <v>1991</v>
      </c>
      <c r="B85" s="141" t="s">
        <v>575</v>
      </c>
      <c r="C85" s="141" t="s">
        <v>1992</v>
      </c>
    </row>
    <row r="86" spans="1:3">
      <c r="A86" s="141" t="s">
        <v>1993</v>
      </c>
      <c r="B86" s="141" t="s">
        <v>493</v>
      </c>
      <c r="C86" s="141" t="s">
        <v>1994</v>
      </c>
    </row>
    <row r="87" spans="1:3">
      <c r="A87" s="141" t="s">
        <v>1995</v>
      </c>
      <c r="B87" s="141" t="s">
        <v>487</v>
      </c>
      <c r="C87" s="141" t="s">
        <v>1996</v>
      </c>
    </row>
    <row r="88" spans="1:3">
      <c r="A88" s="141" t="s">
        <v>1997</v>
      </c>
      <c r="B88" s="141" t="s">
        <v>497</v>
      </c>
      <c r="C88" s="141" t="s">
        <v>1998</v>
      </c>
    </row>
    <row r="89" spans="1:3">
      <c r="A89" s="141" t="s">
        <v>1999</v>
      </c>
      <c r="B89" s="141" t="s">
        <v>500</v>
      </c>
      <c r="C89" s="141" t="s">
        <v>2000</v>
      </c>
    </row>
    <row r="90" spans="1:3">
      <c r="A90" s="141" t="s">
        <v>2001</v>
      </c>
      <c r="B90" s="141" t="s">
        <v>264</v>
      </c>
      <c r="C90" s="141" t="s">
        <v>2002</v>
      </c>
    </row>
    <row r="91" spans="1:3">
      <c r="A91" s="141" t="s">
        <v>2003</v>
      </c>
      <c r="B91" s="141" t="s">
        <v>2004</v>
      </c>
      <c r="C91" s="141" t="s">
        <v>2005</v>
      </c>
    </row>
    <row r="92" spans="1:3">
      <c r="A92" s="141" t="s">
        <v>2006</v>
      </c>
      <c r="B92" s="141" t="s">
        <v>2007</v>
      </c>
      <c r="C92" s="141" t="s">
        <v>2008</v>
      </c>
    </row>
    <row r="93" spans="1:3">
      <c r="A93" s="141" t="s">
        <v>2009</v>
      </c>
      <c r="B93" s="141" t="s">
        <v>2010</v>
      </c>
      <c r="C93" s="141" t="s">
        <v>2011</v>
      </c>
    </row>
    <row r="94" spans="1:3">
      <c r="A94" s="141" t="s">
        <v>2012</v>
      </c>
      <c r="B94" s="141" t="s">
        <v>2013</v>
      </c>
      <c r="C94" s="141" t="s">
        <v>2014</v>
      </c>
    </row>
    <row r="95" spans="1:3">
      <c r="A95" s="141" t="s">
        <v>2015</v>
      </c>
      <c r="B95" s="141" t="s">
        <v>505</v>
      </c>
      <c r="C95" s="141" t="s">
        <v>2016</v>
      </c>
    </row>
    <row r="96" spans="1:3">
      <c r="A96" s="141" t="s">
        <v>2017</v>
      </c>
      <c r="B96" s="141" t="s">
        <v>526</v>
      </c>
      <c r="C96" s="141" t="s">
        <v>2018</v>
      </c>
    </row>
    <row r="97" spans="1:3">
      <c r="A97" s="141" t="s">
        <v>2019</v>
      </c>
      <c r="B97" s="141" t="s">
        <v>510</v>
      </c>
      <c r="C97" s="141" t="s">
        <v>2020</v>
      </c>
    </row>
    <row r="98" spans="1:3">
      <c r="A98" s="141" t="s">
        <v>2021</v>
      </c>
      <c r="B98" s="141" t="s">
        <v>2022</v>
      </c>
      <c r="C98" s="141" t="s">
        <v>2023</v>
      </c>
    </row>
    <row r="99" spans="1:3">
      <c r="A99" s="141" t="s">
        <v>2024</v>
      </c>
      <c r="B99" s="141" t="s">
        <v>536</v>
      </c>
      <c r="C99" s="141" t="s">
        <v>2025</v>
      </c>
    </row>
    <row r="100" spans="1:3">
      <c r="A100" s="141" t="s">
        <v>2026</v>
      </c>
      <c r="B100" s="141" t="s">
        <v>522</v>
      </c>
      <c r="C100" s="141" t="s">
        <v>2027</v>
      </c>
    </row>
    <row r="101" spans="1:3">
      <c r="A101" s="141" t="s">
        <v>2028</v>
      </c>
      <c r="B101" s="141" t="s">
        <v>1078</v>
      </c>
      <c r="C101" s="141" t="s">
        <v>2029</v>
      </c>
    </row>
    <row r="102" spans="1:3">
      <c r="A102" s="141" t="s">
        <v>2030</v>
      </c>
      <c r="B102" s="141" t="s">
        <v>2031</v>
      </c>
      <c r="C102" s="141" t="s">
        <v>2032</v>
      </c>
    </row>
    <row r="103" spans="1:3">
      <c r="A103" s="141" t="s">
        <v>2033</v>
      </c>
      <c r="B103" s="141" t="s">
        <v>2034</v>
      </c>
      <c r="C103" s="141" t="s">
        <v>2035</v>
      </c>
    </row>
    <row r="104" spans="1:3">
      <c r="A104" s="141" t="s">
        <v>2036</v>
      </c>
      <c r="B104" s="141" t="s">
        <v>2037</v>
      </c>
      <c r="C104" s="141" t="s">
        <v>2038</v>
      </c>
    </row>
    <row r="105" spans="1:3">
      <c r="A105" s="141" t="s">
        <v>2039</v>
      </c>
      <c r="B105" s="141" t="s">
        <v>2040</v>
      </c>
      <c r="C105" s="141" t="s">
        <v>2041</v>
      </c>
    </row>
    <row r="106" spans="1:3">
      <c r="A106" s="141" t="s">
        <v>2042</v>
      </c>
      <c r="B106" s="141" t="s">
        <v>533</v>
      </c>
      <c r="C106" s="141" t="s">
        <v>2043</v>
      </c>
    </row>
    <row r="107" spans="1:3">
      <c r="A107" s="141" t="s">
        <v>2044</v>
      </c>
      <c r="B107" s="141" t="s">
        <v>544</v>
      </c>
      <c r="C107" s="141" t="s">
        <v>2045</v>
      </c>
    </row>
    <row r="108" spans="1:3">
      <c r="A108" s="141" t="s">
        <v>2046</v>
      </c>
      <c r="B108" s="141" t="s">
        <v>540</v>
      </c>
      <c r="C108" s="141" t="s">
        <v>2047</v>
      </c>
    </row>
    <row r="109" spans="1:3">
      <c r="A109" s="141" t="s">
        <v>2048</v>
      </c>
      <c r="B109" s="141" t="s">
        <v>2049</v>
      </c>
      <c r="C109" s="141" t="s">
        <v>2050</v>
      </c>
    </row>
    <row r="110" spans="1:3">
      <c r="A110" s="141" t="s">
        <v>2051</v>
      </c>
      <c r="B110" s="141" t="s">
        <v>820</v>
      </c>
      <c r="C110" s="141" t="s">
        <v>2052</v>
      </c>
    </row>
    <row r="111" spans="1:3">
      <c r="A111" s="141" t="s">
        <v>2053</v>
      </c>
      <c r="B111" s="141" t="s">
        <v>2054</v>
      </c>
      <c r="C111" s="141" t="s">
        <v>2055</v>
      </c>
    </row>
    <row r="112" spans="1:3">
      <c r="A112" s="141" t="s">
        <v>2056</v>
      </c>
      <c r="B112" s="141" t="s">
        <v>551</v>
      </c>
      <c r="C112" s="141" t="s">
        <v>2057</v>
      </c>
    </row>
    <row r="113" spans="1:3">
      <c r="A113" s="141" t="s">
        <v>2058</v>
      </c>
      <c r="B113" s="141" t="s">
        <v>2059</v>
      </c>
      <c r="C113" s="141" t="s">
        <v>2060</v>
      </c>
    </row>
    <row r="114" spans="1:3">
      <c r="A114" s="141" t="s">
        <v>2061</v>
      </c>
      <c r="B114" s="141" t="s">
        <v>2062</v>
      </c>
      <c r="C114" s="141" t="s">
        <v>2063</v>
      </c>
    </row>
    <row r="115" spans="1:3">
      <c r="A115" s="141" t="s">
        <v>2064</v>
      </c>
      <c r="B115" s="141" t="s">
        <v>557</v>
      </c>
      <c r="C115" s="141" t="s">
        <v>2065</v>
      </c>
    </row>
    <row r="116" spans="1:3">
      <c r="A116" s="141" t="s">
        <v>2066</v>
      </c>
      <c r="B116" s="141" t="s">
        <v>1183</v>
      </c>
      <c r="C116" s="141" t="s">
        <v>2067</v>
      </c>
    </row>
    <row r="117" spans="1:3">
      <c r="A117" s="141" t="s">
        <v>2068</v>
      </c>
      <c r="B117" s="141" t="s">
        <v>2069</v>
      </c>
      <c r="C117" s="141" t="s">
        <v>2070</v>
      </c>
    </row>
    <row r="118" spans="1:3">
      <c r="A118" s="141" t="s">
        <v>2071</v>
      </c>
      <c r="B118" s="141" t="s">
        <v>2072</v>
      </c>
      <c r="C118" s="141" t="s">
        <v>2073</v>
      </c>
    </row>
    <row r="119" spans="1:3">
      <c r="A119" s="141" t="s">
        <v>2074</v>
      </c>
      <c r="B119" s="141" t="s">
        <v>2075</v>
      </c>
      <c r="C119" s="141" t="s">
        <v>2076</v>
      </c>
    </row>
    <row r="120" spans="1:3">
      <c r="A120" s="141" t="s">
        <v>2077</v>
      </c>
      <c r="B120" s="141" t="s">
        <v>2078</v>
      </c>
      <c r="C120" s="141" t="s">
        <v>2079</v>
      </c>
    </row>
    <row r="121" spans="1:3">
      <c r="A121" s="141" t="s">
        <v>2080</v>
      </c>
      <c r="B121" s="141" t="s">
        <v>591</v>
      </c>
      <c r="C121" s="141" t="s">
        <v>2081</v>
      </c>
    </row>
    <row r="122" spans="1:3">
      <c r="A122" s="141" t="s">
        <v>2082</v>
      </c>
      <c r="B122" s="141" t="s">
        <v>570</v>
      </c>
      <c r="C122" s="141" t="s">
        <v>2083</v>
      </c>
    </row>
    <row r="123" spans="1:3">
      <c r="A123" s="141" t="s">
        <v>2084</v>
      </c>
      <c r="B123" s="141" t="s">
        <v>2085</v>
      </c>
      <c r="C123" s="141" t="s">
        <v>2086</v>
      </c>
    </row>
    <row r="124" spans="1:3">
      <c r="A124" s="141" t="s">
        <v>2087</v>
      </c>
      <c r="B124" s="141" t="s">
        <v>599</v>
      </c>
      <c r="C124" s="141" t="s">
        <v>2088</v>
      </c>
    </row>
    <row r="125" spans="1:3">
      <c r="A125" s="141" t="s">
        <v>2089</v>
      </c>
      <c r="B125" s="141" t="s">
        <v>579</v>
      </c>
      <c r="C125" s="141" t="s">
        <v>2090</v>
      </c>
    </row>
    <row r="126" spans="1:3">
      <c r="A126" s="141" t="s">
        <v>2091</v>
      </c>
      <c r="B126" s="141" t="s">
        <v>582</v>
      </c>
      <c r="C126" s="141" t="s">
        <v>2092</v>
      </c>
    </row>
    <row r="127" spans="1:3">
      <c r="A127" s="141" t="s">
        <v>2093</v>
      </c>
      <c r="B127" s="141" t="s">
        <v>2094</v>
      </c>
      <c r="C127" s="141" t="s">
        <v>2095</v>
      </c>
    </row>
    <row r="128" spans="1:3">
      <c r="A128" s="141" t="s">
        <v>2096</v>
      </c>
      <c r="B128" s="141" t="s">
        <v>561</v>
      </c>
      <c r="C128" s="141" t="s">
        <v>2097</v>
      </c>
    </row>
    <row r="129" spans="1:3">
      <c r="A129" s="141" t="s">
        <v>2098</v>
      </c>
      <c r="B129" s="141" t="s">
        <v>603</v>
      </c>
      <c r="C129" s="141" t="s">
        <v>2099</v>
      </c>
    </row>
    <row r="130" spans="1:3">
      <c r="A130" s="141" t="s">
        <v>2100</v>
      </c>
      <c r="B130" s="141" t="s">
        <v>2101</v>
      </c>
      <c r="C130" s="141" t="s">
        <v>2102</v>
      </c>
    </row>
    <row r="131" spans="1:3">
      <c r="A131" s="141" t="s">
        <v>2103</v>
      </c>
      <c r="B131" s="141" t="s">
        <v>518</v>
      </c>
      <c r="C131" s="141" t="s">
        <v>2104</v>
      </c>
    </row>
    <row r="132" spans="1:3">
      <c r="A132" s="141" t="s">
        <v>2105</v>
      </c>
      <c r="B132" s="141" t="s">
        <v>2106</v>
      </c>
      <c r="C132" s="141" t="s">
        <v>2107</v>
      </c>
    </row>
    <row r="133" spans="1:3">
      <c r="A133" s="141" t="s">
        <v>2108</v>
      </c>
      <c r="B133" s="141" t="s">
        <v>2109</v>
      </c>
      <c r="C133" s="141" t="s">
        <v>2110</v>
      </c>
    </row>
    <row r="134" spans="1:3">
      <c r="A134" s="141" t="s">
        <v>2111</v>
      </c>
      <c r="B134" s="141" t="s">
        <v>2112</v>
      </c>
      <c r="C134" s="141" t="s">
        <v>2113</v>
      </c>
    </row>
    <row r="135" spans="1:3">
      <c r="A135" s="141" t="s">
        <v>2114</v>
      </c>
      <c r="B135" s="141" t="s">
        <v>2115</v>
      </c>
      <c r="C135" s="141" t="s">
        <v>2116</v>
      </c>
    </row>
    <row r="136" spans="1:3">
      <c r="A136" s="141" t="s">
        <v>2117</v>
      </c>
      <c r="B136" s="141" t="s">
        <v>2118</v>
      </c>
      <c r="C136" s="141" t="s">
        <v>2119</v>
      </c>
    </row>
    <row r="137" spans="1:3">
      <c r="A137" s="141" t="s">
        <v>2120</v>
      </c>
      <c r="B137" s="141" t="s">
        <v>585</v>
      </c>
      <c r="C137" s="141" t="s">
        <v>2121</v>
      </c>
    </row>
    <row r="138" spans="1:3">
      <c r="A138" s="141" t="s">
        <v>2122</v>
      </c>
      <c r="B138" s="141" t="s">
        <v>595</v>
      </c>
      <c r="C138" s="141" t="s">
        <v>2123</v>
      </c>
    </row>
    <row r="139" spans="1:3">
      <c r="A139" s="141" t="s">
        <v>2124</v>
      </c>
      <c r="B139" s="141" t="s">
        <v>592</v>
      </c>
      <c r="C139" s="141" t="s">
        <v>2125</v>
      </c>
    </row>
    <row r="140" spans="1:3">
      <c r="A140" s="141" t="s">
        <v>2126</v>
      </c>
      <c r="B140" s="141" t="s">
        <v>608</v>
      </c>
      <c r="C140" s="141" t="s">
        <v>2127</v>
      </c>
    </row>
    <row r="141" spans="1:3">
      <c r="A141" s="141" t="s">
        <v>2128</v>
      </c>
      <c r="B141" s="141" t="s">
        <v>612</v>
      </c>
      <c r="C141" s="141" t="s">
        <v>2129</v>
      </c>
    </row>
    <row r="142" spans="1:3">
      <c r="A142" s="141" t="s">
        <v>2130</v>
      </c>
      <c r="B142" s="141" t="s">
        <v>568</v>
      </c>
      <c r="C142" s="141" t="s">
        <v>2131</v>
      </c>
    </row>
    <row r="143" spans="1:3">
      <c r="A143" s="141" t="s">
        <v>2132</v>
      </c>
      <c r="B143" s="141" t="s">
        <v>635</v>
      </c>
      <c r="C143" s="141" t="s">
        <v>2133</v>
      </c>
    </row>
    <row r="144" spans="1:3">
      <c r="A144" s="141" t="s">
        <v>2134</v>
      </c>
      <c r="B144" s="141" t="s">
        <v>630</v>
      </c>
      <c r="C144" s="141" t="s">
        <v>2135</v>
      </c>
    </row>
    <row r="145" spans="1:3">
      <c r="A145" s="141" t="s">
        <v>2136</v>
      </c>
      <c r="B145" s="141" t="s">
        <v>461</v>
      </c>
      <c r="C145" s="141" t="s">
        <v>2137</v>
      </c>
    </row>
    <row r="146" spans="1:3">
      <c r="A146" s="141" t="s">
        <v>2138</v>
      </c>
      <c r="B146" s="141" t="s">
        <v>617</v>
      </c>
      <c r="C146" s="141" t="s">
        <v>2139</v>
      </c>
    </row>
    <row r="147" spans="1:3">
      <c r="A147" s="141" t="s">
        <v>2140</v>
      </c>
      <c r="B147" s="141" t="s">
        <v>639</v>
      </c>
      <c r="C147" s="141" t="s">
        <v>2141</v>
      </c>
    </row>
    <row r="148" spans="1:3">
      <c r="A148" s="141" t="s">
        <v>2142</v>
      </c>
      <c r="B148" s="141" t="s">
        <v>658</v>
      </c>
      <c r="C148" s="141" t="s">
        <v>2143</v>
      </c>
    </row>
    <row r="149" spans="1:3">
      <c r="A149" s="141" t="s">
        <v>2144</v>
      </c>
      <c r="B149" s="141" t="s">
        <v>2145</v>
      </c>
      <c r="C149" s="141" t="s">
        <v>2146</v>
      </c>
    </row>
    <row r="150" spans="1:3">
      <c r="A150" s="141" t="s">
        <v>2147</v>
      </c>
      <c r="B150" s="141" t="s">
        <v>672</v>
      </c>
      <c r="C150" s="141" t="s">
        <v>2148</v>
      </c>
    </row>
    <row r="151" spans="1:3">
      <c r="A151" s="141" t="s">
        <v>2149</v>
      </c>
      <c r="B151" s="141" t="s">
        <v>675</v>
      </c>
      <c r="C151" s="141" t="s">
        <v>2150</v>
      </c>
    </row>
    <row r="152" spans="1:3">
      <c r="A152" s="141" t="s">
        <v>2151</v>
      </c>
      <c r="B152" s="141" t="s">
        <v>652</v>
      </c>
      <c r="C152" s="141" t="s">
        <v>2152</v>
      </c>
    </row>
    <row r="153" spans="1:3">
      <c r="A153" s="141" t="s">
        <v>2153</v>
      </c>
      <c r="B153" s="141" t="s">
        <v>668</v>
      </c>
      <c r="C153" s="141" t="s">
        <v>2154</v>
      </c>
    </row>
    <row r="154" spans="1:3">
      <c r="A154" s="141" t="s">
        <v>2155</v>
      </c>
      <c r="B154" s="141" t="s">
        <v>715</v>
      </c>
      <c r="C154" s="142"/>
    </row>
    <row r="155" spans="1:3">
      <c r="A155" s="141" t="s">
        <v>2156</v>
      </c>
      <c r="B155" s="141" t="s">
        <v>664</v>
      </c>
      <c r="C155" s="141" t="s">
        <v>2157</v>
      </c>
    </row>
    <row r="156" spans="1:3">
      <c r="A156" s="141" t="s">
        <v>2158</v>
      </c>
      <c r="B156" s="141" t="s">
        <v>643</v>
      </c>
      <c r="C156" s="141" t="s">
        <v>2159</v>
      </c>
    </row>
    <row r="157" spans="1:3">
      <c r="A157" s="141" t="s">
        <v>2160</v>
      </c>
      <c r="B157" s="141" t="s">
        <v>678</v>
      </c>
      <c r="C157" s="141" t="s">
        <v>2161</v>
      </c>
    </row>
    <row r="158" spans="1:3">
      <c r="A158" s="141" t="s">
        <v>2162</v>
      </c>
      <c r="B158" s="141" t="s">
        <v>688</v>
      </c>
      <c r="C158" s="141" t="s">
        <v>2163</v>
      </c>
    </row>
    <row r="159" spans="1:3">
      <c r="A159" s="141" t="s">
        <v>2164</v>
      </c>
      <c r="B159" s="141" t="s">
        <v>682</v>
      </c>
      <c r="C159" s="141" t="s">
        <v>2165</v>
      </c>
    </row>
    <row r="160" spans="1:3">
      <c r="A160" s="141" t="s">
        <v>2166</v>
      </c>
      <c r="B160" s="141" t="s">
        <v>691</v>
      </c>
      <c r="C160" s="141" t="s">
        <v>2167</v>
      </c>
    </row>
    <row r="161" spans="1:3">
      <c r="A161" s="141" t="s">
        <v>2168</v>
      </c>
      <c r="B161" s="141" t="s">
        <v>685</v>
      </c>
      <c r="C161" s="141" t="s">
        <v>2169</v>
      </c>
    </row>
    <row r="162" spans="1:3">
      <c r="A162" s="141" t="s">
        <v>2170</v>
      </c>
      <c r="B162" s="141" t="s">
        <v>2171</v>
      </c>
      <c r="C162" s="141" t="s">
        <v>2172</v>
      </c>
    </row>
    <row r="163" spans="1:3">
      <c r="A163" s="141" t="s">
        <v>2173</v>
      </c>
      <c r="B163" s="141" t="s">
        <v>2174</v>
      </c>
      <c r="C163" s="141" t="s">
        <v>2175</v>
      </c>
    </row>
    <row r="164" spans="1:3">
      <c r="A164" s="141" t="s">
        <v>2176</v>
      </c>
      <c r="B164" s="141" t="s">
        <v>703</v>
      </c>
      <c r="C164" s="141" t="s">
        <v>2177</v>
      </c>
    </row>
    <row r="165" spans="1:3">
      <c r="A165" s="141" t="s">
        <v>2178</v>
      </c>
      <c r="B165" s="141" t="s">
        <v>724</v>
      </c>
      <c r="C165" s="141" t="s">
        <v>2179</v>
      </c>
    </row>
    <row r="166" spans="1:3">
      <c r="A166" s="141" t="s">
        <v>2180</v>
      </c>
      <c r="B166" s="141" t="s">
        <v>399</v>
      </c>
      <c r="C166" s="141" t="s">
        <v>2181</v>
      </c>
    </row>
    <row r="167" spans="1:3">
      <c r="A167" s="141" t="s">
        <v>2182</v>
      </c>
      <c r="B167" s="141" t="s">
        <v>707</v>
      </c>
      <c r="C167" s="141" t="s">
        <v>2183</v>
      </c>
    </row>
    <row r="168" spans="1:3">
      <c r="A168" s="141" t="s">
        <v>2184</v>
      </c>
      <c r="B168" s="141" t="s">
        <v>443</v>
      </c>
      <c r="C168" s="141" t="s">
        <v>2185</v>
      </c>
    </row>
    <row r="169" spans="1:3">
      <c r="A169" s="141" t="s">
        <v>2186</v>
      </c>
      <c r="B169" s="141" t="s">
        <v>1086</v>
      </c>
      <c r="C169" s="141" t="s">
        <v>2187</v>
      </c>
    </row>
    <row r="170" spans="1:3">
      <c r="A170" s="141" t="s">
        <v>2188</v>
      </c>
      <c r="B170" s="141" t="s">
        <v>913</v>
      </c>
      <c r="C170" s="141" t="s">
        <v>2189</v>
      </c>
    </row>
    <row r="171" spans="1:3">
      <c r="A171" s="141" t="s">
        <v>2190</v>
      </c>
      <c r="B171" s="141" t="s">
        <v>1074</v>
      </c>
      <c r="C171" s="141" t="s">
        <v>2191</v>
      </c>
    </row>
    <row r="172" spans="1:3">
      <c r="A172" s="141" t="s">
        <v>2192</v>
      </c>
      <c r="B172" s="141" t="s">
        <v>720</v>
      </c>
      <c r="C172" s="141" t="s">
        <v>2193</v>
      </c>
    </row>
    <row r="173" spans="1:3">
      <c r="A173" s="141" t="s">
        <v>2194</v>
      </c>
      <c r="B173" s="141" t="s">
        <v>416</v>
      </c>
      <c r="C173" s="141" t="s">
        <v>2195</v>
      </c>
    </row>
    <row r="174" spans="1:3">
      <c r="A174" s="141" t="s">
        <v>2196</v>
      </c>
      <c r="B174" s="141" t="s">
        <v>697</v>
      </c>
      <c r="C174" s="141" t="s">
        <v>2197</v>
      </c>
    </row>
    <row r="175" spans="1:3">
      <c r="A175" s="141" t="s">
        <v>2198</v>
      </c>
      <c r="B175" s="141" t="s">
        <v>728</v>
      </c>
      <c r="C175" s="141" t="s">
        <v>2199</v>
      </c>
    </row>
    <row r="176" spans="1:3">
      <c r="A176" s="141" t="s">
        <v>2200</v>
      </c>
      <c r="B176" s="141" t="s">
        <v>736</v>
      </c>
      <c r="C176" s="141" t="s">
        <v>2201</v>
      </c>
    </row>
    <row r="177" spans="1:3">
      <c r="A177" s="141" t="s">
        <v>2202</v>
      </c>
      <c r="B177" s="141" t="s">
        <v>1089</v>
      </c>
      <c r="C177" s="141" t="s">
        <v>2203</v>
      </c>
    </row>
    <row r="178" spans="1:3">
      <c r="A178" s="141" t="s">
        <v>2204</v>
      </c>
      <c r="B178" s="141" t="s">
        <v>751</v>
      </c>
      <c r="C178" s="141" t="s">
        <v>2205</v>
      </c>
    </row>
    <row r="179" spans="1:3">
      <c r="A179" s="141" t="s">
        <v>2206</v>
      </c>
      <c r="B179" s="141" t="s">
        <v>1082</v>
      </c>
      <c r="C179" s="141" t="s">
        <v>2207</v>
      </c>
    </row>
    <row r="180" spans="1:3">
      <c r="A180" s="141" t="s">
        <v>2208</v>
      </c>
      <c r="B180" s="141" t="s">
        <v>744</v>
      </c>
      <c r="C180" s="141" t="s">
        <v>2209</v>
      </c>
    </row>
    <row r="181" spans="1:3">
      <c r="A181" s="141" t="s">
        <v>2210</v>
      </c>
      <c r="B181" s="141" t="s">
        <v>740</v>
      </c>
      <c r="C181" s="141" t="s">
        <v>2211</v>
      </c>
    </row>
    <row r="182" spans="1:3">
      <c r="A182" s="141" t="s">
        <v>2212</v>
      </c>
      <c r="B182" s="141" t="s">
        <v>755</v>
      </c>
      <c r="C182" s="141" t="s">
        <v>2213</v>
      </c>
    </row>
    <row r="183" spans="1:3">
      <c r="A183" s="141" t="s">
        <v>2214</v>
      </c>
      <c r="B183" s="141" t="s">
        <v>761</v>
      </c>
      <c r="C183" s="141" t="s">
        <v>2215</v>
      </c>
    </row>
    <row r="184" spans="1:3">
      <c r="A184" s="141" t="s">
        <v>2216</v>
      </c>
      <c r="B184" s="141" t="s">
        <v>732</v>
      </c>
      <c r="C184" s="141" t="s">
        <v>2217</v>
      </c>
    </row>
    <row r="185" spans="1:3">
      <c r="A185" s="141" t="s">
        <v>2218</v>
      </c>
      <c r="B185" s="141" t="s">
        <v>748</v>
      </c>
      <c r="C185" s="141" t="s">
        <v>2219</v>
      </c>
    </row>
    <row r="186" spans="1:3">
      <c r="A186" s="141" t="s">
        <v>2220</v>
      </c>
      <c r="B186" s="141" t="s">
        <v>848</v>
      </c>
      <c r="C186" s="141" t="s">
        <v>2221</v>
      </c>
    </row>
    <row r="187" spans="1:3">
      <c r="A187" s="141" t="s">
        <v>2222</v>
      </c>
      <c r="B187" s="141" t="s">
        <v>2223</v>
      </c>
      <c r="C187" s="141" t="s">
        <v>2224</v>
      </c>
    </row>
    <row r="188" spans="1:3">
      <c r="A188" s="141" t="s">
        <v>2225</v>
      </c>
      <c r="B188" s="141" t="s">
        <v>2226</v>
      </c>
      <c r="C188" s="141" t="s">
        <v>2227</v>
      </c>
    </row>
    <row r="189" spans="1:3">
      <c r="A189" s="141" t="s">
        <v>2228</v>
      </c>
      <c r="B189" s="141" t="s">
        <v>1119</v>
      </c>
      <c r="C189" s="141" t="s">
        <v>2229</v>
      </c>
    </row>
    <row r="190" spans="1:3">
      <c r="A190" s="141" t="s">
        <v>2230</v>
      </c>
      <c r="B190" s="141" t="s">
        <v>833</v>
      </c>
      <c r="C190" s="141" t="s">
        <v>2231</v>
      </c>
    </row>
    <row r="191" spans="1:3">
      <c r="A191" s="141" t="s">
        <v>2232</v>
      </c>
      <c r="B191" s="141" t="s">
        <v>829</v>
      </c>
      <c r="C191" s="141" t="s">
        <v>2233</v>
      </c>
    </row>
    <row r="192" spans="1:3">
      <c r="A192" s="141" t="s">
        <v>2234</v>
      </c>
      <c r="B192" s="141" t="s">
        <v>842</v>
      </c>
      <c r="C192" s="141" t="s">
        <v>2235</v>
      </c>
    </row>
    <row r="193" spans="1:3">
      <c r="A193" s="141" t="s">
        <v>2236</v>
      </c>
      <c r="B193" s="141" t="s">
        <v>769</v>
      </c>
      <c r="C193" s="141" t="s">
        <v>2237</v>
      </c>
    </row>
    <row r="194" spans="1:3">
      <c r="A194" s="141" t="s">
        <v>2238</v>
      </c>
      <c r="B194" s="141" t="s">
        <v>798</v>
      </c>
      <c r="C194" s="141" t="s">
        <v>2239</v>
      </c>
    </row>
    <row r="195" spans="1:3">
      <c r="A195" s="141" t="s">
        <v>2240</v>
      </c>
      <c r="B195" s="141" t="s">
        <v>2241</v>
      </c>
      <c r="C195" s="141" t="s">
        <v>2242</v>
      </c>
    </row>
    <row r="196" spans="1:3">
      <c r="A196" s="141" t="s">
        <v>2243</v>
      </c>
      <c r="B196" s="141" t="s">
        <v>790</v>
      </c>
      <c r="C196" s="141" t="s">
        <v>2244</v>
      </c>
    </row>
    <row r="197" spans="1:3">
      <c r="A197" s="141" t="s">
        <v>2245</v>
      </c>
      <c r="B197" s="141" t="s">
        <v>855</v>
      </c>
      <c r="C197" s="141" t="s">
        <v>2246</v>
      </c>
    </row>
    <row r="198" spans="1:3">
      <c r="A198" s="141" t="s">
        <v>2247</v>
      </c>
      <c r="B198" s="141" t="s">
        <v>837</v>
      </c>
      <c r="C198" s="141" t="s">
        <v>2248</v>
      </c>
    </row>
    <row r="199" spans="1:3">
      <c r="A199" s="141" t="s">
        <v>2249</v>
      </c>
      <c r="B199" s="141" t="s">
        <v>765</v>
      </c>
      <c r="C199" s="141" t="s">
        <v>2250</v>
      </c>
    </row>
    <row r="200" spans="1:3">
      <c r="A200" s="141" t="s">
        <v>2251</v>
      </c>
      <c r="B200" s="141" t="s">
        <v>2252</v>
      </c>
      <c r="C200" s="141" t="s">
        <v>2253</v>
      </c>
    </row>
    <row r="201" spans="1:3">
      <c r="A201" s="141" t="s">
        <v>2254</v>
      </c>
      <c r="B201" s="141" t="s">
        <v>2255</v>
      </c>
      <c r="C201" s="141" t="s">
        <v>2256</v>
      </c>
    </row>
    <row r="202" spans="1:3">
      <c r="A202" s="141" t="s">
        <v>2257</v>
      </c>
      <c r="B202" s="141" t="s">
        <v>807</v>
      </c>
      <c r="C202" s="141" t="s">
        <v>2258</v>
      </c>
    </row>
    <row r="203" spans="1:3">
      <c r="A203" s="141" t="s">
        <v>2259</v>
      </c>
      <c r="B203" s="141" t="s">
        <v>845</v>
      </c>
      <c r="C203" s="141" t="s">
        <v>2260</v>
      </c>
    </row>
    <row r="204" spans="1:3">
      <c r="A204" s="141" t="s">
        <v>2261</v>
      </c>
      <c r="B204" s="141" t="s">
        <v>794</v>
      </c>
      <c r="C204" s="141" t="s">
        <v>2262</v>
      </c>
    </row>
    <row r="205" spans="1:3">
      <c r="A205" s="141" t="s">
        <v>2263</v>
      </c>
      <c r="B205" s="141" t="s">
        <v>810</v>
      </c>
      <c r="C205" s="141" t="s">
        <v>2264</v>
      </c>
    </row>
    <row r="206" spans="1:3">
      <c r="A206" s="141" t="s">
        <v>2265</v>
      </c>
      <c r="B206" s="141" t="s">
        <v>786</v>
      </c>
      <c r="C206" s="141" t="s">
        <v>2266</v>
      </c>
    </row>
    <row r="207" spans="1:3">
      <c r="A207" s="141" t="s">
        <v>2267</v>
      </c>
      <c r="B207" s="141" t="s">
        <v>776</v>
      </c>
      <c r="C207" s="141" t="s">
        <v>2268</v>
      </c>
    </row>
    <row r="208" spans="1:3">
      <c r="A208" s="141" t="s">
        <v>2269</v>
      </c>
      <c r="B208" s="141" t="s">
        <v>813</v>
      </c>
      <c r="C208" s="141" t="s">
        <v>2270</v>
      </c>
    </row>
    <row r="209" spans="1:3">
      <c r="A209" s="141" t="s">
        <v>2271</v>
      </c>
      <c r="B209" s="141" t="s">
        <v>783</v>
      </c>
      <c r="C209" s="141" t="s">
        <v>2272</v>
      </c>
    </row>
    <row r="210" spans="1:3">
      <c r="A210" s="141" t="s">
        <v>2273</v>
      </c>
      <c r="B210" s="141" t="s">
        <v>780</v>
      </c>
      <c r="C210" s="141" t="s">
        <v>2274</v>
      </c>
    </row>
    <row r="211" spans="1:3">
      <c r="A211" s="141" t="s">
        <v>2275</v>
      </c>
      <c r="B211" s="141" t="s">
        <v>1003</v>
      </c>
      <c r="C211" s="141" t="s">
        <v>2276</v>
      </c>
    </row>
    <row r="212" spans="1:3">
      <c r="A212" s="141" t="s">
        <v>2277</v>
      </c>
      <c r="B212" s="141" t="s">
        <v>1021</v>
      </c>
      <c r="C212" s="141" t="s">
        <v>2278</v>
      </c>
    </row>
    <row r="213" spans="1:3">
      <c r="A213" s="141" t="s">
        <v>2279</v>
      </c>
      <c r="B213" s="141" t="s">
        <v>852</v>
      </c>
      <c r="C213" s="141" t="s">
        <v>2280</v>
      </c>
    </row>
    <row r="214" spans="1:3">
      <c r="A214" s="141" t="s">
        <v>2281</v>
      </c>
      <c r="B214" s="141" t="s">
        <v>858</v>
      </c>
      <c r="C214" s="141" t="s">
        <v>2282</v>
      </c>
    </row>
    <row r="215" spans="1:3">
      <c r="A215" s="141" t="s">
        <v>2283</v>
      </c>
      <c r="B215" s="141" t="s">
        <v>2284</v>
      </c>
      <c r="C215" s="141" t="s">
        <v>2285</v>
      </c>
    </row>
    <row r="216" spans="1:3">
      <c r="A216" s="141" t="s">
        <v>2286</v>
      </c>
      <c r="B216" s="141" t="s">
        <v>2287</v>
      </c>
      <c r="C216" s="141" t="s">
        <v>2288</v>
      </c>
    </row>
    <row r="217" spans="1:3">
      <c r="A217" s="141" t="s">
        <v>2289</v>
      </c>
      <c r="B217" s="141" t="s">
        <v>898</v>
      </c>
      <c r="C217" s="141" t="s">
        <v>2290</v>
      </c>
    </row>
    <row r="218" spans="1:3">
      <c r="A218" s="141" t="s">
        <v>2291</v>
      </c>
      <c r="B218" s="141" t="s">
        <v>2292</v>
      </c>
      <c r="C218" s="141" t="s">
        <v>2293</v>
      </c>
    </row>
    <row r="219" spans="1:3">
      <c r="A219" s="141" t="s">
        <v>2294</v>
      </c>
      <c r="B219" s="141" t="s">
        <v>902</v>
      </c>
      <c r="C219" s="141" t="s">
        <v>2295</v>
      </c>
    </row>
    <row r="220" spans="1:3">
      <c r="A220" s="141" t="s">
        <v>2296</v>
      </c>
      <c r="B220" s="141" t="s">
        <v>895</v>
      </c>
      <c r="C220" s="141" t="s">
        <v>2297</v>
      </c>
    </row>
    <row r="221" spans="1:3">
      <c r="A221" s="141" t="s">
        <v>2298</v>
      </c>
      <c r="B221" s="141" t="s">
        <v>872</v>
      </c>
      <c r="C221" s="141" t="s">
        <v>2299</v>
      </c>
    </row>
    <row r="222" spans="1:3">
      <c r="A222" s="141" t="s">
        <v>2300</v>
      </c>
      <c r="B222" s="141" t="s">
        <v>925</v>
      </c>
      <c r="C222" s="141" t="s">
        <v>2301</v>
      </c>
    </row>
    <row r="223" spans="1:3">
      <c r="A223" s="141" t="s">
        <v>2302</v>
      </c>
      <c r="B223" s="141" t="s">
        <v>868</v>
      </c>
      <c r="C223" s="141" t="s">
        <v>2303</v>
      </c>
    </row>
    <row r="224" spans="1:3">
      <c r="A224" s="141" t="s">
        <v>2304</v>
      </c>
      <c r="B224" s="141" t="s">
        <v>862</v>
      </c>
      <c r="C224" s="141" t="s">
        <v>2305</v>
      </c>
    </row>
    <row r="225" spans="1:3">
      <c r="A225" s="141" t="s">
        <v>2306</v>
      </c>
      <c r="B225" s="141" t="s">
        <v>905</v>
      </c>
      <c r="C225" s="141" t="s">
        <v>2307</v>
      </c>
    </row>
    <row r="226" spans="1:3">
      <c r="A226" s="141" t="s">
        <v>2308</v>
      </c>
      <c r="B226" s="141" t="s">
        <v>888</v>
      </c>
      <c r="C226" s="141" t="s">
        <v>2309</v>
      </c>
    </row>
    <row r="227" spans="1:3">
      <c r="A227" s="141" t="s">
        <v>2310</v>
      </c>
      <c r="B227" s="141" t="s">
        <v>2311</v>
      </c>
      <c r="C227" s="141" t="s">
        <v>2312</v>
      </c>
    </row>
    <row r="228" spans="1:3">
      <c r="A228" s="141" t="s">
        <v>2313</v>
      </c>
      <c r="B228" s="141" t="s">
        <v>935</v>
      </c>
      <c r="C228" s="141" t="s">
        <v>2314</v>
      </c>
    </row>
    <row r="229" spans="1:3">
      <c r="A229" s="141" t="s">
        <v>2315</v>
      </c>
      <c r="B229" s="141" t="s">
        <v>2316</v>
      </c>
      <c r="C229" s="141" t="s">
        <v>2317</v>
      </c>
    </row>
    <row r="230" spans="1:3">
      <c r="A230" s="141" t="s">
        <v>2318</v>
      </c>
      <c r="B230" s="141" t="s">
        <v>953</v>
      </c>
      <c r="C230" s="141" t="s">
        <v>2319</v>
      </c>
    </row>
    <row r="231" spans="1:3">
      <c r="A231" s="141" t="s">
        <v>2320</v>
      </c>
      <c r="B231" s="141" t="s">
        <v>967</v>
      </c>
      <c r="C231" s="141" t="s">
        <v>2321</v>
      </c>
    </row>
    <row r="232" spans="1:3">
      <c r="A232" s="141" t="s">
        <v>2322</v>
      </c>
      <c r="B232" s="141" t="s">
        <v>554</v>
      </c>
      <c r="C232" s="141" t="s">
        <v>2323</v>
      </c>
    </row>
    <row r="233" spans="1:3">
      <c r="A233" s="141" t="s">
        <v>2324</v>
      </c>
      <c r="B233" s="141" t="s">
        <v>956</v>
      </c>
      <c r="C233" s="141" t="s">
        <v>2325</v>
      </c>
    </row>
    <row r="234" spans="1:3">
      <c r="A234" s="141" t="s">
        <v>2326</v>
      </c>
      <c r="B234" s="141" t="s">
        <v>971</v>
      </c>
      <c r="C234" s="141" t="s">
        <v>2327</v>
      </c>
    </row>
    <row r="235" spans="1:3">
      <c r="A235" s="141" t="s">
        <v>2328</v>
      </c>
      <c r="B235" s="141" t="s">
        <v>941</v>
      </c>
      <c r="C235" s="141" t="s">
        <v>2329</v>
      </c>
    </row>
    <row r="236" spans="1:3">
      <c r="A236" s="141" t="s">
        <v>2330</v>
      </c>
      <c r="B236" s="141" t="s">
        <v>975</v>
      </c>
      <c r="C236" s="141" t="s">
        <v>2331</v>
      </c>
    </row>
    <row r="237" spans="1:3">
      <c r="A237" s="141" t="s">
        <v>2332</v>
      </c>
      <c r="B237" s="141" t="s">
        <v>2333</v>
      </c>
      <c r="C237" s="141" t="s">
        <v>2334</v>
      </c>
    </row>
    <row r="238" spans="1:3">
      <c r="A238" s="141" t="s">
        <v>2335</v>
      </c>
      <c r="B238" s="141" t="s">
        <v>2336</v>
      </c>
      <c r="C238" s="141" t="s">
        <v>2337</v>
      </c>
    </row>
    <row r="239" spans="1:3">
      <c r="A239" s="141" t="s">
        <v>2338</v>
      </c>
      <c r="B239" s="141" t="s">
        <v>982</v>
      </c>
      <c r="C239" s="141" t="s">
        <v>2339</v>
      </c>
    </row>
    <row r="240" spans="1:3">
      <c r="A240" s="141" t="s">
        <v>2340</v>
      </c>
      <c r="B240" s="141" t="s">
        <v>949</v>
      </c>
      <c r="C240" s="141" t="s">
        <v>2341</v>
      </c>
    </row>
    <row r="241" spans="1:3">
      <c r="A241" s="141" t="s">
        <v>2342</v>
      </c>
      <c r="B241" s="141" t="s">
        <v>979</v>
      </c>
      <c r="C241" s="141" t="s">
        <v>2343</v>
      </c>
    </row>
    <row r="242" spans="1:3">
      <c r="A242" s="141" t="s">
        <v>2344</v>
      </c>
      <c r="B242" s="141" t="s">
        <v>2345</v>
      </c>
      <c r="C242" s="141" t="s">
        <v>2346</v>
      </c>
    </row>
    <row r="243" spans="1:3">
      <c r="A243" s="141" t="s">
        <v>2347</v>
      </c>
      <c r="B243" s="141" t="s">
        <v>2348</v>
      </c>
      <c r="C243" s="141" t="s">
        <v>2349</v>
      </c>
    </row>
    <row r="244" spans="1:3">
      <c r="A244" s="141" t="s">
        <v>2350</v>
      </c>
      <c r="B244" s="141" t="s">
        <v>945</v>
      </c>
      <c r="C244" s="141" t="s">
        <v>2351</v>
      </c>
    </row>
    <row r="245" spans="1:3">
      <c r="A245" s="141" t="s">
        <v>2352</v>
      </c>
      <c r="B245" s="141" t="s">
        <v>960</v>
      </c>
      <c r="C245" s="141" t="s">
        <v>2353</v>
      </c>
    </row>
    <row r="246" spans="1:3">
      <c r="A246" s="141" t="s">
        <v>2354</v>
      </c>
      <c r="B246" s="141" t="s">
        <v>986</v>
      </c>
      <c r="C246" s="141" t="s">
        <v>2355</v>
      </c>
    </row>
    <row r="247" spans="1:3">
      <c r="A247" s="141" t="s">
        <v>2356</v>
      </c>
      <c r="B247" s="141" t="s">
        <v>2357</v>
      </c>
      <c r="C247" s="141" t="s">
        <v>2358</v>
      </c>
    </row>
    <row r="248" spans="1:3">
      <c r="A248" s="141" t="s">
        <v>2359</v>
      </c>
      <c r="B248" s="141" t="s">
        <v>2360</v>
      </c>
      <c r="C248" s="141" t="s">
        <v>2361</v>
      </c>
    </row>
    <row r="249" spans="1:3">
      <c r="A249" s="141" t="s">
        <v>2362</v>
      </c>
      <c r="B249" s="141" t="s">
        <v>992</v>
      </c>
      <c r="C249" s="141" t="s">
        <v>2363</v>
      </c>
    </row>
    <row r="250" spans="1:3">
      <c r="A250" s="141" t="s">
        <v>2364</v>
      </c>
      <c r="B250" s="141" t="s">
        <v>1032</v>
      </c>
      <c r="C250" s="141" t="s">
        <v>2365</v>
      </c>
    </row>
    <row r="251" spans="1:3">
      <c r="A251" s="141" t="s">
        <v>2366</v>
      </c>
      <c r="B251" s="141" t="s">
        <v>995</v>
      </c>
      <c r="C251" s="141" t="s">
        <v>2367</v>
      </c>
    </row>
    <row r="252" spans="1:3">
      <c r="A252" s="141" t="s">
        <v>2368</v>
      </c>
      <c r="B252" s="141" t="s">
        <v>999</v>
      </c>
      <c r="C252" s="141" t="s">
        <v>2369</v>
      </c>
    </row>
    <row r="253" spans="1:3">
      <c r="A253" s="141" t="s">
        <v>2370</v>
      </c>
      <c r="B253" s="141" t="s">
        <v>1024</v>
      </c>
      <c r="C253" s="141" t="s">
        <v>2371</v>
      </c>
    </row>
    <row r="254" spans="1:3">
      <c r="A254" s="141" t="s">
        <v>2372</v>
      </c>
      <c r="B254" s="141" t="s">
        <v>1057</v>
      </c>
      <c r="C254" s="141" t="s">
        <v>2373</v>
      </c>
    </row>
    <row r="255" spans="1:3">
      <c r="A255" s="141" t="s">
        <v>2374</v>
      </c>
      <c r="B255" s="141" t="s">
        <v>2375</v>
      </c>
      <c r="C255" s="141" t="s">
        <v>2376</v>
      </c>
    </row>
    <row r="256" spans="1:3">
      <c r="A256" s="141" t="s">
        <v>2377</v>
      </c>
      <c r="B256" s="141" t="s">
        <v>1035</v>
      </c>
      <c r="C256" s="141" t="s">
        <v>2378</v>
      </c>
    </row>
    <row r="257" spans="1:3">
      <c r="A257" s="141" t="s">
        <v>2379</v>
      </c>
      <c r="B257" s="141" t="s">
        <v>1092</v>
      </c>
      <c r="C257" s="141" t="s">
        <v>2380</v>
      </c>
    </row>
    <row r="258" spans="1:3">
      <c r="A258" s="141" t="s">
        <v>2381</v>
      </c>
      <c r="B258" s="141" t="s">
        <v>1099</v>
      </c>
      <c r="C258" s="141" t="s">
        <v>2382</v>
      </c>
    </row>
    <row r="259" spans="1:3">
      <c r="A259" s="141" t="s">
        <v>2383</v>
      </c>
      <c r="B259" s="141" t="s">
        <v>1043</v>
      </c>
      <c r="C259" s="141" t="s">
        <v>2384</v>
      </c>
    </row>
    <row r="260" spans="1:3">
      <c r="A260" s="141" t="s">
        <v>2385</v>
      </c>
      <c r="B260" s="141" t="s">
        <v>2386</v>
      </c>
      <c r="C260" s="141" t="s">
        <v>2387</v>
      </c>
    </row>
    <row r="261" spans="1:3">
      <c r="A261" s="141" t="s">
        <v>2388</v>
      </c>
      <c r="B261" s="141" t="s">
        <v>1054</v>
      </c>
      <c r="C261" s="141" t="s">
        <v>2389</v>
      </c>
    </row>
    <row r="262" spans="1:3">
      <c r="A262" s="141" t="s">
        <v>2390</v>
      </c>
      <c r="B262" s="141" t="s">
        <v>2391</v>
      </c>
      <c r="C262" s="141" t="s">
        <v>2278</v>
      </c>
    </row>
    <row r="263" spans="1:3">
      <c r="A263" s="141" t="s">
        <v>2392</v>
      </c>
      <c r="B263" s="141" t="s">
        <v>1050</v>
      </c>
      <c r="C263" s="141" t="s">
        <v>2393</v>
      </c>
    </row>
    <row r="264" spans="1:3">
      <c r="A264" s="141" t="s">
        <v>2394</v>
      </c>
      <c r="B264" s="141" t="s">
        <v>1039</v>
      </c>
      <c r="C264" s="141" t="s">
        <v>2395</v>
      </c>
    </row>
    <row r="265" spans="1:3">
      <c r="A265" s="141" t="s">
        <v>2396</v>
      </c>
      <c r="B265" s="141" t="s">
        <v>1014</v>
      </c>
      <c r="C265" s="141" t="s">
        <v>2397</v>
      </c>
    </row>
    <row r="266" spans="1:3">
      <c r="A266" s="141" t="s">
        <v>2398</v>
      </c>
      <c r="B266" s="141" t="s">
        <v>1028</v>
      </c>
      <c r="C266" s="141" t="s">
        <v>2399</v>
      </c>
    </row>
    <row r="267" spans="1:3">
      <c r="A267" s="141" t="s">
        <v>2400</v>
      </c>
      <c r="B267" s="141" t="s">
        <v>2401</v>
      </c>
      <c r="C267" s="141" t="s">
        <v>2402</v>
      </c>
    </row>
    <row r="268" spans="1:3">
      <c r="A268" s="141" t="s">
        <v>2403</v>
      </c>
      <c r="B268" s="141" t="s">
        <v>1062</v>
      </c>
      <c r="C268" s="141" t="s">
        <v>2404</v>
      </c>
    </row>
    <row r="269" spans="1:3">
      <c r="A269" s="141" t="s">
        <v>2405</v>
      </c>
      <c r="B269" s="141" t="s">
        <v>1096</v>
      </c>
      <c r="C269" s="141" t="s">
        <v>2406</v>
      </c>
    </row>
    <row r="270" spans="1:3">
      <c r="A270" s="141" t="s">
        <v>2407</v>
      </c>
      <c r="B270" s="144" t="s">
        <v>2408</v>
      </c>
      <c r="C270" s="145"/>
    </row>
    <row r="271" spans="1:3">
      <c r="A271" s="141" t="s">
        <v>2409</v>
      </c>
      <c r="B271" s="141" t="s">
        <v>1018</v>
      </c>
      <c r="C271" s="141" t="s">
        <v>2410</v>
      </c>
    </row>
    <row r="272" spans="1:3">
      <c r="A272" s="141" t="s">
        <v>2411</v>
      </c>
      <c r="B272" s="141" t="s">
        <v>2412</v>
      </c>
      <c r="C272" s="141" t="s">
        <v>2413</v>
      </c>
    </row>
    <row r="273" spans="1:3">
      <c r="A273" s="141" t="s">
        <v>2414</v>
      </c>
      <c r="B273" s="141" t="s">
        <v>514</v>
      </c>
      <c r="C273" s="141" t="s">
        <v>2415</v>
      </c>
    </row>
    <row r="274" spans="1:3">
      <c r="A274" s="141" t="s">
        <v>2416</v>
      </c>
      <c r="B274" s="141" t="s">
        <v>1047</v>
      </c>
      <c r="C274" s="141" t="s">
        <v>2417</v>
      </c>
    </row>
    <row r="275" spans="1:3">
      <c r="A275" s="141" t="s">
        <v>2418</v>
      </c>
      <c r="B275" s="141" t="s">
        <v>1107</v>
      </c>
      <c r="C275" s="141" t="s">
        <v>2419</v>
      </c>
    </row>
    <row r="276" spans="1:3">
      <c r="A276" s="141" t="s">
        <v>2420</v>
      </c>
      <c r="B276" s="141" t="s">
        <v>530</v>
      </c>
      <c r="C276" s="141" t="s">
        <v>2421</v>
      </c>
    </row>
    <row r="277" spans="1:3">
      <c r="A277" s="141" t="s">
        <v>2422</v>
      </c>
      <c r="B277" s="141" t="s">
        <v>1167</v>
      </c>
      <c r="C277" s="141" t="s">
        <v>2423</v>
      </c>
    </row>
    <row r="278" spans="1:3">
      <c r="A278" s="141" t="s">
        <v>2424</v>
      </c>
      <c r="B278" s="141" t="s">
        <v>424</v>
      </c>
      <c r="C278" s="141" t="s">
        <v>2425</v>
      </c>
    </row>
    <row r="279" spans="1:3">
      <c r="A279" s="141" t="s">
        <v>2426</v>
      </c>
      <c r="B279" s="141" t="s">
        <v>1146</v>
      </c>
      <c r="C279" s="141" t="s">
        <v>2427</v>
      </c>
    </row>
    <row r="280" spans="1:3">
      <c r="A280" s="141" t="s">
        <v>2428</v>
      </c>
      <c r="B280" s="141" t="s">
        <v>1138</v>
      </c>
      <c r="C280" s="141" t="s">
        <v>2429</v>
      </c>
    </row>
    <row r="281" spans="1:3">
      <c r="A281" s="141" t="s">
        <v>2430</v>
      </c>
      <c r="B281" s="141" t="s">
        <v>1131</v>
      </c>
      <c r="C281" s="141" t="s">
        <v>2431</v>
      </c>
    </row>
    <row r="282" spans="1:3">
      <c r="A282" s="141" t="s">
        <v>2432</v>
      </c>
      <c r="B282" s="141" t="s">
        <v>1119</v>
      </c>
      <c r="C282" s="141" t="s">
        <v>2433</v>
      </c>
    </row>
    <row r="283" spans="1:3">
      <c r="A283" s="141" t="s">
        <v>2434</v>
      </c>
      <c r="B283" s="141" t="s">
        <v>1115</v>
      </c>
      <c r="C283" s="141" t="s">
        <v>2435</v>
      </c>
    </row>
    <row r="284" spans="1:3">
      <c r="A284" s="141" t="s">
        <v>2436</v>
      </c>
      <c r="B284" s="141" t="s">
        <v>2437</v>
      </c>
      <c r="C284" s="141" t="s">
        <v>2438</v>
      </c>
    </row>
    <row r="285" spans="1:3">
      <c r="A285" s="141" t="s">
        <v>2439</v>
      </c>
      <c r="B285" s="141" t="s">
        <v>1164</v>
      </c>
      <c r="C285" s="141" t="s">
        <v>2440</v>
      </c>
    </row>
    <row r="286" spans="1:3">
      <c r="A286" s="141" t="s">
        <v>2441</v>
      </c>
      <c r="B286" s="141" t="s">
        <v>1156</v>
      </c>
      <c r="C286" s="141" t="s">
        <v>2442</v>
      </c>
    </row>
    <row r="287" spans="1:3">
      <c r="A287" s="141" t="s">
        <v>2443</v>
      </c>
      <c r="B287" s="141" t="s">
        <v>1142</v>
      </c>
      <c r="C287" s="141" t="s">
        <v>2444</v>
      </c>
    </row>
    <row r="288" spans="1:3">
      <c r="A288" s="141" t="s">
        <v>2445</v>
      </c>
      <c r="B288" s="141" t="s">
        <v>2446</v>
      </c>
      <c r="C288" s="141" t="s">
        <v>2447</v>
      </c>
    </row>
    <row r="289" spans="1:3">
      <c r="A289" s="141" t="s">
        <v>2448</v>
      </c>
      <c r="B289" s="141" t="s">
        <v>1160</v>
      </c>
      <c r="C289" s="141" t="s">
        <v>2449</v>
      </c>
    </row>
    <row r="290" spans="1:3">
      <c r="A290" s="141" t="s">
        <v>2450</v>
      </c>
      <c r="B290" s="141" t="s">
        <v>1153</v>
      </c>
      <c r="C290" s="141" t="s">
        <v>2451</v>
      </c>
    </row>
    <row r="291" spans="1:3">
      <c r="A291" s="141" t="s">
        <v>2452</v>
      </c>
      <c r="B291" s="141" t="s">
        <v>1170</v>
      </c>
      <c r="C291" s="141" t="s">
        <v>2453</v>
      </c>
    </row>
    <row r="292" spans="1:3">
      <c r="A292" s="141" t="s">
        <v>2454</v>
      </c>
      <c r="B292" s="141" t="s">
        <v>1111</v>
      </c>
      <c r="C292" s="141" t="s">
        <v>2455</v>
      </c>
    </row>
    <row r="293" spans="1:3">
      <c r="A293" s="141" t="s">
        <v>2456</v>
      </c>
      <c r="B293" s="141" t="s">
        <v>2457</v>
      </c>
      <c r="C293" s="141" t="s">
        <v>2458</v>
      </c>
    </row>
    <row r="294" spans="1:3">
      <c r="A294" s="141" t="s">
        <v>2459</v>
      </c>
      <c r="B294" s="141" t="s">
        <v>2460</v>
      </c>
      <c r="C294" s="141" t="s">
        <v>2461</v>
      </c>
    </row>
    <row r="295" spans="1:3">
      <c r="A295" s="141" t="s">
        <v>2462</v>
      </c>
      <c r="B295" s="141" t="s">
        <v>1177</v>
      </c>
      <c r="C295" s="141" t="s">
        <v>2463</v>
      </c>
    </row>
    <row r="296" spans="1:3">
      <c r="A296" s="141" t="s">
        <v>2464</v>
      </c>
      <c r="B296" s="141" t="s">
        <v>1173</v>
      </c>
      <c r="C296" s="141" t="s">
        <v>2465</v>
      </c>
    </row>
    <row r="297" spans="1:3">
      <c r="A297" s="141" t="s">
        <v>2466</v>
      </c>
      <c r="B297" s="141" t="s">
        <v>1187</v>
      </c>
      <c r="C297" s="141" t="s">
        <v>2467</v>
      </c>
    </row>
    <row r="298" spans="1:3">
      <c r="A298" s="141" t="s">
        <v>2468</v>
      </c>
      <c r="B298" s="141" t="s">
        <v>257</v>
      </c>
      <c r="C298" s="141" t="s">
        <v>2469</v>
      </c>
    </row>
    <row r="299" spans="1:3">
      <c r="A299" s="141" t="s">
        <v>2470</v>
      </c>
      <c r="B299" s="141" t="s">
        <v>254</v>
      </c>
      <c r="C299" s="141" t="s">
        <v>2471</v>
      </c>
    </row>
    <row r="300" spans="1:3">
      <c r="A300" s="141" t="s">
        <v>2472</v>
      </c>
      <c r="B300" s="141" t="s">
        <v>292</v>
      </c>
      <c r="C300" s="141" t="s">
        <v>2473</v>
      </c>
    </row>
    <row r="301" spans="1:3">
      <c r="A301" s="141" t="s">
        <v>2474</v>
      </c>
      <c r="B301" s="141" t="s">
        <v>289</v>
      </c>
      <c r="C301" s="141" t="s">
        <v>2475</v>
      </c>
    </row>
    <row r="302" spans="1:3">
      <c r="A302" s="141" t="s">
        <v>2476</v>
      </c>
      <c r="B302" s="141" t="s">
        <v>397</v>
      </c>
      <c r="C302" s="141" t="s">
        <v>2477</v>
      </c>
    </row>
    <row r="303" spans="1:3">
      <c r="A303" s="141" t="s">
        <v>2478</v>
      </c>
      <c r="B303" s="141" t="s">
        <v>441</v>
      </c>
      <c r="C303" s="141" t="s">
        <v>2479</v>
      </c>
    </row>
    <row r="304" spans="1:3">
      <c r="A304" s="141" t="s">
        <v>2480</v>
      </c>
      <c r="B304" s="141" t="s">
        <v>448</v>
      </c>
      <c r="C304" s="141" t="s">
        <v>2481</v>
      </c>
    </row>
    <row r="305" spans="1:3">
      <c r="A305" s="141" t="s">
        <v>2482</v>
      </c>
      <c r="B305" s="141" t="s">
        <v>491</v>
      </c>
      <c r="C305" s="141" t="s">
        <v>2483</v>
      </c>
    </row>
    <row r="306" spans="1:3">
      <c r="A306" s="141" t="s">
        <v>2484</v>
      </c>
      <c r="B306" s="141" t="s">
        <v>479</v>
      </c>
      <c r="C306" s="141" t="s">
        <v>2485</v>
      </c>
    </row>
    <row r="307" spans="1:3">
      <c r="A307" s="141" t="s">
        <v>2486</v>
      </c>
      <c r="B307" s="141" t="s">
        <v>548</v>
      </c>
      <c r="C307" s="141" t="s">
        <v>2487</v>
      </c>
    </row>
    <row r="308" spans="1:3">
      <c r="A308" s="141" t="s">
        <v>2488</v>
      </c>
      <c r="B308" s="141" t="s">
        <v>570</v>
      </c>
      <c r="C308" s="141" t="s">
        <v>2489</v>
      </c>
    </row>
    <row r="309" spans="1:3">
      <c r="A309" s="141" t="s">
        <v>2490</v>
      </c>
      <c r="B309" s="141" t="s">
        <v>622</v>
      </c>
      <c r="C309" s="141" t="s">
        <v>2491</v>
      </c>
    </row>
    <row r="310" spans="1:3">
      <c r="A310" s="141" t="s">
        <v>2492</v>
      </c>
      <c r="B310" s="141" t="s">
        <v>662</v>
      </c>
      <c r="C310" s="141" t="s">
        <v>2493</v>
      </c>
    </row>
    <row r="311" spans="1:3">
      <c r="A311" s="141" t="s">
        <v>2494</v>
      </c>
      <c r="B311" s="141" t="s">
        <v>648</v>
      </c>
      <c r="C311" s="141" t="s">
        <v>2495</v>
      </c>
    </row>
    <row r="312" spans="1:3">
      <c r="A312" s="141" t="s">
        <v>2496</v>
      </c>
      <c r="B312" s="141" t="s">
        <v>650</v>
      </c>
      <c r="C312" s="141" t="s">
        <v>2497</v>
      </c>
    </row>
    <row r="313" spans="1:3">
      <c r="A313" s="141" t="s">
        <v>2498</v>
      </c>
      <c r="B313" s="141" t="s">
        <v>656</v>
      </c>
      <c r="C313" s="141" t="s">
        <v>2499</v>
      </c>
    </row>
    <row r="314" spans="1:3">
      <c r="A314" s="141" t="s">
        <v>2500</v>
      </c>
      <c r="B314" s="141" t="s">
        <v>695</v>
      </c>
      <c r="C314" s="141" t="s">
        <v>2501</v>
      </c>
    </row>
    <row r="315" spans="1:3">
      <c r="A315" s="141" t="s">
        <v>2502</v>
      </c>
      <c r="B315" s="141" t="s">
        <v>701</v>
      </c>
      <c r="C315" s="141" t="s">
        <v>2503</v>
      </c>
    </row>
    <row r="316" spans="1:3">
      <c r="A316" s="141" t="s">
        <v>2504</v>
      </c>
      <c r="B316" s="141" t="s">
        <v>759</v>
      </c>
      <c r="C316" s="141" t="s">
        <v>2505</v>
      </c>
    </row>
    <row r="317" spans="1:3">
      <c r="A317" s="141" t="s">
        <v>2506</v>
      </c>
      <c r="B317" s="141" t="s">
        <v>804</v>
      </c>
      <c r="C317" s="141" t="s">
        <v>2507</v>
      </c>
    </row>
    <row r="318" spans="1:3">
      <c r="A318" s="141" t="s">
        <v>2508</v>
      </c>
      <c r="B318" s="141" t="s">
        <v>802</v>
      </c>
      <c r="C318" s="141" t="s">
        <v>2509</v>
      </c>
    </row>
    <row r="319" spans="1:3">
      <c r="A319" s="141" t="s">
        <v>2510</v>
      </c>
      <c r="B319" s="141" t="s">
        <v>773</v>
      </c>
      <c r="C319" s="141" t="s">
        <v>2511</v>
      </c>
    </row>
    <row r="320" spans="1:3">
      <c r="A320" s="141" t="s">
        <v>2512</v>
      </c>
      <c r="B320" s="141" t="s">
        <v>817</v>
      </c>
      <c r="C320" s="141" t="s">
        <v>2513</v>
      </c>
    </row>
    <row r="321" spans="1:3">
      <c r="A321" s="141" t="s">
        <v>2514</v>
      </c>
      <c r="B321" s="141" t="s">
        <v>823</v>
      </c>
      <c r="C321" s="141" t="s">
        <v>2515</v>
      </c>
    </row>
    <row r="322" spans="1:3">
      <c r="A322" s="141" t="s">
        <v>2516</v>
      </c>
      <c r="B322" s="141" t="s">
        <v>827</v>
      </c>
      <c r="C322" s="141" t="s">
        <v>2517</v>
      </c>
    </row>
    <row r="323" spans="1:3">
      <c r="A323" s="141" t="s">
        <v>2518</v>
      </c>
      <c r="B323" s="141" t="s">
        <v>825</v>
      </c>
      <c r="C323" s="141" t="s">
        <v>2519</v>
      </c>
    </row>
    <row r="324" spans="1:3">
      <c r="A324" s="141" t="s">
        <v>2520</v>
      </c>
      <c r="B324" s="141" t="s">
        <v>840</v>
      </c>
      <c r="C324" s="141" t="s">
        <v>2521</v>
      </c>
    </row>
    <row r="325" spans="1:3">
      <c r="A325" s="141" t="s">
        <v>2522</v>
      </c>
      <c r="B325" s="141" t="s">
        <v>908</v>
      </c>
      <c r="C325" s="141" t="s">
        <v>2523</v>
      </c>
    </row>
    <row r="326" spans="1:3">
      <c r="A326" s="141" t="s">
        <v>2524</v>
      </c>
      <c r="B326" s="141" t="s">
        <v>911</v>
      </c>
      <c r="C326" s="141" t="s">
        <v>2525</v>
      </c>
    </row>
    <row r="327" spans="1:3">
      <c r="A327" s="141" t="s">
        <v>2526</v>
      </c>
      <c r="B327" s="141" t="s">
        <v>866</v>
      </c>
      <c r="C327" s="141" t="s">
        <v>2527</v>
      </c>
    </row>
    <row r="328" spans="1:3">
      <c r="A328" s="141" t="s">
        <v>2528</v>
      </c>
      <c r="B328" s="141" t="s">
        <v>878</v>
      </c>
      <c r="C328" s="141" t="s">
        <v>2529</v>
      </c>
    </row>
    <row r="329" spans="1:3">
      <c r="A329" s="141" t="s">
        <v>2530</v>
      </c>
      <c r="B329" s="141" t="s">
        <v>880</v>
      </c>
      <c r="C329" s="141" t="s">
        <v>2531</v>
      </c>
    </row>
    <row r="330" spans="1:3">
      <c r="A330" s="141" t="s">
        <v>2532</v>
      </c>
      <c r="B330" s="141" t="s">
        <v>883</v>
      </c>
      <c r="C330" s="141" t="s">
        <v>2533</v>
      </c>
    </row>
    <row r="331" spans="1:3">
      <c r="A331" s="141" t="s">
        <v>2534</v>
      </c>
      <c r="B331" s="141" t="s">
        <v>876</v>
      </c>
      <c r="C331" s="141" t="s">
        <v>2535</v>
      </c>
    </row>
    <row r="332" spans="1:3">
      <c r="A332" s="141" t="s">
        <v>2536</v>
      </c>
      <c r="B332" s="141" t="s">
        <v>885</v>
      </c>
      <c r="C332" s="141" t="s">
        <v>2537</v>
      </c>
    </row>
    <row r="333" spans="1:3">
      <c r="A333" s="141" t="s">
        <v>2538</v>
      </c>
      <c r="B333" s="141" t="s">
        <v>931</v>
      </c>
      <c r="C333" s="141" t="s">
        <v>2539</v>
      </c>
    </row>
    <row r="334" spans="1:3">
      <c r="A334" s="141" t="s">
        <v>2540</v>
      </c>
      <c r="B334" s="141" t="s">
        <v>933</v>
      </c>
      <c r="C334" s="141" t="s">
        <v>2541</v>
      </c>
    </row>
    <row r="335" spans="1:3">
      <c r="A335" s="141" t="s">
        <v>2542</v>
      </c>
      <c r="B335" s="141" t="s">
        <v>939</v>
      </c>
      <c r="C335" s="141" t="s">
        <v>2543</v>
      </c>
    </row>
    <row r="336" spans="1:3">
      <c r="A336" s="141" t="s">
        <v>2544</v>
      </c>
      <c r="B336" s="141" t="s">
        <v>964</v>
      </c>
      <c r="C336" s="141" t="s">
        <v>2545</v>
      </c>
    </row>
    <row r="337" spans="1:3">
      <c r="A337" s="141" t="s">
        <v>2546</v>
      </c>
      <c r="B337" s="141" t="s">
        <v>2547</v>
      </c>
      <c r="C337" s="141" t="s">
        <v>2548</v>
      </c>
    </row>
    <row r="338" spans="1:3">
      <c r="A338" s="141" t="s">
        <v>2549</v>
      </c>
      <c r="B338" s="141" t="s">
        <v>990</v>
      </c>
      <c r="C338" s="141" t="s">
        <v>2550</v>
      </c>
    </row>
    <row r="339" spans="1:3">
      <c r="A339" s="141" t="s">
        <v>2551</v>
      </c>
      <c r="B339" s="141" t="s">
        <v>1070</v>
      </c>
      <c r="C339" s="141" t="s">
        <v>2552</v>
      </c>
    </row>
    <row r="340" spans="1:3">
      <c r="A340" s="141" t="s">
        <v>2553</v>
      </c>
      <c r="B340" s="141" t="s">
        <v>1072</v>
      </c>
      <c r="C340" s="141" t="s">
        <v>2554</v>
      </c>
    </row>
    <row r="341" spans="1:3">
      <c r="A341" s="141" t="s">
        <v>2555</v>
      </c>
      <c r="B341" s="141" t="s">
        <v>1127</v>
      </c>
      <c r="C341" s="141" t="s">
        <v>2556</v>
      </c>
    </row>
    <row r="342" spans="1:3">
      <c r="A342" s="141" t="s">
        <v>2557</v>
      </c>
      <c r="B342" s="141" t="s">
        <v>1129</v>
      </c>
      <c r="C342" s="141" t="s">
        <v>2558</v>
      </c>
    </row>
    <row r="343" spans="1:3">
      <c r="A343" s="141" t="s">
        <v>2559</v>
      </c>
      <c r="B343" s="141" t="s">
        <v>1199</v>
      </c>
      <c r="C343" s="141" t="s">
        <v>2560</v>
      </c>
    </row>
    <row r="344" spans="1:3">
      <c r="A344" s="141" t="s">
        <v>2561</v>
      </c>
      <c r="B344" s="141" t="s">
        <v>1224</v>
      </c>
      <c r="C344" s="141" t="s">
        <v>2562</v>
      </c>
    </row>
    <row r="345" spans="1:3">
      <c r="A345" s="141" t="s">
        <v>2563</v>
      </c>
      <c r="B345" s="141" t="s">
        <v>1217</v>
      </c>
      <c r="C345" s="141" t="s">
        <v>2564</v>
      </c>
    </row>
    <row r="346" spans="1:3">
      <c r="A346" s="141" t="s">
        <v>2565</v>
      </c>
      <c r="B346" s="141" t="s">
        <v>1227</v>
      </c>
      <c r="C346" s="141" t="s">
        <v>2566</v>
      </c>
    </row>
    <row r="347" spans="1:3">
      <c r="A347" s="141" t="s">
        <v>2567</v>
      </c>
      <c r="B347" s="141" t="s">
        <v>1235</v>
      </c>
      <c r="C347" s="141" t="s">
        <v>2568</v>
      </c>
    </row>
    <row r="348" spans="1:3">
      <c r="A348" s="141" t="s">
        <v>2569</v>
      </c>
      <c r="B348" s="141" t="s">
        <v>1230</v>
      </c>
      <c r="C348" s="141" t="s">
        <v>2570</v>
      </c>
    </row>
    <row r="349" spans="1:3">
      <c r="A349" s="141" t="s">
        <v>2571</v>
      </c>
      <c r="B349" s="141" t="s">
        <v>1238</v>
      </c>
      <c r="C349" s="141" t="s">
        <v>2572</v>
      </c>
    </row>
    <row r="350" spans="1:3">
      <c r="A350" s="141" t="s">
        <v>2573</v>
      </c>
      <c r="B350" s="141" t="s">
        <v>1191</v>
      </c>
      <c r="C350" s="141" t="s">
        <v>2574</v>
      </c>
    </row>
    <row r="351" spans="1:3">
      <c r="A351" s="141" t="s">
        <v>2575</v>
      </c>
      <c r="B351" s="141" t="s">
        <v>1202</v>
      </c>
      <c r="C351" s="141" t="s">
        <v>2576</v>
      </c>
    </row>
    <row r="352" spans="1:3">
      <c r="A352" s="141" t="s">
        <v>2577</v>
      </c>
      <c r="B352" s="141" t="s">
        <v>2578</v>
      </c>
      <c r="C352" s="141" t="s">
        <v>2579</v>
      </c>
    </row>
    <row r="353" spans="1:3">
      <c r="A353" s="141" t="s">
        <v>2580</v>
      </c>
      <c r="B353" s="141" t="s">
        <v>1008</v>
      </c>
      <c r="C353" s="141" t="s">
        <v>2581</v>
      </c>
    </row>
    <row r="354" spans="1:3">
      <c r="A354" s="141" t="s">
        <v>2582</v>
      </c>
      <c r="B354" s="141" t="s">
        <v>1210</v>
      </c>
      <c r="C354" s="141" t="s">
        <v>2583</v>
      </c>
    </row>
    <row r="355" spans="1:3">
      <c r="A355" s="141" t="s">
        <v>2584</v>
      </c>
      <c r="B355" s="141" t="s">
        <v>1213</v>
      </c>
      <c r="C355" s="141" t="s">
        <v>2585</v>
      </c>
    </row>
    <row r="356" spans="1:3">
      <c r="A356" s="141" t="s">
        <v>2586</v>
      </c>
      <c r="B356" s="141" t="s">
        <v>2587</v>
      </c>
      <c r="C356" s="141" t="s">
        <v>1914</v>
      </c>
    </row>
    <row r="357" spans="1:3">
      <c r="A357" s="141" t="s">
        <v>2588</v>
      </c>
      <c r="B357" s="141" t="s">
        <v>2589</v>
      </c>
      <c r="C357" s="141" t="s">
        <v>2590</v>
      </c>
    </row>
    <row r="358" spans="1:3">
      <c r="A358" s="141" t="s">
        <v>2591</v>
      </c>
      <c r="B358" s="141" t="s">
        <v>2592</v>
      </c>
      <c r="C358" s="141" t="s">
        <v>2593</v>
      </c>
    </row>
    <row r="359" spans="1:3">
      <c r="A359" s="141" t="s">
        <v>2594</v>
      </c>
      <c r="B359" s="141" t="s">
        <v>2595</v>
      </c>
      <c r="C359" s="141" t="s">
        <v>2596</v>
      </c>
    </row>
    <row r="360" spans="1:3">
      <c r="A360" s="141" t="s">
        <v>2597</v>
      </c>
      <c r="B360" s="141" t="s">
        <v>2598</v>
      </c>
      <c r="C360" s="141" t="s">
        <v>2599</v>
      </c>
    </row>
    <row r="361" spans="1:3">
      <c r="A361" s="141" t="s">
        <v>2600</v>
      </c>
      <c r="B361" s="141" t="s">
        <v>1219</v>
      </c>
      <c r="C361" s="141" t="s">
        <v>2601</v>
      </c>
    </row>
    <row r="362" spans="1:3">
      <c r="A362" s="141" t="s">
        <v>2602</v>
      </c>
      <c r="B362" s="141" t="s">
        <v>1206</v>
      </c>
      <c r="C362" s="141" t="s">
        <v>2603</v>
      </c>
    </row>
    <row r="363" spans="1:3">
      <c r="A363" s="141" t="s">
        <v>2604</v>
      </c>
      <c r="B363" s="141" t="s">
        <v>1228</v>
      </c>
      <c r="C363" s="141" t="s">
        <v>2605</v>
      </c>
    </row>
    <row r="364" spans="1:3">
      <c r="A364" s="141" t="s">
        <v>2606</v>
      </c>
      <c r="B364" s="141" t="s">
        <v>2607</v>
      </c>
      <c r="C364" s="141" t="s">
        <v>2608</v>
      </c>
    </row>
    <row r="365" spans="1:3">
      <c r="A365" s="141" t="s">
        <v>2609</v>
      </c>
      <c r="B365" s="141" t="s">
        <v>1232</v>
      </c>
      <c r="C365" s="141" t="s">
        <v>2610</v>
      </c>
    </row>
    <row r="366" spans="1:3">
      <c r="A366" s="141" t="s">
        <v>2611</v>
      </c>
      <c r="B366" s="141" t="s">
        <v>1232</v>
      </c>
      <c r="C366" s="141" t="s">
        <v>2612</v>
      </c>
    </row>
    <row r="367" spans="1:3">
      <c r="A367" s="141" t="s">
        <v>2613</v>
      </c>
      <c r="B367" s="141" t="s">
        <v>1010</v>
      </c>
      <c r="C367" s="141" t="s">
        <v>2614</v>
      </c>
    </row>
    <row r="368" spans="1:3">
      <c r="A368" s="141" t="s">
        <v>2615</v>
      </c>
      <c r="B368" s="141" t="s">
        <v>2616</v>
      </c>
      <c r="C368" s="141" t="s">
        <v>2617</v>
      </c>
    </row>
    <row r="369" spans="1:3">
      <c r="A369" s="141" t="s">
        <v>2618</v>
      </c>
      <c r="B369" s="141" t="s">
        <v>599</v>
      </c>
      <c r="C369" s="141" t="s">
        <v>2088</v>
      </c>
    </row>
    <row r="370" spans="1:3">
      <c r="A370" s="141" t="s">
        <v>2619</v>
      </c>
      <c r="B370" s="141" t="s">
        <v>2620</v>
      </c>
      <c r="C370" s="141" t="s">
        <v>2621</v>
      </c>
    </row>
    <row r="371" spans="1:3">
      <c r="A371" s="141" t="s">
        <v>2622</v>
      </c>
      <c r="B371" s="141" t="s">
        <v>2623</v>
      </c>
      <c r="C371" s="141" t="s">
        <v>2622</v>
      </c>
    </row>
    <row r="372" spans="1:3">
      <c r="A372" s="141" t="s">
        <v>2624</v>
      </c>
      <c r="B372" s="141" t="s">
        <v>2625</v>
      </c>
      <c r="C372" s="141" t="s">
        <v>2624</v>
      </c>
    </row>
    <row r="373" spans="1:3">
      <c r="A373" s="141" t="s">
        <v>2626</v>
      </c>
      <c r="B373" s="141" t="s">
        <v>2627</v>
      </c>
      <c r="C373" s="141" t="s">
        <v>2628</v>
      </c>
    </row>
    <row r="374" spans="1:3">
      <c r="A374" s="141" t="s">
        <v>2629</v>
      </c>
      <c r="B374" s="141" t="s">
        <v>2630</v>
      </c>
      <c r="C374" s="141" t="s">
        <v>2631</v>
      </c>
    </row>
    <row r="375" spans="1:3">
      <c r="A375" s="141" t="s">
        <v>2632</v>
      </c>
      <c r="B375" s="141" t="s">
        <v>2633</v>
      </c>
      <c r="C375" s="141" t="s">
        <v>2632</v>
      </c>
    </row>
    <row r="376" spans="1:3">
      <c r="A376" s="141" t="s">
        <v>2634</v>
      </c>
      <c r="B376" s="141" t="s">
        <v>2635</v>
      </c>
      <c r="C376" s="141" t="s">
        <v>2636</v>
      </c>
    </row>
    <row r="377" spans="1:3">
      <c r="A377" s="141" t="s">
        <v>2637</v>
      </c>
      <c r="B377" s="141" t="s">
        <v>2638</v>
      </c>
      <c r="C377" s="141" t="s">
        <v>2639</v>
      </c>
    </row>
    <row r="378" spans="1:3">
      <c r="A378" s="141" t="s">
        <v>2640</v>
      </c>
      <c r="B378" s="141" t="s">
        <v>1240</v>
      </c>
      <c r="C378" s="141" t="s">
        <v>2641</v>
      </c>
    </row>
    <row r="379" spans="1:3">
      <c r="A379" s="141" t="s">
        <v>2642</v>
      </c>
      <c r="B379" s="141" t="s">
        <v>2643</v>
      </c>
      <c r="C379" s="141" t="s">
        <v>2644</v>
      </c>
    </row>
    <row r="380" spans="1:3">
      <c r="A380" s="141" t="s">
        <v>2645</v>
      </c>
      <c r="B380" s="141" t="s">
        <v>2646</v>
      </c>
      <c r="C380" s="141" t="s">
        <v>2647</v>
      </c>
    </row>
    <row r="381" spans="1:3">
      <c r="A381" s="141" t="s">
        <v>2648</v>
      </c>
      <c r="B381" s="141" t="s">
        <v>1240</v>
      </c>
      <c r="C381" s="141" t="s">
        <v>2649</v>
      </c>
    </row>
    <row r="382" spans="1:3">
      <c r="A382" s="141" t="s">
        <v>2650</v>
      </c>
      <c r="B382" s="141" t="s">
        <v>2651</v>
      </c>
      <c r="C382" s="141" t="s">
        <v>2652</v>
      </c>
    </row>
    <row r="383" spans="1:3">
      <c r="A383" s="141" t="s">
        <v>2653</v>
      </c>
      <c r="B383" s="141" t="s">
        <v>2654</v>
      </c>
      <c r="C383" s="141" t="s">
        <v>2655</v>
      </c>
    </row>
    <row r="384" spans="1:3">
      <c r="A384" s="141" t="s">
        <v>2656</v>
      </c>
      <c r="B384" s="141" t="s">
        <v>2657</v>
      </c>
      <c r="C384" s="141" t="s">
        <v>2658</v>
      </c>
    </row>
    <row r="385" spans="1:3">
      <c r="A385" s="141" t="s">
        <v>2659</v>
      </c>
      <c r="B385" s="141" t="s">
        <v>2660</v>
      </c>
      <c r="C385" s="141" t="s">
        <v>2661</v>
      </c>
    </row>
    <row r="386" spans="1:3">
      <c r="A386" s="141" t="s">
        <v>2662</v>
      </c>
      <c r="B386" s="141" t="s">
        <v>1032</v>
      </c>
      <c r="C386" s="141" t="s">
        <v>2663</v>
      </c>
    </row>
    <row r="387" spans="1:3">
      <c r="A387" s="141" t="s">
        <v>2664</v>
      </c>
      <c r="B387" s="141" t="s">
        <v>711</v>
      </c>
      <c r="C387" s="141" t="s">
        <v>2665</v>
      </c>
    </row>
    <row r="388" spans="1:3">
      <c r="A388" s="141" t="s">
        <v>2666</v>
      </c>
      <c r="B388" s="141" t="s">
        <v>2667</v>
      </c>
      <c r="C388" s="141" t="s">
        <v>2668</v>
      </c>
    </row>
    <row r="389" spans="1:3">
      <c r="A389" s="141" t="s">
        <v>2669</v>
      </c>
      <c r="B389" s="141" t="s">
        <v>2670</v>
      </c>
      <c r="C389" s="141" t="s">
        <v>2671</v>
      </c>
    </row>
    <row r="390" spans="1:3">
      <c r="A390" s="141" t="s">
        <v>2672</v>
      </c>
      <c r="B390" s="141" t="s">
        <v>2673</v>
      </c>
      <c r="C390" s="141" t="s">
        <v>2674</v>
      </c>
    </row>
    <row r="391" spans="1:3">
      <c r="A391" s="141" t="s">
        <v>2675</v>
      </c>
      <c r="B391" s="141" t="s">
        <v>1066</v>
      </c>
      <c r="C391" s="141" t="s">
        <v>2676</v>
      </c>
    </row>
    <row r="392" spans="1:3">
      <c r="A392" s="141" t="s">
        <v>2677</v>
      </c>
      <c r="B392" s="141" t="s">
        <v>2678</v>
      </c>
      <c r="C392" s="141" t="s">
        <v>2679</v>
      </c>
    </row>
    <row r="393" spans="1:3">
      <c r="A393" s="141" t="s">
        <v>2680</v>
      </c>
      <c r="B393" s="141" t="s">
        <v>1244</v>
      </c>
      <c r="C393" s="141" t="s">
        <v>2681</v>
      </c>
    </row>
    <row r="394" spans="1:3">
      <c r="A394" s="141" t="s">
        <v>2682</v>
      </c>
      <c r="B394" s="141" t="s">
        <v>1251</v>
      </c>
      <c r="C394" s="141" t="s">
        <v>2683</v>
      </c>
    </row>
    <row r="395" spans="1:3">
      <c r="A395" s="141" t="s">
        <v>2684</v>
      </c>
      <c r="B395" s="141" t="s">
        <v>1248</v>
      </c>
      <c r="C395" s="141" t="s">
        <v>2685</v>
      </c>
    </row>
  </sheetData>
  <mergeCells count="1">
    <mergeCell ref="B270:C27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B27"/>
  <sheetViews>
    <sheetView workbookViewId="0"/>
  </sheetViews>
  <sheetFormatPr defaultColWidth="14.42578125" defaultRowHeight="15.75" customHeight="1"/>
  <cols>
    <col min="1" max="1" width="31.28515625" customWidth="1"/>
  </cols>
  <sheetData>
    <row r="1" spans="1:2" ht="15.75" customHeight="1">
      <c r="A1" s="70" t="s">
        <v>2686</v>
      </c>
      <c r="B1" s="70" t="s">
        <v>2687</v>
      </c>
    </row>
    <row r="2" spans="1:2" ht="15.75" customHeight="1">
      <c r="A2" s="70" t="s">
        <v>2688</v>
      </c>
      <c r="B2" s="70">
        <v>1</v>
      </c>
    </row>
    <row r="3" spans="1:2" ht="15.75" customHeight="1">
      <c r="A3" s="70" t="s">
        <v>2689</v>
      </c>
      <c r="B3" s="70">
        <v>2</v>
      </c>
    </row>
    <row r="4" spans="1:2" ht="15.75" customHeight="1">
      <c r="A4" s="70" t="s">
        <v>2690</v>
      </c>
      <c r="B4" s="70">
        <v>3</v>
      </c>
    </row>
    <row r="5" spans="1:2" ht="15.75" customHeight="1">
      <c r="A5" s="70" t="s">
        <v>2691</v>
      </c>
      <c r="B5" s="70">
        <v>4</v>
      </c>
    </row>
    <row r="6" spans="1:2" ht="15.75" customHeight="1">
      <c r="A6" s="70" t="s">
        <v>2692</v>
      </c>
      <c r="B6" s="70">
        <v>5</v>
      </c>
    </row>
    <row r="7" spans="1:2" ht="15.75" customHeight="1">
      <c r="A7" s="70" t="s">
        <v>2693</v>
      </c>
      <c r="B7" s="70">
        <v>6</v>
      </c>
    </row>
    <row r="8" spans="1:2" ht="15.75" customHeight="1">
      <c r="A8" s="70" t="s">
        <v>2694</v>
      </c>
      <c r="B8" s="70">
        <v>7</v>
      </c>
    </row>
    <row r="9" spans="1:2" ht="15.75" customHeight="1">
      <c r="A9" s="70" t="s">
        <v>2695</v>
      </c>
      <c r="B9" s="70">
        <v>8</v>
      </c>
    </row>
    <row r="10" spans="1:2" ht="15.75" customHeight="1">
      <c r="A10" s="70" t="s">
        <v>2696</v>
      </c>
      <c r="B10" s="70">
        <v>9</v>
      </c>
    </row>
    <row r="11" spans="1:2" ht="15.75" customHeight="1">
      <c r="A11" s="70" t="s">
        <v>2697</v>
      </c>
      <c r="B11" s="70">
        <v>10</v>
      </c>
    </row>
    <row r="12" spans="1:2" ht="15.75" customHeight="1">
      <c r="A12" s="70" t="s">
        <v>2698</v>
      </c>
      <c r="B12" s="70">
        <v>11</v>
      </c>
    </row>
    <row r="13" spans="1:2" ht="15.75" customHeight="1">
      <c r="A13" s="70" t="s">
        <v>2699</v>
      </c>
      <c r="B13" s="70">
        <v>12</v>
      </c>
    </row>
    <row r="14" spans="1:2" ht="15.75" customHeight="1">
      <c r="A14" s="70" t="s">
        <v>2700</v>
      </c>
      <c r="B14" s="70">
        <v>13</v>
      </c>
    </row>
    <row r="15" spans="1:2" ht="15.75" customHeight="1">
      <c r="A15" s="70" t="s">
        <v>2701</v>
      </c>
      <c r="B15" s="70">
        <v>14</v>
      </c>
    </row>
    <row r="16" spans="1:2" ht="15.75" customHeight="1">
      <c r="A16" s="70" t="s">
        <v>2702</v>
      </c>
      <c r="B16" s="70">
        <v>15</v>
      </c>
    </row>
    <row r="17" spans="1:2" ht="15.75" customHeight="1">
      <c r="A17" s="70" t="s">
        <v>2703</v>
      </c>
      <c r="B17" s="70">
        <v>16</v>
      </c>
    </row>
    <row r="18" spans="1:2" ht="15.75" customHeight="1">
      <c r="A18" s="70" t="s">
        <v>2704</v>
      </c>
      <c r="B18" s="70">
        <v>17</v>
      </c>
    </row>
    <row r="19" spans="1:2" ht="15.75" customHeight="1">
      <c r="A19" s="70" t="s">
        <v>2705</v>
      </c>
      <c r="B19" s="70">
        <v>18</v>
      </c>
    </row>
    <row r="20" spans="1:2" ht="15.75" customHeight="1">
      <c r="A20" s="70" t="s">
        <v>2706</v>
      </c>
      <c r="B20" s="70">
        <v>19</v>
      </c>
    </row>
    <row r="21" spans="1:2" ht="15.75" customHeight="1">
      <c r="A21" s="70" t="s">
        <v>2707</v>
      </c>
      <c r="B21" s="70">
        <v>20</v>
      </c>
    </row>
    <row r="22" spans="1:2" ht="15.75" customHeight="1">
      <c r="A22" s="70" t="s">
        <v>2708</v>
      </c>
      <c r="B22" s="70">
        <v>21</v>
      </c>
    </row>
    <row r="23" spans="1:2" ht="15.75" customHeight="1">
      <c r="A23" s="70" t="s">
        <v>2709</v>
      </c>
      <c r="B23" s="70">
        <v>22</v>
      </c>
    </row>
    <row r="24" spans="1:2" ht="15.75" customHeight="1">
      <c r="A24" s="70" t="s">
        <v>2710</v>
      </c>
      <c r="B24" s="70">
        <v>23</v>
      </c>
    </row>
    <row r="25" spans="1:2" ht="15.75" customHeight="1">
      <c r="A25" s="70" t="s">
        <v>2711</v>
      </c>
      <c r="B25" s="70">
        <v>24</v>
      </c>
    </row>
    <row r="26" spans="1:2" ht="15.75" customHeight="1">
      <c r="A26" s="70" t="s">
        <v>2712</v>
      </c>
      <c r="B26" s="70">
        <v>25</v>
      </c>
    </row>
    <row r="27" spans="1:2" ht="15.75" customHeight="1">
      <c r="A27" s="70" t="s">
        <v>2713</v>
      </c>
      <c r="B27" s="70">
        <v>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108E79"/>
    <outlinePr summaryBelow="0" summaryRight="0"/>
  </sheetPr>
  <dimension ref="A1:I214"/>
  <sheetViews>
    <sheetView workbookViewId="0">
      <pane ySplit="1" topLeftCell="A2" activePane="bottomLeft" state="frozen"/>
      <selection pane="bottomLeft" activeCell="B3" sqref="B3"/>
    </sheetView>
  </sheetViews>
  <sheetFormatPr defaultColWidth="14.42578125" defaultRowHeight="15.75" customHeight="1"/>
  <sheetData>
    <row r="1" spans="1:9" ht="15.75" customHeight="1">
      <c r="A1" s="70" t="s">
        <v>180</v>
      </c>
      <c r="B1" s="70" t="s">
        <v>246</v>
      </c>
      <c r="C1" s="70" t="s">
        <v>174</v>
      </c>
      <c r="D1" s="70" t="s">
        <v>247</v>
      </c>
      <c r="E1" s="70" t="s">
        <v>248</v>
      </c>
      <c r="F1" s="70" t="s">
        <v>180</v>
      </c>
      <c r="G1" s="70" t="s">
        <v>246</v>
      </c>
      <c r="H1" s="70" t="s">
        <v>174</v>
      </c>
      <c r="I1" s="70" t="s">
        <v>247</v>
      </c>
    </row>
    <row r="2" spans="1:9" ht="15.75" customHeight="1">
      <c r="A2" s="70" t="s">
        <v>2714</v>
      </c>
      <c r="B2" s="70" t="s">
        <v>2715</v>
      </c>
      <c r="C2" s="70" t="s">
        <v>2587</v>
      </c>
      <c r="D2" s="70" t="s">
        <v>389</v>
      </c>
      <c r="E2" s="70" t="s">
        <v>389</v>
      </c>
      <c r="F2" s="70" t="s">
        <v>2714</v>
      </c>
      <c r="G2" s="70" t="s">
        <v>2715</v>
      </c>
      <c r="H2" s="70" t="s">
        <v>2587</v>
      </c>
      <c r="I2" s="70" t="s">
        <v>389</v>
      </c>
    </row>
    <row r="3" spans="1:9" ht="15.75" customHeight="1">
      <c r="A3" s="70" t="s">
        <v>463</v>
      </c>
      <c r="B3" s="70" t="s">
        <v>529</v>
      </c>
      <c r="C3" s="70" t="s">
        <v>530</v>
      </c>
      <c r="D3" s="70" t="s">
        <v>531</v>
      </c>
      <c r="E3" s="70" t="s">
        <v>530</v>
      </c>
      <c r="F3" s="70" t="s">
        <v>463</v>
      </c>
      <c r="G3" s="70" t="s">
        <v>529</v>
      </c>
      <c r="H3" s="70" t="s">
        <v>530</v>
      </c>
      <c r="I3" s="70" t="s">
        <v>531</v>
      </c>
    </row>
    <row r="4" spans="1:9" ht="15.75" customHeight="1">
      <c r="A4" s="70" t="s">
        <v>2716</v>
      </c>
      <c r="B4" s="70" t="s">
        <v>2717</v>
      </c>
      <c r="C4" s="70" t="s">
        <v>2718</v>
      </c>
      <c r="D4" s="70" t="s">
        <v>2718</v>
      </c>
      <c r="F4" s="70" t="s">
        <v>2716</v>
      </c>
      <c r="G4" s="70" t="s">
        <v>2717</v>
      </c>
      <c r="H4" s="70" t="s">
        <v>2718</v>
      </c>
      <c r="I4" s="70" t="s">
        <v>2718</v>
      </c>
    </row>
    <row r="5" spans="1:9" ht="15.75" customHeight="1">
      <c r="A5" s="70" t="s">
        <v>342</v>
      </c>
      <c r="B5" s="70" t="s">
        <v>340</v>
      </c>
      <c r="C5" s="70" t="s">
        <v>341</v>
      </c>
      <c r="D5" s="70" t="s">
        <v>341</v>
      </c>
      <c r="F5" s="70" t="s">
        <v>342</v>
      </c>
      <c r="G5" s="70" t="s">
        <v>340</v>
      </c>
      <c r="H5" s="70" t="s">
        <v>341</v>
      </c>
      <c r="I5" s="70" t="s">
        <v>341</v>
      </c>
    </row>
    <row r="6" spans="1:9" ht="15.75" customHeight="1">
      <c r="A6" s="70" t="s">
        <v>2719</v>
      </c>
      <c r="B6" s="70" t="s">
        <v>2720</v>
      </c>
      <c r="C6" s="70" t="s">
        <v>2721</v>
      </c>
      <c r="D6" s="70" t="s">
        <v>2722</v>
      </c>
      <c r="F6" s="70" t="s">
        <v>2719</v>
      </c>
      <c r="G6" s="70" t="s">
        <v>2720</v>
      </c>
      <c r="H6" s="70" t="s">
        <v>2721</v>
      </c>
      <c r="I6" s="70" t="s">
        <v>2722</v>
      </c>
    </row>
    <row r="7" spans="1:9" ht="15.75" customHeight="1">
      <c r="A7" s="70" t="s">
        <v>906</v>
      </c>
      <c r="B7" s="70" t="s">
        <v>904</v>
      </c>
      <c r="C7" s="70" t="s">
        <v>905</v>
      </c>
      <c r="E7" s="70" t="s">
        <v>905</v>
      </c>
      <c r="F7" s="70" t="s">
        <v>906</v>
      </c>
      <c r="G7" s="70" t="s">
        <v>904</v>
      </c>
      <c r="H7" s="70" t="s">
        <v>905</v>
      </c>
    </row>
    <row r="8" spans="1:9" ht="15.75" customHeight="1">
      <c r="A8" s="70" t="s">
        <v>753</v>
      </c>
      <c r="B8" s="70" t="s">
        <v>750</v>
      </c>
      <c r="C8" s="70" t="s">
        <v>751</v>
      </c>
      <c r="D8" s="70" t="s">
        <v>752</v>
      </c>
      <c r="E8" s="70" t="s">
        <v>751</v>
      </c>
      <c r="F8" s="70" t="s">
        <v>753</v>
      </c>
      <c r="G8" s="70" t="s">
        <v>750</v>
      </c>
      <c r="H8" s="70" t="s">
        <v>751</v>
      </c>
      <c r="I8" s="70" t="s">
        <v>752</v>
      </c>
    </row>
    <row r="9" spans="1:9" ht="15.75" customHeight="1">
      <c r="A9" s="70" t="s">
        <v>433</v>
      </c>
      <c r="B9" s="70" t="s">
        <v>430</v>
      </c>
      <c r="C9" s="70" t="s">
        <v>431</v>
      </c>
      <c r="D9" s="70" t="s">
        <v>432</v>
      </c>
      <c r="E9" s="70" t="s">
        <v>431</v>
      </c>
      <c r="F9" s="70" t="s">
        <v>433</v>
      </c>
      <c r="G9" s="70" t="s">
        <v>430</v>
      </c>
      <c r="H9" s="70" t="s">
        <v>431</v>
      </c>
      <c r="I9" s="70" t="s">
        <v>432</v>
      </c>
    </row>
    <row r="10" spans="1:9" ht="15.75" customHeight="1">
      <c r="A10" s="70" t="s">
        <v>459</v>
      </c>
      <c r="B10" s="70" t="s">
        <v>456</v>
      </c>
      <c r="C10" s="70" t="s">
        <v>457</v>
      </c>
      <c r="D10" s="70" t="s">
        <v>2723</v>
      </c>
      <c r="E10" s="70" t="s">
        <v>457</v>
      </c>
      <c r="F10" s="70" t="s">
        <v>459</v>
      </c>
      <c r="G10" s="70" t="s">
        <v>456</v>
      </c>
      <c r="H10" s="70" t="s">
        <v>2724</v>
      </c>
      <c r="I10" s="70" t="s">
        <v>2723</v>
      </c>
    </row>
    <row r="11" spans="1:9" ht="15.75" customHeight="1">
      <c r="A11" s="70" t="s">
        <v>401</v>
      </c>
      <c r="B11" s="70" t="s">
        <v>398</v>
      </c>
      <c r="C11" s="70" t="s">
        <v>399</v>
      </c>
      <c r="D11" s="70" t="s">
        <v>400</v>
      </c>
      <c r="E11" s="70" t="s">
        <v>399</v>
      </c>
      <c r="F11" s="70" t="s">
        <v>401</v>
      </c>
      <c r="G11" s="70" t="s">
        <v>398</v>
      </c>
      <c r="H11" s="70" t="s">
        <v>399</v>
      </c>
      <c r="I11" s="70" t="s">
        <v>400</v>
      </c>
    </row>
    <row r="12" spans="1:9" ht="15.75" customHeight="1">
      <c r="A12" s="70" t="s">
        <v>485</v>
      </c>
      <c r="B12" s="70" t="s">
        <v>481</v>
      </c>
      <c r="C12" s="70" t="s">
        <v>482</v>
      </c>
      <c r="D12" s="70" t="s">
        <v>2725</v>
      </c>
      <c r="E12" s="70" t="s">
        <v>482</v>
      </c>
      <c r="F12" s="70" t="s">
        <v>485</v>
      </c>
      <c r="G12" s="70" t="s">
        <v>481</v>
      </c>
      <c r="H12" s="70" t="s">
        <v>482</v>
      </c>
      <c r="I12" s="70" t="s">
        <v>2725</v>
      </c>
    </row>
    <row r="13" spans="1:9" ht="15.75" customHeight="1">
      <c r="A13" s="70" t="s">
        <v>2726</v>
      </c>
      <c r="B13" s="70" t="s">
        <v>2727</v>
      </c>
      <c r="C13" s="70" t="s">
        <v>913</v>
      </c>
      <c r="D13" s="70" t="s">
        <v>914</v>
      </c>
      <c r="E13" s="70" t="s">
        <v>913</v>
      </c>
      <c r="F13" s="70" t="s">
        <v>2726</v>
      </c>
      <c r="G13" s="70" t="s">
        <v>2727</v>
      </c>
      <c r="H13" s="70" t="s">
        <v>913</v>
      </c>
      <c r="I13" s="70" t="s">
        <v>914</v>
      </c>
    </row>
    <row r="14" spans="1:9" ht="15.75" customHeight="1">
      <c r="A14" s="70" t="s">
        <v>2728</v>
      </c>
      <c r="B14" s="70" t="s">
        <v>2729</v>
      </c>
      <c r="C14" s="70" t="s">
        <v>510</v>
      </c>
      <c r="D14" s="70" t="s">
        <v>511</v>
      </c>
      <c r="E14" s="70" t="s">
        <v>510</v>
      </c>
      <c r="F14" s="70" t="s">
        <v>2728</v>
      </c>
      <c r="G14" s="70" t="s">
        <v>2729</v>
      </c>
      <c r="H14" s="70" t="s">
        <v>510</v>
      </c>
      <c r="I14" s="70" t="s">
        <v>511</v>
      </c>
    </row>
    <row r="15" spans="1:9" ht="15.75" customHeight="1">
      <c r="A15" s="70" t="s">
        <v>2730</v>
      </c>
      <c r="B15" s="70" t="s">
        <v>298</v>
      </c>
      <c r="C15" s="70" t="s">
        <v>300</v>
      </c>
      <c r="E15" s="70" t="s">
        <v>300</v>
      </c>
      <c r="F15" s="70" t="s">
        <v>2730</v>
      </c>
      <c r="G15" s="70" t="s">
        <v>298</v>
      </c>
      <c r="H15" s="70" t="s">
        <v>300</v>
      </c>
    </row>
    <row r="16" spans="1:9" ht="15.75" customHeight="1">
      <c r="A16" s="70" t="s">
        <v>889</v>
      </c>
      <c r="B16" s="70" t="s">
        <v>887</v>
      </c>
      <c r="C16" s="70" t="s">
        <v>888</v>
      </c>
      <c r="E16" s="70" t="s">
        <v>888</v>
      </c>
      <c r="F16" s="70" t="s">
        <v>889</v>
      </c>
      <c r="G16" s="70" t="s">
        <v>887</v>
      </c>
      <c r="H16" s="70" t="s">
        <v>888</v>
      </c>
    </row>
    <row r="17" spans="1:9" ht="15.75" customHeight="1">
      <c r="A17" s="70" t="s">
        <v>864</v>
      </c>
      <c r="B17" s="70" t="s">
        <v>861</v>
      </c>
      <c r="C17" s="70" t="s">
        <v>862</v>
      </c>
      <c r="D17" s="70" t="s">
        <v>863</v>
      </c>
      <c r="E17" s="70" t="s">
        <v>862</v>
      </c>
      <c r="F17" s="70" t="s">
        <v>864</v>
      </c>
      <c r="G17" s="70" t="s">
        <v>861</v>
      </c>
      <c r="H17" s="70" t="s">
        <v>862</v>
      </c>
      <c r="I17" s="70" t="s">
        <v>863</v>
      </c>
    </row>
    <row r="18" spans="1:9" ht="15.75" customHeight="1">
      <c r="A18" s="70" t="s">
        <v>843</v>
      </c>
      <c r="B18" s="70" t="s">
        <v>841</v>
      </c>
      <c r="C18" s="70" t="s">
        <v>842</v>
      </c>
      <c r="E18" s="70" t="s">
        <v>842</v>
      </c>
      <c r="F18" s="70" t="s">
        <v>843</v>
      </c>
      <c r="G18" s="70" t="s">
        <v>841</v>
      </c>
      <c r="H18" s="70" t="s">
        <v>842</v>
      </c>
    </row>
    <row r="19" spans="1:9" ht="15.75" customHeight="1">
      <c r="A19" s="70" t="s">
        <v>2731</v>
      </c>
      <c r="B19" s="70" t="s">
        <v>2732</v>
      </c>
      <c r="C19" s="70" t="s">
        <v>1024</v>
      </c>
      <c r="D19" s="70" t="s">
        <v>1025</v>
      </c>
      <c r="E19" s="70" t="s">
        <v>1024</v>
      </c>
      <c r="F19" s="70" t="s">
        <v>2731</v>
      </c>
      <c r="G19" s="70" t="s">
        <v>2732</v>
      </c>
      <c r="H19" s="70" t="s">
        <v>1024</v>
      </c>
      <c r="I19" s="70" t="s">
        <v>1025</v>
      </c>
    </row>
    <row r="20" spans="1:9" ht="15.75" customHeight="1">
      <c r="A20" s="70" t="s">
        <v>1125</v>
      </c>
      <c r="B20" s="70" t="s">
        <v>1122</v>
      </c>
      <c r="C20" s="70" t="s">
        <v>1123</v>
      </c>
      <c r="D20" s="70" t="s">
        <v>1124</v>
      </c>
      <c r="E20" s="70" t="s">
        <v>1123</v>
      </c>
      <c r="F20" s="70" t="s">
        <v>1125</v>
      </c>
      <c r="G20" s="70" t="s">
        <v>1122</v>
      </c>
      <c r="H20" s="70" t="s">
        <v>1123</v>
      </c>
      <c r="I20" s="70" t="s">
        <v>1124</v>
      </c>
    </row>
    <row r="21" spans="1:9" ht="15.75" customHeight="1">
      <c r="A21" s="70" t="s">
        <v>2733</v>
      </c>
      <c r="B21" s="70" t="s">
        <v>2734</v>
      </c>
      <c r="C21" s="70" t="s">
        <v>536</v>
      </c>
      <c r="D21" s="70" t="s">
        <v>536</v>
      </c>
      <c r="F21" s="70" t="s">
        <v>2733</v>
      </c>
      <c r="G21" s="70" t="s">
        <v>2734</v>
      </c>
      <c r="H21" s="70" t="s">
        <v>536</v>
      </c>
      <c r="I21" s="70" t="s">
        <v>536</v>
      </c>
    </row>
    <row r="22" spans="1:9" ht="15.75" customHeight="1">
      <c r="A22" s="70" t="s">
        <v>2735</v>
      </c>
      <c r="B22" s="70" t="s">
        <v>2736</v>
      </c>
      <c r="C22" s="70" t="s">
        <v>1232</v>
      </c>
      <c r="D22" s="70" t="s">
        <v>1233</v>
      </c>
      <c r="F22" s="70" t="s">
        <v>2735</v>
      </c>
      <c r="G22" s="70" t="s">
        <v>2736</v>
      </c>
      <c r="H22" s="70" t="s">
        <v>1232</v>
      </c>
      <c r="I22" s="70" t="s">
        <v>1233</v>
      </c>
    </row>
    <row r="23" spans="1:9" ht="15.75" customHeight="1">
      <c r="A23" s="70" t="s">
        <v>270</v>
      </c>
      <c r="B23" s="70" t="s">
        <v>267</v>
      </c>
      <c r="C23" s="70" t="s">
        <v>268</v>
      </c>
      <c r="D23" s="70" t="s">
        <v>269</v>
      </c>
      <c r="E23" s="70" t="s">
        <v>268</v>
      </c>
      <c r="F23" s="70" t="s">
        <v>270</v>
      </c>
      <c r="G23" s="70" t="s">
        <v>267</v>
      </c>
      <c r="H23" s="70" t="s">
        <v>268</v>
      </c>
      <c r="I23" s="70" t="s">
        <v>269</v>
      </c>
    </row>
    <row r="24" spans="1:9" ht="15.75" customHeight="1">
      <c r="A24" s="70" t="s">
        <v>353</v>
      </c>
      <c r="B24" s="70" t="s">
        <v>1179</v>
      </c>
      <c r="C24" s="70" t="s">
        <v>1180</v>
      </c>
      <c r="D24" s="70" t="s">
        <v>1180</v>
      </c>
      <c r="E24" s="70" t="s">
        <v>1181</v>
      </c>
      <c r="F24" s="70" t="s">
        <v>353</v>
      </c>
      <c r="G24" s="70" t="s">
        <v>1179</v>
      </c>
      <c r="H24" s="70" t="s">
        <v>1180</v>
      </c>
      <c r="I24" s="70" t="s">
        <v>1180</v>
      </c>
    </row>
    <row r="25" spans="1:9" ht="15.75" customHeight="1">
      <c r="A25" s="70" t="s">
        <v>252</v>
      </c>
      <c r="B25" s="70" t="s">
        <v>249</v>
      </c>
      <c r="C25" s="70" t="s">
        <v>250</v>
      </c>
      <c r="D25" s="70" t="s">
        <v>251</v>
      </c>
      <c r="E25" s="70" t="s">
        <v>250</v>
      </c>
      <c r="F25" s="70" t="s">
        <v>252</v>
      </c>
      <c r="G25" s="70" t="s">
        <v>249</v>
      </c>
      <c r="H25" s="70" t="s">
        <v>250</v>
      </c>
      <c r="I25" s="70" t="s">
        <v>251</v>
      </c>
    </row>
    <row r="26" spans="1:9" ht="15.75" customHeight="1">
      <c r="A26" s="70" t="s">
        <v>280</v>
      </c>
      <c r="B26" s="70" t="s">
        <v>278</v>
      </c>
      <c r="C26" s="70" t="s">
        <v>279</v>
      </c>
      <c r="E26" s="70" t="s">
        <v>279</v>
      </c>
      <c r="F26" s="70" t="s">
        <v>280</v>
      </c>
      <c r="G26" s="70" t="s">
        <v>278</v>
      </c>
      <c r="H26" s="70" t="s">
        <v>279</v>
      </c>
    </row>
    <row r="27" spans="1:9" ht="15.75" customHeight="1">
      <c r="A27" s="70" t="s">
        <v>262</v>
      </c>
      <c r="B27" s="70" t="s">
        <v>259</v>
      </c>
      <c r="C27" s="70" t="s">
        <v>260</v>
      </c>
      <c r="D27" s="70" t="s">
        <v>261</v>
      </c>
      <c r="E27" s="70" t="s">
        <v>260</v>
      </c>
      <c r="F27" s="70" t="s">
        <v>262</v>
      </c>
      <c r="G27" s="70" t="s">
        <v>259</v>
      </c>
      <c r="H27" s="70" t="s">
        <v>260</v>
      </c>
      <c r="I27" s="70" t="s">
        <v>261</v>
      </c>
    </row>
    <row r="28" spans="1:9" ht="15.75" customHeight="1">
      <c r="A28" s="70" t="s">
        <v>297</v>
      </c>
      <c r="B28" s="70" t="s">
        <v>293</v>
      </c>
      <c r="C28" s="70" t="s">
        <v>294</v>
      </c>
      <c r="D28" s="70" t="s">
        <v>295</v>
      </c>
      <c r="E28" s="70" t="s">
        <v>294</v>
      </c>
      <c r="F28" s="70" t="s">
        <v>297</v>
      </c>
      <c r="G28" s="70" t="s">
        <v>293</v>
      </c>
      <c r="H28" s="70" t="s">
        <v>294</v>
      </c>
      <c r="I28" s="70" t="s">
        <v>295</v>
      </c>
    </row>
    <row r="29" spans="1:9" ht="15.75" customHeight="1">
      <c r="A29" s="70" t="s">
        <v>274</v>
      </c>
      <c r="B29" s="70" t="s">
        <v>271</v>
      </c>
      <c r="C29" s="70" t="s">
        <v>272</v>
      </c>
      <c r="D29" s="70" t="s">
        <v>273</v>
      </c>
      <c r="E29" s="70" t="s">
        <v>272</v>
      </c>
      <c r="F29" s="70" t="s">
        <v>274</v>
      </c>
      <c r="G29" s="70" t="s">
        <v>271</v>
      </c>
      <c r="H29" s="70" t="s">
        <v>272</v>
      </c>
      <c r="I29" s="70" t="s">
        <v>273</v>
      </c>
    </row>
    <row r="30" spans="1:9" ht="15.75" customHeight="1">
      <c r="A30" s="70" t="s">
        <v>286</v>
      </c>
      <c r="B30" s="70" t="s">
        <v>285</v>
      </c>
      <c r="C30" s="70" t="s">
        <v>1859</v>
      </c>
      <c r="D30" s="70" t="s">
        <v>287</v>
      </c>
      <c r="F30" s="70" t="s">
        <v>286</v>
      </c>
      <c r="G30" s="70" t="s">
        <v>285</v>
      </c>
      <c r="H30" s="70" t="s">
        <v>1859</v>
      </c>
      <c r="I30" s="70" t="s">
        <v>287</v>
      </c>
    </row>
    <row r="31" spans="1:9" ht="12.75">
      <c r="A31" s="70" t="s">
        <v>284</v>
      </c>
      <c r="B31" s="70" t="s">
        <v>281</v>
      </c>
      <c r="C31" s="70" t="s">
        <v>282</v>
      </c>
      <c r="D31" s="70" t="s">
        <v>283</v>
      </c>
      <c r="E31" s="70" t="s">
        <v>282</v>
      </c>
      <c r="F31" s="70" t="s">
        <v>284</v>
      </c>
      <c r="G31" s="70" t="s">
        <v>281</v>
      </c>
      <c r="H31" s="70" t="s">
        <v>282</v>
      </c>
      <c r="I31" s="70" t="s">
        <v>283</v>
      </c>
    </row>
    <row r="32" spans="1:9" ht="12.75">
      <c r="A32" s="70" t="s">
        <v>308</v>
      </c>
      <c r="B32" s="70" t="s">
        <v>305</v>
      </c>
      <c r="C32" s="70" t="s">
        <v>306</v>
      </c>
      <c r="D32" s="70" t="s">
        <v>307</v>
      </c>
      <c r="E32" s="70" t="s">
        <v>306</v>
      </c>
      <c r="F32" s="70" t="s">
        <v>308</v>
      </c>
      <c r="G32" s="70" t="s">
        <v>305</v>
      </c>
      <c r="H32" s="70" t="s">
        <v>306</v>
      </c>
      <c r="I32" s="70" t="s">
        <v>307</v>
      </c>
    </row>
    <row r="33" spans="1:9" ht="12.75">
      <c r="A33" s="70" t="s">
        <v>304</v>
      </c>
      <c r="B33" s="70" t="s">
        <v>301</v>
      </c>
      <c r="C33" s="70" t="s">
        <v>302</v>
      </c>
      <c r="E33" s="70" t="s">
        <v>302</v>
      </c>
      <c r="F33" s="70" t="s">
        <v>304</v>
      </c>
      <c r="G33" s="70" t="s">
        <v>301</v>
      </c>
      <c r="H33" s="70" t="s">
        <v>302</v>
      </c>
    </row>
    <row r="34" spans="1:9" ht="12.75">
      <c r="A34" s="70" t="s">
        <v>312</v>
      </c>
      <c r="B34" s="70" t="s">
        <v>309</v>
      </c>
      <c r="C34" s="70" t="s">
        <v>310</v>
      </c>
      <c r="D34" s="70" t="s">
        <v>311</v>
      </c>
      <c r="E34" s="70" t="s">
        <v>310</v>
      </c>
      <c r="F34" s="70" t="s">
        <v>312</v>
      </c>
      <c r="G34" s="70" t="s">
        <v>309</v>
      </c>
      <c r="H34" s="70" t="s">
        <v>310</v>
      </c>
      <c r="I34" s="70" t="s">
        <v>311</v>
      </c>
    </row>
    <row r="35" spans="1:9" ht="12.75">
      <c r="A35" s="70" t="s">
        <v>364</v>
      </c>
      <c r="B35" s="70" t="s">
        <v>361</v>
      </c>
      <c r="C35" s="70" t="s">
        <v>362</v>
      </c>
      <c r="E35" s="70" t="s">
        <v>363</v>
      </c>
      <c r="F35" s="70" t="s">
        <v>364</v>
      </c>
      <c r="G35" s="70" t="s">
        <v>361</v>
      </c>
      <c r="H35" s="70" t="s">
        <v>362</v>
      </c>
    </row>
    <row r="36" spans="1:9" ht="12.75">
      <c r="A36" s="70" t="s">
        <v>328</v>
      </c>
      <c r="B36" s="70" t="s">
        <v>326</v>
      </c>
      <c r="C36" s="70" t="s">
        <v>327</v>
      </c>
      <c r="E36" s="70" t="s">
        <v>327</v>
      </c>
      <c r="F36" s="70" t="s">
        <v>328</v>
      </c>
      <c r="G36" s="70" t="s">
        <v>326</v>
      </c>
      <c r="H36" s="70" t="s">
        <v>327</v>
      </c>
    </row>
    <row r="37" spans="1:9" ht="12.75">
      <c r="A37" s="70" t="s">
        <v>325</v>
      </c>
      <c r="B37" s="70" t="s">
        <v>322</v>
      </c>
      <c r="C37" s="70" t="s">
        <v>323</v>
      </c>
      <c r="D37" s="70" t="s">
        <v>324</v>
      </c>
      <c r="E37" s="70" t="s">
        <v>323</v>
      </c>
      <c r="F37" s="70" t="s">
        <v>325</v>
      </c>
      <c r="G37" s="70" t="s">
        <v>322</v>
      </c>
      <c r="H37" s="70" t="s">
        <v>323</v>
      </c>
      <c r="I37" s="70" t="s">
        <v>324</v>
      </c>
    </row>
    <row r="38" spans="1:9" ht="12.75">
      <c r="A38" s="70" t="s">
        <v>336</v>
      </c>
      <c r="B38" s="70" t="s">
        <v>333</v>
      </c>
      <c r="C38" s="70" t="s">
        <v>334</v>
      </c>
      <c r="D38" s="70" t="s">
        <v>335</v>
      </c>
      <c r="E38" s="70" t="s">
        <v>334</v>
      </c>
      <c r="F38" s="70" t="s">
        <v>336</v>
      </c>
      <c r="G38" s="70" t="s">
        <v>333</v>
      </c>
      <c r="H38" s="70" t="s">
        <v>334</v>
      </c>
      <c r="I38" s="70" t="s">
        <v>335</v>
      </c>
    </row>
    <row r="39" spans="1:9" ht="12.75">
      <c r="A39" s="70" t="s">
        <v>382</v>
      </c>
      <c r="B39" s="70" t="s">
        <v>2737</v>
      </c>
      <c r="C39" s="70" t="s">
        <v>381</v>
      </c>
      <c r="E39" s="70" t="s">
        <v>381</v>
      </c>
      <c r="F39" s="70" t="s">
        <v>382</v>
      </c>
      <c r="G39" s="70" t="s">
        <v>2737</v>
      </c>
      <c r="H39" s="70" t="s">
        <v>381</v>
      </c>
    </row>
    <row r="40" spans="1:9" ht="12.75">
      <c r="A40" s="70" t="s">
        <v>379</v>
      </c>
      <c r="B40" s="70" t="s">
        <v>376</v>
      </c>
      <c r="C40" s="70" t="s">
        <v>377</v>
      </c>
      <c r="D40" s="70" t="s">
        <v>378</v>
      </c>
      <c r="E40" s="70" t="s">
        <v>377</v>
      </c>
      <c r="F40" s="70" t="s">
        <v>379</v>
      </c>
      <c r="G40" s="70" t="s">
        <v>376</v>
      </c>
      <c r="H40" s="70" t="s">
        <v>377</v>
      </c>
      <c r="I40" s="70" t="s">
        <v>378</v>
      </c>
    </row>
    <row r="41" spans="1:9" ht="12.75">
      <c r="A41" s="70" t="s">
        <v>321</v>
      </c>
      <c r="B41" s="70" t="s">
        <v>318</v>
      </c>
      <c r="C41" s="70" t="s">
        <v>319</v>
      </c>
      <c r="D41" s="70" t="s">
        <v>320</v>
      </c>
      <c r="E41" s="70" t="s">
        <v>319</v>
      </c>
      <c r="F41" s="70" t="s">
        <v>321</v>
      </c>
      <c r="G41" s="70" t="s">
        <v>318</v>
      </c>
      <c r="H41" s="70" t="s">
        <v>319</v>
      </c>
      <c r="I41" s="70" t="s">
        <v>320</v>
      </c>
    </row>
    <row r="42" spans="1:9" ht="12.75">
      <c r="A42" s="70" t="s">
        <v>386</v>
      </c>
      <c r="B42" s="70" t="s">
        <v>383</v>
      </c>
      <c r="C42" s="70" t="s">
        <v>384</v>
      </c>
      <c r="D42" s="70" t="s">
        <v>385</v>
      </c>
      <c r="E42" s="70" t="s">
        <v>384</v>
      </c>
      <c r="F42" s="70" t="s">
        <v>386</v>
      </c>
      <c r="G42" s="70" t="s">
        <v>383</v>
      </c>
      <c r="H42" s="70" t="s">
        <v>384</v>
      </c>
      <c r="I42" s="70" t="s">
        <v>385</v>
      </c>
    </row>
    <row r="43" spans="1:9" ht="12.75">
      <c r="A43" s="70" t="s">
        <v>346</v>
      </c>
      <c r="B43" s="70" t="s">
        <v>343</v>
      </c>
      <c r="C43" s="70" t="s">
        <v>344</v>
      </c>
      <c r="D43" s="70" t="s">
        <v>345</v>
      </c>
      <c r="E43" s="70" t="s">
        <v>344</v>
      </c>
      <c r="F43" s="70" t="s">
        <v>346</v>
      </c>
      <c r="G43" s="70" t="s">
        <v>343</v>
      </c>
      <c r="H43" s="70" t="s">
        <v>344</v>
      </c>
      <c r="I43" s="70" t="s">
        <v>345</v>
      </c>
    </row>
    <row r="44" spans="1:9" ht="12.75">
      <c r="A44" s="70" t="s">
        <v>349</v>
      </c>
      <c r="B44" s="70" t="s">
        <v>347</v>
      </c>
      <c r="C44" s="70" t="s">
        <v>348</v>
      </c>
      <c r="E44" s="70" t="s">
        <v>348</v>
      </c>
      <c r="F44" s="70" t="s">
        <v>349</v>
      </c>
      <c r="G44" s="70" t="s">
        <v>347</v>
      </c>
      <c r="H44" s="70" t="s">
        <v>348</v>
      </c>
    </row>
    <row r="45" spans="1:9" ht="12.75">
      <c r="A45" s="70" t="s">
        <v>375</v>
      </c>
      <c r="B45" s="70" t="s">
        <v>372</v>
      </c>
      <c r="C45" s="70" t="s">
        <v>373</v>
      </c>
      <c r="D45" s="70" t="s">
        <v>374</v>
      </c>
      <c r="E45" s="70" t="s">
        <v>374</v>
      </c>
      <c r="F45" s="70" t="s">
        <v>375</v>
      </c>
      <c r="G45" s="70" t="s">
        <v>372</v>
      </c>
      <c r="H45" s="70" t="s">
        <v>373</v>
      </c>
      <c r="I45" s="70" t="s">
        <v>374</v>
      </c>
    </row>
    <row r="46" spans="1:9" ht="12.75">
      <c r="A46" s="70" t="s">
        <v>357</v>
      </c>
      <c r="B46" s="70" t="s">
        <v>354</v>
      </c>
      <c r="C46" s="70" t="s">
        <v>355</v>
      </c>
      <c r="D46" s="70" t="s">
        <v>356</v>
      </c>
      <c r="E46" s="70" t="s">
        <v>355</v>
      </c>
      <c r="F46" s="70" t="s">
        <v>357</v>
      </c>
      <c r="G46" s="70" t="s">
        <v>354</v>
      </c>
      <c r="H46" s="70" t="s">
        <v>355</v>
      </c>
      <c r="I46" s="70" t="s">
        <v>356</v>
      </c>
    </row>
    <row r="47" spans="1:9" ht="12.75">
      <c r="A47" s="70" t="s">
        <v>284</v>
      </c>
      <c r="B47" s="70" t="s">
        <v>369</v>
      </c>
      <c r="C47" s="70" t="s">
        <v>370</v>
      </c>
      <c r="D47" s="70" t="s">
        <v>371</v>
      </c>
      <c r="E47" s="70" t="s">
        <v>370</v>
      </c>
      <c r="F47" s="70" t="s">
        <v>284</v>
      </c>
      <c r="G47" s="70" t="s">
        <v>369</v>
      </c>
      <c r="H47" s="70" t="s">
        <v>370</v>
      </c>
      <c r="I47" s="70" t="s">
        <v>371</v>
      </c>
    </row>
    <row r="48" spans="1:9" ht="12.75">
      <c r="A48" s="70" t="s">
        <v>317</v>
      </c>
      <c r="B48" s="70" t="s">
        <v>313</v>
      </c>
      <c r="C48" s="70" t="s">
        <v>314</v>
      </c>
      <c r="D48" s="70" t="s">
        <v>315</v>
      </c>
      <c r="E48" s="70" t="s">
        <v>314</v>
      </c>
      <c r="F48" s="70" t="s">
        <v>317</v>
      </c>
      <c r="G48" s="70" t="s">
        <v>313</v>
      </c>
      <c r="H48" s="70" t="s">
        <v>314</v>
      </c>
      <c r="I48" s="70" t="s">
        <v>315</v>
      </c>
    </row>
    <row r="49" spans="1:9" ht="12.75">
      <c r="A49" s="70" t="s">
        <v>353</v>
      </c>
      <c r="B49" s="70" t="s">
        <v>350</v>
      </c>
      <c r="C49" s="70" t="s">
        <v>351</v>
      </c>
      <c r="D49" s="70" t="s">
        <v>352</v>
      </c>
      <c r="E49" s="70" t="s">
        <v>351</v>
      </c>
      <c r="F49" s="70" t="s">
        <v>353</v>
      </c>
      <c r="G49" s="70" t="s">
        <v>350</v>
      </c>
      <c r="H49" s="70" t="s">
        <v>351</v>
      </c>
      <c r="I49" s="70" t="s">
        <v>352</v>
      </c>
    </row>
    <row r="50" spans="1:9" ht="12.75">
      <c r="A50" s="70" t="s">
        <v>368</v>
      </c>
      <c r="B50" s="70" t="s">
        <v>365</v>
      </c>
      <c r="C50" s="70" t="s">
        <v>366</v>
      </c>
      <c r="D50" s="70" t="s">
        <v>367</v>
      </c>
      <c r="E50" s="70" t="s">
        <v>366</v>
      </c>
      <c r="F50" s="70" t="s">
        <v>368</v>
      </c>
      <c r="G50" s="70" t="s">
        <v>365</v>
      </c>
      <c r="H50" s="70" t="s">
        <v>366</v>
      </c>
      <c r="I50" s="70" t="s">
        <v>367</v>
      </c>
    </row>
    <row r="51" spans="1:9" ht="12.75">
      <c r="A51" s="70" t="s">
        <v>332</v>
      </c>
      <c r="B51" s="70" t="s">
        <v>329</v>
      </c>
      <c r="C51" s="70" t="s">
        <v>330</v>
      </c>
      <c r="D51" s="70" t="s">
        <v>331</v>
      </c>
      <c r="E51" s="70" t="s">
        <v>330</v>
      </c>
      <c r="F51" s="70" t="s">
        <v>332</v>
      </c>
      <c r="G51" s="70" t="s">
        <v>329</v>
      </c>
      <c r="H51" s="70" t="s">
        <v>330</v>
      </c>
      <c r="I51" s="70" t="s">
        <v>331</v>
      </c>
    </row>
    <row r="52" spans="1:9" ht="12.75">
      <c r="A52" s="70" t="s">
        <v>339</v>
      </c>
      <c r="B52" s="70" t="s">
        <v>337</v>
      </c>
      <c r="C52" s="70" t="s">
        <v>338</v>
      </c>
      <c r="E52" s="70" t="s">
        <v>338</v>
      </c>
      <c r="F52" s="70" t="s">
        <v>339</v>
      </c>
      <c r="G52" s="70" t="s">
        <v>337</v>
      </c>
      <c r="H52" s="70" t="s">
        <v>338</v>
      </c>
    </row>
    <row r="53" spans="1:9" ht="12.75">
      <c r="A53" s="70" t="s">
        <v>410</v>
      </c>
      <c r="B53" s="70" t="s">
        <v>408</v>
      </c>
      <c r="C53" s="70" t="s">
        <v>409</v>
      </c>
      <c r="E53" s="70" t="s">
        <v>409</v>
      </c>
      <c r="F53" s="70" t="s">
        <v>410</v>
      </c>
      <c r="G53" s="70" t="s">
        <v>408</v>
      </c>
      <c r="H53" s="70" t="s">
        <v>409</v>
      </c>
    </row>
    <row r="54" spans="1:9" ht="12.75">
      <c r="A54" s="70" t="s">
        <v>2738</v>
      </c>
      <c r="B54" s="70" t="s">
        <v>2739</v>
      </c>
      <c r="C54" s="70" t="s">
        <v>482</v>
      </c>
      <c r="D54" s="70" t="s">
        <v>2725</v>
      </c>
      <c r="E54" s="70" t="s">
        <v>482</v>
      </c>
      <c r="F54" s="70" t="s">
        <v>2738</v>
      </c>
      <c r="G54" s="70" t="s">
        <v>2739</v>
      </c>
      <c r="H54" s="70" t="s">
        <v>482</v>
      </c>
      <c r="I54" s="70" t="s">
        <v>2725</v>
      </c>
    </row>
    <row r="55" spans="1:9" ht="12.75">
      <c r="A55" s="70" t="s">
        <v>422</v>
      </c>
      <c r="B55" s="70" t="s">
        <v>420</v>
      </c>
      <c r="C55" s="70" t="s">
        <v>421</v>
      </c>
      <c r="D55" s="70" t="s">
        <v>421</v>
      </c>
      <c r="E55" s="70" t="s">
        <v>421</v>
      </c>
      <c r="F55" s="70" t="s">
        <v>422</v>
      </c>
      <c r="G55" s="70" t="s">
        <v>420</v>
      </c>
      <c r="H55" s="70" t="s">
        <v>421</v>
      </c>
      <c r="I55" s="70" t="s">
        <v>421</v>
      </c>
    </row>
    <row r="56" spans="1:9" ht="12.75">
      <c r="A56" s="70" t="s">
        <v>1105</v>
      </c>
      <c r="B56" s="70" t="s">
        <v>1102</v>
      </c>
      <c r="C56" s="70" t="s">
        <v>1103</v>
      </c>
      <c r="D56" s="70" t="s">
        <v>1104</v>
      </c>
      <c r="E56" s="70" t="s">
        <v>1103</v>
      </c>
      <c r="F56" s="70" t="s">
        <v>1105</v>
      </c>
      <c r="G56" s="70" t="s">
        <v>1102</v>
      </c>
      <c r="H56" s="70" t="s">
        <v>1103</v>
      </c>
      <c r="I56" s="70" t="s">
        <v>1104</v>
      </c>
    </row>
    <row r="57" spans="1:9" ht="12.75">
      <c r="A57" s="70" t="s">
        <v>451</v>
      </c>
      <c r="B57" s="70" t="s">
        <v>449</v>
      </c>
      <c r="C57" s="70" t="s">
        <v>450</v>
      </c>
      <c r="D57" s="70" t="s">
        <v>450</v>
      </c>
      <c r="E57" s="70" t="s">
        <v>450</v>
      </c>
      <c r="F57" s="70" t="s">
        <v>451</v>
      </c>
      <c r="G57" s="70" t="s">
        <v>449</v>
      </c>
      <c r="H57" s="70" t="s">
        <v>450</v>
      </c>
      <c r="I57" s="70" t="s">
        <v>450</v>
      </c>
    </row>
    <row r="58" spans="1:9" ht="12.75">
      <c r="A58" s="70" t="s">
        <v>266</v>
      </c>
      <c r="B58" s="70" t="s">
        <v>427</v>
      </c>
      <c r="C58" s="70" t="s">
        <v>428</v>
      </c>
      <c r="D58" s="70" t="s">
        <v>429</v>
      </c>
      <c r="E58" s="70" t="s">
        <v>428</v>
      </c>
      <c r="F58" s="70" t="s">
        <v>266</v>
      </c>
      <c r="G58" s="70" t="s">
        <v>427</v>
      </c>
      <c r="H58" s="70" t="s">
        <v>428</v>
      </c>
      <c r="I58" s="70" t="s">
        <v>429</v>
      </c>
    </row>
    <row r="59" spans="1:9" ht="12.75">
      <c r="A59" s="70" t="s">
        <v>407</v>
      </c>
      <c r="B59" s="70" t="s">
        <v>404</v>
      </c>
      <c r="C59" s="70" t="s">
        <v>405</v>
      </c>
      <c r="D59" s="70" t="s">
        <v>406</v>
      </c>
      <c r="E59" s="70" t="s">
        <v>405</v>
      </c>
      <c r="F59" s="70" t="s">
        <v>407</v>
      </c>
      <c r="G59" s="70" t="s">
        <v>404</v>
      </c>
      <c r="H59" s="70" t="s">
        <v>405</v>
      </c>
      <c r="I59" s="70" t="s">
        <v>406</v>
      </c>
    </row>
    <row r="60" spans="1:9" ht="12.75">
      <c r="A60" s="70" t="s">
        <v>439</v>
      </c>
      <c r="B60" s="70" t="s">
        <v>436</v>
      </c>
      <c r="C60" s="70" t="s">
        <v>437</v>
      </c>
      <c r="D60" s="70" t="s">
        <v>438</v>
      </c>
      <c r="E60" s="70" t="s">
        <v>437</v>
      </c>
      <c r="F60" s="70" t="s">
        <v>439</v>
      </c>
      <c r="G60" s="70" t="s">
        <v>436</v>
      </c>
      <c r="H60" s="70" t="s">
        <v>437</v>
      </c>
      <c r="I60" s="70" t="s">
        <v>438</v>
      </c>
    </row>
    <row r="61" spans="1:9" ht="12.75">
      <c r="A61" s="70" t="s">
        <v>455</v>
      </c>
      <c r="B61" s="70" t="s">
        <v>452</v>
      </c>
      <c r="C61" s="70" t="s">
        <v>453</v>
      </c>
      <c r="D61" s="70" t="s">
        <v>454</v>
      </c>
      <c r="E61" s="70" t="s">
        <v>453</v>
      </c>
      <c r="F61" s="70" t="s">
        <v>455</v>
      </c>
      <c r="G61" s="70" t="s">
        <v>452</v>
      </c>
      <c r="H61" s="70" t="s">
        <v>453</v>
      </c>
      <c r="I61" s="70" t="s">
        <v>454</v>
      </c>
    </row>
    <row r="62" spans="1:9" ht="12.75">
      <c r="A62" s="70" t="s">
        <v>446</v>
      </c>
      <c r="B62" s="70" t="s">
        <v>464</v>
      </c>
      <c r="C62" s="70" t="s">
        <v>465</v>
      </c>
      <c r="D62" s="70" t="s">
        <v>466</v>
      </c>
      <c r="E62" s="70" t="s">
        <v>465</v>
      </c>
      <c r="F62" s="70" t="s">
        <v>446</v>
      </c>
      <c r="G62" s="70" t="s">
        <v>464</v>
      </c>
      <c r="H62" s="70" t="s">
        <v>465</v>
      </c>
      <c r="I62" s="70" t="s">
        <v>466</v>
      </c>
    </row>
    <row r="63" spans="1:9" ht="12.75">
      <c r="A63" s="70" t="s">
        <v>395</v>
      </c>
      <c r="B63" s="70" t="s">
        <v>392</v>
      </c>
      <c r="C63" s="70" t="s">
        <v>393</v>
      </c>
      <c r="D63" s="70" t="s">
        <v>394</v>
      </c>
      <c r="E63" s="70" t="s">
        <v>393</v>
      </c>
      <c r="F63" s="70" t="s">
        <v>395</v>
      </c>
      <c r="G63" s="70" t="s">
        <v>392</v>
      </c>
      <c r="H63" s="70" t="s">
        <v>393</v>
      </c>
      <c r="I63" s="70" t="s">
        <v>394</v>
      </c>
    </row>
    <row r="64" spans="1:9" ht="12.75">
      <c r="A64" s="70" t="s">
        <v>753</v>
      </c>
      <c r="B64" s="70" t="s">
        <v>2740</v>
      </c>
      <c r="C64" s="70" t="s">
        <v>469</v>
      </c>
      <c r="E64" s="70" t="s">
        <v>469</v>
      </c>
      <c r="F64" s="70" t="s">
        <v>753</v>
      </c>
      <c r="G64" s="70" t="s">
        <v>2740</v>
      </c>
      <c r="H64" s="70" t="s">
        <v>469</v>
      </c>
    </row>
    <row r="65" spans="1:9" ht="12.75">
      <c r="A65" s="70" t="s">
        <v>474</v>
      </c>
      <c r="B65" s="70" t="s">
        <v>471</v>
      </c>
      <c r="C65" s="70" t="s">
        <v>472</v>
      </c>
      <c r="D65" s="70" t="s">
        <v>473</v>
      </c>
      <c r="E65" s="70" t="s">
        <v>472</v>
      </c>
      <c r="F65" s="70" t="s">
        <v>474</v>
      </c>
      <c r="G65" s="70" t="s">
        <v>471</v>
      </c>
      <c r="H65" s="70" t="s">
        <v>472</v>
      </c>
      <c r="I65" s="70" t="s">
        <v>473</v>
      </c>
    </row>
    <row r="66" spans="1:9" ht="12.75">
      <c r="A66" s="70" t="s">
        <v>410</v>
      </c>
      <c r="B66" s="70" t="s">
        <v>2741</v>
      </c>
      <c r="C66" s="70" t="s">
        <v>476</v>
      </c>
      <c r="D66" s="70" t="s">
        <v>477</v>
      </c>
      <c r="E66" s="70" t="s">
        <v>476</v>
      </c>
      <c r="F66" s="70" t="s">
        <v>410</v>
      </c>
      <c r="G66" s="70" t="s">
        <v>2741</v>
      </c>
      <c r="H66" s="70" t="s">
        <v>476</v>
      </c>
      <c r="I66" s="70" t="s">
        <v>477</v>
      </c>
    </row>
    <row r="67" spans="1:9" ht="12.75">
      <c r="A67" s="70" t="s">
        <v>577</v>
      </c>
      <c r="B67" s="70" t="s">
        <v>574</v>
      </c>
      <c r="C67" s="70" t="s">
        <v>575</v>
      </c>
      <c r="D67" s="70" t="s">
        <v>576</v>
      </c>
      <c r="E67" s="70" t="s">
        <v>575</v>
      </c>
      <c r="F67" s="70" t="s">
        <v>577</v>
      </c>
      <c r="G67" s="70" t="s">
        <v>574</v>
      </c>
      <c r="H67" s="70" t="s">
        <v>575</v>
      </c>
      <c r="I67" s="70" t="s">
        <v>576</v>
      </c>
    </row>
    <row r="68" spans="1:9" ht="12.75">
      <c r="A68" s="70" t="s">
        <v>495</v>
      </c>
      <c r="B68" s="70" t="s">
        <v>492</v>
      </c>
      <c r="C68" s="70" t="s">
        <v>493</v>
      </c>
      <c r="D68" s="70" t="s">
        <v>494</v>
      </c>
      <c r="E68" s="70" t="s">
        <v>493</v>
      </c>
      <c r="F68" s="70" t="s">
        <v>495</v>
      </c>
      <c r="G68" s="70" t="s">
        <v>492</v>
      </c>
      <c r="H68" s="70" t="s">
        <v>493</v>
      </c>
      <c r="I68" s="70" t="s">
        <v>494</v>
      </c>
    </row>
    <row r="69" spans="1:9" ht="12.75">
      <c r="A69" s="70" t="s">
        <v>489</v>
      </c>
      <c r="B69" s="70" t="s">
        <v>486</v>
      </c>
      <c r="C69" s="70" t="s">
        <v>487</v>
      </c>
      <c r="D69" s="70" t="s">
        <v>488</v>
      </c>
      <c r="E69" s="70" t="s">
        <v>487</v>
      </c>
      <c r="F69" s="70" t="s">
        <v>489</v>
      </c>
      <c r="G69" s="70" t="s">
        <v>486</v>
      </c>
      <c r="H69" s="70" t="s">
        <v>487</v>
      </c>
      <c r="I69" s="70" t="s">
        <v>488</v>
      </c>
    </row>
    <row r="70" spans="1:9" ht="12.75">
      <c r="A70" s="70" t="s">
        <v>410</v>
      </c>
      <c r="B70" s="70" t="s">
        <v>496</v>
      </c>
      <c r="C70" s="70" t="s">
        <v>497</v>
      </c>
      <c r="D70" s="70" t="s">
        <v>498</v>
      </c>
      <c r="E70" s="70" t="s">
        <v>497</v>
      </c>
      <c r="F70" s="70" t="s">
        <v>410</v>
      </c>
      <c r="G70" s="70" t="s">
        <v>496</v>
      </c>
      <c r="H70" s="70" t="s">
        <v>497</v>
      </c>
      <c r="I70" s="70" t="s">
        <v>498</v>
      </c>
    </row>
    <row r="71" spans="1:9" ht="12.75">
      <c r="A71" s="70" t="s">
        <v>503</v>
      </c>
      <c r="B71" s="70" t="s">
        <v>499</v>
      </c>
      <c r="C71" s="70" t="s">
        <v>500</v>
      </c>
      <c r="D71" s="70" t="s">
        <v>500</v>
      </c>
      <c r="E71" s="70" t="s">
        <v>500</v>
      </c>
      <c r="F71" s="70" t="s">
        <v>503</v>
      </c>
      <c r="G71" s="70" t="s">
        <v>499</v>
      </c>
      <c r="H71" s="70" t="s">
        <v>500</v>
      </c>
      <c r="I71" s="70" t="s">
        <v>500</v>
      </c>
    </row>
    <row r="72" spans="1:9" ht="12.75">
      <c r="A72" s="70" t="s">
        <v>266</v>
      </c>
      <c r="B72" s="70" t="s">
        <v>263</v>
      </c>
      <c r="C72" s="70" t="s">
        <v>264</v>
      </c>
      <c r="D72" s="70" t="s">
        <v>265</v>
      </c>
      <c r="E72" s="70" t="s">
        <v>264</v>
      </c>
      <c r="F72" s="70" t="s">
        <v>266</v>
      </c>
      <c r="G72" s="70" t="s">
        <v>263</v>
      </c>
      <c r="H72" s="70" t="s">
        <v>264</v>
      </c>
      <c r="I72" s="70" t="s">
        <v>265</v>
      </c>
    </row>
    <row r="73" spans="1:9" ht="12.75">
      <c r="A73" s="70" t="s">
        <v>508</v>
      </c>
      <c r="B73" s="70" t="s">
        <v>504</v>
      </c>
      <c r="C73" s="70" t="s">
        <v>505</v>
      </c>
      <c r="D73" s="70" t="s">
        <v>506</v>
      </c>
      <c r="E73" s="70" t="s">
        <v>505</v>
      </c>
      <c r="F73" s="70" t="s">
        <v>508</v>
      </c>
      <c r="G73" s="70" t="s">
        <v>504</v>
      </c>
      <c r="H73" s="70" t="s">
        <v>505</v>
      </c>
      <c r="I73" s="70" t="s">
        <v>506</v>
      </c>
    </row>
    <row r="74" spans="1:9" ht="12.75">
      <c r="A74" s="70" t="s">
        <v>528</v>
      </c>
      <c r="B74" s="70" t="s">
        <v>525</v>
      </c>
      <c r="C74" s="70" t="s">
        <v>526</v>
      </c>
      <c r="D74" s="70" t="s">
        <v>527</v>
      </c>
      <c r="E74" s="70" t="s">
        <v>526</v>
      </c>
      <c r="F74" s="70" t="s">
        <v>528</v>
      </c>
      <c r="G74" s="70" t="s">
        <v>525</v>
      </c>
      <c r="H74" s="70" t="s">
        <v>526</v>
      </c>
      <c r="I74" s="70" t="s">
        <v>527</v>
      </c>
    </row>
    <row r="75" spans="1:9" ht="12.75">
      <c r="A75" s="70" t="s">
        <v>524</v>
      </c>
      <c r="B75" s="70" t="s">
        <v>521</v>
      </c>
      <c r="C75" s="70" t="s">
        <v>522</v>
      </c>
      <c r="D75" s="70" t="s">
        <v>523</v>
      </c>
      <c r="E75" s="70" t="s">
        <v>522</v>
      </c>
      <c r="F75" s="70" t="s">
        <v>524</v>
      </c>
      <c r="G75" s="70" t="s">
        <v>521</v>
      </c>
      <c r="H75" s="70" t="s">
        <v>522</v>
      </c>
      <c r="I75" s="70" t="s">
        <v>523</v>
      </c>
    </row>
    <row r="76" spans="1:9" ht="12.75">
      <c r="A76" s="70" t="s">
        <v>1080</v>
      </c>
      <c r="B76" s="70" t="s">
        <v>1077</v>
      </c>
      <c r="C76" s="70" t="s">
        <v>1078</v>
      </c>
      <c r="D76" s="70" t="s">
        <v>1079</v>
      </c>
      <c r="E76" s="70" t="s">
        <v>1078</v>
      </c>
      <c r="F76" s="70" t="s">
        <v>1080</v>
      </c>
      <c r="G76" s="70" t="s">
        <v>1077</v>
      </c>
      <c r="H76" s="70" t="s">
        <v>1078</v>
      </c>
      <c r="I76" s="70" t="s">
        <v>1079</v>
      </c>
    </row>
    <row r="77" spans="1:9" ht="12.75">
      <c r="A77" s="70" t="s">
        <v>524</v>
      </c>
      <c r="B77" s="70" t="s">
        <v>532</v>
      </c>
      <c r="C77" s="70" t="s">
        <v>533</v>
      </c>
      <c r="D77" s="70" t="s">
        <v>534</v>
      </c>
      <c r="E77" s="70" t="s">
        <v>533</v>
      </c>
      <c r="F77" s="70" t="s">
        <v>524</v>
      </c>
      <c r="G77" s="70" t="s">
        <v>532</v>
      </c>
      <c r="H77" s="70" t="s">
        <v>533</v>
      </c>
      <c r="I77" s="70" t="s">
        <v>534</v>
      </c>
    </row>
    <row r="78" spans="1:9" ht="12.75">
      <c r="A78" s="70" t="s">
        <v>546</v>
      </c>
      <c r="B78" s="70" t="s">
        <v>543</v>
      </c>
      <c r="C78" s="70" t="s">
        <v>544</v>
      </c>
      <c r="D78" s="70" t="s">
        <v>545</v>
      </c>
      <c r="E78" s="70" t="s">
        <v>544</v>
      </c>
      <c r="F78" s="70" t="s">
        <v>546</v>
      </c>
      <c r="G78" s="70" t="s">
        <v>543</v>
      </c>
      <c r="H78" s="70" t="s">
        <v>544</v>
      </c>
      <c r="I78" s="70" t="s">
        <v>545</v>
      </c>
    </row>
    <row r="79" spans="1:9" ht="12.75">
      <c r="A79" s="70" t="s">
        <v>542</v>
      </c>
      <c r="B79" s="70" t="s">
        <v>539</v>
      </c>
      <c r="C79" s="70" t="s">
        <v>540</v>
      </c>
      <c r="D79" s="70" t="s">
        <v>541</v>
      </c>
      <c r="E79" s="70" t="s">
        <v>540</v>
      </c>
      <c r="F79" s="70" t="s">
        <v>542</v>
      </c>
      <c r="G79" s="70" t="s">
        <v>539</v>
      </c>
      <c r="H79" s="70" t="s">
        <v>540</v>
      </c>
      <c r="I79" s="70" t="s">
        <v>541</v>
      </c>
    </row>
    <row r="80" spans="1:9" ht="12.75">
      <c r="A80" s="70" t="s">
        <v>284</v>
      </c>
      <c r="B80" s="70" t="s">
        <v>550</v>
      </c>
      <c r="C80" s="70" t="s">
        <v>551</v>
      </c>
      <c r="D80" s="70" t="s">
        <v>552</v>
      </c>
      <c r="E80" s="70" t="s">
        <v>551</v>
      </c>
      <c r="F80" s="70" t="s">
        <v>284</v>
      </c>
      <c r="G80" s="70" t="s">
        <v>550</v>
      </c>
      <c r="H80" s="70" t="s">
        <v>551</v>
      </c>
      <c r="I80" s="70" t="s">
        <v>552</v>
      </c>
    </row>
    <row r="81" spans="1:9" ht="12.75">
      <c r="A81" s="70" t="s">
        <v>559</v>
      </c>
      <c r="B81" s="70" t="s">
        <v>556</v>
      </c>
      <c r="C81" s="70" t="s">
        <v>557</v>
      </c>
      <c r="D81" s="70" t="s">
        <v>558</v>
      </c>
      <c r="E81" s="70" t="s">
        <v>557</v>
      </c>
      <c r="F81" s="70" t="s">
        <v>559</v>
      </c>
      <c r="G81" s="70" t="s">
        <v>556</v>
      </c>
      <c r="H81" s="70" t="s">
        <v>557</v>
      </c>
      <c r="I81" s="70" t="s">
        <v>558</v>
      </c>
    </row>
    <row r="82" spans="1:9" ht="12.75">
      <c r="A82" s="70" t="s">
        <v>1185</v>
      </c>
      <c r="B82" s="70" t="s">
        <v>1182</v>
      </c>
      <c r="C82" s="70" t="s">
        <v>1183</v>
      </c>
      <c r="D82" s="70" t="s">
        <v>1184</v>
      </c>
      <c r="E82" s="70" t="s">
        <v>1183</v>
      </c>
      <c r="F82" s="70" t="s">
        <v>1185</v>
      </c>
      <c r="G82" s="70" t="s">
        <v>1182</v>
      </c>
      <c r="H82" s="70" t="s">
        <v>1183</v>
      </c>
      <c r="I82" s="70" t="s">
        <v>1184</v>
      </c>
    </row>
    <row r="83" spans="1:9" ht="12.75">
      <c r="A83" s="70" t="s">
        <v>328</v>
      </c>
      <c r="B83" s="70" t="s">
        <v>590</v>
      </c>
      <c r="C83" s="70" t="s">
        <v>591</v>
      </c>
      <c r="E83" s="70" t="s">
        <v>591</v>
      </c>
      <c r="F83" s="70" t="s">
        <v>328</v>
      </c>
      <c r="G83" s="70" t="s">
        <v>590</v>
      </c>
      <c r="H83" s="70" t="s">
        <v>591</v>
      </c>
    </row>
    <row r="84" spans="1:9" ht="12.75">
      <c r="A84" s="70" t="s">
        <v>571</v>
      </c>
      <c r="B84" s="70" t="s">
        <v>569</v>
      </c>
      <c r="C84" s="70" t="s">
        <v>570</v>
      </c>
      <c r="D84" s="70" t="s">
        <v>573</v>
      </c>
      <c r="E84" s="70" t="s">
        <v>570</v>
      </c>
      <c r="F84" s="70" t="s">
        <v>571</v>
      </c>
      <c r="G84" s="70" t="s">
        <v>569</v>
      </c>
      <c r="H84" s="70" t="s">
        <v>570</v>
      </c>
      <c r="I84" s="70" t="s">
        <v>573</v>
      </c>
    </row>
    <row r="85" spans="1:9" ht="12.75">
      <c r="A85" s="70" t="s">
        <v>520</v>
      </c>
      <c r="B85" s="70" t="s">
        <v>598</v>
      </c>
      <c r="C85" s="70" t="s">
        <v>599</v>
      </c>
      <c r="E85" s="70" t="s">
        <v>599</v>
      </c>
      <c r="F85" s="70" t="s">
        <v>520</v>
      </c>
      <c r="G85" s="70" t="s">
        <v>598</v>
      </c>
      <c r="H85" s="70" t="s">
        <v>599</v>
      </c>
    </row>
    <row r="86" spans="1:9" ht="12.75">
      <c r="A86" s="70" t="s">
        <v>317</v>
      </c>
      <c r="B86" s="70" t="s">
        <v>578</v>
      </c>
      <c r="C86" s="70" t="s">
        <v>579</v>
      </c>
      <c r="D86" s="70" t="s">
        <v>580</v>
      </c>
      <c r="E86" s="70" t="s">
        <v>579</v>
      </c>
      <c r="F86" s="70" t="s">
        <v>317</v>
      </c>
      <c r="G86" s="70" t="s">
        <v>578</v>
      </c>
      <c r="H86" s="70" t="s">
        <v>579</v>
      </c>
      <c r="I86" s="70" t="s">
        <v>580</v>
      </c>
    </row>
    <row r="87" spans="1:9" ht="12.75">
      <c r="A87" s="70" t="s">
        <v>564</v>
      </c>
      <c r="B87" s="70" t="s">
        <v>560</v>
      </c>
      <c r="C87" s="70" t="s">
        <v>561</v>
      </c>
      <c r="D87" s="70" t="s">
        <v>562</v>
      </c>
      <c r="E87" s="70" t="s">
        <v>561</v>
      </c>
      <c r="F87" s="70" t="s">
        <v>564</v>
      </c>
      <c r="G87" s="70" t="s">
        <v>560</v>
      </c>
      <c r="H87" s="70" t="s">
        <v>561</v>
      </c>
      <c r="I87" s="70" t="s">
        <v>562</v>
      </c>
    </row>
    <row r="88" spans="1:9" ht="14.25">
      <c r="A88" s="143" t="s">
        <v>587</v>
      </c>
      <c r="B88" s="142" t="s">
        <v>584</v>
      </c>
      <c r="C88" s="142" t="s">
        <v>585</v>
      </c>
      <c r="D88" s="142" t="s">
        <v>585</v>
      </c>
      <c r="E88" s="142" t="s">
        <v>585</v>
      </c>
      <c r="F88" s="143" t="s">
        <v>587</v>
      </c>
      <c r="G88" s="142" t="s">
        <v>584</v>
      </c>
      <c r="H88" s="142" t="s">
        <v>585</v>
      </c>
      <c r="I88" s="142" t="s">
        <v>585</v>
      </c>
    </row>
    <row r="89" spans="1:9" ht="12.75">
      <c r="A89" s="70" t="s">
        <v>606</v>
      </c>
      <c r="B89" s="70" t="s">
        <v>602</v>
      </c>
      <c r="C89" s="70" t="s">
        <v>603</v>
      </c>
      <c r="D89" s="70" t="s">
        <v>604</v>
      </c>
      <c r="E89" s="70" t="s">
        <v>603</v>
      </c>
      <c r="F89" s="70" t="s">
        <v>606</v>
      </c>
      <c r="G89" s="70" t="s">
        <v>602</v>
      </c>
      <c r="H89" s="70" t="s">
        <v>603</v>
      </c>
      <c r="I89" s="70" t="s">
        <v>604</v>
      </c>
    </row>
    <row r="90" spans="1:9" ht="12.75">
      <c r="A90" s="70" t="s">
        <v>520</v>
      </c>
      <c r="B90" s="70" t="s">
        <v>517</v>
      </c>
      <c r="C90" s="70" t="s">
        <v>518</v>
      </c>
      <c r="D90" s="70" t="s">
        <v>519</v>
      </c>
      <c r="E90" s="70" t="s">
        <v>518</v>
      </c>
      <c r="F90" s="70" t="s">
        <v>520</v>
      </c>
      <c r="G90" s="70" t="s">
        <v>517</v>
      </c>
      <c r="H90" s="70" t="s">
        <v>518</v>
      </c>
      <c r="I90" s="70" t="s">
        <v>519</v>
      </c>
    </row>
    <row r="91" spans="1:9" ht="12.75">
      <c r="A91" s="70" t="s">
        <v>597</v>
      </c>
      <c r="B91" s="70" t="s">
        <v>594</v>
      </c>
      <c r="C91" s="70" t="s">
        <v>595</v>
      </c>
      <c r="D91" s="70" t="s">
        <v>596</v>
      </c>
      <c r="E91" s="70" t="s">
        <v>595</v>
      </c>
      <c r="F91" s="70" t="s">
        <v>597</v>
      </c>
      <c r="G91" s="70" t="s">
        <v>594</v>
      </c>
      <c r="H91" s="70" t="s">
        <v>595</v>
      </c>
      <c r="I91" s="70" t="s">
        <v>596</v>
      </c>
    </row>
    <row r="92" spans="1:9" ht="12.75">
      <c r="A92" s="70" t="s">
        <v>262</v>
      </c>
      <c r="B92" s="70" t="s">
        <v>607</v>
      </c>
      <c r="C92" s="70" t="s">
        <v>608</v>
      </c>
      <c r="D92" s="70" t="s">
        <v>609</v>
      </c>
      <c r="E92" s="70" t="s">
        <v>608</v>
      </c>
      <c r="F92" s="70" t="s">
        <v>262</v>
      </c>
      <c r="G92" s="70" t="s">
        <v>607</v>
      </c>
      <c r="H92" s="70" t="s">
        <v>608</v>
      </c>
      <c r="I92" s="70" t="s">
        <v>609</v>
      </c>
    </row>
    <row r="93" spans="1:9" ht="12.75">
      <c r="A93" s="70" t="s">
        <v>615</v>
      </c>
      <c r="B93" s="70" t="s">
        <v>611</v>
      </c>
      <c r="C93" s="70" t="s">
        <v>612</v>
      </c>
      <c r="D93" s="70" t="s">
        <v>613</v>
      </c>
      <c r="E93" s="70" t="s">
        <v>612</v>
      </c>
      <c r="F93" s="70" t="s">
        <v>615</v>
      </c>
      <c r="G93" s="70" t="s">
        <v>611</v>
      </c>
      <c r="H93" s="70" t="s">
        <v>612</v>
      </c>
      <c r="I93" s="70" t="s">
        <v>613</v>
      </c>
    </row>
    <row r="94" spans="1:9" ht="12.75">
      <c r="A94" s="70" t="s">
        <v>637</v>
      </c>
      <c r="B94" s="70" t="s">
        <v>634</v>
      </c>
      <c r="C94" s="70" t="s">
        <v>635</v>
      </c>
      <c r="D94" s="70" t="s">
        <v>636</v>
      </c>
      <c r="E94" s="70" t="s">
        <v>635</v>
      </c>
      <c r="F94" s="70" t="s">
        <v>637</v>
      </c>
      <c r="G94" s="70" t="s">
        <v>634</v>
      </c>
      <c r="H94" s="70" t="s">
        <v>635</v>
      </c>
      <c r="I94" s="70" t="s">
        <v>636</v>
      </c>
    </row>
    <row r="95" spans="1:9" ht="12.75">
      <c r="A95" s="70" t="s">
        <v>633</v>
      </c>
      <c r="B95" s="70" t="s">
        <v>629</v>
      </c>
      <c r="C95" s="70" t="s">
        <v>630</v>
      </c>
      <c r="D95" s="70" t="s">
        <v>631</v>
      </c>
      <c r="E95" s="70" t="s">
        <v>630</v>
      </c>
      <c r="F95" s="70" t="s">
        <v>633</v>
      </c>
      <c r="G95" s="70" t="s">
        <v>629</v>
      </c>
      <c r="H95" s="70" t="s">
        <v>630</v>
      </c>
      <c r="I95" s="70" t="s">
        <v>631</v>
      </c>
    </row>
    <row r="96" spans="1:9" ht="12.75">
      <c r="A96" s="70" t="s">
        <v>463</v>
      </c>
      <c r="B96" s="70" t="s">
        <v>460</v>
      </c>
      <c r="C96" s="70" t="s">
        <v>461</v>
      </c>
      <c r="D96" s="70" t="s">
        <v>462</v>
      </c>
      <c r="E96" s="70" t="s">
        <v>461</v>
      </c>
      <c r="F96" s="70" t="s">
        <v>463</v>
      </c>
      <c r="G96" s="70" t="s">
        <v>460</v>
      </c>
      <c r="H96" s="70" t="s">
        <v>461</v>
      </c>
      <c r="I96" s="70" t="s">
        <v>462</v>
      </c>
    </row>
    <row r="97" spans="1:9" ht="12.75">
      <c r="A97" s="70" t="s">
        <v>620</v>
      </c>
      <c r="B97" s="70" t="s">
        <v>616</v>
      </c>
      <c r="C97" s="70" t="s">
        <v>617</v>
      </c>
      <c r="D97" s="70" t="s">
        <v>618</v>
      </c>
      <c r="E97" s="70" t="s">
        <v>617</v>
      </c>
      <c r="F97" s="70" t="s">
        <v>620</v>
      </c>
      <c r="G97" s="70" t="s">
        <v>616</v>
      </c>
      <c r="H97" s="70" t="s">
        <v>617</v>
      </c>
      <c r="I97" s="70" t="s">
        <v>618</v>
      </c>
    </row>
    <row r="98" spans="1:9" ht="12.75">
      <c r="A98" s="70" t="s">
        <v>640</v>
      </c>
      <c r="B98" s="70" t="s">
        <v>638</v>
      </c>
      <c r="C98" s="70" t="s">
        <v>639</v>
      </c>
      <c r="E98" s="70" t="s">
        <v>639</v>
      </c>
      <c r="F98" s="70" t="s">
        <v>640</v>
      </c>
      <c r="G98" s="70" t="s">
        <v>638</v>
      </c>
      <c r="H98" s="70" t="s">
        <v>639</v>
      </c>
    </row>
    <row r="99" spans="1:9" ht="12.75">
      <c r="A99" s="70" t="s">
        <v>660</v>
      </c>
      <c r="B99" s="70" t="s">
        <v>657</v>
      </c>
      <c r="C99" s="70" t="s">
        <v>658</v>
      </c>
      <c r="D99" s="70" t="s">
        <v>659</v>
      </c>
      <c r="E99" s="70" t="s">
        <v>658</v>
      </c>
      <c r="F99" s="70" t="s">
        <v>660</v>
      </c>
      <c r="G99" s="70" t="s">
        <v>657</v>
      </c>
      <c r="H99" s="70" t="s">
        <v>658</v>
      </c>
      <c r="I99" s="70" t="s">
        <v>659</v>
      </c>
    </row>
    <row r="100" spans="1:9" ht="12.75">
      <c r="A100" s="70" t="s">
        <v>520</v>
      </c>
      <c r="B100" s="70" t="s">
        <v>671</v>
      </c>
      <c r="C100" s="70" t="s">
        <v>672</v>
      </c>
      <c r="E100" s="70" t="s">
        <v>672</v>
      </c>
      <c r="F100" s="70" t="s">
        <v>520</v>
      </c>
      <c r="G100" s="70" t="s">
        <v>671</v>
      </c>
      <c r="H100" s="70" t="s">
        <v>672</v>
      </c>
    </row>
    <row r="101" spans="1:9" ht="12.75">
      <c r="A101" s="70" t="s">
        <v>520</v>
      </c>
      <c r="B101" s="70" t="s">
        <v>674</v>
      </c>
      <c r="C101" s="70" t="s">
        <v>675</v>
      </c>
      <c r="D101" s="70" t="s">
        <v>676</v>
      </c>
      <c r="E101" s="70" t="s">
        <v>675</v>
      </c>
      <c r="F101" s="70" t="s">
        <v>520</v>
      </c>
      <c r="G101" s="70" t="s">
        <v>674</v>
      </c>
      <c r="H101" s="70" t="s">
        <v>675</v>
      </c>
      <c r="I101" s="70" t="s">
        <v>676</v>
      </c>
    </row>
    <row r="102" spans="1:9" ht="12.75">
      <c r="A102" s="70" t="s">
        <v>654</v>
      </c>
      <c r="B102" s="70" t="s">
        <v>651</v>
      </c>
      <c r="C102" s="70" t="s">
        <v>652</v>
      </c>
      <c r="D102" s="70" t="s">
        <v>653</v>
      </c>
      <c r="E102" s="70" t="s">
        <v>652</v>
      </c>
      <c r="F102" s="70" t="s">
        <v>654</v>
      </c>
      <c r="G102" s="70" t="s">
        <v>651</v>
      </c>
      <c r="H102" s="70" t="s">
        <v>652</v>
      </c>
      <c r="I102" s="70" t="s">
        <v>653</v>
      </c>
    </row>
    <row r="103" spans="1:9" ht="12.75">
      <c r="A103" s="70" t="s">
        <v>670</v>
      </c>
      <c r="B103" s="70" t="s">
        <v>667</v>
      </c>
      <c r="C103" s="70" t="s">
        <v>668</v>
      </c>
      <c r="D103" s="70" t="s">
        <v>669</v>
      </c>
      <c r="E103" s="70" t="s">
        <v>668</v>
      </c>
      <c r="F103" s="70" t="s">
        <v>670</v>
      </c>
      <c r="G103" s="70" t="s">
        <v>667</v>
      </c>
      <c r="H103" s="70" t="s">
        <v>668</v>
      </c>
      <c r="I103" s="70" t="s">
        <v>669</v>
      </c>
    </row>
    <row r="104" spans="1:9" ht="12.75">
      <c r="A104" s="70" t="s">
        <v>666</v>
      </c>
      <c r="B104" s="70" t="s">
        <v>663</v>
      </c>
      <c r="C104" s="70" t="s">
        <v>664</v>
      </c>
      <c r="D104" s="70" t="s">
        <v>665</v>
      </c>
      <c r="E104" s="70" t="s">
        <v>664</v>
      </c>
      <c r="F104" s="70" t="s">
        <v>666</v>
      </c>
      <c r="G104" s="70" t="s">
        <v>663</v>
      </c>
      <c r="H104" s="70" t="s">
        <v>664</v>
      </c>
      <c r="I104" s="70" t="s">
        <v>665</v>
      </c>
    </row>
    <row r="105" spans="1:9" ht="12.75">
      <c r="A105" s="70" t="s">
        <v>520</v>
      </c>
      <c r="B105" s="70" t="s">
        <v>2742</v>
      </c>
      <c r="C105" s="70" t="s">
        <v>643</v>
      </c>
      <c r="D105" s="70" t="s">
        <v>644</v>
      </c>
      <c r="E105" s="70" t="s">
        <v>643</v>
      </c>
      <c r="F105" s="70" t="s">
        <v>520</v>
      </c>
      <c r="G105" s="70" t="s">
        <v>2742</v>
      </c>
      <c r="H105" s="70" t="s">
        <v>643</v>
      </c>
      <c r="I105" s="70" t="s">
        <v>644</v>
      </c>
    </row>
    <row r="106" spans="1:9" ht="12.75">
      <c r="A106" s="70" t="s">
        <v>680</v>
      </c>
      <c r="B106" s="70" t="s">
        <v>677</v>
      </c>
      <c r="C106" s="70" t="s">
        <v>678</v>
      </c>
      <c r="D106" s="70" t="s">
        <v>679</v>
      </c>
      <c r="E106" s="70" t="s">
        <v>678</v>
      </c>
      <c r="F106" s="70" t="s">
        <v>680</v>
      </c>
      <c r="G106" s="70" t="s">
        <v>677</v>
      </c>
      <c r="H106" s="70" t="s">
        <v>678</v>
      </c>
      <c r="I106" s="70" t="s">
        <v>679</v>
      </c>
    </row>
    <row r="107" spans="1:9" ht="12.75">
      <c r="A107" s="70" t="s">
        <v>683</v>
      </c>
      <c r="B107" s="70" t="s">
        <v>681</v>
      </c>
      <c r="C107" s="70" t="s">
        <v>682</v>
      </c>
      <c r="E107" s="70" t="s">
        <v>682</v>
      </c>
      <c r="F107" s="70" t="s">
        <v>683</v>
      </c>
      <c r="G107" s="70" t="s">
        <v>681</v>
      </c>
      <c r="H107" s="70" t="s">
        <v>682</v>
      </c>
    </row>
    <row r="108" spans="1:9" ht="12.75">
      <c r="A108" s="70" t="s">
        <v>693</v>
      </c>
      <c r="B108" s="70" t="s">
        <v>690</v>
      </c>
      <c r="C108" s="70" t="s">
        <v>691</v>
      </c>
      <c r="D108" s="70" t="s">
        <v>692</v>
      </c>
      <c r="E108" s="70" t="s">
        <v>691</v>
      </c>
      <c r="F108" s="70" t="s">
        <v>693</v>
      </c>
      <c r="G108" s="70" t="s">
        <v>690</v>
      </c>
      <c r="H108" s="70" t="s">
        <v>691</v>
      </c>
      <c r="I108" s="70" t="s">
        <v>692</v>
      </c>
    </row>
    <row r="109" spans="1:9" ht="12.75">
      <c r="A109" s="70" t="s">
        <v>686</v>
      </c>
      <c r="B109" s="70" t="s">
        <v>684</v>
      </c>
      <c r="C109" s="70" t="s">
        <v>685</v>
      </c>
      <c r="E109" s="70" t="s">
        <v>685</v>
      </c>
      <c r="F109" s="70" t="s">
        <v>686</v>
      </c>
      <c r="G109" s="70" t="s">
        <v>684</v>
      </c>
      <c r="H109" s="70" t="s">
        <v>685</v>
      </c>
    </row>
    <row r="110" spans="1:9" ht="12.75">
      <c r="A110" s="70" t="s">
        <v>705</v>
      </c>
      <c r="B110" s="70" t="s">
        <v>702</v>
      </c>
      <c r="C110" s="70" t="s">
        <v>703</v>
      </c>
      <c r="D110" s="70" t="s">
        <v>704</v>
      </c>
      <c r="E110" s="70" t="s">
        <v>703</v>
      </c>
      <c r="F110" s="70" t="s">
        <v>705</v>
      </c>
      <c r="G110" s="70" t="s">
        <v>702</v>
      </c>
      <c r="H110" s="70" t="s">
        <v>703</v>
      </c>
      <c r="I110" s="70" t="s">
        <v>704</v>
      </c>
    </row>
    <row r="111" spans="1:9" ht="12.75">
      <c r="A111" s="70" t="s">
        <v>726</v>
      </c>
      <c r="B111" s="70" t="s">
        <v>723</v>
      </c>
      <c r="C111" s="70" t="s">
        <v>724</v>
      </c>
      <c r="D111" s="70" t="s">
        <v>2743</v>
      </c>
      <c r="E111" s="70" t="s">
        <v>724</v>
      </c>
      <c r="F111" s="70" t="s">
        <v>726</v>
      </c>
      <c r="G111" s="70" t="s">
        <v>723</v>
      </c>
      <c r="H111" s="70" t="s">
        <v>724</v>
      </c>
      <c r="I111" s="70" t="s">
        <v>2743</v>
      </c>
    </row>
    <row r="112" spans="1:9" ht="12.75">
      <c r="A112" s="70" t="s">
        <v>403</v>
      </c>
      <c r="B112" s="70" t="s">
        <v>402</v>
      </c>
      <c r="C112" s="70" t="s">
        <v>399</v>
      </c>
      <c r="D112" s="70" t="s">
        <v>400</v>
      </c>
      <c r="E112" s="70" t="s">
        <v>399</v>
      </c>
      <c r="F112" s="70" t="s">
        <v>403</v>
      </c>
      <c r="G112" s="70" t="s">
        <v>402</v>
      </c>
      <c r="H112" s="70" t="s">
        <v>399</v>
      </c>
      <c r="I112" s="70" t="s">
        <v>400</v>
      </c>
    </row>
    <row r="113" spans="1:9" ht="12.75">
      <c r="A113" s="70" t="s">
        <v>709</v>
      </c>
      <c r="B113" s="70" t="s">
        <v>706</v>
      </c>
      <c r="C113" s="70" t="s">
        <v>707</v>
      </c>
      <c r="D113" s="70" t="s">
        <v>708</v>
      </c>
      <c r="E113" s="70" t="s">
        <v>707</v>
      </c>
      <c r="F113" s="70" t="s">
        <v>709</v>
      </c>
      <c r="G113" s="70" t="s">
        <v>706</v>
      </c>
      <c r="H113" s="70" t="s">
        <v>707</v>
      </c>
      <c r="I113" s="70" t="s">
        <v>708</v>
      </c>
    </row>
    <row r="114" spans="1:9" ht="12.75">
      <c r="A114" s="70" t="s">
        <v>446</v>
      </c>
      <c r="B114" s="70" t="s">
        <v>442</v>
      </c>
      <c r="C114" s="70" t="s">
        <v>443</v>
      </c>
      <c r="D114" s="70" t="s">
        <v>444</v>
      </c>
      <c r="E114" s="70" t="s">
        <v>445</v>
      </c>
      <c r="F114" s="70" t="s">
        <v>446</v>
      </c>
      <c r="G114" s="70" t="s">
        <v>442</v>
      </c>
      <c r="H114" s="70" t="s">
        <v>443</v>
      </c>
      <c r="I114" s="70" t="s">
        <v>444</v>
      </c>
    </row>
    <row r="115" spans="1:9" ht="12.75">
      <c r="A115" s="70" t="s">
        <v>520</v>
      </c>
      <c r="B115" s="70" t="s">
        <v>1085</v>
      </c>
      <c r="C115" s="70" t="s">
        <v>1086</v>
      </c>
      <c r="E115" s="70" t="s">
        <v>1087</v>
      </c>
      <c r="F115" s="70" t="s">
        <v>520</v>
      </c>
      <c r="G115" s="70" t="s">
        <v>1085</v>
      </c>
      <c r="H115" s="70" t="s">
        <v>1086</v>
      </c>
    </row>
    <row r="116" spans="1:9" ht="12.75">
      <c r="A116" s="70" t="s">
        <v>1076</v>
      </c>
      <c r="B116" s="70" t="s">
        <v>1073</v>
      </c>
      <c r="C116" s="70" t="s">
        <v>1074</v>
      </c>
      <c r="D116" s="70" t="s">
        <v>1075</v>
      </c>
      <c r="E116" s="70" t="s">
        <v>1074</v>
      </c>
      <c r="F116" s="70" t="s">
        <v>1076</v>
      </c>
      <c r="G116" s="70" t="s">
        <v>1073</v>
      </c>
      <c r="H116" s="70" t="s">
        <v>1074</v>
      </c>
      <c r="I116" s="70" t="s">
        <v>1075</v>
      </c>
    </row>
    <row r="117" spans="1:9" ht="12.75">
      <c r="A117" s="70" t="s">
        <v>722</v>
      </c>
      <c r="B117" s="70" t="s">
        <v>719</v>
      </c>
      <c r="C117" s="70" t="s">
        <v>720</v>
      </c>
      <c r="D117" s="70" t="s">
        <v>721</v>
      </c>
      <c r="E117" s="70" t="s">
        <v>720</v>
      </c>
      <c r="F117" s="70" t="s">
        <v>722</v>
      </c>
      <c r="G117" s="70" t="s">
        <v>719</v>
      </c>
      <c r="H117" s="70" t="s">
        <v>720</v>
      </c>
      <c r="I117" s="70" t="s">
        <v>721</v>
      </c>
    </row>
    <row r="118" spans="1:9" ht="12.75">
      <c r="A118" s="70" t="s">
        <v>419</v>
      </c>
      <c r="B118" s="70" t="s">
        <v>415</v>
      </c>
      <c r="C118" s="70" t="s">
        <v>416</v>
      </c>
      <c r="E118" s="70" t="s">
        <v>418</v>
      </c>
      <c r="F118" s="70" t="s">
        <v>419</v>
      </c>
      <c r="G118" s="70" t="s">
        <v>415</v>
      </c>
      <c r="H118" s="70" t="s">
        <v>416</v>
      </c>
    </row>
    <row r="119" spans="1:9" ht="12.75">
      <c r="A119" s="70" t="s">
        <v>699</v>
      </c>
      <c r="B119" s="70" t="s">
        <v>696</v>
      </c>
      <c r="C119" s="70" t="s">
        <v>697</v>
      </c>
      <c r="D119" s="70" t="s">
        <v>698</v>
      </c>
      <c r="E119" s="70" t="s">
        <v>697</v>
      </c>
      <c r="F119" s="70" t="s">
        <v>699</v>
      </c>
      <c r="G119" s="70" t="s">
        <v>696</v>
      </c>
      <c r="H119" s="70" t="s">
        <v>697</v>
      </c>
      <c r="I119" s="70" t="s">
        <v>698</v>
      </c>
    </row>
    <row r="120" spans="1:9" ht="12.75">
      <c r="A120" s="70" t="s">
        <v>730</v>
      </c>
      <c r="B120" s="70" t="s">
        <v>727</v>
      </c>
      <c r="C120" s="70" t="s">
        <v>728</v>
      </c>
      <c r="D120" s="70" t="s">
        <v>729</v>
      </c>
      <c r="E120" s="70" t="s">
        <v>728</v>
      </c>
      <c r="F120" s="70" t="s">
        <v>730</v>
      </c>
      <c r="G120" s="70" t="s">
        <v>727</v>
      </c>
      <c r="H120" s="70" t="s">
        <v>728</v>
      </c>
      <c r="I120" s="70" t="s">
        <v>729</v>
      </c>
    </row>
    <row r="121" spans="1:9" ht="12.75">
      <c r="A121" s="70" t="s">
        <v>738</v>
      </c>
      <c r="B121" s="70" t="s">
        <v>735</v>
      </c>
      <c r="C121" s="70" t="s">
        <v>736</v>
      </c>
      <c r="D121" s="70" t="s">
        <v>737</v>
      </c>
      <c r="E121" s="70" t="s">
        <v>736</v>
      </c>
      <c r="F121" s="70" t="s">
        <v>738</v>
      </c>
      <c r="G121" s="70" t="s">
        <v>735</v>
      </c>
      <c r="H121" s="70" t="s">
        <v>736</v>
      </c>
      <c r="I121" s="70" t="s">
        <v>737</v>
      </c>
    </row>
    <row r="122" spans="1:9" ht="12.75">
      <c r="A122" s="70" t="s">
        <v>1012</v>
      </c>
      <c r="B122" s="70" t="s">
        <v>1088</v>
      </c>
      <c r="C122" s="70" t="s">
        <v>1089</v>
      </c>
      <c r="E122" s="70" t="s">
        <v>1090</v>
      </c>
      <c r="F122" s="70" t="s">
        <v>1012</v>
      </c>
      <c r="G122" s="70" t="s">
        <v>1088</v>
      </c>
      <c r="H122" s="70" t="s">
        <v>1089</v>
      </c>
    </row>
    <row r="123" spans="1:9" ht="12.75">
      <c r="A123" s="70" t="s">
        <v>1084</v>
      </c>
      <c r="B123" s="70" t="s">
        <v>1081</v>
      </c>
      <c r="C123" s="70" t="s">
        <v>1082</v>
      </c>
      <c r="D123" s="70" t="s">
        <v>1083</v>
      </c>
      <c r="E123" s="70" t="s">
        <v>1082</v>
      </c>
      <c r="F123" s="70" t="s">
        <v>1084</v>
      </c>
      <c r="G123" s="70" t="s">
        <v>1081</v>
      </c>
      <c r="H123" s="70" t="s">
        <v>1082</v>
      </c>
      <c r="I123" s="70" t="s">
        <v>1083</v>
      </c>
    </row>
    <row r="124" spans="1:9" ht="12.75">
      <c r="A124" s="70" t="s">
        <v>746</v>
      </c>
      <c r="B124" s="70" t="s">
        <v>743</v>
      </c>
      <c r="C124" s="70" t="s">
        <v>744</v>
      </c>
      <c r="D124" s="70" t="s">
        <v>745</v>
      </c>
      <c r="E124" s="70" t="s">
        <v>744</v>
      </c>
      <c r="F124" s="70" t="s">
        <v>746</v>
      </c>
      <c r="G124" s="70" t="s">
        <v>743</v>
      </c>
      <c r="H124" s="70" t="s">
        <v>744</v>
      </c>
      <c r="I124" s="70" t="s">
        <v>745</v>
      </c>
    </row>
    <row r="125" spans="1:9" ht="12.75">
      <c r="A125" s="70" t="s">
        <v>742</v>
      </c>
      <c r="B125" s="70" t="s">
        <v>739</v>
      </c>
      <c r="C125" s="70" t="s">
        <v>740</v>
      </c>
      <c r="D125" s="70" t="s">
        <v>741</v>
      </c>
      <c r="E125" s="70" t="s">
        <v>740</v>
      </c>
      <c r="F125" s="70" t="s">
        <v>742</v>
      </c>
      <c r="G125" s="70" t="s">
        <v>739</v>
      </c>
      <c r="H125" s="70" t="s">
        <v>740</v>
      </c>
      <c r="I125" s="70" t="s">
        <v>741</v>
      </c>
    </row>
    <row r="126" spans="1:9" ht="12.75">
      <c r="A126" s="70" t="s">
        <v>757</v>
      </c>
      <c r="B126" s="70" t="s">
        <v>754</v>
      </c>
      <c r="C126" s="70" t="s">
        <v>755</v>
      </c>
      <c r="D126" s="70" t="s">
        <v>756</v>
      </c>
      <c r="E126" s="70" t="s">
        <v>755</v>
      </c>
      <c r="F126" s="70" t="s">
        <v>757</v>
      </c>
      <c r="G126" s="70" t="s">
        <v>754</v>
      </c>
      <c r="H126" s="70" t="s">
        <v>755</v>
      </c>
      <c r="I126" s="70" t="s">
        <v>756</v>
      </c>
    </row>
    <row r="127" spans="1:9" ht="12.75">
      <c r="A127" s="70" t="s">
        <v>763</v>
      </c>
      <c r="B127" s="70" t="s">
        <v>760</v>
      </c>
      <c r="C127" s="70" t="s">
        <v>761</v>
      </c>
      <c r="D127" s="70" t="s">
        <v>762</v>
      </c>
      <c r="E127" s="70" t="s">
        <v>761</v>
      </c>
      <c r="F127" s="70" t="s">
        <v>763</v>
      </c>
      <c r="G127" s="70" t="s">
        <v>760</v>
      </c>
      <c r="H127" s="70" t="s">
        <v>761</v>
      </c>
      <c r="I127" s="70" t="s">
        <v>762</v>
      </c>
    </row>
    <row r="128" spans="1:9" ht="12.75">
      <c r="A128" s="70" t="s">
        <v>734</v>
      </c>
      <c r="B128" s="70" t="s">
        <v>731</v>
      </c>
      <c r="C128" s="70" t="s">
        <v>732</v>
      </c>
      <c r="D128" s="70" t="s">
        <v>733</v>
      </c>
      <c r="E128" s="70" t="s">
        <v>732</v>
      </c>
      <c r="F128" s="70" t="s">
        <v>734</v>
      </c>
      <c r="G128" s="70" t="s">
        <v>731</v>
      </c>
      <c r="H128" s="70" t="s">
        <v>732</v>
      </c>
      <c r="I128" s="70" t="s">
        <v>733</v>
      </c>
    </row>
    <row r="129" spans="1:9" ht="12.75">
      <c r="A129" s="70" t="s">
        <v>749</v>
      </c>
      <c r="B129" s="70" t="s">
        <v>747</v>
      </c>
      <c r="C129" s="70" t="s">
        <v>748</v>
      </c>
      <c r="E129" s="70" t="s">
        <v>748</v>
      </c>
      <c r="F129" s="70" t="s">
        <v>749</v>
      </c>
      <c r="G129" s="70" t="s">
        <v>747</v>
      </c>
      <c r="H129" s="70" t="s">
        <v>748</v>
      </c>
    </row>
    <row r="130" spans="1:9" ht="12.75">
      <c r="A130" s="70" t="s">
        <v>850</v>
      </c>
      <c r="B130" s="70" t="s">
        <v>847</v>
      </c>
      <c r="C130" s="70" t="s">
        <v>848</v>
      </c>
      <c r="D130" s="70" t="s">
        <v>849</v>
      </c>
      <c r="E130" s="70" t="s">
        <v>848</v>
      </c>
      <c r="F130" s="70" t="s">
        <v>850</v>
      </c>
      <c r="G130" s="70" t="s">
        <v>847</v>
      </c>
      <c r="H130" s="70" t="s">
        <v>848</v>
      </c>
      <c r="I130" s="70" t="s">
        <v>849</v>
      </c>
    </row>
    <row r="131" spans="1:9" ht="12.75">
      <c r="A131" s="70" t="s">
        <v>835</v>
      </c>
      <c r="B131" s="70" t="s">
        <v>832</v>
      </c>
      <c r="C131" s="70" t="s">
        <v>833</v>
      </c>
      <c r="D131" s="70" t="s">
        <v>834</v>
      </c>
      <c r="E131" s="70" t="s">
        <v>833</v>
      </c>
      <c r="F131" s="70" t="s">
        <v>835</v>
      </c>
      <c r="G131" s="70" t="s">
        <v>832</v>
      </c>
      <c r="H131" s="70" t="s">
        <v>833</v>
      </c>
      <c r="I131" s="70" t="s">
        <v>834</v>
      </c>
    </row>
    <row r="132" spans="1:9" ht="12.75">
      <c r="A132" s="70" t="s">
        <v>831</v>
      </c>
      <c r="B132" s="70" t="s">
        <v>828</v>
      </c>
      <c r="C132" s="70" t="s">
        <v>829</v>
      </c>
      <c r="D132" s="70" t="s">
        <v>830</v>
      </c>
      <c r="E132" s="70" t="s">
        <v>829</v>
      </c>
      <c r="F132" s="70" t="s">
        <v>831</v>
      </c>
      <c r="G132" s="70" t="s">
        <v>828</v>
      </c>
      <c r="H132" s="70" t="s">
        <v>829</v>
      </c>
      <c r="I132" s="70" t="s">
        <v>830</v>
      </c>
    </row>
    <row r="133" spans="1:9" ht="12.75">
      <c r="A133" s="70" t="s">
        <v>771</v>
      </c>
      <c r="B133" s="70" t="s">
        <v>768</v>
      </c>
      <c r="C133" s="70" t="s">
        <v>769</v>
      </c>
      <c r="D133" s="70" t="s">
        <v>770</v>
      </c>
      <c r="E133" s="70" t="s">
        <v>769</v>
      </c>
      <c r="F133" s="70" t="s">
        <v>771</v>
      </c>
      <c r="G133" s="70" t="s">
        <v>768</v>
      </c>
      <c r="H133" s="70" t="s">
        <v>769</v>
      </c>
      <c r="I133" s="70" t="s">
        <v>770</v>
      </c>
    </row>
    <row r="134" spans="1:9" ht="12.75">
      <c r="A134" s="70" t="s">
        <v>919</v>
      </c>
      <c r="B134" s="70" t="s">
        <v>2744</v>
      </c>
      <c r="C134" s="70" t="s">
        <v>2241</v>
      </c>
      <c r="D134" s="70" t="s">
        <v>2745</v>
      </c>
      <c r="E134" s="70" t="s">
        <v>2241</v>
      </c>
      <c r="F134" s="70" t="s">
        <v>919</v>
      </c>
      <c r="G134" s="70" t="s">
        <v>2744</v>
      </c>
      <c r="H134" s="70" t="s">
        <v>2241</v>
      </c>
      <c r="I134" s="70" t="s">
        <v>2745</v>
      </c>
    </row>
    <row r="135" spans="1:9" ht="12.75">
      <c r="A135" s="70" t="s">
        <v>792</v>
      </c>
      <c r="B135" s="70" t="s">
        <v>789</v>
      </c>
      <c r="C135" s="70" t="s">
        <v>790</v>
      </c>
      <c r="D135" s="70" t="s">
        <v>791</v>
      </c>
      <c r="E135" s="70" t="s">
        <v>790</v>
      </c>
      <c r="F135" s="70" t="s">
        <v>792</v>
      </c>
      <c r="G135" s="70" t="s">
        <v>789</v>
      </c>
      <c r="H135" s="70" t="s">
        <v>790</v>
      </c>
      <c r="I135" s="70" t="s">
        <v>791</v>
      </c>
    </row>
    <row r="136" spans="1:9" ht="12.75">
      <c r="A136" s="70" t="s">
        <v>520</v>
      </c>
      <c r="B136" s="70" t="s">
        <v>854</v>
      </c>
      <c r="C136" s="70" t="s">
        <v>855</v>
      </c>
      <c r="D136" s="70" t="s">
        <v>856</v>
      </c>
      <c r="E136" s="70" t="s">
        <v>855</v>
      </c>
      <c r="F136" s="70" t="s">
        <v>520</v>
      </c>
      <c r="G136" s="70" t="s">
        <v>854</v>
      </c>
      <c r="H136" s="70" t="s">
        <v>855</v>
      </c>
      <c r="I136" s="70" t="s">
        <v>856</v>
      </c>
    </row>
    <row r="137" spans="1:9" ht="12.75">
      <c r="A137" s="70" t="s">
        <v>838</v>
      </c>
      <c r="B137" s="70" t="s">
        <v>836</v>
      </c>
      <c r="C137" s="70" t="s">
        <v>837</v>
      </c>
      <c r="E137" s="70" t="s">
        <v>837</v>
      </c>
      <c r="F137" s="70" t="s">
        <v>838</v>
      </c>
      <c r="G137" s="70" t="s">
        <v>836</v>
      </c>
      <c r="H137" s="70" t="s">
        <v>837</v>
      </c>
    </row>
    <row r="138" spans="1:9" ht="12.75">
      <c r="A138" s="70" t="s">
        <v>767</v>
      </c>
      <c r="B138" s="70" t="s">
        <v>764</v>
      </c>
      <c r="C138" s="70" t="s">
        <v>765</v>
      </c>
      <c r="D138" s="70" t="s">
        <v>765</v>
      </c>
      <c r="F138" s="70" t="s">
        <v>767</v>
      </c>
      <c r="G138" s="70" t="s">
        <v>764</v>
      </c>
      <c r="H138" s="70" t="s">
        <v>765</v>
      </c>
      <c r="I138" s="70" t="s">
        <v>765</v>
      </c>
    </row>
    <row r="139" spans="1:9" ht="12.75">
      <c r="A139" s="70" t="s">
        <v>771</v>
      </c>
      <c r="B139" s="70" t="s">
        <v>806</v>
      </c>
      <c r="C139" s="70" t="s">
        <v>807</v>
      </c>
      <c r="D139" s="70" t="s">
        <v>808</v>
      </c>
      <c r="E139" s="70" t="s">
        <v>807</v>
      </c>
      <c r="F139" s="70" t="s">
        <v>771</v>
      </c>
      <c r="G139" s="70" t="s">
        <v>806</v>
      </c>
      <c r="H139" s="70" t="s">
        <v>807</v>
      </c>
      <c r="I139" s="70" t="s">
        <v>808</v>
      </c>
    </row>
    <row r="140" spans="1:9" ht="12.75">
      <c r="A140" s="70" t="s">
        <v>796</v>
      </c>
      <c r="B140" s="70" t="s">
        <v>793</v>
      </c>
      <c r="C140" s="70" t="s">
        <v>794</v>
      </c>
      <c r="D140" s="70" t="s">
        <v>795</v>
      </c>
      <c r="E140" s="70" t="s">
        <v>794</v>
      </c>
      <c r="F140" s="70" t="s">
        <v>796</v>
      </c>
      <c r="G140" s="70" t="s">
        <v>793</v>
      </c>
      <c r="H140" s="70" t="s">
        <v>794</v>
      </c>
      <c r="I140" s="70" t="s">
        <v>795</v>
      </c>
    </row>
    <row r="141" spans="1:9" ht="12.75">
      <c r="A141" s="70" t="s">
        <v>520</v>
      </c>
      <c r="B141" s="70" t="s">
        <v>809</v>
      </c>
      <c r="C141" s="70" t="s">
        <v>810</v>
      </c>
      <c r="D141" s="70" t="s">
        <v>811</v>
      </c>
      <c r="E141" s="70" t="s">
        <v>810</v>
      </c>
      <c r="F141" s="70" t="s">
        <v>520</v>
      </c>
      <c r="G141" s="70" t="s">
        <v>809</v>
      </c>
      <c r="H141" s="70" t="s">
        <v>810</v>
      </c>
      <c r="I141" s="70" t="s">
        <v>811</v>
      </c>
    </row>
    <row r="142" spans="1:9" ht="12.75">
      <c r="A142" s="70" t="s">
        <v>788</v>
      </c>
      <c r="B142" s="70" t="s">
        <v>785</v>
      </c>
      <c r="C142" s="70" t="s">
        <v>786</v>
      </c>
      <c r="D142" s="70" t="s">
        <v>787</v>
      </c>
      <c r="E142" s="70" t="s">
        <v>786</v>
      </c>
      <c r="F142" s="70" t="s">
        <v>788</v>
      </c>
      <c r="G142" s="70" t="s">
        <v>785</v>
      </c>
      <c r="H142" s="70" t="s">
        <v>786</v>
      </c>
      <c r="I142" s="70" t="s">
        <v>787</v>
      </c>
    </row>
    <row r="143" spans="1:9" ht="12.75">
      <c r="A143" s="70" t="s">
        <v>778</v>
      </c>
      <c r="B143" s="70" t="s">
        <v>775</v>
      </c>
      <c r="C143" s="70" t="s">
        <v>776</v>
      </c>
      <c r="D143" s="70" t="s">
        <v>777</v>
      </c>
      <c r="E143" s="70" t="s">
        <v>776</v>
      </c>
      <c r="F143" s="70" t="s">
        <v>778</v>
      </c>
      <c r="G143" s="70" t="s">
        <v>775</v>
      </c>
      <c r="H143" s="70" t="s">
        <v>776</v>
      </c>
      <c r="I143" s="70" t="s">
        <v>777</v>
      </c>
    </row>
    <row r="144" spans="1:9" ht="12.75">
      <c r="A144" s="70" t="s">
        <v>815</v>
      </c>
      <c r="B144" s="70" t="s">
        <v>812</v>
      </c>
      <c r="C144" s="70" t="s">
        <v>813</v>
      </c>
      <c r="D144" s="70" t="s">
        <v>814</v>
      </c>
      <c r="E144" s="70" t="s">
        <v>813</v>
      </c>
      <c r="F144" s="70" t="s">
        <v>815</v>
      </c>
      <c r="G144" s="70" t="s">
        <v>812</v>
      </c>
      <c r="H144" s="70" t="s">
        <v>813</v>
      </c>
      <c r="I144" s="70" t="s">
        <v>814</v>
      </c>
    </row>
    <row r="145" spans="1:9" ht="12.75">
      <c r="A145" s="70" t="s">
        <v>784</v>
      </c>
      <c r="B145" s="70" t="s">
        <v>782</v>
      </c>
      <c r="C145" s="70" t="s">
        <v>783</v>
      </c>
      <c r="E145" s="70" t="s">
        <v>783</v>
      </c>
      <c r="F145" s="70" t="s">
        <v>784</v>
      </c>
      <c r="G145" s="70" t="s">
        <v>782</v>
      </c>
      <c r="H145" s="70" t="s">
        <v>783</v>
      </c>
    </row>
    <row r="146" spans="1:9" ht="12.75">
      <c r="A146" s="70" t="s">
        <v>654</v>
      </c>
      <c r="B146" s="70" t="s">
        <v>851</v>
      </c>
      <c r="C146" s="70" t="s">
        <v>852</v>
      </c>
      <c r="D146" s="70" t="s">
        <v>853</v>
      </c>
      <c r="E146" s="70" t="s">
        <v>852</v>
      </c>
      <c r="F146" s="70" t="s">
        <v>654</v>
      </c>
      <c r="G146" s="70" t="s">
        <v>851</v>
      </c>
      <c r="H146" s="70" t="s">
        <v>852</v>
      </c>
      <c r="I146" s="70" t="s">
        <v>853</v>
      </c>
    </row>
    <row r="147" spans="1:9" ht="12.75">
      <c r="A147" s="70" t="s">
        <v>860</v>
      </c>
      <c r="B147" s="70" t="s">
        <v>857</v>
      </c>
      <c r="C147" s="70" t="s">
        <v>858</v>
      </c>
      <c r="D147" s="70" t="s">
        <v>859</v>
      </c>
      <c r="E147" s="70" t="s">
        <v>858</v>
      </c>
      <c r="F147" s="70" t="s">
        <v>860</v>
      </c>
      <c r="G147" s="70" t="s">
        <v>857</v>
      </c>
      <c r="H147" s="70" t="s">
        <v>858</v>
      </c>
      <c r="I147" s="70" t="s">
        <v>859</v>
      </c>
    </row>
    <row r="148" spans="1:9" ht="12.75">
      <c r="A148" s="70" t="s">
        <v>900</v>
      </c>
      <c r="B148" s="70" t="s">
        <v>897</v>
      </c>
      <c r="C148" s="70" t="s">
        <v>898</v>
      </c>
      <c r="D148" s="70" t="s">
        <v>899</v>
      </c>
      <c r="E148" s="70" t="s">
        <v>898</v>
      </c>
      <c r="F148" s="70" t="s">
        <v>900</v>
      </c>
      <c r="G148" s="70" t="s">
        <v>897</v>
      </c>
      <c r="H148" s="70" t="s">
        <v>898</v>
      </c>
      <c r="I148" s="70" t="s">
        <v>899</v>
      </c>
    </row>
    <row r="149" spans="1:9" ht="12.75">
      <c r="A149" s="70" t="s">
        <v>520</v>
      </c>
      <c r="B149" s="70" t="s">
        <v>901</v>
      </c>
      <c r="C149" s="70" t="s">
        <v>902</v>
      </c>
      <c r="D149" s="70" t="s">
        <v>903</v>
      </c>
      <c r="E149" s="70" t="s">
        <v>902</v>
      </c>
      <c r="F149" s="70" t="s">
        <v>520</v>
      </c>
      <c r="G149" s="70" t="s">
        <v>901</v>
      </c>
      <c r="H149" s="70" t="s">
        <v>902</v>
      </c>
      <c r="I149" s="70" t="s">
        <v>903</v>
      </c>
    </row>
    <row r="150" spans="1:9" ht="12.75">
      <c r="A150" s="70" t="s">
        <v>597</v>
      </c>
      <c r="B150" s="70" t="s">
        <v>894</v>
      </c>
      <c r="C150" s="70" t="s">
        <v>895</v>
      </c>
      <c r="D150" s="70" t="s">
        <v>896</v>
      </c>
      <c r="E150" s="70" t="s">
        <v>895</v>
      </c>
      <c r="F150" s="70" t="s">
        <v>597</v>
      </c>
      <c r="G150" s="70" t="s">
        <v>894</v>
      </c>
      <c r="H150" s="70" t="s">
        <v>895</v>
      </c>
      <c r="I150" s="70" t="s">
        <v>896</v>
      </c>
    </row>
    <row r="151" spans="1:9" ht="12.75">
      <c r="A151" s="70" t="s">
        <v>874</v>
      </c>
      <c r="B151" s="70" t="s">
        <v>871</v>
      </c>
      <c r="C151" s="70" t="s">
        <v>872</v>
      </c>
      <c r="D151" s="70" t="s">
        <v>873</v>
      </c>
      <c r="E151" s="70" t="s">
        <v>872</v>
      </c>
      <c r="F151" s="70" t="s">
        <v>874</v>
      </c>
      <c r="G151" s="70" t="s">
        <v>871</v>
      </c>
      <c r="H151" s="70" t="s">
        <v>872</v>
      </c>
      <c r="I151" s="70" t="s">
        <v>873</v>
      </c>
    </row>
    <row r="152" spans="1:9" ht="12.75">
      <c r="A152" s="70" t="s">
        <v>927</v>
      </c>
      <c r="B152" s="70" t="s">
        <v>924</v>
      </c>
      <c r="C152" s="70" t="s">
        <v>925</v>
      </c>
      <c r="D152" s="70" t="s">
        <v>926</v>
      </c>
      <c r="E152" s="70" t="s">
        <v>925</v>
      </c>
      <c r="F152" s="70" t="s">
        <v>927</v>
      </c>
      <c r="G152" s="70" t="s">
        <v>924</v>
      </c>
      <c r="H152" s="70" t="s">
        <v>925</v>
      </c>
      <c r="I152" s="70" t="s">
        <v>926</v>
      </c>
    </row>
    <row r="153" spans="1:9" ht="12.75">
      <c r="A153" s="70" t="s">
        <v>870</v>
      </c>
      <c r="B153" s="70" t="s">
        <v>867</v>
      </c>
      <c r="C153" s="70" t="s">
        <v>868</v>
      </c>
      <c r="D153" s="70" t="s">
        <v>869</v>
      </c>
      <c r="E153" s="70" t="s">
        <v>868</v>
      </c>
      <c r="F153" s="70" t="s">
        <v>870</v>
      </c>
      <c r="G153" s="70" t="s">
        <v>867</v>
      </c>
      <c r="H153" s="70" t="s">
        <v>868</v>
      </c>
      <c r="I153" s="70" t="s">
        <v>869</v>
      </c>
    </row>
    <row r="154" spans="1:9" ht="12.75">
      <c r="A154" s="70" t="s">
        <v>2746</v>
      </c>
      <c r="B154" s="70" t="s">
        <v>2747</v>
      </c>
      <c r="C154" s="70" t="s">
        <v>888</v>
      </c>
      <c r="E154" s="70" t="s">
        <v>888</v>
      </c>
      <c r="F154" s="70" t="s">
        <v>2746</v>
      </c>
      <c r="G154" s="70" t="s">
        <v>2747</v>
      </c>
      <c r="H154" s="70" t="s">
        <v>888</v>
      </c>
    </row>
    <row r="155" spans="1:9" ht="12.75">
      <c r="A155" s="70" t="s">
        <v>929</v>
      </c>
      <c r="B155" s="70" t="s">
        <v>928</v>
      </c>
      <c r="C155" s="70" t="s">
        <v>2311</v>
      </c>
      <c r="D155" s="70" t="s">
        <v>928</v>
      </c>
      <c r="E155" s="70" t="s">
        <v>929</v>
      </c>
      <c r="F155" s="70" t="s">
        <v>929</v>
      </c>
      <c r="G155" s="70" t="s">
        <v>928</v>
      </c>
      <c r="H155" s="70" t="s">
        <v>2311</v>
      </c>
      <c r="I155" s="70" t="s">
        <v>928</v>
      </c>
    </row>
    <row r="156" spans="1:9" ht="12.75">
      <c r="A156" s="70" t="s">
        <v>937</v>
      </c>
      <c r="B156" s="70" t="s">
        <v>934</v>
      </c>
      <c r="C156" s="70" t="s">
        <v>935</v>
      </c>
      <c r="D156" s="70" t="s">
        <v>936</v>
      </c>
      <c r="E156" s="70" t="s">
        <v>935</v>
      </c>
      <c r="F156" s="70" t="s">
        <v>937</v>
      </c>
      <c r="G156" s="70" t="s">
        <v>934</v>
      </c>
      <c r="H156" s="70" t="s">
        <v>935</v>
      </c>
      <c r="I156" s="70" t="s">
        <v>936</v>
      </c>
    </row>
    <row r="157" spans="1:9" ht="12.75">
      <c r="A157" s="70" t="s">
        <v>660</v>
      </c>
      <c r="B157" s="70" t="s">
        <v>952</v>
      </c>
      <c r="C157" s="70" t="s">
        <v>953</v>
      </c>
      <c r="D157" s="70" t="s">
        <v>954</v>
      </c>
      <c r="E157" s="70" t="s">
        <v>953</v>
      </c>
      <c r="F157" s="70" t="s">
        <v>660</v>
      </c>
      <c r="G157" s="70" t="s">
        <v>952</v>
      </c>
      <c r="H157" s="70" t="s">
        <v>953</v>
      </c>
      <c r="I157" s="70" t="s">
        <v>954</v>
      </c>
    </row>
    <row r="158" spans="1:9" ht="12.75">
      <c r="A158" s="70" t="s">
        <v>969</v>
      </c>
      <c r="B158" s="70" t="s">
        <v>966</v>
      </c>
      <c r="C158" s="70" t="s">
        <v>967</v>
      </c>
      <c r="D158" s="70" t="s">
        <v>968</v>
      </c>
      <c r="E158" s="70" t="s">
        <v>967</v>
      </c>
      <c r="F158" s="70" t="s">
        <v>969</v>
      </c>
      <c r="G158" s="70" t="s">
        <v>966</v>
      </c>
      <c r="H158" s="70" t="s">
        <v>967</v>
      </c>
      <c r="I158" s="70" t="s">
        <v>968</v>
      </c>
    </row>
    <row r="159" spans="1:9" ht="12.75">
      <c r="A159" s="70" t="s">
        <v>958</v>
      </c>
      <c r="B159" s="70" t="s">
        <v>955</v>
      </c>
      <c r="C159" s="70" t="s">
        <v>956</v>
      </c>
      <c r="D159" s="70" t="s">
        <v>957</v>
      </c>
      <c r="E159" s="70" t="s">
        <v>956</v>
      </c>
      <c r="F159" s="70" t="s">
        <v>958</v>
      </c>
      <c r="G159" s="70" t="s">
        <v>955</v>
      </c>
      <c r="H159" s="70" t="s">
        <v>956</v>
      </c>
      <c r="I159" s="70" t="s">
        <v>957</v>
      </c>
    </row>
    <row r="160" spans="1:9" ht="12.75">
      <c r="A160" s="70" t="s">
        <v>973</v>
      </c>
      <c r="B160" s="70" t="s">
        <v>970</v>
      </c>
      <c r="C160" s="70" t="s">
        <v>971</v>
      </c>
      <c r="D160" s="70" t="s">
        <v>972</v>
      </c>
      <c r="E160" s="70" t="s">
        <v>971</v>
      </c>
      <c r="F160" s="70" t="s">
        <v>973</v>
      </c>
      <c r="G160" s="70" t="s">
        <v>970</v>
      </c>
      <c r="H160" s="70" t="s">
        <v>971</v>
      </c>
      <c r="I160" s="70" t="s">
        <v>972</v>
      </c>
    </row>
    <row r="161" spans="1:9" ht="12.75">
      <c r="A161" s="70" t="s">
        <v>943</v>
      </c>
      <c r="B161" s="70" t="s">
        <v>940</v>
      </c>
      <c r="C161" s="70" t="s">
        <v>941</v>
      </c>
      <c r="D161" s="70" t="s">
        <v>942</v>
      </c>
      <c r="E161" s="70" t="s">
        <v>941</v>
      </c>
      <c r="F161" s="70" t="s">
        <v>943</v>
      </c>
      <c r="G161" s="70" t="s">
        <v>940</v>
      </c>
      <c r="H161" s="70" t="s">
        <v>941</v>
      </c>
      <c r="I161" s="70" t="s">
        <v>942</v>
      </c>
    </row>
    <row r="162" spans="1:9" ht="12.75">
      <c r="A162" s="70" t="s">
        <v>977</v>
      </c>
      <c r="B162" s="70" t="s">
        <v>974</v>
      </c>
      <c r="C162" s="70" t="s">
        <v>975</v>
      </c>
      <c r="D162" s="70" t="s">
        <v>976</v>
      </c>
      <c r="E162" s="70" t="s">
        <v>975</v>
      </c>
      <c r="F162" s="70" t="s">
        <v>977</v>
      </c>
      <c r="G162" s="70" t="s">
        <v>974</v>
      </c>
      <c r="H162" s="70" t="s">
        <v>975</v>
      </c>
      <c r="I162" s="70" t="s">
        <v>976</v>
      </c>
    </row>
    <row r="163" spans="1:9" ht="12.75">
      <c r="A163" s="70" t="s">
        <v>284</v>
      </c>
      <c r="B163" s="70" t="s">
        <v>978</v>
      </c>
      <c r="C163" s="70" t="s">
        <v>979</v>
      </c>
      <c r="D163" s="70" t="s">
        <v>980</v>
      </c>
      <c r="E163" s="70" t="s">
        <v>979</v>
      </c>
      <c r="F163" s="70" t="s">
        <v>284</v>
      </c>
      <c r="G163" s="70" t="s">
        <v>978</v>
      </c>
      <c r="H163" s="70" t="s">
        <v>979</v>
      </c>
      <c r="I163" s="70" t="s">
        <v>980</v>
      </c>
    </row>
    <row r="164" spans="1:9" ht="12.75">
      <c r="A164" s="70" t="s">
        <v>947</v>
      </c>
      <c r="B164" s="70" t="s">
        <v>944</v>
      </c>
      <c r="C164" s="70" t="s">
        <v>945</v>
      </c>
      <c r="D164" s="70" t="s">
        <v>946</v>
      </c>
      <c r="E164" s="70" t="s">
        <v>945</v>
      </c>
      <c r="F164" s="70" t="s">
        <v>947</v>
      </c>
      <c r="G164" s="70" t="s">
        <v>944</v>
      </c>
      <c r="H164" s="70" t="s">
        <v>945</v>
      </c>
      <c r="I164" s="70" t="s">
        <v>946</v>
      </c>
    </row>
    <row r="165" spans="1:9" ht="12.75">
      <c r="A165" s="70" t="s">
        <v>962</v>
      </c>
      <c r="B165" s="70" t="s">
        <v>959</v>
      </c>
      <c r="C165" s="70" t="s">
        <v>960</v>
      </c>
      <c r="D165" s="70" t="s">
        <v>961</v>
      </c>
      <c r="E165" s="70" t="s">
        <v>960</v>
      </c>
      <c r="F165" s="70" t="s">
        <v>962</v>
      </c>
      <c r="G165" s="70" t="s">
        <v>959</v>
      </c>
      <c r="H165" s="70" t="s">
        <v>960</v>
      </c>
      <c r="I165" s="70" t="s">
        <v>961</v>
      </c>
    </row>
    <row r="166" spans="1:9" ht="12.75">
      <c r="A166" s="70" t="s">
        <v>988</v>
      </c>
      <c r="B166" s="70" t="s">
        <v>985</v>
      </c>
      <c r="C166" s="70" t="s">
        <v>986</v>
      </c>
      <c r="D166" s="70" t="s">
        <v>987</v>
      </c>
      <c r="E166" s="70" t="s">
        <v>986</v>
      </c>
      <c r="F166" s="70" t="s">
        <v>988</v>
      </c>
      <c r="G166" s="70" t="s">
        <v>985</v>
      </c>
      <c r="H166" s="70" t="s">
        <v>986</v>
      </c>
      <c r="I166" s="70" t="s">
        <v>987</v>
      </c>
    </row>
    <row r="167" spans="1:9" ht="12.75">
      <c r="A167" s="70" t="s">
        <v>993</v>
      </c>
      <c r="B167" s="70" t="s">
        <v>991</v>
      </c>
      <c r="C167" s="70" t="s">
        <v>992</v>
      </c>
      <c r="E167" s="70" t="s">
        <v>992</v>
      </c>
      <c r="F167" s="70" t="s">
        <v>993</v>
      </c>
      <c r="G167" s="70" t="s">
        <v>991</v>
      </c>
      <c r="H167" s="70" t="s">
        <v>992</v>
      </c>
    </row>
    <row r="168" spans="1:9" ht="12.75">
      <c r="A168" s="70" t="s">
        <v>520</v>
      </c>
      <c r="B168" s="70" t="s">
        <v>1031</v>
      </c>
      <c r="C168" s="70" t="s">
        <v>1032</v>
      </c>
      <c r="D168" s="70" t="s">
        <v>1033</v>
      </c>
      <c r="E168" s="70" t="s">
        <v>1032</v>
      </c>
      <c r="F168" s="70" t="s">
        <v>520</v>
      </c>
      <c r="G168" s="70" t="s">
        <v>1031</v>
      </c>
      <c r="H168" s="70" t="s">
        <v>1032</v>
      </c>
      <c r="I168" s="70" t="s">
        <v>1033</v>
      </c>
    </row>
    <row r="169" spans="1:9" ht="12.75">
      <c r="A169" s="70" t="s">
        <v>997</v>
      </c>
      <c r="B169" s="70" t="s">
        <v>994</v>
      </c>
      <c r="C169" s="70" t="s">
        <v>995</v>
      </c>
      <c r="D169" s="70" t="s">
        <v>996</v>
      </c>
      <c r="E169" s="70" t="s">
        <v>995</v>
      </c>
      <c r="F169" s="70" t="s">
        <v>997</v>
      </c>
      <c r="G169" s="70" t="s">
        <v>994</v>
      </c>
      <c r="H169" s="70" t="s">
        <v>995</v>
      </c>
      <c r="I169" s="70" t="s">
        <v>996</v>
      </c>
    </row>
    <row r="170" spans="1:9" ht="12.75">
      <c r="A170" s="70" t="s">
        <v>1001</v>
      </c>
      <c r="B170" s="70" t="s">
        <v>998</v>
      </c>
      <c r="C170" s="70" t="s">
        <v>999</v>
      </c>
      <c r="D170" s="70" t="s">
        <v>1000</v>
      </c>
      <c r="E170" s="70" t="s">
        <v>999</v>
      </c>
      <c r="F170" s="70" t="s">
        <v>1001</v>
      </c>
      <c r="G170" s="70" t="s">
        <v>998</v>
      </c>
      <c r="H170" s="70" t="s">
        <v>999</v>
      </c>
      <c r="I170" s="70" t="s">
        <v>1000</v>
      </c>
    </row>
    <row r="171" spans="1:9" ht="12.75">
      <c r="A171" s="70" t="s">
        <v>1060</v>
      </c>
      <c r="B171" s="70" t="s">
        <v>1056</v>
      </c>
      <c r="C171" s="70" t="s">
        <v>1057</v>
      </c>
      <c r="E171" s="70" t="s">
        <v>1057</v>
      </c>
      <c r="F171" s="70" t="s">
        <v>1060</v>
      </c>
      <c r="G171" s="70" t="s">
        <v>1056</v>
      </c>
      <c r="H171" s="70" t="s">
        <v>1057</v>
      </c>
    </row>
    <row r="172" spans="1:9" ht="12.75">
      <c r="A172" s="70" t="s">
        <v>1037</v>
      </c>
      <c r="B172" s="70" t="s">
        <v>1034</v>
      </c>
      <c r="C172" s="70" t="s">
        <v>1035</v>
      </c>
      <c r="D172" s="70" t="s">
        <v>1036</v>
      </c>
      <c r="E172" s="70" t="s">
        <v>1035</v>
      </c>
      <c r="F172" s="70" t="s">
        <v>1037</v>
      </c>
      <c r="G172" s="70" t="s">
        <v>1034</v>
      </c>
      <c r="H172" s="70" t="s">
        <v>1035</v>
      </c>
      <c r="I172" s="70" t="s">
        <v>1036</v>
      </c>
    </row>
    <row r="173" spans="1:9" ht="12.75">
      <c r="A173" s="70" t="s">
        <v>1094</v>
      </c>
      <c r="B173" s="70" t="s">
        <v>1091</v>
      </c>
      <c r="C173" s="70" t="s">
        <v>1092</v>
      </c>
      <c r="D173" s="70" t="s">
        <v>1093</v>
      </c>
      <c r="E173" s="70" t="s">
        <v>1092</v>
      </c>
      <c r="F173" s="70" t="s">
        <v>1094</v>
      </c>
      <c r="G173" s="70" t="s">
        <v>1091</v>
      </c>
      <c r="H173" s="70" t="s">
        <v>1092</v>
      </c>
      <c r="I173" s="70" t="s">
        <v>1093</v>
      </c>
    </row>
    <row r="174" spans="1:9" ht="12.75">
      <c r="A174" s="70" t="s">
        <v>1101</v>
      </c>
      <c r="B174" s="70" t="s">
        <v>1098</v>
      </c>
      <c r="C174" s="70" t="s">
        <v>1099</v>
      </c>
      <c r="D174" s="70" t="s">
        <v>1100</v>
      </c>
      <c r="E174" s="70" t="s">
        <v>1099</v>
      </c>
      <c r="F174" s="70" t="s">
        <v>1101</v>
      </c>
      <c r="G174" s="70" t="s">
        <v>1098</v>
      </c>
      <c r="H174" s="70" t="s">
        <v>1099</v>
      </c>
      <c r="I174" s="70" t="s">
        <v>1100</v>
      </c>
    </row>
    <row r="175" spans="1:9" ht="12.75">
      <c r="A175" s="70" t="s">
        <v>1045</v>
      </c>
      <c r="B175" s="70" t="s">
        <v>1042</v>
      </c>
      <c r="C175" s="70" t="s">
        <v>1043</v>
      </c>
      <c r="D175" s="70" t="s">
        <v>1044</v>
      </c>
      <c r="E175" s="70" t="s">
        <v>1043</v>
      </c>
      <c r="F175" s="70" t="s">
        <v>1045</v>
      </c>
      <c r="G175" s="70" t="s">
        <v>1042</v>
      </c>
      <c r="H175" s="70" t="s">
        <v>1043</v>
      </c>
      <c r="I175" s="70" t="s">
        <v>1044</v>
      </c>
    </row>
    <row r="176" spans="1:9" ht="12.75">
      <c r="A176" s="70" t="s">
        <v>463</v>
      </c>
      <c r="B176" s="70" t="s">
        <v>1053</v>
      </c>
      <c r="C176" s="70" t="s">
        <v>1054</v>
      </c>
      <c r="D176" s="70" t="s">
        <v>1055</v>
      </c>
      <c r="E176" s="70" t="s">
        <v>1054</v>
      </c>
      <c r="F176" s="70" t="s">
        <v>463</v>
      </c>
      <c r="G176" s="70" t="s">
        <v>1053</v>
      </c>
      <c r="H176" s="70" t="s">
        <v>1054</v>
      </c>
      <c r="I176" s="70" t="s">
        <v>1055</v>
      </c>
    </row>
    <row r="177" spans="1:9" ht="12.75">
      <c r="A177" s="70" t="s">
        <v>1052</v>
      </c>
      <c r="B177" s="70" t="s">
        <v>1049</v>
      </c>
      <c r="C177" s="70" t="s">
        <v>1050</v>
      </c>
      <c r="D177" s="70" t="s">
        <v>1051</v>
      </c>
      <c r="E177" s="70" t="s">
        <v>1050</v>
      </c>
      <c r="F177" s="70" t="s">
        <v>1052</v>
      </c>
      <c r="G177" s="70" t="s">
        <v>1049</v>
      </c>
      <c r="H177" s="70" t="s">
        <v>1050</v>
      </c>
      <c r="I177" s="70" t="s">
        <v>1051</v>
      </c>
    </row>
    <row r="178" spans="1:9" ht="12.75">
      <c r="A178" s="70" t="s">
        <v>1041</v>
      </c>
      <c r="B178" s="70" t="s">
        <v>1038</v>
      </c>
      <c r="C178" s="70" t="s">
        <v>1039</v>
      </c>
      <c r="D178" s="70" t="s">
        <v>1040</v>
      </c>
      <c r="E178" s="70" t="s">
        <v>1039</v>
      </c>
      <c r="F178" s="70" t="s">
        <v>1041</v>
      </c>
      <c r="G178" s="70" t="s">
        <v>1038</v>
      </c>
      <c r="H178" s="70" t="s">
        <v>1039</v>
      </c>
      <c r="I178" s="70" t="s">
        <v>1040</v>
      </c>
    </row>
    <row r="179" spans="1:9" ht="12.75">
      <c r="A179" s="70" t="s">
        <v>1016</v>
      </c>
      <c r="B179" s="70" t="s">
        <v>1013</v>
      </c>
      <c r="C179" s="70" t="s">
        <v>1014</v>
      </c>
      <c r="D179" s="70" t="s">
        <v>1015</v>
      </c>
      <c r="E179" s="70" t="s">
        <v>1014</v>
      </c>
      <c r="F179" s="70" t="s">
        <v>1016</v>
      </c>
      <c r="G179" s="70" t="s">
        <v>1013</v>
      </c>
      <c r="H179" s="70" t="s">
        <v>1014</v>
      </c>
      <c r="I179" s="70" t="s">
        <v>1015</v>
      </c>
    </row>
    <row r="180" spans="1:9" ht="12.75">
      <c r="A180" s="70" t="s">
        <v>1030</v>
      </c>
      <c r="B180" s="70" t="s">
        <v>1027</v>
      </c>
      <c r="C180" s="70" t="s">
        <v>1028</v>
      </c>
      <c r="D180" s="70" t="s">
        <v>1029</v>
      </c>
      <c r="E180" s="70" t="s">
        <v>1028</v>
      </c>
      <c r="F180" s="70" t="s">
        <v>1030</v>
      </c>
      <c r="G180" s="70" t="s">
        <v>1027</v>
      </c>
      <c r="H180" s="70" t="s">
        <v>1028</v>
      </c>
      <c r="I180" s="70" t="s">
        <v>1029</v>
      </c>
    </row>
    <row r="181" spans="1:9" ht="12.75">
      <c r="A181" s="70" t="s">
        <v>1064</v>
      </c>
      <c r="B181" s="70" t="s">
        <v>1061</v>
      </c>
      <c r="C181" s="70" t="s">
        <v>1062</v>
      </c>
      <c r="D181" s="70" t="s">
        <v>1063</v>
      </c>
      <c r="E181" s="70" t="s">
        <v>1062</v>
      </c>
      <c r="F181" s="70" t="s">
        <v>1064</v>
      </c>
      <c r="G181" s="70" t="s">
        <v>1061</v>
      </c>
      <c r="H181" s="70" t="s">
        <v>1062</v>
      </c>
      <c r="I181" s="70" t="s">
        <v>1063</v>
      </c>
    </row>
    <row r="182" spans="1:9" ht="12.75">
      <c r="A182" s="70" t="s">
        <v>520</v>
      </c>
      <c r="B182" s="70" t="s">
        <v>1095</v>
      </c>
      <c r="C182" s="70" t="s">
        <v>1096</v>
      </c>
      <c r="D182" s="70" t="s">
        <v>1097</v>
      </c>
      <c r="E182" s="70" t="s">
        <v>1096</v>
      </c>
      <c r="F182" s="70" t="s">
        <v>520</v>
      </c>
      <c r="G182" s="70" t="s">
        <v>1095</v>
      </c>
      <c r="H182" s="70" t="s">
        <v>1096</v>
      </c>
      <c r="I182" s="70" t="s">
        <v>1097</v>
      </c>
    </row>
    <row r="183" spans="1:9" ht="12.75">
      <c r="A183" s="70" t="s">
        <v>357</v>
      </c>
      <c r="B183" s="70" t="s">
        <v>1017</v>
      </c>
      <c r="C183" s="70" t="s">
        <v>1018</v>
      </c>
      <c r="D183" s="70" t="s">
        <v>1019</v>
      </c>
      <c r="E183" s="70" t="s">
        <v>1018</v>
      </c>
      <c r="F183" s="70" t="s">
        <v>357</v>
      </c>
      <c r="G183" s="70" t="s">
        <v>1017</v>
      </c>
      <c r="H183" s="70" t="s">
        <v>1018</v>
      </c>
      <c r="I183" s="70" t="s">
        <v>1019</v>
      </c>
    </row>
    <row r="184" spans="1:9" ht="12.75">
      <c r="A184" s="70" t="s">
        <v>516</v>
      </c>
      <c r="B184" s="70" t="s">
        <v>513</v>
      </c>
      <c r="C184" s="70" t="s">
        <v>514</v>
      </c>
      <c r="D184" s="70" t="s">
        <v>515</v>
      </c>
      <c r="E184" s="70" t="s">
        <v>514</v>
      </c>
      <c r="F184" s="70" t="s">
        <v>516</v>
      </c>
      <c r="G184" s="70" t="s">
        <v>513</v>
      </c>
      <c r="H184" s="70" t="s">
        <v>514</v>
      </c>
      <c r="I184" s="70" t="s">
        <v>515</v>
      </c>
    </row>
    <row r="185" spans="1:9" ht="12.75">
      <c r="A185" s="70" t="s">
        <v>2748</v>
      </c>
      <c r="B185" s="70" t="s">
        <v>1046</v>
      </c>
      <c r="C185" s="70" t="s">
        <v>1047</v>
      </c>
      <c r="E185" s="70" t="s">
        <v>2749</v>
      </c>
      <c r="F185" s="70" t="s">
        <v>2748</v>
      </c>
      <c r="G185" s="70" t="s">
        <v>1046</v>
      </c>
      <c r="H185" s="70" t="s">
        <v>1047</v>
      </c>
    </row>
    <row r="186" spans="1:9" ht="12.75">
      <c r="A186" s="70" t="s">
        <v>1109</v>
      </c>
      <c r="B186" s="70" t="s">
        <v>1106</v>
      </c>
      <c r="C186" s="70" t="s">
        <v>1107</v>
      </c>
      <c r="D186" s="70" t="s">
        <v>1108</v>
      </c>
      <c r="E186" s="70" t="s">
        <v>1107</v>
      </c>
      <c r="F186" s="70" t="s">
        <v>1109</v>
      </c>
      <c r="G186" s="70" t="s">
        <v>1106</v>
      </c>
      <c r="H186" s="70" t="s">
        <v>1107</v>
      </c>
      <c r="I186" s="70" t="s">
        <v>1108</v>
      </c>
    </row>
    <row r="187" spans="1:9" ht="12.75">
      <c r="A187" s="70" t="s">
        <v>426</v>
      </c>
      <c r="B187" s="70" t="s">
        <v>423</v>
      </c>
      <c r="C187" s="70" t="s">
        <v>424</v>
      </c>
      <c r="D187" s="70" t="s">
        <v>425</v>
      </c>
      <c r="E187" s="70" t="s">
        <v>424</v>
      </c>
      <c r="F187" s="70" t="s">
        <v>426</v>
      </c>
      <c r="G187" s="70" t="s">
        <v>423</v>
      </c>
      <c r="H187" s="70" t="s">
        <v>424</v>
      </c>
      <c r="I187" s="70" t="s">
        <v>425</v>
      </c>
    </row>
    <row r="188" spans="1:9" ht="12.75">
      <c r="A188" s="70" t="s">
        <v>1140</v>
      </c>
      <c r="B188" s="70" t="s">
        <v>1137</v>
      </c>
      <c r="C188" s="70" t="s">
        <v>1138</v>
      </c>
      <c r="D188" s="70" t="s">
        <v>1139</v>
      </c>
      <c r="E188" s="70" t="s">
        <v>1138</v>
      </c>
      <c r="F188" s="70" t="s">
        <v>1140</v>
      </c>
      <c r="G188" s="70" t="s">
        <v>1137</v>
      </c>
      <c r="H188" s="70" t="s">
        <v>1138</v>
      </c>
      <c r="I188" s="70" t="s">
        <v>1139</v>
      </c>
    </row>
    <row r="189" spans="1:9" ht="12.75">
      <c r="A189" s="70" t="s">
        <v>401</v>
      </c>
      <c r="B189" s="70" t="s">
        <v>1130</v>
      </c>
      <c r="C189" s="70" t="s">
        <v>1131</v>
      </c>
      <c r="D189" s="70" t="s">
        <v>1132</v>
      </c>
      <c r="E189" s="70" t="s">
        <v>1131</v>
      </c>
      <c r="F189" s="70" t="s">
        <v>401</v>
      </c>
      <c r="G189" s="70" t="s">
        <v>1130</v>
      </c>
      <c r="H189" s="70" t="s">
        <v>1131</v>
      </c>
      <c r="I189" s="70" t="s">
        <v>1132</v>
      </c>
    </row>
    <row r="190" spans="1:9" ht="12.75">
      <c r="A190" s="70" t="s">
        <v>1117</v>
      </c>
      <c r="B190" s="70" t="s">
        <v>1114</v>
      </c>
      <c r="C190" s="70" t="s">
        <v>1115</v>
      </c>
      <c r="D190" s="70" t="s">
        <v>1116</v>
      </c>
      <c r="E190" s="70" t="s">
        <v>1115</v>
      </c>
      <c r="F190" s="70" t="s">
        <v>1117</v>
      </c>
      <c r="G190" s="70" t="s">
        <v>1114</v>
      </c>
      <c r="H190" s="70" t="s">
        <v>1115</v>
      </c>
      <c r="I190" s="70" t="s">
        <v>1116</v>
      </c>
    </row>
    <row r="191" spans="1:9" ht="12.75">
      <c r="A191" s="70" t="s">
        <v>1136</v>
      </c>
      <c r="B191" s="70" t="s">
        <v>1133</v>
      </c>
      <c r="C191" s="70" t="s">
        <v>1134</v>
      </c>
      <c r="D191" s="70" t="s">
        <v>1135</v>
      </c>
      <c r="E191" s="70" t="s">
        <v>1134</v>
      </c>
      <c r="F191" s="70" t="s">
        <v>1136</v>
      </c>
      <c r="G191" s="70" t="s">
        <v>1133</v>
      </c>
      <c r="H191" s="70" t="s">
        <v>1134</v>
      </c>
      <c r="I191" s="70" t="s">
        <v>1135</v>
      </c>
    </row>
    <row r="192" spans="1:9" ht="12.75">
      <c r="A192" s="70" t="s">
        <v>1165</v>
      </c>
      <c r="B192" s="70" t="s">
        <v>1163</v>
      </c>
      <c r="C192" s="70" t="s">
        <v>1164</v>
      </c>
      <c r="E192" s="70" t="s">
        <v>1164</v>
      </c>
      <c r="F192" s="70" t="s">
        <v>1165</v>
      </c>
      <c r="G192" s="70" t="s">
        <v>1163</v>
      </c>
      <c r="H192" s="70" t="s">
        <v>1164</v>
      </c>
    </row>
    <row r="193" spans="1:9" ht="12.75">
      <c r="A193" s="70" t="s">
        <v>1158</v>
      </c>
      <c r="B193" s="70" t="s">
        <v>1155</v>
      </c>
      <c r="C193" s="70" t="s">
        <v>1156</v>
      </c>
      <c r="D193" s="70" t="s">
        <v>1157</v>
      </c>
      <c r="E193" s="70" t="s">
        <v>1156</v>
      </c>
      <c r="F193" s="70" t="s">
        <v>1158</v>
      </c>
      <c r="G193" s="70" t="s">
        <v>1155</v>
      </c>
      <c r="H193" s="70" t="s">
        <v>1156</v>
      </c>
      <c r="I193" s="70" t="s">
        <v>1157</v>
      </c>
    </row>
    <row r="194" spans="1:9" ht="12.75">
      <c r="A194" s="70" t="s">
        <v>1144</v>
      </c>
      <c r="B194" s="70" t="s">
        <v>1141</v>
      </c>
      <c r="C194" s="70" t="s">
        <v>1142</v>
      </c>
      <c r="D194" s="70" t="s">
        <v>1143</v>
      </c>
      <c r="E194" s="70" t="s">
        <v>1142</v>
      </c>
      <c r="F194" s="70" t="s">
        <v>1144</v>
      </c>
      <c r="G194" s="70" t="s">
        <v>1141</v>
      </c>
      <c r="H194" s="70" t="s">
        <v>1142</v>
      </c>
      <c r="I194" s="70" t="s">
        <v>1143</v>
      </c>
    </row>
    <row r="195" spans="1:9" ht="12.75">
      <c r="A195" s="70" t="s">
        <v>1162</v>
      </c>
      <c r="B195" s="70" t="s">
        <v>1159</v>
      </c>
      <c r="C195" s="70" t="s">
        <v>1160</v>
      </c>
      <c r="D195" s="70" t="s">
        <v>1161</v>
      </c>
      <c r="E195" s="70" t="s">
        <v>1160</v>
      </c>
      <c r="F195" s="70" t="s">
        <v>1162</v>
      </c>
      <c r="G195" s="70" t="s">
        <v>1159</v>
      </c>
      <c r="H195" s="70" t="s">
        <v>1160</v>
      </c>
      <c r="I195" s="70" t="s">
        <v>1161</v>
      </c>
    </row>
    <row r="196" spans="1:9" ht="12.75">
      <c r="A196" s="70" t="s">
        <v>520</v>
      </c>
      <c r="B196" s="70" t="s">
        <v>1152</v>
      </c>
      <c r="C196" s="70" t="s">
        <v>1153</v>
      </c>
      <c r="D196" s="70" t="s">
        <v>1154</v>
      </c>
      <c r="E196" s="70" t="s">
        <v>1153</v>
      </c>
      <c r="F196" s="70" t="s">
        <v>520</v>
      </c>
      <c r="G196" s="70" t="s">
        <v>1152</v>
      </c>
      <c r="H196" s="70" t="s">
        <v>1153</v>
      </c>
      <c r="I196" s="70" t="s">
        <v>1154</v>
      </c>
    </row>
    <row r="197" spans="1:9" ht="12.75">
      <c r="A197" s="70" t="s">
        <v>1171</v>
      </c>
      <c r="B197" s="70" t="s">
        <v>2750</v>
      </c>
      <c r="C197" s="70" t="s">
        <v>1170</v>
      </c>
      <c r="E197" s="70" t="s">
        <v>1170</v>
      </c>
      <c r="F197" s="70" t="s">
        <v>1171</v>
      </c>
      <c r="G197" s="70" t="s">
        <v>2750</v>
      </c>
      <c r="H197" s="70" t="s">
        <v>1170</v>
      </c>
    </row>
    <row r="198" spans="1:9" ht="12.75">
      <c r="A198" s="70" t="s">
        <v>1113</v>
      </c>
      <c r="B198" s="70" t="s">
        <v>1110</v>
      </c>
      <c r="C198" s="70" t="s">
        <v>1111</v>
      </c>
      <c r="D198" s="70" t="s">
        <v>1112</v>
      </c>
      <c r="E198" s="70" t="s">
        <v>1111</v>
      </c>
      <c r="F198" s="70" t="s">
        <v>1113</v>
      </c>
      <c r="G198" s="70" t="s">
        <v>1110</v>
      </c>
      <c r="H198" s="70" t="s">
        <v>1111</v>
      </c>
      <c r="I198" s="70" t="s">
        <v>1112</v>
      </c>
    </row>
    <row r="199" spans="1:9" ht="12.75">
      <c r="A199" s="70" t="s">
        <v>1249</v>
      </c>
      <c r="B199" s="70" t="s">
        <v>1247</v>
      </c>
      <c r="C199" s="70" t="s">
        <v>1123</v>
      </c>
      <c r="D199" s="70" t="s">
        <v>1124</v>
      </c>
      <c r="E199" s="70" t="s">
        <v>1123</v>
      </c>
      <c r="F199" s="70" t="s">
        <v>1249</v>
      </c>
      <c r="G199" s="70" t="s">
        <v>1247</v>
      </c>
      <c r="H199" s="70" t="s">
        <v>1123</v>
      </c>
      <c r="I199" s="70" t="s">
        <v>1124</v>
      </c>
    </row>
    <row r="200" spans="1:9" ht="12.75">
      <c r="A200" s="70" t="s">
        <v>1178</v>
      </c>
      <c r="B200" s="70" t="s">
        <v>1176</v>
      </c>
      <c r="C200" s="70" t="s">
        <v>1177</v>
      </c>
      <c r="E200" s="70" t="s">
        <v>1177</v>
      </c>
      <c r="F200" s="70" t="s">
        <v>1178</v>
      </c>
      <c r="G200" s="70" t="s">
        <v>1176</v>
      </c>
      <c r="H200" s="70" t="s">
        <v>1177</v>
      </c>
    </row>
    <row r="201" spans="1:9" ht="12.75">
      <c r="A201" s="70" t="s">
        <v>1175</v>
      </c>
      <c r="B201" s="70" t="s">
        <v>1172</v>
      </c>
      <c r="C201" s="70" t="s">
        <v>1173</v>
      </c>
      <c r="D201" s="70" t="s">
        <v>1174</v>
      </c>
      <c r="E201" s="70" t="s">
        <v>1173</v>
      </c>
      <c r="F201" s="70" t="s">
        <v>1175</v>
      </c>
      <c r="G201" s="70" t="s">
        <v>1172</v>
      </c>
      <c r="H201" s="70" t="s">
        <v>1173</v>
      </c>
      <c r="I201" s="70" t="s">
        <v>1174</v>
      </c>
    </row>
    <row r="202" spans="1:9" ht="12.75">
      <c r="A202" s="70" t="s">
        <v>1189</v>
      </c>
      <c r="B202" s="70" t="s">
        <v>1186</v>
      </c>
      <c r="C202" s="70" t="s">
        <v>1187</v>
      </c>
      <c r="D202" s="70" t="s">
        <v>1188</v>
      </c>
      <c r="E202" s="70" t="s">
        <v>1187</v>
      </c>
      <c r="F202" s="70" t="s">
        <v>1189</v>
      </c>
      <c r="G202" s="70" t="s">
        <v>1186</v>
      </c>
      <c r="H202" s="70" t="s">
        <v>1187</v>
      </c>
      <c r="I202" s="70" t="s">
        <v>1188</v>
      </c>
    </row>
    <row r="203" spans="1:9" ht="12.75">
      <c r="A203" s="70" t="s">
        <v>1193</v>
      </c>
      <c r="B203" s="70" t="s">
        <v>1190</v>
      </c>
      <c r="C203" s="70" t="s">
        <v>1191</v>
      </c>
      <c r="D203" s="70" t="s">
        <v>1192</v>
      </c>
      <c r="E203" s="70" t="s">
        <v>1191</v>
      </c>
      <c r="F203" s="70" t="s">
        <v>1193</v>
      </c>
      <c r="G203" s="70" t="s">
        <v>1190</v>
      </c>
      <c r="H203" s="70" t="s">
        <v>1191</v>
      </c>
      <c r="I203" s="70" t="s">
        <v>1192</v>
      </c>
    </row>
    <row r="204" spans="1:9" ht="12.75">
      <c r="A204" s="70" t="s">
        <v>1204</v>
      </c>
      <c r="B204" s="70" t="s">
        <v>1201</v>
      </c>
      <c r="C204" s="70" t="s">
        <v>1202</v>
      </c>
      <c r="D204" s="70" t="s">
        <v>1203</v>
      </c>
      <c r="E204" s="70" t="s">
        <v>1202</v>
      </c>
      <c r="F204" s="70" t="s">
        <v>1204</v>
      </c>
      <c r="G204" s="70" t="s">
        <v>1201</v>
      </c>
      <c r="H204" s="70" t="s">
        <v>1202</v>
      </c>
      <c r="I204" s="70" t="s">
        <v>1203</v>
      </c>
    </row>
    <row r="205" spans="1:9" ht="12.75">
      <c r="A205" s="70" t="s">
        <v>628</v>
      </c>
      <c r="B205" s="70" t="s">
        <v>624</v>
      </c>
      <c r="C205" s="70" t="s">
        <v>625</v>
      </c>
      <c r="D205" s="70" t="s">
        <v>625</v>
      </c>
      <c r="E205" s="70" t="s">
        <v>625</v>
      </c>
      <c r="F205" s="70" t="s">
        <v>628</v>
      </c>
      <c r="G205" s="70" t="s">
        <v>624</v>
      </c>
      <c r="H205" s="70" t="s">
        <v>625</v>
      </c>
      <c r="I205" s="70" t="s">
        <v>625</v>
      </c>
    </row>
    <row r="206" spans="1:9" ht="12.75">
      <c r="A206" s="70" t="s">
        <v>410</v>
      </c>
      <c r="B206" s="70" t="s">
        <v>1007</v>
      </c>
      <c r="C206" s="70" t="s">
        <v>1008</v>
      </c>
      <c r="E206" s="70" t="s">
        <v>1008</v>
      </c>
      <c r="F206" s="70" t="s">
        <v>410</v>
      </c>
      <c r="G206" s="70" t="s">
        <v>1007</v>
      </c>
      <c r="H206" s="70" t="s">
        <v>1008</v>
      </c>
    </row>
    <row r="207" spans="1:9" ht="12.75">
      <c r="A207" s="70" t="s">
        <v>1215</v>
      </c>
      <c r="B207" s="70" t="s">
        <v>1212</v>
      </c>
      <c r="C207" s="70" t="s">
        <v>1213</v>
      </c>
      <c r="D207" s="70" t="s">
        <v>1214</v>
      </c>
      <c r="E207" s="70" t="s">
        <v>1213</v>
      </c>
      <c r="F207" s="70" t="s">
        <v>1215</v>
      </c>
      <c r="G207" s="70" t="s">
        <v>1212</v>
      </c>
      <c r="H207" s="70" t="s">
        <v>1213</v>
      </c>
      <c r="I207" s="70" t="s">
        <v>1214</v>
      </c>
    </row>
    <row r="208" spans="1:9" ht="12.75">
      <c r="A208" s="70" t="s">
        <v>1222</v>
      </c>
      <c r="B208" s="70" t="s">
        <v>1218</v>
      </c>
      <c r="C208" s="70" t="s">
        <v>1219</v>
      </c>
      <c r="D208" s="70" t="s">
        <v>1220</v>
      </c>
      <c r="E208" s="70" t="s">
        <v>1219</v>
      </c>
      <c r="F208" s="70" t="s">
        <v>1222</v>
      </c>
      <c r="G208" s="70" t="s">
        <v>1218</v>
      </c>
      <c r="H208" s="70" t="s">
        <v>1219</v>
      </c>
      <c r="I208" s="70" t="s">
        <v>1220</v>
      </c>
    </row>
    <row r="209" spans="1:9" ht="12.75">
      <c r="A209" s="70" t="s">
        <v>1208</v>
      </c>
      <c r="B209" s="70" t="s">
        <v>1205</v>
      </c>
      <c r="C209" s="70" t="s">
        <v>1206</v>
      </c>
      <c r="D209" s="70" t="s">
        <v>1207</v>
      </c>
      <c r="E209" s="70" t="s">
        <v>1206</v>
      </c>
      <c r="F209" s="70" t="s">
        <v>1208</v>
      </c>
      <c r="G209" s="70" t="s">
        <v>1205</v>
      </c>
      <c r="H209" s="70" t="s">
        <v>1206</v>
      </c>
      <c r="I209" s="70" t="s">
        <v>1207</v>
      </c>
    </row>
    <row r="210" spans="1:9" ht="12.75">
      <c r="A210" s="70" t="s">
        <v>1012</v>
      </c>
      <c r="B210" s="70" t="s">
        <v>1009</v>
      </c>
      <c r="C210" s="70" t="s">
        <v>1010</v>
      </c>
      <c r="D210" s="70" t="s">
        <v>1011</v>
      </c>
      <c r="E210" s="70" t="s">
        <v>1010</v>
      </c>
      <c r="F210" s="70" t="s">
        <v>1012</v>
      </c>
      <c r="G210" s="70" t="s">
        <v>1009</v>
      </c>
      <c r="H210" s="70" t="s">
        <v>1010</v>
      </c>
      <c r="I210" s="70" t="s">
        <v>1011</v>
      </c>
    </row>
    <row r="211" spans="1:9" ht="12.75">
      <c r="A211" s="70" t="s">
        <v>1242</v>
      </c>
      <c r="B211" s="70" t="s">
        <v>1239</v>
      </c>
      <c r="C211" s="70" t="s">
        <v>1240</v>
      </c>
      <c r="D211" s="70" t="s">
        <v>2751</v>
      </c>
      <c r="E211" s="70" t="s">
        <v>1240</v>
      </c>
      <c r="F211" s="70" t="s">
        <v>1242</v>
      </c>
      <c r="G211" s="70" t="s">
        <v>1239</v>
      </c>
      <c r="H211" s="70" t="s">
        <v>1240</v>
      </c>
      <c r="I211" s="70" t="s">
        <v>2751</v>
      </c>
    </row>
    <row r="212" spans="1:9" ht="12.75">
      <c r="A212" s="70" t="s">
        <v>1068</v>
      </c>
      <c r="B212" s="70" t="s">
        <v>1065</v>
      </c>
      <c r="C212" s="70" t="s">
        <v>1066</v>
      </c>
      <c r="D212" s="70" t="s">
        <v>1067</v>
      </c>
      <c r="E212" s="70" t="s">
        <v>1066</v>
      </c>
      <c r="F212" s="70" t="s">
        <v>1068</v>
      </c>
      <c r="G212" s="70" t="s">
        <v>1065</v>
      </c>
      <c r="H212" s="70" t="s">
        <v>1066</v>
      </c>
      <c r="I212" s="70" t="s">
        <v>1067</v>
      </c>
    </row>
    <row r="213" spans="1:9" ht="12.75">
      <c r="A213" s="70" t="s">
        <v>1246</v>
      </c>
      <c r="B213" s="70" t="s">
        <v>1243</v>
      </c>
      <c r="C213" s="70" t="s">
        <v>1244</v>
      </c>
      <c r="D213" s="70" t="s">
        <v>1245</v>
      </c>
      <c r="E213" s="70" t="s">
        <v>1244</v>
      </c>
      <c r="F213" s="70" t="s">
        <v>1246</v>
      </c>
      <c r="G213" s="70" t="s">
        <v>1243</v>
      </c>
      <c r="H213" s="70" t="s">
        <v>1244</v>
      </c>
      <c r="I213" s="70" t="s">
        <v>1245</v>
      </c>
    </row>
    <row r="214" spans="1:9" ht="12.75">
      <c r="A214" s="70" t="s">
        <v>1253</v>
      </c>
      <c r="B214" s="70" t="s">
        <v>1250</v>
      </c>
      <c r="C214" s="70" t="s">
        <v>1251</v>
      </c>
      <c r="D214" s="70" t="s">
        <v>1252</v>
      </c>
      <c r="E214" s="70" t="s">
        <v>1251</v>
      </c>
      <c r="F214" s="70" t="s">
        <v>1253</v>
      </c>
      <c r="G214" s="70" t="s">
        <v>1250</v>
      </c>
      <c r="H214" s="70" t="s">
        <v>1251</v>
      </c>
      <c r="I214" s="70" t="s">
        <v>1252</v>
      </c>
    </row>
  </sheetData>
  <autoFilter ref="A1:I214" xr:uid="{00000000-0009-0000-0000-000015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108E79"/>
    <outlinePr summaryBelow="0" summaryRight="0"/>
  </sheetPr>
  <dimension ref="A1:E210"/>
  <sheetViews>
    <sheetView workbookViewId="0">
      <pane ySplit="1" topLeftCell="A2" activePane="bottomLeft" state="frozen"/>
      <selection pane="bottomLeft" activeCell="B3" sqref="B3"/>
    </sheetView>
  </sheetViews>
  <sheetFormatPr defaultColWidth="14.42578125" defaultRowHeight="15.75" customHeight="1"/>
  <cols>
    <col min="1" max="1" width="25.28515625" customWidth="1"/>
    <col min="3" max="3" width="26.28515625" customWidth="1"/>
  </cols>
  <sheetData>
    <row r="1" spans="1:5" ht="15.75" customHeight="1">
      <c r="A1" s="70" t="s">
        <v>246</v>
      </c>
      <c r="B1" s="70" t="s">
        <v>174</v>
      </c>
      <c r="C1" s="70" t="s">
        <v>247</v>
      </c>
      <c r="D1" s="70" t="s">
        <v>248</v>
      </c>
      <c r="E1" s="70" t="s">
        <v>180</v>
      </c>
    </row>
    <row r="2" spans="1:5" ht="15.75" customHeight="1">
      <c r="A2" s="70" t="s">
        <v>2752</v>
      </c>
      <c r="B2" s="70" t="s">
        <v>250</v>
      </c>
      <c r="C2" s="70" t="s">
        <v>251</v>
      </c>
      <c r="D2" s="70" t="s">
        <v>250</v>
      </c>
      <c r="E2" s="70" t="s">
        <v>2753</v>
      </c>
    </row>
    <row r="3" spans="1:5" ht="15.75" customHeight="1">
      <c r="A3" s="70" t="s">
        <v>928</v>
      </c>
      <c r="B3" s="70" t="s">
        <v>2311</v>
      </c>
      <c r="C3" s="70" t="s">
        <v>928</v>
      </c>
      <c r="D3" s="70" t="s">
        <v>929</v>
      </c>
      <c r="E3" s="70" t="s">
        <v>929</v>
      </c>
    </row>
    <row r="4" spans="1:5" ht="15.75" customHeight="1">
      <c r="A4" s="70" t="s">
        <v>285</v>
      </c>
      <c r="B4" s="70" t="s">
        <v>1859</v>
      </c>
      <c r="C4" s="70" t="s">
        <v>287</v>
      </c>
      <c r="D4" s="70" t="s">
        <v>2754</v>
      </c>
      <c r="E4" s="70" t="s">
        <v>286</v>
      </c>
    </row>
    <row r="5" spans="1:5" ht="15.75" customHeight="1">
      <c r="A5" s="70" t="s">
        <v>2755</v>
      </c>
      <c r="B5" s="70" t="s">
        <v>260</v>
      </c>
      <c r="C5" s="70" t="s">
        <v>261</v>
      </c>
      <c r="D5" s="70" t="s">
        <v>260</v>
      </c>
      <c r="E5" s="70" t="s">
        <v>2756</v>
      </c>
    </row>
    <row r="6" spans="1:5" ht="15.75" customHeight="1">
      <c r="A6" s="70" t="s">
        <v>2757</v>
      </c>
      <c r="B6" s="70" t="s">
        <v>264</v>
      </c>
      <c r="C6" s="70" t="s">
        <v>265</v>
      </c>
      <c r="D6" s="70" t="s">
        <v>264</v>
      </c>
      <c r="E6" s="70" t="s">
        <v>2758</v>
      </c>
    </row>
    <row r="7" spans="1:5" ht="15.75" customHeight="1">
      <c r="A7" s="70" t="s">
        <v>267</v>
      </c>
      <c r="B7" s="70" t="s">
        <v>268</v>
      </c>
      <c r="C7" s="70" t="s">
        <v>269</v>
      </c>
      <c r="D7" s="70" t="s">
        <v>268</v>
      </c>
      <c r="E7" s="70" t="s">
        <v>270</v>
      </c>
    </row>
    <row r="8" spans="1:5" ht="15.75" customHeight="1">
      <c r="A8" s="70" t="s">
        <v>2759</v>
      </c>
      <c r="B8" s="70" t="s">
        <v>272</v>
      </c>
      <c r="C8" s="70" t="s">
        <v>273</v>
      </c>
      <c r="D8" s="70" t="s">
        <v>272</v>
      </c>
      <c r="E8" s="70" t="s">
        <v>2760</v>
      </c>
    </row>
    <row r="9" spans="1:5" ht="15.75" customHeight="1">
      <c r="A9" s="70" t="s">
        <v>278</v>
      </c>
      <c r="B9" s="70" t="s">
        <v>279</v>
      </c>
      <c r="C9" s="70" t="s">
        <v>2754</v>
      </c>
      <c r="D9" s="70" t="s">
        <v>279</v>
      </c>
      <c r="E9" s="70" t="s">
        <v>280</v>
      </c>
    </row>
    <row r="10" spans="1:5" ht="15.75" customHeight="1">
      <c r="A10" s="70" t="s">
        <v>2761</v>
      </c>
      <c r="B10" s="70" t="s">
        <v>282</v>
      </c>
      <c r="C10" s="70" t="s">
        <v>283</v>
      </c>
      <c r="D10" s="70" t="s">
        <v>282</v>
      </c>
      <c r="E10" s="70" t="s">
        <v>2762</v>
      </c>
    </row>
    <row r="11" spans="1:5" ht="15.75" customHeight="1">
      <c r="A11" s="70" t="s">
        <v>293</v>
      </c>
      <c r="B11" s="70" t="s">
        <v>294</v>
      </c>
      <c r="C11" s="70" t="s">
        <v>295</v>
      </c>
      <c r="D11" s="70" t="s">
        <v>294</v>
      </c>
      <c r="E11" s="70" t="s">
        <v>297</v>
      </c>
    </row>
    <row r="12" spans="1:5" ht="15.75" customHeight="1">
      <c r="A12" s="70" t="s">
        <v>2763</v>
      </c>
      <c r="B12" s="70" t="s">
        <v>302</v>
      </c>
      <c r="C12" s="70" t="s">
        <v>2754</v>
      </c>
      <c r="D12" s="70" t="s">
        <v>302</v>
      </c>
      <c r="E12" s="70" t="s">
        <v>2764</v>
      </c>
    </row>
    <row r="13" spans="1:5" ht="15.75" customHeight="1">
      <c r="A13" s="70" t="s">
        <v>2765</v>
      </c>
      <c r="B13" s="70" t="s">
        <v>306</v>
      </c>
      <c r="C13" s="70" t="s">
        <v>307</v>
      </c>
      <c r="D13" s="70" t="s">
        <v>306</v>
      </c>
      <c r="E13" s="70" t="s">
        <v>2762</v>
      </c>
    </row>
    <row r="14" spans="1:5" ht="15.75" customHeight="1">
      <c r="A14" s="70" t="s">
        <v>2766</v>
      </c>
      <c r="B14" s="70" t="s">
        <v>310</v>
      </c>
      <c r="C14" s="70" t="s">
        <v>311</v>
      </c>
      <c r="D14" s="70" t="s">
        <v>310</v>
      </c>
      <c r="E14" s="70" t="s">
        <v>2767</v>
      </c>
    </row>
    <row r="15" spans="1:5" ht="15.75" customHeight="1">
      <c r="A15" s="70" t="s">
        <v>313</v>
      </c>
      <c r="B15" s="70" t="s">
        <v>314</v>
      </c>
      <c r="C15" s="70" t="s">
        <v>315</v>
      </c>
      <c r="D15" s="70" t="s">
        <v>314</v>
      </c>
      <c r="E15" s="70" t="s">
        <v>317</v>
      </c>
    </row>
    <row r="16" spans="1:5" ht="15.75" customHeight="1">
      <c r="A16" s="70" t="s">
        <v>2768</v>
      </c>
      <c r="B16" s="70" t="s">
        <v>319</v>
      </c>
      <c r="C16" s="70" t="s">
        <v>320</v>
      </c>
      <c r="D16" s="70" t="s">
        <v>319</v>
      </c>
      <c r="E16" s="70" t="s">
        <v>2769</v>
      </c>
    </row>
    <row r="17" spans="1:5" ht="15.75" customHeight="1">
      <c r="A17" s="70" t="s">
        <v>2770</v>
      </c>
      <c r="B17" s="70" t="s">
        <v>323</v>
      </c>
      <c r="C17" s="70" t="s">
        <v>324</v>
      </c>
      <c r="D17" s="70" t="s">
        <v>323</v>
      </c>
      <c r="E17" s="70" t="s">
        <v>2771</v>
      </c>
    </row>
    <row r="18" spans="1:5" ht="15.75" customHeight="1">
      <c r="A18" s="70" t="s">
        <v>326</v>
      </c>
      <c r="B18" s="70" t="s">
        <v>327</v>
      </c>
      <c r="C18" s="70" t="s">
        <v>2754</v>
      </c>
      <c r="D18" s="70" t="s">
        <v>327</v>
      </c>
      <c r="E18" s="70" t="s">
        <v>328</v>
      </c>
    </row>
    <row r="19" spans="1:5" ht="15.75" customHeight="1">
      <c r="A19" s="70" t="s">
        <v>329</v>
      </c>
      <c r="B19" s="70" t="s">
        <v>330</v>
      </c>
      <c r="C19" s="70" t="s">
        <v>331</v>
      </c>
      <c r="D19" s="70" t="s">
        <v>330</v>
      </c>
      <c r="E19" s="70" t="s">
        <v>332</v>
      </c>
    </row>
    <row r="20" spans="1:5" ht="15.75" customHeight="1">
      <c r="A20" s="70" t="s">
        <v>333</v>
      </c>
      <c r="B20" s="70" t="s">
        <v>334</v>
      </c>
      <c r="C20" s="70" t="s">
        <v>335</v>
      </c>
      <c r="D20" s="70" t="s">
        <v>334</v>
      </c>
      <c r="E20" s="70" t="s">
        <v>336</v>
      </c>
    </row>
    <row r="21" spans="1:5" ht="15.75" customHeight="1">
      <c r="A21" s="70" t="s">
        <v>337</v>
      </c>
      <c r="B21" s="70" t="s">
        <v>338</v>
      </c>
      <c r="C21" s="70" t="s">
        <v>2754</v>
      </c>
      <c r="D21" s="70" t="s">
        <v>338</v>
      </c>
      <c r="E21" s="70" t="s">
        <v>339</v>
      </c>
    </row>
    <row r="22" spans="1:5" ht="15.75" customHeight="1">
      <c r="A22" s="70" t="s">
        <v>2772</v>
      </c>
      <c r="B22" s="70" t="s">
        <v>344</v>
      </c>
      <c r="C22" s="70" t="s">
        <v>345</v>
      </c>
      <c r="D22" s="70" t="s">
        <v>344</v>
      </c>
      <c r="E22" s="70" t="s">
        <v>2773</v>
      </c>
    </row>
    <row r="23" spans="1:5" ht="15.75" customHeight="1">
      <c r="A23" s="70" t="s">
        <v>347</v>
      </c>
      <c r="B23" s="70" t="s">
        <v>348</v>
      </c>
      <c r="C23" s="70" t="s">
        <v>2754</v>
      </c>
      <c r="D23" s="70" t="s">
        <v>348</v>
      </c>
      <c r="E23" s="70" t="s">
        <v>349</v>
      </c>
    </row>
    <row r="24" spans="1:5" ht="15.75" customHeight="1">
      <c r="A24" s="70" t="s">
        <v>350</v>
      </c>
      <c r="B24" s="70" t="s">
        <v>351</v>
      </c>
      <c r="C24" s="70" t="s">
        <v>352</v>
      </c>
      <c r="D24" s="70" t="s">
        <v>351</v>
      </c>
      <c r="E24" s="70" t="s">
        <v>353</v>
      </c>
    </row>
    <row r="25" spans="1:5" ht="15.75" customHeight="1">
      <c r="A25" s="70" t="s">
        <v>354</v>
      </c>
      <c r="B25" s="70" t="s">
        <v>355</v>
      </c>
      <c r="C25" s="70" t="s">
        <v>356</v>
      </c>
      <c r="D25" s="70" t="s">
        <v>355</v>
      </c>
      <c r="E25" s="70" t="s">
        <v>357</v>
      </c>
    </row>
    <row r="26" spans="1:5" ht="15.75" customHeight="1">
      <c r="A26" s="70" t="s">
        <v>361</v>
      </c>
      <c r="B26" s="70" t="s">
        <v>362</v>
      </c>
      <c r="C26" s="70" t="s">
        <v>2754</v>
      </c>
      <c r="D26" s="70" t="s">
        <v>363</v>
      </c>
      <c r="E26" s="70" t="s">
        <v>364</v>
      </c>
    </row>
    <row r="27" spans="1:5" ht="15.75" customHeight="1">
      <c r="A27" s="70" t="s">
        <v>365</v>
      </c>
      <c r="B27" s="70" t="s">
        <v>366</v>
      </c>
      <c r="C27" s="70" t="s">
        <v>367</v>
      </c>
      <c r="D27" s="70" t="s">
        <v>366</v>
      </c>
      <c r="E27" s="70" t="s">
        <v>368</v>
      </c>
    </row>
    <row r="28" spans="1:5" ht="15.75" customHeight="1">
      <c r="A28" s="70" t="s">
        <v>2774</v>
      </c>
      <c r="B28" s="70" t="s">
        <v>370</v>
      </c>
      <c r="C28" s="70" t="s">
        <v>371</v>
      </c>
      <c r="D28" s="70" t="s">
        <v>370</v>
      </c>
      <c r="E28" s="70" t="s">
        <v>2775</v>
      </c>
    </row>
    <row r="29" spans="1:5" ht="15.75" customHeight="1">
      <c r="A29" s="70" t="s">
        <v>2776</v>
      </c>
      <c r="B29" s="70" t="s">
        <v>373</v>
      </c>
      <c r="C29" s="70" t="s">
        <v>374</v>
      </c>
      <c r="D29" s="70" t="s">
        <v>374</v>
      </c>
      <c r="E29" s="70" t="s">
        <v>2777</v>
      </c>
    </row>
    <row r="30" spans="1:5" ht="15.75" customHeight="1">
      <c r="A30" s="70" t="s">
        <v>2778</v>
      </c>
      <c r="B30" s="70" t="s">
        <v>377</v>
      </c>
      <c r="C30" s="70" t="s">
        <v>378</v>
      </c>
      <c r="D30" s="70" t="s">
        <v>377</v>
      </c>
      <c r="E30" s="70" t="s">
        <v>2779</v>
      </c>
    </row>
    <row r="31" spans="1:5" ht="12.75">
      <c r="A31" s="70" t="s">
        <v>2780</v>
      </c>
      <c r="B31" s="70" t="s">
        <v>381</v>
      </c>
      <c r="C31" s="70" t="s">
        <v>2754</v>
      </c>
      <c r="D31" s="70" t="s">
        <v>381</v>
      </c>
      <c r="E31" s="70" t="s">
        <v>2781</v>
      </c>
    </row>
    <row r="32" spans="1:5" ht="12.75">
      <c r="A32" s="70" t="s">
        <v>2782</v>
      </c>
      <c r="B32" s="70" t="s">
        <v>384</v>
      </c>
      <c r="C32" s="70" t="s">
        <v>385</v>
      </c>
      <c r="D32" s="70" t="s">
        <v>384</v>
      </c>
      <c r="E32" s="70" t="s">
        <v>2783</v>
      </c>
    </row>
    <row r="33" spans="1:5" ht="12.75">
      <c r="A33" s="70" t="s">
        <v>392</v>
      </c>
      <c r="B33" s="70" t="s">
        <v>393</v>
      </c>
      <c r="C33" s="70" t="s">
        <v>394</v>
      </c>
      <c r="D33" s="70" t="s">
        <v>393</v>
      </c>
      <c r="E33" s="70" t="s">
        <v>395</v>
      </c>
    </row>
    <row r="34" spans="1:5" ht="12.75">
      <c r="A34" s="70" t="s">
        <v>398</v>
      </c>
      <c r="B34" s="70" t="s">
        <v>399</v>
      </c>
      <c r="C34" s="70" t="s">
        <v>400</v>
      </c>
      <c r="D34" s="70" t="s">
        <v>399</v>
      </c>
      <c r="E34" s="70" t="s">
        <v>401</v>
      </c>
    </row>
    <row r="35" spans="1:5" ht="12.75">
      <c r="A35" s="70" t="s">
        <v>2784</v>
      </c>
      <c r="B35" s="70" t="s">
        <v>399</v>
      </c>
      <c r="C35" s="70" t="s">
        <v>400</v>
      </c>
      <c r="D35" s="70" t="s">
        <v>399</v>
      </c>
      <c r="E35" s="70" t="s">
        <v>2785</v>
      </c>
    </row>
    <row r="36" spans="1:5" ht="12.75">
      <c r="A36" s="70" t="s">
        <v>2786</v>
      </c>
      <c r="B36" s="70" t="s">
        <v>405</v>
      </c>
      <c r="C36" s="70" t="s">
        <v>406</v>
      </c>
      <c r="D36" s="70" t="s">
        <v>405</v>
      </c>
      <c r="E36" s="70" t="s">
        <v>2787</v>
      </c>
    </row>
    <row r="37" spans="1:5" ht="12.75">
      <c r="A37" s="70" t="s">
        <v>408</v>
      </c>
      <c r="B37" s="70" t="s">
        <v>409</v>
      </c>
      <c r="C37" s="70" t="s">
        <v>2754</v>
      </c>
      <c r="D37" s="70" t="s">
        <v>409</v>
      </c>
      <c r="E37" s="70" t="s">
        <v>410</v>
      </c>
    </row>
    <row r="38" spans="1:5" ht="12.75">
      <c r="A38" s="70" t="s">
        <v>415</v>
      </c>
      <c r="B38" s="70" t="s">
        <v>416</v>
      </c>
      <c r="C38" s="70" t="s">
        <v>2754</v>
      </c>
      <c r="D38" s="70" t="s">
        <v>418</v>
      </c>
      <c r="E38" s="70" t="s">
        <v>419</v>
      </c>
    </row>
    <row r="39" spans="1:5" ht="12.75">
      <c r="A39" s="70" t="s">
        <v>2788</v>
      </c>
      <c r="B39" s="70" t="s">
        <v>421</v>
      </c>
      <c r="C39" s="70" t="s">
        <v>421</v>
      </c>
      <c r="D39" s="70" t="s">
        <v>421</v>
      </c>
      <c r="E39" s="70" t="s">
        <v>2789</v>
      </c>
    </row>
    <row r="40" spans="1:5" ht="12.75">
      <c r="A40" s="70" t="s">
        <v>2790</v>
      </c>
      <c r="B40" s="70" t="s">
        <v>424</v>
      </c>
      <c r="C40" s="70" t="s">
        <v>425</v>
      </c>
      <c r="D40" s="70" t="s">
        <v>424</v>
      </c>
      <c r="E40" s="70" t="s">
        <v>2791</v>
      </c>
    </row>
    <row r="41" spans="1:5" ht="12.75">
      <c r="A41" s="70" t="s">
        <v>2792</v>
      </c>
      <c r="B41" s="70" t="s">
        <v>428</v>
      </c>
      <c r="C41" s="70" t="s">
        <v>429</v>
      </c>
      <c r="D41" s="70" t="s">
        <v>428</v>
      </c>
      <c r="E41" s="70" t="s">
        <v>2793</v>
      </c>
    </row>
    <row r="42" spans="1:5" ht="12.75">
      <c r="A42" s="70" t="s">
        <v>2794</v>
      </c>
      <c r="B42" s="70" t="s">
        <v>431</v>
      </c>
      <c r="C42" s="70" t="s">
        <v>432</v>
      </c>
      <c r="D42" s="70" t="s">
        <v>431</v>
      </c>
      <c r="E42" s="70" t="s">
        <v>2795</v>
      </c>
    </row>
    <row r="43" spans="1:5" ht="12.75">
      <c r="A43" s="70" t="s">
        <v>2796</v>
      </c>
      <c r="B43" s="70" t="s">
        <v>437</v>
      </c>
      <c r="C43" s="70" t="s">
        <v>438</v>
      </c>
      <c r="D43" s="70" t="s">
        <v>437</v>
      </c>
      <c r="E43" s="70" t="s">
        <v>2797</v>
      </c>
    </row>
    <row r="44" spans="1:5" ht="12.75">
      <c r="A44" s="70" t="s">
        <v>2798</v>
      </c>
      <c r="B44" s="70" t="s">
        <v>443</v>
      </c>
      <c r="C44" s="70" t="s">
        <v>444</v>
      </c>
      <c r="D44" s="70" t="s">
        <v>445</v>
      </c>
      <c r="E44" s="70" t="s">
        <v>2799</v>
      </c>
    </row>
    <row r="45" spans="1:5" ht="12.75">
      <c r="A45" s="70" t="s">
        <v>449</v>
      </c>
      <c r="B45" s="70" t="s">
        <v>450</v>
      </c>
      <c r="C45" s="70" t="s">
        <v>450</v>
      </c>
      <c r="D45" s="70" t="s">
        <v>450</v>
      </c>
      <c r="E45" s="70" t="s">
        <v>451</v>
      </c>
    </row>
    <row r="46" spans="1:5" ht="12.75">
      <c r="A46" s="70" t="s">
        <v>2800</v>
      </c>
      <c r="B46" s="70" t="s">
        <v>453</v>
      </c>
      <c r="C46" s="70" t="s">
        <v>454</v>
      </c>
      <c r="D46" s="70" t="s">
        <v>453</v>
      </c>
      <c r="E46" s="70" t="s">
        <v>2801</v>
      </c>
    </row>
    <row r="47" spans="1:5" ht="12.75">
      <c r="A47" s="70" t="s">
        <v>2802</v>
      </c>
      <c r="B47" s="70" t="s">
        <v>2724</v>
      </c>
      <c r="C47" s="70" t="s">
        <v>458</v>
      </c>
      <c r="D47" s="70" t="s">
        <v>2724</v>
      </c>
      <c r="E47" s="70" t="s">
        <v>2803</v>
      </c>
    </row>
    <row r="48" spans="1:5" ht="12.75">
      <c r="A48" s="70" t="s">
        <v>460</v>
      </c>
      <c r="B48" s="70" t="s">
        <v>461</v>
      </c>
      <c r="C48" s="70" t="s">
        <v>462</v>
      </c>
      <c r="D48" s="70" t="s">
        <v>461</v>
      </c>
      <c r="E48" s="70" t="s">
        <v>463</v>
      </c>
    </row>
    <row r="49" spans="1:5" ht="12.75">
      <c r="A49" s="70" t="s">
        <v>2804</v>
      </c>
      <c r="B49" s="70" t="s">
        <v>465</v>
      </c>
      <c r="C49" s="70" t="s">
        <v>466</v>
      </c>
      <c r="D49" s="70" t="s">
        <v>465</v>
      </c>
      <c r="E49" s="70" t="s">
        <v>2805</v>
      </c>
    </row>
    <row r="50" spans="1:5" ht="12.75">
      <c r="A50" s="70" t="s">
        <v>467</v>
      </c>
      <c r="B50" s="70" t="s">
        <v>469</v>
      </c>
      <c r="C50" s="70" t="s">
        <v>2754</v>
      </c>
      <c r="D50" s="70" t="s">
        <v>469</v>
      </c>
      <c r="E50" s="70" t="s">
        <v>753</v>
      </c>
    </row>
    <row r="51" spans="1:5" ht="12.75">
      <c r="A51" s="70" t="s">
        <v>471</v>
      </c>
      <c r="B51" s="70" t="s">
        <v>472</v>
      </c>
      <c r="C51" s="70" t="s">
        <v>473</v>
      </c>
      <c r="D51" s="70" t="s">
        <v>472</v>
      </c>
      <c r="E51" s="70" t="s">
        <v>474</v>
      </c>
    </row>
    <row r="52" spans="1:5" ht="12.75">
      <c r="A52" s="70" t="s">
        <v>2806</v>
      </c>
      <c r="B52" s="70" t="s">
        <v>476</v>
      </c>
      <c r="C52" s="70" t="s">
        <v>477</v>
      </c>
      <c r="D52" s="70" t="s">
        <v>476</v>
      </c>
      <c r="E52" s="70" t="s">
        <v>2807</v>
      </c>
    </row>
    <row r="53" spans="1:5" ht="12.75">
      <c r="A53" s="70" t="s">
        <v>2808</v>
      </c>
      <c r="B53" s="70" t="s">
        <v>482</v>
      </c>
      <c r="C53" s="70" t="s">
        <v>2725</v>
      </c>
      <c r="D53" s="70" t="s">
        <v>482</v>
      </c>
      <c r="E53" s="70" t="s">
        <v>2809</v>
      </c>
    </row>
    <row r="54" spans="1:5" ht="12.75">
      <c r="A54" s="70" t="s">
        <v>2810</v>
      </c>
      <c r="B54" s="70" t="s">
        <v>482</v>
      </c>
      <c r="C54" s="70" t="s">
        <v>2725</v>
      </c>
      <c r="D54" s="70" t="s">
        <v>482</v>
      </c>
      <c r="E54" s="70" t="s">
        <v>2811</v>
      </c>
    </row>
    <row r="55" spans="1:5" ht="12.75">
      <c r="A55" s="70" t="s">
        <v>2812</v>
      </c>
      <c r="B55" s="70" t="s">
        <v>487</v>
      </c>
      <c r="C55" s="70" t="s">
        <v>488</v>
      </c>
      <c r="D55" s="70" t="s">
        <v>487</v>
      </c>
      <c r="E55" s="70" t="s">
        <v>2813</v>
      </c>
    </row>
    <row r="56" spans="1:5" ht="12.75">
      <c r="A56" s="70" t="s">
        <v>2814</v>
      </c>
      <c r="B56" s="70" t="s">
        <v>493</v>
      </c>
      <c r="C56" s="70" t="s">
        <v>494</v>
      </c>
      <c r="D56" s="70" t="s">
        <v>493</v>
      </c>
      <c r="E56" s="70" t="s">
        <v>2815</v>
      </c>
    </row>
    <row r="57" spans="1:5" ht="12.75">
      <c r="A57" s="70" t="s">
        <v>496</v>
      </c>
      <c r="B57" s="70" t="s">
        <v>497</v>
      </c>
      <c r="C57" s="70" t="s">
        <v>498</v>
      </c>
      <c r="D57" s="70" t="s">
        <v>497</v>
      </c>
      <c r="E57" s="70" t="s">
        <v>410</v>
      </c>
    </row>
    <row r="58" spans="1:5" ht="12.75">
      <c r="A58" s="70" t="s">
        <v>2816</v>
      </c>
      <c r="B58" s="70" t="s">
        <v>500</v>
      </c>
      <c r="C58" s="70" t="s">
        <v>500</v>
      </c>
      <c r="D58" s="70" t="s">
        <v>500</v>
      </c>
      <c r="E58" s="70" t="s">
        <v>2758</v>
      </c>
    </row>
    <row r="59" spans="1:5" ht="12.75">
      <c r="A59" s="70" t="s">
        <v>504</v>
      </c>
      <c r="B59" s="70" t="s">
        <v>505</v>
      </c>
      <c r="C59" s="70" t="s">
        <v>506</v>
      </c>
      <c r="D59" s="70" t="s">
        <v>505</v>
      </c>
      <c r="E59" s="70" t="s">
        <v>508</v>
      </c>
    </row>
    <row r="60" spans="1:5" ht="12.75">
      <c r="A60" s="70" t="s">
        <v>2817</v>
      </c>
      <c r="B60" s="70" t="s">
        <v>510</v>
      </c>
      <c r="C60" s="70" t="s">
        <v>511</v>
      </c>
      <c r="D60" s="70" t="s">
        <v>510</v>
      </c>
      <c r="E60" s="70" t="s">
        <v>2818</v>
      </c>
    </row>
    <row r="61" spans="1:5" ht="12.75">
      <c r="A61" s="70" t="s">
        <v>513</v>
      </c>
      <c r="B61" s="70" t="s">
        <v>514</v>
      </c>
      <c r="C61" s="70" t="s">
        <v>515</v>
      </c>
      <c r="D61" s="70" t="s">
        <v>514</v>
      </c>
      <c r="E61" s="70" t="s">
        <v>516</v>
      </c>
    </row>
    <row r="62" spans="1:5" ht="12.75">
      <c r="A62" s="70" t="s">
        <v>517</v>
      </c>
      <c r="B62" s="70" t="s">
        <v>518</v>
      </c>
      <c r="C62" s="70" t="s">
        <v>519</v>
      </c>
      <c r="D62" s="70" t="s">
        <v>518</v>
      </c>
      <c r="E62" s="70" t="s">
        <v>520</v>
      </c>
    </row>
    <row r="63" spans="1:5" ht="12.75">
      <c r="A63" s="70" t="s">
        <v>2819</v>
      </c>
      <c r="B63" s="70" t="s">
        <v>522</v>
      </c>
      <c r="C63" s="70" t="s">
        <v>523</v>
      </c>
      <c r="D63" s="70" t="s">
        <v>522</v>
      </c>
      <c r="E63" s="70" t="s">
        <v>2820</v>
      </c>
    </row>
    <row r="64" spans="1:5" ht="12.75">
      <c r="A64" s="70" t="s">
        <v>2821</v>
      </c>
      <c r="B64" s="70" t="s">
        <v>526</v>
      </c>
      <c r="C64" s="70" t="s">
        <v>527</v>
      </c>
      <c r="D64" s="70" t="s">
        <v>526</v>
      </c>
      <c r="E64" s="70" t="s">
        <v>2822</v>
      </c>
    </row>
    <row r="65" spans="1:5" ht="12.75">
      <c r="A65" s="70" t="s">
        <v>529</v>
      </c>
      <c r="B65" s="70" t="s">
        <v>530</v>
      </c>
      <c r="C65" s="70" t="s">
        <v>531</v>
      </c>
      <c r="D65" s="70" t="s">
        <v>530</v>
      </c>
      <c r="E65" s="70" t="s">
        <v>463</v>
      </c>
    </row>
    <row r="66" spans="1:5" ht="12.75">
      <c r="A66" s="70" t="s">
        <v>532</v>
      </c>
      <c r="B66" s="70" t="s">
        <v>533</v>
      </c>
      <c r="C66" s="70" t="s">
        <v>534</v>
      </c>
      <c r="D66" s="70" t="s">
        <v>533</v>
      </c>
      <c r="E66" s="70" t="s">
        <v>524</v>
      </c>
    </row>
    <row r="67" spans="1:5" ht="12.75">
      <c r="A67" s="70" t="s">
        <v>539</v>
      </c>
      <c r="B67" s="70" t="s">
        <v>540</v>
      </c>
      <c r="C67" s="70" t="s">
        <v>541</v>
      </c>
      <c r="D67" s="70" t="s">
        <v>540</v>
      </c>
      <c r="E67" s="70" t="s">
        <v>542</v>
      </c>
    </row>
    <row r="68" spans="1:5" ht="12.75">
      <c r="A68" s="70" t="s">
        <v>2823</v>
      </c>
      <c r="B68" s="70" t="s">
        <v>544</v>
      </c>
      <c r="C68" s="70" t="s">
        <v>545</v>
      </c>
      <c r="D68" s="70" t="s">
        <v>544</v>
      </c>
      <c r="E68" s="70" t="s">
        <v>2824</v>
      </c>
    </row>
    <row r="69" spans="1:5" ht="12.75">
      <c r="A69" s="70" t="s">
        <v>2825</v>
      </c>
      <c r="B69" s="70" t="s">
        <v>551</v>
      </c>
      <c r="C69" s="70" t="s">
        <v>552</v>
      </c>
      <c r="D69" s="70" t="s">
        <v>551</v>
      </c>
      <c r="E69" s="70" t="s">
        <v>2826</v>
      </c>
    </row>
    <row r="70" spans="1:5" ht="12.75">
      <c r="A70" s="70" t="s">
        <v>2827</v>
      </c>
      <c r="B70" s="70" t="s">
        <v>557</v>
      </c>
      <c r="C70" s="70" t="s">
        <v>558</v>
      </c>
      <c r="D70" s="70" t="s">
        <v>557</v>
      </c>
      <c r="E70" s="70" t="s">
        <v>2828</v>
      </c>
    </row>
    <row r="71" spans="1:5" ht="12.75">
      <c r="A71" s="70" t="s">
        <v>565</v>
      </c>
      <c r="B71" s="70" t="s">
        <v>561</v>
      </c>
      <c r="C71" s="70" t="s">
        <v>562</v>
      </c>
      <c r="D71" s="70" t="s">
        <v>561</v>
      </c>
      <c r="E71" s="70" t="s">
        <v>566</v>
      </c>
    </row>
    <row r="72" spans="1:5" ht="12.75">
      <c r="A72" s="70" t="s">
        <v>569</v>
      </c>
      <c r="B72" s="70" t="s">
        <v>570</v>
      </c>
      <c r="C72" s="70" t="s">
        <v>573</v>
      </c>
      <c r="D72" s="70" t="s">
        <v>570</v>
      </c>
      <c r="E72" s="70" t="s">
        <v>571</v>
      </c>
    </row>
    <row r="73" spans="1:5" ht="12.75">
      <c r="A73" s="70" t="s">
        <v>2829</v>
      </c>
      <c r="B73" s="70" t="s">
        <v>575</v>
      </c>
      <c r="C73" s="70" t="s">
        <v>576</v>
      </c>
      <c r="D73" s="70" t="s">
        <v>575</v>
      </c>
      <c r="E73" s="70" t="s">
        <v>2830</v>
      </c>
    </row>
    <row r="74" spans="1:5" ht="12.75">
      <c r="A74" s="70" t="s">
        <v>2831</v>
      </c>
      <c r="B74" s="70" t="s">
        <v>579</v>
      </c>
      <c r="C74" s="70" t="s">
        <v>580</v>
      </c>
      <c r="D74" s="70" t="s">
        <v>579</v>
      </c>
      <c r="E74" s="70" t="s">
        <v>2807</v>
      </c>
    </row>
    <row r="75" spans="1:5" ht="12.75">
      <c r="A75" s="70" t="s">
        <v>2832</v>
      </c>
      <c r="B75" s="70" t="s">
        <v>585</v>
      </c>
      <c r="C75" s="70" t="s">
        <v>586</v>
      </c>
      <c r="D75" s="70" t="s">
        <v>585</v>
      </c>
      <c r="E75" s="70" t="s">
        <v>2730</v>
      </c>
    </row>
    <row r="76" spans="1:5" ht="12.75">
      <c r="A76" s="70" t="s">
        <v>590</v>
      </c>
      <c r="B76" s="70" t="s">
        <v>591</v>
      </c>
      <c r="C76" s="70" t="s">
        <v>2754</v>
      </c>
      <c r="D76" s="70" t="s">
        <v>591</v>
      </c>
      <c r="E76" s="70" t="s">
        <v>328</v>
      </c>
    </row>
    <row r="77" spans="1:5" ht="12.75">
      <c r="A77" s="70" t="s">
        <v>594</v>
      </c>
      <c r="B77" s="70" t="s">
        <v>595</v>
      </c>
      <c r="C77" s="70" t="s">
        <v>596</v>
      </c>
      <c r="D77" s="70" t="s">
        <v>595</v>
      </c>
      <c r="E77" s="70" t="s">
        <v>597</v>
      </c>
    </row>
    <row r="78" spans="1:5" ht="12.75">
      <c r="A78" s="70" t="s">
        <v>598</v>
      </c>
      <c r="B78" s="70" t="s">
        <v>599</v>
      </c>
      <c r="C78" s="70" t="s">
        <v>2754</v>
      </c>
      <c r="D78" s="70" t="s">
        <v>599</v>
      </c>
      <c r="E78" s="70" t="s">
        <v>520</v>
      </c>
    </row>
    <row r="79" spans="1:5" ht="12.75">
      <c r="A79" s="70" t="s">
        <v>2833</v>
      </c>
      <c r="B79" s="70" t="s">
        <v>603</v>
      </c>
      <c r="C79" s="70" t="s">
        <v>604</v>
      </c>
      <c r="D79" s="70" t="s">
        <v>603</v>
      </c>
      <c r="E79" s="70" t="s">
        <v>2834</v>
      </c>
    </row>
    <row r="80" spans="1:5" ht="12.75">
      <c r="A80" s="70" t="s">
        <v>2835</v>
      </c>
      <c r="B80" s="70" t="s">
        <v>608</v>
      </c>
      <c r="C80" s="70" t="s">
        <v>609</v>
      </c>
      <c r="D80" s="70" t="s">
        <v>608</v>
      </c>
      <c r="E80" s="70" t="s">
        <v>2836</v>
      </c>
    </row>
    <row r="81" spans="1:5" ht="12.75">
      <c r="A81" s="70" t="s">
        <v>611</v>
      </c>
      <c r="B81" s="70" t="s">
        <v>612</v>
      </c>
      <c r="C81" s="70" t="s">
        <v>613</v>
      </c>
      <c r="D81" s="70" t="s">
        <v>612</v>
      </c>
      <c r="E81" s="70" t="s">
        <v>615</v>
      </c>
    </row>
    <row r="82" spans="1:5" ht="12.75">
      <c r="A82" s="70" t="s">
        <v>2837</v>
      </c>
      <c r="B82" s="70" t="s">
        <v>617</v>
      </c>
      <c r="C82" s="70" t="s">
        <v>618</v>
      </c>
      <c r="D82" s="70" t="s">
        <v>617</v>
      </c>
      <c r="E82" s="70" t="s">
        <v>2838</v>
      </c>
    </row>
    <row r="83" spans="1:5" ht="12.75">
      <c r="A83" s="70" t="s">
        <v>624</v>
      </c>
      <c r="B83" s="70" t="s">
        <v>625</v>
      </c>
      <c r="C83" s="70" t="s">
        <v>625</v>
      </c>
      <c r="D83" s="70" t="s">
        <v>625</v>
      </c>
      <c r="E83" s="70" t="s">
        <v>628</v>
      </c>
    </row>
    <row r="84" spans="1:5" ht="12.75">
      <c r="A84" s="70" t="s">
        <v>629</v>
      </c>
      <c r="B84" s="70" t="s">
        <v>630</v>
      </c>
      <c r="C84" s="70" t="s">
        <v>631</v>
      </c>
      <c r="D84" s="70" t="s">
        <v>630</v>
      </c>
      <c r="E84" s="70" t="s">
        <v>633</v>
      </c>
    </row>
    <row r="85" spans="1:5" ht="12.75">
      <c r="A85" s="70" t="s">
        <v>634</v>
      </c>
      <c r="B85" s="70" t="s">
        <v>635</v>
      </c>
      <c r="C85" s="70" t="s">
        <v>636</v>
      </c>
      <c r="D85" s="70" t="s">
        <v>635</v>
      </c>
      <c r="E85" s="70" t="s">
        <v>637</v>
      </c>
    </row>
    <row r="86" spans="1:5" ht="12.75">
      <c r="A86" s="70" t="s">
        <v>638</v>
      </c>
      <c r="B86" s="70" t="s">
        <v>639</v>
      </c>
      <c r="C86" s="70" t="s">
        <v>2754</v>
      </c>
      <c r="D86" s="70" t="s">
        <v>639</v>
      </c>
      <c r="E86" s="70" t="s">
        <v>640</v>
      </c>
    </row>
    <row r="87" spans="1:5" ht="12.75">
      <c r="A87" s="70" t="s">
        <v>2839</v>
      </c>
      <c r="B87" s="70" t="s">
        <v>643</v>
      </c>
      <c r="C87" s="70" t="s">
        <v>644</v>
      </c>
      <c r="D87" s="70" t="s">
        <v>643</v>
      </c>
      <c r="E87" s="70" t="s">
        <v>2840</v>
      </c>
    </row>
    <row r="88" spans="1:5" ht="12.75">
      <c r="A88" s="70" t="s">
        <v>2841</v>
      </c>
      <c r="B88" s="70" t="s">
        <v>652</v>
      </c>
      <c r="C88" s="70" t="s">
        <v>653</v>
      </c>
      <c r="D88" s="70" t="s">
        <v>652</v>
      </c>
      <c r="E88" s="70" t="s">
        <v>2803</v>
      </c>
    </row>
    <row r="89" spans="1:5" ht="12.75">
      <c r="A89" s="70" t="s">
        <v>657</v>
      </c>
      <c r="B89" s="70" t="s">
        <v>658</v>
      </c>
      <c r="C89" s="70" t="s">
        <v>659</v>
      </c>
      <c r="D89" s="70" t="s">
        <v>658</v>
      </c>
      <c r="E89" s="70" t="s">
        <v>660</v>
      </c>
    </row>
    <row r="90" spans="1:5" ht="12.75">
      <c r="A90" s="70" t="s">
        <v>2842</v>
      </c>
      <c r="B90" s="70" t="s">
        <v>664</v>
      </c>
      <c r="C90" s="70" t="s">
        <v>665</v>
      </c>
      <c r="D90" s="70" t="s">
        <v>664</v>
      </c>
      <c r="E90" s="70" t="s">
        <v>2843</v>
      </c>
    </row>
    <row r="91" spans="1:5" ht="12.75">
      <c r="A91" s="70" t="s">
        <v>663</v>
      </c>
      <c r="B91" s="70" t="s">
        <v>664</v>
      </c>
      <c r="C91" s="70" t="s">
        <v>665</v>
      </c>
      <c r="D91" s="70" t="s">
        <v>664</v>
      </c>
      <c r="E91" s="70" t="s">
        <v>666</v>
      </c>
    </row>
    <row r="92" spans="1:5" ht="12.75">
      <c r="A92" s="70" t="s">
        <v>2844</v>
      </c>
      <c r="B92" s="70" t="s">
        <v>668</v>
      </c>
      <c r="C92" s="70" t="s">
        <v>669</v>
      </c>
      <c r="D92" s="70" t="s">
        <v>668</v>
      </c>
      <c r="E92" s="70" t="s">
        <v>2845</v>
      </c>
    </row>
    <row r="93" spans="1:5" ht="12.75">
      <c r="A93" s="70" t="s">
        <v>2846</v>
      </c>
      <c r="B93" s="70" t="s">
        <v>672</v>
      </c>
      <c r="C93" s="70" t="s">
        <v>2754</v>
      </c>
      <c r="D93" s="70" t="s">
        <v>672</v>
      </c>
      <c r="E93" s="70" t="s">
        <v>2847</v>
      </c>
    </row>
    <row r="94" spans="1:5" ht="12.75">
      <c r="A94" s="70" t="s">
        <v>2848</v>
      </c>
      <c r="B94" s="70" t="s">
        <v>675</v>
      </c>
      <c r="C94" s="70" t="s">
        <v>676</v>
      </c>
      <c r="D94" s="70" t="s">
        <v>675</v>
      </c>
      <c r="E94" s="70" t="s">
        <v>2849</v>
      </c>
    </row>
    <row r="95" spans="1:5" ht="12.75">
      <c r="A95" s="70" t="s">
        <v>2850</v>
      </c>
      <c r="B95" s="70" t="s">
        <v>678</v>
      </c>
      <c r="C95" s="70" t="s">
        <v>679</v>
      </c>
      <c r="D95" s="70" t="s">
        <v>678</v>
      </c>
      <c r="E95" s="70" t="s">
        <v>2851</v>
      </c>
    </row>
    <row r="96" spans="1:5" ht="12.75">
      <c r="A96" s="70" t="s">
        <v>681</v>
      </c>
      <c r="B96" s="70" t="s">
        <v>682</v>
      </c>
      <c r="C96" s="70" t="s">
        <v>2754</v>
      </c>
      <c r="D96" s="70" t="s">
        <v>682</v>
      </c>
      <c r="E96" s="70" t="s">
        <v>683</v>
      </c>
    </row>
    <row r="97" spans="1:5" ht="12.75">
      <c r="A97" s="70" t="s">
        <v>2852</v>
      </c>
      <c r="B97" s="70" t="s">
        <v>685</v>
      </c>
      <c r="C97" s="70" t="s">
        <v>2754</v>
      </c>
      <c r="D97" s="70" t="s">
        <v>685</v>
      </c>
      <c r="E97" s="70" t="s">
        <v>2853</v>
      </c>
    </row>
    <row r="98" spans="1:5" ht="12.75">
      <c r="A98" s="70" t="s">
        <v>2854</v>
      </c>
      <c r="B98" s="70" t="s">
        <v>691</v>
      </c>
      <c r="C98" s="70" t="s">
        <v>692</v>
      </c>
      <c r="D98" s="70" t="s">
        <v>691</v>
      </c>
      <c r="E98" s="70" t="s">
        <v>2855</v>
      </c>
    </row>
    <row r="99" spans="1:5" ht="12.75">
      <c r="A99" s="70" t="s">
        <v>696</v>
      </c>
      <c r="B99" s="70" t="s">
        <v>697</v>
      </c>
      <c r="C99" s="70" t="s">
        <v>698</v>
      </c>
      <c r="D99" s="70" t="s">
        <v>697</v>
      </c>
      <c r="E99" s="70" t="s">
        <v>699</v>
      </c>
    </row>
    <row r="100" spans="1:5" ht="12.75">
      <c r="A100" s="70" t="s">
        <v>2856</v>
      </c>
      <c r="B100" s="70" t="s">
        <v>703</v>
      </c>
      <c r="C100" s="70" t="s">
        <v>704</v>
      </c>
      <c r="D100" s="70" t="s">
        <v>703</v>
      </c>
      <c r="E100" s="70" t="s">
        <v>2857</v>
      </c>
    </row>
    <row r="101" spans="1:5" ht="12.75">
      <c r="A101" s="70" t="s">
        <v>706</v>
      </c>
      <c r="B101" s="70" t="s">
        <v>707</v>
      </c>
      <c r="C101" s="70" t="s">
        <v>708</v>
      </c>
      <c r="D101" s="70" t="s">
        <v>707</v>
      </c>
      <c r="E101" s="70" t="s">
        <v>709</v>
      </c>
    </row>
    <row r="102" spans="1:5" ht="12.75">
      <c r="A102" s="70" t="s">
        <v>2858</v>
      </c>
      <c r="B102" s="70" t="s">
        <v>720</v>
      </c>
      <c r="C102" s="70" t="s">
        <v>721</v>
      </c>
      <c r="D102" s="70" t="s">
        <v>720</v>
      </c>
      <c r="E102" s="70" t="s">
        <v>2859</v>
      </c>
    </row>
    <row r="103" spans="1:5" ht="12.75">
      <c r="A103" s="70" t="s">
        <v>723</v>
      </c>
      <c r="B103" s="70" t="s">
        <v>724</v>
      </c>
      <c r="C103" s="70" t="s">
        <v>2743</v>
      </c>
      <c r="D103" s="70" t="s">
        <v>724</v>
      </c>
      <c r="E103" s="70" t="s">
        <v>726</v>
      </c>
    </row>
    <row r="104" spans="1:5" ht="12.75">
      <c r="A104" s="70" t="s">
        <v>727</v>
      </c>
      <c r="B104" s="70" t="s">
        <v>728</v>
      </c>
      <c r="C104" s="70" t="s">
        <v>729</v>
      </c>
      <c r="D104" s="70" t="s">
        <v>728</v>
      </c>
      <c r="E104" s="70" t="s">
        <v>730</v>
      </c>
    </row>
    <row r="105" spans="1:5" ht="12.75">
      <c r="A105" s="70" t="s">
        <v>2860</v>
      </c>
      <c r="B105" s="70" t="s">
        <v>732</v>
      </c>
      <c r="C105" s="70" t="s">
        <v>733</v>
      </c>
      <c r="D105" s="70" t="s">
        <v>732</v>
      </c>
      <c r="E105" s="70" t="s">
        <v>2861</v>
      </c>
    </row>
    <row r="106" spans="1:5" ht="12.75">
      <c r="A106" s="70" t="s">
        <v>735</v>
      </c>
      <c r="B106" s="70" t="s">
        <v>736</v>
      </c>
      <c r="C106" s="70" t="s">
        <v>737</v>
      </c>
      <c r="D106" s="70" t="s">
        <v>736</v>
      </c>
      <c r="E106" s="70" t="s">
        <v>738</v>
      </c>
    </row>
    <row r="107" spans="1:5" ht="12.75">
      <c r="A107" s="70" t="s">
        <v>739</v>
      </c>
      <c r="B107" s="70" t="s">
        <v>740</v>
      </c>
      <c r="C107" s="70" t="s">
        <v>741</v>
      </c>
      <c r="D107" s="70" t="s">
        <v>740</v>
      </c>
      <c r="E107" s="70" t="s">
        <v>742</v>
      </c>
    </row>
    <row r="108" spans="1:5" ht="12.75">
      <c r="A108" s="70" t="s">
        <v>747</v>
      </c>
      <c r="B108" s="70" t="s">
        <v>748</v>
      </c>
      <c r="C108" s="70" t="s">
        <v>2754</v>
      </c>
      <c r="D108" s="70" t="s">
        <v>748</v>
      </c>
      <c r="E108" s="70" t="s">
        <v>749</v>
      </c>
    </row>
    <row r="109" spans="1:5" ht="12.75">
      <c r="A109" s="70" t="s">
        <v>750</v>
      </c>
      <c r="B109" s="70" t="s">
        <v>751</v>
      </c>
      <c r="C109" s="70" t="s">
        <v>752</v>
      </c>
      <c r="D109" s="70" t="s">
        <v>751</v>
      </c>
      <c r="E109" s="70" t="s">
        <v>753</v>
      </c>
    </row>
    <row r="110" spans="1:5" ht="12.75">
      <c r="A110" s="70" t="s">
        <v>2862</v>
      </c>
      <c r="B110" s="70" t="s">
        <v>755</v>
      </c>
      <c r="C110" s="70" t="s">
        <v>756</v>
      </c>
      <c r="D110" s="70" t="s">
        <v>755</v>
      </c>
      <c r="E110" s="70" t="s">
        <v>2813</v>
      </c>
    </row>
    <row r="111" spans="1:5" ht="12.75">
      <c r="A111" s="70" t="s">
        <v>2863</v>
      </c>
      <c r="B111" s="70" t="s">
        <v>761</v>
      </c>
      <c r="C111" s="70" t="s">
        <v>762</v>
      </c>
      <c r="D111" s="70" t="s">
        <v>761</v>
      </c>
      <c r="E111" s="70" t="s">
        <v>763</v>
      </c>
    </row>
    <row r="112" spans="1:5" ht="12.75">
      <c r="A112" s="70" t="s">
        <v>2864</v>
      </c>
      <c r="B112" s="70" t="s">
        <v>2241</v>
      </c>
      <c r="C112" s="70" t="s">
        <v>2745</v>
      </c>
      <c r="D112" s="70" t="s">
        <v>2241</v>
      </c>
      <c r="E112" s="70" t="s">
        <v>2865</v>
      </c>
    </row>
    <row r="113" spans="1:5" ht="12.75">
      <c r="A113" s="70" t="s">
        <v>2866</v>
      </c>
      <c r="B113" s="70" t="s">
        <v>769</v>
      </c>
      <c r="C113" s="70" t="s">
        <v>770</v>
      </c>
      <c r="D113" s="70" t="s">
        <v>769</v>
      </c>
      <c r="E113" s="70" t="s">
        <v>2867</v>
      </c>
    </row>
    <row r="114" spans="1:5" ht="12.75">
      <c r="A114" s="70" t="s">
        <v>2868</v>
      </c>
      <c r="B114" s="70" t="s">
        <v>776</v>
      </c>
      <c r="C114" s="70" t="s">
        <v>777</v>
      </c>
      <c r="D114" s="70" t="s">
        <v>776</v>
      </c>
      <c r="E114" s="70" t="s">
        <v>2869</v>
      </c>
    </row>
    <row r="115" spans="1:5" ht="12.75">
      <c r="A115" s="70" t="s">
        <v>782</v>
      </c>
      <c r="B115" s="70" t="s">
        <v>783</v>
      </c>
      <c r="C115" s="70" t="s">
        <v>2754</v>
      </c>
      <c r="D115" s="70" t="s">
        <v>783</v>
      </c>
      <c r="E115" s="70" t="s">
        <v>784</v>
      </c>
    </row>
    <row r="116" spans="1:5" ht="12.75">
      <c r="A116" s="70" t="s">
        <v>785</v>
      </c>
      <c r="B116" s="70" t="s">
        <v>786</v>
      </c>
      <c r="C116" s="70" t="s">
        <v>787</v>
      </c>
      <c r="D116" s="70" t="s">
        <v>786</v>
      </c>
      <c r="E116" s="70" t="s">
        <v>788</v>
      </c>
    </row>
    <row r="117" spans="1:5" ht="12.75">
      <c r="A117" s="70" t="s">
        <v>2870</v>
      </c>
      <c r="B117" s="70" t="s">
        <v>790</v>
      </c>
      <c r="C117" s="70" t="s">
        <v>791</v>
      </c>
      <c r="D117" s="70" t="s">
        <v>790</v>
      </c>
      <c r="E117" s="70" t="s">
        <v>2871</v>
      </c>
    </row>
    <row r="118" spans="1:5" ht="12.75">
      <c r="A118" s="70" t="s">
        <v>793</v>
      </c>
      <c r="B118" s="70" t="s">
        <v>794</v>
      </c>
      <c r="C118" s="70" t="s">
        <v>795</v>
      </c>
      <c r="D118" s="70" t="s">
        <v>794</v>
      </c>
      <c r="E118" s="70" t="s">
        <v>796</v>
      </c>
    </row>
    <row r="119" spans="1:5" ht="12.75">
      <c r="A119" s="70" t="s">
        <v>2872</v>
      </c>
      <c r="B119" s="70" t="s">
        <v>807</v>
      </c>
      <c r="C119" s="70" t="s">
        <v>808</v>
      </c>
      <c r="D119" s="70" t="s">
        <v>807</v>
      </c>
      <c r="E119" s="70" t="s">
        <v>2865</v>
      </c>
    </row>
    <row r="120" spans="1:5" ht="12.75">
      <c r="A120" s="70" t="s">
        <v>2873</v>
      </c>
      <c r="B120" s="70" t="s">
        <v>810</v>
      </c>
      <c r="C120" s="70" t="s">
        <v>811</v>
      </c>
      <c r="D120" s="70" t="s">
        <v>810</v>
      </c>
      <c r="E120" s="70" t="s">
        <v>2874</v>
      </c>
    </row>
    <row r="121" spans="1:5" ht="12.75">
      <c r="A121" s="70" t="s">
        <v>2875</v>
      </c>
      <c r="B121" s="70" t="s">
        <v>813</v>
      </c>
      <c r="C121" s="70" t="s">
        <v>814</v>
      </c>
      <c r="D121" s="70" t="s">
        <v>813</v>
      </c>
      <c r="E121" s="70" t="s">
        <v>2876</v>
      </c>
    </row>
    <row r="122" spans="1:5" ht="12.75">
      <c r="A122" s="70" t="s">
        <v>828</v>
      </c>
      <c r="B122" s="70" t="s">
        <v>829</v>
      </c>
      <c r="C122" s="70" t="s">
        <v>830</v>
      </c>
      <c r="D122" s="70" t="s">
        <v>829</v>
      </c>
      <c r="E122" s="70" t="s">
        <v>831</v>
      </c>
    </row>
    <row r="123" spans="1:5" ht="12.75">
      <c r="A123" s="70" t="s">
        <v>832</v>
      </c>
      <c r="B123" s="70" t="s">
        <v>833</v>
      </c>
      <c r="C123" s="70" t="s">
        <v>834</v>
      </c>
      <c r="D123" s="70" t="s">
        <v>833</v>
      </c>
      <c r="E123" s="70" t="s">
        <v>835</v>
      </c>
    </row>
    <row r="124" spans="1:5" ht="12.75">
      <c r="A124" s="70" t="s">
        <v>836</v>
      </c>
      <c r="B124" s="70" t="s">
        <v>837</v>
      </c>
      <c r="C124" s="70" t="s">
        <v>2754</v>
      </c>
      <c r="D124" s="70" t="s">
        <v>837</v>
      </c>
      <c r="E124" s="70" t="s">
        <v>838</v>
      </c>
    </row>
    <row r="125" spans="1:5" ht="12.75">
      <c r="A125" s="70" t="s">
        <v>841</v>
      </c>
      <c r="B125" s="70" t="s">
        <v>842</v>
      </c>
      <c r="C125" s="70" t="s">
        <v>2754</v>
      </c>
      <c r="D125" s="70" t="s">
        <v>842</v>
      </c>
      <c r="E125" s="70" t="s">
        <v>843</v>
      </c>
    </row>
    <row r="126" spans="1:5" ht="12.75">
      <c r="A126" s="70" t="s">
        <v>2877</v>
      </c>
      <c r="B126" s="70" t="s">
        <v>848</v>
      </c>
      <c r="C126" s="70" t="s">
        <v>849</v>
      </c>
      <c r="D126" s="70" t="s">
        <v>848</v>
      </c>
      <c r="E126" s="70" t="s">
        <v>2878</v>
      </c>
    </row>
    <row r="127" spans="1:5" ht="12.75">
      <c r="A127" s="70" t="s">
        <v>2879</v>
      </c>
      <c r="B127" s="70" t="s">
        <v>852</v>
      </c>
      <c r="C127" s="70" t="s">
        <v>853</v>
      </c>
      <c r="D127" s="70" t="s">
        <v>852</v>
      </c>
      <c r="E127" s="70" t="s">
        <v>2880</v>
      </c>
    </row>
    <row r="128" spans="1:5" ht="12.75">
      <c r="A128" s="70" t="s">
        <v>2881</v>
      </c>
      <c r="B128" s="70" t="s">
        <v>855</v>
      </c>
      <c r="C128" s="70" t="s">
        <v>856</v>
      </c>
      <c r="D128" s="70" t="s">
        <v>855</v>
      </c>
      <c r="E128" s="70" t="s">
        <v>2882</v>
      </c>
    </row>
    <row r="129" spans="1:5" ht="12.75">
      <c r="A129" s="70" t="s">
        <v>2883</v>
      </c>
      <c r="B129" s="70" t="s">
        <v>858</v>
      </c>
      <c r="C129" s="70" t="s">
        <v>859</v>
      </c>
      <c r="D129" s="70" t="s">
        <v>858</v>
      </c>
      <c r="E129" s="70" t="s">
        <v>2884</v>
      </c>
    </row>
    <row r="130" spans="1:5" ht="12.75">
      <c r="A130" s="70" t="s">
        <v>861</v>
      </c>
      <c r="B130" s="70" t="s">
        <v>862</v>
      </c>
      <c r="C130" s="70" t="s">
        <v>863</v>
      </c>
      <c r="D130" s="70" t="s">
        <v>862</v>
      </c>
      <c r="E130" s="70" t="s">
        <v>864</v>
      </c>
    </row>
    <row r="131" spans="1:5" ht="12.75">
      <c r="A131" s="70" t="s">
        <v>2885</v>
      </c>
      <c r="B131" s="70" t="s">
        <v>868</v>
      </c>
      <c r="C131" s="70" t="s">
        <v>869</v>
      </c>
      <c r="D131" s="70" t="s">
        <v>868</v>
      </c>
      <c r="E131" s="70" t="s">
        <v>2886</v>
      </c>
    </row>
    <row r="132" spans="1:5" ht="12.75">
      <c r="A132" s="70" t="s">
        <v>2887</v>
      </c>
      <c r="B132" s="70" t="s">
        <v>872</v>
      </c>
      <c r="C132" s="70" t="s">
        <v>873</v>
      </c>
      <c r="D132" s="70" t="s">
        <v>872</v>
      </c>
      <c r="E132" s="70" t="s">
        <v>1084</v>
      </c>
    </row>
    <row r="133" spans="1:5" ht="12.75">
      <c r="A133" s="70" t="s">
        <v>871</v>
      </c>
      <c r="B133" s="70" t="s">
        <v>872</v>
      </c>
      <c r="C133" s="70" t="s">
        <v>873</v>
      </c>
      <c r="D133" s="70" t="s">
        <v>872</v>
      </c>
      <c r="E133" s="70" t="s">
        <v>874</v>
      </c>
    </row>
    <row r="134" spans="1:5" ht="12.75">
      <c r="A134" s="70" t="s">
        <v>298</v>
      </c>
      <c r="B134" s="70" t="s">
        <v>300</v>
      </c>
      <c r="C134" s="70" t="s">
        <v>2754</v>
      </c>
      <c r="D134" s="70" t="s">
        <v>300</v>
      </c>
      <c r="E134" s="70" t="s">
        <v>2730</v>
      </c>
    </row>
    <row r="135" spans="1:5" ht="12.75">
      <c r="A135" s="70" t="s">
        <v>892</v>
      </c>
      <c r="B135" s="70" t="s">
        <v>891</v>
      </c>
      <c r="C135" s="70" t="s">
        <v>892</v>
      </c>
      <c r="D135" s="70" t="s">
        <v>891</v>
      </c>
      <c r="E135" s="70" t="s">
        <v>2888</v>
      </c>
    </row>
    <row r="136" spans="1:5" ht="12.75">
      <c r="A136" s="70" t="s">
        <v>887</v>
      </c>
      <c r="B136" s="70" t="s">
        <v>888</v>
      </c>
      <c r="C136" s="70" t="s">
        <v>2754</v>
      </c>
      <c r="D136" s="70" t="s">
        <v>888</v>
      </c>
      <c r="E136" s="70" t="s">
        <v>889</v>
      </c>
    </row>
    <row r="137" spans="1:5" ht="12.75">
      <c r="A137" s="70" t="s">
        <v>2889</v>
      </c>
      <c r="B137" s="70" t="s">
        <v>888</v>
      </c>
      <c r="C137" s="70" t="s">
        <v>2754</v>
      </c>
      <c r="D137" s="70" t="s">
        <v>888</v>
      </c>
      <c r="E137" s="70" t="s">
        <v>2890</v>
      </c>
    </row>
    <row r="138" spans="1:5" ht="12.75">
      <c r="A138" s="70" t="s">
        <v>2747</v>
      </c>
      <c r="B138" s="70" t="s">
        <v>888</v>
      </c>
      <c r="C138" s="70" t="s">
        <v>2754</v>
      </c>
      <c r="D138" s="70" t="s">
        <v>888</v>
      </c>
      <c r="E138" s="70" t="s">
        <v>2746</v>
      </c>
    </row>
    <row r="139" spans="1:5" ht="12.75">
      <c r="A139" s="70" t="s">
        <v>894</v>
      </c>
      <c r="B139" s="70" t="s">
        <v>895</v>
      </c>
      <c r="C139" s="70" t="s">
        <v>896</v>
      </c>
      <c r="D139" s="70" t="s">
        <v>895</v>
      </c>
      <c r="E139" s="70" t="s">
        <v>597</v>
      </c>
    </row>
    <row r="140" spans="1:5" ht="12.75">
      <c r="A140" s="70" t="s">
        <v>2891</v>
      </c>
      <c r="B140" s="70" t="s">
        <v>898</v>
      </c>
      <c r="C140" s="70" t="s">
        <v>899</v>
      </c>
      <c r="D140" s="70" t="s">
        <v>898</v>
      </c>
      <c r="E140" s="70" t="s">
        <v>2892</v>
      </c>
    </row>
    <row r="141" spans="1:5" ht="12.75">
      <c r="A141" s="70" t="s">
        <v>2893</v>
      </c>
      <c r="B141" s="70" t="s">
        <v>902</v>
      </c>
      <c r="C141" s="70" t="s">
        <v>903</v>
      </c>
      <c r="D141" s="70" t="s">
        <v>902</v>
      </c>
      <c r="E141" s="70" t="s">
        <v>2894</v>
      </c>
    </row>
    <row r="142" spans="1:5" ht="12.75">
      <c r="A142" s="70" t="s">
        <v>904</v>
      </c>
      <c r="B142" s="70" t="s">
        <v>905</v>
      </c>
      <c r="C142" s="70" t="s">
        <v>2754</v>
      </c>
      <c r="D142" s="70" t="s">
        <v>905</v>
      </c>
      <c r="E142" s="70" t="s">
        <v>906</v>
      </c>
    </row>
    <row r="143" spans="1:5" ht="12.75">
      <c r="A143" s="70" t="s">
        <v>2895</v>
      </c>
      <c r="B143" s="70" t="s">
        <v>913</v>
      </c>
      <c r="C143" s="70" t="s">
        <v>914</v>
      </c>
      <c r="D143" s="70" t="s">
        <v>913</v>
      </c>
      <c r="E143" s="70" t="s">
        <v>2896</v>
      </c>
    </row>
    <row r="144" spans="1:5" ht="12.75">
      <c r="A144" s="70" t="s">
        <v>2897</v>
      </c>
      <c r="B144" s="70" t="s">
        <v>925</v>
      </c>
      <c r="C144" s="70" t="s">
        <v>926</v>
      </c>
      <c r="D144" s="70" t="s">
        <v>925</v>
      </c>
      <c r="E144" s="70" t="s">
        <v>2898</v>
      </c>
    </row>
    <row r="145" spans="1:5" ht="12.75">
      <c r="A145" s="70" t="s">
        <v>934</v>
      </c>
      <c r="B145" s="70" t="s">
        <v>935</v>
      </c>
      <c r="C145" s="70" t="s">
        <v>936</v>
      </c>
      <c r="D145" s="70" t="s">
        <v>935</v>
      </c>
      <c r="E145" s="70" t="s">
        <v>937</v>
      </c>
    </row>
    <row r="146" spans="1:5" ht="12.75">
      <c r="A146" s="70" t="s">
        <v>940</v>
      </c>
      <c r="B146" s="70" t="s">
        <v>941</v>
      </c>
      <c r="C146" s="70" t="s">
        <v>942</v>
      </c>
      <c r="D146" s="70" t="s">
        <v>941</v>
      </c>
      <c r="E146" s="70" t="s">
        <v>943</v>
      </c>
    </row>
    <row r="147" spans="1:5" ht="12.75">
      <c r="A147" s="70" t="s">
        <v>944</v>
      </c>
      <c r="B147" s="70" t="s">
        <v>945</v>
      </c>
      <c r="C147" s="70" t="s">
        <v>946</v>
      </c>
      <c r="D147" s="70" t="s">
        <v>945</v>
      </c>
      <c r="E147" s="70" t="s">
        <v>947</v>
      </c>
    </row>
    <row r="148" spans="1:5" ht="12.75">
      <c r="A148" s="70" t="s">
        <v>2899</v>
      </c>
      <c r="B148" s="70" t="s">
        <v>953</v>
      </c>
      <c r="C148" s="70" t="s">
        <v>954</v>
      </c>
      <c r="D148" s="70" t="s">
        <v>953</v>
      </c>
      <c r="E148" s="70" t="s">
        <v>2900</v>
      </c>
    </row>
    <row r="149" spans="1:5" ht="12.75">
      <c r="A149" s="70" t="s">
        <v>955</v>
      </c>
      <c r="B149" s="70" t="s">
        <v>956</v>
      </c>
      <c r="C149" s="70" t="s">
        <v>957</v>
      </c>
      <c r="D149" s="70" t="s">
        <v>956</v>
      </c>
      <c r="E149" s="70" t="s">
        <v>958</v>
      </c>
    </row>
    <row r="150" spans="1:5" ht="12.75">
      <c r="A150" s="70" t="s">
        <v>959</v>
      </c>
      <c r="B150" s="70" t="s">
        <v>960</v>
      </c>
      <c r="C150" s="70" t="s">
        <v>961</v>
      </c>
      <c r="D150" s="70" t="s">
        <v>960</v>
      </c>
      <c r="E150" s="70" t="s">
        <v>962</v>
      </c>
    </row>
    <row r="151" spans="1:5" ht="12.75">
      <c r="A151" s="70" t="s">
        <v>966</v>
      </c>
      <c r="B151" s="70" t="s">
        <v>967</v>
      </c>
      <c r="C151" s="70" t="s">
        <v>968</v>
      </c>
      <c r="D151" s="70" t="s">
        <v>967</v>
      </c>
      <c r="E151" s="70" t="s">
        <v>969</v>
      </c>
    </row>
    <row r="152" spans="1:5" ht="12.75">
      <c r="A152" s="70" t="s">
        <v>970</v>
      </c>
      <c r="B152" s="70" t="s">
        <v>971</v>
      </c>
      <c r="C152" s="70" t="s">
        <v>972</v>
      </c>
      <c r="D152" s="70" t="s">
        <v>971</v>
      </c>
      <c r="E152" s="70" t="s">
        <v>973</v>
      </c>
    </row>
    <row r="153" spans="1:5" ht="12.75">
      <c r="A153" s="70" t="s">
        <v>2901</v>
      </c>
      <c r="B153" s="70" t="s">
        <v>975</v>
      </c>
      <c r="C153" s="70" t="s">
        <v>976</v>
      </c>
      <c r="D153" s="70" t="s">
        <v>975</v>
      </c>
      <c r="E153" s="70" t="s">
        <v>2902</v>
      </c>
    </row>
    <row r="154" spans="1:5" ht="12.75">
      <c r="A154" s="70" t="s">
        <v>2903</v>
      </c>
      <c r="B154" s="70" t="s">
        <v>979</v>
      </c>
      <c r="C154" s="70" t="s">
        <v>980</v>
      </c>
      <c r="D154" s="70" t="s">
        <v>979</v>
      </c>
      <c r="E154" s="70" t="s">
        <v>2904</v>
      </c>
    </row>
    <row r="155" spans="1:5" ht="12.75">
      <c r="A155" s="70" t="s">
        <v>985</v>
      </c>
      <c r="B155" s="70" t="s">
        <v>986</v>
      </c>
      <c r="C155" s="70" t="s">
        <v>987</v>
      </c>
      <c r="D155" s="70" t="s">
        <v>986</v>
      </c>
      <c r="E155" s="70" t="s">
        <v>988</v>
      </c>
    </row>
    <row r="156" spans="1:5" ht="12.75">
      <c r="A156" s="70" t="s">
        <v>2905</v>
      </c>
      <c r="B156" s="70" t="s">
        <v>992</v>
      </c>
      <c r="C156" s="70" t="s">
        <v>2754</v>
      </c>
      <c r="D156" s="70" t="s">
        <v>992</v>
      </c>
      <c r="E156" s="70" t="s">
        <v>2906</v>
      </c>
    </row>
    <row r="157" spans="1:5" ht="12.75">
      <c r="A157" s="70" t="s">
        <v>994</v>
      </c>
      <c r="B157" s="70" t="s">
        <v>995</v>
      </c>
      <c r="C157" s="70" t="s">
        <v>996</v>
      </c>
      <c r="D157" s="70" t="s">
        <v>995</v>
      </c>
      <c r="E157" s="70" t="s">
        <v>997</v>
      </c>
    </row>
    <row r="158" spans="1:5" ht="12.75">
      <c r="A158" s="70" t="s">
        <v>998</v>
      </c>
      <c r="B158" s="70" t="s">
        <v>999</v>
      </c>
      <c r="C158" s="70" t="s">
        <v>1000</v>
      </c>
      <c r="D158" s="70" t="s">
        <v>999</v>
      </c>
      <c r="E158" s="70" t="s">
        <v>1001</v>
      </c>
    </row>
    <row r="159" spans="1:5" ht="12.75">
      <c r="A159" s="70" t="s">
        <v>1007</v>
      </c>
      <c r="B159" s="70" t="s">
        <v>1008</v>
      </c>
      <c r="C159" s="70" t="s">
        <v>2754</v>
      </c>
      <c r="D159" s="70" t="s">
        <v>1008</v>
      </c>
      <c r="E159" s="70" t="s">
        <v>410</v>
      </c>
    </row>
    <row r="160" spans="1:5" ht="12.75">
      <c r="A160" s="70" t="s">
        <v>1009</v>
      </c>
      <c r="B160" s="70" t="s">
        <v>1010</v>
      </c>
      <c r="C160" s="70" t="s">
        <v>1011</v>
      </c>
      <c r="D160" s="70" t="s">
        <v>1010</v>
      </c>
      <c r="E160" s="70" t="s">
        <v>1012</v>
      </c>
    </row>
    <row r="161" spans="1:5" ht="12.75">
      <c r="A161" s="70" t="s">
        <v>2907</v>
      </c>
      <c r="B161" s="70" t="s">
        <v>1014</v>
      </c>
      <c r="C161" s="70" t="s">
        <v>1015</v>
      </c>
      <c r="D161" s="70" t="s">
        <v>1014</v>
      </c>
      <c r="E161" s="70" t="s">
        <v>2908</v>
      </c>
    </row>
    <row r="162" spans="1:5" ht="12.75">
      <c r="A162" s="70" t="s">
        <v>1017</v>
      </c>
      <c r="B162" s="70" t="s">
        <v>1018</v>
      </c>
      <c r="C162" s="70" t="s">
        <v>1019</v>
      </c>
      <c r="D162" s="70" t="s">
        <v>1018</v>
      </c>
      <c r="E162" s="70" t="s">
        <v>357</v>
      </c>
    </row>
    <row r="163" spans="1:5" ht="12.75">
      <c r="A163" s="70" t="s">
        <v>2909</v>
      </c>
      <c r="B163" s="70" t="s">
        <v>1024</v>
      </c>
      <c r="C163" s="70" t="s">
        <v>1025</v>
      </c>
      <c r="D163" s="70" t="s">
        <v>1024</v>
      </c>
      <c r="E163" s="70" t="s">
        <v>2910</v>
      </c>
    </row>
    <row r="164" spans="1:5" ht="12.75">
      <c r="A164" s="70" t="s">
        <v>2911</v>
      </c>
      <c r="B164" s="70" t="s">
        <v>1028</v>
      </c>
      <c r="C164" s="70" t="s">
        <v>1029</v>
      </c>
      <c r="D164" s="70" t="s">
        <v>1028</v>
      </c>
      <c r="E164" s="70" t="s">
        <v>2912</v>
      </c>
    </row>
    <row r="165" spans="1:5" ht="12.75">
      <c r="A165" s="70" t="s">
        <v>1031</v>
      </c>
      <c r="B165" s="70" t="s">
        <v>1032</v>
      </c>
      <c r="C165" s="70" t="s">
        <v>1033</v>
      </c>
      <c r="D165" s="70" t="s">
        <v>1032</v>
      </c>
      <c r="E165" s="70" t="s">
        <v>520</v>
      </c>
    </row>
    <row r="166" spans="1:5" ht="12.75">
      <c r="A166" s="70" t="s">
        <v>2913</v>
      </c>
      <c r="B166" s="70" t="s">
        <v>1035</v>
      </c>
      <c r="C166" s="70" t="s">
        <v>1036</v>
      </c>
      <c r="D166" s="70" t="s">
        <v>1035</v>
      </c>
      <c r="E166" s="70" t="s">
        <v>2914</v>
      </c>
    </row>
    <row r="167" spans="1:5" ht="12.75">
      <c r="A167" s="70" t="s">
        <v>1038</v>
      </c>
      <c r="B167" s="70" t="s">
        <v>1039</v>
      </c>
      <c r="C167" s="70" t="s">
        <v>1040</v>
      </c>
      <c r="D167" s="70" t="s">
        <v>1039</v>
      </c>
      <c r="E167" s="70" t="s">
        <v>1041</v>
      </c>
    </row>
    <row r="168" spans="1:5" ht="12.75">
      <c r="A168" s="70" t="s">
        <v>1042</v>
      </c>
      <c r="B168" s="70" t="s">
        <v>1043</v>
      </c>
      <c r="C168" s="70" t="s">
        <v>1044</v>
      </c>
      <c r="D168" s="70" t="s">
        <v>1043</v>
      </c>
      <c r="E168" s="70" t="s">
        <v>1045</v>
      </c>
    </row>
    <row r="169" spans="1:5" ht="12.75">
      <c r="A169" s="70" t="s">
        <v>1046</v>
      </c>
      <c r="B169" s="70" t="s">
        <v>1047</v>
      </c>
      <c r="C169" s="70" t="s">
        <v>2754</v>
      </c>
      <c r="D169" s="70" t="s">
        <v>2749</v>
      </c>
      <c r="E169" s="70" t="s">
        <v>2748</v>
      </c>
    </row>
    <row r="170" spans="1:5" ht="12.75">
      <c r="A170" s="70" t="s">
        <v>2915</v>
      </c>
      <c r="B170" s="70" t="s">
        <v>1050</v>
      </c>
      <c r="C170" s="70" t="s">
        <v>1051</v>
      </c>
      <c r="D170" s="70" t="s">
        <v>1050</v>
      </c>
      <c r="E170" s="70" t="s">
        <v>2865</v>
      </c>
    </row>
    <row r="171" spans="1:5" ht="12.75">
      <c r="A171" s="70" t="s">
        <v>1053</v>
      </c>
      <c r="B171" s="70" t="s">
        <v>1054</v>
      </c>
      <c r="C171" s="70" t="s">
        <v>1055</v>
      </c>
      <c r="D171" s="70" t="s">
        <v>1054</v>
      </c>
      <c r="E171" s="70" t="s">
        <v>463</v>
      </c>
    </row>
    <row r="172" spans="1:5" ht="12.75">
      <c r="A172" s="70" t="s">
        <v>1056</v>
      </c>
      <c r="B172" s="70" t="s">
        <v>1057</v>
      </c>
      <c r="C172" s="70" t="s">
        <v>2754</v>
      </c>
      <c r="D172" s="70" t="s">
        <v>1057</v>
      </c>
      <c r="E172" s="70" t="s">
        <v>1060</v>
      </c>
    </row>
    <row r="173" spans="1:5" ht="12.75">
      <c r="A173" s="70" t="s">
        <v>2916</v>
      </c>
      <c r="B173" s="70" t="s">
        <v>1062</v>
      </c>
      <c r="C173" s="70" t="s">
        <v>1063</v>
      </c>
      <c r="D173" s="70" t="s">
        <v>1062</v>
      </c>
      <c r="E173" s="70" t="s">
        <v>2779</v>
      </c>
    </row>
    <row r="174" spans="1:5" ht="12.75">
      <c r="A174" s="70" t="s">
        <v>1065</v>
      </c>
      <c r="B174" s="70" t="s">
        <v>1066</v>
      </c>
      <c r="C174" s="70" t="s">
        <v>1067</v>
      </c>
      <c r="D174" s="70" t="s">
        <v>1066</v>
      </c>
      <c r="E174" s="70" t="s">
        <v>1068</v>
      </c>
    </row>
    <row r="175" spans="1:5" ht="12.75">
      <c r="A175" s="70" t="s">
        <v>2917</v>
      </c>
      <c r="B175" s="70" t="s">
        <v>1074</v>
      </c>
      <c r="C175" s="70" t="s">
        <v>1075</v>
      </c>
      <c r="D175" s="70" t="s">
        <v>1074</v>
      </c>
      <c r="E175" s="70" t="s">
        <v>2918</v>
      </c>
    </row>
    <row r="176" spans="1:5" ht="12.75">
      <c r="A176" s="70" t="s">
        <v>2919</v>
      </c>
      <c r="B176" s="70" t="s">
        <v>1078</v>
      </c>
      <c r="C176" s="70" t="s">
        <v>1079</v>
      </c>
      <c r="D176" s="70" t="s">
        <v>1078</v>
      </c>
      <c r="E176" s="70" t="s">
        <v>2920</v>
      </c>
    </row>
    <row r="177" spans="1:5" ht="12.75">
      <c r="A177" s="70" t="s">
        <v>1081</v>
      </c>
      <c r="B177" s="70" t="s">
        <v>1082</v>
      </c>
      <c r="C177" s="70" t="s">
        <v>1083</v>
      </c>
      <c r="D177" s="70" t="s">
        <v>1082</v>
      </c>
      <c r="E177" s="70" t="s">
        <v>1084</v>
      </c>
    </row>
    <row r="178" spans="1:5" ht="12.75">
      <c r="A178" s="70" t="s">
        <v>1085</v>
      </c>
      <c r="B178" s="70" t="s">
        <v>1086</v>
      </c>
      <c r="C178" s="70" t="s">
        <v>2754</v>
      </c>
      <c r="D178" s="70" t="s">
        <v>1087</v>
      </c>
      <c r="E178" s="70" t="s">
        <v>520</v>
      </c>
    </row>
    <row r="179" spans="1:5" ht="12.75">
      <c r="A179" s="70" t="s">
        <v>2921</v>
      </c>
      <c r="B179" s="70" t="s">
        <v>1092</v>
      </c>
      <c r="C179" s="70" t="s">
        <v>1093</v>
      </c>
      <c r="D179" s="70" t="s">
        <v>1092</v>
      </c>
      <c r="E179" s="70" t="s">
        <v>2922</v>
      </c>
    </row>
    <row r="180" spans="1:5" ht="12.75">
      <c r="A180" s="70" t="s">
        <v>1095</v>
      </c>
      <c r="B180" s="70" t="s">
        <v>1096</v>
      </c>
      <c r="C180" s="70" t="s">
        <v>1097</v>
      </c>
      <c r="D180" s="70" t="s">
        <v>1096</v>
      </c>
      <c r="E180" s="70" t="s">
        <v>520</v>
      </c>
    </row>
    <row r="181" spans="1:5" ht="12.75">
      <c r="A181" s="70" t="s">
        <v>2923</v>
      </c>
      <c r="B181" s="70" t="s">
        <v>1099</v>
      </c>
      <c r="C181" s="70" t="s">
        <v>1100</v>
      </c>
      <c r="D181" s="70" t="s">
        <v>1099</v>
      </c>
      <c r="E181" s="70" t="s">
        <v>2912</v>
      </c>
    </row>
    <row r="182" spans="1:5" ht="12.75">
      <c r="A182" s="70" t="s">
        <v>1098</v>
      </c>
      <c r="B182" s="70" t="s">
        <v>1099</v>
      </c>
      <c r="C182" s="70" t="s">
        <v>1100</v>
      </c>
      <c r="D182" s="70" t="s">
        <v>1099</v>
      </c>
      <c r="E182" s="70" t="s">
        <v>1101</v>
      </c>
    </row>
    <row r="183" spans="1:5" ht="12.75">
      <c r="A183" s="70" t="s">
        <v>1102</v>
      </c>
      <c r="B183" s="70" t="s">
        <v>1103</v>
      </c>
      <c r="C183" s="70" t="s">
        <v>1104</v>
      </c>
      <c r="D183" s="70" t="s">
        <v>1103</v>
      </c>
      <c r="E183" s="70" t="s">
        <v>1105</v>
      </c>
    </row>
    <row r="184" spans="1:5" ht="12.75">
      <c r="A184" s="70" t="s">
        <v>2924</v>
      </c>
      <c r="B184" s="70" t="s">
        <v>1107</v>
      </c>
      <c r="C184" s="70" t="s">
        <v>1108</v>
      </c>
      <c r="D184" s="70" t="s">
        <v>1107</v>
      </c>
      <c r="E184" s="70" t="s">
        <v>2779</v>
      </c>
    </row>
    <row r="185" spans="1:5" ht="12.75">
      <c r="A185" s="70" t="s">
        <v>1110</v>
      </c>
      <c r="B185" s="70" t="s">
        <v>1111</v>
      </c>
      <c r="C185" s="70" t="s">
        <v>1112</v>
      </c>
      <c r="D185" s="70" t="s">
        <v>1111</v>
      </c>
      <c r="E185" s="70" t="s">
        <v>1113</v>
      </c>
    </row>
    <row r="186" spans="1:5" ht="12.75">
      <c r="A186" s="70" t="s">
        <v>2925</v>
      </c>
      <c r="B186" s="70" t="s">
        <v>1115</v>
      </c>
      <c r="C186" s="70" t="s">
        <v>1116</v>
      </c>
      <c r="D186" s="70" t="s">
        <v>1115</v>
      </c>
      <c r="E186" s="70" t="s">
        <v>2926</v>
      </c>
    </row>
    <row r="187" spans="1:5" ht="12.75">
      <c r="A187" s="70" t="s">
        <v>2927</v>
      </c>
      <c r="B187" s="70" t="s">
        <v>1123</v>
      </c>
      <c r="C187" s="70" t="s">
        <v>1124</v>
      </c>
      <c r="D187" s="70" t="s">
        <v>1123</v>
      </c>
      <c r="E187" s="70" t="s">
        <v>2928</v>
      </c>
    </row>
    <row r="188" spans="1:5" ht="12.75">
      <c r="A188" s="70" t="s">
        <v>2929</v>
      </c>
      <c r="B188" s="70" t="s">
        <v>1123</v>
      </c>
      <c r="C188" s="70" t="s">
        <v>1124</v>
      </c>
      <c r="D188" s="70" t="s">
        <v>1123</v>
      </c>
      <c r="E188" s="70" t="s">
        <v>2930</v>
      </c>
    </row>
    <row r="189" spans="1:5" ht="12.75">
      <c r="A189" s="70" t="s">
        <v>1130</v>
      </c>
      <c r="B189" s="70" t="s">
        <v>1131</v>
      </c>
      <c r="C189" s="70" t="s">
        <v>1132</v>
      </c>
      <c r="D189" s="70" t="s">
        <v>1131</v>
      </c>
      <c r="E189" s="70" t="s">
        <v>401</v>
      </c>
    </row>
    <row r="190" spans="1:5" ht="12.75">
      <c r="A190" s="70" t="s">
        <v>2931</v>
      </c>
      <c r="B190" s="70" t="s">
        <v>1134</v>
      </c>
      <c r="C190" s="70" t="s">
        <v>1135</v>
      </c>
      <c r="D190" s="70" t="s">
        <v>1134</v>
      </c>
      <c r="E190" s="70" t="s">
        <v>520</v>
      </c>
    </row>
    <row r="191" spans="1:5" ht="12.75">
      <c r="A191" s="70" t="s">
        <v>2932</v>
      </c>
      <c r="B191" s="70" t="s">
        <v>1138</v>
      </c>
      <c r="C191" s="70" t="s">
        <v>1139</v>
      </c>
      <c r="D191" s="70" t="s">
        <v>1138</v>
      </c>
      <c r="E191" s="70" t="s">
        <v>2933</v>
      </c>
    </row>
    <row r="192" spans="1:5" ht="12.75">
      <c r="A192" s="70" t="s">
        <v>1141</v>
      </c>
      <c r="B192" s="70" t="s">
        <v>1142</v>
      </c>
      <c r="C192" s="70" t="s">
        <v>1143</v>
      </c>
      <c r="D192" s="70" t="s">
        <v>1142</v>
      </c>
      <c r="E192" s="70" t="s">
        <v>1144</v>
      </c>
    </row>
    <row r="193" spans="1:5" ht="12.75">
      <c r="A193" s="70" t="s">
        <v>1152</v>
      </c>
      <c r="B193" s="70" t="s">
        <v>1153</v>
      </c>
      <c r="C193" s="70" t="s">
        <v>1154</v>
      </c>
      <c r="D193" s="70" t="s">
        <v>1153</v>
      </c>
      <c r="E193" s="70" t="s">
        <v>520</v>
      </c>
    </row>
    <row r="194" spans="1:5" ht="12.75">
      <c r="A194" s="70" t="s">
        <v>2934</v>
      </c>
      <c r="B194" s="70" t="s">
        <v>1156</v>
      </c>
      <c r="C194" s="70" t="s">
        <v>1157</v>
      </c>
      <c r="D194" s="70" t="s">
        <v>1156</v>
      </c>
      <c r="E194" s="70" t="s">
        <v>2935</v>
      </c>
    </row>
    <row r="195" spans="1:5" ht="12.75">
      <c r="A195" s="70" t="s">
        <v>2936</v>
      </c>
      <c r="B195" s="70" t="s">
        <v>1160</v>
      </c>
      <c r="C195" s="70" t="s">
        <v>1161</v>
      </c>
      <c r="D195" s="70" t="s">
        <v>1160</v>
      </c>
      <c r="E195" s="70" t="s">
        <v>2937</v>
      </c>
    </row>
    <row r="196" spans="1:5" ht="12.75">
      <c r="A196" s="70" t="s">
        <v>1163</v>
      </c>
      <c r="B196" s="70" t="s">
        <v>1164</v>
      </c>
      <c r="C196" s="70" t="s">
        <v>2754</v>
      </c>
      <c r="D196" s="70" t="s">
        <v>1164</v>
      </c>
      <c r="E196" s="70" t="s">
        <v>1165</v>
      </c>
    </row>
    <row r="197" spans="1:5" ht="12.75">
      <c r="A197" s="70" t="s">
        <v>1169</v>
      </c>
      <c r="B197" s="70" t="s">
        <v>1170</v>
      </c>
      <c r="C197" s="70" t="s">
        <v>2754</v>
      </c>
      <c r="D197" s="70" t="s">
        <v>1170</v>
      </c>
      <c r="E197" s="70" t="s">
        <v>1171</v>
      </c>
    </row>
    <row r="198" spans="1:5" ht="12.75">
      <c r="A198" s="70" t="s">
        <v>1172</v>
      </c>
      <c r="B198" s="70" t="s">
        <v>1173</v>
      </c>
      <c r="C198" s="70" t="s">
        <v>1174</v>
      </c>
      <c r="D198" s="70" t="s">
        <v>1173</v>
      </c>
      <c r="E198" s="70" t="s">
        <v>1175</v>
      </c>
    </row>
    <row r="199" spans="1:5" ht="12.75">
      <c r="A199" s="70" t="s">
        <v>2938</v>
      </c>
      <c r="B199" s="70" t="s">
        <v>1177</v>
      </c>
      <c r="C199" s="70" t="s">
        <v>2754</v>
      </c>
      <c r="D199" s="70" t="s">
        <v>1177</v>
      </c>
      <c r="E199" s="70" t="s">
        <v>353</v>
      </c>
    </row>
    <row r="200" spans="1:5" ht="12.75">
      <c r="A200" s="70" t="s">
        <v>1179</v>
      </c>
      <c r="B200" s="70" t="s">
        <v>1180</v>
      </c>
      <c r="C200" s="70" t="s">
        <v>1180</v>
      </c>
      <c r="D200" s="70" t="s">
        <v>1181</v>
      </c>
      <c r="E200" s="70" t="s">
        <v>353</v>
      </c>
    </row>
    <row r="201" spans="1:5" ht="12.75">
      <c r="A201" s="70" t="s">
        <v>1182</v>
      </c>
      <c r="B201" s="70" t="s">
        <v>1183</v>
      </c>
      <c r="C201" s="70" t="s">
        <v>1184</v>
      </c>
      <c r="D201" s="70" t="s">
        <v>1183</v>
      </c>
      <c r="E201" s="70" t="s">
        <v>1185</v>
      </c>
    </row>
    <row r="202" spans="1:5" ht="12.75">
      <c r="A202" s="70" t="s">
        <v>2939</v>
      </c>
      <c r="B202" s="70" t="s">
        <v>1187</v>
      </c>
      <c r="C202" s="70" t="s">
        <v>1188</v>
      </c>
      <c r="D202" s="70" t="s">
        <v>1187</v>
      </c>
      <c r="E202" s="70" t="s">
        <v>2478</v>
      </c>
    </row>
    <row r="203" spans="1:5" ht="12.75">
      <c r="A203" s="70" t="s">
        <v>2940</v>
      </c>
      <c r="B203" s="70" t="s">
        <v>1191</v>
      </c>
      <c r="C203" s="70" t="s">
        <v>1192</v>
      </c>
      <c r="D203" s="70" t="s">
        <v>1191</v>
      </c>
      <c r="E203" s="70" t="s">
        <v>2941</v>
      </c>
    </row>
    <row r="204" spans="1:5" ht="12.75">
      <c r="A204" s="70" t="s">
        <v>1201</v>
      </c>
      <c r="B204" s="70" t="s">
        <v>1202</v>
      </c>
      <c r="C204" s="70" t="s">
        <v>1203</v>
      </c>
      <c r="D204" s="70" t="s">
        <v>1202</v>
      </c>
      <c r="E204" s="70" t="s">
        <v>1204</v>
      </c>
    </row>
    <row r="205" spans="1:5" ht="12.75">
      <c r="A205" s="70" t="s">
        <v>1205</v>
      </c>
      <c r="B205" s="70" t="s">
        <v>1206</v>
      </c>
      <c r="C205" s="70" t="s">
        <v>1207</v>
      </c>
      <c r="D205" s="70" t="s">
        <v>1206</v>
      </c>
      <c r="E205" s="70" t="s">
        <v>1208</v>
      </c>
    </row>
    <row r="206" spans="1:5" ht="12.75">
      <c r="A206" s="70" t="s">
        <v>1212</v>
      </c>
      <c r="B206" s="70" t="s">
        <v>1213</v>
      </c>
      <c r="C206" s="70" t="s">
        <v>1214</v>
      </c>
      <c r="D206" s="70" t="s">
        <v>1213</v>
      </c>
      <c r="E206" s="70" t="s">
        <v>1215</v>
      </c>
    </row>
    <row r="207" spans="1:5" ht="12.75">
      <c r="A207" s="70" t="s">
        <v>2942</v>
      </c>
      <c r="B207" s="70" t="s">
        <v>1219</v>
      </c>
      <c r="C207" s="70" t="s">
        <v>1220</v>
      </c>
      <c r="D207" s="70" t="s">
        <v>1219</v>
      </c>
      <c r="E207" s="70" t="s">
        <v>2943</v>
      </c>
    </row>
    <row r="208" spans="1:5" ht="12.75">
      <c r="A208" s="70" t="s">
        <v>2944</v>
      </c>
      <c r="B208" s="70" t="s">
        <v>1240</v>
      </c>
      <c r="C208" s="70" t="s">
        <v>2751</v>
      </c>
      <c r="D208" s="70" t="s">
        <v>1240</v>
      </c>
      <c r="E208" s="70" t="s">
        <v>2945</v>
      </c>
    </row>
    <row r="209" spans="1:5" ht="12.75">
      <c r="A209" s="70" t="s">
        <v>2946</v>
      </c>
      <c r="B209" s="70" t="s">
        <v>1244</v>
      </c>
      <c r="C209" s="70" t="s">
        <v>1245</v>
      </c>
      <c r="D209" s="70" t="s">
        <v>1244</v>
      </c>
      <c r="E209" s="70" t="s">
        <v>2947</v>
      </c>
    </row>
    <row r="210" spans="1:5" ht="12.75">
      <c r="A210" s="70" t="s">
        <v>1250</v>
      </c>
      <c r="B210" s="70" t="s">
        <v>1251</v>
      </c>
      <c r="C210" s="70" t="s">
        <v>1252</v>
      </c>
      <c r="D210" s="70" t="s">
        <v>1251</v>
      </c>
      <c r="E210" s="70" t="s">
        <v>1253</v>
      </c>
    </row>
  </sheetData>
  <autoFilter ref="A1:E210" xr:uid="{00000000-0009-0000-0000-000016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8E79"/>
    <outlinePr summaryBelow="0" summaryRight="0"/>
  </sheetPr>
  <dimension ref="A1:N30"/>
  <sheetViews>
    <sheetView workbookViewId="0">
      <pane ySplit="1" topLeftCell="A2" activePane="bottomLeft" state="frozen"/>
      <selection pane="bottomLeft" activeCell="B3" sqref="B3"/>
    </sheetView>
  </sheetViews>
  <sheetFormatPr defaultColWidth="14.42578125" defaultRowHeight="15.75" customHeight="1"/>
  <cols>
    <col min="1" max="14" width="18" customWidth="1"/>
  </cols>
  <sheetData>
    <row r="1" spans="1:14" ht="15.75" customHeight="1">
      <c r="A1" s="19" t="s">
        <v>25</v>
      </c>
      <c r="B1" s="19" t="s">
        <v>26</v>
      </c>
      <c r="C1" s="19" t="s">
        <v>27</v>
      </c>
      <c r="D1" s="19" t="s">
        <v>28</v>
      </c>
      <c r="E1" s="19" t="s">
        <v>29</v>
      </c>
      <c r="F1" s="19" t="s">
        <v>30</v>
      </c>
      <c r="G1" s="19" t="s">
        <v>31</v>
      </c>
      <c r="H1" s="19" t="s">
        <v>32</v>
      </c>
      <c r="I1" s="19" t="s">
        <v>33</v>
      </c>
      <c r="J1" s="19" t="s">
        <v>34</v>
      </c>
      <c r="K1" s="19" t="s">
        <v>35</v>
      </c>
      <c r="L1" s="19" t="s">
        <v>36</v>
      </c>
      <c r="M1" s="19" t="s">
        <v>37</v>
      </c>
      <c r="N1" s="19" t="s">
        <v>38</v>
      </c>
    </row>
    <row r="2" spans="1:14" ht="15.75" customHeight="1">
      <c r="A2" s="11"/>
      <c r="B2" s="11"/>
      <c r="C2" s="11"/>
      <c r="D2" s="11"/>
      <c r="E2" s="11"/>
      <c r="F2" s="11"/>
      <c r="G2" s="11"/>
      <c r="H2" s="11"/>
      <c r="I2" s="11"/>
      <c r="J2" s="11"/>
      <c r="K2" s="11"/>
      <c r="L2" s="11"/>
      <c r="M2" s="11"/>
      <c r="N2" s="11"/>
    </row>
    <row r="3" spans="1:14" ht="15.75" customHeight="1">
      <c r="A3" s="11"/>
      <c r="B3" s="11"/>
      <c r="C3" s="11"/>
      <c r="D3" s="11"/>
      <c r="E3" s="11"/>
      <c r="F3" s="11"/>
      <c r="G3" s="11"/>
      <c r="H3" s="11"/>
      <c r="I3" s="11"/>
      <c r="J3" s="11"/>
      <c r="K3" s="11"/>
      <c r="L3" s="11"/>
      <c r="M3" s="11"/>
      <c r="N3" s="11"/>
    </row>
    <row r="4" spans="1:14" ht="15.75" customHeight="1">
      <c r="A4" s="11"/>
      <c r="B4" s="11"/>
      <c r="C4" s="11"/>
      <c r="D4" s="11"/>
      <c r="E4" s="11"/>
      <c r="F4" s="11"/>
      <c r="G4" s="11"/>
      <c r="H4" s="11"/>
      <c r="I4" s="11"/>
      <c r="J4" s="11"/>
      <c r="K4" s="11"/>
      <c r="L4" s="11"/>
      <c r="M4" s="11"/>
      <c r="N4" s="11"/>
    </row>
    <row r="5" spans="1:14" ht="15.75" customHeight="1">
      <c r="A5" s="11"/>
      <c r="B5" s="11"/>
      <c r="C5" s="11"/>
      <c r="D5" s="11"/>
      <c r="E5" s="11"/>
      <c r="F5" s="11"/>
      <c r="G5" s="11"/>
      <c r="H5" s="11"/>
      <c r="I5" s="11"/>
      <c r="J5" s="11"/>
      <c r="K5" s="11"/>
      <c r="L5" s="11"/>
      <c r="M5" s="11"/>
      <c r="N5" s="11"/>
    </row>
    <row r="6" spans="1:14" ht="15.75" customHeight="1">
      <c r="A6" s="11"/>
      <c r="B6" s="11"/>
      <c r="C6" s="11"/>
      <c r="D6" s="11"/>
      <c r="E6" s="11"/>
      <c r="F6" s="11"/>
      <c r="G6" s="11"/>
      <c r="H6" s="11"/>
      <c r="I6" s="11"/>
      <c r="J6" s="11"/>
      <c r="K6" s="11"/>
      <c r="L6" s="11"/>
      <c r="M6" s="11"/>
      <c r="N6" s="11"/>
    </row>
    <row r="7" spans="1:14" ht="15.75" customHeight="1">
      <c r="A7" s="11"/>
      <c r="B7" s="11"/>
      <c r="C7" s="11"/>
      <c r="D7" s="11"/>
      <c r="E7" s="11"/>
      <c r="F7" s="11"/>
      <c r="G7" s="11"/>
      <c r="H7" s="11"/>
      <c r="I7" s="11"/>
      <c r="J7" s="11"/>
      <c r="K7" s="11"/>
      <c r="L7" s="11"/>
      <c r="M7" s="11"/>
      <c r="N7" s="11"/>
    </row>
    <row r="8" spans="1:14" ht="15.75" customHeight="1">
      <c r="A8" s="11"/>
      <c r="B8" s="11"/>
      <c r="C8" s="11"/>
      <c r="D8" s="11"/>
      <c r="E8" s="11"/>
      <c r="F8" s="11"/>
      <c r="G8" s="11"/>
      <c r="H8" s="11"/>
      <c r="I8" s="11"/>
      <c r="J8" s="11"/>
      <c r="K8" s="11"/>
      <c r="L8" s="11"/>
      <c r="M8" s="11"/>
      <c r="N8" s="11"/>
    </row>
    <row r="9" spans="1:14" ht="15.75" customHeight="1">
      <c r="A9" s="11"/>
      <c r="B9" s="11"/>
      <c r="C9" s="11"/>
      <c r="D9" s="11"/>
      <c r="E9" s="11"/>
      <c r="F9" s="11"/>
      <c r="G9" s="11"/>
      <c r="H9" s="11"/>
      <c r="I9" s="11"/>
      <c r="J9" s="11"/>
      <c r="K9" s="11"/>
      <c r="L9" s="11"/>
      <c r="M9" s="11"/>
      <c r="N9" s="11"/>
    </row>
    <row r="10" spans="1:14" ht="15.75" customHeight="1">
      <c r="A10" s="11"/>
      <c r="B10" s="11"/>
      <c r="C10" s="11"/>
      <c r="D10" s="11"/>
      <c r="E10" s="11"/>
      <c r="F10" s="11"/>
      <c r="G10" s="11"/>
      <c r="H10" s="11"/>
      <c r="I10" s="11"/>
      <c r="J10" s="11"/>
      <c r="K10" s="11"/>
      <c r="L10" s="11"/>
      <c r="M10" s="11"/>
      <c r="N10" s="11"/>
    </row>
    <row r="11" spans="1:14" ht="15.75" customHeight="1">
      <c r="A11" s="11"/>
      <c r="B11" s="11"/>
      <c r="C11" s="11"/>
      <c r="D11" s="11"/>
      <c r="E11" s="11"/>
      <c r="F11" s="11"/>
      <c r="G11" s="11"/>
      <c r="H11" s="11"/>
      <c r="I11" s="11"/>
      <c r="J11" s="11"/>
      <c r="K11" s="11"/>
      <c r="L11" s="11"/>
      <c r="M11" s="11"/>
      <c r="N11" s="11"/>
    </row>
    <row r="12" spans="1:14" ht="15.75" customHeight="1">
      <c r="A12" s="11"/>
      <c r="B12" s="11"/>
      <c r="C12" s="11"/>
      <c r="D12" s="11"/>
      <c r="E12" s="11"/>
      <c r="F12" s="11"/>
      <c r="G12" s="11"/>
      <c r="H12" s="11"/>
      <c r="I12" s="11"/>
      <c r="J12" s="11"/>
      <c r="K12" s="11"/>
      <c r="L12" s="11"/>
      <c r="M12" s="11"/>
      <c r="N12" s="11"/>
    </row>
    <row r="13" spans="1:14" ht="15.75" customHeight="1">
      <c r="A13" s="11"/>
      <c r="B13" s="11"/>
      <c r="C13" s="11"/>
      <c r="D13" s="11"/>
      <c r="E13" s="11"/>
      <c r="F13" s="11"/>
      <c r="G13" s="11"/>
      <c r="H13" s="11"/>
      <c r="I13" s="11"/>
      <c r="J13" s="11"/>
      <c r="K13" s="11"/>
      <c r="L13" s="11"/>
      <c r="M13" s="11"/>
      <c r="N13" s="11"/>
    </row>
    <row r="14" spans="1:14" ht="15.75" customHeight="1">
      <c r="A14" s="11"/>
      <c r="B14" s="11"/>
      <c r="C14" s="11"/>
      <c r="D14" s="11"/>
      <c r="E14" s="11"/>
      <c r="F14" s="11"/>
      <c r="G14" s="11"/>
      <c r="H14" s="11"/>
      <c r="I14" s="11"/>
      <c r="J14" s="11"/>
      <c r="K14" s="11"/>
      <c r="L14" s="11"/>
      <c r="M14" s="11"/>
      <c r="N14" s="11"/>
    </row>
    <row r="15" spans="1:14" ht="15.75" customHeight="1">
      <c r="A15" s="11"/>
      <c r="B15" s="11"/>
      <c r="C15" s="11"/>
      <c r="D15" s="11"/>
      <c r="E15" s="11"/>
      <c r="F15" s="11"/>
      <c r="G15" s="11"/>
      <c r="H15" s="11"/>
      <c r="I15" s="11"/>
      <c r="J15" s="11"/>
      <c r="K15" s="11"/>
      <c r="L15" s="11"/>
      <c r="M15" s="11"/>
      <c r="N15" s="11"/>
    </row>
    <row r="16" spans="1:14" ht="15.75" customHeight="1">
      <c r="A16" s="11"/>
      <c r="B16" s="11"/>
      <c r="C16" s="11"/>
      <c r="D16" s="11"/>
      <c r="E16" s="11"/>
      <c r="F16" s="11"/>
      <c r="G16" s="11"/>
      <c r="H16" s="11"/>
      <c r="I16" s="11"/>
      <c r="J16" s="11"/>
      <c r="K16" s="11"/>
      <c r="L16" s="11"/>
      <c r="M16" s="11"/>
      <c r="N16" s="11"/>
    </row>
    <row r="17" spans="1:14" ht="15.75" customHeight="1">
      <c r="A17" s="11"/>
      <c r="B17" s="11"/>
      <c r="C17" s="11"/>
      <c r="D17" s="11"/>
      <c r="E17" s="11"/>
      <c r="F17" s="11"/>
      <c r="G17" s="11"/>
      <c r="H17" s="11"/>
      <c r="I17" s="11"/>
      <c r="J17" s="11"/>
      <c r="K17" s="11"/>
      <c r="L17" s="11"/>
      <c r="M17" s="11"/>
      <c r="N17" s="11"/>
    </row>
    <row r="18" spans="1:14" ht="15.75" customHeight="1">
      <c r="A18" s="11"/>
      <c r="B18" s="11"/>
      <c r="C18" s="11"/>
      <c r="D18" s="11"/>
      <c r="E18" s="11"/>
      <c r="F18" s="11"/>
      <c r="G18" s="11"/>
      <c r="H18" s="11"/>
      <c r="I18" s="11"/>
      <c r="J18" s="11"/>
      <c r="K18" s="11"/>
      <c r="L18" s="11"/>
      <c r="M18" s="11"/>
      <c r="N18" s="11"/>
    </row>
    <row r="19" spans="1:14" ht="15.75" customHeight="1">
      <c r="A19" s="11"/>
      <c r="B19" s="11"/>
      <c r="C19" s="11"/>
      <c r="D19" s="11"/>
      <c r="E19" s="11"/>
      <c r="F19" s="11"/>
      <c r="G19" s="11"/>
      <c r="H19" s="11"/>
      <c r="I19" s="11"/>
      <c r="J19" s="11"/>
      <c r="K19" s="11"/>
      <c r="L19" s="11"/>
      <c r="M19" s="11"/>
      <c r="N19" s="11"/>
    </row>
    <row r="20" spans="1:14" ht="15.75" customHeight="1">
      <c r="A20" s="11"/>
      <c r="B20" s="11"/>
      <c r="C20" s="11"/>
      <c r="D20" s="11"/>
      <c r="E20" s="11"/>
      <c r="F20" s="11"/>
      <c r="G20" s="11"/>
      <c r="H20" s="11"/>
      <c r="I20" s="11"/>
      <c r="J20" s="11"/>
      <c r="K20" s="11"/>
      <c r="L20" s="11"/>
      <c r="M20" s="11"/>
      <c r="N20" s="11"/>
    </row>
    <row r="21" spans="1:14" ht="15.75" customHeight="1">
      <c r="A21" s="11"/>
      <c r="B21" s="11"/>
      <c r="C21" s="11"/>
      <c r="D21" s="11"/>
      <c r="E21" s="11"/>
      <c r="F21" s="11"/>
      <c r="G21" s="11"/>
      <c r="H21" s="11"/>
      <c r="I21" s="11"/>
      <c r="J21" s="11"/>
      <c r="K21" s="11"/>
      <c r="L21" s="11"/>
      <c r="M21" s="11"/>
      <c r="N21" s="11"/>
    </row>
    <row r="22" spans="1:14" ht="15.75" customHeight="1">
      <c r="A22" s="11"/>
      <c r="B22" s="11"/>
      <c r="C22" s="11"/>
      <c r="D22" s="11"/>
      <c r="E22" s="11"/>
      <c r="F22" s="11"/>
      <c r="G22" s="11"/>
      <c r="H22" s="11"/>
      <c r="I22" s="11"/>
      <c r="J22" s="11"/>
      <c r="K22" s="11"/>
      <c r="L22" s="11"/>
      <c r="M22" s="11"/>
      <c r="N22" s="11"/>
    </row>
    <row r="23" spans="1:14" ht="15.75" customHeight="1">
      <c r="A23" s="11"/>
      <c r="B23" s="11"/>
      <c r="C23" s="11"/>
      <c r="D23" s="11"/>
      <c r="E23" s="11"/>
      <c r="F23" s="11"/>
      <c r="G23" s="11"/>
      <c r="H23" s="11"/>
      <c r="I23" s="11"/>
      <c r="J23" s="11"/>
      <c r="K23" s="11"/>
      <c r="L23" s="11"/>
      <c r="M23" s="11"/>
      <c r="N23" s="11"/>
    </row>
    <row r="24" spans="1:14" ht="15.75" customHeight="1">
      <c r="A24" s="11"/>
      <c r="B24" s="11"/>
      <c r="C24" s="11"/>
      <c r="D24" s="11"/>
      <c r="E24" s="11"/>
      <c r="F24" s="11"/>
      <c r="G24" s="11"/>
      <c r="H24" s="11"/>
      <c r="I24" s="11"/>
      <c r="J24" s="11"/>
      <c r="K24" s="11"/>
      <c r="L24" s="11"/>
      <c r="M24" s="11"/>
      <c r="N24" s="11"/>
    </row>
    <row r="25" spans="1:14" ht="15.75" customHeight="1">
      <c r="A25" s="11"/>
      <c r="B25" s="11"/>
      <c r="C25" s="11"/>
      <c r="D25" s="11"/>
      <c r="E25" s="11"/>
      <c r="F25" s="11"/>
      <c r="G25" s="11"/>
      <c r="H25" s="11"/>
      <c r="I25" s="11"/>
      <c r="J25" s="11"/>
      <c r="K25" s="11"/>
      <c r="L25" s="11"/>
      <c r="M25" s="11"/>
      <c r="N25" s="11"/>
    </row>
    <row r="26" spans="1:14" ht="15.75" customHeight="1">
      <c r="A26" s="11"/>
      <c r="B26" s="11"/>
      <c r="C26" s="11"/>
      <c r="D26" s="11"/>
      <c r="E26" s="11"/>
      <c r="F26" s="11"/>
      <c r="G26" s="11"/>
      <c r="H26" s="11"/>
      <c r="I26" s="11"/>
      <c r="J26" s="11"/>
      <c r="K26" s="11"/>
      <c r="L26" s="11"/>
      <c r="M26" s="11"/>
      <c r="N26" s="11"/>
    </row>
    <row r="27" spans="1:14" ht="15.75" customHeight="1">
      <c r="A27" s="11"/>
      <c r="B27" s="11"/>
      <c r="C27" s="11"/>
      <c r="D27" s="11"/>
      <c r="E27" s="11"/>
      <c r="F27" s="11"/>
      <c r="G27" s="11"/>
      <c r="H27" s="11"/>
      <c r="I27" s="11"/>
      <c r="J27" s="11"/>
      <c r="K27" s="11"/>
      <c r="L27" s="11"/>
      <c r="M27" s="11"/>
      <c r="N27" s="11"/>
    </row>
    <row r="28" spans="1:14" ht="15.75" customHeight="1">
      <c r="A28" s="11"/>
      <c r="B28" s="11"/>
      <c r="C28" s="11"/>
      <c r="D28" s="11"/>
      <c r="E28" s="11"/>
      <c r="F28" s="11"/>
      <c r="G28" s="11"/>
      <c r="H28" s="11"/>
      <c r="I28" s="11"/>
      <c r="J28" s="11"/>
      <c r="K28" s="11"/>
      <c r="L28" s="11"/>
      <c r="M28" s="11"/>
      <c r="N28" s="11"/>
    </row>
    <row r="29" spans="1:14" ht="15.75" customHeight="1">
      <c r="A29" s="11"/>
      <c r="B29" s="11"/>
      <c r="C29" s="11"/>
      <c r="D29" s="11"/>
      <c r="E29" s="11"/>
      <c r="F29" s="11"/>
      <c r="G29" s="11"/>
      <c r="H29" s="11"/>
      <c r="I29" s="11"/>
      <c r="J29" s="11"/>
      <c r="K29" s="11"/>
      <c r="L29" s="11"/>
      <c r="M29" s="11"/>
      <c r="N29" s="11"/>
    </row>
    <row r="30" spans="1:14" ht="15.75" customHeight="1">
      <c r="A30" s="11"/>
      <c r="B30" s="11"/>
      <c r="C30" s="11"/>
      <c r="D30" s="11"/>
      <c r="E30" s="11"/>
      <c r="F30" s="11"/>
      <c r="G30" s="11"/>
      <c r="H30" s="11"/>
      <c r="I30" s="11"/>
      <c r="J30" s="11"/>
      <c r="K30" s="11"/>
      <c r="L30" s="11"/>
      <c r="M30" s="11"/>
      <c r="N30" s="11"/>
    </row>
  </sheetData>
  <autoFilter ref="A1:N30" xr:uid="{00000000-0009-0000-0000-000002000000}"/>
  <dataValidations count="1">
    <dataValidation type="list" allowBlank="1" showErrorMessage="1" sqref="B2:B30" xr:uid="{00000000-0002-0000-0200-000000000000}">
      <formula1>"email,domain"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00000000-0002-0000-0200-000001000000}">
          <x14:formula1>
            <xm:f>'DATA ENTRY INSTRUCTIONS'!$B$38:$B$40</xm:f>
          </x14:formula1>
          <xm:sqref>E2:E30 I2:I30 M2:M30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R40"/>
  <sheetViews>
    <sheetView workbookViewId="0"/>
  </sheetViews>
  <sheetFormatPr defaultColWidth="14.42578125" defaultRowHeight="15.75" customHeight="1"/>
  <sheetData>
    <row r="1" spans="1:18" ht="15.75" customHeight="1">
      <c r="A1" s="20"/>
      <c r="B1" s="20"/>
      <c r="C1" s="20"/>
      <c r="D1" s="20"/>
      <c r="E1" s="20"/>
      <c r="F1" s="20"/>
      <c r="G1" s="20"/>
      <c r="H1" s="20"/>
      <c r="I1" s="20"/>
      <c r="J1" s="20"/>
      <c r="K1" s="20"/>
      <c r="L1" s="20"/>
      <c r="M1" s="20"/>
      <c r="N1" s="20"/>
      <c r="O1" s="20"/>
      <c r="P1" s="20"/>
      <c r="Q1" s="20"/>
      <c r="R1" s="20"/>
    </row>
    <row r="2" spans="1:18" ht="15.75" customHeight="1">
      <c r="A2" s="20"/>
      <c r="B2" s="20"/>
      <c r="C2" s="20"/>
      <c r="D2" s="20"/>
      <c r="E2" s="20"/>
      <c r="F2" s="20"/>
      <c r="G2" s="20"/>
      <c r="H2" s="20"/>
      <c r="I2" s="20"/>
      <c r="J2" s="20"/>
      <c r="K2" s="20"/>
      <c r="L2" s="20"/>
      <c r="M2" s="20"/>
      <c r="N2" s="20"/>
      <c r="O2" s="20"/>
      <c r="P2" s="20"/>
      <c r="Q2" s="20"/>
      <c r="R2" s="20"/>
    </row>
    <row r="3" spans="1:18" ht="15.75" customHeight="1">
      <c r="A3" s="21" t="s">
        <v>39</v>
      </c>
      <c r="B3" s="20"/>
      <c r="C3" s="20"/>
      <c r="D3" s="20"/>
      <c r="E3" s="20"/>
      <c r="F3" s="20"/>
      <c r="G3" s="20"/>
      <c r="H3" s="20"/>
      <c r="I3" s="20"/>
      <c r="J3" s="20"/>
      <c r="K3" s="20"/>
      <c r="L3" s="20"/>
      <c r="M3" s="20"/>
      <c r="N3" s="20"/>
      <c r="O3" s="20"/>
      <c r="P3" s="20"/>
      <c r="Q3" s="20"/>
      <c r="R3" s="20"/>
    </row>
    <row r="4" spans="1:18" ht="15.75" customHeight="1">
      <c r="A4" s="20"/>
      <c r="B4" s="20"/>
      <c r="C4" s="20"/>
      <c r="D4" s="20"/>
      <c r="E4" s="20"/>
      <c r="F4" s="20"/>
      <c r="G4" s="20"/>
      <c r="H4" s="20"/>
      <c r="I4" s="20"/>
      <c r="J4" s="20"/>
      <c r="K4" s="20"/>
      <c r="L4" s="20"/>
      <c r="M4" s="20"/>
      <c r="N4" s="20"/>
      <c r="O4" s="20"/>
      <c r="P4" s="20"/>
      <c r="Q4" s="20"/>
      <c r="R4" s="20"/>
    </row>
    <row r="5" spans="1:18" ht="15.75" customHeight="1">
      <c r="A5" s="20"/>
      <c r="B5" s="20"/>
      <c r="C5" s="20"/>
      <c r="D5" s="20"/>
      <c r="E5" s="20"/>
      <c r="F5" s="20"/>
      <c r="G5" s="20"/>
      <c r="H5" s="20"/>
      <c r="I5" s="20"/>
      <c r="J5" s="20"/>
      <c r="K5" s="20"/>
      <c r="L5" s="20"/>
      <c r="M5" s="20"/>
      <c r="N5" s="20"/>
      <c r="O5" s="20"/>
      <c r="P5" s="20"/>
      <c r="Q5" s="20"/>
      <c r="R5" s="20"/>
    </row>
    <row r="6" spans="1:18" ht="15.75" customHeight="1">
      <c r="A6" s="20"/>
      <c r="B6" s="20"/>
      <c r="C6" s="20"/>
      <c r="D6" s="20"/>
      <c r="E6" s="20"/>
      <c r="F6" s="20"/>
      <c r="G6" s="20"/>
      <c r="H6" s="20"/>
      <c r="I6" s="20"/>
      <c r="J6" s="20"/>
      <c r="K6" s="20"/>
      <c r="L6" s="20"/>
      <c r="M6" s="20"/>
      <c r="N6" s="20"/>
      <c r="O6" s="20"/>
      <c r="P6" s="20"/>
      <c r="Q6" s="20"/>
      <c r="R6" s="20"/>
    </row>
    <row r="7" spans="1:18" ht="15.75" customHeight="1">
      <c r="A7" s="20"/>
      <c r="B7" s="20"/>
      <c r="C7" s="20"/>
      <c r="D7" s="20"/>
      <c r="E7" s="20"/>
      <c r="F7" s="20"/>
      <c r="G7" s="20"/>
      <c r="H7" s="20"/>
      <c r="I7" s="20"/>
      <c r="J7" s="20"/>
      <c r="K7" s="20"/>
      <c r="L7" s="20"/>
      <c r="M7" s="20"/>
      <c r="N7" s="20"/>
      <c r="O7" s="20"/>
      <c r="P7" s="20"/>
      <c r="Q7" s="20"/>
      <c r="R7" s="20"/>
    </row>
    <row r="8" spans="1:18" ht="15.75" customHeight="1">
      <c r="A8" s="20"/>
      <c r="B8" s="20"/>
      <c r="C8" s="20"/>
      <c r="D8" s="20"/>
      <c r="E8" s="20"/>
      <c r="F8" s="20"/>
      <c r="G8" s="20"/>
      <c r="H8" s="20"/>
      <c r="I8" s="20"/>
      <c r="J8" s="20"/>
      <c r="K8" s="20"/>
      <c r="L8" s="20"/>
      <c r="M8" s="20"/>
      <c r="N8" s="20"/>
      <c r="O8" s="20"/>
      <c r="P8" s="20"/>
      <c r="Q8" s="20"/>
      <c r="R8" s="20"/>
    </row>
    <row r="9" spans="1:18" ht="15.75" customHeight="1">
      <c r="A9" s="20"/>
      <c r="B9" s="20"/>
      <c r="C9" s="20"/>
      <c r="D9" s="20"/>
      <c r="E9" s="20"/>
      <c r="F9" s="20"/>
      <c r="G9" s="20"/>
      <c r="H9" s="20"/>
      <c r="I9" s="20"/>
      <c r="J9" s="20"/>
      <c r="K9" s="20"/>
      <c r="L9" s="20"/>
      <c r="M9" s="20"/>
      <c r="N9" s="20"/>
      <c r="O9" s="20"/>
      <c r="P9" s="20"/>
      <c r="Q9" s="20"/>
      <c r="R9" s="20"/>
    </row>
    <row r="10" spans="1:18" ht="15.75" customHeight="1">
      <c r="A10" s="20"/>
      <c r="B10" s="20"/>
      <c r="C10" s="20"/>
      <c r="D10" s="20"/>
      <c r="E10" s="20"/>
      <c r="F10" s="20"/>
      <c r="G10" s="20"/>
      <c r="H10" s="20"/>
      <c r="I10" s="20"/>
      <c r="J10" s="20"/>
      <c r="K10" s="20"/>
      <c r="L10" s="20"/>
      <c r="M10" s="20"/>
      <c r="N10" s="20"/>
      <c r="O10" s="20"/>
      <c r="P10" s="20"/>
      <c r="Q10" s="20"/>
      <c r="R10" s="20"/>
    </row>
    <row r="11" spans="1:18" ht="15.75" customHeight="1">
      <c r="A11" s="20"/>
      <c r="B11" s="20"/>
      <c r="C11" s="20"/>
      <c r="D11" s="20"/>
      <c r="E11" s="20"/>
      <c r="F11" s="20"/>
      <c r="G11" s="20"/>
      <c r="H11" s="20"/>
      <c r="I11" s="20"/>
      <c r="J11" s="20"/>
      <c r="K11" s="20"/>
      <c r="L11" s="20"/>
      <c r="M11" s="20"/>
      <c r="N11" s="20"/>
      <c r="O11" s="20"/>
      <c r="P11" s="20"/>
      <c r="Q11" s="20"/>
      <c r="R11" s="20"/>
    </row>
    <row r="12" spans="1:18" ht="15.75" customHeight="1">
      <c r="A12" s="20"/>
      <c r="B12" s="20"/>
      <c r="C12" s="20"/>
      <c r="D12" s="20"/>
      <c r="E12" s="20"/>
      <c r="F12" s="20"/>
      <c r="G12" s="20"/>
      <c r="H12" s="20"/>
      <c r="I12" s="20"/>
      <c r="J12" s="20"/>
      <c r="K12" s="20"/>
      <c r="L12" s="20"/>
      <c r="M12" s="20"/>
      <c r="N12" s="20"/>
      <c r="O12" s="20"/>
      <c r="P12" s="20"/>
      <c r="Q12" s="20"/>
      <c r="R12" s="20"/>
    </row>
    <row r="13" spans="1:18" ht="15.75" customHeight="1">
      <c r="A13" s="20"/>
      <c r="B13" s="20"/>
      <c r="C13" s="20"/>
      <c r="D13" s="20"/>
      <c r="E13" s="20"/>
      <c r="F13" s="20"/>
      <c r="G13" s="20"/>
      <c r="H13" s="20"/>
      <c r="I13" s="20"/>
      <c r="J13" s="20"/>
      <c r="K13" s="20"/>
      <c r="L13" s="20"/>
      <c r="M13" s="20"/>
      <c r="N13" s="20"/>
      <c r="O13" s="20"/>
      <c r="P13" s="20"/>
      <c r="Q13" s="20"/>
      <c r="R13" s="20"/>
    </row>
    <row r="14" spans="1:18" ht="15.75" customHeight="1">
      <c r="A14" s="20"/>
      <c r="B14" s="20"/>
      <c r="C14" s="20"/>
      <c r="D14" s="20"/>
      <c r="E14" s="20"/>
      <c r="F14" s="20"/>
      <c r="G14" s="20"/>
      <c r="H14" s="20"/>
      <c r="I14" s="20"/>
      <c r="J14" s="20"/>
      <c r="K14" s="20"/>
      <c r="L14" s="20"/>
      <c r="M14" s="20"/>
      <c r="N14" s="20"/>
      <c r="O14" s="20"/>
      <c r="P14" s="20"/>
      <c r="Q14" s="20"/>
      <c r="R14" s="20"/>
    </row>
    <row r="15" spans="1:18" ht="15.75" customHeight="1">
      <c r="A15" s="20"/>
      <c r="B15" s="20"/>
      <c r="C15" s="20"/>
      <c r="D15" s="20"/>
      <c r="E15" s="20"/>
      <c r="F15" s="20"/>
      <c r="G15" s="20"/>
      <c r="H15" s="20"/>
      <c r="I15" s="20"/>
      <c r="J15" s="20"/>
      <c r="K15" s="20"/>
      <c r="L15" s="20"/>
      <c r="M15" s="20"/>
      <c r="N15" s="20"/>
      <c r="O15" s="20"/>
      <c r="P15" s="20"/>
      <c r="Q15" s="20"/>
      <c r="R15" s="20"/>
    </row>
    <row r="16" spans="1:18" ht="15.75" customHeight="1">
      <c r="A16" s="20"/>
      <c r="B16" s="20"/>
      <c r="C16" s="20"/>
      <c r="D16" s="20"/>
      <c r="E16" s="20"/>
      <c r="F16" s="20"/>
      <c r="G16" s="20"/>
      <c r="H16" s="20"/>
      <c r="I16" s="20"/>
      <c r="J16" s="20"/>
      <c r="K16" s="20"/>
      <c r="L16" s="20"/>
      <c r="M16" s="20"/>
      <c r="N16" s="20"/>
      <c r="O16" s="20"/>
      <c r="P16" s="20"/>
      <c r="Q16" s="20"/>
      <c r="R16" s="20"/>
    </row>
    <row r="17" spans="1:18" ht="15.75" customHeight="1">
      <c r="A17" s="20"/>
      <c r="B17" s="20"/>
      <c r="C17" s="20"/>
      <c r="D17" s="20"/>
      <c r="E17" s="20"/>
      <c r="F17" s="20"/>
      <c r="G17" s="20"/>
      <c r="H17" s="20"/>
      <c r="I17" s="20"/>
      <c r="J17" s="20"/>
      <c r="K17" s="20"/>
      <c r="L17" s="20"/>
      <c r="M17" s="20"/>
      <c r="N17" s="20"/>
      <c r="O17" s="20"/>
      <c r="P17" s="20"/>
      <c r="Q17" s="20"/>
      <c r="R17" s="20"/>
    </row>
    <row r="18" spans="1:18" ht="15.75" customHeight="1">
      <c r="A18" s="20"/>
      <c r="B18" s="20"/>
      <c r="C18" s="20"/>
      <c r="D18" s="20"/>
      <c r="E18" s="20"/>
      <c r="F18" s="20"/>
      <c r="G18" s="20"/>
      <c r="H18" s="20"/>
      <c r="I18" s="20"/>
      <c r="J18" s="20"/>
      <c r="K18" s="20"/>
      <c r="L18" s="20"/>
      <c r="M18" s="20"/>
      <c r="N18" s="20"/>
      <c r="O18" s="20"/>
      <c r="P18" s="20"/>
      <c r="Q18" s="20"/>
      <c r="R18" s="20"/>
    </row>
    <row r="19" spans="1:18" ht="15.75" customHeight="1">
      <c r="A19" s="20"/>
      <c r="B19" s="20"/>
      <c r="C19" s="20"/>
      <c r="D19" s="20"/>
      <c r="E19" s="20"/>
      <c r="F19" s="20"/>
      <c r="G19" s="20"/>
      <c r="H19" s="20"/>
      <c r="I19" s="20"/>
      <c r="J19" s="20"/>
      <c r="K19" s="20"/>
      <c r="L19" s="20"/>
      <c r="M19" s="20"/>
      <c r="N19" s="20"/>
      <c r="O19" s="20"/>
      <c r="P19" s="20"/>
      <c r="Q19" s="20"/>
      <c r="R19" s="20"/>
    </row>
    <row r="20" spans="1:18" ht="15.75" customHeight="1">
      <c r="A20" s="20"/>
      <c r="B20" s="20"/>
      <c r="C20" s="20"/>
      <c r="D20" s="20"/>
      <c r="E20" s="20"/>
      <c r="F20" s="20"/>
      <c r="G20" s="20"/>
      <c r="H20" s="20"/>
      <c r="I20" s="20"/>
      <c r="J20" s="20"/>
      <c r="K20" s="20"/>
      <c r="L20" s="20"/>
      <c r="M20" s="20"/>
      <c r="N20" s="20"/>
      <c r="O20" s="20"/>
      <c r="P20" s="20"/>
      <c r="Q20" s="20"/>
      <c r="R20" s="20"/>
    </row>
    <row r="21" spans="1:18" ht="15.75" customHeight="1">
      <c r="A21" s="20"/>
      <c r="B21" s="20"/>
      <c r="C21" s="20"/>
      <c r="D21" s="20"/>
      <c r="E21" s="20"/>
      <c r="F21" s="20"/>
      <c r="G21" s="20"/>
      <c r="H21" s="20"/>
      <c r="I21" s="20"/>
      <c r="J21" s="20"/>
      <c r="K21" s="20"/>
      <c r="L21" s="20"/>
      <c r="M21" s="20"/>
      <c r="N21" s="20"/>
      <c r="O21" s="20"/>
      <c r="P21" s="20"/>
      <c r="Q21" s="20"/>
      <c r="R21" s="20"/>
    </row>
    <row r="22" spans="1:18" ht="15.75" customHeight="1">
      <c r="A22" s="20"/>
      <c r="B22" s="20"/>
      <c r="C22" s="20"/>
      <c r="D22" s="20"/>
      <c r="E22" s="20"/>
      <c r="F22" s="20"/>
      <c r="G22" s="20"/>
      <c r="H22" s="20"/>
      <c r="I22" s="20"/>
      <c r="J22" s="20"/>
      <c r="K22" s="20"/>
      <c r="L22" s="20"/>
      <c r="M22" s="20"/>
      <c r="N22" s="20"/>
      <c r="O22" s="20"/>
      <c r="P22" s="20"/>
      <c r="Q22" s="20"/>
      <c r="R22" s="20"/>
    </row>
    <row r="23" spans="1:18" ht="15.75" customHeight="1">
      <c r="A23" s="20"/>
      <c r="B23" s="20"/>
      <c r="C23" s="20"/>
      <c r="D23" s="20"/>
      <c r="E23" s="20"/>
      <c r="F23" s="20"/>
      <c r="G23" s="20"/>
      <c r="H23" s="20"/>
      <c r="I23" s="20"/>
      <c r="J23" s="20"/>
      <c r="K23" s="20"/>
      <c r="L23" s="20"/>
      <c r="M23" s="20"/>
      <c r="N23" s="20"/>
      <c r="O23" s="20"/>
      <c r="P23" s="20"/>
      <c r="Q23" s="20"/>
      <c r="R23" s="20"/>
    </row>
    <row r="24" spans="1:18" ht="15.75" customHeight="1">
      <c r="A24" s="20"/>
      <c r="B24" s="20"/>
      <c r="C24" s="20"/>
      <c r="D24" s="20"/>
      <c r="E24" s="20"/>
      <c r="F24" s="20"/>
      <c r="G24" s="20"/>
      <c r="H24" s="20"/>
      <c r="I24" s="20"/>
      <c r="J24" s="20"/>
      <c r="K24" s="20"/>
      <c r="L24" s="20"/>
      <c r="M24" s="20"/>
      <c r="N24" s="20"/>
      <c r="O24" s="20"/>
      <c r="P24" s="20"/>
      <c r="Q24" s="20"/>
      <c r="R24" s="20"/>
    </row>
    <row r="25" spans="1:18" ht="15.75" customHeight="1">
      <c r="A25" s="20"/>
      <c r="B25" s="20"/>
      <c r="C25" s="20"/>
      <c r="D25" s="20"/>
      <c r="E25" s="20"/>
      <c r="F25" s="20"/>
      <c r="G25" s="20"/>
      <c r="H25" s="20"/>
      <c r="I25" s="20"/>
      <c r="J25" s="20"/>
      <c r="K25" s="20"/>
      <c r="L25" s="20"/>
      <c r="M25" s="20"/>
      <c r="N25" s="20"/>
      <c r="O25" s="20"/>
      <c r="P25" s="20"/>
      <c r="Q25" s="20"/>
      <c r="R25" s="20"/>
    </row>
    <row r="26" spans="1:18" ht="15.75" customHeight="1">
      <c r="A26" s="20"/>
      <c r="B26" s="20"/>
      <c r="C26" s="20"/>
      <c r="D26" s="20"/>
      <c r="E26" s="20"/>
      <c r="F26" s="20"/>
      <c r="G26" s="20"/>
      <c r="H26" s="20"/>
      <c r="I26" s="20"/>
      <c r="J26" s="20"/>
      <c r="K26" s="20"/>
      <c r="L26" s="20"/>
      <c r="M26" s="20"/>
      <c r="N26" s="20"/>
      <c r="O26" s="20"/>
      <c r="P26" s="20"/>
      <c r="Q26" s="20"/>
      <c r="R26" s="20"/>
    </row>
    <row r="27" spans="1:18" ht="15.75" customHeight="1">
      <c r="A27" s="20"/>
      <c r="B27" s="20"/>
      <c r="C27" s="20"/>
      <c r="D27" s="20"/>
      <c r="E27" s="20"/>
      <c r="F27" s="20"/>
      <c r="G27" s="20"/>
      <c r="H27" s="20"/>
      <c r="I27" s="20"/>
      <c r="J27" s="20"/>
      <c r="K27" s="20"/>
      <c r="L27" s="20"/>
      <c r="M27" s="20"/>
      <c r="N27" s="20"/>
      <c r="O27" s="20"/>
      <c r="P27" s="20"/>
      <c r="Q27" s="20"/>
      <c r="R27" s="20"/>
    </row>
    <row r="28" spans="1:18" ht="15.75" customHeight="1">
      <c r="A28" s="20"/>
      <c r="B28" s="20"/>
      <c r="C28" s="20"/>
      <c r="D28" s="20"/>
      <c r="E28" s="20"/>
      <c r="F28" s="20"/>
      <c r="G28" s="20"/>
      <c r="H28" s="20"/>
      <c r="I28" s="20"/>
      <c r="J28" s="20"/>
      <c r="K28" s="20"/>
      <c r="L28" s="20"/>
      <c r="M28" s="20"/>
      <c r="N28" s="20"/>
      <c r="O28" s="20"/>
      <c r="P28" s="20"/>
      <c r="Q28" s="20"/>
      <c r="R28" s="20"/>
    </row>
    <row r="29" spans="1:18" ht="15.75" customHeight="1">
      <c r="A29" s="20"/>
      <c r="B29" s="20"/>
      <c r="C29" s="20"/>
      <c r="D29" s="20"/>
      <c r="E29" s="20"/>
      <c r="F29" s="20"/>
      <c r="G29" s="20"/>
      <c r="H29" s="20"/>
      <c r="I29" s="20"/>
      <c r="J29" s="20"/>
      <c r="K29" s="20"/>
      <c r="L29" s="20"/>
      <c r="M29" s="20"/>
      <c r="N29" s="20"/>
      <c r="O29" s="20"/>
      <c r="P29" s="20"/>
      <c r="Q29" s="20"/>
      <c r="R29" s="20"/>
    </row>
    <row r="30" spans="1:18" ht="16.5">
      <c r="A30" s="20"/>
      <c r="B30" s="20"/>
      <c r="C30" s="20"/>
      <c r="D30" s="20"/>
      <c r="E30" s="20"/>
      <c r="F30" s="20"/>
      <c r="G30" s="20"/>
      <c r="H30" s="20"/>
      <c r="I30" s="20"/>
      <c r="J30" s="20"/>
      <c r="K30" s="20"/>
      <c r="L30" s="20"/>
      <c r="M30" s="20"/>
      <c r="N30" s="20"/>
      <c r="O30" s="20"/>
      <c r="P30" s="20"/>
      <c r="Q30" s="20"/>
      <c r="R30" s="20"/>
    </row>
    <row r="31" spans="1:18" ht="16.5">
      <c r="A31" s="20"/>
      <c r="B31" s="20"/>
      <c r="C31" s="20"/>
      <c r="D31" s="20"/>
      <c r="E31" s="20"/>
      <c r="F31" s="20"/>
      <c r="G31" s="20"/>
      <c r="H31" s="20"/>
      <c r="I31" s="20"/>
      <c r="J31" s="20"/>
      <c r="K31" s="20"/>
      <c r="L31" s="20"/>
      <c r="M31" s="20"/>
      <c r="N31" s="20"/>
      <c r="O31" s="20"/>
      <c r="P31" s="20"/>
      <c r="Q31" s="20"/>
      <c r="R31" s="20"/>
    </row>
    <row r="32" spans="1:18" ht="16.5">
      <c r="A32" s="20"/>
      <c r="B32" s="20"/>
      <c r="C32" s="20"/>
      <c r="D32" s="20"/>
      <c r="E32" s="20"/>
      <c r="F32" s="20"/>
      <c r="G32" s="20"/>
      <c r="H32" s="20"/>
      <c r="I32" s="20"/>
      <c r="J32" s="20"/>
      <c r="K32" s="20"/>
      <c r="L32" s="20"/>
      <c r="M32" s="20"/>
      <c r="N32" s="20"/>
      <c r="O32" s="20"/>
      <c r="P32" s="20"/>
      <c r="Q32" s="20"/>
      <c r="R32" s="20"/>
    </row>
    <row r="33" spans="1:18" ht="16.5">
      <c r="A33" s="20"/>
      <c r="B33" s="20"/>
      <c r="C33" s="20"/>
      <c r="D33" s="20"/>
      <c r="E33" s="20"/>
      <c r="F33" s="20"/>
      <c r="G33" s="20"/>
      <c r="H33" s="20"/>
      <c r="I33" s="20"/>
      <c r="J33" s="20"/>
      <c r="K33" s="20"/>
      <c r="L33" s="20"/>
      <c r="M33" s="20"/>
      <c r="N33" s="20"/>
      <c r="O33" s="20"/>
      <c r="P33" s="20"/>
      <c r="Q33" s="20"/>
      <c r="R33" s="20"/>
    </row>
    <row r="34" spans="1:18" ht="16.5">
      <c r="A34" s="20"/>
      <c r="B34" s="20"/>
      <c r="C34" s="20"/>
      <c r="D34" s="20"/>
      <c r="E34" s="20"/>
      <c r="F34" s="20"/>
      <c r="G34" s="20"/>
      <c r="H34" s="20"/>
      <c r="I34" s="20"/>
      <c r="J34" s="20"/>
      <c r="K34" s="20"/>
      <c r="L34" s="20"/>
      <c r="M34" s="20"/>
      <c r="N34" s="20"/>
      <c r="O34" s="20"/>
      <c r="P34" s="20"/>
      <c r="Q34" s="20"/>
      <c r="R34" s="20"/>
    </row>
    <row r="35" spans="1:18" ht="16.5">
      <c r="A35" s="20"/>
      <c r="B35" s="20"/>
      <c r="C35" s="20"/>
      <c r="D35" s="20"/>
      <c r="E35" s="20"/>
      <c r="F35" s="20"/>
      <c r="G35" s="20"/>
      <c r="H35" s="20"/>
      <c r="I35" s="20"/>
      <c r="J35" s="20"/>
      <c r="K35" s="20"/>
      <c r="L35" s="20"/>
      <c r="M35" s="20"/>
      <c r="N35" s="20"/>
      <c r="O35" s="20"/>
      <c r="P35" s="20"/>
      <c r="Q35" s="20"/>
      <c r="R35" s="20"/>
    </row>
    <row r="36" spans="1:18" ht="16.5">
      <c r="A36" s="20"/>
      <c r="B36" s="20"/>
      <c r="C36" s="20"/>
      <c r="D36" s="20"/>
      <c r="E36" s="20"/>
      <c r="F36" s="20"/>
      <c r="G36" s="20"/>
      <c r="H36" s="20"/>
      <c r="I36" s="20"/>
      <c r="J36" s="20"/>
      <c r="K36" s="20"/>
      <c r="L36" s="20"/>
      <c r="M36" s="20"/>
      <c r="N36" s="20"/>
      <c r="O36" s="20"/>
      <c r="P36" s="20"/>
      <c r="Q36" s="20"/>
      <c r="R36" s="20"/>
    </row>
    <row r="37" spans="1:18" ht="16.5">
      <c r="A37" s="20"/>
      <c r="B37" s="20"/>
      <c r="C37" s="20"/>
      <c r="D37" s="20"/>
      <c r="E37" s="20"/>
      <c r="F37" s="20"/>
      <c r="G37" s="20"/>
      <c r="H37" s="20"/>
      <c r="I37" s="20"/>
      <c r="J37" s="20"/>
      <c r="K37" s="20"/>
      <c r="L37" s="20"/>
      <c r="M37" s="20"/>
      <c r="N37" s="20"/>
      <c r="O37" s="20"/>
      <c r="P37" s="20"/>
      <c r="Q37" s="20"/>
      <c r="R37" s="20"/>
    </row>
    <row r="38" spans="1:18" ht="16.5">
      <c r="A38" s="20"/>
      <c r="B38" s="20"/>
      <c r="C38" s="20"/>
      <c r="D38" s="20"/>
      <c r="E38" s="20"/>
      <c r="F38" s="20"/>
      <c r="G38" s="20"/>
      <c r="H38" s="20"/>
      <c r="I38" s="20"/>
      <c r="J38" s="20"/>
      <c r="K38" s="20"/>
      <c r="L38" s="20"/>
      <c r="M38" s="20"/>
      <c r="N38" s="20"/>
      <c r="O38" s="20"/>
      <c r="P38" s="20"/>
      <c r="Q38" s="20"/>
      <c r="R38" s="20"/>
    </row>
    <row r="39" spans="1:18" ht="16.5">
      <c r="A39" s="20"/>
      <c r="B39" s="20"/>
      <c r="C39" s="20"/>
      <c r="D39" s="20"/>
      <c r="E39" s="20"/>
      <c r="F39" s="20"/>
      <c r="G39" s="20"/>
      <c r="H39" s="20"/>
      <c r="I39" s="20"/>
      <c r="J39" s="20"/>
      <c r="K39" s="20"/>
      <c r="L39" s="20"/>
      <c r="M39" s="20"/>
      <c r="N39" s="20"/>
      <c r="O39" s="20"/>
      <c r="P39" s="20"/>
      <c r="Q39" s="20"/>
      <c r="R39" s="20"/>
    </row>
    <row r="40" spans="1:18" ht="16.5">
      <c r="A40" s="20"/>
      <c r="B40" s="20"/>
      <c r="C40" s="20"/>
      <c r="D40" s="20"/>
      <c r="E40" s="20"/>
      <c r="F40" s="20"/>
      <c r="G40" s="20"/>
      <c r="H40" s="20"/>
      <c r="I40" s="20"/>
      <c r="J40" s="20"/>
      <c r="K40" s="20"/>
      <c r="L40" s="20"/>
      <c r="M40" s="20"/>
      <c r="N40" s="20"/>
      <c r="O40" s="20"/>
      <c r="P40" s="20"/>
      <c r="Q40" s="20"/>
      <c r="R40" s="2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D100"/>
  <sheetViews>
    <sheetView tabSelected="1" workbookViewId="0">
      <pane ySplit="1" topLeftCell="A2" activePane="bottomLeft" state="frozen"/>
      <selection pane="bottomLeft" activeCell="G17" sqref="G17"/>
    </sheetView>
  </sheetViews>
  <sheetFormatPr defaultColWidth="14.42578125" defaultRowHeight="15.75" customHeight="1" outlineLevelCol="1"/>
  <cols>
    <col min="1" max="4" width="14.42578125" customWidth="1"/>
    <col min="5" max="6" width="18" customWidth="1"/>
    <col min="7" max="8" width="17.28515625" customWidth="1"/>
    <col min="9" max="9" width="18" customWidth="1"/>
    <col min="10" max="11" width="14.42578125" customWidth="1"/>
    <col min="12" max="12" width="17.28515625" customWidth="1"/>
    <col min="13" max="18" width="14.42578125" customWidth="1"/>
    <col min="19" max="55" width="14.42578125" customWidth="1" outlineLevel="1"/>
    <col min="56" max="58" width="14.42578125" customWidth="1"/>
    <col min="59" max="61" width="14.42578125" customWidth="1" outlineLevel="1"/>
    <col min="62" max="66" width="14.42578125" customWidth="1"/>
    <col min="67" max="83" width="14.42578125" customWidth="1" outlineLevel="1"/>
    <col min="84" max="87" width="14.42578125" customWidth="1"/>
    <col min="88" max="103" width="14.42578125" customWidth="1" outlineLevel="1"/>
    <col min="104" max="108" width="14.42578125" customWidth="1"/>
  </cols>
  <sheetData>
    <row r="1" spans="1:108" ht="15.75" customHeight="1">
      <c r="A1" s="19" t="s">
        <v>40</v>
      </c>
      <c r="B1" s="19" t="s">
        <v>41</v>
      </c>
      <c r="C1" s="19" t="s">
        <v>42</v>
      </c>
      <c r="D1" s="19" t="s">
        <v>43</v>
      </c>
      <c r="E1" s="19" t="s">
        <v>44</v>
      </c>
      <c r="F1" s="19" t="s">
        <v>45</v>
      </c>
      <c r="G1" s="19" t="s">
        <v>46</v>
      </c>
      <c r="H1" s="19" t="s">
        <v>47</v>
      </c>
      <c r="I1" s="19" t="s">
        <v>48</v>
      </c>
      <c r="J1" s="22" t="s">
        <v>49</v>
      </c>
      <c r="K1" s="19" t="s">
        <v>50</v>
      </c>
      <c r="L1" s="19" t="s">
        <v>51</v>
      </c>
      <c r="M1" s="23" t="s">
        <v>52</v>
      </c>
      <c r="N1" s="19" t="s">
        <v>53</v>
      </c>
      <c r="O1" s="19" t="s">
        <v>54</v>
      </c>
      <c r="P1" s="19" t="s">
        <v>55</v>
      </c>
      <c r="Q1" s="19" t="s">
        <v>56</v>
      </c>
      <c r="R1" s="19" t="s">
        <v>57</v>
      </c>
      <c r="S1" s="19" t="s">
        <v>58</v>
      </c>
      <c r="T1" s="19" t="s">
        <v>59</v>
      </c>
      <c r="U1" s="19" t="s">
        <v>60</v>
      </c>
      <c r="V1" s="19" t="s">
        <v>61</v>
      </c>
      <c r="W1" s="19" t="s">
        <v>62</v>
      </c>
      <c r="X1" s="19" t="s">
        <v>63</v>
      </c>
      <c r="Y1" s="19" t="s">
        <v>64</v>
      </c>
      <c r="Z1" s="19" t="s">
        <v>65</v>
      </c>
      <c r="AA1" s="19" t="s">
        <v>66</v>
      </c>
      <c r="AB1" s="19" t="s">
        <v>67</v>
      </c>
      <c r="AC1" s="19" t="s">
        <v>68</v>
      </c>
      <c r="AD1" s="19" t="s">
        <v>69</v>
      </c>
      <c r="AE1" s="19" t="s">
        <v>70</v>
      </c>
      <c r="AF1" s="19" t="s">
        <v>71</v>
      </c>
      <c r="AG1" s="19" t="s">
        <v>72</v>
      </c>
      <c r="AH1" s="19" t="s">
        <v>73</v>
      </c>
      <c r="AI1" s="19" t="s">
        <v>74</v>
      </c>
      <c r="AJ1" s="19" t="s">
        <v>75</v>
      </c>
      <c r="AK1" s="19" t="s">
        <v>76</v>
      </c>
      <c r="AL1" s="19" t="s">
        <v>77</v>
      </c>
      <c r="AM1" s="19" t="s">
        <v>78</v>
      </c>
      <c r="AN1" s="19" t="s">
        <v>79</v>
      </c>
      <c r="AO1" s="19" t="s">
        <v>80</v>
      </c>
      <c r="AP1" s="19" t="s">
        <v>81</v>
      </c>
      <c r="AQ1" s="19" t="s">
        <v>82</v>
      </c>
      <c r="AR1" s="19" t="s">
        <v>83</v>
      </c>
      <c r="AS1" s="19" t="s">
        <v>84</v>
      </c>
      <c r="AT1" s="19" t="s">
        <v>85</v>
      </c>
      <c r="AU1" s="19" t="s">
        <v>86</v>
      </c>
      <c r="AV1" s="19" t="s">
        <v>87</v>
      </c>
      <c r="AW1" s="19" t="s">
        <v>88</v>
      </c>
      <c r="AX1" s="19" t="s">
        <v>89</v>
      </c>
      <c r="AY1" s="19" t="s">
        <v>90</v>
      </c>
      <c r="AZ1" s="19" t="s">
        <v>91</v>
      </c>
      <c r="BA1" s="19" t="s">
        <v>92</v>
      </c>
      <c r="BB1" s="19" t="s">
        <v>93</v>
      </c>
      <c r="BC1" s="19" t="s">
        <v>94</v>
      </c>
      <c r="BD1" s="19" t="s">
        <v>95</v>
      </c>
      <c r="BE1" s="19" t="s">
        <v>96</v>
      </c>
      <c r="BF1" s="19" t="s">
        <v>97</v>
      </c>
      <c r="BG1" s="9" t="s">
        <v>98</v>
      </c>
      <c r="BH1" s="9" t="s">
        <v>99</v>
      </c>
      <c r="BI1" s="9" t="s">
        <v>100</v>
      </c>
      <c r="BJ1" s="19" t="s">
        <v>101</v>
      </c>
      <c r="BK1" s="19" t="s">
        <v>102</v>
      </c>
      <c r="BL1" s="24" t="s">
        <v>103</v>
      </c>
      <c r="BM1" s="24" t="s">
        <v>104</v>
      </c>
      <c r="BN1" s="19" t="s">
        <v>105</v>
      </c>
      <c r="BO1" s="24" t="s">
        <v>106</v>
      </c>
      <c r="BP1" s="19" t="s">
        <v>107</v>
      </c>
      <c r="BQ1" s="19" t="s">
        <v>108</v>
      </c>
      <c r="BR1" s="19" t="s">
        <v>109</v>
      </c>
      <c r="BS1" s="19" t="s">
        <v>110</v>
      </c>
      <c r="BT1" s="19" t="s">
        <v>111</v>
      </c>
      <c r="BU1" s="19" t="s">
        <v>112</v>
      </c>
      <c r="BV1" s="19" t="s">
        <v>113</v>
      </c>
      <c r="BW1" s="24" t="s">
        <v>114</v>
      </c>
      <c r="BX1" s="24" t="s">
        <v>115</v>
      </c>
      <c r="BY1" s="19" t="s">
        <v>116</v>
      </c>
      <c r="BZ1" s="24" t="s">
        <v>117</v>
      </c>
      <c r="CA1" s="19" t="s">
        <v>118</v>
      </c>
      <c r="CB1" s="19" t="s">
        <v>119</v>
      </c>
      <c r="CC1" s="19" t="s">
        <v>120</v>
      </c>
      <c r="CD1" s="19" t="s">
        <v>121</v>
      </c>
      <c r="CE1" s="19" t="s">
        <v>122</v>
      </c>
      <c r="CF1" s="19" t="s">
        <v>123</v>
      </c>
      <c r="CG1" s="19" t="s">
        <v>124</v>
      </c>
      <c r="CH1" s="19" t="s">
        <v>125</v>
      </c>
      <c r="CI1" s="24" t="s">
        <v>126</v>
      </c>
      <c r="CJ1" s="24" t="s">
        <v>127</v>
      </c>
      <c r="CK1" s="19" t="s">
        <v>128</v>
      </c>
      <c r="CL1" s="19" t="s">
        <v>129</v>
      </c>
      <c r="CM1" s="19" t="s">
        <v>130</v>
      </c>
      <c r="CN1" s="24" t="s">
        <v>131</v>
      </c>
      <c r="CO1" s="24" t="s">
        <v>132</v>
      </c>
      <c r="CP1" s="19" t="s">
        <v>133</v>
      </c>
      <c r="CQ1" s="19" t="s">
        <v>134</v>
      </c>
      <c r="CR1" s="19" t="s">
        <v>135</v>
      </c>
      <c r="CS1" s="24" t="s">
        <v>136</v>
      </c>
      <c r="CT1" s="24" t="s">
        <v>137</v>
      </c>
      <c r="CU1" s="19" t="s">
        <v>138</v>
      </c>
      <c r="CV1" s="19" t="s">
        <v>139</v>
      </c>
      <c r="CW1" s="19" t="s">
        <v>140</v>
      </c>
      <c r="CX1" s="24" t="s">
        <v>141</v>
      </c>
      <c r="CY1" s="24" t="s">
        <v>142</v>
      </c>
      <c r="CZ1" s="25" t="s">
        <v>143</v>
      </c>
      <c r="DA1" s="25" t="s">
        <v>144</v>
      </c>
      <c r="DB1" s="25" t="s">
        <v>145</v>
      </c>
      <c r="DC1" s="25" t="s">
        <v>146</v>
      </c>
      <c r="DD1" s="25" t="s">
        <v>147</v>
      </c>
    </row>
    <row r="2" spans="1:108" ht="15.75" customHeight="1">
      <c r="A2" s="26"/>
      <c r="B2" s="11"/>
      <c r="C2" s="11"/>
      <c r="D2" s="11"/>
      <c r="E2" s="11"/>
      <c r="F2" s="11"/>
      <c r="G2" s="11"/>
      <c r="H2" s="11"/>
      <c r="I2" s="11"/>
      <c r="J2" s="11"/>
      <c r="K2" s="11"/>
      <c r="L2" s="11"/>
      <c r="M2" s="27"/>
      <c r="N2" s="11"/>
      <c r="O2" s="11"/>
      <c r="P2" s="15"/>
      <c r="Q2" s="11"/>
      <c r="R2" s="11"/>
      <c r="S2" s="15"/>
      <c r="T2" s="15"/>
      <c r="U2" s="15"/>
      <c r="V2" s="11"/>
      <c r="W2" s="15"/>
      <c r="X2" s="11"/>
      <c r="Y2" s="11"/>
      <c r="Z2" s="15"/>
      <c r="AA2" s="11"/>
      <c r="AB2" s="11"/>
      <c r="AC2" s="15"/>
      <c r="AD2" s="15"/>
      <c r="AE2" s="15"/>
      <c r="AF2" s="11"/>
      <c r="AG2" s="15"/>
      <c r="AH2" s="11"/>
      <c r="AI2" s="11"/>
      <c r="AJ2" s="15"/>
      <c r="AK2" s="11"/>
      <c r="AL2" s="11"/>
      <c r="AM2" s="15"/>
      <c r="AN2" s="15"/>
      <c r="AO2" s="15"/>
      <c r="AP2" s="11"/>
      <c r="AQ2" s="15"/>
      <c r="AR2" s="11"/>
      <c r="AS2" s="11"/>
      <c r="AT2" s="15"/>
      <c r="AU2" s="11"/>
      <c r="AV2" s="11"/>
      <c r="AW2" s="15"/>
      <c r="AX2" s="15"/>
      <c r="AY2" s="15"/>
      <c r="AZ2" s="11"/>
      <c r="BA2" s="15"/>
      <c r="BB2" s="11"/>
      <c r="BC2" s="11"/>
      <c r="BD2" s="15"/>
      <c r="BE2" s="11"/>
      <c r="BF2" s="11"/>
      <c r="BG2" s="15"/>
      <c r="BH2" s="11"/>
      <c r="BI2" s="11"/>
      <c r="BJ2" s="11"/>
      <c r="BK2" s="11"/>
      <c r="BL2" s="28" t="str">
        <f t="shared" ref="BL2:BL100" si="0">IF(BJ2&lt;&gt;"","TRUE","")</f>
        <v/>
      </c>
      <c r="BM2" s="28"/>
      <c r="BN2" s="11"/>
      <c r="BO2" s="29" t="str">
        <f t="shared" ref="BO2:BO100" si="1">IF(BJ2&lt;&gt;"","no_access","")</f>
        <v/>
      </c>
      <c r="BP2" s="11"/>
      <c r="BQ2" s="11"/>
      <c r="BR2" s="11"/>
      <c r="BS2" s="11"/>
      <c r="BT2" s="11"/>
      <c r="BU2" s="11"/>
      <c r="BV2" s="11"/>
      <c r="BW2" s="28" t="str">
        <f t="shared" ref="BW2:BW100" si="2">IF(BU2&lt;&gt;"","TRUE","")</f>
        <v/>
      </c>
      <c r="BX2" s="28"/>
      <c r="BY2" s="11"/>
      <c r="BZ2" s="29" t="str">
        <f t="shared" ref="BZ2:BZ100" si="3">IF(BU2&lt;&gt;"","no_access","")</f>
        <v/>
      </c>
      <c r="CA2" s="11"/>
      <c r="CB2" s="11"/>
      <c r="CC2" s="11"/>
      <c r="CD2" s="11"/>
      <c r="CE2" s="11"/>
      <c r="CF2" s="11"/>
      <c r="CG2" s="11"/>
      <c r="CH2" s="11"/>
      <c r="CI2" s="29"/>
      <c r="CJ2" s="28"/>
      <c r="CK2" s="11"/>
      <c r="CL2" s="11"/>
      <c r="CM2" s="11"/>
      <c r="CN2" s="29"/>
      <c r="CO2" s="28"/>
      <c r="CP2" s="11"/>
      <c r="CQ2" s="11"/>
      <c r="CR2" s="11"/>
      <c r="CS2" s="29"/>
      <c r="CT2" s="28"/>
      <c r="CU2" s="11"/>
      <c r="CV2" s="11"/>
      <c r="CW2" s="11"/>
      <c r="CX2" s="29"/>
      <c r="CY2" s="28"/>
      <c r="CZ2" s="30"/>
      <c r="DA2" s="30"/>
      <c r="DB2" s="30"/>
      <c r="DC2" s="30"/>
      <c r="DD2" s="30" t="str">
        <f t="shared" ref="DD2:DD100" si="4">IF(A2&lt;&gt;"",IF(COUNTIF($A$2:$A100,$A$2:$A100)&gt;1,"Not Unique","Unique"),"")</f>
        <v/>
      </c>
    </row>
    <row r="3" spans="1:108" ht="15.75" customHeight="1">
      <c r="A3" s="26"/>
      <c r="B3" s="11"/>
      <c r="C3" s="11"/>
      <c r="D3" s="11"/>
      <c r="E3" s="11"/>
      <c r="F3" s="11"/>
      <c r="G3" s="11"/>
      <c r="H3" s="11"/>
      <c r="I3" s="11"/>
      <c r="J3" s="11"/>
      <c r="K3" s="11"/>
      <c r="L3" s="11"/>
      <c r="M3" s="27"/>
      <c r="N3" s="11"/>
      <c r="O3" s="11"/>
      <c r="P3" s="15"/>
      <c r="Q3" s="11"/>
      <c r="R3" s="11"/>
      <c r="S3" s="15"/>
      <c r="T3" s="15"/>
      <c r="U3" s="15"/>
      <c r="V3" s="11"/>
      <c r="W3" s="15"/>
      <c r="X3" s="11"/>
      <c r="Y3" s="11"/>
      <c r="Z3" s="15"/>
      <c r="AA3" s="11"/>
      <c r="AB3" s="11"/>
      <c r="AC3" s="15"/>
      <c r="AD3" s="15"/>
      <c r="AE3" s="15"/>
      <c r="AF3" s="11"/>
      <c r="AG3" s="15"/>
      <c r="AH3" s="11"/>
      <c r="AI3" s="11"/>
      <c r="AJ3" s="15"/>
      <c r="AK3" s="11"/>
      <c r="AL3" s="11"/>
      <c r="AM3" s="15"/>
      <c r="AN3" s="15"/>
      <c r="AO3" s="15"/>
      <c r="AP3" s="11"/>
      <c r="AQ3" s="15"/>
      <c r="AR3" s="11"/>
      <c r="AS3" s="11"/>
      <c r="AT3" s="15"/>
      <c r="AU3" s="11"/>
      <c r="AV3" s="11"/>
      <c r="AW3" s="15"/>
      <c r="AX3" s="15"/>
      <c r="AY3" s="15"/>
      <c r="AZ3" s="11"/>
      <c r="BA3" s="15"/>
      <c r="BB3" s="11"/>
      <c r="BC3" s="11"/>
      <c r="BD3" s="15"/>
      <c r="BE3" s="11"/>
      <c r="BF3" s="11"/>
      <c r="BG3" s="15"/>
      <c r="BH3" s="11"/>
      <c r="BI3" s="11"/>
      <c r="BJ3" s="11"/>
      <c r="BK3" s="11"/>
      <c r="BL3" s="28" t="str">
        <f t="shared" si="0"/>
        <v/>
      </c>
      <c r="BM3" s="28"/>
      <c r="BN3" s="11"/>
      <c r="BO3" s="29" t="str">
        <f t="shared" si="1"/>
        <v/>
      </c>
      <c r="BP3" s="11"/>
      <c r="BQ3" s="11"/>
      <c r="BR3" s="11"/>
      <c r="BS3" s="11"/>
      <c r="BT3" s="11"/>
      <c r="BU3" s="11"/>
      <c r="BV3" s="11"/>
      <c r="BW3" s="28" t="str">
        <f t="shared" si="2"/>
        <v/>
      </c>
      <c r="BX3" s="28"/>
      <c r="BY3" s="11"/>
      <c r="BZ3" s="29" t="str">
        <f t="shared" si="3"/>
        <v/>
      </c>
      <c r="CA3" s="11"/>
      <c r="CB3" s="11"/>
      <c r="CC3" s="11"/>
      <c r="CD3" s="11"/>
      <c r="CE3" s="11"/>
      <c r="CF3" s="11"/>
      <c r="CG3" s="11"/>
      <c r="CH3" s="11"/>
      <c r="CI3" s="29"/>
      <c r="CJ3" s="28"/>
      <c r="CK3" s="11"/>
      <c r="CL3" s="11"/>
      <c r="CM3" s="11"/>
      <c r="CN3" s="29"/>
      <c r="CO3" s="28"/>
      <c r="CP3" s="11"/>
      <c r="CQ3" s="11"/>
      <c r="CR3" s="11"/>
      <c r="CS3" s="29"/>
      <c r="CT3" s="28"/>
      <c r="CU3" s="11"/>
      <c r="CV3" s="11"/>
      <c r="CW3" s="11"/>
      <c r="CX3" s="29"/>
      <c r="CY3" s="28"/>
      <c r="CZ3" s="30"/>
      <c r="DA3" s="30"/>
      <c r="DB3" s="30"/>
      <c r="DC3" s="30"/>
      <c r="DD3" s="30" t="str">
        <f t="shared" si="4"/>
        <v/>
      </c>
    </row>
    <row r="4" spans="1:108" ht="15.75" customHeight="1">
      <c r="A4" s="26"/>
      <c r="B4" s="11"/>
      <c r="C4" s="11"/>
      <c r="D4" s="11"/>
      <c r="E4" s="11"/>
      <c r="F4" s="11"/>
      <c r="G4" s="11"/>
      <c r="H4" s="11"/>
      <c r="I4" s="11"/>
      <c r="J4" s="11"/>
      <c r="K4" s="11"/>
      <c r="L4" s="11"/>
      <c r="M4" s="27"/>
      <c r="N4" s="11"/>
      <c r="O4" s="11"/>
      <c r="P4" s="15"/>
      <c r="Q4" s="11"/>
      <c r="R4" s="11"/>
      <c r="S4" s="15"/>
      <c r="T4" s="15"/>
      <c r="U4" s="15"/>
      <c r="V4" s="11"/>
      <c r="W4" s="15"/>
      <c r="X4" s="11"/>
      <c r="Y4" s="11"/>
      <c r="Z4" s="15"/>
      <c r="AA4" s="11"/>
      <c r="AB4" s="11"/>
      <c r="AC4" s="15"/>
      <c r="AD4" s="15"/>
      <c r="AE4" s="15"/>
      <c r="AF4" s="11"/>
      <c r="AG4" s="15"/>
      <c r="AH4" s="11"/>
      <c r="AI4" s="11"/>
      <c r="AJ4" s="15"/>
      <c r="AK4" s="11"/>
      <c r="AL4" s="11"/>
      <c r="AM4" s="15"/>
      <c r="AN4" s="15"/>
      <c r="AO4" s="15"/>
      <c r="AP4" s="11"/>
      <c r="AQ4" s="15"/>
      <c r="AR4" s="11"/>
      <c r="AS4" s="11"/>
      <c r="AT4" s="15"/>
      <c r="AU4" s="11"/>
      <c r="AV4" s="11"/>
      <c r="AW4" s="15"/>
      <c r="AX4" s="15"/>
      <c r="AY4" s="15"/>
      <c r="AZ4" s="11"/>
      <c r="BA4" s="15"/>
      <c r="BB4" s="11"/>
      <c r="BC4" s="11"/>
      <c r="BD4" s="15"/>
      <c r="BE4" s="11"/>
      <c r="BF4" s="11"/>
      <c r="BG4" s="15"/>
      <c r="BH4" s="11"/>
      <c r="BI4" s="11"/>
      <c r="BJ4" s="11"/>
      <c r="BK4" s="11"/>
      <c r="BL4" s="28" t="str">
        <f t="shared" si="0"/>
        <v/>
      </c>
      <c r="BM4" s="28"/>
      <c r="BN4" s="11"/>
      <c r="BO4" s="29" t="str">
        <f t="shared" si="1"/>
        <v/>
      </c>
      <c r="BP4" s="11"/>
      <c r="BQ4" s="11"/>
      <c r="BR4" s="11"/>
      <c r="BS4" s="11"/>
      <c r="BT4" s="11"/>
      <c r="BU4" s="11"/>
      <c r="BV4" s="11"/>
      <c r="BW4" s="28" t="str">
        <f t="shared" si="2"/>
        <v/>
      </c>
      <c r="BX4" s="28"/>
      <c r="BY4" s="11"/>
      <c r="BZ4" s="29" t="str">
        <f t="shared" si="3"/>
        <v/>
      </c>
      <c r="CA4" s="11"/>
      <c r="CB4" s="11"/>
      <c r="CC4" s="11"/>
      <c r="CD4" s="11"/>
      <c r="CE4" s="11"/>
      <c r="CF4" s="11"/>
      <c r="CG4" s="11"/>
      <c r="CH4" s="11"/>
      <c r="CI4" s="29"/>
      <c r="CJ4" s="28"/>
      <c r="CK4" s="11"/>
      <c r="CL4" s="11"/>
      <c r="CM4" s="11"/>
      <c r="CN4" s="29"/>
      <c r="CO4" s="28"/>
      <c r="CP4" s="11"/>
      <c r="CQ4" s="11"/>
      <c r="CR4" s="11"/>
      <c r="CS4" s="29"/>
      <c r="CT4" s="28"/>
      <c r="CU4" s="11"/>
      <c r="CV4" s="11"/>
      <c r="CW4" s="11"/>
      <c r="CX4" s="29"/>
      <c r="CY4" s="28"/>
      <c r="CZ4" s="30"/>
      <c r="DA4" s="30"/>
      <c r="DB4" s="30"/>
      <c r="DC4" s="30"/>
      <c r="DD4" s="30" t="str">
        <f t="shared" si="4"/>
        <v/>
      </c>
    </row>
    <row r="5" spans="1:108" ht="15.75" customHeight="1">
      <c r="A5" s="11"/>
      <c r="B5" s="26"/>
      <c r="C5" s="11"/>
      <c r="D5" s="11"/>
      <c r="E5" s="11"/>
      <c r="F5" s="11"/>
      <c r="G5" s="11"/>
      <c r="H5" s="11"/>
      <c r="I5" s="11"/>
      <c r="J5" s="11"/>
      <c r="K5" s="11"/>
      <c r="L5" s="11"/>
      <c r="M5" s="27"/>
      <c r="N5" s="11"/>
      <c r="O5" s="11"/>
      <c r="P5" s="15"/>
      <c r="Q5" s="11"/>
      <c r="R5" s="11"/>
      <c r="S5" s="15"/>
      <c r="T5" s="15"/>
      <c r="U5" s="15"/>
      <c r="V5" s="11"/>
      <c r="W5" s="15"/>
      <c r="X5" s="11"/>
      <c r="Y5" s="11"/>
      <c r="Z5" s="15"/>
      <c r="AA5" s="11"/>
      <c r="AB5" s="11"/>
      <c r="AC5" s="15"/>
      <c r="AD5" s="15"/>
      <c r="AE5" s="15"/>
      <c r="AF5" s="11"/>
      <c r="AG5" s="15"/>
      <c r="AH5" s="11"/>
      <c r="AI5" s="11"/>
      <c r="AJ5" s="15"/>
      <c r="AK5" s="11"/>
      <c r="AL5" s="11"/>
      <c r="AM5" s="15"/>
      <c r="AN5" s="15"/>
      <c r="AO5" s="15"/>
      <c r="AP5" s="11"/>
      <c r="AQ5" s="15"/>
      <c r="AR5" s="11"/>
      <c r="AS5" s="11"/>
      <c r="AT5" s="15"/>
      <c r="AU5" s="11"/>
      <c r="AV5" s="11"/>
      <c r="AW5" s="15"/>
      <c r="AX5" s="15"/>
      <c r="AY5" s="15"/>
      <c r="AZ5" s="11"/>
      <c r="BA5" s="15"/>
      <c r="BB5" s="11"/>
      <c r="BC5" s="11"/>
      <c r="BD5" s="15"/>
      <c r="BE5" s="11"/>
      <c r="BF5" s="11"/>
      <c r="BG5" s="15"/>
      <c r="BH5" s="11"/>
      <c r="BI5" s="11"/>
      <c r="BJ5" s="11"/>
      <c r="BK5" s="11"/>
      <c r="BL5" s="28" t="str">
        <f t="shared" si="0"/>
        <v/>
      </c>
      <c r="BM5" s="28"/>
      <c r="BN5" s="11"/>
      <c r="BO5" s="29" t="str">
        <f t="shared" si="1"/>
        <v/>
      </c>
      <c r="BP5" s="11"/>
      <c r="BQ5" s="11"/>
      <c r="BR5" s="11"/>
      <c r="BS5" s="11"/>
      <c r="BT5" s="11"/>
      <c r="BU5" s="11"/>
      <c r="BV5" s="11"/>
      <c r="BW5" s="28" t="str">
        <f t="shared" si="2"/>
        <v/>
      </c>
      <c r="BX5" s="28"/>
      <c r="BY5" s="11"/>
      <c r="BZ5" s="29" t="str">
        <f t="shared" si="3"/>
        <v/>
      </c>
      <c r="CA5" s="11"/>
      <c r="CB5" s="11"/>
      <c r="CC5" s="11"/>
      <c r="CD5" s="11"/>
      <c r="CE5" s="11"/>
      <c r="CF5" s="11"/>
      <c r="CG5" s="11"/>
      <c r="CH5" s="11"/>
      <c r="CI5" s="29"/>
      <c r="CJ5" s="28"/>
      <c r="CK5" s="11"/>
      <c r="CL5" s="11"/>
      <c r="CM5" s="11"/>
      <c r="CN5" s="29"/>
      <c r="CO5" s="28"/>
      <c r="CP5" s="11"/>
      <c r="CQ5" s="11"/>
      <c r="CR5" s="11"/>
      <c r="CS5" s="29"/>
      <c r="CT5" s="28"/>
      <c r="CU5" s="11"/>
      <c r="CV5" s="11"/>
      <c r="CW5" s="11"/>
      <c r="CX5" s="29"/>
      <c r="CY5" s="28"/>
      <c r="CZ5" s="30"/>
      <c r="DA5" s="30"/>
      <c r="DB5" s="30"/>
      <c r="DC5" s="30"/>
      <c r="DD5" s="30" t="str">
        <f t="shared" si="4"/>
        <v/>
      </c>
    </row>
    <row r="6" spans="1:108" ht="15.75" customHeight="1">
      <c r="A6" s="26"/>
      <c r="B6" s="11"/>
      <c r="C6" s="11"/>
      <c r="D6" s="11"/>
      <c r="E6" s="11"/>
      <c r="F6" s="11"/>
      <c r="G6" s="11"/>
      <c r="H6" s="11"/>
      <c r="I6" s="11"/>
      <c r="J6" s="11"/>
      <c r="K6" s="11"/>
      <c r="L6" s="11"/>
      <c r="M6" s="27"/>
      <c r="N6" s="11"/>
      <c r="O6" s="11"/>
      <c r="P6" s="15"/>
      <c r="Q6" s="11"/>
      <c r="R6" s="11"/>
      <c r="S6" s="15"/>
      <c r="T6" s="15"/>
      <c r="U6" s="15"/>
      <c r="V6" s="11"/>
      <c r="W6" s="15"/>
      <c r="X6" s="11"/>
      <c r="Y6" s="11"/>
      <c r="Z6" s="15"/>
      <c r="AA6" s="11"/>
      <c r="AB6" s="11"/>
      <c r="AC6" s="15"/>
      <c r="AD6" s="15"/>
      <c r="AE6" s="15"/>
      <c r="AF6" s="11"/>
      <c r="AG6" s="15"/>
      <c r="AH6" s="11"/>
      <c r="AI6" s="11"/>
      <c r="AJ6" s="15"/>
      <c r="AK6" s="11"/>
      <c r="AL6" s="11"/>
      <c r="AM6" s="15"/>
      <c r="AN6" s="15"/>
      <c r="AO6" s="15"/>
      <c r="AP6" s="11"/>
      <c r="AQ6" s="15"/>
      <c r="AR6" s="11"/>
      <c r="AS6" s="11"/>
      <c r="AT6" s="15"/>
      <c r="AU6" s="11"/>
      <c r="AV6" s="11"/>
      <c r="AW6" s="15"/>
      <c r="AX6" s="15"/>
      <c r="AY6" s="15"/>
      <c r="AZ6" s="11"/>
      <c r="BA6" s="15"/>
      <c r="BB6" s="11"/>
      <c r="BC6" s="11"/>
      <c r="BD6" s="15"/>
      <c r="BE6" s="11"/>
      <c r="BF6" s="11"/>
      <c r="BG6" s="15"/>
      <c r="BH6" s="11"/>
      <c r="BI6" s="11"/>
      <c r="BJ6" s="11"/>
      <c r="BK6" s="11"/>
      <c r="BL6" s="28" t="str">
        <f t="shared" si="0"/>
        <v/>
      </c>
      <c r="BM6" s="28"/>
      <c r="BN6" s="11"/>
      <c r="BO6" s="29" t="str">
        <f t="shared" si="1"/>
        <v/>
      </c>
      <c r="BP6" s="11"/>
      <c r="BQ6" s="11"/>
      <c r="BR6" s="11"/>
      <c r="BS6" s="11"/>
      <c r="BT6" s="11"/>
      <c r="BU6" s="11"/>
      <c r="BV6" s="11"/>
      <c r="BW6" s="28" t="str">
        <f t="shared" si="2"/>
        <v/>
      </c>
      <c r="BX6" s="28"/>
      <c r="BY6" s="11"/>
      <c r="BZ6" s="29" t="str">
        <f t="shared" si="3"/>
        <v/>
      </c>
      <c r="CA6" s="11"/>
      <c r="CB6" s="11"/>
      <c r="CC6" s="11"/>
      <c r="CD6" s="11"/>
      <c r="CE6" s="11"/>
      <c r="CF6" s="11"/>
      <c r="CG6" s="11"/>
      <c r="CH6" s="11"/>
      <c r="CI6" s="29"/>
      <c r="CJ6" s="28"/>
      <c r="CK6" s="11"/>
      <c r="CL6" s="11"/>
      <c r="CM6" s="11"/>
      <c r="CN6" s="29"/>
      <c r="CO6" s="28"/>
      <c r="CP6" s="11"/>
      <c r="CQ6" s="11"/>
      <c r="CR6" s="11"/>
      <c r="CS6" s="29"/>
      <c r="CT6" s="28"/>
      <c r="CU6" s="11"/>
      <c r="CV6" s="11"/>
      <c r="CW6" s="11"/>
      <c r="CX6" s="29"/>
      <c r="CY6" s="28"/>
      <c r="CZ6" s="30"/>
      <c r="DA6" s="30"/>
      <c r="DB6" s="30"/>
      <c r="DC6" s="30"/>
      <c r="DD6" s="30" t="str">
        <f t="shared" si="4"/>
        <v/>
      </c>
    </row>
    <row r="7" spans="1:108" ht="15.75" customHeight="1">
      <c r="A7" s="26"/>
      <c r="B7" s="31"/>
      <c r="C7" s="11"/>
      <c r="D7" s="11"/>
      <c r="E7" s="11"/>
      <c r="F7" s="11"/>
      <c r="G7" s="11"/>
      <c r="H7" s="11"/>
      <c r="I7" s="11"/>
      <c r="J7" s="11"/>
      <c r="K7" s="11"/>
      <c r="L7" s="11"/>
      <c r="M7" s="27"/>
      <c r="N7" s="11"/>
      <c r="O7" s="11"/>
      <c r="P7" s="15"/>
      <c r="Q7" s="11"/>
      <c r="R7" s="11"/>
      <c r="S7" s="15"/>
      <c r="T7" s="15"/>
      <c r="U7" s="15"/>
      <c r="V7" s="11"/>
      <c r="W7" s="15"/>
      <c r="X7" s="11"/>
      <c r="Y7" s="11"/>
      <c r="Z7" s="15"/>
      <c r="AA7" s="11"/>
      <c r="AB7" s="11"/>
      <c r="AC7" s="15"/>
      <c r="AD7" s="15"/>
      <c r="AE7" s="15"/>
      <c r="AF7" s="11"/>
      <c r="AG7" s="15"/>
      <c r="AH7" s="11"/>
      <c r="AI7" s="11"/>
      <c r="AJ7" s="15"/>
      <c r="AK7" s="11"/>
      <c r="AL7" s="11"/>
      <c r="AM7" s="15"/>
      <c r="AN7" s="15"/>
      <c r="AO7" s="15"/>
      <c r="AP7" s="11"/>
      <c r="AQ7" s="15"/>
      <c r="AR7" s="11"/>
      <c r="AS7" s="11"/>
      <c r="AT7" s="15"/>
      <c r="AU7" s="11"/>
      <c r="AV7" s="11"/>
      <c r="AW7" s="15"/>
      <c r="AX7" s="15"/>
      <c r="AY7" s="15"/>
      <c r="AZ7" s="11"/>
      <c r="BA7" s="15"/>
      <c r="BB7" s="11"/>
      <c r="BC7" s="11"/>
      <c r="BD7" s="15"/>
      <c r="BE7" s="11"/>
      <c r="BF7" s="11"/>
      <c r="BG7" s="15"/>
      <c r="BH7" s="11"/>
      <c r="BI7" s="11"/>
      <c r="BJ7" s="11"/>
      <c r="BK7" s="11"/>
      <c r="BL7" s="28" t="str">
        <f t="shared" si="0"/>
        <v/>
      </c>
      <c r="BM7" s="28"/>
      <c r="BN7" s="11"/>
      <c r="BO7" s="29" t="str">
        <f t="shared" si="1"/>
        <v/>
      </c>
      <c r="BP7" s="11"/>
      <c r="BQ7" s="11"/>
      <c r="BR7" s="11"/>
      <c r="BS7" s="11"/>
      <c r="BT7" s="11"/>
      <c r="BU7" s="11"/>
      <c r="BV7" s="11"/>
      <c r="BW7" s="28" t="str">
        <f t="shared" si="2"/>
        <v/>
      </c>
      <c r="BX7" s="28"/>
      <c r="BY7" s="11"/>
      <c r="BZ7" s="29" t="str">
        <f t="shared" si="3"/>
        <v/>
      </c>
      <c r="CA7" s="11"/>
      <c r="CB7" s="11"/>
      <c r="CC7" s="11"/>
      <c r="CD7" s="11"/>
      <c r="CE7" s="11"/>
      <c r="CF7" s="11"/>
      <c r="CG7" s="11"/>
      <c r="CH7" s="11"/>
      <c r="CI7" s="29"/>
      <c r="CJ7" s="28"/>
      <c r="CK7" s="11"/>
      <c r="CL7" s="11"/>
      <c r="CM7" s="11"/>
      <c r="CN7" s="29"/>
      <c r="CO7" s="28"/>
      <c r="CP7" s="11"/>
      <c r="CQ7" s="11"/>
      <c r="CR7" s="11"/>
      <c r="CS7" s="29"/>
      <c r="CT7" s="28"/>
      <c r="CU7" s="11"/>
      <c r="CV7" s="11"/>
      <c r="CW7" s="11"/>
      <c r="CX7" s="29"/>
      <c r="CY7" s="28"/>
      <c r="CZ7" s="30"/>
      <c r="DA7" s="30"/>
      <c r="DB7" s="30"/>
      <c r="DC7" s="30"/>
      <c r="DD7" s="30" t="str">
        <f t="shared" si="4"/>
        <v/>
      </c>
    </row>
    <row r="8" spans="1:108" ht="15.75" customHeight="1">
      <c r="A8" s="32"/>
      <c r="B8" s="11"/>
      <c r="C8" s="11"/>
      <c r="D8" s="11"/>
      <c r="E8" s="11"/>
      <c r="F8" s="11"/>
      <c r="G8" s="11"/>
      <c r="H8" s="11"/>
      <c r="I8" s="11"/>
      <c r="J8" s="11"/>
      <c r="K8" s="11"/>
      <c r="L8" s="11"/>
      <c r="M8" s="27"/>
      <c r="N8" s="11"/>
      <c r="O8" s="11"/>
      <c r="P8" s="15"/>
      <c r="Q8" s="11"/>
      <c r="R8" s="11"/>
      <c r="S8" s="15"/>
      <c r="T8" s="15"/>
      <c r="U8" s="15"/>
      <c r="V8" s="11"/>
      <c r="W8" s="15"/>
      <c r="X8" s="11"/>
      <c r="Y8" s="11"/>
      <c r="Z8" s="15"/>
      <c r="AA8" s="11"/>
      <c r="AB8" s="11"/>
      <c r="AC8" s="15"/>
      <c r="AD8" s="15"/>
      <c r="AE8" s="15"/>
      <c r="AF8" s="11"/>
      <c r="AG8" s="15"/>
      <c r="AH8" s="11"/>
      <c r="AI8" s="11"/>
      <c r="AJ8" s="15"/>
      <c r="AK8" s="11"/>
      <c r="AL8" s="11"/>
      <c r="AM8" s="15"/>
      <c r="AN8" s="15"/>
      <c r="AO8" s="15"/>
      <c r="AP8" s="11"/>
      <c r="AQ8" s="15"/>
      <c r="AR8" s="11"/>
      <c r="AS8" s="11"/>
      <c r="AT8" s="15"/>
      <c r="AU8" s="11"/>
      <c r="AV8" s="11"/>
      <c r="AW8" s="15"/>
      <c r="AX8" s="15"/>
      <c r="AY8" s="15"/>
      <c r="AZ8" s="11"/>
      <c r="BA8" s="15"/>
      <c r="BB8" s="11"/>
      <c r="BC8" s="11"/>
      <c r="BD8" s="15"/>
      <c r="BE8" s="11"/>
      <c r="BF8" s="11"/>
      <c r="BG8" s="15"/>
      <c r="BH8" s="11"/>
      <c r="BI8" s="11"/>
      <c r="BJ8" s="11"/>
      <c r="BK8" s="11"/>
      <c r="BL8" s="28" t="str">
        <f t="shared" si="0"/>
        <v/>
      </c>
      <c r="BM8" s="28"/>
      <c r="BN8" s="11"/>
      <c r="BO8" s="29" t="str">
        <f t="shared" si="1"/>
        <v/>
      </c>
      <c r="BP8" s="11"/>
      <c r="BQ8" s="11"/>
      <c r="BR8" s="11"/>
      <c r="BS8" s="11"/>
      <c r="BT8" s="11"/>
      <c r="BU8" s="11"/>
      <c r="BV8" s="11"/>
      <c r="BW8" s="28" t="str">
        <f t="shared" si="2"/>
        <v/>
      </c>
      <c r="BX8" s="28"/>
      <c r="BY8" s="11"/>
      <c r="BZ8" s="29" t="str">
        <f t="shared" si="3"/>
        <v/>
      </c>
      <c r="CA8" s="11"/>
      <c r="CB8" s="11"/>
      <c r="CC8" s="11"/>
      <c r="CD8" s="11"/>
      <c r="CE8" s="11"/>
      <c r="CF8" s="11"/>
      <c r="CG8" s="11"/>
      <c r="CH8" s="11"/>
      <c r="CI8" s="29"/>
      <c r="CJ8" s="28"/>
      <c r="CK8" s="11"/>
      <c r="CL8" s="11"/>
      <c r="CM8" s="11"/>
      <c r="CN8" s="29"/>
      <c r="CO8" s="28"/>
      <c r="CP8" s="11"/>
      <c r="CQ8" s="11"/>
      <c r="CR8" s="11"/>
      <c r="CS8" s="29"/>
      <c r="CT8" s="28"/>
      <c r="CU8" s="11"/>
      <c r="CV8" s="11"/>
      <c r="CW8" s="11"/>
      <c r="CX8" s="29"/>
      <c r="CY8" s="28"/>
      <c r="CZ8" s="30"/>
      <c r="DA8" s="30"/>
      <c r="DB8" s="30"/>
      <c r="DC8" s="30"/>
      <c r="DD8" s="30" t="str">
        <f t="shared" si="4"/>
        <v/>
      </c>
    </row>
    <row r="9" spans="1:108" ht="15.75" customHeight="1">
      <c r="A9" s="26"/>
      <c r="B9" s="11"/>
      <c r="C9" s="11"/>
      <c r="D9" s="11"/>
      <c r="E9" s="11"/>
      <c r="F9" s="11"/>
      <c r="G9" s="11"/>
      <c r="H9" s="11"/>
      <c r="I9" s="11"/>
      <c r="J9" s="11"/>
      <c r="K9" s="11"/>
      <c r="L9" s="11"/>
      <c r="M9" s="27"/>
      <c r="N9" s="11"/>
      <c r="O9" s="11"/>
      <c r="P9" s="15"/>
      <c r="Q9" s="11"/>
      <c r="R9" s="11"/>
      <c r="S9" s="15"/>
      <c r="T9" s="15"/>
      <c r="U9" s="15"/>
      <c r="V9" s="11"/>
      <c r="W9" s="15"/>
      <c r="X9" s="11"/>
      <c r="Y9" s="11"/>
      <c r="Z9" s="15"/>
      <c r="AA9" s="11"/>
      <c r="AB9" s="11"/>
      <c r="AC9" s="15"/>
      <c r="AD9" s="15"/>
      <c r="AE9" s="15"/>
      <c r="AF9" s="11"/>
      <c r="AG9" s="15"/>
      <c r="AH9" s="11"/>
      <c r="AI9" s="11"/>
      <c r="AJ9" s="15"/>
      <c r="AK9" s="11"/>
      <c r="AL9" s="11"/>
      <c r="AM9" s="15"/>
      <c r="AN9" s="15"/>
      <c r="AO9" s="15"/>
      <c r="AP9" s="11"/>
      <c r="AQ9" s="15"/>
      <c r="AR9" s="11"/>
      <c r="AS9" s="11"/>
      <c r="AT9" s="15"/>
      <c r="AU9" s="11"/>
      <c r="AV9" s="11"/>
      <c r="AW9" s="15"/>
      <c r="AX9" s="15"/>
      <c r="AY9" s="15"/>
      <c r="AZ9" s="11"/>
      <c r="BA9" s="15"/>
      <c r="BB9" s="11"/>
      <c r="BC9" s="11"/>
      <c r="BD9" s="15"/>
      <c r="BE9" s="11"/>
      <c r="BF9" s="11"/>
      <c r="BG9" s="15"/>
      <c r="BH9" s="11"/>
      <c r="BI9" s="11"/>
      <c r="BJ9" s="11"/>
      <c r="BK9" s="11"/>
      <c r="BL9" s="28" t="str">
        <f t="shared" si="0"/>
        <v/>
      </c>
      <c r="BM9" s="28"/>
      <c r="BN9" s="11"/>
      <c r="BO9" s="29" t="str">
        <f t="shared" si="1"/>
        <v/>
      </c>
      <c r="BP9" s="11"/>
      <c r="BQ9" s="11"/>
      <c r="BR9" s="11"/>
      <c r="BS9" s="11"/>
      <c r="BT9" s="11"/>
      <c r="BU9" s="11"/>
      <c r="BV9" s="11"/>
      <c r="BW9" s="28" t="str">
        <f t="shared" si="2"/>
        <v/>
      </c>
      <c r="BX9" s="28"/>
      <c r="BY9" s="11"/>
      <c r="BZ9" s="29" t="str">
        <f t="shared" si="3"/>
        <v/>
      </c>
      <c r="CA9" s="11"/>
      <c r="CB9" s="11"/>
      <c r="CC9" s="11"/>
      <c r="CD9" s="11"/>
      <c r="CE9" s="11"/>
      <c r="CF9" s="11"/>
      <c r="CG9" s="11"/>
      <c r="CH9" s="11"/>
      <c r="CI9" s="29"/>
      <c r="CJ9" s="28"/>
      <c r="CK9" s="11"/>
      <c r="CL9" s="11"/>
      <c r="CM9" s="11"/>
      <c r="CN9" s="29"/>
      <c r="CO9" s="28"/>
      <c r="CP9" s="11"/>
      <c r="CQ9" s="11"/>
      <c r="CR9" s="11"/>
      <c r="CS9" s="29"/>
      <c r="CT9" s="28"/>
      <c r="CU9" s="11"/>
      <c r="CV9" s="11"/>
      <c r="CW9" s="11"/>
      <c r="CX9" s="29"/>
      <c r="CY9" s="28"/>
      <c r="CZ9" s="30"/>
      <c r="DA9" s="30"/>
      <c r="DB9" s="30"/>
      <c r="DC9" s="30"/>
      <c r="DD9" s="30" t="str">
        <f t="shared" si="4"/>
        <v/>
      </c>
    </row>
    <row r="10" spans="1:108" ht="15.75" customHeight="1">
      <c r="A10" s="26"/>
      <c r="B10" s="11"/>
      <c r="C10" s="11"/>
      <c r="D10" s="11"/>
      <c r="E10" s="11"/>
      <c r="F10" s="11"/>
      <c r="G10" s="11"/>
      <c r="H10" s="11"/>
      <c r="I10" s="11"/>
      <c r="J10" s="11"/>
      <c r="K10" s="11"/>
      <c r="L10" s="11"/>
      <c r="M10" s="27"/>
      <c r="N10" s="11"/>
      <c r="O10" s="11"/>
      <c r="P10" s="15"/>
      <c r="Q10" s="11"/>
      <c r="R10" s="11"/>
      <c r="S10" s="15"/>
      <c r="T10" s="15"/>
      <c r="U10" s="15"/>
      <c r="V10" s="11"/>
      <c r="W10" s="15"/>
      <c r="X10" s="11"/>
      <c r="Y10" s="11"/>
      <c r="Z10" s="15"/>
      <c r="AA10" s="11"/>
      <c r="AB10" s="11"/>
      <c r="AC10" s="15"/>
      <c r="AD10" s="15"/>
      <c r="AE10" s="15"/>
      <c r="AF10" s="11"/>
      <c r="AG10" s="15"/>
      <c r="AH10" s="11"/>
      <c r="AI10" s="11"/>
      <c r="AJ10" s="15"/>
      <c r="AK10" s="11"/>
      <c r="AL10" s="11"/>
      <c r="AM10" s="15"/>
      <c r="AN10" s="15"/>
      <c r="AO10" s="15"/>
      <c r="AP10" s="11"/>
      <c r="AQ10" s="15"/>
      <c r="AR10" s="11"/>
      <c r="AS10" s="11"/>
      <c r="AT10" s="15"/>
      <c r="AU10" s="11"/>
      <c r="AV10" s="11"/>
      <c r="AW10" s="15"/>
      <c r="AX10" s="15"/>
      <c r="AY10" s="15"/>
      <c r="AZ10" s="11"/>
      <c r="BA10" s="15"/>
      <c r="BB10" s="11"/>
      <c r="BC10" s="11"/>
      <c r="BD10" s="15"/>
      <c r="BE10" s="11"/>
      <c r="BF10" s="11"/>
      <c r="BG10" s="15"/>
      <c r="BH10" s="11"/>
      <c r="BI10" s="11"/>
      <c r="BJ10" s="11"/>
      <c r="BK10" s="11"/>
      <c r="BL10" s="28" t="str">
        <f t="shared" si="0"/>
        <v/>
      </c>
      <c r="BM10" s="28"/>
      <c r="BN10" s="11"/>
      <c r="BO10" s="29" t="str">
        <f t="shared" si="1"/>
        <v/>
      </c>
      <c r="BP10" s="11"/>
      <c r="BQ10" s="11"/>
      <c r="BR10" s="11"/>
      <c r="BS10" s="11"/>
      <c r="BT10" s="11"/>
      <c r="BU10" s="11"/>
      <c r="BV10" s="11"/>
      <c r="BW10" s="28" t="str">
        <f t="shared" si="2"/>
        <v/>
      </c>
      <c r="BX10" s="28"/>
      <c r="BY10" s="11"/>
      <c r="BZ10" s="29" t="str">
        <f t="shared" si="3"/>
        <v/>
      </c>
      <c r="CA10" s="11"/>
      <c r="CB10" s="11"/>
      <c r="CC10" s="11"/>
      <c r="CD10" s="11"/>
      <c r="CE10" s="11"/>
      <c r="CF10" s="11"/>
      <c r="CG10" s="11"/>
      <c r="CH10" s="11"/>
      <c r="CI10" s="29"/>
      <c r="CJ10" s="28"/>
      <c r="CK10" s="11"/>
      <c r="CL10" s="11"/>
      <c r="CM10" s="11"/>
      <c r="CN10" s="29"/>
      <c r="CO10" s="28"/>
      <c r="CP10" s="11"/>
      <c r="CQ10" s="11"/>
      <c r="CR10" s="11"/>
      <c r="CS10" s="29"/>
      <c r="CT10" s="28"/>
      <c r="CU10" s="11"/>
      <c r="CV10" s="11"/>
      <c r="CW10" s="11"/>
      <c r="CX10" s="29"/>
      <c r="CY10" s="28"/>
      <c r="CZ10" s="30"/>
      <c r="DA10" s="30"/>
      <c r="DB10" s="30"/>
      <c r="DC10" s="30"/>
      <c r="DD10" s="30" t="str">
        <f t="shared" si="4"/>
        <v/>
      </c>
    </row>
    <row r="11" spans="1:108" ht="15.75" customHeight="1">
      <c r="A11" s="26"/>
      <c r="B11" s="11"/>
      <c r="C11" s="11"/>
      <c r="D11" s="11"/>
      <c r="E11" s="11"/>
      <c r="F11" s="11"/>
      <c r="G11" s="11"/>
      <c r="H11" s="11"/>
      <c r="I11" s="11"/>
      <c r="J11" s="11"/>
      <c r="K11" s="11"/>
      <c r="L11" s="11"/>
      <c r="M11" s="27"/>
      <c r="N11" s="11"/>
      <c r="O11" s="11"/>
      <c r="P11" s="15"/>
      <c r="Q11" s="11"/>
      <c r="R11" s="11"/>
      <c r="S11" s="15"/>
      <c r="T11" s="15"/>
      <c r="U11" s="15"/>
      <c r="V11" s="11"/>
      <c r="W11" s="15"/>
      <c r="X11" s="11"/>
      <c r="Y11" s="11"/>
      <c r="Z11" s="15"/>
      <c r="AA11" s="11"/>
      <c r="AB11" s="11"/>
      <c r="AC11" s="15"/>
      <c r="AD11" s="15"/>
      <c r="AE11" s="15"/>
      <c r="AF11" s="11"/>
      <c r="AG11" s="15"/>
      <c r="AH11" s="11"/>
      <c r="AI11" s="11"/>
      <c r="AJ11" s="15"/>
      <c r="AK11" s="11"/>
      <c r="AL11" s="11"/>
      <c r="AM11" s="15"/>
      <c r="AN11" s="15"/>
      <c r="AO11" s="15"/>
      <c r="AP11" s="11"/>
      <c r="AQ11" s="15"/>
      <c r="AR11" s="11"/>
      <c r="AS11" s="11"/>
      <c r="AT11" s="15"/>
      <c r="AU11" s="11"/>
      <c r="AV11" s="11"/>
      <c r="AW11" s="15"/>
      <c r="AX11" s="15"/>
      <c r="AY11" s="15"/>
      <c r="AZ11" s="11"/>
      <c r="BA11" s="15"/>
      <c r="BB11" s="11"/>
      <c r="BC11" s="11"/>
      <c r="BD11" s="15"/>
      <c r="BE11" s="11"/>
      <c r="BF11" s="11"/>
      <c r="BG11" s="15"/>
      <c r="BH11" s="11"/>
      <c r="BI11" s="11"/>
      <c r="BJ11" s="11"/>
      <c r="BK11" s="11"/>
      <c r="BL11" s="28" t="str">
        <f t="shared" si="0"/>
        <v/>
      </c>
      <c r="BM11" s="28"/>
      <c r="BN11" s="11"/>
      <c r="BO11" s="29" t="str">
        <f t="shared" si="1"/>
        <v/>
      </c>
      <c r="BP11" s="11"/>
      <c r="BQ11" s="11"/>
      <c r="BR11" s="11"/>
      <c r="BS11" s="11"/>
      <c r="BT11" s="11"/>
      <c r="BU11" s="11"/>
      <c r="BV11" s="11"/>
      <c r="BW11" s="28" t="str">
        <f t="shared" si="2"/>
        <v/>
      </c>
      <c r="BX11" s="28"/>
      <c r="BY11" s="11"/>
      <c r="BZ11" s="29" t="str">
        <f t="shared" si="3"/>
        <v/>
      </c>
      <c r="CA11" s="11"/>
      <c r="CB11" s="11"/>
      <c r="CC11" s="11"/>
      <c r="CD11" s="11"/>
      <c r="CE11" s="11"/>
      <c r="CF11" s="11"/>
      <c r="CG11" s="11"/>
      <c r="CH11" s="11"/>
      <c r="CI11" s="29"/>
      <c r="CJ11" s="28"/>
      <c r="CK11" s="11"/>
      <c r="CL11" s="11"/>
      <c r="CM11" s="11"/>
      <c r="CN11" s="29"/>
      <c r="CO11" s="28"/>
      <c r="CP11" s="11"/>
      <c r="CQ11" s="11"/>
      <c r="CR11" s="11"/>
      <c r="CS11" s="29"/>
      <c r="CT11" s="28"/>
      <c r="CU11" s="11"/>
      <c r="CV11" s="11"/>
      <c r="CW11" s="11"/>
      <c r="CX11" s="29"/>
      <c r="CY11" s="28"/>
      <c r="CZ11" s="30"/>
      <c r="DA11" s="30"/>
      <c r="DB11" s="30"/>
      <c r="DC11" s="30"/>
      <c r="DD11" s="30" t="str">
        <f t="shared" si="4"/>
        <v/>
      </c>
    </row>
    <row r="12" spans="1:108" ht="15.75" customHeight="1">
      <c r="A12" s="26"/>
      <c r="B12" s="11"/>
      <c r="C12" s="11"/>
      <c r="D12" s="11"/>
      <c r="E12" s="11"/>
      <c r="F12" s="11"/>
      <c r="G12" s="11"/>
      <c r="H12" s="11"/>
      <c r="I12" s="11"/>
      <c r="J12" s="11"/>
      <c r="K12" s="11"/>
      <c r="L12" s="11"/>
      <c r="M12" s="27"/>
      <c r="N12" s="11"/>
      <c r="O12" s="11"/>
      <c r="P12" s="15"/>
      <c r="Q12" s="11"/>
      <c r="R12" s="11"/>
      <c r="S12" s="15"/>
      <c r="T12" s="15"/>
      <c r="U12" s="15"/>
      <c r="V12" s="11"/>
      <c r="W12" s="15"/>
      <c r="X12" s="11"/>
      <c r="Y12" s="11"/>
      <c r="Z12" s="15"/>
      <c r="AA12" s="11"/>
      <c r="AB12" s="11"/>
      <c r="AC12" s="15"/>
      <c r="AD12" s="15"/>
      <c r="AE12" s="15"/>
      <c r="AF12" s="11"/>
      <c r="AG12" s="15"/>
      <c r="AH12" s="11"/>
      <c r="AI12" s="11"/>
      <c r="AJ12" s="15"/>
      <c r="AK12" s="11"/>
      <c r="AL12" s="11"/>
      <c r="AM12" s="15"/>
      <c r="AN12" s="15"/>
      <c r="AO12" s="15"/>
      <c r="AP12" s="11"/>
      <c r="AQ12" s="15"/>
      <c r="AR12" s="11"/>
      <c r="AS12" s="11"/>
      <c r="AT12" s="15"/>
      <c r="AU12" s="11"/>
      <c r="AV12" s="11"/>
      <c r="AW12" s="15"/>
      <c r="AX12" s="15"/>
      <c r="AY12" s="15"/>
      <c r="AZ12" s="11"/>
      <c r="BA12" s="15"/>
      <c r="BB12" s="11"/>
      <c r="BC12" s="11"/>
      <c r="BD12" s="15"/>
      <c r="BE12" s="11"/>
      <c r="BF12" s="11"/>
      <c r="BG12" s="15"/>
      <c r="BH12" s="11"/>
      <c r="BI12" s="11"/>
      <c r="BJ12" s="11"/>
      <c r="BK12" s="11"/>
      <c r="BL12" s="28" t="str">
        <f t="shared" si="0"/>
        <v/>
      </c>
      <c r="BM12" s="28"/>
      <c r="BN12" s="11"/>
      <c r="BO12" s="29" t="str">
        <f t="shared" si="1"/>
        <v/>
      </c>
      <c r="BP12" s="11"/>
      <c r="BQ12" s="11"/>
      <c r="BR12" s="11"/>
      <c r="BS12" s="11"/>
      <c r="BT12" s="11"/>
      <c r="BU12" s="11"/>
      <c r="BV12" s="11"/>
      <c r="BW12" s="28" t="str">
        <f t="shared" si="2"/>
        <v/>
      </c>
      <c r="BX12" s="28"/>
      <c r="BY12" s="11"/>
      <c r="BZ12" s="29" t="str">
        <f t="shared" si="3"/>
        <v/>
      </c>
      <c r="CA12" s="11"/>
      <c r="CB12" s="11"/>
      <c r="CC12" s="11"/>
      <c r="CD12" s="11"/>
      <c r="CE12" s="11"/>
      <c r="CF12" s="11"/>
      <c r="CG12" s="11"/>
      <c r="CH12" s="11"/>
      <c r="CI12" s="29"/>
      <c r="CJ12" s="28"/>
      <c r="CK12" s="11"/>
      <c r="CL12" s="11"/>
      <c r="CM12" s="11"/>
      <c r="CN12" s="29"/>
      <c r="CO12" s="28"/>
      <c r="CP12" s="11"/>
      <c r="CQ12" s="11"/>
      <c r="CR12" s="11"/>
      <c r="CS12" s="29"/>
      <c r="CT12" s="28"/>
      <c r="CU12" s="11"/>
      <c r="CV12" s="11"/>
      <c r="CW12" s="11"/>
      <c r="CX12" s="29"/>
      <c r="CY12" s="28"/>
      <c r="CZ12" s="30"/>
      <c r="DA12" s="30"/>
      <c r="DB12" s="30"/>
      <c r="DC12" s="30"/>
      <c r="DD12" s="30" t="str">
        <f t="shared" si="4"/>
        <v/>
      </c>
    </row>
    <row r="13" spans="1:108" ht="15.75" customHeight="1">
      <c r="A13" s="26"/>
      <c r="B13" s="11"/>
      <c r="C13" s="11"/>
      <c r="D13" s="11"/>
      <c r="E13" s="11"/>
      <c r="F13" s="11"/>
      <c r="G13" s="11"/>
      <c r="H13" s="11"/>
      <c r="I13" s="11"/>
      <c r="J13" s="11"/>
      <c r="K13" s="11"/>
      <c r="L13" s="11"/>
      <c r="M13" s="27"/>
      <c r="N13" s="11"/>
      <c r="O13" s="11"/>
      <c r="P13" s="15"/>
      <c r="Q13" s="11"/>
      <c r="R13" s="11"/>
      <c r="S13" s="15"/>
      <c r="T13" s="15"/>
      <c r="U13" s="15"/>
      <c r="V13" s="11"/>
      <c r="W13" s="15"/>
      <c r="X13" s="11"/>
      <c r="Y13" s="11"/>
      <c r="Z13" s="15"/>
      <c r="AA13" s="11"/>
      <c r="AB13" s="11"/>
      <c r="AC13" s="15"/>
      <c r="AD13" s="15"/>
      <c r="AE13" s="15"/>
      <c r="AF13" s="11"/>
      <c r="AG13" s="15"/>
      <c r="AH13" s="11"/>
      <c r="AI13" s="11"/>
      <c r="AJ13" s="15"/>
      <c r="AK13" s="11"/>
      <c r="AL13" s="11"/>
      <c r="AM13" s="15"/>
      <c r="AN13" s="15"/>
      <c r="AO13" s="15"/>
      <c r="AP13" s="11"/>
      <c r="AQ13" s="15"/>
      <c r="AR13" s="11"/>
      <c r="AS13" s="11"/>
      <c r="AT13" s="15"/>
      <c r="AU13" s="11"/>
      <c r="AV13" s="11"/>
      <c r="AW13" s="15"/>
      <c r="AX13" s="15"/>
      <c r="AY13" s="15"/>
      <c r="AZ13" s="11"/>
      <c r="BA13" s="15"/>
      <c r="BB13" s="11"/>
      <c r="BC13" s="11"/>
      <c r="BD13" s="15"/>
      <c r="BE13" s="11"/>
      <c r="BF13" s="11"/>
      <c r="BG13" s="15"/>
      <c r="BH13" s="11"/>
      <c r="BI13" s="11"/>
      <c r="BJ13" s="11"/>
      <c r="BK13" s="11"/>
      <c r="BL13" s="28" t="str">
        <f t="shared" si="0"/>
        <v/>
      </c>
      <c r="BM13" s="28"/>
      <c r="BN13" s="11"/>
      <c r="BO13" s="29" t="str">
        <f t="shared" si="1"/>
        <v/>
      </c>
      <c r="BP13" s="11"/>
      <c r="BQ13" s="11"/>
      <c r="BR13" s="11"/>
      <c r="BS13" s="11"/>
      <c r="BT13" s="11"/>
      <c r="BU13" s="11"/>
      <c r="BV13" s="11"/>
      <c r="BW13" s="28" t="str">
        <f t="shared" si="2"/>
        <v/>
      </c>
      <c r="BX13" s="28"/>
      <c r="BY13" s="11"/>
      <c r="BZ13" s="29" t="str">
        <f t="shared" si="3"/>
        <v/>
      </c>
      <c r="CA13" s="11"/>
      <c r="CB13" s="11"/>
      <c r="CC13" s="11"/>
      <c r="CD13" s="11"/>
      <c r="CE13" s="11"/>
      <c r="CF13" s="11"/>
      <c r="CG13" s="11"/>
      <c r="CH13" s="11"/>
      <c r="CI13" s="29"/>
      <c r="CJ13" s="28"/>
      <c r="CK13" s="11"/>
      <c r="CL13" s="11"/>
      <c r="CM13" s="11"/>
      <c r="CN13" s="29"/>
      <c r="CO13" s="28"/>
      <c r="CP13" s="11"/>
      <c r="CQ13" s="11"/>
      <c r="CR13" s="11"/>
      <c r="CS13" s="29"/>
      <c r="CT13" s="28"/>
      <c r="CU13" s="11"/>
      <c r="CV13" s="11"/>
      <c r="CW13" s="11"/>
      <c r="CX13" s="29"/>
      <c r="CY13" s="28"/>
      <c r="CZ13" s="30"/>
      <c r="DA13" s="30"/>
      <c r="DB13" s="30"/>
      <c r="DC13" s="30"/>
      <c r="DD13" s="30" t="str">
        <f t="shared" si="4"/>
        <v/>
      </c>
    </row>
    <row r="14" spans="1:108" ht="15.75" customHeight="1">
      <c r="A14" s="11"/>
      <c r="B14" s="11"/>
      <c r="C14" s="11"/>
      <c r="D14" s="11"/>
      <c r="E14" s="11"/>
      <c r="F14" s="11"/>
      <c r="G14" s="11"/>
      <c r="H14" s="11"/>
      <c r="I14" s="11"/>
      <c r="J14" s="11"/>
      <c r="K14" s="11"/>
      <c r="L14" s="11"/>
      <c r="M14" s="27"/>
      <c r="N14" s="11"/>
      <c r="O14" s="11"/>
      <c r="P14" s="15"/>
      <c r="Q14" s="11"/>
      <c r="R14" s="11"/>
      <c r="S14" s="15"/>
      <c r="T14" s="15"/>
      <c r="U14" s="15"/>
      <c r="V14" s="11"/>
      <c r="W14" s="15"/>
      <c r="X14" s="11"/>
      <c r="Y14" s="11"/>
      <c r="Z14" s="15"/>
      <c r="AA14" s="11"/>
      <c r="AB14" s="11"/>
      <c r="AC14" s="15"/>
      <c r="AD14" s="15"/>
      <c r="AE14" s="15"/>
      <c r="AF14" s="11"/>
      <c r="AG14" s="15"/>
      <c r="AH14" s="11"/>
      <c r="AI14" s="11"/>
      <c r="AJ14" s="15"/>
      <c r="AK14" s="11"/>
      <c r="AL14" s="11"/>
      <c r="AM14" s="15"/>
      <c r="AN14" s="15"/>
      <c r="AO14" s="15"/>
      <c r="AP14" s="11"/>
      <c r="AQ14" s="15"/>
      <c r="AR14" s="11"/>
      <c r="AS14" s="11"/>
      <c r="AT14" s="15"/>
      <c r="AU14" s="11"/>
      <c r="AV14" s="11"/>
      <c r="AW14" s="15"/>
      <c r="AX14" s="15"/>
      <c r="AY14" s="15"/>
      <c r="AZ14" s="11"/>
      <c r="BA14" s="15"/>
      <c r="BB14" s="11"/>
      <c r="BC14" s="11"/>
      <c r="BD14" s="15"/>
      <c r="BE14" s="11"/>
      <c r="BF14" s="11"/>
      <c r="BG14" s="15"/>
      <c r="BH14" s="11"/>
      <c r="BI14" s="11"/>
      <c r="BJ14" s="11"/>
      <c r="BK14" s="11"/>
      <c r="BL14" s="28" t="str">
        <f t="shared" si="0"/>
        <v/>
      </c>
      <c r="BM14" s="28"/>
      <c r="BN14" s="11"/>
      <c r="BO14" s="29" t="str">
        <f t="shared" si="1"/>
        <v/>
      </c>
      <c r="BP14" s="11"/>
      <c r="BQ14" s="11"/>
      <c r="BR14" s="11"/>
      <c r="BS14" s="11"/>
      <c r="BT14" s="11"/>
      <c r="BU14" s="11"/>
      <c r="BV14" s="11"/>
      <c r="BW14" s="28" t="str">
        <f t="shared" si="2"/>
        <v/>
      </c>
      <c r="BX14" s="28"/>
      <c r="BY14" s="11"/>
      <c r="BZ14" s="29" t="str">
        <f t="shared" si="3"/>
        <v/>
      </c>
      <c r="CA14" s="11"/>
      <c r="CB14" s="11"/>
      <c r="CC14" s="11"/>
      <c r="CD14" s="11"/>
      <c r="CE14" s="11"/>
      <c r="CF14" s="11"/>
      <c r="CG14" s="11"/>
      <c r="CH14" s="11"/>
      <c r="CI14" s="29"/>
      <c r="CJ14" s="28"/>
      <c r="CK14" s="11"/>
      <c r="CL14" s="11"/>
      <c r="CM14" s="11"/>
      <c r="CN14" s="29"/>
      <c r="CO14" s="28"/>
      <c r="CP14" s="11"/>
      <c r="CQ14" s="11"/>
      <c r="CR14" s="11"/>
      <c r="CS14" s="29"/>
      <c r="CT14" s="28"/>
      <c r="CU14" s="11"/>
      <c r="CV14" s="11"/>
      <c r="CW14" s="11"/>
      <c r="CX14" s="29"/>
      <c r="CY14" s="28"/>
      <c r="CZ14" s="30"/>
      <c r="DA14" s="30"/>
      <c r="DB14" s="30"/>
      <c r="DC14" s="30"/>
      <c r="DD14" s="30" t="str">
        <f t="shared" si="4"/>
        <v/>
      </c>
    </row>
    <row r="15" spans="1:108" ht="15.75" customHeight="1">
      <c r="A15" s="26"/>
      <c r="B15" s="11"/>
      <c r="C15" s="11"/>
      <c r="D15" s="11"/>
      <c r="E15" s="11"/>
      <c r="F15" s="11"/>
      <c r="G15" s="11"/>
      <c r="H15" s="11"/>
      <c r="I15" s="11"/>
      <c r="J15" s="11"/>
      <c r="K15" s="11"/>
      <c r="L15" s="11"/>
      <c r="M15" s="27"/>
      <c r="N15" s="11"/>
      <c r="O15" s="11"/>
      <c r="P15" s="15"/>
      <c r="Q15" s="11"/>
      <c r="R15" s="11"/>
      <c r="S15" s="15"/>
      <c r="T15" s="15"/>
      <c r="U15" s="15"/>
      <c r="V15" s="11"/>
      <c r="W15" s="15"/>
      <c r="X15" s="11"/>
      <c r="Y15" s="11"/>
      <c r="Z15" s="15"/>
      <c r="AA15" s="11"/>
      <c r="AB15" s="11"/>
      <c r="AC15" s="15"/>
      <c r="AD15" s="15"/>
      <c r="AE15" s="15"/>
      <c r="AF15" s="11"/>
      <c r="AG15" s="15"/>
      <c r="AH15" s="11"/>
      <c r="AI15" s="11"/>
      <c r="AJ15" s="15"/>
      <c r="AK15" s="11"/>
      <c r="AL15" s="11"/>
      <c r="AM15" s="15"/>
      <c r="AN15" s="15"/>
      <c r="AO15" s="15"/>
      <c r="AP15" s="11"/>
      <c r="AQ15" s="15"/>
      <c r="AR15" s="11"/>
      <c r="AS15" s="11"/>
      <c r="AT15" s="15"/>
      <c r="AU15" s="11"/>
      <c r="AV15" s="11"/>
      <c r="AW15" s="15"/>
      <c r="AX15" s="15"/>
      <c r="AY15" s="15"/>
      <c r="AZ15" s="11"/>
      <c r="BA15" s="15"/>
      <c r="BB15" s="11"/>
      <c r="BC15" s="11"/>
      <c r="BD15" s="15"/>
      <c r="BE15" s="11"/>
      <c r="BF15" s="11"/>
      <c r="BG15" s="15"/>
      <c r="BH15" s="11"/>
      <c r="BI15" s="11"/>
      <c r="BJ15" s="11"/>
      <c r="BK15" s="11"/>
      <c r="BL15" s="28" t="str">
        <f t="shared" si="0"/>
        <v/>
      </c>
      <c r="BM15" s="28"/>
      <c r="BN15" s="11"/>
      <c r="BO15" s="29" t="str">
        <f t="shared" si="1"/>
        <v/>
      </c>
      <c r="BP15" s="11"/>
      <c r="BQ15" s="11"/>
      <c r="BR15" s="11"/>
      <c r="BS15" s="11"/>
      <c r="BT15" s="11"/>
      <c r="BU15" s="11"/>
      <c r="BV15" s="11"/>
      <c r="BW15" s="28" t="str">
        <f t="shared" si="2"/>
        <v/>
      </c>
      <c r="BX15" s="28"/>
      <c r="BY15" s="11"/>
      <c r="BZ15" s="29" t="str">
        <f t="shared" si="3"/>
        <v/>
      </c>
      <c r="CA15" s="11"/>
      <c r="CB15" s="11"/>
      <c r="CC15" s="11"/>
      <c r="CD15" s="11"/>
      <c r="CE15" s="11"/>
      <c r="CF15" s="11"/>
      <c r="CG15" s="11"/>
      <c r="CH15" s="11"/>
      <c r="CI15" s="29"/>
      <c r="CJ15" s="28"/>
      <c r="CK15" s="11"/>
      <c r="CL15" s="11"/>
      <c r="CM15" s="11"/>
      <c r="CN15" s="29"/>
      <c r="CO15" s="28"/>
      <c r="CP15" s="11"/>
      <c r="CQ15" s="11"/>
      <c r="CR15" s="11"/>
      <c r="CS15" s="29"/>
      <c r="CT15" s="28"/>
      <c r="CU15" s="11"/>
      <c r="CV15" s="11"/>
      <c r="CW15" s="11"/>
      <c r="CX15" s="29"/>
      <c r="CY15" s="28"/>
      <c r="CZ15" s="30"/>
      <c r="DA15" s="30"/>
      <c r="DB15" s="30"/>
      <c r="DC15" s="30"/>
      <c r="DD15" s="30" t="str">
        <f t="shared" si="4"/>
        <v/>
      </c>
    </row>
    <row r="16" spans="1:108" ht="15.75" customHeight="1">
      <c r="A16" s="26"/>
      <c r="B16" s="11"/>
      <c r="C16" s="11"/>
      <c r="D16" s="11"/>
      <c r="E16" s="11"/>
      <c r="F16" s="11"/>
      <c r="G16" s="11"/>
      <c r="H16" s="11"/>
      <c r="I16" s="11"/>
      <c r="J16" s="11"/>
      <c r="K16" s="11"/>
      <c r="L16" s="11"/>
      <c r="M16" s="27"/>
      <c r="N16" s="11"/>
      <c r="O16" s="11"/>
      <c r="P16" s="15"/>
      <c r="Q16" s="11"/>
      <c r="R16" s="11"/>
      <c r="S16" s="15"/>
      <c r="T16" s="15"/>
      <c r="U16" s="15"/>
      <c r="V16" s="11"/>
      <c r="W16" s="15"/>
      <c r="X16" s="11"/>
      <c r="Y16" s="11"/>
      <c r="Z16" s="15"/>
      <c r="AA16" s="11"/>
      <c r="AB16" s="11"/>
      <c r="AC16" s="15"/>
      <c r="AD16" s="15"/>
      <c r="AE16" s="15"/>
      <c r="AF16" s="11"/>
      <c r="AG16" s="15"/>
      <c r="AH16" s="11"/>
      <c r="AI16" s="11"/>
      <c r="AJ16" s="15"/>
      <c r="AK16" s="11"/>
      <c r="AL16" s="11"/>
      <c r="AM16" s="15"/>
      <c r="AN16" s="15"/>
      <c r="AO16" s="15"/>
      <c r="AP16" s="11"/>
      <c r="AQ16" s="15"/>
      <c r="AR16" s="11"/>
      <c r="AS16" s="11"/>
      <c r="AT16" s="15"/>
      <c r="AU16" s="11"/>
      <c r="AV16" s="11"/>
      <c r="AW16" s="15"/>
      <c r="AX16" s="15"/>
      <c r="AY16" s="15"/>
      <c r="AZ16" s="11"/>
      <c r="BA16" s="15"/>
      <c r="BB16" s="11"/>
      <c r="BC16" s="11"/>
      <c r="BD16" s="15"/>
      <c r="BE16" s="11"/>
      <c r="BF16" s="11"/>
      <c r="BG16" s="15"/>
      <c r="BH16" s="11"/>
      <c r="BI16" s="11"/>
      <c r="BJ16" s="11"/>
      <c r="BK16" s="11"/>
      <c r="BL16" s="28" t="str">
        <f t="shared" si="0"/>
        <v/>
      </c>
      <c r="BM16" s="28"/>
      <c r="BN16" s="11"/>
      <c r="BO16" s="29" t="str">
        <f t="shared" si="1"/>
        <v/>
      </c>
      <c r="BP16" s="11"/>
      <c r="BQ16" s="11"/>
      <c r="BR16" s="11"/>
      <c r="BS16" s="11"/>
      <c r="BT16" s="11"/>
      <c r="BU16" s="11"/>
      <c r="BV16" s="11"/>
      <c r="BW16" s="28" t="str">
        <f t="shared" si="2"/>
        <v/>
      </c>
      <c r="BX16" s="28"/>
      <c r="BY16" s="11"/>
      <c r="BZ16" s="29" t="str">
        <f t="shared" si="3"/>
        <v/>
      </c>
      <c r="CA16" s="11"/>
      <c r="CB16" s="11"/>
      <c r="CC16" s="11"/>
      <c r="CD16" s="11"/>
      <c r="CE16" s="11"/>
      <c r="CF16" s="11"/>
      <c r="CG16" s="11"/>
      <c r="CH16" s="11"/>
      <c r="CI16" s="29"/>
      <c r="CJ16" s="28"/>
      <c r="CK16" s="11"/>
      <c r="CL16" s="11"/>
      <c r="CM16" s="11"/>
      <c r="CN16" s="29"/>
      <c r="CO16" s="28"/>
      <c r="CP16" s="11"/>
      <c r="CQ16" s="11"/>
      <c r="CR16" s="11"/>
      <c r="CS16" s="29"/>
      <c r="CT16" s="28"/>
      <c r="CU16" s="11"/>
      <c r="CV16" s="11"/>
      <c r="CW16" s="11"/>
      <c r="CX16" s="29"/>
      <c r="CY16" s="28"/>
      <c r="CZ16" s="30"/>
      <c r="DA16" s="30"/>
      <c r="DB16" s="30"/>
      <c r="DC16" s="30"/>
      <c r="DD16" s="30" t="str">
        <f t="shared" si="4"/>
        <v/>
      </c>
    </row>
    <row r="17" spans="1:108" ht="15.75" customHeight="1">
      <c r="A17" s="26"/>
      <c r="B17" s="11"/>
      <c r="C17" s="11"/>
      <c r="D17" s="11"/>
      <c r="E17" s="11"/>
      <c r="F17" s="11"/>
      <c r="G17" s="11"/>
      <c r="H17" s="11"/>
      <c r="I17" s="11"/>
      <c r="J17" s="11"/>
      <c r="K17" s="11"/>
      <c r="L17" s="11"/>
      <c r="M17" s="27"/>
      <c r="N17" s="11"/>
      <c r="O17" s="11"/>
      <c r="P17" s="15"/>
      <c r="Q17" s="11"/>
      <c r="R17" s="11"/>
      <c r="S17" s="15"/>
      <c r="T17" s="15"/>
      <c r="U17" s="15"/>
      <c r="V17" s="11"/>
      <c r="W17" s="15"/>
      <c r="X17" s="11"/>
      <c r="Y17" s="11"/>
      <c r="Z17" s="15"/>
      <c r="AA17" s="11"/>
      <c r="AB17" s="11"/>
      <c r="AC17" s="15"/>
      <c r="AD17" s="15"/>
      <c r="AE17" s="15"/>
      <c r="AF17" s="11"/>
      <c r="AG17" s="15"/>
      <c r="AH17" s="11"/>
      <c r="AI17" s="11"/>
      <c r="AJ17" s="15"/>
      <c r="AK17" s="11"/>
      <c r="AL17" s="11"/>
      <c r="AM17" s="15"/>
      <c r="AN17" s="15"/>
      <c r="AO17" s="15"/>
      <c r="AP17" s="11"/>
      <c r="AQ17" s="15"/>
      <c r="AR17" s="11"/>
      <c r="AS17" s="11"/>
      <c r="AT17" s="15"/>
      <c r="AU17" s="11"/>
      <c r="AV17" s="11"/>
      <c r="AW17" s="15"/>
      <c r="AX17" s="15"/>
      <c r="AY17" s="15"/>
      <c r="AZ17" s="11"/>
      <c r="BA17" s="15"/>
      <c r="BB17" s="11"/>
      <c r="BC17" s="11"/>
      <c r="BD17" s="15"/>
      <c r="BE17" s="11"/>
      <c r="BF17" s="11"/>
      <c r="BG17" s="15"/>
      <c r="BH17" s="11"/>
      <c r="BI17" s="11"/>
      <c r="BJ17" s="11"/>
      <c r="BK17" s="11"/>
      <c r="BL17" s="28" t="str">
        <f t="shared" si="0"/>
        <v/>
      </c>
      <c r="BM17" s="28"/>
      <c r="BN17" s="11"/>
      <c r="BO17" s="29" t="str">
        <f t="shared" si="1"/>
        <v/>
      </c>
      <c r="BP17" s="11"/>
      <c r="BQ17" s="11"/>
      <c r="BR17" s="11"/>
      <c r="BS17" s="11"/>
      <c r="BT17" s="11"/>
      <c r="BU17" s="11"/>
      <c r="BV17" s="11"/>
      <c r="BW17" s="28" t="str">
        <f t="shared" si="2"/>
        <v/>
      </c>
      <c r="BX17" s="28"/>
      <c r="BY17" s="11"/>
      <c r="BZ17" s="29" t="str">
        <f t="shared" si="3"/>
        <v/>
      </c>
      <c r="CA17" s="11"/>
      <c r="CB17" s="11"/>
      <c r="CC17" s="11"/>
      <c r="CD17" s="11"/>
      <c r="CE17" s="11"/>
      <c r="CF17" s="11"/>
      <c r="CG17" s="11"/>
      <c r="CH17" s="11"/>
      <c r="CI17" s="29"/>
      <c r="CJ17" s="28"/>
      <c r="CK17" s="11"/>
      <c r="CL17" s="11"/>
      <c r="CM17" s="11"/>
      <c r="CN17" s="29"/>
      <c r="CO17" s="28"/>
      <c r="CP17" s="11"/>
      <c r="CQ17" s="11"/>
      <c r="CR17" s="11"/>
      <c r="CS17" s="29"/>
      <c r="CT17" s="28"/>
      <c r="CU17" s="11"/>
      <c r="CV17" s="11"/>
      <c r="CW17" s="11"/>
      <c r="CX17" s="29"/>
      <c r="CY17" s="28"/>
      <c r="CZ17" s="30"/>
      <c r="DA17" s="30"/>
      <c r="DB17" s="30"/>
      <c r="DC17" s="30"/>
      <c r="DD17" s="30" t="str">
        <f t="shared" si="4"/>
        <v/>
      </c>
    </row>
    <row r="18" spans="1:108" ht="15.75" customHeight="1">
      <c r="A18" s="26"/>
      <c r="B18" s="11"/>
      <c r="C18" s="11"/>
      <c r="D18" s="11"/>
      <c r="E18" s="11"/>
      <c r="F18" s="11"/>
      <c r="G18" s="11"/>
      <c r="H18" s="11"/>
      <c r="I18" s="11"/>
      <c r="J18" s="11"/>
      <c r="K18" s="11"/>
      <c r="L18" s="11"/>
      <c r="M18" s="27"/>
      <c r="N18" s="11"/>
      <c r="O18" s="11"/>
      <c r="P18" s="15"/>
      <c r="Q18" s="11"/>
      <c r="R18" s="11"/>
      <c r="S18" s="15"/>
      <c r="T18" s="15"/>
      <c r="U18" s="15"/>
      <c r="V18" s="11"/>
      <c r="W18" s="15"/>
      <c r="X18" s="11"/>
      <c r="Y18" s="11"/>
      <c r="Z18" s="15"/>
      <c r="AA18" s="11"/>
      <c r="AB18" s="11"/>
      <c r="AC18" s="15"/>
      <c r="AD18" s="15"/>
      <c r="AE18" s="15"/>
      <c r="AF18" s="11"/>
      <c r="AG18" s="15"/>
      <c r="AH18" s="11"/>
      <c r="AI18" s="11"/>
      <c r="AJ18" s="15"/>
      <c r="AK18" s="11"/>
      <c r="AL18" s="11"/>
      <c r="AM18" s="15"/>
      <c r="AN18" s="15"/>
      <c r="AO18" s="15"/>
      <c r="AP18" s="11"/>
      <c r="AQ18" s="15"/>
      <c r="AR18" s="11"/>
      <c r="AS18" s="11"/>
      <c r="AT18" s="15"/>
      <c r="AU18" s="11"/>
      <c r="AV18" s="11"/>
      <c r="AW18" s="15"/>
      <c r="AX18" s="15"/>
      <c r="AY18" s="15"/>
      <c r="AZ18" s="11"/>
      <c r="BA18" s="15"/>
      <c r="BB18" s="11"/>
      <c r="BC18" s="11"/>
      <c r="BD18" s="15"/>
      <c r="BE18" s="11"/>
      <c r="BF18" s="11"/>
      <c r="BG18" s="15"/>
      <c r="BH18" s="11"/>
      <c r="BI18" s="11"/>
      <c r="BJ18" s="11"/>
      <c r="BK18" s="11"/>
      <c r="BL18" s="28" t="str">
        <f t="shared" si="0"/>
        <v/>
      </c>
      <c r="BM18" s="28"/>
      <c r="BN18" s="11"/>
      <c r="BO18" s="29" t="str">
        <f t="shared" si="1"/>
        <v/>
      </c>
      <c r="BP18" s="11"/>
      <c r="BQ18" s="11"/>
      <c r="BR18" s="11"/>
      <c r="BS18" s="11"/>
      <c r="BT18" s="11"/>
      <c r="BU18" s="11"/>
      <c r="BV18" s="11"/>
      <c r="BW18" s="28" t="str">
        <f t="shared" si="2"/>
        <v/>
      </c>
      <c r="BX18" s="28"/>
      <c r="BY18" s="11"/>
      <c r="BZ18" s="29" t="str">
        <f t="shared" si="3"/>
        <v/>
      </c>
      <c r="CA18" s="11"/>
      <c r="CB18" s="11"/>
      <c r="CC18" s="11"/>
      <c r="CD18" s="11"/>
      <c r="CE18" s="11"/>
      <c r="CF18" s="11"/>
      <c r="CG18" s="11"/>
      <c r="CH18" s="11"/>
      <c r="CI18" s="29"/>
      <c r="CJ18" s="28"/>
      <c r="CK18" s="11"/>
      <c r="CL18" s="11"/>
      <c r="CM18" s="11"/>
      <c r="CN18" s="29"/>
      <c r="CO18" s="28"/>
      <c r="CP18" s="11"/>
      <c r="CQ18" s="11"/>
      <c r="CR18" s="11"/>
      <c r="CS18" s="29"/>
      <c r="CT18" s="28"/>
      <c r="CU18" s="11"/>
      <c r="CV18" s="11"/>
      <c r="CW18" s="11"/>
      <c r="CX18" s="29"/>
      <c r="CY18" s="28"/>
      <c r="CZ18" s="30"/>
      <c r="DA18" s="30"/>
      <c r="DB18" s="30"/>
      <c r="DC18" s="30"/>
      <c r="DD18" s="30" t="str">
        <f t="shared" si="4"/>
        <v/>
      </c>
    </row>
    <row r="19" spans="1:108" ht="15.75" customHeight="1">
      <c r="A19" s="26"/>
      <c r="B19" s="11"/>
      <c r="C19" s="11"/>
      <c r="D19" s="11"/>
      <c r="E19" s="11"/>
      <c r="F19" s="11"/>
      <c r="G19" s="11"/>
      <c r="H19" s="11"/>
      <c r="I19" s="11"/>
      <c r="J19" s="11"/>
      <c r="K19" s="11"/>
      <c r="L19" s="11"/>
      <c r="M19" s="27"/>
      <c r="N19" s="11"/>
      <c r="O19" s="11"/>
      <c r="P19" s="15"/>
      <c r="Q19" s="11"/>
      <c r="R19" s="11"/>
      <c r="S19" s="15"/>
      <c r="T19" s="15"/>
      <c r="U19" s="15"/>
      <c r="V19" s="11"/>
      <c r="W19" s="15"/>
      <c r="X19" s="11"/>
      <c r="Y19" s="11"/>
      <c r="Z19" s="15"/>
      <c r="AA19" s="11"/>
      <c r="AB19" s="11"/>
      <c r="AC19" s="15"/>
      <c r="AD19" s="15"/>
      <c r="AE19" s="15"/>
      <c r="AF19" s="11"/>
      <c r="AG19" s="15"/>
      <c r="AH19" s="11"/>
      <c r="AI19" s="11"/>
      <c r="AJ19" s="15"/>
      <c r="AK19" s="11"/>
      <c r="AL19" s="11"/>
      <c r="AM19" s="15"/>
      <c r="AN19" s="15"/>
      <c r="AO19" s="15"/>
      <c r="AP19" s="11"/>
      <c r="AQ19" s="15"/>
      <c r="AR19" s="11"/>
      <c r="AS19" s="11"/>
      <c r="AT19" s="15"/>
      <c r="AU19" s="11"/>
      <c r="AV19" s="11"/>
      <c r="AW19" s="15"/>
      <c r="AX19" s="15"/>
      <c r="AY19" s="15"/>
      <c r="AZ19" s="11"/>
      <c r="BA19" s="15"/>
      <c r="BB19" s="11"/>
      <c r="BC19" s="11"/>
      <c r="BD19" s="15"/>
      <c r="BE19" s="11"/>
      <c r="BF19" s="11"/>
      <c r="BG19" s="15"/>
      <c r="BH19" s="11"/>
      <c r="BI19" s="11"/>
      <c r="BJ19" s="11"/>
      <c r="BK19" s="11"/>
      <c r="BL19" s="28" t="str">
        <f t="shared" si="0"/>
        <v/>
      </c>
      <c r="BM19" s="28"/>
      <c r="BN19" s="11"/>
      <c r="BO19" s="29" t="str">
        <f t="shared" si="1"/>
        <v/>
      </c>
      <c r="BP19" s="11"/>
      <c r="BQ19" s="11"/>
      <c r="BR19" s="11"/>
      <c r="BS19" s="11"/>
      <c r="BT19" s="11"/>
      <c r="BU19" s="11"/>
      <c r="BV19" s="11"/>
      <c r="BW19" s="28" t="str">
        <f t="shared" si="2"/>
        <v/>
      </c>
      <c r="BX19" s="28"/>
      <c r="BY19" s="11"/>
      <c r="BZ19" s="29" t="str">
        <f t="shared" si="3"/>
        <v/>
      </c>
      <c r="CA19" s="11"/>
      <c r="CB19" s="11"/>
      <c r="CC19" s="11"/>
      <c r="CD19" s="11"/>
      <c r="CE19" s="11"/>
      <c r="CF19" s="11"/>
      <c r="CG19" s="11"/>
      <c r="CH19" s="11"/>
      <c r="CI19" s="29"/>
      <c r="CJ19" s="28"/>
      <c r="CK19" s="11"/>
      <c r="CL19" s="11"/>
      <c r="CM19" s="11"/>
      <c r="CN19" s="29"/>
      <c r="CO19" s="28"/>
      <c r="CP19" s="11"/>
      <c r="CQ19" s="11"/>
      <c r="CR19" s="11"/>
      <c r="CS19" s="29"/>
      <c r="CT19" s="28"/>
      <c r="CU19" s="11"/>
      <c r="CV19" s="11"/>
      <c r="CW19" s="11"/>
      <c r="CX19" s="29"/>
      <c r="CY19" s="28"/>
      <c r="CZ19" s="30"/>
      <c r="DA19" s="30"/>
      <c r="DB19" s="30"/>
      <c r="DC19" s="30"/>
      <c r="DD19" s="30" t="str">
        <f t="shared" si="4"/>
        <v/>
      </c>
    </row>
    <row r="20" spans="1:108" ht="15.75" customHeight="1">
      <c r="A20" s="26"/>
      <c r="B20" s="11"/>
      <c r="C20" s="11"/>
      <c r="D20" s="11"/>
      <c r="E20" s="11"/>
      <c r="F20" s="11"/>
      <c r="G20" s="11"/>
      <c r="H20" s="11"/>
      <c r="I20" s="11"/>
      <c r="J20" s="11"/>
      <c r="K20" s="11"/>
      <c r="L20" s="11"/>
      <c r="M20" s="27"/>
      <c r="N20" s="11"/>
      <c r="O20" s="11"/>
      <c r="P20" s="15"/>
      <c r="Q20" s="11"/>
      <c r="R20" s="11"/>
      <c r="S20" s="15"/>
      <c r="T20" s="15"/>
      <c r="U20" s="15"/>
      <c r="V20" s="11"/>
      <c r="W20" s="15"/>
      <c r="X20" s="11"/>
      <c r="Y20" s="11"/>
      <c r="Z20" s="15"/>
      <c r="AA20" s="11"/>
      <c r="AB20" s="11"/>
      <c r="AC20" s="15"/>
      <c r="AD20" s="15"/>
      <c r="AE20" s="15"/>
      <c r="AF20" s="11"/>
      <c r="AG20" s="15"/>
      <c r="AH20" s="11"/>
      <c r="AI20" s="11"/>
      <c r="AJ20" s="15"/>
      <c r="AK20" s="11"/>
      <c r="AL20" s="11"/>
      <c r="AM20" s="15"/>
      <c r="AN20" s="15"/>
      <c r="AO20" s="15"/>
      <c r="AP20" s="11"/>
      <c r="AQ20" s="15"/>
      <c r="AR20" s="11"/>
      <c r="AS20" s="11"/>
      <c r="AT20" s="15"/>
      <c r="AU20" s="11"/>
      <c r="AV20" s="11"/>
      <c r="AW20" s="15"/>
      <c r="AX20" s="15"/>
      <c r="AY20" s="15"/>
      <c r="AZ20" s="11"/>
      <c r="BA20" s="15"/>
      <c r="BB20" s="11"/>
      <c r="BC20" s="11"/>
      <c r="BD20" s="15"/>
      <c r="BE20" s="11"/>
      <c r="BF20" s="11"/>
      <c r="BG20" s="15"/>
      <c r="BH20" s="11"/>
      <c r="BI20" s="11"/>
      <c r="BJ20" s="11"/>
      <c r="BK20" s="11"/>
      <c r="BL20" s="28" t="str">
        <f t="shared" si="0"/>
        <v/>
      </c>
      <c r="BM20" s="28"/>
      <c r="BN20" s="11"/>
      <c r="BO20" s="29" t="str">
        <f t="shared" si="1"/>
        <v/>
      </c>
      <c r="BP20" s="11"/>
      <c r="BQ20" s="11"/>
      <c r="BR20" s="11"/>
      <c r="BS20" s="11"/>
      <c r="BT20" s="11"/>
      <c r="BU20" s="11"/>
      <c r="BV20" s="11"/>
      <c r="BW20" s="28" t="str">
        <f t="shared" si="2"/>
        <v/>
      </c>
      <c r="BX20" s="28"/>
      <c r="BY20" s="11"/>
      <c r="BZ20" s="29" t="str">
        <f t="shared" si="3"/>
        <v/>
      </c>
      <c r="CA20" s="11"/>
      <c r="CB20" s="11"/>
      <c r="CC20" s="11"/>
      <c r="CD20" s="11"/>
      <c r="CE20" s="11"/>
      <c r="CF20" s="11"/>
      <c r="CG20" s="11"/>
      <c r="CH20" s="11"/>
      <c r="CI20" s="29"/>
      <c r="CJ20" s="28"/>
      <c r="CK20" s="11"/>
      <c r="CL20" s="11"/>
      <c r="CM20" s="11"/>
      <c r="CN20" s="29"/>
      <c r="CO20" s="28"/>
      <c r="CP20" s="11"/>
      <c r="CQ20" s="11"/>
      <c r="CR20" s="11"/>
      <c r="CS20" s="29"/>
      <c r="CT20" s="28"/>
      <c r="CU20" s="11"/>
      <c r="CV20" s="11"/>
      <c r="CW20" s="11"/>
      <c r="CX20" s="29"/>
      <c r="CY20" s="28"/>
      <c r="CZ20" s="30"/>
      <c r="DA20" s="30"/>
      <c r="DB20" s="30"/>
      <c r="DC20" s="30"/>
      <c r="DD20" s="30" t="str">
        <f t="shared" si="4"/>
        <v/>
      </c>
    </row>
    <row r="21" spans="1:108" ht="15.75" customHeight="1">
      <c r="A21" s="26"/>
      <c r="B21" s="11"/>
      <c r="C21" s="11"/>
      <c r="D21" s="11"/>
      <c r="E21" s="11"/>
      <c r="F21" s="11"/>
      <c r="G21" s="11"/>
      <c r="H21" s="11"/>
      <c r="I21" s="11"/>
      <c r="J21" s="11"/>
      <c r="K21" s="11"/>
      <c r="L21" s="11"/>
      <c r="M21" s="27"/>
      <c r="N21" s="11"/>
      <c r="O21" s="11"/>
      <c r="P21" s="15"/>
      <c r="Q21" s="11"/>
      <c r="R21" s="11"/>
      <c r="S21" s="15"/>
      <c r="T21" s="15"/>
      <c r="U21" s="15"/>
      <c r="V21" s="11"/>
      <c r="W21" s="15"/>
      <c r="X21" s="11"/>
      <c r="Y21" s="11"/>
      <c r="Z21" s="15"/>
      <c r="AA21" s="11"/>
      <c r="AB21" s="11"/>
      <c r="AC21" s="15"/>
      <c r="AD21" s="15"/>
      <c r="AE21" s="15"/>
      <c r="AF21" s="11"/>
      <c r="AG21" s="15"/>
      <c r="AH21" s="11"/>
      <c r="AI21" s="11"/>
      <c r="AJ21" s="15"/>
      <c r="AK21" s="11"/>
      <c r="AL21" s="11"/>
      <c r="AM21" s="15"/>
      <c r="AN21" s="15"/>
      <c r="AO21" s="15"/>
      <c r="AP21" s="11"/>
      <c r="AQ21" s="15"/>
      <c r="AR21" s="11"/>
      <c r="AS21" s="11"/>
      <c r="AT21" s="15"/>
      <c r="AU21" s="11"/>
      <c r="AV21" s="11"/>
      <c r="AW21" s="15"/>
      <c r="AX21" s="15"/>
      <c r="AY21" s="15"/>
      <c r="AZ21" s="11"/>
      <c r="BA21" s="15"/>
      <c r="BB21" s="11"/>
      <c r="BC21" s="11"/>
      <c r="BD21" s="15"/>
      <c r="BE21" s="11"/>
      <c r="BF21" s="11"/>
      <c r="BG21" s="15"/>
      <c r="BH21" s="11"/>
      <c r="BI21" s="11"/>
      <c r="BJ21" s="11"/>
      <c r="BK21" s="11"/>
      <c r="BL21" s="28" t="str">
        <f t="shared" si="0"/>
        <v/>
      </c>
      <c r="BM21" s="28"/>
      <c r="BN21" s="11"/>
      <c r="BO21" s="29" t="str">
        <f t="shared" si="1"/>
        <v/>
      </c>
      <c r="BP21" s="11"/>
      <c r="BQ21" s="11"/>
      <c r="BR21" s="11"/>
      <c r="BS21" s="11"/>
      <c r="BT21" s="11"/>
      <c r="BU21" s="11"/>
      <c r="BV21" s="11"/>
      <c r="BW21" s="28" t="str">
        <f t="shared" si="2"/>
        <v/>
      </c>
      <c r="BX21" s="28"/>
      <c r="BY21" s="11"/>
      <c r="BZ21" s="29" t="str">
        <f t="shared" si="3"/>
        <v/>
      </c>
      <c r="CA21" s="11"/>
      <c r="CB21" s="11"/>
      <c r="CC21" s="11"/>
      <c r="CD21" s="11"/>
      <c r="CE21" s="11"/>
      <c r="CF21" s="11"/>
      <c r="CG21" s="11"/>
      <c r="CH21" s="11"/>
      <c r="CI21" s="29"/>
      <c r="CJ21" s="28"/>
      <c r="CK21" s="11"/>
      <c r="CL21" s="11"/>
      <c r="CM21" s="11"/>
      <c r="CN21" s="29"/>
      <c r="CO21" s="28"/>
      <c r="CP21" s="11"/>
      <c r="CQ21" s="11"/>
      <c r="CR21" s="11"/>
      <c r="CS21" s="29"/>
      <c r="CT21" s="28"/>
      <c r="CU21" s="11"/>
      <c r="CV21" s="11"/>
      <c r="CW21" s="11"/>
      <c r="CX21" s="29"/>
      <c r="CY21" s="28"/>
      <c r="CZ21" s="30"/>
      <c r="DA21" s="30"/>
      <c r="DB21" s="30"/>
      <c r="DC21" s="30"/>
      <c r="DD21" s="30" t="str">
        <f t="shared" si="4"/>
        <v/>
      </c>
    </row>
    <row r="22" spans="1:108" ht="15.75" customHeight="1">
      <c r="A22" s="26"/>
      <c r="B22" s="11"/>
      <c r="C22" s="11"/>
      <c r="D22" s="11"/>
      <c r="E22" s="11"/>
      <c r="F22" s="11"/>
      <c r="G22" s="11"/>
      <c r="H22" s="11"/>
      <c r="I22" s="11"/>
      <c r="J22" s="11"/>
      <c r="K22" s="11"/>
      <c r="L22" s="11"/>
      <c r="M22" s="27"/>
      <c r="N22" s="11"/>
      <c r="O22" s="11"/>
      <c r="P22" s="15"/>
      <c r="Q22" s="11"/>
      <c r="R22" s="11"/>
      <c r="S22" s="15"/>
      <c r="T22" s="15"/>
      <c r="U22" s="15"/>
      <c r="V22" s="11"/>
      <c r="W22" s="15"/>
      <c r="X22" s="11"/>
      <c r="Y22" s="11"/>
      <c r="Z22" s="15"/>
      <c r="AA22" s="11"/>
      <c r="AB22" s="11"/>
      <c r="AC22" s="15"/>
      <c r="AD22" s="15"/>
      <c r="AE22" s="15"/>
      <c r="AF22" s="11"/>
      <c r="AG22" s="15"/>
      <c r="AH22" s="11"/>
      <c r="AI22" s="11"/>
      <c r="AJ22" s="15"/>
      <c r="AK22" s="11"/>
      <c r="AL22" s="11"/>
      <c r="AM22" s="15"/>
      <c r="AN22" s="15"/>
      <c r="AO22" s="15"/>
      <c r="AP22" s="11"/>
      <c r="AQ22" s="15"/>
      <c r="AR22" s="11"/>
      <c r="AS22" s="11"/>
      <c r="AT22" s="15"/>
      <c r="AU22" s="11"/>
      <c r="AV22" s="11"/>
      <c r="AW22" s="15"/>
      <c r="AX22" s="15"/>
      <c r="AY22" s="15"/>
      <c r="AZ22" s="11"/>
      <c r="BA22" s="15"/>
      <c r="BB22" s="11"/>
      <c r="BC22" s="11"/>
      <c r="BD22" s="15"/>
      <c r="BE22" s="11"/>
      <c r="BF22" s="11"/>
      <c r="BG22" s="15"/>
      <c r="BH22" s="11"/>
      <c r="BI22" s="11"/>
      <c r="BJ22" s="11"/>
      <c r="BK22" s="11"/>
      <c r="BL22" s="28" t="str">
        <f t="shared" si="0"/>
        <v/>
      </c>
      <c r="BM22" s="28"/>
      <c r="BN22" s="11"/>
      <c r="BO22" s="29" t="str">
        <f t="shared" si="1"/>
        <v/>
      </c>
      <c r="BP22" s="11"/>
      <c r="BQ22" s="11"/>
      <c r="BR22" s="11"/>
      <c r="BS22" s="11"/>
      <c r="BT22" s="11"/>
      <c r="BU22" s="11"/>
      <c r="BV22" s="11"/>
      <c r="BW22" s="28" t="str">
        <f t="shared" si="2"/>
        <v/>
      </c>
      <c r="BX22" s="28"/>
      <c r="BY22" s="11"/>
      <c r="BZ22" s="29" t="str">
        <f t="shared" si="3"/>
        <v/>
      </c>
      <c r="CA22" s="11"/>
      <c r="CB22" s="11"/>
      <c r="CC22" s="11"/>
      <c r="CD22" s="11"/>
      <c r="CE22" s="11"/>
      <c r="CF22" s="11"/>
      <c r="CG22" s="11"/>
      <c r="CH22" s="11"/>
      <c r="CI22" s="29"/>
      <c r="CJ22" s="28"/>
      <c r="CK22" s="11"/>
      <c r="CL22" s="11"/>
      <c r="CM22" s="11"/>
      <c r="CN22" s="29"/>
      <c r="CO22" s="28"/>
      <c r="CP22" s="11"/>
      <c r="CQ22" s="11"/>
      <c r="CR22" s="11"/>
      <c r="CS22" s="29"/>
      <c r="CT22" s="28"/>
      <c r="CU22" s="11"/>
      <c r="CV22" s="11"/>
      <c r="CW22" s="11"/>
      <c r="CX22" s="29"/>
      <c r="CY22" s="28"/>
      <c r="CZ22" s="30"/>
      <c r="DA22" s="30"/>
      <c r="DB22" s="30"/>
      <c r="DC22" s="30"/>
      <c r="DD22" s="30" t="str">
        <f t="shared" si="4"/>
        <v/>
      </c>
    </row>
    <row r="23" spans="1:108" ht="15.75" customHeight="1">
      <c r="A23" s="26"/>
      <c r="B23" s="11"/>
      <c r="C23" s="11"/>
      <c r="D23" s="11"/>
      <c r="E23" s="11"/>
      <c r="F23" s="11"/>
      <c r="G23" s="11"/>
      <c r="H23" s="11"/>
      <c r="I23" s="11"/>
      <c r="J23" s="11"/>
      <c r="K23" s="11"/>
      <c r="L23" s="11"/>
      <c r="M23" s="27"/>
      <c r="N23" s="11"/>
      <c r="O23" s="11"/>
      <c r="P23" s="15"/>
      <c r="Q23" s="11"/>
      <c r="R23" s="11"/>
      <c r="S23" s="15"/>
      <c r="T23" s="15"/>
      <c r="U23" s="15"/>
      <c r="V23" s="11"/>
      <c r="W23" s="15"/>
      <c r="X23" s="11"/>
      <c r="Y23" s="11"/>
      <c r="Z23" s="15"/>
      <c r="AA23" s="11"/>
      <c r="AB23" s="11"/>
      <c r="AC23" s="15"/>
      <c r="AD23" s="15"/>
      <c r="AE23" s="15"/>
      <c r="AF23" s="11"/>
      <c r="AG23" s="15"/>
      <c r="AH23" s="11"/>
      <c r="AI23" s="11"/>
      <c r="AJ23" s="15"/>
      <c r="AK23" s="11"/>
      <c r="AL23" s="11"/>
      <c r="AM23" s="15"/>
      <c r="AN23" s="15"/>
      <c r="AO23" s="15"/>
      <c r="AP23" s="11"/>
      <c r="AQ23" s="15"/>
      <c r="AR23" s="11"/>
      <c r="AS23" s="11"/>
      <c r="AT23" s="15"/>
      <c r="AU23" s="11"/>
      <c r="AV23" s="11"/>
      <c r="AW23" s="15"/>
      <c r="AX23" s="15"/>
      <c r="AY23" s="15"/>
      <c r="AZ23" s="11"/>
      <c r="BA23" s="15"/>
      <c r="BB23" s="11"/>
      <c r="BC23" s="11"/>
      <c r="BD23" s="15"/>
      <c r="BE23" s="11"/>
      <c r="BF23" s="11"/>
      <c r="BG23" s="15"/>
      <c r="BH23" s="11"/>
      <c r="BI23" s="11"/>
      <c r="BJ23" s="11"/>
      <c r="BK23" s="11"/>
      <c r="BL23" s="28" t="str">
        <f t="shared" si="0"/>
        <v/>
      </c>
      <c r="BM23" s="28"/>
      <c r="BN23" s="11"/>
      <c r="BO23" s="29" t="str">
        <f t="shared" si="1"/>
        <v/>
      </c>
      <c r="BP23" s="11"/>
      <c r="BQ23" s="11"/>
      <c r="BR23" s="11"/>
      <c r="BS23" s="11"/>
      <c r="BT23" s="11"/>
      <c r="BU23" s="11"/>
      <c r="BV23" s="11"/>
      <c r="BW23" s="28" t="str">
        <f t="shared" si="2"/>
        <v/>
      </c>
      <c r="BX23" s="28"/>
      <c r="BY23" s="11"/>
      <c r="BZ23" s="29" t="str">
        <f t="shared" si="3"/>
        <v/>
      </c>
      <c r="CA23" s="11"/>
      <c r="CB23" s="11"/>
      <c r="CC23" s="11"/>
      <c r="CD23" s="11"/>
      <c r="CE23" s="11"/>
      <c r="CF23" s="11"/>
      <c r="CG23" s="11"/>
      <c r="CH23" s="11"/>
      <c r="CI23" s="29"/>
      <c r="CJ23" s="28"/>
      <c r="CK23" s="11"/>
      <c r="CL23" s="11"/>
      <c r="CM23" s="11"/>
      <c r="CN23" s="29"/>
      <c r="CO23" s="28"/>
      <c r="CP23" s="11"/>
      <c r="CQ23" s="11"/>
      <c r="CR23" s="11"/>
      <c r="CS23" s="29"/>
      <c r="CT23" s="28"/>
      <c r="CU23" s="11"/>
      <c r="CV23" s="11"/>
      <c r="CW23" s="11"/>
      <c r="CX23" s="29"/>
      <c r="CY23" s="28"/>
      <c r="CZ23" s="30"/>
      <c r="DA23" s="30"/>
      <c r="DB23" s="30"/>
      <c r="DC23" s="30"/>
      <c r="DD23" s="30" t="str">
        <f t="shared" si="4"/>
        <v/>
      </c>
    </row>
    <row r="24" spans="1:108" ht="15.75" customHeight="1">
      <c r="A24" s="26"/>
      <c r="B24" s="11"/>
      <c r="C24" s="11"/>
      <c r="D24" s="11"/>
      <c r="E24" s="11"/>
      <c r="F24" s="11"/>
      <c r="G24" s="11"/>
      <c r="H24" s="11"/>
      <c r="I24" s="11"/>
      <c r="J24" s="11"/>
      <c r="K24" s="11"/>
      <c r="L24" s="11"/>
      <c r="M24" s="27"/>
      <c r="N24" s="11"/>
      <c r="O24" s="11"/>
      <c r="P24" s="15"/>
      <c r="Q24" s="11"/>
      <c r="R24" s="11"/>
      <c r="S24" s="15"/>
      <c r="T24" s="15"/>
      <c r="U24" s="15"/>
      <c r="V24" s="11"/>
      <c r="W24" s="15"/>
      <c r="X24" s="11"/>
      <c r="Y24" s="11"/>
      <c r="Z24" s="15"/>
      <c r="AA24" s="11"/>
      <c r="AB24" s="11"/>
      <c r="AC24" s="15"/>
      <c r="AD24" s="15"/>
      <c r="AE24" s="15"/>
      <c r="AF24" s="11"/>
      <c r="AG24" s="15"/>
      <c r="AH24" s="11"/>
      <c r="AI24" s="11"/>
      <c r="AJ24" s="15"/>
      <c r="AK24" s="11"/>
      <c r="AL24" s="11"/>
      <c r="AM24" s="15"/>
      <c r="AN24" s="15"/>
      <c r="AO24" s="15"/>
      <c r="AP24" s="11"/>
      <c r="AQ24" s="15"/>
      <c r="AR24" s="11"/>
      <c r="AS24" s="11"/>
      <c r="AT24" s="15"/>
      <c r="AU24" s="11"/>
      <c r="AV24" s="11"/>
      <c r="AW24" s="15"/>
      <c r="AX24" s="15"/>
      <c r="AY24" s="15"/>
      <c r="AZ24" s="11"/>
      <c r="BA24" s="15"/>
      <c r="BB24" s="11"/>
      <c r="BC24" s="11"/>
      <c r="BD24" s="15"/>
      <c r="BE24" s="11"/>
      <c r="BF24" s="11"/>
      <c r="BG24" s="15"/>
      <c r="BH24" s="11"/>
      <c r="BI24" s="11"/>
      <c r="BJ24" s="11"/>
      <c r="BK24" s="11"/>
      <c r="BL24" s="28" t="str">
        <f t="shared" si="0"/>
        <v/>
      </c>
      <c r="BM24" s="28"/>
      <c r="BN24" s="11"/>
      <c r="BO24" s="29" t="str">
        <f t="shared" si="1"/>
        <v/>
      </c>
      <c r="BP24" s="11"/>
      <c r="BQ24" s="11"/>
      <c r="BR24" s="11"/>
      <c r="BS24" s="11"/>
      <c r="BT24" s="11"/>
      <c r="BU24" s="11"/>
      <c r="BV24" s="11"/>
      <c r="BW24" s="28" t="str">
        <f t="shared" si="2"/>
        <v/>
      </c>
      <c r="BX24" s="28"/>
      <c r="BY24" s="11"/>
      <c r="BZ24" s="29" t="str">
        <f t="shared" si="3"/>
        <v/>
      </c>
      <c r="CA24" s="11"/>
      <c r="CB24" s="11"/>
      <c r="CC24" s="11"/>
      <c r="CD24" s="11"/>
      <c r="CE24" s="11"/>
      <c r="CF24" s="11"/>
      <c r="CG24" s="11"/>
      <c r="CH24" s="11"/>
      <c r="CI24" s="29"/>
      <c r="CJ24" s="28"/>
      <c r="CK24" s="11"/>
      <c r="CL24" s="11"/>
      <c r="CM24" s="11"/>
      <c r="CN24" s="29"/>
      <c r="CO24" s="28"/>
      <c r="CP24" s="11"/>
      <c r="CQ24" s="11"/>
      <c r="CR24" s="11"/>
      <c r="CS24" s="29"/>
      <c r="CT24" s="28"/>
      <c r="CU24" s="11"/>
      <c r="CV24" s="11"/>
      <c r="CW24" s="11"/>
      <c r="CX24" s="29"/>
      <c r="CY24" s="28"/>
      <c r="CZ24" s="30"/>
      <c r="DA24" s="30"/>
      <c r="DB24" s="30"/>
      <c r="DC24" s="30"/>
      <c r="DD24" s="30" t="str">
        <f t="shared" si="4"/>
        <v/>
      </c>
    </row>
    <row r="25" spans="1:108" ht="15.75" customHeight="1">
      <c r="A25" s="26"/>
      <c r="B25" s="11"/>
      <c r="C25" s="11"/>
      <c r="D25" s="11"/>
      <c r="E25" s="11"/>
      <c r="F25" s="11"/>
      <c r="G25" s="11"/>
      <c r="H25" s="11"/>
      <c r="I25" s="11"/>
      <c r="J25" s="11"/>
      <c r="K25" s="11"/>
      <c r="L25" s="11"/>
      <c r="M25" s="27"/>
      <c r="N25" s="11"/>
      <c r="O25" s="11"/>
      <c r="P25" s="15"/>
      <c r="Q25" s="11"/>
      <c r="R25" s="11"/>
      <c r="S25" s="15"/>
      <c r="T25" s="15"/>
      <c r="U25" s="15"/>
      <c r="V25" s="11"/>
      <c r="W25" s="15"/>
      <c r="X25" s="11"/>
      <c r="Y25" s="11"/>
      <c r="Z25" s="15"/>
      <c r="AA25" s="11"/>
      <c r="AB25" s="11"/>
      <c r="AC25" s="15"/>
      <c r="AD25" s="15"/>
      <c r="AE25" s="15"/>
      <c r="AF25" s="11"/>
      <c r="AG25" s="15"/>
      <c r="AH25" s="11"/>
      <c r="AI25" s="11"/>
      <c r="AJ25" s="15"/>
      <c r="AK25" s="11"/>
      <c r="AL25" s="11"/>
      <c r="AM25" s="15"/>
      <c r="AN25" s="15"/>
      <c r="AO25" s="15"/>
      <c r="AP25" s="11"/>
      <c r="AQ25" s="15"/>
      <c r="AR25" s="11"/>
      <c r="AS25" s="11"/>
      <c r="AT25" s="15"/>
      <c r="AU25" s="11"/>
      <c r="AV25" s="11"/>
      <c r="AW25" s="15"/>
      <c r="AX25" s="15"/>
      <c r="AY25" s="15"/>
      <c r="AZ25" s="11"/>
      <c r="BA25" s="15"/>
      <c r="BB25" s="11"/>
      <c r="BC25" s="11"/>
      <c r="BD25" s="15"/>
      <c r="BE25" s="11"/>
      <c r="BF25" s="11"/>
      <c r="BG25" s="15"/>
      <c r="BH25" s="11"/>
      <c r="BI25" s="11"/>
      <c r="BJ25" s="11"/>
      <c r="BK25" s="11"/>
      <c r="BL25" s="28" t="str">
        <f t="shared" si="0"/>
        <v/>
      </c>
      <c r="BM25" s="28"/>
      <c r="BN25" s="11"/>
      <c r="BO25" s="29" t="str">
        <f t="shared" si="1"/>
        <v/>
      </c>
      <c r="BP25" s="11"/>
      <c r="BQ25" s="11"/>
      <c r="BR25" s="11"/>
      <c r="BS25" s="11"/>
      <c r="BT25" s="11"/>
      <c r="BU25" s="11"/>
      <c r="BV25" s="11"/>
      <c r="BW25" s="28" t="str">
        <f t="shared" si="2"/>
        <v/>
      </c>
      <c r="BX25" s="28"/>
      <c r="BY25" s="11"/>
      <c r="BZ25" s="29" t="str">
        <f t="shared" si="3"/>
        <v/>
      </c>
      <c r="CA25" s="11"/>
      <c r="CB25" s="11"/>
      <c r="CC25" s="11"/>
      <c r="CD25" s="11"/>
      <c r="CE25" s="11"/>
      <c r="CF25" s="11"/>
      <c r="CG25" s="11"/>
      <c r="CH25" s="11"/>
      <c r="CI25" s="29"/>
      <c r="CJ25" s="28"/>
      <c r="CK25" s="11"/>
      <c r="CL25" s="11"/>
      <c r="CM25" s="11"/>
      <c r="CN25" s="29"/>
      <c r="CO25" s="28"/>
      <c r="CP25" s="11"/>
      <c r="CQ25" s="11"/>
      <c r="CR25" s="11"/>
      <c r="CS25" s="29"/>
      <c r="CT25" s="28"/>
      <c r="CU25" s="11"/>
      <c r="CV25" s="11"/>
      <c r="CW25" s="11"/>
      <c r="CX25" s="29"/>
      <c r="CY25" s="28"/>
      <c r="CZ25" s="30"/>
      <c r="DA25" s="30"/>
      <c r="DB25" s="30"/>
      <c r="DC25" s="30"/>
      <c r="DD25" s="30" t="str">
        <f t="shared" si="4"/>
        <v/>
      </c>
    </row>
    <row r="26" spans="1:108" ht="15.75" customHeight="1">
      <c r="A26" s="26"/>
      <c r="B26" s="11"/>
      <c r="C26" s="11"/>
      <c r="D26" s="11"/>
      <c r="E26" s="11"/>
      <c r="F26" s="11"/>
      <c r="G26" s="11"/>
      <c r="H26" s="11"/>
      <c r="I26" s="11"/>
      <c r="J26" s="11"/>
      <c r="K26" s="11"/>
      <c r="L26" s="11"/>
      <c r="M26" s="27"/>
      <c r="N26" s="11"/>
      <c r="O26" s="11"/>
      <c r="P26" s="15"/>
      <c r="Q26" s="11"/>
      <c r="R26" s="11"/>
      <c r="S26" s="15"/>
      <c r="T26" s="15"/>
      <c r="U26" s="15"/>
      <c r="V26" s="11"/>
      <c r="W26" s="15"/>
      <c r="X26" s="11"/>
      <c r="Y26" s="11"/>
      <c r="Z26" s="15"/>
      <c r="AA26" s="11"/>
      <c r="AB26" s="11"/>
      <c r="AC26" s="15"/>
      <c r="AD26" s="15"/>
      <c r="AE26" s="15"/>
      <c r="AF26" s="11"/>
      <c r="AG26" s="15"/>
      <c r="AH26" s="11"/>
      <c r="AI26" s="11"/>
      <c r="AJ26" s="15"/>
      <c r="AK26" s="11"/>
      <c r="AL26" s="11"/>
      <c r="AM26" s="15"/>
      <c r="AN26" s="15"/>
      <c r="AO26" s="15"/>
      <c r="AP26" s="11"/>
      <c r="AQ26" s="15"/>
      <c r="AR26" s="11"/>
      <c r="AS26" s="11"/>
      <c r="AT26" s="15"/>
      <c r="AU26" s="11"/>
      <c r="AV26" s="11"/>
      <c r="AW26" s="15"/>
      <c r="AX26" s="15"/>
      <c r="AY26" s="15"/>
      <c r="AZ26" s="11"/>
      <c r="BA26" s="15"/>
      <c r="BB26" s="11"/>
      <c r="BC26" s="11"/>
      <c r="BD26" s="15"/>
      <c r="BE26" s="11"/>
      <c r="BF26" s="11"/>
      <c r="BG26" s="15"/>
      <c r="BH26" s="11"/>
      <c r="BI26" s="11"/>
      <c r="BJ26" s="11"/>
      <c r="BK26" s="11"/>
      <c r="BL26" s="28" t="str">
        <f t="shared" si="0"/>
        <v/>
      </c>
      <c r="BM26" s="28"/>
      <c r="BN26" s="11"/>
      <c r="BO26" s="29" t="str">
        <f t="shared" si="1"/>
        <v/>
      </c>
      <c r="BP26" s="11"/>
      <c r="BQ26" s="11"/>
      <c r="BR26" s="11"/>
      <c r="BS26" s="11"/>
      <c r="BT26" s="11"/>
      <c r="BU26" s="11"/>
      <c r="BV26" s="11"/>
      <c r="BW26" s="28" t="str">
        <f t="shared" si="2"/>
        <v/>
      </c>
      <c r="BX26" s="28"/>
      <c r="BY26" s="11"/>
      <c r="BZ26" s="29" t="str">
        <f t="shared" si="3"/>
        <v/>
      </c>
      <c r="CA26" s="11"/>
      <c r="CB26" s="11"/>
      <c r="CC26" s="11"/>
      <c r="CD26" s="11"/>
      <c r="CE26" s="11"/>
      <c r="CF26" s="11"/>
      <c r="CG26" s="11"/>
      <c r="CH26" s="11"/>
      <c r="CI26" s="29"/>
      <c r="CJ26" s="28"/>
      <c r="CK26" s="11"/>
      <c r="CL26" s="11"/>
      <c r="CM26" s="11"/>
      <c r="CN26" s="29"/>
      <c r="CO26" s="28"/>
      <c r="CP26" s="11"/>
      <c r="CQ26" s="11"/>
      <c r="CR26" s="11"/>
      <c r="CS26" s="29"/>
      <c r="CT26" s="28"/>
      <c r="CU26" s="11"/>
      <c r="CV26" s="11"/>
      <c r="CW26" s="11"/>
      <c r="CX26" s="29"/>
      <c r="CY26" s="28"/>
      <c r="CZ26" s="30"/>
      <c r="DA26" s="30"/>
      <c r="DB26" s="30"/>
      <c r="DC26" s="30"/>
      <c r="DD26" s="30" t="str">
        <f t="shared" si="4"/>
        <v/>
      </c>
    </row>
    <row r="27" spans="1:108" ht="15.75" customHeight="1">
      <c r="A27" s="26"/>
      <c r="B27" s="11"/>
      <c r="C27" s="11"/>
      <c r="D27" s="11"/>
      <c r="E27" s="11"/>
      <c r="F27" s="11"/>
      <c r="G27" s="11"/>
      <c r="H27" s="11"/>
      <c r="I27" s="11"/>
      <c r="J27" s="11"/>
      <c r="K27" s="11"/>
      <c r="L27" s="11"/>
      <c r="M27" s="27"/>
      <c r="N27" s="11"/>
      <c r="O27" s="11"/>
      <c r="P27" s="15"/>
      <c r="Q27" s="11"/>
      <c r="R27" s="11"/>
      <c r="S27" s="15"/>
      <c r="T27" s="15"/>
      <c r="U27" s="15"/>
      <c r="V27" s="11"/>
      <c r="W27" s="15"/>
      <c r="X27" s="11"/>
      <c r="Y27" s="11"/>
      <c r="Z27" s="15"/>
      <c r="AA27" s="11"/>
      <c r="AB27" s="11"/>
      <c r="AC27" s="15"/>
      <c r="AD27" s="15"/>
      <c r="AE27" s="15"/>
      <c r="AF27" s="11"/>
      <c r="AG27" s="15"/>
      <c r="AH27" s="11"/>
      <c r="AI27" s="11"/>
      <c r="AJ27" s="15"/>
      <c r="AK27" s="11"/>
      <c r="AL27" s="11"/>
      <c r="AM27" s="15"/>
      <c r="AN27" s="15"/>
      <c r="AO27" s="15"/>
      <c r="AP27" s="11"/>
      <c r="AQ27" s="15"/>
      <c r="AR27" s="11"/>
      <c r="AS27" s="11"/>
      <c r="AT27" s="15"/>
      <c r="AU27" s="11"/>
      <c r="AV27" s="11"/>
      <c r="AW27" s="15"/>
      <c r="AX27" s="15"/>
      <c r="AY27" s="15"/>
      <c r="AZ27" s="11"/>
      <c r="BA27" s="15"/>
      <c r="BB27" s="11"/>
      <c r="BC27" s="11"/>
      <c r="BD27" s="15"/>
      <c r="BE27" s="11"/>
      <c r="BF27" s="11"/>
      <c r="BG27" s="15"/>
      <c r="BH27" s="11"/>
      <c r="BI27" s="11"/>
      <c r="BJ27" s="11"/>
      <c r="BK27" s="11"/>
      <c r="BL27" s="28" t="str">
        <f t="shared" si="0"/>
        <v/>
      </c>
      <c r="BM27" s="28"/>
      <c r="BN27" s="11"/>
      <c r="BO27" s="29" t="str">
        <f t="shared" si="1"/>
        <v/>
      </c>
      <c r="BP27" s="11"/>
      <c r="BQ27" s="11"/>
      <c r="BR27" s="11"/>
      <c r="BS27" s="11"/>
      <c r="BT27" s="11"/>
      <c r="BU27" s="11"/>
      <c r="BV27" s="11"/>
      <c r="BW27" s="28" t="str">
        <f t="shared" si="2"/>
        <v/>
      </c>
      <c r="BX27" s="28"/>
      <c r="BY27" s="11"/>
      <c r="BZ27" s="29" t="str">
        <f t="shared" si="3"/>
        <v/>
      </c>
      <c r="CA27" s="11"/>
      <c r="CB27" s="11"/>
      <c r="CC27" s="11"/>
      <c r="CD27" s="11"/>
      <c r="CE27" s="11"/>
      <c r="CF27" s="11"/>
      <c r="CG27" s="11"/>
      <c r="CH27" s="11"/>
      <c r="CI27" s="29"/>
      <c r="CJ27" s="28"/>
      <c r="CK27" s="11"/>
      <c r="CL27" s="11"/>
      <c r="CM27" s="11"/>
      <c r="CN27" s="29"/>
      <c r="CO27" s="28"/>
      <c r="CP27" s="11"/>
      <c r="CQ27" s="11"/>
      <c r="CR27" s="11"/>
      <c r="CS27" s="29"/>
      <c r="CT27" s="28"/>
      <c r="CU27" s="11"/>
      <c r="CV27" s="11"/>
      <c r="CW27" s="11"/>
      <c r="CX27" s="29"/>
      <c r="CY27" s="28"/>
      <c r="CZ27" s="30"/>
      <c r="DA27" s="30"/>
      <c r="DB27" s="30"/>
      <c r="DC27" s="30"/>
      <c r="DD27" s="30" t="str">
        <f t="shared" si="4"/>
        <v/>
      </c>
    </row>
    <row r="28" spans="1:108" ht="15.75" customHeight="1">
      <c r="A28" s="26"/>
      <c r="B28" s="11"/>
      <c r="C28" s="11"/>
      <c r="D28" s="11"/>
      <c r="E28" s="11"/>
      <c r="F28" s="11"/>
      <c r="G28" s="11"/>
      <c r="H28" s="11"/>
      <c r="I28" s="11"/>
      <c r="J28" s="11"/>
      <c r="K28" s="11"/>
      <c r="L28" s="11"/>
      <c r="M28" s="27"/>
      <c r="N28" s="11"/>
      <c r="O28" s="11"/>
      <c r="P28" s="15"/>
      <c r="Q28" s="11"/>
      <c r="R28" s="11"/>
      <c r="S28" s="15"/>
      <c r="T28" s="15"/>
      <c r="U28" s="15"/>
      <c r="V28" s="11"/>
      <c r="W28" s="15"/>
      <c r="X28" s="11"/>
      <c r="Y28" s="11"/>
      <c r="Z28" s="15"/>
      <c r="AA28" s="11"/>
      <c r="AB28" s="11"/>
      <c r="AC28" s="15"/>
      <c r="AD28" s="15"/>
      <c r="AE28" s="15"/>
      <c r="AF28" s="11"/>
      <c r="AG28" s="15"/>
      <c r="AH28" s="11"/>
      <c r="AI28" s="11"/>
      <c r="AJ28" s="15"/>
      <c r="AK28" s="11"/>
      <c r="AL28" s="11"/>
      <c r="AM28" s="15"/>
      <c r="AN28" s="15"/>
      <c r="AO28" s="15"/>
      <c r="AP28" s="11"/>
      <c r="AQ28" s="15"/>
      <c r="AR28" s="11"/>
      <c r="AS28" s="11"/>
      <c r="AT28" s="15"/>
      <c r="AU28" s="11"/>
      <c r="AV28" s="11"/>
      <c r="AW28" s="15"/>
      <c r="AX28" s="15"/>
      <c r="AY28" s="15"/>
      <c r="AZ28" s="11"/>
      <c r="BA28" s="15"/>
      <c r="BB28" s="11"/>
      <c r="BC28" s="11"/>
      <c r="BD28" s="15"/>
      <c r="BE28" s="11"/>
      <c r="BF28" s="11"/>
      <c r="BG28" s="15"/>
      <c r="BH28" s="11"/>
      <c r="BI28" s="11"/>
      <c r="BJ28" s="11"/>
      <c r="BK28" s="11"/>
      <c r="BL28" s="28" t="str">
        <f t="shared" si="0"/>
        <v/>
      </c>
      <c r="BM28" s="28"/>
      <c r="BN28" s="11"/>
      <c r="BO28" s="29" t="str">
        <f t="shared" si="1"/>
        <v/>
      </c>
      <c r="BP28" s="11"/>
      <c r="BQ28" s="11"/>
      <c r="BR28" s="11"/>
      <c r="BS28" s="11"/>
      <c r="BT28" s="11"/>
      <c r="BU28" s="11"/>
      <c r="BV28" s="11"/>
      <c r="BW28" s="28" t="str">
        <f t="shared" si="2"/>
        <v/>
      </c>
      <c r="BX28" s="28"/>
      <c r="BY28" s="11"/>
      <c r="BZ28" s="29" t="str">
        <f t="shared" si="3"/>
        <v/>
      </c>
      <c r="CA28" s="11"/>
      <c r="CB28" s="11"/>
      <c r="CC28" s="11"/>
      <c r="CD28" s="11"/>
      <c r="CE28" s="11"/>
      <c r="CF28" s="11"/>
      <c r="CG28" s="11"/>
      <c r="CH28" s="11"/>
      <c r="CI28" s="29"/>
      <c r="CJ28" s="28"/>
      <c r="CK28" s="11"/>
      <c r="CL28" s="11"/>
      <c r="CM28" s="11"/>
      <c r="CN28" s="29"/>
      <c r="CO28" s="28"/>
      <c r="CP28" s="11"/>
      <c r="CQ28" s="11"/>
      <c r="CR28" s="11"/>
      <c r="CS28" s="29"/>
      <c r="CT28" s="28"/>
      <c r="CU28" s="11"/>
      <c r="CV28" s="11"/>
      <c r="CW28" s="11"/>
      <c r="CX28" s="29"/>
      <c r="CY28" s="28"/>
      <c r="CZ28" s="30"/>
      <c r="DA28" s="30"/>
      <c r="DB28" s="30"/>
      <c r="DC28" s="30"/>
      <c r="DD28" s="30" t="str">
        <f t="shared" si="4"/>
        <v/>
      </c>
    </row>
    <row r="29" spans="1:108" ht="15.75" customHeight="1">
      <c r="A29" s="26"/>
      <c r="B29" s="11"/>
      <c r="C29" s="11"/>
      <c r="D29" s="11"/>
      <c r="E29" s="11"/>
      <c r="F29" s="11"/>
      <c r="G29" s="11"/>
      <c r="H29" s="11"/>
      <c r="I29" s="11"/>
      <c r="J29" s="11"/>
      <c r="K29" s="11"/>
      <c r="L29" s="11"/>
      <c r="M29" s="27"/>
      <c r="N29" s="11"/>
      <c r="O29" s="11"/>
      <c r="P29" s="15"/>
      <c r="Q29" s="11"/>
      <c r="R29" s="11"/>
      <c r="S29" s="15"/>
      <c r="T29" s="15"/>
      <c r="U29" s="15"/>
      <c r="V29" s="11"/>
      <c r="W29" s="15"/>
      <c r="X29" s="11"/>
      <c r="Y29" s="11"/>
      <c r="Z29" s="15"/>
      <c r="AA29" s="11"/>
      <c r="AB29" s="11"/>
      <c r="AC29" s="15"/>
      <c r="AD29" s="15"/>
      <c r="AE29" s="15"/>
      <c r="AF29" s="11"/>
      <c r="AG29" s="15"/>
      <c r="AH29" s="11"/>
      <c r="AI29" s="11"/>
      <c r="AJ29" s="15"/>
      <c r="AK29" s="11"/>
      <c r="AL29" s="11"/>
      <c r="AM29" s="15"/>
      <c r="AN29" s="15"/>
      <c r="AO29" s="15"/>
      <c r="AP29" s="11"/>
      <c r="AQ29" s="15"/>
      <c r="AR29" s="11"/>
      <c r="AS29" s="11"/>
      <c r="AT29" s="15"/>
      <c r="AU29" s="11"/>
      <c r="AV29" s="11"/>
      <c r="AW29" s="15"/>
      <c r="AX29" s="15"/>
      <c r="AY29" s="15"/>
      <c r="AZ29" s="11"/>
      <c r="BA29" s="15"/>
      <c r="BB29" s="11"/>
      <c r="BC29" s="11"/>
      <c r="BD29" s="15"/>
      <c r="BE29" s="11"/>
      <c r="BF29" s="11"/>
      <c r="BG29" s="15"/>
      <c r="BH29" s="11"/>
      <c r="BI29" s="11"/>
      <c r="BJ29" s="11"/>
      <c r="BK29" s="11"/>
      <c r="BL29" s="28" t="str">
        <f t="shared" si="0"/>
        <v/>
      </c>
      <c r="BM29" s="28"/>
      <c r="BN29" s="11"/>
      <c r="BO29" s="29" t="str">
        <f t="shared" si="1"/>
        <v/>
      </c>
      <c r="BP29" s="11"/>
      <c r="BQ29" s="11"/>
      <c r="BR29" s="11"/>
      <c r="BS29" s="11"/>
      <c r="BT29" s="11"/>
      <c r="BU29" s="11"/>
      <c r="BV29" s="11"/>
      <c r="BW29" s="28" t="str">
        <f t="shared" si="2"/>
        <v/>
      </c>
      <c r="BX29" s="28"/>
      <c r="BY29" s="11"/>
      <c r="BZ29" s="29" t="str">
        <f t="shared" si="3"/>
        <v/>
      </c>
      <c r="CA29" s="11"/>
      <c r="CB29" s="11"/>
      <c r="CC29" s="11"/>
      <c r="CD29" s="11"/>
      <c r="CE29" s="11"/>
      <c r="CF29" s="11"/>
      <c r="CG29" s="11"/>
      <c r="CH29" s="11"/>
      <c r="CI29" s="29"/>
      <c r="CJ29" s="28"/>
      <c r="CK29" s="11"/>
      <c r="CL29" s="11"/>
      <c r="CM29" s="11"/>
      <c r="CN29" s="29"/>
      <c r="CO29" s="28"/>
      <c r="CP29" s="11"/>
      <c r="CQ29" s="11"/>
      <c r="CR29" s="11"/>
      <c r="CS29" s="29"/>
      <c r="CT29" s="28"/>
      <c r="CU29" s="11"/>
      <c r="CV29" s="11"/>
      <c r="CW29" s="11"/>
      <c r="CX29" s="29"/>
      <c r="CY29" s="28"/>
      <c r="CZ29" s="30"/>
      <c r="DA29" s="30"/>
      <c r="DB29" s="30"/>
      <c r="DC29" s="30"/>
      <c r="DD29" s="30" t="str">
        <f t="shared" si="4"/>
        <v/>
      </c>
    </row>
    <row r="30" spans="1:108" ht="15.75" customHeight="1">
      <c r="A30" s="26"/>
      <c r="B30" s="11"/>
      <c r="C30" s="11"/>
      <c r="D30" s="11"/>
      <c r="E30" s="11"/>
      <c r="F30" s="11"/>
      <c r="G30" s="11"/>
      <c r="H30" s="11"/>
      <c r="I30" s="11"/>
      <c r="J30" s="11"/>
      <c r="K30" s="11"/>
      <c r="L30" s="11"/>
      <c r="M30" s="27"/>
      <c r="N30" s="11"/>
      <c r="O30" s="11"/>
      <c r="P30" s="15"/>
      <c r="Q30" s="11"/>
      <c r="R30" s="11"/>
      <c r="S30" s="15"/>
      <c r="T30" s="15"/>
      <c r="U30" s="15"/>
      <c r="V30" s="11"/>
      <c r="W30" s="15"/>
      <c r="X30" s="11"/>
      <c r="Y30" s="11"/>
      <c r="Z30" s="15"/>
      <c r="AA30" s="11"/>
      <c r="AB30" s="11"/>
      <c r="AC30" s="15"/>
      <c r="AD30" s="15"/>
      <c r="AE30" s="15"/>
      <c r="AF30" s="11"/>
      <c r="AG30" s="15"/>
      <c r="AH30" s="11"/>
      <c r="AI30" s="11"/>
      <c r="AJ30" s="15"/>
      <c r="AK30" s="11"/>
      <c r="AL30" s="11"/>
      <c r="AM30" s="15"/>
      <c r="AN30" s="15"/>
      <c r="AO30" s="15"/>
      <c r="AP30" s="11"/>
      <c r="AQ30" s="15"/>
      <c r="AR30" s="11"/>
      <c r="AS30" s="11"/>
      <c r="AT30" s="15"/>
      <c r="AU30" s="11"/>
      <c r="AV30" s="11"/>
      <c r="AW30" s="15"/>
      <c r="AX30" s="15"/>
      <c r="AY30" s="15"/>
      <c r="AZ30" s="11"/>
      <c r="BA30" s="15"/>
      <c r="BB30" s="11"/>
      <c r="BC30" s="11"/>
      <c r="BD30" s="15"/>
      <c r="BE30" s="11"/>
      <c r="BF30" s="11"/>
      <c r="BG30" s="15"/>
      <c r="BH30" s="11"/>
      <c r="BI30" s="11"/>
      <c r="BJ30" s="11"/>
      <c r="BK30" s="11"/>
      <c r="BL30" s="28" t="str">
        <f t="shared" si="0"/>
        <v/>
      </c>
      <c r="BM30" s="28"/>
      <c r="BN30" s="11"/>
      <c r="BO30" s="29" t="str">
        <f t="shared" si="1"/>
        <v/>
      </c>
      <c r="BP30" s="11"/>
      <c r="BQ30" s="11"/>
      <c r="BR30" s="11"/>
      <c r="BS30" s="11"/>
      <c r="BT30" s="11"/>
      <c r="BU30" s="11"/>
      <c r="BV30" s="11"/>
      <c r="BW30" s="28" t="str">
        <f t="shared" si="2"/>
        <v/>
      </c>
      <c r="BX30" s="28"/>
      <c r="BY30" s="11"/>
      <c r="BZ30" s="29" t="str">
        <f t="shared" si="3"/>
        <v/>
      </c>
      <c r="CA30" s="11"/>
      <c r="CB30" s="11"/>
      <c r="CC30" s="11"/>
      <c r="CD30" s="11"/>
      <c r="CE30" s="11"/>
      <c r="CF30" s="11"/>
      <c r="CG30" s="11"/>
      <c r="CH30" s="11"/>
      <c r="CI30" s="29"/>
      <c r="CJ30" s="28"/>
      <c r="CK30" s="11"/>
      <c r="CL30" s="11"/>
      <c r="CM30" s="11"/>
      <c r="CN30" s="29"/>
      <c r="CO30" s="28"/>
      <c r="CP30" s="11"/>
      <c r="CQ30" s="11"/>
      <c r="CR30" s="11"/>
      <c r="CS30" s="29"/>
      <c r="CT30" s="28"/>
      <c r="CU30" s="11"/>
      <c r="CV30" s="11"/>
      <c r="CW30" s="11"/>
      <c r="CX30" s="29"/>
      <c r="CY30" s="28"/>
      <c r="CZ30" s="30"/>
      <c r="DA30" s="30"/>
      <c r="DB30" s="30"/>
      <c r="DC30" s="30"/>
      <c r="DD30" s="30" t="str">
        <f t="shared" si="4"/>
        <v/>
      </c>
    </row>
    <row r="31" spans="1:108" ht="16.5">
      <c r="A31" s="26"/>
      <c r="B31" s="11"/>
      <c r="C31" s="11"/>
      <c r="D31" s="11"/>
      <c r="E31" s="11"/>
      <c r="F31" s="11"/>
      <c r="G31" s="11"/>
      <c r="H31" s="11"/>
      <c r="I31" s="11"/>
      <c r="J31" s="11"/>
      <c r="K31" s="11"/>
      <c r="L31" s="11"/>
      <c r="M31" s="27"/>
      <c r="N31" s="11"/>
      <c r="O31" s="11"/>
      <c r="P31" s="15"/>
      <c r="Q31" s="11"/>
      <c r="R31" s="11"/>
      <c r="S31" s="15"/>
      <c r="T31" s="15"/>
      <c r="U31" s="15"/>
      <c r="V31" s="11"/>
      <c r="W31" s="15"/>
      <c r="X31" s="11"/>
      <c r="Y31" s="11"/>
      <c r="Z31" s="15"/>
      <c r="AA31" s="11"/>
      <c r="AB31" s="11"/>
      <c r="AC31" s="15"/>
      <c r="AD31" s="15"/>
      <c r="AE31" s="15"/>
      <c r="AF31" s="11"/>
      <c r="AG31" s="15"/>
      <c r="AH31" s="11"/>
      <c r="AI31" s="11"/>
      <c r="AJ31" s="15"/>
      <c r="AK31" s="11"/>
      <c r="AL31" s="11"/>
      <c r="AM31" s="15"/>
      <c r="AN31" s="15"/>
      <c r="AO31" s="15"/>
      <c r="AP31" s="11"/>
      <c r="AQ31" s="15"/>
      <c r="AR31" s="11"/>
      <c r="AS31" s="11"/>
      <c r="AT31" s="15"/>
      <c r="AU31" s="11"/>
      <c r="AV31" s="11"/>
      <c r="AW31" s="15"/>
      <c r="AX31" s="15"/>
      <c r="AY31" s="15"/>
      <c r="AZ31" s="11"/>
      <c r="BA31" s="15"/>
      <c r="BB31" s="11"/>
      <c r="BC31" s="11"/>
      <c r="BD31" s="15"/>
      <c r="BE31" s="11"/>
      <c r="BF31" s="11"/>
      <c r="BG31" s="15"/>
      <c r="BH31" s="11"/>
      <c r="BI31" s="11"/>
      <c r="BJ31" s="11"/>
      <c r="BK31" s="11"/>
      <c r="BL31" s="28" t="str">
        <f t="shared" si="0"/>
        <v/>
      </c>
      <c r="BM31" s="28"/>
      <c r="BN31" s="11"/>
      <c r="BO31" s="29" t="str">
        <f t="shared" si="1"/>
        <v/>
      </c>
      <c r="BP31" s="11"/>
      <c r="BQ31" s="11"/>
      <c r="BR31" s="11"/>
      <c r="BS31" s="11"/>
      <c r="BT31" s="11"/>
      <c r="BU31" s="11"/>
      <c r="BV31" s="11"/>
      <c r="BW31" s="28" t="str">
        <f t="shared" si="2"/>
        <v/>
      </c>
      <c r="BX31" s="28"/>
      <c r="BY31" s="11"/>
      <c r="BZ31" s="29" t="str">
        <f t="shared" si="3"/>
        <v/>
      </c>
      <c r="CA31" s="11"/>
      <c r="CB31" s="11"/>
      <c r="CC31" s="11"/>
      <c r="CD31" s="11"/>
      <c r="CE31" s="11"/>
      <c r="CF31" s="11"/>
      <c r="CG31" s="11"/>
      <c r="CH31" s="11"/>
      <c r="CI31" s="29"/>
      <c r="CJ31" s="28"/>
      <c r="CK31" s="11"/>
      <c r="CL31" s="11"/>
      <c r="CM31" s="11"/>
      <c r="CN31" s="29"/>
      <c r="CO31" s="28"/>
      <c r="CP31" s="11"/>
      <c r="CQ31" s="11"/>
      <c r="CR31" s="11"/>
      <c r="CS31" s="29"/>
      <c r="CT31" s="28"/>
      <c r="CU31" s="11"/>
      <c r="CV31" s="11"/>
      <c r="CW31" s="11"/>
      <c r="CX31" s="29"/>
      <c r="CY31" s="28"/>
      <c r="CZ31" s="30"/>
      <c r="DA31" s="30"/>
      <c r="DB31" s="30"/>
      <c r="DC31" s="30"/>
      <c r="DD31" s="30" t="str">
        <f t="shared" si="4"/>
        <v/>
      </c>
    </row>
    <row r="32" spans="1:108" ht="16.5">
      <c r="A32" s="26"/>
      <c r="B32" s="11"/>
      <c r="C32" s="11"/>
      <c r="D32" s="11"/>
      <c r="E32" s="11"/>
      <c r="F32" s="11"/>
      <c r="G32" s="11"/>
      <c r="H32" s="11"/>
      <c r="I32" s="11"/>
      <c r="J32" s="11"/>
      <c r="K32" s="11"/>
      <c r="L32" s="11"/>
      <c r="M32" s="27"/>
      <c r="N32" s="11"/>
      <c r="O32" s="11"/>
      <c r="P32" s="15"/>
      <c r="Q32" s="11"/>
      <c r="R32" s="11"/>
      <c r="S32" s="15"/>
      <c r="T32" s="15"/>
      <c r="U32" s="15"/>
      <c r="V32" s="11"/>
      <c r="W32" s="15"/>
      <c r="X32" s="11"/>
      <c r="Y32" s="11"/>
      <c r="Z32" s="15"/>
      <c r="AA32" s="11"/>
      <c r="AB32" s="11"/>
      <c r="AC32" s="15"/>
      <c r="AD32" s="15"/>
      <c r="AE32" s="15"/>
      <c r="AF32" s="11"/>
      <c r="AG32" s="15"/>
      <c r="AH32" s="11"/>
      <c r="AI32" s="11"/>
      <c r="AJ32" s="15"/>
      <c r="AK32" s="11"/>
      <c r="AL32" s="11"/>
      <c r="AM32" s="15"/>
      <c r="AN32" s="15"/>
      <c r="AO32" s="15"/>
      <c r="AP32" s="11"/>
      <c r="AQ32" s="15"/>
      <c r="AR32" s="11"/>
      <c r="AS32" s="11"/>
      <c r="AT32" s="15"/>
      <c r="AU32" s="11"/>
      <c r="AV32" s="11"/>
      <c r="AW32" s="15"/>
      <c r="AX32" s="15"/>
      <c r="AY32" s="15"/>
      <c r="AZ32" s="11"/>
      <c r="BA32" s="15"/>
      <c r="BB32" s="11"/>
      <c r="BC32" s="11"/>
      <c r="BD32" s="15"/>
      <c r="BE32" s="11"/>
      <c r="BF32" s="11"/>
      <c r="BG32" s="15"/>
      <c r="BH32" s="11"/>
      <c r="BI32" s="11"/>
      <c r="BJ32" s="11"/>
      <c r="BK32" s="11"/>
      <c r="BL32" s="28" t="str">
        <f t="shared" si="0"/>
        <v/>
      </c>
      <c r="BM32" s="28"/>
      <c r="BN32" s="11"/>
      <c r="BO32" s="29" t="str">
        <f t="shared" si="1"/>
        <v/>
      </c>
      <c r="BP32" s="11"/>
      <c r="BQ32" s="11"/>
      <c r="BR32" s="11"/>
      <c r="BS32" s="11"/>
      <c r="BT32" s="11"/>
      <c r="BU32" s="11"/>
      <c r="BV32" s="11"/>
      <c r="BW32" s="28" t="str">
        <f t="shared" si="2"/>
        <v/>
      </c>
      <c r="BX32" s="28"/>
      <c r="BY32" s="11"/>
      <c r="BZ32" s="29" t="str">
        <f t="shared" si="3"/>
        <v/>
      </c>
      <c r="CA32" s="11"/>
      <c r="CB32" s="11"/>
      <c r="CC32" s="11"/>
      <c r="CD32" s="11"/>
      <c r="CE32" s="11"/>
      <c r="CF32" s="11"/>
      <c r="CG32" s="11"/>
      <c r="CH32" s="11"/>
      <c r="CI32" s="29"/>
      <c r="CJ32" s="28"/>
      <c r="CK32" s="11"/>
      <c r="CL32" s="11"/>
      <c r="CM32" s="11"/>
      <c r="CN32" s="29"/>
      <c r="CO32" s="28"/>
      <c r="CP32" s="11"/>
      <c r="CQ32" s="11"/>
      <c r="CR32" s="11"/>
      <c r="CS32" s="29"/>
      <c r="CT32" s="28"/>
      <c r="CU32" s="11"/>
      <c r="CV32" s="11"/>
      <c r="CW32" s="11"/>
      <c r="CX32" s="29"/>
      <c r="CY32" s="28"/>
      <c r="CZ32" s="30"/>
      <c r="DA32" s="30"/>
      <c r="DB32" s="30"/>
      <c r="DC32" s="30"/>
      <c r="DD32" s="30" t="str">
        <f t="shared" si="4"/>
        <v/>
      </c>
    </row>
    <row r="33" spans="1:108" ht="16.5">
      <c r="A33" s="26"/>
      <c r="B33" s="11"/>
      <c r="C33" s="11"/>
      <c r="D33" s="11"/>
      <c r="E33" s="11"/>
      <c r="F33" s="11"/>
      <c r="G33" s="11"/>
      <c r="H33" s="11"/>
      <c r="I33" s="11"/>
      <c r="J33" s="11"/>
      <c r="K33" s="11"/>
      <c r="L33" s="11"/>
      <c r="M33" s="27"/>
      <c r="N33" s="11"/>
      <c r="O33" s="11"/>
      <c r="P33" s="15"/>
      <c r="Q33" s="11"/>
      <c r="R33" s="11"/>
      <c r="S33" s="15"/>
      <c r="T33" s="15"/>
      <c r="U33" s="15"/>
      <c r="V33" s="11"/>
      <c r="W33" s="15"/>
      <c r="X33" s="11"/>
      <c r="Y33" s="11"/>
      <c r="Z33" s="15"/>
      <c r="AA33" s="11"/>
      <c r="AB33" s="11"/>
      <c r="AC33" s="15"/>
      <c r="AD33" s="15"/>
      <c r="AE33" s="15"/>
      <c r="AF33" s="11"/>
      <c r="AG33" s="15"/>
      <c r="AH33" s="11"/>
      <c r="AI33" s="11"/>
      <c r="AJ33" s="15"/>
      <c r="AK33" s="11"/>
      <c r="AL33" s="11"/>
      <c r="AM33" s="15"/>
      <c r="AN33" s="15"/>
      <c r="AO33" s="15"/>
      <c r="AP33" s="11"/>
      <c r="AQ33" s="15"/>
      <c r="AR33" s="11"/>
      <c r="AS33" s="11"/>
      <c r="AT33" s="15"/>
      <c r="AU33" s="11"/>
      <c r="AV33" s="11"/>
      <c r="AW33" s="15"/>
      <c r="AX33" s="15"/>
      <c r="AY33" s="15"/>
      <c r="AZ33" s="11"/>
      <c r="BA33" s="15"/>
      <c r="BB33" s="11"/>
      <c r="BC33" s="11"/>
      <c r="BD33" s="15"/>
      <c r="BE33" s="11"/>
      <c r="BF33" s="11"/>
      <c r="BG33" s="15"/>
      <c r="BH33" s="11"/>
      <c r="BI33" s="11"/>
      <c r="BJ33" s="11"/>
      <c r="BK33" s="11"/>
      <c r="BL33" s="28" t="str">
        <f t="shared" si="0"/>
        <v/>
      </c>
      <c r="BM33" s="28"/>
      <c r="BN33" s="11"/>
      <c r="BO33" s="29" t="str">
        <f t="shared" si="1"/>
        <v/>
      </c>
      <c r="BP33" s="11"/>
      <c r="BQ33" s="11"/>
      <c r="BR33" s="11"/>
      <c r="BS33" s="11"/>
      <c r="BT33" s="11"/>
      <c r="BU33" s="11"/>
      <c r="BV33" s="11"/>
      <c r="BW33" s="28" t="str">
        <f t="shared" si="2"/>
        <v/>
      </c>
      <c r="BX33" s="28"/>
      <c r="BY33" s="11"/>
      <c r="BZ33" s="29" t="str">
        <f t="shared" si="3"/>
        <v/>
      </c>
      <c r="CA33" s="11"/>
      <c r="CB33" s="11"/>
      <c r="CC33" s="11"/>
      <c r="CD33" s="11"/>
      <c r="CE33" s="11"/>
      <c r="CF33" s="11"/>
      <c r="CG33" s="11"/>
      <c r="CH33" s="11"/>
      <c r="CI33" s="29"/>
      <c r="CJ33" s="28"/>
      <c r="CK33" s="11"/>
      <c r="CL33" s="11"/>
      <c r="CM33" s="11"/>
      <c r="CN33" s="29"/>
      <c r="CO33" s="28"/>
      <c r="CP33" s="11"/>
      <c r="CQ33" s="11"/>
      <c r="CR33" s="11"/>
      <c r="CS33" s="29"/>
      <c r="CT33" s="28"/>
      <c r="CU33" s="11"/>
      <c r="CV33" s="11"/>
      <c r="CW33" s="11"/>
      <c r="CX33" s="29"/>
      <c r="CY33" s="28"/>
      <c r="CZ33" s="30"/>
      <c r="DA33" s="30"/>
      <c r="DB33" s="30"/>
      <c r="DC33" s="30"/>
      <c r="DD33" s="30" t="str">
        <f t="shared" si="4"/>
        <v/>
      </c>
    </row>
    <row r="34" spans="1:108" ht="16.5">
      <c r="A34" s="26"/>
      <c r="B34" s="11"/>
      <c r="C34" s="11"/>
      <c r="D34" s="11"/>
      <c r="E34" s="11"/>
      <c r="F34" s="11"/>
      <c r="G34" s="11"/>
      <c r="H34" s="11"/>
      <c r="I34" s="11"/>
      <c r="J34" s="11"/>
      <c r="K34" s="11"/>
      <c r="L34" s="11"/>
      <c r="M34" s="27"/>
      <c r="N34" s="11"/>
      <c r="O34" s="11"/>
      <c r="P34" s="15"/>
      <c r="Q34" s="11"/>
      <c r="R34" s="11"/>
      <c r="S34" s="15"/>
      <c r="T34" s="15"/>
      <c r="U34" s="15"/>
      <c r="V34" s="11"/>
      <c r="W34" s="15"/>
      <c r="X34" s="11"/>
      <c r="Y34" s="11"/>
      <c r="Z34" s="15"/>
      <c r="AA34" s="11"/>
      <c r="AB34" s="11"/>
      <c r="AC34" s="15"/>
      <c r="AD34" s="15"/>
      <c r="AE34" s="15"/>
      <c r="AF34" s="11"/>
      <c r="AG34" s="15"/>
      <c r="AH34" s="11"/>
      <c r="AI34" s="11"/>
      <c r="AJ34" s="15"/>
      <c r="AK34" s="11"/>
      <c r="AL34" s="11"/>
      <c r="AM34" s="15"/>
      <c r="AN34" s="15"/>
      <c r="AO34" s="15"/>
      <c r="AP34" s="11"/>
      <c r="AQ34" s="15"/>
      <c r="AR34" s="11"/>
      <c r="AS34" s="11"/>
      <c r="AT34" s="15"/>
      <c r="AU34" s="11"/>
      <c r="AV34" s="11"/>
      <c r="AW34" s="15"/>
      <c r="AX34" s="15"/>
      <c r="AY34" s="15"/>
      <c r="AZ34" s="11"/>
      <c r="BA34" s="15"/>
      <c r="BB34" s="11"/>
      <c r="BC34" s="11"/>
      <c r="BD34" s="15"/>
      <c r="BE34" s="11"/>
      <c r="BF34" s="11"/>
      <c r="BG34" s="15"/>
      <c r="BH34" s="11"/>
      <c r="BI34" s="11"/>
      <c r="BJ34" s="11"/>
      <c r="BK34" s="11"/>
      <c r="BL34" s="28" t="str">
        <f t="shared" si="0"/>
        <v/>
      </c>
      <c r="BM34" s="28"/>
      <c r="BN34" s="11"/>
      <c r="BO34" s="29" t="str">
        <f t="shared" si="1"/>
        <v/>
      </c>
      <c r="BP34" s="11"/>
      <c r="BQ34" s="11"/>
      <c r="BR34" s="11"/>
      <c r="BS34" s="11"/>
      <c r="BT34" s="11"/>
      <c r="BU34" s="11"/>
      <c r="BV34" s="11"/>
      <c r="BW34" s="28" t="str">
        <f t="shared" si="2"/>
        <v/>
      </c>
      <c r="BX34" s="28"/>
      <c r="BY34" s="11"/>
      <c r="BZ34" s="29" t="str">
        <f t="shared" si="3"/>
        <v/>
      </c>
      <c r="CA34" s="11"/>
      <c r="CB34" s="11"/>
      <c r="CC34" s="11"/>
      <c r="CD34" s="11"/>
      <c r="CE34" s="11"/>
      <c r="CF34" s="11"/>
      <c r="CG34" s="11"/>
      <c r="CH34" s="11"/>
      <c r="CI34" s="29"/>
      <c r="CJ34" s="28"/>
      <c r="CK34" s="11"/>
      <c r="CL34" s="11"/>
      <c r="CM34" s="11"/>
      <c r="CN34" s="29"/>
      <c r="CO34" s="28"/>
      <c r="CP34" s="11"/>
      <c r="CQ34" s="11"/>
      <c r="CR34" s="11"/>
      <c r="CS34" s="29"/>
      <c r="CT34" s="28"/>
      <c r="CU34" s="11"/>
      <c r="CV34" s="11"/>
      <c r="CW34" s="11"/>
      <c r="CX34" s="29"/>
      <c r="CY34" s="28"/>
      <c r="CZ34" s="30"/>
      <c r="DA34" s="30"/>
      <c r="DB34" s="30"/>
      <c r="DC34" s="30"/>
      <c r="DD34" s="30" t="str">
        <f t="shared" si="4"/>
        <v/>
      </c>
    </row>
    <row r="35" spans="1:108" ht="16.5">
      <c r="A35" s="26"/>
      <c r="B35" s="11"/>
      <c r="C35" s="11"/>
      <c r="D35" s="11"/>
      <c r="E35" s="11"/>
      <c r="F35" s="11"/>
      <c r="G35" s="11"/>
      <c r="H35" s="11"/>
      <c r="I35" s="11"/>
      <c r="J35" s="11"/>
      <c r="K35" s="11"/>
      <c r="L35" s="11"/>
      <c r="M35" s="27"/>
      <c r="N35" s="11"/>
      <c r="O35" s="11"/>
      <c r="P35" s="15"/>
      <c r="Q35" s="11"/>
      <c r="R35" s="11"/>
      <c r="S35" s="15"/>
      <c r="T35" s="15"/>
      <c r="U35" s="15"/>
      <c r="V35" s="11"/>
      <c r="W35" s="15"/>
      <c r="X35" s="11"/>
      <c r="Y35" s="11"/>
      <c r="Z35" s="15"/>
      <c r="AA35" s="11"/>
      <c r="AB35" s="11"/>
      <c r="AC35" s="15"/>
      <c r="AD35" s="15"/>
      <c r="AE35" s="15"/>
      <c r="AF35" s="11"/>
      <c r="AG35" s="15"/>
      <c r="AH35" s="11"/>
      <c r="AI35" s="11"/>
      <c r="AJ35" s="15"/>
      <c r="AK35" s="11"/>
      <c r="AL35" s="11"/>
      <c r="AM35" s="15"/>
      <c r="AN35" s="15"/>
      <c r="AO35" s="15"/>
      <c r="AP35" s="11"/>
      <c r="AQ35" s="15"/>
      <c r="AR35" s="11"/>
      <c r="AS35" s="11"/>
      <c r="AT35" s="15"/>
      <c r="AU35" s="11"/>
      <c r="AV35" s="11"/>
      <c r="AW35" s="15"/>
      <c r="AX35" s="15"/>
      <c r="AY35" s="15"/>
      <c r="AZ35" s="11"/>
      <c r="BA35" s="15"/>
      <c r="BB35" s="11"/>
      <c r="BC35" s="11"/>
      <c r="BD35" s="15"/>
      <c r="BE35" s="11"/>
      <c r="BF35" s="11"/>
      <c r="BG35" s="15"/>
      <c r="BH35" s="11"/>
      <c r="BI35" s="11"/>
      <c r="BJ35" s="11"/>
      <c r="BK35" s="11"/>
      <c r="BL35" s="28" t="str">
        <f t="shared" si="0"/>
        <v/>
      </c>
      <c r="BM35" s="28"/>
      <c r="BN35" s="11"/>
      <c r="BO35" s="29" t="str">
        <f t="shared" si="1"/>
        <v/>
      </c>
      <c r="BP35" s="11"/>
      <c r="BQ35" s="11"/>
      <c r="BR35" s="11"/>
      <c r="BS35" s="11"/>
      <c r="BT35" s="11"/>
      <c r="BU35" s="11"/>
      <c r="BV35" s="11"/>
      <c r="BW35" s="28" t="str">
        <f t="shared" si="2"/>
        <v/>
      </c>
      <c r="BX35" s="28"/>
      <c r="BY35" s="11"/>
      <c r="BZ35" s="29" t="str">
        <f t="shared" si="3"/>
        <v/>
      </c>
      <c r="CA35" s="11"/>
      <c r="CB35" s="11"/>
      <c r="CC35" s="11"/>
      <c r="CD35" s="11"/>
      <c r="CE35" s="11"/>
      <c r="CF35" s="11"/>
      <c r="CG35" s="11"/>
      <c r="CH35" s="11"/>
      <c r="CI35" s="29"/>
      <c r="CJ35" s="28"/>
      <c r="CK35" s="11"/>
      <c r="CL35" s="11"/>
      <c r="CM35" s="11"/>
      <c r="CN35" s="29"/>
      <c r="CO35" s="28"/>
      <c r="CP35" s="11"/>
      <c r="CQ35" s="11"/>
      <c r="CR35" s="11"/>
      <c r="CS35" s="29"/>
      <c r="CT35" s="28"/>
      <c r="CU35" s="11"/>
      <c r="CV35" s="11"/>
      <c r="CW35" s="11"/>
      <c r="CX35" s="29"/>
      <c r="CY35" s="28"/>
      <c r="CZ35" s="30"/>
      <c r="DA35" s="30"/>
      <c r="DB35" s="30"/>
      <c r="DC35" s="30"/>
      <c r="DD35" s="30" t="str">
        <f t="shared" si="4"/>
        <v/>
      </c>
    </row>
    <row r="36" spans="1:108" ht="16.5">
      <c r="A36" s="26"/>
      <c r="B36" s="11"/>
      <c r="C36" s="11"/>
      <c r="D36" s="11"/>
      <c r="E36" s="11"/>
      <c r="F36" s="11"/>
      <c r="G36" s="11"/>
      <c r="H36" s="11"/>
      <c r="I36" s="11"/>
      <c r="J36" s="11"/>
      <c r="K36" s="11"/>
      <c r="L36" s="11"/>
      <c r="M36" s="27"/>
      <c r="N36" s="11"/>
      <c r="O36" s="11"/>
      <c r="P36" s="15"/>
      <c r="Q36" s="11"/>
      <c r="R36" s="11"/>
      <c r="S36" s="15"/>
      <c r="T36" s="15"/>
      <c r="U36" s="15"/>
      <c r="V36" s="11"/>
      <c r="W36" s="15"/>
      <c r="X36" s="11"/>
      <c r="Y36" s="11"/>
      <c r="Z36" s="15"/>
      <c r="AA36" s="11"/>
      <c r="AB36" s="11"/>
      <c r="AC36" s="15"/>
      <c r="AD36" s="15"/>
      <c r="AE36" s="15"/>
      <c r="AF36" s="11"/>
      <c r="AG36" s="15"/>
      <c r="AH36" s="11"/>
      <c r="AI36" s="11"/>
      <c r="AJ36" s="15"/>
      <c r="AK36" s="11"/>
      <c r="AL36" s="11"/>
      <c r="AM36" s="15"/>
      <c r="AN36" s="15"/>
      <c r="AO36" s="15"/>
      <c r="AP36" s="11"/>
      <c r="AQ36" s="15"/>
      <c r="AR36" s="11"/>
      <c r="AS36" s="11"/>
      <c r="AT36" s="15"/>
      <c r="AU36" s="11"/>
      <c r="AV36" s="11"/>
      <c r="AW36" s="15"/>
      <c r="AX36" s="15"/>
      <c r="AY36" s="15"/>
      <c r="AZ36" s="11"/>
      <c r="BA36" s="15"/>
      <c r="BB36" s="11"/>
      <c r="BC36" s="11"/>
      <c r="BD36" s="15"/>
      <c r="BE36" s="11"/>
      <c r="BF36" s="11"/>
      <c r="BG36" s="15"/>
      <c r="BH36" s="11"/>
      <c r="BI36" s="11"/>
      <c r="BJ36" s="11"/>
      <c r="BK36" s="11"/>
      <c r="BL36" s="28" t="str">
        <f t="shared" si="0"/>
        <v/>
      </c>
      <c r="BM36" s="28"/>
      <c r="BN36" s="11"/>
      <c r="BO36" s="29" t="str">
        <f t="shared" si="1"/>
        <v/>
      </c>
      <c r="BP36" s="11"/>
      <c r="BQ36" s="11"/>
      <c r="BR36" s="11"/>
      <c r="BS36" s="11"/>
      <c r="BT36" s="11"/>
      <c r="BU36" s="11"/>
      <c r="BV36" s="11"/>
      <c r="BW36" s="28" t="str">
        <f t="shared" si="2"/>
        <v/>
      </c>
      <c r="BX36" s="28"/>
      <c r="BY36" s="11"/>
      <c r="BZ36" s="29" t="str">
        <f t="shared" si="3"/>
        <v/>
      </c>
      <c r="CA36" s="11"/>
      <c r="CB36" s="11"/>
      <c r="CC36" s="11"/>
      <c r="CD36" s="11"/>
      <c r="CE36" s="11"/>
      <c r="CF36" s="11"/>
      <c r="CG36" s="11"/>
      <c r="CH36" s="11"/>
      <c r="CI36" s="29"/>
      <c r="CJ36" s="28"/>
      <c r="CK36" s="11"/>
      <c r="CL36" s="11"/>
      <c r="CM36" s="11"/>
      <c r="CN36" s="29"/>
      <c r="CO36" s="28"/>
      <c r="CP36" s="11"/>
      <c r="CQ36" s="11"/>
      <c r="CR36" s="11"/>
      <c r="CS36" s="29"/>
      <c r="CT36" s="28"/>
      <c r="CU36" s="11"/>
      <c r="CV36" s="11"/>
      <c r="CW36" s="11"/>
      <c r="CX36" s="29"/>
      <c r="CY36" s="28"/>
      <c r="CZ36" s="30"/>
      <c r="DA36" s="30"/>
      <c r="DB36" s="30"/>
      <c r="DC36" s="30"/>
      <c r="DD36" s="30" t="str">
        <f t="shared" si="4"/>
        <v/>
      </c>
    </row>
    <row r="37" spans="1:108" ht="16.5">
      <c r="A37" s="26"/>
      <c r="B37" s="11"/>
      <c r="C37" s="11"/>
      <c r="D37" s="11"/>
      <c r="E37" s="11"/>
      <c r="F37" s="11"/>
      <c r="G37" s="11"/>
      <c r="H37" s="11"/>
      <c r="I37" s="11"/>
      <c r="J37" s="11"/>
      <c r="K37" s="11"/>
      <c r="L37" s="11"/>
      <c r="M37" s="27"/>
      <c r="N37" s="11"/>
      <c r="O37" s="11"/>
      <c r="P37" s="15"/>
      <c r="Q37" s="11"/>
      <c r="R37" s="11"/>
      <c r="S37" s="15"/>
      <c r="T37" s="15"/>
      <c r="U37" s="15"/>
      <c r="V37" s="11"/>
      <c r="W37" s="15"/>
      <c r="X37" s="11"/>
      <c r="Y37" s="11"/>
      <c r="Z37" s="15"/>
      <c r="AA37" s="11"/>
      <c r="AB37" s="11"/>
      <c r="AC37" s="15"/>
      <c r="AD37" s="15"/>
      <c r="AE37" s="15"/>
      <c r="AF37" s="11"/>
      <c r="AG37" s="15"/>
      <c r="AH37" s="11"/>
      <c r="AI37" s="11"/>
      <c r="AJ37" s="15"/>
      <c r="AK37" s="11"/>
      <c r="AL37" s="11"/>
      <c r="AM37" s="15"/>
      <c r="AN37" s="15"/>
      <c r="AO37" s="15"/>
      <c r="AP37" s="11"/>
      <c r="AQ37" s="15"/>
      <c r="AR37" s="11"/>
      <c r="AS37" s="11"/>
      <c r="AT37" s="15"/>
      <c r="AU37" s="11"/>
      <c r="AV37" s="11"/>
      <c r="AW37" s="15"/>
      <c r="AX37" s="15"/>
      <c r="AY37" s="15"/>
      <c r="AZ37" s="11"/>
      <c r="BA37" s="15"/>
      <c r="BB37" s="11"/>
      <c r="BC37" s="11"/>
      <c r="BD37" s="15"/>
      <c r="BE37" s="11"/>
      <c r="BF37" s="11"/>
      <c r="BG37" s="15"/>
      <c r="BH37" s="11"/>
      <c r="BI37" s="11"/>
      <c r="BJ37" s="11"/>
      <c r="BK37" s="11"/>
      <c r="BL37" s="28" t="str">
        <f t="shared" si="0"/>
        <v/>
      </c>
      <c r="BM37" s="28"/>
      <c r="BN37" s="11"/>
      <c r="BO37" s="29" t="str">
        <f t="shared" si="1"/>
        <v/>
      </c>
      <c r="BP37" s="11"/>
      <c r="BQ37" s="11"/>
      <c r="BR37" s="11"/>
      <c r="BS37" s="11"/>
      <c r="BT37" s="11"/>
      <c r="BU37" s="11"/>
      <c r="BV37" s="11"/>
      <c r="BW37" s="28" t="str">
        <f t="shared" si="2"/>
        <v/>
      </c>
      <c r="BX37" s="28"/>
      <c r="BY37" s="11"/>
      <c r="BZ37" s="29" t="str">
        <f t="shared" si="3"/>
        <v/>
      </c>
      <c r="CA37" s="11"/>
      <c r="CB37" s="11"/>
      <c r="CC37" s="11"/>
      <c r="CD37" s="11"/>
      <c r="CE37" s="11"/>
      <c r="CF37" s="11"/>
      <c r="CG37" s="11"/>
      <c r="CH37" s="11"/>
      <c r="CI37" s="29"/>
      <c r="CJ37" s="28"/>
      <c r="CK37" s="11"/>
      <c r="CL37" s="11"/>
      <c r="CM37" s="11"/>
      <c r="CN37" s="29"/>
      <c r="CO37" s="28"/>
      <c r="CP37" s="11"/>
      <c r="CQ37" s="11"/>
      <c r="CR37" s="11"/>
      <c r="CS37" s="29"/>
      <c r="CT37" s="28"/>
      <c r="CU37" s="11"/>
      <c r="CV37" s="11"/>
      <c r="CW37" s="11"/>
      <c r="CX37" s="29"/>
      <c r="CY37" s="28"/>
      <c r="CZ37" s="30"/>
      <c r="DA37" s="30"/>
      <c r="DB37" s="30"/>
      <c r="DC37" s="30"/>
      <c r="DD37" s="30" t="str">
        <f t="shared" si="4"/>
        <v/>
      </c>
    </row>
    <row r="38" spans="1:108" ht="16.5">
      <c r="A38" s="26"/>
      <c r="B38" s="11"/>
      <c r="C38" s="11"/>
      <c r="D38" s="11"/>
      <c r="E38" s="11"/>
      <c r="F38" s="11"/>
      <c r="G38" s="11"/>
      <c r="H38" s="11"/>
      <c r="I38" s="11"/>
      <c r="J38" s="11"/>
      <c r="K38" s="11"/>
      <c r="L38" s="11"/>
      <c r="M38" s="27"/>
      <c r="N38" s="11"/>
      <c r="O38" s="11"/>
      <c r="P38" s="15"/>
      <c r="Q38" s="11"/>
      <c r="R38" s="11"/>
      <c r="S38" s="15"/>
      <c r="T38" s="15"/>
      <c r="U38" s="15"/>
      <c r="V38" s="11"/>
      <c r="W38" s="15"/>
      <c r="X38" s="11"/>
      <c r="Y38" s="11"/>
      <c r="Z38" s="15"/>
      <c r="AA38" s="11"/>
      <c r="AB38" s="11"/>
      <c r="AC38" s="15"/>
      <c r="AD38" s="15"/>
      <c r="AE38" s="15"/>
      <c r="AF38" s="11"/>
      <c r="AG38" s="15"/>
      <c r="AH38" s="11"/>
      <c r="AI38" s="11"/>
      <c r="AJ38" s="15"/>
      <c r="AK38" s="11"/>
      <c r="AL38" s="11"/>
      <c r="AM38" s="15"/>
      <c r="AN38" s="15"/>
      <c r="AO38" s="15"/>
      <c r="AP38" s="11"/>
      <c r="AQ38" s="15"/>
      <c r="AR38" s="11"/>
      <c r="AS38" s="11"/>
      <c r="AT38" s="15"/>
      <c r="AU38" s="11"/>
      <c r="AV38" s="11"/>
      <c r="AW38" s="15"/>
      <c r="AX38" s="15"/>
      <c r="AY38" s="15"/>
      <c r="AZ38" s="11"/>
      <c r="BA38" s="15"/>
      <c r="BB38" s="11"/>
      <c r="BC38" s="11"/>
      <c r="BD38" s="15"/>
      <c r="BE38" s="11"/>
      <c r="BF38" s="11"/>
      <c r="BG38" s="15"/>
      <c r="BH38" s="11"/>
      <c r="BI38" s="11"/>
      <c r="BJ38" s="11"/>
      <c r="BK38" s="11"/>
      <c r="BL38" s="28" t="str">
        <f t="shared" si="0"/>
        <v/>
      </c>
      <c r="BM38" s="28"/>
      <c r="BN38" s="11"/>
      <c r="BO38" s="29" t="str">
        <f t="shared" si="1"/>
        <v/>
      </c>
      <c r="BP38" s="11"/>
      <c r="BQ38" s="11"/>
      <c r="BR38" s="11"/>
      <c r="BS38" s="11"/>
      <c r="BT38" s="11"/>
      <c r="BU38" s="11"/>
      <c r="BV38" s="11"/>
      <c r="BW38" s="28" t="str">
        <f t="shared" si="2"/>
        <v/>
      </c>
      <c r="BX38" s="28"/>
      <c r="BY38" s="11"/>
      <c r="BZ38" s="29" t="str">
        <f t="shared" si="3"/>
        <v/>
      </c>
      <c r="CA38" s="11"/>
      <c r="CB38" s="11"/>
      <c r="CC38" s="11"/>
      <c r="CD38" s="11"/>
      <c r="CE38" s="11"/>
      <c r="CF38" s="11"/>
      <c r="CG38" s="11"/>
      <c r="CH38" s="11"/>
      <c r="CI38" s="29"/>
      <c r="CJ38" s="28"/>
      <c r="CK38" s="11"/>
      <c r="CL38" s="11"/>
      <c r="CM38" s="11"/>
      <c r="CN38" s="29"/>
      <c r="CO38" s="28"/>
      <c r="CP38" s="11"/>
      <c r="CQ38" s="11"/>
      <c r="CR38" s="11"/>
      <c r="CS38" s="29"/>
      <c r="CT38" s="28"/>
      <c r="CU38" s="11"/>
      <c r="CV38" s="11"/>
      <c r="CW38" s="11"/>
      <c r="CX38" s="29"/>
      <c r="CY38" s="28"/>
      <c r="CZ38" s="30"/>
      <c r="DA38" s="30"/>
      <c r="DB38" s="30"/>
      <c r="DC38" s="30"/>
      <c r="DD38" s="30" t="str">
        <f t="shared" si="4"/>
        <v/>
      </c>
    </row>
    <row r="39" spans="1:108" ht="16.5">
      <c r="A39" s="26"/>
      <c r="B39" s="11"/>
      <c r="C39" s="11"/>
      <c r="D39" s="11"/>
      <c r="E39" s="11"/>
      <c r="F39" s="11"/>
      <c r="G39" s="11"/>
      <c r="H39" s="11"/>
      <c r="I39" s="11"/>
      <c r="J39" s="11"/>
      <c r="K39" s="11"/>
      <c r="L39" s="11"/>
      <c r="M39" s="27"/>
      <c r="N39" s="11"/>
      <c r="O39" s="11"/>
      <c r="P39" s="15"/>
      <c r="Q39" s="11"/>
      <c r="R39" s="11"/>
      <c r="S39" s="15"/>
      <c r="T39" s="15"/>
      <c r="U39" s="15"/>
      <c r="V39" s="11"/>
      <c r="W39" s="15"/>
      <c r="X39" s="11"/>
      <c r="Y39" s="11"/>
      <c r="Z39" s="15"/>
      <c r="AA39" s="11"/>
      <c r="AB39" s="11"/>
      <c r="AC39" s="15"/>
      <c r="AD39" s="15"/>
      <c r="AE39" s="15"/>
      <c r="AF39" s="11"/>
      <c r="AG39" s="15"/>
      <c r="AH39" s="11"/>
      <c r="AI39" s="11"/>
      <c r="AJ39" s="15"/>
      <c r="AK39" s="11"/>
      <c r="AL39" s="11"/>
      <c r="AM39" s="15"/>
      <c r="AN39" s="15"/>
      <c r="AO39" s="15"/>
      <c r="AP39" s="11"/>
      <c r="AQ39" s="15"/>
      <c r="AR39" s="11"/>
      <c r="AS39" s="11"/>
      <c r="AT39" s="15"/>
      <c r="AU39" s="11"/>
      <c r="AV39" s="11"/>
      <c r="AW39" s="15"/>
      <c r="AX39" s="15"/>
      <c r="AY39" s="15"/>
      <c r="AZ39" s="11"/>
      <c r="BA39" s="15"/>
      <c r="BB39" s="11"/>
      <c r="BC39" s="11"/>
      <c r="BD39" s="15"/>
      <c r="BE39" s="11"/>
      <c r="BF39" s="11"/>
      <c r="BG39" s="15"/>
      <c r="BH39" s="11"/>
      <c r="BI39" s="11"/>
      <c r="BJ39" s="11"/>
      <c r="BK39" s="11"/>
      <c r="BL39" s="28" t="str">
        <f t="shared" si="0"/>
        <v/>
      </c>
      <c r="BM39" s="28"/>
      <c r="BN39" s="11"/>
      <c r="BO39" s="29" t="str">
        <f t="shared" si="1"/>
        <v/>
      </c>
      <c r="BP39" s="11"/>
      <c r="BQ39" s="11"/>
      <c r="BR39" s="11"/>
      <c r="BS39" s="11"/>
      <c r="BT39" s="11"/>
      <c r="BU39" s="11"/>
      <c r="BV39" s="11"/>
      <c r="BW39" s="28" t="str">
        <f t="shared" si="2"/>
        <v/>
      </c>
      <c r="BX39" s="28"/>
      <c r="BY39" s="11"/>
      <c r="BZ39" s="29" t="str">
        <f t="shared" si="3"/>
        <v/>
      </c>
      <c r="CA39" s="11"/>
      <c r="CB39" s="11"/>
      <c r="CC39" s="11"/>
      <c r="CD39" s="11"/>
      <c r="CE39" s="11"/>
      <c r="CF39" s="11"/>
      <c r="CG39" s="11"/>
      <c r="CH39" s="11"/>
      <c r="CI39" s="29"/>
      <c r="CJ39" s="28"/>
      <c r="CK39" s="11"/>
      <c r="CL39" s="11"/>
      <c r="CM39" s="11"/>
      <c r="CN39" s="29"/>
      <c r="CO39" s="28"/>
      <c r="CP39" s="11"/>
      <c r="CQ39" s="11"/>
      <c r="CR39" s="11"/>
      <c r="CS39" s="29"/>
      <c r="CT39" s="28"/>
      <c r="CU39" s="11"/>
      <c r="CV39" s="11"/>
      <c r="CW39" s="11"/>
      <c r="CX39" s="29"/>
      <c r="CY39" s="28"/>
      <c r="CZ39" s="30"/>
      <c r="DA39" s="30"/>
      <c r="DB39" s="30"/>
      <c r="DC39" s="30"/>
      <c r="DD39" s="30" t="str">
        <f t="shared" si="4"/>
        <v/>
      </c>
    </row>
    <row r="40" spans="1:108" ht="16.5">
      <c r="A40" s="26"/>
      <c r="B40" s="11"/>
      <c r="C40" s="11"/>
      <c r="D40" s="11"/>
      <c r="E40" s="11"/>
      <c r="F40" s="11"/>
      <c r="G40" s="11"/>
      <c r="H40" s="11"/>
      <c r="I40" s="11"/>
      <c r="J40" s="11"/>
      <c r="K40" s="11"/>
      <c r="L40" s="11"/>
      <c r="M40" s="27"/>
      <c r="N40" s="11"/>
      <c r="O40" s="11"/>
      <c r="P40" s="15"/>
      <c r="Q40" s="11"/>
      <c r="R40" s="11"/>
      <c r="S40" s="15"/>
      <c r="T40" s="15"/>
      <c r="U40" s="15"/>
      <c r="V40" s="11"/>
      <c r="W40" s="15"/>
      <c r="X40" s="11"/>
      <c r="Y40" s="11"/>
      <c r="Z40" s="15"/>
      <c r="AA40" s="11"/>
      <c r="AB40" s="11"/>
      <c r="AC40" s="15"/>
      <c r="AD40" s="15"/>
      <c r="AE40" s="15"/>
      <c r="AF40" s="11"/>
      <c r="AG40" s="15"/>
      <c r="AH40" s="11"/>
      <c r="AI40" s="11"/>
      <c r="AJ40" s="15"/>
      <c r="AK40" s="11"/>
      <c r="AL40" s="11"/>
      <c r="AM40" s="15"/>
      <c r="AN40" s="15"/>
      <c r="AO40" s="15"/>
      <c r="AP40" s="11"/>
      <c r="AQ40" s="15"/>
      <c r="AR40" s="11"/>
      <c r="AS40" s="11"/>
      <c r="AT40" s="15"/>
      <c r="AU40" s="11"/>
      <c r="AV40" s="11"/>
      <c r="AW40" s="15"/>
      <c r="AX40" s="15"/>
      <c r="AY40" s="15"/>
      <c r="AZ40" s="11"/>
      <c r="BA40" s="15"/>
      <c r="BB40" s="11"/>
      <c r="BC40" s="11"/>
      <c r="BD40" s="15"/>
      <c r="BE40" s="11"/>
      <c r="BF40" s="11"/>
      <c r="BG40" s="15"/>
      <c r="BH40" s="11"/>
      <c r="BI40" s="11"/>
      <c r="BJ40" s="11"/>
      <c r="BK40" s="11"/>
      <c r="BL40" s="28" t="str">
        <f t="shared" si="0"/>
        <v/>
      </c>
      <c r="BM40" s="28"/>
      <c r="BN40" s="11"/>
      <c r="BO40" s="29" t="str">
        <f t="shared" si="1"/>
        <v/>
      </c>
      <c r="BP40" s="11"/>
      <c r="BQ40" s="11"/>
      <c r="BR40" s="11"/>
      <c r="BS40" s="11"/>
      <c r="BT40" s="11"/>
      <c r="BU40" s="11"/>
      <c r="BV40" s="11"/>
      <c r="BW40" s="28" t="str">
        <f t="shared" si="2"/>
        <v/>
      </c>
      <c r="BX40" s="28"/>
      <c r="BY40" s="11"/>
      <c r="BZ40" s="29" t="str">
        <f t="shared" si="3"/>
        <v/>
      </c>
      <c r="CA40" s="11"/>
      <c r="CB40" s="11"/>
      <c r="CC40" s="11"/>
      <c r="CD40" s="11"/>
      <c r="CE40" s="11"/>
      <c r="CF40" s="11"/>
      <c r="CG40" s="11"/>
      <c r="CH40" s="11"/>
      <c r="CI40" s="29"/>
      <c r="CJ40" s="28"/>
      <c r="CK40" s="11"/>
      <c r="CL40" s="11"/>
      <c r="CM40" s="11"/>
      <c r="CN40" s="29"/>
      <c r="CO40" s="28"/>
      <c r="CP40" s="11"/>
      <c r="CQ40" s="11"/>
      <c r="CR40" s="11"/>
      <c r="CS40" s="29"/>
      <c r="CT40" s="28"/>
      <c r="CU40" s="11"/>
      <c r="CV40" s="11"/>
      <c r="CW40" s="11"/>
      <c r="CX40" s="29"/>
      <c r="CY40" s="28"/>
      <c r="CZ40" s="30"/>
      <c r="DA40" s="30"/>
      <c r="DB40" s="30"/>
      <c r="DC40" s="30"/>
      <c r="DD40" s="30" t="str">
        <f t="shared" si="4"/>
        <v/>
      </c>
    </row>
    <row r="41" spans="1:108" ht="16.5">
      <c r="A41" s="26"/>
      <c r="B41" s="11"/>
      <c r="C41" s="11"/>
      <c r="D41" s="11"/>
      <c r="E41" s="11"/>
      <c r="F41" s="11"/>
      <c r="G41" s="11"/>
      <c r="H41" s="11"/>
      <c r="I41" s="11"/>
      <c r="J41" s="11"/>
      <c r="K41" s="11"/>
      <c r="L41" s="11"/>
      <c r="M41" s="27"/>
      <c r="N41" s="11"/>
      <c r="O41" s="11"/>
      <c r="P41" s="15"/>
      <c r="Q41" s="11"/>
      <c r="R41" s="11"/>
      <c r="S41" s="15"/>
      <c r="T41" s="15"/>
      <c r="U41" s="15"/>
      <c r="V41" s="11"/>
      <c r="W41" s="15"/>
      <c r="X41" s="11"/>
      <c r="Y41" s="11"/>
      <c r="Z41" s="15"/>
      <c r="AA41" s="11"/>
      <c r="AB41" s="11"/>
      <c r="AC41" s="15"/>
      <c r="AD41" s="15"/>
      <c r="AE41" s="15"/>
      <c r="AF41" s="11"/>
      <c r="AG41" s="15"/>
      <c r="AH41" s="11"/>
      <c r="AI41" s="11"/>
      <c r="AJ41" s="15"/>
      <c r="AK41" s="11"/>
      <c r="AL41" s="11"/>
      <c r="AM41" s="15"/>
      <c r="AN41" s="15"/>
      <c r="AO41" s="15"/>
      <c r="AP41" s="11"/>
      <c r="AQ41" s="15"/>
      <c r="AR41" s="11"/>
      <c r="AS41" s="11"/>
      <c r="AT41" s="15"/>
      <c r="AU41" s="11"/>
      <c r="AV41" s="11"/>
      <c r="AW41" s="15"/>
      <c r="AX41" s="15"/>
      <c r="AY41" s="15"/>
      <c r="AZ41" s="11"/>
      <c r="BA41" s="15"/>
      <c r="BB41" s="11"/>
      <c r="BC41" s="11"/>
      <c r="BD41" s="15"/>
      <c r="BE41" s="11"/>
      <c r="BF41" s="11"/>
      <c r="BG41" s="15"/>
      <c r="BH41" s="11"/>
      <c r="BI41" s="11"/>
      <c r="BJ41" s="11"/>
      <c r="BK41" s="11"/>
      <c r="BL41" s="28" t="str">
        <f t="shared" si="0"/>
        <v/>
      </c>
      <c r="BM41" s="28"/>
      <c r="BN41" s="11"/>
      <c r="BO41" s="29" t="str">
        <f t="shared" si="1"/>
        <v/>
      </c>
      <c r="BP41" s="11"/>
      <c r="BQ41" s="11"/>
      <c r="BR41" s="11"/>
      <c r="BS41" s="11"/>
      <c r="BT41" s="11"/>
      <c r="BU41" s="11"/>
      <c r="BV41" s="11"/>
      <c r="BW41" s="28" t="str">
        <f t="shared" si="2"/>
        <v/>
      </c>
      <c r="BX41" s="28"/>
      <c r="BY41" s="11"/>
      <c r="BZ41" s="29" t="str">
        <f t="shared" si="3"/>
        <v/>
      </c>
      <c r="CA41" s="11"/>
      <c r="CB41" s="11"/>
      <c r="CC41" s="11"/>
      <c r="CD41" s="11"/>
      <c r="CE41" s="11"/>
      <c r="CF41" s="11"/>
      <c r="CG41" s="11"/>
      <c r="CH41" s="11"/>
      <c r="CI41" s="29"/>
      <c r="CJ41" s="28"/>
      <c r="CK41" s="11"/>
      <c r="CL41" s="11"/>
      <c r="CM41" s="11"/>
      <c r="CN41" s="29"/>
      <c r="CO41" s="28"/>
      <c r="CP41" s="11"/>
      <c r="CQ41" s="11"/>
      <c r="CR41" s="11"/>
      <c r="CS41" s="29"/>
      <c r="CT41" s="28"/>
      <c r="CU41" s="11"/>
      <c r="CV41" s="11"/>
      <c r="CW41" s="11"/>
      <c r="CX41" s="29"/>
      <c r="CY41" s="28"/>
      <c r="CZ41" s="30"/>
      <c r="DA41" s="30"/>
      <c r="DB41" s="30"/>
      <c r="DC41" s="30"/>
      <c r="DD41" s="30" t="str">
        <f t="shared" si="4"/>
        <v/>
      </c>
    </row>
    <row r="42" spans="1:108" ht="16.5">
      <c r="A42" s="26"/>
      <c r="B42" s="11"/>
      <c r="C42" s="11"/>
      <c r="D42" s="11"/>
      <c r="E42" s="11"/>
      <c r="F42" s="11"/>
      <c r="G42" s="11"/>
      <c r="H42" s="11"/>
      <c r="I42" s="11"/>
      <c r="J42" s="11"/>
      <c r="K42" s="11"/>
      <c r="L42" s="11"/>
      <c r="M42" s="27"/>
      <c r="N42" s="11"/>
      <c r="O42" s="11"/>
      <c r="P42" s="15"/>
      <c r="Q42" s="11"/>
      <c r="R42" s="11"/>
      <c r="S42" s="15"/>
      <c r="T42" s="15"/>
      <c r="U42" s="15"/>
      <c r="V42" s="11"/>
      <c r="W42" s="15"/>
      <c r="X42" s="11"/>
      <c r="Y42" s="11"/>
      <c r="Z42" s="15"/>
      <c r="AA42" s="11"/>
      <c r="AB42" s="11"/>
      <c r="AC42" s="15"/>
      <c r="AD42" s="15"/>
      <c r="AE42" s="15"/>
      <c r="AF42" s="11"/>
      <c r="AG42" s="15"/>
      <c r="AH42" s="11"/>
      <c r="AI42" s="11"/>
      <c r="AJ42" s="15"/>
      <c r="AK42" s="11"/>
      <c r="AL42" s="11"/>
      <c r="AM42" s="15"/>
      <c r="AN42" s="15"/>
      <c r="AO42" s="15"/>
      <c r="AP42" s="11"/>
      <c r="AQ42" s="15"/>
      <c r="AR42" s="11"/>
      <c r="AS42" s="11"/>
      <c r="AT42" s="15"/>
      <c r="AU42" s="11"/>
      <c r="AV42" s="11"/>
      <c r="AW42" s="15"/>
      <c r="AX42" s="15"/>
      <c r="AY42" s="15"/>
      <c r="AZ42" s="11"/>
      <c r="BA42" s="15"/>
      <c r="BB42" s="11"/>
      <c r="BC42" s="11"/>
      <c r="BD42" s="15"/>
      <c r="BE42" s="11"/>
      <c r="BF42" s="11"/>
      <c r="BG42" s="15"/>
      <c r="BH42" s="11"/>
      <c r="BI42" s="11"/>
      <c r="BJ42" s="11"/>
      <c r="BK42" s="11"/>
      <c r="BL42" s="28" t="str">
        <f t="shared" si="0"/>
        <v/>
      </c>
      <c r="BM42" s="28"/>
      <c r="BN42" s="11"/>
      <c r="BO42" s="29" t="str">
        <f t="shared" si="1"/>
        <v/>
      </c>
      <c r="BP42" s="11"/>
      <c r="BQ42" s="11"/>
      <c r="BR42" s="11"/>
      <c r="BS42" s="11"/>
      <c r="BT42" s="11"/>
      <c r="BU42" s="11"/>
      <c r="BV42" s="11"/>
      <c r="BW42" s="28" t="str">
        <f t="shared" si="2"/>
        <v/>
      </c>
      <c r="BX42" s="28"/>
      <c r="BY42" s="11"/>
      <c r="BZ42" s="29" t="str">
        <f t="shared" si="3"/>
        <v/>
      </c>
      <c r="CA42" s="11"/>
      <c r="CB42" s="11"/>
      <c r="CC42" s="11"/>
      <c r="CD42" s="11"/>
      <c r="CE42" s="11"/>
      <c r="CF42" s="11"/>
      <c r="CG42" s="11"/>
      <c r="CH42" s="11"/>
      <c r="CI42" s="29"/>
      <c r="CJ42" s="28"/>
      <c r="CK42" s="11"/>
      <c r="CL42" s="11"/>
      <c r="CM42" s="11"/>
      <c r="CN42" s="29"/>
      <c r="CO42" s="28"/>
      <c r="CP42" s="11"/>
      <c r="CQ42" s="11"/>
      <c r="CR42" s="11"/>
      <c r="CS42" s="29"/>
      <c r="CT42" s="28"/>
      <c r="CU42" s="11"/>
      <c r="CV42" s="11"/>
      <c r="CW42" s="11"/>
      <c r="CX42" s="29"/>
      <c r="CY42" s="28"/>
      <c r="CZ42" s="30"/>
      <c r="DA42" s="30"/>
      <c r="DB42" s="30"/>
      <c r="DC42" s="30"/>
      <c r="DD42" s="30" t="str">
        <f t="shared" si="4"/>
        <v/>
      </c>
    </row>
    <row r="43" spans="1:108" ht="16.5">
      <c r="A43" s="26"/>
      <c r="B43" s="11"/>
      <c r="C43" s="11"/>
      <c r="D43" s="11"/>
      <c r="E43" s="11"/>
      <c r="F43" s="11"/>
      <c r="G43" s="11"/>
      <c r="H43" s="11"/>
      <c r="I43" s="11"/>
      <c r="J43" s="11"/>
      <c r="K43" s="11"/>
      <c r="L43" s="11"/>
      <c r="M43" s="27"/>
      <c r="N43" s="11"/>
      <c r="O43" s="11"/>
      <c r="P43" s="15"/>
      <c r="Q43" s="11"/>
      <c r="R43" s="11"/>
      <c r="S43" s="15"/>
      <c r="T43" s="15"/>
      <c r="U43" s="15"/>
      <c r="V43" s="11"/>
      <c r="W43" s="15"/>
      <c r="X43" s="11"/>
      <c r="Y43" s="11"/>
      <c r="Z43" s="15"/>
      <c r="AA43" s="11"/>
      <c r="AB43" s="11"/>
      <c r="AC43" s="15"/>
      <c r="AD43" s="15"/>
      <c r="AE43" s="15"/>
      <c r="AF43" s="11"/>
      <c r="AG43" s="15"/>
      <c r="AH43" s="11"/>
      <c r="AI43" s="11"/>
      <c r="AJ43" s="15"/>
      <c r="AK43" s="11"/>
      <c r="AL43" s="11"/>
      <c r="AM43" s="15"/>
      <c r="AN43" s="15"/>
      <c r="AO43" s="15"/>
      <c r="AP43" s="11"/>
      <c r="AQ43" s="15"/>
      <c r="AR43" s="11"/>
      <c r="AS43" s="11"/>
      <c r="AT43" s="15"/>
      <c r="AU43" s="11"/>
      <c r="AV43" s="11"/>
      <c r="AW43" s="15"/>
      <c r="AX43" s="15"/>
      <c r="AY43" s="15"/>
      <c r="AZ43" s="11"/>
      <c r="BA43" s="15"/>
      <c r="BB43" s="11"/>
      <c r="BC43" s="11"/>
      <c r="BD43" s="15"/>
      <c r="BE43" s="11"/>
      <c r="BF43" s="11"/>
      <c r="BG43" s="15"/>
      <c r="BH43" s="11"/>
      <c r="BI43" s="11"/>
      <c r="BJ43" s="11"/>
      <c r="BK43" s="11"/>
      <c r="BL43" s="28" t="str">
        <f t="shared" si="0"/>
        <v/>
      </c>
      <c r="BM43" s="28"/>
      <c r="BN43" s="11"/>
      <c r="BO43" s="29" t="str">
        <f t="shared" si="1"/>
        <v/>
      </c>
      <c r="BP43" s="11"/>
      <c r="BQ43" s="11"/>
      <c r="BR43" s="11"/>
      <c r="BS43" s="11"/>
      <c r="BT43" s="11"/>
      <c r="BU43" s="11"/>
      <c r="BV43" s="11"/>
      <c r="BW43" s="28" t="str">
        <f t="shared" si="2"/>
        <v/>
      </c>
      <c r="BX43" s="28"/>
      <c r="BY43" s="11"/>
      <c r="BZ43" s="29" t="str">
        <f t="shared" si="3"/>
        <v/>
      </c>
      <c r="CA43" s="11"/>
      <c r="CB43" s="11"/>
      <c r="CC43" s="11"/>
      <c r="CD43" s="11"/>
      <c r="CE43" s="11"/>
      <c r="CF43" s="11"/>
      <c r="CG43" s="11"/>
      <c r="CH43" s="11"/>
      <c r="CI43" s="29"/>
      <c r="CJ43" s="28"/>
      <c r="CK43" s="11"/>
      <c r="CL43" s="11"/>
      <c r="CM43" s="11"/>
      <c r="CN43" s="29"/>
      <c r="CO43" s="28"/>
      <c r="CP43" s="11"/>
      <c r="CQ43" s="11"/>
      <c r="CR43" s="11"/>
      <c r="CS43" s="29"/>
      <c r="CT43" s="28"/>
      <c r="CU43" s="11"/>
      <c r="CV43" s="11"/>
      <c r="CW43" s="11"/>
      <c r="CX43" s="29"/>
      <c r="CY43" s="28"/>
      <c r="CZ43" s="30"/>
      <c r="DA43" s="30"/>
      <c r="DB43" s="30"/>
      <c r="DC43" s="30"/>
      <c r="DD43" s="30" t="str">
        <f t="shared" si="4"/>
        <v/>
      </c>
    </row>
    <row r="44" spans="1:108" ht="16.5">
      <c r="A44" s="26"/>
      <c r="B44" s="11"/>
      <c r="C44" s="11"/>
      <c r="D44" s="11"/>
      <c r="E44" s="11"/>
      <c r="F44" s="11"/>
      <c r="G44" s="11"/>
      <c r="H44" s="11"/>
      <c r="I44" s="11"/>
      <c r="J44" s="11"/>
      <c r="K44" s="11"/>
      <c r="L44" s="11"/>
      <c r="M44" s="27"/>
      <c r="N44" s="11"/>
      <c r="O44" s="11"/>
      <c r="P44" s="15"/>
      <c r="Q44" s="11"/>
      <c r="R44" s="11"/>
      <c r="S44" s="15"/>
      <c r="T44" s="15"/>
      <c r="U44" s="15"/>
      <c r="V44" s="11"/>
      <c r="W44" s="15"/>
      <c r="X44" s="11"/>
      <c r="Y44" s="11"/>
      <c r="Z44" s="15"/>
      <c r="AA44" s="11"/>
      <c r="AB44" s="11"/>
      <c r="AC44" s="15"/>
      <c r="AD44" s="15"/>
      <c r="AE44" s="15"/>
      <c r="AF44" s="11"/>
      <c r="AG44" s="15"/>
      <c r="AH44" s="11"/>
      <c r="AI44" s="11"/>
      <c r="AJ44" s="15"/>
      <c r="AK44" s="11"/>
      <c r="AL44" s="11"/>
      <c r="AM44" s="15"/>
      <c r="AN44" s="15"/>
      <c r="AO44" s="15"/>
      <c r="AP44" s="11"/>
      <c r="AQ44" s="15"/>
      <c r="AR44" s="11"/>
      <c r="AS44" s="11"/>
      <c r="AT44" s="15"/>
      <c r="AU44" s="11"/>
      <c r="AV44" s="11"/>
      <c r="AW44" s="15"/>
      <c r="AX44" s="15"/>
      <c r="AY44" s="15"/>
      <c r="AZ44" s="11"/>
      <c r="BA44" s="15"/>
      <c r="BB44" s="11"/>
      <c r="BC44" s="11"/>
      <c r="BD44" s="15"/>
      <c r="BE44" s="11"/>
      <c r="BF44" s="11"/>
      <c r="BG44" s="15"/>
      <c r="BH44" s="11"/>
      <c r="BI44" s="11"/>
      <c r="BJ44" s="11"/>
      <c r="BK44" s="11"/>
      <c r="BL44" s="28" t="str">
        <f t="shared" si="0"/>
        <v/>
      </c>
      <c r="BM44" s="28"/>
      <c r="BN44" s="11"/>
      <c r="BO44" s="29" t="str">
        <f t="shared" si="1"/>
        <v/>
      </c>
      <c r="BP44" s="11"/>
      <c r="BQ44" s="11"/>
      <c r="BR44" s="11"/>
      <c r="BS44" s="11"/>
      <c r="BT44" s="11"/>
      <c r="BU44" s="11"/>
      <c r="BV44" s="11"/>
      <c r="BW44" s="28" t="str">
        <f t="shared" si="2"/>
        <v/>
      </c>
      <c r="BX44" s="28"/>
      <c r="BY44" s="11"/>
      <c r="BZ44" s="29" t="str">
        <f t="shared" si="3"/>
        <v/>
      </c>
      <c r="CA44" s="11"/>
      <c r="CB44" s="11"/>
      <c r="CC44" s="11"/>
      <c r="CD44" s="11"/>
      <c r="CE44" s="11"/>
      <c r="CF44" s="11"/>
      <c r="CG44" s="11"/>
      <c r="CH44" s="11"/>
      <c r="CI44" s="29"/>
      <c r="CJ44" s="28"/>
      <c r="CK44" s="11"/>
      <c r="CL44" s="11"/>
      <c r="CM44" s="11"/>
      <c r="CN44" s="29"/>
      <c r="CO44" s="28"/>
      <c r="CP44" s="11"/>
      <c r="CQ44" s="11"/>
      <c r="CR44" s="11"/>
      <c r="CS44" s="29"/>
      <c r="CT44" s="28"/>
      <c r="CU44" s="11"/>
      <c r="CV44" s="11"/>
      <c r="CW44" s="11"/>
      <c r="CX44" s="29"/>
      <c r="CY44" s="28"/>
      <c r="CZ44" s="30"/>
      <c r="DA44" s="30"/>
      <c r="DB44" s="30"/>
      <c r="DC44" s="30"/>
      <c r="DD44" s="30" t="str">
        <f t="shared" si="4"/>
        <v/>
      </c>
    </row>
    <row r="45" spans="1:108" ht="16.5">
      <c r="A45" s="26"/>
      <c r="B45" s="11"/>
      <c r="C45" s="11"/>
      <c r="D45" s="11"/>
      <c r="E45" s="11"/>
      <c r="F45" s="11"/>
      <c r="G45" s="11"/>
      <c r="H45" s="11"/>
      <c r="I45" s="11"/>
      <c r="J45" s="11"/>
      <c r="K45" s="11"/>
      <c r="L45" s="11"/>
      <c r="M45" s="27"/>
      <c r="N45" s="11"/>
      <c r="O45" s="11"/>
      <c r="P45" s="15"/>
      <c r="Q45" s="11"/>
      <c r="R45" s="11"/>
      <c r="S45" s="15"/>
      <c r="T45" s="15"/>
      <c r="U45" s="15"/>
      <c r="V45" s="11"/>
      <c r="W45" s="15"/>
      <c r="X45" s="11"/>
      <c r="Y45" s="11"/>
      <c r="Z45" s="15"/>
      <c r="AA45" s="11"/>
      <c r="AB45" s="11"/>
      <c r="AC45" s="15"/>
      <c r="AD45" s="15"/>
      <c r="AE45" s="15"/>
      <c r="AF45" s="11"/>
      <c r="AG45" s="15"/>
      <c r="AH45" s="11"/>
      <c r="AI45" s="11"/>
      <c r="AJ45" s="15"/>
      <c r="AK45" s="11"/>
      <c r="AL45" s="11"/>
      <c r="AM45" s="15"/>
      <c r="AN45" s="15"/>
      <c r="AO45" s="15"/>
      <c r="AP45" s="11"/>
      <c r="AQ45" s="15"/>
      <c r="AR45" s="11"/>
      <c r="AS45" s="11"/>
      <c r="AT45" s="15"/>
      <c r="AU45" s="11"/>
      <c r="AV45" s="11"/>
      <c r="AW45" s="15"/>
      <c r="AX45" s="15"/>
      <c r="AY45" s="15"/>
      <c r="AZ45" s="11"/>
      <c r="BA45" s="15"/>
      <c r="BB45" s="11"/>
      <c r="BC45" s="11"/>
      <c r="BD45" s="15"/>
      <c r="BE45" s="11"/>
      <c r="BF45" s="11"/>
      <c r="BG45" s="15"/>
      <c r="BH45" s="11"/>
      <c r="BI45" s="11"/>
      <c r="BJ45" s="11"/>
      <c r="BK45" s="11"/>
      <c r="BL45" s="28" t="str">
        <f t="shared" si="0"/>
        <v/>
      </c>
      <c r="BM45" s="28"/>
      <c r="BN45" s="11"/>
      <c r="BO45" s="29" t="str">
        <f t="shared" si="1"/>
        <v/>
      </c>
      <c r="BP45" s="11"/>
      <c r="BQ45" s="11"/>
      <c r="BR45" s="11"/>
      <c r="BS45" s="11"/>
      <c r="BT45" s="11"/>
      <c r="BU45" s="11"/>
      <c r="BV45" s="11"/>
      <c r="BW45" s="28" t="str">
        <f t="shared" si="2"/>
        <v/>
      </c>
      <c r="BX45" s="28"/>
      <c r="BY45" s="11"/>
      <c r="BZ45" s="29" t="str">
        <f t="shared" si="3"/>
        <v/>
      </c>
      <c r="CA45" s="11"/>
      <c r="CB45" s="11"/>
      <c r="CC45" s="11"/>
      <c r="CD45" s="11"/>
      <c r="CE45" s="11"/>
      <c r="CF45" s="11"/>
      <c r="CG45" s="11"/>
      <c r="CH45" s="11"/>
      <c r="CI45" s="29"/>
      <c r="CJ45" s="28"/>
      <c r="CK45" s="11"/>
      <c r="CL45" s="11"/>
      <c r="CM45" s="11"/>
      <c r="CN45" s="29"/>
      <c r="CO45" s="28"/>
      <c r="CP45" s="11"/>
      <c r="CQ45" s="11"/>
      <c r="CR45" s="11"/>
      <c r="CS45" s="29"/>
      <c r="CT45" s="28"/>
      <c r="CU45" s="11"/>
      <c r="CV45" s="11"/>
      <c r="CW45" s="11"/>
      <c r="CX45" s="29"/>
      <c r="CY45" s="28"/>
      <c r="CZ45" s="30"/>
      <c r="DA45" s="30"/>
      <c r="DB45" s="30"/>
      <c r="DC45" s="30"/>
      <c r="DD45" s="30" t="str">
        <f t="shared" si="4"/>
        <v/>
      </c>
    </row>
    <row r="46" spans="1:108" ht="16.5">
      <c r="A46" s="26"/>
      <c r="B46" s="11"/>
      <c r="C46" s="11"/>
      <c r="D46" s="11"/>
      <c r="E46" s="11"/>
      <c r="F46" s="11"/>
      <c r="G46" s="11"/>
      <c r="H46" s="11"/>
      <c r="I46" s="11"/>
      <c r="J46" s="11"/>
      <c r="K46" s="11"/>
      <c r="L46" s="11"/>
      <c r="M46" s="27"/>
      <c r="N46" s="11"/>
      <c r="O46" s="11"/>
      <c r="P46" s="15"/>
      <c r="Q46" s="11"/>
      <c r="R46" s="11"/>
      <c r="S46" s="15"/>
      <c r="T46" s="15"/>
      <c r="U46" s="15"/>
      <c r="V46" s="11"/>
      <c r="W46" s="15"/>
      <c r="X46" s="11"/>
      <c r="Y46" s="11"/>
      <c r="Z46" s="15"/>
      <c r="AA46" s="11"/>
      <c r="AB46" s="11"/>
      <c r="AC46" s="15"/>
      <c r="AD46" s="15"/>
      <c r="AE46" s="15"/>
      <c r="AF46" s="11"/>
      <c r="AG46" s="15"/>
      <c r="AH46" s="11"/>
      <c r="AI46" s="11"/>
      <c r="AJ46" s="15"/>
      <c r="AK46" s="11"/>
      <c r="AL46" s="11"/>
      <c r="AM46" s="15"/>
      <c r="AN46" s="15"/>
      <c r="AO46" s="15"/>
      <c r="AP46" s="11"/>
      <c r="AQ46" s="15"/>
      <c r="AR46" s="11"/>
      <c r="AS46" s="11"/>
      <c r="AT46" s="15"/>
      <c r="AU46" s="11"/>
      <c r="AV46" s="11"/>
      <c r="AW46" s="15"/>
      <c r="AX46" s="15"/>
      <c r="AY46" s="15"/>
      <c r="AZ46" s="11"/>
      <c r="BA46" s="15"/>
      <c r="BB46" s="11"/>
      <c r="BC46" s="11"/>
      <c r="BD46" s="15"/>
      <c r="BE46" s="11"/>
      <c r="BF46" s="11"/>
      <c r="BG46" s="15"/>
      <c r="BH46" s="11"/>
      <c r="BI46" s="11"/>
      <c r="BJ46" s="11"/>
      <c r="BK46" s="11"/>
      <c r="BL46" s="28" t="str">
        <f t="shared" si="0"/>
        <v/>
      </c>
      <c r="BM46" s="28"/>
      <c r="BN46" s="11"/>
      <c r="BO46" s="29" t="str">
        <f t="shared" si="1"/>
        <v/>
      </c>
      <c r="BP46" s="11"/>
      <c r="BQ46" s="11"/>
      <c r="BR46" s="11"/>
      <c r="BS46" s="11"/>
      <c r="BT46" s="11"/>
      <c r="BU46" s="11"/>
      <c r="BV46" s="11"/>
      <c r="BW46" s="28" t="str">
        <f t="shared" si="2"/>
        <v/>
      </c>
      <c r="BX46" s="28"/>
      <c r="BY46" s="11"/>
      <c r="BZ46" s="29" t="str">
        <f t="shared" si="3"/>
        <v/>
      </c>
      <c r="CA46" s="11"/>
      <c r="CB46" s="11"/>
      <c r="CC46" s="11"/>
      <c r="CD46" s="11"/>
      <c r="CE46" s="11"/>
      <c r="CF46" s="11"/>
      <c r="CG46" s="11"/>
      <c r="CH46" s="11"/>
      <c r="CI46" s="29"/>
      <c r="CJ46" s="28"/>
      <c r="CK46" s="11"/>
      <c r="CL46" s="11"/>
      <c r="CM46" s="11"/>
      <c r="CN46" s="29"/>
      <c r="CO46" s="28"/>
      <c r="CP46" s="11"/>
      <c r="CQ46" s="11"/>
      <c r="CR46" s="11"/>
      <c r="CS46" s="29"/>
      <c r="CT46" s="28"/>
      <c r="CU46" s="11"/>
      <c r="CV46" s="11"/>
      <c r="CW46" s="11"/>
      <c r="CX46" s="29"/>
      <c r="CY46" s="28"/>
      <c r="CZ46" s="30"/>
      <c r="DA46" s="30"/>
      <c r="DB46" s="30"/>
      <c r="DC46" s="30"/>
      <c r="DD46" s="30" t="str">
        <f t="shared" si="4"/>
        <v/>
      </c>
    </row>
    <row r="47" spans="1:108" ht="16.5">
      <c r="A47" s="26"/>
      <c r="B47" s="11"/>
      <c r="C47" s="11"/>
      <c r="D47" s="11"/>
      <c r="E47" s="11"/>
      <c r="F47" s="11"/>
      <c r="G47" s="11"/>
      <c r="H47" s="11"/>
      <c r="I47" s="11"/>
      <c r="J47" s="11"/>
      <c r="K47" s="11"/>
      <c r="L47" s="11"/>
      <c r="M47" s="27"/>
      <c r="N47" s="11"/>
      <c r="O47" s="11"/>
      <c r="P47" s="15"/>
      <c r="Q47" s="11"/>
      <c r="R47" s="11"/>
      <c r="S47" s="15"/>
      <c r="T47" s="15"/>
      <c r="U47" s="15"/>
      <c r="V47" s="11"/>
      <c r="W47" s="15"/>
      <c r="X47" s="11"/>
      <c r="Y47" s="11"/>
      <c r="Z47" s="15"/>
      <c r="AA47" s="11"/>
      <c r="AB47" s="11"/>
      <c r="AC47" s="15"/>
      <c r="AD47" s="15"/>
      <c r="AE47" s="15"/>
      <c r="AF47" s="11"/>
      <c r="AG47" s="15"/>
      <c r="AH47" s="11"/>
      <c r="AI47" s="11"/>
      <c r="AJ47" s="15"/>
      <c r="AK47" s="11"/>
      <c r="AL47" s="11"/>
      <c r="AM47" s="15"/>
      <c r="AN47" s="15"/>
      <c r="AO47" s="15"/>
      <c r="AP47" s="11"/>
      <c r="AQ47" s="15"/>
      <c r="AR47" s="11"/>
      <c r="AS47" s="11"/>
      <c r="AT47" s="15"/>
      <c r="AU47" s="11"/>
      <c r="AV47" s="11"/>
      <c r="AW47" s="15"/>
      <c r="AX47" s="15"/>
      <c r="AY47" s="15"/>
      <c r="AZ47" s="11"/>
      <c r="BA47" s="15"/>
      <c r="BB47" s="11"/>
      <c r="BC47" s="11"/>
      <c r="BD47" s="15"/>
      <c r="BE47" s="11"/>
      <c r="BF47" s="11"/>
      <c r="BG47" s="15"/>
      <c r="BH47" s="11"/>
      <c r="BI47" s="11"/>
      <c r="BJ47" s="11"/>
      <c r="BK47" s="11"/>
      <c r="BL47" s="28" t="str">
        <f t="shared" si="0"/>
        <v/>
      </c>
      <c r="BM47" s="28"/>
      <c r="BN47" s="11"/>
      <c r="BO47" s="29" t="str">
        <f t="shared" si="1"/>
        <v/>
      </c>
      <c r="BP47" s="11"/>
      <c r="BQ47" s="11"/>
      <c r="BR47" s="11"/>
      <c r="BS47" s="11"/>
      <c r="BT47" s="11"/>
      <c r="BU47" s="11"/>
      <c r="BV47" s="11"/>
      <c r="BW47" s="28" t="str">
        <f t="shared" si="2"/>
        <v/>
      </c>
      <c r="BX47" s="28"/>
      <c r="BY47" s="11"/>
      <c r="BZ47" s="29" t="str">
        <f t="shared" si="3"/>
        <v/>
      </c>
      <c r="CA47" s="11"/>
      <c r="CB47" s="11"/>
      <c r="CC47" s="11"/>
      <c r="CD47" s="11"/>
      <c r="CE47" s="11"/>
      <c r="CF47" s="11"/>
      <c r="CG47" s="11"/>
      <c r="CH47" s="11"/>
      <c r="CI47" s="29"/>
      <c r="CJ47" s="28"/>
      <c r="CK47" s="11"/>
      <c r="CL47" s="11"/>
      <c r="CM47" s="11"/>
      <c r="CN47" s="29"/>
      <c r="CO47" s="28"/>
      <c r="CP47" s="11"/>
      <c r="CQ47" s="11"/>
      <c r="CR47" s="11"/>
      <c r="CS47" s="29"/>
      <c r="CT47" s="28"/>
      <c r="CU47" s="11"/>
      <c r="CV47" s="11"/>
      <c r="CW47" s="11"/>
      <c r="CX47" s="29"/>
      <c r="CY47" s="28"/>
      <c r="CZ47" s="30"/>
      <c r="DA47" s="30"/>
      <c r="DB47" s="30"/>
      <c r="DC47" s="30"/>
      <c r="DD47" s="30" t="str">
        <f t="shared" si="4"/>
        <v/>
      </c>
    </row>
    <row r="48" spans="1:108" ht="16.5">
      <c r="A48" s="26"/>
      <c r="B48" s="11"/>
      <c r="C48" s="11"/>
      <c r="D48" s="11"/>
      <c r="E48" s="11"/>
      <c r="F48" s="11"/>
      <c r="G48" s="11"/>
      <c r="H48" s="11"/>
      <c r="I48" s="11"/>
      <c r="J48" s="11"/>
      <c r="K48" s="11"/>
      <c r="L48" s="11"/>
      <c r="M48" s="27"/>
      <c r="N48" s="11"/>
      <c r="O48" s="11"/>
      <c r="P48" s="15"/>
      <c r="Q48" s="11"/>
      <c r="R48" s="11"/>
      <c r="S48" s="15"/>
      <c r="T48" s="15"/>
      <c r="U48" s="15"/>
      <c r="V48" s="11"/>
      <c r="W48" s="15"/>
      <c r="X48" s="11"/>
      <c r="Y48" s="11"/>
      <c r="Z48" s="15"/>
      <c r="AA48" s="11"/>
      <c r="AB48" s="11"/>
      <c r="AC48" s="15"/>
      <c r="AD48" s="15"/>
      <c r="AE48" s="15"/>
      <c r="AF48" s="11"/>
      <c r="AG48" s="15"/>
      <c r="AH48" s="11"/>
      <c r="AI48" s="11"/>
      <c r="AJ48" s="15"/>
      <c r="AK48" s="11"/>
      <c r="AL48" s="11"/>
      <c r="AM48" s="15"/>
      <c r="AN48" s="15"/>
      <c r="AO48" s="15"/>
      <c r="AP48" s="11"/>
      <c r="AQ48" s="15"/>
      <c r="AR48" s="11"/>
      <c r="AS48" s="11"/>
      <c r="AT48" s="15"/>
      <c r="AU48" s="11"/>
      <c r="AV48" s="11"/>
      <c r="AW48" s="15"/>
      <c r="AX48" s="15"/>
      <c r="AY48" s="15"/>
      <c r="AZ48" s="11"/>
      <c r="BA48" s="15"/>
      <c r="BB48" s="11"/>
      <c r="BC48" s="11"/>
      <c r="BD48" s="15"/>
      <c r="BE48" s="11"/>
      <c r="BF48" s="11"/>
      <c r="BG48" s="15"/>
      <c r="BH48" s="11"/>
      <c r="BI48" s="11"/>
      <c r="BJ48" s="11"/>
      <c r="BK48" s="11"/>
      <c r="BL48" s="28" t="str">
        <f t="shared" si="0"/>
        <v/>
      </c>
      <c r="BM48" s="28"/>
      <c r="BN48" s="11"/>
      <c r="BO48" s="29" t="str">
        <f t="shared" si="1"/>
        <v/>
      </c>
      <c r="BP48" s="11"/>
      <c r="BQ48" s="11"/>
      <c r="BR48" s="11"/>
      <c r="BS48" s="11"/>
      <c r="BT48" s="11"/>
      <c r="BU48" s="11"/>
      <c r="BV48" s="11"/>
      <c r="BW48" s="28" t="str">
        <f t="shared" si="2"/>
        <v/>
      </c>
      <c r="BX48" s="28"/>
      <c r="BY48" s="11"/>
      <c r="BZ48" s="29" t="str">
        <f t="shared" si="3"/>
        <v/>
      </c>
      <c r="CA48" s="11"/>
      <c r="CB48" s="11"/>
      <c r="CC48" s="11"/>
      <c r="CD48" s="11"/>
      <c r="CE48" s="11"/>
      <c r="CF48" s="11"/>
      <c r="CG48" s="11"/>
      <c r="CH48" s="11"/>
      <c r="CI48" s="29"/>
      <c r="CJ48" s="28"/>
      <c r="CK48" s="11"/>
      <c r="CL48" s="11"/>
      <c r="CM48" s="11"/>
      <c r="CN48" s="29"/>
      <c r="CO48" s="28"/>
      <c r="CP48" s="11"/>
      <c r="CQ48" s="11"/>
      <c r="CR48" s="11"/>
      <c r="CS48" s="29"/>
      <c r="CT48" s="28"/>
      <c r="CU48" s="11"/>
      <c r="CV48" s="11"/>
      <c r="CW48" s="11"/>
      <c r="CX48" s="29"/>
      <c r="CY48" s="28"/>
      <c r="CZ48" s="30"/>
      <c r="DA48" s="30"/>
      <c r="DB48" s="30"/>
      <c r="DC48" s="30"/>
      <c r="DD48" s="30" t="str">
        <f t="shared" si="4"/>
        <v/>
      </c>
    </row>
    <row r="49" spans="1:108" ht="16.5">
      <c r="A49" s="26"/>
      <c r="B49" s="11"/>
      <c r="C49" s="11"/>
      <c r="D49" s="11"/>
      <c r="E49" s="11"/>
      <c r="F49" s="11"/>
      <c r="G49" s="11"/>
      <c r="H49" s="11"/>
      <c r="I49" s="11"/>
      <c r="J49" s="11"/>
      <c r="K49" s="11"/>
      <c r="L49" s="11"/>
      <c r="M49" s="27"/>
      <c r="N49" s="11"/>
      <c r="O49" s="11"/>
      <c r="P49" s="15"/>
      <c r="Q49" s="11"/>
      <c r="R49" s="11"/>
      <c r="S49" s="15"/>
      <c r="T49" s="15"/>
      <c r="U49" s="15"/>
      <c r="V49" s="11"/>
      <c r="W49" s="15"/>
      <c r="X49" s="11"/>
      <c r="Y49" s="11"/>
      <c r="Z49" s="15"/>
      <c r="AA49" s="11"/>
      <c r="AB49" s="11"/>
      <c r="AC49" s="15"/>
      <c r="AD49" s="15"/>
      <c r="AE49" s="15"/>
      <c r="AF49" s="11"/>
      <c r="AG49" s="15"/>
      <c r="AH49" s="11"/>
      <c r="AI49" s="11"/>
      <c r="AJ49" s="15"/>
      <c r="AK49" s="11"/>
      <c r="AL49" s="11"/>
      <c r="AM49" s="15"/>
      <c r="AN49" s="15"/>
      <c r="AO49" s="15"/>
      <c r="AP49" s="11"/>
      <c r="AQ49" s="15"/>
      <c r="AR49" s="11"/>
      <c r="AS49" s="11"/>
      <c r="AT49" s="15"/>
      <c r="AU49" s="11"/>
      <c r="AV49" s="11"/>
      <c r="AW49" s="15"/>
      <c r="AX49" s="15"/>
      <c r="AY49" s="15"/>
      <c r="AZ49" s="11"/>
      <c r="BA49" s="15"/>
      <c r="BB49" s="11"/>
      <c r="BC49" s="11"/>
      <c r="BD49" s="15"/>
      <c r="BE49" s="11"/>
      <c r="BF49" s="11"/>
      <c r="BG49" s="15"/>
      <c r="BH49" s="11"/>
      <c r="BI49" s="11"/>
      <c r="BJ49" s="11"/>
      <c r="BK49" s="11"/>
      <c r="BL49" s="28" t="str">
        <f t="shared" si="0"/>
        <v/>
      </c>
      <c r="BM49" s="28"/>
      <c r="BN49" s="11"/>
      <c r="BO49" s="29" t="str">
        <f t="shared" si="1"/>
        <v/>
      </c>
      <c r="BP49" s="11"/>
      <c r="BQ49" s="11"/>
      <c r="BR49" s="11"/>
      <c r="BS49" s="11"/>
      <c r="BT49" s="11"/>
      <c r="BU49" s="11"/>
      <c r="BV49" s="11"/>
      <c r="BW49" s="28" t="str">
        <f t="shared" si="2"/>
        <v/>
      </c>
      <c r="BX49" s="28"/>
      <c r="BY49" s="11"/>
      <c r="BZ49" s="29" t="str">
        <f t="shared" si="3"/>
        <v/>
      </c>
      <c r="CA49" s="11"/>
      <c r="CB49" s="11"/>
      <c r="CC49" s="11"/>
      <c r="CD49" s="11"/>
      <c r="CE49" s="11"/>
      <c r="CF49" s="11"/>
      <c r="CG49" s="11"/>
      <c r="CH49" s="11"/>
      <c r="CI49" s="29"/>
      <c r="CJ49" s="28"/>
      <c r="CK49" s="11"/>
      <c r="CL49" s="11"/>
      <c r="CM49" s="11"/>
      <c r="CN49" s="29"/>
      <c r="CO49" s="28"/>
      <c r="CP49" s="11"/>
      <c r="CQ49" s="11"/>
      <c r="CR49" s="11"/>
      <c r="CS49" s="29"/>
      <c r="CT49" s="28"/>
      <c r="CU49" s="11"/>
      <c r="CV49" s="11"/>
      <c r="CW49" s="11"/>
      <c r="CX49" s="29"/>
      <c r="CY49" s="28"/>
      <c r="CZ49" s="30"/>
      <c r="DA49" s="30"/>
      <c r="DB49" s="30"/>
      <c r="DC49" s="30"/>
      <c r="DD49" s="30" t="str">
        <f t="shared" si="4"/>
        <v/>
      </c>
    </row>
    <row r="50" spans="1:108" ht="16.5">
      <c r="A50" s="26"/>
      <c r="B50" s="11"/>
      <c r="C50" s="11"/>
      <c r="D50" s="11"/>
      <c r="E50" s="11"/>
      <c r="F50" s="11"/>
      <c r="G50" s="11"/>
      <c r="H50" s="11"/>
      <c r="I50" s="11"/>
      <c r="J50" s="11"/>
      <c r="K50" s="11"/>
      <c r="L50" s="11"/>
      <c r="M50" s="27"/>
      <c r="N50" s="11"/>
      <c r="O50" s="11"/>
      <c r="P50" s="15"/>
      <c r="Q50" s="11"/>
      <c r="R50" s="11"/>
      <c r="S50" s="15"/>
      <c r="T50" s="15"/>
      <c r="U50" s="15"/>
      <c r="V50" s="11"/>
      <c r="W50" s="15"/>
      <c r="X50" s="11"/>
      <c r="Y50" s="11"/>
      <c r="Z50" s="15"/>
      <c r="AA50" s="11"/>
      <c r="AB50" s="11"/>
      <c r="AC50" s="15"/>
      <c r="AD50" s="15"/>
      <c r="AE50" s="15"/>
      <c r="AF50" s="11"/>
      <c r="AG50" s="15"/>
      <c r="AH50" s="11"/>
      <c r="AI50" s="11"/>
      <c r="AJ50" s="15"/>
      <c r="AK50" s="11"/>
      <c r="AL50" s="11"/>
      <c r="AM50" s="15"/>
      <c r="AN50" s="15"/>
      <c r="AO50" s="15"/>
      <c r="AP50" s="11"/>
      <c r="AQ50" s="15"/>
      <c r="AR50" s="11"/>
      <c r="AS50" s="11"/>
      <c r="AT50" s="15"/>
      <c r="AU50" s="11"/>
      <c r="AV50" s="11"/>
      <c r="AW50" s="15"/>
      <c r="AX50" s="15"/>
      <c r="AY50" s="15"/>
      <c r="AZ50" s="11"/>
      <c r="BA50" s="15"/>
      <c r="BB50" s="11"/>
      <c r="BC50" s="11"/>
      <c r="BD50" s="15"/>
      <c r="BE50" s="11"/>
      <c r="BF50" s="11"/>
      <c r="BG50" s="15"/>
      <c r="BH50" s="11"/>
      <c r="BI50" s="11"/>
      <c r="BJ50" s="11"/>
      <c r="BK50" s="11"/>
      <c r="BL50" s="28" t="str">
        <f t="shared" si="0"/>
        <v/>
      </c>
      <c r="BM50" s="28"/>
      <c r="BN50" s="11"/>
      <c r="BO50" s="29" t="str">
        <f t="shared" si="1"/>
        <v/>
      </c>
      <c r="BP50" s="11"/>
      <c r="BQ50" s="11"/>
      <c r="BR50" s="11"/>
      <c r="BS50" s="11"/>
      <c r="BT50" s="11"/>
      <c r="BU50" s="11"/>
      <c r="BV50" s="11"/>
      <c r="BW50" s="28" t="str">
        <f t="shared" si="2"/>
        <v/>
      </c>
      <c r="BX50" s="28"/>
      <c r="BY50" s="11"/>
      <c r="BZ50" s="29" t="str">
        <f t="shared" si="3"/>
        <v/>
      </c>
      <c r="CA50" s="11"/>
      <c r="CB50" s="11"/>
      <c r="CC50" s="11"/>
      <c r="CD50" s="11"/>
      <c r="CE50" s="11"/>
      <c r="CF50" s="11"/>
      <c r="CG50" s="11"/>
      <c r="CH50" s="11"/>
      <c r="CI50" s="29"/>
      <c r="CJ50" s="28"/>
      <c r="CK50" s="11"/>
      <c r="CL50" s="11"/>
      <c r="CM50" s="11"/>
      <c r="CN50" s="29"/>
      <c r="CO50" s="28"/>
      <c r="CP50" s="11"/>
      <c r="CQ50" s="11"/>
      <c r="CR50" s="11"/>
      <c r="CS50" s="29"/>
      <c r="CT50" s="28"/>
      <c r="CU50" s="11"/>
      <c r="CV50" s="11"/>
      <c r="CW50" s="11"/>
      <c r="CX50" s="29"/>
      <c r="CY50" s="28"/>
      <c r="CZ50" s="30"/>
      <c r="DA50" s="30"/>
      <c r="DB50" s="30"/>
      <c r="DC50" s="30"/>
      <c r="DD50" s="30" t="str">
        <f t="shared" si="4"/>
        <v/>
      </c>
    </row>
    <row r="51" spans="1:108" ht="16.5">
      <c r="A51" s="26"/>
      <c r="B51" s="11"/>
      <c r="C51" s="11"/>
      <c r="D51" s="11"/>
      <c r="E51" s="11"/>
      <c r="F51" s="11"/>
      <c r="G51" s="11"/>
      <c r="H51" s="11"/>
      <c r="I51" s="11"/>
      <c r="J51" s="11"/>
      <c r="K51" s="11"/>
      <c r="L51" s="11"/>
      <c r="M51" s="27"/>
      <c r="N51" s="11"/>
      <c r="O51" s="11"/>
      <c r="P51" s="15"/>
      <c r="Q51" s="11"/>
      <c r="R51" s="11"/>
      <c r="S51" s="15"/>
      <c r="T51" s="15"/>
      <c r="U51" s="15"/>
      <c r="V51" s="11"/>
      <c r="W51" s="15"/>
      <c r="X51" s="11"/>
      <c r="Y51" s="11"/>
      <c r="Z51" s="15"/>
      <c r="AA51" s="11"/>
      <c r="AB51" s="11"/>
      <c r="AC51" s="15"/>
      <c r="AD51" s="15"/>
      <c r="AE51" s="15"/>
      <c r="AF51" s="11"/>
      <c r="AG51" s="15"/>
      <c r="AH51" s="11"/>
      <c r="AI51" s="11"/>
      <c r="AJ51" s="15"/>
      <c r="AK51" s="11"/>
      <c r="AL51" s="11"/>
      <c r="AM51" s="15"/>
      <c r="AN51" s="15"/>
      <c r="AO51" s="15"/>
      <c r="AP51" s="11"/>
      <c r="AQ51" s="15"/>
      <c r="AR51" s="11"/>
      <c r="AS51" s="11"/>
      <c r="AT51" s="15"/>
      <c r="AU51" s="11"/>
      <c r="AV51" s="11"/>
      <c r="AW51" s="15"/>
      <c r="AX51" s="15"/>
      <c r="AY51" s="15"/>
      <c r="AZ51" s="11"/>
      <c r="BA51" s="15"/>
      <c r="BB51" s="11"/>
      <c r="BC51" s="11"/>
      <c r="BD51" s="15"/>
      <c r="BE51" s="11"/>
      <c r="BF51" s="11"/>
      <c r="BG51" s="15"/>
      <c r="BH51" s="11"/>
      <c r="BI51" s="11"/>
      <c r="BJ51" s="11"/>
      <c r="BK51" s="11"/>
      <c r="BL51" s="28" t="str">
        <f t="shared" si="0"/>
        <v/>
      </c>
      <c r="BM51" s="28"/>
      <c r="BN51" s="11"/>
      <c r="BO51" s="29" t="str">
        <f t="shared" si="1"/>
        <v/>
      </c>
      <c r="BP51" s="11"/>
      <c r="BQ51" s="11"/>
      <c r="BR51" s="11"/>
      <c r="BS51" s="11"/>
      <c r="BT51" s="11"/>
      <c r="BU51" s="11"/>
      <c r="BV51" s="11"/>
      <c r="BW51" s="28" t="str">
        <f t="shared" si="2"/>
        <v/>
      </c>
      <c r="BX51" s="28"/>
      <c r="BY51" s="11"/>
      <c r="BZ51" s="29" t="str">
        <f t="shared" si="3"/>
        <v/>
      </c>
      <c r="CA51" s="11"/>
      <c r="CB51" s="11"/>
      <c r="CC51" s="11"/>
      <c r="CD51" s="11"/>
      <c r="CE51" s="11"/>
      <c r="CF51" s="11"/>
      <c r="CG51" s="11"/>
      <c r="CH51" s="11"/>
      <c r="CI51" s="29"/>
      <c r="CJ51" s="28"/>
      <c r="CK51" s="11"/>
      <c r="CL51" s="11"/>
      <c r="CM51" s="11"/>
      <c r="CN51" s="29"/>
      <c r="CO51" s="28"/>
      <c r="CP51" s="11"/>
      <c r="CQ51" s="11"/>
      <c r="CR51" s="11"/>
      <c r="CS51" s="29"/>
      <c r="CT51" s="28"/>
      <c r="CU51" s="11"/>
      <c r="CV51" s="11"/>
      <c r="CW51" s="11"/>
      <c r="CX51" s="29"/>
      <c r="CY51" s="28"/>
      <c r="CZ51" s="30"/>
      <c r="DA51" s="30"/>
      <c r="DB51" s="30"/>
      <c r="DC51" s="30"/>
      <c r="DD51" s="30" t="str">
        <f t="shared" si="4"/>
        <v/>
      </c>
    </row>
    <row r="52" spans="1:108" ht="16.5">
      <c r="A52" s="26"/>
      <c r="B52" s="11"/>
      <c r="C52" s="11"/>
      <c r="D52" s="11"/>
      <c r="E52" s="11"/>
      <c r="F52" s="11"/>
      <c r="G52" s="11"/>
      <c r="H52" s="11"/>
      <c r="I52" s="11"/>
      <c r="J52" s="11"/>
      <c r="K52" s="11"/>
      <c r="L52" s="11"/>
      <c r="M52" s="27"/>
      <c r="N52" s="11"/>
      <c r="O52" s="11"/>
      <c r="P52" s="15"/>
      <c r="Q52" s="11"/>
      <c r="R52" s="11"/>
      <c r="S52" s="15"/>
      <c r="T52" s="15"/>
      <c r="U52" s="15"/>
      <c r="V52" s="11"/>
      <c r="W52" s="15"/>
      <c r="X52" s="11"/>
      <c r="Y52" s="11"/>
      <c r="Z52" s="15"/>
      <c r="AA52" s="11"/>
      <c r="AB52" s="11"/>
      <c r="AC52" s="15"/>
      <c r="AD52" s="15"/>
      <c r="AE52" s="15"/>
      <c r="AF52" s="11"/>
      <c r="AG52" s="15"/>
      <c r="AH52" s="11"/>
      <c r="AI52" s="11"/>
      <c r="AJ52" s="15"/>
      <c r="AK52" s="11"/>
      <c r="AL52" s="11"/>
      <c r="AM52" s="15"/>
      <c r="AN52" s="15"/>
      <c r="AO52" s="15"/>
      <c r="AP52" s="11"/>
      <c r="AQ52" s="15"/>
      <c r="AR52" s="11"/>
      <c r="AS52" s="11"/>
      <c r="AT52" s="15"/>
      <c r="AU52" s="11"/>
      <c r="AV52" s="11"/>
      <c r="AW52" s="15"/>
      <c r="AX52" s="15"/>
      <c r="AY52" s="15"/>
      <c r="AZ52" s="11"/>
      <c r="BA52" s="15"/>
      <c r="BB52" s="11"/>
      <c r="BC52" s="11"/>
      <c r="BD52" s="15"/>
      <c r="BE52" s="11"/>
      <c r="BF52" s="11"/>
      <c r="BG52" s="15"/>
      <c r="BH52" s="11"/>
      <c r="BI52" s="11"/>
      <c r="BJ52" s="11"/>
      <c r="BK52" s="11"/>
      <c r="BL52" s="28" t="str">
        <f t="shared" si="0"/>
        <v/>
      </c>
      <c r="BM52" s="28"/>
      <c r="BN52" s="11"/>
      <c r="BO52" s="29" t="str">
        <f t="shared" si="1"/>
        <v/>
      </c>
      <c r="BP52" s="11"/>
      <c r="BQ52" s="11"/>
      <c r="BR52" s="11"/>
      <c r="BS52" s="11"/>
      <c r="BT52" s="11"/>
      <c r="BU52" s="11"/>
      <c r="BV52" s="11"/>
      <c r="BW52" s="28" t="str">
        <f t="shared" si="2"/>
        <v/>
      </c>
      <c r="BX52" s="28"/>
      <c r="BY52" s="11"/>
      <c r="BZ52" s="29" t="str">
        <f t="shared" si="3"/>
        <v/>
      </c>
      <c r="CA52" s="11"/>
      <c r="CB52" s="11"/>
      <c r="CC52" s="11"/>
      <c r="CD52" s="11"/>
      <c r="CE52" s="11"/>
      <c r="CF52" s="11"/>
      <c r="CG52" s="11"/>
      <c r="CH52" s="11"/>
      <c r="CI52" s="29"/>
      <c r="CJ52" s="28"/>
      <c r="CK52" s="11"/>
      <c r="CL52" s="11"/>
      <c r="CM52" s="11"/>
      <c r="CN52" s="29"/>
      <c r="CO52" s="28"/>
      <c r="CP52" s="11"/>
      <c r="CQ52" s="11"/>
      <c r="CR52" s="11"/>
      <c r="CS52" s="29"/>
      <c r="CT52" s="28"/>
      <c r="CU52" s="11"/>
      <c r="CV52" s="11"/>
      <c r="CW52" s="11"/>
      <c r="CX52" s="29"/>
      <c r="CY52" s="28"/>
      <c r="CZ52" s="30"/>
      <c r="DA52" s="30"/>
      <c r="DB52" s="30"/>
      <c r="DC52" s="30"/>
      <c r="DD52" s="30" t="str">
        <f t="shared" si="4"/>
        <v/>
      </c>
    </row>
    <row r="53" spans="1:108" ht="16.5">
      <c r="A53" s="26"/>
      <c r="B53" s="11"/>
      <c r="C53" s="11"/>
      <c r="D53" s="11"/>
      <c r="E53" s="11"/>
      <c r="F53" s="11"/>
      <c r="G53" s="11"/>
      <c r="H53" s="11"/>
      <c r="I53" s="11"/>
      <c r="J53" s="11"/>
      <c r="K53" s="11"/>
      <c r="L53" s="11"/>
      <c r="M53" s="27"/>
      <c r="N53" s="11"/>
      <c r="O53" s="11"/>
      <c r="P53" s="15"/>
      <c r="Q53" s="11"/>
      <c r="R53" s="11"/>
      <c r="S53" s="15"/>
      <c r="T53" s="15"/>
      <c r="U53" s="15"/>
      <c r="V53" s="11"/>
      <c r="W53" s="15"/>
      <c r="X53" s="11"/>
      <c r="Y53" s="11"/>
      <c r="Z53" s="15"/>
      <c r="AA53" s="11"/>
      <c r="AB53" s="11"/>
      <c r="AC53" s="15"/>
      <c r="AD53" s="15"/>
      <c r="AE53" s="15"/>
      <c r="AF53" s="11"/>
      <c r="AG53" s="15"/>
      <c r="AH53" s="11"/>
      <c r="AI53" s="11"/>
      <c r="AJ53" s="15"/>
      <c r="AK53" s="11"/>
      <c r="AL53" s="11"/>
      <c r="AM53" s="15"/>
      <c r="AN53" s="15"/>
      <c r="AO53" s="15"/>
      <c r="AP53" s="11"/>
      <c r="AQ53" s="15"/>
      <c r="AR53" s="11"/>
      <c r="AS53" s="11"/>
      <c r="AT53" s="15"/>
      <c r="AU53" s="11"/>
      <c r="AV53" s="11"/>
      <c r="AW53" s="15"/>
      <c r="AX53" s="15"/>
      <c r="AY53" s="15"/>
      <c r="AZ53" s="11"/>
      <c r="BA53" s="15"/>
      <c r="BB53" s="11"/>
      <c r="BC53" s="11"/>
      <c r="BD53" s="15"/>
      <c r="BE53" s="11"/>
      <c r="BF53" s="11"/>
      <c r="BG53" s="15"/>
      <c r="BH53" s="11"/>
      <c r="BI53" s="11"/>
      <c r="BJ53" s="11"/>
      <c r="BK53" s="11"/>
      <c r="BL53" s="28" t="str">
        <f t="shared" si="0"/>
        <v/>
      </c>
      <c r="BM53" s="28"/>
      <c r="BN53" s="11"/>
      <c r="BO53" s="29" t="str">
        <f t="shared" si="1"/>
        <v/>
      </c>
      <c r="BP53" s="11"/>
      <c r="BQ53" s="11"/>
      <c r="BR53" s="11"/>
      <c r="BS53" s="11"/>
      <c r="BT53" s="11"/>
      <c r="BU53" s="11"/>
      <c r="BV53" s="11"/>
      <c r="BW53" s="28" t="str">
        <f t="shared" si="2"/>
        <v/>
      </c>
      <c r="BX53" s="28"/>
      <c r="BY53" s="11"/>
      <c r="BZ53" s="29" t="str">
        <f t="shared" si="3"/>
        <v/>
      </c>
      <c r="CA53" s="11"/>
      <c r="CB53" s="11"/>
      <c r="CC53" s="11"/>
      <c r="CD53" s="11"/>
      <c r="CE53" s="11"/>
      <c r="CF53" s="11"/>
      <c r="CG53" s="11"/>
      <c r="CH53" s="11"/>
      <c r="CI53" s="29"/>
      <c r="CJ53" s="28"/>
      <c r="CK53" s="11"/>
      <c r="CL53" s="11"/>
      <c r="CM53" s="11"/>
      <c r="CN53" s="29"/>
      <c r="CO53" s="28"/>
      <c r="CP53" s="11"/>
      <c r="CQ53" s="11"/>
      <c r="CR53" s="11"/>
      <c r="CS53" s="29"/>
      <c r="CT53" s="28"/>
      <c r="CU53" s="11"/>
      <c r="CV53" s="11"/>
      <c r="CW53" s="11"/>
      <c r="CX53" s="29"/>
      <c r="CY53" s="28"/>
      <c r="CZ53" s="30"/>
      <c r="DA53" s="30"/>
      <c r="DB53" s="30"/>
      <c r="DC53" s="30"/>
      <c r="DD53" s="30" t="str">
        <f t="shared" si="4"/>
        <v/>
      </c>
    </row>
    <row r="54" spans="1:108" ht="16.5">
      <c r="A54" s="26"/>
      <c r="B54" s="11"/>
      <c r="C54" s="11"/>
      <c r="D54" s="11"/>
      <c r="E54" s="11"/>
      <c r="F54" s="11"/>
      <c r="G54" s="11"/>
      <c r="H54" s="11"/>
      <c r="I54" s="11"/>
      <c r="J54" s="11"/>
      <c r="K54" s="11"/>
      <c r="L54" s="11"/>
      <c r="M54" s="27"/>
      <c r="N54" s="11"/>
      <c r="O54" s="11"/>
      <c r="P54" s="15"/>
      <c r="Q54" s="11"/>
      <c r="R54" s="11"/>
      <c r="S54" s="15"/>
      <c r="T54" s="15"/>
      <c r="U54" s="15"/>
      <c r="V54" s="11"/>
      <c r="W54" s="15"/>
      <c r="X54" s="11"/>
      <c r="Y54" s="11"/>
      <c r="Z54" s="15"/>
      <c r="AA54" s="11"/>
      <c r="AB54" s="11"/>
      <c r="AC54" s="15"/>
      <c r="AD54" s="15"/>
      <c r="AE54" s="15"/>
      <c r="AF54" s="11"/>
      <c r="AG54" s="15"/>
      <c r="AH54" s="11"/>
      <c r="AI54" s="11"/>
      <c r="AJ54" s="15"/>
      <c r="AK54" s="11"/>
      <c r="AL54" s="11"/>
      <c r="AM54" s="15"/>
      <c r="AN54" s="15"/>
      <c r="AO54" s="15"/>
      <c r="AP54" s="11"/>
      <c r="AQ54" s="15"/>
      <c r="AR54" s="11"/>
      <c r="AS54" s="11"/>
      <c r="AT54" s="15"/>
      <c r="AU54" s="11"/>
      <c r="AV54" s="11"/>
      <c r="AW54" s="15"/>
      <c r="AX54" s="15"/>
      <c r="AY54" s="15"/>
      <c r="AZ54" s="11"/>
      <c r="BA54" s="15"/>
      <c r="BB54" s="11"/>
      <c r="BC54" s="11"/>
      <c r="BD54" s="15"/>
      <c r="BE54" s="11"/>
      <c r="BF54" s="11"/>
      <c r="BG54" s="15"/>
      <c r="BH54" s="11"/>
      <c r="BI54" s="11"/>
      <c r="BJ54" s="11"/>
      <c r="BK54" s="11"/>
      <c r="BL54" s="28" t="str">
        <f t="shared" si="0"/>
        <v/>
      </c>
      <c r="BM54" s="28"/>
      <c r="BN54" s="11"/>
      <c r="BO54" s="29" t="str">
        <f t="shared" si="1"/>
        <v/>
      </c>
      <c r="BP54" s="11"/>
      <c r="BQ54" s="11"/>
      <c r="BR54" s="11"/>
      <c r="BS54" s="11"/>
      <c r="BT54" s="11"/>
      <c r="BU54" s="11"/>
      <c r="BV54" s="11"/>
      <c r="BW54" s="28" t="str">
        <f t="shared" si="2"/>
        <v/>
      </c>
      <c r="BX54" s="28"/>
      <c r="BY54" s="11"/>
      <c r="BZ54" s="29" t="str">
        <f t="shared" si="3"/>
        <v/>
      </c>
      <c r="CA54" s="11"/>
      <c r="CB54" s="11"/>
      <c r="CC54" s="11"/>
      <c r="CD54" s="11"/>
      <c r="CE54" s="11"/>
      <c r="CF54" s="11"/>
      <c r="CG54" s="11"/>
      <c r="CH54" s="11"/>
      <c r="CI54" s="29"/>
      <c r="CJ54" s="28"/>
      <c r="CK54" s="11"/>
      <c r="CL54" s="11"/>
      <c r="CM54" s="11"/>
      <c r="CN54" s="29"/>
      <c r="CO54" s="28"/>
      <c r="CP54" s="11"/>
      <c r="CQ54" s="11"/>
      <c r="CR54" s="11"/>
      <c r="CS54" s="29"/>
      <c r="CT54" s="28"/>
      <c r="CU54" s="11"/>
      <c r="CV54" s="11"/>
      <c r="CW54" s="11"/>
      <c r="CX54" s="29"/>
      <c r="CY54" s="28"/>
      <c r="CZ54" s="30"/>
      <c r="DA54" s="30"/>
      <c r="DB54" s="30"/>
      <c r="DC54" s="30"/>
      <c r="DD54" s="30" t="str">
        <f t="shared" si="4"/>
        <v/>
      </c>
    </row>
    <row r="55" spans="1:108" ht="16.5">
      <c r="A55" s="26"/>
      <c r="B55" s="11"/>
      <c r="C55" s="11"/>
      <c r="D55" s="11"/>
      <c r="E55" s="11"/>
      <c r="F55" s="11"/>
      <c r="G55" s="11"/>
      <c r="H55" s="11"/>
      <c r="I55" s="11"/>
      <c r="J55" s="11"/>
      <c r="K55" s="11"/>
      <c r="L55" s="11"/>
      <c r="M55" s="27"/>
      <c r="N55" s="11"/>
      <c r="O55" s="11"/>
      <c r="P55" s="15"/>
      <c r="Q55" s="11"/>
      <c r="R55" s="11"/>
      <c r="S55" s="15"/>
      <c r="T55" s="15"/>
      <c r="U55" s="15"/>
      <c r="V55" s="11"/>
      <c r="W55" s="15"/>
      <c r="X55" s="11"/>
      <c r="Y55" s="11"/>
      <c r="Z55" s="15"/>
      <c r="AA55" s="11"/>
      <c r="AB55" s="11"/>
      <c r="AC55" s="15"/>
      <c r="AD55" s="15"/>
      <c r="AE55" s="15"/>
      <c r="AF55" s="11"/>
      <c r="AG55" s="15"/>
      <c r="AH55" s="11"/>
      <c r="AI55" s="11"/>
      <c r="AJ55" s="15"/>
      <c r="AK55" s="11"/>
      <c r="AL55" s="11"/>
      <c r="AM55" s="15"/>
      <c r="AN55" s="15"/>
      <c r="AO55" s="15"/>
      <c r="AP55" s="11"/>
      <c r="AQ55" s="15"/>
      <c r="AR55" s="11"/>
      <c r="AS55" s="11"/>
      <c r="AT55" s="15"/>
      <c r="AU55" s="11"/>
      <c r="AV55" s="11"/>
      <c r="AW55" s="15"/>
      <c r="AX55" s="15"/>
      <c r="AY55" s="15"/>
      <c r="AZ55" s="11"/>
      <c r="BA55" s="15"/>
      <c r="BB55" s="11"/>
      <c r="BC55" s="11"/>
      <c r="BD55" s="15"/>
      <c r="BE55" s="11"/>
      <c r="BF55" s="11"/>
      <c r="BG55" s="15"/>
      <c r="BH55" s="11"/>
      <c r="BI55" s="11"/>
      <c r="BJ55" s="11"/>
      <c r="BK55" s="11"/>
      <c r="BL55" s="28" t="str">
        <f t="shared" si="0"/>
        <v/>
      </c>
      <c r="BM55" s="28"/>
      <c r="BN55" s="11"/>
      <c r="BO55" s="29" t="str">
        <f t="shared" si="1"/>
        <v/>
      </c>
      <c r="BP55" s="11"/>
      <c r="BQ55" s="11"/>
      <c r="BR55" s="11"/>
      <c r="BS55" s="11"/>
      <c r="BT55" s="11"/>
      <c r="BU55" s="11"/>
      <c r="BV55" s="11"/>
      <c r="BW55" s="28" t="str">
        <f t="shared" si="2"/>
        <v/>
      </c>
      <c r="BX55" s="28"/>
      <c r="BY55" s="11"/>
      <c r="BZ55" s="29" t="str">
        <f t="shared" si="3"/>
        <v/>
      </c>
      <c r="CA55" s="11"/>
      <c r="CB55" s="11"/>
      <c r="CC55" s="11"/>
      <c r="CD55" s="11"/>
      <c r="CE55" s="11"/>
      <c r="CF55" s="11"/>
      <c r="CG55" s="11"/>
      <c r="CH55" s="11"/>
      <c r="CI55" s="29"/>
      <c r="CJ55" s="28"/>
      <c r="CK55" s="11"/>
      <c r="CL55" s="11"/>
      <c r="CM55" s="11"/>
      <c r="CN55" s="29"/>
      <c r="CO55" s="28"/>
      <c r="CP55" s="11"/>
      <c r="CQ55" s="11"/>
      <c r="CR55" s="11"/>
      <c r="CS55" s="29"/>
      <c r="CT55" s="28"/>
      <c r="CU55" s="11"/>
      <c r="CV55" s="11"/>
      <c r="CW55" s="11"/>
      <c r="CX55" s="29"/>
      <c r="CY55" s="28"/>
      <c r="CZ55" s="30"/>
      <c r="DA55" s="30"/>
      <c r="DB55" s="30"/>
      <c r="DC55" s="30"/>
      <c r="DD55" s="30" t="str">
        <f t="shared" si="4"/>
        <v/>
      </c>
    </row>
    <row r="56" spans="1:108" ht="16.5">
      <c r="A56" s="26"/>
      <c r="B56" s="11"/>
      <c r="C56" s="11"/>
      <c r="D56" s="11"/>
      <c r="E56" s="11"/>
      <c r="F56" s="11"/>
      <c r="G56" s="11"/>
      <c r="H56" s="11"/>
      <c r="I56" s="11"/>
      <c r="J56" s="11"/>
      <c r="K56" s="11"/>
      <c r="L56" s="11"/>
      <c r="M56" s="27"/>
      <c r="N56" s="11"/>
      <c r="O56" s="11"/>
      <c r="P56" s="15"/>
      <c r="Q56" s="11"/>
      <c r="R56" s="11"/>
      <c r="S56" s="15"/>
      <c r="T56" s="15"/>
      <c r="U56" s="15"/>
      <c r="V56" s="11"/>
      <c r="W56" s="15"/>
      <c r="X56" s="11"/>
      <c r="Y56" s="11"/>
      <c r="Z56" s="15"/>
      <c r="AA56" s="11"/>
      <c r="AB56" s="11"/>
      <c r="AC56" s="15"/>
      <c r="AD56" s="15"/>
      <c r="AE56" s="15"/>
      <c r="AF56" s="11"/>
      <c r="AG56" s="15"/>
      <c r="AH56" s="11"/>
      <c r="AI56" s="11"/>
      <c r="AJ56" s="15"/>
      <c r="AK56" s="11"/>
      <c r="AL56" s="11"/>
      <c r="AM56" s="15"/>
      <c r="AN56" s="15"/>
      <c r="AO56" s="15"/>
      <c r="AP56" s="11"/>
      <c r="AQ56" s="15"/>
      <c r="AR56" s="11"/>
      <c r="AS56" s="11"/>
      <c r="AT56" s="15"/>
      <c r="AU56" s="11"/>
      <c r="AV56" s="11"/>
      <c r="AW56" s="15"/>
      <c r="AX56" s="15"/>
      <c r="AY56" s="15"/>
      <c r="AZ56" s="11"/>
      <c r="BA56" s="15"/>
      <c r="BB56" s="11"/>
      <c r="BC56" s="11"/>
      <c r="BD56" s="15"/>
      <c r="BE56" s="11"/>
      <c r="BF56" s="11"/>
      <c r="BG56" s="15"/>
      <c r="BH56" s="11"/>
      <c r="BI56" s="11"/>
      <c r="BJ56" s="11"/>
      <c r="BK56" s="11"/>
      <c r="BL56" s="28" t="str">
        <f t="shared" si="0"/>
        <v/>
      </c>
      <c r="BM56" s="28"/>
      <c r="BN56" s="11"/>
      <c r="BO56" s="29" t="str">
        <f t="shared" si="1"/>
        <v/>
      </c>
      <c r="BP56" s="11"/>
      <c r="BQ56" s="11"/>
      <c r="BR56" s="11"/>
      <c r="BS56" s="11"/>
      <c r="BT56" s="11"/>
      <c r="BU56" s="11"/>
      <c r="BV56" s="11"/>
      <c r="BW56" s="28" t="str">
        <f t="shared" si="2"/>
        <v/>
      </c>
      <c r="BX56" s="28"/>
      <c r="BY56" s="11"/>
      <c r="BZ56" s="29" t="str">
        <f t="shared" si="3"/>
        <v/>
      </c>
      <c r="CA56" s="11"/>
      <c r="CB56" s="11"/>
      <c r="CC56" s="11"/>
      <c r="CD56" s="11"/>
      <c r="CE56" s="11"/>
      <c r="CF56" s="11"/>
      <c r="CG56" s="11"/>
      <c r="CH56" s="11"/>
      <c r="CI56" s="29"/>
      <c r="CJ56" s="28"/>
      <c r="CK56" s="11"/>
      <c r="CL56" s="11"/>
      <c r="CM56" s="11"/>
      <c r="CN56" s="29"/>
      <c r="CO56" s="28"/>
      <c r="CP56" s="11"/>
      <c r="CQ56" s="11"/>
      <c r="CR56" s="11"/>
      <c r="CS56" s="29"/>
      <c r="CT56" s="28"/>
      <c r="CU56" s="11"/>
      <c r="CV56" s="11"/>
      <c r="CW56" s="11"/>
      <c r="CX56" s="29"/>
      <c r="CY56" s="28"/>
      <c r="CZ56" s="30"/>
      <c r="DA56" s="30"/>
      <c r="DB56" s="30"/>
      <c r="DC56" s="30"/>
      <c r="DD56" s="30" t="str">
        <f t="shared" si="4"/>
        <v/>
      </c>
    </row>
    <row r="57" spans="1:108" ht="16.5">
      <c r="A57" s="26"/>
      <c r="B57" s="11"/>
      <c r="C57" s="11"/>
      <c r="D57" s="11"/>
      <c r="E57" s="11"/>
      <c r="F57" s="11"/>
      <c r="G57" s="11"/>
      <c r="H57" s="11"/>
      <c r="I57" s="11"/>
      <c r="J57" s="11"/>
      <c r="K57" s="11"/>
      <c r="L57" s="11"/>
      <c r="M57" s="27"/>
      <c r="N57" s="11"/>
      <c r="O57" s="11"/>
      <c r="P57" s="15"/>
      <c r="Q57" s="11"/>
      <c r="R57" s="11"/>
      <c r="S57" s="15"/>
      <c r="T57" s="15"/>
      <c r="U57" s="15"/>
      <c r="V57" s="11"/>
      <c r="W57" s="15"/>
      <c r="X57" s="11"/>
      <c r="Y57" s="11"/>
      <c r="Z57" s="15"/>
      <c r="AA57" s="11"/>
      <c r="AB57" s="11"/>
      <c r="AC57" s="15"/>
      <c r="AD57" s="15"/>
      <c r="AE57" s="15"/>
      <c r="AF57" s="11"/>
      <c r="AG57" s="15"/>
      <c r="AH57" s="11"/>
      <c r="AI57" s="11"/>
      <c r="AJ57" s="15"/>
      <c r="AK57" s="11"/>
      <c r="AL57" s="11"/>
      <c r="AM57" s="15"/>
      <c r="AN57" s="15"/>
      <c r="AO57" s="15"/>
      <c r="AP57" s="11"/>
      <c r="AQ57" s="15"/>
      <c r="AR57" s="11"/>
      <c r="AS57" s="11"/>
      <c r="AT57" s="15"/>
      <c r="AU57" s="11"/>
      <c r="AV57" s="11"/>
      <c r="AW57" s="15"/>
      <c r="AX57" s="15"/>
      <c r="AY57" s="15"/>
      <c r="AZ57" s="11"/>
      <c r="BA57" s="15"/>
      <c r="BB57" s="11"/>
      <c r="BC57" s="11"/>
      <c r="BD57" s="15"/>
      <c r="BE57" s="11"/>
      <c r="BF57" s="11"/>
      <c r="BG57" s="15"/>
      <c r="BH57" s="11"/>
      <c r="BI57" s="11"/>
      <c r="BJ57" s="11"/>
      <c r="BK57" s="11"/>
      <c r="BL57" s="28" t="str">
        <f t="shared" si="0"/>
        <v/>
      </c>
      <c r="BM57" s="28"/>
      <c r="BN57" s="11"/>
      <c r="BO57" s="29" t="str">
        <f t="shared" si="1"/>
        <v/>
      </c>
      <c r="BP57" s="11"/>
      <c r="BQ57" s="11"/>
      <c r="BR57" s="11"/>
      <c r="BS57" s="11"/>
      <c r="BT57" s="11"/>
      <c r="BU57" s="11"/>
      <c r="BV57" s="11"/>
      <c r="BW57" s="28" t="str">
        <f t="shared" si="2"/>
        <v/>
      </c>
      <c r="BX57" s="28"/>
      <c r="BY57" s="11"/>
      <c r="BZ57" s="29" t="str">
        <f t="shared" si="3"/>
        <v/>
      </c>
      <c r="CA57" s="11"/>
      <c r="CB57" s="11"/>
      <c r="CC57" s="11"/>
      <c r="CD57" s="11"/>
      <c r="CE57" s="11"/>
      <c r="CF57" s="11"/>
      <c r="CG57" s="11"/>
      <c r="CH57" s="11"/>
      <c r="CI57" s="29"/>
      <c r="CJ57" s="28"/>
      <c r="CK57" s="11"/>
      <c r="CL57" s="11"/>
      <c r="CM57" s="11"/>
      <c r="CN57" s="29"/>
      <c r="CO57" s="28"/>
      <c r="CP57" s="11"/>
      <c r="CQ57" s="11"/>
      <c r="CR57" s="11"/>
      <c r="CS57" s="29"/>
      <c r="CT57" s="28"/>
      <c r="CU57" s="11"/>
      <c r="CV57" s="11"/>
      <c r="CW57" s="11"/>
      <c r="CX57" s="29"/>
      <c r="CY57" s="28"/>
      <c r="CZ57" s="30"/>
      <c r="DA57" s="30"/>
      <c r="DB57" s="30"/>
      <c r="DC57" s="30"/>
      <c r="DD57" s="30" t="str">
        <f t="shared" si="4"/>
        <v/>
      </c>
    </row>
    <row r="58" spans="1:108" ht="16.5">
      <c r="A58" s="26"/>
      <c r="B58" s="11"/>
      <c r="C58" s="11"/>
      <c r="D58" s="11"/>
      <c r="E58" s="11"/>
      <c r="F58" s="11"/>
      <c r="G58" s="11"/>
      <c r="H58" s="11"/>
      <c r="I58" s="11"/>
      <c r="J58" s="11"/>
      <c r="K58" s="11"/>
      <c r="L58" s="11"/>
      <c r="M58" s="27"/>
      <c r="N58" s="11"/>
      <c r="O58" s="11"/>
      <c r="P58" s="15"/>
      <c r="Q58" s="11"/>
      <c r="R58" s="11"/>
      <c r="S58" s="15"/>
      <c r="T58" s="15"/>
      <c r="U58" s="15"/>
      <c r="V58" s="11"/>
      <c r="W58" s="15"/>
      <c r="X58" s="11"/>
      <c r="Y58" s="11"/>
      <c r="Z58" s="15"/>
      <c r="AA58" s="11"/>
      <c r="AB58" s="11"/>
      <c r="AC58" s="15"/>
      <c r="AD58" s="15"/>
      <c r="AE58" s="15"/>
      <c r="AF58" s="11"/>
      <c r="AG58" s="15"/>
      <c r="AH58" s="11"/>
      <c r="AI58" s="11"/>
      <c r="AJ58" s="15"/>
      <c r="AK58" s="11"/>
      <c r="AL58" s="11"/>
      <c r="AM58" s="15"/>
      <c r="AN58" s="15"/>
      <c r="AO58" s="15"/>
      <c r="AP58" s="11"/>
      <c r="AQ58" s="15"/>
      <c r="AR58" s="11"/>
      <c r="AS58" s="11"/>
      <c r="AT58" s="15"/>
      <c r="AU58" s="11"/>
      <c r="AV58" s="11"/>
      <c r="AW58" s="15"/>
      <c r="AX58" s="15"/>
      <c r="AY58" s="15"/>
      <c r="AZ58" s="11"/>
      <c r="BA58" s="15"/>
      <c r="BB58" s="11"/>
      <c r="BC58" s="11"/>
      <c r="BD58" s="15"/>
      <c r="BE58" s="11"/>
      <c r="BF58" s="11"/>
      <c r="BG58" s="15"/>
      <c r="BH58" s="11"/>
      <c r="BI58" s="11"/>
      <c r="BJ58" s="11"/>
      <c r="BK58" s="11"/>
      <c r="BL58" s="28" t="str">
        <f t="shared" si="0"/>
        <v/>
      </c>
      <c r="BM58" s="28"/>
      <c r="BN58" s="11"/>
      <c r="BO58" s="29" t="str">
        <f t="shared" si="1"/>
        <v/>
      </c>
      <c r="BP58" s="11"/>
      <c r="BQ58" s="11"/>
      <c r="BR58" s="11"/>
      <c r="BS58" s="11"/>
      <c r="BT58" s="11"/>
      <c r="BU58" s="11"/>
      <c r="BV58" s="11"/>
      <c r="BW58" s="28" t="str">
        <f t="shared" si="2"/>
        <v/>
      </c>
      <c r="BX58" s="28"/>
      <c r="BY58" s="11"/>
      <c r="BZ58" s="29" t="str">
        <f t="shared" si="3"/>
        <v/>
      </c>
      <c r="CA58" s="11"/>
      <c r="CB58" s="11"/>
      <c r="CC58" s="11"/>
      <c r="CD58" s="11"/>
      <c r="CE58" s="11"/>
      <c r="CF58" s="11"/>
      <c r="CG58" s="11"/>
      <c r="CH58" s="11"/>
      <c r="CI58" s="29"/>
      <c r="CJ58" s="28"/>
      <c r="CK58" s="11"/>
      <c r="CL58" s="11"/>
      <c r="CM58" s="11"/>
      <c r="CN58" s="29"/>
      <c r="CO58" s="28"/>
      <c r="CP58" s="11"/>
      <c r="CQ58" s="11"/>
      <c r="CR58" s="11"/>
      <c r="CS58" s="29"/>
      <c r="CT58" s="28"/>
      <c r="CU58" s="11"/>
      <c r="CV58" s="11"/>
      <c r="CW58" s="11"/>
      <c r="CX58" s="29"/>
      <c r="CY58" s="28"/>
      <c r="CZ58" s="30"/>
      <c r="DA58" s="30"/>
      <c r="DB58" s="30"/>
      <c r="DC58" s="30"/>
      <c r="DD58" s="30" t="str">
        <f t="shared" si="4"/>
        <v/>
      </c>
    </row>
    <row r="59" spans="1:108" ht="16.5">
      <c r="A59" s="26"/>
      <c r="B59" s="11"/>
      <c r="C59" s="11"/>
      <c r="D59" s="11"/>
      <c r="E59" s="11"/>
      <c r="F59" s="11"/>
      <c r="G59" s="11"/>
      <c r="H59" s="11"/>
      <c r="I59" s="11"/>
      <c r="J59" s="11"/>
      <c r="K59" s="11"/>
      <c r="L59" s="11"/>
      <c r="M59" s="27"/>
      <c r="N59" s="11"/>
      <c r="O59" s="11"/>
      <c r="P59" s="15"/>
      <c r="Q59" s="11"/>
      <c r="R59" s="11"/>
      <c r="S59" s="15"/>
      <c r="T59" s="15"/>
      <c r="U59" s="15"/>
      <c r="V59" s="11"/>
      <c r="W59" s="15"/>
      <c r="X59" s="11"/>
      <c r="Y59" s="11"/>
      <c r="Z59" s="15"/>
      <c r="AA59" s="11"/>
      <c r="AB59" s="11"/>
      <c r="AC59" s="15"/>
      <c r="AD59" s="15"/>
      <c r="AE59" s="15"/>
      <c r="AF59" s="11"/>
      <c r="AG59" s="15"/>
      <c r="AH59" s="11"/>
      <c r="AI59" s="11"/>
      <c r="AJ59" s="15"/>
      <c r="AK59" s="11"/>
      <c r="AL59" s="11"/>
      <c r="AM59" s="15"/>
      <c r="AN59" s="15"/>
      <c r="AO59" s="15"/>
      <c r="AP59" s="11"/>
      <c r="AQ59" s="15"/>
      <c r="AR59" s="11"/>
      <c r="AS59" s="11"/>
      <c r="AT59" s="15"/>
      <c r="AU59" s="11"/>
      <c r="AV59" s="11"/>
      <c r="AW59" s="15"/>
      <c r="AX59" s="15"/>
      <c r="AY59" s="15"/>
      <c r="AZ59" s="11"/>
      <c r="BA59" s="15"/>
      <c r="BB59" s="11"/>
      <c r="BC59" s="11"/>
      <c r="BD59" s="15"/>
      <c r="BE59" s="11"/>
      <c r="BF59" s="11"/>
      <c r="BG59" s="15"/>
      <c r="BH59" s="11"/>
      <c r="BI59" s="11"/>
      <c r="BJ59" s="11"/>
      <c r="BK59" s="11"/>
      <c r="BL59" s="28" t="str">
        <f t="shared" si="0"/>
        <v/>
      </c>
      <c r="BM59" s="28"/>
      <c r="BN59" s="11"/>
      <c r="BO59" s="29" t="str">
        <f t="shared" si="1"/>
        <v/>
      </c>
      <c r="BP59" s="11"/>
      <c r="BQ59" s="11"/>
      <c r="BR59" s="11"/>
      <c r="BS59" s="11"/>
      <c r="BT59" s="11"/>
      <c r="BU59" s="11"/>
      <c r="BV59" s="11"/>
      <c r="BW59" s="28" t="str">
        <f t="shared" si="2"/>
        <v/>
      </c>
      <c r="BX59" s="28"/>
      <c r="BY59" s="11"/>
      <c r="BZ59" s="29" t="str">
        <f t="shared" si="3"/>
        <v/>
      </c>
      <c r="CA59" s="11"/>
      <c r="CB59" s="11"/>
      <c r="CC59" s="11"/>
      <c r="CD59" s="11"/>
      <c r="CE59" s="11"/>
      <c r="CF59" s="11"/>
      <c r="CG59" s="11"/>
      <c r="CH59" s="11"/>
      <c r="CI59" s="29"/>
      <c r="CJ59" s="28"/>
      <c r="CK59" s="11"/>
      <c r="CL59" s="11"/>
      <c r="CM59" s="11"/>
      <c r="CN59" s="29"/>
      <c r="CO59" s="28"/>
      <c r="CP59" s="11"/>
      <c r="CQ59" s="11"/>
      <c r="CR59" s="11"/>
      <c r="CS59" s="29"/>
      <c r="CT59" s="28"/>
      <c r="CU59" s="11"/>
      <c r="CV59" s="11"/>
      <c r="CW59" s="11"/>
      <c r="CX59" s="29"/>
      <c r="CY59" s="28"/>
      <c r="CZ59" s="30"/>
      <c r="DA59" s="30"/>
      <c r="DB59" s="30"/>
      <c r="DC59" s="30"/>
      <c r="DD59" s="30" t="str">
        <f t="shared" si="4"/>
        <v/>
      </c>
    </row>
    <row r="60" spans="1:108" ht="16.5">
      <c r="A60" s="26"/>
      <c r="B60" s="11"/>
      <c r="C60" s="11"/>
      <c r="D60" s="11"/>
      <c r="E60" s="11"/>
      <c r="F60" s="11"/>
      <c r="G60" s="11"/>
      <c r="H60" s="11"/>
      <c r="I60" s="11"/>
      <c r="J60" s="11"/>
      <c r="K60" s="11"/>
      <c r="L60" s="11"/>
      <c r="M60" s="27"/>
      <c r="N60" s="11"/>
      <c r="O60" s="11"/>
      <c r="P60" s="15"/>
      <c r="Q60" s="11"/>
      <c r="R60" s="11"/>
      <c r="S60" s="15"/>
      <c r="T60" s="15"/>
      <c r="U60" s="15"/>
      <c r="V60" s="11"/>
      <c r="W60" s="15"/>
      <c r="X60" s="11"/>
      <c r="Y60" s="11"/>
      <c r="Z60" s="15"/>
      <c r="AA60" s="11"/>
      <c r="AB60" s="11"/>
      <c r="AC60" s="15"/>
      <c r="AD60" s="15"/>
      <c r="AE60" s="15"/>
      <c r="AF60" s="11"/>
      <c r="AG60" s="15"/>
      <c r="AH60" s="11"/>
      <c r="AI60" s="11"/>
      <c r="AJ60" s="15"/>
      <c r="AK60" s="11"/>
      <c r="AL60" s="11"/>
      <c r="AM60" s="15"/>
      <c r="AN60" s="15"/>
      <c r="AO60" s="15"/>
      <c r="AP60" s="11"/>
      <c r="AQ60" s="15"/>
      <c r="AR60" s="11"/>
      <c r="AS60" s="11"/>
      <c r="AT60" s="15"/>
      <c r="AU60" s="11"/>
      <c r="AV60" s="11"/>
      <c r="AW60" s="15"/>
      <c r="AX60" s="15"/>
      <c r="AY60" s="15"/>
      <c r="AZ60" s="11"/>
      <c r="BA60" s="15"/>
      <c r="BB60" s="11"/>
      <c r="BC60" s="11"/>
      <c r="BD60" s="15"/>
      <c r="BE60" s="11"/>
      <c r="BF60" s="11"/>
      <c r="BG60" s="15"/>
      <c r="BH60" s="11"/>
      <c r="BI60" s="11"/>
      <c r="BJ60" s="11"/>
      <c r="BK60" s="11"/>
      <c r="BL60" s="28" t="str">
        <f t="shared" si="0"/>
        <v/>
      </c>
      <c r="BM60" s="28"/>
      <c r="BN60" s="11"/>
      <c r="BO60" s="29" t="str">
        <f t="shared" si="1"/>
        <v/>
      </c>
      <c r="BP60" s="11"/>
      <c r="BQ60" s="11"/>
      <c r="BR60" s="11"/>
      <c r="BS60" s="11"/>
      <c r="BT60" s="11"/>
      <c r="BU60" s="11"/>
      <c r="BV60" s="11"/>
      <c r="BW60" s="28" t="str">
        <f t="shared" si="2"/>
        <v/>
      </c>
      <c r="BX60" s="28"/>
      <c r="BY60" s="11"/>
      <c r="BZ60" s="29" t="str">
        <f t="shared" si="3"/>
        <v/>
      </c>
      <c r="CA60" s="11"/>
      <c r="CB60" s="11"/>
      <c r="CC60" s="11"/>
      <c r="CD60" s="11"/>
      <c r="CE60" s="11"/>
      <c r="CF60" s="11"/>
      <c r="CG60" s="11"/>
      <c r="CH60" s="11"/>
      <c r="CI60" s="29"/>
      <c r="CJ60" s="28"/>
      <c r="CK60" s="11"/>
      <c r="CL60" s="11"/>
      <c r="CM60" s="11"/>
      <c r="CN60" s="29"/>
      <c r="CO60" s="28"/>
      <c r="CP60" s="11"/>
      <c r="CQ60" s="11"/>
      <c r="CR60" s="11"/>
      <c r="CS60" s="29"/>
      <c r="CT60" s="28"/>
      <c r="CU60" s="11"/>
      <c r="CV60" s="11"/>
      <c r="CW60" s="11"/>
      <c r="CX60" s="29"/>
      <c r="CY60" s="28"/>
      <c r="CZ60" s="30"/>
      <c r="DA60" s="30"/>
      <c r="DB60" s="30"/>
      <c r="DC60" s="30"/>
      <c r="DD60" s="30" t="str">
        <f t="shared" si="4"/>
        <v/>
      </c>
    </row>
    <row r="61" spans="1:108" ht="16.5">
      <c r="A61" s="26"/>
      <c r="B61" s="11"/>
      <c r="C61" s="11"/>
      <c r="D61" s="11"/>
      <c r="E61" s="11"/>
      <c r="F61" s="11"/>
      <c r="G61" s="11"/>
      <c r="H61" s="11"/>
      <c r="I61" s="11"/>
      <c r="J61" s="11"/>
      <c r="K61" s="11"/>
      <c r="L61" s="11"/>
      <c r="M61" s="27"/>
      <c r="N61" s="11"/>
      <c r="O61" s="11"/>
      <c r="P61" s="15"/>
      <c r="Q61" s="11"/>
      <c r="R61" s="11"/>
      <c r="S61" s="15"/>
      <c r="T61" s="15"/>
      <c r="U61" s="15"/>
      <c r="V61" s="11"/>
      <c r="W61" s="15"/>
      <c r="X61" s="11"/>
      <c r="Y61" s="11"/>
      <c r="Z61" s="15"/>
      <c r="AA61" s="11"/>
      <c r="AB61" s="11"/>
      <c r="AC61" s="15"/>
      <c r="AD61" s="15"/>
      <c r="AE61" s="15"/>
      <c r="AF61" s="11"/>
      <c r="AG61" s="15"/>
      <c r="AH61" s="11"/>
      <c r="AI61" s="11"/>
      <c r="AJ61" s="15"/>
      <c r="AK61" s="11"/>
      <c r="AL61" s="11"/>
      <c r="AM61" s="15"/>
      <c r="AN61" s="15"/>
      <c r="AO61" s="15"/>
      <c r="AP61" s="11"/>
      <c r="AQ61" s="15"/>
      <c r="AR61" s="11"/>
      <c r="AS61" s="11"/>
      <c r="AT61" s="15"/>
      <c r="AU61" s="11"/>
      <c r="AV61" s="11"/>
      <c r="AW61" s="15"/>
      <c r="AX61" s="15"/>
      <c r="AY61" s="15"/>
      <c r="AZ61" s="11"/>
      <c r="BA61" s="15"/>
      <c r="BB61" s="11"/>
      <c r="BC61" s="11"/>
      <c r="BD61" s="15"/>
      <c r="BE61" s="11"/>
      <c r="BF61" s="11"/>
      <c r="BG61" s="15"/>
      <c r="BH61" s="11"/>
      <c r="BI61" s="11"/>
      <c r="BJ61" s="11"/>
      <c r="BK61" s="11"/>
      <c r="BL61" s="28" t="str">
        <f t="shared" si="0"/>
        <v/>
      </c>
      <c r="BM61" s="28"/>
      <c r="BN61" s="11"/>
      <c r="BO61" s="29" t="str">
        <f t="shared" si="1"/>
        <v/>
      </c>
      <c r="BP61" s="11"/>
      <c r="BQ61" s="11"/>
      <c r="BR61" s="11"/>
      <c r="BS61" s="11"/>
      <c r="BT61" s="11"/>
      <c r="BU61" s="11"/>
      <c r="BV61" s="11"/>
      <c r="BW61" s="28" t="str">
        <f t="shared" si="2"/>
        <v/>
      </c>
      <c r="BX61" s="28"/>
      <c r="BY61" s="11"/>
      <c r="BZ61" s="29" t="str">
        <f t="shared" si="3"/>
        <v/>
      </c>
      <c r="CA61" s="11"/>
      <c r="CB61" s="11"/>
      <c r="CC61" s="11"/>
      <c r="CD61" s="11"/>
      <c r="CE61" s="11"/>
      <c r="CF61" s="11"/>
      <c r="CG61" s="11"/>
      <c r="CH61" s="11"/>
      <c r="CI61" s="29"/>
      <c r="CJ61" s="28"/>
      <c r="CK61" s="11"/>
      <c r="CL61" s="11"/>
      <c r="CM61" s="11"/>
      <c r="CN61" s="29"/>
      <c r="CO61" s="28"/>
      <c r="CP61" s="11"/>
      <c r="CQ61" s="11"/>
      <c r="CR61" s="11"/>
      <c r="CS61" s="29"/>
      <c r="CT61" s="28"/>
      <c r="CU61" s="11"/>
      <c r="CV61" s="11"/>
      <c r="CW61" s="11"/>
      <c r="CX61" s="29"/>
      <c r="CY61" s="28"/>
      <c r="CZ61" s="30"/>
      <c r="DA61" s="30"/>
      <c r="DB61" s="30"/>
      <c r="DC61" s="30"/>
      <c r="DD61" s="30" t="str">
        <f t="shared" si="4"/>
        <v/>
      </c>
    </row>
    <row r="62" spans="1:108" ht="16.5">
      <c r="A62" s="26"/>
      <c r="B62" s="11"/>
      <c r="C62" s="11"/>
      <c r="D62" s="11"/>
      <c r="E62" s="11"/>
      <c r="F62" s="11"/>
      <c r="G62" s="11"/>
      <c r="H62" s="11"/>
      <c r="I62" s="11"/>
      <c r="J62" s="11"/>
      <c r="K62" s="11"/>
      <c r="L62" s="11"/>
      <c r="M62" s="27"/>
      <c r="N62" s="11"/>
      <c r="O62" s="11"/>
      <c r="P62" s="15"/>
      <c r="Q62" s="11"/>
      <c r="R62" s="11"/>
      <c r="S62" s="15"/>
      <c r="T62" s="15"/>
      <c r="U62" s="15"/>
      <c r="V62" s="11"/>
      <c r="W62" s="15"/>
      <c r="X62" s="11"/>
      <c r="Y62" s="11"/>
      <c r="Z62" s="15"/>
      <c r="AA62" s="11"/>
      <c r="AB62" s="11"/>
      <c r="AC62" s="15"/>
      <c r="AD62" s="15"/>
      <c r="AE62" s="15"/>
      <c r="AF62" s="11"/>
      <c r="AG62" s="15"/>
      <c r="AH62" s="11"/>
      <c r="AI62" s="11"/>
      <c r="AJ62" s="15"/>
      <c r="AK62" s="11"/>
      <c r="AL62" s="11"/>
      <c r="AM62" s="15"/>
      <c r="AN62" s="15"/>
      <c r="AO62" s="15"/>
      <c r="AP62" s="11"/>
      <c r="AQ62" s="15"/>
      <c r="AR62" s="11"/>
      <c r="AS62" s="11"/>
      <c r="AT62" s="15"/>
      <c r="AU62" s="11"/>
      <c r="AV62" s="11"/>
      <c r="AW62" s="15"/>
      <c r="AX62" s="15"/>
      <c r="AY62" s="15"/>
      <c r="AZ62" s="11"/>
      <c r="BA62" s="15"/>
      <c r="BB62" s="11"/>
      <c r="BC62" s="11"/>
      <c r="BD62" s="15"/>
      <c r="BE62" s="11"/>
      <c r="BF62" s="11"/>
      <c r="BG62" s="15"/>
      <c r="BH62" s="11"/>
      <c r="BI62" s="11"/>
      <c r="BJ62" s="11"/>
      <c r="BK62" s="11"/>
      <c r="BL62" s="28" t="str">
        <f t="shared" si="0"/>
        <v/>
      </c>
      <c r="BM62" s="28"/>
      <c r="BN62" s="11"/>
      <c r="BO62" s="29" t="str">
        <f t="shared" si="1"/>
        <v/>
      </c>
      <c r="BP62" s="11"/>
      <c r="BQ62" s="11"/>
      <c r="BR62" s="11"/>
      <c r="BS62" s="11"/>
      <c r="BT62" s="11"/>
      <c r="BU62" s="11"/>
      <c r="BV62" s="11"/>
      <c r="BW62" s="28" t="str">
        <f t="shared" si="2"/>
        <v/>
      </c>
      <c r="BX62" s="28"/>
      <c r="BY62" s="11"/>
      <c r="BZ62" s="29" t="str">
        <f t="shared" si="3"/>
        <v/>
      </c>
      <c r="CA62" s="11"/>
      <c r="CB62" s="11"/>
      <c r="CC62" s="11"/>
      <c r="CD62" s="11"/>
      <c r="CE62" s="11"/>
      <c r="CF62" s="11"/>
      <c r="CG62" s="11"/>
      <c r="CH62" s="11"/>
      <c r="CI62" s="29"/>
      <c r="CJ62" s="28"/>
      <c r="CK62" s="11"/>
      <c r="CL62" s="11"/>
      <c r="CM62" s="11"/>
      <c r="CN62" s="29"/>
      <c r="CO62" s="28"/>
      <c r="CP62" s="11"/>
      <c r="CQ62" s="11"/>
      <c r="CR62" s="11"/>
      <c r="CS62" s="29"/>
      <c r="CT62" s="28"/>
      <c r="CU62" s="11"/>
      <c r="CV62" s="11"/>
      <c r="CW62" s="11"/>
      <c r="CX62" s="29"/>
      <c r="CY62" s="28"/>
      <c r="CZ62" s="30"/>
      <c r="DA62" s="30"/>
      <c r="DB62" s="30"/>
      <c r="DC62" s="30"/>
      <c r="DD62" s="30" t="str">
        <f t="shared" si="4"/>
        <v/>
      </c>
    </row>
    <row r="63" spans="1:108" ht="16.5">
      <c r="A63" s="26"/>
      <c r="B63" s="11"/>
      <c r="C63" s="11"/>
      <c r="D63" s="11"/>
      <c r="E63" s="11"/>
      <c r="F63" s="11"/>
      <c r="G63" s="11"/>
      <c r="H63" s="11"/>
      <c r="I63" s="11"/>
      <c r="J63" s="11"/>
      <c r="K63" s="11"/>
      <c r="L63" s="11"/>
      <c r="M63" s="27"/>
      <c r="N63" s="11"/>
      <c r="O63" s="11"/>
      <c r="P63" s="15"/>
      <c r="Q63" s="11"/>
      <c r="R63" s="11"/>
      <c r="S63" s="15"/>
      <c r="T63" s="15"/>
      <c r="U63" s="15"/>
      <c r="V63" s="11"/>
      <c r="W63" s="15"/>
      <c r="X63" s="11"/>
      <c r="Y63" s="11"/>
      <c r="Z63" s="15"/>
      <c r="AA63" s="11"/>
      <c r="AB63" s="11"/>
      <c r="AC63" s="15"/>
      <c r="AD63" s="15"/>
      <c r="AE63" s="15"/>
      <c r="AF63" s="11"/>
      <c r="AG63" s="15"/>
      <c r="AH63" s="11"/>
      <c r="AI63" s="11"/>
      <c r="AJ63" s="15"/>
      <c r="AK63" s="11"/>
      <c r="AL63" s="11"/>
      <c r="AM63" s="15"/>
      <c r="AN63" s="15"/>
      <c r="AO63" s="15"/>
      <c r="AP63" s="11"/>
      <c r="AQ63" s="15"/>
      <c r="AR63" s="11"/>
      <c r="AS63" s="11"/>
      <c r="AT63" s="15"/>
      <c r="AU63" s="11"/>
      <c r="AV63" s="11"/>
      <c r="AW63" s="15"/>
      <c r="AX63" s="15"/>
      <c r="AY63" s="15"/>
      <c r="AZ63" s="11"/>
      <c r="BA63" s="15"/>
      <c r="BB63" s="11"/>
      <c r="BC63" s="11"/>
      <c r="BD63" s="15"/>
      <c r="BE63" s="11"/>
      <c r="BF63" s="11"/>
      <c r="BG63" s="15"/>
      <c r="BH63" s="11"/>
      <c r="BI63" s="11"/>
      <c r="BJ63" s="11"/>
      <c r="BK63" s="11"/>
      <c r="BL63" s="28" t="str">
        <f t="shared" si="0"/>
        <v/>
      </c>
      <c r="BM63" s="28"/>
      <c r="BN63" s="11"/>
      <c r="BO63" s="29" t="str">
        <f t="shared" si="1"/>
        <v/>
      </c>
      <c r="BP63" s="11"/>
      <c r="BQ63" s="11"/>
      <c r="BR63" s="11"/>
      <c r="BS63" s="11"/>
      <c r="BT63" s="11"/>
      <c r="BU63" s="11"/>
      <c r="BV63" s="11"/>
      <c r="BW63" s="28" t="str">
        <f t="shared" si="2"/>
        <v/>
      </c>
      <c r="BX63" s="28"/>
      <c r="BY63" s="11"/>
      <c r="BZ63" s="29" t="str">
        <f t="shared" si="3"/>
        <v/>
      </c>
      <c r="CA63" s="11"/>
      <c r="CB63" s="11"/>
      <c r="CC63" s="11"/>
      <c r="CD63" s="11"/>
      <c r="CE63" s="11"/>
      <c r="CF63" s="11"/>
      <c r="CG63" s="11"/>
      <c r="CH63" s="11"/>
      <c r="CI63" s="29"/>
      <c r="CJ63" s="28"/>
      <c r="CK63" s="11"/>
      <c r="CL63" s="11"/>
      <c r="CM63" s="11"/>
      <c r="CN63" s="29"/>
      <c r="CO63" s="28"/>
      <c r="CP63" s="11"/>
      <c r="CQ63" s="11"/>
      <c r="CR63" s="11"/>
      <c r="CS63" s="29"/>
      <c r="CT63" s="28"/>
      <c r="CU63" s="11"/>
      <c r="CV63" s="11"/>
      <c r="CW63" s="11"/>
      <c r="CX63" s="29"/>
      <c r="CY63" s="28"/>
      <c r="CZ63" s="30"/>
      <c r="DA63" s="30"/>
      <c r="DB63" s="30"/>
      <c r="DC63" s="30"/>
      <c r="DD63" s="30" t="str">
        <f t="shared" si="4"/>
        <v/>
      </c>
    </row>
    <row r="64" spans="1:108" ht="16.5">
      <c r="A64" s="26"/>
      <c r="B64" s="11"/>
      <c r="C64" s="11"/>
      <c r="D64" s="11"/>
      <c r="E64" s="11"/>
      <c r="F64" s="11"/>
      <c r="G64" s="11"/>
      <c r="H64" s="11"/>
      <c r="I64" s="11"/>
      <c r="J64" s="11"/>
      <c r="K64" s="11"/>
      <c r="L64" s="11"/>
      <c r="M64" s="27"/>
      <c r="N64" s="11"/>
      <c r="O64" s="11"/>
      <c r="P64" s="15"/>
      <c r="Q64" s="11"/>
      <c r="R64" s="11"/>
      <c r="S64" s="15"/>
      <c r="T64" s="15"/>
      <c r="U64" s="15"/>
      <c r="V64" s="11"/>
      <c r="W64" s="15"/>
      <c r="X64" s="11"/>
      <c r="Y64" s="11"/>
      <c r="Z64" s="15"/>
      <c r="AA64" s="11"/>
      <c r="AB64" s="11"/>
      <c r="AC64" s="15"/>
      <c r="AD64" s="15"/>
      <c r="AE64" s="15"/>
      <c r="AF64" s="11"/>
      <c r="AG64" s="15"/>
      <c r="AH64" s="11"/>
      <c r="AI64" s="11"/>
      <c r="AJ64" s="15"/>
      <c r="AK64" s="11"/>
      <c r="AL64" s="11"/>
      <c r="AM64" s="15"/>
      <c r="AN64" s="15"/>
      <c r="AO64" s="15"/>
      <c r="AP64" s="11"/>
      <c r="AQ64" s="15"/>
      <c r="AR64" s="11"/>
      <c r="AS64" s="11"/>
      <c r="AT64" s="15"/>
      <c r="AU64" s="11"/>
      <c r="AV64" s="11"/>
      <c r="AW64" s="15"/>
      <c r="AX64" s="15"/>
      <c r="AY64" s="15"/>
      <c r="AZ64" s="11"/>
      <c r="BA64" s="15"/>
      <c r="BB64" s="11"/>
      <c r="BC64" s="11"/>
      <c r="BD64" s="15"/>
      <c r="BE64" s="11"/>
      <c r="BF64" s="11"/>
      <c r="BG64" s="15"/>
      <c r="BH64" s="11"/>
      <c r="BI64" s="11"/>
      <c r="BJ64" s="11"/>
      <c r="BK64" s="11"/>
      <c r="BL64" s="28" t="str">
        <f t="shared" si="0"/>
        <v/>
      </c>
      <c r="BM64" s="28"/>
      <c r="BN64" s="11"/>
      <c r="BO64" s="29" t="str">
        <f t="shared" si="1"/>
        <v/>
      </c>
      <c r="BP64" s="11"/>
      <c r="BQ64" s="11"/>
      <c r="BR64" s="11"/>
      <c r="BS64" s="11"/>
      <c r="BT64" s="11"/>
      <c r="BU64" s="11"/>
      <c r="BV64" s="11"/>
      <c r="BW64" s="28" t="str">
        <f t="shared" si="2"/>
        <v/>
      </c>
      <c r="BX64" s="28"/>
      <c r="BY64" s="11"/>
      <c r="BZ64" s="29" t="str">
        <f t="shared" si="3"/>
        <v/>
      </c>
      <c r="CA64" s="11"/>
      <c r="CB64" s="11"/>
      <c r="CC64" s="11"/>
      <c r="CD64" s="11"/>
      <c r="CE64" s="11"/>
      <c r="CF64" s="11"/>
      <c r="CG64" s="11"/>
      <c r="CH64" s="11"/>
      <c r="CI64" s="29"/>
      <c r="CJ64" s="28"/>
      <c r="CK64" s="11"/>
      <c r="CL64" s="11"/>
      <c r="CM64" s="11"/>
      <c r="CN64" s="29"/>
      <c r="CO64" s="28"/>
      <c r="CP64" s="11"/>
      <c r="CQ64" s="11"/>
      <c r="CR64" s="11"/>
      <c r="CS64" s="29"/>
      <c r="CT64" s="28"/>
      <c r="CU64" s="11"/>
      <c r="CV64" s="11"/>
      <c r="CW64" s="11"/>
      <c r="CX64" s="29"/>
      <c r="CY64" s="28"/>
      <c r="CZ64" s="30"/>
      <c r="DA64" s="30"/>
      <c r="DB64" s="30"/>
      <c r="DC64" s="30"/>
      <c r="DD64" s="30" t="str">
        <f t="shared" si="4"/>
        <v/>
      </c>
    </row>
    <row r="65" spans="1:108" ht="16.5">
      <c r="A65" s="26"/>
      <c r="B65" s="11"/>
      <c r="C65" s="11"/>
      <c r="D65" s="11"/>
      <c r="E65" s="11"/>
      <c r="F65" s="11"/>
      <c r="G65" s="11"/>
      <c r="H65" s="11"/>
      <c r="I65" s="11"/>
      <c r="J65" s="11"/>
      <c r="K65" s="11"/>
      <c r="L65" s="11"/>
      <c r="M65" s="27"/>
      <c r="N65" s="11"/>
      <c r="O65" s="11"/>
      <c r="P65" s="15"/>
      <c r="Q65" s="11"/>
      <c r="R65" s="11"/>
      <c r="S65" s="15"/>
      <c r="T65" s="15"/>
      <c r="U65" s="15"/>
      <c r="V65" s="11"/>
      <c r="W65" s="15"/>
      <c r="X65" s="11"/>
      <c r="Y65" s="11"/>
      <c r="Z65" s="15"/>
      <c r="AA65" s="11"/>
      <c r="AB65" s="11"/>
      <c r="AC65" s="15"/>
      <c r="AD65" s="15"/>
      <c r="AE65" s="15"/>
      <c r="AF65" s="11"/>
      <c r="AG65" s="15"/>
      <c r="AH65" s="11"/>
      <c r="AI65" s="11"/>
      <c r="AJ65" s="15"/>
      <c r="AK65" s="11"/>
      <c r="AL65" s="11"/>
      <c r="AM65" s="15"/>
      <c r="AN65" s="15"/>
      <c r="AO65" s="15"/>
      <c r="AP65" s="11"/>
      <c r="AQ65" s="15"/>
      <c r="AR65" s="11"/>
      <c r="AS65" s="11"/>
      <c r="AT65" s="15"/>
      <c r="AU65" s="11"/>
      <c r="AV65" s="11"/>
      <c r="AW65" s="15"/>
      <c r="AX65" s="15"/>
      <c r="AY65" s="15"/>
      <c r="AZ65" s="11"/>
      <c r="BA65" s="15"/>
      <c r="BB65" s="11"/>
      <c r="BC65" s="11"/>
      <c r="BD65" s="15"/>
      <c r="BE65" s="11"/>
      <c r="BF65" s="11"/>
      <c r="BG65" s="15"/>
      <c r="BH65" s="11"/>
      <c r="BI65" s="11"/>
      <c r="BJ65" s="11"/>
      <c r="BK65" s="11"/>
      <c r="BL65" s="28" t="str">
        <f t="shared" si="0"/>
        <v/>
      </c>
      <c r="BM65" s="28"/>
      <c r="BN65" s="11"/>
      <c r="BO65" s="29" t="str">
        <f t="shared" si="1"/>
        <v/>
      </c>
      <c r="BP65" s="11"/>
      <c r="BQ65" s="11"/>
      <c r="BR65" s="11"/>
      <c r="BS65" s="11"/>
      <c r="BT65" s="11"/>
      <c r="BU65" s="11"/>
      <c r="BV65" s="11"/>
      <c r="BW65" s="28" t="str">
        <f t="shared" si="2"/>
        <v/>
      </c>
      <c r="BX65" s="28"/>
      <c r="BY65" s="11"/>
      <c r="BZ65" s="29" t="str">
        <f t="shared" si="3"/>
        <v/>
      </c>
      <c r="CA65" s="11"/>
      <c r="CB65" s="11"/>
      <c r="CC65" s="11"/>
      <c r="CD65" s="11"/>
      <c r="CE65" s="11"/>
      <c r="CF65" s="11"/>
      <c r="CG65" s="11"/>
      <c r="CH65" s="11"/>
      <c r="CI65" s="29"/>
      <c r="CJ65" s="28"/>
      <c r="CK65" s="11"/>
      <c r="CL65" s="11"/>
      <c r="CM65" s="11"/>
      <c r="CN65" s="29"/>
      <c r="CO65" s="28"/>
      <c r="CP65" s="11"/>
      <c r="CQ65" s="11"/>
      <c r="CR65" s="11"/>
      <c r="CS65" s="29"/>
      <c r="CT65" s="28"/>
      <c r="CU65" s="11"/>
      <c r="CV65" s="11"/>
      <c r="CW65" s="11"/>
      <c r="CX65" s="29"/>
      <c r="CY65" s="28"/>
      <c r="CZ65" s="30"/>
      <c r="DA65" s="30"/>
      <c r="DB65" s="30"/>
      <c r="DC65" s="30"/>
      <c r="DD65" s="30" t="str">
        <f t="shared" si="4"/>
        <v/>
      </c>
    </row>
    <row r="66" spans="1:108" ht="16.5">
      <c r="A66" s="26"/>
      <c r="B66" s="11"/>
      <c r="C66" s="11"/>
      <c r="D66" s="11"/>
      <c r="E66" s="11"/>
      <c r="F66" s="11"/>
      <c r="G66" s="11"/>
      <c r="H66" s="11"/>
      <c r="I66" s="11"/>
      <c r="J66" s="11"/>
      <c r="K66" s="11"/>
      <c r="L66" s="11"/>
      <c r="M66" s="27"/>
      <c r="N66" s="11"/>
      <c r="O66" s="11"/>
      <c r="P66" s="15"/>
      <c r="Q66" s="11"/>
      <c r="R66" s="11"/>
      <c r="S66" s="15"/>
      <c r="T66" s="15"/>
      <c r="U66" s="15"/>
      <c r="V66" s="11"/>
      <c r="W66" s="15"/>
      <c r="X66" s="11"/>
      <c r="Y66" s="11"/>
      <c r="Z66" s="15"/>
      <c r="AA66" s="11"/>
      <c r="AB66" s="11"/>
      <c r="AC66" s="15"/>
      <c r="AD66" s="15"/>
      <c r="AE66" s="15"/>
      <c r="AF66" s="11"/>
      <c r="AG66" s="15"/>
      <c r="AH66" s="11"/>
      <c r="AI66" s="11"/>
      <c r="AJ66" s="15"/>
      <c r="AK66" s="11"/>
      <c r="AL66" s="11"/>
      <c r="AM66" s="15"/>
      <c r="AN66" s="15"/>
      <c r="AO66" s="15"/>
      <c r="AP66" s="11"/>
      <c r="AQ66" s="15"/>
      <c r="AR66" s="11"/>
      <c r="AS66" s="11"/>
      <c r="AT66" s="15"/>
      <c r="AU66" s="11"/>
      <c r="AV66" s="11"/>
      <c r="AW66" s="15"/>
      <c r="AX66" s="15"/>
      <c r="AY66" s="15"/>
      <c r="AZ66" s="11"/>
      <c r="BA66" s="15"/>
      <c r="BB66" s="11"/>
      <c r="BC66" s="11"/>
      <c r="BD66" s="15"/>
      <c r="BE66" s="11"/>
      <c r="BF66" s="11"/>
      <c r="BG66" s="15"/>
      <c r="BH66" s="11"/>
      <c r="BI66" s="11"/>
      <c r="BJ66" s="11"/>
      <c r="BK66" s="11"/>
      <c r="BL66" s="28" t="str">
        <f t="shared" si="0"/>
        <v/>
      </c>
      <c r="BM66" s="28"/>
      <c r="BN66" s="11"/>
      <c r="BO66" s="29" t="str">
        <f t="shared" si="1"/>
        <v/>
      </c>
      <c r="BP66" s="11"/>
      <c r="BQ66" s="11"/>
      <c r="BR66" s="11"/>
      <c r="BS66" s="11"/>
      <c r="BT66" s="11"/>
      <c r="BU66" s="11"/>
      <c r="BV66" s="11"/>
      <c r="BW66" s="28" t="str">
        <f t="shared" si="2"/>
        <v/>
      </c>
      <c r="BX66" s="28"/>
      <c r="BY66" s="11"/>
      <c r="BZ66" s="29" t="str">
        <f t="shared" si="3"/>
        <v/>
      </c>
      <c r="CA66" s="11"/>
      <c r="CB66" s="11"/>
      <c r="CC66" s="11"/>
      <c r="CD66" s="11"/>
      <c r="CE66" s="11"/>
      <c r="CF66" s="11"/>
      <c r="CG66" s="11"/>
      <c r="CH66" s="11"/>
      <c r="CI66" s="29"/>
      <c r="CJ66" s="28"/>
      <c r="CK66" s="11"/>
      <c r="CL66" s="11"/>
      <c r="CM66" s="11"/>
      <c r="CN66" s="29"/>
      <c r="CO66" s="28"/>
      <c r="CP66" s="11"/>
      <c r="CQ66" s="11"/>
      <c r="CR66" s="11"/>
      <c r="CS66" s="29"/>
      <c r="CT66" s="28"/>
      <c r="CU66" s="11"/>
      <c r="CV66" s="11"/>
      <c r="CW66" s="11"/>
      <c r="CX66" s="29"/>
      <c r="CY66" s="28"/>
      <c r="CZ66" s="30"/>
      <c r="DA66" s="30"/>
      <c r="DB66" s="30"/>
      <c r="DC66" s="30"/>
      <c r="DD66" s="30" t="str">
        <f t="shared" si="4"/>
        <v/>
      </c>
    </row>
    <row r="67" spans="1:108" ht="16.5">
      <c r="A67" s="26"/>
      <c r="B67" s="11"/>
      <c r="C67" s="11"/>
      <c r="D67" s="11"/>
      <c r="E67" s="11"/>
      <c r="F67" s="11"/>
      <c r="G67" s="11"/>
      <c r="H67" s="11"/>
      <c r="I67" s="11"/>
      <c r="J67" s="11"/>
      <c r="K67" s="11"/>
      <c r="L67" s="11"/>
      <c r="M67" s="27"/>
      <c r="N67" s="11"/>
      <c r="O67" s="11"/>
      <c r="P67" s="15"/>
      <c r="Q67" s="11"/>
      <c r="R67" s="11"/>
      <c r="S67" s="15"/>
      <c r="T67" s="15"/>
      <c r="U67" s="15"/>
      <c r="V67" s="11"/>
      <c r="W67" s="15"/>
      <c r="X67" s="11"/>
      <c r="Y67" s="11"/>
      <c r="Z67" s="15"/>
      <c r="AA67" s="11"/>
      <c r="AB67" s="11"/>
      <c r="AC67" s="15"/>
      <c r="AD67" s="15"/>
      <c r="AE67" s="15"/>
      <c r="AF67" s="11"/>
      <c r="AG67" s="15"/>
      <c r="AH67" s="11"/>
      <c r="AI67" s="11"/>
      <c r="AJ67" s="15"/>
      <c r="AK67" s="11"/>
      <c r="AL67" s="11"/>
      <c r="AM67" s="15"/>
      <c r="AN67" s="15"/>
      <c r="AO67" s="15"/>
      <c r="AP67" s="11"/>
      <c r="AQ67" s="15"/>
      <c r="AR67" s="11"/>
      <c r="AS67" s="11"/>
      <c r="AT67" s="15"/>
      <c r="AU67" s="11"/>
      <c r="AV67" s="11"/>
      <c r="AW67" s="15"/>
      <c r="AX67" s="15"/>
      <c r="AY67" s="15"/>
      <c r="AZ67" s="11"/>
      <c r="BA67" s="15"/>
      <c r="BB67" s="11"/>
      <c r="BC67" s="11"/>
      <c r="BD67" s="15"/>
      <c r="BE67" s="11"/>
      <c r="BF67" s="11"/>
      <c r="BG67" s="15"/>
      <c r="BH67" s="11"/>
      <c r="BI67" s="11"/>
      <c r="BJ67" s="11"/>
      <c r="BK67" s="11"/>
      <c r="BL67" s="28" t="str">
        <f t="shared" si="0"/>
        <v/>
      </c>
      <c r="BM67" s="28"/>
      <c r="BN67" s="11"/>
      <c r="BO67" s="29" t="str">
        <f t="shared" si="1"/>
        <v/>
      </c>
      <c r="BP67" s="11"/>
      <c r="BQ67" s="11"/>
      <c r="BR67" s="11"/>
      <c r="BS67" s="11"/>
      <c r="BT67" s="11"/>
      <c r="BU67" s="11"/>
      <c r="BV67" s="11"/>
      <c r="BW67" s="28" t="str">
        <f t="shared" si="2"/>
        <v/>
      </c>
      <c r="BX67" s="28"/>
      <c r="BY67" s="11"/>
      <c r="BZ67" s="29" t="str">
        <f t="shared" si="3"/>
        <v/>
      </c>
      <c r="CA67" s="11"/>
      <c r="CB67" s="11"/>
      <c r="CC67" s="11"/>
      <c r="CD67" s="11"/>
      <c r="CE67" s="11"/>
      <c r="CF67" s="11"/>
      <c r="CG67" s="11"/>
      <c r="CH67" s="11"/>
      <c r="CI67" s="29"/>
      <c r="CJ67" s="28"/>
      <c r="CK67" s="11"/>
      <c r="CL67" s="11"/>
      <c r="CM67" s="11"/>
      <c r="CN67" s="29"/>
      <c r="CO67" s="28"/>
      <c r="CP67" s="11"/>
      <c r="CQ67" s="11"/>
      <c r="CR67" s="11"/>
      <c r="CS67" s="29"/>
      <c r="CT67" s="28"/>
      <c r="CU67" s="11"/>
      <c r="CV67" s="11"/>
      <c r="CW67" s="11"/>
      <c r="CX67" s="29"/>
      <c r="CY67" s="28"/>
      <c r="CZ67" s="30"/>
      <c r="DA67" s="30"/>
      <c r="DB67" s="30"/>
      <c r="DC67" s="30"/>
      <c r="DD67" s="30" t="str">
        <f t="shared" si="4"/>
        <v/>
      </c>
    </row>
    <row r="68" spans="1:108" ht="16.5">
      <c r="A68" s="26"/>
      <c r="B68" s="11"/>
      <c r="C68" s="11"/>
      <c r="D68" s="11"/>
      <c r="E68" s="11"/>
      <c r="F68" s="11"/>
      <c r="G68" s="11"/>
      <c r="H68" s="11"/>
      <c r="I68" s="11"/>
      <c r="J68" s="11"/>
      <c r="K68" s="11"/>
      <c r="L68" s="11"/>
      <c r="M68" s="27"/>
      <c r="N68" s="11"/>
      <c r="O68" s="11"/>
      <c r="P68" s="15"/>
      <c r="Q68" s="11"/>
      <c r="R68" s="11"/>
      <c r="S68" s="15"/>
      <c r="T68" s="15"/>
      <c r="U68" s="15"/>
      <c r="V68" s="11"/>
      <c r="W68" s="15"/>
      <c r="X68" s="11"/>
      <c r="Y68" s="11"/>
      <c r="Z68" s="15"/>
      <c r="AA68" s="11"/>
      <c r="AB68" s="11"/>
      <c r="AC68" s="15"/>
      <c r="AD68" s="15"/>
      <c r="AE68" s="15"/>
      <c r="AF68" s="11"/>
      <c r="AG68" s="15"/>
      <c r="AH68" s="11"/>
      <c r="AI68" s="11"/>
      <c r="AJ68" s="15"/>
      <c r="AK68" s="11"/>
      <c r="AL68" s="11"/>
      <c r="AM68" s="15"/>
      <c r="AN68" s="15"/>
      <c r="AO68" s="15"/>
      <c r="AP68" s="11"/>
      <c r="AQ68" s="15"/>
      <c r="AR68" s="11"/>
      <c r="AS68" s="11"/>
      <c r="AT68" s="15"/>
      <c r="AU68" s="11"/>
      <c r="AV68" s="11"/>
      <c r="AW68" s="15"/>
      <c r="AX68" s="15"/>
      <c r="AY68" s="15"/>
      <c r="AZ68" s="11"/>
      <c r="BA68" s="15"/>
      <c r="BB68" s="11"/>
      <c r="BC68" s="11"/>
      <c r="BD68" s="15"/>
      <c r="BE68" s="11"/>
      <c r="BF68" s="11"/>
      <c r="BG68" s="15"/>
      <c r="BH68" s="11"/>
      <c r="BI68" s="11"/>
      <c r="BJ68" s="11"/>
      <c r="BK68" s="11"/>
      <c r="BL68" s="28" t="str">
        <f t="shared" si="0"/>
        <v/>
      </c>
      <c r="BM68" s="28"/>
      <c r="BN68" s="11"/>
      <c r="BO68" s="29" t="str">
        <f t="shared" si="1"/>
        <v/>
      </c>
      <c r="BP68" s="11"/>
      <c r="BQ68" s="11"/>
      <c r="BR68" s="11"/>
      <c r="BS68" s="11"/>
      <c r="BT68" s="11"/>
      <c r="BU68" s="11"/>
      <c r="BV68" s="11"/>
      <c r="BW68" s="28" t="str">
        <f t="shared" si="2"/>
        <v/>
      </c>
      <c r="BX68" s="28"/>
      <c r="BY68" s="11"/>
      <c r="BZ68" s="29" t="str">
        <f t="shared" si="3"/>
        <v/>
      </c>
      <c r="CA68" s="11"/>
      <c r="CB68" s="11"/>
      <c r="CC68" s="11"/>
      <c r="CD68" s="11"/>
      <c r="CE68" s="11"/>
      <c r="CF68" s="11"/>
      <c r="CG68" s="11"/>
      <c r="CH68" s="11"/>
      <c r="CI68" s="29"/>
      <c r="CJ68" s="28"/>
      <c r="CK68" s="11"/>
      <c r="CL68" s="11"/>
      <c r="CM68" s="11"/>
      <c r="CN68" s="29"/>
      <c r="CO68" s="28"/>
      <c r="CP68" s="11"/>
      <c r="CQ68" s="11"/>
      <c r="CR68" s="11"/>
      <c r="CS68" s="29"/>
      <c r="CT68" s="28"/>
      <c r="CU68" s="11"/>
      <c r="CV68" s="11"/>
      <c r="CW68" s="11"/>
      <c r="CX68" s="29"/>
      <c r="CY68" s="28"/>
      <c r="CZ68" s="30"/>
      <c r="DA68" s="30"/>
      <c r="DB68" s="30"/>
      <c r="DC68" s="30"/>
      <c r="DD68" s="30" t="str">
        <f t="shared" si="4"/>
        <v/>
      </c>
    </row>
    <row r="69" spans="1:108" ht="16.5">
      <c r="A69" s="26"/>
      <c r="B69" s="11"/>
      <c r="C69" s="11"/>
      <c r="D69" s="11"/>
      <c r="E69" s="11"/>
      <c r="F69" s="11"/>
      <c r="G69" s="11"/>
      <c r="H69" s="11"/>
      <c r="I69" s="11"/>
      <c r="J69" s="11"/>
      <c r="K69" s="11"/>
      <c r="L69" s="11"/>
      <c r="M69" s="27"/>
      <c r="N69" s="11"/>
      <c r="O69" s="11"/>
      <c r="P69" s="15"/>
      <c r="Q69" s="11"/>
      <c r="R69" s="11"/>
      <c r="S69" s="15"/>
      <c r="T69" s="15"/>
      <c r="U69" s="15"/>
      <c r="V69" s="11"/>
      <c r="W69" s="15"/>
      <c r="X69" s="11"/>
      <c r="Y69" s="11"/>
      <c r="Z69" s="15"/>
      <c r="AA69" s="11"/>
      <c r="AB69" s="11"/>
      <c r="AC69" s="15"/>
      <c r="AD69" s="15"/>
      <c r="AE69" s="15"/>
      <c r="AF69" s="11"/>
      <c r="AG69" s="15"/>
      <c r="AH69" s="11"/>
      <c r="AI69" s="11"/>
      <c r="AJ69" s="15"/>
      <c r="AK69" s="11"/>
      <c r="AL69" s="11"/>
      <c r="AM69" s="15"/>
      <c r="AN69" s="15"/>
      <c r="AO69" s="15"/>
      <c r="AP69" s="11"/>
      <c r="AQ69" s="15"/>
      <c r="AR69" s="11"/>
      <c r="AS69" s="11"/>
      <c r="AT69" s="15"/>
      <c r="AU69" s="11"/>
      <c r="AV69" s="11"/>
      <c r="AW69" s="15"/>
      <c r="AX69" s="15"/>
      <c r="AY69" s="15"/>
      <c r="AZ69" s="11"/>
      <c r="BA69" s="15"/>
      <c r="BB69" s="11"/>
      <c r="BC69" s="11"/>
      <c r="BD69" s="15"/>
      <c r="BE69" s="11"/>
      <c r="BF69" s="11"/>
      <c r="BG69" s="15"/>
      <c r="BH69" s="11"/>
      <c r="BI69" s="11"/>
      <c r="BJ69" s="11"/>
      <c r="BK69" s="11"/>
      <c r="BL69" s="28" t="str">
        <f t="shared" si="0"/>
        <v/>
      </c>
      <c r="BM69" s="28"/>
      <c r="BN69" s="11"/>
      <c r="BO69" s="29" t="str">
        <f t="shared" si="1"/>
        <v/>
      </c>
      <c r="BP69" s="11"/>
      <c r="BQ69" s="11"/>
      <c r="BR69" s="11"/>
      <c r="BS69" s="11"/>
      <c r="BT69" s="11"/>
      <c r="BU69" s="11"/>
      <c r="BV69" s="11"/>
      <c r="BW69" s="28" t="str">
        <f t="shared" si="2"/>
        <v/>
      </c>
      <c r="BX69" s="28"/>
      <c r="BY69" s="11"/>
      <c r="BZ69" s="29" t="str">
        <f t="shared" si="3"/>
        <v/>
      </c>
      <c r="CA69" s="11"/>
      <c r="CB69" s="11"/>
      <c r="CC69" s="11"/>
      <c r="CD69" s="11"/>
      <c r="CE69" s="11"/>
      <c r="CF69" s="11"/>
      <c r="CG69" s="11"/>
      <c r="CH69" s="11"/>
      <c r="CI69" s="29"/>
      <c r="CJ69" s="28"/>
      <c r="CK69" s="11"/>
      <c r="CL69" s="11"/>
      <c r="CM69" s="11"/>
      <c r="CN69" s="29"/>
      <c r="CO69" s="28"/>
      <c r="CP69" s="11"/>
      <c r="CQ69" s="11"/>
      <c r="CR69" s="11"/>
      <c r="CS69" s="29"/>
      <c r="CT69" s="28"/>
      <c r="CU69" s="11"/>
      <c r="CV69" s="11"/>
      <c r="CW69" s="11"/>
      <c r="CX69" s="29"/>
      <c r="CY69" s="28"/>
      <c r="CZ69" s="30"/>
      <c r="DA69" s="30"/>
      <c r="DB69" s="30"/>
      <c r="DC69" s="30"/>
      <c r="DD69" s="30" t="str">
        <f t="shared" si="4"/>
        <v/>
      </c>
    </row>
    <row r="70" spans="1:108" ht="16.5">
      <c r="A70" s="26"/>
      <c r="B70" s="11"/>
      <c r="C70" s="11"/>
      <c r="D70" s="11"/>
      <c r="E70" s="11"/>
      <c r="F70" s="11"/>
      <c r="G70" s="11"/>
      <c r="H70" s="11"/>
      <c r="I70" s="11"/>
      <c r="J70" s="11"/>
      <c r="K70" s="11"/>
      <c r="L70" s="11"/>
      <c r="M70" s="27"/>
      <c r="N70" s="11"/>
      <c r="O70" s="11"/>
      <c r="P70" s="15"/>
      <c r="Q70" s="11"/>
      <c r="R70" s="11"/>
      <c r="S70" s="15"/>
      <c r="T70" s="15"/>
      <c r="U70" s="15"/>
      <c r="V70" s="11"/>
      <c r="W70" s="15"/>
      <c r="X70" s="11"/>
      <c r="Y70" s="11"/>
      <c r="Z70" s="15"/>
      <c r="AA70" s="11"/>
      <c r="AB70" s="11"/>
      <c r="AC70" s="15"/>
      <c r="AD70" s="15"/>
      <c r="AE70" s="15"/>
      <c r="AF70" s="11"/>
      <c r="AG70" s="15"/>
      <c r="AH70" s="11"/>
      <c r="AI70" s="11"/>
      <c r="AJ70" s="15"/>
      <c r="AK70" s="11"/>
      <c r="AL70" s="11"/>
      <c r="AM70" s="15"/>
      <c r="AN70" s="15"/>
      <c r="AO70" s="15"/>
      <c r="AP70" s="11"/>
      <c r="AQ70" s="15"/>
      <c r="AR70" s="11"/>
      <c r="AS70" s="11"/>
      <c r="AT70" s="15"/>
      <c r="AU70" s="11"/>
      <c r="AV70" s="11"/>
      <c r="AW70" s="15"/>
      <c r="AX70" s="15"/>
      <c r="AY70" s="15"/>
      <c r="AZ70" s="11"/>
      <c r="BA70" s="15"/>
      <c r="BB70" s="11"/>
      <c r="BC70" s="11"/>
      <c r="BD70" s="15"/>
      <c r="BE70" s="11"/>
      <c r="BF70" s="11"/>
      <c r="BG70" s="15"/>
      <c r="BH70" s="11"/>
      <c r="BI70" s="11"/>
      <c r="BJ70" s="11"/>
      <c r="BK70" s="11"/>
      <c r="BL70" s="28" t="str">
        <f t="shared" si="0"/>
        <v/>
      </c>
      <c r="BM70" s="28"/>
      <c r="BN70" s="11"/>
      <c r="BO70" s="29" t="str">
        <f t="shared" si="1"/>
        <v/>
      </c>
      <c r="BP70" s="11"/>
      <c r="BQ70" s="11"/>
      <c r="BR70" s="11"/>
      <c r="BS70" s="11"/>
      <c r="BT70" s="11"/>
      <c r="BU70" s="11"/>
      <c r="BV70" s="11"/>
      <c r="BW70" s="28" t="str">
        <f t="shared" si="2"/>
        <v/>
      </c>
      <c r="BX70" s="28"/>
      <c r="BY70" s="11"/>
      <c r="BZ70" s="29" t="str">
        <f t="shared" si="3"/>
        <v/>
      </c>
      <c r="CA70" s="11"/>
      <c r="CB70" s="11"/>
      <c r="CC70" s="11"/>
      <c r="CD70" s="11"/>
      <c r="CE70" s="11"/>
      <c r="CF70" s="11"/>
      <c r="CG70" s="11"/>
      <c r="CH70" s="11"/>
      <c r="CI70" s="29"/>
      <c r="CJ70" s="28"/>
      <c r="CK70" s="11"/>
      <c r="CL70" s="11"/>
      <c r="CM70" s="11"/>
      <c r="CN70" s="29"/>
      <c r="CO70" s="28"/>
      <c r="CP70" s="11"/>
      <c r="CQ70" s="11"/>
      <c r="CR70" s="11"/>
      <c r="CS70" s="29"/>
      <c r="CT70" s="28"/>
      <c r="CU70" s="11"/>
      <c r="CV70" s="11"/>
      <c r="CW70" s="11"/>
      <c r="CX70" s="29"/>
      <c r="CY70" s="28"/>
      <c r="CZ70" s="30"/>
      <c r="DA70" s="30"/>
      <c r="DB70" s="30"/>
      <c r="DC70" s="30"/>
      <c r="DD70" s="30" t="str">
        <f t="shared" si="4"/>
        <v/>
      </c>
    </row>
    <row r="71" spans="1:108" ht="16.5">
      <c r="A71" s="26"/>
      <c r="B71" s="11"/>
      <c r="C71" s="11"/>
      <c r="D71" s="11"/>
      <c r="E71" s="11"/>
      <c r="F71" s="11"/>
      <c r="G71" s="11"/>
      <c r="H71" s="11"/>
      <c r="I71" s="11"/>
      <c r="J71" s="11"/>
      <c r="K71" s="11"/>
      <c r="L71" s="11"/>
      <c r="M71" s="27"/>
      <c r="N71" s="11"/>
      <c r="O71" s="11"/>
      <c r="P71" s="15"/>
      <c r="Q71" s="11"/>
      <c r="R71" s="11"/>
      <c r="S71" s="15"/>
      <c r="T71" s="15"/>
      <c r="U71" s="15"/>
      <c r="V71" s="11"/>
      <c r="W71" s="15"/>
      <c r="X71" s="11"/>
      <c r="Y71" s="11"/>
      <c r="Z71" s="15"/>
      <c r="AA71" s="11"/>
      <c r="AB71" s="11"/>
      <c r="AC71" s="15"/>
      <c r="AD71" s="15"/>
      <c r="AE71" s="15"/>
      <c r="AF71" s="11"/>
      <c r="AG71" s="15"/>
      <c r="AH71" s="11"/>
      <c r="AI71" s="11"/>
      <c r="AJ71" s="15"/>
      <c r="AK71" s="11"/>
      <c r="AL71" s="11"/>
      <c r="AM71" s="15"/>
      <c r="AN71" s="15"/>
      <c r="AO71" s="15"/>
      <c r="AP71" s="11"/>
      <c r="AQ71" s="15"/>
      <c r="AR71" s="11"/>
      <c r="AS71" s="11"/>
      <c r="AT71" s="15"/>
      <c r="AU71" s="11"/>
      <c r="AV71" s="11"/>
      <c r="AW71" s="15"/>
      <c r="AX71" s="15"/>
      <c r="AY71" s="15"/>
      <c r="AZ71" s="11"/>
      <c r="BA71" s="15"/>
      <c r="BB71" s="11"/>
      <c r="BC71" s="11"/>
      <c r="BD71" s="15"/>
      <c r="BE71" s="11"/>
      <c r="BF71" s="11"/>
      <c r="BG71" s="15"/>
      <c r="BH71" s="11"/>
      <c r="BI71" s="11"/>
      <c r="BJ71" s="11"/>
      <c r="BK71" s="11"/>
      <c r="BL71" s="28" t="str">
        <f t="shared" si="0"/>
        <v/>
      </c>
      <c r="BM71" s="28"/>
      <c r="BN71" s="11"/>
      <c r="BO71" s="29" t="str">
        <f t="shared" si="1"/>
        <v/>
      </c>
      <c r="BP71" s="11"/>
      <c r="BQ71" s="11"/>
      <c r="BR71" s="11"/>
      <c r="BS71" s="11"/>
      <c r="BT71" s="11"/>
      <c r="BU71" s="11"/>
      <c r="BV71" s="11"/>
      <c r="BW71" s="28" t="str">
        <f t="shared" si="2"/>
        <v/>
      </c>
      <c r="BX71" s="28"/>
      <c r="BY71" s="11"/>
      <c r="BZ71" s="29" t="str">
        <f t="shared" si="3"/>
        <v/>
      </c>
      <c r="CA71" s="11"/>
      <c r="CB71" s="11"/>
      <c r="CC71" s="11"/>
      <c r="CD71" s="11"/>
      <c r="CE71" s="11"/>
      <c r="CF71" s="11"/>
      <c r="CG71" s="11"/>
      <c r="CH71" s="11"/>
      <c r="CI71" s="29"/>
      <c r="CJ71" s="28"/>
      <c r="CK71" s="11"/>
      <c r="CL71" s="11"/>
      <c r="CM71" s="11"/>
      <c r="CN71" s="29"/>
      <c r="CO71" s="28"/>
      <c r="CP71" s="11"/>
      <c r="CQ71" s="11"/>
      <c r="CR71" s="11"/>
      <c r="CS71" s="29"/>
      <c r="CT71" s="28"/>
      <c r="CU71" s="11"/>
      <c r="CV71" s="11"/>
      <c r="CW71" s="11"/>
      <c r="CX71" s="29"/>
      <c r="CY71" s="28"/>
      <c r="CZ71" s="30"/>
      <c r="DA71" s="30"/>
      <c r="DB71" s="30"/>
      <c r="DC71" s="30"/>
      <c r="DD71" s="30" t="str">
        <f t="shared" si="4"/>
        <v/>
      </c>
    </row>
    <row r="72" spans="1:108" ht="16.5">
      <c r="A72" s="26"/>
      <c r="B72" s="11"/>
      <c r="C72" s="11"/>
      <c r="D72" s="11"/>
      <c r="E72" s="11"/>
      <c r="F72" s="11"/>
      <c r="G72" s="11"/>
      <c r="H72" s="11"/>
      <c r="I72" s="11"/>
      <c r="J72" s="11"/>
      <c r="K72" s="11"/>
      <c r="L72" s="11"/>
      <c r="M72" s="27"/>
      <c r="N72" s="11"/>
      <c r="O72" s="11"/>
      <c r="P72" s="15"/>
      <c r="Q72" s="11"/>
      <c r="R72" s="11"/>
      <c r="S72" s="15"/>
      <c r="T72" s="15"/>
      <c r="U72" s="15"/>
      <c r="V72" s="11"/>
      <c r="W72" s="15"/>
      <c r="X72" s="11"/>
      <c r="Y72" s="11"/>
      <c r="Z72" s="15"/>
      <c r="AA72" s="11"/>
      <c r="AB72" s="11"/>
      <c r="AC72" s="15"/>
      <c r="AD72" s="15"/>
      <c r="AE72" s="15"/>
      <c r="AF72" s="11"/>
      <c r="AG72" s="15"/>
      <c r="AH72" s="11"/>
      <c r="AI72" s="11"/>
      <c r="AJ72" s="15"/>
      <c r="AK72" s="11"/>
      <c r="AL72" s="11"/>
      <c r="AM72" s="15"/>
      <c r="AN72" s="15"/>
      <c r="AO72" s="15"/>
      <c r="AP72" s="11"/>
      <c r="AQ72" s="15"/>
      <c r="AR72" s="11"/>
      <c r="AS72" s="11"/>
      <c r="AT72" s="15"/>
      <c r="AU72" s="11"/>
      <c r="AV72" s="11"/>
      <c r="AW72" s="15"/>
      <c r="AX72" s="15"/>
      <c r="AY72" s="15"/>
      <c r="AZ72" s="11"/>
      <c r="BA72" s="15"/>
      <c r="BB72" s="11"/>
      <c r="BC72" s="11"/>
      <c r="BD72" s="15"/>
      <c r="BE72" s="11"/>
      <c r="BF72" s="11"/>
      <c r="BG72" s="15"/>
      <c r="BH72" s="11"/>
      <c r="BI72" s="11"/>
      <c r="BJ72" s="11"/>
      <c r="BK72" s="11"/>
      <c r="BL72" s="28" t="str">
        <f t="shared" si="0"/>
        <v/>
      </c>
      <c r="BM72" s="28"/>
      <c r="BN72" s="11"/>
      <c r="BO72" s="29" t="str">
        <f t="shared" si="1"/>
        <v/>
      </c>
      <c r="BP72" s="11"/>
      <c r="BQ72" s="11"/>
      <c r="BR72" s="11"/>
      <c r="BS72" s="11"/>
      <c r="BT72" s="11"/>
      <c r="BU72" s="11"/>
      <c r="BV72" s="11"/>
      <c r="BW72" s="28" t="str">
        <f t="shared" si="2"/>
        <v/>
      </c>
      <c r="BX72" s="28"/>
      <c r="BY72" s="11"/>
      <c r="BZ72" s="29" t="str">
        <f t="shared" si="3"/>
        <v/>
      </c>
      <c r="CA72" s="11"/>
      <c r="CB72" s="11"/>
      <c r="CC72" s="11"/>
      <c r="CD72" s="11"/>
      <c r="CE72" s="11"/>
      <c r="CF72" s="11"/>
      <c r="CG72" s="11"/>
      <c r="CH72" s="11"/>
      <c r="CI72" s="29"/>
      <c r="CJ72" s="28"/>
      <c r="CK72" s="11"/>
      <c r="CL72" s="11"/>
      <c r="CM72" s="11"/>
      <c r="CN72" s="29"/>
      <c r="CO72" s="28"/>
      <c r="CP72" s="11"/>
      <c r="CQ72" s="11"/>
      <c r="CR72" s="11"/>
      <c r="CS72" s="29"/>
      <c r="CT72" s="28"/>
      <c r="CU72" s="11"/>
      <c r="CV72" s="11"/>
      <c r="CW72" s="11"/>
      <c r="CX72" s="29"/>
      <c r="CY72" s="28"/>
      <c r="CZ72" s="30"/>
      <c r="DA72" s="30"/>
      <c r="DB72" s="30"/>
      <c r="DC72" s="30"/>
      <c r="DD72" s="30" t="str">
        <f t="shared" si="4"/>
        <v/>
      </c>
    </row>
    <row r="73" spans="1:108" ht="16.5">
      <c r="A73" s="26"/>
      <c r="B73" s="11"/>
      <c r="C73" s="11"/>
      <c r="D73" s="11"/>
      <c r="E73" s="11"/>
      <c r="F73" s="11"/>
      <c r="G73" s="11"/>
      <c r="H73" s="11"/>
      <c r="I73" s="11"/>
      <c r="J73" s="11"/>
      <c r="K73" s="11"/>
      <c r="L73" s="11"/>
      <c r="M73" s="27"/>
      <c r="N73" s="11"/>
      <c r="O73" s="11"/>
      <c r="P73" s="15"/>
      <c r="Q73" s="11"/>
      <c r="R73" s="11"/>
      <c r="S73" s="15"/>
      <c r="T73" s="15"/>
      <c r="U73" s="15"/>
      <c r="V73" s="11"/>
      <c r="W73" s="15"/>
      <c r="X73" s="11"/>
      <c r="Y73" s="11"/>
      <c r="Z73" s="15"/>
      <c r="AA73" s="11"/>
      <c r="AB73" s="11"/>
      <c r="AC73" s="15"/>
      <c r="AD73" s="15"/>
      <c r="AE73" s="15"/>
      <c r="AF73" s="11"/>
      <c r="AG73" s="15"/>
      <c r="AH73" s="11"/>
      <c r="AI73" s="11"/>
      <c r="AJ73" s="15"/>
      <c r="AK73" s="11"/>
      <c r="AL73" s="11"/>
      <c r="AM73" s="15"/>
      <c r="AN73" s="15"/>
      <c r="AO73" s="15"/>
      <c r="AP73" s="11"/>
      <c r="AQ73" s="15"/>
      <c r="AR73" s="11"/>
      <c r="AS73" s="11"/>
      <c r="AT73" s="15"/>
      <c r="AU73" s="11"/>
      <c r="AV73" s="11"/>
      <c r="AW73" s="15"/>
      <c r="AX73" s="15"/>
      <c r="AY73" s="15"/>
      <c r="AZ73" s="11"/>
      <c r="BA73" s="15"/>
      <c r="BB73" s="11"/>
      <c r="BC73" s="11"/>
      <c r="BD73" s="15"/>
      <c r="BE73" s="11"/>
      <c r="BF73" s="11"/>
      <c r="BG73" s="15"/>
      <c r="BH73" s="11"/>
      <c r="BI73" s="11"/>
      <c r="BJ73" s="11"/>
      <c r="BK73" s="11"/>
      <c r="BL73" s="28" t="str">
        <f t="shared" si="0"/>
        <v/>
      </c>
      <c r="BM73" s="28"/>
      <c r="BN73" s="11"/>
      <c r="BO73" s="29" t="str">
        <f t="shared" si="1"/>
        <v/>
      </c>
      <c r="BP73" s="11"/>
      <c r="BQ73" s="11"/>
      <c r="BR73" s="11"/>
      <c r="BS73" s="11"/>
      <c r="BT73" s="11"/>
      <c r="BU73" s="11"/>
      <c r="BV73" s="11"/>
      <c r="BW73" s="28" t="str">
        <f t="shared" si="2"/>
        <v/>
      </c>
      <c r="BX73" s="28"/>
      <c r="BY73" s="11"/>
      <c r="BZ73" s="29" t="str">
        <f t="shared" si="3"/>
        <v/>
      </c>
      <c r="CA73" s="11"/>
      <c r="CB73" s="11"/>
      <c r="CC73" s="11"/>
      <c r="CD73" s="11"/>
      <c r="CE73" s="11"/>
      <c r="CF73" s="11"/>
      <c r="CG73" s="11"/>
      <c r="CH73" s="11"/>
      <c r="CI73" s="29"/>
      <c r="CJ73" s="28"/>
      <c r="CK73" s="11"/>
      <c r="CL73" s="11"/>
      <c r="CM73" s="11"/>
      <c r="CN73" s="29"/>
      <c r="CO73" s="28"/>
      <c r="CP73" s="11"/>
      <c r="CQ73" s="11"/>
      <c r="CR73" s="11"/>
      <c r="CS73" s="29"/>
      <c r="CT73" s="28"/>
      <c r="CU73" s="11"/>
      <c r="CV73" s="11"/>
      <c r="CW73" s="11"/>
      <c r="CX73" s="29"/>
      <c r="CY73" s="28"/>
      <c r="CZ73" s="30"/>
      <c r="DA73" s="30"/>
      <c r="DB73" s="30"/>
      <c r="DC73" s="30"/>
      <c r="DD73" s="30" t="str">
        <f t="shared" si="4"/>
        <v/>
      </c>
    </row>
    <row r="74" spans="1:108" ht="16.5">
      <c r="A74" s="26"/>
      <c r="B74" s="11"/>
      <c r="C74" s="11"/>
      <c r="D74" s="11"/>
      <c r="E74" s="11"/>
      <c r="F74" s="11"/>
      <c r="G74" s="11"/>
      <c r="H74" s="11"/>
      <c r="I74" s="11"/>
      <c r="J74" s="11"/>
      <c r="K74" s="11"/>
      <c r="L74" s="11"/>
      <c r="M74" s="27"/>
      <c r="N74" s="11"/>
      <c r="O74" s="11"/>
      <c r="P74" s="15"/>
      <c r="Q74" s="11"/>
      <c r="R74" s="11"/>
      <c r="S74" s="15"/>
      <c r="T74" s="15"/>
      <c r="U74" s="15"/>
      <c r="V74" s="11"/>
      <c r="W74" s="15"/>
      <c r="X74" s="11"/>
      <c r="Y74" s="11"/>
      <c r="Z74" s="15"/>
      <c r="AA74" s="11"/>
      <c r="AB74" s="11"/>
      <c r="AC74" s="15"/>
      <c r="AD74" s="15"/>
      <c r="AE74" s="15"/>
      <c r="AF74" s="11"/>
      <c r="AG74" s="15"/>
      <c r="AH74" s="11"/>
      <c r="AI74" s="11"/>
      <c r="AJ74" s="15"/>
      <c r="AK74" s="11"/>
      <c r="AL74" s="11"/>
      <c r="AM74" s="15"/>
      <c r="AN74" s="15"/>
      <c r="AO74" s="15"/>
      <c r="AP74" s="11"/>
      <c r="AQ74" s="15"/>
      <c r="AR74" s="11"/>
      <c r="AS74" s="11"/>
      <c r="AT74" s="15"/>
      <c r="AU74" s="11"/>
      <c r="AV74" s="11"/>
      <c r="AW74" s="15"/>
      <c r="AX74" s="15"/>
      <c r="AY74" s="15"/>
      <c r="AZ74" s="11"/>
      <c r="BA74" s="15"/>
      <c r="BB74" s="11"/>
      <c r="BC74" s="11"/>
      <c r="BD74" s="15"/>
      <c r="BE74" s="11"/>
      <c r="BF74" s="11"/>
      <c r="BG74" s="15"/>
      <c r="BH74" s="11"/>
      <c r="BI74" s="11"/>
      <c r="BJ74" s="11"/>
      <c r="BK74" s="11"/>
      <c r="BL74" s="28" t="str">
        <f t="shared" si="0"/>
        <v/>
      </c>
      <c r="BM74" s="28"/>
      <c r="BN74" s="11"/>
      <c r="BO74" s="29" t="str">
        <f t="shared" si="1"/>
        <v/>
      </c>
      <c r="BP74" s="11"/>
      <c r="BQ74" s="11"/>
      <c r="BR74" s="11"/>
      <c r="BS74" s="11"/>
      <c r="BT74" s="11"/>
      <c r="BU74" s="11"/>
      <c r="BV74" s="11"/>
      <c r="BW74" s="28" t="str">
        <f t="shared" si="2"/>
        <v/>
      </c>
      <c r="BX74" s="28"/>
      <c r="BY74" s="11"/>
      <c r="BZ74" s="29" t="str">
        <f t="shared" si="3"/>
        <v/>
      </c>
      <c r="CA74" s="11"/>
      <c r="CB74" s="11"/>
      <c r="CC74" s="11"/>
      <c r="CD74" s="11"/>
      <c r="CE74" s="11"/>
      <c r="CF74" s="11"/>
      <c r="CG74" s="11"/>
      <c r="CH74" s="11"/>
      <c r="CI74" s="29"/>
      <c r="CJ74" s="28"/>
      <c r="CK74" s="11"/>
      <c r="CL74" s="11"/>
      <c r="CM74" s="11"/>
      <c r="CN74" s="29"/>
      <c r="CO74" s="28"/>
      <c r="CP74" s="11"/>
      <c r="CQ74" s="11"/>
      <c r="CR74" s="11"/>
      <c r="CS74" s="29"/>
      <c r="CT74" s="28"/>
      <c r="CU74" s="11"/>
      <c r="CV74" s="11"/>
      <c r="CW74" s="11"/>
      <c r="CX74" s="29"/>
      <c r="CY74" s="28"/>
      <c r="CZ74" s="30"/>
      <c r="DA74" s="30"/>
      <c r="DB74" s="30"/>
      <c r="DC74" s="30"/>
      <c r="DD74" s="30" t="str">
        <f t="shared" si="4"/>
        <v/>
      </c>
    </row>
    <row r="75" spans="1:108" ht="16.5">
      <c r="A75" s="26"/>
      <c r="B75" s="11"/>
      <c r="C75" s="11"/>
      <c r="D75" s="11"/>
      <c r="E75" s="11"/>
      <c r="F75" s="11"/>
      <c r="G75" s="11"/>
      <c r="H75" s="11"/>
      <c r="I75" s="11"/>
      <c r="J75" s="11"/>
      <c r="K75" s="11"/>
      <c r="L75" s="11"/>
      <c r="M75" s="27"/>
      <c r="N75" s="11"/>
      <c r="O75" s="11"/>
      <c r="P75" s="15"/>
      <c r="Q75" s="11"/>
      <c r="R75" s="11"/>
      <c r="S75" s="15"/>
      <c r="T75" s="15"/>
      <c r="U75" s="15"/>
      <c r="V75" s="11"/>
      <c r="W75" s="15"/>
      <c r="X75" s="11"/>
      <c r="Y75" s="11"/>
      <c r="Z75" s="15"/>
      <c r="AA75" s="11"/>
      <c r="AB75" s="11"/>
      <c r="AC75" s="15"/>
      <c r="AD75" s="15"/>
      <c r="AE75" s="15"/>
      <c r="AF75" s="11"/>
      <c r="AG75" s="15"/>
      <c r="AH75" s="11"/>
      <c r="AI75" s="11"/>
      <c r="AJ75" s="15"/>
      <c r="AK75" s="11"/>
      <c r="AL75" s="11"/>
      <c r="AM75" s="15"/>
      <c r="AN75" s="15"/>
      <c r="AO75" s="15"/>
      <c r="AP75" s="11"/>
      <c r="AQ75" s="15"/>
      <c r="AR75" s="11"/>
      <c r="AS75" s="11"/>
      <c r="AT75" s="15"/>
      <c r="AU75" s="11"/>
      <c r="AV75" s="11"/>
      <c r="AW75" s="15"/>
      <c r="AX75" s="15"/>
      <c r="AY75" s="15"/>
      <c r="AZ75" s="11"/>
      <c r="BA75" s="15"/>
      <c r="BB75" s="11"/>
      <c r="BC75" s="11"/>
      <c r="BD75" s="15"/>
      <c r="BE75" s="11"/>
      <c r="BF75" s="11"/>
      <c r="BG75" s="15"/>
      <c r="BH75" s="11"/>
      <c r="BI75" s="11"/>
      <c r="BJ75" s="11"/>
      <c r="BK75" s="11"/>
      <c r="BL75" s="28" t="str">
        <f t="shared" si="0"/>
        <v/>
      </c>
      <c r="BM75" s="28"/>
      <c r="BN75" s="11"/>
      <c r="BO75" s="29" t="str">
        <f t="shared" si="1"/>
        <v/>
      </c>
      <c r="BP75" s="11"/>
      <c r="BQ75" s="11"/>
      <c r="BR75" s="11"/>
      <c r="BS75" s="11"/>
      <c r="BT75" s="11"/>
      <c r="BU75" s="11"/>
      <c r="BV75" s="11"/>
      <c r="BW75" s="28" t="str">
        <f t="shared" si="2"/>
        <v/>
      </c>
      <c r="BX75" s="28"/>
      <c r="BY75" s="11"/>
      <c r="BZ75" s="29" t="str">
        <f t="shared" si="3"/>
        <v/>
      </c>
      <c r="CA75" s="11"/>
      <c r="CB75" s="11"/>
      <c r="CC75" s="11"/>
      <c r="CD75" s="11"/>
      <c r="CE75" s="11"/>
      <c r="CF75" s="11"/>
      <c r="CG75" s="11"/>
      <c r="CH75" s="11"/>
      <c r="CI75" s="29"/>
      <c r="CJ75" s="28"/>
      <c r="CK75" s="11"/>
      <c r="CL75" s="11"/>
      <c r="CM75" s="11"/>
      <c r="CN75" s="29"/>
      <c r="CO75" s="28"/>
      <c r="CP75" s="11"/>
      <c r="CQ75" s="11"/>
      <c r="CR75" s="11"/>
      <c r="CS75" s="29"/>
      <c r="CT75" s="28"/>
      <c r="CU75" s="11"/>
      <c r="CV75" s="11"/>
      <c r="CW75" s="11"/>
      <c r="CX75" s="29"/>
      <c r="CY75" s="28"/>
      <c r="CZ75" s="30"/>
      <c r="DA75" s="30"/>
      <c r="DB75" s="30"/>
      <c r="DC75" s="30"/>
      <c r="DD75" s="30" t="str">
        <f t="shared" si="4"/>
        <v/>
      </c>
    </row>
    <row r="76" spans="1:108" ht="16.5">
      <c r="A76" s="26"/>
      <c r="B76" s="11"/>
      <c r="C76" s="11"/>
      <c r="D76" s="11"/>
      <c r="E76" s="11"/>
      <c r="F76" s="11"/>
      <c r="G76" s="11"/>
      <c r="H76" s="11"/>
      <c r="I76" s="11"/>
      <c r="J76" s="11"/>
      <c r="K76" s="11"/>
      <c r="L76" s="11"/>
      <c r="M76" s="27"/>
      <c r="N76" s="11"/>
      <c r="O76" s="11"/>
      <c r="P76" s="15"/>
      <c r="Q76" s="11"/>
      <c r="R76" s="11"/>
      <c r="S76" s="15"/>
      <c r="T76" s="15"/>
      <c r="U76" s="15"/>
      <c r="V76" s="11"/>
      <c r="W76" s="15"/>
      <c r="X76" s="11"/>
      <c r="Y76" s="11"/>
      <c r="Z76" s="15"/>
      <c r="AA76" s="11"/>
      <c r="AB76" s="11"/>
      <c r="AC76" s="15"/>
      <c r="AD76" s="15"/>
      <c r="AE76" s="15"/>
      <c r="AF76" s="11"/>
      <c r="AG76" s="15"/>
      <c r="AH76" s="11"/>
      <c r="AI76" s="11"/>
      <c r="AJ76" s="15"/>
      <c r="AK76" s="11"/>
      <c r="AL76" s="11"/>
      <c r="AM76" s="15"/>
      <c r="AN76" s="15"/>
      <c r="AO76" s="15"/>
      <c r="AP76" s="11"/>
      <c r="AQ76" s="15"/>
      <c r="AR76" s="11"/>
      <c r="AS76" s="11"/>
      <c r="AT76" s="15"/>
      <c r="AU76" s="11"/>
      <c r="AV76" s="11"/>
      <c r="AW76" s="15"/>
      <c r="AX76" s="15"/>
      <c r="AY76" s="15"/>
      <c r="AZ76" s="11"/>
      <c r="BA76" s="15"/>
      <c r="BB76" s="11"/>
      <c r="BC76" s="11"/>
      <c r="BD76" s="15"/>
      <c r="BE76" s="11"/>
      <c r="BF76" s="11"/>
      <c r="BG76" s="15"/>
      <c r="BH76" s="11"/>
      <c r="BI76" s="11"/>
      <c r="BJ76" s="11"/>
      <c r="BK76" s="11"/>
      <c r="BL76" s="28" t="str">
        <f t="shared" si="0"/>
        <v/>
      </c>
      <c r="BM76" s="28"/>
      <c r="BN76" s="11"/>
      <c r="BO76" s="29" t="str">
        <f t="shared" si="1"/>
        <v/>
      </c>
      <c r="BP76" s="11"/>
      <c r="BQ76" s="11"/>
      <c r="BR76" s="11"/>
      <c r="BS76" s="11"/>
      <c r="BT76" s="11"/>
      <c r="BU76" s="11"/>
      <c r="BV76" s="11"/>
      <c r="BW76" s="28" t="str">
        <f t="shared" si="2"/>
        <v/>
      </c>
      <c r="BX76" s="28"/>
      <c r="BY76" s="11"/>
      <c r="BZ76" s="29" t="str">
        <f t="shared" si="3"/>
        <v/>
      </c>
      <c r="CA76" s="11"/>
      <c r="CB76" s="11"/>
      <c r="CC76" s="11"/>
      <c r="CD76" s="11"/>
      <c r="CE76" s="11"/>
      <c r="CF76" s="11"/>
      <c r="CG76" s="11"/>
      <c r="CH76" s="11"/>
      <c r="CI76" s="29"/>
      <c r="CJ76" s="28"/>
      <c r="CK76" s="11"/>
      <c r="CL76" s="11"/>
      <c r="CM76" s="11"/>
      <c r="CN76" s="29"/>
      <c r="CO76" s="28"/>
      <c r="CP76" s="11"/>
      <c r="CQ76" s="11"/>
      <c r="CR76" s="11"/>
      <c r="CS76" s="29"/>
      <c r="CT76" s="28"/>
      <c r="CU76" s="11"/>
      <c r="CV76" s="11"/>
      <c r="CW76" s="11"/>
      <c r="CX76" s="29"/>
      <c r="CY76" s="28"/>
      <c r="CZ76" s="30"/>
      <c r="DA76" s="30"/>
      <c r="DB76" s="30"/>
      <c r="DC76" s="30"/>
      <c r="DD76" s="30" t="str">
        <f t="shared" si="4"/>
        <v/>
      </c>
    </row>
    <row r="77" spans="1:108" ht="16.5">
      <c r="A77" s="26"/>
      <c r="B77" s="11"/>
      <c r="C77" s="11"/>
      <c r="D77" s="11"/>
      <c r="E77" s="11"/>
      <c r="F77" s="11"/>
      <c r="G77" s="11"/>
      <c r="H77" s="11"/>
      <c r="I77" s="11"/>
      <c r="J77" s="11"/>
      <c r="K77" s="11"/>
      <c r="L77" s="11"/>
      <c r="M77" s="27"/>
      <c r="N77" s="11"/>
      <c r="O77" s="11"/>
      <c r="P77" s="15"/>
      <c r="Q77" s="11"/>
      <c r="R77" s="11"/>
      <c r="S77" s="15"/>
      <c r="T77" s="15"/>
      <c r="U77" s="15"/>
      <c r="V77" s="11"/>
      <c r="W77" s="15"/>
      <c r="X77" s="11"/>
      <c r="Y77" s="11"/>
      <c r="Z77" s="15"/>
      <c r="AA77" s="11"/>
      <c r="AB77" s="11"/>
      <c r="AC77" s="15"/>
      <c r="AD77" s="15"/>
      <c r="AE77" s="15"/>
      <c r="AF77" s="11"/>
      <c r="AG77" s="15"/>
      <c r="AH77" s="11"/>
      <c r="AI77" s="11"/>
      <c r="AJ77" s="15"/>
      <c r="AK77" s="11"/>
      <c r="AL77" s="11"/>
      <c r="AM77" s="15"/>
      <c r="AN77" s="15"/>
      <c r="AO77" s="15"/>
      <c r="AP77" s="11"/>
      <c r="AQ77" s="15"/>
      <c r="AR77" s="11"/>
      <c r="AS77" s="11"/>
      <c r="AT77" s="15"/>
      <c r="AU77" s="11"/>
      <c r="AV77" s="11"/>
      <c r="AW77" s="15"/>
      <c r="AX77" s="15"/>
      <c r="AY77" s="15"/>
      <c r="AZ77" s="11"/>
      <c r="BA77" s="15"/>
      <c r="BB77" s="11"/>
      <c r="BC77" s="11"/>
      <c r="BD77" s="15"/>
      <c r="BE77" s="11"/>
      <c r="BF77" s="11"/>
      <c r="BG77" s="15"/>
      <c r="BH77" s="11"/>
      <c r="BI77" s="11"/>
      <c r="BJ77" s="11"/>
      <c r="BK77" s="11"/>
      <c r="BL77" s="28" t="str">
        <f t="shared" si="0"/>
        <v/>
      </c>
      <c r="BM77" s="28"/>
      <c r="BN77" s="11"/>
      <c r="BO77" s="29" t="str">
        <f t="shared" si="1"/>
        <v/>
      </c>
      <c r="BP77" s="11"/>
      <c r="BQ77" s="11"/>
      <c r="BR77" s="11"/>
      <c r="BS77" s="11"/>
      <c r="BT77" s="11"/>
      <c r="BU77" s="11"/>
      <c r="BV77" s="11"/>
      <c r="BW77" s="28" t="str">
        <f t="shared" si="2"/>
        <v/>
      </c>
      <c r="BX77" s="28"/>
      <c r="BY77" s="11"/>
      <c r="BZ77" s="29" t="str">
        <f t="shared" si="3"/>
        <v/>
      </c>
      <c r="CA77" s="11"/>
      <c r="CB77" s="11"/>
      <c r="CC77" s="11"/>
      <c r="CD77" s="11"/>
      <c r="CE77" s="11"/>
      <c r="CF77" s="11"/>
      <c r="CG77" s="11"/>
      <c r="CH77" s="11"/>
      <c r="CI77" s="29"/>
      <c r="CJ77" s="28"/>
      <c r="CK77" s="11"/>
      <c r="CL77" s="11"/>
      <c r="CM77" s="11"/>
      <c r="CN77" s="29"/>
      <c r="CO77" s="28"/>
      <c r="CP77" s="11"/>
      <c r="CQ77" s="11"/>
      <c r="CR77" s="11"/>
      <c r="CS77" s="29"/>
      <c r="CT77" s="28"/>
      <c r="CU77" s="11"/>
      <c r="CV77" s="11"/>
      <c r="CW77" s="11"/>
      <c r="CX77" s="29"/>
      <c r="CY77" s="28"/>
      <c r="CZ77" s="30"/>
      <c r="DA77" s="30"/>
      <c r="DB77" s="30"/>
      <c r="DC77" s="30"/>
      <c r="DD77" s="30" t="str">
        <f t="shared" si="4"/>
        <v/>
      </c>
    </row>
    <row r="78" spans="1:108" ht="16.5">
      <c r="A78" s="26"/>
      <c r="B78" s="11"/>
      <c r="C78" s="11"/>
      <c r="D78" s="11"/>
      <c r="E78" s="11"/>
      <c r="F78" s="11"/>
      <c r="G78" s="11"/>
      <c r="H78" s="11"/>
      <c r="I78" s="11"/>
      <c r="J78" s="11"/>
      <c r="K78" s="11"/>
      <c r="L78" s="11"/>
      <c r="M78" s="27"/>
      <c r="N78" s="11"/>
      <c r="O78" s="11"/>
      <c r="P78" s="15"/>
      <c r="Q78" s="11"/>
      <c r="R78" s="11"/>
      <c r="S78" s="15"/>
      <c r="T78" s="15"/>
      <c r="U78" s="15"/>
      <c r="V78" s="11"/>
      <c r="W78" s="15"/>
      <c r="X78" s="11"/>
      <c r="Y78" s="11"/>
      <c r="Z78" s="15"/>
      <c r="AA78" s="11"/>
      <c r="AB78" s="11"/>
      <c r="AC78" s="15"/>
      <c r="AD78" s="15"/>
      <c r="AE78" s="15"/>
      <c r="AF78" s="11"/>
      <c r="AG78" s="15"/>
      <c r="AH78" s="11"/>
      <c r="AI78" s="11"/>
      <c r="AJ78" s="15"/>
      <c r="AK78" s="11"/>
      <c r="AL78" s="11"/>
      <c r="AM78" s="15"/>
      <c r="AN78" s="15"/>
      <c r="AO78" s="15"/>
      <c r="AP78" s="11"/>
      <c r="AQ78" s="15"/>
      <c r="AR78" s="11"/>
      <c r="AS78" s="11"/>
      <c r="AT78" s="15"/>
      <c r="AU78" s="11"/>
      <c r="AV78" s="11"/>
      <c r="AW78" s="15"/>
      <c r="AX78" s="15"/>
      <c r="AY78" s="15"/>
      <c r="AZ78" s="11"/>
      <c r="BA78" s="15"/>
      <c r="BB78" s="11"/>
      <c r="BC78" s="11"/>
      <c r="BD78" s="15"/>
      <c r="BE78" s="11"/>
      <c r="BF78" s="11"/>
      <c r="BG78" s="15"/>
      <c r="BH78" s="11"/>
      <c r="BI78" s="11"/>
      <c r="BJ78" s="11"/>
      <c r="BK78" s="11"/>
      <c r="BL78" s="28" t="str">
        <f t="shared" si="0"/>
        <v/>
      </c>
      <c r="BM78" s="28"/>
      <c r="BN78" s="11"/>
      <c r="BO78" s="29" t="str">
        <f t="shared" si="1"/>
        <v/>
      </c>
      <c r="BP78" s="11"/>
      <c r="BQ78" s="11"/>
      <c r="BR78" s="11"/>
      <c r="BS78" s="11"/>
      <c r="BT78" s="11"/>
      <c r="BU78" s="11"/>
      <c r="BV78" s="11"/>
      <c r="BW78" s="28" t="str">
        <f t="shared" si="2"/>
        <v/>
      </c>
      <c r="BX78" s="28"/>
      <c r="BY78" s="11"/>
      <c r="BZ78" s="29" t="str">
        <f t="shared" si="3"/>
        <v/>
      </c>
      <c r="CA78" s="11"/>
      <c r="CB78" s="11"/>
      <c r="CC78" s="11"/>
      <c r="CD78" s="11"/>
      <c r="CE78" s="11"/>
      <c r="CF78" s="11"/>
      <c r="CG78" s="11"/>
      <c r="CH78" s="11"/>
      <c r="CI78" s="29"/>
      <c r="CJ78" s="28"/>
      <c r="CK78" s="11"/>
      <c r="CL78" s="11"/>
      <c r="CM78" s="11"/>
      <c r="CN78" s="29"/>
      <c r="CO78" s="28"/>
      <c r="CP78" s="11"/>
      <c r="CQ78" s="11"/>
      <c r="CR78" s="11"/>
      <c r="CS78" s="29"/>
      <c r="CT78" s="28"/>
      <c r="CU78" s="11"/>
      <c r="CV78" s="11"/>
      <c r="CW78" s="11"/>
      <c r="CX78" s="29"/>
      <c r="CY78" s="28"/>
      <c r="CZ78" s="30"/>
      <c r="DA78" s="30"/>
      <c r="DB78" s="30"/>
      <c r="DC78" s="30"/>
      <c r="DD78" s="30" t="str">
        <f t="shared" si="4"/>
        <v/>
      </c>
    </row>
    <row r="79" spans="1:108" ht="16.5">
      <c r="A79" s="26"/>
      <c r="B79" s="11"/>
      <c r="C79" s="11"/>
      <c r="D79" s="11"/>
      <c r="E79" s="11"/>
      <c r="F79" s="11"/>
      <c r="G79" s="11"/>
      <c r="H79" s="11"/>
      <c r="I79" s="11"/>
      <c r="J79" s="11"/>
      <c r="K79" s="11"/>
      <c r="L79" s="11"/>
      <c r="M79" s="27"/>
      <c r="N79" s="11"/>
      <c r="O79" s="11"/>
      <c r="P79" s="15"/>
      <c r="Q79" s="11"/>
      <c r="R79" s="11"/>
      <c r="S79" s="15"/>
      <c r="T79" s="15"/>
      <c r="U79" s="15"/>
      <c r="V79" s="11"/>
      <c r="W79" s="15"/>
      <c r="X79" s="11"/>
      <c r="Y79" s="11"/>
      <c r="Z79" s="15"/>
      <c r="AA79" s="11"/>
      <c r="AB79" s="11"/>
      <c r="AC79" s="15"/>
      <c r="AD79" s="15"/>
      <c r="AE79" s="15"/>
      <c r="AF79" s="11"/>
      <c r="AG79" s="15"/>
      <c r="AH79" s="11"/>
      <c r="AI79" s="11"/>
      <c r="AJ79" s="15"/>
      <c r="AK79" s="11"/>
      <c r="AL79" s="11"/>
      <c r="AM79" s="15"/>
      <c r="AN79" s="15"/>
      <c r="AO79" s="15"/>
      <c r="AP79" s="11"/>
      <c r="AQ79" s="15"/>
      <c r="AR79" s="11"/>
      <c r="AS79" s="11"/>
      <c r="AT79" s="15"/>
      <c r="AU79" s="11"/>
      <c r="AV79" s="11"/>
      <c r="AW79" s="15"/>
      <c r="AX79" s="15"/>
      <c r="AY79" s="15"/>
      <c r="AZ79" s="11"/>
      <c r="BA79" s="15"/>
      <c r="BB79" s="11"/>
      <c r="BC79" s="11"/>
      <c r="BD79" s="15"/>
      <c r="BE79" s="11"/>
      <c r="BF79" s="11"/>
      <c r="BG79" s="15"/>
      <c r="BH79" s="11"/>
      <c r="BI79" s="11"/>
      <c r="BJ79" s="11"/>
      <c r="BK79" s="11"/>
      <c r="BL79" s="28" t="str">
        <f t="shared" si="0"/>
        <v/>
      </c>
      <c r="BM79" s="28"/>
      <c r="BN79" s="11"/>
      <c r="BO79" s="29" t="str">
        <f t="shared" si="1"/>
        <v/>
      </c>
      <c r="BP79" s="11"/>
      <c r="BQ79" s="11"/>
      <c r="BR79" s="11"/>
      <c r="BS79" s="11"/>
      <c r="BT79" s="11"/>
      <c r="BU79" s="11"/>
      <c r="BV79" s="11"/>
      <c r="BW79" s="28" t="str">
        <f t="shared" si="2"/>
        <v/>
      </c>
      <c r="BX79" s="28"/>
      <c r="BY79" s="11"/>
      <c r="BZ79" s="29" t="str">
        <f t="shared" si="3"/>
        <v/>
      </c>
      <c r="CA79" s="11"/>
      <c r="CB79" s="11"/>
      <c r="CC79" s="11"/>
      <c r="CD79" s="11"/>
      <c r="CE79" s="11"/>
      <c r="CF79" s="11"/>
      <c r="CG79" s="11"/>
      <c r="CH79" s="11"/>
      <c r="CI79" s="29"/>
      <c r="CJ79" s="28"/>
      <c r="CK79" s="11"/>
      <c r="CL79" s="11"/>
      <c r="CM79" s="11"/>
      <c r="CN79" s="29"/>
      <c r="CO79" s="28"/>
      <c r="CP79" s="11"/>
      <c r="CQ79" s="11"/>
      <c r="CR79" s="11"/>
      <c r="CS79" s="29"/>
      <c r="CT79" s="28"/>
      <c r="CU79" s="11"/>
      <c r="CV79" s="11"/>
      <c r="CW79" s="11"/>
      <c r="CX79" s="29"/>
      <c r="CY79" s="28"/>
      <c r="CZ79" s="30"/>
      <c r="DA79" s="30"/>
      <c r="DB79" s="30"/>
      <c r="DC79" s="30"/>
      <c r="DD79" s="30" t="str">
        <f t="shared" si="4"/>
        <v/>
      </c>
    </row>
    <row r="80" spans="1:108" ht="16.5">
      <c r="A80" s="26"/>
      <c r="B80" s="11"/>
      <c r="C80" s="11"/>
      <c r="D80" s="11"/>
      <c r="E80" s="11"/>
      <c r="F80" s="11"/>
      <c r="G80" s="11"/>
      <c r="H80" s="11"/>
      <c r="I80" s="11"/>
      <c r="J80" s="11"/>
      <c r="K80" s="11"/>
      <c r="L80" s="11"/>
      <c r="M80" s="27"/>
      <c r="N80" s="11"/>
      <c r="O80" s="11"/>
      <c r="P80" s="15"/>
      <c r="Q80" s="11"/>
      <c r="R80" s="11"/>
      <c r="S80" s="15"/>
      <c r="T80" s="15"/>
      <c r="U80" s="15"/>
      <c r="V80" s="11"/>
      <c r="W80" s="15"/>
      <c r="X80" s="11"/>
      <c r="Y80" s="11"/>
      <c r="Z80" s="15"/>
      <c r="AA80" s="11"/>
      <c r="AB80" s="11"/>
      <c r="AC80" s="15"/>
      <c r="AD80" s="15"/>
      <c r="AE80" s="15"/>
      <c r="AF80" s="11"/>
      <c r="AG80" s="15"/>
      <c r="AH80" s="11"/>
      <c r="AI80" s="11"/>
      <c r="AJ80" s="15"/>
      <c r="AK80" s="11"/>
      <c r="AL80" s="11"/>
      <c r="AM80" s="15"/>
      <c r="AN80" s="15"/>
      <c r="AO80" s="15"/>
      <c r="AP80" s="11"/>
      <c r="AQ80" s="15"/>
      <c r="AR80" s="11"/>
      <c r="AS80" s="11"/>
      <c r="AT80" s="15"/>
      <c r="AU80" s="11"/>
      <c r="AV80" s="11"/>
      <c r="AW80" s="15"/>
      <c r="AX80" s="15"/>
      <c r="AY80" s="15"/>
      <c r="AZ80" s="11"/>
      <c r="BA80" s="15"/>
      <c r="BB80" s="11"/>
      <c r="BC80" s="11"/>
      <c r="BD80" s="15"/>
      <c r="BE80" s="11"/>
      <c r="BF80" s="11"/>
      <c r="BG80" s="15"/>
      <c r="BH80" s="11"/>
      <c r="BI80" s="11"/>
      <c r="BJ80" s="11"/>
      <c r="BK80" s="11"/>
      <c r="BL80" s="28" t="str">
        <f t="shared" si="0"/>
        <v/>
      </c>
      <c r="BM80" s="28"/>
      <c r="BN80" s="11"/>
      <c r="BO80" s="29" t="str">
        <f t="shared" si="1"/>
        <v/>
      </c>
      <c r="BP80" s="11"/>
      <c r="BQ80" s="11"/>
      <c r="BR80" s="11"/>
      <c r="BS80" s="11"/>
      <c r="BT80" s="11"/>
      <c r="BU80" s="11"/>
      <c r="BV80" s="11"/>
      <c r="BW80" s="28" t="str">
        <f t="shared" si="2"/>
        <v/>
      </c>
      <c r="BX80" s="28"/>
      <c r="BY80" s="11"/>
      <c r="BZ80" s="29" t="str">
        <f t="shared" si="3"/>
        <v/>
      </c>
      <c r="CA80" s="11"/>
      <c r="CB80" s="11"/>
      <c r="CC80" s="11"/>
      <c r="CD80" s="11"/>
      <c r="CE80" s="11"/>
      <c r="CF80" s="11"/>
      <c r="CG80" s="11"/>
      <c r="CH80" s="11"/>
      <c r="CI80" s="29"/>
      <c r="CJ80" s="28"/>
      <c r="CK80" s="11"/>
      <c r="CL80" s="11"/>
      <c r="CM80" s="11"/>
      <c r="CN80" s="29"/>
      <c r="CO80" s="28"/>
      <c r="CP80" s="11"/>
      <c r="CQ80" s="11"/>
      <c r="CR80" s="11"/>
      <c r="CS80" s="29"/>
      <c r="CT80" s="28"/>
      <c r="CU80" s="11"/>
      <c r="CV80" s="11"/>
      <c r="CW80" s="11"/>
      <c r="CX80" s="29"/>
      <c r="CY80" s="28"/>
      <c r="CZ80" s="30"/>
      <c r="DA80" s="30"/>
      <c r="DB80" s="30"/>
      <c r="DC80" s="30"/>
      <c r="DD80" s="30" t="str">
        <f t="shared" si="4"/>
        <v/>
      </c>
    </row>
    <row r="81" spans="1:108" ht="16.5">
      <c r="A81" s="26"/>
      <c r="B81" s="11"/>
      <c r="C81" s="11"/>
      <c r="D81" s="11"/>
      <c r="E81" s="11"/>
      <c r="F81" s="11"/>
      <c r="G81" s="11"/>
      <c r="H81" s="11"/>
      <c r="I81" s="11"/>
      <c r="J81" s="11"/>
      <c r="K81" s="11"/>
      <c r="L81" s="11"/>
      <c r="M81" s="27"/>
      <c r="N81" s="11"/>
      <c r="O81" s="11"/>
      <c r="P81" s="15"/>
      <c r="Q81" s="11"/>
      <c r="R81" s="11"/>
      <c r="S81" s="15"/>
      <c r="T81" s="15"/>
      <c r="U81" s="15"/>
      <c r="V81" s="11"/>
      <c r="W81" s="15"/>
      <c r="X81" s="11"/>
      <c r="Y81" s="11"/>
      <c r="Z81" s="15"/>
      <c r="AA81" s="11"/>
      <c r="AB81" s="11"/>
      <c r="AC81" s="15"/>
      <c r="AD81" s="15"/>
      <c r="AE81" s="15"/>
      <c r="AF81" s="11"/>
      <c r="AG81" s="15"/>
      <c r="AH81" s="11"/>
      <c r="AI81" s="11"/>
      <c r="AJ81" s="15"/>
      <c r="AK81" s="11"/>
      <c r="AL81" s="11"/>
      <c r="AM81" s="15"/>
      <c r="AN81" s="15"/>
      <c r="AO81" s="15"/>
      <c r="AP81" s="11"/>
      <c r="AQ81" s="15"/>
      <c r="AR81" s="11"/>
      <c r="AS81" s="11"/>
      <c r="AT81" s="15"/>
      <c r="AU81" s="11"/>
      <c r="AV81" s="11"/>
      <c r="AW81" s="15"/>
      <c r="AX81" s="15"/>
      <c r="AY81" s="15"/>
      <c r="AZ81" s="11"/>
      <c r="BA81" s="15"/>
      <c r="BB81" s="11"/>
      <c r="BC81" s="11"/>
      <c r="BD81" s="15"/>
      <c r="BE81" s="11"/>
      <c r="BF81" s="11"/>
      <c r="BG81" s="15"/>
      <c r="BH81" s="11"/>
      <c r="BI81" s="11"/>
      <c r="BJ81" s="11"/>
      <c r="BK81" s="11"/>
      <c r="BL81" s="28" t="str">
        <f t="shared" si="0"/>
        <v/>
      </c>
      <c r="BM81" s="28"/>
      <c r="BN81" s="11"/>
      <c r="BO81" s="29" t="str">
        <f t="shared" si="1"/>
        <v/>
      </c>
      <c r="BP81" s="11"/>
      <c r="BQ81" s="11"/>
      <c r="BR81" s="11"/>
      <c r="BS81" s="11"/>
      <c r="BT81" s="11"/>
      <c r="BU81" s="11"/>
      <c r="BV81" s="11"/>
      <c r="BW81" s="28" t="str">
        <f t="shared" si="2"/>
        <v/>
      </c>
      <c r="BX81" s="28"/>
      <c r="BY81" s="11"/>
      <c r="BZ81" s="29" t="str">
        <f t="shared" si="3"/>
        <v/>
      </c>
      <c r="CA81" s="11"/>
      <c r="CB81" s="11"/>
      <c r="CC81" s="11"/>
      <c r="CD81" s="11"/>
      <c r="CE81" s="11"/>
      <c r="CF81" s="11"/>
      <c r="CG81" s="11"/>
      <c r="CH81" s="11"/>
      <c r="CI81" s="29"/>
      <c r="CJ81" s="28"/>
      <c r="CK81" s="11"/>
      <c r="CL81" s="11"/>
      <c r="CM81" s="11"/>
      <c r="CN81" s="29"/>
      <c r="CO81" s="28"/>
      <c r="CP81" s="11"/>
      <c r="CQ81" s="11"/>
      <c r="CR81" s="11"/>
      <c r="CS81" s="29"/>
      <c r="CT81" s="28"/>
      <c r="CU81" s="11"/>
      <c r="CV81" s="11"/>
      <c r="CW81" s="11"/>
      <c r="CX81" s="29"/>
      <c r="CY81" s="28"/>
      <c r="CZ81" s="30"/>
      <c r="DA81" s="30"/>
      <c r="DB81" s="30"/>
      <c r="DC81" s="30"/>
      <c r="DD81" s="30" t="str">
        <f t="shared" si="4"/>
        <v/>
      </c>
    </row>
    <row r="82" spans="1:108" ht="16.5">
      <c r="A82" s="26"/>
      <c r="B82" s="11"/>
      <c r="C82" s="11"/>
      <c r="D82" s="11"/>
      <c r="E82" s="11"/>
      <c r="F82" s="11"/>
      <c r="G82" s="11"/>
      <c r="H82" s="11"/>
      <c r="I82" s="11"/>
      <c r="J82" s="11"/>
      <c r="K82" s="11"/>
      <c r="L82" s="11"/>
      <c r="M82" s="27"/>
      <c r="N82" s="11"/>
      <c r="O82" s="11"/>
      <c r="P82" s="15"/>
      <c r="Q82" s="11"/>
      <c r="R82" s="11"/>
      <c r="S82" s="15"/>
      <c r="T82" s="15"/>
      <c r="U82" s="15"/>
      <c r="V82" s="11"/>
      <c r="W82" s="15"/>
      <c r="X82" s="11"/>
      <c r="Y82" s="11"/>
      <c r="Z82" s="15"/>
      <c r="AA82" s="11"/>
      <c r="AB82" s="11"/>
      <c r="AC82" s="15"/>
      <c r="AD82" s="15"/>
      <c r="AE82" s="15"/>
      <c r="AF82" s="11"/>
      <c r="AG82" s="15"/>
      <c r="AH82" s="11"/>
      <c r="AI82" s="11"/>
      <c r="AJ82" s="15"/>
      <c r="AK82" s="11"/>
      <c r="AL82" s="11"/>
      <c r="AM82" s="15"/>
      <c r="AN82" s="15"/>
      <c r="AO82" s="15"/>
      <c r="AP82" s="11"/>
      <c r="AQ82" s="15"/>
      <c r="AR82" s="11"/>
      <c r="AS82" s="11"/>
      <c r="AT82" s="15"/>
      <c r="AU82" s="11"/>
      <c r="AV82" s="11"/>
      <c r="AW82" s="15"/>
      <c r="AX82" s="15"/>
      <c r="AY82" s="15"/>
      <c r="AZ82" s="11"/>
      <c r="BA82" s="15"/>
      <c r="BB82" s="11"/>
      <c r="BC82" s="11"/>
      <c r="BD82" s="15"/>
      <c r="BE82" s="11"/>
      <c r="BF82" s="11"/>
      <c r="BG82" s="15"/>
      <c r="BH82" s="11"/>
      <c r="BI82" s="11"/>
      <c r="BJ82" s="11"/>
      <c r="BK82" s="11"/>
      <c r="BL82" s="28" t="str">
        <f t="shared" si="0"/>
        <v/>
      </c>
      <c r="BM82" s="28"/>
      <c r="BN82" s="11"/>
      <c r="BO82" s="29" t="str">
        <f t="shared" si="1"/>
        <v/>
      </c>
      <c r="BP82" s="11"/>
      <c r="BQ82" s="11"/>
      <c r="BR82" s="11"/>
      <c r="BS82" s="11"/>
      <c r="BT82" s="11"/>
      <c r="BU82" s="11"/>
      <c r="BV82" s="11"/>
      <c r="BW82" s="28" t="str">
        <f t="shared" si="2"/>
        <v/>
      </c>
      <c r="BX82" s="28"/>
      <c r="BY82" s="11"/>
      <c r="BZ82" s="29" t="str">
        <f t="shared" si="3"/>
        <v/>
      </c>
      <c r="CA82" s="11"/>
      <c r="CB82" s="11"/>
      <c r="CC82" s="11"/>
      <c r="CD82" s="11"/>
      <c r="CE82" s="11"/>
      <c r="CF82" s="11"/>
      <c r="CG82" s="11"/>
      <c r="CH82" s="11"/>
      <c r="CI82" s="29"/>
      <c r="CJ82" s="28"/>
      <c r="CK82" s="11"/>
      <c r="CL82" s="11"/>
      <c r="CM82" s="11"/>
      <c r="CN82" s="29"/>
      <c r="CO82" s="28"/>
      <c r="CP82" s="11"/>
      <c r="CQ82" s="11"/>
      <c r="CR82" s="11"/>
      <c r="CS82" s="29"/>
      <c r="CT82" s="28"/>
      <c r="CU82" s="11"/>
      <c r="CV82" s="11"/>
      <c r="CW82" s="11"/>
      <c r="CX82" s="29"/>
      <c r="CY82" s="28"/>
      <c r="CZ82" s="30"/>
      <c r="DA82" s="30"/>
      <c r="DB82" s="30"/>
      <c r="DC82" s="30"/>
      <c r="DD82" s="30" t="str">
        <f t="shared" si="4"/>
        <v/>
      </c>
    </row>
    <row r="83" spans="1:108" ht="16.5">
      <c r="A83" s="26"/>
      <c r="B83" s="11"/>
      <c r="C83" s="11"/>
      <c r="D83" s="11"/>
      <c r="E83" s="11"/>
      <c r="F83" s="11"/>
      <c r="G83" s="11"/>
      <c r="H83" s="11"/>
      <c r="I83" s="11"/>
      <c r="J83" s="11"/>
      <c r="K83" s="11"/>
      <c r="L83" s="11"/>
      <c r="M83" s="27"/>
      <c r="N83" s="11"/>
      <c r="O83" s="11"/>
      <c r="P83" s="15"/>
      <c r="Q83" s="11"/>
      <c r="R83" s="11"/>
      <c r="S83" s="15"/>
      <c r="T83" s="15"/>
      <c r="U83" s="15"/>
      <c r="V83" s="11"/>
      <c r="W83" s="15"/>
      <c r="X83" s="11"/>
      <c r="Y83" s="11"/>
      <c r="Z83" s="15"/>
      <c r="AA83" s="11"/>
      <c r="AB83" s="11"/>
      <c r="AC83" s="15"/>
      <c r="AD83" s="15"/>
      <c r="AE83" s="15"/>
      <c r="AF83" s="11"/>
      <c r="AG83" s="15"/>
      <c r="AH83" s="11"/>
      <c r="AI83" s="11"/>
      <c r="AJ83" s="15"/>
      <c r="AK83" s="11"/>
      <c r="AL83" s="11"/>
      <c r="AM83" s="15"/>
      <c r="AN83" s="15"/>
      <c r="AO83" s="15"/>
      <c r="AP83" s="11"/>
      <c r="AQ83" s="15"/>
      <c r="AR83" s="11"/>
      <c r="AS83" s="11"/>
      <c r="AT83" s="15"/>
      <c r="AU83" s="11"/>
      <c r="AV83" s="11"/>
      <c r="AW83" s="15"/>
      <c r="AX83" s="15"/>
      <c r="AY83" s="15"/>
      <c r="AZ83" s="11"/>
      <c r="BA83" s="15"/>
      <c r="BB83" s="11"/>
      <c r="BC83" s="11"/>
      <c r="BD83" s="15"/>
      <c r="BE83" s="11"/>
      <c r="BF83" s="11"/>
      <c r="BG83" s="15"/>
      <c r="BH83" s="11"/>
      <c r="BI83" s="11"/>
      <c r="BJ83" s="11"/>
      <c r="BK83" s="11"/>
      <c r="BL83" s="28" t="str">
        <f t="shared" si="0"/>
        <v/>
      </c>
      <c r="BM83" s="28"/>
      <c r="BN83" s="11"/>
      <c r="BO83" s="29" t="str">
        <f t="shared" si="1"/>
        <v/>
      </c>
      <c r="BP83" s="11"/>
      <c r="BQ83" s="11"/>
      <c r="BR83" s="11"/>
      <c r="BS83" s="11"/>
      <c r="BT83" s="11"/>
      <c r="BU83" s="11"/>
      <c r="BV83" s="11"/>
      <c r="BW83" s="28" t="str">
        <f t="shared" si="2"/>
        <v/>
      </c>
      <c r="BX83" s="28"/>
      <c r="BY83" s="11"/>
      <c r="BZ83" s="29" t="str">
        <f t="shared" si="3"/>
        <v/>
      </c>
      <c r="CA83" s="11"/>
      <c r="CB83" s="11"/>
      <c r="CC83" s="11"/>
      <c r="CD83" s="11"/>
      <c r="CE83" s="11"/>
      <c r="CF83" s="11"/>
      <c r="CG83" s="11"/>
      <c r="CH83" s="11"/>
      <c r="CI83" s="29"/>
      <c r="CJ83" s="28"/>
      <c r="CK83" s="11"/>
      <c r="CL83" s="11"/>
      <c r="CM83" s="11"/>
      <c r="CN83" s="29"/>
      <c r="CO83" s="28"/>
      <c r="CP83" s="11"/>
      <c r="CQ83" s="11"/>
      <c r="CR83" s="11"/>
      <c r="CS83" s="29"/>
      <c r="CT83" s="28"/>
      <c r="CU83" s="11"/>
      <c r="CV83" s="11"/>
      <c r="CW83" s="11"/>
      <c r="CX83" s="29"/>
      <c r="CY83" s="28"/>
      <c r="CZ83" s="30"/>
      <c r="DA83" s="30"/>
      <c r="DB83" s="30"/>
      <c r="DC83" s="30"/>
      <c r="DD83" s="30" t="str">
        <f t="shared" si="4"/>
        <v/>
      </c>
    </row>
    <row r="84" spans="1:108" ht="16.5">
      <c r="A84" s="26"/>
      <c r="B84" s="11"/>
      <c r="C84" s="11"/>
      <c r="D84" s="11"/>
      <c r="E84" s="11"/>
      <c r="F84" s="11"/>
      <c r="G84" s="11"/>
      <c r="H84" s="11"/>
      <c r="I84" s="11"/>
      <c r="J84" s="11"/>
      <c r="K84" s="11"/>
      <c r="L84" s="11"/>
      <c r="M84" s="27"/>
      <c r="N84" s="11"/>
      <c r="O84" s="11"/>
      <c r="P84" s="15"/>
      <c r="Q84" s="11"/>
      <c r="R84" s="11"/>
      <c r="S84" s="15"/>
      <c r="T84" s="15"/>
      <c r="U84" s="15"/>
      <c r="V84" s="11"/>
      <c r="W84" s="15"/>
      <c r="X84" s="11"/>
      <c r="Y84" s="11"/>
      <c r="Z84" s="15"/>
      <c r="AA84" s="11"/>
      <c r="AB84" s="11"/>
      <c r="AC84" s="15"/>
      <c r="AD84" s="15"/>
      <c r="AE84" s="15"/>
      <c r="AF84" s="11"/>
      <c r="AG84" s="15"/>
      <c r="AH84" s="11"/>
      <c r="AI84" s="11"/>
      <c r="AJ84" s="15"/>
      <c r="AK84" s="11"/>
      <c r="AL84" s="11"/>
      <c r="AM84" s="15"/>
      <c r="AN84" s="15"/>
      <c r="AO84" s="15"/>
      <c r="AP84" s="11"/>
      <c r="AQ84" s="15"/>
      <c r="AR84" s="11"/>
      <c r="AS84" s="11"/>
      <c r="AT84" s="15"/>
      <c r="AU84" s="11"/>
      <c r="AV84" s="11"/>
      <c r="AW84" s="15"/>
      <c r="AX84" s="15"/>
      <c r="AY84" s="15"/>
      <c r="AZ84" s="11"/>
      <c r="BA84" s="15"/>
      <c r="BB84" s="11"/>
      <c r="BC84" s="11"/>
      <c r="BD84" s="15"/>
      <c r="BE84" s="11"/>
      <c r="BF84" s="11"/>
      <c r="BG84" s="15"/>
      <c r="BH84" s="11"/>
      <c r="BI84" s="11"/>
      <c r="BJ84" s="11"/>
      <c r="BK84" s="11"/>
      <c r="BL84" s="28" t="str">
        <f t="shared" si="0"/>
        <v/>
      </c>
      <c r="BM84" s="28"/>
      <c r="BN84" s="11"/>
      <c r="BO84" s="29" t="str">
        <f t="shared" si="1"/>
        <v/>
      </c>
      <c r="BP84" s="11"/>
      <c r="BQ84" s="11"/>
      <c r="BR84" s="11"/>
      <c r="BS84" s="11"/>
      <c r="BT84" s="11"/>
      <c r="BU84" s="11"/>
      <c r="BV84" s="11"/>
      <c r="BW84" s="28" t="str">
        <f t="shared" si="2"/>
        <v/>
      </c>
      <c r="BX84" s="28"/>
      <c r="BY84" s="11"/>
      <c r="BZ84" s="29" t="str">
        <f t="shared" si="3"/>
        <v/>
      </c>
      <c r="CA84" s="11"/>
      <c r="CB84" s="11"/>
      <c r="CC84" s="11"/>
      <c r="CD84" s="11"/>
      <c r="CE84" s="11"/>
      <c r="CF84" s="11"/>
      <c r="CG84" s="11"/>
      <c r="CH84" s="11"/>
      <c r="CI84" s="29"/>
      <c r="CJ84" s="28"/>
      <c r="CK84" s="11"/>
      <c r="CL84" s="11"/>
      <c r="CM84" s="11"/>
      <c r="CN84" s="29"/>
      <c r="CO84" s="28"/>
      <c r="CP84" s="11"/>
      <c r="CQ84" s="11"/>
      <c r="CR84" s="11"/>
      <c r="CS84" s="29"/>
      <c r="CT84" s="28"/>
      <c r="CU84" s="11"/>
      <c r="CV84" s="11"/>
      <c r="CW84" s="11"/>
      <c r="CX84" s="29"/>
      <c r="CY84" s="28"/>
      <c r="CZ84" s="30"/>
      <c r="DA84" s="30"/>
      <c r="DB84" s="30"/>
      <c r="DC84" s="30"/>
      <c r="DD84" s="30" t="str">
        <f t="shared" si="4"/>
        <v/>
      </c>
    </row>
    <row r="85" spans="1:108" ht="16.5">
      <c r="A85" s="26"/>
      <c r="B85" s="11"/>
      <c r="C85" s="11"/>
      <c r="D85" s="11"/>
      <c r="E85" s="11"/>
      <c r="F85" s="11"/>
      <c r="G85" s="11"/>
      <c r="H85" s="11"/>
      <c r="I85" s="11"/>
      <c r="J85" s="11"/>
      <c r="K85" s="11"/>
      <c r="L85" s="11"/>
      <c r="M85" s="27"/>
      <c r="N85" s="11"/>
      <c r="O85" s="11"/>
      <c r="P85" s="15"/>
      <c r="Q85" s="11"/>
      <c r="R85" s="11"/>
      <c r="S85" s="15"/>
      <c r="T85" s="15"/>
      <c r="U85" s="15"/>
      <c r="V85" s="11"/>
      <c r="W85" s="15"/>
      <c r="X85" s="11"/>
      <c r="Y85" s="11"/>
      <c r="Z85" s="15"/>
      <c r="AA85" s="11"/>
      <c r="AB85" s="11"/>
      <c r="AC85" s="15"/>
      <c r="AD85" s="15"/>
      <c r="AE85" s="15"/>
      <c r="AF85" s="11"/>
      <c r="AG85" s="15"/>
      <c r="AH85" s="11"/>
      <c r="AI85" s="11"/>
      <c r="AJ85" s="15"/>
      <c r="AK85" s="11"/>
      <c r="AL85" s="11"/>
      <c r="AM85" s="15"/>
      <c r="AN85" s="15"/>
      <c r="AO85" s="15"/>
      <c r="AP85" s="11"/>
      <c r="AQ85" s="15"/>
      <c r="AR85" s="11"/>
      <c r="AS85" s="11"/>
      <c r="AT85" s="15"/>
      <c r="AU85" s="11"/>
      <c r="AV85" s="11"/>
      <c r="AW85" s="15"/>
      <c r="AX85" s="15"/>
      <c r="AY85" s="15"/>
      <c r="AZ85" s="11"/>
      <c r="BA85" s="15"/>
      <c r="BB85" s="11"/>
      <c r="BC85" s="11"/>
      <c r="BD85" s="15"/>
      <c r="BE85" s="11"/>
      <c r="BF85" s="11"/>
      <c r="BG85" s="15"/>
      <c r="BH85" s="11"/>
      <c r="BI85" s="11"/>
      <c r="BJ85" s="11"/>
      <c r="BK85" s="11"/>
      <c r="BL85" s="28" t="str">
        <f t="shared" si="0"/>
        <v/>
      </c>
      <c r="BM85" s="28"/>
      <c r="BN85" s="11"/>
      <c r="BO85" s="29" t="str">
        <f t="shared" si="1"/>
        <v/>
      </c>
      <c r="BP85" s="11"/>
      <c r="BQ85" s="11"/>
      <c r="BR85" s="11"/>
      <c r="BS85" s="11"/>
      <c r="BT85" s="11"/>
      <c r="BU85" s="11"/>
      <c r="BV85" s="11"/>
      <c r="BW85" s="28" t="str">
        <f t="shared" si="2"/>
        <v/>
      </c>
      <c r="BX85" s="28"/>
      <c r="BY85" s="11"/>
      <c r="BZ85" s="29" t="str">
        <f t="shared" si="3"/>
        <v/>
      </c>
      <c r="CA85" s="11"/>
      <c r="CB85" s="11"/>
      <c r="CC85" s="11"/>
      <c r="CD85" s="11"/>
      <c r="CE85" s="11"/>
      <c r="CF85" s="11"/>
      <c r="CG85" s="11"/>
      <c r="CH85" s="11"/>
      <c r="CI85" s="29"/>
      <c r="CJ85" s="28"/>
      <c r="CK85" s="11"/>
      <c r="CL85" s="11"/>
      <c r="CM85" s="11"/>
      <c r="CN85" s="29"/>
      <c r="CO85" s="28"/>
      <c r="CP85" s="11"/>
      <c r="CQ85" s="11"/>
      <c r="CR85" s="11"/>
      <c r="CS85" s="29"/>
      <c r="CT85" s="28"/>
      <c r="CU85" s="11"/>
      <c r="CV85" s="11"/>
      <c r="CW85" s="11"/>
      <c r="CX85" s="29"/>
      <c r="CY85" s="28"/>
      <c r="CZ85" s="30"/>
      <c r="DA85" s="30"/>
      <c r="DB85" s="30"/>
      <c r="DC85" s="30"/>
      <c r="DD85" s="30" t="str">
        <f t="shared" si="4"/>
        <v/>
      </c>
    </row>
    <row r="86" spans="1:108" ht="16.5">
      <c r="A86" s="26"/>
      <c r="B86" s="11"/>
      <c r="C86" s="11"/>
      <c r="D86" s="11"/>
      <c r="E86" s="11"/>
      <c r="F86" s="11"/>
      <c r="G86" s="11"/>
      <c r="H86" s="11"/>
      <c r="I86" s="11"/>
      <c r="J86" s="11"/>
      <c r="K86" s="11"/>
      <c r="L86" s="11"/>
      <c r="M86" s="27"/>
      <c r="N86" s="11"/>
      <c r="O86" s="11"/>
      <c r="P86" s="15"/>
      <c r="Q86" s="11"/>
      <c r="R86" s="11"/>
      <c r="S86" s="15"/>
      <c r="T86" s="15"/>
      <c r="U86" s="15"/>
      <c r="V86" s="11"/>
      <c r="W86" s="15"/>
      <c r="X86" s="11"/>
      <c r="Y86" s="11"/>
      <c r="Z86" s="15"/>
      <c r="AA86" s="11"/>
      <c r="AB86" s="11"/>
      <c r="AC86" s="15"/>
      <c r="AD86" s="15"/>
      <c r="AE86" s="15"/>
      <c r="AF86" s="11"/>
      <c r="AG86" s="15"/>
      <c r="AH86" s="11"/>
      <c r="AI86" s="11"/>
      <c r="AJ86" s="15"/>
      <c r="AK86" s="11"/>
      <c r="AL86" s="11"/>
      <c r="AM86" s="15"/>
      <c r="AN86" s="15"/>
      <c r="AO86" s="15"/>
      <c r="AP86" s="11"/>
      <c r="AQ86" s="15"/>
      <c r="AR86" s="11"/>
      <c r="AS86" s="11"/>
      <c r="AT86" s="15"/>
      <c r="AU86" s="11"/>
      <c r="AV86" s="11"/>
      <c r="AW86" s="15"/>
      <c r="AX86" s="15"/>
      <c r="AY86" s="15"/>
      <c r="AZ86" s="11"/>
      <c r="BA86" s="15"/>
      <c r="BB86" s="11"/>
      <c r="BC86" s="11"/>
      <c r="BD86" s="15"/>
      <c r="BE86" s="11"/>
      <c r="BF86" s="11"/>
      <c r="BG86" s="15"/>
      <c r="BH86" s="11"/>
      <c r="BI86" s="11"/>
      <c r="BJ86" s="11"/>
      <c r="BK86" s="11"/>
      <c r="BL86" s="28" t="str">
        <f t="shared" si="0"/>
        <v/>
      </c>
      <c r="BM86" s="28"/>
      <c r="BN86" s="11"/>
      <c r="BO86" s="29" t="str">
        <f t="shared" si="1"/>
        <v/>
      </c>
      <c r="BP86" s="11"/>
      <c r="BQ86" s="11"/>
      <c r="BR86" s="11"/>
      <c r="BS86" s="11"/>
      <c r="BT86" s="11"/>
      <c r="BU86" s="11"/>
      <c r="BV86" s="11"/>
      <c r="BW86" s="28" t="str">
        <f t="shared" si="2"/>
        <v/>
      </c>
      <c r="BX86" s="28"/>
      <c r="BY86" s="11"/>
      <c r="BZ86" s="29" t="str">
        <f t="shared" si="3"/>
        <v/>
      </c>
      <c r="CA86" s="11"/>
      <c r="CB86" s="11"/>
      <c r="CC86" s="11"/>
      <c r="CD86" s="11"/>
      <c r="CE86" s="11"/>
      <c r="CF86" s="11"/>
      <c r="CG86" s="11"/>
      <c r="CH86" s="11"/>
      <c r="CI86" s="29"/>
      <c r="CJ86" s="28"/>
      <c r="CK86" s="11"/>
      <c r="CL86" s="11"/>
      <c r="CM86" s="11"/>
      <c r="CN86" s="29"/>
      <c r="CO86" s="28"/>
      <c r="CP86" s="11"/>
      <c r="CQ86" s="11"/>
      <c r="CR86" s="11"/>
      <c r="CS86" s="29"/>
      <c r="CT86" s="28"/>
      <c r="CU86" s="11"/>
      <c r="CV86" s="11"/>
      <c r="CW86" s="11"/>
      <c r="CX86" s="29"/>
      <c r="CY86" s="28"/>
      <c r="CZ86" s="30"/>
      <c r="DA86" s="30"/>
      <c r="DB86" s="30"/>
      <c r="DC86" s="30"/>
      <c r="DD86" s="30" t="str">
        <f t="shared" si="4"/>
        <v/>
      </c>
    </row>
    <row r="87" spans="1:108" ht="16.5">
      <c r="A87" s="26"/>
      <c r="B87" s="11"/>
      <c r="C87" s="11"/>
      <c r="D87" s="11"/>
      <c r="E87" s="11"/>
      <c r="F87" s="11"/>
      <c r="G87" s="11"/>
      <c r="H87" s="11"/>
      <c r="I87" s="11"/>
      <c r="J87" s="11"/>
      <c r="K87" s="11"/>
      <c r="L87" s="11"/>
      <c r="M87" s="27"/>
      <c r="N87" s="11"/>
      <c r="O87" s="11"/>
      <c r="P87" s="15"/>
      <c r="Q87" s="11"/>
      <c r="R87" s="11"/>
      <c r="S87" s="15"/>
      <c r="T87" s="15"/>
      <c r="U87" s="15"/>
      <c r="V87" s="11"/>
      <c r="W87" s="15"/>
      <c r="X87" s="11"/>
      <c r="Y87" s="11"/>
      <c r="Z87" s="15"/>
      <c r="AA87" s="11"/>
      <c r="AB87" s="11"/>
      <c r="AC87" s="15"/>
      <c r="AD87" s="15"/>
      <c r="AE87" s="15"/>
      <c r="AF87" s="11"/>
      <c r="AG87" s="15"/>
      <c r="AH87" s="11"/>
      <c r="AI87" s="11"/>
      <c r="AJ87" s="15"/>
      <c r="AK87" s="11"/>
      <c r="AL87" s="11"/>
      <c r="AM87" s="15"/>
      <c r="AN87" s="15"/>
      <c r="AO87" s="15"/>
      <c r="AP87" s="11"/>
      <c r="AQ87" s="15"/>
      <c r="AR87" s="11"/>
      <c r="AS87" s="11"/>
      <c r="AT87" s="15"/>
      <c r="AU87" s="11"/>
      <c r="AV87" s="11"/>
      <c r="AW87" s="15"/>
      <c r="AX87" s="15"/>
      <c r="AY87" s="15"/>
      <c r="AZ87" s="11"/>
      <c r="BA87" s="15"/>
      <c r="BB87" s="11"/>
      <c r="BC87" s="11"/>
      <c r="BD87" s="15"/>
      <c r="BE87" s="11"/>
      <c r="BF87" s="11"/>
      <c r="BG87" s="15"/>
      <c r="BH87" s="11"/>
      <c r="BI87" s="11"/>
      <c r="BJ87" s="11"/>
      <c r="BK87" s="11"/>
      <c r="BL87" s="28" t="str">
        <f t="shared" si="0"/>
        <v/>
      </c>
      <c r="BM87" s="28"/>
      <c r="BN87" s="11"/>
      <c r="BO87" s="29" t="str">
        <f t="shared" si="1"/>
        <v/>
      </c>
      <c r="BP87" s="11"/>
      <c r="BQ87" s="11"/>
      <c r="BR87" s="11"/>
      <c r="BS87" s="11"/>
      <c r="BT87" s="11"/>
      <c r="BU87" s="11"/>
      <c r="BV87" s="11"/>
      <c r="BW87" s="28" t="str">
        <f t="shared" si="2"/>
        <v/>
      </c>
      <c r="BX87" s="28"/>
      <c r="BY87" s="11"/>
      <c r="BZ87" s="29" t="str">
        <f t="shared" si="3"/>
        <v/>
      </c>
      <c r="CA87" s="11"/>
      <c r="CB87" s="11"/>
      <c r="CC87" s="11"/>
      <c r="CD87" s="11"/>
      <c r="CE87" s="11"/>
      <c r="CF87" s="11"/>
      <c r="CG87" s="11"/>
      <c r="CH87" s="11"/>
      <c r="CI87" s="29"/>
      <c r="CJ87" s="28"/>
      <c r="CK87" s="11"/>
      <c r="CL87" s="11"/>
      <c r="CM87" s="11"/>
      <c r="CN87" s="29"/>
      <c r="CO87" s="28"/>
      <c r="CP87" s="11"/>
      <c r="CQ87" s="11"/>
      <c r="CR87" s="11"/>
      <c r="CS87" s="29"/>
      <c r="CT87" s="28"/>
      <c r="CU87" s="11"/>
      <c r="CV87" s="11"/>
      <c r="CW87" s="11"/>
      <c r="CX87" s="29"/>
      <c r="CY87" s="28"/>
      <c r="CZ87" s="30"/>
      <c r="DA87" s="30"/>
      <c r="DB87" s="30"/>
      <c r="DC87" s="30"/>
      <c r="DD87" s="30" t="str">
        <f t="shared" si="4"/>
        <v/>
      </c>
    </row>
    <row r="88" spans="1:108" ht="16.5">
      <c r="A88" s="26"/>
      <c r="B88" s="11"/>
      <c r="C88" s="11"/>
      <c r="D88" s="11"/>
      <c r="E88" s="11"/>
      <c r="F88" s="11"/>
      <c r="G88" s="11"/>
      <c r="H88" s="11"/>
      <c r="I88" s="11"/>
      <c r="J88" s="11"/>
      <c r="K88" s="11"/>
      <c r="L88" s="11"/>
      <c r="M88" s="27"/>
      <c r="N88" s="11"/>
      <c r="O88" s="11"/>
      <c r="P88" s="15"/>
      <c r="Q88" s="11"/>
      <c r="R88" s="11"/>
      <c r="S88" s="15"/>
      <c r="T88" s="15"/>
      <c r="U88" s="15"/>
      <c r="V88" s="11"/>
      <c r="W88" s="15"/>
      <c r="X88" s="11"/>
      <c r="Y88" s="11"/>
      <c r="Z88" s="15"/>
      <c r="AA88" s="11"/>
      <c r="AB88" s="11"/>
      <c r="AC88" s="15"/>
      <c r="AD88" s="15"/>
      <c r="AE88" s="15"/>
      <c r="AF88" s="11"/>
      <c r="AG88" s="15"/>
      <c r="AH88" s="11"/>
      <c r="AI88" s="11"/>
      <c r="AJ88" s="15"/>
      <c r="AK88" s="11"/>
      <c r="AL88" s="11"/>
      <c r="AM88" s="15"/>
      <c r="AN88" s="15"/>
      <c r="AO88" s="15"/>
      <c r="AP88" s="11"/>
      <c r="AQ88" s="15"/>
      <c r="AR88" s="11"/>
      <c r="AS88" s="11"/>
      <c r="AT88" s="15"/>
      <c r="AU88" s="11"/>
      <c r="AV88" s="11"/>
      <c r="AW88" s="15"/>
      <c r="AX88" s="15"/>
      <c r="AY88" s="15"/>
      <c r="AZ88" s="11"/>
      <c r="BA88" s="15"/>
      <c r="BB88" s="11"/>
      <c r="BC88" s="11"/>
      <c r="BD88" s="15"/>
      <c r="BE88" s="11"/>
      <c r="BF88" s="11"/>
      <c r="BG88" s="15"/>
      <c r="BH88" s="11"/>
      <c r="BI88" s="11"/>
      <c r="BJ88" s="11"/>
      <c r="BK88" s="11"/>
      <c r="BL88" s="28" t="str">
        <f t="shared" si="0"/>
        <v/>
      </c>
      <c r="BM88" s="28"/>
      <c r="BN88" s="11"/>
      <c r="BO88" s="29" t="str">
        <f t="shared" si="1"/>
        <v/>
      </c>
      <c r="BP88" s="11"/>
      <c r="BQ88" s="11"/>
      <c r="BR88" s="11"/>
      <c r="BS88" s="11"/>
      <c r="BT88" s="11"/>
      <c r="BU88" s="11"/>
      <c r="BV88" s="11"/>
      <c r="BW88" s="28" t="str">
        <f t="shared" si="2"/>
        <v/>
      </c>
      <c r="BX88" s="28"/>
      <c r="BY88" s="11"/>
      <c r="BZ88" s="29" t="str">
        <f t="shared" si="3"/>
        <v/>
      </c>
      <c r="CA88" s="11"/>
      <c r="CB88" s="11"/>
      <c r="CC88" s="11"/>
      <c r="CD88" s="11"/>
      <c r="CE88" s="11"/>
      <c r="CF88" s="11"/>
      <c r="CG88" s="11"/>
      <c r="CH88" s="11"/>
      <c r="CI88" s="29"/>
      <c r="CJ88" s="28"/>
      <c r="CK88" s="11"/>
      <c r="CL88" s="11"/>
      <c r="CM88" s="11"/>
      <c r="CN88" s="29"/>
      <c r="CO88" s="28"/>
      <c r="CP88" s="11"/>
      <c r="CQ88" s="11"/>
      <c r="CR88" s="11"/>
      <c r="CS88" s="29"/>
      <c r="CT88" s="28"/>
      <c r="CU88" s="11"/>
      <c r="CV88" s="11"/>
      <c r="CW88" s="11"/>
      <c r="CX88" s="29"/>
      <c r="CY88" s="28"/>
      <c r="CZ88" s="30"/>
      <c r="DA88" s="30"/>
      <c r="DB88" s="30"/>
      <c r="DC88" s="30"/>
      <c r="DD88" s="30" t="str">
        <f t="shared" si="4"/>
        <v/>
      </c>
    </row>
    <row r="89" spans="1:108" ht="16.5">
      <c r="A89" s="26"/>
      <c r="B89" s="11"/>
      <c r="C89" s="11"/>
      <c r="D89" s="11"/>
      <c r="E89" s="11"/>
      <c r="F89" s="11"/>
      <c r="G89" s="11"/>
      <c r="H89" s="11"/>
      <c r="I89" s="11"/>
      <c r="J89" s="11"/>
      <c r="K89" s="11"/>
      <c r="L89" s="11"/>
      <c r="M89" s="27"/>
      <c r="N89" s="11"/>
      <c r="O89" s="11"/>
      <c r="P89" s="15"/>
      <c r="Q89" s="11"/>
      <c r="R89" s="11"/>
      <c r="S89" s="15"/>
      <c r="T89" s="15"/>
      <c r="U89" s="15"/>
      <c r="V89" s="11"/>
      <c r="W89" s="15"/>
      <c r="X89" s="11"/>
      <c r="Y89" s="11"/>
      <c r="Z89" s="15"/>
      <c r="AA89" s="11"/>
      <c r="AB89" s="11"/>
      <c r="AC89" s="15"/>
      <c r="AD89" s="15"/>
      <c r="AE89" s="15"/>
      <c r="AF89" s="11"/>
      <c r="AG89" s="15"/>
      <c r="AH89" s="11"/>
      <c r="AI89" s="11"/>
      <c r="AJ89" s="15"/>
      <c r="AK89" s="11"/>
      <c r="AL89" s="11"/>
      <c r="AM89" s="15"/>
      <c r="AN89" s="15"/>
      <c r="AO89" s="15"/>
      <c r="AP89" s="11"/>
      <c r="AQ89" s="15"/>
      <c r="AR89" s="11"/>
      <c r="AS89" s="11"/>
      <c r="AT89" s="15"/>
      <c r="AU89" s="11"/>
      <c r="AV89" s="11"/>
      <c r="AW89" s="15"/>
      <c r="AX89" s="15"/>
      <c r="AY89" s="15"/>
      <c r="AZ89" s="11"/>
      <c r="BA89" s="15"/>
      <c r="BB89" s="11"/>
      <c r="BC89" s="11"/>
      <c r="BD89" s="15"/>
      <c r="BE89" s="11"/>
      <c r="BF89" s="11"/>
      <c r="BG89" s="15"/>
      <c r="BH89" s="11"/>
      <c r="BI89" s="11"/>
      <c r="BJ89" s="11"/>
      <c r="BK89" s="11"/>
      <c r="BL89" s="28" t="str">
        <f t="shared" si="0"/>
        <v/>
      </c>
      <c r="BM89" s="28"/>
      <c r="BN89" s="11"/>
      <c r="BO89" s="29" t="str">
        <f t="shared" si="1"/>
        <v/>
      </c>
      <c r="BP89" s="11"/>
      <c r="BQ89" s="11"/>
      <c r="BR89" s="11"/>
      <c r="BS89" s="11"/>
      <c r="BT89" s="11"/>
      <c r="BU89" s="11"/>
      <c r="BV89" s="11"/>
      <c r="BW89" s="28" t="str">
        <f t="shared" si="2"/>
        <v/>
      </c>
      <c r="BX89" s="28"/>
      <c r="BY89" s="11"/>
      <c r="BZ89" s="29" t="str">
        <f t="shared" si="3"/>
        <v/>
      </c>
      <c r="CA89" s="11"/>
      <c r="CB89" s="11"/>
      <c r="CC89" s="11"/>
      <c r="CD89" s="11"/>
      <c r="CE89" s="11"/>
      <c r="CF89" s="11"/>
      <c r="CG89" s="11"/>
      <c r="CH89" s="11"/>
      <c r="CI89" s="29"/>
      <c r="CJ89" s="28"/>
      <c r="CK89" s="11"/>
      <c r="CL89" s="11"/>
      <c r="CM89" s="11"/>
      <c r="CN89" s="29"/>
      <c r="CO89" s="28"/>
      <c r="CP89" s="11"/>
      <c r="CQ89" s="11"/>
      <c r="CR89" s="11"/>
      <c r="CS89" s="29"/>
      <c r="CT89" s="28"/>
      <c r="CU89" s="11"/>
      <c r="CV89" s="11"/>
      <c r="CW89" s="11"/>
      <c r="CX89" s="29"/>
      <c r="CY89" s="28"/>
      <c r="CZ89" s="30"/>
      <c r="DA89" s="30"/>
      <c r="DB89" s="30"/>
      <c r="DC89" s="30"/>
      <c r="DD89" s="30" t="str">
        <f t="shared" si="4"/>
        <v/>
      </c>
    </row>
    <row r="90" spans="1:108" ht="16.5">
      <c r="A90" s="26"/>
      <c r="B90" s="11"/>
      <c r="C90" s="11"/>
      <c r="D90" s="11"/>
      <c r="E90" s="11"/>
      <c r="F90" s="11"/>
      <c r="G90" s="11"/>
      <c r="H90" s="11"/>
      <c r="I90" s="11"/>
      <c r="J90" s="11"/>
      <c r="K90" s="11"/>
      <c r="L90" s="11"/>
      <c r="M90" s="27"/>
      <c r="N90" s="11"/>
      <c r="O90" s="11"/>
      <c r="P90" s="15"/>
      <c r="Q90" s="11"/>
      <c r="R90" s="11"/>
      <c r="S90" s="15"/>
      <c r="T90" s="15"/>
      <c r="U90" s="15"/>
      <c r="V90" s="11"/>
      <c r="W90" s="15"/>
      <c r="X90" s="11"/>
      <c r="Y90" s="11"/>
      <c r="Z90" s="15"/>
      <c r="AA90" s="11"/>
      <c r="AB90" s="11"/>
      <c r="AC90" s="15"/>
      <c r="AD90" s="15"/>
      <c r="AE90" s="15"/>
      <c r="AF90" s="11"/>
      <c r="AG90" s="15"/>
      <c r="AH90" s="11"/>
      <c r="AI90" s="11"/>
      <c r="AJ90" s="15"/>
      <c r="AK90" s="11"/>
      <c r="AL90" s="11"/>
      <c r="AM90" s="15"/>
      <c r="AN90" s="15"/>
      <c r="AO90" s="15"/>
      <c r="AP90" s="11"/>
      <c r="AQ90" s="15"/>
      <c r="AR90" s="11"/>
      <c r="AS90" s="11"/>
      <c r="AT90" s="15"/>
      <c r="AU90" s="11"/>
      <c r="AV90" s="11"/>
      <c r="AW90" s="15"/>
      <c r="AX90" s="15"/>
      <c r="AY90" s="15"/>
      <c r="AZ90" s="11"/>
      <c r="BA90" s="15"/>
      <c r="BB90" s="11"/>
      <c r="BC90" s="11"/>
      <c r="BD90" s="15"/>
      <c r="BE90" s="11"/>
      <c r="BF90" s="11"/>
      <c r="BG90" s="15"/>
      <c r="BH90" s="11"/>
      <c r="BI90" s="11"/>
      <c r="BJ90" s="11"/>
      <c r="BK90" s="11"/>
      <c r="BL90" s="28" t="str">
        <f t="shared" si="0"/>
        <v/>
      </c>
      <c r="BM90" s="28"/>
      <c r="BN90" s="11"/>
      <c r="BO90" s="29" t="str">
        <f t="shared" si="1"/>
        <v/>
      </c>
      <c r="BP90" s="11"/>
      <c r="BQ90" s="11"/>
      <c r="BR90" s="11"/>
      <c r="BS90" s="11"/>
      <c r="BT90" s="11"/>
      <c r="BU90" s="11"/>
      <c r="BV90" s="11"/>
      <c r="BW90" s="28" t="str">
        <f t="shared" si="2"/>
        <v/>
      </c>
      <c r="BX90" s="28"/>
      <c r="BY90" s="11"/>
      <c r="BZ90" s="29" t="str">
        <f t="shared" si="3"/>
        <v/>
      </c>
      <c r="CA90" s="11"/>
      <c r="CB90" s="11"/>
      <c r="CC90" s="11"/>
      <c r="CD90" s="11"/>
      <c r="CE90" s="11"/>
      <c r="CF90" s="11"/>
      <c r="CG90" s="11"/>
      <c r="CH90" s="11"/>
      <c r="CI90" s="29"/>
      <c r="CJ90" s="28"/>
      <c r="CK90" s="11"/>
      <c r="CL90" s="11"/>
      <c r="CM90" s="11"/>
      <c r="CN90" s="29"/>
      <c r="CO90" s="28"/>
      <c r="CP90" s="11"/>
      <c r="CQ90" s="11"/>
      <c r="CR90" s="11"/>
      <c r="CS90" s="29"/>
      <c r="CT90" s="28"/>
      <c r="CU90" s="11"/>
      <c r="CV90" s="11"/>
      <c r="CW90" s="11"/>
      <c r="CX90" s="29"/>
      <c r="CY90" s="28"/>
      <c r="CZ90" s="30"/>
      <c r="DA90" s="30"/>
      <c r="DB90" s="30"/>
      <c r="DC90" s="30"/>
      <c r="DD90" s="30" t="str">
        <f t="shared" si="4"/>
        <v/>
      </c>
    </row>
    <row r="91" spans="1:108" ht="16.5">
      <c r="A91" s="26"/>
      <c r="B91" s="11"/>
      <c r="C91" s="11"/>
      <c r="D91" s="11"/>
      <c r="E91" s="11"/>
      <c r="F91" s="11"/>
      <c r="G91" s="11"/>
      <c r="H91" s="11"/>
      <c r="I91" s="11"/>
      <c r="J91" s="11"/>
      <c r="K91" s="11"/>
      <c r="L91" s="11"/>
      <c r="M91" s="27"/>
      <c r="N91" s="11"/>
      <c r="O91" s="11"/>
      <c r="P91" s="15"/>
      <c r="Q91" s="11"/>
      <c r="R91" s="11"/>
      <c r="S91" s="15"/>
      <c r="T91" s="15"/>
      <c r="U91" s="15"/>
      <c r="V91" s="11"/>
      <c r="W91" s="15"/>
      <c r="X91" s="11"/>
      <c r="Y91" s="11"/>
      <c r="Z91" s="15"/>
      <c r="AA91" s="11"/>
      <c r="AB91" s="11"/>
      <c r="AC91" s="15"/>
      <c r="AD91" s="15"/>
      <c r="AE91" s="15"/>
      <c r="AF91" s="11"/>
      <c r="AG91" s="15"/>
      <c r="AH91" s="11"/>
      <c r="AI91" s="11"/>
      <c r="AJ91" s="15"/>
      <c r="AK91" s="11"/>
      <c r="AL91" s="11"/>
      <c r="AM91" s="15"/>
      <c r="AN91" s="15"/>
      <c r="AO91" s="15"/>
      <c r="AP91" s="11"/>
      <c r="AQ91" s="15"/>
      <c r="AR91" s="11"/>
      <c r="AS91" s="11"/>
      <c r="AT91" s="15"/>
      <c r="AU91" s="11"/>
      <c r="AV91" s="11"/>
      <c r="AW91" s="15"/>
      <c r="AX91" s="15"/>
      <c r="AY91" s="15"/>
      <c r="AZ91" s="11"/>
      <c r="BA91" s="15"/>
      <c r="BB91" s="11"/>
      <c r="BC91" s="11"/>
      <c r="BD91" s="15"/>
      <c r="BE91" s="11"/>
      <c r="BF91" s="11"/>
      <c r="BG91" s="15"/>
      <c r="BH91" s="11"/>
      <c r="BI91" s="11"/>
      <c r="BJ91" s="11"/>
      <c r="BK91" s="11"/>
      <c r="BL91" s="28" t="str">
        <f t="shared" si="0"/>
        <v/>
      </c>
      <c r="BM91" s="28"/>
      <c r="BN91" s="11"/>
      <c r="BO91" s="29" t="str">
        <f t="shared" si="1"/>
        <v/>
      </c>
      <c r="BP91" s="11"/>
      <c r="BQ91" s="11"/>
      <c r="BR91" s="11"/>
      <c r="BS91" s="11"/>
      <c r="BT91" s="11"/>
      <c r="BU91" s="11"/>
      <c r="BV91" s="11"/>
      <c r="BW91" s="28" t="str">
        <f t="shared" si="2"/>
        <v/>
      </c>
      <c r="BX91" s="28"/>
      <c r="BY91" s="11"/>
      <c r="BZ91" s="29" t="str">
        <f t="shared" si="3"/>
        <v/>
      </c>
      <c r="CA91" s="11"/>
      <c r="CB91" s="11"/>
      <c r="CC91" s="11"/>
      <c r="CD91" s="11"/>
      <c r="CE91" s="11"/>
      <c r="CF91" s="11"/>
      <c r="CG91" s="11"/>
      <c r="CH91" s="11"/>
      <c r="CI91" s="29"/>
      <c r="CJ91" s="28"/>
      <c r="CK91" s="11"/>
      <c r="CL91" s="11"/>
      <c r="CM91" s="11"/>
      <c r="CN91" s="29"/>
      <c r="CO91" s="28"/>
      <c r="CP91" s="11"/>
      <c r="CQ91" s="11"/>
      <c r="CR91" s="11"/>
      <c r="CS91" s="29"/>
      <c r="CT91" s="28"/>
      <c r="CU91" s="11"/>
      <c r="CV91" s="11"/>
      <c r="CW91" s="11"/>
      <c r="CX91" s="29"/>
      <c r="CY91" s="28"/>
      <c r="CZ91" s="30"/>
      <c r="DA91" s="30"/>
      <c r="DB91" s="30"/>
      <c r="DC91" s="30"/>
      <c r="DD91" s="30" t="str">
        <f t="shared" si="4"/>
        <v/>
      </c>
    </row>
    <row r="92" spans="1:108" ht="16.5">
      <c r="A92" s="26"/>
      <c r="B92" s="11"/>
      <c r="C92" s="11"/>
      <c r="D92" s="11"/>
      <c r="E92" s="11"/>
      <c r="F92" s="11"/>
      <c r="G92" s="11"/>
      <c r="H92" s="11"/>
      <c r="I92" s="11"/>
      <c r="J92" s="11"/>
      <c r="K92" s="11"/>
      <c r="L92" s="11"/>
      <c r="M92" s="27"/>
      <c r="N92" s="11"/>
      <c r="O92" s="11"/>
      <c r="P92" s="15"/>
      <c r="Q92" s="11"/>
      <c r="R92" s="11"/>
      <c r="S92" s="15"/>
      <c r="T92" s="15"/>
      <c r="U92" s="15"/>
      <c r="V92" s="11"/>
      <c r="W92" s="15"/>
      <c r="X92" s="11"/>
      <c r="Y92" s="11"/>
      <c r="Z92" s="15"/>
      <c r="AA92" s="11"/>
      <c r="AB92" s="11"/>
      <c r="AC92" s="15"/>
      <c r="AD92" s="15"/>
      <c r="AE92" s="15"/>
      <c r="AF92" s="11"/>
      <c r="AG92" s="15"/>
      <c r="AH92" s="11"/>
      <c r="AI92" s="11"/>
      <c r="AJ92" s="15"/>
      <c r="AK92" s="11"/>
      <c r="AL92" s="11"/>
      <c r="AM92" s="15"/>
      <c r="AN92" s="15"/>
      <c r="AO92" s="15"/>
      <c r="AP92" s="11"/>
      <c r="AQ92" s="15"/>
      <c r="AR92" s="11"/>
      <c r="AS92" s="11"/>
      <c r="AT92" s="15"/>
      <c r="AU92" s="11"/>
      <c r="AV92" s="11"/>
      <c r="AW92" s="15"/>
      <c r="AX92" s="15"/>
      <c r="AY92" s="15"/>
      <c r="AZ92" s="11"/>
      <c r="BA92" s="15"/>
      <c r="BB92" s="11"/>
      <c r="BC92" s="11"/>
      <c r="BD92" s="15"/>
      <c r="BE92" s="11"/>
      <c r="BF92" s="11"/>
      <c r="BG92" s="15"/>
      <c r="BH92" s="11"/>
      <c r="BI92" s="11"/>
      <c r="BJ92" s="11"/>
      <c r="BK92" s="11"/>
      <c r="BL92" s="28" t="str">
        <f t="shared" si="0"/>
        <v/>
      </c>
      <c r="BM92" s="28"/>
      <c r="BN92" s="11"/>
      <c r="BO92" s="29" t="str">
        <f t="shared" si="1"/>
        <v/>
      </c>
      <c r="BP92" s="11"/>
      <c r="BQ92" s="11"/>
      <c r="BR92" s="11"/>
      <c r="BS92" s="11"/>
      <c r="BT92" s="11"/>
      <c r="BU92" s="11"/>
      <c r="BV92" s="11"/>
      <c r="BW92" s="28" t="str">
        <f t="shared" si="2"/>
        <v/>
      </c>
      <c r="BX92" s="28"/>
      <c r="BY92" s="11"/>
      <c r="BZ92" s="29" t="str">
        <f t="shared" si="3"/>
        <v/>
      </c>
      <c r="CA92" s="11"/>
      <c r="CB92" s="11"/>
      <c r="CC92" s="11"/>
      <c r="CD92" s="11"/>
      <c r="CE92" s="11"/>
      <c r="CF92" s="11"/>
      <c r="CG92" s="11"/>
      <c r="CH92" s="11"/>
      <c r="CI92" s="29"/>
      <c r="CJ92" s="28"/>
      <c r="CK92" s="11"/>
      <c r="CL92" s="11"/>
      <c r="CM92" s="11"/>
      <c r="CN92" s="29"/>
      <c r="CO92" s="28"/>
      <c r="CP92" s="11"/>
      <c r="CQ92" s="11"/>
      <c r="CR92" s="11"/>
      <c r="CS92" s="29"/>
      <c r="CT92" s="28"/>
      <c r="CU92" s="11"/>
      <c r="CV92" s="11"/>
      <c r="CW92" s="11"/>
      <c r="CX92" s="29"/>
      <c r="CY92" s="28"/>
      <c r="CZ92" s="30"/>
      <c r="DA92" s="30"/>
      <c r="DB92" s="30"/>
      <c r="DC92" s="30"/>
      <c r="DD92" s="30" t="str">
        <f t="shared" si="4"/>
        <v/>
      </c>
    </row>
    <row r="93" spans="1:108" ht="16.5">
      <c r="A93" s="26"/>
      <c r="B93" s="11"/>
      <c r="C93" s="11"/>
      <c r="D93" s="11"/>
      <c r="E93" s="11"/>
      <c r="F93" s="11"/>
      <c r="G93" s="11"/>
      <c r="H93" s="11"/>
      <c r="I93" s="11"/>
      <c r="J93" s="11"/>
      <c r="K93" s="11"/>
      <c r="L93" s="11"/>
      <c r="M93" s="27"/>
      <c r="N93" s="11"/>
      <c r="O93" s="11"/>
      <c r="P93" s="15"/>
      <c r="Q93" s="11"/>
      <c r="R93" s="11"/>
      <c r="S93" s="15"/>
      <c r="T93" s="15"/>
      <c r="U93" s="15"/>
      <c r="V93" s="11"/>
      <c r="W93" s="15"/>
      <c r="X93" s="11"/>
      <c r="Y93" s="11"/>
      <c r="Z93" s="15"/>
      <c r="AA93" s="11"/>
      <c r="AB93" s="11"/>
      <c r="AC93" s="15"/>
      <c r="AD93" s="15"/>
      <c r="AE93" s="15"/>
      <c r="AF93" s="11"/>
      <c r="AG93" s="15"/>
      <c r="AH93" s="11"/>
      <c r="AI93" s="11"/>
      <c r="AJ93" s="15"/>
      <c r="AK93" s="11"/>
      <c r="AL93" s="11"/>
      <c r="AM93" s="15"/>
      <c r="AN93" s="15"/>
      <c r="AO93" s="15"/>
      <c r="AP93" s="11"/>
      <c r="AQ93" s="15"/>
      <c r="AR93" s="11"/>
      <c r="AS93" s="11"/>
      <c r="AT93" s="15"/>
      <c r="AU93" s="11"/>
      <c r="AV93" s="11"/>
      <c r="AW93" s="15"/>
      <c r="AX93" s="15"/>
      <c r="AY93" s="15"/>
      <c r="AZ93" s="11"/>
      <c r="BA93" s="15"/>
      <c r="BB93" s="11"/>
      <c r="BC93" s="11"/>
      <c r="BD93" s="15"/>
      <c r="BE93" s="11"/>
      <c r="BF93" s="11"/>
      <c r="BG93" s="15"/>
      <c r="BH93" s="11"/>
      <c r="BI93" s="11"/>
      <c r="BJ93" s="11"/>
      <c r="BK93" s="11"/>
      <c r="BL93" s="28" t="str">
        <f t="shared" si="0"/>
        <v/>
      </c>
      <c r="BM93" s="28"/>
      <c r="BN93" s="11"/>
      <c r="BO93" s="29" t="str">
        <f t="shared" si="1"/>
        <v/>
      </c>
      <c r="BP93" s="11"/>
      <c r="BQ93" s="11"/>
      <c r="BR93" s="11"/>
      <c r="BS93" s="11"/>
      <c r="BT93" s="11"/>
      <c r="BU93" s="11"/>
      <c r="BV93" s="11"/>
      <c r="BW93" s="28" t="str">
        <f t="shared" si="2"/>
        <v/>
      </c>
      <c r="BX93" s="28"/>
      <c r="BY93" s="11"/>
      <c r="BZ93" s="29" t="str">
        <f t="shared" si="3"/>
        <v/>
      </c>
      <c r="CA93" s="11"/>
      <c r="CB93" s="11"/>
      <c r="CC93" s="11"/>
      <c r="CD93" s="11"/>
      <c r="CE93" s="11"/>
      <c r="CF93" s="11"/>
      <c r="CG93" s="11"/>
      <c r="CH93" s="11"/>
      <c r="CI93" s="29"/>
      <c r="CJ93" s="28"/>
      <c r="CK93" s="11"/>
      <c r="CL93" s="11"/>
      <c r="CM93" s="11"/>
      <c r="CN93" s="29"/>
      <c r="CO93" s="28"/>
      <c r="CP93" s="11"/>
      <c r="CQ93" s="11"/>
      <c r="CR93" s="11"/>
      <c r="CS93" s="29"/>
      <c r="CT93" s="28"/>
      <c r="CU93" s="11"/>
      <c r="CV93" s="11"/>
      <c r="CW93" s="11"/>
      <c r="CX93" s="29"/>
      <c r="CY93" s="28"/>
      <c r="CZ93" s="30"/>
      <c r="DA93" s="30"/>
      <c r="DB93" s="30"/>
      <c r="DC93" s="30"/>
      <c r="DD93" s="30" t="str">
        <f t="shared" si="4"/>
        <v/>
      </c>
    </row>
    <row r="94" spans="1:108" ht="16.5">
      <c r="A94" s="26"/>
      <c r="B94" s="11"/>
      <c r="C94" s="11"/>
      <c r="D94" s="11"/>
      <c r="E94" s="11"/>
      <c r="F94" s="11"/>
      <c r="G94" s="11"/>
      <c r="H94" s="11"/>
      <c r="I94" s="11"/>
      <c r="J94" s="11"/>
      <c r="K94" s="11"/>
      <c r="L94" s="11"/>
      <c r="M94" s="27"/>
      <c r="N94" s="11"/>
      <c r="O94" s="11"/>
      <c r="P94" s="15"/>
      <c r="Q94" s="11"/>
      <c r="R94" s="11"/>
      <c r="S94" s="15"/>
      <c r="T94" s="15"/>
      <c r="U94" s="15"/>
      <c r="V94" s="11"/>
      <c r="W94" s="15"/>
      <c r="X94" s="11"/>
      <c r="Y94" s="11"/>
      <c r="Z94" s="15"/>
      <c r="AA94" s="11"/>
      <c r="AB94" s="11"/>
      <c r="AC94" s="15"/>
      <c r="AD94" s="15"/>
      <c r="AE94" s="15"/>
      <c r="AF94" s="11"/>
      <c r="AG94" s="15"/>
      <c r="AH94" s="11"/>
      <c r="AI94" s="11"/>
      <c r="AJ94" s="15"/>
      <c r="AK94" s="11"/>
      <c r="AL94" s="11"/>
      <c r="AM94" s="15"/>
      <c r="AN94" s="15"/>
      <c r="AO94" s="15"/>
      <c r="AP94" s="11"/>
      <c r="AQ94" s="15"/>
      <c r="AR94" s="11"/>
      <c r="AS94" s="11"/>
      <c r="AT94" s="15"/>
      <c r="AU94" s="11"/>
      <c r="AV94" s="11"/>
      <c r="AW94" s="15"/>
      <c r="AX94" s="15"/>
      <c r="AY94" s="15"/>
      <c r="AZ94" s="11"/>
      <c r="BA94" s="15"/>
      <c r="BB94" s="11"/>
      <c r="BC94" s="11"/>
      <c r="BD94" s="15"/>
      <c r="BE94" s="11"/>
      <c r="BF94" s="11"/>
      <c r="BG94" s="15"/>
      <c r="BH94" s="11"/>
      <c r="BI94" s="11"/>
      <c r="BJ94" s="11"/>
      <c r="BK94" s="11"/>
      <c r="BL94" s="28" t="str">
        <f t="shared" si="0"/>
        <v/>
      </c>
      <c r="BM94" s="28"/>
      <c r="BN94" s="11"/>
      <c r="BO94" s="29" t="str">
        <f t="shared" si="1"/>
        <v/>
      </c>
      <c r="BP94" s="11"/>
      <c r="BQ94" s="11"/>
      <c r="BR94" s="11"/>
      <c r="BS94" s="11"/>
      <c r="BT94" s="11"/>
      <c r="BU94" s="11"/>
      <c r="BV94" s="11"/>
      <c r="BW94" s="28" t="str">
        <f t="shared" si="2"/>
        <v/>
      </c>
      <c r="BX94" s="28"/>
      <c r="BY94" s="11"/>
      <c r="BZ94" s="29" t="str">
        <f t="shared" si="3"/>
        <v/>
      </c>
      <c r="CA94" s="11"/>
      <c r="CB94" s="11"/>
      <c r="CC94" s="11"/>
      <c r="CD94" s="11"/>
      <c r="CE94" s="11"/>
      <c r="CF94" s="11"/>
      <c r="CG94" s="11"/>
      <c r="CH94" s="11"/>
      <c r="CI94" s="29"/>
      <c r="CJ94" s="28"/>
      <c r="CK94" s="11"/>
      <c r="CL94" s="11"/>
      <c r="CM94" s="11"/>
      <c r="CN94" s="29"/>
      <c r="CO94" s="28"/>
      <c r="CP94" s="11"/>
      <c r="CQ94" s="11"/>
      <c r="CR94" s="11"/>
      <c r="CS94" s="29"/>
      <c r="CT94" s="28"/>
      <c r="CU94" s="11"/>
      <c r="CV94" s="11"/>
      <c r="CW94" s="11"/>
      <c r="CX94" s="29"/>
      <c r="CY94" s="28"/>
      <c r="CZ94" s="30"/>
      <c r="DA94" s="30"/>
      <c r="DB94" s="30"/>
      <c r="DC94" s="30"/>
      <c r="DD94" s="30" t="str">
        <f t="shared" si="4"/>
        <v/>
      </c>
    </row>
    <row r="95" spans="1:108" ht="16.5">
      <c r="A95" s="26"/>
      <c r="B95" s="11"/>
      <c r="C95" s="11"/>
      <c r="D95" s="11"/>
      <c r="E95" s="11"/>
      <c r="F95" s="11"/>
      <c r="G95" s="11"/>
      <c r="H95" s="11"/>
      <c r="I95" s="11"/>
      <c r="J95" s="11"/>
      <c r="K95" s="11"/>
      <c r="L95" s="11"/>
      <c r="M95" s="27"/>
      <c r="N95" s="11"/>
      <c r="O95" s="11"/>
      <c r="P95" s="15"/>
      <c r="Q95" s="11"/>
      <c r="R95" s="11"/>
      <c r="S95" s="15"/>
      <c r="T95" s="15"/>
      <c r="U95" s="15"/>
      <c r="V95" s="11"/>
      <c r="W95" s="15"/>
      <c r="X95" s="11"/>
      <c r="Y95" s="11"/>
      <c r="Z95" s="15"/>
      <c r="AA95" s="11"/>
      <c r="AB95" s="11"/>
      <c r="AC95" s="15"/>
      <c r="AD95" s="15"/>
      <c r="AE95" s="15"/>
      <c r="AF95" s="11"/>
      <c r="AG95" s="15"/>
      <c r="AH95" s="11"/>
      <c r="AI95" s="11"/>
      <c r="AJ95" s="15"/>
      <c r="AK95" s="11"/>
      <c r="AL95" s="11"/>
      <c r="AM95" s="15"/>
      <c r="AN95" s="15"/>
      <c r="AO95" s="15"/>
      <c r="AP95" s="11"/>
      <c r="AQ95" s="15"/>
      <c r="AR95" s="11"/>
      <c r="AS95" s="11"/>
      <c r="AT95" s="15"/>
      <c r="AU95" s="11"/>
      <c r="AV95" s="11"/>
      <c r="AW95" s="15"/>
      <c r="AX95" s="15"/>
      <c r="AY95" s="15"/>
      <c r="AZ95" s="11"/>
      <c r="BA95" s="15"/>
      <c r="BB95" s="11"/>
      <c r="BC95" s="11"/>
      <c r="BD95" s="15"/>
      <c r="BE95" s="11"/>
      <c r="BF95" s="11"/>
      <c r="BG95" s="15"/>
      <c r="BH95" s="11"/>
      <c r="BI95" s="11"/>
      <c r="BJ95" s="11"/>
      <c r="BK95" s="11"/>
      <c r="BL95" s="28" t="str">
        <f t="shared" si="0"/>
        <v/>
      </c>
      <c r="BM95" s="28"/>
      <c r="BN95" s="11"/>
      <c r="BO95" s="29" t="str">
        <f t="shared" si="1"/>
        <v/>
      </c>
      <c r="BP95" s="11"/>
      <c r="BQ95" s="11"/>
      <c r="BR95" s="11"/>
      <c r="BS95" s="11"/>
      <c r="BT95" s="11"/>
      <c r="BU95" s="11"/>
      <c r="BV95" s="11"/>
      <c r="BW95" s="28" t="str">
        <f t="shared" si="2"/>
        <v/>
      </c>
      <c r="BX95" s="28"/>
      <c r="BY95" s="11"/>
      <c r="BZ95" s="29" t="str">
        <f t="shared" si="3"/>
        <v/>
      </c>
      <c r="CA95" s="11"/>
      <c r="CB95" s="11"/>
      <c r="CC95" s="11"/>
      <c r="CD95" s="11"/>
      <c r="CE95" s="11"/>
      <c r="CF95" s="11"/>
      <c r="CG95" s="11"/>
      <c r="CH95" s="11"/>
      <c r="CI95" s="29"/>
      <c r="CJ95" s="28"/>
      <c r="CK95" s="11"/>
      <c r="CL95" s="11"/>
      <c r="CM95" s="11"/>
      <c r="CN95" s="29"/>
      <c r="CO95" s="28"/>
      <c r="CP95" s="11"/>
      <c r="CQ95" s="11"/>
      <c r="CR95" s="11"/>
      <c r="CS95" s="29"/>
      <c r="CT95" s="28"/>
      <c r="CU95" s="11"/>
      <c r="CV95" s="11"/>
      <c r="CW95" s="11"/>
      <c r="CX95" s="29"/>
      <c r="CY95" s="28"/>
      <c r="CZ95" s="30"/>
      <c r="DA95" s="30"/>
      <c r="DB95" s="30"/>
      <c r="DC95" s="30"/>
      <c r="DD95" s="30" t="str">
        <f t="shared" si="4"/>
        <v/>
      </c>
    </row>
    <row r="96" spans="1:108" ht="16.5">
      <c r="A96" s="26"/>
      <c r="B96" s="11"/>
      <c r="C96" s="11"/>
      <c r="D96" s="11"/>
      <c r="E96" s="11"/>
      <c r="F96" s="11"/>
      <c r="G96" s="11"/>
      <c r="H96" s="11"/>
      <c r="I96" s="11"/>
      <c r="J96" s="11"/>
      <c r="K96" s="11"/>
      <c r="L96" s="11"/>
      <c r="M96" s="27"/>
      <c r="N96" s="11"/>
      <c r="O96" s="11"/>
      <c r="P96" s="15"/>
      <c r="Q96" s="11"/>
      <c r="R96" s="11"/>
      <c r="S96" s="15"/>
      <c r="T96" s="15"/>
      <c r="U96" s="15"/>
      <c r="V96" s="11"/>
      <c r="W96" s="15"/>
      <c r="X96" s="11"/>
      <c r="Y96" s="11"/>
      <c r="Z96" s="15"/>
      <c r="AA96" s="11"/>
      <c r="AB96" s="11"/>
      <c r="AC96" s="15"/>
      <c r="AD96" s="15"/>
      <c r="AE96" s="15"/>
      <c r="AF96" s="11"/>
      <c r="AG96" s="15"/>
      <c r="AH96" s="11"/>
      <c r="AI96" s="11"/>
      <c r="AJ96" s="15"/>
      <c r="AK96" s="11"/>
      <c r="AL96" s="11"/>
      <c r="AM96" s="15"/>
      <c r="AN96" s="15"/>
      <c r="AO96" s="15"/>
      <c r="AP96" s="11"/>
      <c r="AQ96" s="15"/>
      <c r="AR96" s="11"/>
      <c r="AS96" s="11"/>
      <c r="AT96" s="15"/>
      <c r="AU96" s="11"/>
      <c r="AV96" s="11"/>
      <c r="AW96" s="15"/>
      <c r="AX96" s="15"/>
      <c r="AY96" s="15"/>
      <c r="AZ96" s="11"/>
      <c r="BA96" s="15"/>
      <c r="BB96" s="11"/>
      <c r="BC96" s="11"/>
      <c r="BD96" s="15"/>
      <c r="BE96" s="11"/>
      <c r="BF96" s="11"/>
      <c r="BG96" s="15"/>
      <c r="BH96" s="11"/>
      <c r="BI96" s="11"/>
      <c r="BJ96" s="11"/>
      <c r="BK96" s="11"/>
      <c r="BL96" s="28" t="str">
        <f t="shared" si="0"/>
        <v/>
      </c>
      <c r="BM96" s="28"/>
      <c r="BN96" s="11"/>
      <c r="BO96" s="29" t="str">
        <f t="shared" si="1"/>
        <v/>
      </c>
      <c r="BP96" s="11"/>
      <c r="BQ96" s="11"/>
      <c r="BR96" s="11"/>
      <c r="BS96" s="11"/>
      <c r="BT96" s="11"/>
      <c r="BU96" s="11"/>
      <c r="BV96" s="11"/>
      <c r="BW96" s="28" t="str">
        <f t="shared" si="2"/>
        <v/>
      </c>
      <c r="BX96" s="28"/>
      <c r="BY96" s="11"/>
      <c r="BZ96" s="29" t="str">
        <f t="shared" si="3"/>
        <v/>
      </c>
      <c r="CA96" s="11"/>
      <c r="CB96" s="11"/>
      <c r="CC96" s="11"/>
      <c r="CD96" s="11"/>
      <c r="CE96" s="11"/>
      <c r="CF96" s="11"/>
      <c r="CG96" s="11"/>
      <c r="CH96" s="11"/>
      <c r="CI96" s="29"/>
      <c r="CJ96" s="28"/>
      <c r="CK96" s="11"/>
      <c r="CL96" s="11"/>
      <c r="CM96" s="11"/>
      <c r="CN96" s="29"/>
      <c r="CO96" s="28"/>
      <c r="CP96" s="11"/>
      <c r="CQ96" s="11"/>
      <c r="CR96" s="11"/>
      <c r="CS96" s="29"/>
      <c r="CT96" s="28"/>
      <c r="CU96" s="11"/>
      <c r="CV96" s="11"/>
      <c r="CW96" s="11"/>
      <c r="CX96" s="29"/>
      <c r="CY96" s="28"/>
      <c r="CZ96" s="30"/>
      <c r="DA96" s="30"/>
      <c r="DB96" s="30"/>
      <c r="DC96" s="30"/>
      <c r="DD96" s="30" t="str">
        <f t="shared" si="4"/>
        <v/>
      </c>
    </row>
    <row r="97" spans="1:108" ht="16.5">
      <c r="A97" s="26"/>
      <c r="B97" s="11"/>
      <c r="C97" s="11"/>
      <c r="D97" s="11"/>
      <c r="E97" s="11"/>
      <c r="F97" s="11"/>
      <c r="G97" s="11"/>
      <c r="H97" s="11"/>
      <c r="I97" s="11"/>
      <c r="J97" s="11"/>
      <c r="K97" s="11"/>
      <c r="L97" s="11"/>
      <c r="M97" s="27"/>
      <c r="N97" s="11"/>
      <c r="O97" s="11"/>
      <c r="P97" s="15"/>
      <c r="Q97" s="11"/>
      <c r="R97" s="11"/>
      <c r="S97" s="15"/>
      <c r="T97" s="15"/>
      <c r="U97" s="15"/>
      <c r="V97" s="11"/>
      <c r="W97" s="15"/>
      <c r="X97" s="11"/>
      <c r="Y97" s="11"/>
      <c r="Z97" s="15"/>
      <c r="AA97" s="11"/>
      <c r="AB97" s="11"/>
      <c r="AC97" s="15"/>
      <c r="AD97" s="15"/>
      <c r="AE97" s="15"/>
      <c r="AF97" s="11"/>
      <c r="AG97" s="15"/>
      <c r="AH97" s="11"/>
      <c r="AI97" s="11"/>
      <c r="AJ97" s="15"/>
      <c r="AK97" s="11"/>
      <c r="AL97" s="11"/>
      <c r="AM97" s="15"/>
      <c r="AN97" s="15"/>
      <c r="AO97" s="15"/>
      <c r="AP97" s="11"/>
      <c r="AQ97" s="15"/>
      <c r="AR97" s="11"/>
      <c r="AS97" s="11"/>
      <c r="AT97" s="15"/>
      <c r="AU97" s="11"/>
      <c r="AV97" s="11"/>
      <c r="AW97" s="15"/>
      <c r="AX97" s="15"/>
      <c r="AY97" s="15"/>
      <c r="AZ97" s="11"/>
      <c r="BA97" s="15"/>
      <c r="BB97" s="11"/>
      <c r="BC97" s="11"/>
      <c r="BD97" s="15"/>
      <c r="BE97" s="11"/>
      <c r="BF97" s="11"/>
      <c r="BG97" s="15"/>
      <c r="BH97" s="11"/>
      <c r="BI97" s="11"/>
      <c r="BJ97" s="11"/>
      <c r="BK97" s="11"/>
      <c r="BL97" s="28" t="str">
        <f t="shared" si="0"/>
        <v/>
      </c>
      <c r="BM97" s="28"/>
      <c r="BN97" s="11"/>
      <c r="BO97" s="29" t="str">
        <f t="shared" si="1"/>
        <v/>
      </c>
      <c r="BP97" s="11"/>
      <c r="BQ97" s="11"/>
      <c r="BR97" s="11"/>
      <c r="BS97" s="11"/>
      <c r="BT97" s="11"/>
      <c r="BU97" s="11"/>
      <c r="BV97" s="11"/>
      <c r="BW97" s="28" t="str">
        <f t="shared" si="2"/>
        <v/>
      </c>
      <c r="BX97" s="28"/>
      <c r="BY97" s="11"/>
      <c r="BZ97" s="29" t="str">
        <f t="shared" si="3"/>
        <v/>
      </c>
      <c r="CA97" s="11"/>
      <c r="CB97" s="11"/>
      <c r="CC97" s="11"/>
      <c r="CD97" s="11"/>
      <c r="CE97" s="11"/>
      <c r="CF97" s="11"/>
      <c r="CG97" s="11"/>
      <c r="CH97" s="11"/>
      <c r="CI97" s="29"/>
      <c r="CJ97" s="28"/>
      <c r="CK97" s="11"/>
      <c r="CL97" s="11"/>
      <c r="CM97" s="11"/>
      <c r="CN97" s="29"/>
      <c r="CO97" s="28"/>
      <c r="CP97" s="11"/>
      <c r="CQ97" s="11"/>
      <c r="CR97" s="11"/>
      <c r="CS97" s="29"/>
      <c r="CT97" s="28"/>
      <c r="CU97" s="11"/>
      <c r="CV97" s="11"/>
      <c r="CW97" s="11"/>
      <c r="CX97" s="29"/>
      <c r="CY97" s="28"/>
      <c r="CZ97" s="30"/>
      <c r="DA97" s="30"/>
      <c r="DB97" s="30"/>
      <c r="DC97" s="30"/>
      <c r="DD97" s="30" t="str">
        <f t="shared" si="4"/>
        <v/>
      </c>
    </row>
    <row r="98" spans="1:108" ht="16.5">
      <c r="A98" s="26"/>
      <c r="B98" s="11"/>
      <c r="C98" s="11"/>
      <c r="D98" s="11"/>
      <c r="E98" s="11"/>
      <c r="F98" s="11"/>
      <c r="G98" s="11"/>
      <c r="H98" s="11"/>
      <c r="I98" s="11"/>
      <c r="J98" s="11"/>
      <c r="K98" s="11"/>
      <c r="L98" s="11"/>
      <c r="M98" s="27"/>
      <c r="N98" s="11"/>
      <c r="O98" s="11"/>
      <c r="P98" s="15"/>
      <c r="Q98" s="11"/>
      <c r="R98" s="11"/>
      <c r="S98" s="15"/>
      <c r="T98" s="15"/>
      <c r="U98" s="15"/>
      <c r="V98" s="11"/>
      <c r="W98" s="15"/>
      <c r="X98" s="11"/>
      <c r="Y98" s="11"/>
      <c r="Z98" s="15"/>
      <c r="AA98" s="11"/>
      <c r="AB98" s="11"/>
      <c r="AC98" s="15"/>
      <c r="AD98" s="15"/>
      <c r="AE98" s="15"/>
      <c r="AF98" s="11"/>
      <c r="AG98" s="15"/>
      <c r="AH98" s="11"/>
      <c r="AI98" s="11"/>
      <c r="AJ98" s="15"/>
      <c r="AK98" s="11"/>
      <c r="AL98" s="11"/>
      <c r="AM98" s="15"/>
      <c r="AN98" s="15"/>
      <c r="AO98" s="15"/>
      <c r="AP98" s="11"/>
      <c r="AQ98" s="15"/>
      <c r="AR98" s="11"/>
      <c r="AS98" s="11"/>
      <c r="AT98" s="15"/>
      <c r="AU98" s="11"/>
      <c r="AV98" s="11"/>
      <c r="AW98" s="15"/>
      <c r="AX98" s="15"/>
      <c r="AY98" s="15"/>
      <c r="AZ98" s="11"/>
      <c r="BA98" s="15"/>
      <c r="BB98" s="11"/>
      <c r="BC98" s="11"/>
      <c r="BD98" s="15"/>
      <c r="BE98" s="11"/>
      <c r="BF98" s="11"/>
      <c r="BG98" s="15"/>
      <c r="BH98" s="11"/>
      <c r="BI98" s="11"/>
      <c r="BJ98" s="11"/>
      <c r="BK98" s="11"/>
      <c r="BL98" s="28" t="str">
        <f t="shared" si="0"/>
        <v/>
      </c>
      <c r="BM98" s="28"/>
      <c r="BN98" s="11"/>
      <c r="BO98" s="29" t="str">
        <f t="shared" si="1"/>
        <v/>
      </c>
      <c r="BP98" s="11"/>
      <c r="BQ98" s="11"/>
      <c r="BR98" s="11"/>
      <c r="BS98" s="11"/>
      <c r="BT98" s="11"/>
      <c r="BU98" s="11"/>
      <c r="BV98" s="11"/>
      <c r="BW98" s="28" t="str">
        <f t="shared" si="2"/>
        <v/>
      </c>
      <c r="BX98" s="28"/>
      <c r="BY98" s="11"/>
      <c r="BZ98" s="29" t="str">
        <f t="shared" si="3"/>
        <v/>
      </c>
      <c r="CA98" s="11"/>
      <c r="CB98" s="11"/>
      <c r="CC98" s="11"/>
      <c r="CD98" s="11"/>
      <c r="CE98" s="11"/>
      <c r="CF98" s="11"/>
      <c r="CG98" s="11"/>
      <c r="CH98" s="11"/>
      <c r="CI98" s="29"/>
      <c r="CJ98" s="28"/>
      <c r="CK98" s="11"/>
      <c r="CL98" s="11"/>
      <c r="CM98" s="11"/>
      <c r="CN98" s="29"/>
      <c r="CO98" s="28"/>
      <c r="CP98" s="11"/>
      <c r="CQ98" s="11"/>
      <c r="CR98" s="11"/>
      <c r="CS98" s="29"/>
      <c r="CT98" s="28"/>
      <c r="CU98" s="11"/>
      <c r="CV98" s="11"/>
      <c r="CW98" s="11"/>
      <c r="CX98" s="29"/>
      <c r="CY98" s="28"/>
      <c r="CZ98" s="30"/>
      <c r="DA98" s="30"/>
      <c r="DB98" s="30"/>
      <c r="DC98" s="30"/>
      <c r="DD98" s="30" t="str">
        <f t="shared" si="4"/>
        <v/>
      </c>
    </row>
    <row r="99" spans="1:108" ht="16.5">
      <c r="A99" s="26"/>
      <c r="B99" s="11"/>
      <c r="C99" s="11"/>
      <c r="D99" s="11"/>
      <c r="E99" s="11"/>
      <c r="F99" s="11"/>
      <c r="G99" s="11"/>
      <c r="H99" s="11"/>
      <c r="I99" s="11"/>
      <c r="J99" s="11"/>
      <c r="K99" s="11"/>
      <c r="L99" s="11"/>
      <c r="M99" s="27"/>
      <c r="N99" s="11"/>
      <c r="O99" s="11"/>
      <c r="P99" s="15"/>
      <c r="Q99" s="11"/>
      <c r="R99" s="11"/>
      <c r="S99" s="15"/>
      <c r="T99" s="15"/>
      <c r="U99" s="15"/>
      <c r="V99" s="11"/>
      <c r="W99" s="15"/>
      <c r="X99" s="11"/>
      <c r="Y99" s="11"/>
      <c r="Z99" s="15"/>
      <c r="AA99" s="11"/>
      <c r="AB99" s="11"/>
      <c r="AC99" s="15"/>
      <c r="AD99" s="15"/>
      <c r="AE99" s="15"/>
      <c r="AF99" s="11"/>
      <c r="AG99" s="15"/>
      <c r="AH99" s="11"/>
      <c r="AI99" s="11"/>
      <c r="AJ99" s="15"/>
      <c r="AK99" s="11"/>
      <c r="AL99" s="11"/>
      <c r="AM99" s="15"/>
      <c r="AN99" s="15"/>
      <c r="AO99" s="15"/>
      <c r="AP99" s="11"/>
      <c r="AQ99" s="15"/>
      <c r="AR99" s="11"/>
      <c r="AS99" s="11"/>
      <c r="AT99" s="15"/>
      <c r="AU99" s="11"/>
      <c r="AV99" s="11"/>
      <c r="AW99" s="15"/>
      <c r="AX99" s="15"/>
      <c r="AY99" s="15"/>
      <c r="AZ99" s="11"/>
      <c r="BA99" s="15"/>
      <c r="BB99" s="11"/>
      <c r="BC99" s="11"/>
      <c r="BD99" s="15"/>
      <c r="BE99" s="11"/>
      <c r="BF99" s="11"/>
      <c r="BG99" s="15"/>
      <c r="BH99" s="11"/>
      <c r="BI99" s="11"/>
      <c r="BJ99" s="11"/>
      <c r="BK99" s="11"/>
      <c r="BL99" s="28" t="str">
        <f t="shared" si="0"/>
        <v/>
      </c>
      <c r="BM99" s="28"/>
      <c r="BN99" s="11"/>
      <c r="BO99" s="29" t="str">
        <f t="shared" si="1"/>
        <v/>
      </c>
      <c r="BP99" s="11"/>
      <c r="BQ99" s="11"/>
      <c r="BR99" s="11"/>
      <c r="BS99" s="11"/>
      <c r="BT99" s="11"/>
      <c r="BU99" s="11"/>
      <c r="BV99" s="11"/>
      <c r="BW99" s="28" t="str">
        <f t="shared" si="2"/>
        <v/>
      </c>
      <c r="BX99" s="28"/>
      <c r="BY99" s="11"/>
      <c r="BZ99" s="29" t="str">
        <f t="shared" si="3"/>
        <v/>
      </c>
      <c r="CA99" s="11"/>
      <c r="CB99" s="11"/>
      <c r="CC99" s="11"/>
      <c r="CD99" s="11"/>
      <c r="CE99" s="11"/>
      <c r="CF99" s="11"/>
      <c r="CG99" s="11"/>
      <c r="CH99" s="11"/>
      <c r="CI99" s="29"/>
      <c r="CJ99" s="28"/>
      <c r="CK99" s="11"/>
      <c r="CL99" s="11"/>
      <c r="CM99" s="11"/>
      <c r="CN99" s="29"/>
      <c r="CO99" s="28"/>
      <c r="CP99" s="11"/>
      <c r="CQ99" s="11"/>
      <c r="CR99" s="11"/>
      <c r="CS99" s="29"/>
      <c r="CT99" s="28"/>
      <c r="CU99" s="11"/>
      <c r="CV99" s="11"/>
      <c r="CW99" s="11"/>
      <c r="CX99" s="29"/>
      <c r="CY99" s="28"/>
      <c r="CZ99" s="30"/>
      <c r="DA99" s="30"/>
      <c r="DB99" s="30"/>
      <c r="DC99" s="30"/>
      <c r="DD99" s="30" t="str">
        <f t="shared" si="4"/>
        <v/>
      </c>
    </row>
    <row r="100" spans="1:108" ht="16.5">
      <c r="A100" s="26"/>
      <c r="B100" s="11"/>
      <c r="C100" s="11"/>
      <c r="D100" s="11"/>
      <c r="E100" s="11"/>
      <c r="F100" s="11"/>
      <c r="G100" s="11"/>
      <c r="H100" s="11"/>
      <c r="I100" s="11"/>
      <c r="J100" s="11"/>
      <c r="K100" s="11"/>
      <c r="L100" s="11"/>
      <c r="M100" s="27"/>
      <c r="N100" s="11"/>
      <c r="O100" s="11"/>
      <c r="P100" s="15"/>
      <c r="Q100" s="11"/>
      <c r="R100" s="11"/>
      <c r="S100" s="15"/>
      <c r="T100" s="15"/>
      <c r="U100" s="15"/>
      <c r="V100" s="11"/>
      <c r="W100" s="15"/>
      <c r="X100" s="11"/>
      <c r="Y100" s="11"/>
      <c r="Z100" s="15"/>
      <c r="AA100" s="11"/>
      <c r="AB100" s="11"/>
      <c r="AC100" s="15"/>
      <c r="AD100" s="15"/>
      <c r="AE100" s="15"/>
      <c r="AF100" s="11"/>
      <c r="AG100" s="15"/>
      <c r="AH100" s="11"/>
      <c r="AI100" s="11"/>
      <c r="AJ100" s="15"/>
      <c r="AK100" s="11"/>
      <c r="AL100" s="11"/>
      <c r="AM100" s="15"/>
      <c r="AN100" s="15"/>
      <c r="AO100" s="15"/>
      <c r="AP100" s="11"/>
      <c r="AQ100" s="15"/>
      <c r="AR100" s="11"/>
      <c r="AS100" s="11"/>
      <c r="AT100" s="15"/>
      <c r="AU100" s="11"/>
      <c r="AV100" s="11"/>
      <c r="AW100" s="15"/>
      <c r="AX100" s="15"/>
      <c r="AY100" s="15"/>
      <c r="AZ100" s="11"/>
      <c r="BA100" s="15"/>
      <c r="BB100" s="11"/>
      <c r="BC100" s="11"/>
      <c r="BD100" s="15"/>
      <c r="BE100" s="11"/>
      <c r="BF100" s="11"/>
      <c r="BG100" s="15"/>
      <c r="BH100" s="11"/>
      <c r="BI100" s="11"/>
      <c r="BJ100" s="11"/>
      <c r="BK100" s="11"/>
      <c r="BL100" s="28" t="str">
        <f t="shared" si="0"/>
        <v/>
      </c>
      <c r="BM100" s="28"/>
      <c r="BN100" s="11"/>
      <c r="BO100" s="29" t="str">
        <f t="shared" si="1"/>
        <v/>
      </c>
      <c r="BP100" s="11"/>
      <c r="BQ100" s="11"/>
      <c r="BR100" s="11"/>
      <c r="BS100" s="11"/>
      <c r="BT100" s="11"/>
      <c r="BU100" s="11"/>
      <c r="BV100" s="11"/>
      <c r="BW100" s="28" t="str">
        <f t="shared" si="2"/>
        <v/>
      </c>
      <c r="BX100" s="28"/>
      <c r="BY100" s="11"/>
      <c r="BZ100" s="29" t="str">
        <f t="shared" si="3"/>
        <v/>
      </c>
      <c r="CA100" s="11"/>
      <c r="CB100" s="11"/>
      <c r="CC100" s="11"/>
      <c r="CD100" s="11"/>
      <c r="CE100" s="11"/>
      <c r="CF100" s="11"/>
      <c r="CG100" s="11"/>
      <c r="CH100" s="11"/>
      <c r="CI100" s="29"/>
      <c r="CJ100" s="28"/>
      <c r="CK100" s="11"/>
      <c r="CL100" s="11"/>
      <c r="CM100" s="11"/>
      <c r="CN100" s="29"/>
      <c r="CO100" s="28"/>
      <c r="CP100" s="11"/>
      <c r="CQ100" s="11"/>
      <c r="CR100" s="11"/>
      <c r="CS100" s="29"/>
      <c r="CT100" s="28"/>
      <c r="CU100" s="11"/>
      <c r="CV100" s="11"/>
      <c r="CW100" s="11"/>
      <c r="CX100" s="29"/>
      <c r="CY100" s="28"/>
      <c r="CZ100" s="30"/>
      <c r="DA100" s="30"/>
      <c r="DB100" s="30"/>
      <c r="DC100" s="30"/>
      <c r="DD100" s="30" t="str">
        <f t="shared" si="4"/>
        <v/>
      </c>
    </row>
  </sheetData>
  <autoFilter ref="A1:DD100" xr:uid="{00000000-0009-0000-0000-000004000000}"/>
  <conditionalFormatting sqref="M1:M100">
    <cfRule type="cellIs" dxfId="16" priority="2" operator="equal">
      <formula>"TRUE"</formula>
    </cfRule>
    <cfRule type="cellIs" dxfId="15" priority="3" operator="equal">
      <formula>"FALSE"</formula>
    </cfRule>
  </conditionalFormatting>
  <conditionalFormatting sqref="BL2:BM100 BW2:BX100">
    <cfRule type="notContainsBlanks" dxfId="14" priority="1">
      <formula>LEN(TRIM(BL2))&gt;0</formula>
    </cfRule>
  </conditionalFormatting>
  <dataValidations count="3">
    <dataValidation type="list" allowBlank="1" showInputMessage="1" prompt="Select" sqref="CI2:CI100 CN2:CN100 CS2:CS100 CX2:CX100" xr:uid="{00000000-0002-0000-0400-000000000000}">
      <formula1>"read_only,collaborator,responsible_party"</formula1>
    </dataValidation>
    <dataValidation type="list" allowBlank="1" showInputMessage="1" prompt="Click and enter a value from the list of items" sqref="BO2:BO100 BZ2:BZ100" xr:uid="{00000000-0002-0000-0400-000001000000}">
      <formula1>"read_only,no_access"</formula1>
    </dataValidation>
    <dataValidation type="list" allowBlank="1" sqref="M2:M100 BL2:BM100 BW2:BX100 CJ2:CJ100 CO2:CO100 CT2:CT100 CY2:CY100" xr:uid="{00000000-0002-0000-0400-000002000000}">
      <formula1>"TRUE,FALSE"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DB100"/>
  <sheetViews>
    <sheetView workbookViewId="0">
      <pane ySplit="1" topLeftCell="A2" activePane="bottomLeft" state="frozen"/>
      <selection pane="bottomLeft" activeCell="B3" sqref="B3"/>
    </sheetView>
  </sheetViews>
  <sheetFormatPr defaultColWidth="14.42578125" defaultRowHeight="15.75" customHeight="1" outlineLevelCol="1"/>
  <cols>
    <col min="1" max="4" width="14.42578125" customWidth="1"/>
    <col min="5" max="9" width="18" customWidth="1"/>
    <col min="10" max="11" width="14.42578125" customWidth="1"/>
    <col min="12" max="12" width="17.28515625" customWidth="1"/>
    <col min="13" max="16" width="14.42578125" customWidth="1"/>
    <col min="17" max="53" width="14.42578125" customWidth="1" outlineLevel="1"/>
    <col min="54" max="56" width="14.42578125" customWidth="1"/>
    <col min="57" max="59" width="14.42578125" customWidth="1" outlineLevel="1"/>
    <col min="60" max="64" width="14.42578125" customWidth="1"/>
    <col min="65" max="81" width="14.42578125" customWidth="1" outlineLevel="1"/>
    <col min="82" max="85" width="14.42578125" customWidth="1"/>
    <col min="86" max="101" width="14.42578125" customWidth="1" outlineLevel="1"/>
    <col min="102" max="106" width="14.42578125" customWidth="1"/>
  </cols>
  <sheetData>
    <row r="1" spans="1:106" ht="15.75" customHeight="1">
      <c r="A1" s="33" t="s">
        <v>40</v>
      </c>
      <c r="B1" s="33" t="s">
        <v>41</v>
      </c>
      <c r="C1" s="33" t="s">
        <v>42</v>
      </c>
      <c r="D1" s="33" t="s">
        <v>43</v>
      </c>
      <c r="E1" s="33" t="s">
        <v>44</v>
      </c>
      <c r="F1" s="33" t="s">
        <v>45</v>
      </c>
      <c r="G1" s="33" t="s">
        <v>46</v>
      </c>
      <c r="H1" s="33" t="s">
        <v>47</v>
      </c>
      <c r="I1" s="33" t="s">
        <v>48</v>
      </c>
      <c r="J1" s="34" t="s">
        <v>49</v>
      </c>
      <c r="K1" s="33" t="s">
        <v>50</v>
      </c>
      <c r="L1" s="33" t="s">
        <v>51</v>
      </c>
      <c r="M1" s="35" t="s">
        <v>52</v>
      </c>
      <c r="N1" s="36" t="s">
        <v>55</v>
      </c>
      <c r="O1" s="36" t="s">
        <v>56</v>
      </c>
      <c r="P1" s="36" t="s">
        <v>57</v>
      </c>
      <c r="Q1" s="36" t="s">
        <v>58</v>
      </c>
      <c r="R1" s="36" t="s">
        <v>59</v>
      </c>
      <c r="S1" s="36" t="s">
        <v>60</v>
      </c>
      <c r="T1" s="36" t="s">
        <v>61</v>
      </c>
      <c r="U1" s="36" t="s">
        <v>62</v>
      </c>
      <c r="V1" s="36" t="s">
        <v>63</v>
      </c>
      <c r="W1" s="36" t="s">
        <v>64</v>
      </c>
      <c r="X1" s="36" t="s">
        <v>65</v>
      </c>
      <c r="Y1" s="36" t="s">
        <v>66</v>
      </c>
      <c r="Z1" s="36" t="s">
        <v>67</v>
      </c>
      <c r="AA1" s="36" t="s">
        <v>68</v>
      </c>
      <c r="AB1" s="36" t="s">
        <v>69</v>
      </c>
      <c r="AC1" s="36" t="s">
        <v>70</v>
      </c>
      <c r="AD1" s="36" t="s">
        <v>71</v>
      </c>
      <c r="AE1" s="36" t="s">
        <v>72</v>
      </c>
      <c r="AF1" s="36" t="s">
        <v>73</v>
      </c>
      <c r="AG1" s="36" t="s">
        <v>74</v>
      </c>
      <c r="AH1" s="36" t="s">
        <v>75</v>
      </c>
      <c r="AI1" s="36" t="s">
        <v>76</v>
      </c>
      <c r="AJ1" s="36" t="s">
        <v>77</v>
      </c>
      <c r="AK1" s="36" t="s">
        <v>78</v>
      </c>
      <c r="AL1" s="36" t="s">
        <v>79</v>
      </c>
      <c r="AM1" s="36" t="s">
        <v>80</v>
      </c>
      <c r="AN1" s="36" t="s">
        <v>81</v>
      </c>
      <c r="AO1" s="36" t="s">
        <v>82</v>
      </c>
      <c r="AP1" s="36" t="s">
        <v>83</v>
      </c>
      <c r="AQ1" s="36" t="s">
        <v>84</v>
      </c>
      <c r="AR1" s="36" t="s">
        <v>85</v>
      </c>
      <c r="AS1" s="36" t="s">
        <v>86</v>
      </c>
      <c r="AT1" s="36" t="s">
        <v>87</v>
      </c>
      <c r="AU1" s="36" t="s">
        <v>88</v>
      </c>
      <c r="AV1" s="36" t="s">
        <v>89</v>
      </c>
      <c r="AW1" s="36" t="s">
        <v>90</v>
      </c>
      <c r="AX1" s="36" t="s">
        <v>91</v>
      </c>
      <c r="AY1" s="36" t="s">
        <v>92</v>
      </c>
      <c r="AZ1" s="36" t="s">
        <v>93</v>
      </c>
      <c r="BA1" s="36" t="s">
        <v>94</v>
      </c>
      <c r="BB1" s="33" t="s">
        <v>95</v>
      </c>
      <c r="BC1" s="33" t="s">
        <v>96</v>
      </c>
      <c r="BD1" s="33" t="s">
        <v>97</v>
      </c>
      <c r="BE1" s="37" t="s">
        <v>98</v>
      </c>
      <c r="BF1" s="37" t="s">
        <v>99</v>
      </c>
      <c r="BG1" s="37" t="s">
        <v>100</v>
      </c>
      <c r="BH1" s="33" t="s">
        <v>101</v>
      </c>
      <c r="BI1" s="33" t="s">
        <v>102</v>
      </c>
      <c r="BJ1" s="38" t="s">
        <v>103</v>
      </c>
      <c r="BK1" s="38" t="s">
        <v>104</v>
      </c>
      <c r="BL1" s="33" t="s">
        <v>105</v>
      </c>
      <c r="BM1" s="38" t="s">
        <v>106</v>
      </c>
      <c r="BN1" s="33" t="s">
        <v>107</v>
      </c>
      <c r="BO1" s="33" t="s">
        <v>108</v>
      </c>
      <c r="BP1" s="33" t="s">
        <v>109</v>
      </c>
      <c r="BQ1" s="33" t="s">
        <v>110</v>
      </c>
      <c r="BR1" s="33" t="s">
        <v>111</v>
      </c>
      <c r="BS1" s="33" t="s">
        <v>112</v>
      </c>
      <c r="BT1" s="33" t="s">
        <v>113</v>
      </c>
      <c r="BU1" s="38" t="s">
        <v>114</v>
      </c>
      <c r="BV1" s="38" t="s">
        <v>115</v>
      </c>
      <c r="BW1" s="33" t="s">
        <v>116</v>
      </c>
      <c r="BX1" s="38" t="s">
        <v>117</v>
      </c>
      <c r="BY1" s="33" t="s">
        <v>118</v>
      </c>
      <c r="BZ1" s="33" t="s">
        <v>119</v>
      </c>
      <c r="CA1" s="33" t="s">
        <v>120</v>
      </c>
      <c r="CB1" s="33" t="s">
        <v>121</v>
      </c>
      <c r="CC1" s="33" t="s">
        <v>122</v>
      </c>
      <c r="CD1" s="33" t="s">
        <v>123</v>
      </c>
      <c r="CE1" s="33" t="s">
        <v>124</v>
      </c>
      <c r="CF1" s="33" t="s">
        <v>125</v>
      </c>
      <c r="CG1" s="38" t="s">
        <v>126</v>
      </c>
      <c r="CH1" s="38" t="s">
        <v>127</v>
      </c>
      <c r="CI1" s="33" t="s">
        <v>128</v>
      </c>
      <c r="CJ1" s="33" t="s">
        <v>129</v>
      </c>
      <c r="CK1" s="33" t="s">
        <v>130</v>
      </c>
      <c r="CL1" s="38" t="s">
        <v>131</v>
      </c>
      <c r="CM1" s="38" t="s">
        <v>132</v>
      </c>
      <c r="CN1" s="33" t="s">
        <v>133</v>
      </c>
      <c r="CO1" s="33" t="s">
        <v>134</v>
      </c>
      <c r="CP1" s="33" t="s">
        <v>135</v>
      </c>
      <c r="CQ1" s="38" t="s">
        <v>136</v>
      </c>
      <c r="CR1" s="38" t="s">
        <v>137</v>
      </c>
      <c r="CS1" s="33" t="s">
        <v>138</v>
      </c>
      <c r="CT1" s="33" t="s">
        <v>139</v>
      </c>
      <c r="CU1" s="33" t="s">
        <v>140</v>
      </c>
      <c r="CV1" s="38" t="s">
        <v>141</v>
      </c>
      <c r="CW1" s="38" t="s">
        <v>142</v>
      </c>
      <c r="CX1" s="39" t="s">
        <v>143</v>
      </c>
      <c r="CY1" s="39" t="s">
        <v>144</v>
      </c>
      <c r="CZ1" s="39" t="s">
        <v>145</v>
      </c>
      <c r="DA1" s="39" t="s">
        <v>146</v>
      </c>
      <c r="DB1" s="39" t="s">
        <v>147</v>
      </c>
    </row>
    <row r="2" spans="1:106" ht="15.75" customHeight="1">
      <c r="A2" s="40"/>
      <c r="B2" s="40"/>
      <c r="C2" s="40"/>
      <c r="D2" s="40"/>
      <c r="E2" s="40"/>
      <c r="F2" s="40"/>
      <c r="G2" s="40"/>
      <c r="H2" s="40"/>
      <c r="I2" s="40"/>
      <c r="J2" s="40"/>
      <c r="K2" s="40"/>
      <c r="L2" s="40"/>
      <c r="M2" s="41"/>
      <c r="N2" s="42"/>
      <c r="O2" s="40"/>
      <c r="P2" s="40"/>
      <c r="Q2" s="42"/>
      <c r="R2" s="42"/>
      <c r="S2" s="42"/>
      <c r="T2" s="40"/>
      <c r="U2" s="42"/>
      <c r="V2" s="40"/>
      <c r="W2" s="40"/>
      <c r="X2" s="42"/>
      <c r="Y2" s="40"/>
      <c r="Z2" s="40"/>
      <c r="AA2" s="42"/>
      <c r="AB2" s="42"/>
      <c r="AC2" s="42"/>
      <c r="AD2" s="40"/>
      <c r="AE2" s="42"/>
      <c r="AF2" s="40"/>
      <c r="AG2" s="40"/>
      <c r="AH2" s="42"/>
      <c r="AI2" s="40"/>
      <c r="AJ2" s="40"/>
      <c r="AK2" s="42"/>
      <c r="AL2" s="42"/>
      <c r="AM2" s="42"/>
      <c r="AN2" s="40"/>
      <c r="AO2" s="42"/>
      <c r="AP2" s="40"/>
      <c r="AQ2" s="40"/>
      <c r="AR2" s="42"/>
      <c r="AS2" s="40"/>
      <c r="AT2" s="40"/>
      <c r="AU2" s="42"/>
      <c r="AV2" s="42"/>
      <c r="AW2" s="42"/>
      <c r="AX2" s="40"/>
      <c r="AY2" s="42"/>
      <c r="AZ2" s="40"/>
      <c r="BA2" s="40"/>
      <c r="BB2" s="42"/>
      <c r="BC2" s="40"/>
      <c r="BD2" s="40"/>
      <c r="BE2" s="42"/>
      <c r="BF2" s="40"/>
      <c r="BG2" s="40"/>
      <c r="BH2" s="40"/>
      <c r="BI2" s="40"/>
      <c r="BJ2" s="43" t="str">
        <f t="shared" ref="BJ2:BJ100" si="0">IF(BH2&lt;&gt;"","TRUE","")</f>
        <v/>
      </c>
      <c r="BK2" s="43"/>
      <c r="BL2" s="40"/>
      <c r="BM2" s="44"/>
      <c r="BN2" s="40"/>
      <c r="BO2" s="40"/>
      <c r="BP2" s="40"/>
      <c r="BQ2" s="40"/>
      <c r="BR2" s="40"/>
      <c r="BS2" s="40"/>
      <c r="BT2" s="40"/>
      <c r="BU2" s="43" t="str">
        <f t="shared" ref="BU2:BU100" si="1">IF(BS2&lt;&gt;"","TRUE","")</f>
        <v/>
      </c>
      <c r="BV2" s="43"/>
      <c r="BW2" s="40"/>
      <c r="BX2" s="44"/>
      <c r="BY2" s="40"/>
      <c r="BZ2" s="40"/>
      <c r="CA2" s="40"/>
      <c r="CB2" s="40"/>
      <c r="CC2" s="40"/>
      <c r="CD2" s="40"/>
      <c r="CE2" s="40"/>
      <c r="CF2" s="40"/>
      <c r="CG2" s="44"/>
      <c r="CH2" s="43"/>
      <c r="CI2" s="40"/>
      <c r="CJ2" s="40"/>
      <c r="CK2" s="40"/>
      <c r="CL2" s="44"/>
      <c r="CM2" s="43"/>
      <c r="CN2" s="40"/>
      <c r="CO2" s="40"/>
      <c r="CP2" s="40"/>
      <c r="CQ2" s="44"/>
      <c r="CR2" s="43"/>
      <c r="CS2" s="40"/>
      <c r="CT2" s="40"/>
      <c r="CU2" s="40"/>
      <c r="CV2" s="44"/>
      <c r="CW2" s="43"/>
      <c r="CX2" s="45"/>
      <c r="CY2" s="45"/>
      <c r="CZ2" s="45"/>
      <c r="DA2" s="45"/>
      <c r="DB2" s="45" t="str">
        <f t="shared" ref="DB2:DB100" si="2">IF(A2&lt;&gt;"",IF(COUNTIF($A$2:$A100,$A$2:$A100)&gt;1,"Not Unique","Unique"),"")</f>
        <v/>
      </c>
    </row>
    <row r="3" spans="1:106" ht="15.75" customHeight="1">
      <c r="A3" s="40"/>
      <c r="B3" s="40"/>
      <c r="C3" s="40"/>
      <c r="D3" s="40"/>
      <c r="E3" s="40"/>
      <c r="F3" s="40"/>
      <c r="G3" s="40"/>
      <c r="H3" s="40"/>
      <c r="I3" s="40"/>
      <c r="J3" s="40"/>
      <c r="K3" s="40"/>
      <c r="L3" s="40"/>
      <c r="M3" s="41"/>
      <c r="N3" s="42"/>
      <c r="O3" s="40"/>
      <c r="P3" s="40"/>
      <c r="Q3" s="42"/>
      <c r="R3" s="42"/>
      <c r="S3" s="42"/>
      <c r="T3" s="40"/>
      <c r="U3" s="42"/>
      <c r="V3" s="40"/>
      <c r="W3" s="40"/>
      <c r="X3" s="42"/>
      <c r="Y3" s="40"/>
      <c r="Z3" s="40"/>
      <c r="AA3" s="42"/>
      <c r="AB3" s="42"/>
      <c r="AC3" s="42"/>
      <c r="AD3" s="40"/>
      <c r="AE3" s="42"/>
      <c r="AF3" s="40"/>
      <c r="AG3" s="40"/>
      <c r="AH3" s="42"/>
      <c r="AI3" s="40"/>
      <c r="AJ3" s="40"/>
      <c r="AK3" s="42"/>
      <c r="AL3" s="42"/>
      <c r="AM3" s="42"/>
      <c r="AN3" s="40"/>
      <c r="AO3" s="42"/>
      <c r="AP3" s="40"/>
      <c r="AQ3" s="40"/>
      <c r="AR3" s="42"/>
      <c r="AS3" s="40"/>
      <c r="AT3" s="40"/>
      <c r="AU3" s="42"/>
      <c r="AV3" s="42"/>
      <c r="AW3" s="42"/>
      <c r="AX3" s="40"/>
      <c r="AY3" s="42"/>
      <c r="AZ3" s="40"/>
      <c r="BA3" s="40"/>
      <c r="BB3" s="42"/>
      <c r="BC3" s="40"/>
      <c r="BD3" s="40"/>
      <c r="BE3" s="42"/>
      <c r="BF3" s="40"/>
      <c r="BG3" s="40"/>
      <c r="BH3" s="40"/>
      <c r="BI3" s="40"/>
      <c r="BJ3" s="43" t="str">
        <f t="shared" si="0"/>
        <v/>
      </c>
      <c r="BK3" s="43"/>
      <c r="BL3" s="40"/>
      <c r="BM3" s="44"/>
      <c r="BN3" s="40"/>
      <c r="BO3" s="40"/>
      <c r="BP3" s="40"/>
      <c r="BQ3" s="40"/>
      <c r="BR3" s="40"/>
      <c r="BS3" s="40"/>
      <c r="BT3" s="40"/>
      <c r="BU3" s="43" t="str">
        <f t="shared" si="1"/>
        <v/>
      </c>
      <c r="BV3" s="43"/>
      <c r="BW3" s="40"/>
      <c r="BX3" s="44"/>
      <c r="BY3" s="40"/>
      <c r="BZ3" s="40"/>
      <c r="CA3" s="40"/>
      <c r="CB3" s="40"/>
      <c r="CC3" s="40"/>
      <c r="CD3" s="40"/>
      <c r="CE3" s="40"/>
      <c r="CF3" s="40"/>
      <c r="CG3" s="44"/>
      <c r="CH3" s="43"/>
      <c r="CI3" s="40"/>
      <c r="CJ3" s="40"/>
      <c r="CK3" s="40"/>
      <c r="CL3" s="44"/>
      <c r="CM3" s="43"/>
      <c r="CN3" s="40"/>
      <c r="CO3" s="40"/>
      <c r="CP3" s="40"/>
      <c r="CQ3" s="44"/>
      <c r="CR3" s="43"/>
      <c r="CS3" s="40"/>
      <c r="CT3" s="40"/>
      <c r="CU3" s="40"/>
      <c r="CV3" s="44"/>
      <c r="CW3" s="43"/>
      <c r="CX3" s="45"/>
      <c r="CY3" s="45"/>
      <c r="CZ3" s="45"/>
      <c r="DA3" s="45"/>
      <c r="DB3" s="45" t="str">
        <f t="shared" si="2"/>
        <v/>
      </c>
    </row>
    <row r="4" spans="1:106" ht="15.75" customHeight="1">
      <c r="A4" s="40"/>
      <c r="B4" s="40"/>
      <c r="C4" s="40"/>
      <c r="D4" s="40"/>
      <c r="E4" s="40"/>
      <c r="F4" s="40"/>
      <c r="G4" s="40"/>
      <c r="H4" s="40"/>
      <c r="I4" s="40"/>
      <c r="J4" s="40"/>
      <c r="K4" s="40"/>
      <c r="L4" s="40"/>
      <c r="M4" s="41"/>
      <c r="N4" s="42"/>
      <c r="O4" s="40"/>
      <c r="P4" s="40"/>
      <c r="Q4" s="42"/>
      <c r="R4" s="42"/>
      <c r="S4" s="42"/>
      <c r="T4" s="40"/>
      <c r="U4" s="42"/>
      <c r="V4" s="40"/>
      <c r="W4" s="40"/>
      <c r="X4" s="42"/>
      <c r="Y4" s="40"/>
      <c r="Z4" s="40"/>
      <c r="AA4" s="42"/>
      <c r="AB4" s="42"/>
      <c r="AC4" s="42"/>
      <c r="AD4" s="40"/>
      <c r="AE4" s="42"/>
      <c r="AF4" s="40"/>
      <c r="AG4" s="40"/>
      <c r="AH4" s="42"/>
      <c r="AI4" s="40"/>
      <c r="AJ4" s="40"/>
      <c r="AK4" s="42"/>
      <c r="AL4" s="42"/>
      <c r="AM4" s="42"/>
      <c r="AN4" s="40"/>
      <c r="AO4" s="42"/>
      <c r="AP4" s="40"/>
      <c r="AQ4" s="40"/>
      <c r="AR4" s="42"/>
      <c r="AS4" s="40"/>
      <c r="AT4" s="40"/>
      <c r="AU4" s="42"/>
      <c r="AV4" s="42"/>
      <c r="AW4" s="42"/>
      <c r="AX4" s="40"/>
      <c r="AY4" s="42"/>
      <c r="AZ4" s="40"/>
      <c r="BA4" s="40"/>
      <c r="BB4" s="42"/>
      <c r="BC4" s="40"/>
      <c r="BD4" s="40"/>
      <c r="BE4" s="42"/>
      <c r="BF4" s="40"/>
      <c r="BG4" s="40"/>
      <c r="BH4" s="40"/>
      <c r="BI4" s="40"/>
      <c r="BJ4" s="43" t="str">
        <f t="shared" si="0"/>
        <v/>
      </c>
      <c r="BK4" s="43"/>
      <c r="BL4" s="40"/>
      <c r="BM4" s="44"/>
      <c r="BN4" s="40"/>
      <c r="BO4" s="40"/>
      <c r="BP4" s="40"/>
      <c r="BQ4" s="40"/>
      <c r="BR4" s="40"/>
      <c r="BS4" s="40"/>
      <c r="BT4" s="40"/>
      <c r="BU4" s="43" t="str">
        <f t="shared" si="1"/>
        <v/>
      </c>
      <c r="BV4" s="43"/>
      <c r="BW4" s="40"/>
      <c r="BX4" s="44"/>
      <c r="BY4" s="40"/>
      <c r="BZ4" s="40"/>
      <c r="CA4" s="40"/>
      <c r="CB4" s="40"/>
      <c r="CC4" s="40"/>
      <c r="CD4" s="40"/>
      <c r="CE4" s="40"/>
      <c r="CF4" s="40"/>
      <c r="CG4" s="44"/>
      <c r="CH4" s="43"/>
      <c r="CI4" s="40"/>
      <c r="CJ4" s="40"/>
      <c r="CK4" s="40"/>
      <c r="CL4" s="44"/>
      <c r="CM4" s="43"/>
      <c r="CN4" s="40"/>
      <c r="CO4" s="40"/>
      <c r="CP4" s="40"/>
      <c r="CQ4" s="44"/>
      <c r="CR4" s="43"/>
      <c r="CS4" s="40"/>
      <c r="CT4" s="40"/>
      <c r="CU4" s="40"/>
      <c r="CV4" s="44"/>
      <c r="CW4" s="43"/>
      <c r="CX4" s="45"/>
      <c r="CY4" s="45"/>
      <c r="CZ4" s="45"/>
      <c r="DA4" s="45"/>
      <c r="DB4" s="45" t="str">
        <f t="shared" si="2"/>
        <v/>
      </c>
    </row>
    <row r="5" spans="1:106" ht="15.75" customHeight="1">
      <c r="A5" s="40"/>
      <c r="B5" s="40"/>
      <c r="C5" s="40"/>
      <c r="D5" s="40"/>
      <c r="E5" s="40"/>
      <c r="F5" s="40"/>
      <c r="G5" s="40"/>
      <c r="H5" s="40"/>
      <c r="I5" s="40"/>
      <c r="J5" s="40"/>
      <c r="K5" s="40"/>
      <c r="L5" s="40"/>
      <c r="M5" s="41"/>
      <c r="N5" s="42"/>
      <c r="O5" s="40"/>
      <c r="P5" s="40"/>
      <c r="Q5" s="42"/>
      <c r="R5" s="42"/>
      <c r="S5" s="42"/>
      <c r="T5" s="40"/>
      <c r="U5" s="42"/>
      <c r="V5" s="40"/>
      <c r="W5" s="40"/>
      <c r="X5" s="42"/>
      <c r="Y5" s="40"/>
      <c r="Z5" s="40"/>
      <c r="AA5" s="42"/>
      <c r="AB5" s="42"/>
      <c r="AC5" s="42"/>
      <c r="AD5" s="40"/>
      <c r="AE5" s="42"/>
      <c r="AF5" s="40"/>
      <c r="AG5" s="40"/>
      <c r="AH5" s="42"/>
      <c r="AI5" s="40"/>
      <c r="AJ5" s="40"/>
      <c r="AK5" s="42"/>
      <c r="AL5" s="42"/>
      <c r="AM5" s="42"/>
      <c r="AN5" s="40"/>
      <c r="AO5" s="42"/>
      <c r="AP5" s="40"/>
      <c r="AQ5" s="40"/>
      <c r="AR5" s="42"/>
      <c r="AS5" s="40"/>
      <c r="AT5" s="40"/>
      <c r="AU5" s="42"/>
      <c r="AV5" s="42"/>
      <c r="AW5" s="42"/>
      <c r="AX5" s="40"/>
      <c r="AY5" s="42"/>
      <c r="AZ5" s="40"/>
      <c r="BA5" s="40"/>
      <c r="BB5" s="42"/>
      <c r="BC5" s="40"/>
      <c r="BD5" s="40"/>
      <c r="BE5" s="42"/>
      <c r="BF5" s="40"/>
      <c r="BG5" s="40"/>
      <c r="BH5" s="40"/>
      <c r="BI5" s="40"/>
      <c r="BJ5" s="43" t="str">
        <f t="shared" si="0"/>
        <v/>
      </c>
      <c r="BK5" s="43"/>
      <c r="BL5" s="40"/>
      <c r="BM5" s="44"/>
      <c r="BN5" s="40"/>
      <c r="BO5" s="40"/>
      <c r="BP5" s="40"/>
      <c r="BQ5" s="40"/>
      <c r="BR5" s="40"/>
      <c r="BS5" s="40"/>
      <c r="BT5" s="40"/>
      <c r="BU5" s="43" t="str">
        <f t="shared" si="1"/>
        <v/>
      </c>
      <c r="BV5" s="43"/>
      <c r="BW5" s="40"/>
      <c r="BX5" s="44"/>
      <c r="BY5" s="40"/>
      <c r="BZ5" s="40"/>
      <c r="CA5" s="40"/>
      <c r="CB5" s="40"/>
      <c r="CC5" s="40"/>
      <c r="CD5" s="40"/>
      <c r="CE5" s="40"/>
      <c r="CF5" s="40"/>
      <c r="CG5" s="44"/>
      <c r="CH5" s="43"/>
      <c r="CI5" s="40"/>
      <c r="CJ5" s="40"/>
      <c r="CK5" s="40"/>
      <c r="CL5" s="44"/>
      <c r="CM5" s="43"/>
      <c r="CN5" s="40"/>
      <c r="CO5" s="40"/>
      <c r="CP5" s="40"/>
      <c r="CQ5" s="44"/>
      <c r="CR5" s="43"/>
      <c r="CS5" s="40"/>
      <c r="CT5" s="40"/>
      <c r="CU5" s="40"/>
      <c r="CV5" s="44"/>
      <c r="CW5" s="43"/>
      <c r="CX5" s="45"/>
      <c r="CY5" s="45"/>
      <c r="CZ5" s="45"/>
      <c r="DA5" s="45"/>
      <c r="DB5" s="45" t="str">
        <f t="shared" si="2"/>
        <v/>
      </c>
    </row>
    <row r="6" spans="1:106" ht="15.75" customHeight="1">
      <c r="A6" s="40"/>
      <c r="B6" s="40"/>
      <c r="C6" s="40"/>
      <c r="D6" s="40"/>
      <c r="E6" s="40"/>
      <c r="F6" s="40"/>
      <c r="G6" s="40"/>
      <c r="H6" s="40"/>
      <c r="I6" s="40"/>
      <c r="J6" s="40"/>
      <c r="K6" s="40"/>
      <c r="L6" s="40"/>
      <c r="M6" s="41"/>
      <c r="N6" s="42"/>
      <c r="O6" s="40"/>
      <c r="P6" s="40"/>
      <c r="Q6" s="42"/>
      <c r="R6" s="42"/>
      <c r="S6" s="42"/>
      <c r="T6" s="40"/>
      <c r="U6" s="42"/>
      <c r="V6" s="40"/>
      <c r="W6" s="40"/>
      <c r="X6" s="42"/>
      <c r="Y6" s="40"/>
      <c r="Z6" s="40"/>
      <c r="AA6" s="42"/>
      <c r="AB6" s="42"/>
      <c r="AC6" s="42"/>
      <c r="AD6" s="40"/>
      <c r="AE6" s="42"/>
      <c r="AF6" s="40"/>
      <c r="AG6" s="40"/>
      <c r="AH6" s="42"/>
      <c r="AI6" s="40"/>
      <c r="AJ6" s="40"/>
      <c r="AK6" s="42"/>
      <c r="AL6" s="42"/>
      <c r="AM6" s="42"/>
      <c r="AN6" s="40"/>
      <c r="AO6" s="42"/>
      <c r="AP6" s="40"/>
      <c r="AQ6" s="40"/>
      <c r="AR6" s="42"/>
      <c r="AS6" s="40"/>
      <c r="AT6" s="40"/>
      <c r="AU6" s="42"/>
      <c r="AV6" s="42"/>
      <c r="AW6" s="42"/>
      <c r="AX6" s="40"/>
      <c r="AY6" s="42"/>
      <c r="AZ6" s="40"/>
      <c r="BA6" s="40"/>
      <c r="BB6" s="42"/>
      <c r="BC6" s="40"/>
      <c r="BD6" s="40"/>
      <c r="BE6" s="42"/>
      <c r="BF6" s="40"/>
      <c r="BG6" s="40"/>
      <c r="BH6" s="40"/>
      <c r="BI6" s="40"/>
      <c r="BJ6" s="43" t="str">
        <f t="shared" si="0"/>
        <v/>
      </c>
      <c r="BK6" s="43"/>
      <c r="BL6" s="40"/>
      <c r="BM6" s="44"/>
      <c r="BN6" s="40"/>
      <c r="BO6" s="40"/>
      <c r="BP6" s="40"/>
      <c r="BQ6" s="40"/>
      <c r="BR6" s="40"/>
      <c r="BS6" s="40"/>
      <c r="BT6" s="40"/>
      <c r="BU6" s="43" t="str">
        <f t="shared" si="1"/>
        <v/>
      </c>
      <c r="BV6" s="43"/>
      <c r="BW6" s="40"/>
      <c r="BX6" s="44"/>
      <c r="BY6" s="40"/>
      <c r="BZ6" s="40"/>
      <c r="CA6" s="40"/>
      <c r="CB6" s="40"/>
      <c r="CC6" s="40"/>
      <c r="CD6" s="40"/>
      <c r="CE6" s="40"/>
      <c r="CF6" s="40"/>
      <c r="CG6" s="44"/>
      <c r="CH6" s="43"/>
      <c r="CI6" s="40"/>
      <c r="CJ6" s="40"/>
      <c r="CK6" s="40"/>
      <c r="CL6" s="44"/>
      <c r="CM6" s="43"/>
      <c r="CN6" s="40"/>
      <c r="CO6" s="40"/>
      <c r="CP6" s="40"/>
      <c r="CQ6" s="44"/>
      <c r="CR6" s="43"/>
      <c r="CS6" s="40"/>
      <c r="CT6" s="40"/>
      <c r="CU6" s="40"/>
      <c r="CV6" s="44"/>
      <c r="CW6" s="43"/>
      <c r="CX6" s="45"/>
      <c r="CY6" s="45"/>
      <c r="CZ6" s="45"/>
      <c r="DA6" s="45"/>
      <c r="DB6" s="45" t="str">
        <f t="shared" si="2"/>
        <v/>
      </c>
    </row>
    <row r="7" spans="1:106" ht="15.75" customHeight="1">
      <c r="A7" s="40"/>
      <c r="B7" s="40"/>
      <c r="C7" s="40"/>
      <c r="D7" s="40"/>
      <c r="E7" s="40"/>
      <c r="F7" s="40"/>
      <c r="G7" s="40"/>
      <c r="H7" s="40"/>
      <c r="I7" s="40"/>
      <c r="J7" s="40"/>
      <c r="K7" s="40"/>
      <c r="L7" s="40"/>
      <c r="M7" s="41"/>
      <c r="N7" s="42"/>
      <c r="O7" s="40"/>
      <c r="P7" s="40"/>
      <c r="Q7" s="42"/>
      <c r="R7" s="42"/>
      <c r="S7" s="42"/>
      <c r="T7" s="40"/>
      <c r="U7" s="42"/>
      <c r="V7" s="40"/>
      <c r="W7" s="40"/>
      <c r="X7" s="42"/>
      <c r="Y7" s="40"/>
      <c r="Z7" s="40"/>
      <c r="AA7" s="42"/>
      <c r="AB7" s="42"/>
      <c r="AC7" s="42"/>
      <c r="AD7" s="40"/>
      <c r="AE7" s="42"/>
      <c r="AF7" s="40"/>
      <c r="AG7" s="40"/>
      <c r="AH7" s="42"/>
      <c r="AI7" s="40"/>
      <c r="AJ7" s="40"/>
      <c r="AK7" s="42"/>
      <c r="AL7" s="42"/>
      <c r="AM7" s="42"/>
      <c r="AN7" s="40"/>
      <c r="AO7" s="42"/>
      <c r="AP7" s="40"/>
      <c r="AQ7" s="40"/>
      <c r="AR7" s="42"/>
      <c r="AS7" s="40"/>
      <c r="AT7" s="40"/>
      <c r="AU7" s="42"/>
      <c r="AV7" s="42"/>
      <c r="AW7" s="42"/>
      <c r="AX7" s="40"/>
      <c r="AY7" s="42"/>
      <c r="AZ7" s="40"/>
      <c r="BA7" s="40"/>
      <c r="BB7" s="42"/>
      <c r="BC7" s="40"/>
      <c r="BD7" s="40"/>
      <c r="BE7" s="42"/>
      <c r="BF7" s="40"/>
      <c r="BG7" s="40"/>
      <c r="BH7" s="40"/>
      <c r="BI7" s="40"/>
      <c r="BJ7" s="43" t="str">
        <f t="shared" si="0"/>
        <v/>
      </c>
      <c r="BK7" s="43"/>
      <c r="BL7" s="40"/>
      <c r="BM7" s="44"/>
      <c r="BN7" s="40"/>
      <c r="BO7" s="40"/>
      <c r="BP7" s="40"/>
      <c r="BQ7" s="40"/>
      <c r="BR7" s="40"/>
      <c r="BS7" s="40"/>
      <c r="BT7" s="40"/>
      <c r="BU7" s="43" t="str">
        <f t="shared" si="1"/>
        <v/>
      </c>
      <c r="BV7" s="43"/>
      <c r="BW7" s="40"/>
      <c r="BX7" s="44"/>
      <c r="BY7" s="40"/>
      <c r="BZ7" s="40"/>
      <c r="CA7" s="40"/>
      <c r="CB7" s="40"/>
      <c r="CC7" s="40"/>
      <c r="CD7" s="40"/>
      <c r="CE7" s="40"/>
      <c r="CF7" s="40"/>
      <c r="CG7" s="44"/>
      <c r="CH7" s="43"/>
      <c r="CI7" s="40"/>
      <c r="CJ7" s="40"/>
      <c r="CK7" s="40"/>
      <c r="CL7" s="44"/>
      <c r="CM7" s="43"/>
      <c r="CN7" s="40"/>
      <c r="CO7" s="40"/>
      <c r="CP7" s="40"/>
      <c r="CQ7" s="44"/>
      <c r="CR7" s="43"/>
      <c r="CS7" s="40"/>
      <c r="CT7" s="40"/>
      <c r="CU7" s="40"/>
      <c r="CV7" s="44"/>
      <c r="CW7" s="43"/>
      <c r="CX7" s="45"/>
      <c r="CY7" s="45"/>
      <c r="CZ7" s="45"/>
      <c r="DA7" s="45"/>
      <c r="DB7" s="45" t="str">
        <f t="shared" si="2"/>
        <v/>
      </c>
    </row>
    <row r="8" spans="1:106" ht="15.75" customHeight="1">
      <c r="A8" s="40"/>
      <c r="B8" s="40"/>
      <c r="C8" s="40"/>
      <c r="D8" s="40"/>
      <c r="E8" s="40"/>
      <c r="F8" s="40"/>
      <c r="G8" s="40"/>
      <c r="H8" s="40"/>
      <c r="I8" s="40"/>
      <c r="J8" s="40"/>
      <c r="K8" s="40"/>
      <c r="L8" s="40"/>
      <c r="M8" s="41"/>
      <c r="N8" s="42"/>
      <c r="O8" s="40"/>
      <c r="P8" s="40"/>
      <c r="Q8" s="42"/>
      <c r="R8" s="42"/>
      <c r="S8" s="42"/>
      <c r="T8" s="40"/>
      <c r="U8" s="42"/>
      <c r="V8" s="40"/>
      <c r="W8" s="40"/>
      <c r="X8" s="42"/>
      <c r="Y8" s="40"/>
      <c r="Z8" s="40"/>
      <c r="AA8" s="42"/>
      <c r="AB8" s="42"/>
      <c r="AC8" s="42"/>
      <c r="AD8" s="40"/>
      <c r="AE8" s="42"/>
      <c r="AF8" s="40"/>
      <c r="AG8" s="40"/>
      <c r="AH8" s="42"/>
      <c r="AI8" s="40"/>
      <c r="AJ8" s="40"/>
      <c r="AK8" s="42"/>
      <c r="AL8" s="42"/>
      <c r="AM8" s="42"/>
      <c r="AN8" s="40"/>
      <c r="AO8" s="42"/>
      <c r="AP8" s="40"/>
      <c r="AQ8" s="40"/>
      <c r="AR8" s="42"/>
      <c r="AS8" s="40"/>
      <c r="AT8" s="40"/>
      <c r="AU8" s="42"/>
      <c r="AV8" s="42"/>
      <c r="AW8" s="42"/>
      <c r="AX8" s="40"/>
      <c r="AY8" s="42"/>
      <c r="AZ8" s="40"/>
      <c r="BA8" s="40"/>
      <c r="BB8" s="42"/>
      <c r="BC8" s="40"/>
      <c r="BD8" s="40"/>
      <c r="BE8" s="42"/>
      <c r="BF8" s="40"/>
      <c r="BG8" s="40"/>
      <c r="BH8" s="40"/>
      <c r="BI8" s="40"/>
      <c r="BJ8" s="43" t="str">
        <f t="shared" si="0"/>
        <v/>
      </c>
      <c r="BK8" s="43"/>
      <c r="BL8" s="40"/>
      <c r="BM8" s="44"/>
      <c r="BN8" s="40"/>
      <c r="BO8" s="40"/>
      <c r="BP8" s="40"/>
      <c r="BQ8" s="40"/>
      <c r="BR8" s="40"/>
      <c r="BS8" s="40"/>
      <c r="BT8" s="40"/>
      <c r="BU8" s="43" t="str">
        <f t="shared" si="1"/>
        <v/>
      </c>
      <c r="BV8" s="43"/>
      <c r="BW8" s="40"/>
      <c r="BX8" s="44"/>
      <c r="BY8" s="40"/>
      <c r="BZ8" s="40"/>
      <c r="CA8" s="40"/>
      <c r="CB8" s="40"/>
      <c r="CC8" s="40"/>
      <c r="CD8" s="40"/>
      <c r="CE8" s="40"/>
      <c r="CF8" s="40"/>
      <c r="CG8" s="44"/>
      <c r="CH8" s="43"/>
      <c r="CI8" s="40"/>
      <c r="CJ8" s="40"/>
      <c r="CK8" s="40"/>
      <c r="CL8" s="44"/>
      <c r="CM8" s="43"/>
      <c r="CN8" s="40"/>
      <c r="CO8" s="40"/>
      <c r="CP8" s="40"/>
      <c r="CQ8" s="44"/>
      <c r="CR8" s="43"/>
      <c r="CS8" s="40"/>
      <c r="CT8" s="40"/>
      <c r="CU8" s="40"/>
      <c r="CV8" s="44"/>
      <c r="CW8" s="43"/>
      <c r="CX8" s="45"/>
      <c r="CY8" s="45"/>
      <c r="CZ8" s="45"/>
      <c r="DA8" s="45"/>
      <c r="DB8" s="45" t="str">
        <f t="shared" si="2"/>
        <v/>
      </c>
    </row>
    <row r="9" spans="1:106" ht="15.75" customHeight="1">
      <c r="A9" s="40"/>
      <c r="B9" s="40"/>
      <c r="C9" s="40"/>
      <c r="D9" s="40"/>
      <c r="E9" s="40"/>
      <c r="F9" s="40"/>
      <c r="G9" s="40"/>
      <c r="H9" s="40"/>
      <c r="I9" s="40"/>
      <c r="J9" s="40"/>
      <c r="K9" s="40"/>
      <c r="L9" s="40"/>
      <c r="M9" s="41"/>
      <c r="N9" s="42"/>
      <c r="O9" s="40"/>
      <c r="P9" s="40"/>
      <c r="Q9" s="42"/>
      <c r="R9" s="42"/>
      <c r="S9" s="42"/>
      <c r="T9" s="40"/>
      <c r="U9" s="42"/>
      <c r="V9" s="40"/>
      <c r="W9" s="40"/>
      <c r="X9" s="42"/>
      <c r="Y9" s="40"/>
      <c r="Z9" s="40"/>
      <c r="AA9" s="42"/>
      <c r="AB9" s="42"/>
      <c r="AC9" s="42"/>
      <c r="AD9" s="40"/>
      <c r="AE9" s="42"/>
      <c r="AF9" s="40"/>
      <c r="AG9" s="40"/>
      <c r="AH9" s="42"/>
      <c r="AI9" s="40"/>
      <c r="AJ9" s="40"/>
      <c r="AK9" s="42"/>
      <c r="AL9" s="42"/>
      <c r="AM9" s="42"/>
      <c r="AN9" s="40"/>
      <c r="AO9" s="42"/>
      <c r="AP9" s="40"/>
      <c r="AQ9" s="40"/>
      <c r="AR9" s="42"/>
      <c r="AS9" s="40"/>
      <c r="AT9" s="40"/>
      <c r="AU9" s="42"/>
      <c r="AV9" s="42"/>
      <c r="AW9" s="42"/>
      <c r="AX9" s="40"/>
      <c r="AY9" s="42"/>
      <c r="AZ9" s="40"/>
      <c r="BA9" s="40"/>
      <c r="BB9" s="42"/>
      <c r="BC9" s="40"/>
      <c r="BD9" s="40"/>
      <c r="BE9" s="42"/>
      <c r="BF9" s="40"/>
      <c r="BG9" s="40"/>
      <c r="BH9" s="40"/>
      <c r="BI9" s="40"/>
      <c r="BJ9" s="43" t="str">
        <f t="shared" si="0"/>
        <v/>
      </c>
      <c r="BK9" s="43"/>
      <c r="BL9" s="40"/>
      <c r="BM9" s="44"/>
      <c r="BN9" s="40"/>
      <c r="BO9" s="40"/>
      <c r="BP9" s="40"/>
      <c r="BQ9" s="40"/>
      <c r="BR9" s="40"/>
      <c r="BS9" s="40"/>
      <c r="BT9" s="40"/>
      <c r="BU9" s="43" t="str">
        <f t="shared" si="1"/>
        <v/>
      </c>
      <c r="BV9" s="43"/>
      <c r="BW9" s="40"/>
      <c r="BX9" s="44"/>
      <c r="BY9" s="40"/>
      <c r="BZ9" s="40"/>
      <c r="CA9" s="40"/>
      <c r="CB9" s="40"/>
      <c r="CC9" s="40"/>
      <c r="CD9" s="40"/>
      <c r="CE9" s="40"/>
      <c r="CF9" s="40"/>
      <c r="CG9" s="44"/>
      <c r="CH9" s="43"/>
      <c r="CI9" s="40"/>
      <c r="CJ9" s="40"/>
      <c r="CK9" s="40"/>
      <c r="CL9" s="44"/>
      <c r="CM9" s="43"/>
      <c r="CN9" s="40"/>
      <c r="CO9" s="40"/>
      <c r="CP9" s="40"/>
      <c r="CQ9" s="44"/>
      <c r="CR9" s="43"/>
      <c r="CS9" s="40"/>
      <c r="CT9" s="40"/>
      <c r="CU9" s="40"/>
      <c r="CV9" s="44"/>
      <c r="CW9" s="43"/>
      <c r="CX9" s="45"/>
      <c r="CY9" s="45"/>
      <c r="CZ9" s="45"/>
      <c r="DA9" s="45"/>
      <c r="DB9" s="45" t="str">
        <f t="shared" si="2"/>
        <v/>
      </c>
    </row>
    <row r="10" spans="1:106" ht="15.75" customHeight="1">
      <c r="A10" s="40"/>
      <c r="B10" s="40"/>
      <c r="C10" s="40"/>
      <c r="D10" s="40"/>
      <c r="E10" s="40"/>
      <c r="F10" s="40"/>
      <c r="G10" s="40"/>
      <c r="H10" s="40"/>
      <c r="I10" s="40"/>
      <c r="J10" s="40"/>
      <c r="K10" s="40"/>
      <c r="L10" s="40"/>
      <c r="M10" s="41"/>
      <c r="N10" s="42"/>
      <c r="O10" s="40"/>
      <c r="P10" s="40"/>
      <c r="Q10" s="42"/>
      <c r="R10" s="42"/>
      <c r="S10" s="42"/>
      <c r="T10" s="40"/>
      <c r="U10" s="42"/>
      <c r="V10" s="40"/>
      <c r="W10" s="40"/>
      <c r="X10" s="42"/>
      <c r="Y10" s="40"/>
      <c r="Z10" s="40"/>
      <c r="AA10" s="42"/>
      <c r="AB10" s="42"/>
      <c r="AC10" s="42"/>
      <c r="AD10" s="40"/>
      <c r="AE10" s="42"/>
      <c r="AF10" s="40"/>
      <c r="AG10" s="40"/>
      <c r="AH10" s="42"/>
      <c r="AI10" s="40"/>
      <c r="AJ10" s="40"/>
      <c r="AK10" s="42"/>
      <c r="AL10" s="42"/>
      <c r="AM10" s="42"/>
      <c r="AN10" s="40"/>
      <c r="AO10" s="42"/>
      <c r="AP10" s="40"/>
      <c r="AQ10" s="40"/>
      <c r="AR10" s="42"/>
      <c r="AS10" s="40"/>
      <c r="AT10" s="40"/>
      <c r="AU10" s="42"/>
      <c r="AV10" s="42"/>
      <c r="AW10" s="42"/>
      <c r="AX10" s="40"/>
      <c r="AY10" s="42"/>
      <c r="AZ10" s="40"/>
      <c r="BA10" s="40"/>
      <c r="BB10" s="42"/>
      <c r="BC10" s="40"/>
      <c r="BD10" s="40"/>
      <c r="BE10" s="42"/>
      <c r="BF10" s="40"/>
      <c r="BG10" s="40"/>
      <c r="BH10" s="40"/>
      <c r="BI10" s="40"/>
      <c r="BJ10" s="43" t="str">
        <f t="shared" si="0"/>
        <v/>
      </c>
      <c r="BK10" s="43"/>
      <c r="BL10" s="40"/>
      <c r="BM10" s="44"/>
      <c r="BN10" s="40"/>
      <c r="BO10" s="40"/>
      <c r="BP10" s="40"/>
      <c r="BQ10" s="40"/>
      <c r="BR10" s="40"/>
      <c r="BS10" s="40"/>
      <c r="BT10" s="40"/>
      <c r="BU10" s="43" t="str">
        <f t="shared" si="1"/>
        <v/>
      </c>
      <c r="BV10" s="43"/>
      <c r="BW10" s="40"/>
      <c r="BX10" s="44"/>
      <c r="BY10" s="40"/>
      <c r="BZ10" s="40"/>
      <c r="CA10" s="40"/>
      <c r="CB10" s="40"/>
      <c r="CC10" s="40"/>
      <c r="CD10" s="40"/>
      <c r="CE10" s="40"/>
      <c r="CF10" s="40"/>
      <c r="CG10" s="44"/>
      <c r="CH10" s="43"/>
      <c r="CI10" s="40"/>
      <c r="CJ10" s="40"/>
      <c r="CK10" s="40"/>
      <c r="CL10" s="44"/>
      <c r="CM10" s="43"/>
      <c r="CN10" s="40"/>
      <c r="CO10" s="40"/>
      <c r="CP10" s="40"/>
      <c r="CQ10" s="44"/>
      <c r="CR10" s="43"/>
      <c r="CS10" s="40"/>
      <c r="CT10" s="40"/>
      <c r="CU10" s="40"/>
      <c r="CV10" s="44"/>
      <c r="CW10" s="43"/>
      <c r="CX10" s="45"/>
      <c r="CY10" s="45"/>
      <c r="CZ10" s="45"/>
      <c r="DA10" s="45"/>
      <c r="DB10" s="45" t="str">
        <f t="shared" si="2"/>
        <v/>
      </c>
    </row>
    <row r="11" spans="1:106" ht="15.75" customHeight="1">
      <c r="A11" s="40"/>
      <c r="B11" s="40"/>
      <c r="C11" s="40"/>
      <c r="D11" s="40"/>
      <c r="E11" s="40"/>
      <c r="F11" s="40"/>
      <c r="G11" s="40"/>
      <c r="H11" s="40"/>
      <c r="I11" s="40"/>
      <c r="J11" s="40"/>
      <c r="K11" s="40"/>
      <c r="L11" s="40"/>
      <c r="M11" s="41"/>
      <c r="N11" s="42"/>
      <c r="O11" s="40"/>
      <c r="P11" s="40"/>
      <c r="Q11" s="42"/>
      <c r="R11" s="42"/>
      <c r="S11" s="42"/>
      <c r="T11" s="40"/>
      <c r="U11" s="42"/>
      <c r="V11" s="40"/>
      <c r="W11" s="40"/>
      <c r="X11" s="42"/>
      <c r="Y11" s="40"/>
      <c r="Z11" s="40"/>
      <c r="AA11" s="42"/>
      <c r="AB11" s="42"/>
      <c r="AC11" s="42"/>
      <c r="AD11" s="40"/>
      <c r="AE11" s="42"/>
      <c r="AF11" s="40"/>
      <c r="AG11" s="40"/>
      <c r="AH11" s="42"/>
      <c r="AI11" s="40"/>
      <c r="AJ11" s="40"/>
      <c r="AK11" s="42"/>
      <c r="AL11" s="42"/>
      <c r="AM11" s="42"/>
      <c r="AN11" s="40"/>
      <c r="AO11" s="42"/>
      <c r="AP11" s="40"/>
      <c r="AQ11" s="40"/>
      <c r="AR11" s="42"/>
      <c r="AS11" s="40"/>
      <c r="AT11" s="40"/>
      <c r="AU11" s="42"/>
      <c r="AV11" s="42"/>
      <c r="AW11" s="42"/>
      <c r="AX11" s="40"/>
      <c r="AY11" s="42"/>
      <c r="AZ11" s="40"/>
      <c r="BA11" s="40"/>
      <c r="BB11" s="42"/>
      <c r="BC11" s="40"/>
      <c r="BD11" s="40"/>
      <c r="BE11" s="42"/>
      <c r="BF11" s="40"/>
      <c r="BG11" s="40"/>
      <c r="BH11" s="40"/>
      <c r="BI11" s="40"/>
      <c r="BJ11" s="43" t="str">
        <f t="shared" si="0"/>
        <v/>
      </c>
      <c r="BK11" s="43"/>
      <c r="BL11" s="40"/>
      <c r="BM11" s="44"/>
      <c r="BN11" s="40"/>
      <c r="BO11" s="40"/>
      <c r="BP11" s="40"/>
      <c r="BQ11" s="40"/>
      <c r="BR11" s="40"/>
      <c r="BS11" s="40"/>
      <c r="BT11" s="40"/>
      <c r="BU11" s="43" t="str">
        <f t="shared" si="1"/>
        <v/>
      </c>
      <c r="BV11" s="43"/>
      <c r="BW11" s="40"/>
      <c r="BX11" s="44"/>
      <c r="BY11" s="40"/>
      <c r="BZ11" s="40"/>
      <c r="CA11" s="40"/>
      <c r="CB11" s="40"/>
      <c r="CC11" s="40"/>
      <c r="CD11" s="40"/>
      <c r="CE11" s="40"/>
      <c r="CF11" s="40"/>
      <c r="CG11" s="44"/>
      <c r="CH11" s="43"/>
      <c r="CI11" s="40"/>
      <c r="CJ11" s="40"/>
      <c r="CK11" s="40"/>
      <c r="CL11" s="44"/>
      <c r="CM11" s="43"/>
      <c r="CN11" s="40"/>
      <c r="CO11" s="40"/>
      <c r="CP11" s="40"/>
      <c r="CQ11" s="44"/>
      <c r="CR11" s="43"/>
      <c r="CS11" s="40"/>
      <c r="CT11" s="40"/>
      <c r="CU11" s="40"/>
      <c r="CV11" s="44"/>
      <c r="CW11" s="43"/>
      <c r="CX11" s="45"/>
      <c r="CY11" s="45"/>
      <c r="CZ11" s="45"/>
      <c r="DA11" s="45"/>
      <c r="DB11" s="45" t="str">
        <f t="shared" si="2"/>
        <v/>
      </c>
    </row>
    <row r="12" spans="1:106" ht="15.75" customHeight="1">
      <c r="A12" s="40"/>
      <c r="B12" s="40"/>
      <c r="C12" s="40"/>
      <c r="D12" s="40"/>
      <c r="E12" s="40"/>
      <c r="F12" s="40"/>
      <c r="G12" s="40"/>
      <c r="H12" s="40"/>
      <c r="I12" s="40"/>
      <c r="J12" s="40"/>
      <c r="K12" s="40"/>
      <c r="L12" s="40"/>
      <c r="M12" s="41"/>
      <c r="N12" s="42"/>
      <c r="O12" s="40"/>
      <c r="P12" s="40"/>
      <c r="Q12" s="42"/>
      <c r="R12" s="42"/>
      <c r="S12" s="42"/>
      <c r="T12" s="40"/>
      <c r="U12" s="42"/>
      <c r="V12" s="40"/>
      <c r="W12" s="40"/>
      <c r="X12" s="42"/>
      <c r="Y12" s="40"/>
      <c r="Z12" s="40"/>
      <c r="AA12" s="42"/>
      <c r="AB12" s="42"/>
      <c r="AC12" s="42"/>
      <c r="AD12" s="40"/>
      <c r="AE12" s="42"/>
      <c r="AF12" s="40"/>
      <c r="AG12" s="40"/>
      <c r="AH12" s="42"/>
      <c r="AI12" s="40"/>
      <c r="AJ12" s="40"/>
      <c r="AK12" s="42"/>
      <c r="AL12" s="42"/>
      <c r="AM12" s="42"/>
      <c r="AN12" s="40"/>
      <c r="AO12" s="42"/>
      <c r="AP12" s="40"/>
      <c r="AQ12" s="40"/>
      <c r="AR12" s="42"/>
      <c r="AS12" s="40"/>
      <c r="AT12" s="40"/>
      <c r="AU12" s="42"/>
      <c r="AV12" s="42"/>
      <c r="AW12" s="42"/>
      <c r="AX12" s="40"/>
      <c r="AY12" s="42"/>
      <c r="AZ12" s="40"/>
      <c r="BA12" s="40"/>
      <c r="BB12" s="42"/>
      <c r="BC12" s="40"/>
      <c r="BD12" s="40"/>
      <c r="BE12" s="42"/>
      <c r="BF12" s="40"/>
      <c r="BG12" s="40"/>
      <c r="BH12" s="40"/>
      <c r="BI12" s="40"/>
      <c r="BJ12" s="43" t="str">
        <f t="shared" si="0"/>
        <v/>
      </c>
      <c r="BK12" s="43"/>
      <c r="BL12" s="40"/>
      <c r="BM12" s="44"/>
      <c r="BN12" s="40"/>
      <c r="BO12" s="40"/>
      <c r="BP12" s="40"/>
      <c r="BQ12" s="40"/>
      <c r="BR12" s="40"/>
      <c r="BS12" s="40"/>
      <c r="BT12" s="40"/>
      <c r="BU12" s="43" t="str">
        <f t="shared" si="1"/>
        <v/>
      </c>
      <c r="BV12" s="43"/>
      <c r="BW12" s="40"/>
      <c r="BX12" s="44"/>
      <c r="BY12" s="40"/>
      <c r="BZ12" s="40"/>
      <c r="CA12" s="40"/>
      <c r="CB12" s="40"/>
      <c r="CC12" s="40"/>
      <c r="CD12" s="40"/>
      <c r="CE12" s="40"/>
      <c r="CF12" s="40"/>
      <c r="CG12" s="44"/>
      <c r="CH12" s="43"/>
      <c r="CI12" s="40"/>
      <c r="CJ12" s="40"/>
      <c r="CK12" s="40"/>
      <c r="CL12" s="44"/>
      <c r="CM12" s="43"/>
      <c r="CN12" s="40"/>
      <c r="CO12" s="40"/>
      <c r="CP12" s="40"/>
      <c r="CQ12" s="44"/>
      <c r="CR12" s="43"/>
      <c r="CS12" s="40"/>
      <c r="CT12" s="40"/>
      <c r="CU12" s="40"/>
      <c r="CV12" s="44"/>
      <c r="CW12" s="43"/>
      <c r="CX12" s="45"/>
      <c r="CY12" s="45"/>
      <c r="CZ12" s="45"/>
      <c r="DA12" s="45"/>
      <c r="DB12" s="45" t="str">
        <f t="shared" si="2"/>
        <v/>
      </c>
    </row>
    <row r="13" spans="1:106" ht="15.75" customHeight="1">
      <c r="A13" s="40"/>
      <c r="B13" s="40"/>
      <c r="C13" s="40"/>
      <c r="D13" s="40"/>
      <c r="E13" s="40"/>
      <c r="F13" s="40"/>
      <c r="G13" s="40"/>
      <c r="H13" s="40"/>
      <c r="I13" s="40"/>
      <c r="J13" s="40"/>
      <c r="K13" s="40"/>
      <c r="L13" s="40"/>
      <c r="M13" s="41"/>
      <c r="N13" s="42"/>
      <c r="O13" s="40"/>
      <c r="P13" s="40"/>
      <c r="Q13" s="42"/>
      <c r="R13" s="42"/>
      <c r="S13" s="42"/>
      <c r="T13" s="40"/>
      <c r="U13" s="42"/>
      <c r="V13" s="40"/>
      <c r="W13" s="40"/>
      <c r="X13" s="42"/>
      <c r="Y13" s="40"/>
      <c r="Z13" s="40"/>
      <c r="AA13" s="42"/>
      <c r="AB13" s="42"/>
      <c r="AC13" s="42"/>
      <c r="AD13" s="40"/>
      <c r="AE13" s="42"/>
      <c r="AF13" s="40"/>
      <c r="AG13" s="40"/>
      <c r="AH13" s="42"/>
      <c r="AI13" s="40"/>
      <c r="AJ13" s="40"/>
      <c r="AK13" s="42"/>
      <c r="AL13" s="42"/>
      <c r="AM13" s="42"/>
      <c r="AN13" s="40"/>
      <c r="AO13" s="42"/>
      <c r="AP13" s="40"/>
      <c r="AQ13" s="40"/>
      <c r="AR13" s="42"/>
      <c r="AS13" s="40"/>
      <c r="AT13" s="40"/>
      <c r="AU13" s="42"/>
      <c r="AV13" s="42"/>
      <c r="AW13" s="42"/>
      <c r="AX13" s="40"/>
      <c r="AY13" s="42"/>
      <c r="AZ13" s="40"/>
      <c r="BA13" s="40"/>
      <c r="BB13" s="42"/>
      <c r="BC13" s="40"/>
      <c r="BD13" s="40"/>
      <c r="BE13" s="42"/>
      <c r="BF13" s="40"/>
      <c r="BG13" s="40"/>
      <c r="BH13" s="40"/>
      <c r="BI13" s="40"/>
      <c r="BJ13" s="43" t="str">
        <f t="shared" si="0"/>
        <v/>
      </c>
      <c r="BK13" s="43"/>
      <c r="BL13" s="40"/>
      <c r="BM13" s="44"/>
      <c r="BN13" s="40"/>
      <c r="BO13" s="40"/>
      <c r="BP13" s="40"/>
      <c r="BQ13" s="40"/>
      <c r="BR13" s="40"/>
      <c r="BS13" s="40"/>
      <c r="BT13" s="40"/>
      <c r="BU13" s="43" t="str">
        <f t="shared" si="1"/>
        <v/>
      </c>
      <c r="BV13" s="43"/>
      <c r="BW13" s="40"/>
      <c r="BX13" s="44"/>
      <c r="BY13" s="40"/>
      <c r="BZ13" s="40"/>
      <c r="CA13" s="40"/>
      <c r="CB13" s="40"/>
      <c r="CC13" s="40"/>
      <c r="CD13" s="40"/>
      <c r="CE13" s="40"/>
      <c r="CF13" s="40"/>
      <c r="CG13" s="44"/>
      <c r="CH13" s="43"/>
      <c r="CI13" s="40"/>
      <c r="CJ13" s="40"/>
      <c r="CK13" s="40"/>
      <c r="CL13" s="44"/>
      <c r="CM13" s="43"/>
      <c r="CN13" s="40"/>
      <c r="CO13" s="40"/>
      <c r="CP13" s="40"/>
      <c r="CQ13" s="44"/>
      <c r="CR13" s="43"/>
      <c r="CS13" s="40"/>
      <c r="CT13" s="40"/>
      <c r="CU13" s="40"/>
      <c r="CV13" s="44"/>
      <c r="CW13" s="43"/>
      <c r="CX13" s="45"/>
      <c r="CY13" s="45"/>
      <c r="CZ13" s="45"/>
      <c r="DA13" s="45"/>
      <c r="DB13" s="45" t="str">
        <f t="shared" si="2"/>
        <v/>
      </c>
    </row>
    <row r="14" spans="1:106" ht="15.75" customHeight="1">
      <c r="A14" s="40"/>
      <c r="B14" s="40"/>
      <c r="C14" s="40"/>
      <c r="D14" s="40"/>
      <c r="E14" s="40"/>
      <c r="F14" s="40"/>
      <c r="G14" s="40"/>
      <c r="H14" s="40"/>
      <c r="I14" s="40"/>
      <c r="J14" s="40"/>
      <c r="K14" s="40"/>
      <c r="L14" s="40"/>
      <c r="M14" s="41"/>
      <c r="N14" s="42"/>
      <c r="O14" s="40"/>
      <c r="P14" s="40"/>
      <c r="Q14" s="42"/>
      <c r="R14" s="42"/>
      <c r="S14" s="42"/>
      <c r="T14" s="40"/>
      <c r="U14" s="42"/>
      <c r="V14" s="40"/>
      <c r="W14" s="40"/>
      <c r="X14" s="42"/>
      <c r="Y14" s="40"/>
      <c r="Z14" s="40"/>
      <c r="AA14" s="42"/>
      <c r="AB14" s="42"/>
      <c r="AC14" s="42"/>
      <c r="AD14" s="40"/>
      <c r="AE14" s="42"/>
      <c r="AF14" s="40"/>
      <c r="AG14" s="40"/>
      <c r="AH14" s="42"/>
      <c r="AI14" s="40"/>
      <c r="AJ14" s="40"/>
      <c r="AK14" s="42"/>
      <c r="AL14" s="42"/>
      <c r="AM14" s="42"/>
      <c r="AN14" s="40"/>
      <c r="AO14" s="42"/>
      <c r="AP14" s="40"/>
      <c r="AQ14" s="40"/>
      <c r="AR14" s="42"/>
      <c r="AS14" s="40"/>
      <c r="AT14" s="40"/>
      <c r="AU14" s="42"/>
      <c r="AV14" s="42"/>
      <c r="AW14" s="42"/>
      <c r="AX14" s="40"/>
      <c r="AY14" s="42"/>
      <c r="AZ14" s="40"/>
      <c r="BA14" s="40"/>
      <c r="BB14" s="42"/>
      <c r="BC14" s="40"/>
      <c r="BD14" s="40"/>
      <c r="BE14" s="42"/>
      <c r="BF14" s="40"/>
      <c r="BG14" s="40"/>
      <c r="BH14" s="40"/>
      <c r="BI14" s="40"/>
      <c r="BJ14" s="43" t="str">
        <f t="shared" si="0"/>
        <v/>
      </c>
      <c r="BK14" s="43"/>
      <c r="BL14" s="40"/>
      <c r="BM14" s="44"/>
      <c r="BN14" s="40"/>
      <c r="BO14" s="40"/>
      <c r="BP14" s="40"/>
      <c r="BQ14" s="40"/>
      <c r="BR14" s="40"/>
      <c r="BS14" s="40"/>
      <c r="BT14" s="40"/>
      <c r="BU14" s="43" t="str">
        <f t="shared" si="1"/>
        <v/>
      </c>
      <c r="BV14" s="43"/>
      <c r="BW14" s="40"/>
      <c r="BX14" s="44"/>
      <c r="BY14" s="40"/>
      <c r="BZ14" s="40"/>
      <c r="CA14" s="40"/>
      <c r="CB14" s="40"/>
      <c r="CC14" s="40"/>
      <c r="CD14" s="40"/>
      <c r="CE14" s="40"/>
      <c r="CF14" s="40"/>
      <c r="CG14" s="44"/>
      <c r="CH14" s="43"/>
      <c r="CI14" s="40"/>
      <c r="CJ14" s="40"/>
      <c r="CK14" s="40"/>
      <c r="CL14" s="44"/>
      <c r="CM14" s="43"/>
      <c r="CN14" s="40"/>
      <c r="CO14" s="40"/>
      <c r="CP14" s="40"/>
      <c r="CQ14" s="44"/>
      <c r="CR14" s="43"/>
      <c r="CS14" s="40"/>
      <c r="CT14" s="40"/>
      <c r="CU14" s="40"/>
      <c r="CV14" s="44"/>
      <c r="CW14" s="43"/>
      <c r="CX14" s="45"/>
      <c r="CY14" s="45"/>
      <c r="CZ14" s="45"/>
      <c r="DA14" s="45"/>
      <c r="DB14" s="45" t="str">
        <f t="shared" si="2"/>
        <v/>
      </c>
    </row>
    <row r="15" spans="1:106" ht="15.75" customHeight="1">
      <c r="A15" s="40"/>
      <c r="B15" s="40"/>
      <c r="C15" s="40"/>
      <c r="D15" s="40"/>
      <c r="E15" s="40"/>
      <c r="F15" s="40"/>
      <c r="G15" s="40"/>
      <c r="H15" s="40"/>
      <c r="I15" s="40"/>
      <c r="J15" s="40"/>
      <c r="K15" s="40"/>
      <c r="L15" s="40"/>
      <c r="M15" s="41"/>
      <c r="N15" s="42"/>
      <c r="O15" s="40"/>
      <c r="P15" s="40"/>
      <c r="Q15" s="42"/>
      <c r="R15" s="42"/>
      <c r="S15" s="42"/>
      <c r="T15" s="40"/>
      <c r="U15" s="42"/>
      <c r="V15" s="40"/>
      <c r="W15" s="40"/>
      <c r="X15" s="42"/>
      <c r="Y15" s="40"/>
      <c r="Z15" s="40"/>
      <c r="AA15" s="42"/>
      <c r="AB15" s="42"/>
      <c r="AC15" s="42"/>
      <c r="AD15" s="40"/>
      <c r="AE15" s="42"/>
      <c r="AF15" s="40"/>
      <c r="AG15" s="40"/>
      <c r="AH15" s="42"/>
      <c r="AI15" s="40"/>
      <c r="AJ15" s="40"/>
      <c r="AK15" s="42"/>
      <c r="AL15" s="42"/>
      <c r="AM15" s="42"/>
      <c r="AN15" s="40"/>
      <c r="AO15" s="42"/>
      <c r="AP15" s="40"/>
      <c r="AQ15" s="40"/>
      <c r="AR15" s="42"/>
      <c r="AS15" s="40"/>
      <c r="AT15" s="40"/>
      <c r="AU15" s="42"/>
      <c r="AV15" s="42"/>
      <c r="AW15" s="42"/>
      <c r="AX15" s="40"/>
      <c r="AY15" s="42"/>
      <c r="AZ15" s="40"/>
      <c r="BA15" s="40"/>
      <c r="BB15" s="42"/>
      <c r="BC15" s="40"/>
      <c r="BD15" s="40"/>
      <c r="BE15" s="42"/>
      <c r="BF15" s="40"/>
      <c r="BG15" s="40"/>
      <c r="BH15" s="40"/>
      <c r="BI15" s="40"/>
      <c r="BJ15" s="43" t="str">
        <f t="shared" si="0"/>
        <v/>
      </c>
      <c r="BK15" s="43"/>
      <c r="BL15" s="40"/>
      <c r="BM15" s="44"/>
      <c r="BN15" s="40"/>
      <c r="BO15" s="40"/>
      <c r="BP15" s="40"/>
      <c r="BQ15" s="40"/>
      <c r="BR15" s="40"/>
      <c r="BS15" s="40"/>
      <c r="BT15" s="40"/>
      <c r="BU15" s="43" t="str">
        <f t="shared" si="1"/>
        <v/>
      </c>
      <c r="BV15" s="43"/>
      <c r="BW15" s="40"/>
      <c r="BX15" s="44"/>
      <c r="BY15" s="40"/>
      <c r="BZ15" s="40"/>
      <c r="CA15" s="40"/>
      <c r="CB15" s="40"/>
      <c r="CC15" s="40"/>
      <c r="CD15" s="40"/>
      <c r="CE15" s="40"/>
      <c r="CF15" s="40"/>
      <c r="CG15" s="44"/>
      <c r="CH15" s="43"/>
      <c r="CI15" s="40"/>
      <c r="CJ15" s="40"/>
      <c r="CK15" s="40"/>
      <c r="CL15" s="44"/>
      <c r="CM15" s="43"/>
      <c r="CN15" s="40"/>
      <c r="CO15" s="40"/>
      <c r="CP15" s="40"/>
      <c r="CQ15" s="44"/>
      <c r="CR15" s="43"/>
      <c r="CS15" s="40"/>
      <c r="CT15" s="40"/>
      <c r="CU15" s="40"/>
      <c r="CV15" s="44"/>
      <c r="CW15" s="43"/>
      <c r="CX15" s="45"/>
      <c r="CY15" s="45"/>
      <c r="CZ15" s="45"/>
      <c r="DA15" s="45"/>
      <c r="DB15" s="45" t="str">
        <f t="shared" si="2"/>
        <v/>
      </c>
    </row>
    <row r="16" spans="1:106" ht="15.75" customHeight="1">
      <c r="A16" s="40"/>
      <c r="B16" s="40"/>
      <c r="C16" s="40"/>
      <c r="D16" s="40"/>
      <c r="E16" s="40"/>
      <c r="F16" s="40"/>
      <c r="G16" s="40"/>
      <c r="H16" s="40"/>
      <c r="I16" s="40"/>
      <c r="J16" s="40"/>
      <c r="K16" s="40"/>
      <c r="L16" s="40"/>
      <c r="M16" s="41"/>
      <c r="N16" s="42"/>
      <c r="O16" s="40"/>
      <c r="P16" s="40"/>
      <c r="Q16" s="42"/>
      <c r="R16" s="42"/>
      <c r="S16" s="42"/>
      <c r="T16" s="40"/>
      <c r="U16" s="42"/>
      <c r="V16" s="40"/>
      <c r="W16" s="40"/>
      <c r="X16" s="42"/>
      <c r="Y16" s="40"/>
      <c r="Z16" s="40"/>
      <c r="AA16" s="42"/>
      <c r="AB16" s="42"/>
      <c r="AC16" s="42"/>
      <c r="AD16" s="40"/>
      <c r="AE16" s="42"/>
      <c r="AF16" s="40"/>
      <c r="AG16" s="40"/>
      <c r="AH16" s="42"/>
      <c r="AI16" s="40"/>
      <c r="AJ16" s="40"/>
      <c r="AK16" s="42"/>
      <c r="AL16" s="42"/>
      <c r="AM16" s="42"/>
      <c r="AN16" s="40"/>
      <c r="AO16" s="42"/>
      <c r="AP16" s="40"/>
      <c r="AQ16" s="40"/>
      <c r="AR16" s="42"/>
      <c r="AS16" s="40"/>
      <c r="AT16" s="40"/>
      <c r="AU16" s="42"/>
      <c r="AV16" s="42"/>
      <c r="AW16" s="42"/>
      <c r="AX16" s="40"/>
      <c r="AY16" s="42"/>
      <c r="AZ16" s="40"/>
      <c r="BA16" s="40"/>
      <c r="BB16" s="42"/>
      <c r="BC16" s="40"/>
      <c r="BD16" s="40"/>
      <c r="BE16" s="42"/>
      <c r="BF16" s="40"/>
      <c r="BG16" s="40"/>
      <c r="BH16" s="40"/>
      <c r="BI16" s="40"/>
      <c r="BJ16" s="43" t="str">
        <f t="shared" si="0"/>
        <v/>
      </c>
      <c r="BK16" s="43"/>
      <c r="BL16" s="40"/>
      <c r="BM16" s="44"/>
      <c r="BN16" s="40"/>
      <c r="BO16" s="40"/>
      <c r="BP16" s="40"/>
      <c r="BQ16" s="40"/>
      <c r="BR16" s="40"/>
      <c r="BS16" s="40"/>
      <c r="BT16" s="40"/>
      <c r="BU16" s="43" t="str">
        <f t="shared" si="1"/>
        <v/>
      </c>
      <c r="BV16" s="43"/>
      <c r="BW16" s="40"/>
      <c r="BX16" s="44"/>
      <c r="BY16" s="40"/>
      <c r="BZ16" s="40"/>
      <c r="CA16" s="40"/>
      <c r="CB16" s="40"/>
      <c r="CC16" s="40"/>
      <c r="CD16" s="40"/>
      <c r="CE16" s="40"/>
      <c r="CF16" s="40"/>
      <c r="CG16" s="44"/>
      <c r="CH16" s="43"/>
      <c r="CI16" s="40"/>
      <c r="CJ16" s="40"/>
      <c r="CK16" s="40"/>
      <c r="CL16" s="44"/>
      <c r="CM16" s="43"/>
      <c r="CN16" s="40"/>
      <c r="CO16" s="40"/>
      <c r="CP16" s="40"/>
      <c r="CQ16" s="44"/>
      <c r="CR16" s="43"/>
      <c r="CS16" s="40"/>
      <c r="CT16" s="40"/>
      <c r="CU16" s="40"/>
      <c r="CV16" s="44"/>
      <c r="CW16" s="43"/>
      <c r="CX16" s="45"/>
      <c r="CY16" s="45"/>
      <c r="CZ16" s="45"/>
      <c r="DA16" s="45"/>
      <c r="DB16" s="45" t="str">
        <f t="shared" si="2"/>
        <v/>
      </c>
    </row>
    <row r="17" spans="1:106" ht="15.75" customHeight="1">
      <c r="A17" s="40"/>
      <c r="B17" s="40"/>
      <c r="C17" s="40"/>
      <c r="D17" s="40"/>
      <c r="E17" s="40"/>
      <c r="F17" s="40"/>
      <c r="G17" s="40"/>
      <c r="H17" s="40"/>
      <c r="I17" s="40"/>
      <c r="J17" s="40"/>
      <c r="K17" s="40"/>
      <c r="L17" s="40"/>
      <c r="M17" s="41"/>
      <c r="N17" s="42"/>
      <c r="O17" s="40"/>
      <c r="P17" s="40"/>
      <c r="Q17" s="42"/>
      <c r="R17" s="42"/>
      <c r="S17" s="42"/>
      <c r="T17" s="40"/>
      <c r="U17" s="42"/>
      <c r="V17" s="40"/>
      <c r="W17" s="40"/>
      <c r="X17" s="42"/>
      <c r="Y17" s="40"/>
      <c r="Z17" s="40"/>
      <c r="AA17" s="42"/>
      <c r="AB17" s="42"/>
      <c r="AC17" s="42"/>
      <c r="AD17" s="40"/>
      <c r="AE17" s="42"/>
      <c r="AF17" s="40"/>
      <c r="AG17" s="40"/>
      <c r="AH17" s="42"/>
      <c r="AI17" s="40"/>
      <c r="AJ17" s="40"/>
      <c r="AK17" s="42"/>
      <c r="AL17" s="42"/>
      <c r="AM17" s="42"/>
      <c r="AN17" s="40"/>
      <c r="AO17" s="42"/>
      <c r="AP17" s="40"/>
      <c r="AQ17" s="40"/>
      <c r="AR17" s="42"/>
      <c r="AS17" s="40"/>
      <c r="AT17" s="40"/>
      <c r="AU17" s="42"/>
      <c r="AV17" s="42"/>
      <c r="AW17" s="42"/>
      <c r="AX17" s="40"/>
      <c r="AY17" s="42"/>
      <c r="AZ17" s="40"/>
      <c r="BA17" s="40"/>
      <c r="BB17" s="42"/>
      <c r="BC17" s="40"/>
      <c r="BD17" s="40"/>
      <c r="BE17" s="42"/>
      <c r="BF17" s="40"/>
      <c r="BG17" s="40"/>
      <c r="BH17" s="40"/>
      <c r="BI17" s="40"/>
      <c r="BJ17" s="43" t="str">
        <f t="shared" si="0"/>
        <v/>
      </c>
      <c r="BK17" s="43"/>
      <c r="BL17" s="40"/>
      <c r="BM17" s="44"/>
      <c r="BN17" s="40"/>
      <c r="BO17" s="40"/>
      <c r="BP17" s="40"/>
      <c r="BQ17" s="40"/>
      <c r="BR17" s="40"/>
      <c r="BS17" s="40"/>
      <c r="BT17" s="40"/>
      <c r="BU17" s="43" t="str">
        <f t="shared" si="1"/>
        <v/>
      </c>
      <c r="BV17" s="43"/>
      <c r="BW17" s="40"/>
      <c r="BX17" s="44"/>
      <c r="BY17" s="40"/>
      <c r="BZ17" s="40"/>
      <c r="CA17" s="40"/>
      <c r="CB17" s="40"/>
      <c r="CC17" s="40"/>
      <c r="CD17" s="40"/>
      <c r="CE17" s="40"/>
      <c r="CF17" s="40"/>
      <c r="CG17" s="44"/>
      <c r="CH17" s="43"/>
      <c r="CI17" s="40"/>
      <c r="CJ17" s="40"/>
      <c r="CK17" s="40"/>
      <c r="CL17" s="44"/>
      <c r="CM17" s="43"/>
      <c r="CN17" s="40"/>
      <c r="CO17" s="40"/>
      <c r="CP17" s="40"/>
      <c r="CQ17" s="44"/>
      <c r="CR17" s="43"/>
      <c r="CS17" s="40"/>
      <c r="CT17" s="40"/>
      <c r="CU17" s="40"/>
      <c r="CV17" s="44"/>
      <c r="CW17" s="43"/>
      <c r="CX17" s="45"/>
      <c r="CY17" s="45"/>
      <c r="CZ17" s="45"/>
      <c r="DA17" s="45"/>
      <c r="DB17" s="45" t="str">
        <f t="shared" si="2"/>
        <v/>
      </c>
    </row>
    <row r="18" spans="1:106" ht="15.75" customHeight="1">
      <c r="A18" s="40"/>
      <c r="B18" s="40"/>
      <c r="C18" s="40"/>
      <c r="D18" s="40"/>
      <c r="E18" s="40"/>
      <c r="F18" s="40"/>
      <c r="G18" s="40"/>
      <c r="H18" s="40"/>
      <c r="I18" s="40"/>
      <c r="J18" s="40"/>
      <c r="K18" s="40"/>
      <c r="L18" s="40"/>
      <c r="M18" s="41"/>
      <c r="N18" s="42"/>
      <c r="O18" s="40"/>
      <c r="P18" s="40"/>
      <c r="Q18" s="42"/>
      <c r="R18" s="42"/>
      <c r="S18" s="42"/>
      <c r="T18" s="40"/>
      <c r="U18" s="42"/>
      <c r="V18" s="40"/>
      <c r="W18" s="40"/>
      <c r="X18" s="42"/>
      <c r="Y18" s="40"/>
      <c r="Z18" s="40"/>
      <c r="AA18" s="42"/>
      <c r="AB18" s="42"/>
      <c r="AC18" s="42"/>
      <c r="AD18" s="40"/>
      <c r="AE18" s="42"/>
      <c r="AF18" s="40"/>
      <c r="AG18" s="40"/>
      <c r="AH18" s="42"/>
      <c r="AI18" s="40"/>
      <c r="AJ18" s="40"/>
      <c r="AK18" s="42"/>
      <c r="AL18" s="42"/>
      <c r="AM18" s="42"/>
      <c r="AN18" s="40"/>
      <c r="AO18" s="42"/>
      <c r="AP18" s="40"/>
      <c r="AQ18" s="40"/>
      <c r="AR18" s="42"/>
      <c r="AS18" s="40"/>
      <c r="AT18" s="40"/>
      <c r="AU18" s="42"/>
      <c r="AV18" s="42"/>
      <c r="AW18" s="42"/>
      <c r="AX18" s="40"/>
      <c r="AY18" s="42"/>
      <c r="AZ18" s="40"/>
      <c r="BA18" s="40"/>
      <c r="BB18" s="42"/>
      <c r="BC18" s="40"/>
      <c r="BD18" s="40"/>
      <c r="BE18" s="42"/>
      <c r="BF18" s="40"/>
      <c r="BG18" s="40"/>
      <c r="BH18" s="40"/>
      <c r="BI18" s="40"/>
      <c r="BJ18" s="43" t="str">
        <f t="shared" si="0"/>
        <v/>
      </c>
      <c r="BK18" s="43"/>
      <c r="BL18" s="40"/>
      <c r="BM18" s="44"/>
      <c r="BN18" s="40"/>
      <c r="BO18" s="40"/>
      <c r="BP18" s="40"/>
      <c r="BQ18" s="40"/>
      <c r="BR18" s="40"/>
      <c r="BS18" s="40"/>
      <c r="BT18" s="40"/>
      <c r="BU18" s="43" t="str">
        <f t="shared" si="1"/>
        <v/>
      </c>
      <c r="BV18" s="43"/>
      <c r="BW18" s="40"/>
      <c r="BX18" s="44"/>
      <c r="BY18" s="40"/>
      <c r="BZ18" s="40"/>
      <c r="CA18" s="40"/>
      <c r="CB18" s="40"/>
      <c r="CC18" s="40"/>
      <c r="CD18" s="40"/>
      <c r="CE18" s="40"/>
      <c r="CF18" s="40"/>
      <c r="CG18" s="44"/>
      <c r="CH18" s="43"/>
      <c r="CI18" s="40"/>
      <c r="CJ18" s="40"/>
      <c r="CK18" s="40"/>
      <c r="CL18" s="44"/>
      <c r="CM18" s="43"/>
      <c r="CN18" s="40"/>
      <c r="CO18" s="40"/>
      <c r="CP18" s="40"/>
      <c r="CQ18" s="44"/>
      <c r="CR18" s="43"/>
      <c r="CS18" s="40"/>
      <c r="CT18" s="40"/>
      <c r="CU18" s="40"/>
      <c r="CV18" s="44"/>
      <c r="CW18" s="43"/>
      <c r="CX18" s="45"/>
      <c r="CY18" s="45"/>
      <c r="CZ18" s="45"/>
      <c r="DA18" s="45"/>
      <c r="DB18" s="45" t="str">
        <f t="shared" si="2"/>
        <v/>
      </c>
    </row>
    <row r="19" spans="1:106" ht="15.75" customHeight="1">
      <c r="A19" s="40"/>
      <c r="B19" s="40"/>
      <c r="C19" s="40"/>
      <c r="D19" s="40"/>
      <c r="E19" s="40"/>
      <c r="F19" s="40"/>
      <c r="G19" s="40"/>
      <c r="H19" s="40"/>
      <c r="I19" s="40"/>
      <c r="J19" s="40"/>
      <c r="K19" s="40"/>
      <c r="L19" s="40"/>
      <c r="M19" s="41"/>
      <c r="N19" s="42"/>
      <c r="O19" s="40"/>
      <c r="P19" s="40"/>
      <c r="Q19" s="42"/>
      <c r="R19" s="42"/>
      <c r="S19" s="42"/>
      <c r="T19" s="40"/>
      <c r="U19" s="42"/>
      <c r="V19" s="40"/>
      <c r="W19" s="40"/>
      <c r="X19" s="42"/>
      <c r="Y19" s="40"/>
      <c r="Z19" s="40"/>
      <c r="AA19" s="42"/>
      <c r="AB19" s="42"/>
      <c r="AC19" s="42"/>
      <c r="AD19" s="40"/>
      <c r="AE19" s="42"/>
      <c r="AF19" s="40"/>
      <c r="AG19" s="40"/>
      <c r="AH19" s="42"/>
      <c r="AI19" s="40"/>
      <c r="AJ19" s="40"/>
      <c r="AK19" s="42"/>
      <c r="AL19" s="42"/>
      <c r="AM19" s="42"/>
      <c r="AN19" s="40"/>
      <c r="AO19" s="42"/>
      <c r="AP19" s="40"/>
      <c r="AQ19" s="40"/>
      <c r="AR19" s="42"/>
      <c r="AS19" s="40"/>
      <c r="AT19" s="40"/>
      <c r="AU19" s="42"/>
      <c r="AV19" s="42"/>
      <c r="AW19" s="42"/>
      <c r="AX19" s="40"/>
      <c r="AY19" s="42"/>
      <c r="AZ19" s="40"/>
      <c r="BA19" s="40"/>
      <c r="BB19" s="42"/>
      <c r="BC19" s="40"/>
      <c r="BD19" s="40"/>
      <c r="BE19" s="42"/>
      <c r="BF19" s="40"/>
      <c r="BG19" s="40"/>
      <c r="BH19" s="40"/>
      <c r="BI19" s="40"/>
      <c r="BJ19" s="43" t="str">
        <f t="shared" si="0"/>
        <v/>
      </c>
      <c r="BK19" s="43"/>
      <c r="BL19" s="40"/>
      <c r="BM19" s="44"/>
      <c r="BN19" s="40"/>
      <c r="BO19" s="40"/>
      <c r="BP19" s="40"/>
      <c r="BQ19" s="40"/>
      <c r="BR19" s="40"/>
      <c r="BS19" s="40"/>
      <c r="BT19" s="40"/>
      <c r="BU19" s="43" t="str">
        <f t="shared" si="1"/>
        <v/>
      </c>
      <c r="BV19" s="43"/>
      <c r="BW19" s="40"/>
      <c r="BX19" s="44"/>
      <c r="BY19" s="40"/>
      <c r="BZ19" s="40"/>
      <c r="CA19" s="40"/>
      <c r="CB19" s="40"/>
      <c r="CC19" s="40"/>
      <c r="CD19" s="40"/>
      <c r="CE19" s="40"/>
      <c r="CF19" s="40"/>
      <c r="CG19" s="44"/>
      <c r="CH19" s="43"/>
      <c r="CI19" s="40"/>
      <c r="CJ19" s="40"/>
      <c r="CK19" s="40"/>
      <c r="CL19" s="44"/>
      <c r="CM19" s="43"/>
      <c r="CN19" s="40"/>
      <c r="CO19" s="40"/>
      <c r="CP19" s="40"/>
      <c r="CQ19" s="44"/>
      <c r="CR19" s="43"/>
      <c r="CS19" s="40"/>
      <c r="CT19" s="40"/>
      <c r="CU19" s="40"/>
      <c r="CV19" s="44"/>
      <c r="CW19" s="43"/>
      <c r="CX19" s="45"/>
      <c r="CY19" s="45"/>
      <c r="CZ19" s="45"/>
      <c r="DA19" s="45"/>
      <c r="DB19" s="45" t="str">
        <f t="shared" si="2"/>
        <v/>
      </c>
    </row>
    <row r="20" spans="1:106" ht="15.75" customHeight="1">
      <c r="A20" s="40"/>
      <c r="B20" s="40"/>
      <c r="C20" s="40"/>
      <c r="D20" s="40"/>
      <c r="E20" s="40"/>
      <c r="F20" s="40"/>
      <c r="G20" s="40"/>
      <c r="H20" s="40"/>
      <c r="I20" s="40"/>
      <c r="J20" s="40"/>
      <c r="K20" s="40"/>
      <c r="L20" s="40"/>
      <c r="M20" s="41"/>
      <c r="N20" s="42"/>
      <c r="O20" s="40"/>
      <c r="P20" s="40"/>
      <c r="Q20" s="42"/>
      <c r="R20" s="42"/>
      <c r="S20" s="42"/>
      <c r="T20" s="40"/>
      <c r="U20" s="42"/>
      <c r="V20" s="40"/>
      <c r="W20" s="40"/>
      <c r="X20" s="42"/>
      <c r="Y20" s="40"/>
      <c r="Z20" s="40"/>
      <c r="AA20" s="42"/>
      <c r="AB20" s="42"/>
      <c r="AC20" s="42"/>
      <c r="AD20" s="40"/>
      <c r="AE20" s="42"/>
      <c r="AF20" s="40"/>
      <c r="AG20" s="40"/>
      <c r="AH20" s="42"/>
      <c r="AI20" s="40"/>
      <c r="AJ20" s="40"/>
      <c r="AK20" s="42"/>
      <c r="AL20" s="42"/>
      <c r="AM20" s="42"/>
      <c r="AN20" s="40"/>
      <c r="AO20" s="42"/>
      <c r="AP20" s="40"/>
      <c r="AQ20" s="40"/>
      <c r="AR20" s="42"/>
      <c r="AS20" s="40"/>
      <c r="AT20" s="40"/>
      <c r="AU20" s="42"/>
      <c r="AV20" s="42"/>
      <c r="AW20" s="42"/>
      <c r="AX20" s="40"/>
      <c r="AY20" s="42"/>
      <c r="AZ20" s="40"/>
      <c r="BA20" s="40"/>
      <c r="BB20" s="42"/>
      <c r="BC20" s="40"/>
      <c r="BD20" s="40"/>
      <c r="BE20" s="42"/>
      <c r="BF20" s="40"/>
      <c r="BG20" s="40"/>
      <c r="BH20" s="40"/>
      <c r="BI20" s="40"/>
      <c r="BJ20" s="43" t="str">
        <f t="shared" si="0"/>
        <v/>
      </c>
      <c r="BK20" s="43"/>
      <c r="BL20" s="40"/>
      <c r="BM20" s="44"/>
      <c r="BN20" s="40"/>
      <c r="BO20" s="40"/>
      <c r="BP20" s="40"/>
      <c r="BQ20" s="40"/>
      <c r="BR20" s="40"/>
      <c r="BS20" s="40"/>
      <c r="BT20" s="40"/>
      <c r="BU20" s="43" t="str">
        <f t="shared" si="1"/>
        <v/>
      </c>
      <c r="BV20" s="43"/>
      <c r="BW20" s="40"/>
      <c r="BX20" s="44"/>
      <c r="BY20" s="40"/>
      <c r="BZ20" s="40"/>
      <c r="CA20" s="40"/>
      <c r="CB20" s="40"/>
      <c r="CC20" s="40"/>
      <c r="CD20" s="40"/>
      <c r="CE20" s="40"/>
      <c r="CF20" s="40"/>
      <c r="CG20" s="44"/>
      <c r="CH20" s="43"/>
      <c r="CI20" s="40"/>
      <c r="CJ20" s="40"/>
      <c r="CK20" s="40"/>
      <c r="CL20" s="44"/>
      <c r="CM20" s="43"/>
      <c r="CN20" s="40"/>
      <c r="CO20" s="40"/>
      <c r="CP20" s="40"/>
      <c r="CQ20" s="44"/>
      <c r="CR20" s="43"/>
      <c r="CS20" s="40"/>
      <c r="CT20" s="40"/>
      <c r="CU20" s="40"/>
      <c r="CV20" s="44"/>
      <c r="CW20" s="43"/>
      <c r="CX20" s="45"/>
      <c r="CY20" s="45"/>
      <c r="CZ20" s="45"/>
      <c r="DA20" s="45"/>
      <c r="DB20" s="45" t="str">
        <f t="shared" si="2"/>
        <v/>
      </c>
    </row>
    <row r="21" spans="1:106" ht="15.75" customHeight="1">
      <c r="A21" s="40"/>
      <c r="B21" s="40"/>
      <c r="C21" s="40"/>
      <c r="D21" s="40"/>
      <c r="E21" s="40"/>
      <c r="F21" s="40"/>
      <c r="G21" s="40"/>
      <c r="H21" s="40"/>
      <c r="I21" s="40"/>
      <c r="J21" s="40"/>
      <c r="K21" s="40"/>
      <c r="L21" s="40"/>
      <c r="M21" s="41"/>
      <c r="N21" s="42"/>
      <c r="O21" s="40"/>
      <c r="P21" s="40"/>
      <c r="Q21" s="42"/>
      <c r="R21" s="42"/>
      <c r="S21" s="42"/>
      <c r="T21" s="40"/>
      <c r="U21" s="42"/>
      <c r="V21" s="40"/>
      <c r="W21" s="40"/>
      <c r="X21" s="42"/>
      <c r="Y21" s="40"/>
      <c r="Z21" s="40"/>
      <c r="AA21" s="42"/>
      <c r="AB21" s="42"/>
      <c r="AC21" s="42"/>
      <c r="AD21" s="40"/>
      <c r="AE21" s="42"/>
      <c r="AF21" s="40"/>
      <c r="AG21" s="40"/>
      <c r="AH21" s="42"/>
      <c r="AI21" s="40"/>
      <c r="AJ21" s="40"/>
      <c r="AK21" s="42"/>
      <c r="AL21" s="42"/>
      <c r="AM21" s="42"/>
      <c r="AN21" s="40"/>
      <c r="AO21" s="42"/>
      <c r="AP21" s="40"/>
      <c r="AQ21" s="40"/>
      <c r="AR21" s="42"/>
      <c r="AS21" s="40"/>
      <c r="AT21" s="40"/>
      <c r="AU21" s="42"/>
      <c r="AV21" s="42"/>
      <c r="AW21" s="42"/>
      <c r="AX21" s="40"/>
      <c r="AY21" s="42"/>
      <c r="AZ21" s="40"/>
      <c r="BA21" s="40"/>
      <c r="BB21" s="42"/>
      <c r="BC21" s="40"/>
      <c r="BD21" s="40"/>
      <c r="BE21" s="42"/>
      <c r="BF21" s="40"/>
      <c r="BG21" s="40"/>
      <c r="BH21" s="40"/>
      <c r="BI21" s="40"/>
      <c r="BJ21" s="43" t="str">
        <f t="shared" si="0"/>
        <v/>
      </c>
      <c r="BK21" s="43"/>
      <c r="BL21" s="40"/>
      <c r="BM21" s="44"/>
      <c r="BN21" s="40"/>
      <c r="BO21" s="40"/>
      <c r="BP21" s="40"/>
      <c r="BQ21" s="40"/>
      <c r="BR21" s="40"/>
      <c r="BS21" s="40"/>
      <c r="BT21" s="40"/>
      <c r="BU21" s="43" t="str">
        <f t="shared" si="1"/>
        <v/>
      </c>
      <c r="BV21" s="43"/>
      <c r="BW21" s="40"/>
      <c r="BX21" s="44"/>
      <c r="BY21" s="40"/>
      <c r="BZ21" s="40"/>
      <c r="CA21" s="40"/>
      <c r="CB21" s="40"/>
      <c r="CC21" s="40"/>
      <c r="CD21" s="40"/>
      <c r="CE21" s="40"/>
      <c r="CF21" s="40"/>
      <c r="CG21" s="44"/>
      <c r="CH21" s="43"/>
      <c r="CI21" s="40"/>
      <c r="CJ21" s="40"/>
      <c r="CK21" s="40"/>
      <c r="CL21" s="44"/>
      <c r="CM21" s="43"/>
      <c r="CN21" s="40"/>
      <c r="CO21" s="40"/>
      <c r="CP21" s="40"/>
      <c r="CQ21" s="44"/>
      <c r="CR21" s="43"/>
      <c r="CS21" s="40"/>
      <c r="CT21" s="40"/>
      <c r="CU21" s="40"/>
      <c r="CV21" s="44"/>
      <c r="CW21" s="43"/>
      <c r="CX21" s="45"/>
      <c r="CY21" s="45"/>
      <c r="CZ21" s="45"/>
      <c r="DA21" s="45"/>
      <c r="DB21" s="45" t="str">
        <f t="shared" si="2"/>
        <v/>
      </c>
    </row>
    <row r="22" spans="1:106" ht="15.75" customHeight="1">
      <c r="A22" s="40"/>
      <c r="B22" s="40"/>
      <c r="C22" s="40"/>
      <c r="D22" s="40"/>
      <c r="E22" s="40"/>
      <c r="F22" s="40"/>
      <c r="G22" s="40"/>
      <c r="H22" s="40"/>
      <c r="I22" s="40"/>
      <c r="J22" s="40"/>
      <c r="K22" s="40"/>
      <c r="L22" s="40"/>
      <c r="M22" s="41"/>
      <c r="N22" s="42"/>
      <c r="O22" s="40"/>
      <c r="P22" s="40"/>
      <c r="Q22" s="42"/>
      <c r="R22" s="42"/>
      <c r="S22" s="42"/>
      <c r="T22" s="40"/>
      <c r="U22" s="42"/>
      <c r="V22" s="40"/>
      <c r="W22" s="40"/>
      <c r="X22" s="42"/>
      <c r="Y22" s="40"/>
      <c r="Z22" s="40"/>
      <c r="AA22" s="42"/>
      <c r="AB22" s="42"/>
      <c r="AC22" s="42"/>
      <c r="AD22" s="40"/>
      <c r="AE22" s="42"/>
      <c r="AF22" s="40"/>
      <c r="AG22" s="40"/>
      <c r="AH22" s="42"/>
      <c r="AI22" s="40"/>
      <c r="AJ22" s="40"/>
      <c r="AK22" s="42"/>
      <c r="AL22" s="42"/>
      <c r="AM22" s="42"/>
      <c r="AN22" s="40"/>
      <c r="AO22" s="42"/>
      <c r="AP22" s="40"/>
      <c r="AQ22" s="40"/>
      <c r="AR22" s="42"/>
      <c r="AS22" s="40"/>
      <c r="AT22" s="40"/>
      <c r="AU22" s="42"/>
      <c r="AV22" s="42"/>
      <c r="AW22" s="42"/>
      <c r="AX22" s="40"/>
      <c r="AY22" s="42"/>
      <c r="AZ22" s="40"/>
      <c r="BA22" s="40"/>
      <c r="BB22" s="42"/>
      <c r="BC22" s="40"/>
      <c r="BD22" s="40"/>
      <c r="BE22" s="42"/>
      <c r="BF22" s="40"/>
      <c r="BG22" s="40"/>
      <c r="BH22" s="40"/>
      <c r="BI22" s="40"/>
      <c r="BJ22" s="43" t="str">
        <f t="shared" si="0"/>
        <v/>
      </c>
      <c r="BK22" s="43"/>
      <c r="BL22" s="40"/>
      <c r="BM22" s="44"/>
      <c r="BN22" s="40"/>
      <c r="BO22" s="40"/>
      <c r="BP22" s="40"/>
      <c r="BQ22" s="40"/>
      <c r="BR22" s="40"/>
      <c r="BS22" s="40"/>
      <c r="BT22" s="40"/>
      <c r="BU22" s="43" t="str">
        <f t="shared" si="1"/>
        <v/>
      </c>
      <c r="BV22" s="43"/>
      <c r="BW22" s="40"/>
      <c r="BX22" s="44"/>
      <c r="BY22" s="40"/>
      <c r="BZ22" s="40"/>
      <c r="CA22" s="40"/>
      <c r="CB22" s="40"/>
      <c r="CC22" s="40"/>
      <c r="CD22" s="40"/>
      <c r="CE22" s="40"/>
      <c r="CF22" s="40"/>
      <c r="CG22" s="44"/>
      <c r="CH22" s="43"/>
      <c r="CI22" s="40"/>
      <c r="CJ22" s="40"/>
      <c r="CK22" s="40"/>
      <c r="CL22" s="44"/>
      <c r="CM22" s="43"/>
      <c r="CN22" s="40"/>
      <c r="CO22" s="40"/>
      <c r="CP22" s="40"/>
      <c r="CQ22" s="44"/>
      <c r="CR22" s="43"/>
      <c r="CS22" s="40"/>
      <c r="CT22" s="40"/>
      <c r="CU22" s="40"/>
      <c r="CV22" s="44"/>
      <c r="CW22" s="43"/>
      <c r="CX22" s="45"/>
      <c r="CY22" s="45"/>
      <c r="CZ22" s="45"/>
      <c r="DA22" s="45"/>
      <c r="DB22" s="45" t="str">
        <f t="shared" si="2"/>
        <v/>
      </c>
    </row>
    <row r="23" spans="1:106" ht="15.75" customHeight="1">
      <c r="A23" s="40"/>
      <c r="B23" s="40"/>
      <c r="C23" s="40"/>
      <c r="D23" s="40"/>
      <c r="E23" s="40"/>
      <c r="F23" s="40"/>
      <c r="G23" s="40"/>
      <c r="H23" s="40"/>
      <c r="I23" s="40"/>
      <c r="J23" s="40"/>
      <c r="K23" s="40"/>
      <c r="L23" s="40"/>
      <c r="M23" s="41"/>
      <c r="N23" s="42"/>
      <c r="O23" s="40"/>
      <c r="P23" s="40"/>
      <c r="Q23" s="42"/>
      <c r="R23" s="42"/>
      <c r="S23" s="42"/>
      <c r="T23" s="40"/>
      <c r="U23" s="42"/>
      <c r="V23" s="40"/>
      <c r="W23" s="40"/>
      <c r="X23" s="42"/>
      <c r="Y23" s="40"/>
      <c r="Z23" s="40"/>
      <c r="AA23" s="42"/>
      <c r="AB23" s="42"/>
      <c r="AC23" s="42"/>
      <c r="AD23" s="40"/>
      <c r="AE23" s="42"/>
      <c r="AF23" s="40"/>
      <c r="AG23" s="40"/>
      <c r="AH23" s="42"/>
      <c r="AI23" s="40"/>
      <c r="AJ23" s="40"/>
      <c r="AK23" s="42"/>
      <c r="AL23" s="42"/>
      <c r="AM23" s="42"/>
      <c r="AN23" s="40"/>
      <c r="AO23" s="42"/>
      <c r="AP23" s="40"/>
      <c r="AQ23" s="40"/>
      <c r="AR23" s="42"/>
      <c r="AS23" s="40"/>
      <c r="AT23" s="40"/>
      <c r="AU23" s="42"/>
      <c r="AV23" s="42"/>
      <c r="AW23" s="42"/>
      <c r="AX23" s="40"/>
      <c r="AY23" s="42"/>
      <c r="AZ23" s="40"/>
      <c r="BA23" s="40"/>
      <c r="BB23" s="42"/>
      <c r="BC23" s="40"/>
      <c r="BD23" s="40"/>
      <c r="BE23" s="42"/>
      <c r="BF23" s="40"/>
      <c r="BG23" s="40"/>
      <c r="BH23" s="40"/>
      <c r="BI23" s="40"/>
      <c r="BJ23" s="43" t="str">
        <f t="shared" si="0"/>
        <v/>
      </c>
      <c r="BK23" s="43"/>
      <c r="BL23" s="40"/>
      <c r="BM23" s="44"/>
      <c r="BN23" s="40"/>
      <c r="BO23" s="40"/>
      <c r="BP23" s="40"/>
      <c r="BQ23" s="40"/>
      <c r="BR23" s="40"/>
      <c r="BS23" s="40"/>
      <c r="BT23" s="40"/>
      <c r="BU23" s="43" t="str">
        <f t="shared" si="1"/>
        <v/>
      </c>
      <c r="BV23" s="43"/>
      <c r="BW23" s="40"/>
      <c r="BX23" s="44"/>
      <c r="BY23" s="40"/>
      <c r="BZ23" s="40"/>
      <c r="CA23" s="40"/>
      <c r="CB23" s="40"/>
      <c r="CC23" s="40"/>
      <c r="CD23" s="40"/>
      <c r="CE23" s="40"/>
      <c r="CF23" s="40"/>
      <c r="CG23" s="44"/>
      <c r="CH23" s="43"/>
      <c r="CI23" s="40"/>
      <c r="CJ23" s="40"/>
      <c r="CK23" s="40"/>
      <c r="CL23" s="44"/>
      <c r="CM23" s="43"/>
      <c r="CN23" s="40"/>
      <c r="CO23" s="40"/>
      <c r="CP23" s="40"/>
      <c r="CQ23" s="44"/>
      <c r="CR23" s="43"/>
      <c r="CS23" s="40"/>
      <c r="CT23" s="40"/>
      <c r="CU23" s="40"/>
      <c r="CV23" s="44"/>
      <c r="CW23" s="43"/>
      <c r="CX23" s="45"/>
      <c r="CY23" s="45"/>
      <c r="CZ23" s="45"/>
      <c r="DA23" s="45"/>
      <c r="DB23" s="45" t="str">
        <f t="shared" si="2"/>
        <v/>
      </c>
    </row>
    <row r="24" spans="1:106" ht="15.75" customHeight="1">
      <c r="A24" s="40"/>
      <c r="B24" s="40"/>
      <c r="C24" s="40"/>
      <c r="D24" s="40"/>
      <c r="E24" s="40"/>
      <c r="F24" s="40"/>
      <c r="G24" s="40"/>
      <c r="H24" s="40"/>
      <c r="I24" s="40"/>
      <c r="J24" s="40"/>
      <c r="K24" s="40"/>
      <c r="L24" s="40"/>
      <c r="M24" s="41"/>
      <c r="N24" s="42"/>
      <c r="O24" s="40"/>
      <c r="P24" s="40"/>
      <c r="Q24" s="42"/>
      <c r="R24" s="42"/>
      <c r="S24" s="42"/>
      <c r="T24" s="40"/>
      <c r="U24" s="42"/>
      <c r="V24" s="40"/>
      <c r="W24" s="40"/>
      <c r="X24" s="42"/>
      <c r="Y24" s="40"/>
      <c r="Z24" s="40"/>
      <c r="AA24" s="42"/>
      <c r="AB24" s="42"/>
      <c r="AC24" s="42"/>
      <c r="AD24" s="40"/>
      <c r="AE24" s="42"/>
      <c r="AF24" s="40"/>
      <c r="AG24" s="40"/>
      <c r="AH24" s="42"/>
      <c r="AI24" s="40"/>
      <c r="AJ24" s="40"/>
      <c r="AK24" s="42"/>
      <c r="AL24" s="42"/>
      <c r="AM24" s="42"/>
      <c r="AN24" s="40"/>
      <c r="AO24" s="42"/>
      <c r="AP24" s="40"/>
      <c r="AQ24" s="40"/>
      <c r="AR24" s="42"/>
      <c r="AS24" s="40"/>
      <c r="AT24" s="40"/>
      <c r="AU24" s="42"/>
      <c r="AV24" s="42"/>
      <c r="AW24" s="42"/>
      <c r="AX24" s="40"/>
      <c r="AY24" s="42"/>
      <c r="AZ24" s="40"/>
      <c r="BA24" s="40"/>
      <c r="BB24" s="42"/>
      <c r="BC24" s="40"/>
      <c r="BD24" s="40"/>
      <c r="BE24" s="42"/>
      <c r="BF24" s="40"/>
      <c r="BG24" s="40"/>
      <c r="BH24" s="40"/>
      <c r="BI24" s="40"/>
      <c r="BJ24" s="43" t="str">
        <f t="shared" si="0"/>
        <v/>
      </c>
      <c r="BK24" s="43"/>
      <c r="BL24" s="40"/>
      <c r="BM24" s="44"/>
      <c r="BN24" s="40"/>
      <c r="BO24" s="40"/>
      <c r="BP24" s="40"/>
      <c r="BQ24" s="40"/>
      <c r="BR24" s="40"/>
      <c r="BS24" s="40"/>
      <c r="BT24" s="40"/>
      <c r="BU24" s="43" t="str">
        <f t="shared" si="1"/>
        <v/>
      </c>
      <c r="BV24" s="43"/>
      <c r="BW24" s="40"/>
      <c r="BX24" s="44"/>
      <c r="BY24" s="40"/>
      <c r="BZ24" s="40"/>
      <c r="CA24" s="40"/>
      <c r="CB24" s="40"/>
      <c r="CC24" s="40"/>
      <c r="CD24" s="40"/>
      <c r="CE24" s="40"/>
      <c r="CF24" s="40"/>
      <c r="CG24" s="44"/>
      <c r="CH24" s="43"/>
      <c r="CI24" s="40"/>
      <c r="CJ24" s="40"/>
      <c r="CK24" s="40"/>
      <c r="CL24" s="44"/>
      <c r="CM24" s="43"/>
      <c r="CN24" s="40"/>
      <c r="CO24" s="40"/>
      <c r="CP24" s="40"/>
      <c r="CQ24" s="44"/>
      <c r="CR24" s="43"/>
      <c r="CS24" s="40"/>
      <c r="CT24" s="40"/>
      <c r="CU24" s="40"/>
      <c r="CV24" s="44"/>
      <c r="CW24" s="43"/>
      <c r="CX24" s="45"/>
      <c r="CY24" s="45"/>
      <c r="CZ24" s="45"/>
      <c r="DA24" s="45"/>
      <c r="DB24" s="45" t="str">
        <f t="shared" si="2"/>
        <v/>
      </c>
    </row>
    <row r="25" spans="1:106" ht="15.75" customHeight="1">
      <c r="A25" s="40"/>
      <c r="B25" s="40"/>
      <c r="C25" s="40"/>
      <c r="D25" s="40"/>
      <c r="E25" s="40"/>
      <c r="F25" s="40"/>
      <c r="G25" s="40"/>
      <c r="H25" s="40"/>
      <c r="I25" s="40"/>
      <c r="J25" s="40"/>
      <c r="K25" s="40"/>
      <c r="L25" s="40"/>
      <c r="M25" s="41"/>
      <c r="N25" s="42"/>
      <c r="O25" s="40"/>
      <c r="P25" s="40"/>
      <c r="Q25" s="42"/>
      <c r="R25" s="42"/>
      <c r="S25" s="42"/>
      <c r="T25" s="40"/>
      <c r="U25" s="42"/>
      <c r="V25" s="40"/>
      <c r="W25" s="40"/>
      <c r="X25" s="42"/>
      <c r="Y25" s="40"/>
      <c r="Z25" s="40"/>
      <c r="AA25" s="42"/>
      <c r="AB25" s="42"/>
      <c r="AC25" s="42"/>
      <c r="AD25" s="40"/>
      <c r="AE25" s="42"/>
      <c r="AF25" s="40"/>
      <c r="AG25" s="40"/>
      <c r="AH25" s="42"/>
      <c r="AI25" s="40"/>
      <c r="AJ25" s="40"/>
      <c r="AK25" s="42"/>
      <c r="AL25" s="42"/>
      <c r="AM25" s="42"/>
      <c r="AN25" s="40"/>
      <c r="AO25" s="42"/>
      <c r="AP25" s="40"/>
      <c r="AQ25" s="40"/>
      <c r="AR25" s="42"/>
      <c r="AS25" s="40"/>
      <c r="AT25" s="40"/>
      <c r="AU25" s="42"/>
      <c r="AV25" s="42"/>
      <c r="AW25" s="42"/>
      <c r="AX25" s="40"/>
      <c r="AY25" s="42"/>
      <c r="AZ25" s="40"/>
      <c r="BA25" s="40"/>
      <c r="BB25" s="42"/>
      <c r="BC25" s="40"/>
      <c r="BD25" s="40"/>
      <c r="BE25" s="42"/>
      <c r="BF25" s="40"/>
      <c r="BG25" s="40"/>
      <c r="BH25" s="40"/>
      <c r="BI25" s="40"/>
      <c r="BJ25" s="43" t="str">
        <f t="shared" si="0"/>
        <v/>
      </c>
      <c r="BK25" s="43"/>
      <c r="BL25" s="40"/>
      <c r="BM25" s="44"/>
      <c r="BN25" s="40"/>
      <c r="BO25" s="40"/>
      <c r="BP25" s="40"/>
      <c r="BQ25" s="40"/>
      <c r="BR25" s="40"/>
      <c r="BS25" s="40"/>
      <c r="BT25" s="40"/>
      <c r="BU25" s="43" t="str">
        <f t="shared" si="1"/>
        <v/>
      </c>
      <c r="BV25" s="43"/>
      <c r="BW25" s="40"/>
      <c r="BX25" s="44"/>
      <c r="BY25" s="40"/>
      <c r="BZ25" s="40"/>
      <c r="CA25" s="40"/>
      <c r="CB25" s="40"/>
      <c r="CC25" s="40"/>
      <c r="CD25" s="40"/>
      <c r="CE25" s="40"/>
      <c r="CF25" s="40"/>
      <c r="CG25" s="44"/>
      <c r="CH25" s="43"/>
      <c r="CI25" s="40"/>
      <c r="CJ25" s="40"/>
      <c r="CK25" s="40"/>
      <c r="CL25" s="44"/>
      <c r="CM25" s="43"/>
      <c r="CN25" s="40"/>
      <c r="CO25" s="40"/>
      <c r="CP25" s="40"/>
      <c r="CQ25" s="44"/>
      <c r="CR25" s="43"/>
      <c r="CS25" s="40"/>
      <c r="CT25" s="40"/>
      <c r="CU25" s="40"/>
      <c r="CV25" s="44"/>
      <c r="CW25" s="43"/>
      <c r="CX25" s="45"/>
      <c r="CY25" s="45"/>
      <c r="CZ25" s="45"/>
      <c r="DA25" s="45"/>
      <c r="DB25" s="45" t="str">
        <f t="shared" si="2"/>
        <v/>
      </c>
    </row>
    <row r="26" spans="1:106" ht="15.75" customHeight="1">
      <c r="A26" s="40"/>
      <c r="B26" s="40"/>
      <c r="C26" s="40"/>
      <c r="D26" s="40"/>
      <c r="E26" s="40"/>
      <c r="F26" s="40"/>
      <c r="G26" s="40"/>
      <c r="H26" s="40"/>
      <c r="I26" s="40"/>
      <c r="J26" s="40"/>
      <c r="K26" s="40"/>
      <c r="L26" s="40"/>
      <c r="M26" s="41"/>
      <c r="N26" s="42"/>
      <c r="O26" s="40"/>
      <c r="P26" s="40"/>
      <c r="Q26" s="42"/>
      <c r="R26" s="42"/>
      <c r="S26" s="42"/>
      <c r="T26" s="40"/>
      <c r="U26" s="42"/>
      <c r="V26" s="40"/>
      <c r="W26" s="40"/>
      <c r="X26" s="42"/>
      <c r="Y26" s="40"/>
      <c r="Z26" s="40"/>
      <c r="AA26" s="42"/>
      <c r="AB26" s="42"/>
      <c r="AC26" s="42"/>
      <c r="AD26" s="40"/>
      <c r="AE26" s="42"/>
      <c r="AF26" s="40"/>
      <c r="AG26" s="40"/>
      <c r="AH26" s="42"/>
      <c r="AI26" s="40"/>
      <c r="AJ26" s="40"/>
      <c r="AK26" s="42"/>
      <c r="AL26" s="42"/>
      <c r="AM26" s="42"/>
      <c r="AN26" s="40"/>
      <c r="AO26" s="42"/>
      <c r="AP26" s="40"/>
      <c r="AQ26" s="40"/>
      <c r="AR26" s="42"/>
      <c r="AS26" s="40"/>
      <c r="AT26" s="40"/>
      <c r="AU26" s="42"/>
      <c r="AV26" s="42"/>
      <c r="AW26" s="42"/>
      <c r="AX26" s="40"/>
      <c r="AY26" s="42"/>
      <c r="AZ26" s="40"/>
      <c r="BA26" s="40"/>
      <c r="BB26" s="42"/>
      <c r="BC26" s="40"/>
      <c r="BD26" s="40"/>
      <c r="BE26" s="42"/>
      <c r="BF26" s="40"/>
      <c r="BG26" s="40"/>
      <c r="BH26" s="40"/>
      <c r="BI26" s="40"/>
      <c r="BJ26" s="43" t="str">
        <f t="shared" si="0"/>
        <v/>
      </c>
      <c r="BK26" s="43"/>
      <c r="BL26" s="40"/>
      <c r="BM26" s="44"/>
      <c r="BN26" s="40"/>
      <c r="BO26" s="40"/>
      <c r="BP26" s="40"/>
      <c r="BQ26" s="40"/>
      <c r="BR26" s="40"/>
      <c r="BS26" s="40"/>
      <c r="BT26" s="40"/>
      <c r="BU26" s="43" t="str">
        <f t="shared" si="1"/>
        <v/>
      </c>
      <c r="BV26" s="43"/>
      <c r="BW26" s="40"/>
      <c r="BX26" s="44"/>
      <c r="BY26" s="40"/>
      <c r="BZ26" s="40"/>
      <c r="CA26" s="40"/>
      <c r="CB26" s="40"/>
      <c r="CC26" s="40"/>
      <c r="CD26" s="40"/>
      <c r="CE26" s="40"/>
      <c r="CF26" s="40"/>
      <c r="CG26" s="44"/>
      <c r="CH26" s="43"/>
      <c r="CI26" s="40"/>
      <c r="CJ26" s="40"/>
      <c r="CK26" s="40"/>
      <c r="CL26" s="44"/>
      <c r="CM26" s="43"/>
      <c r="CN26" s="40"/>
      <c r="CO26" s="40"/>
      <c r="CP26" s="40"/>
      <c r="CQ26" s="44"/>
      <c r="CR26" s="43"/>
      <c r="CS26" s="40"/>
      <c r="CT26" s="40"/>
      <c r="CU26" s="40"/>
      <c r="CV26" s="44"/>
      <c r="CW26" s="43"/>
      <c r="CX26" s="45"/>
      <c r="CY26" s="45"/>
      <c r="CZ26" s="45"/>
      <c r="DA26" s="45"/>
      <c r="DB26" s="45" t="str">
        <f t="shared" si="2"/>
        <v/>
      </c>
    </row>
    <row r="27" spans="1:106" ht="15.75" customHeight="1">
      <c r="A27" s="40"/>
      <c r="B27" s="40"/>
      <c r="C27" s="40"/>
      <c r="D27" s="40"/>
      <c r="E27" s="40"/>
      <c r="F27" s="40"/>
      <c r="G27" s="40"/>
      <c r="H27" s="40"/>
      <c r="I27" s="40"/>
      <c r="J27" s="40"/>
      <c r="K27" s="40"/>
      <c r="L27" s="40"/>
      <c r="M27" s="41"/>
      <c r="N27" s="42"/>
      <c r="O27" s="40"/>
      <c r="P27" s="40"/>
      <c r="Q27" s="42"/>
      <c r="R27" s="42"/>
      <c r="S27" s="42"/>
      <c r="T27" s="40"/>
      <c r="U27" s="42"/>
      <c r="V27" s="40"/>
      <c r="W27" s="40"/>
      <c r="X27" s="42"/>
      <c r="Y27" s="40"/>
      <c r="Z27" s="40"/>
      <c r="AA27" s="42"/>
      <c r="AB27" s="42"/>
      <c r="AC27" s="42"/>
      <c r="AD27" s="40"/>
      <c r="AE27" s="42"/>
      <c r="AF27" s="40"/>
      <c r="AG27" s="40"/>
      <c r="AH27" s="42"/>
      <c r="AI27" s="40"/>
      <c r="AJ27" s="40"/>
      <c r="AK27" s="42"/>
      <c r="AL27" s="42"/>
      <c r="AM27" s="42"/>
      <c r="AN27" s="40"/>
      <c r="AO27" s="42"/>
      <c r="AP27" s="40"/>
      <c r="AQ27" s="40"/>
      <c r="AR27" s="42"/>
      <c r="AS27" s="40"/>
      <c r="AT27" s="40"/>
      <c r="AU27" s="42"/>
      <c r="AV27" s="42"/>
      <c r="AW27" s="42"/>
      <c r="AX27" s="40"/>
      <c r="AY27" s="42"/>
      <c r="AZ27" s="40"/>
      <c r="BA27" s="40"/>
      <c r="BB27" s="42"/>
      <c r="BC27" s="40"/>
      <c r="BD27" s="40"/>
      <c r="BE27" s="42"/>
      <c r="BF27" s="40"/>
      <c r="BG27" s="40"/>
      <c r="BH27" s="40"/>
      <c r="BI27" s="40"/>
      <c r="BJ27" s="43" t="str">
        <f t="shared" si="0"/>
        <v/>
      </c>
      <c r="BK27" s="43"/>
      <c r="BL27" s="40"/>
      <c r="BM27" s="44"/>
      <c r="BN27" s="40"/>
      <c r="BO27" s="40"/>
      <c r="BP27" s="40"/>
      <c r="BQ27" s="40"/>
      <c r="BR27" s="40"/>
      <c r="BS27" s="40"/>
      <c r="BT27" s="40"/>
      <c r="BU27" s="43" t="str">
        <f t="shared" si="1"/>
        <v/>
      </c>
      <c r="BV27" s="43"/>
      <c r="BW27" s="40"/>
      <c r="BX27" s="44"/>
      <c r="BY27" s="40"/>
      <c r="BZ27" s="40"/>
      <c r="CA27" s="40"/>
      <c r="CB27" s="40"/>
      <c r="CC27" s="40"/>
      <c r="CD27" s="40"/>
      <c r="CE27" s="40"/>
      <c r="CF27" s="40"/>
      <c r="CG27" s="44"/>
      <c r="CH27" s="43"/>
      <c r="CI27" s="40"/>
      <c r="CJ27" s="40"/>
      <c r="CK27" s="40"/>
      <c r="CL27" s="44"/>
      <c r="CM27" s="43"/>
      <c r="CN27" s="40"/>
      <c r="CO27" s="40"/>
      <c r="CP27" s="40"/>
      <c r="CQ27" s="44"/>
      <c r="CR27" s="43"/>
      <c r="CS27" s="40"/>
      <c r="CT27" s="40"/>
      <c r="CU27" s="40"/>
      <c r="CV27" s="44"/>
      <c r="CW27" s="43"/>
      <c r="CX27" s="45"/>
      <c r="CY27" s="45"/>
      <c r="CZ27" s="45"/>
      <c r="DA27" s="45"/>
      <c r="DB27" s="45" t="str">
        <f t="shared" si="2"/>
        <v/>
      </c>
    </row>
    <row r="28" spans="1:106" ht="15.75" customHeight="1">
      <c r="A28" s="40"/>
      <c r="B28" s="40"/>
      <c r="C28" s="40"/>
      <c r="D28" s="40"/>
      <c r="E28" s="40"/>
      <c r="F28" s="40"/>
      <c r="G28" s="40"/>
      <c r="H28" s="40"/>
      <c r="I28" s="40"/>
      <c r="J28" s="40"/>
      <c r="K28" s="40"/>
      <c r="L28" s="40"/>
      <c r="M28" s="41"/>
      <c r="N28" s="42"/>
      <c r="O28" s="40"/>
      <c r="P28" s="40"/>
      <c r="Q28" s="42"/>
      <c r="R28" s="42"/>
      <c r="S28" s="42"/>
      <c r="T28" s="40"/>
      <c r="U28" s="42"/>
      <c r="V28" s="40"/>
      <c r="W28" s="40"/>
      <c r="X28" s="42"/>
      <c r="Y28" s="40"/>
      <c r="Z28" s="40"/>
      <c r="AA28" s="42"/>
      <c r="AB28" s="42"/>
      <c r="AC28" s="42"/>
      <c r="AD28" s="40"/>
      <c r="AE28" s="42"/>
      <c r="AF28" s="40"/>
      <c r="AG28" s="40"/>
      <c r="AH28" s="42"/>
      <c r="AI28" s="40"/>
      <c r="AJ28" s="40"/>
      <c r="AK28" s="42"/>
      <c r="AL28" s="42"/>
      <c r="AM28" s="42"/>
      <c r="AN28" s="40"/>
      <c r="AO28" s="42"/>
      <c r="AP28" s="40"/>
      <c r="AQ28" s="40"/>
      <c r="AR28" s="42"/>
      <c r="AS28" s="40"/>
      <c r="AT28" s="40"/>
      <c r="AU28" s="42"/>
      <c r="AV28" s="42"/>
      <c r="AW28" s="42"/>
      <c r="AX28" s="40"/>
      <c r="AY28" s="42"/>
      <c r="AZ28" s="40"/>
      <c r="BA28" s="40"/>
      <c r="BB28" s="42"/>
      <c r="BC28" s="40"/>
      <c r="BD28" s="40"/>
      <c r="BE28" s="42"/>
      <c r="BF28" s="40"/>
      <c r="BG28" s="40"/>
      <c r="BH28" s="40"/>
      <c r="BI28" s="40"/>
      <c r="BJ28" s="43" t="str">
        <f t="shared" si="0"/>
        <v/>
      </c>
      <c r="BK28" s="43"/>
      <c r="BL28" s="40"/>
      <c r="BM28" s="44"/>
      <c r="BN28" s="40"/>
      <c r="BO28" s="40"/>
      <c r="BP28" s="40"/>
      <c r="BQ28" s="40"/>
      <c r="BR28" s="40"/>
      <c r="BS28" s="40"/>
      <c r="BT28" s="40"/>
      <c r="BU28" s="43" t="str">
        <f t="shared" si="1"/>
        <v/>
      </c>
      <c r="BV28" s="43"/>
      <c r="BW28" s="40"/>
      <c r="BX28" s="44"/>
      <c r="BY28" s="40"/>
      <c r="BZ28" s="40"/>
      <c r="CA28" s="40"/>
      <c r="CB28" s="40"/>
      <c r="CC28" s="40"/>
      <c r="CD28" s="40"/>
      <c r="CE28" s="40"/>
      <c r="CF28" s="40"/>
      <c r="CG28" s="44"/>
      <c r="CH28" s="43"/>
      <c r="CI28" s="40"/>
      <c r="CJ28" s="40"/>
      <c r="CK28" s="40"/>
      <c r="CL28" s="44"/>
      <c r="CM28" s="43"/>
      <c r="CN28" s="40"/>
      <c r="CO28" s="40"/>
      <c r="CP28" s="40"/>
      <c r="CQ28" s="44"/>
      <c r="CR28" s="43"/>
      <c r="CS28" s="40"/>
      <c r="CT28" s="40"/>
      <c r="CU28" s="40"/>
      <c r="CV28" s="44"/>
      <c r="CW28" s="43"/>
      <c r="CX28" s="45"/>
      <c r="CY28" s="45"/>
      <c r="CZ28" s="45"/>
      <c r="DA28" s="45"/>
      <c r="DB28" s="45" t="str">
        <f t="shared" si="2"/>
        <v/>
      </c>
    </row>
    <row r="29" spans="1:106" ht="15.75" customHeight="1">
      <c r="A29" s="40"/>
      <c r="B29" s="40"/>
      <c r="C29" s="40"/>
      <c r="D29" s="40"/>
      <c r="E29" s="40"/>
      <c r="F29" s="40"/>
      <c r="G29" s="40"/>
      <c r="H29" s="40"/>
      <c r="I29" s="40"/>
      <c r="J29" s="40"/>
      <c r="K29" s="40"/>
      <c r="L29" s="40"/>
      <c r="M29" s="41"/>
      <c r="N29" s="42"/>
      <c r="O29" s="40"/>
      <c r="P29" s="40"/>
      <c r="Q29" s="42"/>
      <c r="R29" s="42"/>
      <c r="S29" s="42"/>
      <c r="T29" s="40"/>
      <c r="U29" s="42"/>
      <c r="V29" s="40"/>
      <c r="W29" s="40"/>
      <c r="X29" s="42"/>
      <c r="Y29" s="40"/>
      <c r="Z29" s="40"/>
      <c r="AA29" s="42"/>
      <c r="AB29" s="42"/>
      <c r="AC29" s="42"/>
      <c r="AD29" s="40"/>
      <c r="AE29" s="42"/>
      <c r="AF29" s="40"/>
      <c r="AG29" s="40"/>
      <c r="AH29" s="42"/>
      <c r="AI29" s="40"/>
      <c r="AJ29" s="40"/>
      <c r="AK29" s="42"/>
      <c r="AL29" s="42"/>
      <c r="AM29" s="42"/>
      <c r="AN29" s="40"/>
      <c r="AO29" s="42"/>
      <c r="AP29" s="40"/>
      <c r="AQ29" s="40"/>
      <c r="AR29" s="42"/>
      <c r="AS29" s="40"/>
      <c r="AT29" s="40"/>
      <c r="AU29" s="42"/>
      <c r="AV29" s="42"/>
      <c r="AW29" s="42"/>
      <c r="AX29" s="40"/>
      <c r="AY29" s="42"/>
      <c r="AZ29" s="40"/>
      <c r="BA29" s="40"/>
      <c r="BB29" s="42"/>
      <c r="BC29" s="40"/>
      <c r="BD29" s="40"/>
      <c r="BE29" s="42"/>
      <c r="BF29" s="40"/>
      <c r="BG29" s="40"/>
      <c r="BH29" s="40"/>
      <c r="BI29" s="40"/>
      <c r="BJ29" s="43" t="str">
        <f t="shared" si="0"/>
        <v/>
      </c>
      <c r="BK29" s="43"/>
      <c r="BL29" s="40"/>
      <c r="BM29" s="44"/>
      <c r="BN29" s="40"/>
      <c r="BO29" s="40"/>
      <c r="BP29" s="40"/>
      <c r="BQ29" s="40"/>
      <c r="BR29" s="40"/>
      <c r="BS29" s="40"/>
      <c r="BT29" s="40"/>
      <c r="BU29" s="43" t="str">
        <f t="shared" si="1"/>
        <v/>
      </c>
      <c r="BV29" s="43"/>
      <c r="BW29" s="40"/>
      <c r="BX29" s="44"/>
      <c r="BY29" s="40"/>
      <c r="BZ29" s="40"/>
      <c r="CA29" s="40"/>
      <c r="CB29" s="40"/>
      <c r="CC29" s="40"/>
      <c r="CD29" s="40"/>
      <c r="CE29" s="40"/>
      <c r="CF29" s="40"/>
      <c r="CG29" s="44"/>
      <c r="CH29" s="43"/>
      <c r="CI29" s="40"/>
      <c r="CJ29" s="40"/>
      <c r="CK29" s="40"/>
      <c r="CL29" s="44"/>
      <c r="CM29" s="43"/>
      <c r="CN29" s="40"/>
      <c r="CO29" s="40"/>
      <c r="CP29" s="40"/>
      <c r="CQ29" s="44"/>
      <c r="CR29" s="43"/>
      <c r="CS29" s="40"/>
      <c r="CT29" s="40"/>
      <c r="CU29" s="40"/>
      <c r="CV29" s="44"/>
      <c r="CW29" s="43"/>
      <c r="CX29" s="45"/>
      <c r="CY29" s="45"/>
      <c r="CZ29" s="45"/>
      <c r="DA29" s="45"/>
      <c r="DB29" s="45" t="str">
        <f t="shared" si="2"/>
        <v/>
      </c>
    </row>
    <row r="30" spans="1:106" ht="15.75" customHeight="1">
      <c r="A30" s="40"/>
      <c r="B30" s="40"/>
      <c r="C30" s="40"/>
      <c r="D30" s="40"/>
      <c r="E30" s="40"/>
      <c r="F30" s="40"/>
      <c r="G30" s="40"/>
      <c r="H30" s="40"/>
      <c r="I30" s="40"/>
      <c r="J30" s="40"/>
      <c r="K30" s="40"/>
      <c r="L30" s="40"/>
      <c r="M30" s="41"/>
      <c r="N30" s="42"/>
      <c r="O30" s="40"/>
      <c r="P30" s="40"/>
      <c r="Q30" s="42"/>
      <c r="R30" s="42"/>
      <c r="S30" s="42"/>
      <c r="T30" s="40"/>
      <c r="U30" s="42"/>
      <c r="V30" s="40"/>
      <c r="W30" s="40"/>
      <c r="X30" s="42"/>
      <c r="Y30" s="40"/>
      <c r="Z30" s="40"/>
      <c r="AA30" s="42"/>
      <c r="AB30" s="42"/>
      <c r="AC30" s="42"/>
      <c r="AD30" s="40"/>
      <c r="AE30" s="42"/>
      <c r="AF30" s="40"/>
      <c r="AG30" s="40"/>
      <c r="AH30" s="42"/>
      <c r="AI30" s="40"/>
      <c r="AJ30" s="40"/>
      <c r="AK30" s="42"/>
      <c r="AL30" s="42"/>
      <c r="AM30" s="42"/>
      <c r="AN30" s="40"/>
      <c r="AO30" s="42"/>
      <c r="AP30" s="40"/>
      <c r="AQ30" s="40"/>
      <c r="AR30" s="42"/>
      <c r="AS30" s="40"/>
      <c r="AT30" s="40"/>
      <c r="AU30" s="42"/>
      <c r="AV30" s="42"/>
      <c r="AW30" s="42"/>
      <c r="AX30" s="40"/>
      <c r="AY30" s="42"/>
      <c r="AZ30" s="40"/>
      <c r="BA30" s="40"/>
      <c r="BB30" s="42"/>
      <c r="BC30" s="40"/>
      <c r="BD30" s="40"/>
      <c r="BE30" s="42"/>
      <c r="BF30" s="40"/>
      <c r="BG30" s="40"/>
      <c r="BH30" s="40"/>
      <c r="BI30" s="40"/>
      <c r="BJ30" s="43" t="str">
        <f t="shared" si="0"/>
        <v/>
      </c>
      <c r="BK30" s="43"/>
      <c r="BL30" s="40"/>
      <c r="BM30" s="44"/>
      <c r="BN30" s="40"/>
      <c r="BO30" s="40"/>
      <c r="BP30" s="40"/>
      <c r="BQ30" s="40"/>
      <c r="BR30" s="40"/>
      <c r="BS30" s="40"/>
      <c r="BT30" s="40"/>
      <c r="BU30" s="43" t="str">
        <f t="shared" si="1"/>
        <v/>
      </c>
      <c r="BV30" s="43"/>
      <c r="BW30" s="40"/>
      <c r="BX30" s="44"/>
      <c r="BY30" s="40"/>
      <c r="BZ30" s="40"/>
      <c r="CA30" s="40"/>
      <c r="CB30" s="40"/>
      <c r="CC30" s="40"/>
      <c r="CD30" s="40"/>
      <c r="CE30" s="40"/>
      <c r="CF30" s="40"/>
      <c r="CG30" s="44"/>
      <c r="CH30" s="43"/>
      <c r="CI30" s="40"/>
      <c r="CJ30" s="40"/>
      <c r="CK30" s="40"/>
      <c r="CL30" s="44"/>
      <c r="CM30" s="43"/>
      <c r="CN30" s="40"/>
      <c r="CO30" s="40"/>
      <c r="CP30" s="40"/>
      <c r="CQ30" s="44"/>
      <c r="CR30" s="43"/>
      <c r="CS30" s="40"/>
      <c r="CT30" s="40"/>
      <c r="CU30" s="40"/>
      <c r="CV30" s="44"/>
      <c r="CW30" s="43"/>
      <c r="CX30" s="45"/>
      <c r="CY30" s="45"/>
      <c r="CZ30" s="45"/>
      <c r="DA30" s="45"/>
      <c r="DB30" s="45" t="str">
        <f t="shared" si="2"/>
        <v/>
      </c>
    </row>
    <row r="31" spans="1:106" ht="16.5">
      <c r="A31" s="40"/>
      <c r="B31" s="40"/>
      <c r="C31" s="40"/>
      <c r="D31" s="40"/>
      <c r="E31" s="40"/>
      <c r="F31" s="40"/>
      <c r="G31" s="40"/>
      <c r="H31" s="40"/>
      <c r="I31" s="40"/>
      <c r="J31" s="40"/>
      <c r="K31" s="40"/>
      <c r="L31" s="40"/>
      <c r="M31" s="41"/>
      <c r="N31" s="42"/>
      <c r="O31" s="40"/>
      <c r="P31" s="40"/>
      <c r="Q31" s="42"/>
      <c r="R31" s="42"/>
      <c r="S31" s="42"/>
      <c r="T31" s="40"/>
      <c r="U31" s="42"/>
      <c r="V31" s="40"/>
      <c r="W31" s="40"/>
      <c r="X31" s="42"/>
      <c r="Y31" s="40"/>
      <c r="Z31" s="40"/>
      <c r="AA31" s="42"/>
      <c r="AB31" s="42"/>
      <c r="AC31" s="42"/>
      <c r="AD31" s="40"/>
      <c r="AE31" s="42"/>
      <c r="AF31" s="40"/>
      <c r="AG31" s="40"/>
      <c r="AH31" s="42"/>
      <c r="AI31" s="40"/>
      <c r="AJ31" s="40"/>
      <c r="AK31" s="42"/>
      <c r="AL31" s="42"/>
      <c r="AM31" s="42"/>
      <c r="AN31" s="40"/>
      <c r="AO31" s="42"/>
      <c r="AP31" s="40"/>
      <c r="AQ31" s="40"/>
      <c r="AR31" s="42"/>
      <c r="AS31" s="40"/>
      <c r="AT31" s="40"/>
      <c r="AU31" s="42"/>
      <c r="AV31" s="42"/>
      <c r="AW31" s="42"/>
      <c r="AX31" s="40"/>
      <c r="AY31" s="42"/>
      <c r="AZ31" s="40"/>
      <c r="BA31" s="40"/>
      <c r="BB31" s="42"/>
      <c r="BC31" s="40"/>
      <c r="BD31" s="40"/>
      <c r="BE31" s="42"/>
      <c r="BF31" s="40"/>
      <c r="BG31" s="40"/>
      <c r="BH31" s="40"/>
      <c r="BI31" s="40"/>
      <c r="BJ31" s="43" t="str">
        <f t="shared" si="0"/>
        <v/>
      </c>
      <c r="BK31" s="43"/>
      <c r="BL31" s="40"/>
      <c r="BM31" s="44"/>
      <c r="BN31" s="40"/>
      <c r="BO31" s="40"/>
      <c r="BP31" s="40"/>
      <c r="BQ31" s="40"/>
      <c r="BR31" s="40"/>
      <c r="BS31" s="40"/>
      <c r="BT31" s="40"/>
      <c r="BU31" s="43" t="str">
        <f t="shared" si="1"/>
        <v/>
      </c>
      <c r="BV31" s="43"/>
      <c r="BW31" s="40"/>
      <c r="BX31" s="44"/>
      <c r="BY31" s="40"/>
      <c r="BZ31" s="40"/>
      <c r="CA31" s="40"/>
      <c r="CB31" s="40"/>
      <c r="CC31" s="40"/>
      <c r="CD31" s="40"/>
      <c r="CE31" s="40"/>
      <c r="CF31" s="40"/>
      <c r="CG31" s="44"/>
      <c r="CH31" s="43"/>
      <c r="CI31" s="40"/>
      <c r="CJ31" s="40"/>
      <c r="CK31" s="40"/>
      <c r="CL31" s="44"/>
      <c r="CM31" s="43"/>
      <c r="CN31" s="40"/>
      <c r="CO31" s="40"/>
      <c r="CP31" s="40"/>
      <c r="CQ31" s="44"/>
      <c r="CR31" s="43"/>
      <c r="CS31" s="40"/>
      <c r="CT31" s="40"/>
      <c r="CU31" s="40"/>
      <c r="CV31" s="44"/>
      <c r="CW31" s="43"/>
      <c r="CX31" s="45"/>
      <c r="CY31" s="45"/>
      <c r="CZ31" s="45"/>
      <c r="DA31" s="45"/>
      <c r="DB31" s="45" t="str">
        <f t="shared" si="2"/>
        <v/>
      </c>
    </row>
    <row r="32" spans="1:106" ht="16.5">
      <c r="A32" s="40"/>
      <c r="B32" s="40"/>
      <c r="C32" s="40"/>
      <c r="D32" s="40"/>
      <c r="E32" s="40"/>
      <c r="F32" s="40"/>
      <c r="G32" s="40"/>
      <c r="H32" s="40"/>
      <c r="I32" s="40"/>
      <c r="J32" s="40"/>
      <c r="K32" s="40"/>
      <c r="L32" s="40"/>
      <c r="M32" s="41"/>
      <c r="N32" s="42"/>
      <c r="O32" s="40"/>
      <c r="P32" s="40"/>
      <c r="Q32" s="42"/>
      <c r="R32" s="42"/>
      <c r="S32" s="42"/>
      <c r="T32" s="40"/>
      <c r="U32" s="42"/>
      <c r="V32" s="40"/>
      <c r="W32" s="40"/>
      <c r="X32" s="42"/>
      <c r="Y32" s="40"/>
      <c r="Z32" s="40"/>
      <c r="AA32" s="42"/>
      <c r="AB32" s="42"/>
      <c r="AC32" s="42"/>
      <c r="AD32" s="40"/>
      <c r="AE32" s="42"/>
      <c r="AF32" s="40"/>
      <c r="AG32" s="40"/>
      <c r="AH32" s="42"/>
      <c r="AI32" s="40"/>
      <c r="AJ32" s="40"/>
      <c r="AK32" s="42"/>
      <c r="AL32" s="42"/>
      <c r="AM32" s="42"/>
      <c r="AN32" s="40"/>
      <c r="AO32" s="42"/>
      <c r="AP32" s="40"/>
      <c r="AQ32" s="40"/>
      <c r="AR32" s="42"/>
      <c r="AS32" s="40"/>
      <c r="AT32" s="40"/>
      <c r="AU32" s="42"/>
      <c r="AV32" s="42"/>
      <c r="AW32" s="42"/>
      <c r="AX32" s="40"/>
      <c r="AY32" s="42"/>
      <c r="AZ32" s="40"/>
      <c r="BA32" s="40"/>
      <c r="BB32" s="42"/>
      <c r="BC32" s="40"/>
      <c r="BD32" s="40"/>
      <c r="BE32" s="42"/>
      <c r="BF32" s="40"/>
      <c r="BG32" s="40"/>
      <c r="BH32" s="40"/>
      <c r="BI32" s="40"/>
      <c r="BJ32" s="43" t="str">
        <f t="shared" si="0"/>
        <v/>
      </c>
      <c r="BK32" s="43"/>
      <c r="BL32" s="40"/>
      <c r="BM32" s="44"/>
      <c r="BN32" s="40"/>
      <c r="BO32" s="40"/>
      <c r="BP32" s="40"/>
      <c r="BQ32" s="40"/>
      <c r="BR32" s="40"/>
      <c r="BS32" s="40"/>
      <c r="BT32" s="40"/>
      <c r="BU32" s="43" t="str">
        <f t="shared" si="1"/>
        <v/>
      </c>
      <c r="BV32" s="43"/>
      <c r="BW32" s="40"/>
      <c r="BX32" s="44"/>
      <c r="BY32" s="40"/>
      <c r="BZ32" s="40"/>
      <c r="CA32" s="40"/>
      <c r="CB32" s="40"/>
      <c r="CC32" s="40"/>
      <c r="CD32" s="40"/>
      <c r="CE32" s="40"/>
      <c r="CF32" s="40"/>
      <c r="CG32" s="44"/>
      <c r="CH32" s="43"/>
      <c r="CI32" s="40"/>
      <c r="CJ32" s="40"/>
      <c r="CK32" s="40"/>
      <c r="CL32" s="44"/>
      <c r="CM32" s="43"/>
      <c r="CN32" s="40"/>
      <c r="CO32" s="40"/>
      <c r="CP32" s="40"/>
      <c r="CQ32" s="44"/>
      <c r="CR32" s="43"/>
      <c r="CS32" s="40"/>
      <c r="CT32" s="40"/>
      <c r="CU32" s="40"/>
      <c r="CV32" s="44"/>
      <c r="CW32" s="43"/>
      <c r="CX32" s="45"/>
      <c r="CY32" s="45"/>
      <c r="CZ32" s="45"/>
      <c r="DA32" s="45"/>
      <c r="DB32" s="45" t="str">
        <f t="shared" si="2"/>
        <v/>
      </c>
    </row>
    <row r="33" spans="1:106" ht="16.5">
      <c r="A33" s="40"/>
      <c r="B33" s="40"/>
      <c r="C33" s="40"/>
      <c r="D33" s="40"/>
      <c r="E33" s="40"/>
      <c r="F33" s="40"/>
      <c r="G33" s="40"/>
      <c r="H33" s="40"/>
      <c r="I33" s="40"/>
      <c r="J33" s="40"/>
      <c r="K33" s="40"/>
      <c r="L33" s="40"/>
      <c r="M33" s="41"/>
      <c r="N33" s="42"/>
      <c r="O33" s="40"/>
      <c r="P33" s="40"/>
      <c r="Q33" s="42"/>
      <c r="R33" s="42"/>
      <c r="S33" s="42"/>
      <c r="T33" s="40"/>
      <c r="U33" s="42"/>
      <c r="V33" s="40"/>
      <c r="W33" s="40"/>
      <c r="X33" s="42"/>
      <c r="Y33" s="40"/>
      <c r="Z33" s="40"/>
      <c r="AA33" s="42"/>
      <c r="AB33" s="42"/>
      <c r="AC33" s="42"/>
      <c r="AD33" s="40"/>
      <c r="AE33" s="42"/>
      <c r="AF33" s="40"/>
      <c r="AG33" s="40"/>
      <c r="AH33" s="42"/>
      <c r="AI33" s="40"/>
      <c r="AJ33" s="40"/>
      <c r="AK33" s="42"/>
      <c r="AL33" s="42"/>
      <c r="AM33" s="42"/>
      <c r="AN33" s="40"/>
      <c r="AO33" s="42"/>
      <c r="AP33" s="40"/>
      <c r="AQ33" s="40"/>
      <c r="AR33" s="42"/>
      <c r="AS33" s="40"/>
      <c r="AT33" s="40"/>
      <c r="AU33" s="42"/>
      <c r="AV33" s="42"/>
      <c r="AW33" s="42"/>
      <c r="AX33" s="40"/>
      <c r="AY33" s="42"/>
      <c r="AZ33" s="40"/>
      <c r="BA33" s="40"/>
      <c r="BB33" s="42"/>
      <c r="BC33" s="40"/>
      <c r="BD33" s="40"/>
      <c r="BE33" s="42"/>
      <c r="BF33" s="40"/>
      <c r="BG33" s="40"/>
      <c r="BH33" s="40"/>
      <c r="BI33" s="40"/>
      <c r="BJ33" s="43" t="str">
        <f t="shared" si="0"/>
        <v/>
      </c>
      <c r="BK33" s="43"/>
      <c r="BL33" s="40"/>
      <c r="BM33" s="44"/>
      <c r="BN33" s="40"/>
      <c r="BO33" s="40"/>
      <c r="BP33" s="40"/>
      <c r="BQ33" s="40"/>
      <c r="BR33" s="40"/>
      <c r="BS33" s="40"/>
      <c r="BT33" s="40"/>
      <c r="BU33" s="43" t="str">
        <f t="shared" si="1"/>
        <v/>
      </c>
      <c r="BV33" s="43"/>
      <c r="BW33" s="40"/>
      <c r="BX33" s="44"/>
      <c r="BY33" s="40"/>
      <c r="BZ33" s="40"/>
      <c r="CA33" s="40"/>
      <c r="CB33" s="40"/>
      <c r="CC33" s="40"/>
      <c r="CD33" s="40"/>
      <c r="CE33" s="40"/>
      <c r="CF33" s="40"/>
      <c r="CG33" s="44"/>
      <c r="CH33" s="43"/>
      <c r="CI33" s="40"/>
      <c r="CJ33" s="40"/>
      <c r="CK33" s="40"/>
      <c r="CL33" s="44"/>
      <c r="CM33" s="43"/>
      <c r="CN33" s="40"/>
      <c r="CO33" s="40"/>
      <c r="CP33" s="40"/>
      <c r="CQ33" s="44"/>
      <c r="CR33" s="43"/>
      <c r="CS33" s="40"/>
      <c r="CT33" s="40"/>
      <c r="CU33" s="40"/>
      <c r="CV33" s="44"/>
      <c r="CW33" s="43"/>
      <c r="CX33" s="45"/>
      <c r="CY33" s="45"/>
      <c r="CZ33" s="45"/>
      <c r="DA33" s="45"/>
      <c r="DB33" s="45" t="str">
        <f t="shared" si="2"/>
        <v/>
      </c>
    </row>
    <row r="34" spans="1:106" ht="16.5">
      <c r="A34" s="40"/>
      <c r="B34" s="40"/>
      <c r="C34" s="40"/>
      <c r="D34" s="40"/>
      <c r="E34" s="40"/>
      <c r="F34" s="40"/>
      <c r="G34" s="40"/>
      <c r="H34" s="40"/>
      <c r="I34" s="40"/>
      <c r="J34" s="40"/>
      <c r="K34" s="40"/>
      <c r="L34" s="40"/>
      <c r="M34" s="41"/>
      <c r="N34" s="42"/>
      <c r="O34" s="40"/>
      <c r="P34" s="40"/>
      <c r="Q34" s="42"/>
      <c r="R34" s="42"/>
      <c r="S34" s="42"/>
      <c r="T34" s="40"/>
      <c r="U34" s="42"/>
      <c r="V34" s="40"/>
      <c r="W34" s="40"/>
      <c r="X34" s="42"/>
      <c r="Y34" s="40"/>
      <c r="Z34" s="40"/>
      <c r="AA34" s="42"/>
      <c r="AB34" s="42"/>
      <c r="AC34" s="42"/>
      <c r="AD34" s="40"/>
      <c r="AE34" s="42"/>
      <c r="AF34" s="40"/>
      <c r="AG34" s="40"/>
      <c r="AH34" s="42"/>
      <c r="AI34" s="40"/>
      <c r="AJ34" s="40"/>
      <c r="AK34" s="42"/>
      <c r="AL34" s="42"/>
      <c r="AM34" s="42"/>
      <c r="AN34" s="40"/>
      <c r="AO34" s="42"/>
      <c r="AP34" s="40"/>
      <c r="AQ34" s="40"/>
      <c r="AR34" s="42"/>
      <c r="AS34" s="40"/>
      <c r="AT34" s="40"/>
      <c r="AU34" s="42"/>
      <c r="AV34" s="42"/>
      <c r="AW34" s="42"/>
      <c r="AX34" s="40"/>
      <c r="AY34" s="42"/>
      <c r="AZ34" s="40"/>
      <c r="BA34" s="40"/>
      <c r="BB34" s="42"/>
      <c r="BC34" s="40"/>
      <c r="BD34" s="40"/>
      <c r="BE34" s="42"/>
      <c r="BF34" s="40"/>
      <c r="BG34" s="40"/>
      <c r="BH34" s="40"/>
      <c r="BI34" s="40"/>
      <c r="BJ34" s="43" t="str">
        <f t="shared" si="0"/>
        <v/>
      </c>
      <c r="BK34" s="43"/>
      <c r="BL34" s="40"/>
      <c r="BM34" s="44"/>
      <c r="BN34" s="40"/>
      <c r="BO34" s="40"/>
      <c r="BP34" s="40"/>
      <c r="BQ34" s="40"/>
      <c r="BR34" s="40"/>
      <c r="BS34" s="40"/>
      <c r="BT34" s="40"/>
      <c r="BU34" s="43" t="str">
        <f t="shared" si="1"/>
        <v/>
      </c>
      <c r="BV34" s="43"/>
      <c r="BW34" s="40"/>
      <c r="BX34" s="44"/>
      <c r="BY34" s="40"/>
      <c r="BZ34" s="40"/>
      <c r="CA34" s="40"/>
      <c r="CB34" s="40"/>
      <c r="CC34" s="40"/>
      <c r="CD34" s="40"/>
      <c r="CE34" s="40"/>
      <c r="CF34" s="40"/>
      <c r="CG34" s="44"/>
      <c r="CH34" s="43"/>
      <c r="CI34" s="40"/>
      <c r="CJ34" s="40"/>
      <c r="CK34" s="40"/>
      <c r="CL34" s="44"/>
      <c r="CM34" s="43"/>
      <c r="CN34" s="40"/>
      <c r="CO34" s="40"/>
      <c r="CP34" s="40"/>
      <c r="CQ34" s="44"/>
      <c r="CR34" s="43"/>
      <c r="CS34" s="40"/>
      <c r="CT34" s="40"/>
      <c r="CU34" s="40"/>
      <c r="CV34" s="44"/>
      <c r="CW34" s="43"/>
      <c r="CX34" s="45"/>
      <c r="CY34" s="45"/>
      <c r="CZ34" s="45"/>
      <c r="DA34" s="45"/>
      <c r="DB34" s="45" t="str">
        <f t="shared" si="2"/>
        <v/>
      </c>
    </row>
    <row r="35" spans="1:106" ht="16.5">
      <c r="A35" s="40"/>
      <c r="B35" s="40"/>
      <c r="C35" s="40"/>
      <c r="D35" s="40"/>
      <c r="E35" s="40"/>
      <c r="F35" s="40"/>
      <c r="G35" s="40"/>
      <c r="H35" s="40"/>
      <c r="I35" s="40"/>
      <c r="J35" s="40"/>
      <c r="K35" s="40"/>
      <c r="L35" s="40"/>
      <c r="M35" s="41"/>
      <c r="N35" s="42"/>
      <c r="O35" s="40"/>
      <c r="P35" s="40"/>
      <c r="Q35" s="42"/>
      <c r="R35" s="42"/>
      <c r="S35" s="42"/>
      <c r="T35" s="40"/>
      <c r="U35" s="42"/>
      <c r="V35" s="40"/>
      <c r="W35" s="40"/>
      <c r="X35" s="42"/>
      <c r="Y35" s="40"/>
      <c r="Z35" s="40"/>
      <c r="AA35" s="42"/>
      <c r="AB35" s="42"/>
      <c r="AC35" s="42"/>
      <c r="AD35" s="40"/>
      <c r="AE35" s="42"/>
      <c r="AF35" s="40"/>
      <c r="AG35" s="40"/>
      <c r="AH35" s="42"/>
      <c r="AI35" s="40"/>
      <c r="AJ35" s="40"/>
      <c r="AK35" s="42"/>
      <c r="AL35" s="42"/>
      <c r="AM35" s="42"/>
      <c r="AN35" s="40"/>
      <c r="AO35" s="42"/>
      <c r="AP35" s="40"/>
      <c r="AQ35" s="40"/>
      <c r="AR35" s="42"/>
      <c r="AS35" s="40"/>
      <c r="AT35" s="40"/>
      <c r="AU35" s="42"/>
      <c r="AV35" s="42"/>
      <c r="AW35" s="42"/>
      <c r="AX35" s="40"/>
      <c r="AY35" s="42"/>
      <c r="AZ35" s="40"/>
      <c r="BA35" s="40"/>
      <c r="BB35" s="42"/>
      <c r="BC35" s="40"/>
      <c r="BD35" s="40"/>
      <c r="BE35" s="42"/>
      <c r="BF35" s="40"/>
      <c r="BG35" s="40"/>
      <c r="BH35" s="40"/>
      <c r="BI35" s="40"/>
      <c r="BJ35" s="43" t="str">
        <f t="shared" si="0"/>
        <v/>
      </c>
      <c r="BK35" s="43"/>
      <c r="BL35" s="40"/>
      <c r="BM35" s="44"/>
      <c r="BN35" s="40"/>
      <c r="BO35" s="40"/>
      <c r="BP35" s="40"/>
      <c r="BQ35" s="40"/>
      <c r="BR35" s="40"/>
      <c r="BS35" s="40"/>
      <c r="BT35" s="40"/>
      <c r="BU35" s="43" t="str">
        <f t="shared" si="1"/>
        <v/>
      </c>
      <c r="BV35" s="43"/>
      <c r="BW35" s="40"/>
      <c r="BX35" s="44"/>
      <c r="BY35" s="40"/>
      <c r="BZ35" s="40"/>
      <c r="CA35" s="40"/>
      <c r="CB35" s="40"/>
      <c r="CC35" s="40"/>
      <c r="CD35" s="40"/>
      <c r="CE35" s="40"/>
      <c r="CF35" s="40"/>
      <c r="CG35" s="44"/>
      <c r="CH35" s="43"/>
      <c r="CI35" s="40"/>
      <c r="CJ35" s="40"/>
      <c r="CK35" s="40"/>
      <c r="CL35" s="44"/>
      <c r="CM35" s="43"/>
      <c r="CN35" s="40"/>
      <c r="CO35" s="40"/>
      <c r="CP35" s="40"/>
      <c r="CQ35" s="44"/>
      <c r="CR35" s="43"/>
      <c r="CS35" s="40"/>
      <c r="CT35" s="40"/>
      <c r="CU35" s="40"/>
      <c r="CV35" s="44"/>
      <c r="CW35" s="43"/>
      <c r="CX35" s="45"/>
      <c r="CY35" s="45"/>
      <c r="CZ35" s="45"/>
      <c r="DA35" s="45"/>
      <c r="DB35" s="45" t="str">
        <f t="shared" si="2"/>
        <v/>
      </c>
    </row>
    <row r="36" spans="1:106" ht="16.5">
      <c r="A36" s="40"/>
      <c r="B36" s="40"/>
      <c r="C36" s="40"/>
      <c r="D36" s="40"/>
      <c r="E36" s="40"/>
      <c r="F36" s="40"/>
      <c r="G36" s="40"/>
      <c r="H36" s="40"/>
      <c r="I36" s="40"/>
      <c r="J36" s="40"/>
      <c r="K36" s="40"/>
      <c r="L36" s="40"/>
      <c r="M36" s="41"/>
      <c r="N36" s="42"/>
      <c r="O36" s="40"/>
      <c r="P36" s="40"/>
      <c r="Q36" s="42"/>
      <c r="R36" s="42"/>
      <c r="S36" s="42"/>
      <c r="T36" s="40"/>
      <c r="U36" s="42"/>
      <c r="V36" s="40"/>
      <c r="W36" s="40"/>
      <c r="X36" s="42"/>
      <c r="Y36" s="40"/>
      <c r="Z36" s="40"/>
      <c r="AA36" s="42"/>
      <c r="AB36" s="42"/>
      <c r="AC36" s="42"/>
      <c r="AD36" s="40"/>
      <c r="AE36" s="42"/>
      <c r="AF36" s="40"/>
      <c r="AG36" s="40"/>
      <c r="AH36" s="42"/>
      <c r="AI36" s="40"/>
      <c r="AJ36" s="40"/>
      <c r="AK36" s="42"/>
      <c r="AL36" s="42"/>
      <c r="AM36" s="42"/>
      <c r="AN36" s="40"/>
      <c r="AO36" s="42"/>
      <c r="AP36" s="40"/>
      <c r="AQ36" s="40"/>
      <c r="AR36" s="42"/>
      <c r="AS36" s="40"/>
      <c r="AT36" s="40"/>
      <c r="AU36" s="42"/>
      <c r="AV36" s="42"/>
      <c r="AW36" s="42"/>
      <c r="AX36" s="40"/>
      <c r="AY36" s="42"/>
      <c r="AZ36" s="40"/>
      <c r="BA36" s="40"/>
      <c r="BB36" s="42"/>
      <c r="BC36" s="40"/>
      <c r="BD36" s="40"/>
      <c r="BE36" s="42"/>
      <c r="BF36" s="40"/>
      <c r="BG36" s="40"/>
      <c r="BH36" s="40"/>
      <c r="BI36" s="40"/>
      <c r="BJ36" s="43" t="str">
        <f t="shared" si="0"/>
        <v/>
      </c>
      <c r="BK36" s="43"/>
      <c r="BL36" s="40"/>
      <c r="BM36" s="44"/>
      <c r="BN36" s="40"/>
      <c r="BO36" s="40"/>
      <c r="BP36" s="40"/>
      <c r="BQ36" s="40"/>
      <c r="BR36" s="40"/>
      <c r="BS36" s="40"/>
      <c r="BT36" s="40"/>
      <c r="BU36" s="43" t="str">
        <f t="shared" si="1"/>
        <v/>
      </c>
      <c r="BV36" s="43"/>
      <c r="BW36" s="40"/>
      <c r="BX36" s="44"/>
      <c r="BY36" s="40"/>
      <c r="BZ36" s="40"/>
      <c r="CA36" s="40"/>
      <c r="CB36" s="40"/>
      <c r="CC36" s="40"/>
      <c r="CD36" s="40"/>
      <c r="CE36" s="40"/>
      <c r="CF36" s="40"/>
      <c r="CG36" s="44"/>
      <c r="CH36" s="43"/>
      <c r="CI36" s="40"/>
      <c r="CJ36" s="40"/>
      <c r="CK36" s="40"/>
      <c r="CL36" s="44"/>
      <c r="CM36" s="43"/>
      <c r="CN36" s="40"/>
      <c r="CO36" s="40"/>
      <c r="CP36" s="40"/>
      <c r="CQ36" s="44"/>
      <c r="CR36" s="43"/>
      <c r="CS36" s="40"/>
      <c r="CT36" s="40"/>
      <c r="CU36" s="40"/>
      <c r="CV36" s="44"/>
      <c r="CW36" s="43"/>
      <c r="CX36" s="45"/>
      <c r="CY36" s="45"/>
      <c r="CZ36" s="45"/>
      <c r="DA36" s="45"/>
      <c r="DB36" s="45" t="str">
        <f t="shared" si="2"/>
        <v/>
      </c>
    </row>
    <row r="37" spans="1:106" ht="16.5">
      <c r="A37" s="40"/>
      <c r="B37" s="40"/>
      <c r="C37" s="40"/>
      <c r="D37" s="40"/>
      <c r="E37" s="40"/>
      <c r="F37" s="40"/>
      <c r="G37" s="40"/>
      <c r="H37" s="40"/>
      <c r="I37" s="40"/>
      <c r="J37" s="40"/>
      <c r="K37" s="40"/>
      <c r="L37" s="40"/>
      <c r="M37" s="41"/>
      <c r="N37" s="42"/>
      <c r="O37" s="40"/>
      <c r="P37" s="40"/>
      <c r="Q37" s="42"/>
      <c r="R37" s="42"/>
      <c r="S37" s="42"/>
      <c r="T37" s="40"/>
      <c r="U37" s="42"/>
      <c r="V37" s="40"/>
      <c r="W37" s="40"/>
      <c r="X37" s="42"/>
      <c r="Y37" s="40"/>
      <c r="Z37" s="40"/>
      <c r="AA37" s="42"/>
      <c r="AB37" s="42"/>
      <c r="AC37" s="42"/>
      <c r="AD37" s="40"/>
      <c r="AE37" s="42"/>
      <c r="AF37" s="40"/>
      <c r="AG37" s="40"/>
      <c r="AH37" s="42"/>
      <c r="AI37" s="40"/>
      <c r="AJ37" s="40"/>
      <c r="AK37" s="42"/>
      <c r="AL37" s="42"/>
      <c r="AM37" s="42"/>
      <c r="AN37" s="40"/>
      <c r="AO37" s="42"/>
      <c r="AP37" s="40"/>
      <c r="AQ37" s="40"/>
      <c r="AR37" s="42"/>
      <c r="AS37" s="40"/>
      <c r="AT37" s="40"/>
      <c r="AU37" s="42"/>
      <c r="AV37" s="42"/>
      <c r="AW37" s="42"/>
      <c r="AX37" s="40"/>
      <c r="AY37" s="42"/>
      <c r="AZ37" s="40"/>
      <c r="BA37" s="40"/>
      <c r="BB37" s="42"/>
      <c r="BC37" s="40"/>
      <c r="BD37" s="40"/>
      <c r="BE37" s="42"/>
      <c r="BF37" s="40"/>
      <c r="BG37" s="40"/>
      <c r="BH37" s="40"/>
      <c r="BI37" s="40"/>
      <c r="BJ37" s="43" t="str">
        <f t="shared" si="0"/>
        <v/>
      </c>
      <c r="BK37" s="43"/>
      <c r="BL37" s="40"/>
      <c r="BM37" s="44"/>
      <c r="BN37" s="40"/>
      <c r="BO37" s="40"/>
      <c r="BP37" s="40"/>
      <c r="BQ37" s="40"/>
      <c r="BR37" s="40"/>
      <c r="BS37" s="40"/>
      <c r="BT37" s="40"/>
      <c r="BU37" s="43" t="str">
        <f t="shared" si="1"/>
        <v/>
      </c>
      <c r="BV37" s="43"/>
      <c r="BW37" s="40"/>
      <c r="BX37" s="44"/>
      <c r="BY37" s="40"/>
      <c r="BZ37" s="40"/>
      <c r="CA37" s="40"/>
      <c r="CB37" s="40"/>
      <c r="CC37" s="40"/>
      <c r="CD37" s="40"/>
      <c r="CE37" s="40"/>
      <c r="CF37" s="40"/>
      <c r="CG37" s="44"/>
      <c r="CH37" s="43"/>
      <c r="CI37" s="40"/>
      <c r="CJ37" s="40"/>
      <c r="CK37" s="40"/>
      <c r="CL37" s="44"/>
      <c r="CM37" s="43"/>
      <c r="CN37" s="40"/>
      <c r="CO37" s="40"/>
      <c r="CP37" s="40"/>
      <c r="CQ37" s="44"/>
      <c r="CR37" s="43"/>
      <c r="CS37" s="40"/>
      <c r="CT37" s="40"/>
      <c r="CU37" s="40"/>
      <c r="CV37" s="44"/>
      <c r="CW37" s="43"/>
      <c r="CX37" s="45"/>
      <c r="CY37" s="45"/>
      <c r="CZ37" s="45"/>
      <c r="DA37" s="45"/>
      <c r="DB37" s="45" t="str">
        <f t="shared" si="2"/>
        <v/>
      </c>
    </row>
    <row r="38" spans="1:106" ht="16.5">
      <c r="A38" s="40"/>
      <c r="B38" s="40"/>
      <c r="C38" s="40"/>
      <c r="D38" s="40"/>
      <c r="E38" s="40"/>
      <c r="F38" s="40"/>
      <c r="G38" s="40"/>
      <c r="H38" s="40"/>
      <c r="I38" s="40"/>
      <c r="J38" s="40"/>
      <c r="K38" s="40"/>
      <c r="L38" s="40"/>
      <c r="M38" s="41"/>
      <c r="N38" s="42"/>
      <c r="O38" s="40"/>
      <c r="P38" s="40"/>
      <c r="Q38" s="42"/>
      <c r="R38" s="42"/>
      <c r="S38" s="42"/>
      <c r="T38" s="40"/>
      <c r="U38" s="42"/>
      <c r="V38" s="40"/>
      <c r="W38" s="40"/>
      <c r="X38" s="42"/>
      <c r="Y38" s="40"/>
      <c r="Z38" s="40"/>
      <c r="AA38" s="42"/>
      <c r="AB38" s="42"/>
      <c r="AC38" s="42"/>
      <c r="AD38" s="40"/>
      <c r="AE38" s="42"/>
      <c r="AF38" s="40"/>
      <c r="AG38" s="40"/>
      <c r="AH38" s="42"/>
      <c r="AI38" s="40"/>
      <c r="AJ38" s="40"/>
      <c r="AK38" s="42"/>
      <c r="AL38" s="42"/>
      <c r="AM38" s="42"/>
      <c r="AN38" s="40"/>
      <c r="AO38" s="42"/>
      <c r="AP38" s="40"/>
      <c r="AQ38" s="40"/>
      <c r="AR38" s="42"/>
      <c r="AS38" s="40"/>
      <c r="AT38" s="40"/>
      <c r="AU38" s="42"/>
      <c r="AV38" s="42"/>
      <c r="AW38" s="42"/>
      <c r="AX38" s="40"/>
      <c r="AY38" s="42"/>
      <c r="AZ38" s="40"/>
      <c r="BA38" s="40"/>
      <c r="BB38" s="42"/>
      <c r="BC38" s="40"/>
      <c r="BD38" s="40"/>
      <c r="BE38" s="42"/>
      <c r="BF38" s="40"/>
      <c r="BG38" s="40"/>
      <c r="BH38" s="40"/>
      <c r="BI38" s="40"/>
      <c r="BJ38" s="43" t="str">
        <f t="shared" si="0"/>
        <v/>
      </c>
      <c r="BK38" s="43"/>
      <c r="BL38" s="40"/>
      <c r="BM38" s="44"/>
      <c r="BN38" s="40"/>
      <c r="BO38" s="40"/>
      <c r="BP38" s="40"/>
      <c r="BQ38" s="40"/>
      <c r="BR38" s="40"/>
      <c r="BS38" s="40"/>
      <c r="BT38" s="40"/>
      <c r="BU38" s="43" t="str">
        <f t="shared" si="1"/>
        <v/>
      </c>
      <c r="BV38" s="43"/>
      <c r="BW38" s="40"/>
      <c r="BX38" s="44"/>
      <c r="BY38" s="40"/>
      <c r="BZ38" s="40"/>
      <c r="CA38" s="40"/>
      <c r="CB38" s="40"/>
      <c r="CC38" s="40"/>
      <c r="CD38" s="40"/>
      <c r="CE38" s="40"/>
      <c r="CF38" s="40"/>
      <c r="CG38" s="44"/>
      <c r="CH38" s="43"/>
      <c r="CI38" s="40"/>
      <c r="CJ38" s="40"/>
      <c r="CK38" s="40"/>
      <c r="CL38" s="44"/>
      <c r="CM38" s="43"/>
      <c r="CN38" s="40"/>
      <c r="CO38" s="40"/>
      <c r="CP38" s="40"/>
      <c r="CQ38" s="44"/>
      <c r="CR38" s="43"/>
      <c r="CS38" s="40"/>
      <c r="CT38" s="40"/>
      <c r="CU38" s="40"/>
      <c r="CV38" s="44"/>
      <c r="CW38" s="43"/>
      <c r="CX38" s="45"/>
      <c r="CY38" s="45"/>
      <c r="CZ38" s="45"/>
      <c r="DA38" s="45"/>
      <c r="DB38" s="45" t="str">
        <f t="shared" si="2"/>
        <v/>
      </c>
    </row>
    <row r="39" spans="1:106" ht="16.5">
      <c r="A39" s="40"/>
      <c r="B39" s="40"/>
      <c r="C39" s="40"/>
      <c r="D39" s="40"/>
      <c r="E39" s="40"/>
      <c r="F39" s="40"/>
      <c r="G39" s="40"/>
      <c r="H39" s="40"/>
      <c r="I39" s="40"/>
      <c r="J39" s="40"/>
      <c r="K39" s="40"/>
      <c r="L39" s="40"/>
      <c r="M39" s="41"/>
      <c r="N39" s="42"/>
      <c r="O39" s="40"/>
      <c r="P39" s="40"/>
      <c r="Q39" s="42"/>
      <c r="R39" s="42"/>
      <c r="S39" s="42"/>
      <c r="T39" s="40"/>
      <c r="U39" s="42"/>
      <c r="V39" s="40"/>
      <c r="W39" s="40"/>
      <c r="X39" s="42"/>
      <c r="Y39" s="40"/>
      <c r="Z39" s="40"/>
      <c r="AA39" s="42"/>
      <c r="AB39" s="42"/>
      <c r="AC39" s="42"/>
      <c r="AD39" s="40"/>
      <c r="AE39" s="42"/>
      <c r="AF39" s="40"/>
      <c r="AG39" s="40"/>
      <c r="AH39" s="42"/>
      <c r="AI39" s="40"/>
      <c r="AJ39" s="40"/>
      <c r="AK39" s="42"/>
      <c r="AL39" s="42"/>
      <c r="AM39" s="42"/>
      <c r="AN39" s="40"/>
      <c r="AO39" s="42"/>
      <c r="AP39" s="40"/>
      <c r="AQ39" s="40"/>
      <c r="AR39" s="42"/>
      <c r="AS39" s="40"/>
      <c r="AT39" s="40"/>
      <c r="AU39" s="42"/>
      <c r="AV39" s="42"/>
      <c r="AW39" s="42"/>
      <c r="AX39" s="40"/>
      <c r="AY39" s="42"/>
      <c r="AZ39" s="40"/>
      <c r="BA39" s="40"/>
      <c r="BB39" s="42"/>
      <c r="BC39" s="40"/>
      <c r="BD39" s="40"/>
      <c r="BE39" s="42"/>
      <c r="BF39" s="40"/>
      <c r="BG39" s="40"/>
      <c r="BH39" s="40"/>
      <c r="BI39" s="40"/>
      <c r="BJ39" s="43" t="str">
        <f t="shared" si="0"/>
        <v/>
      </c>
      <c r="BK39" s="43"/>
      <c r="BL39" s="40"/>
      <c r="BM39" s="44"/>
      <c r="BN39" s="40"/>
      <c r="BO39" s="40"/>
      <c r="BP39" s="40"/>
      <c r="BQ39" s="40"/>
      <c r="BR39" s="40"/>
      <c r="BS39" s="40"/>
      <c r="BT39" s="40"/>
      <c r="BU39" s="43" t="str">
        <f t="shared" si="1"/>
        <v/>
      </c>
      <c r="BV39" s="43"/>
      <c r="BW39" s="40"/>
      <c r="BX39" s="44"/>
      <c r="BY39" s="40"/>
      <c r="BZ39" s="40"/>
      <c r="CA39" s="40"/>
      <c r="CB39" s="40"/>
      <c r="CC39" s="40"/>
      <c r="CD39" s="40"/>
      <c r="CE39" s="40"/>
      <c r="CF39" s="40"/>
      <c r="CG39" s="44"/>
      <c r="CH39" s="43"/>
      <c r="CI39" s="40"/>
      <c r="CJ39" s="40"/>
      <c r="CK39" s="40"/>
      <c r="CL39" s="44"/>
      <c r="CM39" s="43"/>
      <c r="CN39" s="40"/>
      <c r="CO39" s="40"/>
      <c r="CP39" s="40"/>
      <c r="CQ39" s="44"/>
      <c r="CR39" s="43"/>
      <c r="CS39" s="40"/>
      <c r="CT39" s="40"/>
      <c r="CU39" s="40"/>
      <c r="CV39" s="44"/>
      <c r="CW39" s="43"/>
      <c r="CX39" s="45"/>
      <c r="CY39" s="45"/>
      <c r="CZ39" s="45"/>
      <c r="DA39" s="45"/>
      <c r="DB39" s="45" t="str">
        <f t="shared" si="2"/>
        <v/>
      </c>
    </row>
    <row r="40" spans="1:106" ht="16.5">
      <c r="A40" s="40"/>
      <c r="B40" s="40"/>
      <c r="C40" s="40"/>
      <c r="D40" s="40"/>
      <c r="E40" s="40"/>
      <c r="F40" s="40"/>
      <c r="G40" s="40"/>
      <c r="H40" s="40"/>
      <c r="I40" s="40"/>
      <c r="J40" s="40"/>
      <c r="K40" s="40"/>
      <c r="L40" s="40"/>
      <c r="M40" s="41"/>
      <c r="N40" s="42"/>
      <c r="O40" s="40"/>
      <c r="P40" s="40"/>
      <c r="Q40" s="42"/>
      <c r="R40" s="42"/>
      <c r="S40" s="42"/>
      <c r="T40" s="40"/>
      <c r="U40" s="42"/>
      <c r="V40" s="40"/>
      <c r="W40" s="40"/>
      <c r="X40" s="42"/>
      <c r="Y40" s="40"/>
      <c r="Z40" s="40"/>
      <c r="AA40" s="42"/>
      <c r="AB40" s="42"/>
      <c r="AC40" s="42"/>
      <c r="AD40" s="40"/>
      <c r="AE40" s="42"/>
      <c r="AF40" s="40"/>
      <c r="AG40" s="40"/>
      <c r="AH40" s="42"/>
      <c r="AI40" s="40"/>
      <c r="AJ40" s="40"/>
      <c r="AK40" s="42"/>
      <c r="AL40" s="42"/>
      <c r="AM40" s="42"/>
      <c r="AN40" s="40"/>
      <c r="AO40" s="42"/>
      <c r="AP40" s="40"/>
      <c r="AQ40" s="40"/>
      <c r="AR40" s="42"/>
      <c r="AS40" s="40"/>
      <c r="AT40" s="40"/>
      <c r="AU40" s="42"/>
      <c r="AV40" s="42"/>
      <c r="AW40" s="42"/>
      <c r="AX40" s="40"/>
      <c r="AY40" s="42"/>
      <c r="AZ40" s="40"/>
      <c r="BA40" s="40"/>
      <c r="BB40" s="42"/>
      <c r="BC40" s="40"/>
      <c r="BD40" s="40"/>
      <c r="BE40" s="42"/>
      <c r="BF40" s="40"/>
      <c r="BG40" s="40"/>
      <c r="BH40" s="40"/>
      <c r="BI40" s="40"/>
      <c r="BJ40" s="43" t="str">
        <f t="shared" si="0"/>
        <v/>
      </c>
      <c r="BK40" s="43"/>
      <c r="BL40" s="40"/>
      <c r="BM40" s="44"/>
      <c r="BN40" s="40"/>
      <c r="BO40" s="40"/>
      <c r="BP40" s="40"/>
      <c r="BQ40" s="40"/>
      <c r="BR40" s="40"/>
      <c r="BS40" s="40"/>
      <c r="BT40" s="40"/>
      <c r="BU40" s="43" t="str">
        <f t="shared" si="1"/>
        <v/>
      </c>
      <c r="BV40" s="43"/>
      <c r="BW40" s="40"/>
      <c r="BX40" s="44"/>
      <c r="BY40" s="40"/>
      <c r="BZ40" s="40"/>
      <c r="CA40" s="40"/>
      <c r="CB40" s="40"/>
      <c r="CC40" s="40"/>
      <c r="CD40" s="40"/>
      <c r="CE40" s="40"/>
      <c r="CF40" s="40"/>
      <c r="CG40" s="44"/>
      <c r="CH40" s="43"/>
      <c r="CI40" s="40"/>
      <c r="CJ40" s="40"/>
      <c r="CK40" s="40"/>
      <c r="CL40" s="44"/>
      <c r="CM40" s="43"/>
      <c r="CN40" s="40"/>
      <c r="CO40" s="40"/>
      <c r="CP40" s="40"/>
      <c r="CQ40" s="44"/>
      <c r="CR40" s="43"/>
      <c r="CS40" s="40"/>
      <c r="CT40" s="40"/>
      <c r="CU40" s="40"/>
      <c r="CV40" s="44"/>
      <c r="CW40" s="43"/>
      <c r="CX40" s="45"/>
      <c r="CY40" s="45"/>
      <c r="CZ40" s="45"/>
      <c r="DA40" s="45"/>
      <c r="DB40" s="45" t="str">
        <f t="shared" si="2"/>
        <v/>
      </c>
    </row>
    <row r="41" spans="1:106" ht="16.5">
      <c r="A41" s="40"/>
      <c r="B41" s="40"/>
      <c r="C41" s="40"/>
      <c r="D41" s="40"/>
      <c r="E41" s="40"/>
      <c r="F41" s="40"/>
      <c r="G41" s="40"/>
      <c r="H41" s="40"/>
      <c r="I41" s="40"/>
      <c r="J41" s="40"/>
      <c r="K41" s="40"/>
      <c r="L41" s="40"/>
      <c r="M41" s="41"/>
      <c r="N41" s="42"/>
      <c r="O41" s="40"/>
      <c r="P41" s="40"/>
      <c r="Q41" s="42"/>
      <c r="R41" s="42"/>
      <c r="S41" s="42"/>
      <c r="T41" s="40"/>
      <c r="U41" s="42"/>
      <c r="V41" s="40"/>
      <c r="W41" s="40"/>
      <c r="X41" s="42"/>
      <c r="Y41" s="40"/>
      <c r="Z41" s="40"/>
      <c r="AA41" s="42"/>
      <c r="AB41" s="42"/>
      <c r="AC41" s="42"/>
      <c r="AD41" s="40"/>
      <c r="AE41" s="42"/>
      <c r="AF41" s="40"/>
      <c r="AG41" s="40"/>
      <c r="AH41" s="42"/>
      <c r="AI41" s="40"/>
      <c r="AJ41" s="40"/>
      <c r="AK41" s="42"/>
      <c r="AL41" s="42"/>
      <c r="AM41" s="42"/>
      <c r="AN41" s="40"/>
      <c r="AO41" s="42"/>
      <c r="AP41" s="40"/>
      <c r="AQ41" s="40"/>
      <c r="AR41" s="42"/>
      <c r="AS41" s="40"/>
      <c r="AT41" s="40"/>
      <c r="AU41" s="42"/>
      <c r="AV41" s="42"/>
      <c r="AW41" s="42"/>
      <c r="AX41" s="40"/>
      <c r="AY41" s="42"/>
      <c r="AZ41" s="40"/>
      <c r="BA41" s="40"/>
      <c r="BB41" s="42"/>
      <c r="BC41" s="40"/>
      <c r="BD41" s="40"/>
      <c r="BE41" s="42"/>
      <c r="BF41" s="40"/>
      <c r="BG41" s="40"/>
      <c r="BH41" s="40"/>
      <c r="BI41" s="40"/>
      <c r="BJ41" s="43" t="str">
        <f t="shared" si="0"/>
        <v/>
      </c>
      <c r="BK41" s="43"/>
      <c r="BL41" s="40"/>
      <c r="BM41" s="44"/>
      <c r="BN41" s="40"/>
      <c r="BO41" s="40"/>
      <c r="BP41" s="40"/>
      <c r="BQ41" s="40"/>
      <c r="BR41" s="40"/>
      <c r="BS41" s="40"/>
      <c r="BT41" s="40"/>
      <c r="BU41" s="43" t="str">
        <f t="shared" si="1"/>
        <v/>
      </c>
      <c r="BV41" s="43"/>
      <c r="BW41" s="40"/>
      <c r="BX41" s="44"/>
      <c r="BY41" s="40"/>
      <c r="BZ41" s="40"/>
      <c r="CA41" s="40"/>
      <c r="CB41" s="40"/>
      <c r="CC41" s="40"/>
      <c r="CD41" s="40"/>
      <c r="CE41" s="40"/>
      <c r="CF41" s="40"/>
      <c r="CG41" s="44"/>
      <c r="CH41" s="43"/>
      <c r="CI41" s="40"/>
      <c r="CJ41" s="40"/>
      <c r="CK41" s="40"/>
      <c r="CL41" s="44"/>
      <c r="CM41" s="43"/>
      <c r="CN41" s="40"/>
      <c r="CO41" s="40"/>
      <c r="CP41" s="40"/>
      <c r="CQ41" s="44"/>
      <c r="CR41" s="43"/>
      <c r="CS41" s="40"/>
      <c r="CT41" s="40"/>
      <c r="CU41" s="40"/>
      <c r="CV41" s="44"/>
      <c r="CW41" s="43"/>
      <c r="CX41" s="45"/>
      <c r="CY41" s="45"/>
      <c r="CZ41" s="45"/>
      <c r="DA41" s="45"/>
      <c r="DB41" s="45" t="str">
        <f t="shared" si="2"/>
        <v/>
      </c>
    </row>
    <row r="42" spans="1:106" ht="16.5">
      <c r="A42" s="40"/>
      <c r="B42" s="40"/>
      <c r="C42" s="40"/>
      <c r="D42" s="40"/>
      <c r="E42" s="40"/>
      <c r="F42" s="40"/>
      <c r="G42" s="40"/>
      <c r="H42" s="40"/>
      <c r="I42" s="40"/>
      <c r="J42" s="40"/>
      <c r="K42" s="40"/>
      <c r="L42" s="40"/>
      <c r="M42" s="41"/>
      <c r="N42" s="42"/>
      <c r="O42" s="40"/>
      <c r="P42" s="40"/>
      <c r="Q42" s="42"/>
      <c r="R42" s="42"/>
      <c r="S42" s="42"/>
      <c r="T42" s="40"/>
      <c r="U42" s="42"/>
      <c r="V42" s="40"/>
      <c r="W42" s="40"/>
      <c r="X42" s="42"/>
      <c r="Y42" s="40"/>
      <c r="Z42" s="40"/>
      <c r="AA42" s="42"/>
      <c r="AB42" s="42"/>
      <c r="AC42" s="42"/>
      <c r="AD42" s="40"/>
      <c r="AE42" s="42"/>
      <c r="AF42" s="40"/>
      <c r="AG42" s="40"/>
      <c r="AH42" s="42"/>
      <c r="AI42" s="40"/>
      <c r="AJ42" s="40"/>
      <c r="AK42" s="42"/>
      <c r="AL42" s="42"/>
      <c r="AM42" s="42"/>
      <c r="AN42" s="40"/>
      <c r="AO42" s="42"/>
      <c r="AP42" s="40"/>
      <c r="AQ42" s="40"/>
      <c r="AR42" s="42"/>
      <c r="AS42" s="40"/>
      <c r="AT42" s="40"/>
      <c r="AU42" s="42"/>
      <c r="AV42" s="42"/>
      <c r="AW42" s="42"/>
      <c r="AX42" s="40"/>
      <c r="AY42" s="42"/>
      <c r="AZ42" s="40"/>
      <c r="BA42" s="40"/>
      <c r="BB42" s="42"/>
      <c r="BC42" s="40"/>
      <c r="BD42" s="40"/>
      <c r="BE42" s="42"/>
      <c r="BF42" s="40"/>
      <c r="BG42" s="40"/>
      <c r="BH42" s="40"/>
      <c r="BI42" s="40"/>
      <c r="BJ42" s="43" t="str">
        <f t="shared" si="0"/>
        <v/>
      </c>
      <c r="BK42" s="43"/>
      <c r="BL42" s="40"/>
      <c r="BM42" s="44"/>
      <c r="BN42" s="40"/>
      <c r="BO42" s="40"/>
      <c r="BP42" s="40"/>
      <c r="BQ42" s="40"/>
      <c r="BR42" s="40"/>
      <c r="BS42" s="40"/>
      <c r="BT42" s="40"/>
      <c r="BU42" s="43" t="str">
        <f t="shared" si="1"/>
        <v/>
      </c>
      <c r="BV42" s="43"/>
      <c r="BW42" s="40"/>
      <c r="BX42" s="44"/>
      <c r="BY42" s="40"/>
      <c r="BZ42" s="40"/>
      <c r="CA42" s="40"/>
      <c r="CB42" s="40"/>
      <c r="CC42" s="40"/>
      <c r="CD42" s="40"/>
      <c r="CE42" s="40"/>
      <c r="CF42" s="40"/>
      <c r="CG42" s="44"/>
      <c r="CH42" s="43"/>
      <c r="CI42" s="40"/>
      <c r="CJ42" s="40"/>
      <c r="CK42" s="40"/>
      <c r="CL42" s="44"/>
      <c r="CM42" s="43"/>
      <c r="CN42" s="40"/>
      <c r="CO42" s="40"/>
      <c r="CP42" s="40"/>
      <c r="CQ42" s="44"/>
      <c r="CR42" s="43"/>
      <c r="CS42" s="40"/>
      <c r="CT42" s="40"/>
      <c r="CU42" s="40"/>
      <c r="CV42" s="44"/>
      <c r="CW42" s="43"/>
      <c r="CX42" s="45"/>
      <c r="CY42" s="45"/>
      <c r="CZ42" s="45"/>
      <c r="DA42" s="45"/>
      <c r="DB42" s="45" t="str">
        <f t="shared" si="2"/>
        <v/>
      </c>
    </row>
    <row r="43" spans="1:106" ht="16.5">
      <c r="A43" s="40"/>
      <c r="B43" s="40"/>
      <c r="C43" s="40"/>
      <c r="D43" s="40"/>
      <c r="E43" s="40"/>
      <c r="F43" s="40"/>
      <c r="G43" s="40"/>
      <c r="H43" s="40"/>
      <c r="I43" s="40"/>
      <c r="J43" s="40"/>
      <c r="K43" s="40"/>
      <c r="L43" s="40"/>
      <c r="M43" s="41"/>
      <c r="N43" s="42"/>
      <c r="O43" s="40"/>
      <c r="P43" s="40"/>
      <c r="Q43" s="42"/>
      <c r="R43" s="42"/>
      <c r="S43" s="42"/>
      <c r="T43" s="40"/>
      <c r="U43" s="42"/>
      <c r="V43" s="40"/>
      <c r="W43" s="40"/>
      <c r="X43" s="42"/>
      <c r="Y43" s="40"/>
      <c r="Z43" s="40"/>
      <c r="AA43" s="42"/>
      <c r="AB43" s="42"/>
      <c r="AC43" s="42"/>
      <c r="AD43" s="40"/>
      <c r="AE43" s="42"/>
      <c r="AF43" s="40"/>
      <c r="AG43" s="40"/>
      <c r="AH43" s="42"/>
      <c r="AI43" s="40"/>
      <c r="AJ43" s="40"/>
      <c r="AK43" s="42"/>
      <c r="AL43" s="42"/>
      <c r="AM43" s="42"/>
      <c r="AN43" s="40"/>
      <c r="AO43" s="42"/>
      <c r="AP43" s="40"/>
      <c r="AQ43" s="40"/>
      <c r="AR43" s="42"/>
      <c r="AS43" s="40"/>
      <c r="AT43" s="40"/>
      <c r="AU43" s="42"/>
      <c r="AV43" s="42"/>
      <c r="AW43" s="42"/>
      <c r="AX43" s="40"/>
      <c r="AY43" s="42"/>
      <c r="AZ43" s="40"/>
      <c r="BA43" s="40"/>
      <c r="BB43" s="42"/>
      <c r="BC43" s="40"/>
      <c r="BD43" s="40"/>
      <c r="BE43" s="42"/>
      <c r="BF43" s="40"/>
      <c r="BG43" s="40"/>
      <c r="BH43" s="40"/>
      <c r="BI43" s="40"/>
      <c r="BJ43" s="43" t="str">
        <f t="shared" si="0"/>
        <v/>
      </c>
      <c r="BK43" s="43"/>
      <c r="BL43" s="40"/>
      <c r="BM43" s="44"/>
      <c r="BN43" s="40"/>
      <c r="BO43" s="40"/>
      <c r="BP43" s="40"/>
      <c r="BQ43" s="40"/>
      <c r="BR43" s="40"/>
      <c r="BS43" s="40"/>
      <c r="BT43" s="40"/>
      <c r="BU43" s="43" t="str">
        <f t="shared" si="1"/>
        <v/>
      </c>
      <c r="BV43" s="43"/>
      <c r="BW43" s="40"/>
      <c r="BX43" s="44"/>
      <c r="BY43" s="40"/>
      <c r="BZ43" s="40"/>
      <c r="CA43" s="40"/>
      <c r="CB43" s="40"/>
      <c r="CC43" s="40"/>
      <c r="CD43" s="40"/>
      <c r="CE43" s="40"/>
      <c r="CF43" s="40"/>
      <c r="CG43" s="44"/>
      <c r="CH43" s="43"/>
      <c r="CI43" s="40"/>
      <c r="CJ43" s="40"/>
      <c r="CK43" s="40"/>
      <c r="CL43" s="44"/>
      <c r="CM43" s="43"/>
      <c r="CN43" s="40"/>
      <c r="CO43" s="40"/>
      <c r="CP43" s="40"/>
      <c r="CQ43" s="44"/>
      <c r="CR43" s="43"/>
      <c r="CS43" s="40"/>
      <c r="CT43" s="40"/>
      <c r="CU43" s="40"/>
      <c r="CV43" s="44"/>
      <c r="CW43" s="43"/>
      <c r="CX43" s="45"/>
      <c r="CY43" s="45"/>
      <c r="CZ43" s="45"/>
      <c r="DA43" s="45"/>
      <c r="DB43" s="45" t="str">
        <f t="shared" si="2"/>
        <v/>
      </c>
    </row>
    <row r="44" spans="1:106" ht="16.5">
      <c r="A44" s="40"/>
      <c r="B44" s="40"/>
      <c r="C44" s="40"/>
      <c r="D44" s="40"/>
      <c r="E44" s="40"/>
      <c r="F44" s="40"/>
      <c r="G44" s="40"/>
      <c r="H44" s="40"/>
      <c r="I44" s="40"/>
      <c r="J44" s="40"/>
      <c r="K44" s="40"/>
      <c r="L44" s="40"/>
      <c r="M44" s="41"/>
      <c r="N44" s="42"/>
      <c r="O44" s="40"/>
      <c r="P44" s="40"/>
      <c r="Q44" s="42"/>
      <c r="R44" s="42"/>
      <c r="S44" s="42"/>
      <c r="T44" s="40"/>
      <c r="U44" s="42"/>
      <c r="V44" s="40"/>
      <c r="W44" s="40"/>
      <c r="X44" s="42"/>
      <c r="Y44" s="40"/>
      <c r="Z44" s="40"/>
      <c r="AA44" s="42"/>
      <c r="AB44" s="42"/>
      <c r="AC44" s="42"/>
      <c r="AD44" s="40"/>
      <c r="AE44" s="42"/>
      <c r="AF44" s="40"/>
      <c r="AG44" s="40"/>
      <c r="AH44" s="42"/>
      <c r="AI44" s="40"/>
      <c r="AJ44" s="40"/>
      <c r="AK44" s="42"/>
      <c r="AL44" s="42"/>
      <c r="AM44" s="42"/>
      <c r="AN44" s="40"/>
      <c r="AO44" s="42"/>
      <c r="AP44" s="40"/>
      <c r="AQ44" s="40"/>
      <c r="AR44" s="42"/>
      <c r="AS44" s="40"/>
      <c r="AT44" s="40"/>
      <c r="AU44" s="42"/>
      <c r="AV44" s="42"/>
      <c r="AW44" s="42"/>
      <c r="AX44" s="40"/>
      <c r="AY44" s="42"/>
      <c r="AZ44" s="40"/>
      <c r="BA44" s="40"/>
      <c r="BB44" s="42"/>
      <c r="BC44" s="40"/>
      <c r="BD44" s="40"/>
      <c r="BE44" s="42"/>
      <c r="BF44" s="40"/>
      <c r="BG44" s="40"/>
      <c r="BH44" s="40"/>
      <c r="BI44" s="40"/>
      <c r="BJ44" s="43" t="str">
        <f t="shared" si="0"/>
        <v/>
      </c>
      <c r="BK44" s="43"/>
      <c r="BL44" s="40"/>
      <c r="BM44" s="44"/>
      <c r="BN44" s="40"/>
      <c r="BO44" s="40"/>
      <c r="BP44" s="40"/>
      <c r="BQ44" s="40"/>
      <c r="BR44" s="40"/>
      <c r="BS44" s="40"/>
      <c r="BT44" s="40"/>
      <c r="BU44" s="43" t="str">
        <f t="shared" si="1"/>
        <v/>
      </c>
      <c r="BV44" s="43"/>
      <c r="BW44" s="40"/>
      <c r="BX44" s="44"/>
      <c r="BY44" s="40"/>
      <c r="BZ44" s="40"/>
      <c r="CA44" s="40"/>
      <c r="CB44" s="40"/>
      <c r="CC44" s="40"/>
      <c r="CD44" s="40"/>
      <c r="CE44" s="40"/>
      <c r="CF44" s="40"/>
      <c r="CG44" s="44"/>
      <c r="CH44" s="43"/>
      <c r="CI44" s="40"/>
      <c r="CJ44" s="40"/>
      <c r="CK44" s="40"/>
      <c r="CL44" s="44"/>
      <c r="CM44" s="43"/>
      <c r="CN44" s="40"/>
      <c r="CO44" s="40"/>
      <c r="CP44" s="40"/>
      <c r="CQ44" s="44"/>
      <c r="CR44" s="43"/>
      <c r="CS44" s="40"/>
      <c r="CT44" s="40"/>
      <c r="CU44" s="40"/>
      <c r="CV44" s="44"/>
      <c r="CW44" s="43"/>
      <c r="CX44" s="45"/>
      <c r="CY44" s="45"/>
      <c r="CZ44" s="45"/>
      <c r="DA44" s="45"/>
      <c r="DB44" s="45" t="str">
        <f t="shared" si="2"/>
        <v/>
      </c>
    </row>
    <row r="45" spans="1:106" ht="16.5">
      <c r="A45" s="40"/>
      <c r="B45" s="40"/>
      <c r="C45" s="40"/>
      <c r="D45" s="40"/>
      <c r="E45" s="40"/>
      <c r="F45" s="40"/>
      <c r="G45" s="40"/>
      <c r="H45" s="40"/>
      <c r="I45" s="40"/>
      <c r="J45" s="40"/>
      <c r="K45" s="40"/>
      <c r="L45" s="40"/>
      <c r="M45" s="41"/>
      <c r="N45" s="42"/>
      <c r="O45" s="40"/>
      <c r="P45" s="40"/>
      <c r="Q45" s="42"/>
      <c r="R45" s="42"/>
      <c r="S45" s="42"/>
      <c r="T45" s="40"/>
      <c r="U45" s="42"/>
      <c r="V45" s="40"/>
      <c r="W45" s="40"/>
      <c r="X45" s="42"/>
      <c r="Y45" s="40"/>
      <c r="Z45" s="40"/>
      <c r="AA45" s="42"/>
      <c r="AB45" s="42"/>
      <c r="AC45" s="42"/>
      <c r="AD45" s="40"/>
      <c r="AE45" s="42"/>
      <c r="AF45" s="40"/>
      <c r="AG45" s="40"/>
      <c r="AH45" s="42"/>
      <c r="AI45" s="40"/>
      <c r="AJ45" s="40"/>
      <c r="AK45" s="42"/>
      <c r="AL45" s="42"/>
      <c r="AM45" s="42"/>
      <c r="AN45" s="40"/>
      <c r="AO45" s="42"/>
      <c r="AP45" s="40"/>
      <c r="AQ45" s="40"/>
      <c r="AR45" s="42"/>
      <c r="AS45" s="40"/>
      <c r="AT45" s="40"/>
      <c r="AU45" s="42"/>
      <c r="AV45" s="42"/>
      <c r="AW45" s="42"/>
      <c r="AX45" s="40"/>
      <c r="AY45" s="42"/>
      <c r="AZ45" s="40"/>
      <c r="BA45" s="40"/>
      <c r="BB45" s="42"/>
      <c r="BC45" s="40"/>
      <c r="BD45" s="40"/>
      <c r="BE45" s="42"/>
      <c r="BF45" s="40"/>
      <c r="BG45" s="40"/>
      <c r="BH45" s="40"/>
      <c r="BI45" s="40"/>
      <c r="BJ45" s="43" t="str">
        <f t="shared" si="0"/>
        <v/>
      </c>
      <c r="BK45" s="43"/>
      <c r="BL45" s="40"/>
      <c r="BM45" s="44"/>
      <c r="BN45" s="40"/>
      <c r="BO45" s="40"/>
      <c r="BP45" s="40"/>
      <c r="BQ45" s="40"/>
      <c r="BR45" s="40"/>
      <c r="BS45" s="40"/>
      <c r="BT45" s="40"/>
      <c r="BU45" s="43" t="str">
        <f t="shared" si="1"/>
        <v/>
      </c>
      <c r="BV45" s="43"/>
      <c r="BW45" s="40"/>
      <c r="BX45" s="44"/>
      <c r="BY45" s="40"/>
      <c r="BZ45" s="40"/>
      <c r="CA45" s="40"/>
      <c r="CB45" s="40"/>
      <c r="CC45" s="40"/>
      <c r="CD45" s="40"/>
      <c r="CE45" s="40"/>
      <c r="CF45" s="40"/>
      <c r="CG45" s="44"/>
      <c r="CH45" s="43"/>
      <c r="CI45" s="40"/>
      <c r="CJ45" s="40"/>
      <c r="CK45" s="40"/>
      <c r="CL45" s="44"/>
      <c r="CM45" s="43"/>
      <c r="CN45" s="40"/>
      <c r="CO45" s="40"/>
      <c r="CP45" s="40"/>
      <c r="CQ45" s="44"/>
      <c r="CR45" s="43"/>
      <c r="CS45" s="40"/>
      <c r="CT45" s="40"/>
      <c r="CU45" s="40"/>
      <c r="CV45" s="44"/>
      <c r="CW45" s="43"/>
      <c r="CX45" s="45"/>
      <c r="CY45" s="45"/>
      <c r="CZ45" s="45"/>
      <c r="DA45" s="45"/>
      <c r="DB45" s="45" t="str">
        <f t="shared" si="2"/>
        <v/>
      </c>
    </row>
    <row r="46" spans="1:106" ht="16.5">
      <c r="A46" s="40"/>
      <c r="B46" s="40"/>
      <c r="C46" s="40"/>
      <c r="D46" s="40"/>
      <c r="E46" s="40"/>
      <c r="F46" s="40"/>
      <c r="G46" s="40"/>
      <c r="H46" s="40"/>
      <c r="I46" s="40"/>
      <c r="J46" s="40"/>
      <c r="K46" s="40"/>
      <c r="L46" s="40"/>
      <c r="M46" s="41"/>
      <c r="N46" s="42"/>
      <c r="O46" s="40"/>
      <c r="P46" s="40"/>
      <c r="Q46" s="42"/>
      <c r="R46" s="42"/>
      <c r="S46" s="42"/>
      <c r="T46" s="40"/>
      <c r="U46" s="42"/>
      <c r="V46" s="40"/>
      <c r="W46" s="40"/>
      <c r="X46" s="42"/>
      <c r="Y46" s="40"/>
      <c r="Z46" s="40"/>
      <c r="AA46" s="42"/>
      <c r="AB46" s="42"/>
      <c r="AC46" s="42"/>
      <c r="AD46" s="40"/>
      <c r="AE46" s="42"/>
      <c r="AF46" s="40"/>
      <c r="AG46" s="40"/>
      <c r="AH46" s="42"/>
      <c r="AI46" s="40"/>
      <c r="AJ46" s="40"/>
      <c r="AK46" s="42"/>
      <c r="AL46" s="42"/>
      <c r="AM46" s="42"/>
      <c r="AN46" s="40"/>
      <c r="AO46" s="42"/>
      <c r="AP46" s="40"/>
      <c r="AQ46" s="40"/>
      <c r="AR46" s="42"/>
      <c r="AS46" s="40"/>
      <c r="AT46" s="40"/>
      <c r="AU46" s="42"/>
      <c r="AV46" s="42"/>
      <c r="AW46" s="42"/>
      <c r="AX46" s="40"/>
      <c r="AY46" s="42"/>
      <c r="AZ46" s="40"/>
      <c r="BA46" s="40"/>
      <c r="BB46" s="42"/>
      <c r="BC46" s="40"/>
      <c r="BD46" s="40"/>
      <c r="BE46" s="42"/>
      <c r="BF46" s="40"/>
      <c r="BG46" s="40"/>
      <c r="BH46" s="40"/>
      <c r="BI46" s="40"/>
      <c r="BJ46" s="43" t="str">
        <f t="shared" si="0"/>
        <v/>
      </c>
      <c r="BK46" s="43"/>
      <c r="BL46" s="40"/>
      <c r="BM46" s="44"/>
      <c r="BN46" s="40"/>
      <c r="BO46" s="40"/>
      <c r="BP46" s="40"/>
      <c r="BQ46" s="40"/>
      <c r="BR46" s="40"/>
      <c r="BS46" s="40"/>
      <c r="BT46" s="40"/>
      <c r="BU46" s="43" t="str">
        <f t="shared" si="1"/>
        <v/>
      </c>
      <c r="BV46" s="43"/>
      <c r="BW46" s="40"/>
      <c r="BX46" s="44"/>
      <c r="BY46" s="40"/>
      <c r="BZ46" s="40"/>
      <c r="CA46" s="40"/>
      <c r="CB46" s="40"/>
      <c r="CC46" s="40"/>
      <c r="CD46" s="40"/>
      <c r="CE46" s="40"/>
      <c r="CF46" s="40"/>
      <c r="CG46" s="44"/>
      <c r="CH46" s="43"/>
      <c r="CI46" s="40"/>
      <c r="CJ46" s="40"/>
      <c r="CK46" s="40"/>
      <c r="CL46" s="44"/>
      <c r="CM46" s="43"/>
      <c r="CN46" s="40"/>
      <c r="CO46" s="40"/>
      <c r="CP46" s="40"/>
      <c r="CQ46" s="44"/>
      <c r="CR46" s="43"/>
      <c r="CS46" s="40"/>
      <c r="CT46" s="40"/>
      <c r="CU46" s="40"/>
      <c r="CV46" s="44"/>
      <c r="CW46" s="43"/>
      <c r="CX46" s="45"/>
      <c r="CY46" s="45"/>
      <c r="CZ46" s="45"/>
      <c r="DA46" s="45"/>
      <c r="DB46" s="45" t="str">
        <f t="shared" si="2"/>
        <v/>
      </c>
    </row>
    <row r="47" spans="1:106" ht="16.5">
      <c r="A47" s="40"/>
      <c r="B47" s="40"/>
      <c r="C47" s="40"/>
      <c r="D47" s="40"/>
      <c r="E47" s="40"/>
      <c r="F47" s="40"/>
      <c r="G47" s="40"/>
      <c r="H47" s="40"/>
      <c r="I47" s="40"/>
      <c r="J47" s="40"/>
      <c r="K47" s="40"/>
      <c r="L47" s="40"/>
      <c r="M47" s="41"/>
      <c r="N47" s="42"/>
      <c r="O47" s="40"/>
      <c r="P47" s="40"/>
      <c r="Q47" s="42"/>
      <c r="R47" s="42"/>
      <c r="S47" s="42"/>
      <c r="T47" s="40"/>
      <c r="U47" s="42"/>
      <c r="V47" s="40"/>
      <c r="W47" s="40"/>
      <c r="X47" s="42"/>
      <c r="Y47" s="40"/>
      <c r="Z47" s="40"/>
      <c r="AA47" s="42"/>
      <c r="AB47" s="42"/>
      <c r="AC47" s="42"/>
      <c r="AD47" s="40"/>
      <c r="AE47" s="42"/>
      <c r="AF47" s="40"/>
      <c r="AG47" s="40"/>
      <c r="AH47" s="42"/>
      <c r="AI47" s="40"/>
      <c r="AJ47" s="40"/>
      <c r="AK47" s="42"/>
      <c r="AL47" s="42"/>
      <c r="AM47" s="42"/>
      <c r="AN47" s="40"/>
      <c r="AO47" s="42"/>
      <c r="AP47" s="40"/>
      <c r="AQ47" s="40"/>
      <c r="AR47" s="42"/>
      <c r="AS47" s="40"/>
      <c r="AT47" s="40"/>
      <c r="AU47" s="42"/>
      <c r="AV47" s="42"/>
      <c r="AW47" s="42"/>
      <c r="AX47" s="40"/>
      <c r="AY47" s="42"/>
      <c r="AZ47" s="40"/>
      <c r="BA47" s="40"/>
      <c r="BB47" s="42"/>
      <c r="BC47" s="40"/>
      <c r="BD47" s="40"/>
      <c r="BE47" s="42"/>
      <c r="BF47" s="40"/>
      <c r="BG47" s="40"/>
      <c r="BH47" s="40"/>
      <c r="BI47" s="40"/>
      <c r="BJ47" s="43" t="str">
        <f t="shared" si="0"/>
        <v/>
      </c>
      <c r="BK47" s="43"/>
      <c r="BL47" s="40"/>
      <c r="BM47" s="44"/>
      <c r="BN47" s="40"/>
      <c r="BO47" s="40"/>
      <c r="BP47" s="40"/>
      <c r="BQ47" s="40"/>
      <c r="BR47" s="40"/>
      <c r="BS47" s="40"/>
      <c r="BT47" s="40"/>
      <c r="BU47" s="43" t="str">
        <f t="shared" si="1"/>
        <v/>
      </c>
      <c r="BV47" s="43"/>
      <c r="BW47" s="40"/>
      <c r="BX47" s="44"/>
      <c r="BY47" s="40"/>
      <c r="BZ47" s="40"/>
      <c r="CA47" s="40"/>
      <c r="CB47" s="40"/>
      <c r="CC47" s="40"/>
      <c r="CD47" s="40"/>
      <c r="CE47" s="40"/>
      <c r="CF47" s="40"/>
      <c r="CG47" s="44"/>
      <c r="CH47" s="43"/>
      <c r="CI47" s="40"/>
      <c r="CJ47" s="40"/>
      <c r="CK47" s="40"/>
      <c r="CL47" s="44"/>
      <c r="CM47" s="43"/>
      <c r="CN47" s="40"/>
      <c r="CO47" s="40"/>
      <c r="CP47" s="40"/>
      <c r="CQ47" s="44"/>
      <c r="CR47" s="43"/>
      <c r="CS47" s="40"/>
      <c r="CT47" s="40"/>
      <c r="CU47" s="40"/>
      <c r="CV47" s="44"/>
      <c r="CW47" s="43"/>
      <c r="CX47" s="45"/>
      <c r="CY47" s="45"/>
      <c r="CZ47" s="45"/>
      <c r="DA47" s="45"/>
      <c r="DB47" s="45" t="str">
        <f t="shared" si="2"/>
        <v/>
      </c>
    </row>
    <row r="48" spans="1:106" ht="16.5">
      <c r="A48" s="40"/>
      <c r="B48" s="40"/>
      <c r="C48" s="40"/>
      <c r="D48" s="40"/>
      <c r="E48" s="40"/>
      <c r="F48" s="40"/>
      <c r="G48" s="40"/>
      <c r="H48" s="40"/>
      <c r="I48" s="40"/>
      <c r="J48" s="40"/>
      <c r="K48" s="40"/>
      <c r="L48" s="40"/>
      <c r="M48" s="41"/>
      <c r="N48" s="42"/>
      <c r="O48" s="40"/>
      <c r="P48" s="40"/>
      <c r="Q48" s="42"/>
      <c r="R48" s="42"/>
      <c r="S48" s="42"/>
      <c r="T48" s="40"/>
      <c r="U48" s="42"/>
      <c r="V48" s="40"/>
      <c r="W48" s="40"/>
      <c r="X48" s="42"/>
      <c r="Y48" s="40"/>
      <c r="Z48" s="40"/>
      <c r="AA48" s="42"/>
      <c r="AB48" s="42"/>
      <c r="AC48" s="42"/>
      <c r="AD48" s="40"/>
      <c r="AE48" s="42"/>
      <c r="AF48" s="40"/>
      <c r="AG48" s="40"/>
      <c r="AH48" s="42"/>
      <c r="AI48" s="40"/>
      <c r="AJ48" s="40"/>
      <c r="AK48" s="42"/>
      <c r="AL48" s="42"/>
      <c r="AM48" s="42"/>
      <c r="AN48" s="40"/>
      <c r="AO48" s="42"/>
      <c r="AP48" s="40"/>
      <c r="AQ48" s="40"/>
      <c r="AR48" s="42"/>
      <c r="AS48" s="40"/>
      <c r="AT48" s="40"/>
      <c r="AU48" s="42"/>
      <c r="AV48" s="42"/>
      <c r="AW48" s="42"/>
      <c r="AX48" s="40"/>
      <c r="AY48" s="42"/>
      <c r="AZ48" s="40"/>
      <c r="BA48" s="40"/>
      <c r="BB48" s="42"/>
      <c r="BC48" s="40"/>
      <c r="BD48" s="40"/>
      <c r="BE48" s="42"/>
      <c r="BF48" s="40"/>
      <c r="BG48" s="40"/>
      <c r="BH48" s="40"/>
      <c r="BI48" s="40"/>
      <c r="BJ48" s="43" t="str">
        <f t="shared" si="0"/>
        <v/>
      </c>
      <c r="BK48" s="43"/>
      <c r="BL48" s="40"/>
      <c r="BM48" s="44"/>
      <c r="BN48" s="40"/>
      <c r="BO48" s="40"/>
      <c r="BP48" s="40"/>
      <c r="BQ48" s="40"/>
      <c r="BR48" s="40"/>
      <c r="BS48" s="40"/>
      <c r="BT48" s="40"/>
      <c r="BU48" s="43" t="str">
        <f t="shared" si="1"/>
        <v/>
      </c>
      <c r="BV48" s="43"/>
      <c r="BW48" s="40"/>
      <c r="BX48" s="44"/>
      <c r="BY48" s="40"/>
      <c r="BZ48" s="40"/>
      <c r="CA48" s="40"/>
      <c r="CB48" s="40"/>
      <c r="CC48" s="40"/>
      <c r="CD48" s="40"/>
      <c r="CE48" s="40"/>
      <c r="CF48" s="40"/>
      <c r="CG48" s="44"/>
      <c r="CH48" s="43"/>
      <c r="CI48" s="40"/>
      <c r="CJ48" s="40"/>
      <c r="CK48" s="40"/>
      <c r="CL48" s="44"/>
      <c r="CM48" s="43"/>
      <c r="CN48" s="40"/>
      <c r="CO48" s="40"/>
      <c r="CP48" s="40"/>
      <c r="CQ48" s="44"/>
      <c r="CR48" s="43"/>
      <c r="CS48" s="40"/>
      <c r="CT48" s="40"/>
      <c r="CU48" s="40"/>
      <c r="CV48" s="44"/>
      <c r="CW48" s="43"/>
      <c r="CX48" s="45"/>
      <c r="CY48" s="45"/>
      <c r="CZ48" s="45"/>
      <c r="DA48" s="45"/>
      <c r="DB48" s="45" t="str">
        <f t="shared" si="2"/>
        <v/>
      </c>
    </row>
    <row r="49" spans="1:106" ht="16.5">
      <c r="A49" s="40"/>
      <c r="B49" s="40"/>
      <c r="C49" s="40"/>
      <c r="D49" s="40"/>
      <c r="E49" s="40"/>
      <c r="F49" s="40"/>
      <c r="G49" s="40"/>
      <c r="H49" s="40"/>
      <c r="I49" s="40"/>
      <c r="J49" s="40"/>
      <c r="K49" s="40"/>
      <c r="L49" s="40"/>
      <c r="M49" s="41"/>
      <c r="N49" s="42"/>
      <c r="O49" s="40"/>
      <c r="P49" s="40"/>
      <c r="Q49" s="42"/>
      <c r="R49" s="42"/>
      <c r="S49" s="42"/>
      <c r="T49" s="40"/>
      <c r="U49" s="42"/>
      <c r="V49" s="40"/>
      <c r="W49" s="40"/>
      <c r="X49" s="42"/>
      <c r="Y49" s="40"/>
      <c r="Z49" s="40"/>
      <c r="AA49" s="42"/>
      <c r="AB49" s="42"/>
      <c r="AC49" s="42"/>
      <c r="AD49" s="40"/>
      <c r="AE49" s="42"/>
      <c r="AF49" s="40"/>
      <c r="AG49" s="40"/>
      <c r="AH49" s="42"/>
      <c r="AI49" s="40"/>
      <c r="AJ49" s="40"/>
      <c r="AK49" s="42"/>
      <c r="AL49" s="42"/>
      <c r="AM49" s="42"/>
      <c r="AN49" s="40"/>
      <c r="AO49" s="42"/>
      <c r="AP49" s="40"/>
      <c r="AQ49" s="40"/>
      <c r="AR49" s="42"/>
      <c r="AS49" s="40"/>
      <c r="AT49" s="40"/>
      <c r="AU49" s="42"/>
      <c r="AV49" s="42"/>
      <c r="AW49" s="42"/>
      <c r="AX49" s="40"/>
      <c r="AY49" s="42"/>
      <c r="AZ49" s="40"/>
      <c r="BA49" s="40"/>
      <c r="BB49" s="42"/>
      <c r="BC49" s="40"/>
      <c r="BD49" s="40"/>
      <c r="BE49" s="42"/>
      <c r="BF49" s="40"/>
      <c r="BG49" s="40"/>
      <c r="BH49" s="40"/>
      <c r="BI49" s="40"/>
      <c r="BJ49" s="43" t="str">
        <f t="shared" si="0"/>
        <v/>
      </c>
      <c r="BK49" s="43"/>
      <c r="BL49" s="40"/>
      <c r="BM49" s="44"/>
      <c r="BN49" s="40"/>
      <c r="BO49" s="40"/>
      <c r="BP49" s="40"/>
      <c r="BQ49" s="40"/>
      <c r="BR49" s="40"/>
      <c r="BS49" s="40"/>
      <c r="BT49" s="40"/>
      <c r="BU49" s="43" t="str">
        <f t="shared" si="1"/>
        <v/>
      </c>
      <c r="BV49" s="43"/>
      <c r="BW49" s="40"/>
      <c r="BX49" s="44"/>
      <c r="BY49" s="40"/>
      <c r="BZ49" s="40"/>
      <c r="CA49" s="40"/>
      <c r="CB49" s="40"/>
      <c r="CC49" s="40"/>
      <c r="CD49" s="40"/>
      <c r="CE49" s="40"/>
      <c r="CF49" s="40"/>
      <c r="CG49" s="44"/>
      <c r="CH49" s="43"/>
      <c r="CI49" s="40"/>
      <c r="CJ49" s="40"/>
      <c r="CK49" s="40"/>
      <c r="CL49" s="44"/>
      <c r="CM49" s="43"/>
      <c r="CN49" s="40"/>
      <c r="CO49" s="40"/>
      <c r="CP49" s="40"/>
      <c r="CQ49" s="44"/>
      <c r="CR49" s="43"/>
      <c r="CS49" s="40"/>
      <c r="CT49" s="40"/>
      <c r="CU49" s="40"/>
      <c r="CV49" s="44"/>
      <c r="CW49" s="43"/>
      <c r="CX49" s="45"/>
      <c r="CY49" s="45"/>
      <c r="CZ49" s="45"/>
      <c r="DA49" s="45"/>
      <c r="DB49" s="45" t="str">
        <f t="shared" si="2"/>
        <v/>
      </c>
    </row>
    <row r="50" spans="1:106" ht="16.5">
      <c r="A50" s="40"/>
      <c r="B50" s="40"/>
      <c r="C50" s="40"/>
      <c r="D50" s="40"/>
      <c r="E50" s="40"/>
      <c r="F50" s="40"/>
      <c r="G50" s="40"/>
      <c r="H50" s="40"/>
      <c r="I50" s="40"/>
      <c r="J50" s="40"/>
      <c r="K50" s="40"/>
      <c r="L50" s="40"/>
      <c r="M50" s="41"/>
      <c r="N50" s="42"/>
      <c r="O50" s="40"/>
      <c r="P50" s="40"/>
      <c r="Q50" s="42"/>
      <c r="R50" s="42"/>
      <c r="S50" s="42"/>
      <c r="T50" s="40"/>
      <c r="U50" s="42"/>
      <c r="V50" s="40"/>
      <c r="W50" s="40"/>
      <c r="X50" s="42"/>
      <c r="Y50" s="40"/>
      <c r="Z50" s="40"/>
      <c r="AA50" s="42"/>
      <c r="AB50" s="42"/>
      <c r="AC50" s="42"/>
      <c r="AD50" s="40"/>
      <c r="AE50" s="42"/>
      <c r="AF50" s="40"/>
      <c r="AG50" s="40"/>
      <c r="AH50" s="42"/>
      <c r="AI50" s="40"/>
      <c r="AJ50" s="40"/>
      <c r="AK50" s="42"/>
      <c r="AL50" s="42"/>
      <c r="AM50" s="42"/>
      <c r="AN50" s="40"/>
      <c r="AO50" s="42"/>
      <c r="AP50" s="40"/>
      <c r="AQ50" s="40"/>
      <c r="AR50" s="42"/>
      <c r="AS50" s="40"/>
      <c r="AT50" s="40"/>
      <c r="AU50" s="42"/>
      <c r="AV50" s="42"/>
      <c r="AW50" s="42"/>
      <c r="AX50" s="40"/>
      <c r="AY50" s="42"/>
      <c r="AZ50" s="40"/>
      <c r="BA50" s="40"/>
      <c r="BB50" s="42"/>
      <c r="BC50" s="40"/>
      <c r="BD50" s="40"/>
      <c r="BE50" s="42"/>
      <c r="BF50" s="40"/>
      <c r="BG50" s="40"/>
      <c r="BH50" s="40"/>
      <c r="BI50" s="40"/>
      <c r="BJ50" s="43" t="str">
        <f t="shared" si="0"/>
        <v/>
      </c>
      <c r="BK50" s="43"/>
      <c r="BL50" s="40"/>
      <c r="BM50" s="44"/>
      <c r="BN50" s="40"/>
      <c r="BO50" s="40"/>
      <c r="BP50" s="40"/>
      <c r="BQ50" s="40"/>
      <c r="BR50" s="40"/>
      <c r="BS50" s="40"/>
      <c r="BT50" s="40"/>
      <c r="BU50" s="43" t="str">
        <f t="shared" si="1"/>
        <v/>
      </c>
      <c r="BV50" s="43"/>
      <c r="BW50" s="40"/>
      <c r="BX50" s="44"/>
      <c r="BY50" s="40"/>
      <c r="BZ50" s="40"/>
      <c r="CA50" s="40"/>
      <c r="CB50" s="40"/>
      <c r="CC50" s="40"/>
      <c r="CD50" s="40"/>
      <c r="CE50" s="40"/>
      <c r="CF50" s="40"/>
      <c r="CG50" s="44"/>
      <c r="CH50" s="43"/>
      <c r="CI50" s="40"/>
      <c r="CJ50" s="40"/>
      <c r="CK50" s="40"/>
      <c r="CL50" s="44"/>
      <c r="CM50" s="43"/>
      <c r="CN50" s="40"/>
      <c r="CO50" s="40"/>
      <c r="CP50" s="40"/>
      <c r="CQ50" s="44"/>
      <c r="CR50" s="43"/>
      <c r="CS50" s="40"/>
      <c r="CT50" s="40"/>
      <c r="CU50" s="40"/>
      <c r="CV50" s="44"/>
      <c r="CW50" s="43"/>
      <c r="CX50" s="45"/>
      <c r="CY50" s="45"/>
      <c r="CZ50" s="45"/>
      <c r="DA50" s="45"/>
      <c r="DB50" s="45" t="str">
        <f t="shared" si="2"/>
        <v/>
      </c>
    </row>
    <row r="51" spans="1:106" ht="16.5">
      <c r="A51" s="40"/>
      <c r="B51" s="40"/>
      <c r="C51" s="40"/>
      <c r="D51" s="40"/>
      <c r="E51" s="40"/>
      <c r="F51" s="40"/>
      <c r="G51" s="40"/>
      <c r="H51" s="40"/>
      <c r="I51" s="40"/>
      <c r="J51" s="40"/>
      <c r="K51" s="40"/>
      <c r="L51" s="40"/>
      <c r="M51" s="41"/>
      <c r="N51" s="42"/>
      <c r="O51" s="40"/>
      <c r="P51" s="40"/>
      <c r="Q51" s="42"/>
      <c r="R51" s="42"/>
      <c r="S51" s="42"/>
      <c r="T51" s="40"/>
      <c r="U51" s="42"/>
      <c r="V51" s="40"/>
      <c r="W51" s="40"/>
      <c r="X51" s="42"/>
      <c r="Y51" s="40"/>
      <c r="Z51" s="40"/>
      <c r="AA51" s="42"/>
      <c r="AB51" s="42"/>
      <c r="AC51" s="42"/>
      <c r="AD51" s="40"/>
      <c r="AE51" s="42"/>
      <c r="AF51" s="40"/>
      <c r="AG51" s="40"/>
      <c r="AH51" s="42"/>
      <c r="AI51" s="40"/>
      <c r="AJ51" s="40"/>
      <c r="AK51" s="42"/>
      <c r="AL51" s="42"/>
      <c r="AM51" s="42"/>
      <c r="AN51" s="40"/>
      <c r="AO51" s="42"/>
      <c r="AP51" s="40"/>
      <c r="AQ51" s="40"/>
      <c r="AR51" s="42"/>
      <c r="AS51" s="40"/>
      <c r="AT51" s="40"/>
      <c r="AU51" s="42"/>
      <c r="AV51" s="42"/>
      <c r="AW51" s="42"/>
      <c r="AX51" s="40"/>
      <c r="AY51" s="42"/>
      <c r="AZ51" s="40"/>
      <c r="BA51" s="40"/>
      <c r="BB51" s="42"/>
      <c r="BC51" s="40"/>
      <c r="BD51" s="40"/>
      <c r="BE51" s="42"/>
      <c r="BF51" s="40"/>
      <c r="BG51" s="40"/>
      <c r="BH51" s="40"/>
      <c r="BI51" s="40"/>
      <c r="BJ51" s="43" t="str">
        <f t="shared" si="0"/>
        <v/>
      </c>
      <c r="BK51" s="43"/>
      <c r="BL51" s="40"/>
      <c r="BM51" s="44"/>
      <c r="BN51" s="40"/>
      <c r="BO51" s="40"/>
      <c r="BP51" s="40"/>
      <c r="BQ51" s="40"/>
      <c r="BR51" s="40"/>
      <c r="BS51" s="40"/>
      <c r="BT51" s="40"/>
      <c r="BU51" s="43" t="str">
        <f t="shared" si="1"/>
        <v/>
      </c>
      <c r="BV51" s="43"/>
      <c r="BW51" s="40"/>
      <c r="BX51" s="44"/>
      <c r="BY51" s="40"/>
      <c r="BZ51" s="40"/>
      <c r="CA51" s="40"/>
      <c r="CB51" s="40"/>
      <c r="CC51" s="40"/>
      <c r="CD51" s="40"/>
      <c r="CE51" s="40"/>
      <c r="CF51" s="40"/>
      <c r="CG51" s="44"/>
      <c r="CH51" s="43"/>
      <c r="CI51" s="40"/>
      <c r="CJ51" s="40"/>
      <c r="CK51" s="40"/>
      <c r="CL51" s="44"/>
      <c r="CM51" s="43"/>
      <c r="CN51" s="40"/>
      <c r="CO51" s="40"/>
      <c r="CP51" s="40"/>
      <c r="CQ51" s="44"/>
      <c r="CR51" s="43"/>
      <c r="CS51" s="40"/>
      <c r="CT51" s="40"/>
      <c r="CU51" s="40"/>
      <c r="CV51" s="44"/>
      <c r="CW51" s="43"/>
      <c r="CX51" s="45"/>
      <c r="CY51" s="45"/>
      <c r="CZ51" s="45"/>
      <c r="DA51" s="45"/>
      <c r="DB51" s="45" t="str">
        <f t="shared" si="2"/>
        <v/>
      </c>
    </row>
    <row r="52" spans="1:106" ht="16.5">
      <c r="A52" s="40"/>
      <c r="B52" s="40"/>
      <c r="C52" s="40"/>
      <c r="D52" s="40"/>
      <c r="E52" s="40"/>
      <c r="F52" s="40"/>
      <c r="G52" s="40"/>
      <c r="H52" s="40"/>
      <c r="I52" s="40"/>
      <c r="J52" s="40"/>
      <c r="K52" s="40"/>
      <c r="L52" s="40"/>
      <c r="M52" s="41"/>
      <c r="N52" s="42"/>
      <c r="O52" s="40"/>
      <c r="P52" s="40"/>
      <c r="Q52" s="42"/>
      <c r="R52" s="42"/>
      <c r="S52" s="42"/>
      <c r="T52" s="40"/>
      <c r="U52" s="42"/>
      <c r="V52" s="40"/>
      <c r="W52" s="40"/>
      <c r="X52" s="42"/>
      <c r="Y52" s="40"/>
      <c r="Z52" s="40"/>
      <c r="AA52" s="42"/>
      <c r="AB52" s="42"/>
      <c r="AC52" s="42"/>
      <c r="AD52" s="40"/>
      <c r="AE52" s="42"/>
      <c r="AF52" s="40"/>
      <c r="AG52" s="40"/>
      <c r="AH52" s="42"/>
      <c r="AI52" s="40"/>
      <c r="AJ52" s="40"/>
      <c r="AK52" s="42"/>
      <c r="AL52" s="42"/>
      <c r="AM52" s="42"/>
      <c r="AN52" s="40"/>
      <c r="AO52" s="42"/>
      <c r="AP52" s="40"/>
      <c r="AQ52" s="40"/>
      <c r="AR52" s="42"/>
      <c r="AS52" s="40"/>
      <c r="AT52" s="40"/>
      <c r="AU52" s="42"/>
      <c r="AV52" s="42"/>
      <c r="AW52" s="42"/>
      <c r="AX52" s="40"/>
      <c r="AY52" s="42"/>
      <c r="AZ52" s="40"/>
      <c r="BA52" s="40"/>
      <c r="BB52" s="42"/>
      <c r="BC52" s="40"/>
      <c r="BD52" s="40"/>
      <c r="BE52" s="42"/>
      <c r="BF52" s="40"/>
      <c r="BG52" s="40"/>
      <c r="BH52" s="40"/>
      <c r="BI52" s="40"/>
      <c r="BJ52" s="43" t="str">
        <f t="shared" si="0"/>
        <v/>
      </c>
      <c r="BK52" s="43"/>
      <c r="BL52" s="40"/>
      <c r="BM52" s="44"/>
      <c r="BN52" s="40"/>
      <c r="BO52" s="40"/>
      <c r="BP52" s="40"/>
      <c r="BQ52" s="40"/>
      <c r="BR52" s="40"/>
      <c r="BS52" s="40"/>
      <c r="BT52" s="40"/>
      <c r="BU52" s="43" t="str">
        <f t="shared" si="1"/>
        <v/>
      </c>
      <c r="BV52" s="43"/>
      <c r="BW52" s="40"/>
      <c r="BX52" s="44"/>
      <c r="BY52" s="40"/>
      <c r="BZ52" s="40"/>
      <c r="CA52" s="40"/>
      <c r="CB52" s="40"/>
      <c r="CC52" s="40"/>
      <c r="CD52" s="40"/>
      <c r="CE52" s="40"/>
      <c r="CF52" s="40"/>
      <c r="CG52" s="44"/>
      <c r="CH52" s="43"/>
      <c r="CI52" s="40"/>
      <c r="CJ52" s="40"/>
      <c r="CK52" s="40"/>
      <c r="CL52" s="44"/>
      <c r="CM52" s="43"/>
      <c r="CN52" s="40"/>
      <c r="CO52" s="40"/>
      <c r="CP52" s="40"/>
      <c r="CQ52" s="44"/>
      <c r="CR52" s="43"/>
      <c r="CS52" s="40"/>
      <c r="CT52" s="40"/>
      <c r="CU52" s="40"/>
      <c r="CV52" s="44"/>
      <c r="CW52" s="43"/>
      <c r="CX52" s="45"/>
      <c r="CY52" s="45"/>
      <c r="CZ52" s="45"/>
      <c r="DA52" s="45"/>
      <c r="DB52" s="45" t="str">
        <f t="shared" si="2"/>
        <v/>
      </c>
    </row>
    <row r="53" spans="1:106" ht="16.5">
      <c r="A53" s="40"/>
      <c r="B53" s="40"/>
      <c r="C53" s="40"/>
      <c r="D53" s="40"/>
      <c r="E53" s="40"/>
      <c r="F53" s="40"/>
      <c r="G53" s="40"/>
      <c r="H53" s="40"/>
      <c r="I53" s="40"/>
      <c r="J53" s="40"/>
      <c r="K53" s="40"/>
      <c r="L53" s="40"/>
      <c r="M53" s="41"/>
      <c r="N53" s="42"/>
      <c r="O53" s="40"/>
      <c r="P53" s="40"/>
      <c r="Q53" s="42"/>
      <c r="R53" s="42"/>
      <c r="S53" s="42"/>
      <c r="T53" s="40"/>
      <c r="U53" s="42"/>
      <c r="V53" s="40"/>
      <c r="W53" s="40"/>
      <c r="X53" s="42"/>
      <c r="Y53" s="40"/>
      <c r="Z53" s="40"/>
      <c r="AA53" s="42"/>
      <c r="AB53" s="42"/>
      <c r="AC53" s="42"/>
      <c r="AD53" s="40"/>
      <c r="AE53" s="42"/>
      <c r="AF53" s="40"/>
      <c r="AG53" s="40"/>
      <c r="AH53" s="42"/>
      <c r="AI53" s="40"/>
      <c r="AJ53" s="40"/>
      <c r="AK53" s="42"/>
      <c r="AL53" s="42"/>
      <c r="AM53" s="42"/>
      <c r="AN53" s="40"/>
      <c r="AO53" s="42"/>
      <c r="AP53" s="40"/>
      <c r="AQ53" s="40"/>
      <c r="AR53" s="42"/>
      <c r="AS53" s="40"/>
      <c r="AT53" s="40"/>
      <c r="AU53" s="42"/>
      <c r="AV53" s="42"/>
      <c r="AW53" s="42"/>
      <c r="AX53" s="40"/>
      <c r="AY53" s="42"/>
      <c r="AZ53" s="40"/>
      <c r="BA53" s="40"/>
      <c r="BB53" s="42"/>
      <c r="BC53" s="40"/>
      <c r="BD53" s="40"/>
      <c r="BE53" s="42"/>
      <c r="BF53" s="40"/>
      <c r="BG53" s="40"/>
      <c r="BH53" s="40"/>
      <c r="BI53" s="40"/>
      <c r="BJ53" s="43" t="str">
        <f t="shared" si="0"/>
        <v/>
      </c>
      <c r="BK53" s="43"/>
      <c r="BL53" s="40"/>
      <c r="BM53" s="44"/>
      <c r="BN53" s="40"/>
      <c r="BO53" s="40"/>
      <c r="BP53" s="40"/>
      <c r="BQ53" s="40"/>
      <c r="BR53" s="40"/>
      <c r="BS53" s="40"/>
      <c r="BT53" s="40"/>
      <c r="BU53" s="43" t="str">
        <f t="shared" si="1"/>
        <v/>
      </c>
      <c r="BV53" s="43"/>
      <c r="BW53" s="40"/>
      <c r="BX53" s="44"/>
      <c r="BY53" s="40"/>
      <c r="BZ53" s="40"/>
      <c r="CA53" s="40"/>
      <c r="CB53" s="40"/>
      <c r="CC53" s="40"/>
      <c r="CD53" s="40"/>
      <c r="CE53" s="40"/>
      <c r="CF53" s="40"/>
      <c r="CG53" s="44"/>
      <c r="CH53" s="43"/>
      <c r="CI53" s="40"/>
      <c r="CJ53" s="40"/>
      <c r="CK53" s="40"/>
      <c r="CL53" s="44"/>
      <c r="CM53" s="43"/>
      <c r="CN53" s="40"/>
      <c r="CO53" s="40"/>
      <c r="CP53" s="40"/>
      <c r="CQ53" s="44"/>
      <c r="CR53" s="43"/>
      <c r="CS53" s="40"/>
      <c r="CT53" s="40"/>
      <c r="CU53" s="40"/>
      <c r="CV53" s="44"/>
      <c r="CW53" s="43"/>
      <c r="CX53" s="45"/>
      <c r="CY53" s="45"/>
      <c r="CZ53" s="45"/>
      <c r="DA53" s="45"/>
      <c r="DB53" s="45" t="str">
        <f t="shared" si="2"/>
        <v/>
      </c>
    </row>
    <row r="54" spans="1:106" ht="16.5">
      <c r="A54" s="40"/>
      <c r="B54" s="40"/>
      <c r="C54" s="40"/>
      <c r="D54" s="40"/>
      <c r="E54" s="40"/>
      <c r="F54" s="40"/>
      <c r="G54" s="40"/>
      <c r="H54" s="40"/>
      <c r="I54" s="40"/>
      <c r="J54" s="40"/>
      <c r="K54" s="40"/>
      <c r="L54" s="40"/>
      <c r="M54" s="41"/>
      <c r="N54" s="42"/>
      <c r="O54" s="40"/>
      <c r="P54" s="40"/>
      <c r="Q54" s="42"/>
      <c r="R54" s="42"/>
      <c r="S54" s="42"/>
      <c r="T54" s="40"/>
      <c r="U54" s="42"/>
      <c r="V54" s="40"/>
      <c r="W54" s="40"/>
      <c r="X54" s="42"/>
      <c r="Y54" s="40"/>
      <c r="Z54" s="40"/>
      <c r="AA54" s="42"/>
      <c r="AB54" s="42"/>
      <c r="AC54" s="42"/>
      <c r="AD54" s="40"/>
      <c r="AE54" s="42"/>
      <c r="AF54" s="40"/>
      <c r="AG54" s="40"/>
      <c r="AH54" s="42"/>
      <c r="AI54" s="40"/>
      <c r="AJ54" s="40"/>
      <c r="AK54" s="42"/>
      <c r="AL54" s="42"/>
      <c r="AM54" s="42"/>
      <c r="AN54" s="40"/>
      <c r="AO54" s="42"/>
      <c r="AP54" s="40"/>
      <c r="AQ54" s="40"/>
      <c r="AR54" s="42"/>
      <c r="AS54" s="40"/>
      <c r="AT54" s="40"/>
      <c r="AU54" s="42"/>
      <c r="AV54" s="42"/>
      <c r="AW54" s="42"/>
      <c r="AX54" s="40"/>
      <c r="AY54" s="42"/>
      <c r="AZ54" s="40"/>
      <c r="BA54" s="40"/>
      <c r="BB54" s="42"/>
      <c r="BC54" s="40"/>
      <c r="BD54" s="40"/>
      <c r="BE54" s="42"/>
      <c r="BF54" s="40"/>
      <c r="BG54" s="40"/>
      <c r="BH54" s="40"/>
      <c r="BI54" s="40"/>
      <c r="BJ54" s="43" t="str">
        <f t="shared" si="0"/>
        <v/>
      </c>
      <c r="BK54" s="43"/>
      <c r="BL54" s="40"/>
      <c r="BM54" s="44"/>
      <c r="BN54" s="40"/>
      <c r="BO54" s="40"/>
      <c r="BP54" s="40"/>
      <c r="BQ54" s="40"/>
      <c r="BR54" s="40"/>
      <c r="BS54" s="40"/>
      <c r="BT54" s="40"/>
      <c r="BU54" s="43" t="str">
        <f t="shared" si="1"/>
        <v/>
      </c>
      <c r="BV54" s="43"/>
      <c r="BW54" s="40"/>
      <c r="BX54" s="44"/>
      <c r="BY54" s="40"/>
      <c r="BZ54" s="40"/>
      <c r="CA54" s="40"/>
      <c r="CB54" s="40"/>
      <c r="CC54" s="40"/>
      <c r="CD54" s="40"/>
      <c r="CE54" s="40"/>
      <c r="CF54" s="40"/>
      <c r="CG54" s="44"/>
      <c r="CH54" s="43"/>
      <c r="CI54" s="40"/>
      <c r="CJ54" s="40"/>
      <c r="CK54" s="40"/>
      <c r="CL54" s="44"/>
      <c r="CM54" s="43"/>
      <c r="CN54" s="40"/>
      <c r="CO54" s="40"/>
      <c r="CP54" s="40"/>
      <c r="CQ54" s="44"/>
      <c r="CR54" s="43"/>
      <c r="CS54" s="40"/>
      <c r="CT54" s="40"/>
      <c r="CU54" s="40"/>
      <c r="CV54" s="44"/>
      <c r="CW54" s="43"/>
      <c r="CX54" s="45"/>
      <c r="CY54" s="45"/>
      <c r="CZ54" s="45"/>
      <c r="DA54" s="45"/>
      <c r="DB54" s="45" t="str">
        <f t="shared" si="2"/>
        <v/>
      </c>
    </row>
    <row r="55" spans="1:106" ht="16.5">
      <c r="A55" s="40"/>
      <c r="B55" s="40"/>
      <c r="C55" s="40"/>
      <c r="D55" s="40"/>
      <c r="E55" s="40"/>
      <c r="F55" s="40"/>
      <c r="G55" s="40"/>
      <c r="H55" s="40"/>
      <c r="I55" s="40"/>
      <c r="J55" s="40"/>
      <c r="K55" s="40"/>
      <c r="L55" s="40"/>
      <c r="M55" s="41"/>
      <c r="N55" s="42"/>
      <c r="O55" s="40"/>
      <c r="P55" s="40"/>
      <c r="Q55" s="42"/>
      <c r="R55" s="42"/>
      <c r="S55" s="42"/>
      <c r="T55" s="40"/>
      <c r="U55" s="42"/>
      <c r="V55" s="40"/>
      <c r="W55" s="40"/>
      <c r="X55" s="42"/>
      <c r="Y55" s="40"/>
      <c r="Z55" s="40"/>
      <c r="AA55" s="42"/>
      <c r="AB55" s="42"/>
      <c r="AC55" s="42"/>
      <c r="AD55" s="40"/>
      <c r="AE55" s="42"/>
      <c r="AF55" s="40"/>
      <c r="AG55" s="40"/>
      <c r="AH55" s="42"/>
      <c r="AI55" s="40"/>
      <c r="AJ55" s="40"/>
      <c r="AK55" s="42"/>
      <c r="AL55" s="42"/>
      <c r="AM55" s="42"/>
      <c r="AN55" s="40"/>
      <c r="AO55" s="42"/>
      <c r="AP55" s="40"/>
      <c r="AQ55" s="40"/>
      <c r="AR55" s="42"/>
      <c r="AS55" s="40"/>
      <c r="AT55" s="40"/>
      <c r="AU55" s="42"/>
      <c r="AV55" s="42"/>
      <c r="AW55" s="42"/>
      <c r="AX55" s="40"/>
      <c r="AY55" s="42"/>
      <c r="AZ55" s="40"/>
      <c r="BA55" s="40"/>
      <c r="BB55" s="42"/>
      <c r="BC55" s="40"/>
      <c r="BD55" s="40"/>
      <c r="BE55" s="42"/>
      <c r="BF55" s="40"/>
      <c r="BG55" s="40"/>
      <c r="BH55" s="40"/>
      <c r="BI55" s="40"/>
      <c r="BJ55" s="43" t="str">
        <f t="shared" si="0"/>
        <v/>
      </c>
      <c r="BK55" s="43"/>
      <c r="BL55" s="40"/>
      <c r="BM55" s="44"/>
      <c r="BN55" s="40"/>
      <c r="BO55" s="40"/>
      <c r="BP55" s="40"/>
      <c r="BQ55" s="40"/>
      <c r="BR55" s="40"/>
      <c r="BS55" s="40"/>
      <c r="BT55" s="40"/>
      <c r="BU55" s="43" t="str">
        <f t="shared" si="1"/>
        <v/>
      </c>
      <c r="BV55" s="43"/>
      <c r="BW55" s="40"/>
      <c r="BX55" s="44"/>
      <c r="BY55" s="40"/>
      <c r="BZ55" s="40"/>
      <c r="CA55" s="40"/>
      <c r="CB55" s="40"/>
      <c r="CC55" s="40"/>
      <c r="CD55" s="40"/>
      <c r="CE55" s="40"/>
      <c r="CF55" s="40"/>
      <c r="CG55" s="44"/>
      <c r="CH55" s="43"/>
      <c r="CI55" s="40"/>
      <c r="CJ55" s="40"/>
      <c r="CK55" s="40"/>
      <c r="CL55" s="44"/>
      <c r="CM55" s="43"/>
      <c r="CN55" s="40"/>
      <c r="CO55" s="40"/>
      <c r="CP55" s="40"/>
      <c r="CQ55" s="44"/>
      <c r="CR55" s="43"/>
      <c r="CS55" s="40"/>
      <c r="CT55" s="40"/>
      <c r="CU55" s="40"/>
      <c r="CV55" s="44"/>
      <c r="CW55" s="43"/>
      <c r="CX55" s="45"/>
      <c r="CY55" s="45"/>
      <c r="CZ55" s="45"/>
      <c r="DA55" s="45"/>
      <c r="DB55" s="45" t="str">
        <f t="shared" si="2"/>
        <v/>
      </c>
    </row>
    <row r="56" spans="1:106" ht="16.5">
      <c r="A56" s="40"/>
      <c r="B56" s="40"/>
      <c r="C56" s="40"/>
      <c r="D56" s="40"/>
      <c r="E56" s="40"/>
      <c r="F56" s="40"/>
      <c r="G56" s="40"/>
      <c r="H56" s="40"/>
      <c r="I56" s="40"/>
      <c r="J56" s="40"/>
      <c r="K56" s="40"/>
      <c r="L56" s="40"/>
      <c r="M56" s="41"/>
      <c r="N56" s="42"/>
      <c r="O56" s="40"/>
      <c r="P56" s="40"/>
      <c r="Q56" s="42"/>
      <c r="R56" s="42"/>
      <c r="S56" s="42"/>
      <c r="T56" s="40"/>
      <c r="U56" s="42"/>
      <c r="V56" s="40"/>
      <c r="W56" s="40"/>
      <c r="X56" s="42"/>
      <c r="Y56" s="40"/>
      <c r="Z56" s="40"/>
      <c r="AA56" s="42"/>
      <c r="AB56" s="42"/>
      <c r="AC56" s="42"/>
      <c r="AD56" s="40"/>
      <c r="AE56" s="42"/>
      <c r="AF56" s="40"/>
      <c r="AG56" s="40"/>
      <c r="AH56" s="42"/>
      <c r="AI56" s="40"/>
      <c r="AJ56" s="40"/>
      <c r="AK56" s="42"/>
      <c r="AL56" s="42"/>
      <c r="AM56" s="42"/>
      <c r="AN56" s="40"/>
      <c r="AO56" s="42"/>
      <c r="AP56" s="40"/>
      <c r="AQ56" s="40"/>
      <c r="AR56" s="42"/>
      <c r="AS56" s="40"/>
      <c r="AT56" s="40"/>
      <c r="AU56" s="42"/>
      <c r="AV56" s="42"/>
      <c r="AW56" s="42"/>
      <c r="AX56" s="40"/>
      <c r="AY56" s="42"/>
      <c r="AZ56" s="40"/>
      <c r="BA56" s="40"/>
      <c r="BB56" s="42"/>
      <c r="BC56" s="40"/>
      <c r="BD56" s="40"/>
      <c r="BE56" s="42"/>
      <c r="BF56" s="40"/>
      <c r="BG56" s="40"/>
      <c r="BH56" s="40"/>
      <c r="BI56" s="40"/>
      <c r="BJ56" s="43" t="str">
        <f t="shared" si="0"/>
        <v/>
      </c>
      <c r="BK56" s="43"/>
      <c r="BL56" s="40"/>
      <c r="BM56" s="44"/>
      <c r="BN56" s="40"/>
      <c r="BO56" s="40"/>
      <c r="BP56" s="40"/>
      <c r="BQ56" s="40"/>
      <c r="BR56" s="40"/>
      <c r="BS56" s="40"/>
      <c r="BT56" s="40"/>
      <c r="BU56" s="43" t="str">
        <f t="shared" si="1"/>
        <v/>
      </c>
      <c r="BV56" s="43"/>
      <c r="BW56" s="40"/>
      <c r="BX56" s="44"/>
      <c r="BY56" s="40"/>
      <c r="BZ56" s="40"/>
      <c r="CA56" s="40"/>
      <c r="CB56" s="40"/>
      <c r="CC56" s="40"/>
      <c r="CD56" s="40"/>
      <c r="CE56" s="40"/>
      <c r="CF56" s="40"/>
      <c r="CG56" s="44"/>
      <c r="CH56" s="43"/>
      <c r="CI56" s="40"/>
      <c r="CJ56" s="40"/>
      <c r="CK56" s="40"/>
      <c r="CL56" s="44"/>
      <c r="CM56" s="43"/>
      <c r="CN56" s="40"/>
      <c r="CO56" s="40"/>
      <c r="CP56" s="40"/>
      <c r="CQ56" s="44"/>
      <c r="CR56" s="43"/>
      <c r="CS56" s="40"/>
      <c r="CT56" s="40"/>
      <c r="CU56" s="40"/>
      <c r="CV56" s="44"/>
      <c r="CW56" s="43"/>
      <c r="CX56" s="45"/>
      <c r="CY56" s="45"/>
      <c r="CZ56" s="45"/>
      <c r="DA56" s="45"/>
      <c r="DB56" s="45" t="str">
        <f t="shared" si="2"/>
        <v/>
      </c>
    </row>
    <row r="57" spans="1:106" ht="16.5">
      <c r="A57" s="40"/>
      <c r="B57" s="40"/>
      <c r="C57" s="40"/>
      <c r="D57" s="40"/>
      <c r="E57" s="40"/>
      <c r="F57" s="40"/>
      <c r="G57" s="40"/>
      <c r="H57" s="40"/>
      <c r="I57" s="40"/>
      <c r="J57" s="40"/>
      <c r="K57" s="40"/>
      <c r="L57" s="40"/>
      <c r="M57" s="41"/>
      <c r="N57" s="42"/>
      <c r="O57" s="40"/>
      <c r="P57" s="40"/>
      <c r="Q57" s="42"/>
      <c r="R57" s="42"/>
      <c r="S57" s="42"/>
      <c r="T57" s="40"/>
      <c r="U57" s="42"/>
      <c r="V57" s="40"/>
      <c r="W57" s="40"/>
      <c r="X57" s="42"/>
      <c r="Y57" s="40"/>
      <c r="Z57" s="40"/>
      <c r="AA57" s="42"/>
      <c r="AB57" s="42"/>
      <c r="AC57" s="42"/>
      <c r="AD57" s="40"/>
      <c r="AE57" s="42"/>
      <c r="AF57" s="40"/>
      <c r="AG57" s="40"/>
      <c r="AH57" s="42"/>
      <c r="AI57" s="40"/>
      <c r="AJ57" s="40"/>
      <c r="AK57" s="42"/>
      <c r="AL57" s="42"/>
      <c r="AM57" s="42"/>
      <c r="AN57" s="40"/>
      <c r="AO57" s="42"/>
      <c r="AP57" s="40"/>
      <c r="AQ57" s="40"/>
      <c r="AR57" s="42"/>
      <c r="AS57" s="40"/>
      <c r="AT57" s="40"/>
      <c r="AU57" s="42"/>
      <c r="AV57" s="42"/>
      <c r="AW57" s="42"/>
      <c r="AX57" s="40"/>
      <c r="AY57" s="42"/>
      <c r="AZ57" s="40"/>
      <c r="BA57" s="40"/>
      <c r="BB57" s="42"/>
      <c r="BC57" s="40"/>
      <c r="BD57" s="40"/>
      <c r="BE57" s="42"/>
      <c r="BF57" s="40"/>
      <c r="BG57" s="40"/>
      <c r="BH57" s="40"/>
      <c r="BI57" s="40"/>
      <c r="BJ57" s="43" t="str">
        <f t="shared" si="0"/>
        <v/>
      </c>
      <c r="BK57" s="43"/>
      <c r="BL57" s="40"/>
      <c r="BM57" s="44"/>
      <c r="BN57" s="40"/>
      <c r="BO57" s="40"/>
      <c r="BP57" s="40"/>
      <c r="BQ57" s="40"/>
      <c r="BR57" s="40"/>
      <c r="BS57" s="40"/>
      <c r="BT57" s="40"/>
      <c r="BU57" s="43" t="str">
        <f t="shared" si="1"/>
        <v/>
      </c>
      <c r="BV57" s="43"/>
      <c r="BW57" s="40"/>
      <c r="BX57" s="44"/>
      <c r="BY57" s="40"/>
      <c r="BZ57" s="40"/>
      <c r="CA57" s="40"/>
      <c r="CB57" s="40"/>
      <c r="CC57" s="40"/>
      <c r="CD57" s="40"/>
      <c r="CE57" s="40"/>
      <c r="CF57" s="40"/>
      <c r="CG57" s="44"/>
      <c r="CH57" s="43"/>
      <c r="CI57" s="40"/>
      <c r="CJ57" s="40"/>
      <c r="CK57" s="40"/>
      <c r="CL57" s="44"/>
      <c r="CM57" s="43"/>
      <c r="CN57" s="40"/>
      <c r="CO57" s="40"/>
      <c r="CP57" s="40"/>
      <c r="CQ57" s="44"/>
      <c r="CR57" s="43"/>
      <c r="CS57" s="40"/>
      <c r="CT57" s="40"/>
      <c r="CU57" s="40"/>
      <c r="CV57" s="44"/>
      <c r="CW57" s="43"/>
      <c r="CX57" s="45"/>
      <c r="CY57" s="45"/>
      <c r="CZ57" s="45"/>
      <c r="DA57" s="45"/>
      <c r="DB57" s="45" t="str">
        <f t="shared" si="2"/>
        <v/>
      </c>
    </row>
    <row r="58" spans="1:106" ht="16.5">
      <c r="A58" s="40"/>
      <c r="B58" s="40"/>
      <c r="C58" s="40"/>
      <c r="D58" s="40"/>
      <c r="E58" s="40"/>
      <c r="F58" s="40"/>
      <c r="G58" s="40"/>
      <c r="H58" s="40"/>
      <c r="I58" s="40"/>
      <c r="J58" s="40"/>
      <c r="K58" s="40"/>
      <c r="L58" s="40"/>
      <c r="M58" s="41"/>
      <c r="N58" s="42"/>
      <c r="O58" s="40"/>
      <c r="P58" s="40"/>
      <c r="Q58" s="42"/>
      <c r="R58" s="42"/>
      <c r="S58" s="42"/>
      <c r="T58" s="40"/>
      <c r="U58" s="42"/>
      <c r="V58" s="40"/>
      <c r="W58" s="40"/>
      <c r="X58" s="42"/>
      <c r="Y58" s="40"/>
      <c r="Z58" s="40"/>
      <c r="AA58" s="42"/>
      <c r="AB58" s="42"/>
      <c r="AC58" s="42"/>
      <c r="AD58" s="40"/>
      <c r="AE58" s="42"/>
      <c r="AF58" s="40"/>
      <c r="AG58" s="40"/>
      <c r="AH58" s="42"/>
      <c r="AI58" s="40"/>
      <c r="AJ58" s="40"/>
      <c r="AK58" s="42"/>
      <c r="AL58" s="42"/>
      <c r="AM58" s="42"/>
      <c r="AN58" s="40"/>
      <c r="AO58" s="42"/>
      <c r="AP58" s="40"/>
      <c r="AQ58" s="40"/>
      <c r="AR58" s="42"/>
      <c r="AS58" s="40"/>
      <c r="AT58" s="40"/>
      <c r="AU58" s="42"/>
      <c r="AV58" s="42"/>
      <c r="AW58" s="42"/>
      <c r="AX58" s="40"/>
      <c r="AY58" s="42"/>
      <c r="AZ58" s="40"/>
      <c r="BA58" s="40"/>
      <c r="BB58" s="42"/>
      <c r="BC58" s="40"/>
      <c r="BD58" s="40"/>
      <c r="BE58" s="42"/>
      <c r="BF58" s="40"/>
      <c r="BG58" s="40"/>
      <c r="BH58" s="40"/>
      <c r="BI58" s="40"/>
      <c r="BJ58" s="43" t="str">
        <f t="shared" si="0"/>
        <v/>
      </c>
      <c r="BK58" s="43"/>
      <c r="BL58" s="40"/>
      <c r="BM58" s="44"/>
      <c r="BN58" s="40"/>
      <c r="BO58" s="40"/>
      <c r="BP58" s="40"/>
      <c r="BQ58" s="40"/>
      <c r="BR58" s="40"/>
      <c r="BS58" s="40"/>
      <c r="BT58" s="40"/>
      <c r="BU58" s="43" t="str">
        <f t="shared" si="1"/>
        <v/>
      </c>
      <c r="BV58" s="43"/>
      <c r="BW58" s="40"/>
      <c r="BX58" s="44"/>
      <c r="BY58" s="40"/>
      <c r="BZ58" s="40"/>
      <c r="CA58" s="40"/>
      <c r="CB58" s="40"/>
      <c r="CC58" s="40"/>
      <c r="CD58" s="40"/>
      <c r="CE58" s="40"/>
      <c r="CF58" s="40"/>
      <c r="CG58" s="44"/>
      <c r="CH58" s="43"/>
      <c r="CI58" s="40"/>
      <c r="CJ58" s="40"/>
      <c r="CK58" s="40"/>
      <c r="CL58" s="44"/>
      <c r="CM58" s="43"/>
      <c r="CN58" s="40"/>
      <c r="CO58" s="40"/>
      <c r="CP58" s="40"/>
      <c r="CQ58" s="44"/>
      <c r="CR58" s="43"/>
      <c r="CS58" s="40"/>
      <c r="CT58" s="40"/>
      <c r="CU58" s="40"/>
      <c r="CV58" s="44"/>
      <c r="CW58" s="43"/>
      <c r="CX58" s="45"/>
      <c r="CY58" s="45"/>
      <c r="CZ58" s="45"/>
      <c r="DA58" s="45"/>
      <c r="DB58" s="45" t="str">
        <f t="shared" si="2"/>
        <v/>
      </c>
    </row>
    <row r="59" spans="1:106" ht="16.5">
      <c r="A59" s="40"/>
      <c r="B59" s="40"/>
      <c r="C59" s="40"/>
      <c r="D59" s="40"/>
      <c r="E59" s="40"/>
      <c r="F59" s="40"/>
      <c r="G59" s="40"/>
      <c r="H59" s="40"/>
      <c r="I59" s="40"/>
      <c r="J59" s="40"/>
      <c r="K59" s="40"/>
      <c r="L59" s="40"/>
      <c r="M59" s="41"/>
      <c r="N59" s="42"/>
      <c r="O59" s="40"/>
      <c r="P59" s="40"/>
      <c r="Q59" s="42"/>
      <c r="R59" s="42"/>
      <c r="S59" s="42"/>
      <c r="T59" s="40"/>
      <c r="U59" s="42"/>
      <c r="V59" s="40"/>
      <c r="W59" s="40"/>
      <c r="X59" s="42"/>
      <c r="Y59" s="40"/>
      <c r="Z59" s="40"/>
      <c r="AA59" s="42"/>
      <c r="AB59" s="42"/>
      <c r="AC59" s="42"/>
      <c r="AD59" s="40"/>
      <c r="AE59" s="42"/>
      <c r="AF59" s="40"/>
      <c r="AG59" s="40"/>
      <c r="AH59" s="42"/>
      <c r="AI59" s="40"/>
      <c r="AJ59" s="40"/>
      <c r="AK59" s="42"/>
      <c r="AL59" s="42"/>
      <c r="AM59" s="42"/>
      <c r="AN59" s="40"/>
      <c r="AO59" s="42"/>
      <c r="AP59" s="40"/>
      <c r="AQ59" s="40"/>
      <c r="AR59" s="42"/>
      <c r="AS59" s="40"/>
      <c r="AT59" s="40"/>
      <c r="AU59" s="42"/>
      <c r="AV59" s="42"/>
      <c r="AW59" s="42"/>
      <c r="AX59" s="40"/>
      <c r="AY59" s="42"/>
      <c r="AZ59" s="40"/>
      <c r="BA59" s="40"/>
      <c r="BB59" s="42"/>
      <c r="BC59" s="40"/>
      <c r="BD59" s="40"/>
      <c r="BE59" s="42"/>
      <c r="BF59" s="40"/>
      <c r="BG59" s="40"/>
      <c r="BH59" s="40"/>
      <c r="BI59" s="40"/>
      <c r="BJ59" s="43" t="str">
        <f t="shared" si="0"/>
        <v/>
      </c>
      <c r="BK59" s="43"/>
      <c r="BL59" s="40"/>
      <c r="BM59" s="44"/>
      <c r="BN59" s="40"/>
      <c r="BO59" s="40"/>
      <c r="BP59" s="40"/>
      <c r="BQ59" s="40"/>
      <c r="BR59" s="40"/>
      <c r="BS59" s="40"/>
      <c r="BT59" s="40"/>
      <c r="BU59" s="43" t="str">
        <f t="shared" si="1"/>
        <v/>
      </c>
      <c r="BV59" s="43"/>
      <c r="BW59" s="40"/>
      <c r="BX59" s="44"/>
      <c r="BY59" s="40"/>
      <c r="BZ59" s="40"/>
      <c r="CA59" s="40"/>
      <c r="CB59" s="40"/>
      <c r="CC59" s="40"/>
      <c r="CD59" s="40"/>
      <c r="CE59" s="40"/>
      <c r="CF59" s="40"/>
      <c r="CG59" s="44"/>
      <c r="CH59" s="43"/>
      <c r="CI59" s="40"/>
      <c r="CJ59" s="40"/>
      <c r="CK59" s="40"/>
      <c r="CL59" s="44"/>
      <c r="CM59" s="43"/>
      <c r="CN59" s="40"/>
      <c r="CO59" s="40"/>
      <c r="CP59" s="40"/>
      <c r="CQ59" s="44"/>
      <c r="CR59" s="43"/>
      <c r="CS59" s="40"/>
      <c r="CT59" s="40"/>
      <c r="CU59" s="40"/>
      <c r="CV59" s="44"/>
      <c r="CW59" s="43"/>
      <c r="CX59" s="45"/>
      <c r="CY59" s="45"/>
      <c r="CZ59" s="45"/>
      <c r="DA59" s="45"/>
      <c r="DB59" s="45" t="str">
        <f t="shared" si="2"/>
        <v/>
      </c>
    </row>
    <row r="60" spans="1:106" ht="16.5">
      <c r="A60" s="40"/>
      <c r="B60" s="40"/>
      <c r="C60" s="40"/>
      <c r="D60" s="40"/>
      <c r="E60" s="40"/>
      <c r="F60" s="40"/>
      <c r="G60" s="40"/>
      <c r="H60" s="40"/>
      <c r="I60" s="40"/>
      <c r="J60" s="40"/>
      <c r="K60" s="40"/>
      <c r="L60" s="40"/>
      <c r="M60" s="41"/>
      <c r="N60" s="42"/>
      <c r="O60" s="40"/>
      <c r="P60" s="40"/>
      <c r="Q60" s="42"/>
      <c r="R60" s="42"/>
      <c r="S60" s="42"/>
      <c r="T60" s="40"/>
      <c r="U60" s="42"/>
      <c r="V60" s="40"/>
      <c r="W60" s="40"/>
      <c r="X60" s="42"/>
      <c r="Y60" s="40"/>
      <c r="Z60" s="40"/>
      <c r="AA60" s="42"/>
      <c r="AB60" s="42"/>
      <c r="AC60" s="42"/>
      <c r="AD60" s="40"/>
      <c r="AE60" s="42"/>
      <c r="AF60" s="40"/>
      <c r="AG60" s="40"/>
      <c r="AH60" s="42"/>
      <c r="AI60" s="40"/>
      <c r="AJ60" s="40"/>
      <c r="AK60" s="42"/>
      <c r="AL60" s="42"/>
      <c r="AM60" s="42"/>
      <c r="AN60" s="40"/>
      <c r="AO60" s="42"/>
      <c r="AP60" s="40"/>
      <c r="AQ60" s="40"/>
      <c r="AR60" s="42"/>
      <c r="AS60" s="40"/>
      <c r="AT60" s="40"/>
      <c r="AU60" s="42"/>
      <c r="AV60" s="42"/>
      <c r="AW60" s="42"/>
      <c r="AX60" s="40"/>
      <c r="AY60" s="42"/>
      <c r="AZ60" s="40"/>
      <c r="BA60" s="40"/>
      <c r="BB60" s="42"/>
      <c r="BC60" s="40"/>
      <c r="BD60" s="40"/>
      <c r="BE60" s="42"/>
      <c r="BF60" s="40"/>
      <c r="BG60" s="40"/>
      <c r="BH60" s="40"/>
      <c r="BI60" s="40"/>
      <c r="BJ60" s="43" t="str">
        <f t="shared" si="0"/>
        <v/>
      </c>
      <c r="BK60" s="43"/>
      <c r="BL60" s="40"/>
      <c r="BM60" s="44"/>
      <c r="BN60" s="40"/>
      <c r="BO60" s="40"/>
      <c r="BP60" s="40"/>
      <c r="BQ60" s="40"/>
      <c r="BR60" s="40"/>
      <c r="BS60" s="40"/>
      <c r="BT60" s="40"/>
      <c r="BU60" s="43" t="str">
        <f t="shared" si="1"/>
        <v/>
      </c>
      <c r="BV60" s="43"/>
      <c r="BW60" s="40"/>
      <c r="BX60" s="44"/>
      <c r="BY60" s="40"/>
      <c r="BZ60" s="40"/>
      <c r="CA60" s="40"/>
      <c r="CB60" s="40"/>
      <c r="CC60" s="40"/>
      <c r="CD60" s="40"/>
      <c r="CE60" s="40"/>
      <c r="CF60" s="40"/>
      <c r="CG60" s="44"/>
      <c r="CH60" s="43"/>
      <c r="CI60" s="40"/>
      <c r="CJ60" s="40"/>
      <c r="CK60" s="40"/>
      <c r="CL60" s="44"/>
      <c r="CM60" s="43"/>
      <c r="CN60" s="40"/>
      <c r="CO60" s="40"/>
      <c r="CP60" s="40"/>
      <c r="CQ60" s="44"/>
      <c r="CR60" s="43"/>
      <c r="CS60" s="40"/>
      <c r="CT60" s="40"/>
      <c r="CU60" s="40"/>
      <c r="CV60" s="44"/>
      <c r="CW60" s="43"/>
      <c r="CX60" s="45"/>
      <c r="CY60" s="45"/>
      <c r="CZ60" s="45"/>
      <c r="DA60" s="45"/>
      <c r="DB60" s="45" t="str">
        <f t="shared" si="2"/>
        <v/>
      </c>
    </row>
    <row r="61" spans="1:106" ht="16.5">
      <c r="A61" s="40"/>
      <c r="B61" s="40"/>
      <c r="C61" s="40"/>
      <c r="D61" s="40"/>
      <c r="E61" s="40"/>
      <c r="F61" s="40"/>
      <c r="G61" s="40"/>
      <c r="H61" s="40"/>
      <c r="I61" s="40"/>
      <c r="J61" s="40"/>
      <c r="K61" s="40"/>
      <c r="L61" s="40"/>
      <c r="M61" s="41"/>
      <c r="N61" s="42"/>
      <c r="O61" s="40"/>
      <c r="P61" s="40"/>
      <c r="Q61" s="42"/>
      <c r="R61" s="42"/>
      <c r="S61" s="42"/>
      <c r="T61" s="40"/>
      <c r="U61" s="42"/>
      <c r="V61" s="40"/>
      <c r="W61" s="40"/>
      <c r="X61" s="42"/>
      <c r="Y61" s="40"/>
      <c r="Z61" s="40"/>
      <c r="AA61" s="42"/>
      <c r="AB61" s="42"/>
      <c r="AC61" s="42"/>
      <c r="AD61" s="40"/>
      <c r="AE61" s="42"/>
      <c r="AF61" s="40"/>
      <c r="AG61" s="40"/>
      <c r="AH61" s="42"/>
      <c r="AI61" s="40"/>
      <c r="AJ61" s="40"/>
      <c r="AK61" s="42"/>
      <c r="AL61" s="42"/>
      <c r="AM61" s="42"/>
      <c r="AN61" s="40"/>
      <c r="AO61" s="42"/>
      <c r="AP61" s="40"/>
      <c r="AQ61" s="40"/>
      <c r="AR61" s="42"/>
      <c r="AS61" s="40"/>
      <c r="AT61" s="40"/>
      <c r="AU61" s="42"/>
      <c r="AV61" s="42"/>
      <c r="AW61" s="42"/>
      <c r="AX61" s="40"/>
      <c r="AY61" s="42"/>
      <c r="AZ61" s="40"/>
      <c r="BA61" s="40"/>
      <c r="BB61" s="42"/>
      <c r="BC61" s="40"/>
      <c r="BD61" s="40"/>
      <c r="BE61" s="42"/>
      <c r="BF61" s="40"/>
      <c r="BG61" s="40"/>
      <c r="BH61" s="40"/>
      <c r="BI61" s="40"/>
      <c r="BJ61" s="43" t="str">
        <f t="shared" si="0"/>
        <v/>
      </c>
      <c r="BK61" s="43"/>
      <c r="BL61" s="40"/>
      <c r="BM61" s="44"/>
      <c r="BN61" s="40"/>
      <c r="BO61" s="40"/>
      <c r="BP61" s="40"/>
      <c r="BQ61" s="40"/>
      <c r="BR61" s="40"/>
      <c r="BS61" s="40"/>
      <c r="BT61" s="40"/>
      <c r="BU61" s="43" t="str">
        <f t="shared" si="1"/>
        <v/>
      </c>
      <c r="BV61" s="43"/>
      <c r="BW61" s="40"/>
      <c r="BX61" s="44"/>
      <c r="BY61" s="40"/>
      <c r="BZ61" s="40"/>
      <c r="CA61" s="40"/>
      <c r="CB61" s="40"/>
      <c r="CC61" s="40"/>
      <c r="CD61" s="40"/>
      <c r="CE61" s="40"/>
      <c r="CF61" s="40"/>
      <c r="CG61" s="44"/>
      <c r="CH61" s="43"/>
      <c r="CI61" s="40"/>
      <c r="CJ61" s="40"/>
      <c r="CK61" s="40"/>
      <c r="CL61" s="44"/>
      <c r="CM61" s="43"/>
      <c r="CN61" s="40"/>
      <c r="CO61" s="40"/>
      <c r="CP61" s="40"/>
      <c r="CQ61" s="44"/>
      <c r="CR61" s="43"/>
      <c r="CS61" s="40"/>
      <c r="CT61" s="40"/>
      <c r="CU61" s="40"/>
      <c r="CV61" s="44"/>
      <c r="CW61" s="43"/>
      <c r="CX61" s="45"/>
      <c r="CY61" s="45"/>
      <c r="CZ61" s="45"/>
      <c r="DA61" s="45"/>
      <c r="DB61" s="45" t="str">
        <f t="shared" si="2"/>
        <v/>
      </c>
    </row>
    <row r="62" spans="1:106" ht="16.5">
      <c r="A62" s="40"/>
      <c r="B62" s="40"/>
      <c r="C62" s="40"/>
      <c r="D62" s="40"/>
      <c r="E62" s="40"/>
      <c r="F62" s="40"/>
      <c r="G62" s="40"/>
      <c r="H62" s="40"/>
      <c r="I62" s="40"/>
      <c r="J62" s="40"/>
      <c r="K62" s="40"/>
      <c r="L62" s="40"/>
      <c r="M62" s="41"/>
      <c r="N62" s="42"/>
      <c r="O62" s="40"/>
      <c r="P62" s="40"/>
      <c r="Q62" s="42"/>
      <c r="R62" s="42"/>
      <c r="S62" s="42"/>
      <c r="T62" s="40"/>
      <c r="U62" s="42"/>
      <c r="V62" s="40"/>
      <c r="W62" s="40"/>
      <c r="X62" s="42"/>
      <c r="Y62" s="40"/>
      <c r="Z62" s="40"/>
      <c r="AA62" s="42"/>
      <c r="AB62" s="42"/>
      <c r="AC62" s="42"/>
      <c r="AD62" s="40"/>
      <c r="AE62" s="42"/>
      <c r="AF62" s="40"/>
      <c r="AG62" s="40"/>
      <c r="AH62" s="42"/>
      <c r="AI62" s="40"/>
      <c r="AJ62" s="40"/>
      <c r="AK62" s="42"/>
      <c r="AL62" s="42"/>
      <c r="AM62" s="42"/>
      <c r="AN62" s="40"/>
      <c r="AO62" s="42"/>
      <c r="AP62" s="40"/>
      <c r="AQ62" s="40"/>
      <c r="AR62" s="42"/>
      <c r="AS62" s="40"/>
      <c r="AT62" s="40"/>
      <c r="AU62" s="42"/>
      <c r="AV62" s="42"/>
      <c r="AW62" s="42"/>
      <c r="AX62" s="40"/>
      <c r="AY62" s="42"/>
      <c r="AZ62" s="40"/>
      <c r="BA62" s="40"/>
      <c r="BB62" s="42"/>
      <c r="BC62" s="40"/>
      <c r="BD62" s="40"/>
      <c r="BE62" s="42"/>
      <c r="BF62" s="40"/>
      <c r="BG62" s="40"/>
      <c r="BH62" s="40"/>
      <c r="BI62" s="40"/>
      <c r="BJ62" s="43" t="str">
        <f t="shared" si="0"/>
        <v/>
      </c>
      <c r="BK62" s="43"/>
      <c r="BL62" s="40"/>
      <c r="BM62" s="44"/>
      <c r="BN62" s="40"/>
      <c r="BO62" s="40"/>
      <c r="BP62" s="40"/>
      <c r="BQ62" s="40"/>
      <c r="BR62" s="40"/>
      <c r="BS62" s="40"/>
      <c r="BT62" s="40"/>
      <c r="BU62" s="43" t="str">
        <f t="shared" si="1"/>
        <v/>
      </c>
      <c r="BV62" s="43"/>
      <c r="BW62" s="40"/>
      <c r="BX62" s="44"/>
      <c r="BY62" s="40"/>
      <c r="BZ62" s="40"/>
      <c r="CA62" s="40"/>
      <c r="CB62" s="40"/>
      <c r="CC62" s="40"/>
      <c r="CD62" s="40"/>
      <c r="CE62" s="40"/>
      <c r="CF62" s="40"/>
      <c r="CG62" s="44"/>
      <c r="CH62" s="43"/>
      <c r="CI62" s="40"/>
      <c r="CJ62" s="40"/>
      <c r="CK62" s="40"/>
      <c r="CL62" s="44"/>
      <c r="CM62" s="43"/>
      <c r="CN62" s="40"/>
      <c r="CO62" s="40"/>
      <c r="CP62" s="40"/>
      <c r="CQ62" s="44"/>
      <c r="CR62" s="43"/>
      <c r="CS62" s="40"/>
      <c r="CT62" s="40"/>
      <c r="CU62" s="40"/>
      <c r="CV62" s="44"/>
      <c r="CW62" s="43"/>
      <c r="CX62" s="45"/>
      <c r="CY62" s="45"/>
      <c r="CZ62" s="45"/>
      <c r="DA62" s="45"/>
      <c r="DB62" s="45" t="str">
        <f t="shared" si="2"/>
        <v/>
      </c>
    </row>
    <row r="63" spans="1:106" ht="16.5">
      <c r="A63" s="40"/>
      <c r="B63" s="40"/>
      <c r="C63" s="40"/>
      <c r="D63" s="40"/>
      <c r="E63" s="40"/>
      <c r="F63" s="40"/>
      <c r="G63" s="40"/>
      <c r="H63" s="40"/>
      <c r="I63" s="40"/>
      <c r="J63" s="40"/>
      <c r="K63" s="40"/>
      <c r="L63" s="40"/>
      <c r="M63" s="41"/>
      <c r="N63" s="42"/>
      <c r="O63" s="40"/>
      <c r="P63" s="40"/>
      <c r="Q63" s="42"/>
      <c r="R63" s="42"/>
      <c r="S63" s="42"/>
      <c r="T63" s="40"/>
      <c r="U63" s="42"/>
      <c r="V63" s="40"/>
      <c r="W63" s="40"/>
      <c r="X63" s="42"/>
      <c r="Y63" s="40"/>
      <c r="Z63" s="40"/>
      <c r="AA63" s="42"/>
      <c r="AB63" s="42"/>
      <c r="AC63" s="42"/>
      <c r="AD63" s="40"/>
      <c r="AE63" s="42"/>
      <c r="AF63" s="40"/>
      <c r="AG63" s="40"/>
      <c r="AH63" s="42"/>
      <c r="AI63" s="40"/>
      <c r="AJ63" s="40"/>
      <c r="AK63" s="42"/>
      <c r="AL63" s="42"/>
      <c r="AM63" s="42"/>
      <c r="AN63" s="40"/>
      <c r="AO63" s="42"/>
      <c r="AP63" s="40"/>
      <c r="AQ63" s="40"/>
      <c r="AR63" s="42"/>
      <c r="AS63" s="40"/>
      <c r="AT63" s="40"/>
      <c r="AU63" s="42"/>
      <c r="AV63" s="42"/>
      <c r="AW63" s="42"/>
      <c r="AX63" s="40"/>
      <c r="AY63" s="42"/>
      <c r="AZ63" s="40"/>
      <c r="BA63" s="40"/>
      <c r="BB63" s="42"/>
      <c r="BC63" s="40"/>
      <c r="BD63" s="40"/>
      <c r="BE63" s="42"/>
      <c r="BF63" s="40"/>
      <c r="BG63" s="40"/>
      <c r="BH63" s="40"/>
      <c r="BI63" s="40"/>
      <c r="BJ63" s="43" t="str">
        <f t="shared" si="0"/>
        <v/>
      </c>
      <c r="BK63" s="43"/>
      <c r="BL63" s="40"/>
      <c r="BM63" s="44"/>
      <c r="BN63" s="40"/>
      <c r="BO63" s="40"/>
      <c r="BP63" s="40"/>
      <c r="BQ63" s="40"/>
      <c r="BR63" s="40"/>
      <c r="BS63" s="40"/>
      <c r="BT63" s="40"/>
      <c r="BU63" s="43" t="str">
        <f t="shared" si="1"/>
        <v/>
      </c>
      <c r="BV63" s="43"/>
      <c r="BW63" s="40"/>
      <c r="BX63" s="44"/>
      <c r="BY63" s="40"/>
      <c r="BZ63" s="40"/>
      <c r="CA63" s="40"/>
      <c r="CB63" s="40"/>
      <c r="CC63" s="40"/>
      <c r="CD63" s="40"/>
      <c r="CE63" s="40"/>
      <c r="CF63" s="40"/>
      <c r="CG63" s="44"/>
      <c r="CH63" s="43"/>
      <c r="CI63" s="40"/>
      <c r="CJ63" s="40"/>
      <c r="CK63" s="40"/>
      <c r="CL63" s="44"/>
      <c r="CM63" s="43"/>
      <c r="CN63" s="40"/>
      <c r="CO63" s="40"/>
      <c r="CP63" s="40"/>
      <c r="CQ63" s="44"/>
      <c r="CR63" s="43"/>
      <c r="CS63" s="40"/>
      <c r="CT63" s="40"/>
      <c r="CU63" s="40"/>
      <c r="CV63" s="44"/>
      <c r="CW63" s="43"/>
      <c r="CX63" s="45"/>
      <c r="CY63" s="45"/>
      <c r="CZ63" s="45"/>
      <c r="DA63" s="45"/>
      <c r="DB63" s="45" t="str">
        <f t="shared" si="2"/>
        <v/>
      </c>
    </row>
    <row r="64" spans="1:106" ht="16.5">
      <c r="A64" s="40"/>
      <c r="B64" s="40"/>
      <c r="C64" s="40"/>
      <c r="D64" s="40"/>
      <c r="E64" s="40"/>
      <c r="F64" s="40"/>
      <c r="G64" s="40"/>
      <c r="H64" s="40"/>
      <c r="I64" s="40"/>
      <c r="J64" s="40"/>
      <c r="K64" s="40"/>
      <c r="L64" s="40"/>
      <c r="M64" s="41"/>
      <c r="N64" s="42"/>
      <c r="O64" s="40"/>
      <c r="P64" s="40"/>
      <c r="Q64" s="42"/>
      <c r="R64" s="42"/>
      <c r="S64" s="42"/>
      <c r="T64" s="40"/>
      <c r="U64" s="42"/>
      <c r="V64" s="40"/>
      <c r="W64" s="40"/>
      <c r="X64" s="42"/>
      <c r="Y64" s="40"/>
      <c r="Z64" s="40"/>
      <c r="AA64" s="42"/>
      <c r="AB64" s="42"/>
      <c r="AC64" s="42"/>
      <c r="AD64" s="40"/>
      <c r="AE64" s="42"/>
      <c r="AF64" s="40"/>
      <c r="AG64" s="40"/>
      <c r="AH64" s="42"/>
      <c r="AI64" s="40"/>
      <c r="AJ64" s="40"/>
      <c r="AK64" s="42"/>
      <c r="AL64" s="42"/>
      <c r="AM64" s="42"/>
      <c r="AN64" s="40"/>
      <c r="AO64" s="42"/>
      <c r="AP64" s="40"/>
      <c r="AQ64" s="40"/>
      <c r="AR64" s="42"/>
      <c r="AS64" s="40"/>
      <c r="AT64" s="40"/>
      <c r="AU64" s="42"/>
      <c r="AV64" s="42"/>
      <c r="AW64" s="42"/>
      <c r="AX64" s="40"/>
      <c r="AY64" s="42"/>
      <c r="AZ64" s="40"/>
      <c r="BA64" s="40"/>
      <c r="BB64" s="42"/>
      <c r="BC64" s="40"/>
      <c r="BD64" s="40"/>
      <c r="BE64" s="42"/>
      <c r="BF64" s="40"/>
      <c r="BG64" s="40"/>
      <c r="BH64" s="40"/>
      <c r="BI64" s="40"/>
      <c r="BJ64" s="43" t="str">
        <f t="shared" si="0"/>
        <v/>
      </c>
      <c r="BK64" s="43"/>
      <c r="BL64" s="40"/>
      <c r="BM64" s="44"/>
      <c r="BN64" s="40"/>
      <c r="BO64" s="40"/>
      <c r="BP64" s="40"/>
      <c r="BQ64" s="40"/>
      <c r="BR64" s="40"/>
      <c r="BS64" s="40"/>
      <c r="BT64" s="40"/>
      <c r="BU64" s="43" t="str">
        <f t="shared" si="1"/>
        <v/>
      </c>
      <c r="BV64" s="43"/>
      <c r="BW64" s="40"/>
      <c r="BX64" s="44"/>
      <c r="BY64" s="40"/>
      <c r="BZ64" s="40"/>
      <c r="CA64" s="40"/>
      <c r="CB64" s="40"/>
      <c r="CC64" s="40"/>
      <c r="CD64" s="40"/>
      <c r="CE64" s="40"/>
      <c r="CF64" s="40"/>
      <c r="CG64" s="44"/>
      <c r="CH64" s="43"/>
      <c r="CI64" s="40"/>
      <c r="CJ64" s="40"/>
      <c r="CK64" s="40"/>
      <c r="CL64" s="44"/>
      <c r="CM64" s="43"/>
      <c r="CN64" s="40"/>
      <c r="CO64" s="40"/>
      <c r="CP64" s="40"/>
      <c r="CQ64" s="44"/>
      <c r="CR64" s="43"/>
      <c r="CS64" s="40"/>
      <c r="CT64" s="40"/>
      <c r="CU64" s="40"/>
      <c r="CV64" s="44"/>
      <c r="CW64" s="43"/>
      <c r="CX64" s="45"/>
      <c r="CY64" s="45"/>
      <c r="CZ64" s="45"/>
      <c r="DA64" s="45"/>
      <c r="DB64" s="45" t="str">
        <f t="shared" si="2"/>
        <v/>
      </c>
    </row>
    <row r="65" spans="1:106" ht="16.5">
      <c r="A65" s="40"/>
      <c r="B65" s="40"/>
      <c r="C65" s="40"/>
      <c r="D65" s="40"/>
      <c r="E65" s="40"/>
      <c r="F65" s="40"/>
      <c r="G65" s="40"/>
      <c r="H65" s="40"/>
      <c r="I65" s="40"/>
      <c r="J65" s="40"/>
      <c r="K65" s="40"/>
      <c r="L65" s="40"/>
      <c r="M65" s="41"/>
      <c r="N65" s="42"/>
      <c r="O65" s="40"/>
      <c r="P65" s="40"/>
      <c r="Q65" s="42"/>
      <c r="R65" s="42"/>
      <c r="S65" s="42"/>
      <c r="T65" s="40"/>
      <c r="U65" s="42"/>
      <c r="V65" s="40"/>
      <c r="W65" s="40"/>
      <c r="X65" s="42"/>
      <c r="Y65" s="40"/>
      <c r="Z65" s="40"/>
      <c r="AA65" s="42"/>
      <c r="AB65" s="42"/>
      <c r="AC65" s="42"/>
      <c r="AD65" s="40"/>
      <c r="AE65" s="42"/>
      <c r="AF65" s="40"/>
      <c r="AG65" s="40"/>
      <c r="AH65" s="42"/>
      <c r="AI65" s="40"/>
      <c r="AJ65" s="40"/>
      <c r="AK65" s="42"/>
      <c r="AL65" s="42"/>
      <c r="AM65" s="42"/>
      <c r="AN65" s="40"/>
      <c r="AO65" s="42"/>
      <c r="AP65" s="40"/>
      <c r="AQ65" s="40"/>
      <c r="AR65" s="42"/>
      <c r="AS65" s="40"/>
      <c r="AT65" s="40"/>
      <c r="AU65" s="42"/>
      <c r="AV65" s="42"/>
      <c r="AW65" s="42"/>
      <c r="AX65" s="40"/>
      <c r="AY65" s="42"/>
      <c r="AZ65" s="40"/>
      <c r="BA65" s="40"/>
      <c r="BB65" s="42"/>
      <c r="BC65" s="40"/>
      <c r="BD65" s="40"/>
      <c r="BE65" s="42"/>
      <c r="BF65" s="40"/>
      <c r="BG65" s="40"/>
      <c r="BH65" s="40"/>
      <c r="BI65" s="40"/>
      <c r="BJ65" s="43" t="str">
        <f t="shared" si="0"/>
        <v/>
      </c>
      <c r="BK65" s="43"/>
      <c r="BL65" s="40"/>
      <c r="BM65" s="44"/>
      <c r="BN65" s="40"/>
      <c r="BO65" s="40"/>
      <c r="BP65" s="40"/>
      <c r="BQ65" s="40"/>
      <c r="BR65" s="40"/>
      <c r="BS65" s="40"/>
      <c r="BT65" s="40"/>
      <c r="BU65" s="43" t="str">
        <f t="shared" si="1"/>
        <v/>
      </c>
      <c r="BV65" s="43"/>
      <c r="BW65" s="40"/>
      <c r="BX65" s="44"/>
      <c r="BY65" s="40"/>
      <c r="BZ65" s="40"/>
      <c r="CA65" s="40"/>
      <c r="CB65" s="40"/>
      <c r="CC65" s="40"/>
      <c r="CD65" s="40"/>
      <c r="CE65" s="40"/>
      <c r="CF65" s="40"/>
      <c r="CG65" s="44"/>
      <c r="CH65" s="43"/>
      <c r="CI65" s="40"/>
      <c r="CJ65" s="40"/>
      <c r="CK65" s="40"/>
      <c r="CL65" s="44"/>
      <c r="CM65" s="43"/>
      <c r="CN65" s="40"/>
      <c r="CO65" s="40"/>
      <c r="CP65" s="40"/>
      <c r="CQ65" s="44"/>
      <c r="CR65" s="43"/>
      <c r="CS65" s="40"/>
      <c r="CT65" s="40"/>
      <c r="CU65" s="40"/>
      <c r="CV65" s="44"/>
      <c r="CW65" s="43"/>
      <c r="CX65" s="45"/>
      <c r="CY65" s="45"/>
      <c r="CZ65" s="45"/>
      <c r="DA65" s="45"/>
      <c r="DB65" s="45" t="str">
        <f t="shared" si="2"/>
        <v/>
      </c>
    </row>
    <row r="66" spans="1:106" ht="16.5">
      <c r="A66" s="40"/>
      <c r="B66" s="40"/>
      <c r="C66" s="40"/>
      <c r="D66" s="40"/>
      <c r="E66" s="40"/>
      <c r="F66" s="40"/>
      <c r="G66" s="40"/>
      <c r="H66" s="40"/>
      <c r="I66" s="40"/>
      <c r="J66" s="40"/>
      <c r="K66" s="40"/>
      <c r="L66" s="40"/>
      <c r="M66" s="41"/>
      <c r="N66" s="42"/>
      <c r="O66" s="40"/>
      <c r="P66" s="40"/>
      <c r="Q66" s="42"/>
      <c r="R66" s="42"/>
      <c r="S66" s="42"/>
      <c r="T66" s="40"/>
      <c r="U66" s="42"/>
      <c r="V66" s="40"/>
      <c r="W66" s="40"/>
      <c r="X66" s="42"/>
      <c r="Y66" s="40"/>
      <c r="Z66" s="40"/>
      <c r="AA66" s="42"/>
      <c r="AB66" s="42"/>
      <c r="AC66" s="42"/>
      <c r="AD66" s="40"/>
      <c r="AE66" s="42"/>
      <c r="AF66" s="40"/>
      <c r="AG66" s="40"/>
      <c r="AH66" s="42"/>
      <c r="AI66" s="40"/>
      <c r="AJ66" s="40"/>
      <c r="AK66" s="42"/>
      <c r="AL66" s="42"/>
      <c r="AM66" s="42"/>
      <c r="AN66" s="40"/>
      <c r="AO66" s="42"/>
      <c r="AP66" s="40"/>
      <c r="AQ66" s="40"/>
      <c r="AR66" s="42"/>
      <c r="AS66" s="40"/>
      <c r="AT66" s="40"/>
      <c r="AU66" s="42"/>
      <c r="AV66" s="42"/>
      <c r="AW66" s="42"/>
      <c r="AX66" s="40"/>
      <c r="AY66" s="42"/>
      <c r="AZ66" s="40"/>
      <c r="BA66" s="40"/>
      <c r="BB66" s="42"/>
      <c r="BC66" s="40"/>
      <c r="BD66" s="40"/>
      <c r="BE66" s="42"/>
      <c r="BF66" s="40"/>
      <c r="BG66" s="40"/>
      <c r="BH66" s="40"/>
      <c r="BI66" s="40"/>
      <c r="BJ66" s="43" t="str">
        <f t="shared" si="0"/>
        <v/>
      </c>
      <c r="BK66" s="43"/>
      <c r="BL66" s="40"/>
      <c r="BM66" s="44"/>
      <c r="BN66" s="40"/>
      <c r="BO66" s="40"/>
      <c r="BP66" s="40"/>
      <c r="BQ66" s="40"/>
      <c r="BR66" s="40"/>
      <c r="BS66" s="40"/>
      <c r="BT66" s="40"/>
      <c r="BU66" s="43" t="str">
        <f t="shared" si="1"/>
        <v/>
      </c>
      <c r="BV66" s="43"/>
      <c r="BW66" s="40"/>
      <c r="BX66" s="44"/>
      <c r="BY66" s="40"/>
      <c r="BZ66" s="40"/>
      <c r="CA66" s="40"/>
      <c r="CB66" s="40"/>
      <c r="CC66" s="40"/>
      <c r="CD66" s="40"/>
      <c r="CE66" s="40"/>
      <c r="CF66" s="40"/>
      <c r="CG66" s="44"/>
      <c r="CH66" s="43"/>
      <c r="CI66" s="40"/>
      <c r="CJ66" s="40"/>
      <c r="CK66" s="40"/>
      <c r="CL66" s="44"/>
      <c r="CM66" s="43"/>
      <c r="CN66" s="40"/>
      <c r="CO66" s="40"/>
      <c r="CP66" s="40"/>
      <c r="CQ66" s="44"/>
      <c r="CR66" s="43"/>
      <c r="CS66" s="40"/>
      <c r="CT66" s="40"/>
      <c r="CU66" s="40"/>
      <c r="CV66" s="44"/>
      <c r="CW66" s="43"/>
      <c r="CX66" s="45"/>
      <c r="CY66" s="45"/>
      <c r="CZ66" s="45"/>
      <c r="DA66" s="45"/>
      <c r="DB66" s="45" t="str">
        <f t="shared" si="2"/>
        <v/>
      </c>
    </row>
    <row r="67" spans="1:106" ht="16.5">
      <c r="A67" s="40"/>
      <c r="B67" s="40"/>
      <c r="C67" s="40"/>
      <c r="D67" s="40"/>
      <c r="E67" s="40"/>
      <c r="F67" s="40"/>
      <c r="G67" s="40"/>
      <c r="H67" s="40"/>
      <c r="I67" s="40"/>
      <c r="J67" s="40"/>
      <c r="K67" s="40"/>
      <c r="L67" s="40"/>
      <c r="M67" s="41"/>
      <c r="N67" s="42"/>
      <c r="O67" s="40"/>
      <c r="P67" s="40"/>
      <c r="Q67" s="42"/>
      <c r="R67" s="42"/>
      <c r="S67" s="42"/>
      <c r="T67" s="40"/>
      <c r="U67" s="42"/>
      <c r="V67" s="40"/>
      <c r="W67" s="40"/>
      <c r="X67" s="42"/>
      <c r="Y67" s="40"/>
      <c r="Z67" s="40"/>
      <c r="AA67" s="42"/>
      <c r="AB67" s="42"/>
      <c r="AC67" s="42"/>
      <c r="AD67" s="40"/>
      <c r="AE67" s="42"/>
      <c r="AF67" s="40"/>
      <c r="AG67" s="40"/>
      <c r="AH67" s="42"/>
      <c r="AI67" s="40"/>
      <c r="AJ67" s="40"/>
      <c r="AK67" s="42"/>
      <c r="AL67" s="42"/>
      <c r="AM67" s="42"/>
      <c r="AN67" s="40"/>
      <c r="AO67" s="42"/>
      <c r="AP67" s="40"/>
      <c r="AQ67" s="40"/>
      <c r="AR67" s="42"/>
      <c r="AS67" s="40"/>
      <c r="AT67" s="40"/>
      <c r="AU67" s="42"/>
      <c r="AV67" s="42"/>
      <c r="AW67" s="42"/>
      <c r="AX67" s="40"/>
      <c r="AY67" s="42"/>
      <c r="AZ67" s="40"/>
      <c r="BA67" s="40"/>
      <c r="BB67" s="42"/>
      <c r="BC67" s="40"/>
      <c r="BD67" s="40"/>
      <c r="BE67" s="42"/>
      <c r="BF67" s="40"/>
      <c r="BG67" s="40"/>
      <c r="BH67" s="40"/>
      <c r="BI67" s="40"/>
      <c r="BJ67" s="43" t="str">
        <f t="shared" si="0"/>
        <v/>
      </c>
      <c r="BK67" s="43"/>
      <c r="BL67" s="40"/>
      <c r="BM67" s="44"/>
      <c r="BN67" s="40"/>
      <c r="BO67" s="40"/>
      <c r="BP67" s="40"/>
      <c r="BQ67" s="40"/>
      <c r="BR67" s="40"/>
      <c r="BS67" s="40"/>
      <c r="BT67" s="40"/>
      <c r="BU67" s="43" t="str">
        <f t="shared" si="1"/>
        <v/>
      </c>
      <c r="BV67" s="43"/>
      <c r="BW67" s="40"/>
      <c r="BX67" s="44"/>
      <c r="BY67" s="40"/>
      <c r="BZ67" s="40"/>
      <c r="CA67" s="40"/>
      <c r="CB67" s="40"/>
      <c r="CC67" s="40"/>
      <c r="CD67" s="40"/>
      <c r="CE67" s="40"/>
      <c r="CF67" s="40"/>
      <c r="CG67" s="44"/>
      <c r="CH67" s="43"/>
      <c r="CI67" s="40"/>
      <c r="CJ67" s="40"/>
      <c r="CK67" s="40"/>
      <c r="CL67" s="44"/>
      <c r="CM67" s="43"/>
      <c r="CN67" s="40"/>
      <c r="CO67" s="40"/>
      <c r="CP67" s="40"/>
      <c r="CQ67" s="44"/>
      <c r="CR67" s="43"/>
      <c r="CS67" s="40"/>
      <c r="CT67" s="40"/>
      <c r="CU67" s="40"/>
      <c r="CV67" s="44"/>
      <c r="CW67" s="43"/>
      <c r="CX67" s="45"/>
      <c r="CY67" s="45"/>
      <c r="CZ67" s="45"/>
      <c r="DA67" s="45"/>
      <c r="DB67" s="45" t="str">
        <f t="shared" si="2"/>
        <v/>
      </c>
    </row>
    <row r="68" spans="1:106" ht="16.5">
      <c r="A68" s="40"/>
      <c r="B68" s="40"/>
      <c r="C68" s="40"/>
      <c r="D68" s="40"/>
      <c r="E68" s="40"/>
      <c r="F68" s="40"/>
      <c r="G68" s="40"/>
      <c r="H68" s="40"/>
      <c r="I68" s="40"/>
      <c r="J68" s="40"/>
      <c r="K68" s="40"/>
      <c r="L68" s="40"/>
      <c r="M68" s="41"/>
      <c r="N68" s="42"/>
      <c r="O68" s="40"/>
      <c r="P68" s="40"/>
      <c r="Q68" s="42"/>
      <c r="R68" s="42"/>
      <c r="S68" s="42"/>
      <c r="T68" s="40"/>
      <c r="U68" s="42"/>
      <c r="V68" s="40"/>
      <c r="W68" s="40"/>
      <c r="X68" s="42"/>
      <c r="Y68" s="40"/>
      <c r="Z68" s="40"/>
      <c r="AA68" s="42"/>
      <c r="AB68" s="42"/>
      <c r="AC68" s="42"/>
      <c r="AD68" s="40"/>
      <c r="AE68" s="42"/>
      <c r="AF68" s="40"/>
      <c r="AG68" s="40"/>
      <c r="AH68" s="42"/>
      <c r="AI68" s="40"/>
      <c r="AJ68" s="40"/>
      <c r="AK68" s="42"/>
      <c r="AL68" s="42"/>
      <c r="AM68" s="42"/>
      <c r="AN68" s="40"/>
      <c r="AO68" s="42"/>
      <c r="AP68" s="40"/>
      <c r="AQ68" s="40"/>
      <c r="AR68" s="42"/>
      <c r="AS68" s="40"/>
      <c r="AT68" s="40"/>
      <c r="AU68" s="42"/>
      <c r="AV68" s="42"/>
      <c r="AW68" s="42"/>
      <c r="AX68" s="40"/>
      <c r="AY68" s="42"/>
      <c r="AZ68" s="40"/>
      <c r="BA68" s="40"/>
      <c r="BB68" s="42"/>
      <c r="BC68" s="40"/>
      <c r="BD68" s="40"/>
      <c r="BE68" s="42"/>
      <c r="BF68" s="40"/>
      <c r="BG68" s="40"/>
      <c r="BH68" s="40"/>
      <c r="BI68" s="40"/>
      <c r="BJ68" s="43" t="str">
        <f t="shared" si="0"/>
        <v/>
      </c>
      <c r="BK68" s="43"/>
      <c r="BL68" s="40"/>
      <c r="BM68" s="44"/>
      <c r="BN68" s="40"/>
      <c r="BO68" s="40"/>
      <c r="BP68" s="40"/>
      <c r="BQ68" s="40"/>
      <c r="BR68" s="40"/>
      <c r="BS68" s="40"/>
      <c r="BT68" s="40"/>
      <c r="BU68" s="43" t="str">
        <f t="shared" si="1"/>
        <v/>
      </c>
      <c r="BV68" s="43"/>
      <c r="BW68" s="40"/>
      <c r="BX68" s="44"/>
      <c r="BY68" s="40"/>
      <c r="BZ68" s="40"/>
      <c r="CA68" s="40"/>
      <c r="CB68" s="40"/>
      <c r="CC68" s="40"/>
      <c r="CD68" s="40"/>
      <c r="CE68" s="40"/>
      <c r="CF68" s="40"/>
      <c r="CG68" s="44"/>
      <c r="CH68" s="43"/>
      <c r="CI68" s="40"/>
      <c r="CJ68" s="40"/>
      <c r="CK68" s="40"/>
      <c r="CL68" s="44"/>
      <c r="CM68" s="43"/>
      <c r="CN68" s="40"/>
      <c r="CO68" s="40"/>
      <c r="CP68" s="40"/>
      <c r="CQ68" s="44"/>
      <c r="CR68" s="43"/>
      <c r="CS68" s="40"/>
      <c r="CT68" s="40"/>
      <c r="CU68" s="40"/>
      <c r="CV68" s="44"/>
      <c r="CW68" s="43"/>
      <c r="CX68" s="45"/>
      <c r="CY68" s="45"/>
      <c r="CZ68" s="45"/>
      <c r="DA68" s="45"/>
      <c r="DB68" s="45" t="str">
        <f t="shared" si="2"/>
        <v/>
      </c>
    </row>
    <row r="69" spans="1:106" ht="16.5">
      <c r="A69" s="40"/>
      <c r="B69" s="40"/>
      <c r="C69" s="40"/>
      <c r="D69" s="40"/>
      <c r="E69" s="40"/>
      <c r="F69" s="40"/>
      <c r="G69" s="40"/>
      <c r="H69" s="40"/>
      <c r="I69" s="40"/>
      <c r="J69" s="40"/>
      <c r="K69" s="40"/>
      <c r="L69" s="40"/>
      <c r="M69" s="41"/>
      <c r="N69" s="42"/>
      <c r="O69" s="40"/>
      <c r="P69" s="40"/>
      <c r="Q69" s="42"/>
      <c r="R69" s="42"/>
      <c r="S69" s="42"/>
      <c r="T69" s="40"/>
      <c r="U69" s="42"/>
      <c r="V69" s="40"/>
      <c r="W69" s="40"/>
      <c r="X69" s="42"/>
      <c r="Y69" s="40"/>
      <c r="Z69" s="40"/>
      <c r="AA69" s="42"/>
      <c r="AB69" s="42"/>
      <c r="AC69" s="42"/>
      <c r="AD69" s="40"/>
      <c r="AE69" s="42"/>
      <c r="AF69" s="40"/>
      <c r="AG69" s="40"/>
      <c r="AH69" s="42"/>
      <c r="AI69" s="40"/>
      <c r="AJ69" s="40"/>
      <c r="AK69" s="42"/>
      <c r="AL69" s="42"/>
      <c r="AM69" s="42"/>
      <c r="AN69" s="40"/>
      <c r="AO69" s="42"/>
      <c r="AP69" s="40"/>
      <c r="AQ69" s="40"/>
      <c r="AR69" s="42"/>
      <c r="AS69" s="40"/>
      <c r="AT69" s="40"/>
      <c r="AU69" s="42"/>
      <c r="AV69" s="42"/>
      <c r="AW69" s="42"/>
      <c r="AX69" s="40"/>
      <c r="AY69" s="42"/>
      <c r="AZ69" s="40"/>
      <c r="BA69" s="40"/>
      <c r="BB69" s="42"/>
      <c r="BC69" s="40"/>
      <c r="BD69" s="40"/>
      <c r="BE69" s="42"/>
      <c r="BF69" s="40"/>
      <c r="BG69" s="40"/>
      <c r="BH69" s="40"/>
      <c r="BI69" s="40"/>
      <c r="BJ69" s="43" t="str">
        <f t="shared" si="0"/>
        <v/>
      </c>
      <c r="BK69" s="43"/>
      <c r="BL69" s="40"/>
      <c r="BM69" s="44"/>
      <c r="BN69" s="40"/>
      <c r="BO69" s="40"/>
      <c r="BP69" s="40"/>
      <c r="BQ69" s="40"/>
      <c r="BR69" s="40"/>
      <c r="BS69" s="40"/>
      <c r="BT69" s="40"/>
      <c r="BU69" s="43" t="str">
        <f t="shared" si="1"/>
        <v/>
      </c>
      <c r="BV69" s="43"/>
      <c r="BW69" s="40"/>
      <c r="BX69" s="44"/>
      <c r="BY69" s="40"/>
      <c r="BZ69" s="40"/>
      <c r="CA69" s="40"/>
      <c r="CB69" s="40"/>
      <c r="CC69" s="40"/>
      <c r="CD69" s="40"/>
      <c r="CE69" s="40"/>
      <c r="CF69" s="40"/>
      <c r="CG69" s="44"/>
      <c r="CH69" s="43"/>
      <c r="CI69" s="40"/>
      <c r="CJ69" s="40"/>
      <c r="CK69" s="40"/>
      <c r="CL69" s="44"/>
      <c r="CM69" s="43"/>
      <c r="CN69" s="40"/>
      <c r="CO69" s="40"/>
      <c r="CP69" s="40"/>
      <c r="CQ69" s="44"/>
      <c r="CR69" s="43"/>
      <c r="CS69" s="40"/>
      <c r="CT69" s="40"/>
      <c r="CU69" s="40"/>
      <c r="CV69" s="44"/>
      <c r="CW69" s="43"/>
      <c r="CX69" s="45"/>
      <c r="CY69" s="45"/>
      <c r="CZ69" s="45"/>
      <c r="DA69" s="45"/>
      <c r="DB69" s="45" t="str">
        <f t="shared" si="2"/>
        <v/>
      </c>
    </row>
    <row r="70" spans="1:106" ht="16.5">
      <c r="A70" s="40"/>
      <c r="B70" s="40"/>
      <c r="C70" s="40"/>
      <c r="D70" s="40"/>
      <c r="E70" s="40"/>
      <c r="F70" s="40"/>
      <c r="G70" s="40"/>
      <c r="H70" s="40"/>
      <c r="I70" s="40"/>
      <c r="J70" s="40"/>
      <c r="K70" s="40"/>
      <c r="L70" s="40"/>
      <c r="M70" s="41"/>
      <c r="N70" s="42"/>
      <c r="O70" s="40"/>
      <c r="P70" s="40"/>
      <c r="Q70" s="42"/>
      <c r="R70" s="42"/>
      <c r="S70" s="42"/>
      <c r="T70" s="40"/>
      <c r="U70" s="42"/>
      <c r="V70" s="40"/>
      <c r="W70" s="40"/>
      <c r="X70" s="42"/>
      <c r="Y70" s="40"/>
      <c r="Z70" s="40"/>
      <c r="AA70" s="42"/>
      <c r="AB70" s="42"/>
      <c r="AC70" s="42"/>
      <c r="AD70" s="40"/>
      <c r="AE70" s="42"/>
      <c r="AF70" s="40"/>
      <c r="AG70" s="40"/>
      <c r="AH70" s="42"/>
      <c r="AI70" s="40"/>
      <c r="AJ70" s="40"/>
      <c r="AK70" s="42"/>
      <c r="AL70" s="42"/>
      <c r="AM70" s="42"/>
      <c r="AN70" s="40"/>
      <c r="AO70" s="42"/>
      <c r="AP70" s="40"/>
      <c r="AQ70" s="40"/>
      <c r="AR70" s="42"/>
      <c r="AS70" s="40"/>
      <c r="AT70" s="40"/>
      <c r="AU70" s="42"/>
      <c r="AV70" s="42"/>
      <c r="AW70" s="42"/>
      <c r="AX70" s="40"/>
      <c r="AY70" s="42"/>
      <c r="AZ70" s="40"/>
      <c r="BA70" s="40"/>
      <c r="BB70" s="42"/>
      <c r="BC70" s="40"/>
      <c r="BD70" s="40"/>
      <c r="BE70" s="42"/>
      <c r="BF70" s="40"/>
      <c r="BG70" s="40"/>
      <c r="BH70" s="40"/>
      <c r="BI70" s="40"/>
      <c r="BJ70" s="43" t="str">
        <f t="shared" si="0"/>
        <v/>
      </c>
      <c r="BK70" s="43"/>
      <c r="BL70" s="40"/>
      <c r="BM70" s="44"/>
      <c r="BN70" s="40"/>
      <c r="BO70" s="40"/>
      <c r="BP70" s="40"/>
      <c r="BQ70" s="40"/>
      <c r="BR70" s="40"/>
      <c r="BS70" s="40"/>
      <c r="BT70" s="40"/>
      <c r="BU70" s="43" t="str">
        <f t="shared" si="1"/>
        <v/>
      </c>
      <c r="BV70" s="43"/>
      <c r="BW70" s="40"/>
      <c r="BX70" s="44"/>
      <c r="BY70" s="40"/>
      <c r="BZ70" s="40"/>
      <c r="CA70" s="40"/>
      <c r="CB70" s="40"/>
      <c r="CC70" s="40"/>
      <c r="CD70" s="40"/>
      <c r="CE70" s="40"/>
      <c r="CF70" s="40"/>
      <c r="CG70" s="44"/>
      <c r="CH70" s="43"/>
      <c r="CI70" s="40"/>
      <c r="CJ70" s="40"/>
      <c r="CK70" s="40"/>
      <c r="CL70" s="44"/>
      <c r="CM70" s="43"/>
      <c r="CN70" s="40"/>
      <c r="CO70" s="40"/>
      <c r="CP70" s="40"/>
      <c r="CQ70" s="44"/>
      <c r="CR70" s="43"/>
      <c r="CS70" s="40"/>
      <c r="CT70" s="40"/>
      <c r="CU70" s="40"/>
      <c r="CV70" s="44"/>
      <c r="CW70" s="43"/>
      <c r="CX70" s="45"/>
      <c r="CY70" s="45"/>
      <c r="CZ70" s="45"/>
      <c r="DA70" s="45"/>
      <c r="DB70" s="45" t="str">
        <f t="shared" si="2"/>
        <v/>
      </c>
    </row>
    <row r="71" spans="1:106" ht="16.5">
      <c r="A71" s="40"/>
      <c r="B71" s="40"/>
      <c r="C71" s="40"/>
      <c r="D71" s="40"/>
      <c r="E71" s="40"/>
      <c r="F71" s="40"/>
      <c r="G71" s="40"/>
      <c r="H71" s="40"/>
      <c r="I71" s="40"/>
      <c r="J71" s="40"/>
      <c r="K71" s="40"/>
      <c r="L71" s="40"/>
      <c r="M71" s="41"/>
      <c r="N71" s="42"/>
      <c r="O71" s="40"/>
      <c r="P71" s="40"/>
      <c r="Q71" s="42"/>
      <c r="R71" s="42"/>
      <c r="S71" s="42"/>
      <c r="T71" s="40"/>
      <c r="U71" s="42"/>
      <c r="V71" s="40"/>
      <c r="W71" s="40"/>
      <c r="X71" s="42"/>
      <c r="Y71" s="40"/>
      <c r="Z71" s="40"/>
      <c r="AA71" s="42"/>
      <c r="AB71" s="42"/>
      <c r="AC71" s="42"/>
      <c r="AD71" s="40"/>
      <c r="AE71" s="42"/>
      <c r="AF71" s="40"/>
      <c r="AG71" s="40"/>
      <c r="AH71" s="42"/>
      <c r="AI71" s="40"/>
      <c r="AJ71" s="40"/>
      <c r="AK71" s="42"/>
      <c r="AL71" s="42"/>
      <c r="AM71" s="42"/>
      <c r="AN71" s="40"/>
      <c r="AO71" s="42"/>
      <c r="AP71" s="40"/>
      <c r="AQ71" s="40"/>
      <c r="AR71" s="42"/>
      <c r="AS71" s="40"/>
      <c r="AT71" s="40"/>
      <c r="AU71" s="42"/>
      <c r="AV71" s="42"/>
      <c r="AW71" s="42"/>
      <c r="AX71" s="40"/>
      <c r="AY71" s="42"/>
      <c r="AZ71" s="40"/>
      <c r="BA71" s="40"/>
      <c r="BB71" s="42"/>
      <c r="BC71" s="40"/>
      <c r="BD71" s="40"/>
      <c r="BE71" s="42"/>
      <c r="BF71" s="40"/>
      <c r="BG71" s="40"/>
      <c r="BH71" s="40"/>
      <c r="BI71" s="40"/>
      <c r="BJ71" s="43" t="str">
        <f t="shared" si="0"/>
        <v/>
      </c>
      <c r="BK71" s="43"/>
      <c r="BL71" s="40"/>
      <c r="BM71" s="44"/>
      <c r="BN71" s="40"/>
      <c r="BO71" s="40"/>
      <c r="BP71" s="40"/>
      <c r="BQ71" s="40"/>
      <c r="BR71" s="40"/>
      <c r="BS71" s="40"/>
      <c r="BT71" s="40"/>
      <c r="BU71" s="43" t="str">
        <f t="shared" si="1"/>
        <v/>
      </c>
      <c r="BV71" s="43"/>
      <c r="BW71" s="40"/>
      <c r="BX71" s="44"/>
      <c r="BY71" s="40"/>
      <c r="BZ71" s="40"/>
      <c r="CA71" s="40"/>
      <c r="CB71" s="40"/>
      <c r="CC71" s="40"/>
      <c r="CD71" s="40"/>
      <c r="CE71" s="40"/>
      <c r="CF71" s="40"/>
      <c r="CG71" s="44"/>
      <c r="CH71" s="43"/>
      <c r="CI71" s="40"/>
      <c r="CJ71" s="40"/>
      <c r="CK71" s="40"/>
      <c r="CL71" s="44"/>
      <c r="CM71" s="43"/>
      <c r="CN71" s="40"/>
      <c r="CO71" s="40"/>
      <c r="CP71" s="40"/>
      <c r="CQ71" s="44"/>
      <c r="CR71" s="43"/>
      <c r="CS71" s="40"/>
      <c r="CT71" s="40"/>
      <c r="CU71" s="40"/>
      <c r="CV71" s="44"/>
      <c r="CW71" s="43"/>
      <c r="CX71" s="45"/>
      <c r="CY71" s="45"/>
      <c r="CZ71" s="45"/>
      <c r="DA71" s="45"/>
      <c r="DB71" s="45" t="str">
        <f t="shared" si="2"/>
        <v/>
      </c>
    </row>
    <row r="72" spans="1:106" ht="16.5">
      <c r="A72" s="40"/>
      <c r="B72" s="40"/>
      <c r="C72" s="40"/>
      <c r="D72" s="40"/>
      <c r="E72" s="40"/>
      <c r="F72" s="40"/>
      <c r="G72" s="40"/>
      <c r="H72" s="40"/>
      <c r="I72" s="40"/>
      <c r="J72" s="40"/>
      <c r="K72" s="40"/>
      <c r="L72" s="40"/>
      <c r="M72" s="41"/>
      <c r="N72" s="42"/>
      <c r="O72" s="40"/>
      <c r="P72" s="40"/>
      <c r="Q72" s="42"/>
      <c r="R72" s="42"/>
      <c r="S72" s="42"/>
      <c r="T72" s="40"/>
      <c r="U72" s="42"/>
      <c r="V72" s="40"/>
      <c r="W72" s="40"/>
      <c r="X72" s="42"/>
      <c r="Y72" s="40"/>
      <c r="Z72" s="40"/>
      <c r="AA72" s="42"/>
      <c r="AB72" s="42"/>
      <c r="AC72" s="42"/>
      <c r="AD72" s="40"/>
      <c r="AE72" s="42"/>
      <c r="AF72" s="40"/>
      <c r="AG72" s="40"/>
      <c r="AH72" s="42"/>
      <c r="AI72" s="40"/>
      <c r="AJ72" s="40"/>
      <c r="AK72" s="42"/>
      <c r="AL72" s="42"/>
      <c r="AM72" s="42"/>
      <c r="AN72" s="40"/>
      <c r="AO72" s="42"/>
      <c r="AP72" s="40"/>
      <c r="AQ72" s="40"/>
      <c r="AR72" s="42"/>
      <c r="AS72" s="40"/>
      <c r="AT72" s="40"/>
      <c r="AU72" s="42"/>
      <c r="AV72" s="42"/>
      <c r="AW72" s="42"/>
      <c r="AX72" s="40"/>
      <c r="AY72" s="42"/>
      <c r="AZ72" s="40"/>
      <c r="BA72" s="40"/>
      <c r="BB72" s="42"/>
      <c r="BC72" s="40"/>
      <c r="BD72" s="40"/>
      <c r="BE72" s="42"/>
      <c r="BF72" s="40"/>
      <c r="BG72" s="40"/>
      <c r="BH72" s="40"/>
      <c r="BI72" s="40"/>
      <c r="BJ72" s="43" t="str">
        <f t="shared" si="0"/>
        <v/>
      </c>
      <c r="BK72" s="43"/>
      <c r="BL72" s="40"/>
      <c r="BM72" s="44"/>
      <c r="BN72" s="40"/>
      <c r="BO72" s="40"/>
      <c r="BP72" s="40"/>
      <c r="BQ72" s="40"/>
      <c r="BR72" s="40"/>
      <c r="BS72" s="40"/>
      <c r="BT72" s="40"/>
      <c r="BU72" s="43" t="str">
        <f t="shared" si="1"/>
        <v/>
      </c>
      <c r="BV72" s="43"/>
      <c r="BW72" s="40"/>
      <c r="BX72" s="44"/>
      <c r="BY72" s="40"/>
      <c r="BZ72" s="40"/>
      <c r="CA72" s="40"/>
      <c r="CB72" s="40"/>
      <c r="CC72" s="40"/>
      <c r="CD72" s="40"/>
      <c r="CE72" s="40"/>
      <c r="CF72" s="40"/>
      <c r="CG72" s="44"/>
      <c r="CH72" s="43"/>
      <c r="CI72" s="40"/>
      <c r="CJ72" s="40"/>
      <c r="CK72" s="40"/>
      <c r="CL72" s="44"/>
      <c r="CM72" s="43"/>
      <c r="CN72" s="40"/>
      <c r="CO72" s="40"/>
      <c r="CP72" s="40"/>
      <c r="CQ72" s="44"/>
      <c r="CR72" s="43"/>
      <c r="CS72" s="40"/>
      <c r="CT72" s="40"/>
      <c r="CU72" s="40"/>
      <c r="CV72" s="44"/>
      <c r="CW72" s="43"/>
      <c r="CX72" s="45"/>
      <c r="CY72" s="45"/>
      <c r="CZ72" s="45"/>
      <c r="DA72" s="45"/>
      <c r="DB72" s="45" t="str">
        <f t="shared" si="2"/>
        <v/>
      </c>
    </row>
    <row r="73" spans="1:106" ht="16.5">
      <c r="A73" s="40"/>
      <c r="B73" s="40"/>
      <c r="C73" s="40"/>
      <c r="D73" s="40"/>
      <c r="E73" s="40"/>
      <c r="F73" s="40"/>
      <c r="G73" s="40"/>
      <c r="H73" s="40"/>
      <c r="I73" s="40"/>
      <c r="J73" s="40"/>
      <c r="K73" s="40"/>
      <c r="L73" s="40"/>
      <c r="M73" s="41"/>
      <c r="N73" s="42"/>
      <c r="O73" s="40"/>
      <c r="P73" s="40"/>
      <c r="Q73" s="42"/>
      <c r="R73" s="42"/>
      <c r="S73" s="42"/>
      <c r="T73" s="40"/>
      <c r="U73" s="42"/>
      <c r="V73" s="40"/>
      <c r="W73" s="40"/>
      <c r="X73" s="42"/>
      <c r="Y73" s="40"/>
      <c r="Z73" s="40"/>
      <c r="AA73" s="42"/>
      <c r="AB73" s="42"/>
      <c r="AC73" s="42"/>
      <c r="AD73" s="40"/>
      <c r="AE73" s="42"/>
      <c r="AF73" s="40"/>
      <c r="AG73" s="40"/>
      <c r="AH73" s="42"/>
      <c r="AI73" s="40"/>
      <c r="AJ73" s="40"/>
      <c r="AK73" s="42"/>
      <c r="AL73" s="42"/>
      <c r="AM73" s="42"/>
      <c r="AN73" s="40"/>
      <c r="AO73" s="42"/>
      <c r="AP73" s="40"/>
      <c r="AQ73" s="40"/>
      <c r="AR73" s="42"/>
      <c r="AS73" s="40"/>
      <c r="AT73" s="40"/>
      <c r="AU73" s="42"/>
      <c r="AV73" s="42"/>
      <c r="AW73" s="42"/>
      <c r="AX73" s="40"/>
      <c r="AY73" s="42"/>
      <c r="AZ73" s="40"/>
      <c r="BA73" s="40"/>
      <c r="BB73" s="42"/>
      <c r="BC73" s="40"/>
      <c r="BD73" s="40"/>
      <c r="BE73" s="42"/>
      <c r="BF73" s="40"/>
      <c r="BG73" s="40"/>
      <c r="BH73" s="40"/>
      <c r="BI73" s="40"/>
      <c r="BJ73" s="43" t="str">
        <f t="shared" si="0"/>
        <v/>
      </c>
      <c r="BK73" s="43"/>
      <c r="BL73" s="40"/>
      <c r="BM73" s="44"/>
      <c r="BN73" s="40"/>
      <c r="BO73" s="40"/>
      <c r="BP73" s="40"/>
      <c r="BQ73" s="40"/>
      <c r="BR73" s="40"/>
      <c r="BS73" s="40"/>
      <c r="BT73" s="40"/>
      <c r="BU73" s="43" t="str">
        <f t="shared" si="1"/>
        <v/>
      </c>
      <c r="BV73" s="43"/>
      <c r="BW73" s="40"/>
      <c r="BX73" s="44"/>
      <c r="BY73" s="40"/>
      <c r="BZ73" s="40"/>
      <c r="CA73" s="40"/>
      <c r="CB73" s="40"/>
      <c r="CC73" s="40"/>
      <c r="CD73" s="40"/>
      <c r="CE73" s="40"/>
      <c r="CF73" s="40"/>
      <c r="CG73" s="44"/>
      <c r="CH73" s="43"/>
      <c r="CI73" s="40"/>
      <c r="CJ73" s="40"/>
      <c r="CK73" s="40"/>
      <c r="CL73" s="44"/>
      <c r="CM73" s="43"/>
      <c r="CN73" s="40"/>
      <c r="CO73" s="40"/>
      <c r="CP73" s="40"/>
      <c r="CQ73" s="44"/>
      <c r="CR73" s="43"/>
      <c r="CS73" s="40"/>
      <c r="CT73" s="40"/>
      <c r="CU73" s="40"/>
      <c r="CV73" s="44"/>
      <c r="CW73" s="43"/>
      <c r="CX73" s="45"/>
      <c r="CY73" s="45"/>
      <c r="CZ73" s="45"/>
      <c r="DA73" s="45"/>
      <c r="DB73" s="45" t="str">
        <f t="shared" si="2"/>
        <v/>
      </c>
    </row>
    <row r="74" spans="1:106" ht="16.5">
      <c r="A74" s="40"/>
      <c r="B74" s="40"/>
      <c r="C74" s="40"/>
      <c r="D74" s="40"/>
      <c r="E74" s="40"/>
      <c r="F74" s="40"/>
      <c r="G74" s="40"/>
      <c r="H74" s="40"/>
      <c r="I74" s="40"/>
      <c r="J74" s="40"/>
      <c r="K74" s="40"/>
      <c r="L74" s="40"/>
      <c r="M74" s="41"/>
      <c r="N74" s="42"/>
      <c r="O74" s="40"/>
      <c r="P74" s="40"/>
      <c r="Q74" s="42"/>
      <c r="R74" s="42"/>
      <c r="S74" s="42"/>
      <c r="T74" s="40"/>
      <c r="U74" s="42"/>
      <c r="V74" s="40"/>
      <c r="W74" s="40"/>
      <c r="X74" s="42"/>
      <c r="Y74" s="40"/>
      <c r="Z74" s="40"/>
      <c r="AA74" s="42"/>
      <c r="AB74" s="42"/>
      <c r="AC74" s="42"/>
      <c r="AD74" s="40"/>
      <c r="AE74" s="42"/>
      <c r="AF74" s="40"/>
      <c r="AG74" s="40"/>
      <c r="AH74" s="42"/>
      <c r="AI74" s="40"/>
      <c r="AJ74" s="40"/>
      <c r="AK74" s="42"/>
      <c r="AL74" s="42"/>
      <c r="AM74" s="42"/>
      <c r="AN74" s="40"/>
      <c r="AO74" s="42"/>
      <c r="AP74" s="40"/>
      <c r="AQ74" s="40"/>
      <c r="AR74" s="42"/>
      <c r="AS74" s="40"/>
      <c r="AT74" s="40"/>
      <c r="AU74" s="42"/>
      <c r="AV74" s="42"/>
      <c r="AW74" s="42"/>
      <c r="AX74" s="40"/>
      <c r="AY74" s="42"/>
      <c r="AZ74" s="40"/>
      <c r="BA74" s="40"/>
      <c r="BB74" s="42"/>
      <c r="BC74" s="40"/>
      <c r="BD74" s="40"/>
      <c r="BE74" s="42"/>
      <c r="BF74" s="40"/>
      <c r="BG74" s="40"/>
      <c r="BH74" s="40"/>
      <c r="BI74" s="40"/>
      <c r="BJ74" s="43" t="str">
        <f t="shared" si="0"/>
        <v/>
      </c>
      <c r="BK74" s="43"/>
      <c r="BL74" s="40"/>
      <c r="BM74" s="44"/>
      <c r="BN74" s="40"/>
      <c r="BO74" s="40"/>
      <c r="BP74" s="40"/>
      <c r="BQ74" s="40"/>
      <c r="BR74" s="40"/>
      <c r="BS74" s="40"/>
      <c r="BT74" s="40"/>
      <c r="BU74" s="43" t="str">
        <f t="shared" si="1"/>
        <v/>
      </c>
      <c r="BV74" s="43"/>
      <c r="BW74" s="40"/>
      <c r="BX74" s="44"/>
      <c r="BY74" s="40"/>
      <c r="BZ74" s="40"/>
      <c r="CA74" s="40"/>
      <c r="CB74" s="40"/>
      <c r="CC74" s="40"/>
      <c r="CD74" s="40"/>
      <c r="CE74" s="40"/>
      <c r="CF74" s="40"/>
      <c r="CG74" s="44"/>
      <c r="CH74" s="43"/>
      <c r="CI74" s="40"/>
      <c r="CJ74" s="40"/>
      <c r="CK74" s="40"/>
      <c r="CL74" s="44"/>
      <c r="CM74" s="43"/>
      <c r="CN74" s="40"/>
      <c r="CO74" s="40"/>
      <c r="CP74" s="40"/>
      <c r="CQ74" s="44"/>
      <c r="CR74" s="43"/>
      <c r="CS74" s="40"/>
      <c r="CT74" s="40"/>
      <c r="CU74" s="40"/>
      <c r="CV74" s="44"/>
      <c r="CW74" s="43"/>
      <c r="CX74" s="45"/>
      <c r="CY74" s="45"/>
      <c r="CZ74" s="45"/>
      <c r="DA74" s="45"/>
      <c r="DB74" s="45" t="str">
        <f t="shared" si="2"/>
        <v/>
      </c>
    </row>
    <row r="75" spans="1:106" ht="16.5">
      <c r="A75" s="40"/>
      <c r="B75" s="40"/>
      <c r="C75" s="40"/>
      <c r="D75" s="40"/>
      <c r="E75" s="40"/>
      <c r="F75" s="40"/>
      <c r="G75" s="40"/>
      <c r="H75" s="40"/>
      <c r="I75" s="40"/>
      <c r="J75" s="40"/>
      <c r="K75" s="40"/>
      <c r="L75" s="40"/>
      <c r="M75" s="41"/>
      <c r="N75" s="42"/>
      <c r="O75" s="40"/>
      <c r="P75" s="40"/>
      <c r="Q75" s="42"/>
      <c r="R75" s="42"/>
      <c r="S75" s="42"/>
      <c r="T75" s="40"/>
      <c r="U75" s="42"/>
      <c r="V75" s="40"/>
      <c r="W75" s="40"/>
      <c r="X75" s="42"/>
      <c r="Y75" s="40"/>
      <c r="Z75" s="40"/>
      <c r="AA75" s="42"/>
      <c r="AB75" s="42"/>
      <c r="AC75" s="42"/>
      <c r="AD75" s="40"/>
      <c r="AE75" s="42"/>
      <c r="AF75" s="40"/>
      <c r="AG75" s="40"/>
      <c r="AH75" s="42"/>
      <c r="AI75" s="40"/>
      <c r="AJ75" s="40"/>
      <c r="AK75" s="42"/>
      <c r="AL75" s="42"/>
      <c r="AM75" s="42"/>
      <c r="AN75" s="40"/>
      <c r="AO75" s="42"/>
      <c r="AP75" s="40"/>
      <c r="AQ75" s="40"/>
      <c r="AR75" s="42"/>
      <c r="AS75" s="40"/>
      <c r="AT75" s="40"/>
      <c r="AU75" s="42"/>
      <c r="AV75" s="42"/>
      <c r="AW75" s="42"/>
      <c r="AX75" s="40"/>
      <c r="AY75" s="42"/>
      <c r="AZ75" s="40"/>
      <c r="BA75" s="40"/>
      <c r="BB75" s="42"/>
      <c r="BC75" s="40"/>
      <c r="BD75" s="40"/>
      <c r="BE75" s="42"/>
      <c r="BF75" s="40"/>
      <c r="BG75" s="40"/>
      <c r="BH75" s="40"/>
      <c r="BI75" s="40"/>
      <c r="BJ75" s="43" t="str">
        <f t="shared" si="0"/>
        <v/>
      </c>
      <c r="BK75" s="43"/>
      <c r="BL75" s="40"/>
      <c r="BM75" s="44"/>
      <c r="BN75" s="40"/>
      <c r="BO75" s="40"/>
      <c r="BP75" s="40"/>
      <c r="BQ75" s="40"/>
      <c r="BR75" s="40"/>
      <c r="BS75" s="40"/>
      <c r="BT75" s="40"/>
      <c r="BU75" s="43" t="str">
        <f t="shared" si="1"/>
        <v/>
      </c>
      <c r="BV75" s="43"/>
      <c r="BW75" s="40"/>
      <c r="BX75" s="44"/>
      <c r="BY75" s="40"/>
      <c r="BZ75" s="40"/>
      <c r="CA75" s="40"/>
      <c r="CB75" s="40"/>
      <c r="CC75" s="40"/>
      <c r="CD75" s="40"/>
      <c r="CE75" s="40"/>
      <c r="CF75" s="40"/>
      <c r="CG75" s="44"/>
      <c r="CH75" s="43"/>
      <c r="CI75" s="40"/>
      <c r="CJ75" s="40"/>
      <c r="CK75" s="40"/>
      <c r="CL75" s="44"/>
      <c r="CM75" s="43"/>
      <c r="CN75" s="40"/>
      <c r="CO75" s="40"/>
      <c r="CP75" s="40"/>
      <c r="CQ75" s="44"/>
      <c r="CR75" s="43"/>
      <c r="CS75" s="40"/>
      <c r="CT75" s="40"/>
      <c r="CU75" s="40"/>
      <c r="CV75" s="44"/>
      <c r="CW75" s="43"/>
      <c r="CX75" s="45"/>
      <c r="CY75" s="45"/>
      <c r="CZ75" s="45"/>
      <c r="DA75" s="45"/>
      <c r="DB75" s="45" t="str">
        <f t="shared" si="2"/>
        <v/>
      </c>
    </row>
    <row r="76" spans="1:106" ht="16.5">
      <c r="A76" s="40"/>
      <c r="B76" s="40"/>
      <c r="C76" s="40"/>
      <c r="D76" s="40"/>
      <c r="E76" s="40"/>
      <c r="F76" s="40"/>
      <c r="G76" s="40"/>
      <c r="H76" s="40"/>
      <c r="I76" s="40"/>
      <c r="J76" s="40"/>
      <c r="K76" s="40"/>
      <c r="L76" s="40"/>
      <c r="M76" s="41"/>
      <c r="N76" s="42"/>
      <c r="O76" s="40"/>
      <c r="P76" s="40"/>
      <c r="Q76" s="42"/>
      <c r="R76" s="42"/>
      <c r="S76" s="42"/>
      <c r="T76" s="40"/>
      <c r="U76" s="42"/>
      <c r="V76" s="40"/>
      <c r="W76" s="40"/>
      <c r="X76" s="42"/>
      <c r="Y76" s="40"/>
      <c r="Z76" s="40"/>
      <c r="AA76" s="42"/>
      <c r="AB76" s="42"/>
      <c r="AC76" s="42"/>
      <c r="AD76" s="40"/>
      <c r="AE76" s="42"/>
      <c r="AF76" s="40"/>
      <c r="AG76" s="40"/>
      <c r="AH76" s="42"/>
      <c r="AI76" s="40"/>
      <c r="AJ76" s="40"/>
      <c r="AK76" s="42"/>
      <c r="AL76" s="42"/>
      <c r="AM76" s="42"/>
      <c r="AN76" s="40"/>
      <c r="AO76" s="42"/>
      <c r="AP76" s="40"/>
      <c r="AQ76" s="40"/>
      <c r="AR76" s="42"/>
      <c r="AS76" s="40"/>
      <c r="AT76" s="40"/>
      <c r="AU76" s="42"/>
      <c r="AV76" s="42"/>
      <c r="AW76" s="42"/>
      <c r="AX76" s="40"/>
      <c r="AY76" s="42"/>
      <c r="AZ76" s="40"/>
      <c r="BA76" s="40"/>
      <c r="BB76" s="42"/>
      <c r="BC76" s="40"/>
      <c r="BD76" s="40"/>
      <c r="BE76" s="42"/>
      <c r="BF76" s="40"/>
      <c r="BG76" s="40"/>
      <c r="BH76" s="40"/>
      <c r="BI76" s="40"/>
      <c r="BJ76" s="43" t="str">
        <f t="shared" si="0"/>
        <v/>
      </c>
      <c r="BK76" s="43"/>
      <c r="BL76" s="40"/>
      <c r="BM76" s="44"/>
      <c r="BN76" s="40"/>
      <c r="BO76" s="40"/>
      <c r="BP76" s="40"/>
      <c r="BQ76" s="40"/>
      <c r="BR76" s="40"/>
      <c r="BS76" s="40"/>
      <c r="BT76" s="40"/>
      <c r="BU76" s="43" t="str">
        <f t="shared" si="1"/>
        <v/>
      </c>
      <c r="BV76" s="43"/>
      <c r="BW76" s="40"/>
      <c r="BX76" s="44"/>
      <c r="BY76" s="40"/>
      <c r="BZ76" s="40"/>
      <c r="CA76" s="40"/>
      <c r="CB76" s="40"/>
      <c r="CC76" s="40"/>
      <c r="CD76" s="40"/>
      <c r="CE76" s="40"/>
      <c r="CF76" s="40"/>
      <c r="CG76" s="44"/>
      <c r="CH76" s="43"/>
      <c r="CI76" s="40"/>
      <c r="CJ76" s="40"/>
      <c r="CK76" s="40"/>
      <c r="CL76" s="44"/>
      <c r="CM76" s="43"/>
      <c r="CN76" s="40"/>
      <c r="CO76" s="40"/>
      <c r="CP76" s="40"/>
      <c r="CQ76" s="44"/>
      <c r="CR76" s="43"/>
      <c r="CS76" s="40"/>
      <c r="CT76" s="40"/>
      <c r="CU76" s="40"/>
      <c r="CV76" s="44"/>
      <c r="CW76" s="43"/>
      <c r="CX76" s="45"/>
      <c r="CY76" s="45"/>
      <c r="CZ76" s="45"/>
      <c r="DA76" s="45"/>
      <c r="DB76" s="45" t="str">
        <f t="shared" si="2"/>
        <v/>
      </c>
    </row>
    <row r="77" spans="1:106" ht="16.5">
      <c r="A77" s="40"/>
      <c r="B77" s="40"/>
      <c r="C77" s="40"/>
      <c r="D77" s="40"/>
      <c r="E77" s="40"/>
      <c r="F77" s="40"/>
      <c r="G77" s="40"/>
      <c r="H77" s="40"/>
      <c r="I77" s="40"/>
      <c r="J77" s="40"/>
      <c r="K77" s="40"/>
      <c r="L77" s="40"/>
      <c r="M77" s="41"/>
      <c r="N77" s="42"/>
      <c r="O77" s="40"/>
      <c r="P77" s="40"/>
      <c r="Q77" s="42"/>
      <c r="R77" s="42"/>
      <c r="S77" s="42"/>
      <c r="T77" s="40"/>
      <c r="U77" s="42"/>
      <c r="V77" s="40"/>
      <c r="W77" s="40"/>
      <c r="X77" s="42"/>
      <c r="Y77" s="40"/>
      <c r="Z77" s="40"/>
      <c r="AA77" s="42"/>
      <c r="AB77" s="42"/>
      <c r="AC77" s="42"/>
      <c r="AD77" s="40"/>
      <c r="AE77" s="42"/>
      <c r="AF77" s="40"/>
      <c r="AG77" s="40"/>
      <c r="AH77" s="42"/>
      <c r="AI77" s="40"/>
      <c r="AJ77" s="40"/>
      <c r="AK77" s="42"/>
      <c r="AL77" s="42"/>
      <c r="AM77" s="42"/>
      <c r="AN77" s="40"/>
      <c r="AO77" s="42"/>
      <c r="AP77" s="40"/>
      <c r="AQ77" s="40"/>
      <c r="AR77" s="42"/>
      <c r="AS77" s="40"/>
      <c r="AT77" s="40"/>
      <c r="AU77" s="42"/>
      <c r="AV77" s="42"/>
      <c r="AW77" s="42"/>
      <c r="AX77" s="40"/>
      <c r="AY77" s="42"/>
      <c r="AZ77" s="40"/>
      <c r="BA77" s="40"/>
      <c r="BB77" s="42"/>
      <c r="BC77" s="40"/>
      <c r="BD77" s="40"/>
      <c r="BE77" s="42"/>
      <c r="BF77" s="40"/>
      <c r="BG77" s="40"/>
      <c r="BH77" s="40"/>
      <c r="BI77" s="40"/>
      <c r="BJ77" s="43" t="str">
        <f t="shared" si="0"/>
        <v/>
      </c>
      <c r="BK77" s="43"/>
      <c r="BL77" s="40"/>
      <c r="BM77" s="44"/>
      <c r="BN77" s="40"/>
      <c r="BO77" s="40"/>
      <c r="BP77" s="40"/>
      <c r="BQ77" s="40"/>
      <c r="BR77" s="40"/>
      <c r="BS77" s="40"/>
      <c r="BT77" s="40"/>
      <c r="BU77" s="43" t="str">
        <f t="shared" si="1"/>
        <v/>
      </c>
      <c r="BV77" s="43"/>
      <c r="BW77" s="40"/>
      <c r="BX77" s="44"/>
      <c r="BY77" s="40"/>
      <c r="BZ77" s="40"/>
      <c r="CA77" s="40"/>
      <c r="CB77" s="40"/>
      <c r="CC77" s="40"/>
      <c r="CD77" s="40"/>
      <c r="CE77" s="40"/>
      <c r="CF77" s="40"/>
      <c r="CG77" s="44"/>
      <c r="CH77" s="43"/>
      <c r="CI77" s="40"/>
      <c r="CJ77" s="40"/>
      <c r="CK77" s="40"/>
      <c r="CL77" s="44"/>
      <c r="CM77" s="43"/>
      <c r="CN77" s="40"/>
      <c r="CO77" s="40"/>
      <c r="CP77" s="40"/>
      <c r="CQ77" s="44"/>
      <c r="CR77" s="43"/>
      <c r="CS77" s="40"/>
      <c r="CT77" s="40"/>
      <c r="CU77" s="40"/>
      <c r="CV77" s="44"/>
      <c r="CW77" s="43"/>
      <c r="CX77" s="45"/>
      <c r="CY77" s="45"/>
      <c r="CZ77" s="45"/>
      <c r="DA77" s="45"/>
      <c r="DB77" s="45" t="str">
        <f t="shared" si="2"/>
        <v/>
      </c>
    </row>
    <row r="78" spans="1:106" ht="16.5">
      <c r="A78" s="40"/>
      <c r="B78" s="40"/>
      <c r="C78" s="40"/>
      <c r="D78" s="40"/>
      <c r="E78" s="40"/>
      <c r="F78" s="40"/>
      <c r="G78" s="40"/>
      <c r="H78" s="40"/>
      <c r="I78" s="40"/>
      <c r="J78" s="40"/>
      <c r="K78" s="40"/>
      <c r="L78" s="40"/>
      <c r="M78" s="41"/>
      <c r="N78" s="42"/>
      <c r="O78" s="40"/>
      <c r="P78" s="40"/>
      <c r="Q78" s="42"/>
      <c r="R78" s="42"/>
      <c r="S78" s="42"/>
      <c r="T78" s="40"/>
      <c r="U78" s="42"/>
      <c r="V78" s="40"/>
      <c r="W78" s="40"/>
      <c r="X78" s="42"/>
      <c r="Y78" s="40"/>
      <c r="Z78" s="40"/>
      <c r="AA78" s="42"/>
      <c r="AB78" s="42"/>
      <c r="AC78" s="42"/>
      <c r="AD78" s="40"/>
      <c r="AE78" s="42"/>
      <c r="AF78" s="40"/>
      <c r="AG78" s="40"/>
      <c r="AH78" s="42"/>
      <c r="AI78" s="40"/>
      <c r="AJ78" s="40"/>
      <c r="AK78" s="42"/>
      <c r="AL78" s="42"/>
      <c r="AM78" s="42"/>
      <c r="AN78" s="40"/>
      <c r="AO78" s="42"/>
      <c r="AP78" s="40"/>
      <c r="AQ78" s="40"/>
      <c r="AR78" s="42"/>
      <c r="AS78" s="40"/>
      <c r="AT78" s="40"/>
      <c r="AU78" s="42"/>
      <c r="AV78" s="42"/>
      <c r="AW78" s="42"/>
      <c r="AX78" s="40"/>
      <c r="AY78" s="42"/>
      <c r="AZ78" s="40"/>
      <c r="BA78" s="40"/>
      <c r="BB78" s="42"/>
      <c r="BC78" s="40"/>
      <c r="BD78" s="40"/>
      <c r="BE78" s="42"/>
      <c r="BF78" s="40"/>
      <c r="BG78" s="40"/>
      <c r="BH78" s="40"/>
      <c r="BI78" s="40"/>
      <c r="BJ78" s="43" t="str">
        <f t="shared" si="0"/>
        <v/>
      </c>
      <c r="BK78" s="43"/>
      <c r="BL78" s="40"/>
      <c r="BM78" s="44"/>
      <c r="BN78" s="40"/>
      <c r="BO78" s="40"/>
      <c r="BP78" s="40"/>
      <c r="BQ78" s="40"/>
      <c r="BR78" s="40"/>
      <c r="BS78" s="40"/>
      <c r="BT78" s="40"/>
      <c r="BU78" s="43" t="str">
        <f t="shared" si="1"/>
        <v/>
      </c>
      <c r="BV78" s="43"/>
      <c r="BW78" s="40"/>
      <c r="BX78" s="44"/>
      <c r="BY78" s="40"/>
      <c r="BZ78" s="40"/>
      <c r="CA78" s="40"/>
      <c r="CB78" s="40"/>
      <c r="CC78" s="40"/>
      <c r="CD78" s="40"/>
      <c r="CE78" s="40"/>
      <c r="CF78" s="40"/>
      <c r="CG78" s="44"/>
      <c r="CH78" s="43"/>
      <c r="CI78" s="40"/>
      <c r="CJ78" s="40"/>
      <c r="CK78" s="40"/>
      <c r="CL78" s="44"/>
      <c r="CM78" s="43"/>
      <c r="CN78" s="40"/>
      <c r="CO78" s="40"/>
      <c r="CP78" s="40"/>
      <c r="CQ78" s="44"/>
      <c r="CR78" s="43"/>
      <c r="CS78" s="40"/>
      <c r="CT78" s="40"/>
      <c r="CU78" s="40"/>
      <c r="CV78" s="44"/>
      <c r="CW78" s="43"/>
      <c r="CX78" s="45"/>
      <c r="CY78" s="45"/>
      <c r="CZ78" s="45"/>
      <c r="DA78" s="45"/>
      <c r="DB78" s="45" t="str">
        <f t="shared" si="2"/>
        <v/>
      </c>
    </row>
    <row r="79" spans="1:106" ht="16.5">
      <c r="A79" s="40"/>
      <c r="B79" s="40"/>
      <c r="C79" s="40"/>
      <c r="D79" s="40"/>
      <c r="E79" s="40"/>
      <c r="F79" s="40"/>
      <c r="G79" s="40"/>
      <c r="H79" s="40"/>
      <c r="I79" s="40"/>
      <c r="J79" s="40"/>
      <c r="K79" s="40"/>
      <c r="L79" s="40"/>
      <c r="M79" s="41"/>
      <c r="N79" s="42"/>
      <c r="O79" s="40"/>
      <c r="P79" s="40"/>
      <c r="Q79" s="42"/>
      <c r="R79" s="42"/>
      <c r="S79" s="42"/>
      <c r="T79" s="40"/>
      <c r="U79" s="42"/>
      <c r="V79" s="40"/>
      <c r="W79" s="40"/>
      <c r="X79" s="42"/>
      <c r="Y79" s="40"/>
      <c r="Z79" s="40"/>
      <c r="AA79" s="42"/>
      <c r="AB79" s="42"/>
      <c r="AC79" s="42"/>
      <c r="AD79" s="40"/>
      <c r="AE79" s="42"/>
      <c r="AF79" s="40"/>
      <c r="AG79" s="40"/>
      <c r="AH79" s="42"/>
      <c r="AI79" s="40"/>
      <c r="AJ79" s="40"/>
      <c r="AK79" s="42"/>
      <c r="AL79" s="42"/>
      <c r="AM79" s="42"/>
      <c r="AN79" s="40"/>
      <c r="AO79" s="42"/>
      <c r="AP79" s="40"/>
      <c r="AQ79" s="40"/>
      <c r="AR79" s="42"/>
      <c r="AS79" s="40"/>
      <c r="AT79" s="40"/>
      <c r="AU79" s="42"/>
      <c r="AV79" s="42"/>
      <c r="AW79" s="42"/>
      <c r="AX79" s="40"/>
      <c r="AY79" s="42"/>
      <c r="AZ79" s="40"/>
      <c r="BA79" s="40"/>
      <c r="BB79" s="42"/>
      <c r="BC79" s="40"/>
      <c r="BD79" s="40"/>
      <c r="BE79" s="42"/>
      <c r="BF79" s="40"/>
      <c r="BG79" s="40"/>
      <c r="BH79" s="40"/>
      <c r="BI79" s="40"/>
      <c r="BJ79" s="43" t="str">
        <f t="shared" si="0"/>
        <v/>
      </c>
      <c r="BK79" s="43"/>
      <c r="BL79" s="40"/>
      <c r="BM79" s="44"/>
      <c r="BN79" s="40"/>
      <c r="BO79" s="40"/>
      <c r="BP79" s="40"/>
      <c r="BQ79" s="40"/>
      <c r="BR79" s="40"/>
      <c r="BS79" s="40"/>
      <c r="BT79" s="40"/>
      <c r="BU79" s="43" t="str">
        <f t="shared" si="1"/>
        <v/>
      </c>
      <c r="BV79" s="43"/>
      <c r="BW79" s="40"/>
      <c r="BX79" s="44"/>
      <c r="BY79" s="40"/>
      <c r="BZ79" s="40"/>
      <c r="CA79" s="40"/>
      <c r="CB79" s="40"/>
      <c r="CC79" s="40"/>
      <c r="CD79" s="40"/>
      <c r="CE79" s="40"/>
      <c r="CF79" s="40"/>
      <c r="CG79" s="44"/>
      <c r="CH79" s="43"/>
      <c r="CI79" s="40"/>
      <c r="CJ79" s="40"/>
      <c r="CK79" s="40"/>
      <c r="CL79" s="44"/>
      <c r="CM79" s="43"/>
      <c r="CN79" s="40"/>
      <c r="CO79" s="40"/>
      <c r="CP79" s="40"/>
      <c r="CQ79" s="44"/>
      <c r="CR79" s="43"/>
      <c r="CS79" s="40"/>
      <c r="CT79" s="40"/>
      <c r="CU79" s="40"/>
      <c r="CV79" s="44"/>
      <c r="CW79" s="43"/>
      <c r="CX79" s="45"/>
      <c r="CY79" s="45"/>
      <c r="CZ79" s="45"/>
      <c r="DA79" s="45"/>
      <c r="DB79" s="45" t="str">
        <f t="shared" si="2"/>
        <v/>
      </c>
    </row>
    <row r="80" spans="1:106" ht="16.5">
      <c r="A80" s="40"/>
      <c r="B80" s="40"/>
      <c r="C80" s="40"/>
      <c r="D80" s="40"/>
      <c r="E80" s="40"/>
      <c r="F80" s="40"/>
      <c r="G80" s="40"/>
      <c r="H80" s="40"/>
      <c r="I80" s="40"/>
      <c r="J80" s="40"/>
      <c r="K80" s="40"/>
      <c r="L80" s="40"/>
      <c r="M80" s="41"/>
      <c r="N80" s="42"/>
      <c r="O80" s="40"/>
      <c r="P80" s="40"/>
      <c r="Q80" s="42"/>
      <c r="R80" s="42"/>
      <c r="S80" s="42"/>
      <c r="T80" s="40"/>
      <c r="U80" s="42"/>
      <c r="V80" s="40"/>
      <c r="W80" s="40"/>
      <c r="X80" s="42"/>
      <c r="Y80" s="40"/>
      <c r="Z80" s="40"/>
      <c r="AA80" s="42"/>
      <c r="AB80" s="42"/>
      <c r="AC80" s="42"/>
      <c r="AD80" s="40"/>
      <c r="AE80" s="42"/>
      <c r="AF80" s="40"/>
      <c r="AG80" s="40"/>
      <c r="AH80" s="42"/>
      <c r="AI80" s="40"/>
      <c r="AJ80" s="40"/>
      <c r="AK80" s="42"/>
      <c r="AL80" s="42"/>
      <c r="AM80" s="42"/>
      <c r="AN80" s="40"/>
      <c r="AO80" s="42"/>
      <c r="AP80" s="40"/>
      <c r="AQ80" s="40"/>
      <c r="AR80" s="42"/>
      <c r="AS80" s="40"/>
      <c r="AT80" s="40"/>
      <c r="AU80" s="42"/>
      <c r="AV80" s="42"/>
      <c r="AW80" s="42"/>
      <c r="AX80" s="40"/>
      <c r="AY80" s="42"/>
      <c r="AZ80" s="40"/>
      <c r="BA80" s="40"/>
      <c r="BB80" s="42"/>
      <c r="BC80" s="40"/>
      <c r="BD80" s="40"/>
      <c r="BE80" s="42"/>
      <c r="BF80" s="40"/>
      <c r="BG80" s="40"/>
      <c r="BH80" s="40"/>
      <c r="BI80" s="40"/>
      <c r="BJ80" s="43" t="str">
        <f t="shared" si="0"/>
        <v/>
      </c>
      <c r="BK80" s="43"/>
      <c r="BL80" s="40"/>
      <c r="BM80" s="44"/>
      <c r="BN80" s="40"/>
      <c r="BO80" s="40"/>
      <c r="BP80" s="40"/>
      <c r="BQ80" s="40"/>
      <c r="BR80" s="40"/>
      <c r="BS80" s="40"/>
      <c r="BT80" s="40"/>
      <c r="BU80" s="43" t="str">
        <f t="shared" si="1"/>
        <v/>
      </c>
      <c r="BV80" s="43"/>
      <c r="BW80" s="40"/>
      <c r="BX80" s="44"/>
      <c r="BY80" s="40"/>
      <c r="BZ80" s="40"/>
      <c r="CA80" s="40"/>
      <c r="CB80" s="40"/>
      <c r="CC80" s="40"/>
      <c r="CD80" s="40"/>
      <c r="CE80" s="40"/>
      <c r="CF80" s="40"/>
      <c r="CG80" s="44"/>
      <c r="CH80" s="43"/>
      <c r="CI80" s="40"/>
      <c r="CJ80" s="40"/>
      <c r="CK80" s="40"/>
      <c r="CL80" s="44"/>
      <c r="CM80" s="43"/>
      <c r="CN80" s="40"/>
      <c r="CO80" s="40"/>
      <c r="CP80" s="40"/>
      <c r="CQ80" s="44"/>
      <c r="CR80" s="43"/>
      <c r="CS80" s="40"/>
      <c r="CT80" s="40"/>
      <c r="CU80" s="40"/>
      <c r="CV80" s="44"/>
      <c r="CW80" s="43"/>
      <c r="CX80" s="45"/>
      <c r="CY80" s="45"/>
      <c r="CZ80" s="45"/>
      <c r="DA80" s="45"/>
      <c r="DB80" s="45" t="str">
        <f t="shared" si="2"/>
        <v/>
      </c>
    </row>
    <row r="81" spans="1:106" ht="16.5">
      <c r="A81" s="40"/>
      <c r="B81" s="40"/>
      <c r="C81" s="40"/>
      <c r="D81" s="40"/>
      <c r="E81" s="40"/>
      <c r="F81" s="40"/>
      <c r="G81" s="40"/>
      <c r="H81" s="40"/>
      <c r="I81" s="40"/>
      <c r="J81" s="40"/>
      <c r="K81" s="40"/>
      <c r="L81" s="40"/>
      <c r="M81" s="41"/>
      <c r="N81" s="42"/>
      <c r="O81" s="40"/>
      <c r="P81" s="40"/>
      <c r="Q81" s="42"/>
      <c r="R81" s="42"/>
      <c r="S81" s="42"/>
      <c r="T81" s="40"/>
      <c r="U81" s="42"/>
      <c r="V81" s="40"/>
      <c r="W81" s="40"/>
      <c r="X81" s="42"/>
      <c r="Y81" s="40"/>
      <c r="Z81" s="40"/>
      <c r="AA81" s="42"/>
      <c r="AB81" s="42"/>
      <c r="AC81" s="42"/>
      <c r="AD81" s="40"/>
      <c r="AE81" s="42"/>
      <c r="AF81" s="40"/>
      <c r="AG81" s="40"/>
      <c r="AH81" s="42"/>
      <c r="AI81" s="40"/>
      <c r="AJ81" s="40"/>
      <c r="AK81" s="42"/>
      <c r="AL81" s="42"/>
      <c r="AM81" s="42"/>
      <c r="AN81" s="40"/>
      <c r="AO81" s="42"/>
      <c r="AP81" s="40"/>
      <c r="AQ81" s="40"/>
      <c r="AR81" s="42"/>
      <c r="AS81" s="40"/>
      <c r="AT81" s="40"/>
      <c r="AU81" s="42"/>
      <c r="AV81" s="42"/>
      <c r="AW81" s="42"/>
      <c r="AX81" s="40"/>
      <c r="AY81" s="42"/>
      <c r="AZ81" s="40"/>
      <c r="BA81" s="40"/>
      <c r="BB81" s="42"/>
      <c r="BC81" s="40"/>
      <c r="BD81" s="40"/>
      <c r="BE81" s="42"/>
      <c r="BF81" s="40"/>
      <c r="BG81" s="40"/>
      <c r="BH81" s="40"/>
      <c r="BI81" s="40"/>
      <c r="BJ81" s="43" t="str">
        <f t="shared" si="0"/>
        <v/>
      </c>
      <c r="BK81" s="43"/>
      <c r="BL81" s="40"/>
      <c r="BM81" s="44"/>
      <c r="BN81" s="40"/>
      <c r="BO81" s="40"/>
      <c r="BP81" s="40"/>
      <c r="BQ81" s="40"/>
      <c r="BR81" s="40"/>
      <c r="BS81" s="40"/>
      <c r="BT81" s="40"/>
      <c r="BU81" s="43" t="str">
        <f t="shared" si="1"/>
        <v/>
      </c>
      <c r="BV81" s="43"/>
      <c r="BW81" s="40"/>
      <c r="BX81" s="44"/>
      <c r="BY81" s="40"/>
      <c r="BZ81" s="40"/>
      <c r="CA81" s="40"/>
      <c r="CB81" s="40"/>
      <c r="CC81" s="40"/>
      <c r="CD81" s="40"/>
      <c r="CE81" s="40"/>
      <c r="CF81" s="40"/>
      <c r="CG81" s="44"/>
      <c r="CH81" s="43"/>
      <c r="CI81" s="40"/>
      <c r="CJ81" s="40"/>
      <c r="CK81" s="40"/>
      <c r="CL81" s="44"/>
      <c r="CM81" s="43"/>
      <c r="CN81" s="40"/>
      <c r="CO81" s="40"/>
      <c r="CP81" s="40"/>
      <c r="CQ81" s="44"/>
      <c r="CR81" s="43"/>
      <c r="CS81" s="40"/>
      <c r="CT81" s="40"/>
      <c r="CU81" s="40"/>
      <c r="CV81" s="44"/>
      <c r="CW81" s="43"/>
      <c r="CX81" s="45"/>
      <c r="CY81" s="45"/>
      <c r="CZ81" s="45"/>
      <c r="DA81" s="45"/>
      <c r="DB81" s="45" t="str">
        <f t="shared" si="2"/>
        <v/>
      </c>
    </row>
    <row r="82" spans="1:106" ht="16.5">
      <c r="A82" s="40"/>
      <c r="B82" s="40"/>
      <c r="C82" s="40"/>
      <c r="D82" s="40"/>
      <c r="E82" s="40"/>
      <c r="F82" s="40"/>
      <c r="G82" s="40"/>
      <c r="H82" s="40"/>
      <c r="I82" s="40"/>
      <c r="J82" s="40"/>
      <c r="K82" s="40"/>
      <c r="L82" s="40"/>
      <c r="M82" s="41"/>
      <c r="N82" s="42"/>
      <c r="O82" s="40"/>
      <c r="P82" s="40"/>
      <c r="Q82" s="42"/>
      <c r="R82" s="42"/>
      <c r="S82" s="42"/>
      <c r="T82" s="40"/>
      <c r="U82" s="42"/>
      <c r="V82" s="40"/>
      <c r="W82" s="40"/>
      <c r="X82" s="42"/>
      <c r="Y82" s="40"/>
      <c r="Z82" s="40"/>
      <c r="AA82" s="42"/>
      <c r="AB82" s="42"/>
      <c r="AC82" s="42"/>
      <c r="AD82" s="40"/>
      <c r="AE82" s="42"/>
      <c r="AF82" s="40"/>
      <c r="AG82" s="40"/>
      <c r="AH82" s="42"/>
      <c r="AI82" s="40"/>
      <c r="AJ82" s="40"/>
      <c r="AK82" s="42"/>
      <c r="AL82" s="42"/>
      <c r="AM82" s="42"/>
      <c r="AN82" s="40"/>
      <c r="AO82" s="42"/>
      <c r="AP82" s="40"/>
      <c r="AQ82" s="40"/>
      <c r="AR82" s="42"/>
      <c r="AS82" s="40"/>
      <c r="AT82" s="40"/>
      <c r="AU82" s="42"/>
      <c r="AV82" s="42"/>
      <c r="AW82" s="42"/>
      <c r="AX82" s="40"/>
      <c r="AY82" s="42"/>
      <c r="AZ82" s="40"/>
      <c r="BA82" s="40"/>
      <c r="BB82" s="42"/>
      <c r="BC82" s="40"/>
      <c r="BD82" s="40"/>
      <c r="BE82" s="42"/>
      <c r="BF82" s="40"/>
      <c r="BG82" s="40"/>
      <c r="BH82" s="40"/>
      <c r="BI82" s="40"/>
      <c r="BJ82" s="43" t="str">
        <f t="shared" si="0"/>
        <v/>
      </c>
      <c r="BK82" s="43"/>
      <c r="BL82" s="40"/>
      <c r="BM82" s="44"/>
      <c r="BN82" s="40"/>
      <c r="BO82" s="40"/>
      <c r="BP82" s="40"/>
      <c r="BQ82" s="40"/>
      <c r="BR82" s="40"/>
      <c r="BS82" s="40"/>
      <c r="BT82" s="40"/>
      <c r="BU82" s="43" t="str">
        <f t="shared" si="1"/>
        <v/>
      </c>
      <c r="BV82" s="43"/>
      <c r="BW82" s="40"/>
      <c r="BX82" s="44"/>
      <c r="BY82" s="40"/>
      <c r="BZ82" s="40"/>
      <c r="CA82" s="40"/>
      <c r="CB82" s="40"/>
      <c r="CC82" s="40"/>
      <c r="CD82" s="40"/>
      <c r="CE82" s="40"/>
      <c r="CF82" s="40"/>
      <c r="CG82" s="44"/>
      <c r="CH82" s="43"/>
      <c r="CI82" s="40"/>
      <c r="CJ82" s="40"/>
      <c r="CK82" s="40"/>
      <c r="CL82" s="44"/>
      <c r="CM82" s="43"/>
      <c r="CN82" s="40"/>
      <c r="CO82" s="40"/>
      <c r="CP82" s="40"/>
      <c r="CQ82" s="44"/>
      <c r="CR82" s="43"/>
      <c r="CS82" s="40"/>
      <c r="CT82" s="40"/>
      <c r="CU82" s="40"/>
      <c r="CV82" s="44"/>
      <c r="CW82" s="43"/>
      <c r="CX82" s="45"/>
      <c r="CY82" s="45"/>
      <c r="CZ82" s="45"/>
      <c r="DA82" s="45"/>
      <c r="DB82" s="45" t="str">
        <f t="shared" si="2"/>
        <v/>
      </c>
    </row>
    <row r="83" spans="1:106" ht="16.5">
      <c r="A83" s="40"/>
      <c r="B83" s="40"/>
      <c r="C83" s="40"/>
      <c r="D83" s="40"/>
      <c r="E83" s="40"/>
      <c r="F83" s="40"/>
      <c r="G83" s="40"/>
      <c r="H83" s="40"/>
      <c r="I83" s="40"/>
      <c r="J83" s="40"/>
      <c r="K83" s="40"/>
      <c r="L83" s="40"/>
      <c r="M83" s="41"/>
      <c r="N83" s="42"/>
      <c r="O83" s="40"/>
      <c r="P83" s="40"/>
      <c r="Q83" s="42"/>
      <c r="R83" s="42"/>
      <c r="S83" s="42"/>
      <c r="T83" s="40"/>
      <c r="U83" s="42"/>
      <c r="V83" s="40"/>
      <c r="W83" s="40"/>
      <c r="X83" s="42"/>
      <c r="Y83" s="40"/>
      <c r="Z83" s="40"/>
      <c r="AA83" s="42"/>
      <c r="AB83" s="42"/>
      <c r="AC83" s="42"/>
      <c r="AD83" s="40"/>
      <c r="AE83" s="42"/>
      <c r="AF83" s="40"/>
      <c r="AG83" s="40"/>
      <c r="AH83" s="42"/>
      <c r="AI83" s="40"/>
      <c r="AJ83" s="40"/>
      <c r="AK83" s="42"/>
      <c r="AL83" s="42"/>
      <c r="AM83" s="42"/>
      <c r="AN83" s="40"/>
      <c r="AO83" s="42"/>
      <c r="AP83" s="40"/>
      <c r="AQ83" s="40"/>
      <c r="AR83" s="42"/>
      <c r="AS83" s="40"/>
      <c r="AT83" s="40"/>
      <c r="AU83" s="42"/>
      <c r="AV83" s="42"/>
      <c r="AW83" s="42"/>
      <c r="AX83" s="40"/>
      <c r="AY83" s="42"/>
      <c r="AZ83" s="40"/>
      <c r="BA83" s="40"/>
      <c r="BB83" s="42"/>
      <c r="BC83" s="40"/>
      <c r="BD83" s="40"/>
      <c r="BE83" s="42"/>
      <c r="BF83" s="40"/>
      <c r="BG83" s="40"/>
      <c r="BH83" s="40"/>
      <c r="BI83" s="40"/>
      <c r="BJ83" s="43" t="str">
        <f t="shared" si="0"/>
        <v/>
      </c>
      <c r="BK83" s="43"/>
      <c r="BL83" s="40"/>
      <c r="BM83" s="44"/>
      <c r="BN83" s="40"/>
      <c r="BO83" s="40"/>
      <c r="BP83" s="40"/>
      <c r="BQ83" s="40"/>
      <c r="BR83" s="40"/>
      <c r="BS83" s="40"/>
      <c r="BT83" s="40"/>
      <c r="BU83" s="43" t="str">
        <f t="shared" si="1"/>
        <v/>
      </c>
      <c r="BV83" s="43"/>
      <c r="BW83" s="40"/>
      <c r="BX83" s="44"/>
      <c r="BY83" s="40"/>
      <c r="BZ83" s="40"/>
      <c r="CA83" s="40"/>
      <c r="CB83" s="40"/>
      <c r="CC83" s="40"/>
      <c r="CD83" s="40"/>
      <c r="CE83" s="40"/>
      <c r="CF83" s="40"/>
      <c r="CG83" s="44"/>
      <c r="CH83" s="43"/>
      <c r="CI83" s="40"/>
      <c r="CJ83" s="40"/>
      <c r="CK83" s="40"/>
      <c r="CL83" s="44"/>
      <c r="CM83" s="43"/>
      <c r="CN83" s="40"/>
      <c r="CO83" s="40"/>
      <c r="CP83" s="40"/>
      <c r="CQ83" s="44"/>
      <c r="CR83" s="43"/>
      <c r="CS83" s="40"/>
      <c r="CT83" s="40"/>
      <c r="CU83" s="40"/>
      <c r="CV83" s="44"/>
      <c r="CW83" s="43"/>
      <c r="CX83" s="45"/>
      <c r="CY83" s="45"/>
      <c r="CZ83" s="45"/>
      <c r="DA83" s="45"/>
      <c r="DB83" s="45" t="str">
        <f t="shared" si="2"/>
        <v/>
      </c>
    </row>
    <row r="84" spans="1:106" ht="16.5">
      <c r="A84" s="40"/>
      <c r="B84" s="40"/>
      <c r="C84" s="40"/>
      <c r="D84" s="40"/>
      <c r="E84" s="40"/>
      <c r="F84" s="40"/>
      <c r="G84" s="40"/>
      <c r="H84" s="40"/>
      <c r="I84" s="40"/>
      <c r="J84" s="40"/>
      <c r="K84" s="40"/>
      <c r="L84" s="40"/>
      <c r="M84" s="41"/>
      <c r="N84" s="42"/>
      <c r="O84" s="40"/>
      <c r="P84" s="40"/>
      <c r="Q84" s="42"/>
      <c r="R84" s="42"/>
      <c r="S84" s="42"/>
      <c r="T84" s="40"/>
      <c r="U84" s="42"/>
      <c r="V84" s="40"/>
      <c r="W84" s="40"/>
      <c r="X84" s="42"/>
      <c r="Y84" s="40"/>
      <c r="Z84" s="40"/>
      <c r="AA84" s="42"/>
      <c r="AB84" s="42"/>
      <c r="AC84" s="42"/>
      <c r="AD84" s="40"/>
      <c r="AE84" s="42"/>
      <c r="AF84" s="40"/>
      <c r="AG84" s="40"/>
      <c r="AH84" s="42"/>
      <c r="AI84" s="40"/>
      <c r="AJ84" s="40"/>
      <c r="AK84" s="42"/>
      <c r="AL84" s="42"/>
      <c r="AM84" s="42"/>
      <c r="AN84" s="40"/>
      <c r="AO84" s="42"/>
      <c r="AP84" s="40"/>
      <c r="AQ84" s="40"/>
      <c r="AR84" s="42"/>
      <c r="AS84" s="40"/>
      <c r="AT84" s="40"/>
      <c r="AU84" s="42"/>
      <c r="AV84" s="42"/>
      <c r="AW84" s="42"/>
      <c r="AX84" s="40"/>
      <c r="AY84" s="42"/>
      <c r="AZ84" s="40"/>
      <c r="BA84" s="40"/>
      <c r="BB84" s="42"/>
      <c r="BC84" s="40"/>
      <c r="BD84" s="40"/>
      <c r="BE84" s="42"/>
      <c r="BF84" s="40"/>
      <c r="BG84" s="40"/>
      <c r="BH84" s="40"/>
      <c r="BI84" s="40"/>
      <c r="BJ84" s="43" t="str">
        <f t="shared" si="0"/>
        <v/>
      </c>
      <c r="BK84" s="43"/>
      <c r="BL84" s="40"/>
      <c r="BM84" s="44"/>
      <c r="BN84" s="40"/>
      <c r="BO84" s="40"/>
      <c r="BP84" s="40"/>
      <c r="BQ84" s="40"/>
      <c r="BR84" s="40"/>
      <c r="BS84" s="40"/>
      <c r="BT84" s="40"/>
      <c r="BU84" s="43" t="str">
        <f t="shared" si="1"/>
        <v/>
      </c>
      <c r="BV84" s="43"/>
      <c r="BW84" s="40"/>
      <c r="BX84" s="44"/>
      <c r="BY84" s="40"/>
      <c r="BZ84" s="40"/>
      <c r="CA84" s="40"/>
      <c r="CB84" s="40"/>
      <c r="CC84" s="40"/>
      <c r="CD84" s="40"/>
      <c r="CE84" s="40"/>
      <c r="CF84" s="40"/>
      <c r="CG84" s="44"/>
      <c r="CH84" s="43"/>
      <c r="CI84" s="40"/>
      <c r="CJ84" s="40"/>
      <c r="CK84" s="40"/>
      <c r="CL84" s="44"/>
      <c r="CM84" s="43"/>
      <c r="CN84" s="40"/>
      <c r="CO84" s="40"/>
      <c r="CP84" s="40"/>
      <c r="CQ84" s="44"/>
      <c r="CR84" s="43"/>
      <c r="CS84" s="40"/>
      <c r="CT84" s="40"/>
      <c r="CU84" s="40"/>
      <c r="CV84" s="44"/>
      <c r="CW84" s="43"/>
      <c r="CX84" s="45"/>
      <c r="CY84" s="45"/>
      <c r="CZ84" s="45"/>
      <c r="DA84" s="45"/>
      <c r="DB84" s="45" t="str">
        <f t="shared" si="2"/>
        <v/>
      </c>
    </row>
    <row r="85" spans="1:106" ht="16.5">
      <c r="A85" s="40"/>
      <c r="B85" s="40"/>
      <c r="C85" s="40"/>
      <c r="D85" s="40"/>
      <c r="E85" s="40"/>
      <c r="F85" s="40"/>
      <c r="G85" s="40"/>
      <c r="H85" s="40"/>
      <c r="I85" s="40"/>
      <c r="J85" s="40"/>
      <c r="K85" s="40"/>
      <c r="L85" s="40"/>
      <c r="M85" s="41"/>
      <c r="N85" s="42"/>
      <c r="O85" s="40"/>
      <c r="P85" s="40"/>
      <c r="Q85" s="42"/>
      <c r="R85" s="42"/>
      <c r="S85" s="42"/>
      <c r="T85" s="40"/>
      <c r="U85" s="42"/>
      <c r="V85" s="40"/>
      <c r="W85" s="40"/>
      <c r="X85" s="42"/>
      <c r="Y85" s="40"/>
      <c r="Z85" s="40"/>
      <c r="AA85" s="42"/>
      <c r="AB85" s="42"/>
      <c r="AC85" s="42"/>
      <c r="AD85" s="40"/>
      <c r="AE85" s="42"/>
      <c r="AF85" s="40"/>
      <c r="AG85" s="40"/>
      <c r="AH85" s="42"/>
      <c r="AI85" s="40"/>
      <c r="AJ85" s="40"/>
      <c r="AK85" s="42"/>
      <c r="AL85" s="42"/>
      <c r="AM85" s="42"/>
      <c r="AN85" s="40"/>
      <c r="AO85" s="42"/>
      <c r="AP85" s="40"/>
      <c r="AQ85" s="40"/>
      <c r="AR85" s="42"/>
      <c r="AS85" s="40"/>
      <c r="AT85" s="40"/>
      <c r="AU85" s="42"/>
      <c r="AV85" s="42"/>
      <c r="AW85" s="42"/>
      <c r="AX85" s="40"/>
      <c r="AY85" s="42"/>
      <c r="AZ85" s="40"/>
      <c r="BA85" s="40"/>
      <c r="BB85" s="42"/>
      <c r="BC85" s="40"/>
      <c r="BD85" s="40"/>
      <c r="BE85" s="42"/>
      <c r="BF85" s="40"/>
      <c r="BG85" s="40"/>
      <c r="BH85" s="40"/>
      <c r="BI85" s="40"/>
      <c r="BJ85" s="43" t="str">
        <f t="shared" si="0"/>
        <v/>
      </c>
      <c r="BK85" s="43"/>
      <c r="BL85" s="40"/>
      <c r="BM85" s="44"/>
      <c r="BN85" s="40"/>
      <c r="BO85" s="40"/>
      <c r="BP85" s="40"/>
      <c r="BQ85" s="40"/>
      <c r="BR85" s="40"/>
      <c r="BS85" s="40"/>
      <c r="BT85" s="40"/>
      <c r="BU85" s="43" t="str">
        <f t="shared" si="1"/>
        <v/>
      </c>
      <c r="BV85" s="43"/>
      <c r="BW85" s="40"/>
      <c r="BX85" s="44"/>
      <c r="BY85" s="40"/>
      <c r="BZ85" s="40"/>
      <c r="CA85" s="40"/>
      <c r="CB85" s="40"/>
      <c r="CC85" s="40"/>
      <c r="CD85" s="40"/>
      <c r="CE85" s="40"/>
      <c r="CF85" s="40"/>
      <c r="CG85" s="44"/>
      <c r="CH85" s="43"/>
      <c r="CI85" s="40"/>
      <c r="CJ85" s="40"/>
      <c r="CK85" s="40"/>
      <c r="CL85" s="44"/>
      <c r="CM85" s="43"/>
      <c r="CN85" s="40"/>
      <c r="CO85" s="40"/>
      <c r="CP85" s="40"/>
      <c r="CQ85" s="44"/>
      <c r="CR85" s="43"/>
      <c r="CS85" s="40"/>
      <c r="CT85" s="40"/>
      <c r="CU85" s="40"/>
      <c r="CV85" s="44"/>
      <c r="CW85" s="43"/>
      <c r="CX85" s="45"/>
      <c r="CY85" s="45"/>
      <c r="CZ85" s="45"/>
      <c r="DA85" s="45"/>
      <c r="DB85" s="45" t="str">
        <f t="shared" si="2"/>
        <v/>
      </c>
    </row>
    <row r="86" spans="1:106" ht="16.5">
      <c r="A86" s="40"/>
      <c r="B86" s="40"/>
      <c r="C86" s="40"/>
      <c r="D86" s="40"/>
      <c r="E86" s="40"/>
      <c r="F86" s="40"/>
      <c r="G86" s="40"/>
      <c r="H86" s="40"/>
      <c r="I86" s="40"/>
      <c r="J86" s="40"/>
      <c r="K86" s="40"/>
      <c r="L86" s="40"/>
      <c r="M86" s="41"/>
      <c r="N86" s="42"/>
      <c r="O86" s="40"/>
      <c r="P86" s="40"/>
      <c r="Q86" s="42"/>
      <c r="R86" s="42"/>
      <c r="S86" s="42"/>
      <c r="T86" s="40"/>
      <c r="U86" s="42"/>
      <c r="V86" s="40"/>
      <c r="W86" s="40"/>
      <c r="X86" s="42"/>
      <c r="Y86" s="40"/>
      <c r="Z86" s="40"/>
      <c r="AA86" s="42"/>
      <c r="AB86" s="42"/>
      <c r="AC86" s="42"/>
      <c r="AD86" s="40"/>
      <c r="AE86" s="42"/>
      <c r="AF86" s="40"/>
      <c r="AG86" s="40"/>
      <c r="AH86" s="42"/>
      <c r="AI86" s="40"/>
      <c r="AJ86" s="40"/>
      <c r="AK86" s="42"/>
      <c r="AL86" s="42"/>
      <c r="AM86" s="42"/>
      <c r="AN86" s="40"/>
      <c r="AO86" s="42"/>
      <c r="AP86" s="40"/>
      <c r="AQ86" s="40"/>
      <c r="AR86" s="42"/>
      <c r="AS86" s="40"/>
      <c r="AT86" s="40"/>
      <c r="AU86" s="42"/>
      <c r="AV86" s="42"/>
      <c r="AW86" s="42"/>
      <c r="AX86" s="40"/>
      <c r="AY86" s="42"/>
      <c r="AZ86" s="40"/>
      <c r="BA86" s="40"/>
      <c r="BB86" s="42"/>
      <c r="BC86" s="40"/>
      <c r="BD86" s="40"/>
      <c r="BE86" s="42"/>
      <c r="BF86" s="40"/>
      <c r="BG86" s="40"/>
      <c r="BH86" s="40"/>
      <c r="BI86" s="40"/>
      <c r="BJ86" s="43" t="str">
        <f t="shared" si="0"/>
        <v/>
      </c>
      <c r="BK86" s="43"/>
      <c r="BL86" s="40"/>
      <c r="BM86" s="44"/>
      <c r="BN86" s="40"/>
      <c r="BO86" s="40"/>
      <c r="BP86" s="40"/>
      <c r="BQ86" s="40"/>
      <c r="BR86" s="40"/>
      <c r="BS86" s="40"/>
      <c r="BT86" s="40"/>
      <c r="BU86" s="43" t="str">
        <f t="shared" si="1"/>
        <v/>
      </c>
      <c r="BV86" s="43"/>
      <c r="BW86" s="40"/>
      <c r="BX86" s="44"/>
      <c r="BY86" s="40"/>
      <c r="BZ86" s="40"/>
      <c r="CA86" s="40"/>
      <c r="CB86" s="40"/>
      <c r="CC86" s="40"/>
      <c r="CD86" s="40"/>
      <c r="CE86" s="40"/>
      <c r="CF86" s="40"/>
      <c r="CG86" s="44"/>
      <c r="CH86" s="43"/>
      <c r="CI86" s="40"/>
      <c r="CJ86" s="40"/>
      <c r="CK86" s="40"/>
      <c r="CL86" s="44"/>
      <c r="CM86" s="43"/>
      <c r="CN86" s="40"/>
      <c r="CO86" s="40"/>
      <c r="CP86" s="40"/>
      <c r="CQ86" s="44"/>
      <c r="CR86" s="43"/>
      <c r="CS86" s="40"/>
      <c r="CT86" s="40"/>
      <c r="CU86" s="40"/>
      <c r="CV86" s="44"/>
      <c r="CW86" s="43"/>
      <c r="CX86" s="45"/>
      <c r="CY86" s="45"/>
      <c r="CZ86" s="45"/>
      <c r="DA86" s="45"/>
      <c r="DB86" s="45" t="str">
        <f t="shared" si="2"/>
        <v/>
      </c>
    </row>
    <row r="87" spans="1:106" ht="16.5">
      <c r="A87" s="40"/>
      <c r="B87" s="40"/>
      <c r="C87" s="40"/>
      <c r="D87" s="40"/>
      <c r="E87" s="40"/>
      <c r="F87" s="40"/>
      <c r="G87" s="40"/>
      <c r="H87" s="40"/>
      <c r="I87" s="40"/>
      <c r="J87" s="40"/>
      <c r="K87" s="40"/>
      <c r="L87" s="40"/>
      <c r="M87" s="41"/>
      <c r="N87" s="42"/>
      <c r="O87" s="40"/>
      <c r="P87" s="40"/>
      <c r="Q87" s="42"/>
      <c r="R87" s="42"/>
      <c r="S87" s="42"/>
      <c r="T87" s="40"/>
      <c r="U87" s="42"/>
      <c r="V87" s="40"/>
      <c r="W87" s="40"/>
      <c r="X87" s="42"/>
      <c r="Y87" s="40"/>
      <c r="Z87" s="40"/>
      <c r="AA87" s="42"/>
      <c r="AB87" s="42"/>
      <c r="AC87" s="42"/>
      <c r="AD87" s="40"/>
      <c r="AE87" s="42"/>
      <c r="AF87" s="40"/>
      <c r="AG87" s="40"/>
      <c r="AH87" s="42"/>
      <c r="AI87" s="40"/>
      <c r="AJ87" s="40"/>
      <c r="AK87" s="42"/>
      <c r="AL87" s="42"/>
      <c r="AM87" s="42"/>
      <c r="AN87" s="40"/>
      <c r="AO87" s="42"/>
      <c r="AP87" s="40"/>
      <c r="AQ87" s="40"/>
      <c r="AR87" s="42"/>
      <c r="AS87" s="40"/>
      <c r="AT87" s="40"/>
      <c r="AU87" s="42"/>
      <c r="AV87" s="42"/>
      <c r="AW87" s="42"/>
      <c r="AX87" s="40"/>
      <c r="AY87" s="42"/>
      <c r="AZ87" s="40"/>
      <c r="BA87" s="40"/>
      <c r="BB87" s="42"/>
      <c r="BC87" s="40"/>
      <c r="BD87" s="40"/>
      <c r="BE87" s="42"/>
      <c r="BF87" s="40"/>
      <c r="BG87" s="40"/>
      <c r="BH87" s="40"/>
      <c r="BI87" s="40"/>
      <c r="BJ87" s="43" t="str">
        <f t="shared" si="0"/>
        <v/>
      </c>
      <c r="BK87" s="43"/>
      <c r="BL87" s="40"/>
      <c r="BM87" s="44"/>
      <c r="BN87" s="40"/>
      <c r="BO87" s="40"/>
      <c r="BP87" s="40"/>
      <c r="BQ87" s="40"/>
      <c r="BR87" s="40"/>
      <c r="BS87" s="40"/>
      <c r="BT87" s="40"/>
      <c r="BU87" s="43" t="str">
        <f t="shared" si="1"/>
        <v/>
      </c>
      <c r="BV87" s="43"/>
      <c r="BW87" s="40"/>
      <c r="BX87" s="44"/>
      <c r="BY87" s="40"/>
      <c r="BZ87" s="40"/>
      <c r="CA87" s="40"/>
      <c r="CB87" s="40"/>
      <c r="CC87" s="40"/>
      <c r="CD87" s="40"/>
      <c r="CE87" s="40"/>
      <c r="CF87" s="40"/>
      <c r="CG87" s="44"/>
      <c r="CH87" s="43"/>
      <c r="CI87" s="40"/>
      <c r="CJ87" s="40"/>
      <c r="CK87" s="40"/>
      <c r="CL87" s="44"/>
      <c r="CM87" s="43"/>
      <c r="CN87" s="40"/>
      <c r="CO87" s="40"/>
      <c r="CP87" s="40"/>
      <c r="CQ87" s="44"/>
      <c r="CR87" s="43"/>
      <c r="CS87" s="40"/>
      <c r="CT87" s="40"/>
      <c r="CU87" s="40"/>
      <c r="CV87" s="44"/>
      <c r="CW87" s="43"/>
      <c r="CX87" s="45"/>
      <c r="CY87" s="45"/>
      <c r="CZ87" s="45"/>
      <c r="DA87" s="45"/>
      <c r="DB87" s="45" t="str">
        <f t="shared" si="2"/>
        <v/>
      </c>
    </row>
    <row r="88" spans="1:106" ht="16.5">
      <c r="A88" s="40"/>
      <c r="B88" s="40"/>
      <c r="C88" s="40"/>
      <c r="D88" s="40"/>
      <c r="E88" s="40"/>
      <c r="F88" s="40"/>
      <c r="G88" s="40"/>
      <c r="H88" s="40"/>
      <c r="I88" s="40"/>
      <c r="J88" s="40"/>
      <c r="K88" s="40"/>
      <c r="L88" s="40"/>
      <c r="M88" s="41"/>
      <c r="N88" s="42"/>
      <c r="O88" s="40"/>
      <c r="P88" s="40"/>
      <c r="Q88" s="42"/>
      <c r="R88" s="42"/>
      <c r="S88" s="42"/>
      <c r="T88" s="40"/>
      <c r="U88" s="42"/>
      <c r="V88" s="40"/>
      <c r="W88" s="40"/>
      <c r="X88" s="42"/>
      <c r="Y88" s="40"/>
      <c r="Z88" s="40"/>
      <c r="AA88" s="42"/>
      <c r="AB88" s="42"/>
      <c r="AC88" s="42"/>
      <c r="AD88" s="40"/>
      <c r="AE88" s="42"/>
      <c r="AF88" s="40"/>
      <c r="AG88" s="40"/>
      <c r="AH88" s="42"/>
      <c r="AI88" s="40"/>
      <c r="AJ88" s="40"/>
      <c r="AK88" s="42"/>
      <c r="AL88" s="42"/>
      <c r="AM88" s="42"/>
      <c r="AN88" s="40"/>
      <c r="AO88" s="42"/>
      <c r="AP88" s="40"/>
      <c r="AQ88" s="40"/>
      <c r="AR88" s="42"/>
      <c r="AS88" s="40"/>
      <c r="AT88" s="40"/>
      <c r="AU88" s="42"/>
      <c r="AV88" s="42"/>
      <c r="AW88" s="42"/>
      <c r="AX88" s="40"/>
      <c r="AY88" s="42"/>
      <c r="AZ88" s="40"/>
      <c r="BA88" s="40"/>
      <c r="BB88" s="42"/>
      <c r="BC88" s="40"/>
      <c r="BD88" s="40"/>
      <c r="BE88" s="42"/>
      <c r="BF88" s="40"/>
      <c r="BG88" s="40"/>
      <c r="BH88" s="40"/>
      <c r="BI88" s="40"/>
      <c r="BJ88" s="43" t="str">
        <f t="shared" si="0"/>
        <v/>
      </c>
      <c r="BK88" s="43"/>
      <c r="BL88" s="40"/>
      <c r="BM88" s="44"/>
      <c r="BN88" s="40"/>
      <c r="BO88" s="40"/>
      <c r="BP88" s="40"/>
      <c r="BQ88" s="40"/>
      <c r="BR88" s="40"/>
      <c r="BS88" s="40"/>
      <c r="BT88" s="40"/>
      <c r="BU88" s="43" t="str">
        <f t="shared" si="1"/>
        <v/>
      </c>
      <c r="BV88" s="43"/>
      <c r="BW88" s="40"/>
      <c r="BX88" s="44"/>
      <c r="BY88" s="40"/>
      <c r="BZ88" s="40"/>
      <c r="CA88" s="40"/>
      <c r="CB88" s="40"/>
      <c r="CC88" s="40"/>
      <c r="CD88" s="40"/>
      <c r="CE88" s="40"/>
      <c r="CF88" s="40"/>
      <c r="CG88" s="44"/>
      <c r="CH88" s="43"/>
      <c r="CI88" s="40"/>
      <c r="CJ88" s="40"/>
      <c r="CK88" s="40"/>
      <c r="CL88" s="44"/>
      <c r="CM88" s="43"/>
      <c r="CN88" s="40"/>
      <c r="CO88" s="40"/>
      <c r="CP88" s="40"/>
      <c r="CQ88" s="44"/>
      <c r="CR88" s="43"/>
      <c r="CS88" s="40"/>
      <c r="CT88" s="40"/>
      <c r="CU88" s="40"/>
      <c r="CV88" s="44"/>
      <c r="CW88" s="43"/>
      <c r="CX88" s="45"/>
      <c r="CY88" s="45"/>
      <c r="CZ88" s="45"/>
      <c r="DA88" s="45"/>
      <c r="DB88" s="45" t="str">
        <f t="shared" si="2"/>
        <v/>
      </c>
    </row>
    <row r="89" spans="1:106" ht="16.5">
      <c r="A89" s="40"/>
      <c r="B89" s="40"/>
      <c r="C89" s="40"/>
      <c r="D89" s="40"/>
      <c r="E89" s="40"/>
      <c r="F89" s="40"/>
      <c r="G89" s="40"/>
      <c r="H89" s="40"/>
      <c r="I89" s="40"/>
      <c r="J89" s="40"/>
      <c r="K89" s="40"/>
      <c r="L89" s="40"/>
      <c r="M89" s="41"/>
      <c r="N89" s="42"/>
      <c r="O89" s="40"/>
      <c r="P89" s="40"/>
      <c r="Q89" s="42"/>
      <c r="R89" s="42"/>
      <c r="S89" s="42"/>
      <c r="T89" s="40"/>
      <c r="U89" s="42"/>
      <c r="V89" s="40"/>
      <c r="W89" s="40"/>
      <c r="X89" s="42"/>
      <c r="Y89" s="40"/>
      <c r="Z89" s="40"/>
      <c r="AA89" s="42"/>
      <c r="AB89" s="42"/>
      <c r="AC89" s="42"/>
      <c r="AD89" s="40"/>
      <c r="AE89" s="42"/>
      <c r="AF89" s="40"/>
      <c r="AG89" s="40"/>
      <c r="AH89" s="42"/>
      <c r="AI89" s="40"/>
      <c r="AJ89" s="40"/>
      <c r="AK89" s="42"/>
      <c r="AL89" s="42"/>
      <c r="AM89" s="42"/>
      <c r="AN89" s="40"/>
      <c r="AO89" s="42"/>
      <c r="AP89" s="40"/>
      <c r="AQ89" s="40"/>
      <c r="AR89" s="42"/>
      <c r="AS89" s="40"/>
      <c r="AT89" s="40"/>
      <c r="AU89" s="42"/>
      <c r="AV89" s="42"/>
      <c r="AW89" s="42"/>
      <c r="AX89" s="40"/>
      <c r="AY89" s="42"/>
      <c r="AZ89" s="40"/>
      <c r="BA89" s="40"/>
      <c r="BB89" s="42"/>
      <c r="BC89" s="40"/>
      <c r="BD89" s="40"/>
      <c r="BE89" s="42"/>
      <c r="BF89" s="40"/>
      <c r="BG89" s="40"/>
      <c r="BH89" s="40"/>
      <c r="BI89" s="40"/>
      <c r="BJ89" s="43" t="str">
        <f t="shared" si="0"/>
        <v/>
      </c>
      <c r="BK89" s="43"/>
      <c r="BL89" s="40"/>
      <c r="BM89" s="44"/>
      <c r="BN89" s="40"/>
      <c r="BO89" s="40"/>
      <c r="BP89" s="40"/>
      <c r="BQ89" s="40"/>
      <c r="BR89" s="40"/>
      <c r="BS89" s="40"/>
      <c r="BT89" s="40"/>
      <c r="BU89" s="43" t="str">
        <f t="shared" si="1"/>
        <v/>
      </c>
      <c r="BV89" s="43"/>
      <c r="BW89" s="40"/>
      <c r="BX89" s="44"/>
      <c r="BY89" s="40"/>
      <c r="BZ89" s="40"/>
      <c r="CA89" s="40"/>
      <c r="CB89" s="40"/>
      <c r="CC89" s="40"/>
      <c r="CD89" s="40"/>
      <c r="CE89" s="40"/>
      <c r="CF89" s="40"/>
      <c r="CG89" s="44"/>
      <c r="CH89" s="43"/>
      <c r="CI89" s="40"/>
      <c r="CJ89" s="40"/>
      <c r="CK89" s="40"/>
      <c r="CL89" s="44"/>
      <c r="CM89" s="43"/>
      <c r="CN89" s="40"/>
      <c r="CO89" s="40"/>
      <c r="CP89" s="40"/>
      <c r="CQ89" s="44"/>
      <c r="CR89" s="43"/>
      <c r="CS89" s="40"/>
      <c r="CT89" s="40"/>
      <c r="CU89" s="40"/>
      <c r="CV89" s="44"/>
      <c r="CW89" s="43"/>
      <c r="CX89" s="45"/>
      <c r="CY89" s="45"/>
      <c r="CZ89" s="45"/>
      <c r="DA89" s="45"/>
      <c r="DB89" s="45" t="str">
        <f t="shared" si="2"/>
        <v/>
      </c>
    </row>
    <row r="90" spans="1:106" ht="16.5">
      <c r="A90" s="40"/>
      <c r="B90" s="40"/>
      <c r="C90" s="40"/>
      <c r="D90" s="40"/>
      <c r="E90" s="40"/>
      <c r="F90" s="40"/>
      <c r="G90" s="40"/>
      <c r="H90" s="40"/>
      <c r="I90" s="40"/>
      <c r="J90" s="40"/>
      <c r="K90" s="40"/>
      <c r="L90" s="40"/>
      <c r="M90" s="41"/>
      <c r="N90" s="42"/>
      <c r="O90" s="40"/>
      <c r="P90" s="40"/>
      <c r="Q90" s="42"/>
      <c r="R90" s="42"/>
      <c r="S90" s="42"/>
      <c r="T90" s="40"/>
      <c r="U90" s="42"/>
      <c r="V90" s="40"/>
      <c r="W90" s="40"/>
      <c r="X90" s="42"/>
      <c r="Y90" s="40"/>
      <c r="Z90" s="40"/>
      <c r="AA90" s="42"/>
      <c r="AB90" s="42"/>
      <c r="AC90" s="42"/>
      <c r="AD90" s="40"/>
      <c r="AE90" s="42"/>
      <c r="AF90" s="40"/>
      <c r="AG90" s="40"/>
      <c r="AH90" s="42"/>
      <c r="AI90" s="40"/>
      <c r="AJ90" s="40"/>
      <c r="AK90" s="42"/>
      <c r="AL90" s="42"/>
      <c r="AM90" s="42"/>
      <c r="AN90" s="40"/>
      <c r="AO90" s="42"/>
      <c r="AP90" s="40"/>
      <c r="AQ90" s="40"/>
      <c r="AR90" s="42"/>
      <c r="AS90" s="40"/>
      <c r="AT90" s="40"/>
      <c r="AU90" s="42"/>
      <c r="AV90" s="42"/>
      <c r="AW90" s="42"/>
      <c r="AX90" s="40"/>
      <c r="AY90" s="42"/>
      <c r="AZ90" s="40"/>
      <c r="BA90" s="40"/>
      <c r="BB90" s="42"/>
      <c r="BC90" s="40"/>
      <c r="BD90" s="40"/>
      <c r="BE90" s="42"/>
      <c r="BF90" s="40"/>
      <c r="BG90" s="40"/>
      <c r="BH90" s="40"/>
      <c r="BI90" s="40"/>
      <c r="BJ90" s="43" t="str">
        <f t="shared" si="0"/>
        <v/>
      </c>
      <c r="BK90" s="43"/>
      <c r="BL90" s="40"/>
      <c r="BM90" s="44"/>
      <c r="BN90" s="40"/>
      <c r="BO90" s="40"/>
      <c r="BP90" s="40"/>
      <c r="BQ90" s="40"/>
      <c r="BR90" s="40"/>
      <c r="BS90" s="40"/>
      <c r="BT90" s="40"/>
      <c r="BU90" s="43" t="str">
        <f t="shared" si="1"/>
        <v/>
      </c>
      <c r="BV90" s="43"/>
      <c r="BW90" s="40"/>
      <c r="BX90" s="44"/>
      <c r="BY90" s="40"/>
      <c r="BZ90" s="40"/>
      <c r="CA90" s="40"/>
      <c r="CB90" s="40"/>
      <c r="CC90" s="40"/>
      <c r="CD90" s="40"/>
      <c r="CE90" s="40"/>
      <c r="CF90" s="40"/>
      <c r="CG90" s="44"/>
      <c r="CH90" s="43"/>
      <c r="CI90" s="40"/>
      <c r="CJ90" s="40"/>
      <c r="CK90" s="40"/>
      <c r="CL90" s="44"/>
      <c r="CM90" s="43"/>
      <c r="CN90" s="40"/>
      <c r="CO90" s="40"/>
      <c r="CP90" s="40"/>
      <c r="CQ90" s="44"/>
      <c r="CR90" s="43"/>
      <c r="CS90" s="40"/>
      <c r="CT90" s="40"/>
      <c r="CU90" s="40"/>
      <c r="CV90" s="44"/>
      <c r="CW90" s="43"/>
      <c r="CX90" s="45"/>
      <c r="CY90" s="45"/>
      <c r="CZ90" s="45"/>
      <c r="DA90" s="45"/>
      <c r="DB90" s="45" t="str">
        <f t="shared" si="2"/>
        <v/>
      </c>
    </row>
    <row r="91" spans="1:106" ht="16.5">
      <c r="A91" s="40"/>
      <c r="B91" s="40"/>
      <c r="C91" s="40"/>
      <c r="D91" s="40"/>
      <c r="E91" s="40"/>
      <c r="F91" s="40"/>
      <c r="G91" s="40"/>
      <c r="H91" s="40"/>
      <c r="I91" s="40"/>
      <c r="J91" s="40"/>
      <c r="K91" s="40"/>
      <c r="L91" s="40"/>
      <c r="M91" s="41"/>
      <c r="N91" s="42"/>
      <c r="O91" s="40"/>
      <c r="P91" s="40"/>
      <c r="Q91" s="42"/>
      <c r="R91" s="42"/>
      <c r="S91" s="42"/>
      <c r="T91" s="40"/>
      <c r="U91" s="42"/>
      <c r="V91" s="40"/>
      <c r="W91" s="40"/>
      <c r="X91" s="42"/>
      <c r="Y91" s="40"/>
      <c r="Z91" s="40"/>
      <c r="AA91" s="42"/>
      <c r="AB91" s="42"/>
      <c r="AC91" s="42"/>
      <c r="AD91" s="40"/>
      <c r="AE91" s="42"/>
      <c r="AF91" s="40"/>
      <c r="AG91" s="40"/>
      <c r="AH91" s="42"/>
      <c r="AI91" s="40"/>
      <c r="AJ91" s="40"/>
      <c r="AK91" s="42"/>
      <c r="AL91" s="42"/>
      <c r="AM91" s="42"/>
      <c r="AN91" s="40"/>
      <c r="AO91" s="42"/>
      <c r="AP91" s="40"/>
      <c r="AQ91" s="40"/>
      <c r="AR91" s="42"/>
      <c r="AS91" s="40"/>
      <c r="AT91" s="40"/>
      <c r="AU91" s="42"/>
      <c r="AV91" s="42"/>
      <c r="AW91" s="42"/>
      <c r="AX91" s="40"/>
      <c r="AY91" s="42"/>
      <c r="AZ91" s="40"/>
      <c r="BA91" s="40"/>
      <c r="BB91" s="42"/>
      <c r="BC91" s="40"/>
      <c r="BD91" s="40"/>
      <c r="BE91" s="42"/>
      <c r="BF91" s="40"/>
      <c r="BG91" s="40"/>
      <c r="BH91" s="40"/>
      <c r="BI91" s="40"/>
      <c r="BJ91" s="43" t="str">
        <f t="shared" si="0"/>
        <v/>
      </c>
      <c r="BK91" s="43"/>
      <c r="BL91" s="40"/>
      <c r="BM91" s="44"/>
      <c r="BN91" s="40"/>
      <c r="BO91" s="40"/>
      <c r="BP91" s="40"/>
      <c r="BQ91" s="40"/>
      <c r="BR91" s="40"/>
      <c r="BS91" s="40"/>
      <c r="BT91" s="40"/>
      <c r="BU91" s="43" t="str">
        <f t="shared" si="1"/>
        <v/>
      </c>
      <c r="BV91" s="43"/>
      <c r="BW91" s="40"/>
      <c r="BX91" s="44"/>
      <c r="BY91" s="40"/>
      <c r="BZ91" s="40"/>
      <c r="CA91" s="40"/>
      <c r="CB91" s="40"/>
      <c r="CC91" s="40"/>
      <c r="CD91" s="40"/>
      <c r="CE91" s="40"/>
      <c r="CF91" s="40"/>
      <c r="CG91" s="44"/>
      <c r="CH91" s="43"/>
      <c r="CI91" s="40"/>
      <c r="CJ91" s="40"/>
      <c r="CK91" s="40"/>
      <c r="CL91" s="44"/>
      <c r="CM91" s="43"/>
      <c r="CN91" s="40"/>
      <c r="CO91" s="40"/>
      <c r="CP91" s="40"/>
      <c r="CQ91" s="44"/>
      <c r="CR91" s="43"/>
      <c r="CS91" s="40"/>
      <c r="CT91" s="40"/>
      <c r="CU91" s="40"/>
      <c r="CV91" s="44"/>
      <c r="CW91" s="43"/>
      <c r="CX91" s="45"/>
      <c r="CY91" s="45"/>
      <c r="CZ91" s="45"/>
      <c r="DA91" s="45"/>
      <c r="DB91" s="45" t="str">
        <f t="shared" si="2"/>
        <v/>
      </c>
    </row>
    <row r="92" spans="1:106" ht="16.5">
      <c r="A92" s="40"/>
      <c r="B92" s="40"/>
      <c r="C92" s="40"/>
      <c r="D92" s="40"/>
      <c r="E92" s="40"/>
      <c r="F92" s="40"/>
      <c r="G92" s="40"/>
      <c r="H92" s="40"/>
      <c r="I92" s="40"/>
      <c r="J92" s="40"/>
      <c r="K92" s="40"/>
      <c r="L92" s="40"/>
      <c r="M92" s="41"/>
      <c r="N92" s="42"/>
      <c r="O92" s="40"/>
      <c r="P92" s="40"/>
      <c r="Q92" s="42"/>
      <c r="R92" s="42"/>
      <c r="S92" s="42"/>
      <c r="T92" s="40"/>
      <c r="U92" s="42"/>
      <c r="V92" s="40"/>
      <c r="W92" s="40"/>
      <c r="X92" s="42"/>
      <c r="Y92" s="40"/>
      <c r="Z92" s="40"/>
      <c r="AA92" s="42"/>
      <c r="AB92" s="42"/>
      <c r="AC92" s="42"/>
      <c r="AD92" s="40"/>
      <c r="AE92" s="42"/>
      <c r="AF92" s="40"/>
      <c r="AG92" s="40"/>
      <c r="AH92" s="42"/>
      <c r="AI92" s="40"/>
      <c r="AJ92" s="40"/>
      <c r="AK92" s="42"/>
      <c r="AL92" s="42"/>
      <c r="AM92" s="42"/>
      <c r="AN92" s="40"/>
      <c r="AO92" s="42"/>
      <c r="AP92" s="40"/>
      <c r="AQ92" s="40"/>
      <c r="AR92" s="42"/>
      <c r="AS92" s="40"/>
      <c r="AT92" s="40"/>
      <c r="AU92" s="42"/>
      <c r="AV92" s="42"/>
      <c r="AW92" s="42"/>
      <c r="AX92" s="40"/>
      <c r="AY92" s="42"/>
      <c r="AZ92" s="40"/>
      <c r="BA92" s="40"/>
      <c r="BB92" s="42"/>
      <c r="BC92" s="40"/>
      <c r="BD92" s="40"/>
      <c r="BE92" s="42"/>
      <c r="BF92" s="40"/>
      <c r="BG92" s="40"/>
      <c r="BH92" s="40"/>
      <c r="BI92" s="40"/>
      <c r="BJ92" s="43" t="str">
        <f t="shared" si="0"/>
        <v/>
      </c>
      <c r="BK92" s="43"/>
      <c r="BL92" s="40"/>
      <c r="BM92" s="44"/>
      <c r="BN92" s="40"/>
      <c r="BO92" s="40"/>
      <c r="BP92" s="40"/>
      <c r="BQ92" s="40"/>
      <c r="BR92" s="40"/>
      <c r="BS92" s="40"/>
      <c r="BT92" s="40"/>
      <c r="BU92" s="43" t="str">
        <f t="shared" si="1"/>
        <v/>
      </c>
      <c r="BV92" s="43"/>
      <c r="BW92" s="40"/>
      <c r="BX92" s="44"/>
      <c r="BY92" s="40"/>
      <c r="BZ92" s="40"/>
      <c r="CA92" s="40"/>
      <c r="CB92" s="40"/>
      <c r="CC92" s="40"/>
      <c r="CD92" s="40"/>
      <c r="CE92" s="40"/>
      <c r="CF92" s="40"/>
      <c r="CG92" s="44"/>
      <c r="CH92" s="43"/>
      <c r="CI92" s="40"/>
      <c r="CJ92" s="40"/>
      <c r="CK92" s="40"/>
      <c r="CL92" s="44"/>
      <c r="CM92" s="43"/>
      <c r="CN92" s="40"/>
      <c r="CO92" s="40"/>
      <c r="CP92" s="40"/>
      <c r="CQ92" s="44"/>
      <c r="CR92" s="43"/>
      <c r="CS92" s="40"/>
      <c r="CT92" s="40"/>
      <c r="CU92" s="40"/>
      <c r="CV92" s="44"/>
      <c r="CW92" s="43"/>
      <c r="CX92" s="45"/>
      <c r="CY92" s="45"/>
      <c r="CZ92" s="45"/>
      <c r="DA92" s="45"/>
      <c r="DB92" s="45" t="str">
        <f t="shared" si="2"/>
        <v/>
      </c>
    </row>
    <row r="93" spans="1:106" ht="16.5">
      <c r="A93" s="40"/>
      <c r="B93" s="40"/>
      <c r="C93" s="40"/>
      <c r="D93" s="40"/>
      <c r="E93" s="40"/>
      <c r="F93" s="40"/>
      <c r="G93" s="40"/>
      <c r="H93" s="40"/>
      <c r="I93" s="40"/>
      <c r="J93" s="40"/>
      <c r="K93" s="40"/>
      <c r="L93" s="40"/>
      <c r="M93" s="41"/>
      <c r="N93" s="42"/>
      <c r="O93" s="40"/>
      <c r="P93" s="40"/>
      <c r="Q93" s="42"/>
      <c r="R93" s="42"/>
      <c r="S93" s="42"/>
      <c r="T93" s="40"/>
      <c r="U93" s="42"/>
      <c r="V93" s="40"/>
      <c r="W93" s="40"/>
      <c r="X93" s="42"/>
      <c r="Y93" s="40"/>
      <c r="Z93" s="40"/>
      <c r="AA93" s="42"/>
      <c r="AB93" s="42"/>
      <c r="AC93" s="42"/>
      <c r="AD93" s="40"/>
      <c r="AE93" s="42"/>
      <c r="AF93" s="40"/>
      <c r="AG93" s="40"/>
      <c r="AH93" s="42"/>
      <c r="AI93" s="40"/>
      <c r="AJ93" s="40"/>
      <c r="AK93" s="42"/>
      <c r="AL93" s="42"/>
      <c r="AM93" s="42"/>
      <c r="AN93" s="40"/>
      <c r="AO93" s="42"/>
      <c r="AP93" s="40"/>
      <c r="AQ93" s="40"/>
      <c r="AR93" s="42"/>
      <c r="AS93" s="40"/>
      <c r="AT93" s="40"/>
      <c r="AU93" s="42"/>
      <c r="AV93" s="42"/>
      <c r="AW93" s="42"/>
      <c r="AX93" s="40"/>
      <c r="AY93" s="42"/>
      <c r="AZ93" s="40"/>
      <c r="BA93" s="40"/>
      <c r="BB93" s="42"/>
      <c r="BC93" s="40"/>
      <c r="BD93" s="40"/>
      <c r="BE93" s="42"/>
      <c r="BF93" s="40"/>
      <c r="BG93" s="40"/>
      <c r="BH93" s="40"/>
      <c r="BI93" s="40"/>
      <c r="BJ93" s="43" t="str">
        <f t="shared" si="0"/>
        <v/>
      </c>
      <c r="BK93" s="43"/>
      <c r="BL93" s="40"/>
      <c r="BM93" s="44"/>
      <c r="BN93" s="40"/>
      <c r="BO93" s="40"/>
      <c r="BP93" s="40"/>
      <c r="BQ93" s="40"/>
      <c r="BR93" s="40"/>
      <c r="BS93" s="40"/>
      <c r="BT93" s="40"/>
      <c r="BU93" s="43" t="str">
        <f t="shared" si="1"/>
        <v/>
      </c>
      <c r="BV93" s="43"/>
      <c r="BW93" s="40"/>
      <c r="BX93" s="44"/>
      <c r="BY93" s="40"/>
      <c r="BZ93" s="40"/>
      <c r="CA93" s="40"/>
      <c r="CB93" s="40"/>
      <c r="CC93" s="40"/>
      <c r="CD93" s="40"/>
      <c r="CE93" s="40"/>
      <c r="CF93" s="40"/>
      <c r="CG93" s="44"/>
      <c r="CH93" s="43"/>
      <c r="CI93" s="40"/>
      <c r="CJ93" s="40"/>
      <c r="CK93" s="40"/>
      <c r="CL93" s="44"/>
      <c r="CM93" s="43"/>
      <c r="CN93" s="40"/>
      <c r="CO93" s="40"/>
      <c r="CP93" s="40"/>
      <c r="CQ93" s="44"/>
      <c r="CR93" s="43"/>
      <c r="CS93" s="40"/>
      <c r="CT93" s="40"/>
      <c r="CU93" s="40"/>
      <c r="CV93" s="44"/>
      <c r="CW93" s="43"/>
      <c r="CX93" s="45"/>
      <c r="CY93" s="45"/>
      <c r="CZ93" s="45"/>
      <c r="DA93" s="45"/>
      <c r="DB93" s="45" t="str">
        <f t="shared" si="2"/>
        <v/>
      </c>
    </row>
    <row r="94" spans="1:106" ht="16.5">
      <c r="A94" s="40"/>
      <c r="B94" s="40"/>
      <c r="C94" s="40"/>
      <c r="D94" s="40"/>
      <c r="E94" s="40"/>
      <c r="F94" s="40"/>
      <c r="G94" s="40"/>
      <c r="H94" s="40"/>
      <c r="I94" s="40"/>
      <c r="J94" s="40"/>
      <c r="K94" s="40"/>
      <c r="L94" s="40"/>
      <c r="M94" s="41"/>
      <c r="N94" s="42"/>
      <c r="O94" s="40"/>
      <c r="P94" s="40"/>
      <c r="Q94" s="42"/>
      <c r="R94" s="42"/>
      <c r="S94" s="42"/>
      <c r="T94" s="40"/>
      <c r="U94" s="42"/>
      <c r="V94" s="40"/>
      <c r="W94" s="40"/>
      <c r="X94" s="42"/>
      <c r="Y94" s="40"/>
      <c r="Z94" s="40"/>
      <c r="AA94" s="42"/>
      <c r="AB94" s="42"/>
      <c r="AC94" s="42"/>
      <c r="AD94" s="40"/>
      <c r="AE94" s="42"/>
      <c r="AF94" s="40"/>
      <c r="AG94" s="40"/>
      <c r="AH94" s="42"/>
      <c r="AI94" s="40"/>
      <c r="AJ94" s="40"/>
      <c r="AK94" s="42"/>
      <c r="AL94" s="42"/>
      <c r="AM94" s="42"/>
      <c r="AN94" s="40"/>
      <c r="AO94" s="42"/>
      <c r="AP94" s="40"/>
      <c r="AQ94" s="40"/>
      <c r="AR94" s="42"/>
      <c r="AS94" s="40"/>
      <c r="AT94" s="40"/>
      <c r="AU94" s="42"/>
      <c r="AV94" s="42"/>
      <c r="AW94" s="42"/>
      <c r="AX94" s="40"/>
      <c r="AY94" s="42"/>
      <c r="AZ94" s="40"/>
      <c r="BA94" s="40"/>
      <c r="BB94" s="42"/>
      <c r="BC94" s="40"/>
      <c r="BD94" s="40"/>
      <c r="BE94" s="42"/>
      <c r="BF94" s="40"/>
      <c r="BG94" s="40"/>
      <c r="BH94" s="40"/>
      <c r="BI94" s="40"/>
      <c r="BJ94" s="43" t="str">
        <f t="shared" si="0"/>
        <v/>
      </c>
      <c r="BK94" s="43"/>
      <c r="BL94" s="40"/>
      <c r="BM94" s="44"/>
      <c r="BN94" s="40"/>
      <c r="BO94" s="40"/>
      <c r="BP94" s="40"/>
      <c r="BQ94" s="40"/>
      <c r="BR94" s="40"/>
      <c r="BS94" s="40"/>
      <c r="BT94" s="40"/>
      <c r="BU94" s="43" t="str">
        <f t="shared" si="1"/>
        <v/>
      </c>
      <c r="BV94" s="43"/>
      <c r="BW94" s="40"/>
      <c r="BX94" s="44"/>
      <c r="BY94" s="40"/>
      <c r="BZ94" s="40"/>
      <c r="CA94" s="40"/>
      <c r="CB94" s="40"/>
      <c r="CC94" s="40"/>
      <c r="CD94" s="40"/>
      <c r="CE94" s="40"/>
      <c r="CF94" s="40"/>
      <c r="CG94" s="44"/>
      <c r="CH94" s="43"/>
      <c r="CI94" s="40"/>
      <c r="CJ94" s="40"/>
      <c r="CK94" s="40"/>
      <c r="CL94" s="44"/>
      <c r="CM94" s="43"/>
      <c r="CN94" s="40"/>
      <c r="CO94" s="40"/>
      <c r="CP94" s="40"/>
      <c r="CQ94" s="44"/>
      <c r="CR94" s="43"/>
      <c r="CS94" s="40"/>
      <c r="CT94" s="40"/>
      <c r="CU94" s="40"/>
      <c r="CV94" s="44"/>
      <c r="CW94" s="43"/>
      <c r="CX94" s="45"/>
      <c r="CY94" s="45"/>
      <c r="CZ94" s="45"/>
      <c r="DA94" s="45"/>
      <c r="DB94" s="45" t="str">
        <f t="shared" si="2"/>
        <v/>
      </c>
    </row>
    <row r="95" spans="1:106" ht="16.5">
      <c r="A95" s="40"/>
      <c r="B95" s="40"/>
      <c r="C95" s="40"/>
      <c r="D95" s="40"/>
      <c r="E95" s="40"/>
      <c r="F95" s="40"/>
      <c r="G95" s="40"/>
      <c r="H95" s="40"/>
      <c r="I95" s="40"/>
      <c r="J95" s="40"/>
      <c r="K95" s="40"/>
      <c r="L95" s="40"/>
      <c r="M95" s="41"/>
      <c r="N95" s="42"/>
      <c r="O95" s="40"/>
      <c r="P95" s="40"/>
      <c r="Q95" s="42"/>
      <c r="R95" s="42"/>
      <c r="S95" s="42"/>
      <c r="T95" s="40"/>
      <c r="U95" s="42"/>
      <c r="V95" s="40"/>
      <c r="W95" s="40"/>
      <c r="X95" s="42"/>
      <c r="Y95" s="40"/>
      <c r="Z95" s="40"/>
      <c r="AA95" s="42"/>
      <c r="AB95" s="42"/>
      <c r="AC95" s="42"/>
      <c r="AD95" s="40"/>
      <c r="AE95" s="42"/>
      <c r="AF95" s="40"/>
      <c r="AG95" s="40"/>
      <c r="AH95" s="42"/>
      <c r="AI95" s="40"/>
      <c r="AJ95" s="40"/>
      <c r="AK95" s="42"/>
      <c r="AL95" s="42"/>
      <c r="AM95" s="42"/>
      <c r="AN95" s="40"/>
      <c r="AO95" s="42"/>
      <c r="AP95" s="40"/>
      <c r="AQ95" s="40"/>
      <c r="AR95" s="42"/>
      <c r="AS95" s="40"/>
      <c r="AT95" s="40"/>
      <c r="AU95" s="42"/>
      <c r="AV95" s="42"/>
      <c r="AW95" s="42"/>
      <c r="AX95" s="40"/>
      <c r="AY95" s="42"/>
      <c r="AZ95" s="40"/>
      <c r="BA95" s="40"/>
      <c r="BB95" s="42"/>
      <c r="BC95" s="40"/>
      <c r="BD95" s="40"/>
      <c r="BE95" s="42"/>
      <c r="BF95" s="40"/>
      <c r="BG95" s="40"/>
      <c r="BH95" s="40"/>
      <c r="BI95" s="40"/>
      <c r="BJ95" s="43" t="str">
        <f t="shared" si="0"/>
        <v/>
      </c>
      <c r="BK95" s="43"/>
      <c r="BL95" s="40"/>
      <c r="BM95" s="44"/>
      <c r="BN95" s="40"/>
      <c r="BO95" s="40"/>
      <c r="BP95" s="40"/>
      <c r="BQ95" s="40"/>
      <c r="BR95" s="40"/>
      <c r="BS95" s="40"/>
      <c r="BT95" s="40"/>
      <c r="BU95" s="43" t="str">
        <f t="shared" si="1"/>
        <v/>
      </c>
      <c r="BV95" s="43"/>
      <c r="BW95" s="40"/>
      <c r="BX95" s="44"/>
      <c r="BY95" s="40"/>
      <c r="BZ95" s="40"/>
      <c r="CA95" s="40"/>
      <c r="CB95" s="40"/>
      <c r="CC95" s="40"/>
      <c r="CD95" s="40"/>
      <c r="CE95" s="40"/>
      <c r="CF95" s="40"/>
      <c r="CG95" s="44"/>
      <c r="CH95" s="43"/>
      <c r="CI95" s="40"/>
      <c r="CJ95" s="40"/>
      <c r="CK95" s="40"/>
      <c r="CL95" s="44"/>
      <c r="CM95" s="43"/>
      <c r="CN95" s="40"/>
      <c r="CO95" s="40"/>
      <c r="CP95" s="40"/>
      <c r="CQ95" s="44"/>
      <c r="CR95" s="43"/>
      <c r="CS95" s="40"/>
      <c r="CT95" s="40"/>
      <c r="CU95" s="40"/>
      <c r="CV95" s="44"/>
      <c r="CW95" s="43"/>
      <c r="CX95" s="45"/>
      <c r="CY95" s="45"/>
      <c r="CZ95" s="45"/>
      <c r="DA95" s="45"/>
      <c r="DB95" s="45" t="str">
        <f t="shared" si="2"/>
        <v/>
      </c>
    </row>
    <row r="96" spans="1:106" ht="16.5">
      <c r="A96" s="40"/>
      <c r="B96" s="40"/>
      <c r="C96" s="40"/>
      <c r="D96" s="40"/>
      <c r="E96" s="40"/>
      <c r="F96" s="40"/>
      <c r="G96" s="40"/>
      <c r="H96" s="40"/>
      <c r="I96" s="40"/>
      <c r="J96" s="40"/>
      <c r="K96" s="40"/>
      <c r="L96" s="40"/>
      <c r="M96" s="41"/>
      <c r="N96" s="42"/>
      <c r="O96" s="40"/>
      <c r="P96" s="40"/>
      <c r="Q96" s="42"/>
      <c r="R96" s="42"/>
      <c r="S96" s="42"/>
      <c r="T96" s="40"/>
      <c r="U96" s="42"/>
      <c r="V96" s="40"/>
      <c r="W96" s="40"/>
      <c r="X96" s="42"/>
      <c r="Y96" s="40"/>
      <c r="Z96" s="40"/>
      <c r="AA96" s="42"/>
      <c r="AB96" s="42"/>
      <c r="AC96" s="42"/>
      <c r="AD96" s="40"/>
      <c r="AE96" s="42"/>
      <c r="AF96" s="40"/>
      <c r="AG96" s="40"/>
      <c r="AH96" s="42"/>
      <c r="AI96" s="40"/>
      <c r="AJ96" s="40"/>
      <c r="AK96" s="42"/>
      <c r="AL96" s="42"/>
      <c r="AM96" s="42"/>
      <c r="AN96" s="40"/>
      <c r="AO96" s="42"/>
      <c r="AP96" s="40"/>
      <c r="AQ96" s="40"/>
      <c r="AR96" s="42"/>
      <c r="AS96" s="40"/>
      <c r="AT96" s="40"/>
      <c r="AU96" s="42"/>
      <c r="AV96" s="42"/>
      <c r="AW96" s="42"/>
      <c r="AX96" s="40"/>
      <c r="AY96" s="42"/>
      <c r="AZ96" s="40"/>
      <c r="BA96" s="40"/>
      <c r="BB96" s="42"/>
      <c r="BC96" s="40"/>
      <c r="BD96" s="40"/>
      <c r="BE96" s="42"/>
      <c r="BF96" s="40"/>
      <c r="BG96" s="40"/>
      <c r="BH96" s="40"/>
      <c r="BI96" s="40"/>
      <c r="BJ96" s="43" t="str">
        <f t="shared" si="0"/>
        <v/>
      </c>
      <c r="BK96" s="43"/>
      <c r="BL96" s="40"/>
      <c r="BM96" s="44"/>
      <c r="BN96" s="40"/>
      <c r="BO96" s="40"/>
      <c r="BP96" s="40"/>
      <c r="BQ96" s="40"/>
      <c r="BR96" s="40"/>
      <c r="BS96" s="40"/>
      <c r="BT96" s="40"/>
      <c r="BU96" s="43" t="str">
        <f t="shared" si="1"/>
        <v/>
      </c>
      <c r="BV96" s="43"/>
      <c r="BW96" s="40"/>
      <c r="BX96" s="44"/>
      <c r="BY96" s="40"/>
      <c r="BZ96" s="40"/>
      <c r="CA96" s="40"/>
      <c r="CB96" s="40"/>
      <c r="CC96" s="40"/>
      <c r="CD96" s="40"/>
      <c r="CE96" s="40"/>
      <c r="CF96" s="40"/>
      <c r="CG96" s="44"/>
      <c r="CH96" s="43"/>
      <c r="CI96" s="40"/>
      <c r="CJ96" s="40"/>
      <c r="CK96" s="40"/>
      <c r="CL96" s="44"/>
      <c r="CM96" s="43"/>
      <c r="CN96" s="40"/>
      <c r="CO96" s="40"/>
      <c r="CP96" s="40"/>
      <c r="CQ96" s="44"/>
      <c r="CR96" s="43"/>
      <c r="CS96" s="40"/>
      <c r="CT96" s="40"/>
      <c r="CU96" s="40"/>
      <c r="CV96" s="44"/>
      <c r="CW96" s="43"/>
      <c r="CX96" s="45"/>
      <c r="CY96" s="45"/>
      <c r="CZ96" s="45"/>
      <c r="DA96" s="45"/>
      <c r="DB96" s="45" t="str">
        <f t="shared" si="2"/>
        <v/>
      </c>
    </row>
    <row r="97" spans="1:106" ht="16.5">
      <c r="A97" s="40"/>
      <c r="B97" s="40"/>
      <c r="C97" s="40"/>
      <c r="D97" s="40"/>
      <c r="E97" s="40"/>
      <c r="F97" s="40"/>
      <c r="G97" s="40"/>
      <c r="H97" s="40"/>
      <c r="I97" s="40"/>
      <c r="J97" s="40"/>
      <c r="K97" s="40"/>
      <c r="L97" s="40"/>
      <c r="M97" s="41"/>
      <c r="N97" s="42"/>
      <c r="O97" s="40"/>
      <c r="P97" s="40"/>
      <c r="Q97" s="42"/>
      <c r="R97" s="42"/>
      <c r="S97" s="42"/>
      <c r="T97" s="40"/>
      <c r="U97" s="42"/>
      <c r="V97" s="40"/>
      <c r="W97" s="40"/>
      <c r="X97" s="42"/>
      <c r="Y97" s="40"/>
      <c r="Z97" s="40"/>
      <c r="AA97" s="42"/>
      <c r="AB97" s="42"/>
      <c r="AC97" s="42"/>
      <c r="AD97" s="40"/>
      <c r="AE97" s="42"/>
      <c r="AF97" s="40"/>
      <c r="AG97" s="40"/>
      <c r="AH97" s="42"/>
      <c r="AI97" s="40"/>
      <c r="AJ97" s="40"/>
      <c r="AK97" s="42"/>
      <c r="AL97" s="42"/>
      <c r="AM97" s="42"/>
      <c r="AN97" s="40"/>
      <c r="AO97" s="42"/>
      <c r="AP97" s="40"/>
      <c r="AQ97" s="40"/>
      <c r="AR97" s="42"/>
      <c r="AS97" s="40"/>
      <c r="AT97" s="40"/>
      <c r="AU97" s="42"/>
      <c r="AV97" s="42"/>
      <c r="AW97" s="42"/>
      <c r="AX97" s="40"/>
      <c r="AY97" s="42"/>
      <c r="AZ97" s="40"/>
      <c r="BA97" s="40"/>
      <c r="BB97" s="42"/>
      <c r="BC97" s="40"/>
      <c r="BD97" s="40"/>
      <c r="BE97" s="42"/>
      <c r="BF97" s="40"/>
      <c r="BG97" s="40"/>
      <c r="BH97" s="40"/>
      <c r="BI97" s="40"/>
      <c r="BJ97" s="43" t="str">
        <f t="shared" si="0"/>
        <v/>
      </c>
      <c r="BK97" s="43"/>
      <c r="BL97" s="40"/>
      <c r="BM97" s="44"/>
      <c r="BN97" s="40"/>
      <c r="BO97" s="40"/>
      <c r="BP97" s="40"/>
      <c r="BQ97" s="40"/>
      <c r="BR97" s="40"/>
      <c r="BS97" s="40"/>
      <c r="BT97" s="40"/>
      <c r="BU97" s="43" t="str">
        <f t="shared" si="1"/>
        <v/>
      </c>
      <c r="BV97" s="43"/>
      <c r="BW97" s="40"/>
      <c r="BX97" s="44"/>
      <c r="BY97" s="40"/>
      <c r="BZ97" s="40"/>
      <c r="CA97" s="40"/>
      <c r="CB97" s="40"/>
      <c r="CC97" s="40"/>
      <c r="CD97" s="40"/>
      <c r="CE97" s="40"/>
      <c r="CF97" s="40"/>
      <c r="CG97" s="44"/>
      <c r="CH97" s="43"/>
      <c r="CI97" s="40"/>
      <c r="CJ97" s="40"/>
      <c r="CK97" s="40"/>
      <c r="CL97" s="44"/>
      <c r="CM97" s="43"/>
      <c r="CN97" s="40"/>
      <c r="CO97" s="40"/>
      <c r="CP97" s="40"/>
      <c r="CQ97" s="44"/>
      <c r="CR97" s="43"/>
      <c r="CS97" s="40"/>
      <c r="CT97" s="40"/>
      <c r="CU97" s="40"/>
      <c r="CV97" s="44"/>
      <c r="CW97" s="43"/>
      <c r="CX97" s="45"/>
      <c r="CY97" s="45"/>
      <c r="CZ97" s="45"/>
      <c r="DA97" s="45"/>
      <c r="DB97" s="45" t="str">
        <f t="shared" si="2"/>
        <v/>
      </c>
    </row>
    <row r="98" spans="1:106" ht="16.5">
      <c r="A98" s="40"/>
      <c r="B98" s="40"/>
      <c r="C98" s="40"/>
      <c r="D98" s="40"/>
      <c r="E98" s="40"/>
      <c r="F98" s="40"/>
      <c r="G98" s="40"/>
      <c r="H98" s="40"/>
      <c r="I98" s="40"/>
      <c r="J98" s="40"/>
      <c r="K98" s="40"/>
      <c r="L98" s="40"/>
      <c r="M98" s="41"/>
      <c r="N98" s="42"/>
      <c r="O98" s="40"/>
      <c r="P98" s="40"/>
      <c r="Q98" s="42"/>
      <c r="R98" s="42"/>
      <c r="S98" s="42"/>
      <c r="T98" s="40"/>
      <c r="U98" s="42"/>
      <c r="V98" s="40"/>
      <c r="W98" s="40"/>
      <c r="X98" s="42"/>
      <c r="Y98" s="40"/>
      <c r="Z98" s="40"/>
      <c r="AA98" s="42"/>
      <c r="AB98" s="42"/>
      <c r="AC98" s="42"/>
      <c r="AD98" s="40"/>
      <c r="AE98" s="42"/>
      <c r="AF98" s="40"/>
      <c r="AG98" s="40"/>
      <c r="AH98" s="42"/>
      <c r="AI98" s="40"/>
      <c r="AJ98" s="40"/>
      <c r="AK98" s="42"/>
      <c r="AL98" s="42"/>
      <c r="AM98" s="42"/>
      <c r="AN98" s="40"/>
      <c r="AO98" s="42"/>
      <c r="AP98" s="40"/>
      <c r="AQ98" s="40"/>
      <c r="AR98" s="42"/>
      <c r="AS98" s="40"/>
      <c r="AT98" s="40"/>
      <c r="AU98" s="42"/>
      <c r="AV98" s="42"/>
      <c r="AW98" s="42"/>
      <c r="AX98" s="40"/>
      <c r="AY98" s="42"/>
      <c r="AZ98" s="40"/>
      <c r="BA98" s="40"/>
      <c r="BB98" s="42"/>
      <c r="BC98" s="40"/>
      <c r="BD98" s="40"/>
      <c r="BE98" s="42"/>
      <c r="BF98" s="40"/>
      <c r="BG98" s="40"/>
      <c r="BH98" s="40"/>
      <c r="BI98" s="40"/>
      <c r="BJ98" s="43" t="str">
        <f t="shared" si="0"/>
        <v/>
      </c>
      <c r="BK98" s="43"/>
      <c r="BL98" s="40"/>
      <c r="BM98" s="44"/>
      <c r="BN98" s="40"/>
      <c r="BO98" s="40"/>
      <c r="BP98" s="40"/>
      <c r="BQ98" s="40"/>
      <c r="BR98" s="40"/>
      <c r="BS98" s="40"/>
      <c r="BT98" s="40"/>
      <c r="BU98" s="43" t="str">
        <f t="shared" si="1"/>
        <v/>
      </c>
      <c r="BV98" s="43"/>
      <c r="BW98" s="40"/>
      <c r="BX98" s="44"/>
      <c r="BY98" s="40"/>
      <c r="BZ98" s="40"/>
      <c r="CA98" s="40"/>
      <c r="CB98" s="40"/>
      <c r="CC98" s="40"/>
      <c r="CD98" s="40"/>
      <c r="CE98" s="40"/>
      <c r="CF98" s="40"/>
      <c r="CG98" s="44"/>
      <c r="CH98" s="43"/>
      <c r="CI98" s="40"/>
      <c r="CJ98" s="40"/>
      <c r="CK98" s="40"/>
      <c r="CL98" s="44"/>
      <c r="CM98" s="43"/>
      <c r="CN98" s="40"/>
      <c r="CO98" s="40"/>
      <c r="CP98" s="40"/>
      <c r="CQ98" s="44"/>
      <c r="CR98" s="43"/>
      <c r="CS98" s="40"/>
      <c r="CT98" s="40"/>
      <c r="CU98" s="40"/>
      <c r="CV98" s="44"/>
      <c r="CW98" s="43"/>
      <c r="CX98" s="45"/>
      <c r="CY98" s="45"/>
      <c r="CZ98" s="45"/>
      <c r="DA98" s="45"/>
      <c r="DB98" s="45" t="str">
        <f t="shared" si="2"/>
        <v/>
      </c>
    </row>
    <row r="99" spans="1:106" ht="16.5">
      <c r="A99" s="40"/>
      <c r="B99" s="40"/>
      <c r="C99" s="40"/>
      <c r="D99" s="40"/>
      <c r="E99" s="40"/>
      <c r="F99" s="40"/>
      <c r="G99" s="40"/>
      <c r="H99" s="40"/>
      <c r="I99" s="40"/>
      <c r="J99" s="40"/>
      <c r="K99" s="40"/>
      <c r="L99" s="40"/>
      <c r="M99" s="41"/>
      <c r="N99" s="42"/>
      <c r="O99" s="40"/>
      <c r="P99" s="40"/>
      <c r="Q99" s="42"/>
      <c r="R99" s="42"/>
      <c r="S99" s="42"/>
      <c r="T99" s="40"/>
      <c r="U99" s="42"/>
      <c r="V99" s="40"/>
      <c r="W99" s="40"/>
      <c r="X99" s="42"/>
      <c r="Y99" s="40"/>
      <c r="Z99" s="40"/>
      <c r="AA99" s="42"/>
      <c r="AB99" s="42"/>
      <c r="AC99" s="42"/>
      <c r="AD99" s="40"/>
      <c r="AE99" s="42"/>
      <c r="AF99" s="40"/>
      <c r="AG99" s="40"/>
      <c r="AH99" s="42"/>
      <c r="AI99" s="40"/>
      <c r="AJ99" s="40"/>
      <c r="AK99" s="42"/>
      <c r="AL99" s="42"/>
      <c r="AM99" s="42"/>
      <c r="AN99" s="40"/>
      <c r="AO99" s="42"/>
      <c r="AP99" s="40"/>
      <c r="AQ99" s="40"/>
      <c r="AR99" s="42"/>
      <c r="AS99" s="40"/>
      <c r="AT99" s="40"/>
      <c r="AU99" s="42"/>
      <c r="AV99" s="42"/>
      <c r="AW99" s="42"/>
      <c r="AX99" s="40"/>
      <c r="AY99" s="42"/>
      <c r="AZ99" s="40"/>
      <c r="BA99" s="40"/>
      <c r="BB99" s="42"/>
      <c r="BC99" s="40"/>
      <c r="BD99" s="40"/>
      <c r="BE99" s="42"/>
      <c r="BF99" s="40"/>
      <c r="BG99" s="40"/>
      <c r="BH99" s="40"/>
      <c r="BI99" s="40"/>
      <c r="BJ99" s="43" t="str">
        <f t="shared" si="0"/>
        <v/>
      </c>
      <c r="BK99" s="43"/>
      <c r="BL99" s="40"/>
      <c r="BM99" s="44"/>
      <c r="BN99" s="40"/>
      <c r="BO99" s="40"/>
      <c r="BP99" s="40"/>
      <c r="BQ99" s="40"/>
      <c r="BR99" s="40"/>
      <c r="BS99" s="40"/>
      <c r="BT99" s="40"/>
      <c r="BU99" s="43" t="str">
        <f t="shared" si="1"/>
        <v/>
      </c>
      <c r="BV99" s="43"/>
      <c r="BW99" s="40"/>
      <c r="BX99" s="44"/>
      <c r="BY99" s="40"/>
      <c r="BZ99" s="40"/>
      <c r="CA99" s="40"/>
      <c r="CB99" s="40"/>
      <c r="CC99" s="40"/>
      <c r="CD99" s="40"/>
      <c r="CE99" s="40"/>
      <c r="CF99" s="40"/>
      <c r="CG99" s="44"/>
      <c r="CH99" s="43"/>
      <c r="CI99" s="40"/>
      <c r="CJ99" s="40"/>
      <c r="CK99" s="40"/>
      <c r="CL99" s="44"/>
      <c r="CM99" s="43"/>
      <c r="CN99" s="40"/>
      <c r="CO99" s="40"/>
      <c r="CP99" s="40"/>
      <c r="CQ99" s="44"/>
      <c r="CR99" s="43"/>
      <c r="CS99" s="40"/>
      <c r="CT99" s="40"/>
      <c r="CU99" s="40"/>
      <c r="CV99" s="44"/>
      <c r="CW99" s="43"/>
      <c r="CX99" s="45"/>
      <c r="CY99" s="45"/>
      <c r="CZ99" s="45"/>
      <c r="DA99" s="45"/>
      <c r="DB99" s="45" t="str">
        <f t="shared" si="2"/>
        <v/>
      </c>
    </row>
    <row r="100" spans="1:106" ht="16.5">
      <c r="A100" s="40"/>
      <c r="B100" s="40"/>
      <c r="C100" s="40"/>
      <c r="D100" s="40"/>
      <c r="E100" s="40"/>
      <c r="F100" s="40"/>
      <c r="G100" s="40"/>
      <c r="H100" s="40"/>
      <c r="I100" s="40"/>
      <c r="J100" s="40"/>
      <c r="K100" s="40"/>
      <c r="L100" s="40"/>
      <c r="M100" s="41"/>
      <c r="N100" s="42"/>
      <c r="O100" s="40"/>
      <c r="P100" s="40"/>
      <c r="Q100" s="42"/>
      <c r="R100" s="42"/>
      <c r="S100" s="42"/>
      <c r="T100" s="40"/>
      <c r="U100" s="42"/>
      <c r="V100" s="40"/>
      <c r="W100" s="40"/>
      <c r="X100" s="42"/>
      <c r="Y100" s="40"/>
      <c r="Z100" s="40"/>
      <c r="AA100" s="42"/>
      <c r="AB100" s="42"/>
      <c r="AC100" s="42"/>
      <c r="AD100" s="40"/>
      <c r="AE100" s="42"/>
      <c r="AF100" s="40"/>
      <c r="AG100" s="40"/>
      <c r="AH100" s="42"/>
      <c r="AI100" s="40"/>
      <c r="AJ100" s="40"/>
      <c r="AK100" s="42"/>
      <c r="AL100" s="42"/>
      <c r="AM100" s="42"/>
      <c r="AN100" s="40"/>
      <c r="AO100" s="42"/>
      <c r="AP100" s="40"/>
      <c r="AQ100" s="40"/>
      <c r="AR100" s="42"/>
      <c r="AS100" s="40"/>
      <c r="AT100" s="40"/>
      <c r="AU100" s="42"/>
      <c r="AV100" s="42"/>
      <c r="AW100" s="42"/>
      <c r="AX100" s="40"/>
      <c r="AY100" s="42"/>
      <c r="AZ100" s="40"/>
      <c r="BA100" s="40"/>
      <c r="BB100" s="42"/>
      <c r="BC100" s="40"/>
      <c r="BD100" s="40"/>
      <c r="BE100" s="42"/>
      <c r="BF100" s="40"/>
      <c r="BG100" s="40"/>
      <c r="BH100" s="40"/>
      <c r="BI100" s="40"/>
      <c r="BJ100" s="43" t="str">
        <f t="shared" si="0"/>
        <v/>
      </c>
      <c r="BK100" s="43"/>
      <c r="BL100" s="40"/>
      <c r="BM100" s="44"/>
      <c r="BN100" s="40"/>
      <c r="BO100" s="40"/>
      <c r="BP100" s="40"/>
      <c r="BQ100" s="40"/>
      <c r="BR100" s="40"/>
      <c r="BS100" s="40"/>
      <c r="BT100" s="40"/>
      <c r="BU100" s="43" t="str">
        <f t="shared" si="1"/>
        <v/>
      </c>
      <c r="BV100" s="43"/>
      <c r="BW100" s="40"/>
      <c r="BX100" s="44"/>
      <c r="BY100" s="40"/>
      <c r="BZ100" s="40"/>
      <c r="CA100" s="40"/>
      <c r="CB100" s="40"/>
      <c r="CC100" s="40"/>
      <c r="CD100" s="40"/>
      <c r="CE100" s="40"/>
      <c r="CF100" s="40"/>
      <c r="CG100" s="44"/>
      <c r="CH100" s="43"/>
      <c r="CI100" s="40"/>
      <c r="CJ100" s="40"/>
      <c r="CK100" s="40"/>
      <c r="CL100" s="44"/>
      <c r="CM100" s="43"/>
      <c r="CN100" s="40"/>
      <c r="CO100" s="40"/>
      <c r="CP100" s="40"/>
      <c r="CQ100" s="44"/>
      <c r="CR100" s="43"/>
      <c r="CS100" s="40"/>
      <c r="CT100" s="40"/>
      <c r="CU100" s="40"/>
      <c r="CV100" s="44"/>
      <c r="CW100" s="43"/>
      <c r="CX100" s="45"/>
      <c r="CY100" s="45"/>
      <c r="CZ100" s="45"/>
      <c r="DA100" s="45"/>
      <c r="DB100" s="45" t="str">
        <f t="shared" si="2"/>
        <v/>
      </c>
    </row>
  </sheetData>
  <autoFilter ref="A1:DB100" xr:uid="{00000000-0009-0000-0000-000005000000}"/>
  <conditionalFormatting sqref="M1:M100">
    <cfRule type="cellIs" dxfId="13" priority="2" operator="equal">
      <formula>"TRUE"</formula>
    </cfRule>
    <cfRule type="cellIs" dxfId="12" priority="3" operator="equal">
      <formula>"FALSE"</formula>
    </cfRule>
  </conditionalFormatting>
  <conditionalFormatting sqref="BJ2:BK100 BU2:BV100">
    <cfRule type="notContainsBlanks" dxfId="11" priority="1">
      <formula>LEN(TRIM(BJ2))&gt;0</formula>
    </cfRule>
  </conditionalFormatting>
  <dataValidations count="3">
    <dataValidation type="list" allowBlank="1" showInputMessage="1" prompt="Select" sqref="CG2:CG100 CL2:CL100 CQ2:CQ100 CV2:CV100" xr:uid="{00000000-0002-0000-0500-000000000000}">
      <formula1>"read_only,collaborator,responsible_party"</formula1>
    </dataValidation>
    <dataValidation type="list" allowBlank="1" showInputMessage="1" prompt="Click and enter a value from the list of items" sqref="BM2:BM100 BX2:BX100" xr:uid="{00000000-0002-0000-0500-000001000000}">
      <formula1>"read_only,no_access"</formula1>
    </dataValidation>
    <dataValidation type="list" allowBlank="1" sqref="M2:M100 BJ2:BK100 BU2:BV100 CH2:CH100 CM2:CM100 CR2:CR100 CW2:CW100" xr:uid="{00000000-0002-0000-0500-000002000000}">
      <formula1>"TRUE,FALSE"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EK1000"/>
  <sheetViews>
    <sheetView workbookViewId="0">
      <pane ySplit="1" topLeftCell="A2" activePane="bottomLeft" state="frozen"/>
      <selection pane="bottomLeft" activeCell="E15" sqref="E15"/>
    </sheetView>
  </sheetViews>
  <sheetFormatPr defaultColWidth="14.42578125" defaultRowHeight="15.75" customHeight="1" outlineLevelCol="1"/>
  <cols>
    <col min="1" max="1" width="18" customWidth="1"/>
    <col min="2" max="2" width="14.42578125" customWidth="1"/>
    <col min="3" max="3" width="18" customWidth="1"/>
    <col min="4" max="4" width="17.28515625" customWidth="1"/>
    <col min="5" max="5" width="14.42578125" customWidth="1"/>
    <col min="6" max="7" width="17.28515625" customWidth="1"/>
    <col min="8" max="8" width="18" customWidth="1"/>
    <col min="9" max="24" width="14.42578125" customWidth="1"/>
    <col min="25" max="38" width="14.42578125" customWidth="1" outlineLevel="1"/>
    <col min="39" max="42" width="18" customWidth="1"/>
    <col min="43" max="43" width="8.7109375" hidden="1" customWidth="1"/>
    <col min="44" max="44" width="18" hidden="1" customWidth="1"/>
    <col min="45" max="54" width="14.42578125" customWidth="1"/>
    <col min="55" max="85" width="14.42578125" customWidth="1" outlineLevel="1"/>
    <col min="86" max="87" width="14.42578125" customWidth="1"/>
    <col min="88" max="91" width="14.42578125" customWidth="1" outlineLevel="1"/>
    <col min="92" max="96" width="14.42578125" customWidth="1"/>
    <col min="97" max="113" width="14.42578125" customWidth="1" outlineLevel="1"/>
    <col min="114" max="134" width="14.42578125" customWidth="1"/>
    <col min="135" max="141" width="14.42578125" hidden="1" customWidth="1"/>
  </cols>
  <sheetData>
    <row r="1" spans="1:141" ht="15.75" customHeight="1">
      <c r="A1" s="19" t="s">
        <v>44</v>
      </c>
      <c r="B1" s="19" t="s">
        <v>148</v>
      </c>
      <c r="C1" s="19" t="s">
        <v>149</v>
      </c>
      <c r="D1" s="19" t="s">
        <v>150</v>
      </c>
      <c r="E1" s="19" t="s">
        <v>151</v>
      </c>
      <c r="F1" s="19" t="s">
        <v>46</v>
      </c>
      <c r="G1" s="19" t="s">
        <v>47</v>
      </c>
      <c r="H1" s="19" t="s">
        <v>48</v>
      </c>
      <c r="I1" s="19" t="s">
        <v>49</v>
      </c>
      <c r="J1" s="19" t="s">
        <v>50</v>
      </c>
      <c r="K1" s="23" t="s">
        <v>52</v>
      </c>
      <c r="L1" s="19" t="s">
        <v>40</v>
      </c>
      <c r="M1" s="19" t="s">
        <v>41</v>
      </c>
      <c r="N1" s="19" t="s">
        <v>42</v>
      </c>
      <c r="O1" s="19" t="s">
        <v>43</v>
      </c>
      <c r="P1" s="19" t="s">
        <v>152</v>
      </c>
      <c r="Q1" s="19" t="s">
        <v>153</v>
      </c>
      <c r="R1" s="19" t="s">
        <v>45</v>
      </c>
      <c r="S1" s="19" t="s">
        <v>154</v>
      </c>
      <c r="T1" s="19" t="s">
        <v>155</v>
      </c>
      <c r="U1" s="19" t="s">
        <v>156</v>
      </c>
      <c r="V1" s="19" t="s">
        <v>157</v>
      </c>
      <c r="W1" s="19" t="s">
        <v>158</v>
      </c>
      <c r="X1" s="19" t="s">
        <v>159</v>
      </c>
      <c r="Y1" s="19" t="s">
        <v>160</v>
      </c>
      <c r="Z1" s="19" t="s">
        <v>161</v>
      </c>
      <c r="AA1" s="19" t="s">
        <v>162</v>
      </c>
      <c r="AB1" s="19" t="s">
        <v>163</v>
      </c>
      <c r="AC1" s="19" t="s">
        <v>164</v>
      </c>
      <c r="AD1" s="19" t="s">
        <v>165</v>
      </c>
      <c r="AE1" s="19" t="s">
        <v>166</v>
      </c>
      <c r="AF1" s="19" t="s">
        <v>167</v>
      </c>
      <c r="AG1" s="19" t="s">
        <v>168</v>
      </c>
      <c r="AH1" s="19" t="s">
        <v>169</v>
      </c>
      <c r="AI1" s="19" t="s">
        <v>170</v>
      </c>
      <c r="AJ1" s="19" t="s">
        <v>171</v>
      </c>
      <c r="AK1" s="19" t="s">
        <v>172</v>
      </c>
      <c r="AL1" s="19" t="s">
        <v>173</v>
      </c>
      <c r="AM1" s="24" t="s">
        <v>174</v>
      </c>
      <c r="AN1" s="24" t="s">
        <v>175</v>
      </c>
      <c r="AO1" s="19" t="s">
        <v>176</v>
      </c>
      <c r="AP1" s="19" t="s">
        <v>51</v>
      </c>
      <c r="AQ1" s="24" t="s">
        <v>177</v>
      </c>
      <c r="AR1" s="24" t="s">
        <v>178</v>
      </c>
      <c r="AS1" s="19" t="s">
        <v>179</v>
      </c>
      <c r="AT1" s="46" t="s">
        <v>55</v>
      </c>
      <c r="AU1" s="46" t="s">
        <v>56</v>
      </c>
      <c r="AV1" s="46" t="s">
        <v>57</v>
      </c>
      <c r="AW1" s="46" t="s">
        <v>58</v>
      </c>
      <c r="AX1" s="46" t="s">
        <v>59</v>
      </c>
      <c r="AY1" s="46" t="s">
        <v>60</v>
      </c>
      <c r="AZ1" s="46" t="s">
        <v>61</v>
      </c>
      <c r="BA1" s="46" t="s">
        <v>62</v>
      </c>
      <c r="BB1" s="46" t="s">
        <v>63</v>
      </c>
      <c r="BC1" s="46" t="s">
        <v>64</v>
      </c>
      <c r="BD1" s="46" t="s">
        <v>65</v>
      </c>
      <c r="BE1" s="46" t="s">
        <v>66</v>
      </c>
      <c r="BF1" s="46" t="s">
        <v>67</v>
      </c>
      <c r="BG1" s="46" t="s">
        <v>68</v>
      </c>
      <c r="BH1" s="46" t="s">
        <v>69</v>
      </c>
      <c r="BI1" s="46" t="s">
        <v>70</v>
      </c>
      <c r="BJ1" s="46" t="s">
        <v>71</v>
      </c>
      <c r="BK1" s="46" t="s">
        <v>72</v>
      </c>
      <c r="BL1" s="46" t="s">
        <v>73</v>
      </c>
      <c r="BM1" s="46" t="s">
        <v>74</v>
      </c>
      <c r="BN1" s="46" t="s">
        <v>75</v>
      </c>
      <c r="BO1" s="46" t="s">
        <v>76</v>
      </c>
      <c r="BP1" s="46" t="s">
        <v>77</v>
      </c>
      <c r="BQ1" s="46" t="s">
        <v>78</v>
      </c>
      <c r="BR1" s="46" t="s">
        <v>79</v>
      </c>
      <c r="BS1" s="46" t="s">
        <v>80</v>
      </c>
      <c r="BT1" s="46" t="s">
        <v>81</v>
      </c>
      <c r="BU1" s="46" t="s">
        <v>82</v>
      </c>
      <c r="BV1" s="46" t="s">
        <v>83</v>
      </c>
      <c r="BW1" s="46" t="s">
        <v>84</v>
      </c>
      <c r="BX1" s="46" t="s">
        <v>85</v>
      </c>
      <c r="BY1" s="46" t="s">
        <v>86</v>
      </c>
      <c r="BZ1" s="46" t="s">
        <v>87</v>
      </c>
      <c r="CA1" s="46" t="s">
        <v>88</v>
      </c>
      <c r="CB1" s="46" t="s">
        <v>89</v>
      </c>
      <c r="CC1" s="46" t="s">
        <v>90</v>
      </c>
      <c r="CD1" s="46" t="s">
        <v>91</v>
      </c>
      <c r="CE1" s="46" t="s">
        <v>92</v>
      </c>
      <c r="CF1" s="46" t="s">
        <v>93</v>
      </c>
      <c r="CG1" s="46" t="s">
        <v>94</v>
      </c>
      <c r="CH1" s="19" t="s">
        <v>95</v>
      </c>
      <c r="CI1" s="19" t="s">
        <v>96</v>
      </c>
      <c r="CJ1" s="19" t="s">
        <v>97</v>
      </c>
      <c r="CK1" s="19" t="s">
        <v>98</v>
      </c>
      <c r="CL1" s="19" t="s">
        <v>99</v>
      </c>
      <c r="CM1" s="19" t="s">
        <v>100</v>
      </c>
      <c r="CN1" s="19" t="s">
        <v>101</v>
      </c>
      <c r="CO1" s="19" t="s">
        <v>102</v>
      </c>
      <c r="CP1" s="24" t="s">
        <v>103</v>
      </c>
      <c r="CQ1" s="24" t="s">
        <v>104</v>
      </c>
      <c r="CR1" s="19" t="s">
        <v>105</v>
      </c>
      <c r="CS1" s="24" t="s">
        <v>106</v>
      </c>
      <c r="CT1" s="19" t="s">
        <v>107</v>
      </c>
      <c r="CU1" s="19" t="s">
        <v>108</v>
      </c>
      <c r="CV1" s="19" t="s">
        <v>109</v>
      </c>
      <c r="CW1" s="19" t="s">
        <v>110</v>
      </c>
      <c r="CX1" s="19" t="s">
        <v>111</v>
      </c>
      <c r="CY1" s="19" t="s">
        <v>112</v>
      </c>
      <c r="CZ1" s="19" t="s">
        <v>113</v>
      </c>
      <c r="DA1" s="24" t="s">
        <v>114</v>
      </c>
      <c r="DB1" s="24" t="s">
        <v>115</v>
      </c>
      <c r="DC1" s="19" t="s">
        <v>116</v>
      </c>
      <c r="DD1" s="24" t="s">
        <v>117</v>
      </c>
      <c r="DE1" s="19" t="s">
        <v>118</v>
      </c>
      <c r="DF1" s="19" t="s">
        <v>119</v>
      </c>
      <c r="DG1" s="19" t="s">
        <v>120</v>
      </c>
      <c r="DH1" s="19" t="s">
        <v>121</v>
      </c>
      <c r="DI1" s="19" t="s">
        <v>122</v>
      </c>
      <c r="DJ1" s="19" t="s">
        <v>123</v>
      </c>
      <c r="DK1" s="19" t="s">
        <v>124</v>
      </c>
      <c r="DL1" s="19" t="s">
        <v>125</v>
      </c>
      <c r="DM1" s="24" t="s">
        <v>126</v>
      </c>
      <c r="DN1" s="24" t="s">
        <v>127</v>
      </c>
      <c r="DO1" s="19" t="s">
        <v>128</v>
      </c>
      <c r="DP1" s="19" t="s">
        <v>129</v>
      </c>
      <c r="DQ1" s="19" t="s">
        <v>130</v>
      </c>
      <c r="DR1" s="24" t="s">
        <v>131</v>
      </c>
      <c r="DS1" s="24" t="s">
        <v>132</v>
      </c>
      <c r="DT1" s="19" t="s">
        <v>133</v>
      </c>
      <c r="DU1" s="19" t="s">
        <v>134</v>
      </c>
      <c r="DV1" s="19" t="s">
        <v>135</v>
      </c>
      <c r="DW1" s="24" t="s">
        <v>136</v>
      </c>
      <c r="DX1" s="24" t="s">
        <v>137</v>
      </c>
      <c r="DY1" s="19" t="s">
        <v>138</v>
      </c>
      <c r="DZ1" s="19" t="s">
        <v>139</v>
      </c>
      <c r="EA1" s="19" t="s">
        <v>140</v>
      </c>
      <c r="EB1" s="24" t="s">
        <v>141</v>
      </c>
      <c r="EC1" s="24" t="s">
        <v>142</v>
      </c>
      <c r="ED1" s="25" t="s">
        <v>146</v>
      </c>
      <c r="EE1" s="25" t="s">
        <v>180</v>
      </c>
      <c r="EF1" s="25" t="s">
        <v>181</v>
      </c>
      <c r="EG1" s="25" t="s">
        <v>143</v>
      </c>
      <c r="EH1" s="25" t="s">
        <v>144</v>
      </c>
      <c r="EI1" s="25" t="s">
        <v>145</v>
      </c>
      <c r="EJ1" s="25" t="s">
        <v>182</v>
      </c>
      <c r="EK1" s="25" t="s">
        <v>183</v>
      </c>
    </row>
    <row r="2" spans="1:141" ht="15.75" customHeight="1">
      <c r="A2" s="11"/>
      <c r="B2" s="11"/>
      <c r="C2" s="11"/>
      <c r="D2" s="11"/>
      <c r="E2" s="11"/>
      <c r="F2" s="11"/>
      <c r="G2" s="11"/>
      <c r="H2" s="11"/>
      <c r="I2" s="11"/>
      <c r="J2" s="11"/>
      <c r="K2" s="27"/>
      <c r="L2" s="11"/>
      <c r="M2" s="11"/>
      <c r="N2" s="11"/>
      <c r="O2" s="11"/>
      <c r="P2" s="15"/>
      <c r="Q2" s="15"/>
      <c r="R2" s="15"/>
      <c r="S2" s="15"/>
      <c r="T2" s="15"/>
      <c r="U2" s="15"/>
      <c r="V2" s="15"/>
      <c r="W2" s="47"/>
      <c r="X2" s="11"/>
      <c r="Y2" s="48"/>
      <c r="Z2" s="11"/>
      <c r="AA2" s="48"/>
      <c r="AB2" s="11"/>
      <c r="AC2" s="48"/>
      <c r="AD2" s="11"/>
      <c r="AE2" s="47"/>
      <c r="AF2" s="11"/>
      <c r="AG2" s="48"/>
      <c r="AH2" s="11"/>
      <c r="AI2" s="48"/>
      <c r="AJ2" s="11"/>
      <c r="AK2" s="48"/>
      <c r="AL2" s="11"/>
      <c r="AM2" s="49"/>
      <c r="AN2" s="49"/>
      <c r="AO2" s="11"/>
      <c r="AP2" s="11"/>
      <c r="AQ2" s="28" t="b">
        <f>IF(COUNTIF(SmartStatus!A$2:A1000, AM2) &gt; 2, TRUE, FALSE)</f>
        <v>0</v>
      </c>
      <c r="AR2" s="29" t="str">
        <f ca="1">IFERROR(__xludf.DUMMYFUNCTION("iferror(if(regexmatch(AO2, ""(?i)^registered""), if(EE2 &lt;&gt; ""polity_shortest_name"", ""CHECK_POLITY"", index(filter(SmartStatus!B$2:B1000, AM2 = SmartStatus!A$2:A1000, not(SmartStatus!C$2:C1000), (isblank(SmartStatus!D$2:D1000)) + ((P2 &lt;&gt; """") * (P2 &lt; Sm"&amp;"artStatus!D$2:D1000)), (isblank(SmartStatus!E$2:E1000)) + ((P2 &lt;&gt; """") * (P2 &gt;= SmartStatus!E$2:E1000)), (isblank(SmartStatus!F$2:F1000)) + (((Q2 &lt;&gt; """") * (Q2 &lt; SmartStatus!F$2:F1000)) + ((P2 &lt;&gt; """") * (date(year(P2) + 3, month(P2), day(P2)) &lt; SmartSt"&amp;"atus!F$2:F1000))), (isblank(SmartStatus!G$2:G1000)) + (((Q2 &lt;&gt; """") * (Q2 &gt;= SmartStatus!G$2:G1000)) + ((P2 &lt;&gt; """") * (P2 &gt;= SmartStatus!G$2:G1000)))), if(or(regexmatch(B2, ""(?i)^ir [a-z]+ designation$""), N2 &lt;&gt; """"), 1, 2))), """"), ""NO_MATCH"")"),"")</f>
        <v/>
      </c>
      <c r="AS2" s="11"/>
      <c r="AT2" s="15"/>
      <c r="AU2" s="11"/>
      <c r="AV2" s="11"/>
      <c r="AW2" s="15"/>
      <c r="AX2" s="15"/>
      <c r="AY2" s="15"/>
      <c r="AZ2" s="11"/>
      <c r="BA2" s="15"/>
      <c r="BB2" s="11"/>
      <c r="BC2" s="11"/>
      <c r="BD2" s="15"/>
      <c r="BE2" s="11"/>
      <c r="BF2" s="11"/>
      <c r="BG2" s="15"/>
      <c r="BH2" s="15"/>
      <c r="BI2" s="15"/>
      <c r="BJ2" s="11"/>
      <c r="BK2" s="15"/>
      <c r="BL2" s="11"/>
      <c r="BM2" s="11"/>
      <c r="BN2" s="15"/>
      <c r="BO2" s="11"/>
      <c r="BP2" s="11"/>
      <c r="BQ2" s="15"/>
      <c r="BR2" s="15"/>
      <c r="BS2" s="15"/>
      <c r="BT2" s="11"/>
      <c r="BU2" s="15"/>
      <c r="BV2" s="11"/>
      <c r="BW2" s="11"/>
      <c r="BX2" s="15"/>
      <c r="BY2" s="11"/>
      <c r="BZ2" s="11"/>
      <c r="CA2" s="15"/>
      <c r="CB2" s="15"/>
      <c r="CC2" s="15"/>
      <c r="CD2" s="11"/>
      <c r="CE2" s="15"/>
      <c r="CF2" s="11"/>
      <c r="CG2" s="11"/>
      <c r="CH2" s="15"/>
      <c r="CI2" s="11"/>
      <c r="CJ2" s="11"/>
      <c r="CK2" s="15"/>
      <c r="CL2" s="11"/>
      <c r="CM2" s="11"/>
      <c r="CN2" s="11"/>
      <c r="CO2" s="11"/>
      <c r="CP2" s="28"/>
      <c r="CQ2" s="28"/>
      <c r="CR2" s="11"/>
      <c r="CS2" s="29"/>
      <c r="CT2" s="11"/>
      <c r="CU2" s="11"/>
      <c r="CV2" s="11"/>
      <c r="CW2" s="11"/>
      <c r="CX2" s="11"/>
      <c r="CY2" s="11"/>
      <c r="CZ2" s="11"/>
      <c r="DA2" s="28" t="str">
        <f t="shared" ref="DA2:DA14" si="0">IF(CY2&lt;&gt;"","TRUE","")</f>
        <v/>
      </c>
      <c r="DB2" s="28"/>
      <c r="DC2" s="11" t="str">
        <f>IF(CY2&lt;&gt;"","Owner","")</f>
        <v/>
      </c>
      <c r="DD2" s="29" t="str">
        <f t="shared" ref="DD2:DD14" si="1">IF(CY2&lt;&gt;"","no_access","")</f>
        <v/>
      </c>
      <c r="DE2" s="11"/>
      <c r="DF2" s="11"/>
      <c r="DG2" s="11"/>
      <c r="DH2" s="11"/>
      <c r="DI2" s="11"/>
      <c r="DJ2" s="11"/>
      <c r="DK2" s="26"/>
      <c r="DL2" s="11"/>
      <c r="DM2" s="29"/>
      <c r="DN2" s="28"/>
      <c r="DO2" s="11"/>
      <c r="DP2" s="26"/>
      <c r="DQ2" s="11"/>
      <c r="DR2" s="29"/>
      <c r="DS2" s="28"/>
      <c r="DT2" s="11"/>
      <c r="DU2" s="26"/>
      <c r="DV2" s="11"/>
      <c r="DW2" s="29"/>
      <c r="DX2" s="28"/>
      <c r="DY2" s="11"/>
      <c r="DZ2" s="26"/>
      <c r="EA2" s="11"/>
      <c r="EB2" s="29"/>
      <c r="EC2" s="28"/>
      <c r="ED2" s="30"/>
      <c r="EE2" s="30" t="str">
        <f ca="1">IFERROR(__xludf.DUMMYFUNCTION("iferror(index(filter('Internal -- Trademark Countries'!E$2:E1000, (AM2 = 'Internal -- Trademark Countries'!B$2:B1000) + (AM2 = 'Internal -- Trademark Countries'!C$2:C1000) + (AM2 = 'Internal -- Trademark Countries'!D$2:D1000)), 1))"),"")</f>
        <v/>
      </c>
      <c r="EF2" s="30" t="e">
        <f ca="1">_xludf.ifs(AM2="", "", COUNTIF('Internal -- Trademark Countries'!B:B,AM2) &gt; 0, "polity_shortest_name", COUNTIF('Internal -- Trademark Countries'!C:C,AM2) &gt; 0, "polity_full_name", COUNTIF('Internal -- Trademark Countries'!D:D,AM2) &gt; 0, "polity_common_name", COUNTIF('Internal -- Trademark Countries'!E:E,AM2) &gt; 0, "shortest_name", COUNTIF('Internal -- Trademark Countries'!A:A,AM2) &gt; 0, "full_name", TRUE, "not a match")</f>
        <v>#NAME?</v>
      </c>
      <c r="EG2" s="30"/>
      <c r="EH2" s="30"/>
      <c r="EI2" s="30"/>
      <c r="EJ2" s="30"/>
      <c r="EK2" s="30" t="str">
        <f t="shared" ref="EK2:EK256" si="2">IF(AT2="","",IF(AT2&lt;DATE(2000,1,1),"20th Century Deadline 1",IF(AT2&gt;DATE(2099,12,31),"22nd Century Deadline 1","")))</f>
        <v/>
      </c>
    </row>
    <row r="3" spans="1:141" ht="15.75" customHeight="1">
      <c r="A3" s="11"/>
      <c r="B3" s="11"/>
      <c r="C3" s="11"/>
      <c r="D3" s="11"/>
      <c r="E3" s="11"/>
      <c r="F3" s="11"/>
      <c r="G3" s="11"/>
      <c r="H3" s="11"/>
      <c r="I3" s="11"/>
      <c r="J3" s="11"/>
      <c r="K3" s="27"/>
      <c r="L3" s="11"/>
      <c r="M3" s="11"/>
      <c r="N3" s="11"/>
      <c r="O3" s="11"/>
      <c r="P3" s="15"/>
      <c r="Q3" s="15"/>
      <c r="R3" s="15"/>
      <c r="S3" s="15"/>
      <c r="T3" s="15"/>
      <c r="U3" s="15"/>
      <c r="V3" s="15"/>
      <c r="W3" s="47"/>
      <c r="X3" s="11"/>
      <c r="Y3" s="48"/>
      <c r="Z3" s="11"/>
      <c r="AA3" s="48"/>
      <c r="AB3" s="11"/>
      <c r="AC3" s="48"/>
      <c r="AD3" s="11"/>
      <c r="AE3" s="47"/>
      <c r="AF3" s="11"/>
      <c r="AG3" s="48"/>
      <c r="AH3" s="11"/>
      <c r="AI3" s="48"/>
      <c r="AJ3" s="11"/>
      <c r="AK3" s="48"/>
      <c r="AL3" s="11"/>
      <c r="AM3" s="49"/>
      <c r="AN3" s="49"/>
      <c r="AO3" s="11"/>
      <c r="AP3" s="11"/>
      <c r="AQ3" s="28" t="b">
        <f>IF(COUNTIF(SmartStatus!A$2:A1000, AM3) &gt; 2, TRUE, FALSE)</f>
        <v>0</v>
      </c>
      <c r="AR3" s="29" t="str">
        <f ca="1">IFERROR(__xludf.DUMMYFUNCTION("iferror(if(regexmatch(AO3, ""(?i)^registered""), if(EE3 &lt;&gt; ""polity_shortest_name"", ""CHECK_POLITY"", index(filter(SmartStatus!B$2:B1000, AM3 = SmartStatus!A$2:A1000, not(SmartStatus!C$2:C1000), (isblank(SmartStatus!D$2:D1000)) + ((P3 &lt;&gt; """") * (P3 &lt; Sm"&amp;"artStatus!D$2:D1000)), (isblank(SmartStatus!E$2:E1000)) + ((P3 &lt;&gt; """") * (P3 &gt;= SmartStatus!E$2:E1000)), (isblank(SmartStatus!F$2:F1000)) + (((Q3 &lt;&gt; """") * (Q3 &lt; SmartStatus!F$2:F1000)) + ((P3 &lt;&gt; """") * (date(year(P3) + 3, month(P3), day(P3)) &lt; SmartSt"&amp;"atus!F$2:F1000))), (isblank(SmartStatus!G$2:G1000)) + (((Q3 &lt;&gt; """") * (Q3 &gt;= SmartStatus!G$2:G1000)) + ((P3 &lt;&gt; """") * (P3 &gt;= SmartStatus!G$2:G1000)))), if(or(regexmatch(B3, ""(?i)^ir [a-z]+ designation$""), N3 &lt;&gt; """"), 1, 2))), """"), ""NO_MATCH"")"),"")</f>
        <v/>
      </c>
      <c r="AS3" s="11"/>
      <c r="AT3" s="15"/>
      <c r="AU3" s="11"/>
      <c r="AV3" s="11"/>
      <c r="AW3" s="15"/>
      <c r="AX3" s="15"/>
      <c r="AY3" s="15"/>
      <c r="AZ3" s="11"/>
      <c r="BA3" s="15"/>
      <c r="BB3" s="11"/>
      <c r="BC3" s="11"/>
      <c r="BD3" s="15"/>
      <c r="BE3" s="11"/>
      <c r="BF3" s="11"/>
      <c r="BG3" s="15"/>
      <c r="BH3" s="15"/>
      <c r="BI3" s="15"/>
      <c r="BJ3" s="11"/>
      <c r="BK3" s="15"/>
      <c r="BL3" s="11"/>
      <c r="BM3" s="11"/>
      <c r="BN3" s="15"/>
      <c r="BO3" s="11"/>
      <c r="BP3" s="11"/>
      <c r="BQ3" s="15"/>
      <c r="BR3" s="15"/>
      <c r="BS3" s="15"/>
      <c r="BT3" s="11"/>
      <c r="BU3" s="15"/>
      <c r="BV3" s="11"/>
      <c r="BW3" s="11"/>
      <c r="BX3" s="15"/>
      <c r="BY3" s="11"/>
      <c r="BZ3" s="11"/>
      <c r="CA3" s="15"/>
      <c r="CB3" s="11"/>
      <c r="CC3" s="15"/>
      <c r="CD3" s="11"/>
      <c r="CE3" s="15"/>
      <c r="CF3" s="11"/>
      <c r="CG3" s="11"/>
      <c r="CH3" s="15"/>
      <c r="CI3" s="11"/>
      <c r="CJ3" s="11"/>
      <c r="CK3" s="15"/>
      <c r="CL3" s="11"/>
      <c r="CM3" s="11"/>
      <c r="CN3" s="11"/>
      <c r="CO3" s="11"/>
      <c r="CP3" s="28"/>
      <c r="CQ3" s="28"/>
      <c r="CR3" s="11"/>
      <c r="CS3" s="29"/>
      <c r="CT3" s="11"/>
      <c r="CU3" s="11"/>
      <c r="CV3" s="11"/>
      <c r="CW3" s="11"/>
      <c r="CX3" s="11"/>
      <c r="CY3" s="11"/>
      <c r="CZ3" s="11"/>
      <c r="DA3" s="28" t="str">
        <f t="shared" si="0"/>
        <v/>
      </c>
      <c r="DB3" s="28"/>
      <c r="DC3" s="11"/>
      <c r="DD3" s="29" t="str">
        <f t="shared" si="1"/>
        <v/>
      </c>
      <c r="DE3" s="11"/>
      <c r="DF3" s="11"/>
      <c r="DG3" s="11"/>
      <c r="DH3" s="11"/>
      <c r="DI3" s="11"/>
      <c r="DJ3" s="11"/>
      <c r="DK3" s="26"/>
      <c r="DL3" s="11"/>
      <c r="DM3" s="29"/>
      <c r="DN3" s="28"/>
      <c r="DO3" s="11"/>
      <c r="DP3" s="11"/>
      <c r="DQ3" s="11"/>
      <c r="DR3" s="29"/>
      <c r="DS3" s="28"/>
      <c r="DT3" s="11"/>
      <c r="DU3" s="26"/>
      <c r="DV3" s="11"/>
      <c r="DW3" s="29"/>
      <c r="DX3" s="28"/>
      <c r="DY3" s="11"/>
      <c r="DZ3" s="26"/>
      <c r="EA3" s="11"/>
      <c r="EB3" s="29"/>
      <c r="EC3" s="28"/>
      <c r="ED3" s="30"/>
      <c r="EE3" s="30" t="str">
        <f ca="1">IFERROR(__xludf.DUMMYFUNCTION("iferror(index(filter('Internal -- Trademark Countries'!E$2:E1000, (AM3 = 'Internal -- Trademark Countries'!B$2:B1000) + (AM3 = 'Internal -- Trademark Countries'!C$2:C1000) + (AM3 = 'Internal -- Trademark Countries'!D$2:D1000)), 1))"),"")</f>
        <v/>
      </c>
      <c r="EF3" s="30" t="e">
        <f ca="1">_xludf.ifs(AM3="", "", COUNTIF('Internal -- Trademark Countries'!B:B,AM3) &gt; 0, "polity_shortest_name", COUNTIF('Internal -- Trademark Countries'!C:C,AM3) &gt; 0, "polity_full_name", COUNTIF('Internal -- Trademark Countries'!D:D,AM3) &gt; 0, "polity_common_name", COUNTIF('Internal -- Trademark Countries'!E:E,AM3) &gt; 0, "shortest_name", COUNTIF('Internal -- Trademark Countries'!A:A,AM3) &gt; 0, "full_name", TRUE, "not a match")</f>
        <v>#NAME?</v>
      </c>
      <c r="EG3" s="30"/>
      <c r="EH3" s="30"/>
      <c r="EI3" s="30"/>
      <c r="EJ3" s="30"/>
      <c r="EK3" s="30" t="str">
        <f t="shared" si="2"/>
        <v/>
      </c>
    </row>
    <row r="4" spans="1:141" ht="15.75" customHeight="1">
      <c r="A4" s="11"/>
      <c r="B4" s="11"/>
      <c r="C4" s="11"/>
      <c r="D4" s="11"/>
      <c r="E4" s="11"/>
      <c r="F4" s="11"/>
      <c r="G4" s="11"/>
      <c r="H4" s="11"/>
      <c r="I4" s="11"/>
      <c r="J4" s="11"/>
      <c r="K4" s="27"/>
      <c r="L4" s="11"/>
      <c r="M4" s="11"/>
      <c r="N4" s="11"/>
      <c r="O4" s="11"/>
      <c r="P4" s="15"/>
      <c r="Q4" s="15"/>
      <c r="R4" s="15"/>
      <c r="S4" s="15"/>
      <c r="T4" s="15"/>
      <c r="U4" s="15"/>
      <c r="V4" s="15"/>
      <c r="W4" s="47"/>
      <c r="X4" s="11"/>
      <c r="Y4" s="48"/>
      <c r="Z4" s="11"/>
      <c r="AA4" s="48"/>
      <c r="AB4" s="11"/>
      <c r="AC4" s="48"/>
      <c r="AD4" s="11"/>
      <c r="AE4" s="47"/>
      <c r="AF4" s="11"/>
      <c r="AG4" s="48"/>
      <c r="AH4" s="11"/>
      <c r="AI4" s="48"/>
      <c r="AJ4" s="11"/>
      <c r="AK4" s="48"/>
      <c r="AL4" s="11"/>
      <c r="AM4" s="49"/>
      <c r="AN4" s="49"/>
      <c r="AO4" s="11"/>
      <c r="AP4" s="11"/>
      <c r="AQ4" s="28" t="b">
        <f>IF(COUNTIF(SmartStatus!A$2:A1000, AM4) &gt; 2, TRUE, FALSE)</f>
        <v>0</v>
      </c>
      <c r="AR4" s="29" t="str">
        <f ca="1">IFERROR(__xludf.DUMMYFUNCTION("iferror(if(regexmatch(AO4, ""(?i)^registered""), if(EE4 &lt;&gt; ""polity_shortest_name"", ""CHECK_POLITY"", index(filter(SmartStatus!B$2:B1000, AM4 = SmartStatus!A$2:A1000, not(SmartStatus!C$2:C1000), (isblank(SmartStatus!D$2:D1000)) + ((P4 &lt;&gt; """") * (P4 &lt; Sm"&amp;"artStatus!D$2:D1000)), (isblank(SmartStatus!E$2:E1000)) + ((P4 &lt;&gt; """") * (P4 &gt;= SmartStatus!E$2:E1000)), (isblank(SmartStatus!F$2:F1000)) + (((Q4 &lt;&gt; """") * (Q4 &lt; SmartStatus!F$2:F1000)) + ((P4 &lt;&gt; """") * (date(year(P4) + 3, month(P4), day(P4)) &lt; SmartSt"&amp;"atus!F$2:F1000))), (isblank(SmartStatus!G$2:G1000)) + (((Q4 &lt;&gt; """") * (Q4 &gt;= SmartStatus!G$2:G1000)) + ((P4 &lt;&gt; """") * (P4 &gt;= SmartStatus!G$2:G1000)))), if(or(regexmatch(B4, ""(?i)^ir [a-z]+ designation$""), N4 &lt;&gt; """"), 1, 2))), """"), ""NO_MATCH"")"),"")</f>
        <v/>
      </c>
      <c r="AS4" s="11"/>
      <c r="AT4" s="15"/>
      <c r="AU4" s="11"/>
      <c r="AV4" s="11"/>
      <c r="AW4" s="15"/>
      <c r="AX4" s="15"/>
      <c r="AY4" s="15"/>
      <c r="AZ4" s="11"/>
      <c r="BA4" s="15"/>
      <c r="BB4" s="11"/>
      <c r="BC4" s="11"/>
      <c r="BD4" s="15"/>
      <c r="BE4" s="11"/>
      <c r="BF4" s="11"/>
      <c r="BG4" s="15"/>
      <c r="BH4" s="15"/>
      <c r="BI4" s="15"/>
      <c r="BJ4" s="11"/>
      <c r="BK4" s="15"/>
      <c r="BL4" s="11"/>
      <c r="BM4" s="11"/>
      <c r="BN4" s="15"/>
      <c r="BO4" s="11"/>
      <c r="BP4" s="11"/>
      <c r="BQ4" s="15"/>
      <c r="BR4" s="15"/>
      <c r="BS4" s="15"/>
      <c r="BT4" s="11"/>
      <c r="BU4" s="15"/>
      <c r="BV4" s="11"/>
      <c r="BW4" s="11"/>
      <c r="BX4" s="15"/>
      <c r="BY4" s="11"/>
      <c r="BZ4" s="11"/>
      <c r="CA4" s="15"/>
      <c r="CB4" s="11"/>
      <c r="CC4" s="15"/>
      <c r="CD4" s="11"/>
      <c r="CE4" s="15"/>
      <c r="CF4" s="11"/>
      <c r="CG4" s="11"/>
      <c r="CH4" s="15"/>
      <c r="CI4" s="11"/>
      <c r="CJ4" s="11"/>
      <c r="CK4" s="15"/>
      <c r="CL4" s="11"/>
      <c r="CM4" s="11"/>
      <c r="CN4" s="11"/>
      <c r="CO4" s="11"/>
      <c r="CP4" s="28"/>
      <c r="CQ4" s="28"/>
      <c r="CR4" s="11"/>
      <c r="CS4" s="29"/>
      <c r="CT4" s="11"/>
      <c r="CU4" s="11"/>
      <c r="CV4" s="11"/>
      <c r="CW4" s="11"/>
      <c r="CX4" s="11"/>
      <c r="CY4" s="11"/>
      <c r="CZ4" s="11"/>
      <c r="DA4" s="28" t="str">
        <f t="shared" si="0"/>
        <v/>
      </c>
      <c r="DB4" s="28"/>
      <c r="DC4" s="11"/>
      <c r="DD4" s="29" t="str">
        <f t="shared" si="1"/>
        <v/>
      </c>
      <c r="DE4" s="11"/>
      <c r="DF4" s="11"/>
      <c r="DG4" s="11"/>
      <c r="DH4" s="11"/>
      <c r="DI4" s="11"/>
      <c r="DJ4" s="11"/>
      <c r="DK4" s="26"/>
      <c r="DL4" s="11"/>
      <c r="DM4" s="29"/>
      <c r="DN4" s="28"/>
      <c r="DO4" s="11"/>
      <c r="DP4" s="11"/>
      <c r="DQ4" s="11"/>
      <c r="DR4" s="29"/>
      <c r="DS4" s="28"/>
      <c r="DT4" s="11"/>
      <c r="DU4" s="26"/>
      <c r="DV4" s="11"/>
      <c r="DW4" s="29"/>
      <c r="DX4" s="28"/>
      <c r="DY4" s="11"/>
      <c r="DZ4" s="26"/>
      <c r="EA4" s="11"/>
      <c r="EB4" s="29"/>
      <c r="EC4" s="28"/>
      <c r="ED4" s="30"/>
      <c r="EE4" s="30" t="str">
        <f ca="1">IFERROR(__xludf.DUMMYFUNCTION("iferror(index(filter('Internal -- Trademark Countries'!E$2:E1000, (AM4 = 'Internal -- Trademark Countries'!B$2:B1000) + (AM4 = 'Internal -- Trademark Countries'!C$2:C1000) + (AM4 = 'Internal -- Trademark Countries'!D$2:D1000)), 1))"),"")</f>
        <v/>
      </c>
      <c r="EF4" s="30" t="e">
        <f ca="1">_xludf.ifs(AM4="", "", COUNTIF('Internal -- Trademark Countries'!B:B,AM4) &gt; 0, "polity_shortest_name", COUNTIF('Internal -- Trademark Countries'!C:C,AM4) &gt; 0, "polity_full_name", COUNTIF('Internal -- Trademark Countries'!D:D,AM4) &gt; 0, "polity_common_name", COUNTIF('Internal -- Trademark Countries'!E:E,AM4) &gt; 0, "shortest_name", COUNTIF('Internal -- Trademark Countries'!A:A,AM4) &gt; 0, "full_name", TRUE, "not a match")</f>
        <v>#NAME?</v>
      </c>
      <c r="EG4" s="30"/>
      <c r="EH4" s="30"/>
      <c r="EI4" s="30"/>
      <c r="EJ4" s="30"/>
      <c r="EK4" s="30" t="str">
        <f t="shared" si="2"/>
        <v/>
      </c>
    </row>
    <row r="5" spans="1:141" ht="15.75" customHeight="1">
      <c r="A5" s="11"/>
      <c r="B5" s="11"/>
      <c r="C5" s="11"/>
      <c r="D5" s="11"/>
      <c r="E5" s="11"/>
      <c r="F5" s="11"/>
      <c r="G5" s="11"/>
      <c r="H5" s="11"/>
      <c r="I5" s="11"/>
      <c r="J5" s="11"/>
      <c r="K5" s="27"/>
      <c r="L5" s="11"/>
      <c r="M5" s="11"/>
      <c r="N5" s="11"/>
      <c r="O5" s="11"/>
      <c r="P5" s="15"/>
      <c r="Q5" s="15"/>
      <c r="R5" s="15"/>
      <c r="S5" s="15"/>
      <c r="T5" s="15"/>
      <c r="U5" s="15"/>
      <c r="V5" s="15"/>
      <c r="W5" s="47"/>
      <c r="X5" s="11"/>
      <c r="Y5" s="48"/>
      <c r="Z5" s="11"/>
      <c r="AA5" s="48"/>
      <c r="AB5" s="11"/>
      <c r="AC5" s="48"/>
      <c r="AD5" s="11"/>
      <c r="AE5" s="47"/>
      <c r="AF5" s="11"/>
      <c r="AG5" s="48"/>
      <c r="AH5" s="11"/>
      <c r="AI5" s="48"/>
      <c r="AJ5" s="11"/>
      <c r="AK5" s="48"/>
      <c r="AL5" s="11"/>
      <c r="AM5" s="49"/>
      <c r="AN5" s="49"/>
      <c r="AO5" s="11"/>
      <c r="AP5" s="11"/>
      <c r="AQ5" s="28" t="b">
        <f>IF(COUNTIF(SmartStatus!A$2:A1000, AM5) &gt; 2, TRUE, FALSE)</f>
        <v>0</v>
      </c>
      <c r="AR5" s="29" t="str">
        <f ca="1">IFERROR(__xludf.DUMMYFUNCTION("iferror(if(regexmatch(AO5, ""(?i)^registered""), if(EE5 &lt;&gt; ""polity_shortest_name"", ""CHECK_POLITY"", index(filter(SmartStatus!B$2:B1000, AM5 = SmartStatus!A$2:A1000, not(SmartStatus!C$2:C1000), (isblank(SmartStatus!D$2:D1000)) + ((P5 &lt;&gt; """") * (P5 &lt; Sm"&amp;"artStatus!D$2:D1000)), (isblank(SmartStatus!E$2:E1000)) + ((P5 &lt;&gt; """") * (P5 &gt;= SmartStatus!E$2:E1000)), (isblank(SmartStatus!F$2:F1000)) + (((Q5 &lt;&gt; """") * (Q5 &lt; SmartStatus!F$2:F1000)) + ((P5 &lt;&gt; """") * (date(year(P5) + 3, month(P5), day(P5)) &lt; SmartSt"&amp;"atus!F$2:F1000))), (isblank(SmartStatus!G$2:G1000)) + (((Q5 &lt;&gt; """") * (Q5 &gt;= SmartStatus!G$2:G1000)) + ((P5 &lt;&gt; """") * (P5 &gt;= SmartStatus!G$2:G1000)))), if(or(regexmatch(B5, ""(?i)^ir [a-z]+ designation$""), N5 &lt;&gt; """"), 1, 2))), """"), ""NO_MATCH"")"),"")</f>
        <v/>
      </c>
      <c r="AS5" s="11"/>
      <c r="AT5" s="15"/>
      <c r="AU5" s="11"/>
      <c r="AV5" s="11"/>
      <c r="AW5" s="15"/>
      <c r="AX5" s="15"/>
      <c r="AY5" s="15"/>
      <c r="AZ5" s="11"/>
      <c r="BA5" s="15"/>
      <c r="BB5" s="11"/>
      <c r="BC5" s="11"/>
      <c r="BD5" s="15"/>
      <c r="BE5" s="11"/>
      <c r="BF5" s="11"/>
      <c r="BG5" s="15"/>
      <c r="BH5" s="15"/>
      <c r="BI5" s="15"/>
      <c r="BJ5" s="11"/>
      <c r="BK5" s="15"/>
      <c r="BL5" s="11"/>
      <c r="BM5" s="11"/>
      <c r="BN5" s="15"/>
      <c r="BO5" s="11"/>
      <c r="BP5" s="11"/>
      <c r="BQ5" s="15"/>
      <c r="BR5" s="15"/>
      <c r="BS5" s="15"/>
      <c r="BT5" s="11"/>
      <c r="BU5" s="15"/>
      <c r="BV5" s="11"/>
      <c r="BW5" s="11"/>
      <c r="BX5" s="15"/>
      <c r="BY5" s="11"/>
      <c r="BZ5" s="11"/>
      <c r="CA5" s="15"/>
      <c r="CB5" s="11"/>
      <c r="CC5" s="15"/>
      <c r="CD5" s="11"/>
      <c r="CE5" s="15"/>
      <c r="CF5" s="11"/>
      <c r="CG5" s="11"/>
      <c r="CH5" s="15"/>
      <c r="CI5" s="11"/>
      <c r="CJ5" s="11"/>
      <c r="CK5" s="15"/>
      <c r="CL5" s="11"/>
      <c r="CM5" s="11"/>
      <c r="CN5" s="11"/>
      <c r="CO5" s="11"/>
      <c r="CP5" s="28"/>
      <c r="CQ5" s="28"/>
      <c r="CR5" s="11"/>
      <c r="CS5" s="29"/>
      <c r="CT5" s="11"/>
      <c r="CU5" s="11"/>
      <c r="CV5" s="11"/>
      <c r="CW5" s="11"/>
      <c r="CX5" s="11"/>
      <c r="CY5" s="11"/>
      <c r="CZ5" s="11"/>
      <c r="DA5" s="28" t="str">
        <f t="shared" si="0"/>
        <v/>
      </c>
      <c r="DB5" s="28"/>
      <c r="DC5" s="11"/>
      <c r="DD5" s="29" t="str">
        <f t="shared" si="1"/>
        <v/>
      </c>
      <c r="DE5" s="11"/>
      <c r="DF5" s="11"/>
      <c r="DG5" s="11"/>
      <c r="DH5" s="11"/>
      <c r="DI5" s="11"/>
      <c r="DJ5" s="11"/>
      <c r="DK5" s="26"/>
      <c r="DL5" s="11"/>
      <c r="DM5" s="29"/>
      <c r="DN5" s="28"/>
      <c r="DO5" s="11"/>
      <c r="DP5" s="11"/>
      <c r="DQ5" s="11"/>
      <c r="DR5" s="29"/>
      <c r="DS5" s="28"/>
      <c r="DT5" s="11"/>
      <c r="DU5" s="26"/>
      <c r="DV5" s="11"/>
      <c r="DW5" s="29"/>
      <c r="DX5" s="28"/>
      <c r="DY5" s="11"/>
      <c r="DZ5" s="26"/>
      <c r="EA5" s="11"/>
      <c r="EB5" s="29"/>
      <c r="EC5" s="28"/>
      <c r="ED5" s="30"/>
      <c r="EE5" s="30" t="str">
        <f ca="1">IFERROR(__xludf.DUMMYFUNCTION("iferror(index(filter('Internal -- Trademark Countries'!E$2:E1000, (AM5 = 'Internal -- Trademark Countries'!B$2:B1000) + (AM5 = 'Internal -- Trademark Countries'!C$2:C1000) + (AM5 = 'Internal -- Trademark Countries'!D$2:D1000)), 1))"),"")</f>
        <v/>
      </c>
      <c r="EF5" s="30" t="e">
        <f ca="1">_xludf.ifs(AM5="", "", COUNTIF('Internal -- Trademark Countries'!B:B,AM5) &gt; 0, "polity_shortest_name", COUNTIF('Internal -- Trademark Countries'!C:C,AM5) &gt; 0, "polity_full_name", COUNTIF('Internal -- Trademark Countries'!D:D,AM5) &gt; 0, "polity_common_name", COUNTIF('Internal -- Trademark Countries'!E:E,AM5) &gt; 0, "shortest_name", COUNTIF('Internal -- Trademark Countries'!A:A,AM5) &gt; 0, "full_name", TRUE, "not a match")</f>
        <v>#NAME?</v>
      </c>
      <c r="EG5" s="30"/>
      <c r="EH5" s="30"/>
      <c r="EI5" s="30"/>
      <c r="EJ5" s="30"/>
      <c r="EK5" s="30" t="str">
        <f t="shared" si="2"/>
        <v/>
      </c>
    </row>
    <row r="6" spans="1:141" ht="15.75" customHeight="1">
      <c r="A6" s="11"/>
      <c r="B6" s="11"/>
      <c r="C6" s="15"/>
      <c r="D6" s="11"/>
      <c r="E6" s="11"/>
      <c r="F6" s="11"/>
      <c r="G6" s="11"/>
      <c r="H6" s="11"/>
      <c r="I6" s="11"/>
      <c r="J6" s="11"/>
      <c r="K6" s="27"/>
      <c r="L6" s="11"/>
      <c r="M6" s="11"/>
      <c r="N6" s="11"/>
      <c r="O6" s="11"/>
      <c r="P6" s="15"/>
      <c r="Q6" s="15"/>
      <c r="R6" s="15"/>
      <c r="S6" s="15"/>
      <c r="T6" s="15"/>
      <c r="U6" s="15"/>
      <c r="V6" s="15"/>
      <c r="W6" s="47"/>
      <c r="X6" s="11"/>
      <c r="Y6" s="48"/>
      <c r="Z6" s="11"/>
      <c r="AA6" s="48"/>
      <c r="AB6" s="11"/>
      <c r="AC6" s="48"/>
      <c r="AD6" s="11"/>
      <c r="AE6" s="47"/>
      <c r="AF6" s="11"/>
      <c r="AG6" s="48"/>
      <c r="AH6" s="11"/>
      <c r="AI6" s="48"/>
      <c r="AJ6" s="11"/>
      <c r="AK6" s="48"/>
      <c r="AL6" s="11"/>
      <c r="AM6" s="49"/>
      <c r="AN6" s="49"/>
      <c r="AO6" s="11"/>
      <c r="AP6" s="11"/>
      <c r="AQ6" s="28" t="b">
        <f>IF(COUNTIF(SmartStatus!A$2:A1000, AM6) &gt; 2, TRUE, FALSE)</f>
        <v>0</v>
      </c>
      <c r="AR6" s="29" t="str">
        <f ca="1">IFERROR(__xludf.DUMMYFUNCTION("iferror(if(regexmatch(AO6, ""(?i)^registered""), if(EE6 &lt;&gt; ""polity_shortest_name"", ""CHECK_POLITY"", index(filter(SmartStatus!B$2:B1000, AM6 = SmartStatus!A$2:A1000, not(SmartStatus!C$2:C1000), (isblank(SmartStatus!D$2:D1000)) + ((P6 &lt;&gt; """") * (P6 &lt; Sm"&amp;"artStatus!D$2:D1000)), (isblank(SmartStatus!E$2:E1000)) + ((P6 &lt;&gt; """") * (P6 &gt;= SmartStatus!E$2:E1000)), (isblank(SmartStatus!F$2:F1000)) + (((Q6 &lt;&gt; """") * (Q6 &lt; SmartStatus!F$2:F1000)) + ((P6 &lt;&gt; """") * (date(year(P6) + 3, month(P6), day(P6)) &lt; SmartSt"&amp;"atus!F$2:F1000))), (isblank(SmartStatus!G$2:G1000)) + (((Q6 &lt;&gt; """") * (Q6 &gt;= SmartStatus!G$2:G1000)) + ((P6 &lt;&gt; """") * (P6 &gt;= SmartStatus!G$2:G1000)))), if(or(regexmatch(B6, ""(?i)^ir [a-z]+ designation$""), N6 &lt;&gt; """"), 1, 2))), """"), ""NO_MATCH"")"),"")</f>
        <v/>
      </c>
      <c r="AS6" s="11"/>
      <c r="AT6" s="15"/>
      <c r="AU6" s="11"/>
      <c r="AV6" s="11"/>
      <c r="AW6" s="15"/>
      <c r="AX6" s="15"/>
      <c r="AY6" s="15"/>
      <c r="AZ6" s="11"/>
      <c r="BA6" s="15"/>
      <c r="BB6" s="11"/>
      <c r="BC6" s="11"/>
      <c r="BD6" s="15"/>
      <c r="BE6" s="11"/>
      <c r="BF6" s="11"/>
      <c r="BG6" s="15"/>
      <c r="BH6" s="15"/>
      <c r="BI6" s="15"/>
      <c r="BJ6" s="11"/>
      <c r="BK6" s="15"/>
      <c r="BL6" s="11"/>
      <c r="BM6" s="11"/>
      <c r="BN6" s="15"/>
      <c r="BO6" s="11"/>
      <c r="BP6" s="11"/>
      <c r="BQ6" s="15"/>
      <c r="BR6" s="15"/>
      <c r="BS6" s="15"/>
      <c r="BT6" s="11"/>
      <c r="BU6" s="15"/>
      <c r="BV6" s="11"/>
      <c r="BW6" s="11"/>
      <c r="BX6" s="15"/>
      <c r="BY6" s="11"/>
      <c r="BZ6" s="11"/>
      <c r="CA6" s="15"/>
      <c r="CB6" s="11"/>
      <c r="CC6" s="15"/>
      <c r="CD6" s="11"/>
      <c r="CE6" s="15"/>
      <c r="CF6" s="11"/>
      <c r="CG6" s="11"/>
      <c r="CH6" s="15"/>
      <c r="CI6" s="11"/>
      <c r="CJ6" s="11"/>
      <c r="CK6" s="15"/>
      <c r="CL6" s="11"/>
      <c r="CM6" s="11"/>
      <c r="CN6" s="11"/>
      <c r="CO6" s="11"/>
      <c r="CP6" s="28"/>
      <c r="CQ6" s="28"/>
      <c r="CR6" s="11"/>
      <c r="CS6" s="29"/>
      <c r="CT6" s="11"/>
      <c r="CU6" s="11"/>
      <c r="CV6" s="11"/>
      <c r="CW6" s="11"/>
      <c r="CX6" s="11"/>
      <c r="CY6" s="11"/>
      <c r="CZ6" s="11"/>
      <c r="DA6" s="28" t="str">
        <f t="shared" si="0"/>
        <v/>
      </c>
      <c r="DB6" s="28"/>
      <c r="DC6" s="11"/>
      <c r="DD6" s="29" t="str">
        <f t="shared" si="1"/>
        <v/>
      </c>
      <c r="DE6" s="11"/>
      <c r="DF6" s="11"/>
      <c r="DG6" s="11"/>
      <c r="DH6" s="11"/>
      <c r="DI6" s="11"/>
      <c r="DJ6" s="11"/>
      <c r="DK6" s="26"/>
      <c r="DL6" s="11"/>
      <c r="DM6" s="29"/>
      <c r="DN6" s="28"/>
      <c r="DO6" s="11"/>
      <c r="DP6" s="11"/>
      <c r="DQ6" s="11"/>
      <c r="DR6" s="29"/>
      <c r="DS6" s="28"/>
      <c r="DT6" s="11"/>
      <c r="DU6" s="26"/>
      <c r="DV6" s="11"/>
      <c r="DW6" s="29"/>
      <c r="DX6" s="28"/>
      <c r="DY6" s="11"/>
      <c r="DZ6" s="26"/>
      <c r="EA6" s="11"/>
      <c r="EB6" s="29"/>
      <c r="EC6" s="28"/>
      <c r="ED6" s="30"/>
      <c r="EE6" s="30" t="str">
        <f ca="1">IFERROR(__xludf.DUMMYFUNCTION("iferror(index(filter('Internal -- Trademark Countries'!E$2:E1000, (AM6 = 'Internal -- Trademark Countries'!B$2:B1000) + (AM6 = 'Internal -- Trademark Countries'!C$2:C1000) + (AM6 = 'Internal -- Trademark Countries'!D$2:D1000)), 1))"),"")</f>
        <v/>
      </c>
      <c r="EF6" s="30" t="e">
        <f ca="1">_xludf.ifs(AM6="", "", COUNTIF('Internal -- Trademark Countries'!B:B,AM6) &gt; 0, "polity_shortest_name", COUNTIF('Internal -- Trademark Countries'!C:C,AM6) &gt; 0, "polity_full_name", COUNTIF('Internal -- Trademark Countries'!D:D,AM6) &gt; 0, "polity_common_name", COUNTIF('Internal -- Trademark Countries'!E:E,AM6) &gt; 0, "shortest_name", COUNTIF('Internal -- Trademark Countries'!A:A,AM6) &gt; 0, "full_name", TRUE, "not a match")</f>
        <v>#NAME?</v>
      </c>
      <c r="EG6" s="30"/>
      <c r="EH6" s="30"/>
      <c r="EI6" s="30"/>
      <c r="EJ6" s="30"/>
      <c r="EK6" s="30" t="str">
        <f t="shared" si="2"/>
        <v/>
      </c>
    </row>
    <row r="7" spans="1:141" ht="15.75" customHeight="1">
      <c r="A7" s="11"/>
      <c r="B7" s="11"/>
      <c r="C7" s="11"/>
      <c r="D7" s="11"/>
      <c r="E7" s="11"/>
      <c r="F7" s="11"/>
      <c r="G7" s="11"/>
      <c r="H7" s="11"/>
      <c r="I7" s="11"/>
      <c r="J7" s="11"/>
      <c r="K7" s="27"/>
      <c r="L7" s="11"/>
      <c r="M7" s="11"/>
      <c r="N7" s="11"/>
      <c r="O7" s="11"/>
      <c r="P7" s="15"/>
      <c r="Q7" s="15"/>
      <c r="R7" s="15"/>
      <c r="S7" s="15"/>
      <c r="T7" s="15"/>
      <c r="U7" s="15"/>
      <c r="V7" s="15"/>
      <c r="W7" s="47"/>
      <c r="X7" s="11"/>
      <c r="Y7" s="48"/>
      <c r="Z7" s="11"/>
      <c r="AA7" s="48"/>
      <c r="AB7" s="11"/>
      <c r="AC7" s="48"/>
      <c r="AD7" s="11"/>
      <c r="AE7" s="47"/>
      <c r="AF7" s="11"/>
      <c r="AG7" s="48"/>
      <c r="AH7" s="11"/>
      <c r="AI7" s="48"/>
      <c r="AJ7" s="11"/>
      <c r="AK7" s="48"/>
      <c r="AL7" s="11"/>
      <c r="AM7" s="49"/>
      <c r="AN7" s="49"/>
      <c r="AO7" s="11"/>
      <c r="AP7" s="11"/>
      <c r="AQ7" s="28" t="b">
        <f>IF(COUNTIF(SmartStatus!A$2:A1000, AM7) &gt; 2, TRUE, FALSE)</f>
        <v>0</v>
      </c>
      <c r="AR7" s="29" t="str">
        <f ca="1">IFERROR(__xludf.DUMMYFUNCTION("iferror(if(regexmatch(AO7, ""(?i)^registered""), if(EE7 &lt;&gt; ""polity_shortest_name"", ""CHECK_POLITY"", index(filter(SmartStatus!B$2:B1000, AM7 = SmartStatus!A$2:A1000, not(SmartStatus!C$2:C1000), (isblank(SmartStatus!D$2:D1000)) + ((P7 &lt;&gt; """") * (P7 &lt; Sm"&amp;"artStatus!D$2:D1000)), (isblank(SmartStatus!E$2:E1000)) + ((P7 &lt;&gt; """") * (P7 &gt;= SmartStatus!E$2:E1000)), (isblank(SmartStatus!F$2:F1000)) + (((Q7 &lt;&gt; """") * (Q7 &lt; SmartStatus!F$2:F1000)) + ((P7 &lt;&gt; """") * (date(year(P7) + 3, month(P7), day(P7)) &lt; SmartSt"&amp;"atus!F$2:F1000))), (isblank(SmartStatus!G$2:G1000)) + (((Q7 &lt;&gt; """") * (Q7 &gt;= SmartStatus!G$2:G1000)) + ((P7 &lt;&gt; """") * (P7 &gt;= SmartStatus!G$2:G1000)))), if(or(regexmatch(B7, ""(?i)^ir [a-z]+ designation$""), N7 &lt;&gt; """"), 1, 2))), """"), ""NO_MATCH"")"),"")</f>
        <v/>
      </c>
      <c r="AS7" s="11"/>
      <c r="AT7" s="15"/>
      <c r="AU7" s="11"/>
      <c r="AV7" s="11"/>
      <c r="AW7" s="15"/>
      <c r="AX7" s="15"/>
      <c r="AY7" s="15"/>
      <c r="AZ7" s="11"/>
      <c r="BA7" s="15"/>
      <c r="BB7" s="11"/>
      <c r="BC7" s="11"/>
      <c r="BD7" s="15"/>
      <c r="BE7" s="11"/>
      <c r="BF7" s="11"/>
      <c r="BG7" s="15"/>
      <c r="BH7" s="15"/>
      <c r="BI7" s="15"/>
      <c r="BJ7" s="11"/>
      <c r="BK7" s="15"/>
      <c r="BL7" s="11"/>
      <c r="BM7" s="11"/>
      <c r="BN7" s="15"/>
      <c r="BO7" s="11"/>
      <c r="BP7" s="11"/>
      <c r="BQ7" s="15"/>
      <c r="BR7" s="15"/>
      <c r="BS7" s="15"/>
      <c r="BT7" s="11"/>
      <c r="BU7" s="15"/>
      <c r="BV7" s="11"/>
      <c r="BW7" s="11"/>
      <c r="BX7" s="15"/>
      <c r="BY7" s="11"/>
      <c r="BZ7" s="11"/>
      <c r="CA7" s="15"/>
      <c r="CB7" s="11"/>
      <c r="CC7" s="15"/>
      <c r="CD7" s="11"/>
      <c r="CE7" s="15"/>
      <c r="CF7" s="11"/>
      <c r="CG7" s="11"/>
      <c r="CH7" s="15"/>
      <c r="CI7" s="11"/>
      <c r="CJ7" s="11"/>
      <c r="CK7" s="15"/>
      <c r="CL7" s="11"/>
      <c r="CM7" s="11"/>
      <c r="CN7" s="11"/>
      <c r="CO7" s="11"/>
      <c r="CP7" s="28"/>
      <c r="CQ7" s="28"/>
      <c r="CR7" s="11"/>
      <c r="CS7" s="29"/>
      <c r="CT7" s="11"/>
      <c r="CU7" s="11"/>
      <c r="CV7" s="11"/>
      <c r="CW7" s="11"/>
      <c r="CX7" s="11"/>
      <c r="CY7" s="11"/>
      <c r="CZ7" s="11"/>
      <c r="DA7" s="28" t="str">
        <f t="shared" si="0"/>
        <v/>
      </c>
      <c r="DB7" s="28"/>
      <c r="DC7" s="11"/>
      <c r="DD7" s="29" t="str">
        <f t="shared" si="1"/>
        <v/>
      </c>
      <c r="DE7" s="11"/>
      <c r="DF7" s="11"/>
      <c r="DG7" s="11"/>
      <c r="DH7" s="11"/>
      <c r="DI7" s="11"/>
      <c r="DJ7" s="11"/>
      <c r="DK7" s="26"/>
      <c r="DL7" s="11"/>
      <c r="DM7" s="29"/>
      <c r="DN7" s="28"/>
      <c r="DO7" s="11"/>
      <c r="DP7" s="11"/>
      <c r="DQ7" s="11"/>
      <c r="DR7" s="29"/>
      <c r="DS7" s="28"/>
      <c r="DT7" s="11"/>
      <c r="DU7" s="26"/>
      <c r="DV7" s="11"/>
      <c r="DW7" s="29"/>
      <c r="DX7" s="28"/>
      <c r="DY7" s="11"/>
      <c r="DZ7" s="26"/>
      <c r="EA7" s="11"/>
      <c r="EB7" s="29"/>
      <c r="EC7" s="28"/>
      <c r="ED7" s="30"/>
      <c r="EE7" s="30" t="str">
        <f ca="1">IFERROR(__xludf.DUMMYFUNCTION("iferror(index(filter('Internal -- Trademark Countries'!E$2:E1000, (AM7 = 'Internal -- Trademark Countries'!B$2:B1000) + (AM7 = 'Internal -- Trademark Countries'!C$2:C1000) + (AM7 = 'Internal -- Trademark Countries'!D$2:D1000)), 1))"),"")</f>
        <v/>
      </c>
      <c r="EF7" s="30" t="e">
        <f ca="1">_xludf.ifs(AM7="", "", COUNTIF('Internal -- Trademark Countries'!B:B,AM7) &gt; 0, "polity_shortest_name", COUNTIF('Internal -- Trademark Countries'!C:C,AM7) &gt; 0, "polity_full_name", COUNTIF('Internal -- Trademark Countries'!D:D,AM7) &gt; 0, "polity_common_name", COUNTIF('Internal -- Trademark Countries'!E:E,AM7) &gt; 0, "shortest_name", COUNTIF('Internal -- Trademark Countries'!A:A,AM7) &gt; 0, "full_name", TRUE, "not a match")</f>
        <v>#NAME?</v>
      </c>
      <c r="EG7" s="30"/>
      <c r="EH7" s="30"/>
      <c r="EI7" s="30"/>
      <c r="EJ7" s="30"/>
      <c r="EK7" s="30" t="str">
        <f t="shared" si="2"/>
        <v/>
      </c>
    </row>
    <row r="8" spans="1:141" ht="15.75" customHeight="1">
      <c r="A8" s="11"/>
      <c r="B8" s="11"/>
      <c r="C8" s="11"/>
      <c r="D8" s="11"/>
      <c r="E8" s="11"/>
      <c r="F8" s="11"/>
      <c r="G8" s="11"/>
      <c r="H8" s="11"/>
      <c r="I8" s="11"/>
      <c r="J8" s="11"/>
      <c r="K8" s="27"/>
      <c r="L8" s="11"/>
      <c r="M8" s="11"/>
      <c r="N8" s="11"/>
      <c r="O8" s="11"/>
      <c r="P8" s="15"/>
      <c r="Q8" s="15"/>
      <c r="R8" s="15"/>
      <c r="S8" s="15"/>
      <c r="T8" s="15"/>
      <c r="U8" s="15"/>
      <c r="V8" s="15"/>
      <c r="W8" s="47"/>
      <c r="X8" s="11"/>
      <c r="Y8" s="48"/>
      <c r="Z8" s="11"/>
      <c r="AA8" s="48"/>
      <c r="AB8" s="11"/>
      <c r="AC8" s="48"/>
      <c r="AD8" s="11"/>
      <c r="AE8" s="47"/>
      <c r="AF8" s="11"/>
      <c r="AG8" s="48"/>
      <c r="AH8" s="11"/>
      <c r="AI8" s="48"/>
      <c r="AJ8" s="11"/>
      <c r="AK8" s="48"/>
      <c r="AL8" s="11"/>
      <c r="AM8" s="49"/>
      <c r="AN8" s="49"/>
      <c r="AO8" s="11"/>
      <c r="AP8" s="11"/>
      <c r="AQ8" s="28" t="b">
        <f>IF(COUNTIF(SmartStatus!A$2:A1000, AM8) &gt; 2, TRUE, FALSE)</f>
        <v>0</v>
      </c>
      <c r="AR8" s="29" t="str">
        <f ca="1">IFERROR(__xludf.DUMMYFUNCTION("iferror(if(regexmatch(AO8, ""(?i)^registered""), if(EE8 &lt;&gt; ""polity_shortest_name"", ""CHECK_POLITY"", index(filter(SmartStatus!B$2:B1000, AM8 = SmartStatus!A$2:A1000, not(SmartStatus!C$2:C1000), (isblank(SmartStatus!D$2:D1000)) + ((P8 &lt;&gt; """") * (P8 &lt; Sm"&amp;"artStatus!D$2:D1000)), (isblank(SmartStatus!E$2:E1000)) + ((P8 &lt;&gt; """") * (P8 &gt;= SmartStatus!E$2:E1000)), (isblank(SmartStatus!F$2:F1000)) + (((Q8 &lt;&gt; """") * (Q8 &lt; SmartStatus!F$2:F1000)) + ((P8 &lt;&gt; """") * (date(year(P8) + 3, month(P8), day(P8)) &lt; SmartSt"&amp;"atus!F$2:F1000))), (isblank(SmartStatus!G$2:G1000)) + (((Q8 &lt;&gt; """") * (Q8 &gt;= SmartStatus!G$2:G1000)) + ((P8 &lt;&gt; """") * (P8 &gt;= SmartStatus!G$2:G1000)))), if(or(regexmatch(B8, ""(?i)^ir [a-z]+ designation$""), N8 &lt;&gt; """"), 1, 2))), """"), ""NO_MATCH"")"),"")</f>
        <v/>
      </c>
      <c r="AS8" s="11"/>
      <c r="AT8" s="15"/>
      <c r="AU8" s="11"/>
      <c r="AV8" s="11"/>
      <c r="AW8" s="15"/>
      <c r="AX8" s="15"/>
      <c r="AY8" s="15"/>
      <c r="AZ8" s="11"/>
      <c r="BA8" s="15"/>
      <c r="BB8" s="11"/>
      <c r="BC8" s="11"/>
      <c r="BD8" s="15"/>
      <c r="BE8" s="11"/>
      <c r="BF8" s="11"/>
      <c r="BG8" s="15"/>
      <c r="BH8" s="15"/>
      <c r="BI8" s="15"/>
      <c r="BJ8" s="11"/>
      <c r="BK8" s="15"/>
      <c r="BL8" s="11"/>
      <c r="BM8" s="11"/>
      <c r="BN8" s="15"/>
      <c r="BO8" s="11"/>
      <c r="BP8" s="11"/>
      <c r="BQ8" s="15"/>
      <c r="BR8" s="15"/>
      <c r="BS8" s="15"/>
      <c r="BT8" s="11"/>
      <c r="BU8" s="15"/>
      <c r="BV8" s="11"/>
      <c r="BW8" s="11"/>
      <c r="BX8" s="15"/>
      <c r="BY8" s="11"/>
      <c r="BZ8" s="11"/>
      <c r="CA8" s="15"/>
      <c r="CB8" s="11"/>
      <c r="CC8" s="15"/>
      <c r="CD8" s="11"/>
      <c r="CE8" s="15"/>
      <c r="CF8" s="11"/>
      <c r="CG8" s="11"/>
      <c r="CH8" s="15"/>
      <c r="CI8" s="11"/>
      <c r="CJ8" s="11"/>
      <c r="CK8" s="15"/>
      <c r="CL8" s="11"/>
      <c r="CM8" s="11"/>
      <c r="CN8" s="11"/>
      <c r="CO8" s="11"/>
      <c r="CP8" s="28"/>
      <c r="CQ8" s="28"/>
      <c r="CR8" s="11"/>
      <c r="CS8" s="29"/>
      <c r="CT8" s="11"/>
      <c r="CU8" s="11"/>
      <c r="CV8" s="11"/>
      <c r="CW8" s="11"/>
      <c r="CX8" s="11"/>
      <c r="CY8" s="11"/>
      <c r="CZ8" s="11"/>
      <c r="DA8" s="28" t="str">
        <f t="shared" si="0"/>
        <v/>
      </c>
      <c r="DB8" s="28"/>
      <c r="DC8" s="11"/>
      <c r="DD8" s="29" t="str">
        <f t="shared" si="1"/>
        <v/>
      </c>
      <c r="DE8" s="11"/>
      <c r="DF8" s="11"/>
      <c r="DG8" s="11"/>
      <c r="DH8" s="11"/>
      <c r="DI8" s="11"/>
      <c r="DJ8" s="11"/>
      <c r="DK8" s="26"/>
      <c r="DL8" s="11"/>
      <c r="DM8" s="29"/>
      <c r="DN8" s="28"/>
      <c r="DO8" s="11"/>
      <c r="DP8" s="11"/>
      <c r="DQ8" s="11"/>
      <c r="DR8" s="29"/>
      <c r="DS8" s="28"/>
      <c r="DT8" s="11"/>
      <c r="DU8" s="26"/>
      <c r="DV8" s="11"/>
      <c r="DW8" s="29"/>
      <c r="DX8" s="28"/>
      <c r="DY8" s="11"/>
      <c r="DZ8" s="26"/>
      <c r="EA8" s="11"/>
      <c r="EB8" s="29"/>
      <c r="EC8" s="28"/>
      <c r="ED8" s="30"/>
      <c r="EE8" s="30" t="str">
        <f ca="1">IFERROR(__xludf.DUMMYFUNCTION("iferror(index(filter('Internal -- Trademark Countries'!E$2:E1000, (AM8 = 'Internal -- Trademark Countries'!B$2:B1000) + (AM8 = 'Internal -- Trademark Countries'!C$2:C1000) + (AM8 = 'Internal -- Trademark Countries'!D$2:D1000)), 1))"),"")</f>
        <v/>
      </c>
      <c r="EF8" s="30" t="e">
        <f ca="1">_xludf.ifs(AM8="", "", COUNTIF('Internal -- Trademark Countries'!B:B,AM8) &gt; 0, "polity_shortest_name", COUNTIF('Internal -- Trademark Countries'!C:C,AM8) &gt; 0, "polity_full_name", COUNTIF('Internal -- Trademark Countries'!D:D,AM8) &gt; 0, "polity_common_name", COUNTIF('Internal -- Trademark Countries'!E:E,AM8) &gt; 0, "shortest_name", COUNTIF('Internal -- Trademark Countries'!A:A,AM8) &gt; 0, "full_name", TRUE, "not a match")</f>
        <v>#NAME?</v>
      </c>
      <c r="EG8" s="30"/>
      <c r="EH8" s="30"/>
      <c r="EI8" s="30"/>
      <c r="EJ8" s="30"/>
      <c r="EK8" s="30" t="str">
        <f t="shared" si="2"/>
        <v/>
      </c>
    </row>
    <row r="9" spans="1:141" ht="15.75" customHeight="1">
      <c r="A9" s="11"/>
      <c r="B9" s="11"/>
      <c r="C9" s="11"/>
      <c r="D9" s="11"/>
      <c r="E9" s="11"/>
      <c r="F9" s="11"/>
      <c r="G9" s="11"/>
      <c r="H9" s="11"/>
      <c r="I9" s="11"/>
      <c r="J9" s="11"/>
      <c r="K9" s="27"/>
      <c r="L9" s="11"/>
      <c r="M9" s="11"/>
      <c r="N9" s="11"/>
      <c r="O9" s="11"/>
      <c r="P9" s="15"/>
      <c r="Q9" s="15"/>
      <c r="R9" s="15"/>
      <c r="S9" s="15"/>
      <c r="T9" s="15"/>
      <c r="U9" s="15"/>
      <c r="V9" s="15"/>
      <c r="W9" s="47"/>
      <c r="X9" s="11"/>
      <c r="Y9" s="48"/>
      <c r="Z9" s="11"/>
      <c r="AA9" s="48"/>
      <c r="AB9" s="11"/>
      <c r="AC9" s="48"/>
      <c r="AD9" s="11"/>
      <c r="AE9" s="47"/>
      <c r="AF9" s="11"/>
      <c r="AG9" s="48"/>
      <c r="AH9" s="11"/>
      <c r="AI9" s="48"/>
      <c r="AJ9" s="11"/>
      <c r="AK9" s="48"/>
      <c r="AL9" s="11"/>
      <c r="AM9" s="49"/>
      <c r="AN9" s="49"/>
      <c r="AO9" s="11"/>
      <c r="AP9" s="11"/>
      <c r="AQ9" s="28" t="b">
        <f>IF(COUNTIF(SmartStatus!A$2:A1000, AM9) &gt; 2, TRUE, FALSE)</f>
        <v>0</v>
      </c>
      <c r="AR9" s="29" t="str">
        <f ca="1">IFERROR(__xludf.DUMMYFUNCTION("iferror(if(regexmatch(AO9, ""(?i)^registered""), if(EE9 &lt;&gt; ""polity_shortest_name"", ""CHECK_POLITY"", index(filter(SmartStatus!B$2:B1000, AM9 = SmartStatus!A$2:A1000, not(SmartStatus!C$2:C1000), (isblank(SmartStatus!D$2:D1000)) + ((P9 &lt;&gt; """") * (P9 &lt; Sm"&amp;"artStatus!D$2:D1000)), (isblank(SmartStatus!E$2:E1000)) + ((P9 &lt;&gt; """") * (P9 &gt;= SmartStatus!E$2:E1000)), (isblank(SmartStatus!F$2:F1000)) + (((Q9 &lt;&gt; """") * (Q9 &lt; SmartStatus!F$2:F1000)) + ((P9 &lt;&gt; """") * (date(year(P9) + 3, month(P9), day(P9)) &lt; SmartSt"&amp;"atus!F$2:F1000))), (isblank(SmartStatus!G$2:G1000)) + (((Q9 &lt;&gt; """") * (Q9 &gt;= SmartStatus!G$2:G1000)) + ((P9 &lt;&gt; """") * (P9 &gt;= SmartStatus!G$2:G1000)))), if(or(regexmatch(B9, ""(?i)^ir [a-z]+ designation$""), N9 &lt;&gt; """"), 1, 2))), """"), ""NO_MATCH"")"),"")</f>
        <v/>
      </c>
      <c r="AS9" s="11"/>
      <c r="AT9" s="15"/>
      <c r="AU9" s="11"/>
      <c r="AV9" s="11"/>
      <c r="AW9" s="15"/>
      <c r="AX9" s="15"/>
      <c r="AY9" s="15"/>
      <c r="AZ9" s="11"/>
      <c r="BA9" s="15"/>
      <c r="BB9" s="11"/>
      <c r="BC9" s="11"/>
      <c r="BD9" s="15"/>
      <c r="BE9" s="11"/>
      <c r="BF9" s="11"/>
      <c r="BG9" s="15"/>
      <c r="BH9" s="15"/>
      <c r="BI9" s="15"/>
      <c r="BJ9" s="11"/>
      <c r="BK9" s="15"/>
      <c r="BL9" s="11"/>
      <c r="BM9" s="11"/>
      <c r="BN9" s="15"/>
      <c r="BO9" s="11"/>
      <c r="BP9" s="11"/>
      <c r="BQ9" s="15"/>
      <c r="BR9" s="15"/>
      <c r="BS9" s="15"/>
      <c r="BT9" s="11"/>
      <c r="BU9" s="15"/>
      <c r="BV9" s="11"/>
      <c r="BW9" s="11"/>
      <c r="BX9" s="15"/>
      <c r="BY9" s="11"/>
      <c r="BZ9" s="11"/>
      <c r="CA9" s="15"/>
      <c r="CB9" s="11"/>
      <c r="CC9" s="15"/>
      <c r="CD9" s="11"/>
      <c r="CE9" s="15"/>
      <c r="CF9" s="11"/>
      <c r="CG9" s="11"/>
      <c r="CH9" s="15"/>
      <c r="CI9" s="11"/>
      <c r="CJ9" s="11"/>
      <c r="CK9" s="15"/>
      <c r="CL9" s="11"/>
      <c r="CM9" s="11"/>
      <c r="CN9" s="11"/>
      <c r="CO9" s="11"/>
      <c r="CP9" s="28"/>
      <c r="CQ9" s="28"/>
      <c r="CR9" s="11"/>
      <c r="CS9" s="29"/>
      <c r="CT9" s="11"/>
      <c r="CU9" s="11"/>
      <c r="CV9" s="11"/>
      <c r="CW9" s="11"/>
      <c r="CX9" s="11"/>
      <c r="CY9" s="11"/>
      <c r="CZ9" s="11"/>
      <c r="DA9" s="28" t="str">
        <f t="shared" si="0"/>
        <v/>
      </c>
      <c r="DB9" s="28"/>
      <c r="DC9" s="11"/>
      <c r="DD9" s="29" t="str">
        <f t="shared" si="1"/>
        <v/>
      </c>
      <c r="DE9" s="11"/>
      <c r="DF9" s="11"/>
      <c r="DG9" s="11"/>
      <c r="DH9" s="11"/>
      <c r="DI9" s="11"/>
      <c r="DJ9" s="11"/>
      <c r="DK9" s="26"/>
      <c r="DL9" s="11"/>
      <c r="DM9" s="29"/>
      <c r="DN9" s="28"/>
      <c r="DO9" s="11"/>
      <c r="DP9" s="11"/>
      <c r="DQ9" s="11"/>
      <c r="DR9" s="29"/>
      <c r="DS9" s="28"/>
      <c r="DT9" s="11"/>
      <c r="DU9" s="26"/>
      <c r="DV9" s="11"/>
      <c r="DW9" s="29"/>
      <c r="DX9" s="28"/>
      <c r="DY9" s="11"/>
      <c r="DZ9" s="26"/>
      <c r="EA9" s="11"/>
      <c r="EB9" s="29"/>
      <c r="EC9" s="28"/>
      <c r="ED9" s="30"/>
      <c r="EE9" s="30" t="str">
        <f ca="1">IFERROR(__xludf.DUMMYFUNCTION("iferror(index(filter('Internal -- Trademark Countries'!E$2:E1000, (AM9 = 'Internal -- Trademark Countries'!B$2:B1000) + (AM9 = 'Internal -- Trademark Countries'!C$2:C1000) + (AM9 = 'Internal -- Trademark Countries'!D$2:D1000)), 1))"),"")</f>
        <v/>
      </c>
      <c r="EF9" s="30" t="e">
        <f ca="1">_xludf.ifs(AM9="", "", COUNTIF('Internal -- Trademark Countries'!B:B,AM9) &gt; 0, "polity_shortest_name", COUNTIF('Internal -- Trademark Countries'!C:C,AM9) &gt; 0, "polity_full_name", COUNTIF('Internal -- Trademark Countries'!D:D,AM9) &gt; 0, "polity_common_name", COUNTIF('Internal -- Trademark Countries'!E:E,AM9) &gt; 0, "shortest_name", COUNTIF('Internal -- Trademark Countries'!A:A,AM9) &gt; 0, "full_name", TRUE, "not a match")</f>
        <v>#NAME?</v>
      </c>
      <c r="EG9" s="30"/>
      <c r="EH9" s="30"/>
      <c r="EI9" s="30"/>
      <c r="EJ9" s="30"/>
      <c r="EK9" s="30" t="str">
        <f t="shared" si="2"/>
        <v/>
      </c>
    </row>
    <row r="10" spans="1:141" ht="15.75" customHeight="1">
      <c r="A10" s="11"/>
      <c r="B10" s="11"/>
      <c r="C10" s="11"/>
      <c r="D10" s="11"/>
      <c r="E10" s="11"/>
      <c r="F10" s="11"/>
      <c r="G10" s="11"/>
      <c r="H10" s="11"/>
      <c r="I10" s="11"/>
      <c r="J10" s="11"/>
      <c r="K10" s="27"/>
      <c r="L10" s="11"/>
      <c r="M10" s="11"/>
      <c r="N10" s="11"/>
      <c r="O10" s="11"/>
      <c r="P10" s="15"/>
      <c r="Q10" s="15"/>
      <c r="R10" s="15"/>
      <c r="S10" s="15"/>
      <c r="T10" s="15"/>
      <c r="U10" s="15"/>
      <c r="V10" s="15"/>
      <c r="W10" s="47"/>
      <c r="X10" s="11"/>
      <c r="Y10" s="48"/>
      <c r="Z10" s="11"/>
      <c r="AA10" s="48"/>
      <c r="AB10" s="11"/>
      <c r="AC10" s="48"/>
      <c r="AD10" s="11"/>
      <c r="AE10" s="47"/>
      <c r="AF10" s="11"/>
      <c r="AG10" s="48"/>
      <c r="AH10" s="11"/>
      <c r="AI10" s="48"/>
      <c r="AJ10" s="11"/>
      <c r="AK10" s="48"/>
      <c r="AL10" s="11"/>
      <c r="AM10" s="49"/>
      <c r="AN10" s="49"/>
      <c r="AO10" s="11"/>
      <c r="AP10" s="11"/>
      <c r="AQ10" s="28" t="b">
        <f>IF(COUNTIF(SmartStatus!A$2:A1000, AM10) &gt; 2, TRUE, FALSE)</f>
        <v>0</v>
      </c>
      <c r="AR10" s="29" t="str">
        <f ca="1">IFERROR(__xludf.DUMMYFUNCTION("iferror(if(regexmatch(AO10, ""(?i)^registered""), if(EE10 &lt;&gt; ""polity_shortest_name"", ""CHECK_POLITY"", index(filter(SmartStatus!B$2:B1000, AM10 = SmartStatus!A$2:A1000, not(SmartStatus!C$2:C1000), (isblank(SmartStatus!D$2:D1000)) + ((P10 &lt;&gt; """") * (P10"&amp;" &lt; SmartStatus!D$2:D1000)), (isblank(SmartStatus!E$2:E1000)) + ((P10 &lt;&gt; """") * (P10 &gt;= SmartStatus!E$2:E1000)), (isblank(SmartStatus!F$2:F1000)) + (((Q10 &lt;&gt; """") * (Q10 &lt; SmartStatus!F$2:F1000)) + ((P10 &lt;&gt; """") * (date(year(P10) + 3, month(P10), day(P1"&amp;"0)) &lt; SmartStatus!F$2:F1000))), (isblank(SmartStatus!G$2:G1000)) + (((Q10 &lt;&gt; """") * (Q10 &gt;= SmartStatus!G$2:G1000)) + ((P10 &lt;&gt; """") * (P10 &gt;= SmartStatus!G$2:G1000)))), if(or(regexmatch(B10, ""(?i)^ir [a-z]+ designation$""), N10 &lt;&gt; """"), 1, 2))), """")"&amp;", ""NO_MATCH"")"),"")</f>
        <v/>
      </c>
      <c r="AS10" s="11"/>
      <c r="AT10" s="15"/>
      <c r="AU10" s="11"/>
      <c r="AV10" s="11"/>
      <c r="AW10" s="15"/>
      <c r="AX10" s="15"/>
      <c r="AY10" s="15"/>
      <c r="AZ10" s="11"/>
      <c r="BA10" s="15"/>
      <c r="BB10" s="11"/>
      <c r="BC10" s="11"/>
      <c r="BD10" s="15"/>
      <c r="BE10" s="11"/>
      <c r="BF10" s="11"/>
      <c r="BG10" s="15"/>
      <c r="BH10" s="15"/>
      <c r="BI10" s="15"/>
      <c r="BJ10" s="11"/>
      <c r="BK10" s="15"/>
      <c r="BL10" s="11"/>
      <c r="BM10" s="11"/>
      <c r="BN10" s="15"/>
      <c r="BO10" s="11"/>
      <c r="BP10" s="11"/>
      <c r="BQ10" s="15"/>
      <c r="BR10" s="15"/>
      <c r="BS10" s="15"/>
      <c r="BT10" s="11"/>
      <c r="BU10" s="15"/>
      <c r="BV10" s="11"/>
      <c r="BW10" s="11"/>
      <c r="BX10" s="15"/>
      <c r="BY10" s="11"/>
      <c r="BZ10" s="11"/>
      <c r="CA10" s="15"/>
      <c r="CB10" s="11"/>
      <c r="CC10" s="15"/>
      <c r="CD10" s="11"/>
      <c r="CE10" s="15"/>
      <c r="CF10" s="11"/>
      <c r="CG10" s="11"/>
      <c r="CH10" s="15"/>
      <c r="CI10" s="11"/>
      <c r="CJ10" s="11"/>
      <c r="CK10" s="15"/>
      <c r="CL10" s="11"/>
      <c r="CM10" s="11"/>
      <c r="CN10" s="11"/>
      <c r="CO10" s="11"/>
      <c r="CP10" s="28"/>
      <c r="CQ10" s="28"/>
      <c r="CR10" s="11"/>
      <c r="CS10" s="29"/>
      <c r="CT10" s="11"/>
      <c r="CU10" s="11"/>
      <c r="CV10" s="11"/>
      <c r="CW10" s="11"/>
      <c r="CX10" s="11"/>
      <c r="CY10" s="11"/>
      <c r="CZ10" s="11"/>
      <c r="DA10" s="28" t="str">
        <f t="shared" si="0"/>
        <v/>
      </c>
      <c r="DB10" s="28"/>
      <c r="DC10" s="11"/>
      <c r="DD10" s="29" t="str">
        <f t="shared" si="1"/>
        <v/>
      </c>
      <c r="DE10" s="11"/>
      <c r="DF10" s="11"/>
      <c r="DG10" s="11"/>
      <c r="DH10" s="11"/>
      <c r="DI10" s="11"/>
      <c r="DJ10" s="11"/>
      <c r="DK10" s="26"/>
      <c r="DL10" s="11"/>
      <c r="DM10" s="29"/>
      <c r="DN10" s="28"/>
      <c r="DO10" s="11"/>
      <c r="DP10" s="11"/>
      <c r="DQ10" s="11"/>
      <c r="DR10" s="29"/>
      <c r="DS10" s="28"/>
      <c r="DT10" s="11"/>
      <c r="DU10" s="26"/>
      <c r="DV10" s="11"/>
      <c r="DW10" s="29"/>
      <c r="DX10" s="28"/>
      <c r="DY10" s="11"/>
      <c r="DZ10" s="26"/>
      <c r="EA10" s="11"/>
      <c r="EB10" s="29"/>
      <c r="EC10" s="28"/>
      <c r="ED10" s="30"/>
      <c r="EE10" s="30" t="str">
        <f ca="1">IFERROR(__xludf.DUMMYFUNCTION("iferror(index(filter('Internal -- Trademark Countries'!E$2:E1000, (AM10 = 'Internal -- Trademark Countries'!B$2:B1000) + (AM10 = 'Internal -- Trademark Countries'!C$2:C1000) + (AM10 = 'Internal -- Trademark Countries'!D$2:D1000)), 1))"),"")</f>
        <v/>
      </c>
      <c r="EF10" s="30" t="e">
        <f ca="1">_xludf.ifs(AM10="", "", COUNTIF('Internal -- Trademark Countries'!B:B,AM10) &gt; 0, "polity_shortest_name", COUNTIF('Internal -- Trademark Countries'!C:C,AM10) &gt; 0, "polity_full_name", COUNTIF('Internal -- Trademark Countries'!D:D,AM10) &gt; 0, "polity_common_name", COUNTIF('Internal -- Trademark Countries'!E:E,AM10) &gt; 0, "shortest_name", COUNTIF('Internal -- Trademark Countries'!A:A,AM10) &gt; 0, "full_name", TRUE, "not a match")</f>
        <v>#NAME?</v>
      </c>
      <c r="EG10" s="30"/>
      <c r="EH10" s="30"/>
      <c r="EI10" s="30"/>
      <c r="EJ10" s="30"/>
      <c r="EK10" s="30" t="str">
        <f t="shared" si="2"/>
        <v/>
      </c>
    </row>
    <row r="11" spans="1:141" ht="15.75" customHeight="1">
      <c r="A11" s="11"/>
      <c r="B11" s="11"/>
      <c r="C11" s="11"/>
      <c r="D11" s="11"/>
      <c r="E11" s="11"/>
      <c r="F11" s="11"/>
      <c r="G11" s="11"/>
      <c r="H11" s="11"/>
      <c r="I11" s="11"/>
      <c r="J11" s="11"/>
      <c r="K11" s="27"/>
      <c r="L11" s="11"/>
      <c r="M11" s="11"/>
      <c r="N11" s="11"/>
      <c r="O11" s="11"/>
      <c r="P11" s="15"/>
      <c r="Q11" s="15"/>
      <c r="R11" s="15"/>
      <c r="S11" s="15"/>
      <c r="T11" s="15"/>
      <c r="U11" s="15"/>
      <c r="V11" s="15"/>
      <c r="W11" s="47"/>
      <c r="X11" s="11"/>
      <c r="Y11" s="48"/>
      <c r="Z11" s="11"/>
      <c r="AA11" s="48"/>
      <c r="AB11" s="11"/>
      <c r="AC11" s="48"/>
      <c r="AD11" s="11"/>
      <c r="AE11" s="47"/>
      <c r="AF11" s="11"/>
      <c r="AG11" s="48"/>
      <c r="AH11" s="11"/>
      <c r="AI11" s="48"/>
      <c r="AJ11" s="11"/>
      <c r="AK11" s="48"/>
      <c r="AL11" s="11"/>
      <c r="AM11" s="49"/>
      <c r="AN11" s="49"/>
      <c r="AO11" s="11"/>
      <c r="AP11" s="11"/>
      <c r="AQ11" s="28" t="b">
        <f>IF(COUNTIF(SmartStatus!A$2:A1000, AM11) &gt; 2, TRUE, FALSE)</f>
        <v>0</v>
      </c>
      <c r="AR11" s="29" t="str">
        <f ca="1">IFERROR(__xludf.DUMMYFUNCTION("iferror(if(regexmatch(AO11, ""(?i)^registered""), if(EE11 &lt;&gt; ""polity_shortest_name"", ""CHECK_POLITY"", index(filter(SmartStatus!B$2:B1000, AM11 = SmartStatus!A$2:A1000, not(SmartStatus!C$2:C1000), (isblank(SmartStatus!D$2:D1000)) + ((P11 &lt;&gt; """") * (P11"&amp;" &lt; SmartStatus!D$2:D1000)), (isblank(SmartStatus!E$2:E1000)) + ((P11 &lt;&gt; """") * (P11 &gt;= SmartStatus!E$2:E1000)), (isblank(SmartStatus!F$2:F1000)) + (((Q11 &lt;&gt; """") * (Q11 &lt; SmartStatus!F$2:F1000)) + ((P11 &lt;&gt; """") * (date(year(P11) + 3, month(P11), day(P1"&amp;"1)) &lt; SmartStatus!F$2:F1000))), (isblank(SmartStatus!G$2:G1000)) + (((Q11 &lt;&gt; """") * (Q11 &gt;= SmartStatus!G$2:G1000)) + ((P11 &lt;&gt; """") * (P11 &gt;= SmartStatus!G$2:G1000)))), if(or(regexmatch(B11, ""(?i)^ir [a-z]+ designation$""), N11 &lt;&gt; """"), 1, 2))), """")"&amp;", ""NO_MATCH"")"),"")</f>
        <v/>
      </c>
      <c r="AS11" s="11"/>
      <c r="AT11" s="15"/>
      <c r="AU11" s="11"/>
      <c r="AV11" s="11"/>
      <c r="AW11" s="15"/>
      <c r="AX11" s="15"/>
      <c r="AY11" s="15"/>
      <c r="AZ11" s="11"/>
      <c r="BA11" s="15"/>
      <c r="BB11" s="11"/>
      <c r="BC11" s="11"/>
      <c r="BD11" s="15"/>
      <c r="BE11" s="11"/>
      <c r="BF11" s="11"/>
      <c r="BG11" s="15"/>
      <c r="BH11" s="15"/>
      <c r="BI11" s="15"/>
      <c r="BJ11" s="11"/>
      <c r="BK11" s="15"/>
      <c r="BL11" s="11"/>
      <c r="BM11" s="11"/>
      <c r="BN11" s="15"/>
      <c r="BO11" s="11"/>
      <c r="BP11" s="11"/>
      <c r="BQ11" s="15"/>
      <c r="BR11" s="15"/>
      <c r="BS11" s="15"/>
      <c r="BT11" s="11"/>
      <c r="BU11" s="15"/>
      <c r="BV11" s="11"/>
      <c r="BW11" s="11"/>
      <c r="BX11" s="15"/>
      <c r="BY11" s="11"/>
      <c r="BZ11" s="11"/>
      <c r="CA11" s="15"/>
      <c r="CB11" s="11"/>
      <c r="CC11" s="15"/>
      <c r="CD11" s="11"/>
      <c r="CE11" s="15"/>
      <c r="CF11" s="11"/>
      <c r="CG11" s="11"/>
      <c r="CH11" s="15"/>
      <c r="CI11" s="11"/>
      <c r="CJ11" s="11"/>
      <c r="CK11" s="15"/>
      <c r="CL11" s="11"/>
      <c r="CM11" s="11"/>
      <c r="CN11" s="11"/>
      <c r="CO11" s="11"/>
      <c r="CP11" s="28"/>
      <c r="CQ11" s="28"/>
      <c r="CR11" s="11"/>
      <c r="CS11" s="29"/>
      <c r="CT11" s="11"/>
      <c r="CU11" s="11"/>
      <c r="CV11" s="11"/>
      <c r="CW11" s="11"/>
      <c r="CX11" s="11"/>
      <c r="CY11" s="11"/>
      <c r="CZ11" s="11"/>
      <c r="DA11" s="28" t="str">
        <f t="shared" si="0"/>
        <v/>
      </c>
      <c r="DB11" s="28"/>
      <c r="DC11" s="11"/>
      <c r="DD11" s="29" t="str">
        <f t="shared" si="1"/>
        <v/>
      </c>
      <c r="DE11" s="11"/>
      <c r="DF11" s="11"/>
      <c r="DG11" s="11"/>
      <c r="DH11" s="11"/>
      <c r="DI11" s="11"/>
      <c r="DJ11" s="11"/>
      <c r="DK11" s="26"/>
      <c r="DL11" s="11"/>
      <c r="DM11" s="29"/>
      <c r="DN11" s="28"/>
      <c r="DO11" s="11"/>
      <c r="DP11" s="11"/>
      <c r="DQ11" s="11"/>
      <c r="DR11" s="29"/>
      <c r="DS11" s="28"/>
      <c r="DT11" s="11"/>
      <c r="DU11" s="26"/>
      <c r="DV11" s="11"/>
      <c r="DW11" s="29"/>
      <c r="DX11" s="28"/>
      <c r="DY11" s="11"/>
      <c r="DZ11" s="26"/>
      <c r="EA11" s="11"/>
      <c r="EB11" s="29"/>
      <c r="EC11" s="28"/>
      <c r="ED11" s="30"/>
      <c r="EE11" s="30" t="str">
        <f ca="1">IFERROR(__xludf.DUMMYFUNCTION("iferror(index(filter('Internal -- Trademark Countries'!E$2:E1000, (AM11 = 'Internal -- Trademark Countries'!B$2:B1000) + (AM11 = 'Internal -- Trademark Countries'!C$2:C1000) + (AM11 = 'Internal -- Trademark Countries'!D$2:D1000)), 1))"),"")</f>
        <v/>
      </c>
      <c r="EF11" s="30" t="e">
        <f ca="1">_xludf.ifs(AM11="", "", COUNTIF('Internal -- Trademark Countries'!B:B,AM11) &gt; 0, "polity_shortest_name", COUNTIF('Internal -- Trademark Countries'!C:C,AM11) &gt; 0, "polity_full_name", COUNTIF('Internal -- Trademark Countries'!D:D,AM11) &gt; 0, "polity_common_name", COUNTIF('Internal -- Trademark Countries'!E:E,AM11) &gt; 0, "shortest_name", COUNTIF('Internal -- Trademark Countries'!A:A,AM11) &gt; 0, "full_name", TRUE, "not a match")</f>
        <v>#NAME?</v>
      </c>
      <c r="EG11" s="30"/>
      <c r="EH11" s="30"/>
      <c r="EI11" s="30"/>
      <c r="EJ11" s="30"/>
      <c r="EK11" s="30" t="str">
        <f t="shared" si="2"/>
        <v/>
      </c>
    </row>
    <row r="12" spans="1:141" ht="15.75" customHeight="1">
      <c r="A12" s="11"/>
      <c r="B12" s="11"/>
      <c r="C12" s="11"/>
      <c r="D12" s="11"/>
      <c r="E12" s="11"/>
      <c r="F12" s="11"/>
      <c r="G12" s="11"/>
      <c r="H12" s="11"/>
      <c r="I12" s="11"/>
      <c r="J12" s="11"/>
      <c r="K12" s="27"/>
      <c r="L12" s="11"/>
      <c r="M12" s="11"/>
      <c r="N12" s="11"/>
      <c r="O12" s="11"/>
      <c r="P12" s="15"/>
      <c r="Q12" s="15"/>
      <c r="R12" s="15"/>
      <c r="S12" s="15"/>
      <c r="T12" s="15"/>
      <c r="U12" s="15"/>
      <c r="V12" s="15"/>
      <c r="W12" s="47"/>
      <c r="X12" s="11"/>
      <c r="Y12" s="48"/>
      <c r="Z12" s="11"/>
      <c r="AA12" s="48"/>
      <c r="AB12" s="11"/>
      <c r="AC12" s="48"/>
      <c r="AD12" s="11"/>
      <c r="AE12" s="47"/>
      <c r="AF12" s="11"/>
      <c r="AG12" s="48"/>
      <c r="AH12" s="11"/>
      <c r="AI12" s="48"/>
      <c r="AJ12" s="11"/>
      <c r="AK12" s="48"/>
      <c r="AL12" s="11"/>
      <c r="AM12" s="49"/>
      <c r="AN12" s="49"/>
      <c r="AO12" s="11"/>
      <c r="AP12" s="11"/>
      <c r="AQ12" s="28" t="b">
        <f>IF(COUNTIF(SmartStatus!A$2:A1000, AM12) &gt; 2, TRUE, FALSE)</f>
        <v>0</v>
      </c>
      <c r="AR12" s="29" t="str">
        <f ca="1">IFERROR(__xludf.DUMMYFUNCTION("iferror(if(regexmatch(AO12, ""(?i)^registered""), if(EE12 &lt;&gt; ""polity_shortest_name"", ""CHECK_POLITY"", index(filter(SmartStatus!B$2:B1000, AM12 = SmartStatus!A$2:A1000, not(SmartStatus!C$2:C1000), (isblank(SmartStatus!D$2:D1000)) + ((P12 &lt;&gt; """") * (P12"&amp;" &lt; SmartStatus!D$2:D1000)), (isblank(SmartStatus!E$2:E1000)) + ((P12 &lt;&gt; """") * (P12 &gt;= SmartStatus!E$2:E1000)), (isblank(SmartStatus!F$2:F1000)) + (((Q12 &lt;&gt; """") * (Q12 &lt; SmartStatus!F$2:F1000)) + ((P12 &lt;&gt; """") * (date(year(P12) + 3, month(P12), day(P1"&amp;"2)) &lt; SmartStatus!F$2:F1000))), (isblank(SmartStatus!G$2:G1000)) + (((Q12 &lt;&gt; """") * (Q12 &gt;= SmartStatus!G$2:G1000)) + ((P12 &lt;&gt; """") * (P12 &gt;= SmartStatus!G$2:G1000)))), if(or(regexmatch(B12, ""(?i)^ir [a-z]+ designation$""), N12 &lt;&gt; """"), 1, 2))), """")"&amp;", ""NO_MATCH"")"),"")</f>
        <v/>
      </c>
      <c r="AS12" s="11"/>
      <c r="AT12" s="15"/>
      <c r="AU12" s="11"/>
      <c r="AV12" s="11"/>
      <c r="AW12" s="15"/>
      <c r="AX12" s="15"/>
      <c r="AY12" s="15"/>
      <c r="AZ12" s="11"/>
      <c r="BA12" s="15"/>
      <c r="BB12" s="11"/>
      <c r="BC12" s="11"/>
      <c r="BD12" s="15"/>
      <c r="BE12" s="11"/>
      <c r="BF12" s="11"/>
      <c r="BG12" s="15"/>
      <c r="BH12" s="15"/>
      <c r="BI12" s="15"/>
      <c r="BJ12" s="11"/>
      <c r="BK12" s="15"/>
      <c r="BL12" s="11"/>
      <c r="BM12" s="11"/>
      <c r="BN12" s="15"/>
      <c r="BO12" s="11"/>
      <c r="BP12" s="11"/>
      <c r="BQ12" s="15"/>
      <c r="BR12" s="15"/>
      <c r="BS12" s="15"/>
      <c r="BT12" s="11"/>
      <c r="BU12" s="15"/>
      <c r="BV12" s="11"/>
      <c r="BW12" s="11"/>
      <c r="BX12" s="15"/>
      <c r="BY12" s="11"/>
      <c r="BZ12" s="11"/>
      <c r="CA12" s="15"/>
      <c r="CB12" s="11"/>
      <c r="CC12" s="15"/>
      <c r="CD12" s="11"/>
      <c r="CE12" s="15"/>
      <c r="CF12" s="11"/>
      <c r="CG12" s="11"/>
      <c r="CH12" s="15"/>
      <c r="CI12" s="11"/>
      <c r="CJ12" s="11"/>
      <c r="CK12" s="15"/>
      <c r="CL12" s="11"/>
      <c r="CM12" s="11"/>
      <c r="CN12" s="11"/>
      <c r="CO12" s="11"/>
      <c r="CP12" s="28"/>
      <c r="CQ12" s="28"/>
      <c r="CR12" s="11"/>
      <c r="CS12" s="29"/>
      <c r="CT12" s="11"/>
      <c r="CU12" s="11"/>
      <c r="CV12" s="11"/>
      <c r="CW12" s="11"/>
      <c r="CX12" s="11"/>
      <c r="CY12" s="11"/>
      <c r="CZ12" s="11"/>
      <c r="DA12" s="28" t="str">
        <f t="shared" si="0"/>
        <v/>
      </c>
      <c r="DB12" s="28"/>
      <c r="DC12" s="11"/>
      <c r="DD12" s="29" t="str">
        <f t="shared" si="1"/>
        <v/>
      </c>
      <c r="DE12" s="11"/>
      <c r="DF12" s="11"/>
      <c r="DG12" s="11"/>
      <c r="DH12" s="11"/>
      <c r="DI12" s="11"/>
      <c r="DJ12" s="11"/>
      <c r="DK12" s="26"/>
      <c r="DL12" s="11"/>
      <c r="DM12" s="29"/>
      <c r="DN12" s="28"/>
      <c r="DO12" s="11"/>
      <c r="DP12" s="11"/>
      <c r="DQ12" s="11"/>
      <c r="DR12" s="29"/>
      <c r="DS12" s="28"/>
      <c r="DT12" s="11"/>
      <c r="DU12" s="26"/>
      <c r="DV12" s="11"/>
      <c r="DW12" s="29"/>
      <c r="DX12" s="28"/>
      <c r="DY12" s="11"/>
      <c r="DZ12" s="26"/>
      <c r="EA12" s="11"/>
      <c r="EB12" s="29"/>
      <c r="EC12" s="28"/>
      <c r="ED12" s="30"/>
      <c r="EE12" s="30" t="str">
        <f ca="1">IFERROR(__xludf.DUMMYFUNCTION("iferror(index(filter('Internal -- Trademark Countries'!E$2:E1000, (AM12 = 'Internal -- Trademark Countries'!B$2:B1000) + (AM12 = 'Internal -- Trademark Countries'!C$2:C1000) + (AM12 = 'Internal -- Trademark Countries'!D$2:D1000)), 1))"),"")</f>
        <v/>
      </c>
      <c r="EF12" s="30" t="e">
        <f ca="1">_xludf.ifs(AM12="", "", COUNTIF('Internal -- Trademark Countries'!B:B,AM12) &gt; 0, "polity_shortest_name", COUNTIF('Internal -- Trademark Countries'!C:C,AM12) &gt; 0, "polity_full_name", COUNTIF('Internal -- Trademark Countries'!D:D,AM12) &gt; 0, "polity_common_name", COUNTIF('Internal -- Trademark Countries'!E:E,AM12) &gt; 0, "shortest_name", COUNTIF('Internal -- Trademark Countries'!A:A,AM12) &gt; 0, "full_name", TRUE, "not a match")</f>
        <v>#NAME?</v>
      </c>
      <c r="EG12" s="30"/>
      <c r="EH12" s="30"/>
      <c r="EI12" s="30"/>
      <c r="EJ12" s="30"/>
      <c r="EK12" s="30" t="str">
        <f t="shared" si="2"/>
        <v/>
      </c>
    </row>
    <row r="13" spans="1:141" ht="15.75" customHeight="1">
      <c r="A13" s="11"/>
      <c r="B13" s="11"/>
      <c r="C13" s="11"/>
      <c r="D13" s="11"/>
      <c r="E13" s="11"/>
      <c r="F13" s="11"/>
      <c r="G13" s="11"/>
      <c r="H13" s="11"/>
      <c r="I13" s="11"/>
      <c r="J13" s="11"/>
      <c r="K13" s="27"/>
      <c r="L13" s="11"/>
      <c r="M13" s="11"/>
      <c r="N13" s="11"/>
      <c r="O13" s="11"/>
      <c r="P13" s="15"/>
      <c r="Q13" s="15"/>
      <c r="R13" s="15"/>
      <c r="S13" s="15"/>
      <c r="T13" s="15"/>
      <c r="U13" s="15"/>
      <c r="V13" s="15"/>
      <c r="W13" s="47"/>
      <c r="X13" s="11"/>
      <c r="Y13" s="48"/>
      <c r="Z13" s="11"/>
      <c r="AA13" s="48"/>
      <c r="AB13" s="11"/>
      <c r="AC13" s="48"/>
      <c r="AD13" s="11"/>
      <c r="AE13" s="47"/>
      <c r="AF13" s="11"/>
      <c r="AG13" s="48"/>
      <c r="AH13" s="11"/>
      <c r="AI13" s="48"/>
      <c r="AJ13" s="11"/>
      <c r="AK13" s="48"/>
      <c r="AL13" s="11"/>
      <c r="AM13" s="49"/>
      <c r="AN13" s="49"/>
      <c r="AO13" s="11"/>
      <c r="AP13" s="11"/>
      <c r="AQ13" s="28" t="b">
        <f>IF(COUNTIF(SmartStatus!A$2:A1000, AM13) &gt; 2, TRUE, FALSE)</f>
        <v>0</v>
      </c>
      <c r="AR13" s="29" t="str">
        <f ca="1">IFERROR(__xludf.DUMMYFUNCTION("iferror(if(regexmatch(AO13, ""(?i)^registered""), if(EE13 &lt;&gt; ""polity_shortest_name"", ""CHECK_POLITY"", index(filter(SmartStatus!B$2:B1000, AM13 = SmartStatus!A$2:A1000, not(SmartStatus!C$2:C1000), (isblank(SmartStatus!D$2:D1000)) + ((P13 &lt;&gt; """") * (P13"&amp;" &lt; SmartStatus!D$2:D1000)), (isblank(SmartStatus!E$2:E1000)) + ((P13 &lt;&gt; """") * (P13 &gt;= SmartStatus!E$2:E1000)), (isblank(SmartStatus!F$2:F1000)) + (((Q13 &lt;&gt; """") * (Q13 &lt; SmartStatus!F$2:F1000)) + ((P13 &lt;&gt; """") * (date(year(P13) + 3, month(P13), day(P1"&amp;"3)) &lt; SmartStatus!F$2:F1000))), (isblank(SmartStatus!G$2:G1000)) + (((Q13 &lt;&gt; """") * (Q13 &gt;= SmartStatus!G$2:G1000)) + ((P13 &lt;&gt; """") * (P13 &gt;= SmartStatus!G$2:G1000)))), if(or(regexmatch(B13, ""(?i)^ir [a-z]+ designation$""), N13 &lt;&gt; """"), 1, 2))), """")"&amp;", ""NO_MATCH"")"),"")</f>
        <v/>
      </c>
      <c r="AS13" s="11"/>
      <c r="AT13" s="15"/>
      <c r="AU13" s="11"/>
      <c r="AV13" s="11"/>
      <c r="AW13" s="15"/>
      <c r="AX13" s="15"/>
      <c r="AY13" s="15"/>
      <c r="AZ13" s="11"/>
      <c r="BA13" s="15"/>
      <c r="BB13" s="11"/>
      <c r="BC13" s="11"/>
      <c r="BD13" s="15"/>
      <c r="BE13" s="11"/>
      <c r="BF13" s="11"/>
      <c r="BG13" s="15"/>
      <c r="BH13" s="15"/>
      <c r="BI13" s="15"/>
      <c r="BJ13" s="11"/>
      <c r="BK13" s="15"/>
      <c r="BL13" s="11"/>
      <c r="BM13" s="11"/>
      <c r="BN13" s="15"/>
      <c r="BO13" s="11"/>
      <c r="BP13" s="11"/>
      <c r="BQ13" s="15"/>
      <c r="BR13" s="15"/>
      <c r="BS13" s="15"/>
      <c r="BT13" s="11"/>
      <c r="BU13" s="15"/>
      <c r="BV13" s="11"/>
      <c r="BW13" s="11"/>
      <c r="BX13" s="15"/>
      <c r="BY13" s="11"/>
      <c r="BZ13" s="11"/>
      <c r="CA13" s="15"/>
      <c r="CB13" s="11"/>
      <c r="CC13" s="15"/>
      <c r="CD13" s="11"/>
      <c r="CE13" s="15"/>
      <c r="CF13" s="11"/>
      <c r="CG13" s="11"/>
      <c r="CH13" s="15"/>
      <c r="CI13" s="11"/>
      <c r="CJ13" s="11"/>
      <c r="CK13" s="15"/>
      <c r="CL13" s="11"/>
      <c r="CM13" s="11"/>
      <c r="CN13" s="11"/>
      <c r="CO13" s="11"/>
      <c r="CP13" s="28"/>
      <c r="CQ13" s="28"/>
      <c r="CR13" s="11"/>
      <c r="CS13" s="29"/>
      <c r="CT13" s="11"/>
      <c r="CU13" s="11"/>
      <c r="CV13" s="11"/>
      <c r="CW13" s="11"/>
      <c r="CX13" s="11"/>
      <c r="CY13" s="11"/>
      <c r="CZ13" s="11"/>
      <c r="DA13" s="28" t="str">
        <f t="shared" si="0"/>
        <v/>
      </c>
      <c r="DB13" s="28"/>
      <c r="DC13" s="11"/>
      <c r="DD13" s="29" t="str">
        <f t="shared" si="1"/>
        <v/>
      </c>
      <c r="DE13" s="11"/>
      <c r="DF13" s="11"/>
      <c r="DG13" s="11"/>
      <c r="DH13" s="11"/>
      <c r="DI13" s="11"/>
      <c r="DJ13" s="11"/>
      <c r="DK13" s="26"/>
      <c r="DL13" s="11"/>
      <c r="DM13" s="29"/>
      <c r="DN13" s="28"/>
      <c r="DO13" s="11"/>
      <c r="DP13" s="11"/>
      <c r="DQ13" s="11"/>
      <c r="DR13" s="29"/>
      <c r="DS13" s="28"/>
      <c r="DT13" s="11"/>
      <c r="DU13" s="26"/>
      <c r="DV13" s="11"/>
      <c r="DW13" s="29"/>
      <c r="DX13" s="28"/>
      <c r="DY13" s="11"/>
      <c r="DZ13" s="26"/>
      <c r="EA13" s="11"/>
      <c r="EB13" s="29"/>
      <c r="EC13" s="28"/>
      <c r="ED13" s="30"/>
      <c r="EE13" s="30" t="str">
        <f ca="1">IFERROR(__xludf.DUMMYFUNCTION("iferror(index(filter('Internal -- Trademark Countries'!E$2:E1000, (AM13 = 'Internal -- Trademark Countries'!B$2:B1000) + (AM13 = 'Internal -- Trademark Countries'!C$2:C1000) + (AM13 = 'Internal -- Trademark Countries'!D$2:D1000)), 1))"),"")</f>
        <v/>
      </c>
      <c r="EF13" s="30" t="e">
        <f ca="1">_xludf.ifs(AM13="", "", COUNTIF('Internal -- Trademark Countries'!B:B,AM13) &gt; 0, "polity_shortest_name", COUNTIF('Internal -- Trademark Countries'!C:C,AM13) &gt; 0, "polity_full_name", COUNTIF('Internal -- Trademark Countries'!D:D,AM13) &gt; 0, "polity_common_name", COUNTIF('Internal -- Trademark Countries'!E:E,AM13) &gt; 0, "shortest_name", COUNTIF('Internal -- Trademark Countries'!A:A,AM13) &gt; 0, "full_name", TRUE, "not a match")</f>
        <v>#NAME?</v>
      </c>
      <c r="EG13" s="30"/>
      <c r="EH13" s="30"/>
      <c r="EI13" s="30"/>
      <c r="EJ13" s="30"/>
      <c r="EK13" s="30" t="str">
        <f t="shared" si="2"/>
        <v/>
      </c>
    </row>
    <row r="14" spans="1:141" ht="15.75" customHeight="1">
      <c r="A14" s="11"/>
      <c r="B14" s="11"/>
      <c r="C14" s="11"/>
      <c r="D14" s="11"/>
      <c r="E14" s="11"/>
      <c r="F14" s="11"/>
      <c r="G14" s="11"/>
      <c r="H14" s="11"/>
      <c r="I14" s="11"/>
      <c r="J14" s="11"/>
      <c r="K14" s="27"/>
      <c r="L14" s="11"/>
      <c r="M14" s="11"/>
      <c r="N14" s="11"/>
      <c r="O14" s="11"/>
      <c r="P14" s="15"/>
      <c r="Q14" s="15"/>
      <c r="R14" s="15"/>
      <c r="S14" s="15"/>
      <c r="T14" s="15"/>
      <c r="U14" s="15"/>
      <c r="V14" s="15"/>
      <c r="W14" s="47"/>
      <c r="X14" s="11"/>
      <c r="Y14" s="48"/>
      <c r="Z14" s="11"/>
      <c r="AA14" s="48"/>
      <c r="AB14" s="11"/>
      <c r="AC14" s="48"/>
      <c r="AD14" s="11"/>
      <c r="AE14" s="47"/>
      <c r="AF14" s="11"/>
      <c r="AG14" s="48"/>
      <c r="AH14" s="11"/>
      <c r="AI14" s="48"/>
      <c r="AJ14" s="11"/>
      <c r="AK14" s="48"/>
      <c r="AL14" s="11"/>
      <c r="AM14" s="49"/>
      <c r="AN14" s="49"/>
      <c r="AO14" s="11"/>
      <c r="AP14" s="11"/>
      <c r="AQ14" s="28" t="b">
        <f>IF(COUNTIF(SmartStatus!A$2:A1000, AM14) &gt; 2, TRUE, FALSE)</f>
        <v>0</v>
      </c>
      <c r="AR14" s="29" t="str">
        <f ca="1">IFERROR(__xludf.DUMMYFUNCTION("iferror(if(regexmatch(AO14, ""(?i)^registered""), if(EE14 &lt;&gt; ""polity_shortest_name"", ""CHECK_POLITY"", index(filter(SmartStatus!B$2:B1000, AM14 = SmartStatus!A$2:A1000, not(SmartStatus!C$2:C1000), (isblank(SmartStatus!D$2:D1000)) + ((P14 &lt;&gt; """") * (P14"&amp;" &lt; SmartStatus!D$2:D1000)), (isblank(SmartStatus!E$2:E1000)) + ((P14 &lt;&gt; """") * (P14 &gt;= SmartStatus!E$2:E1000)), (isblank(SmartStatus!F$2:F1000)) + (((Q14 &lt;&gt; """") * (Q14 &lt; SmartStatus!F$2:F1000)) + ((P14 &lt;&gt; """") * (date(year(P14) + 3, month(P14), day(P1"&amp;"4)) &lt; SmartStatus!F$2:F1000))), (isblank(SmartStatus!G$2:G1000)) + (((Q14 &lt;&gt; """") * (Q14 &gt;= SmartStatus!G$2:G1000)) + ((P14 &lt;&gt; """") * (P14 &gt;= SmartStatus!G$2:G1000)))), if(or(regexmatch(B14, ""(?i)^ir [a-z]+ designation$""), N14 &lt;&gt; """"), 1, 2))), """")"&amp;", ""NO_MATCH"")"),"")</f>
        <v/>
      </c>
      <c r="AS14" s="11"/>
      <c r="AT14" s="15"/>
      <c r="AU14" s="11"/>
      <c r="AV14" s="11"/>
      <c r="AW14" s="15"/>
      <c r="AX14" s="15"/>
      <c r="AY14" s="15"/>
      <c r="AZ14" s="11"/>
      <c r="BA14" s="15"/>
      <c r="BB14" s="11"/>
      <c r="BC14" s="11"/>
      <c r="BD14" s="15"/>
      <c r="BE14" s="11"/>
      <c r="BF14" s="11"/>
      <c r="BG14" s="15"/>
      <c r="BH14" s="15"/>
      <c r="BI14" s="15"/>
      <c r="BJ14" s="11"/>
      <c r="BK14" s="15"/>
      <c r="BL14" s="11"/>
      <c r="BM14" s="11"/>
      <c r="BN14" s="15"/>
      <c r="BO14" s="11"/>
      <c r="BP14" s="11"/>
      <c r="BQ14" s="15"/>
      <c r="BR14" s="15"/>
      <c r="BS14" s="15"/>
      <c r="BT14" s="11"/>
      <c r="BU14" s="15"/>
      <c r="BV14" s="11"/>
      <c r="BW14" s="11"/>
      <c r="BX14" s="15"/>
      <c r="BY14" s="11"/>
      <c r="BZ14" s="11"/>
      <c r="CA14" s="15"/>
      <c r="CB14" s="11"/>
      <c r="CC14" s="15"/>
      <c r="CD14" s="11"/>
      <c r="CE14" s="15"/>
      <c r="CF14" s="11"/>
      <c r="CG14" s="11"/>
      <c r="CH14" s="15"/>
      <c r="CI14" s="11"/>
      <c r="CJ14" s="11"/>
      <c r="CK14" s="15"/>
      <c r="CL14" s="11"/>
      <c r="CM14" s="11"/>
      <c r="CN14" s="11"/>
      <c r="CO14" s="11"/>
      <c r="CP14" s="28"/>
      <c r="CQ14" s="28"/>
      <c r="CR14" s="11"/>
      <c r="CS14" s="29"/>
      <c r="CT14" s="11"/>
      <c r="CU14" s="11"/>
      <c r="CV14" s="11"/>
      <c r="CW14" s="11"/>
      <c r="CX14" s="11"/>
      <c r="CY14" s="11"/>
      <c r="CZ14" s="11"/>
      <c r="DA14" s="28" t="str">
        <f t="shared" si="0"/>
        <v/>
      </c>
      <c r="DB14" s="28"/>
      <c r="DC14" s="11"/>
      <c r="DD14" s="29" t="str">
        <f t="shared" si="1"/>
        <v/>
      </c>
      <c r="DE14" s="11"/>
      <c r="DF14" s="11"/>
      <c r="DG14" s="11"/>
      <c r="DH14" s="11"/>
      <c r="DI14" s="11"/>
      <c r="DJ14" s="11"/>
      <c r="DK14" s="26"/>
      <c r="DL14" s="11"/>
      <c r="DM14" s="29"/>
      <c r="DN14" s="28"/>
      <c r="DO14" s="11"/>
      <c r="DP14" s="11"/>
      <c r="DQ14" s="11"/>
      <c r="DR14" s="29"/>
      <c r="DS14" s="28"/>
      <c r="DT14" s="11"/>
      <c r="DU14" s="26"/>
      <c r="DV14" s="11"/>
      <c r="DW14" s="29"/>
      <c r="DX14" s="28"/>
      <c r="DY14" s="11"/>
      <c r="DZ14" s="26"/>
      <c r="EA14" s="11"/>
      <c r="EB14" s="29"/>
      <c r="EC14" s="28"/>
      <c r="ED14" s="30"/>
      <c r="EE14" s="30" t="str">
        <f ca="1">IFERROR(__xludf.DUMMYFUNCTION("iferror(index(filter('Internal -- Trademark Countries'!E$2:E1000, (AM14 = 'Internal -- Trademark Countries'!B$2:B1000) + (AM14 = 'Internal -- Trademark Countries'!C$2:C1000) + (AM14 = 'Internal -- Trademark Countries'!D$2:D1000)), 1))"),"")</f>
        <v/>
      </c>
      <c r="EF14" s="30" t="e">
        <f ca="1">_xludf.ifs(AM14="", "", COUNTIF('Internal -- Trademark Countries'!B:B,AM14) &gt; 0, "polity_shortest_name", COUNTIF('Internal -- Trademark Countries'!C:C,AM14) &gt; 0, "polity_full_name", COUNTIF('Internal -- Trademark Countries'!D:D,AM14) &gt; 0, "polity_common_name", COUNTIF('Internal -- Trademark Countries'!E:E,AM14) &gt; 0, "shortest_name", COUNTIF('Internal -- Trademark Countries'!A:A,AM14) &gt; 0, "full_name", TRUE, "not a match")</f>
        <v>#NAME?</v>
      </c>
      <c r="EG14" s="30"/>
      <c r="EH14" s="30"/>
      <c r="EI14" s="30"/>
      <c r="EJ14" s="30"/>
      <c r="EK14" s="30" t="str">
        <f t="shared" si="2"/>
        <v/>
      </c>
    </row>
    <row r="15" spans="1:141" ht="15.75" customHeight="1">
      <c r="A15" s="11"/>
      <c r="B15" s="11"/>
      <c r="C15" s="11"/>
      <c r="D15" s="11"/>
      <c r="E15" s="11"/>
      <c r="F15" s="11"/>
      <c r="G15" s="11"/>
      <c r="H15" s="11"/>
      <c r="I15" s="11"/>
      <c r="J15" s="11"/>
      <c r="K15" s="27"/>
      <c r="L15" s="11"/>
      <c r="M15" s="11"/>
      <c r="N15" s="11"/>
      <c r="O15" s="11"/>
      <c r="P15" s="15"/>
      <c r="Q15" s="15"/>
      <c r="R15" s="15"/>
      <c r="S15" s="15"/>
      <c r="T15" s="15"/>
      <c r="U15" s="15"/>
      <c r="V15" s="15"/>
      <c r="W15" s="47"/>
      <c r="X15" s="11"/>
      <c r="Y15" s="48"/>
      <c r="Z15" s="11"/>
      <c r="AA15" s="48"/>
      <c r="AB15" s="11"/>
      <c r="AC15" s="48"/>
      <c r="AD15" s="11"/>
      <c r="AE15" s="47"/>
      <c r="AF15" s="11"/>
      <c r="AG15" s="48"/>
      <c r="AH15" s="11"/>
      <c r="AI15" s="48"/>
      <c r="AJ15" s="11"/>
      <c r="AK15" s="48"/>
      <c r="AL15" s="11"/>
      <c r="AM15" s="49"/>
      <c r="AN15" s="49"/>
      <c r="AO15" s="11"/>
      <c r="AP15" s="11"/>
      <c r="AQ15" s="28" t="b">
        <f>IF(COUNTIF(SmartStatus!A$2:A1000, AM15) &gt; 2, TRUE, FALSE)</f>
        <v>0</v>
      </c>
      <c r="AR15" s="29" t="str">
        <f ca="1">IFERROR(__xludf.DUMMYFUNCTION("iferror(if(regexmatch(AO15, ""(?i)^registered""), if(EE15 &lt;&gt; ""polity_shortest_name"", ""CHECK_POLITY"", index(filter(SmartStatus!B$2:B1000, AM15 = SmartStatus!A$2:A1000, not(SmartStatus!C$2:C1000), (isblank(SmartStatus!D$2:D1000)) + ((P15 &lt;&gt; """") * (P15"&amp;" &lt; SmartStatus!D$2:D1000)), (isblank(SmartStatus!E$2:E1000)) + ((P15 &lt;&gt; """") * (P15 &gt;= SmartStatus!E$2:E1000)), (isblank(SmartStatus!F$2:F1000)) + (((Q15 &lt;&gt; """") * (Q15 &lt; SmartStatus!F$2:F1000)) + ((P15 &lt;&gt; """") * (date(year(P15) + 3, month(P15), day(P1"&amp;"5)) &lt; SmartStatus!F$2:F1000))), (isblank(SmartStatus!G$2:G1000)) + (((Q15 &lt;&gt; """") * (Q15 &gt;= SmartStatus!G$2:G1000)) + ((P15 &lt;&gt; """") * (P15 &gt;= SmartStatus!G$2:G1000)))), if(or(regexmatch(B15, ""(?i)^ir [a-z]+ designation$""), N15 &lt;&gt; """"), 1, 2))), """")"&amp;", ""NO_MATCH"")"),"")</f>
        <v/>
      </c>
      <c r="AS15" s="11"/>
      <c r="AT15" s="15"/>
      <c r="AU15" s="11"/>
      <c r="AV15" s="11"/>
      <c r="AW15" s="15"/>
      <c r="AX15" s="15"/>
      <c r="AY15" s="15"/>
      <c r="AZ15" s="11"/>
      <c r="BA15" s="15"/>
      <c r="BB15" s="11"/>
      <c r="BC15" s="11"/>
      <c r="BD15" s="15"/>
      <c r="BE15" s="11"/>
      <c r="BF15" s="11"/>
      <c r="BG15" s="15"/>
      <c r="BH15" s="15"/>
      <c r="BI15" s="15"/>
      <c r="BJ15" s="11"/>
      <c r="BK15" s="15"/>
      <c r="BL15" s="11"/>
      <c r="BM15" s="11"/>
      <c r="BN15" s="15"/>
      <c r="BO15" s="11"/>
      <c r="BP15" s="11"/>
      <c r="BQ15" s="15"/>
      <c r="BR15" s="15"/>
      <c r="BS15" s="15"/>
      <c r="BT15" s="11"/>
      <c r="BU15" s="15"/>
      <c r="BV15" s="11"/>
      <c r="BW15" s="11"/>
      <c r="BX15" s="15"/>
      <c r="BY15" s="11"/>
      <c r="BZ15" s="11"/>
      <c r="CA15" s="15"/>
      <c r="CB15" s="11"/>
      <c r="CC15" s="15"/>
      <c r="CD15" s="11"/>
      <c r="CE15" s="15"/>
      <c r="CF15" s="11"/>
      <c r="CG15" s="11"/>
      <c r="CH15" s="15"/>
      <c r="CI15" s="11"/>
      <c r="CJ15" s="11"/>
      <c r="CK15" s="15"/>
      <c r="CL15" s="11"/>
      <c r="CM15" s="11"/>
      <c r="CN15" s="11"/>
      <c r="CO15" s="11"/>
      <c r="CP15" s="28"/>
      <c r="CQ15" s="28"/>
      <c r="CR15" s="11"/>
      <c r="CS15" s="29"/>
      <c r="CT15" s="11"/>
      <c r="CU15" s="11"/>
      <c r="CV15" s="11"/>
      <c r="CW15" s="11"/>
      <c r="CX15" s="11"/>
      <c r="CY15" s="11"/>
      <c r="CZ15" s="11"/>
      <c r="DA15" s="28"/>
      <c r="DB15" s="28"/>
      <c r="DC15" s="11"/>
      <c r="DD15" s="29"/>
      <c r="DE15" s="11"/>
      <c r="DF15" s="11"/>
      <c r="DG15" s="11"/>
      <c r="DH15" s="11"/>
      <c r="DI15" s="11"/>
      <c r="DJ15" s="11"/>
      <c r="DK15" s="26"/>
      <c r="DL15" s="11"/>
      <c r="DM15" s="29"/>
      <c r="DN15" s="28"/>
      <c r="DO15" s="11"/>
      <c r="DP15" s="11"/>
      <c r="DQ15" s="11"/>
      <c r="DR15" s="29"/>
      <c r="DS15" s="28"/>
      <c r="DT15" s="11"/>
      <c r="DU15" s="26"/>
      <c r="DV15" s="11"/>
      <c r="DW15" s="29"/>
      <c r="DX15" s="28"/>
      <c r="DY15" s="11"/>
      <c r="DZ15" s="26"/>
      <c r="EA15" s="11"/>
      <c r="EB15" s="29"/>
      <c r="EC15" s="28"/>
      <c r="ED15" s="30"/>
      <c r="EE15" s="30" t="str">
        <f ca="1">IFERROR(__xludf.DUMMYFUNCTION("iferror(index(filter('Internal -- Trademark Countries'!E$2:E1000, (AM15 = 'Internal -- Trademark Countries'!B$2:B1000) + (AM15 = 'Internal -- Trademark Countries'!C$2:C1000) + (AM15 = 'Internal -- Trademark Countries'!D$2:D1000)), 1))"),"")</f>
        <v/>
      </c>
      <c r="EF15" s="30" t="e">
        <f ca="1">_xludf.ifs(AM15="", "", COUNTIF('Internal -- Trademark Countries'!B:B,AM15) &gt; 0, "polity_shortest_name", COUNTIF('Internal -- Trademark Countries'!C:C,AM15) &gt; 0, "polity_full_name", COUNTIF('Internal -- Trademark Countries'!D:D,AM15) &gt; 0, "polity_common_name", COUNTIF('Internal -- Trademark Countries'!E:E,AM15) &gt; 0, "shortest_name", COUNTIF('Internal -- Trademark Countries'!A:A,AM15) &gt; 0, "full_name", TRUE, "not a match")</f>
        <v>#NAME?</v>
      </c>
      <c r="EG15" s="30"/>
      <c r="EH15" s="30"/>
      <c r="EI15" s="30"/>
      <c r="EJ15" s="30"/>
      <c r="EK15" s="30" t="str">
        <f t="shared" si="2"/>
        <v/>
      </c>
    </row>
    <row r="16" spans="1:141" ht="15.75" customHeight="1">
      <c r="A16" s="11"/>
      <c r="B16" s="11"/>
      <c r="C16" s="11"/>
      <c r="D16" s="11"/>
      <c r="E16" s="11"/>
      <c r="F16" s="11"/>
      <c r="G16" s="11"/>
      <c r="H16" s="11"/>
      <c r="I16" s="11"/>
      <c r="J16" s="11"/>
      <c r="K16" s="27"/>
      <c r="L16" s="11"/>
      <c r="M16" s="11"/>
      <c r="N16" s="11"/>
      <c r="O16" s="11"/>
      <c r="P16" s="15"/>
      <c r="Q16" s="15"/>
      <c r="R16" s="15"/>
      <c r="S16" s="15"/>
      <c r="T16" s="15"/>
      <c r="U16" s="15"/>
      <c r="V16" s="15"/>
      <c r="W16" s="47"/>
      <c r="X16" s="11"/>
      <c r="Y16" s="48"/>
      <c r="Z16" s="11"/>
      <c r="AA16" s="48"/>
      <c r="AB16" s="11"/>
      <c r="AC16" s="48"/>
      <c r="AD16" s="11"/>
      <c r="AE16" s="47"/>
      <c r="AF16" s="11"/>
      <c r="AG16" s="48"/>
      <c r="AH16" s="11"/>
      <c r="AI16" s="48"/>
      <c r="AJ16" s="11"/>
      <c r="AK16" s="48"/>
      <c r="AL16" s="11"/>
      <c r="AM16" s="49"/>
      <c r="AN16" s="49"/>
      <c r="AO16" s="11"/>
      <c r="AP16" s="11"/>
      <c r="AQ16" s="28" t="b">
        <f>IF(COUNTIF(SmartStatus!A$2:A1000, AM16) &gt; 2, TRUE, FALSE)</f>
        <v>0</v>
      </c>
      <c r="AR16" s="29" t="str">
        <f ca="1">IFERROR(__xludf.DUMMYFUNCTION("iferror(if(regexmatch(AO16, ""(?i)^registered""), if(EE16 &lt;&gt; ""polity_shortest_name"", ""CHECK_POLITY"", index(filter(SmartStatus!B$2:B1000, AM16 = SmartStatus!A$2:A1000, not(SmartStatus!C$2:C1000), (isblank(SmartStatus!D$2:D1000)) + ((P16 &lt;&gt; """") * (P16"&amp;" &lt; SmartStatus!D$2:D1000)), (isblank(SmartStatus!E$2:E1000)) + ((P16 &lt;&gt; """") * (P16 &gt;= SmartStatus!E$2:E1000)), (isblank(SmartStatus!F$2:F1000)) + (((Q16 &lt;&gt; """") * (Q16 &lt; SmartStatus!F$2:F1000)) + ((P16 &lt;&gt; """") * (date(year(P16) + 3, month(P16), day(P1"&amp;"6)) &lt; SmartStatus!F$2:F1000))), (isblank(SmartStatus!G$2:G1000)) + (((Q16 &lt;&gt; """") * (Q16 &gt;= SmartStatus!G$2:G1000)) + ((P16 &lt;&gt; """") * (P16 &gt;= SmartStatus!G$2:G1000)))), if(or(regexmatch(B16, ""(?i)^ir [a-z]+ designation$""), N16 &lt;&gt; """"), 1, 2))), """")"&amp;", ""NO_MATCH"")"),"")</f>
        <v/>
      </c>
      <c r="AS16" s="11"/>
      <c r="AT16" s="15"/>
      <c r="AU16" s="11"/>
      <c r="AV16" s="11"/>
      <c r="AW16" s="15"/>
      <c r="AX16" s="15"/>
      <c r="AY16" s="15"/>
      <c r="AZ16" s="11"/>
      <c r="BA16" s="15"/>
      <c r="BB16" s="11"/>
      <c r="BC16" s="11"/>
      <c r="BD16" s="15"/>
      <c r="BE16" s="11"/>
      <c r="BF16" s="11"/>
      <c r="BG16" s="15"/>
      <c r="BH16" s="15"/>
      <c r="BI16" s="15"/>
      <c r="BJ16" s="11"/>
      <c r="BK16" s="15"/>
      <c r="BL16" s="11"/>
      <c r="BM16" s="11"/>
      <c r="BN16" s="15"/>
      <c r="BO16" s="11"/>
      <c r="BP16" s="11"/>
      <c r="BQ16" s="15"/>
      <c r="BR16" s="15"/>
      <c r="BS16" s="15"/>
      <c r="BT16" s="11"/>
      <c r="BU16" s="15"/>
      <c r="BV16" s="11"/>
      <c r="BW16" s="11"/>
      <c r="BX16" s="15"/>
      <c r="BY16" s="11"/>
      <c r="BZ16" s="11"/>
      <c r="CA16" s="15"/>
      <c r="CB16" s="11"/>
      <c r="CC16" s="15"/>
      <c r="CD16" s="11"/>
      <c r="CE16" s="15"/>
      <c r="CF16" s="11"/>
      <c r="CG16" s="11"/>
      <c r="CH16" s="15"/>
      <c r="CI16" s="11"/>
      <c r="CJ16" s="11"/>
      <c r="CK16" s="15"/>
      <c r="CL16" s="11"/>
      <c r="CM16" s="11"/>
      <c r="CN16" s="11"/>
      <c r="CO16" s="11"/>
      <c r="CP16" s="28"/>
      <c r="CQ16" s="28"/>
      <c r="CR16" s="11"/>
      <c r="CS16" s="29"/>
      <c r="CT16" s="11"/>
      <c r="CU16" s="11"/>
      <c r="CV16" s="11"/>
      <c r="CW16" s="11"/>
      <c r="CX16" s="11"/>
      <c r="CY16" s="11"/>
      <c r="CZ16" s="11"/>
      <c r="DA16" s="28"/>
      <c r="DB16" s="28"/>
      <c r="DC16" s="11"/>
      <c r="DD16" s="29"/>
      <c r="DE16" s="11"/>
      <c r="DF16" s="11"/>
      <c r="DG16" s="11"/>
      <c r="DH16" s="11"/>
      <c r="DI16" s="11"/>
      <c r="DJ16" s="11"/>
      <c r="DK16" s="26"/>
      <c r="DL16" s="11"/>
      <c r="DM16" s="29"/>
      <c r="DN16" s="28"/>
      <c r="DO16" s="11"/>
      <c r="DP16" s="11"/>
      <c r="DQ16" s="11"/>
      <c r="DR16" s="29"/>
      <c r="DS16" s="28"/>
      <c r="DT16" s="11"/>
      <c r="DU16" s="26"/>
      <c r="DV16" s="11"/>
      <c r="DW16" s="29"/>
      <c r="DX16" s="28"/>
      <c r="DY16" s="11"/>
      <c r="DZ16" s="26"/>
      <c r="EA16" s="11"/>
      <c r="EB16" s="29"/>
      <c r="EC16" s="28"/>
      <c r="ED16" s="30"/>
      <c r="EE16" s="30" t="str">
        <f ca="1">IFERROR(__xludf.DUMMYFUNCTION("iferror(index(filter('Internal -- Trademark Countries'!E$2:E1000, (AM16 = 'Internal -- Trademark Countries'!B$2:B1000) + (AM16 = 'Internal -- Trademark Countries'!C$2:C1000) + (AM16 = 'Internal -- Trademark Countries'!D$2:D1000)), 1))"),"")</f>
        <v/>
      </c>
      <c r="EF16" s="30" t="e">
        <f ca="1">_xludf.ifs(AM16="", "", COUNTIF('Internal -- Trademark Countries'!B:B,AM16) &gt; 0, "polity_shortest_name", COUNTIF('Internal -- Trademark Countries'!C:C,AM16) &gt; 0, "polity_full_name", COUNTIF('Internal -- Trademark Countries'!D:D,AM16) &gt; 0, "polity_common_name", COUNTIF('Internal -- Trademark Countries'!E:E,AM16) &gt; 0, "shortest_name", COUNTIF('Internal -- Trademark Countries'!A:A,AM16) &gt; 0, "full_name", TRUE, "not a match")</f>
        <v>#NAME?</v>
      </c>
      <c r="EG16" s="30"/>
      <c r="EH16" s="30"/>
      <c r="EI16" s="30"/>
      <c r="EJ16" s="30"/>
      <c r="EK16" s="30" t="str">
        <f t="shared" si="2"/>
        <v/>
      </c>
    </row>
    <row r="17" spans="1:141" ht="15.75" customHeight="1">
      <c r="A17" s="11"/>
      <c r="B17" s="11"/>
      <c r="C17" s="11"/>
      <c r="D17" s="11"/>
      <c r="E17" s="11"/>
      <c r="F17" s="11"/>
      <c r="G17" s="11"/>
      <c r="H17" s="11"/>
      <c r="I17" s="11"/>
      <c r="J17" s="11"/>
      <c r="K17" s="27"/>
      <c r="L17" s="11"/>
      <c r="M17" s="11"/>
      <c r="N17" s="11"/>
      <c r="O17" s="11"/>
      <c r="P17" s="15"/>
      <c r="Q17" s="15"/>
      <c r="R17" s="15"/>
      <c r="S17" s="15"/>
      <c r="T17" s="15"/>
      <c r="U17" s="15"/>
      <c r="V17" s="15"/>
      <c r="W17" s="47"/>
      <c r="X17" s="11"/>
      <c r="Y17" s="48"/>
      <c r="Z17" s="11"/>
      <c r="AA17" s="48"/>
      <c r="AB17" s="11"/>
      <c r="AC17" s="48"/>
      <c r="AD17" s="11"/>
      <c r="AE17" s="47"/>
      <c r="AF17" s="11"/>
      <c r="AG17" s="48"/>
      <c r="AH17" s="11"/>
      <c r="AI17" s="48"/>
      <c r="AJ17" s="11"/>
      <c r="AK17" s="48"/>
      <c r="AL17" s="11"/>
      <c r="AM17" s="49"/>
      <c r="AN17" s="49"/>
      <c r="AO17" s="11"/>
      <c r="AP17" s="11"/>
      <c r="AQ17" s="28" t="b">
        <f>IF(COUNTIF(SmartStatus!A$2:A1000, AM17) &gt; 2, TRUE, FALSE)</f>
        <v>0</v>
      </c>
      <c r="AR17" s="29" t="str">
        <f ca="1">IFERROR(__xludf.DUMMYFUNCTION("iferror(if(regexmatch(AO17, ""(?i)^registered""), if(EE17 &lt;&gt; ""polity_shortest_name"", ""CHECK_POLITY"", index(filter(SmartStatus!B$2:B1000, AM17 = SmartStatus!A$2:A1000, not(SmartStatus!C$2:C1000), (isblank(SmartStatus!D$2:D1000)) + ((P17 &lt;&gt; """") * (P17"&amp;" &lt; SmartStatus!D$2:D1000)), (isblank(SmartStatus!E$2:E1000)) + ((P17 &lt;&gt; """") * (P17 &gt;= SmartStatus!E$2:E1000)), (isblank(SmartStatus!F$2:F1000)) + (((Q17 &lt;&gt; """") * (Q17 &lt; SmartStatus!F$2:F1000)) + ((P17 &lt;&gt; """") * (date(year(P17) + 3, month(P17), day(P1"&amp;"7)) &lt; SmartStatus!F$2:F1000))), (isblank(SmartStatus!G$2:G1000)) + (((Q17 &lt;&gt; """") * (Q17 &gt;= SmartStatus!G$2:G1000)) + ((P17 &lt;&gt; """") * (P17 &gt;= SmartStatus!G$2:G1000)))), if(or(regexmatch(B17, ""(?i)^ir [a-z]+ designation$""), N17 &lt;&gt; """"), 1, 2))), """")"&amp;", ""NO_MATCH"")"),"")</f>
        <v/>
      </c>
      <c r="AS17" s="11"/>
      <c r="AT17" s="15"/>
      <c r="AU17" s="11"/>
      <c r="AV17" s="11"/>
      <c r="AW17" s="15"/>
      <c r="AX17" s="15"/>
      <c r="AY17" s="15"/>
      <c r="AZ17" s="11"/>
      <c r="BA17" s="15"/>
      <c r="BB17" s="11"/>
      <c r="BC17" s="11"/>
      <c r="BD17" s="15"/>
      <c r="BE17" s="11"/>
      <c r="BF17" s="11"/>
      <c r="BG17" s="15"/>
      <c r="BH17" s="15"/>
      <c r="BI17" s="15"/>
      <c r="BJ17" s="11"/>
      <c r="BK17" s="15"/>
      <c r="BL17" s="11"/>
      <c r="BM17" s="11"/>
      <c r="BN17" s="15"/>
      <c r="BO17" s="11"/>
      <c r="BP17" s="11"/>
      <c r="BQ17" s="15"/>
      <c r="BR17" s="15"/>
      <c r="BS17" s="15"/>
      <c r="BT17" s="11"/>
      <c r="BU17" s="15"/>
      <c r="BV17" s="11"/>
      <c r="BW17" s="11"/>
      <c r="BX17" s="15"/>
      <c r="BY17" s="11"/>
      <c r="BZ17" s="11"/>
      <c r="CA17" s="15"/>
      <c r="CB17" s="11"/>
      <c r="CC17" s="15"/>
      <c r="CD17" s="11"/>
      <c r="CE17" s="15"/>
      <c r="CF17" s="11"/>
      <c r="CG17" s="11"/>
      <c r="CH17" s="15"/>
      <c r="CI17" s="11"/>
      <c r="CJ17" s="11"/>
      <c r="CK17" s="15"/>
      <c r="CL17" s="11"/>
      <c r="CM17" s="11"/>
      <c r="CN17" s="11"/>
      <c r="CO17" s="11"/>
      <c r="CP17" s="28"/>
      <c r="CQ17" s="28"/>
      <c r="CR17" s="11"/>
      <c r="CS17" s="29"/>
      <c r="CT17" s="11"/>
      <c r="CU17" s="11"/>
      <c r="CV17" s="11"/>
      <c r="CW17" s="11"/>
      <c r="CX17" s="11"/>
      <c r="CY17" s="11"/>
      <c r="CZ17" s="11"/>
      <c r="DA17" s="28"/>
      <c r="DB17" s="28"/>
      <c r="DC17" s="11"/>
      <c r="DD17" s="29"/>
      <c r="DE17" s="11"/>
      <c r="DF17" s="11"/>
      <c r="DG17" s="11"/>
      <c r="DH17" s="11"/>
      <c r="DI17" s="11"/>
      <c r="DJ17" s="11"/>
      <c r="DK17" s="26"/>
      <c r="DL17" s="11"/>
      <c r="DM17" s="29"/>
      <c r="DN17" s="28"/>
      <c r="DO17" s="11"/>
      <c r="DP17" s="11"/>
      <c r="DQ17" s="11"/>
      <c r="DR17" s="29"/>
      <c r="DS17" s="28"/>
      <c r="DT17" s="11"/>
      <c r="DU17" s="26"/>
      <c r="DV17" s="11"/>
      <c r="DW17" s="29"/>
      <c r="DX17" s="28"/>
      <c r="DY17" s="11"/>
      <c r="DZ17" s="26"/>
      <c r="EA17" s="11"/>
      <c r="EB17" s="29"/>
      <c r="EC17" s="28"/>
      <c r="ED17" s="30"/>
      <c r="EE17" s="30" t="str">
        <f ca="1">IFERROR(__xludf.DUMMYFUNCTION("iferror(index(filter('Internal -- Trademark Countries'!E$2:E1000, (AM17 = 'Internal -- Trademark Countries'!B$2:B1000) + (AM17 = 'Internal -- Trademark Countries'!C$2:C1000) + (AM17 = 'Internal -- Trademark Countries'!D$2:D1000)), 1))"),"")</f>
        <v/>
      </c>
      <c r="EF17" s="30" t="e">
        <f ca="1">_xludf.ifs(AM17="", "", COUNTIF('Internal -- Trademark Countries'!B:B,AM17) &gt; 0, "polity_shortest_name", COUNTIF('Internal -- Trademark Countries'!C:C,AM17) &gt; 0, "polity_full_name", COUNTIF('Internal -- Trademark Countries'!D:D,AM17) &gt; 0, "polity_common_name", COUNTIF('Internal -- Trademark Countries'!E:E,AM17) &gt; 0, "shortest_name", COUNTIF('Internal -- Trademark Countries'!A:A,AM17) &gt; 0, "full_name", TRUE, "not a match")</f>
        <v>#NAME?</v>
      </c>
      <c r="EG17" s="30"/>
      <c r="EH17" s="30"/>
      <c r="EI17" s="30"/>
      <c r="EJ17" s="30"/>
      <c r="EK17" s="30" t="str">
        <f t="shared" si="2"/>
        <v/>
      </c>
    </row>
    <row r="18" spans="1:141" ht="15.75" customHeight="1">
      <c r="A18" s="11"/>
      <c r="B18" s="11"/>
      <c r="C18" s="11"/>
      <c r="D18" s="11"/>
      <c r="E18" s="11"/>
      <c r="F18" s="11"/>
      <c r="G18" s="11"/>
      <c r="H18" s="11"/>
      <c r="I18" s="11"/>
      <c r="J18" s="11"/>
      <c r="K18" s="27"/>
      <c r="L18" s="11"/>
      <c r="M18" s="11"/>
      <c r="N18" s="11"/>
      <c r="O18" s="11"/>
      <c r="P18" s="15"/>
      <c r="Q18" s="15"/>
      <c r="R18" s="15"/>
      <c r="S18" s="15"/>
      <c r="T18" s="15"/>
      <c r="U18" s="15"/>
      <c r="V18" s="15"/>
      <c r="W18" s="47"/>
      <c r="X18" s="11"/>
      <c r="Y18" s="48"/>
      <c r="Z18" s="11"/>
      <c r="AA18" s="48"/>
      <c r="AB18" s="11"/>
      <c r="AC18" s="48"/>
      <c r="AD18" s="11"/>
      <c r="AE18" s="47"/>
      <c r="AF18" s="11"/>
      <c r="AG18" s="48"/>
      <c r="AH18" s="11"/>
      <c r="AI18" s="48"/>
      <c r="AJ18" s="11"/>
      <c r="AK18" s="48"/>
      <c r="AL18" s="11"/>
      <c r="AM18" s="49"/>
      <c r="AN18" s="49"/>
      <c r="AO18" s="11"/>
      <c r="AP18" s="11"/>
      <c r="AQ18" s="28" t="b">
        <f>IF(COUNTIF(SmartStatus!A$2:A1000, AM18) &gt; 2, TRUE, FALSE)</f>
        <v>0</v>
      </c>
      <c r="AR18" s="29" t="str">
        <f ca="1">IFERROR(__xludf.DUMMYFUNCTION("iferror(if(regexmatch(AO18, ""(?i)^registered""), if(EE18 &lt;&gt; ""polity_shortest_name"", ""CHECK_POLITY"", index(filter(SmartStatus!B$2:B1000, AM18 = SmartStatus!A$2:A1000, not(SmartStatus!C$2:C1000), (isblank(SmartStatus!D$2:D1000)) + ((P18 &lt;&gt; """") * (P18"&amp;" &lt; SmartStatus!D$2:D1000)), (isblank(SmartStatus!E$2:E1000)) + ((P18 &lt;&gt; """") * (P18 &gt;= SmartStatus!E$2:E1000)), (isblank(SmartStatus!F$2:F1000)) + (((Q18 &lt;&gt; """") * (Q18 &lt; SmartStatus!F$2:F1000)) + ((P18 &lt;&gt; """") * (date(year(P18) + 3, month(P18), day(P1"&amp;"8)) &lt; SmartStatus!F$2:F1000))), (isblank(SmartStatus!G$2:G1000)) + (((Q18 &lt;&gt; """") * (Q18 &gt;= SmartStatus!G$2:G1000)) + ((P18 &lt;&gt; """") * (P18 &gt;= SmartStatus!G$2:G1000)))), if(or(regexmatch(B18, ""(?i)^ir [a-z]+ designation$""), N18 &lt;&gt; """"), 1, 2))), """")"&amp;", ""NO_MATCH"")"),"")</f>
        <v/>
      </c>
      <c r="AS18" s="11"/>
      <c r="AT18" s="15"/>
      <c r="AU18" s="11"/>
      <c r="AV18" s="11"/>
      <c r="AW18" s="15"/>
      <c r="AX18" s="15"/>
      <c r="AY18" s="15"/>
      <c r="AZ18" s="11"/>
      <c r="BA18" s="15"/>
      <c r="BB18" s="11"/>
      <c r="BC18" s="11"/>
      <c r="BD18" s="15"/>
      <c r="BE18" s="11"/>
      <c r="BF18" s="11"/>
      <c r="BG18" s="15"/>
      <c r="BH18" s="15"/>
      <c r="BI18" s="15"/>
      <c r="BJ18" s="11"/>
      <c r="BK18" s="15"/>
      <c r="BL18" s="11"/>
      <c r="BM18" s="11"/>
      <c r="BN18" s="15"/>
      <c r="BO18" s="11"/>
      <c r="BP18" s="11"/>
      <c r="BQ18" s="15"/>
      <c r="BR18" s="15"/>
      <c r="BS18" s="15"/>
      <c r="BT18" s="11"/>
      <c r="BU18" s="15"/>
      <c r="BV18" s="11"/>
      <c r="BW18" s="11"/>
      <c r="BX18" s="15"/>
      <c r="BY18" s="11"/>
      <c r="BZ18" s="11"/>
      <c r="CA18" s="15"/>
      <c r="CB18" s="11"/>
      <c r="CC18" s="15"/>
      <c r="CD18" s="11"/>
      <c r="CE18" s="15"/>
      <c r="CF18" s="11"/>
      <c r="CG18" s="11"/>
      <c r="CH18" s="15"/>
      <c r="CI18" s="11"/>
      <c r="CJ18" s="11"/>
      <c r="CK18" s="15"/>
      <c r="CL18" s="11"/>
      <c r="CM18" s="11"/>
      <c r="CN18" s="11"/>
      <c r="CO18" s="11"/>
      <c r="CP18" s="28"/>
      <c r="CQ18" s="28"/>
      <c r="CR18" s="11"/>
      <c r="CS18" s="29"/>
      <c r="CT18" s="11"/>
      <c r="CU18" s="11"/>
      <c r="CV18" s="11"/>
      <c r="CW18" s="11"/>
      <c r="CX18" s="11"/>
      <c r="CY18" s="11"/>
      <c r="CZ18" s="11"/>
      <c r="DA18" s="28"/>
      <c r="DB18" s="28"/>
      <c r="DC18" s="11"/>
      <c r="DD18" s="29"/>
      <c r="DE18" s="11"/>
      <c r="DF18" s="11"/>
      <c r="DG18" s="11"/>
      <c r="DH18" s="11"/>
      <c r="DI18" s="11"/>
      <c r="DJ18" s="11"/>
      <c r="DK18" s="26"/>
      <c r="DL18" s="11"/>
      <c r="DM18" s="29"/>
      <c r="DN18" s="28"/>
      <c r="DO18" s="11"/>
      <c r="DP18" s="11"/>
      <c r="DQ18" s="11"/>
      <c r="DR18" s="29"/>
      <c r="DS18" s="28"/>
      <c r="DT18" s="11"/>
      <c r="DU18" s="26"/>
      <c r="DV18" s="11"/>
      <c r="DW18" s="29"/>
      <c r="DX18" s="28"/>
      <c r="DY18" s="11"/>
      <c r="DZ18" s="26"/>
      <c r="EA18" s="11"/>
      <c r="EB18" s="29"/>
      <c r="EC18" s="28"/>
      <c r="ED18" s="30"/>
      <c r="EE18" s="30" t="str">
        <f ca="1">IFERROR(__xludf.DUMMYFUNCTION("iferror(index(filter('Internal -- Trademark Countries'!E$2:E1000, (AM18 = 'Internal -- Trademark Countries'!B$2:B1000) + (AM18 = 'Internal -- Trademark Countries'!C$2:C1000) + (AM18 = 'Internal -- Trademark Countries'!D$2:D1000)), 1))"),"")</f>
        <v/>
      </c>
      <c r="EF18" s="30" t="e">
        <f ca="1">_xludf.ifs(AM18="", "", COUNTIF('Internal -- Trademark Countries'!B:B,AM18) &gt; 0, "polity_shortest_name", COUNTIF('Internal -- Trademark Countries'!C:C,AM18) &gt; 0, "polity_full_name", COUNTIF('Internal -- Trademark Countries'!D:D,AM18) &gt; 0, "polity_common_name", COUNTIF('Internal -- Trademark Countries'!E:E,AM18) &gt; 0, "shortest_name", COUNTIF('Internal -- Trademark Countries'!A:A,AM18) &gt; 0, "full_name", TRUE, "not a match")</f>
        <v>#NAME?</v>
      </c>
      <c r="EG18" s="30"/>
      <c r="EH18" s="30"/>
      <c r="EI18" s="30"/>
      <c r="EJ18" s="30"/>
      <c r="EK18" s="30" t="str">
        <f t="shared" si="2"/>
        <v/>
      </c>
    </row>
    <row r="19" spans="1:141" ht="15.75" customHeight="1">
      <c r="A19" s="11"/>
      <c r="B19" s="11"/>
      <c r="C19" s="11"/>
      <c r="D19" s="11"/>
      <c r="E19" s="11"/>
      <c r="F19" s="11"/>
      <c r="G19" s="11"/>
      <c r="H19" s="11"/>
      <c r="I19" s="11"/>
      <c r="J19" s="11"/>
      <c r="K19" s="27"/>
      <c r="L19" s="11"/>
      <c r="M19" s="11"/>
      <c r="N19" s="11"/>
      <c r="O19" s="11"/>
      <c r="P19" s="15"/>
      <c r="Q19" s="15"/>
      <c r="R19" s="15"/>
      <c r="S19" s="15"/>
      <c r="T19" s="15"/>
      <c r="U19" s="15"/>
      <c r="V19" s="15"/>
      <c r="W19" s="47"/>
      <c r="X19" s="11"/>
      <c r="Y19" s="48"/>
      <c r="Z19" s="11"/>
      <c r="AA19" s="48"/>
      <c r="AB19" s="11"/>
      <c r="AC19" s="48"/>
      <c r="AD19" s="11"/>
      <c r="AE19" s="47"/>
      <c r="AF19" s="11"/>
      <c r="AG19" s="48"/>
      <c r="AH19" s="11"/>
      <c r="AI19" s="48"/>
      <c r="AJ19" s="11"/>
      <c r="AK19" s="48"/>
      <c r="AL19" s="11"/>
      <c r="AM19" s="49"/>
      <c r="AN19" s="49"/>
      <c r="AO19" s="11"/>
      <c r="AP19" s="11"/>
      <c r="AQ19" s="28" t="b">
        <f>IF(COUNTIF(SmartStatus!A$2:A1000, AM19) &gt; 2, TRUE, FALSE)</f>
        <v>0</v>
      </c>
      <c r="AR19" s="29" t="str">
        <f ca="1">IFERROR(__xludf.DUMMYFUNCTION("iferror(if(regexmatch(AO19, ""(?i)^registered""), if(EE19 &lt;&gt; ""polity_shortest_name"", ""CHECK_POLITY"", index(filter(SmartStatus!B$2:B1000, AM19 = SmartStatus!A$2:A1000, not(SmartStatus!C$2:C1000), (isblank(SmartStatus!D$2:D1000)) + ((P19 &lt;&gt; """") * (P19"&amp;" &lt; SmartStatus!D$2:D1000)), (isblank(SmartStatus!E$2:E1000)) + ((P19 &lt;&gt; """") * (P19 &gt;= SmartStatus!E$2:E1000)), (isblank(SmartStatus!F$2:F1000)) + (((Q19 &lt;&gt; """") * (Q19 &lt; SmartStatus!F$2:F1000)) + ((P19 &lt;&gt; """") * (date(year(P19) + 3, month(P19), day(P1"&amp;"9)) &lt; SmartStatus!F$2:F1000))), (isblank(SmartStatus!G$2:G1000)) + (((Q19 &lt;&gt; """") * (Q19 &gt;= SmartStatus!G$2:G1000)) + ((P19 &lt;&gt; """") * (P19 &gt;= SmartStatus!G$2:G1000)))), if(or(regexmatch(B19, ""(?i)^ir [a-z]+ designation$""), N19 &lt;&gt; """"), 1, 2))), """")"&amp;", ""NO_MATCH"")"),"")</f>
        <v/>
      </c>
      <c r="AS19" s="11"/>
      <c r="AT19" s="15"/>
      <c r="AU19" s="11"/>
      <c r="AV19" s="11"/>
      <c r="AW19" s="15"/>
      <c r="AX19" s="15"/>
      <c r="AY19" s="15"/>
      <c r="AZ19" s="11"/>
      <c r="BA19" s="15"/>
      <c r="BB19" s="11"/>
      <c r="BC19" s="11"/>
      <c r="BD19" s="15"/>
      <c r="BE19" s="11"/>
      <c r="BF19" s="11"/>
      <c r="BG19" s="15"/>
      <c r="BH19" s="15"/>
      <c r="BI19" s="15"/>
      <c r="BJ19" s="11"/>
      <c r="BK19" s="15"/>
      <c r="BL19" s="11"/>
      <c r="BM19" s="11"/>
      <c r="BN19" s="15"/>
      <c r="BO19" s="11"/>
      <c r="BP19" s="11"/>
      <c r="BQ19" s="15"/>
      <c r="BR19" s="15"/>
      <c r="BS19" s="15"/>
      <c r="BT19" s="11"/>
      <c r="BU19" s="15"/>
      <c r="BV19" s="11"/>
      <c r="BW19" s="11"/>
      <c r="BX19" s="15"/>
      <c r="BY19" s="11"/>
      <c r="BZ19" s="11"/>
      <c r="CA19" s="15"/>
      <c r="CB19" s="11"/>
      <c r="CC19" s="15"/>
      <c r="CD19" s="11"/>
      <c r="CE19" s="15"/>
      <c r="CF19" s="11"/>
      <c r="CG19" s="11"/>
      <c r="CH19" s="15"/>
      <c r="CI19" s="11"/>
      <c r="CJ19" s="11"/>
      <c r="CK19" s="15"/>
      <c r="CL19" s="11"/>
      <c r="CM19" s="11"/>
      <c r="CN19" s="11"/>
      <c r="CO19" s="11"/>
      <c r="CP19" s="28"/>
      <c r="CQ19" s="28"/>
      <c r="CR19" s="11"/>
      <c r="CS19" s="29"/>
      <c r="CT19" s="11"/>
      <c r="CU19" s="11"/>
      <c r="CV19" s="11"/>
      <c r="CW19" s="11"/>
      <c r="CX19" s="11"/>
      <c r="CY19" s="11"/>
      <c r="CZ19" s="11"/>
      <c r="DA19" s="28"/>
      <c r="DB19" s="28"/>
      <c r="DC19" s="11"/>
      <c r="DD19" s="29"/>
      <c r="DE19" s="11"/>
      <c r="DF19" s="11"/>
      <c r="DG19" s="11"/>
      <c r="DH19" s="11"/>
      <c r="DI19" s="11"/>
      <c r="DJ19" s="11"/>
      <c r="DK19" s="26"/>
      <c r="DL19" s="11"/>
      <c r="DM19" s="29"/>
      <c r="DN19" s="28"/>
      <c r="DO19" s="11"/>
      <c r="DP19" s="11"/>
      <c r="DQ19" s="11"/>
      <c r="DR19" s="29"/>
      <c r="DS19" s="28"/>
      <c r="DT19" s="11"/>
      <c r="DU19" s="26"/>
      <c r="DV19" s="11"/>
      <c r="DW19" s="29"/>
      <c r="DX19" s="28"/>
      <c r="DY19" s="11"/>
      <c r="DZ19" s="26"/>
      <c r="EA19" s="11"/>
      <c r="EB19" s="29"/>
      <c r="EC19" s="28"/>
      <c r="ED19" s="30"/>
      <c r="EE19" s="30" t="str">
        <f ca="1">IFERROR(__xludf.DUMMYFUNCTION("iferror(index(filter('Internal -- Trademark Countries'!E$2:E1000, (AM19 = 'Internal -- Trademark Countries'!B$2:B1000) + (AM19 = 'Internal -- Trademark Countries'!C$2:C1000) + (AM19 = 'Internal -- Trademark Countries'!D$2:D1000)), 1))"),"")</f>
        <v/>
      </c>
      <c r="EF19" s="30" t="e">
        <f ca="1">_xludf.ifs(AM19="", "", COUNTIF('Internal -- Trademark Countries'!B:B,AM19) &gt; 0, "polity_shortest_name", COUNTIF('Internal -- Trademark Countries'!C:C,AM19) &gt; 0, "polity_full_name", COUNTIF('Internal -- Trademark Countries'!D:D,AM19) &gt; 0, "polity_common_name", COUNTIF('Internal -- Trademark Countries'!E:E,AM19) &gt; 0, "shortest_name", COUNTIF('Internal -- Trademark Countries'!A:A,AM19) &gt; 0, "full_name", TRUE, "not a match")</f>
        <v>#NAME?</v>
      </c>
      <c r="EG19" s="30"/>
      <c r="EH19" s="30"/>
      <c r="EI19" s="30"/>
      <c r="EJ19" s="30"/>
      <c r="EK19" s="30" t="str">
        <f t="shared" si="2"/>
        <v/>
      </c>
    </row>
    <row r="20" spans="1:141" ht="15.75" customHeight="1">
      <c r="A20" s="11"/>
      <c r="B20" s="11"/>
      <c r="C20" s="11"/>
      <c r="D20" s="11"/>
      <c r="E20" s="11"/>
      <c r="F20" s="11"/>
      <c r="G20" s="11"/>
      <c r="H20" s="11"/>
      <c r="I20" s="11"/>
      <c r="J20" s="11"/>
      <c r="K20" s="27"/>
      <c r="L20" s="11"/>
      <c r="M20" s="11"/>
      <c r="N20" s="11"/>
      <c r="O20" s="11"/>
      <c r="P20" s="15"/>
      <c r="Q20" s="15"/>
      <c r="R20" s="15"/>
      <c r="S20" s="15"/>
      <c r="T20" s="15"/>
      <c r="U20" s="15"/>
      <c r="V20" s="15"/>
      <c r="W20" s="47"/>
      <c r="X20" s="11"/>
      <c r="Y20" s="48"/>
      <c r="Z20" s="11"/>
      <c r="AA20" s="48"/>
      <c r="AB20" s="11"/>
      <c r="AC20" s="48"/>
      <c r="AD20" s="11"/>
      <c r="AE20" s="47"/>
      <c r="AF20" s="11"/>
      <c r="AG20" s="48"/>
      <c r="AH20" s="11"/>
      <c r="AI20" s="48"/>
      <c r="AJ20" s="11"/>
      <c r="AK20" s="48"/>
      <c r="AL20" s="11"/>
      <c r="AM20" s="49"/>
      <c r="AN20" s="49"/>
      <c r="AO20" s="11"/>
      <c r="AP20" s="11"/>
      <c r="AQ20" s="28" t="b">
        <f>IF(COUNTIF(SmartStatus!A$2:A1000, AM20) &gt; 2, TRUE, FALSE)</f>
        <v>0</v>
      </c>
      <c r="AR20" s="29" t="str">
        <f ca="1">IFERROR(__xludf.DUMMYFUNCTION("iferror(if(regexmatch(AO20, ""(?i)^registered""), if(EE20 &lt;&gt; ""polity_shortest_name"", ""CHECK_POLITY"", index(filter(SmartStatus!B$2:B1000, AM20 = SmartStatus!A$2:A1000, not(SmartStatus!C$2:C1000), (isblank(SmartStatus!D$2:D1000)) + ((P20 &lt;&gt; """") * (P20"&amp;" &lt; SmartStatus!D$2:D1000)), (isblank(SmartStatus!E$2:E1000)) + ((P20 &lt;&gt; """") * (P20 &gt;= SmartStatus!E$2:E1000)), (isblank(SmartStatus!F$2:F1000)) + (((Q20 &lt;&gt; """") * (Q20 &lt; SmartStatus!F$2:F1000)) + ((P20 &lt;&gt; """") * (date(year(P20) + 3, month(P20), day(P2"&amp;"0)) &lt; SmartStatus!F$2:F1000))), (isblank(SmartStatus!G$2:G1000)) + (((Q20 &lt;&gt; """") * (Q20 &gt;= SmartStatus!G$2:G1000)) + ((P20 &lt;&gt; """") * (P20 &gt;= SmartStatus!G$2:G1000)))), if(or(regexmatch(B20, ""(?i)^ir [a-z]+ designation$""), N20 &lt;&gt; """"), 1, 2))), """")"&amp;", ""NO_MATCH"")"),"")</f>
        <v/>
      </c>
      <c r="AS20" s="11"/>
      <c r="AT20" s="15"/>
      <c r="AU20" s="11"/>
      <c r="AV20" s="11"/>
      <c r="AW20" s="15"/>
      <c r="AX20" s="15"/>
      <c r="AY20" s="15"/>
      <c r="AZ20" s="11"/>
      <c r="BA20" s="15"/>
      <c r="BB20" s="11"/>
      <c r="BC20" s="11"/>
      <c r="BD20" s="15"/>
      <c r="BE20" s="11"/>
      <c r="BF20" s="11"/>
      <c r="BG20" s="15"/>
      <c r="BH20" s="15"/>
      <c r="BI20" s="15"/>
      <c r="BJ20" s="11"/>
      <c r="BK20" s="15"/>
      <c r="BL20" s="11"/>
      <c r="BM20" s="11"/>
      <c r="BN20" s="15"/>
      <c r="BO20" s="11"/>
      <c r="BP20" s="11"/>
      <c r="BQ20" s="15"/>
      <c r="BR20" s="15"/>
      <c r="BS20" s="15"/>
      <c r="BT20" s="11"/>
      <c r="BU20" s="15"/>
      <c r="BV20" s="11"/>
      <c r="BW20" s="11"/>
      <c r="BX20" s="15"/>
      <c r="BY20" s="11"/>
      <c r="BZ20" s="11"/>
      <c r="CA20" s="15"/>
      <c r="CB20" s="11"/>
      <c r="CC20" s="15"/>
      <c r="CD20" s="11"/>
      <c r="CE20" s="15"/>
      <c r="CF20" s="11"/>
      <c r="CG20" s="11"/>
      <c r="CH20" s="15"/>
      <c r="CI20" s="11"/>
      <c r="CJ20" s="11"/>
      <c r="CK20" s="15"/>
      <c r="CL20" s="11"/>
      <c r="CM20" s="11"/>
      <c r="CN20" s="11"/>
      <c r="CO20" s="11"/>
      <c r="CP20" s="28"/>
      <c r="CQ20" s="28"/>
      <c r="CR20" s="11"/>
      <c r="CS20" s="29"/>
      <c r="CT20" s="11"/>
      <c r="CU20" s="11"/>
      <c r="CV20" s="11"/>
      <c r="CW20" s="11"/>
      <c r="CX20" s="11"/>
      <c r="CY20" s="11"/>
      <c r="CZ20" s="11"/>
      <c r="DA20" s="28"/>
      <c r="DB20" s="28"/>
      <c r="DC20" s="11"/>
      <c r="DD20" s="29"/>
      <c r="DE20" s="11"/>
      <c r="DF20" s="11"/>
      <c r="DG20" s="11"/>
      <c r="DH20" s="11"/>
      <c r="DI20" s="11"/>
      <c r="DJ20" s="11"/>
      <c r="DK20" s="26"/>
      <c r="DL20" s="11"/>
      <c r="DM20" s="29"/>
      <c r="DN20" s="28"/>
      <c r="DO20" s="11"/>
      <c r="DP20" s="11"/>
      <c r="DQ20" s="11"/>
      <c r="DR20" s="29"/>
      <c r="DS20" s="28"/>
      <c r="DT20" s="11"/>
      <c r="DU20" s="26"/>
      <c r="DV20" s="11"/>
      <c r="DW20" s="29"/>
      <c r="DX20" s="28"/>
      <c r="DY20" s="11"/>
      <c r="DZ20" s="26"/>
      <c r="EA20" s="11"/>
      <c r="EB20" s="29"/>
      <c r="EC20" s="28"/>
      <c r="ED20" s="30"/>
      <c r="EE20" s="30" t="str">
        <f ca="1">IFERROR(__xludf.DUMMYFUNCTION("iferror(index(filter('Internal -- Trademark Countries'!E$2:E1000, (AM20 = 'Internal -- Trademark Countries'!B$2:B1000) + (AM20 = 'Internal -- Trademark Countries'!C$2:C1000) + (AM20 = 'Internal -- Trademark Countries'!D$2:D1000)), 1))"),"")</f>
        <v/>
      </c>
      <c r="EF20" s="30" t="e">
        <f ca="1">_xludf.ifs(AM20="", "", COUNTIF('Internal -- Trademark Countries'!B:B,AM20) &gt; 0, "polity_shortest_name", COUNTIF('Internal -- Trademark Countries'!C:C,AM20) &gt; 0, "polity_full_name", COUNTIF('Internal -- Trademark Countries'!D:D,AM20) &gt; 0, "polity_common_name", COUNTIF('Internal -- Trademark Countries'!E:E,AM20) &gt; 0, "shortest_name", COUNTIF('Internal -- Trademark Countries'!A:A,AM20) &gt; 0, "full_name", TRUE, "not a match")</f>
        <v>#NAME?</v>
      </c>
      <c r="EG20" s="30"/>
      <c r="EH20" s="30"/>
      <c r="EI20" s="30"/>
      <c r="EJ20" s="30"/>
      <c r="EK20" s="30" t="str">
        <f t="shared" si="2"/>
        <v/>
      </c>
    </row>
    <row r="21" spans="1:141" ht="15.75" customHeight="1">
      <c r="A21" s="11"/>
      <c r="B21" s="11"/>
      <c r="C21" s="11"/>
      <c r="D21" s="11"/>
      <c r="E21" s="11"/>
      <c r="F21" s="11"/>
      <c r="G21" s="11"/>
      <c r="H21" s="11"/>
      <c r="I21" s="11"/>
      <c r="J21" s="11"/>
      <c r="K21" s="27"/>
      <c r="L21" s="11"/>
      <c r="M21" s="11"/>
      <c r="N21" s="11"/>
      <c r="O21" s="11"/>
      <c r="P21" s="15"/>
      <c r="Q21" s="15"/>
      <c r="R21" s="15"/>
      <c r="S21" s="15"/>
      <c r="T21" s="15"/>
      <c r="U21" s="15"/>
      <c r="V21" s="15"/>
      <c r="W21" s="47"/>
      <c r="X21" s="11"/>
      <c r="Y21" s="48"/>
      <c r="Z21" s="11"/>
      <c r="AA21" s="48"/>
      <c r="AB21" s="11"/>
      <c r="AC21" s="48"/>
      <c r="AD21" s="11"/>
      <c r="AE21" s="47"/>
      <c r="AF21" s="11"/>
      <c r="AG21" s="48"/>
      <c r="AH21" s="11"/>
      <c r="AI21" s="48"/>
      <c r="AJ21" s="11"/>
      <c r="AK21" s="48"/>
      <c r="AL21" s="11"/>
      <c r="AM21" s="49"/>
      <c r="AN21" s="49"/>
      <c r="AO21" s="11"/>
      <c r="AP21" s="11"/>
      <c r="AQ21" s="28" t="b">
        <f>IF(COUNTIF(SmartStatus!A$2:A1000, AM21) &gt; 2, TRUE, FALSE)</f>
        <v>0</v>
      </c>
      <c r="AR21" s="29" t="str">
        <f ca="1">IFERROR(__xludf.DUMMYFUNCTION("iferror(if(regexmatch(AO21, ""(?i)^registered""), if(EE21 &lt;&gt; ""polity_shortest_name"", ""CHECK_POLITY"", index(filter(SmartStatus!B$2:B1000, AM21 = SmartStatus!A$2:A1000, not(SmartStatus!C$2:C1000), (isblank(SmartStatus!D$2:D1000)) + ((P21 &lt;&gt; """") * (P21"&amp;" &lt; SmartStatus!D$2:D1000)), (isblank(SmartStatus!E$2:E1000)) + ((P21 &lt;&gt; """") * (P21 &gt;= SmartStatus!E$2:E1000)), (isblank(SmartStatus!F$2:F1000)) + (((Q21 &lt;&gt; """") * (Q21 &lt; SmartStatus!F$2:F1000)) + ((P21 &lt;&gt; """") * (date(year(P21) + 3, month(P21), day(P2"&amp;"1)) &lt; SmartStatus!F$2:F1000))), (isblank(SmartStatus!G$2:G1000)) + (((Q21 &lt;&gt; """") * (Q21 &gt;= SmartStatus!G$2:G1000)) + ((P21 &lt;&gt; """") * (P21 &gt;= SmartStatus!G$2:G1000)))), if(or(regexmatch(B21, ""(?i)^ir [a-z]+ designation$""), N21 &lt;&gt; """"), 1, 2))), """")"&amp;", ""NO_MATCH"")"),"")</f>
        <v/>
      </c>
      <c r="AS21" s="11"/>
      <c r="AT21" s="15"/>
      <c r="AU21" s="11"/>
      <c r="AV21" s="11"/>
      <c r="AW21" s="15"/>
      <c r="AX21" s="15"/>
      <c r="AY21" s="15"/>
      <c r="AZ21" s="11"/>
      <c r="BA21" s="15"/>
      <c r="BB21" s="11"/>
      <c r="BC21" s="11"/>
      <c r="BD21" s="15"/>
      <c r="BE21" s="11"/>
      <c r="BF21" s="11"/>
      <c r="BG21" s="15"/>
      <c r="BH21" s="15"/>
      <c r="BI21" s="15"/>
      <c r="BJ21" s="11"/>
      <c r="BK21" s="15"/>
      <c r="BL21" s="11"/>
      <c r="BM21" s="11"/>
      <c r="BN21" s="15"/>
      <c r="BO21" s="11"/>
      <c r="BP21" s="11"/>
      <c r="BQ21" s="15"/>
      <c r="BR21" s="15"/>
      <c r="BS21" s="15"/>
      <c r="BT21" s="11"/>
      <c r="BU21" s="15"/>
      <c r="BV21" s="11"/>
      <c r="BW21" s="11"/>
      <c r="BX21" s="15"/>
      <c r="BY21" s="11"/>
      <c r="BZ21" s="11"/>
      <c r="CA21" s="15"/>
      <c r="CB21" s="11"/>
      <c r="CC21" s="15"/>
      <c r="CD21" s="11"/>
      <c r="CE21" s="15"/>
      <c r="CF21" s="11"/>
      <c r="CG21" s="11"/>
      <c r="CH21" s="15"/>
      <c r="CI21" s="11"/>
      <c r="CJ21" s="11"/>
      <c r="CK21" s="15"/>
      <c r="CL21" s="11"/>
      <c r="CM21" s="11"/>
      <c r="CN21" s="11"/>
      <c r="CO21" s="11"/>
      <c r="CP21" s="28"/>
      <c r="CQ21" s="28"/>
      <c r="CR21" s="11"/>
      <c r="CS21" s="29"/>
      <c r="CT21" s="11"/>
      <c r="CU21" s="11"/>
      <c r="CV21" s="11"/>
      <c r="CW21" s="11"/>
      <c r="CX21" s="11"/>
      <c r="CY21" s="11"/>
      <c r="CZ21" s="11"/>
      <c r="DA21" s="28"/>
      <c r="DB21" s="28"/>
      <c r="DC21" s="11"/>
      <c r="DD21" s="29"/>
      <c r="DE21" s="11"/>
      <c r="DF21" s="11"/>
      <c r="DG21" s="11"/>
      <c r="DH21" s="11"/>
      <c r="DI21" s="11"/>
      <c r="DJ21" s="11"/>
      <c r="DK21" s="26"/>
      <c r="DL21" s="11"/>
      <c r="DM21" s="29"/>
      <c r="DN21" s="28"/>
      <c r="DO21" s="11"/>
      <c r="DP21" s="11"/>
      <c r="DQ21" s="11"/>
      <c r="DR21" s="29"/>
      <c r="DS21" s="28"/>
      <c r="DT21" s="11"/>
      <c r="DU21" s="26"/>
      <c r="DV21" s="11"/>
      <c r="DW21" s="29"/>
      <c r="DX21" s="28"/>
      <c r="DY21" s="11"/>
      <c r="DZ21" s="26"/>
      <c r="EA21" s="11"/>
      <c r="EB21" s="29"/>
      <c r="EC21" s="28"/>
      <c r="ED21" s="30"/>
      <c r="EE21" s="30" t="str">
        <f ca="1">IFERROR(__xludf.DUMMYFUNCTION("iferror(index(filter('Internal -- Trademark Countries'!E$2:E1000, (AM21 = 'Internal -- Trademark Countries'!B$2:B1000) + (AM21 = 'Internal -- Trademark Countries'!C$2:C1000) + (AM21 = 'Internal -- Trademark Countries'!D$2:D1000)), 1))"),"")</f>
        <v/>
      </c>
      <c r="EF21" s="30" t="e">
        <f ca="1">_xludf.ifs(AM21="", "", COUNTIF('Internal -- Trademark Countries'!B:B,AM21) &gt; 0, "polity_shortest_name", COUNTIF('Internal -- Trademark Countries'!C:C,AM21) &gt; 0, "polity_full_name", COUNTIF('Internal -- Trademark Countries'!D:D,AM21) &gt; 0, "polity_common_name", COUNTIF('Internal -- Trademark Countries'!E:E,AM21) &gt; 0, "shortest_name", COUNTIF('Internal -- Trademark Countries'!A:A,AM21) &gt; 0, "full_name", TRUE, "not a match")</f>
        <v>#NAME?</v>
      </c>
      <c r="EG21" s="30"/>
      <c r="EH21" s="30"/>
      <c r="EI21" s="30"/>
      <c r="EJ21" s="30"/>
      <c r="EK21" s="30" t="str">
        <f t="shared" si="2"/>
        <v/>
      </c>
    </row>
    <row r="22" spans="1:141" ht="15.75" customHeight="1">
      <c r="A22" s="11"/>
      <c r="B22" s="11"/>
      <c r="C22" s="11"/>
      <c r="D22" s="11"/>
      <c r="E22" s="11"/>
      <c r="F22" s="11"/>
      <c r="G22" s="11"/>
      <c r="H22" s="11"/>
      <c r="I22" s="11"/>
      <c r="J22" s="11"/>
      <c r="K22" s="27"/>
      <c r="L22" s="11"/>
      <c r="M22" s="11"/>
      <c r="N22" s="11"/>
      <c r="O22" s="11"/>
      <c r="P22" s="15"/>
      <c r="Q22" s="15"/>
      <c r="R22" s="15"/>
      <c r="S22" s="15"/>
      <c r="T22" s="15"/>
      <c r="U22" s="15"/>
      <c r="V22" s="15"/>
      <c r="W22" s="47"/>
      <c r="X22" s="11"/>
      <c r="Y22" s="48"/>
      <c r="Z22" s="11"/>
      <c r="AA22" s="48"/>
      <c r="AB22" s="11"/>
      <c r="AC22" s="48"/>
      <c r="AD22" s="11"/>
      <c r="AE22" s="47"/>
      <c r="AF22" s="11"/>
      <c r="AG22" s="48"/>
      <c r="AH22" s="11"/>
      <c r="AI22" s="48"/>
      <c r="AJ22" s="11"/>
      <c r="AK22" s="48"/>
      <c r="AL22" s="11"/>
      <c r="AM22" s="49"/>
      <c r="AN22" s="49"/>
      <c r="AO22" s="11"/>
      <c r="AP22" s="11"/>
      <c r="AQ22" s="28" t="b">
        <f>IF(COUNTIF(SmartStatus!A$2:A1000, AM22) &gt; 2, TRUE, FALSE)</f>
        <v>0</v>
      </c>
      <c r="AR22" s="29" t="str">
        <f ca="1">IFERROR(__xludf.DUMMYFUNCTION("iferror(if(regexmatch(AO22, ""(?i)^registered""), if(EE22 &lt;&gt; ""polity_shortest_name"", ""CHECK_POLITY"", index(filter(SmartStatus!B$2:B1000, AM22 = SmartStatus!A$2:A1000, not(SmartStatus!C$2:C1000), (isblank(SmartStatus!D$2:D1000)) + ((P22 &lt;&gt; """") * (P22"&amp;" &lt; SmartStatus!D$2:D1000)), (isblank(SmartStatus!E$2:E1000)) + ((P22 &lt;&gt; """") * (P22 &gt;= SmartStatus!E$2:E1000)), (isblank(SmartStatus!F$2:F1000)) + (((Q22 &lt;&gt; """") * (Q22 &lt; SmartStatus!F$2:F1000)) + ((P22 &lt;&gt; """") * (date(year(P22) + 3, month(P22), day(P2"&amp;"2)) &lt; SmartStatus!F$2:F1000))), (isblank(SmartStatus!G$2:G1000)) + (((Q22 &lt;&gt; """") * (Q22 &gt;= SmartStatus!G$2:G1000)) + ((P22 &lt;&gt; """") * (P22 &gt;= SmartStatus!G$2:G1000)))), if(or(regexmatch(B22, ""(?i)^ir [a-z]+ designation$""), N22 &lt;&gt; """"), 1, 2))), """")"&amp;", ""NO_MATCH"")"),"")</f>
        <v/>
      </c>
      <c r="AS22" s="11"/>
      <c r="AT22" s="15"/>
      <c r="AU22" s="11"/>
      <c r="AV22" s="11"/>
      <c r="AW22" s="15"/>
      <c r="AX22" s="15"/>
      <c r="AY22" s="15"/>
      <c r="AZ22" s="11"/>
      <c r="BA22" s="15"/>
      <c r="BB22" s="11"/>
      <c r="BC22" s="11"/>
      <c r="BD22" s="15"/>
      <c r="BE22" s="11"/>
      <c r="BF22" s="11"/>
      <c r="BG22" s="15"/>
      <c r="BH22" s="15"/>
      <c r="BI22" s="15"/>
      <c r="BJ22" s="11"/>
      <c r="BK22" s="15"/>
      <c r="BL22" s="11"/>
      <c r="BM22" s="11"/>
      <c r="BN22" s="15"/>
      <c r="BO22" s="11"/>
      <c r="BP22" s="11"/>
      <c r="BQ22" s="15"/>
      <c r="BR22" s="15"/>
      <c r="BS22" s="15"/>
      <c r="BT22" s="11"/>
      <c r="BU22" s="15"/>
      <c r="BV22" s="11"/>
      <c r="BW22" s="11"/>
      <c r="BX22" s="15"/>
      <c r="BY22" s="11"/>
      <c r="BZ22" s="11"/>
      <c r="CA22" s="15"/>
      <c r="CB22" s="11"/>
      <c r="CC22" s="15"/>
      <c r="CD22" s="11"/>
      <c r="CE22" s="15"/>
      <c r="CF22" s="11"/>
      <c r="CG22" s="11"/>
      <c r="CH22" s="15"/>
      <c r="CI22" s="11"/>
      <c r="CJ22" s="11"/>
      <c r="CK22" s="15"/>
      <c r="CL22" s="11"/>
      <c r="CM22" s="11"/>
      <c r="CN22" s="11"/>
      <c r="CO22" s="11"/>
      <c r="CP22" s="28"/>
      <c r="CQ22" s="28"/>
      <c r="CR22" s="11"/>
      <c r="CS22" s="29"/>
      <c r="CT22" s="11"/>
      <c r="CU22" s="11"/>
      <c r="CV22" s="11"/>
      <c r="CW22" s="11"/>
      <c r="CX22" s="11"/>
      <c r="CY22" s="11"/>
      <c r="CZ22" s="11"/>
      <c r="DA22" s="28"/>
      <c r="DB22" s="28"/>
      <c r="DC22" s="11"/>
      <c r="DD22" s="29"/>
      <c r="DE22" s="11"/>
      <c r="DF22" s="11"/>
      <c r="DG22" s="11"/>
      <c r="DH22" s="11"/>
      <c r="DI22" s="11"/>
      <c r="DJ22" s="11"/>
      <c r="DK22" s="26"/>
      <c r="DL22" s="11"/>
      <c r="DM22" s="29"/>
      <c r="DN22" s="28"/>
      <c r="DO22" s="11"/>
      <c r="DP22" s="11"/>
      <c r="DQ22" s="11"/>
      <c r="DR22" s="29"/>
      <c r="DS22" s="28"/>
      <c r="DT22" s="11"/>
      <c r="DU22" s="26"/>
      <c r="DV22" s="11"/>
      <c r="DW22" s="29"/>
      <c r="DX22" s="28"/>
      <c r="DY22" s="11"/>
      <c r="DZ22" s="26"/>
      <c r="EA22" s="11"/>
      <c r="EB22" s="29"/>
      <c r="EC22" s="28"/>
      <c r="ED22" s="30"/>
      <c r="EE22" s="30" t="str">
        <f ca="1">IFERROR(__xludf.DUMMYFUNCTION("iferror(index(filter('Internal -- Trademark Countries'!E$2:E1000, (AM22 = 'Internal -- Trademark Countries'!B$2:B1000) + (AM22 = 'Internal -- Trademark Countries'!C$2:C1000) + (AM22 = 'Internal -- Trademark Countries'!D$2:D1000)), 1))"),"")</f>
        <v/>
      </c>
      <c r="EF22" s="30" t="e">
        <f ca="1">_xludf.ifs(AM22="", "", COUNTIF('Internal -- Trademark Countries'!B:B,AM22) &gt; 0, "polity_shortest_name", COUNTIF('Internal -- Trademark Countries'!C:C,AM22) &gt; 0, "polity_full_name", COUNTIF('Internal -- Trademark Countries'!D:D,AM22) &gt; 0, "polity_common_name", COUNTIF('Internal -- Trademark Countries'!E:E,AM22) &gt; 0, "shortest_name", COUNTIF('Internal -- Trademark Countries'!A:A,AM22) &gt; 0, "full_name", TRUE, "not a match")</f>
        <v>#NAME?</v>
      </c>
      <c r="EG22" s="30"/>
      <c r="EH22" s="30"/>
      <c r="EI22" s="30"/>
      <c r="EJ22" s="30"/>
      <c r="EK22" s="30" t="str">
        <f t="shared" si="2"/>
        <v/>
      </c>
    </row>
    <row r="23" spans="1:141" ht="15.75" customHeight="1">
      <c r="A23" s="11"/>
      <c r="B23" s="11"/>
      <c r="C23" s="11"/>
      <c r="D23" s="11"/>
      <c r="E23" s="11"/>
      <c r="F23" s="11"/>
      <c r="G23" s="11"/>
      <c r="H23" s="11"/>
      <c r="I23" s="11"/>
      <c r="J23" s="11"/>
      <c r="K23" s="27"/>
      <c r="L23" s="11"/>
      <c r="M23" s="11"/>
      <c r="N23" s="11"/>
      <c r="O23" s="11"/>
      <c r="P23" s="15"/>
      <c r="Q23" s="15"/>
      <c r="R23" s="15"/>
      <c r="S23" s="15"/>
      <c r="T23" s="15"/>
      <c r="U23" s="15"/>
      <c r="V23" s="15"/>
      <c r="W23" s="47"/>
      <c r="X23" s="11"/>
      <c r="Y23" s="48"/>
      <c r="Z23" s="11"/>
      <c r="AA23" s="48"/>
      <c r="AB23" s="11"/>
      <c r="AC23" s="48"/>
      <c r="AD23" s="11"/>
      <c r="AE23" s="47"/>
      <c r="AF23" s="11"/>
      <c r="AG23" s="48"/>
      <c r="AH23" s="11"/>
      <c r="AI23" s="48"/>
      <c r="AJ23" s="11"/>
      <c r="AK23" s="48"/>
      <c r="AL23" s="11"/>
      <c r="AM23" s="49"/>
      <c r="AN23" s="49"/>
      <c r="AO23" s="11"/>
      <c r="AP23" s="11"/>
      <c r="AQ23" s="28" t="b">
        <f>IF(COUNTIF(SmartStatus!A$2:A1000, AM23) &gt; 2, TRUE, FALSE)</f>
        <v>0</v>
      </c>
      <c r="AR23" s="29" t="str">
        <f ca="1">IFERROR(__xludf.DUMMYFUNCTION("iferror(if(regexmatch(AO23, ""(?i)^registered""), if(EE23 &lt;&gt; ""polity_shortest_name"", ""CHECK_POLITY"", index(filter(SmartStatus!B$2:B1000, AM23 = SmartStatus!A$2:A1000, not(SmartStatus!C$2:C1000), (isblank(SmartStatus!D$2:D1000)) + ((P23 &lt;&gt; """") * (P23"&amp;" &lt; SmartStatus!D$2:D1000)), (isblank(SmartStatus!E$2:E1000)) + ((P23 &lt;&gt; """") * (P23 &gt;= SmartStatus!E$2:E1000)), (isblank(SmartStatus!F$2:F1000)) + (((Q23 &lt;&gt; """") * (Q23 &lt; SmartStatus!F$2:F1000)) + ((P23 &lt;&gt; """") * (date(year(P23) + 3, month(P23), day(P2"&amp;"3)) &lt; SmartStatus!F$2:F1000))), (isblank(SmartStatus!G$2:G1000)) + (((Q23 &lt;&gt; """") * (Q23 &gt;= SmartStatus!G$2:G1000)) + ((P23 &lt;&gt; """") * (P23 &gt;= SmartStatus!G$2:G1000)))), if(or(regexmatch(B23, ""(?i)^ir [a-z]+ designation$""), N23 &lt;&gt; """"), 1, 2))), """")"&amp;", ""NO_MATCH"")"),"")</f>
        <v/>
      </c>
      <c r="AS23" s="11"/>
      <c r="AT23" s="15"/>
      <c r="AU23" s="11"/>
      <c r="AV23" s="11"/>
      <c r="AW23" s="15"/>
      <c r="AX23" s="15"/>
      <c r="AY23" s="15"/>
      <c r="AZ23" s="11"/>
      <c r="BA23" s="15"/>
      <c r="BB23" s="11"/>
      <c r="BC23" s="11"/>
      <c r="BD23" s="15"/>
      <c r="BE23" s="11"/>
      <c r="BF23" s="11"/>
      <c r="BG23" s="15"/>
      <c r="BH23" s="15"/>
      <c r="BI23" s="15"/>
      <c r="BJ23" s="11"/>
      <c r="BK23" s="15"/>
      <c r="BL23" s="11"/>
      <c r="BM23" s="11"/>
      <c r="BN23" s="15"/>
      <c r="BO23" s="11"/>
      <c r="BP23" s="11"/>
      <c r="BQ23" s="15"/>
      <c r="BR23" s="15"/>
      <c r="BS23" s="15"/>
      <c r="BT23" s="11"/>
      <c r="BU23" s="15"/>
      <c r="BV23" s="11"/>
      <c r="BW23" s="11"/>
      <c r="BX23" s="15"/>
      <c r="BY23" s="11"/>
      <c r="BZ23" s="11"/>
      <c r="CA23" s="15"/>
      <c r="CB23" s="11"/>
      <c r="CC23" s="15"/>
      <c r="CD23" s="11"/>
      <c r="CE23" s="15"/>
      <c r="CF23" s="11"/>
      <c r="CG23" s="11"/>
      <c r="CH23" s="15"/>
      <c r="CI23" s="11"/>
      <c r="CJ23" s="11"/>
      <c r="CK23" s="15"/>
      <c r="CL23" s="11"/>
      <c r="CM23" s="11"/>
      <c r="CN23" s="11"/>
      <c r="CO23" s="11"/>
      <c r="CP23" s="28"/>
      <c r="CQ23" s="28"/>
      <c r="CR23" s="11"/>
      <c r="CS23" s="29"/>
      <c r="CT23" s="11"/>
      <c r="CU23" s="11"/>
      <c r="CV23" s="11"/>
      <c r="CW23" s="11"/>
      <c r="CX23" s="11"/>
      <c r="CY23" s="11"/>
      <c r="CZ23" s="11"/>
      <c r="DA23" s="28"/>
      <c r="DB23" s="28"/>
      <c r="DC23" s="11"/>
      <c r="DD23" s="29"/>
      <c r="DE23" s="11"/>
      <c r="DF23" s="11"/>
      <c r="DG23" s="11"/>
      <c r="DH23" s="11"/>
      <c r="DI23" s="11"/>
      <c r="DJ23" s="11"/>
      <c r="DK23" s="26"/>
      <c r="DL23" s="11"/>
      <c r="DM23" s="29"/>
      <c r="DN23" s="28"/>
      <c r="DO23" s="11"/>
      <c r="DP23" s="11"/>
      <c r="DQ23" s="11"/>
      <c r="DR23" s="29"/>
      <c r="DS23" s="28"/>
      <c r="DT23" s="11"/>
      <c r="DU23" s="26"/>
      <c r="DV23" s="11"/>
      <c r="DW23" s="29"/>
      <c r="DX23" s="28"/>
      <c r="DY23" s="11"/>
      <c r="DZ23" s="26"/>
      <c r="EA23" s="11"/>
      <c r="EB23" s="29"/>
      <c r="EC23" s="28"/>
      <c r="ED23" s="30"/>
      <c r="EE23" s="30" t="str">
        <f ca="1">IFERROR(__xludf.DUMMYFUNCTION("iferror(index(filter('Internal -- Trademark Countries'!E$2:E1000, (AM23 = 'Internal -- Trademark Countries'!B$2:B1000) + (AM23 = 'Internal -- Trademark Countries'!C$2:C1000) + (AM23 = 'Internal -- Trademark Countries'!D$2:D1000)), 1))"),"")</f>
        <v/>
      </c>
      <c r="EF23" s="30" t="e">
        <f ca="1">_xludf.ifs(AM23="", "", COUNTIF('Internal -- Trademark Countries'!B:B,AM23) &gt; 0, "polity_shortest_name", COUNTIF('Internal -- Trademark Countries'!C:C,AM23) &gt; 0, "polity_full_name", COUNTIF('Internal -- Trademark Countries'!D:D,AM23) &gt; 0, "polity_common_name", COUNTIF('Internal -- Trademark Countries'!E:E,AM23) &gt; 0, "shortest_name", COUNTIF('Internal -- Trademark Countries'!A:A,AM23) &gt; 0, "full_name", TRUE, "not a match")</f>
        <v>#NAME?</v>
      </c>
      <c r="EG23" s="30"/>
      <c r="EH23" s="30"/>
      <c r="EI23" s="30"/>
      <c r="EJ23" s="30"/>
      <c r="EK23" s="30" t="str">
        <f t="shared" si="2"/>
        <v/>
      </c>
    </row>
    <row r="24" spans="1:141" ht="15.75" customHeight="1">
      <c r="A24" s="11"/>
      <c r="B24" s="11"/>
      <c r="C24" s="11"/>
      <c r="D24" s="11"/>
      <c r="E24" s="11"/>
      <c r="F24" s="11"/>
      <c r="G24" s="11"/>
      <c r="H24" s="11"/>
      <c r="I24" s="11"/>
      <c r="J24" s="11"/>
      <c r="K24" s="27"/>
      <c r="L24" s="11"/>
      <c r="M24" s="11"/>
      <c r="N24" s="11"/>
      <c r="O24" s="11"/>
      <c r="P24" s="15"/>
      <c r="Q24" s="15"/>
      <c r="R24" s="15"/>
      <c r="S24" s="15"/>
      <c r="T24" s="15"/>
      <c r="U24" s="15"/>
      <c r="V24" s="15"/>
      <c r="W24" s="47"/>
      <c r="X24" s="11"/>
      <c r="Y24" s="48"/>
      <c r="Z24" s="11"/>
      <c r="AA24" s="48"/>
      <c r="AB24" s="11"/>
      <c r="AC24" s="48"/>
      <c r="AD24" s="11"/>
      <c r="AE24" s="47"/>
      <c r="AF24" s="11"/>
      <c r="AG24" s="48"/>
      <c r="AH24" s="11"/>
      <c r="AI24" s="48"/>
      <c r="AJ24" s="11"/>
      <c r="AK24" s="48"/>
      <c r="AL24" s="11"/>
      <c r="AM24" s="49"/>
      <c r="AN24" s="49"/>
      <c r="AO24" s="11"/>
      <c r="AP24" s="11"/>
      <c r="AQ24" s="28" t="b">
        <f>IF(COUNTIF(SmartStatus!A$2:A1000, AM24) &gt; 2, TRUE, FALSE)</f>
        <v>0</v>
      </c>
      <c r="AR24" s="29" t="str">
        <f ca="1">IFERROR(__xludf.DUMMYFUNCTION("iferror(if(regexmatch(AO24, ""(?i)^registered""), if(EE24 &lt;&gt; ""polity_shortest_name"", ""CHECK_POLITY"", index(filter(SmartStatus!B$2:B1000, AM24 = SmartStatus!A$2:A1000, not(SmartStatus!C$2:C1000), (isblank(SmartStatus!D$2:D1000)) + ((P24 &lt;&gt; """") * (P24"&amp;" &lt; SmartStatus!D$2:D1000)), (isblank(SmartStatus!E$2:E1000)) + ((P24 &lt;&gt; """") * (P24 &gt;= SmartStatus!E$2:E1000)), (isblank(SmartStatus!F$2:F1000)) + (((Q24 &lt;&gt; """") * (Q24 &lt; SmartStatus!F$2:F1000)) + ((P24 &lt;&gt; """") * (date(year(P24) + 3, month(P24), day(P2"&amp;"4)) &lt; SmartStatus!F$2:F1000))), (isblank(SmartStatus!G$2:G1000)) + (((Q24 &lt;&gt; """") * (Q24 &gt;= SmartStatus!G$2:G1000)) + ((P24 &lt;&gt; """") * (P24 &gt;= SmartStatus!G$2:G1000)))), if(or(regexmatch(B24, ""(?i)^ir [a-z]+ designation$""), N24 &lt;&gt; """"), 1, 2))), """")"&amp;", ""NO_MATCH"")"),"")</f>
        <v/>
      </c>
      <c r="AS24" s="11"/>
      <c r="AT24" s="15"/>
      <c r="AU24" s="11"/>
      <c r="AV24" s="11"/>
      <c r="AW24" s="15"/>
      <c r="AX24" s="15"/>
      <c r="AY24" s="15"/>
      <c r="AZ24" s="11"/>
      <c r="BA24" s="15"/>
      <c r="BB24" s="11"/>
      <c r="BC24" s="11"/>
      <c r="BD24" s="15"/>
      <c r="BE24" s="11"/>
      <c r="BF24" s="11"/>
      <c r="BG24" s="15"/>
      <c r="BH24" s="15"/>
      <c r="BI24" s="15"/>
      <c r="BJ24" s="11"/>
      <c r="BK24" s="15"/>
      <c r="BL24" s="11"/>
      <c r="BM24" s="11"/>
      <c r="BN24" s="15"/>
      <c r="BO24" s="11"/>
      <c r="BP24" s="11"/>
      <c r="BQ24" s="15"/>
      <c r="BR24" s="15"/>
      <c r="BS24" s="15"/>
      <c r="BT24" s="11"/>
      <c r="BU24" s="15"/>
      <c r="BV24" s="11"/>
      <c r="BW24" s="11"/>
      <c r="BX24" s="15"/>
      <c r="BY24" s="11"/>
      <c r="BZ24" s="11"/>
      <c r="CA24" s="15"/>
      <c r="CB24" s="11"/>
      <c r="CC24" s="15"/>
      <c r="CD24" s="11"/>
      <c r="CE24" s="15"/>
      <c r="CF24" s="11"/>
      <c r="CG24" s="11"/>
      <c r="CH24" s="15"/>
      <c r="CI24" s="11"/>
      <c r="CJ24" s="11"/>
      <c r="CK24" s="15"/>
      <c r="CL24" s="11"/>
      <c r="CM24" s="11"/>
      <c r="CN24" s="11"/>
      <c r="CO24" s="11"/>
      <c r="CP24" s="28"/>
      <c r="CQ24" s="28"/>
      <c r="CR24" s="11"/>
      <c r="CS24" s="29"/>
      <c r="CT24" s="11"/>
      <c r="CU24" s="11"/>
      <c r="CV24" s="11"/>
      <c r="CW24" s="11"/>
      <c r="CX24" s="11"/>
      <c r="CY24" s="11"/>
      <c r="CZ24" s="11"/>
      <c r="DA24" s="28"/>
      <c r="DB24" s="28"/>
      <c r="DC24" s="11"/>
      <c r="DD24" s="29"/>
      <c r="DE24" s="11"/>
      <c r="DF24" s="11"/>
      <c r="DG24" s="11"/>
      <c r="DH24" s="11"/>
      <c r="DI24" s="11"/>
      <c r="DJ24" s="11"/>
      <c r="DK24" s="26"/>
      <c r="DL24" s="11"/>
      <c r="DM24" s="29"/>
      <c r="DN24" s="28"/>
      <c r="DO24" s="11"/>
      <c r="DP24" s="11"/>
      <c r="DQ24" s="11"/>
      <c r="DR24" s="29"/>
      <c r="DS24" s="28"/>
      <c r="DT24" s="11"/>
      <c r="DU24" s="26"/>
      <c r="DV24" s="11"/>
      <c r="DW24" s="29"/>
      <c r="DX24" s="28"/>
      <c r="DY24" s="11"/>
      <c r="DZ24" s="26"/>
      <c r="EA24" s="11"/>
      <c r="EB24" s="29"/>
      <c r="EC24" s="28"/>
      <c r="ED24" s="30"/>
      <c r="EE24" s="30" t="str">
        <f ca="1">IFERROR(__xludf.DUMMYFUNCTION("iferror(index(filter('Internal -- Trademark Countries'!E$2:E1000, (AM24 = 'Internal -- Trademark Countries'!B$2:B1000) + (AM24 = 'Internal -- Trademark Countries'!C$2:C1000) + (AM24 = 'Internal -- Trademark Countries'!D$2:D1000)), 1))"),"")</f>
        <v/>
      </c>
      <c r="EF24" s="30" t="e">
        <f ca="1">_xludf.ifs(AM24="", "", COUNTIF('Internal -- Trademark Countries'!B:B,AM24) &gt; 0, "polity_shortest_name", COUNTIF('Internal -- Trademark Countries'!C:C,AM24) &gt; 0, "polity_full_name", COUNTIF('Internal -- Trademark Countries'!D:D,AM24) &gt; 0, "polity_common_name", COUNTIF('Internal -- Trademark Countries'!E:E,AM24) &gt; 0, "shortest_name", COUNTIF('Internal -- Trademark Countries'!A:A,AM24) &gt; 0, "full_name", TRUE, "not a match")</f>
        <v>#NAME?</v>
      </c>
      <c r="EG24" s="30"/>
      <c r="EH24" s="30"/>
      <c r="EI24" s="30"/>
      <c r="EJ24" s="30"/>
      <c r="EK24" s="30" t="str">
        <f t="shared" si="2"/>
        <v/>
      </c>
    </row>
    <row r="25" spans="1:141" ht="15.75" customHeight="1">
      <c r="A25" s="11"/>
      <c r="B25" s="11"/>
      <c r="C25" s="11"/>
      <c r="D25" s="11"/>
      <c r="E25" s="11"/>
      <c r="F25" s="11"/>
      <c r="G25" s="11"/>
      <c r="H25" s="11"/>
      <c r="I25" s="11"/>
      <c r="J25" s="11"/>
      <c r="K25" s="27"/>
      <c r="L25" s="11"/>
      <c r="M25" s="11"/>
      <c r="N25" s="11"/>
      <c r="O25" s="11"/>
      <c r="P25" s="15"/>
      <c r="Q25" s="15"/>
      <c r="R25" s="15"/>
      <c r="S25" s="15"/>
      <c r="T25" s="15"/>
      <c r="U25" s="15"/>
      <c r="V25" s="15"/>
      <c r="W25" s="47"/>
      <c r="X25" s="11"/>
      <c r="Y25" s="48"/>
      <c r="Z25" s="11"/>
      <c r="AA25" s="48"/>
      <c r="AB25" s="11"/>
      <c r="AC25" s="48"/>
      <c r="AD25" s="11"/>
      <c r="AE25" s="47"/>
      <c r="AF25" s="11"/>
      <c r="AG25" s="48"/>
      <c r="AH25" s="11"/>
      <c r="AI25" s="48"/>
      <c r="AJ25" s="11"/>
      <c r="AK25" s="48"/>
      <c r="AL25" s="11"/>
      <c r="AM25" s="49"/>
      <c r="AN25" s="49"/>
      <c r="AO25" s="11"/>
      <c r="AP25" s="11"/>
      <c r="AQ25" s="28" t="b">
        <f>IF(COUNTIF(SmartStatus!A$2:A1000, AM25) &gt; 2, TRUE, FALSE)</f>
        <v>0</v>
      </c>
      <c r="AR25" s="29" t="str">
        <f ca="1">IFERROR(__xludf.DUMMYFUNCTION("iferror(if(regexmatch(AO25, ""(?i)^registered""), if(EE25 &lt;&gt; ""polity_shortest_name"", ""CHECK_POLITY"", index(filter(SmartStatus!B$2:B1000, AM25 = SmartStatus!A$2:A1000, not(SmartStatus!C$2:C1000), (isblank(SmartStatus!D$2:D1000)) + ((P25 &lt;&gt; """") * (P25"&amp;" &lt; SmartStatus!D$2:D1000)), (isblank(SmartStatus!E$2:E1000)) + ((P25 &lt;&gt; """") * (P25 &gt;= SmartStatus!E$2:E1000)), (isblank(SmartStatus!F$2:F1000)) + (((Q25 &lt;&gt; """") * (Q25 &lt; SmartStatus!F$2:F1000)) + ((P25 &lt;&gt; """") * (date(year(P25) + 3, month(P25), day(P2"&amp;"5)) &lt; SmartStatus!F$2:F1000))), (isblank(SmartStatus!G$2:G1000)) + (((Q25 &lt;&gt; """") * (Q25 &gt;= SmartStatus!G$2:G1000)) + ((P25 &lt;&gt; """") * (P25 &gt;= SmartStatus!G$2:G1000)))), if(or(regexmatch(B25, ""(?i)^ir [a-z]+ designation$""), N25 &lt;&gt; """"), 1, 2))), """")"&amp;", ""NO_MATCH"")"),"")</f>
        <v/>
      </c>
      <c r="AS25" s="11"/>
      <c r="AT25" s="15"/>
      <c r="AU25" s="11"/>
      <c r="AV25" s="11"/>
      <c r="AW25" s="15"/>
      <c r="AX25" s="15"/>
      <c r="AY25" s="15"/>
      <c r="AZ25" s="11"/>
      <c r="BA25" s="15"/>
      <c r="BB25" s="11"/>
      <c r="BC25" s="11"/>
      <c r="BD25" s="15"/>
      <c r="BE25" s="11"/>
      <c r="BF25" s="11"/>
      <c r="BG25" s="15"/>
      <c r="BH25" s="15"/>
      <c r="BI25" s="15"/>
      <c r="BJ25" s="11"/>
      <c r="BK25" s="15"/>
      <c r="BL25" s="11"/>
      <c r="BM25" s="11"/>
      <c r="BN25" s="15"/>
      <c r="BO25" s="11"/>
      <c r="BP25" s="11"/>
      <c r="BQ25" s="15"/>
      <c r="BR25" s="15"/>
      <c r="BS25" s="15"/>
      <c r="BT25" s="11"/>
      <c r="BU25" s="15"/>
      <c r="BV25" s="11"/>
      <c r="BW25" s="11"/>
      <c r="BX25" s="15"/>
      <c r="BY25" s="11"/>
      <c r="BZ25" s="11"/>
      <c r="CA25" s="15"/>
      <c r="CB25" s="11"/>
      <c r="CC25" s="15"/>
      <c r="CD25" s="11"/>
      <c r="CE25" s="15"/>
      <c r="CF25" s="11"/>
      <c r="CG25" s="11"/>
      <c r="CH25" s="15"/>
      <c r="CI25" s="11"/>
      <c r="CJ25" s="11"/>
      <c r="CK25" s="15"/>
      <c r="CL25" s="11"/>
      <c r="CM25" s="11"/>
      <c r="CN25" s="11"/>
      <c r="CO25" s="11"/>
      <c r="CP25" s="28"/>
      <c r="CQ25" s="28"/>
      <c r="CR25" s="11"/>
      <c r="CS25" s="29"/>
      <c r="CT25" s="11"/>
      <c r="CU25" s="11"/>
      <c r="CV25" s="11"/>
      <c r="CW25" s="11"/>
      <c r="CX25" s="11"/>
      <c r="CY25" s="11"/>
      <c r="CZ25" s="11"/>
      <c r="DA25" s="28"/>
      <c r="DB25" s="28"/>
      <c r="DC25" s="11"/>
      <c r="DD25" s="29"/>
      <c r="DE25" s="11"/>
      <c r="DF25" s="11"/>
      <c r="DG25" s="11"/>
      <c r="DH25" s="11"/>
      <c r="DI25" s="11"/>
      <c r="DJ25" s="11"/>
      <c r="DK25" s="26"/>
      <c r="DL25" s="11"/>
      <c r="DM25" s="29"/>
      <c r="DN25" s="28"/>
      <c r="DO25" s="11"/>
      <c r="DP25" s="11"/>
      <c r="DQ25" s="11"/>
      <c r="DR25" s="29"/>
      <c r="DS25" s="28"/>
      <c r="DT25" s="11"/>
      <c r="DU25" s="26"/>
      <c r="DV25" s="11"/>
      <c r="DW25" s="29"/>
      <c r="DX25" s="28"/>
      <c r="DY25" s="11"/>
      <c r="DZ25" s="26"/>
      <c r="EA25" s="11"/>
      <c r="EB25" s="29"/>
      <c r="EC25" s="28"/>
      <c r="ED25" s="30"/>
      <c r="EE25" s="30" t="str">
        <f ca="1">IFERROR(__xludf.DUMMYFUNCTION("iferror(index(filter('Internal -- Trademark Countries'!E$2:E1000, (AM25 = 'Internal -- Trademark Countries'!B$2:B1000) + (AM25 = 'Internal -- Trademark Countries'!C$2:C1000) + (AM25 = 'Internal -- Trademark Countries'!D$2:D1000)), 1))"),"")</f>
        <v/>
      </c>
      <c r="EF25" s="30" t="e">
        <f ca="1">_xludf.ifs(AM25="", "", COUNTIF('Internal -- Trademark Countries'!B:B,AM25) &gt; 0, "polity_shortest_name", COUNTIF('Internal -- Trademark Countries'!C:C,AM25) &gt; 0, "polity_full_name", COUNTIF('Internal -- Trademark Countries'!D:D,AM25) &gt; 0, "polity_common_name", COUNTIF('Internal -- Trademark Countries'!E:E,AM25) &gt; 0, "shortest_name", COUNTIF('Internal -- Trademark Countries'!A:A,AM25) &gt; 0, "full_name", TRUE, "not a match")</f>
        <v>#NAME?</v>
      </c>
      <c r="EG25" s="30"/>
      <c r="EH25" s="30"/>
      <c r="EI25" s="30"/>
      <c r="EJ25" s="30"/>
      <c r="EK25" s="30" t="str">
        <f t="shared" si="2"/>
        <v/>
      </c>
    </row>
    <row r="26" spans="1:141" ht="15.75" customHeight="1">
      <c r="A26" s="11"/>
      <c r="B26" s="11"/>
      <c r="C26" s="11"/>
      <c r="D26" s="11"/>
      <c r="E26" s="11"/>
      <c r="F26" s="11"/>
      <c r="G26" s="11"/>
      <c r="H26" s="11"/>
      <c r="I26" s="11"/>
      <c r="J26" s="11"/>
      <c r="K26" s="27"/>
      <c r="L26" s="11"/>
      <c r="M26" s="11"/>
      <c r="N26" s="11"/>
      <c r="O26" s="11"/>
      <c r="P26" s="15"/>
      <c r="Q26" s="15"/>
      <c r="R26" s="15"/>
      <c r="S26" s="15"/>
      <c r="T26" s="15"/>
      <c r="U26" s="15"/>
      <c r="V26" s="15"/>
      <c r="W26" s="47"/>
      <c r="X26" s="11"/>
      <c r="Y26" s="48"/>
      <c r="Z26" s="11"/>
      <c r="AA26" s="48"/>
      <c r="AB26" s="11"/>
      <c r="AC26" s="48"/>
      <c r="AD26" s="11"/>
      <c r="AE26" s="47"/>
      <c r="AF26" s="11"/>
      <c r="AG26" s="48"/>
      <c r="AH26" s="11"/>
      <c r="AI26" s="48"/>
      <c r="AJ26" s="11"/>
      <c r="AK26" s="48"/>
      <c r="AL26" s="11"/>
      <c r="AM26" s="49"/>
      <c r="AN26" s="49"/>
      <c r="AO26" s="11"/>
      <c r="AP26" s="11"/>
      <c r="AQ26" s="28" t="b">
        <f>IF(COUNTIF(SmartStatus!A$2:A1000, AM26) &gt; 2, TRUE, FALSE)</f>
        <v>0</v>
      </c>
      <c r="AR26" s="29" t="str">
        <f ca="1">IFERROR(__xludf.DUMMYFUNCTION("iferror(if(regexmatch(AO26, ""(?i)^registered""), if(EE26 &lt;&gt; ""polity_shortest_name"", ""CHECK_POLITY"", index(filter(SmartStatus!B$2:B1000, AM26 = SmartStatus!A$2:A1000, not(SmartStatus!C$2:C1000), (isblank(SmartStatus!D$2:D1000)) + ((P26 &lt;&gt; """") * (P26"&amp;" &lt; SmartStatus!D$2:D1000)), (isblank(SmartStatus!E$2:E1000)) + ((P26 &lt;&gt; """") * (P26 &gt;= SmartStatus!E$2:E1000)), (isblank(SmartStatus!F$2:F1000)) + (((Q26 &lt;&gt; """") * (Q26 &lt; SmartStatus!F$2:F1000)) + ((P26 &lt;&gt; """") * (date(year(P26) + 3, month(P26), day(P2"&amp;"6)) &lt; SmartStatus!F$2:F1000))), (isblank(SmartStatus!G$2:G1000)) + (((Q26 &lt;&gt; """") * (Q26 &gt;= SmartStatus!G$2:G1000)) + ((P26 &lt;&gt; """") * (P26 &gt;= SmartStatus!G$2:G1000)))), if(or(regexmatch(B26, ""(?i)^ir [a-z]+ designation$""), N26 &lt;&gt; """"), 1, 2))), """")"&amp;", ""NO_MATCH"")"),"")</f>
        <v/>
      </c>
      <c r="AS26" s="11"/>
      <c r="AT26" s="15"/>
      <c r="AU26" s="11"/>
      <c r="AV26" s="11"/>
      <c r="AW26" s="15"/>
      <c r="AX26" s="15"/>
      <c r="AY26" s="15"/>
      <c r="AZ26" s="11"/>
      <c r="BA26" s="15"/>
      <c r="BB26" s="11"/>
      <c r="BC26" s="11"/>
      <c r="BD26" s="15"/>
      <c r="BE26" s="11"/>
      <c r="BF26" s="11"/>
      <c r="BG26" s="15"/>
      <c r="BH26" s="15"/>
      <c r="BI26" s="15"/>
      <c r="BJ26" s="11"/>
      <c r="BK26" s="15"/>
      <c r="BL26" s="11"/>
      <c r="BM26" s="11"/>
      <c r="BN26" s="15"/>
      <c r="BO26" s="11"/>
      <c r="BP26" s="11"/>
      <c r="BQ26" s="15"/>
      <c r="BR26" s="15"/>
      <c r="BS26" s="15"/>
      <c r="BT26" s="11"/>
      <c r="BU26" s="15"/>
      <c r="BV26" s="11"/>
      <c r="BW26" s="11"/>
      <c r="BX26" s="15"/>
      <c r="BY26" s="11"/>
      <c r="BZ26" s="11"/>
      <c r="CA26" s="15"/>
      <c r="CB26" s="11"/>
      <c r="CC26" s="15"/>
      <c r="CD26" s="11"/>
      <c r="CE26" s="15"/>
      <c r="CF26" s="11"/>
      <c r="CG26" s="11"/>
      <c r="CH26" s="15"/>
      <c r="CI26" s="11"/>
      <c r="CJ26" s="11"/>
      <c r="CK26" s="15"/>
      <c r="CL26" s="11"/>
      <c r="CM26" s="11"/>
      <c r="CN26" s="11"/>
      <c r="CO26" s="11"/>
      <c r="CP26" s="28"/>
      <c r="CQ26" s="28"/>
      <c r="CR26" s="11"/>
      <c r="CS26" s="29"/>
      <c r="CT26" s="11"/>
      <c r="CU26" s="11"/>
      <c r="CV26" s="11"/>
      <c r="CW26" s="11"/>
      <c r="CX26" s="11"/>
      <c r="CY26" s="11"/>
      <c r="CZ26" s="11"/>
      <c r="DA26" s="28"/>
      <c r="DB26" s="28"/>
      <c r="DC26" s="11"/>
      <c r="DD26" s="29"/>
      <c r="DE26" s="11"/>
      <c r="DF26" s="11"/>
      <c r="DG26" s="11"/>
      <c r="DH26" s="11"/>
      <c r="DI26" s="11"/>
      <c r="DJ26" s="11"/>
      <c r="DK26" s="26"/>
      <c r="DL26" s="11"/>
      <c r="DM26" s="29"/>
      <c r="DN26" s="28"/>
      <c r="DO26" s="11"/>
      <c r="DP26" s="11"/>
      <c r="DQ26" s="11"/>
      <c r="DR26" s="29"/>
      <c r="DS26" s="28"/>
      <c r="DT26" s="11"/>
      <c r="DU26" s="26"/>
      <c r="DV26" s="11"/>
      <c r="DW26" s="29"/>
      <c r="DX26" s="28"/>
      <c r="DY26" s="11"/>
      <c r="DZ26" s="26"/>
      <c r="EA26" s="11"/>
      <c r="EB26" s="29"/>
      <c r="EC26" s="28"/>
      <c r="ED26" s="30"/>
      <c r="EE26" s="30" t="str">
        <f ca="1">IFERROR(__xludf.DUMMYFUNCTION("iferror(index(filter('Internal -- Trademark Countries'!E$2:E1000, (AM26 = 'Internal -- Trademark Countries'!B$2:B1000) + (AM26 = 'Internal -- Trademark Countries'!C$2:C1000) + (AM26 = 'Internal -- Trademark Countries'!D$2:D1000)), 1))"),"")</f>
        <v/>
      </c>
      <c r="EF26" s="30" t="e">
        <f ca="1">_xludf.ifs(AM26="", "", COUNTIF('Internal -- Trademark Countries'!B:B,AM26) &gt; 0, "polity_shortest_name", COUNTIF('Internal -- Trademark Countries'!C:C,AM26) &gt; 0, "polity_full_name", COUNTIF('Internal -- Trademark Countries'!D:D,AM26) &gt; 0, "polity_common_name", COUNTIF('Internal -- Trademark Countries'!E:E,AM26) &gt; 0, "shortest_name", COUNTIF('Internal -- Trademark Countries'!A:A,AM26) &gt; 0, "full_name", TRUE, "not a match")</f>
        <v>#NAME?</v>
      </c>
      <c r="EG26" s="30"/>
      <c r="EH26" s="30"/>
      <c r="EI26" s="30"/>
      <c r="EJ26" s="30"/>
      <c r="EK26" s="30" t="str">
        <f t="shared" si="2"/>
        <v/>
      </c>
    </row>
    <row r="27" spans="1:141" ht="15.75" customHeight="1">
      <c r="A27" s="11"/>
      <c r="B27" s="11"/>
      <c r="C27" s="11"/>
      <c r="D27" s="11"/>
      <c r="E27" s="11"/>
      <c r="F27" s="11"/>
      <c r="G27" s="11"/>
      <c r="H27" s="11"/>
      <c r="I27" s="11"/>
      <c r="J27" s="11"/>
      <c r="K27" s="27"/>
      <c r="L27" s="11"/>
      <c r="M27" s="11"/>
      <c r="N27" s="11"/>
      <c r="O27" s="11"/>
      <c r="P27" s="15"/>
      <c r="Q27" s="15"/>
      <c r="R27" s="15"/>
      <c r="S27" s="15"/>
      <c r="T27" s="15"/>
      <c r="U27" s="15"/>
      <c r="V27" s="15"/>
      <c r="W27" s="47"/>
      <c r="X27" s="11"/>
      <c r="Y27" s="48"/>
      <c r="Z27" s="11"/>
      <c r="AA27" s="48"/>
      <c r="AB27" s="11"/>
      <c r="AC27" s="48"/>
      <c r="AD27" s="11"/>
      <c r="AE27" s="47"/>
      <c r="AF27" s="11"/>
      <c r="AG27" s="48"/>
      <c r="AH27" s="11"/>
      <c r="AI27" s="48"/>
      <c r="AJ27" s="11"/>
      <c r="AK27" s="48"/>
      <c r="AL27" s="11"/>
      <c r="AM27" s="49"/>
      <c r="AN27" s="49"/>
      <c r="AO27" s="11"/>
      <c r="AP27" s="11"/>
      <c r="AQ27" s="28" t="b">
        <f>IF(COUNTIF(SmartStatus!A$2:A1000, AM27) &gt; 2, TRUE, FALSE)</f>
        <v>0</v>
      </c>
      <c r="AR27" s="29" t="str">
        <f ca="1">IFERROR(__xludf.DUMMYFUNCTION("iferror(if(regexmatch(AO27, ""(?i)^registered""), if(EE27 &lt;&gt; ""polity_shortest_name"", ""CHECK_POLITY"", index(filter(SmartStatus!B$2:B1000, AM27 = SmartStatus!A$2:A1000, not(SmartStatus!C$2:C1000), (isblank(SmartStatus!D$2:D1000)) + ((P27 &lt;&gt; """") * (P27"&amp;" &lt; SmartStatus!D$2:D1000)), (isblank(SmartStatus!E$2:E1000)) + ((P27 &lt;&gt; """") * (P27 &gt;= SmartStatus!E$2:E1000)), (isblank(SmartStatus!F$2:F1000)) + (((Q27 &lt;&gt; """") * (Q27 &lt; SmartStatus!F$2:F1000)) + ((P27 &lt;&gt; """") * (date(year(P27) + 3, month(P27), day(P2"&amp;"7)) &lt; SmartStatus!F$2:F1000))), (isblank(SmartStatus!G$2:G1000)) + (((Q27 &lt;&gt; """") * (Q27 &gt;= SmartStatus!G$2:G1000)) + ((P27 &lt;&gt; """") * (P27 &gt;= SmartStatus!G$2:G1000)))), if(or(regexmatch(B27, ""(?i)^ir [a-z]+ designation$""), N27 &lt;&gt; """"), 1, 2))), """")"&amp;", ""NO_MATCH"")"),"")</f>
        <v/>
      </c>
      <c r="AS27" s="11"/>
      <c r="AT27" s="15"/>
      <c r="AU27" s="11"/>
      <c r="AV27" s="11"/>
      <c r="AW27" s="15"/>
      <c r="AX27" s="15"/>
      <c r="AY27" s="15"/>
      <c r="AZ27" s="11"/>
      <c r="BA27" s="15"/>
      <c r="BB27" s="11"/>
      <c r="BC27" s="11"/>
      <c r="BD27" s="15"/>
      <c r="BE27" s="11"/>
      <c r="BF27" s="11"/>
      <c r="BG27" s="15"/>
      <c r="BH27" s="15"/>
      <c r="BI27" s="15"/>
      <c r="BJ27" s="11"/>
      <c r="BK27" s="15"/>
      <c r="BL27" s="11"/>
      <c r="BM27" s="11"/>
      <c r="BN27" s="15"/>
      <c r="BO27" s="11"/>
      <c r="BP27" s="11"/>
      <c r="BQ27" s="15"/>
      <c r="BR27" s="15"/>
      <c r="BS27" s="15"/>
      <c r="BT27" s="11"/>
      <c r="BU27" s="15"/>
      <c r="BV27" s="11"/>
      <c r="BW27" s="11"/>
      <c r="BX27" s="15"/>
      <c r="BY27" s="11"/>
      <c r="BZ27" s="11"/>
      <c r="CA27" s="15"/>
      <c r="CB27" s="11"/>
      <c r="CC27" s="15"/>
      <c r="CD27" s="11"/>
      <c r="CE27" s="15"/>
      <c r="CF27" s="11"/>
      <c r="CG27" s="11"/>
      <c r="CH27" s="15"/>
      <c r="CI27" s="11"/>
      <c r="CJ27" s="11"/>
      <c r="CK27" s="15"/>
      <c r="CL27" s="11"/>
      <c r="CM27" s="11"/>
      <c r="CN27" s="11"/>
      <c r="CO27" s="11"/>
      <c r="CP27" s="28"/>
      <c r="CQ27" s="28"/>
      <c r="CR27" s="11"/>
      <c r="CS27" s="29"/>
      <c r="CT27" s="11"/>
      <c r="CU27" s="11"/>
      <c r="CV27" s="11"/>
      <c r="CW27" s="11"/>
      <c r="CX27" s="11"/>
      <c r="CY27" s="11"/>
      <c r="CZ27" s="11"/>
      <c r="DA27" s="28"/>
      <c r="DB27" s="28"/>
      <c r="DC27" s="11"/>
      <c r="DD27" s="29"/>
      <c r="DE27" s="11"/>
      <c r="DF27" s="11"/>
      <c r="DG27" s="11"/>
      <c r="DH27" s="11"/>
      <c r="DI27" s="11"/>
      <c r="DJ27" s="11"/>
      <c r="DK27" s="26"/>
      <c r="DL27" s="11"/>
      <c r="DM27" s="29"/>
      <c r="DN27" s="28"/>
      <c r="DO27" s="11"/>
      <c r="DP27" s="11"/>
      <c r="DQ27" s="11"/>
      <c r="DR27" s="29"/>
      <c r="DS27" s="28"/>
      <c r="DT27" s="11"/>
      <c r="DU27" s="26"/>
      <c r="DV27" s="11"/>
      <c r="DW27" s="29"/>
      <c r="DX27" s="28"/>
      <c r="DY27" s="11"/>
      <c r="DZ27" s="26"/>
      <c r="EA27" s="11"/>
      <c r="EB27" s="29"/>
      <c r="EC27" s="28"/>
      <c r="ED27" s="30"/>
      <c r="EE27" s="30" t="str">
        <f ca="1">IFERROR(__xludf.DUMMYFUNCTION("iferror(index(filter('Internal -- Trademark Countries'!E$2:E1000, (AM27 = 'Internal -- Trademark Countries'!B$2:B1000) + (AM27 = 'Internal -- Trademark Countries'!C$2:C1000) + (AM27 = 'Internal -- Trademark Countries'!D$2:D1000)), 1))"),"")</f>
        <v/>
      </c>
      <c r="EF27" s="30" t="e">
        <f ca="1">_xludf.ifs(AM27="", "", COUNTIF('Internal -- Trademark Countries'!B:B,AM27) &gt; 0, "polity_shortest_name", COUNTIF('Internal -- Trademark Countries'!C:C,AM27) &gt; 0, "polity_full_name", COUNTIF('Internal -- Trademark Countries'!D:D,AM27) &gt; 0, "polity_common_name", COUNTIF('Internal -- Trademark Countries'!E:E,AM27) &gt; 0, "shortest_name", COUNTIF('Internal -- Trademark Countries'!A:A,AM27) &gt; 0, "full_name", TRUE, "not a match")</f>
        <v>#NAME?</v>
      </c>
      <c r="EG27" s="30"/>
      <c r="EH27" s="30"/>
      <c r="EI27" s="30"/>
      <c r="EJ27" s="30"/>
      <c r="EK27" s="30" t="str">
        <f t="shared" si="2"/>
        <v/>
      </c>
    </row>
    <row r="28" spans="1:141" ht="15.75" customHeight="1">
      <c r="A28" s="11"/>
      <c r="B28" s="11"/>
      <c r="C28" s="11"/>
      <c r="D28" s="11"/>
      <c r="E28" s="11"/>
      <c r="F28" s="11"/>
      <c r="G28" s="11"/>
      <c r="H28" s="11"/>
      <c r="I28" s="11"/>
      <c r="J28" s="11"/>
      <c r="K28" s="27"/>
      <c r="L28" s="11"/>
      <c r="M28" s="11"/>
      <c r="N28" s="11"/>
      <c r="O28" s="11"/>
      <c r="P28" s="15"/>
      <c r="Q28" s="15"/>
      <c r="R28" s="15"/>
      <c r="S28" s="15"/>
      <c r="T28" s="15"/>
      <c r="U28" s="15"/>
      <c r="V28" s="15"/>
      <c r="W28" s="47"/>
      <c r="X28" s="11"/>
      <c r="Y28" s="48"/>
      <c r="Z28" s="11"/>
      <c r="AA28" s="48"/>
      <c r="AB28" s="11"/>
      <c r="AC28" s="48"/>
      <c r="AD28" s="11"/>
      <c r="AE28" s="47"/>
      <c r="AF28" s="11"/>
      <c r="AG28" s="48"/>
      <c r="AH28" s="11"/>
      <c r="AI28" s="48"/>
      <c r="AJ28" s="11"/>
      <c r="AK28" s="48"/>
      <c r="AL28" s="11"/>
      <c r="AM28" s="49"/>
      <c r="AN28" s="49"/>
      <c r="AO28" s="11"/>
      <c r="AP28" s="11"/>
      <c r="AQ28" s="28" t="b">
        <f>IF(COUNTIF(SmartStatus!A$2:A1000, AM28) &gt; 2, TRUE, FALSE)</f>
        <v>0</v>
      </c>
      <c r="AR28" s="29" t="str">
        <f ca="1">IFERROR(__xludf.DUMMYFUNCTION("iferror(if(regexmatch(AO28, ""(?i)^registered""), if(EE28 &lt;&gt; ""polity_shortest_name"", ""CHECK_POLITY"", index(filter(SmartStatus!B$2:B1000, AM28 = SmartStatus!A$2:A1000, not(SmartStatus!C$2:C1000), (isblank(SmartStatus!D$2:D1000)) + ((P28 &lt;&gt; """") * (P28"&amp;" &lt; SmartStatus!D$2:D1000)), (isblank(SmartStatus!E$2:E1000)) + ((P28 &lt;&gt; """") * (P28 &gt;= SmartStatus!E$2:E1000)), (isblank(SmartStatus!F$2:F1000)) + (((Q28 &lt;&gt; """") * (Q28 &lt; SmartStatus!F$2:F1000)) + ((P28 &lt;&gt; """") * (date(year(P28) + 3, month(P28), day(P2"&amp;"8)) &lt; SmartStatus!F$2:F1000))), (isblank(SmartStatus!G$2:G1000)) + (((Q28 &lt;&gt; """") * (Q28 &gt;= SmartStatus!G$2:G1000)) + ((P28 &lt;&gt; """") * (P28 &gt;= SmartStatus!G$2:G1000)))), if(or(regexmatch(B28, ""(?i)^ir [a-z]+ designation$""), N28 &lt;&gt; """"), 1, 2))), """")"&amp;", ""NO_MATCH"")"),"")</f>
        <v/>
      </c>
      <c r="AS28" s="11"/>
      <c r="AT28" s="15"/>
      <c r="AU28" s="11"/>
      <c r="AV28" s="11"/>
      <c r="AW28" s="15"/>
      <c r="AX28" s="15"/>
      <c r="AY28" s="15"/>
      <c r="AZ28" s="11"/>
      <c r="BA28" s="15"/>
      <c r="BB28" s="11"/>
      <c r="BC28" s="11"/>
      <c r="BD28" s="15"/>
      <c r="BE28" s="11"/>
      <c r="BF28" s="11"/>
      <c r="BG28" s="15"/>
      <c r="BH28" s="15"/>
      <c r="BI28" s="15"/>
      <c r="BJ28" s="11"/>
      <c r="BK28" s="15"/>
      <c r="BL28" s="11"/>
      <c r="BM28" s="11"/>
      <c r="BN28" s="15"/>
      <c r="BO28" s="11"/>
      <c r="BP28" s="11"/>
      <c r="BQ28" s="15"/>
      <c r="BR28" s="15"/>
      <c r="BS28" s="15"/>
      <c r="BT28" s="11"/>
      <c r="BU28" s="15"/>
      <c r="BV28" s="11"/>
      <c r="BW28" s="11"/>
      <c r="BX28" s="15"/>
      <c r="BY28" s="11"/>
      <c r="BZ28" s="11"/>
      <c r="CA28" s="15"/>
      <c r="CB28" s="11"/>
      <c r="CC28" s="15"/>
      <c r="CD28" s="11"/>
      <c r="CE28" s="15"/>
      <c r="CF28" s="11"/>
      <c r="CG28" s="11"/>
      <c r="CH28" s="15"/>
      <c r="CI28" s="11"/>
      <c r="CJ28" s="11"/>
      <c r="CK28" s="15"/>
      <c r="CL28" s="11"/>
      <c r="CM28" s="11"/>
      <c r="CN28" s="11"/>
      <c r="CO28" s="11"/>
      <c r="CP28" s="28"/>
      <c r="CQ28" s="28"/>
      <c r="CR28" s="11"/>
      <c r="CS28" s="29"/>
      <c r="CT28" s="11"/>
      <c r="CU28" s="11"/>
      <c r="CV28" s="11"/>
      <c r="CW28" s="11"/>
      <c r="CX28" s="11"/>
      <c r="CY28" s="11"/>
      <c r="CZ28" s="11"/>
      <c r="DA28" s="28"/>
      <c r="DB28" s="28"/>
      <c r="DC28" s="11"/>
      <c r="DD28" s="29"/>
      <c r="DE28" s="11"/>
      <c r="DF28" s="11"/>
      <c r="DG28" s="11"/>
      <c r="DH28" s="11"/>
      <c r="DI28" s="11"/>
      <c r="DJ28" s="11"/>
      <c r="DK28" s="26"/>
      <c r="DL28" s="11"/>
      <c r="DM28" s="29"/>
      <c r="DN28" s="28"/>
      <c r="DO28" s="11"/>
      <c r="DP28" s="11"/>
      <c r="DQ28" s="11"/>
      <c r="DR28" s="29"/>
      <c r="DS28" s="28"/>
      <c r="DT28" s="11"/>
      <c r="DU28" s="26"/>
      <c r="DV28" s="11"/>
      <c r="DW28" s="29"/>
      <c r="DX28" s="28"/>
      <c r="DY28" s="11"/>
      <c r="DZ28" s="26"/>
      <c r="EA28" s="11"/>
      <c r="EB28" s="29"/>
      <c r="EC28" s="28"/>
      <c r="ED28" s="30"/>
      <c r="EE28" s="30" t="str">
        <f ca="1">IFERROR(__xludf.DUMMYFUNCTION("iferror(index(filter('Internal -- Trademark Countries'!E$2:E1000, (AM28 = 'Internal -- Trademark Countries'!B$2:B1000) + (AM28 = 'Internal -- Trademark Countries'!C$2:C1000) + (AM28 = 'Internal -- Trademark Countries'!D$2:D1000)), 1))"),"")</f>
        <v/>
      </c>
      <c r="EF28" s="30" t="e">
        <f ca="1">_xludf.ifs(AM28="", "", COUNTIF('Internal -- Trademark Countries'!B:B,AM28) &gt; 0, "polity_shortest_name", COUNTIF('Internal -- Trademark Countries'!C:C,AM28) &gt; 0, "polity_full_name", COUNTIF('Internal -- Trademark Countries'!D:D,AM28) &gt; 0, "polity_common_name", COUNTIF('Internal -- Trademark Countries'!E:E,AM28) &gt; 0, "shortest_name", COUNTIF('Internal -- Trademark Countries'!A:A,AM28) &gt; 0, "full_name", TRUE, "not a match")</f>
        <v>#NAME?</v>
      </c>
      <c r="EG28" s="30"/>
      <c r="EH28" s="30"/>
      <c r="EI28" s="30"/>
      <c r="EJ28" s="30"/>
      <c r="EK28" s="30" t="str">
        <f t="shared" si="2"/>
        <v/>
      </c>
    </row>
    <row r="29" spans="1:141" ht="15.75" customHeight="1">
      <c r="A29" s="11"/>
      <c r="B29" s="11"/>
      <c r="C29" s="11"/>
      <c r="D29" s="11"/>
      <c r="E29" s="11"/>
      <c r="F29" s="11"/>
      <c r="G29" s="11"/>
      <c r="H29" s="11"/>
      <c r="I29" s="11"/>
      <c r="J29" s="11"/>
      <c r="K29" s="27"/>
      <c r="L29" s="11"/>
      <c r="M29" s="11"/>
      <c r="N29" s="11"/>
      <c r="O29" s="11"/>
      <c r="P29" s="15"/>
      <c r="Q29" s="15"/>
      <c r="R29" s="15"/>
      <c r="S29" s="15"/>
      <c r="T29" s="15"/>
      <c r="U29" s="15"/>
      <c r="V29" s="15"/>
      <c r="W29" s="47"/>
      <c r="X29" s="11"/>
      <c r="Y29" s="48"/>
      <c r="Z29" s="11"/>
      <c r="AA29" s="48"/>
      <c r="AB29" s="11"/>
      <c r="AC29" s="48"/>
      <c r="AD29" s="11"/>
      <c r="AE29" s="47"/>
      <c r="AF29" s="11"/>
      <c r="AG29" s="48"/>
      <c r="AH29" s="11"/>
      <c r="AI29" s="48"/>
      <c r="AJ29" s="11"/>
      <c r="AK29" s="48"/>
      <c r="AL29" s="11"/>
      <c r="AM29" s="49"/>
      <c r="AN29" s="49"/>
      <c r="AO29" s="11"/>
      <c r="AP29" s="11"/>
      <c r="AQ29" s="28" t="b">
        <f>IF(COUNTIF(SmartStatus!A$2:A1000, AM29) &gt; 2, TRUE, FALSE)</f>
        <v>0</v>
      </c>
      <c r="AR29" s="29" t="str">
        <f ca="1">IFERROR(__xludf.DUMMYFUNCTION("iferror(if(regexmatch(AO29, ""(?i)^registered""), if(EE29 &lt;&gt; ""polity_shortest_name"", ""CHECK_POLITY"", index(filter(SmartStatus!B$2:B1000, AM29 = SmartStatus!A$2:A1000, not(SmartStatus!C$2:C1000), (isblank(SmartStatus!D$2:D1000)) + ((P29 &lt;&gt; """") * (P29"&amp;" &lt; SmartStatus!D$2:D1000)), (isblank(SmartStatus!E$2:E1000)) + ((P29 &lt;&gt; """") * (P29 &gt;= SmartStatus!E$2:E1000)), (isblank(SmartStatus!F$2:F1000)) + (((Q29 &lt;&gt; """") * (Q29 &lt; SmartStatus!F$2:F1000)) + ((P29 &lt;&gt; """") * (date(year(P29) + 3, month(P29), day(P2"&amp;"9)) &lt; SmartStatus!F$2:F1000))), (isblank(SmartStatus!G$2:G1000)) + (((Q29 &lt;&gt; """") * (Q29 &gt;= SmartStatus!G$2:G1000)) + ((P29 &lt;&gt; """") * (P29 &gt;= SmartStatus!G$2:G1000)))), if(or(regexmatch(B29, ""(?i)^ir [a-z]+ designation$""), N29 &lt;&gt; """"), 1, 2))), """")"&amp;", ""NO_MATCH"")"),"")</f>
        <v/>
      </c>
      <c r="AS29" s="11"/>
      <c r="AT29" s="15"/>
      <c r="AU29" s="11"/>
      <c r="AV29" s="11"/>
      <c r="AW29" s="15"/>
      <c r="AX29" s="15"/>
      <c r="AY29" s="15"/>
      <c r="AZ29" s="11"/>
      <c r="BA29" s="15"/>
      <c r="BB29" s="11"/>
      <c r="BC29" s="11"/>
      <c r="BD29" s="15"/>
      <c r="BE29" s="11"/>
      <c r="BF29" s="11"/>
      <c r="BG29" s="15"/>
      <c r="BH29" s="15"/>
      <c r="BI29" s="15"/>
      <c r="BJ29" s="11"/>
      <c r="BK29" s="15"/>
      <c r="BL29" s="11"/>
      <c r="BM29" s="11"/>
      <c r="BN29" s="15"/>
      <c r="BO29" s="11"/>
      <c r="BP29" s="11"/>
      <c r="BQ29" s="15"/>
      <c r="BR29" s="15"/>
      <c r="BS29" s="15"/>
      <c r="BT29" s="11"/>
      <c r="BU29" s="15"/>
      <c r="BV29" s="11"/>
      <c r="BW29" s="11"/>
      <c r="BX29" s="15"/>
      <c r="BY29" s="11"/>
      <c r="BZ29" s="11"/>
      <c r="CA29" s="15"/>
      <c r="CB29" s="11"/>
      <c r="CC29" s="15"/>
      <c r="CD29" s="11"/>
      <c r="CE29" s="15"/>
      <c r="CF29" s="11"/>
      <c r="CG29" s="11"/>
      <c r="CH29" s="15"/>
      <c r="CI29" s="11"/>
      <c r="CJ29" s="11"/>
      <c r="CK29" s="15"/>
      <c r="CL29" s="11"/>
      <c r="CM29" s="11"/>
      <c r="CN29" s="11"/>
      <c r="CO29" s="11"/>
      <c r="CP29" s="28"/>
      <c r="CQ29" s="28"/>
      <c r="CR29" s="11"/>
      <c r="CS29" s="29"/>
      <c r="CT29" s="11"/>
      <c r="CU29" s="11"/>
      <c r="CV29" s="11"/>
      <c r="CW29" s="11"/>
      <c r="CX29" s="11"/>
      <c r="CY29" s="11"/>
      <c r="CZ29" s="11"/>
      <c r="DA29" s="28"/>
      <c r="DB29" s="28"/>
      <c r="DC29" s="11"/>
      <c r="DD29" s="29"/>
      <c r="DE29" s="11"/>
      <c r="DF29" s="11"/>
      <c r="DG29" s="11"/>
      <c r="DH29" s="11"/>
      <c r="DI29" s="11"/>
      <c r="DJ29" s="11"/>
      <c r="DK29" s="26"/>
      <c r="DL29" s="11"/>
      <c r="DM29" s="29"/>
      <c r="DN29" s="28"/>
      <c r="DO29" s="11"/>
      <c r="DP29" s="11"/>
      <c r="DQ29" s="11"/>
      <c r="DR29" s="29"/>
      <c r="DS29" s="28"/>
      <c r="DT29" s="11"/>
      <c r="DU29" s="26"/>
      <c r="DV29" s="11"/>
      <c r="DW29" s="29"/>
      <c r="DX29" s="28"/>
      <c r="DY29" s="11"/>
      <c r="DZ29" s="26"/>
      <c r="EA29" s="11"/>
      <c r="EB29" s="29"/>
      <c r="EC29" s="28"/>
      <c r="ED29" s="30"/>
      <c r="EE29" s="30" t="str">
        <f ca="1">IFERROR(__xludf.DUMMYFUNCTION("iferror(index(filter('Internal -- Trademark Countries'!E$2:E1000, (AM29 = 'Internal -- Trademark Countries'!B$2:B1000) + (AM29 = 'Internal -- Trademark Countries'!C$2:C1000) + (AM29 = 'Internal -- Trademark Countries'!D$2:D1000)), 1))"),"")</f>
        <v/>
      </c>
      <c r="EF29" s="30" t="e">
        <f ca="1">_xludf.ifs(AM29="", "", COUNTIF('Internal -- Trademark Countries'!B:B,AM29) &gt; 0, "polity_shortest_name", COUNTIF('Internal -- Trademark Countries'!C:C,AM29) &gt; 0, "polity_full_name", COUNTIF('Internal -- Trademark Countries'!D:D,AM29) &gt; 0, "polity_common_name", COUNTIF('Internal -- Trademark Countries'!E:E,AM29) &gt; 0, "shortest_name", COUNTIF('Internal -- Trademark Countries'!A:A,AM29) &gt; 0, "full_name", TRUE, "not a match")</f>
        <v>#NAME?</v>
      </c>
      <c r="EG29" s="30"/>
      <c r="EH29" s="30"/>
      <c r="EI29" s="30"/>
      <c r="EJ29" s="30"/>
      <c r="EK29" s="30" t="str">
        <f t="shared" si="2"/>
        <v/>
      </c>
    </row>
    <row r="30" spans="1:141" ht="15.75" customHeight="1">
      <c r="A30" s="11"/>
      <c r="B30" s="11"/>
      <c r="C30" s="11"/>
      <c r="D30" s="11"/>
      <c r="E30" s="11"/>
      <c r="F30" s="11"/>
      <c r="G30" s="11"/>
      <c r="H30" s="11"/>
      <c r="I30" s="11"/>
      <c r="J30" s="11"/>
      <c r="K30" s="27"/>
      <c r="L30" s="11"/>
      <c r="M30" s="11"/>
      <c r="N30" s="11"/>
      <c r="O30" s="11"/>
      <c r="P30" s="15"/>
      <c r="Q30" s="15"/>
      <c r="R30" s="15"/>
      <c r="S30" s="15"/>
      <c r="T30" s="15"/>
      <c r="U30" s="15"/>
      <c r="V30" s="15"/>
      <c r="W30" s="47"/>
      <c r="X30" s="11"/>
      <c r="Y30" s="48"/>
      <c r="Z30" s="11"/>
      <c r="AA30" s="48"/>
      <c r="AB30" s="11"/>
      <c r="AC30" s="48"/>
      <c r="AD30" s="11"/>
      <c r="AE30" s="47"/>
      <c r="AF30" s="11"/>
      <c r="AG30" s="48"/>
      <c r="AH30" s="11"/>
      <c r="AI30" s="48"/>
      <c r="AJ30" s="11"/>
      <c r="AK30" s="48"/>
      <c r="AL30" s="11"/>
      <c r="AM30" s="49"/>
      <c r="AN30" s="49"/>
      <c r="AO30" s="11"/>
      <c r="AP30" s="11"/>
      <c r="AQ30" s="28" t="b">
        <f>IF(COUNTIF(SmartStatus!A$2:A1000, AM30) &gt; 2, TRUE, FALSE)</f>
        <v>0</v>
      </c>
      <c r="AR30" s="29" t="str">
        <f ca="1">IFERROR(__xludf.DUMMYFUNCTION("iferror(if(regexmatch(AO30, ""(?i)^registered""), if(EE30 &lt;&gt; ""polity_shortest_name"", ""CHECK_POLITY"", index(filter(SmartStatus!B$2:B1000, AM30 = SmartStatus!A$2:A1000, not(SmartStatus!C$2:C1000), (isblank(SmartStatus!D$2:D1000)) + ((P30 &lt;&gt; """") * (P30"&amp;" &lt; SmartStatus!D$2:D1000)), (isblank(SmartStatus!E$2:E1000)) + ((P30 &lt;&gt; """") * (P30 &gt;= SmartStatus!E$2:E1000)), (isblank(SmartStatus!F$2:F1000)) + (((Q30 &lt;&gt; """") * (Q30 &lt; SmartStatus!F$2:F1000)) + ((P30 &lt;&gt; """") * (date(year(P30) + 3, month(P30), day(P3"&amp;"0)) &lt; SmartStatus!F$2:F1000))), (isblank(SmartStatus!G$2:G1000)) + (((Q30 &lt;&gt; """") * (Q30 &gt;= SmartStatus!G$2:G1000)) + ((P30 &lt;&gt; """") * (P30 &gt;= SmartStatus!G$2:G1000)))), if(or(regexmatch(B30, ""(?i)^ir [a-z]+ designation$""), N30 &lt;&gt; """"), 1, 2))), """")"&amp;", ""NO_MATCH"")"),"")</f>
        <v/>
      </c>
      <c r="AS30" s="11"/>
      <c r="AT30" s="15"/>
      <c r="AU30" s="11"/>
      <c r="AV30" s="11"/>
      <c r="AW30" s="15"/>
      <c r="AX30" s="15"/>
      <c r="AY30" s="15"/>
      <c r="AZ30" s="11"/>
      <c r="BA30" s="15"/>
      <c r="BB30" s="11"/>
      <c r="BC30" s="11"/>
      <c r="BD30" s="15"/>
      <c r="BE30" s="11"/>
      <c r="BF30" s="11"/>
      <c r="BG30" s="15"/>
      <c r="BH30" s="15"/>
      <c r="BI30" s="15"/>
      <c r="BJ30" s="11"/>
      <c r="BK30" s="15"/>
      <c r="BL30" s="11"/>
      <c r="BM30" s="11"/>
      <c r="BN30" s="15"/>
      <c r="BO30" s="11"/>
      <c r="BP30" s="11"/>
      <c r="BQ30" s="15"/>
      <c r="BR30" s="15"/>
      <c r="BS30" s="15"/>
      <c r="BT30" s="11"/>
      <c r="BU30" s="15"/>
      <c r="BV30" s="11"/>
      <c r="BW30" s="11"/>
      <c r="BX30" s="15"/>
      <c r="BY30" s="11"/>
      <c r="BZ30" s="11"/>
      <c r="CA30" s="15"/>
      <c r="CB30" s="11"/>
      <c r="CC30" s="15"/>
      <c r="CD30" s="11"/>
      <c r="CE30" s="15"/>
      <c r="CF30" s="11"/>
      <c r="CG30" s="11"/>
      <c r="CH30" s="15"/>
      <c r="CI30" s="11"/>
      <c r="CJ30" s="11"/>
      <c r="CK30" s="15"/>
      <c r="CL30" s="11"/>
      <c r="CM30" s="11"/>
      <c r="CN30" s="11"/>
      <c r="CO30" s="11"/>
      <c r="CP30" s="28"/>
      <c r="CQ30" s="28"/>
      <c r="CR30" s="11"/>
      <c r="CS30" s="29"/>
      <c r="CT30" s="11"/>
      <c r="CU30" s="11"/>
      <c r="CV30" s="11"/>
      <c r="CW30" s="11"/>
      <c r="CX30" s="11"/>
      <c r="CY30" s="11"/>
      <c r="CZ30" s="11"/>
      <c r="DA30" s="28"/>
      <c r="DB30" s="28"/>
      <c r="DC30" s="11"/>
      <c r="DD30" s="29"/>
      <c r="DE30" s="11"/>
      <c r="DF30" s="11"/>
      <c r="DG30" s="11"/>
      <c r="DH30" s="11"/>
      <c r="DI30" s="11"/>
      <c r="DJ30" s="11"/>
      <c r="DK30" s="26"/>
      <c r="DL30" s="11"/>
      <c r="DM30" s="29"/>
      <c r="DN30" s="28"/>
      <c r="DO30" s="11"/>
      <c r="DP30" s="11"/>
      <c r="DQ30" s="11"/>
      <c r="DR30" s="29"/>
      <c r="DS30" s="28"/>
      <c r="DT30" s="11"/>
      <c r="DU30" s="26"/>
      <c r="DV30" s="11"/>
      <c r="DW30" s="29"/>
      <c r="DX30" s="28"/>
      <c r="DY30" s="11"/>
      <c r="DZ30" s="26"/>
      <c r="EA30" s="11"/>
      <c r="EB30" s="29"/>
      <c r="EC30" s="28"/>
      <c r="ED30" s="30"/>
      <c r="EE30" s="30" t="str">
        <f ca="1">IFERROR(__xludf.DUMMYFUNCTION("iferror(index(filter('Internal -- Trademark Countries'!E$2:E1000, (AM30 = 'Internal -- Trademark Countries'!B$2:B1000) + (AM30 = 'Internal -- Trademark Countries'!C$2:C1000) + (AM30 = 'Internal -- Trademark Countries'!D$2:D1000)), 1))"),"")</f>
        <v/>
      </c>
      <c r="EF30" s="30" t="e">
        <f ca="1">_xludf.ifs(AM30="", "", COUNTIF('Internal -- Trademark Countries'!B:B,AM30) &gt; 0, "polity_shortest_name", COUNTIF('Internal -- Trademark Countries'!C:C,AM30) &gt; 0, "polity_full_name", COUNTIF('Internal -- Trademark Countries'!D:D,AM30) &gt; 0, "polity_common_name", COUNTIF('Internal -- Trademark Countries'!E:E,AM30) &gt; 0, "shortest_name", COUNTIF('Internal -- Trademark Countries'!A:A,AM30) &gt; 0, "full_name", TRUE, "not a match")</f>
        <v>#NAME?</v>
      </c>
      <c r="EG30" s="30"/>
      <c r="EH30" s="30"/>
      <c r="EI30" s="30"/>
      <c r="EJ30" s="30"/>
      <c r="EK30" s="30" t="str">
        <f t="shared" si="2"/>
        <v/>
      </c>
    </row>
    <row r="31" spans="1:141" ht="16.5">
      <c r="A31" s="11"/>
      <c r="B31" s="11"/>
      <c r="C31" s="11"/>
      <c r="D31" s="11"/>
      <c r="E31" s="11"/>
      <c r="F31" s="11"/>
      <c r="G31" s="11"/>
      <c r="H31" s="11"/>
      <c r="I31" s="11"/>
      <c r="J31" s="11"/>
      <c r="K31" s="27"/>
      <c r="L31" s="11"/>
      <c r="M31" s="11"/>
      <c r="N31" s="11"/>
      <c r="O31" s="11"/>
      <c r="P31" s="15"/>
      <c r="Q31" s="15"/>
      <c r="R31" s="15"/>
      <c r="S31" s="15"/>
      <c r="T31" s="15"/>
      <c r="U31" s="15"/>
      <c r="V31" s="15"/>
      <c r="W31" s="47"/>
      <c r="X31" s="11"/>
      <c r="Y31" s="48"/>
      <c r="Z31" s="11"/>
      <c r="AA31" s="48"/>
      <c r="AB31" s="11"/>
      <c r="AC31" s="48"/>
      <c r="AD31" s="11"/>
      <c r="AE31" s="47"/>
      <c r="AF31" s="11"/>
      <c r="AG31" s="48"/>
      <c r="AH31" s="11"/>
      <c r="AI31" s="48"/>
      <c r="AJ31" s="11"/>
      <c r="AK31" s="48"/>
      <c r="AL31" s="11"/>
      <c r="AM31" s="49"/>
      <c r="AN31" s="49"/>
      <c r="AO31" s="11"/>
      <c r="AP31" s="11"/>
      <c r="AQ31" s="28" t="b">
        <f>IF(COUNTIF(SmartStatus!A$2:A1000, AM31) &gt; 2, TRUE, FALSE)</f>
        <v>0</v>
      </c>
      <c r="AR31" s="29" t="str">
        <f ca="1">IFERROR(__xludf.DUMMYFUNCTION("iferror(if(regexmatch(AO31, ""(?i)^registered""), if(EE31 &lt;&gt; ""polity_shortest_name"", ""CHECK_POLITY"", index(filter(SmartStatus!B$2:B1000, AM31 = SmartStatus!A$2:A1000, not(SmartStatus!C$2:C1000), (isblank(SmartStatus!D$2:D1000)) + ((P31 &lt;&gt; """") * (P31"&amp;" &lt; SmartStatus!D$2:D1000)), (isblank(SmartStatus!E$2:E1000)) + ((P31 &lt;&gt; """") * (P31 &gt;= SmartStatus!E$2:E1000)), (isblank(SmartStatus!F$2:F1000)) + (((Q31 &lt;&gt; """") * (Q31 &lt; SmartStatus!F$2:F1000)) + ((P31 &lt;&gt; """") * (date(year(P31) + 3, month(P31), day(P3"&amp;"1)) &lt; SmartStatus!F$2:F1000))), (isblank(SmartStatus!G$2:G1000)) + (((Q31 &lt;&gt; """") * (Q31 &gt;= SmartStatus!G$2:G1000)) + ((P31 &lt;&gt; """") * (P31 &gt;= SmartStatus!G$2:G1000)))), if(or(regexmatch(B31, ""(?i)^ir [a-z]+ designation$""), N31 &lt;&gt; """"), 1, 2))), """")"&amp;", ""NO_MATCH"")"),"")</f>
        <v/>
      </c>
      <c r="AS31" s="11"/>
      <c r="AT31" s="15"/>
      <c r="AU31" s="11"/>
      <c r="AV31" s="11"/>
      <c r="AW31" s="15"/>
      <c r="AX31" s="15"/>
      <c r="AY31" s="15"/>
      <c r="AZ31" s="11"/>
      <c r="BA31" s="15"/>
      <c r="BB31" s="11"/>
      <c r="BC31" s="11"/>
      <c r="BD31" s="15"/>
      <c r="BE31" s="11"/>
      <c r="BF31" s="11"/>
      <c r="BG31" s="15"/>
      <c r="BH31" s="15"/>
      <c r="BI31" s="15"/>
      <c r="BJ31" s="11"/>
      <c r="BK31" s="15"/>
      <c r="BL31" s="11"/>
      <c r="BM31" s="11"/>
      <c r="BN31" s="15"/>
      <c r="BO31" s="11"/>
      <c r="BP31" s="11"/>
      <c r="BQ31" s="15"/>
      <c r="BR31" s="15"/>
      <c r="BS31" s="15"/>
      <c r="BT31" s="11"/>
      <c r="BU31" s="15"/>
      <c r="BV31" s="11"/>
      <c r="BW31" s="11"/>
      <c r="BX31" s="15"/>
      <c r="BY31" s="11"/>
      <c r="BZ31" s="11"/>
      <c r="CA31" s="15"/>
      <c r="CB31" s="11"/>
      <c r="CC31" s="15"/>
      <c r="CD31" s="11"/>
      <c r="CE31" s="15"/>
      <c r="CF31" s="11"/>
      <c r="CG31" s="11"/>
      <c r="CH31" s="15"/>
      <c r="CI31" s="11"/>
      <c r="CJ31" s="11"/>
      <c r="CK31" s="15"/>
      <c r="CL31" s="11"/>
      <c r="CM31" s="11"/>
      <c r="CN31" s="11"/>
      <c r="CO31" s="11"/>
      <c r="CP31" s="28"/>
      <c r="CQ31" s="28"/>
      <c r="CR31" s="11"/>
      <c r="CS31" s="29"/>
      <c r="CT31" s="11"/>
      <c r="CU31" s="11"/>
      <c r="CV31" s="11"/>
      <c r="CW31" s="11"/>
      <c r="CX31" s="11"/>
      <c r="CY31" s="11"/>
      <c r="CZ31" s="11"/>
      <c r="DA31" s="28"/>
      <c r="DB31" s="28"/>
      <c r="DC31" s="11"/>
      <c r="DD31" s="29"/>
      <c r="DE31" s="11"/>
      <c r="DF31" s="11"/>
      <c r="DG31" s="11"/>
      <c r="DH31" s="11"/>
      <c r="DI31" s="11"/>
      <c r="DJ31" s="11"/>
      <c r="DK31" s="26"/>
      <c r="DL31" s="11"/>
      <c r="DM31" s="29"/>
      <c r="DN31" s="28"/>
      <c r="DO31" s="11"/>
      <c r="DP31" s="11"/>
      <c r="DQ31" s="11"/>
      <c r="DR31" s="29"/>
      <c r="DS31" s="28"/>
      <c r="DT31" s="11"/>
      <c r="DU31" s="26"/>
      <c r="DV31" s="11"/>
      <c r="DW31" s="29"/>
      <c r="DX31" s="28"/>
      <c r="DY31" s="11"/>
      <c r="DZ31" s="26"/>
      <c r="EA31" s="11"/>
      <c r="EB31" s="29"/>
      <c r="EC31" s="28"/>
      <c r="ED31" s="30"/>
      <c r="EE31" s="30" t="str">
        <f ca="1">IFERROR(__xludf.DUMMYFUNCTION("iferror(index(filter('Internal -- Trademark Countries'!E$2:E1000, (AM31 = 'Internal -- Trademark Countries'!B$2:B1000) + (AM31 = 'Internal -- Trademark Countries'!C$2:C1000) + (AM31 = 'Internal -- Trademark Countries'!D$2:D1000)), 1))"),"")</f>
        <v/>
      </c>
      <c r="EF31" s="30" t="e">
        <f ca="1">_xludf.ifs(AM31="", "", COUNTIF('Internal -- Trademark Countries'!B:B,AM31) &gt; 0, "polity_shortest_name", COUNTIF('Internal -- Trademark Countries'!C:C,AM31) &gt; 0, "polity_full_name", COUNTIF('Internal -- Trademark Countries'!D:D,AM31) &gt; 0, "polity_common_name", COUNTIF('Internal -- Trademark Countries'!E:E,AM31) &gt; 0, "shortest_name", COUNTIF('Internal -- Trademark Countries'!A:A,AM31) &gt; 0, "full_name", TRUE, "not a match")</f>
        <v>#NAME?</v>
      </c>
      <c r="EG31" s="30"/>
      <c r="EH31" s="30"/>
      <c r="EI31" s="30"/>
      <c r="EJ31" s="30"/>
      <c r="EK31" s="30" t="str">
        <f t="shared" si="2"/>
        <v/>
      </c>
    </row>
    <row r="32" spans="1:141" ht="16.5">
      <c r="A32" s="11"/>
      <c r="B32" s="11"/>
      <c r="C32" s="11"/>
      <c r="D32" s="11"/>
      <c r="E32" s="11"/>
      <c r="F32" s="11"/>
      <c r="G32" s="11"/>
      <c r="H32" s="11"/>
      <c r="I32" s="11"/>
      <c r="J32" s="11"/>
      <c r="K32" s="27"/>
      <c r="L32" s="11"/>
      <c r="M32" s="11"/>
      <c r="N32" s="11"/>
      <c r="O32" s="11"/>
      <c r="P32" s="15"/>
      <c r="Q32" s="15"/>
      <c r="R32" s="15"/>
      <c r="S32" s="15"/>
      <c r="T32" s="15"/>
      <c r="U32" s="15"/>
      <c r="V32" s="15"/>
      <c r="W32" s="47"/>
      <c r="X32" s="11"/>
      <c r="Y32" s="48"/>
      <c r="Z32" s="11"/>
      <c r="AA32" s="48"/>
      <c r="AB32" s="11"/>
      <c r="AC32" s="48"/>
      <c r="AD32" s="11"/>
      <c r="AE32" s="47"/>
      <c r="AF32" s="11"/>
      <c r="AG32" s="48"/>
      <c r="AH32" s="11"/>
      <c r="AI32" s="48"/>
      <c r="AJ32" s="11"/>
      <c r="AK32" s="48"/>
      <c r="AL32" s="11"/>
      <c r="AM32" s="49"/>
      <c r="AN32" s="49"/>
      <c r="AO32" s="11"/>
      <c r="AP32" s="11"/>
      <c r="AQ32" s="28" t="b">
        <f>IF(COUNTIF(SmartStatus!A$2:A1000, AM32) &gt; 2, TRUE, FALSE)</f>
        <v>0</v>
      </c>
      <c r="AR32" s="29" t="str">
        <f ca="1">IFERROR(__xludf.DUMMYFUNCTION("iferror(if(regexmatch(AO32, ""(?i)^registered""), if(EE32 &lt;&gt; ""polity_shortest_name"", ""CHECK_POLITY"", index(filter(SmartStatus!B$2:B1000, AM32 = SmartStatus!A$2:A1000, not(SmartStatus!C$2:C1000), (isblank(SmartStatus!D$2:D1000)) + ((P32 &lt;&gt; """") * (P32"&amp;" &lt; SmartStatus!D$2:D1000)), (isblank(SmartStatus!E$2:E1000)) + ((P32 &lt;&gt; """") * (P32 &gt;= SmartStatus!E$2:E1000)), (isblank(SmartStatus!F$2:F1000)) + (((Q32 &lt;&gt; """") * (Q32 &lt; SmartStatus!F$2:F1000)) + ((P32 &lt;&gt; """") * (date(year(P32) + 3, month(P32), day(P3"&amp;"2)) &lt; SmartStatus!F$2:F1000))), (isblank(SmartStatus!G$2:G1000)) + (((Q32 &lt;&gt; """") * (Q32 &gt;= SmartStatus!G$2:G1000)) + ((P32 &lt;&gt; """") * (P32 &gt;= SmartStatus!G$2:G1000)))), if(or(regexmatch(B32, ""(?i)^ir [a-z]+ designation$""), N32 &lt;&gt; """"), 1, 2))), """")"&amp;", ""NO_MATCH"")"),"")</f>
        <v/>
      </c>
      <c r="AS32" s="11"/>
      <c r="AT32" s="15"/>
      <c r="AU32" s="11"/>
      <c r="AV32" s="11"/>
      <c r="AW32" s="15"/>
      <c r="AX32" s="15"/>
      <c r="AY32" s="15"/>
      <c r="AZ32" s="11"/>
      <c r="BA32" s="15"/>
      <c r="BB32" s="11"/>
      <c r="BC32" s="11"/>
      <c r="BD32" s="15"/>
      <c r="BE32" s="11"/>
      <c r="BF32" s="11"/>
      <c r="BG32" s="15"/>
      <c r="BH32" s="15"/>
      <c r="BI32" s="15"/>
      <c r="BJ32" s="11"/>
      <c r="BK32" s="15"/>
      <c r="BL32" s="11"/>
      <c r="BM32" s="11"/>
      <c r="BN32" s="15"/>
      <c r="BO32" s="11"/>
      <c r="BP32" s="11"/>
      <c r="BQ32" s="15"/>
      <c r="BR32" s="15"/>
      <c r="BS32" s="15"/>
      <c r="BT32" s="11"/>
      <c r="BU32" s="15"/>
      <c r="BV32" s="11"/>
      <c r="BW32" s="11"/>
      <c r="BX32" s="15"/>
      <c r="BY32" s="11"/>
      <c r="BZ32" s="11"/>
      <c r="CA32" s="15"/>
      <c r="CB32" s="11"/>
      <c r="CC32" s="15"/>
      <c r="CD32" s="11"/>
      <c r="CE32" s="15"/>
      <c r="CF32" s="11"/>
      <c r="CG32" s="11"/>
      <c r="CH32" s="15"/>
      <c r="CI32" s="11"/>
      <c r="CJ32" s="11"/>
      <c r="CK32" s="15"/>
      <c r="CL32" s="11"/>
      <c r="CM32" s="11"/>
      <c r="CN32" s="11"/>
      <c r="CO32" s="11"/>
      <c r="CP32" s="28"/>
      <c r="CQ32" s="28"/>
      <c r="CR32" s="11"/>
      <c r="CS32" s="29"/>
      <c r="CT32" s="11"/>
      <c r="CU32" s="11"/>
      <c r="CV32" s="11"/>
      <c r="CW32" s="11"/>
      <c r="CX32" s="11"/>
      <c r="CY32" s="11"/>
      <c r="CZ32" s="11"/>
      <c r="DA32" s="28"/>
      <c r="DB32" s="28"/>
      <c r="DC32" s="11"/>
      <c r="DD32" s="29"/>
      <c r="DE32" s="11"/>
      <c r="DF32" s="11"/>
      <c r="DG32" s="11"/>
      <c r="DH32" s="11"/>
      <c r="DI32" s="11"/>
      <c r="DJ32" s="11"/>
      <c r="DK32" s="26"/>
      <c r="DL32" s="11"/>
      <c r="DM32" s="29"/>
      <c r="DN32" s="28"/>
      <c r="DO32" s="11"/>
      <c r="DP32" s="11"/>
      <c r="DQ32" s="11"/>
      <c r="DR32" s="29"/>
      <c r="DS32" s="28"/>
      <c r="DT32" s="11"/>
      <c r="DU32" s="26"/>
      <c r="DV32" s="11"/>
      <c r="DW32" s="29"/>
      <c r="DX32" s="28"/>
      <c r="DY32" s="11"/>
      <c r="DZ32" s="26"/>
      <c r="EA32" s="11"/>
      <c r="EB32" s="29"/>
      <c r="EC32" s="28"/>
      <c r="ED32" s="30"/>
      <c r="EE32" s="30" t="str">
        <f ca="1">IFERROR(__xludf.DUMMYFUNCTION("iferror(index(filter('Internal -- Trademark Countries'!E$2:E1000, (AM32 = 'Internal -- Trademark Countries'!B$2:B1000) + (AM32 = 'Internal -- Trademark Countries'!C$2:C1000) + (AM32 = 'Internal -- Trademark Countries'!D$2:D1000)), 1))"),"")</f>
        <v/>
      </c>
      <c r="EF32" s="30" t="e">
        <f ca="1">_xludf.ifs(AM32="", "", COUNTIF('Internal -- Trademark Countries'!B:B,AM32) &gt; 0, "polity_shortest_name", COUNTIF('Internal -- Trademark Countries'!C:C,AM32) &gt; 0, "polity_full_name", COUNTIF('Internal -- Trademark Countries'!D:D,AM32) &gt; 0, "polity_common_name", COUNTIF('Internal -- Trademark Countries'!E:E,AM32) &gt; 0, "shortest_name", COUNTIF('Internal -- Trademark Countries'!A:A,AM32) &gt; 0, "full_name", TRUE, "not a match")</f>
        <v>#NAME?</v>
      </c>
      <c r="EG32" s="30"/>
      <c r="EH32" s="30"/>
      <c r="EI32" s="30"/>
      <c r="EJ32" s="30"/>
      <c r="EK32" s="30" t="str">
        <f t="shared" si="2"/>
        <v/>
      </c>
    </row>
    <row r="33" spans="1:141" ht="16.5">
      <c r="A33" s="11"/>
      <c r="B33" s="11"/>
      <c r="C33" s="11"/>
      <c r="D33" s="11"/>
      <c r="E33" s="11"/>
      <c r="F33" s="11"/>
      <c r="G33" s="11"/>
      <c r="H33" s="11"/>
      <c r="I33" s="11"/>
      <c r="J33" s="11"/>
      <c r="K33" s="27"/>
      <c r="L33" s="11"/>
      <c r="M33" s="11"/>
      <c r="N33" s="11"/>
      <c r="O33" s="11"/>
      <c r="P33" s="15"/>
      <c r="Q33" s="15"/>
      <c r="R33" s="15"/>
      <c r="S33" s="15"/>
      <c r="T33" s="15"/>
      <c r="U33" s="15"/>
      <c r="V33" s="15"/>
      <c r="W33" s="47"/>
      <c r="X33" s="11"/>
      <c r="Y33" s="48"/>
      <c r="Z33" s="11"/>
      <c r="AA33" s="48"/>
      <c r="AB33" s="11"/>
      <c r="AC33" s="48"/>
      <c r="AD33" s="11"/>
      <c r="AE33" s="47"/>
      <c r="AF33" s="11"/>
      <c r="AG33" s="48"/>
      <c r="AH33" s="11"/>
      <c r="AI33" s="48"/>
      <c r="AJ33" s="11"/>
      <c r="AK33" s="48"/>
      <c r="AL33" s="11"/>
      <c r="AM33" s="49"/>
      <c r="AN33" s="49"/>
      <c r="AO33" s="11"/>
      <c r="AP33" s="11"/>
      <c r="AQ33" s="28" t="b">
        <f>IF(COUNTIF(SmartStatus!A$2:A1000, AM33) &gt; 2, TRUE, FALSE)</f>
        <v>0</v>
      </c>
      <c r="AR33" s="29" t="str">
        <f ca="1">IFERROR(__xludf.DUMMYFUNCTION("iferror(if(regexmatch(AO33, ""(?i)^registered""), if(EE33 &lt;&gt; ""polity_shortest_name"", ""CHECK_POLITY"", index(filter(SmartStatus!B$2:B1000, AM33 = SmartStatus!A$2:A1000, not(SmartStatus!C$2:C1000), (isblank(SmartStatus!D$2:D1000)) + ((P33 &lt;&gt; """") * (P33"&amp;" &lt; SmartStatus!D$2:D1000)), (isblank(SmartStatus!E$2:E1000)) + ((P33 &lt;&gt; """") * (P33 &gt;= SmartStatus!E$2:E1000)), (isblank(SmartStatus!F$2:F1000)) + (((Q33 &lt;&gt; """") * (Q33 &lt; SmartStatus!F$2:F1000)) + ((P33 &lt;&gt; """") * (date(year(P33) + 3, month(P33), day(P3"&amp;"3)) &lt; SmartStatus!F$2:F1000))), (isblank(SmartStatus!G$2:G1000)) + (((Q33 &lt;&gt; """") * (Q33 &gt;= SmartStatus!G$2:G1000)) + ((P33 &lt;&gt; """") * (P33 &gt;= SmartStatus!G$2:G1000)))), if(or(regexmatch(B33, ""(?i)^ir [a-z]+ designation$""), N33 &lt;&gt; """"), 1, 2))), """")"&amp;", ""NO_MATCH"")"),"")</f>
        <v/>
      </c>
      <c r="AS33" s="11"/>
      <c r="AT33" s="15"/>
      <c r="AU33" s="11"/>
      <c r="AV33" s="11"/>
      <c r="AW33" s="15"/>
      <c r="AX33" s="15"/>
      <c r="AY33" s="15"/>
      <c r="AZ33" s="11"/>
      <c r="BA33" s="15"/>
      <c r="BB33" s="11"/>
      <c r="BC33" s="11"/>
      <c r="BD33" s="15"/>
      <c r="BE33" s="11"/>
      <c r="BF33" s="11"/>
      <c r="BG33" s="15"/>
      <c r="BH33" s="15"/>
      <c r="BI33" s="15"/>
      <c r="BJ33" s="11"/>
      <c r="BK33" s="15"/>
      <c r="BL33" s="11"/>
      <c r="BM33" s="11"/>
      <c r="BN33" s="15"/>
      <c r="BO33" s="11"/>
      <c r="BP33" s="11"/>
      <c r="BQ33" s="15"/>
      <c r="BR33" s="15"/>
      <c r="BS33" s="15"/>
      <c r="BT33" s="11"/>
      <c r="BU33" s="15"/>
      <c r="BV33" s="11"/>
      <c r="BW33" s="11"/>
      <c r="BX33" s="15"/>
      <c r="BY33" s="11"/>
      <c r="BZ33" s="11"/>
      <c r="CA33" s="15"/>
      <c r="CB33" s="11"/>
      <c r="CC33" s="15"/>
      <c r="CD33" s="11"/>
      <c r="CE33" s="15"/>
      <c r="CF33" s="11"/>
      <c r="CG33" s="11"/>
      <c r="CH33" s="15"/>
      <c r="CI33" s="11"/>
      <c r="CJ33" s="11"/>
      <c r="CK33" s="15"/>
      <c r="CL33" s="11"/>
      <c r="CM33" s="11"/>
      <c r="CN33" s="11"/>
      <c r="CO33" s="11"/>
      <c r="CP33" s="28"/>
      <c r="CQ33" s="28"/>
      <c r="CR33" s="11"/>
      <c r="CS33" s="29"/>
      <c r="CT33" s="11"/>
      <c r="CU33" s="11"/>
      <c r="CV33" s="11"/>
      <c r="CW33" s="11"/>
      <c r="CX33" s="11"/>
      <c r="CY33" s="11"/>
      <c r="CZ33" s="11"/>
      <c r="DA33" s="28"/>
      <c r="DB33" s="28"/>
      <c r="DC33" s="11"/>
      <c r="DD33" s="29"/>
      <c r="DE33" s="11"/>
      <c r="DF33" s="11"/>
      <c r="DG33" s="11"/>
      <c r="DH33" s="11"/>
      <c r="DI33" s="11"/>
      <c r="DJ33" s="11"/>
      <c r="DK33" s="26"/>
      <c r="DL33" s="11"/>
      <c r="DM33" s="29"/>
      <c r="DN33" s="28"/>
      <c r="DO33" s="11"/>
      <c r="DP33" s="11"/>
      <c r="DQ33" s="11"/>
      <c r="DR33" s="29"/>
      <c r="DS33" s="28"/>
      <c r="DT33" s="11"/>
      <c r="DU33" s="26"/>
      <c r="DV33" s="11"/>
      <c r="DW33" s="29"/>
      <c r="DX33" s="28"/>
      <c r="DY33" s="11"/>
      <c r="DZ33" s="26"/>
      <c r="EA33" s="11"/>
      <c r="EB33" s="29"/>
      <c r="EC33" s="28"/>
      <c r="ED33" s="30"/>
      <c r="EE33" s="30" t="str">
        <f ca="1">IFERROR(__xludf.DUMMYFUNCTION("iferror(index(filter('Internal -- Trademark Countries'!E$2:E1000, (AM33 = 'Internal -- Trademark Countries'!B$2:B1000) + (AM33 = 'Internal -- Trademark Countries'!C$2:C1000) + (AM33 = 'Internal -- Trademark Countries'!D$2:D1000)), 1))"),"")</f>
        <v/>
      </c>
      <c r="EF33" s="30" t="e">
        <f ca="1">_xludf.ifs(AM33="", "", COUNTIF('Internal -- Trademark Countries'!B:B,AM33) &gt; 0, "polity_shortest_name", COUNTIF('Internal -- Trademark Countries'!C:C,AM33) &gt; 0, "polity_full_name", COUNTIF('Internal -- Trademark Countries'!D:D,AM33) &gt; 0, "polity_common_name", COUNTIF('Internal -- Trademark Countries'!E:E,AM33) &gt; 0, "shortest_name", COUNTIF('Internal -- Trademark Countries'!A:A,AM33) &gt; 0, "full_name", TRUE, "not a match")</f>
        <v>#NAME?</v>
      </c>
      <c r="EG33" s="30"/>
      <c r="EH33" s="30"/>
      <c r="EI33" s="30"/>
      <c r="EJ33" s="30"/>
      <c r="EK33" s="30" t="str">
        <f t="shared" si="2"/>
        <v/>
      </c>
    </row>
    <row r="34" spans="1:141" ht="16.5">
      <c r="A34" s="11"/>
      <c r="B34" s="11"/>
      <c r="C34" s="11"/>
      <c r="D34" s="11"/>
      <c r="E34" s="11"/>
      <c r="F34" s="11"/>
      <c r="G34" s="11"/>
      <c r="H34" s="11"/>
      <c r="I34" s="11"/>
      <c r="J34" s="11"/>
      <c r="K34" s="27"/>
      <c r="L34" s="11"/>
      <c r="M34" s="11"/>
      <c r="N34" s="11"/>
      <c r="O34" s="11"/>
      <c r="P34" s="15"/>
      <c r="Q34" s="15"/>
      <c r="R34" s="15"/>
      <c r="S34" s="15"/>
      <c r="T34" s="15"/>
      <c r="U34" s="15"/>
      <c r="V34" s="15"/>
      <c r="W34" s="47"/>
      <c r="X34" s="11"/>
      <c r="Y34" s="48"/>
      <c r="Z34" s="11"/>
      <c r="AA34" s="48"/>
      <c r="AB34" s="11"/>
      <c r="AC34" s="48"/>
      <c r="AD34" s="11"/>
      <c r="AE34" s="47"/>
      <c r="AF34" s="11"/>
      <c r="AG34" s="48"/>
      <c r="AH34" s="11"/>
      <c r="AI34" s="48"/>
      <c r="AJ34" s="11"/>
      <c r="AK34" s="48"/>
      <c r="AL34" s="11"/>
      <c r="AM34" s="49"/>
      <c r="AN34" s="49"/>
      <c r="AO34" s="11"/>
      <c r="AP34" s="11"/>
      <c r="AQ34" s="28" t="b">
        <f>IF(COUNTIF(SmartStatus!A$2:A1000, AM34) &gt; 2, TRUE, FALSE)</f>
        <v>0</v>
      </c>
      <c r="AR34" s="29" t="str">
        <f ca="1">IFERROR(__xludf.DUMMYFUNCTION("iferror(if(regexmatch(AO34, ""(?i)^registered""), if(EE34 &lt;&gt; ""polity_shortest_name"", ""CHECK_POLITY"", index(filter(SmartStatus!B$2:B1000, AM34 = SmartStatus!A$2:A1000, not(SmartStatus!C$2:C1000), (isblank(SmartStatus!D$2:D1000)) + ((P34 &lt;&gt; """") * (P34"&amp;" &lt; SmartStatus!D$2:D1000)), (isblank(SmartStatus!E$2:E1000)) + ((P34 &lt;&gt; """") * (P34 &gt;= SmartStatus!E$2:E1000)), (isblank(SmartStatus!F$2:F1000)) + (((Q34 &lt;&gt; """") * (Q34 &lt; SmartStatus!F$2:F1000)) + ((P34 &lt;&gt; """") * (date(year(P34) + 3, month(P34), day(P3"&amp;"4)) &lt; SmartStatus!F$2:F1000))), (isblank(SmartStatus!G$2:G1000)) + (((Q34 &lt;&gt; """") * (Q34 &gt;= SmartStatus!G$2:G1000)) + ((P34 &lt;&gt; """") * (P34 &gt;= SmartStatus!G$2:G1000)))), if(or(regexmatch(B34, ""(?i)^ir [a-z]+ designation$""), N34 &lt;&gt; """"), 1, 2))), """")"&amp;", ""NO_MATCH"")"),"")</f>
        <v/>
      </c>
      <c r="AS34" s="11"/>
      <c r="AT34" s="15"/>
      <c r="AU34" s="11"/>
      <c r="AV34" s="11"/>
      <c r="AW34" s="15"/>
      <c r="AX34" s="15"/>
      <c r="AY34" s="15"/>
      <c r="AZ34" s="11"/>
      <c r="BA34" s="15"/>
      <c r="BB34" s="11"/>
      <c r="BC34" s="11"/>
      <c r="BD34" s="15"/>
      <c r="BE34" s="11"/>
      <c r="BF34" s="11"/>
      <c r="BG34" s="15"/>
      <c r="BH34" s="15"/>
      <c r="BI34" s="15"/>
      <c r="BJ34" s="11"/>
      <c r="BK34" s="15"/>
      <c r="BL34" s="11"/>
      <c r="BM34" s="11"/>
      <c r="BN34" s="15"/>
      <c r="BO34" s="11"/>
      <c r="BP34" s="11"/>
      <c r="BQ34" s="15"/>
      <c r="BR34" s="15"/>
      <c r="BS34" s="15"/>
      <c r="BT34" s="11"/>
      <c r="BU34" s="15"/>
      <c r="BV34" s="11"/>
      <c r="BW34" s="11"/>
      <c r="BX34" s="15"/>
      <c r="BY34" s="11"/>
      <c r="BZ34" s="11"/>
      <c r="CA34" s="15"/>
      <c r="CB34" s="11"/>
      <c r="CC34" s="15"/>
      <c r="CD34" s="11"/>
      <c r="CE34" s="15"/>
      <c r="CF34" s="11"/>
      <c r="CG34" s="11"/>
      <c r="CH34" s="15"/>
      <c r="CI34" s="11"/>
      <c r="CJ34" s="11"/>
      <c r="CK34" s="15"/>
      <c r="CL34" s="11"/>
      <c r="CM34" s="11"/>
      <c r="CN34" s="11"/>
      <c r="CO34" s="11"/>
      <c r="CP34" s="28"/>
      <c r="CQ34" s="28"/>
      <c r="CR34" s="11"/>
      <c r="CS34" s="29"/>
      <c r="CT34" s="11"/>
      <c r="CU34" s="11"/>
      <c r="CV34" s="11"/>
      <c r="CW34" s="11"/>
      <c r="CX34" s="11"/>
      <c r="CY34" s="11"/>
      <c r="CZ34" s="11"/>
      <c r="DA34" s="28"/>
      <c r="DB34" s="28"/>
      <c r="DC34" s="11"/>
      <c r="DD34" s="29"/>
      <c r="DE34" s="11"/>
      <c r="DF34" s="11"/>
      <c r="DG34" s="11"/>
      <c r="DH34" s="11"/>
      <c r="DI34" s="11"/>
      <c r="DJ34" s="11"/>
      <c r="DK34" s="26"/>
      <c r="DL34" s="11"/>
      <c r="DM34" s="29"/>
      <c r="DN34" s="28"/>
      <c r="DO34" s="11"/>
      <c r="DP34" s="11"/>
      <c r="DQ34" s="11"/>
      <c r="DR34" s="29"/>
      <c r="DS34" s="28"/>
      <c r="DT34" s="11"/>
      <c r="DU34" s="26"/>
      <c r="DV34" s="11"/>
      <c r="DW34" s="29"/>
      <c r="DX34" s="28"/>
      <c r="DY34" s="11"/>
      <c r="DZ34" s="26"/>
      <c r="EA34" s="11"/>
      <c r="EB34" s="29"/>
      <c r="EC34" s="28"/>
      <c r="ED34" s="30"/>
      <c r="EE34" s="30" t="str">
        <f ca="1">IFERROR(__xludf.DUMMYFUNCTION("iferror(index(filter('Internal -- Trademark Countries'!E$2:E1000, (AM34 = 'Internal -- Trademark Countries'!B$2:B1000) + (AM34 = 'Internal -- Trademark Countries'!C$2:C1000) + (AM34 = 'Internal -- Trademark Countries'!D$2:D1000)), 1))"),"")</f>
        <v/>
      </c>
      <c r="EF34" s="30" t="e">
        <f ca="1">_xludf.ifs(AM34="", "", COUNTIF('Internal -- Trademark Countries'!B:B,AM34) &gt; 0, "polity_shortest_name", COUNTIF('Internal -- Trademark Countries'!C:C,AM34) &gt; 0, "polity_full_name", COUNTIF('Internal -- Trademark Countries'!D:D,AM34) &gt; 0, "polity_common_name", COUNTIF('Internal -- Trademark Countries'!E:E,AM34) &gt; 0, "shortest_name", COUNTIF('Internal -- Trademark Countries'!A:A,AM34) &gt; 0, "full_name", TRUE, "not a match")</f>
        <v>#NAME?</v>
      </c>
      <c r="EG34" s="30"/>
      <c r="EH34" s="30"/>
      <c r="EI34" s="30"/>
      <c r="EJ34" s="30"/>
      <c r="EK34" s="30" t="str">
        <f t="shared" si="2"/>
        <v/>
      </c>
    </row>
    <row r="35" spans="1:141" ht="16.5">
      <c r="A35" s="11"/>
      <c r="B35" s="11"/>
      <c r="C35" s="11"/>
      <c r="D35" s="11"/>
      <c r="E35" s="11"/>
      <c r="F35" s="11"/>
      <c r="G35" s="11"/>
      <c r="H35" s="11"/>
      <c r="I35" s="11"/>
      <c r="J35" s="11"/>
      <c r="K35" s="27"/>
      <c r="L35" s="11"/>
      <c r="M35" s="11"/>
      <c r="N35" s="11"/>
      <c r="O35" s="11"/>
      <c r="P35" s="15"/>
      <c r="Q35" s="15"/>
      <c r="R35" s="15"/>
      <c r="S35" s="15"/>
      <c r="T35" s="15"/>
      <c r="U35" s="15"/>
      <c r="V35" s="15"/>
      <c r="W35" s="47"/>
      <c r="X35" s="11"/>
      <c r="Y35" s="48"/>
      <c r="Z35" s="11"/>
      <c r="AA35" s="48"/>
      <c r="AB35" s="11"/>
      <c r="AC35" s="48"/>
      <c r="AD35" s="11"/>
      <c r="AE35" s="47"/>
      <c r="AF35" s="11"/>
      <c r="AG35" s="48"/>
      <c r="AH35" s="11"/>
      <c r="AI35" s="48"/>
      <c r="AJ35" s="11"/>
      <c r="AK35" s="48"/>
      <c r="AL35" s="11"/>
      <c r="AM35" s="49"/>
      <c r="AN35" s="49"/>
      <c r="AO35" s="11"/>
      <c r="AP35" s="11"/>
      <c r="AQ35" s="28" t="b">
        <f>IF(COUNTIF(SmartStatus!A$2:A1000, AM35) &gt; 2, TRUE, FALSE)</f>
        <v>0</v>
      </c>
      <c r="AR35" s="29" t="str">
        <f ca="1">IFERROR(__xludf.DUMMYFUNCTION("iferror(if(regexmatch(AO35, ""(?i)^registered""), if(EE35 &lt;&gt; ""polity_shortest_name"", ""CHECK_POLITY"", index(filter(SmartStatus!B$2:B1000, AM35 = SmartStatus!A$2:A1000, not(SmartStatus!C$2:C1000), (isblank(SmartStatus!D$2:D1000)) + ((P35 &lt;&gt; """") * (P35"&amp;" &lt; SmartStatus!D$2:D1000)), (isblank(SmartStatus!E$2:E1000)) + ((P35 &lt;&gt; """") * (P35 &gt;= SmartStatus!E$2:E1000)), (isblank(SmartStatus!F$2:F1000)) + (((Q35 &lt;&gt; """") * (Q35 &lt; SmartStatus!F$2:F1000)) + ((P35 &lt;&gt; """") * (date(year(P35) + 3, month(P35), day(P3"&amp;"5)) &lt; SmartStatus!F$2:F1000))), (isblank(SmartStatus!G$2:G1000)) + (((Q35 &lt;&gt; """") * (Q35 &gt;= SmartStatus!G$2:G1000)) + ((P35 &lt;&gt; """") * (P35 &gt;= SmartStatus!G$2:G1000)))), if(or(regexmatch(B35, ""(?i)^ir [a-z]+ designation$""), N35 &lt;&gt; """"), 1, 2))), """")"&amp;", ""NO_MATCH"")"),"")</f>
        <v/>
      </c>
      <c r="AS35" s="11"/>
      <c r="AT35" s="15"/>
      <c r="AU35" s="11"/>
      <c r="AV35" s="11"/>
      <c r="AW35" s="15"/>
      <c r="AX35" s="15"/>
      <c r="AY35" s="15"/>
      <c r="AZ35" s="11"/>
      <c r="BA35" s="15"/>
      <c r="BB35" s="11"/>
      <c r="BC35" s="11"/>
      <c r="BD35" s="15"/>
      <c r="BE35" s="11"/>
      <c r="BF35" s="11"/>
      <c r="BG35" s="15"/>
      <c r="BH35" s="15"/>
      <c r="BI35" s="15"/>
      <c r="BJ35" s="11"/>
      <c r="BK35" s="15"/>
      <c r="BL35" s="11"/>
      <c r="BM35" s="11"/>
      <c r="BN35" s="15"/>
      <c r="BO35" s="11"/>
      <c r="BP35" s="11"/>
      <c r="BQ35" s="15"/>
      <c r="BR35" s="15"/>
      <c r="BS35" s="15"/>
      <c r="BT35" s="11"/>
      <c r="BU35" s="15"/>
      <c r="BV35" s="11"/>
      <c r="BW35" s="11"/>
      <c r="BX35" s="15"/>
      <c r="BY35" s="11"/>
      <c r="BZ35" s="11"/>
      <c r="CA35" s="15"/>
      <c r="CB35" s="11"/>
      <c r="CC35" s="15"/>
      <c r="CD35" s="11"/>
      <c r="CE35" s="15"/>
      <c r="CF35" s="11"/>
      <c r="CG35" s="11"/>
      <c r="CH35" s="15"/>
      <c r="CI35" s="11"/>
      <c r="CJ35" s="11"/>
      <c r="CK35" s="15"/>
      <c r="CL35" s="11"/>
      <c r="CM35" s="11"/>
      <c r="CN35" s="11"/>
      <c r="CO35" s="11"/>
      <c r="CP35" s="28"/>
      <c r="CQ35" s="28"/>
      <c r="CR35" s="11"/>
      <c r="CS35" s="29"/>
      <c r="CT35" s="11"/>
      <c r="CU35" s="11"/>
      <c r="CV35" s="11"/>
      <c r="CW35" s="11"/>
      <c r="CX35" s="11"/>
      <c r="CY35" s="11"/>
      <c r="CZ35" s="11"/>
      <c r="DA35" s="28"/>
      <c r="DB35" s="28"/>
      <c r="DC35" s="11"/>
      <c r="DD35" s="29"/>
      <c r="DE35" s="11"/>
      <c r="DF35" s="11"/>
      <c r="DG35" s="11"/>
      <c r="DH35" s="11"/>
      <c r="DI35" s="11"/>
      <c r="DJ35" s="11"/>
      <c r="DK35" s="26"/>
      <c r="DL35" s="11"/>
      <c r="DM35" s="29"/>
      <c r="DN35" s="28"/>
      <c r="DO35" s="11"/>
      <c r="DP35" s="11"/>
      <c r="DQ35" s="11"/>
      <c r="DR35" s="29"/>
      <c r="DS35" s="28"/>
      <c r="DT35" s="11"/>
      <c r="DU35" s="26"/>
      <c r="DV35" s="11"/>
      <c r="DW35" s="29"/>
      <c r="DX35" s="28"/>
      <c r="DY35" s="11"/>
      <c r="DZ35" s="26"/>
      <c r="EA35" s="11"/>
      <c r="EB35" s="29"/>
      <c r="EC35" s="28"/>
      <c r="ED35" s="30"/>
      <c r="EE35" s="30" t="str">
        <f ca="1">IFERROR(__xludf.DUMMYFUNCTION("iferror(index(filter('Internal -- Trademark Countries'!E$2:E1000, (AM35 = 'Internal -- Trademark Countries'!B$2:B1000) + (AM35 = 'Internal -- Trademark Countries'!C$2:C1000) + (AM35 = 'Internal -- Trademark Countries'!D$2:D1000)), 1))"),"")</f>
        <v/>
      </c>
      <c r="EF35" s="30" t="e">
        <f ca="1">_xludf.ifs(AM35="", "", COUNTIF('Internal -- Trademark Countries'!B:B,AM35) &gt; 0, "polity_shortest_name", COUNTIF('Internal -- Trademark Countries'!C:C,AM35) &gt; 0, "polity_full_name", COUNTIF('Internal -- Trademark Countries'!D:D,AM35) &gt; 0, "polity_common_name", COUNTIF('Internal -- Trademark Countries'!E:E,AM35) &gt; 0, "shortest_name", COUNTIF('Internal -- Trademark Countries'!A:A,AM35) &gt; 0, "full_name", TRUE, "not a match")</f>
        <v>#NAME?</v>
      </c>
      <c r="EG35" s="30"/>
      <c r="EH35" s="30"/>
      <c r="EI35" s="30"/>
      <c r="EJ35" s="30"/>
      <c r="EK35" s="30" t="str">
        <f t="shared" si="2"/>
        <v/>
      </c>
    </row>
    <row r="36" spans="1:141" ht="16.5">
      <c r="A36" s="11"/>
      <c r="B36" s="11"/>
      <c r="C36" s="11"/>
      <c r="D36" s="11"/>
      <c r="E36" s="11"/>
      <c r="F36" s="11"/>
      <c r="G36" s="11"/>
      <c r="H36" s="11"/>
      <c r="I36" s="11"/>
      <c r="J36" s="11"/>
      <c r="K36" s="27"/>
      <c r="L36" s="11"/>
      <c r="M36" s="11"/>
      <c r="N36" s="11"/>
      <c r="O36" s="11"/>
      <c r="P36" s="15"/>
      <c r="Q36" s="15"/>
      <c r="R36" s="15"/>
      <c r="S36" s="15"/>
      <c r="T36" s="15"/>
      <c r="U36" s="15"/>
      <c r="V36" s="15"/>
      <c r="W36" s="47"/>
      <c r="X36" s="11"/>
      <c r="Y36" s="48"/>
      <c r="Z36" s="11"/>
      <c r="AA36" s="48"/>
      <c r="AB36" s="11"/>
      <c r="AC36" s="48"/>
      <c r="AD36" s="11"/>
      <c r="AE36" s="47"/>
      <c r="AF36" s="11"/>
      <c r="AG36" s="48"/>
      <c r="AH36" s="11"/>
      <c r="AI36" s="48"/>
      <c r="AJ36" s="11"/>
      <c r="AK36" s="48"/>
      <c r="AL36" s="11"/>
      <c r="AM36" s="49"/>
      <c r="AN36" s="49"/>
      <c r="AO36" s="11"/>
      <c r="AP36" s="11"/>
      <c r="AQ36" s="28" t="b">
        <f>IF(COUNTIF(SmartStatus!A$2:A1000, AM36) &gt; 2, TRUE, FALSE)</f>
        <v>0</v>
      </c>
      <c r="AR36" s="29" t="str">
        <f ca="1">IFERROR(__xludf.DUMMYFUNCTION("iferror(if(regexmatch(AO36, ""(?i)^registered""), if(EE36 &lt;&gt; ""polity_shortest_name"", ""CHECK_POLITY"", index(filter(SmartStatus!B$2:B1000, AM36 = SmartStatus!A$2:A1000, not(SmartStatus!C$2:C1000), (isblank(SmartStatus!D$2:D1000)) + ((P36 &lt;&gt; """") * (P36"&amp;" &lt; SmartStatus!D$2:D1000)), (isblank(SmartStatus!E$2:E1000)) + ((P36 &lt;&gt; """") * (P36 &gt;= SmartStatus!E$2:E1000)), (isblank(SmartStatus!F$2:F1000)) + (((Q36 &lt;&gt; """") * (Q36 &lt; SmartStatus!F$2:F1000)) + ((P36 &lt;&gt; """") * (date(year(P36) + 3, month(P36), day(P3"&amp;"6)) &lt; SmartStatus!F$2:F1000))), (isblank(SmartStatus!G$2:G1000)) + (((Q36 &lt;&gt; """") * (Q36 &gt;= SmartStatus!G$2:G1000)) + ((P36 &lt;&gt; """") * (P36 &gt;= SmartStatus!G$2:G1000)))), if(or(regexmatch(B36, ""(?i)^ir [a-z]+ designation$""), N36 &lt;&gt; """"), 1, 2))), """")"&amp;", ""NO_MATCH"")"),"")</f>
        <v/>
      </c>
      <c r="AS36" s="11"/>
      <c r="AT36" s="15"/>
      <c r="AU36" s="11"/>
      <c r="AV36" s="11"/>
      <c r="AW36" s="15"/>
      <c r="AX36" s="15"/>
      <c r="AY36" s="15"/>
      <c r="AZ36" s="11"/>
      <c r="BA36" s="15"/>
      <c r="BB36" s="11"/>
      <c r="BC36" s="11"/>
      <c r="BD36" s="15"/>
      <c r="BE36" s="11"/>
      <c r="BF36" s="11"/>
      <c r="BG36" s="15"/>
      <c r="BH36" s="15"/>
      <c r="BI36" s="15"/>
      <c r="BJ36" s="11"/>
      <c r="BK36" s="15"/>
      <c r="BL36" s="11"/>
      <c r="BM36" s="11"/>
      <c r="BN36" s="15"/>
      <c r="BO36" s="11"/>
      <c r="BP36" s="11"/>
      <c r="BQ36" s="15"/>
      <c r="BR36" s="15"/>
      <c r="BS36" s="15"/>
      <c r="BT36" s="11"/>
      <c r="BU36" s="15"/>
      <c r="BV36" s="11"/>
      <c r="BW36" s="11"/>
      <c r="BX36" s="15"/>
      <c r="BY36" s="11"/>
      <c r="BZ36" s="11"/>
      <c r="CA36" s="15"/>
      <c r="CB36" s="11"/>
      <c r="CC36" s="15"/>
      <c r="CD36" s="11"/>
      <c r="CE36" s="15"/>
      <c r="CF36" s="11"/>
      <c r="CG36" s="11"/>
      <c r="CH36" s="15"/>
      <c r="CI36" s="11"/>
      <c r="CJ36" s="11"/>
      <c r="CK36" s="15"/>
      <c r="CL36" s="11"/>
      <c r="CM36" s="11"/>
      <c r="CN36" s="11"/>
      <c r="CO36" s="11"/>
      <c r="CP36" s="28"/>
      <c r="CQ36" s="28"/>
      <c r="CR36" s="11"/>
      <c r="CS36" s="29"/>
      <c r="CT36" s="11"/>
      <c r="CU36" s="11"/>
      <c r="CV36" s="11"/>
      <c r="CW36" s="11"/>
      <c r="CX36" s="11"/>
      <c r="CY36" s="11"/>
      <c r="CZ36" s="11"/>
      <c r="DA36" s="28"/>
      <c r="DB36" s="28"/>
      <c r="DC36" s="11"/>
      <c r="DD36" s="29"/>
      <c r="DE36" s="11"/>
      <c r="DF36" s="11"/>
      <c r="DG36" s="11"/>
      <c r="DH36" s="11"/>
      <c r="DI36" s="11"/>
      <c r="DJ36" s="11"/>
      <c r="DK36" s="26"/>
      <c r="DL36" s="11"/>
      <c r="DM36" s="29"/>
      <c r="DN36" s="28"/>
      <c r="DO36" s="11"/>
      <c r="DP36" s="11"/>
      <c r="DQ36" s="11"/>
      <c r="DR36" s="29"/>
      <c r="DS36" s="28"/>
      <c r="DT36" s="11"/>
      <c r="DU36" s="26"/>
      <c r="DV36" s="11"/>
      <c r="DW36" s="29"/>
      <c r="DX36" s="28"/>
      <c r="DY36" s="11"/>
      <c r="DZ36" s="26"/>
      <c r="EA36" s="11"/>
      <c r="EB36" s="29"/>
      <c r="EC36" s="28"/>
      <c r="ED36" s="30"/>
      <c r="EE36" s="30" t="str">
        <f ca="1">IFERROR(__xludf.DUMMYFUNCTION("iferror(index(filter('Internal -- Trademark Countries'!E$2:E1000, (AM36 = 'Internal -- Trademark Countries'!B$2:B1000) + (AM36 = 'Internal -- Trademark Countries'!C$2:C1000) + (AM36 = 'Internal -- Trademark Countries'!D$2:D1000)), 1))"),"")</f>
        <v/>
      </c>
      <c r="EF36" s="30" t="e">
        <f ca="1">_xludf.ifs(AM36="", "", COUNTIF('Internal -- Trademark Countries'!B:B,AM36) &gt; 0, "polity_shortest_name", COUNTIF('Internal -- Trademark Countries'!C:C,AM36) &gt; 0, "polity_full_name", COUNTIF('Internal -- Trademark Countries'!D:D,AM36) &gt; 0, "polity_common_name", COUNTIF('Internal -- Trademark Countries'!E:E,AM36) &gt; 0, "shortest_name", COUNTIF('Internal -- Trademark Countries'!A:A,AM36) &gt; 0, "full_name", TRUE, "not a match")</f>
        <v>#NAME?</v>
      </c>
      <c r="EG36" s="30"/>
      <c r="EH36" s="30"/>
      <c r="EI36" s="30"/>
      <c r="EJ36" s="30"/>
      <c r="EK36" s="30" t="str">
        <f t="shared" si="2"/>
        <v/>
      </c>
    </row>
    <row r="37" spans="1:141" ht="16.5">
      <c r="A37" s="11"/>
      <c r="B37" s="11"/>
      <c r="C37" s="11"/>
      <c r="D37" s="11"/>
      <c r="E37" s="11"/>
      <c r="F37" s="11"/>
      <c r="G37" s="11"/>
      <c r="H37" s="11"/>
      <c r="I37" s="11"/>
      <c r="J37" s="11"/>
      <c r="K37" s="27"/>
      <c r="L37" s="11"/>
      <c r="M37" s="11"/>
      <c r="N37" s="11"/>
      <c r="O37" s="11"/>
      <c r="P37" s="15"/>
      <c r="Q37" s="15"/>
      <c r="R37" s="15"/>
      <c r="S37" s="15"/>
      <c r="T37" s="15"/>
      <c r="U37" s="15"/>
      <c r="V37" s="15"/>
      <c r="W37" s="47"/>
      <c r="X37" s="11"/>
      <c r="Y37" s="48"/>
      <c r="Z37" s="11"/>
      <c r="AA37" s="48"/>
      <c r="AB37" s="11"/>
      <c r="AC37" s="48"/>
      <c r="AD37" s="11"/>
      <c r="AE37" s="47"/>
      <c r="AF37" s="11"/>
      <c r="AG37" s="48"/>
      <c r="AH37" s="11"/>
      <c r="AI37" s="48"/>
      <c r="AJ37" s="11"/>
      <c r="AK37" s="48"/>
      <c r="AL37" s="11"/>
      <c r="AM37" s="49"/>
      <c r="AN37" s="49"/>
      <c r="AO37" s="11"/>
      <c r="AP37" s="11"/>
      <c r="AQ37" s="28" t="b">
        <f>IF(COUNTIF(SmartStatus!A$2:A1000, AM37) &gt; 2, TRUE, FALSE)</f>
        <v>0</v>
      </c>
      <c r="AR37" s="29" t="str">
        <f ca="1">IFERROR(__xludf.DUMMYFUNCTION("iferror(if(regexmatch(AO37, ""(?i)^registered""), if(EE37 &lt;&gt; ""polity_shortest_name"", ""CHECK_POLITY"", index(filter(SmartStatus!B$2:B1000, AM37 = SmartStatus!A$2:A1000, not(SmartStatus!C$2:C1000), (isblank(SmartStatus!D$2:D1000)) + ((P37 &lt;&gt; """") * (P37"&amp;" &lt; SmartStatus!D$2:D1000)), (isblank(SmartStatus!E$2:E1000)) + ((P37 &lt;&gt; """") * (P37 &gt;= SmartStatus!E$2:E1000)), (isblank(SmartStatus!F$2:F1000)) + (((Q37 &lt;&gt; """") * (Q37 &lt; SmartStatus!F$2:F1000)) + ((P37 &lt;&gt; """") * (date(year(P37) + 3, month(P37), day(P3"&amp;"7)) &lt; SmartStatus!F$2:F1000))), (isblank(SmartStatus!G$2:G1000)) + (((Q37 &lt;&gt; """") * (Q37 &gt;= SmartStatus!G$2:G1000)) + ((P37 &lt;&gt; """") * (P37 &gt;= SmartStatus!G$2:G1000)))), if(or(regexmatch(B37, ""(?i)^ir [a-z]+ designation$""), N37 &lt;&gt; """"), 1, 2))), """")"&amp;", ""NO_MATCH"")"),"")</f>
        <v/>
      </c>
      <c r="AS37" s="11"/>
      <c r="AT37" s="15"/>
      <c r="AU37" s="11"/>
      <c r="AV37" s="11"/>
      <c r="AW37" s="15"/>
      <c r="AX37" s="15"/>
      <c r="AY37" s="15"/>
      <c r="AZ37" s="11"/>
      <c r="BA37" s="15"/>
      <c r="BB37" s="11"/>
      <c r="BC37" s="11"/>
      <c r="BD37" s="15"/>
      <c r="BE37" s="11"/>
      <c r="BF37" s="11"/>
      <c r="BG37" s="15"/>
      <c r="BH37" s="15"/>
      <c r="BI37" s="15"/>
      <c r="BJ37" s="11"/>
      <c r="BK37" s="15"/>
      <c r="BL37" s="11"/>
      <c r="BM37" s="11"/>
      <c r="BN37" s="15"/>
      <c r="BO37" s="11"/>
      <c r="BP37" s="11"/>
      <c r="BQ37" s="15"/>
      <c r="BR37" s="15"/>
      <c r="BS37" s="15"/>
      <c r="BT37" s="11"/>
      <c r="BU37" s="15"/>
      <c r="BV37" s="11"/>
      <c r="BW37" s="11"/>
      <c r="BX37" s="15"/>
      <c r="BY37" s="11"/>
      <c r="BZ37" s="11"/>
      <c r="CA37" s="15"/>
      <c r="CB37" s="11"/>
      <c r="CC37" s="15"/>
      <c r="CD37" s="11"/>
      <c r="CE37" s="15"/>
      <c r="CF37" s="11"/>
      <c r="CG37" s="11"/>
      <c r="CH37" s="15"/>
      <c r="CI37" s="11"/>
      <c r="CJ37" s="11"/>
      <c r="CK37" s="15"/>
      <c r="CL37" s="11"/>
      <c r="CM37" s="11"/>
      <c r="CN37" s="11"/>
      <c r="CO37" s="11"/>
      <c r="CP37" s="28"/>
      <c r="CQ37" s="28"/>
      <c r="CR37" s="11"/>
      <c r="CS37" s="29"/>
      <c r="CT37" s="11"/>
      <c r="CU37" s="11"/>
      <c r="CV37" s="11"/>
      <c r="CW37" s="11"/>
      <c r="CX37" s="11"/>
      <c r="CY37" s="11"/>
      <c r="CZ37" s="11"/>
      <c r="DA37" s="28"/>
      <c r="DB37" s="28"/>
      <c r="DC37" s="11"/>
      <c r="DD37" s="29"/>
      <c r="DE37" s="11"/>
      <c r="DF37" s="11"/>
      <c r="DG37" s="11"/>
      <c r="DH37" s="11"/>
      <c r="DI37" s="11"/>
      <c r="DJ37" s="11"/>
      <c r="DK37" s="26"/>
      <c r="DL37" s="11"/>
      <c r="DM37" s="29"/>
      <c r="DN37" s="28"/>
      <c r="DO37" s="11"/>
      <c r="DP37" s="11"/>
      <c r="DQ37" s="11"/>
      <c r="DR37" s="29"/>
      <c r="DS37" s="28"/>
      <c r="DT37" s="11"/>
      <c r="DU37" s="26"/>
      <c r="DV37" s="11"/>
      <c r="DW37" s="29"/>
      <c r="DX37" s="28"/>
      <c r="DY37" s="11"/>
      <c r="DZ37" s="26"/>
      <c r="EA37" s="11"/>
      <c r="EB37" s="29"/>
      <c r="EC37" s="28"/>
      <c r="ED37" s="30"/>
      <c r="EE37" s="30" t="str">
        <f ca="1">IFERROR(__xludf.DUMMYFUNCTION("iferror(index(filter('Internal -- Trademark Countries'!E$2:E1000, (AM37 = 'Internal -- Trademark Countries'!B$2:B1000) + (AM37 = 'Internal -- Trademark Countries'!C$2:C1000) + (AM37 = 'Internal -- Trademark Countries'!D$2:D1000)), 1))"),"")</f>
        <v/>
      </c>
      <c r="EF37" s="30" t="e">
        <f ca="1">_xludf.ifs(AM37="", "", COUNTIF('Internal -- Trademark Countries'!B:B,AM37) &gt; 0, "polity_shortest_name", COUNTIF('Internal -- Trademark Countries'!C:C,AM37) &gt; 0, "polity_full_name", COUNTIF('Internal -- Trademark Countries'!D:D,AM37) &gt; 0, "polity_common_name", COUNTIF('Internal -- Trademark Countries'!E:E,AM37) &gt; 0, "shortest_name", COUNTIF('Internal -- Trademark Countries'!A:A,AM37) &gt; 0, "full_name", TRUE, "not a match")</f>
        <v>#NAME?</v>
      </c>
      <c r="EG37" s="30"/>
      <c r="EH37" s="30"/>
      <c r="EI37" s="30"/>
      <c r="EJ37" s="30"/>
      <c r="EK37" s="30" t="str">
        <f t="shared" si="2"/>
        <v/>
      </c>
    </row>
    <row r="38" spans="1:141" ht="16.5">
      <c r="A38" s="11"/>
      <c r="B38" s="11"/>
      <c r="C38" s="11"/>
      <c r="D38" s="11"/>
      <c r="E38" s="11"/>
      <c r="F38" s="11"/>
      <c r="G38" s="11"/>
      <c r="H38" s="11"/>
      <c r="I38" s="11"/>
      <c r="J38" s="11"/>
      <c r="K38" s="27"/>
      <c r="L38" s="11"/>
      <c r="M38" s="11"/>
      <c r="N38" s="11"/>
      <c r="O38" s="11"/>
      <c r="P38" s="15"/>
      <c r="Q38" s="15"/>
      <c r="R38" s="15"/>
      <c r="S38" s="15"/>
      <c r="T38" s="15"/>
      <c r="U38" s="15"/>
      <c r="V38" s="15"/>
      <c r="W38" s="47"/>
      <c r="X38" s="11"/>
      <c r="Y38" s="48"/>
      <c r="Z38" s="11"/>
      <c r="AA38" s="48"/>
      <c r="AB38" s="11"/>
      <c r="AC38" s="48"/>
      <c r="AD38" s="11"/>
      <c r="AE38" s="47"/>
      <c r="AF38" s="11"/>
      <c r="AG38" s="48"/>
      <c r="AH38" s="11"/>
      <c r="AI38" s="48"/>
      <c r="AJ38" s="11"/>
      <c r="AK38" s="48"/>
      <c r="AL38" s="11"/>
      <c r="AM38" s="49"/>
      <c r="AN38" s="49"/>
      <c r="AO38" s="11"/>
      <c r="AP38" s="11"/>
      <c r="AQ38" s="28" t="b">
        <f>IF(COUNTIF(SmartStatus!A$2:A1000, AM38) &gt; 2, TRUE, FALSE)</f>
        <v>0</v>
      </c>
      <c r="AR38" s="29" t="str">
        <f ca="1">IFERROR(__xludf.DUMMYFUNCTION("iferror(if(regexmatch(AO38, ""(?i)^registered""), if(EE38 &lt;&gt; ""polity_shortest_name"", ""CHECK_POLITY"", index(filter(SmartStatus!B$2:B1000, AM38 = SmartStatus!A$2:A1000, not(SmartStatus!C$2:C1000), (isblank(SmartStatus!D$2:D1000)) + ((P38 &lt;&gt; """") * (P38"&amp;" &lt; SmartStatus!D$2:D1000)), (isblank(SmartStatus!E$2:E1000)) + ((P38 &lt;&gt; """") * (P38 &gt;= SmartStatus!E$2:E1000)), (isblank(SmartStatus!F$2:F1000)) + (((Q38 &lt;&gt; """") * (Q38 &lt; SmartStatus!F$2:F1000)) + ((P38 &lt;&gt; """") * (date(year(P38) + 3, month(P38), day(P3"&amp;"8)) &lt; SmartStatus!F$2:F1000))), (isblank(SmartStatus!G$2:G1000)) + (((Q38 &lt;&gt; """") * (Q38 &gt;= SmartStatus!G$2:G1000)) + ((P38 &lt;&gt; """") * (P38 &gt;= SmartStatus!G$2:G1000)))), if(or(regexmatch(B38, ""(?i)^ir [a-z]+ designation$""), N38 &lt;&gt; """"), 1, 2))), """")"&amp;", ""NO_MATCH"")"),"")</f>
        <v/>
      </c>
      <c r="AS38" s="11"/>
      <c r="AT38" s="15"/>
      <c r="AU38" s="11"/>
      <c r="AV38" s="11"/>
      <c r="AW38" s="15"/>
      <c r="AX38" s="15"/>
      <c r="AY38" s="15"/>
      <c r="AZ38" s="11"/>
      <c r="BA38" s="15"/>
      <c r="BB38" s="11"/>
      <c r="BC38" s="11"/>
      <c r="BD38" s="15"/>
      <c r="BE38" s="11"/>
      <c r="BF38" s="11"/>
      <c r="BG38" s="15"/>
      <c r="BH38" s="15"/>
      <c r="BI38" s="15"/>
      <c r="BJ38" s="11"/>
      <c r="BK38" s="15"/>
      <c r="BL38" s="11"/>
      <c r="BM38" s="11"/>
      <c r="BN38" s="15"/>
      <c r="BO38" s="11"/>
      <c r="BP38" s="11"/>
      <c r="BQ38" s="15"/>
      <c r="BR38" s="15"/>
      <c r="BS38" s="15"/>
      <c r="BT38" s="11"/>
      <c r="BU38" s="15"/>
      <c r="BV38" s="11"/>
      <c r="BW38" s="11"/>
      <c r="BX38" s="15"/>
      <c r="BY38" s="11"/>
      <c r="BZ38" s="11"/>
      <c r="CA38" s="15"/>
      <c r="CB38" s="11"/>
      <c r="CC38" s="15"/>
      <c r="CD38" s="11"/>
      <c r="CE38" s="15"/>
      <c r="CF38" s="11"/>
      <c r="CG38" s="11"/>
      <c r="CH38" s="15"/>
      <c r="CI38" s="11"/>
      <c r="CJ38" s="11"/>
      <c r="CK38" s="15"/>
      <c r="CL38" s="11"/>
      <c r="CM38" s="11"/>
      <c r="CN38" s="11"/>
      <c r="CO38" s="11"/>
      <c r="CP38" s="28"/>
      <c r="CQ38" s="28"/>
      <c r="CR38" s="11"/>
      <c r="CS38" s="29"/>
      <c r="CT38" s="11"/>
      <c r="CU38" s="11"/>
      <c r="CV38" s="11"/>
      <c r="CW38" s="11"/>
      <c r="CX38" s="11"/>
      <c r="CY38" s="11"/>
      <c r="CZ38" s="11"/>
      <c r="DA38" s="28"/>
      <c r="DB38" s="28"/>
      <c r="DC38" s="11"/>
      <c r="DD38" s="29"/>
      <c r="DE38" s="11"/>
      <c r="DF38" s="11"/>
      <c r="DG38" s="11"/>
      <c r="DH38" s="11"/>
      <c r="DI38" s="11"/>
      <c r="DJ38" s="11"/>
      <c r="DK38" s="26"/>
      <c r="DL38" s="11"/>
      <c r="DM38" s="29"/>
      <c r="DN38" s="28"/>
      <c r="DO38" s="11"/>
      <c r="DP38" s="11"/>
      <c r="DQ38" s="11"/>
      <c r="DR38" s="29"/>
      <c r="DS38" s="28"/>
      <c r="DT38" s="11"/>
      <c r="DU38" s="26"/>
      <c r="DV38" s="11"/>
      <c r="DW38" s="29"/>
      <c r="DX38" s="28"/>
      <c r="DY38" s="11"/>
      <c r="DZ38" s="26"/>
      <c r="EA38" s="11"/>
      <c r="EB38" s="29"/>
      <c r="EC38" s="28"/>
      <c r="ED38" s="30"/>
      <c r="EE38" s="30" t="str">
        <f ca="1">IFERROR(__xludf.DUMMYFUNCTION("iferror(index(filter('Internal -- Trademark Countries'!E$2:E1000, (AM38 = 'Internal -- Trademark Countries'!B$2:B1000) + (AM38 = 'Internal -- Trademark Countries'!C$2:C1000) + (AM38 = 'Internal -- Trademark Countries'!D$2:D1000)), 1))"),"")</f>
        <v/>
      </c>
      <c r="EF38" s="30" t="e">
        <f ca="1">_xludf.ifs(AM38="", "", COUNTIF('Internal -- Trademark Countries'!B:B,AM38) &gt; 0, "polity_shortest_name", COUNTIF('Internal -- Trademark Countries'!C:C,AM38) &gt; 0, "polity_full_name", COUNTIF('Internal -- Trademark Countries'!D:D,AM38) &gt; 0, "polity_common_name", COUNTIF('Internal -- Trademark Countries'!E:E,AM38) &gt; 0, "shortest_name", COUNTIF('Internal -- Trademark Countries'!A:A,AM38) &gt; 0, "full_name", TRUE, "not a match")</f>
        <v>#NAME?</v>
      </c>
      <c r="EG38" s="30"/>
      <c r="EH38" s="30"/>
      <c r="EI38" s="30"/>
      <c r="EJ38" s="30"/>
      <c r="EK38" s="30" t="str">
        <f t="shared" si="2"/>
        <v/>
      </c>
    </row>
    <row r="39" spans="1:141" ht="16.5">
      <c r="A39" s="11"/>
      <c r="B39" s="11"/>
      <c r="C39" s="11"/>
      <c r="D39" s="11"/>
      <c r="E39" s="11"/>
      <c r="F39" s="11"/>
      <c r="G39" s="11"/>
      <c r="H39" s="11"/>
      <c r="I39" s="11"/>
      <c r="J39" s="11"/>
      <c r="K39" s="27"/>
      <c r="L39" s="11"/>
      <c r="M39" s="11"/>
      <c r="N39" s="11"/>
      <c r="O39" s="11"/>
      <c r="P39" s="15"/>
      <c r="Q39" s="15"/>
      <c r="R39" s="15"/>
      <c r="S39" s="15"/>
      <c r="T39" s="15"/>
      <c r="U39" s="15"/>
      <c r="V39" s="15"/>
      <c r="W39" s="47"/>
      <c r="X39" s="11"/>
      <c r="Y39" s="48"/>
      <c r="Z39" s="11"/>
      <c r="AA39" s="48"/>
      <c r="AB39" s="11"/>
      <c r="AC39" s="48"/>
      <c r="AD39" s="11"/>
      <c r="AE39" s="47"/>
      <c r="AF39" s="11"/>
      <c r="AG39" s="48"/>
      <c r="AH39" s="11"/>
      <c r="AI39" s="48"/>
      <c r="AJ39" s="11"/>
      <c r="AK39" s="48"/>
      <c r="AL39" s="11"/>
      <c r="AM39" s="49"/>
      <c r="AN39" s="49"/>
      <c r="AO39" s="11"/>
      <c r="AP39" s="11"/>
      <c r="AQ39" s="28" t="b">
        <f>IF(COUNTIF(SmartStatus!A$2:A1000, AM39) &gt; 2, TRUE, FALSE)</f>
        <v>0</v>
      </c>
      <c r="AR39" s="29" t="str">
        <f ca="1">IFERROR(__xludf.DUMMYFUNCTION("iferror(if(regexmatch(AO39, ""(?i)^registered""), if(EE39 &lt;&gt; ""polity_shortest_name"", ""CHECK_POLITY"", index(filter(SmartStatus!B$2:B1000, AM39 = SmartStatus!A$2:A1000, not(SmartStatus!C$2:C1000), (isblank(SmartStatus!D$2:D1000)) + ((P39 &lt;&gt; """") * (P39"&amp;" &lt; SmartStatus!D$2:D1000)), (isblank(SmartStatus!E$2:E1000)) + ((P39 &lt;&gt; """") * (P39 &gt;= SmartStatus!E$2:E1000)), (isblank(SmartStatus!F$2:F1000)) + (((Q39 &lt;&gt; """") * (Q39 &lt; SmartStatus!F$2:F1000)) + ((P39 &lt;&gt; """") * (date(year(P39) + 3, month(P39), day(P3"&amp;"9)) &lt; SmartStatus!F$2:F1000))), (isblank(SmartStatus!G$2:G1000)) + (((Q39 &lt;&gt; """") * (Q39 &gt;= SmartStatus!G$2:G1000)) + ((P39 &lt;&gt; """") * (P39 &gt;= SmartStatus!G$2:G1000)))), if(or(regexmatch(B39, ""(?i)^ir [a-z]+ designation$""), N39 &lt;&gt; """"), 1, 2))), """")"&amp;", ""NO_MATCH"")"),"")</f>
        <v/>
      </c>
      <c r="AS39" s="11"/>
      <c r="AT39" s="15"/>
      <c r="AU39" s="11"/>
      <c r="AV39" s="11"/>
      <c r="AW39" s="15"/>
      <c r="AX39" s="15"/>
      <c r="AY39" s="15"/>
      <c r="AZ39" s="11"/>
      <c r="BA39" s="15"/>
      <c r="BB39" s="11"/>
      <c r="BC39" s="11"/>
      <c r="BD39" s="15"/>
      <c r="BE39" s="11"/>
      <c r="BF39" s="11"/>
      <c r="BG39" s="15"/>
      <c r="BH39" s="15"/>
      <c r="BI39" s="15"/>
      <c r="BJ39" s="11"/>
      <c r="BK39" s="15"/>
      <c r="BL39" s="11"/>
      <c r="BM39" s="11"/>
      <c r="BN39" s="15"/>
      <c r="BO39" s="11"/>
      <c r="BP39" s="11"/>
      <c r="BQ39" s="15"/>
      <c r="BR39" s="15"/>
      <c r="BS39" s="15"/>
      <c r="BT39" s="11"/>
      <c r="BU39" s="15"/>
      <c r="BV39" s="11"/>
      <c r="BW39" s="11"/>
      <c r="BX39" s="15"/>
      <c r="BY39" s="11"/>
      <c r="BZ39" s="11"/>
      <c r="CA39" s="15"/>
      <c r="CB39" s="11"/>
      <c r="CC39" s="15"/>
      <c r="CD39" s="11"/>
      <c r="CE39" s="15"/>
      <c r="CF39" s="11"/>
      <c r="CG39" s="11"/>
      <c r="CH39" s="15"/>
      <c r="CI39" s="11"/>
      <c r="CJ39" s="11"/>
      <c r="CK39" s="15"/>
      <c r="CL39" s="11"/>
      <c r="CM39" s="11"/>
      <c r="CN39" s="11"/>
      <c r="CO39" s="11"/>
      <c r="CP39" s="28"/>
      <c r="CQ39" s="28"/>
      <c r="CR39" s="11"/>
      <c r="CS39" s="29"/>
      <c r="CT39" s="11"/>
      <c r="CU39" s="11"/>
      <c r="CV39" s="11"/>
      <c r="CW39" s="11"/>
      <c r="CX39" s="11"/>
      <c r="CY39" s="11"/>
      <c r="CZ39" s="11"/>
      <c r="DA39" s="28"/>
      <c r="DB39" s="28"/>
      <c r="DC39" s="11"/>
      <c r="DD39" s="29"/>
      <c r="DE39" s="11"/>
      <c r="DF39" s="11"/>
      <c r="DG39" s="11"/>
      <c r="DH39" s="11"/>
      <c r="DI39" s="11"/>
      <c r="DJ39" s="11"/>
      <c r="DK39" s="26"/>
      <c r="DL39" s="11"/>
      <c r="DM39" s="29"/>
      <c r="DN39" s="28"/>
      <c r="DO39" s="11"/>
      <c r="DP39" s="11"/>
      <c r="DQ39" s="11"/>
      <c r="DR39" s="29"/>
      <c r="DS39" s="28"/>
      <c r="DT39" s="11"/>
      <c r="DU39" s="26"/>
      <c r="DV39" s="11"/>
      <c r="DW39" s="29"/>
      <c r="DX39" s="28"/>
      <c r="DY39" s="11"/>
      <c r="DZ39" s="26"/>
      <c r="EA39" s="11"/>
      <c r="EB39" s="29"/>
      <c r="EC39" s="28"/>
      <c r="ED39" s="30"/>
      <c r="EE39" s="30" t="str">
        <f ca="1">IFERROR(__xludf.DUMMYFUNCTION("iferror(index(filter('Internal -- Trademark Countries'!E$2:E1000, (AM39 = 'Internal -- Trademark Countries'!B$2:B1000) + (AM39 = 'Internal -- Trademark Countries'!C$2:C1000) + (AM39 = 'Internal -- Trademark Countries'!D$2:D1000)), 1))"),"")</f>
        <v/>
      </c>
      <c r="EF39" s="30" t="e">
        <f ca="1">_xludf.ifs(AM39="", "", COUNTIF('Internal -- Trademark Countries'!B:B,AM39) &gt; 0, "polity_shortest_name", COUNTIF('Internal -- Trademark Countries'!C:C,AM39) &gt; 0, "polity_full_name", COUNTIF('Internal -- Trademark Countries'!D:D,AM39) &gt; 0, "polity_common_name", COUNTIF('Internal -- Trademark Countries'!E:E,AM39) &gt; 0, "shortest_name", COUNTIF('Internal -- Trademark Countries'!A:A,AM39) &gt; 0, "full_name", TRUE, "not a match")</f>
        <v>#NAME?</v>
      </c>
      <c r="EG39" s="30"/>
      <c r="EH39" s="30"/>
      <c r="EI39" s="30"/>
      <c r="EJ39" s="30"/>
      <c r="EK39" s="30" t="str">
        <f t="shared" si="2"/>
        <v/>
      </c>
    </row>
    <row r="40" spans="1:141" ht="16.5">
      <c r="A40" s="11"/>
      <c r="B40" s="11"/>
      <c r="C40" s="11"/>
      <c r="D40" s="11"/>
      <c r="E40" s="11"/>
      <c r="F40" s="11"/>
      <c r="G40" s="11"/>
      <c r="H40" s="11"/>
      <c r="I40" s="11"/>
      <c r="J40" s="11"/>
      <c r="K40" s="27"/>
      <c r="L40" s="11"/>
      <c r="M40" s="11"/>
      <c r="N40" s="11"/>
      <c r="O40" s="11"/>
      <c r="P40" s="15"/>
      <c r="Q40" s="15"/>
      <c r="R40" s="15"/>
      <c r="S40" s="15"/>
      <c r="T40" s="15"/>
      <c r="U40" s="15"/>
      <c r="V40" s="15"/>
      <c r="W40" s="47"/>
      <c r="X40" s="11"/>
      <c r="Y40" s="48"/>
      <c r="Z40" s="11"/>
      <c r="AA40" s="48"/>
      <c r="AB40" s="11"/>
      <c r="AC40" s="48"/>
      <c r="AD40" s="11"/>
      <c r="AE40" s="47"/>
      <c r="AF40" s="11"/>
      <c r="AG40" s="48"/>
      <c r="AH40" s="11"/>
      <c r="AI40" s="48"/>
      <c r="AJ40" s="11"/>
      <c r="AK40" s="48"/>
      <c r="AL40" s="11"/>
      <c r="AM40" s="49"/>
      <c r="AN40" s="49"/>
      <c r="AO40" s="11"/>
      <c r="AP40" s="11"/>
      <c r="AQ40" s="28" t="b">
        <f>IF(COUNTIF(SmartStatus!A$2:A1000, AM40) &gt; 2, TRUE, FALSE)</f>
        <v>0</v>
      </c>
      <c r="AR40" s="29" t="str">
        <f ca="1">IFERROR(__xludf.DUMMYFUNCTION("iferror(if(regexmatch(AO40, ""(?i)^registered""), if(EE40 &lt;&gt; ""polity_shortest_name"", ""CHECK_POLITY"", index(filter(SmartStatus!B$2:B1000, AM40 = SmartStatus!A$2:A1000, not(SmartStatus!C$2:C1000), (isblank(SmartStatus!D$2:D1000)) + ((P40 &lt;&gt; """") * (P40"&amp;" &lt; SmartStatus!D$2:D1000)), (isblank(SmartStatus!E$2:E1000)) + ((P40 &lt;&gt; """") * (P40 &gt;= SmartStatus!E$2:E1000)), (isblank(SmartStatus!F$2:F1000)) + (((Q40 &lt;&gt; """") * (Q40 &lt; SmartStatus!F$2:F1000)) + ((P40 &lt;&gt; """") * (date(year(P40) + 3, month(P40), day(P4"&amp;"0)) &lt; SmartStatus!F$2:F1000))), (isblank(SmartStatus!G$2:G1000)) + (((Q40 &lt;&gt; """") * (Q40 &gt;= SmartStatus!G$2:G1000)) + ((P40 &lt;&gt; """") * (P40 &gt;= SmartStatus!G$2:G1000)))), if(or(regexmatch(B40, ""(?i)^ir [a-z]+ designation$""), N40 &lt;&gt; """"), 1, 2))), """")"&amp;", ""NO_MATCH"")"),"")</f>
        <v/>
      </c>
      <c r="AS40" s="11"/>
      <c r="AT40" s="15"/>
      <c r="AU40" s="11"/>
      <c r="AV40" s="11"/>
      <c r="AW40" s="15"/>
      <c r="AX40" s="15"/>
      <c r="AY40" s="15"/>
      <c r="AZ40" s="11"/>
      <c r="BA40" s="15"/>
      <c r="BB40" s="11"/>
      <c r="BC40" s="11"/>
      <c r="BD40" s="15"/>
      <c r="BE40" s="11"/>
      <c r="BF40" s="11"/>
      <c r="BG40" s="15"/>
      <c r="BH40" s="15"/>
      <c r="BI40" s="15"/>
      <c r="BJ40" s="11"/>
      <c r="BK40" s="15"/>
      <c r="BL40" s="11"/>
      <c r="BM40" s="11"/>
      <c r="BN40" s="15"/>
      <c r="BO40" s="11"/>
      <c r="BP40" s="11"/>
      <c r="BQ40" s="15"/>
      <c r="BR40" s="15"/>
      <c r="BS40" s="15"/>
      <c r="BT40" s="11"/>
      <c r="BU40" s="15"/>
      <c r="BV40" s="11"/>
      <c r="BW40" s="11"/>
      <c r="BX40" s="15"/>
      <c r="BY40" s="11"/>
      <c r="BZ40" s="11"/>
      <c r="CA40" s="15"/>
      <c r="CB40" s="11"/>
      <c r="CC40" s="15"/>
      <c r="CD40" s="11"/>
      <c r="CE40" s="15"/>
      <c r="CF40" s="11"/>
      <c r="CG40" s="11"/>
      <c r="CH40" s="15"/>
      <c r="CI40" s="11"/>
      <c r="CJ40" s="11"/>
      <c r="CK40" s="15"/>
      <c r="CL40" s="11"/>
      <c r="CM40" s="11"/>
      <c r="CN40" s="11"/>
      <c r="CO40" s="11"/>
      <c r="CP40" s="28"/>
      <c r="CQ40" s="28"/>
      <c r="CR40" s="11"/>
      <c r="CS40" s="29"/>
      <c r="CT40" s="11"/>
      <c r="CU40" s="11"/>
      <c r="CV40" s="11"/>
      <c r="CW40" s="11"/>
      <c r="CX40" s="11"/>
      <c r="CY40" s="11"/>
      <c r="CZ40" s="11"/>
      <c r="DA40" s="28"/>
      <c r="DB40" s="28"/>
      <c r="DC40" s="11"/>
      <c r="DD40" s="29"/>
      <c r="DE40" s="11"/>
      <c r="DF40" s="11"/>
      <c r="DG40" s="11"/>
      <c r="DH40" s="11"/>
      <c r="DI40" s="11"/>
      <c r="DJ40" s="11"/>
      <c r="DK40" s="26"/>
      <c r="DL40" s="11"/>
      <c r="DM40" s="29"/>
      <c r="DN40" s="28"/>
      <c r="DO40" s="11"/>
      <c r="DP40" s="11"/>
      <c r="DQ40" s="11"/>
      <c r="DR40" s="29"/>
      <c r="DS40" s="28"/>
      <c r="DT40" s="11"/>
      <c r="DU40" s="26"/>
      <c r="DV40" s="11"/>
      <c r="DW40" s="29"/>
      <c r="DX40" s="28"/>
      <c r="DY40" s="11"/>
      <c r="DZ40" s="26"/>
      <c r="EA40" s="11"/>
      <c r="EB40" s="29"/>
      <c r="EC40" s="28"/>
      <c r="ED40" s="30"/>
      <c r="EE40" s="30" t="str">
        <f ca="1">IFERROR(__xludf.DUMMYFUNCTION("iferror(index(filter('Internal -- Trademark Countries'!E$2:E1000, (AM40 = 'Internal -- Trademark Countries'!B$2:B1000) + (AM40 = 'Internal -- Trademark Countries'!C$2:C1000) + (AM40 = 'Internal -- Trademark Countries'!D$2:D1000)), 1))"),"")</f>
        <v/>
      </c>
      <c r="EF40" s="30" t="e">
        <f ca="1">_xludf.ifs(AM40="", "", COUNTIF('Internal -- Trademark Countries'!B:B,AM40) &gt; 0, "polity_shortest_name", COUNTIF('Internal -- Trademark Countries'!C:C,AM40) &gt; 0, "polity_full_name", COUNTIF('Internal -- Trademark Countries'!D:D,AM40) &gt; 0, "polity_common_name", COUNTIF('Internal -- Trademark Countries'!E:E,AM40) &gt; 0, "shortest_name", COUNTIF('Internal -- Trademark Countries'!A:A,AM40) &gt; 0, "full_name", TRUE, "not a match")</f>
        <v>#NAME?</v>
      </c>
      <c r="EG40" s="30"/>
      <c r="EH40" s="30"/>
      <c r="EI40" s="30"/>
      <c r="EJ40" s="30"/>
      <c r="EK40" s="30" t="str">
        <f t="shared" si="2"/>
        <v/>
      </c>
    </row>
    <row r="41" spans="1:141" ht="16.5">
      <c r="A41" s="11"/>
      <c r="B41" s="11"/>
      <c r="C41" s="11"/>
      <c r="D41" s="11"/>
      <c r="E41" s="11"/>
      <c r="F41" s="11"/>
      <c r="G41" s="11"/>
      <c r="H41" s="11"/>
      <c r="I41" s="11"/>
      <c r="J41" s="11"/>
      <c r="K41" s="27"/>
      <c r="L41" s="11"/>
      <c r="M41" s="11"/>
      <c r="N41" s="11"/>
      <c r="O41" s="11"/>
      <c r="P41" s="15"/>
      <c r="Q41" s="15"/>
      <c r="R41" s="15"/>
      <c r="S41" s="15"/>
      <c r="T41" s="15"/>
      <c r="U41" s="15"/>
      <c r="V41" s="15"/>
      <c r="W41" s="47"/>
      <c r="X41" s="11"/>
      <c r="Y41" s="48"/>
      <c r="Z41" s="11"/>
      <c r="AA41" s="48"/>
      <c r="AB41" s="11"/>
      <c r="AC41" s="48"/>
      <c r="AD41" s="11"/>
      <c r="AE41" s="47"/>
      <c r="AF41" s="11"/>
      <c r="AG41" s="48"/>
      <c r="AH41" s="11"/>
      <c r="AI41" s="48"/>
      <c r="AJ41" s="11"/>
      <c r="AK41" s="48"/>
      <c r="AL41" s="11"/>
      <c r="AM41" s="49"/>
      <c r="AN41" s="49"/>
      <c r="AO41" s="11"/>
      <c r="AP41" s="11"/>
      <c r="AQ41" s="28" t="b">
        <f>IF(COUNTIF(SmartStatus!A$2:A1000, AM41) &gt; 2, TRUE, FALSE)</f>
        <v>0</v>
      </c>
      <c r="AR41" s="29" t="str">
        <f ca="1">IFERROR(__xludf.DUMMYFUNCTION("iferror(if(regexmatch(AO41, ""(?i)^registered""), if(EE41 &lt;&gt; ""polity_shortest_name"", ""CHECK_POLITY"", index(filter(SmartStatus!B$2:B1000, AM41 = SmartStatus!A$2:A1000, not(SmartStatus!C$2:C1000), (isblank(SmartStatus!D$2:D1000)) + ((P41 &lt;&gt; """") * (P41"&amp;" &lt; SmartStatus!D$2:D1000)), (isblank(SmartStatus!E$2:E1000)) + ((P41 &lt;&gt; """") * (P41 &gt;= SmartStatus!E$2:E1000)), (isblank(SmartStatus!F$2:F1000)) + (((Q41 &lt;&gt; """") * (Q41 &lt; SmartStatus!F$2:F1000)) + ((P41 &lt;&gt; """") * (date(year(P41) + 3, month(P41), day(P4"&amp;"1)) &lt; SmartStatus!F$2:F1000))), (isblank(SmartStatus!G$2:G1000)) + (((Q41 &lt;&gt; """") * (Q41 &gt;= SmartStatus!G$2:G1000)) + ((P41 &lt;&gt; """") * (P41 &gt;= SmartStatus!G$2:G1000)))), if(or(regexmatch(B41, ""(?i)^ir [a-z]+ designation$""), N41 &lt;&gt; """"), 1, 2))), """")"&amp;", ""NO_MATCH"")"),"")</f>
        <v/>
      </c>
      <c r="AS41" s="11"/>
      <c r="AT41" s="15"/>
      <c r="AU41" s="11"/>
      <c r="AV41" s="11"/>
      <c r="AW41" s="15"/>
      <c r="AX41" s="15"/>
      <c r="AY41" s="15"/>
      <c r="AZ41" s="11"/>
      <c r="BA41" s="15"/>
      <c r="BB41" s="11"/>
      <c r="BC41" s="11"/>
      <c r="BD41" s="15"/>
      <c r="BE41" s="11"/>
      <c r="BF41" s="11"/>
      <c r="BG41" s="15"/>
      <c r="BH41" s="15"/>
      <c r="BI41" s="15"/>
      <c r="BJ41" s="11"/>
      <c r="BK41" s="15"/>
      <c r="BL41" s="11"/>
      <c r="BM41" s="11"/>
      <c r="BN41" s="15"/>
      <c r="BO41" s="11"/>
      <c r="BP41" s="11"/>
      <c r="BQ41" s="15"/>
      <c r="BR41" s="15"/>
      <c r="BS41" s="15"/>
      <c r="BT41" s="11"/>
      <c r="BU41" s="15"/>
      <c r="BV41" s="11"/>
      <c r="BW41" s="11"/>
      <c r="BX41" s="15"/>
      <c r="BY41" s="11"/>
      <c r="BZ41" s="11"/>
      <c r="CA41" s="15"/>
      <c r="CB41" s="11"/>
      <c r="CC41" s="15"/>
      <c r="CD41" s="11"/>
      <c r="CE41" s="15"/>
      <c r="CF41" s="11"/>
      <c r="CG41" s="11"/>
      <c r="CH41" s="15"/>
      <c r="CI41" s="11"/>
      <c r="CJ41" s="11"/>
      <c r="CK41" s="15"/>
      <c r="CL41" s="11"/>
      <c r="CM41" s="11"/>
      <c r="CN41" s="11"/>
      <c r="CO41" s="11"/>
      <c r="CP41" s="28"/>
      <c r="CQ41" s="28"/>
      <c r="CR41" s="11"/>
      <c r="CS41" s="29"/>
      <c r="CT41" s="11"/>
      <c r="CU41" s="11"/>
      <c r="CV41" s="11"/>
      <c r="CW41" s="11"/>
      <c r="CX41" s="11"/>
      <c r="CY41" s="11"/>
      <c r="CZ41" s="11"/>
      <c r="DA41" s="28"/>
      <c r="DB41" s="28"/>
      <c r="DC41" s="11"/>
      <c r="DD41" s="29"/>
      <c r="DE41" s="11"/>
      <c r="DF41" s="11"/>
      <c r="DG41" s="11"/>
      <c r="DH41" s="11"/>
      <c r="DI41" s="11"/>
      <c r="DJ41" s="11"/>
      <c r="DK41" s="26"/>
      <c r="DL41" s="11"/>
      <c r="DM41" s="29"/>
      <c r="DN41" s="28"/>
      <c r="DO41" s="11"/>
      <c r="DP41" s="11"/>
      <c r="DQ41" s="11"/>
      <c r="DR41" s="29"/>
      <c r="DS41" s="28"/>
      <c r="DT41" s="11"/>
      <c r="DU41" s="26"/>
      <c r="DV41" s="11"/>
      <c r="DW41" s="29"/>
      <c r="DX41" s="28"/>
      <c r="DY41" s="11"/>
      <c r="DZ41" s="26"/>
      <c r="EA41" s="11"/>
      <c r="EB41" s="29"/>
      <c r="EC41" s="28"/>
      <c r="ED41" s="30"/>
      <c r="EE41" s="30" t="str">
        <f ca="1">IFERROR(__xludf.DUMMYFUNCTION("iferror(index(filter('Internal -- Trademark Countries'!E$2:E1000, (AM41 = 'Internal -- Trademark Countries'!B$2:B1000) + (AM41 = 'Internal -- Trademark Countries'!C$2:C1000) + (AM41 = 'Internal -- Trademark Countries'!D$2:D1000)), 1))"),"")</f>
        <v/>
      </c>
      <c r="EF41" s="30" t="e">
        <f ca="1">_xludf.ifs(AM41="", "", COUNTIF('Internal -- Trademark Countries'!B:B,AM41) &gt; 0, "polity_shortest_name", COUNTIF('Internal -- Trademark Countries'!C:C,AM41) &gt; 0, "polity_full_name", COUNTIF('Internal -- Trademark Countries'!D:D,AM41) &gt; 0, "polity_common_name", COUNTIF('Internal -- Trademark Countries'!E:E,AM41) &gt; 0, "shortest_name", COUNTIF('Internal -- Trademark Countries'!A:A,AM41) &gt; 0, "full_name", TRUE, "not a match")</f>
        <v>#NAME?</v>
      </c>
      <c r="EG41" s="30"/>
      <c r="EH41" s="30"/>
      <c r="EI41" s="30"/>
      <c r="EJ41" s="30"/>
      <c r="EK41" s="30" t="str">
        <f t="shared" si="2"/>
        <v/>
      </c>
    </row>
    <row r="42" spans="1:141" ht="16.5">
      <c r="A42" s="11"/>
      <c r="B42" s="11"/>
      <c r="C42" s="11"/>
      <c r="D42" s="11"/>
      <c r="E42" s="11"/>
      <c r="F42" s="11"/>
      <c r="G42" s="11"/>
      <c r="H42" s="11"/>
      <c r="I42" s="11"/>
      <c r="J42" s="11"/>
      <c r="K42" s="27"/>
      <c r="L42" s="11"/>
      <c r="M42" s="11"/>
      <c r="N42" s="11"/>
      <c r="O42" s="11"/>
      <c r="P42" s="15"/>
      <c r="Q42" s="15"/>
      <c r="R42" s="15"/>
      <c r="S42" s="15"/>
      <c r="T42" s="15"/>
      <c r="U42" s="15"/>
      <c r="V42" s="15"/>
      <c r="W42" s="47"/>
      <c r="X42" s="11"/>
      <c r="Y42" s="48"/>
      <c r="Z42" s="11"/>
      <c r="AA42" s="48"/>
      <c r="AB42" s="11"/>
      <c r="AC42" s="48"/>
      <c r="AD42" s="11"/>
      <c r="AE42" s="47"/>
      <c r="AF42" s="11"/>
      <c r="AG42" s="48"/>
      <c r="AH42" s="11"/>
      <c r="AI42" s="48"/>
      <c r="AJ42" s="11"/>
      <c r="AK42" s="48"/>
      <c r="AL42" s="11"/>
      <c r="AM42" s="49"/>
      <c r="AN42" s="49"/>
      <c r="AO42" s="11"/>
      <c r="AP42" s="11"/>
      <c r="AQ42" s="28" t="b">
        <f>IF(COUNTIF(SmartStatus!A$2:A1000, AM42) &gt; 2, TRUE, FALSE)</f>
        <v>0</v>
      </c>
      <c r="AR42" s="29" t="str">
        <f ca="1">IFERROR(__xludf.DUMMYFUNCTION("iferror(if(regexmatch(AO42, ""(?i)^registered""), if(EE42 &lt;&gt; ""polity_shortest_name"", ""CHECK_POLITY"", index(filter(SmartStatus!B$2:B1000, AM42 = SmartStatus!A$2:A1000, not(SmartStatus!C$2:C1000), (isblank(SmartStatus!D$2:D1000)) + ((P42 &lt;&gt; """") * (P42"&amp;" &lt; SmartStatus!D$2:D1000)), (isblank(SmartStatus!E$2:E1000)) + ((P42 &lt;&gt; """") * (P42 &gt;= SmartStatus!E$2:E1000)), (isblank(SmartStatus!F$2:F1000)) + (((Q42 &lt;&gt; """") * (Q42 &lt; SmartStatus!F$2:F1000)) + ((P42 &lt;&gt; """") * (date(year(P42) + 3, month(P42), day(P4"&amp;"2)) &lt; SmartStatus!F$2:F1000))), (isblank(SmartStatus!G$2:G1000)) + (((Q42 &lt;&gt; """") * (Q42 &gt;= SmartStatus!G$2:G1000)) + ((P42 &lt;&gt; """") * (P42 &gt;= SmartStatus!G$2:G1000)))), if(or(regexmatch(B42, ""(?i)^ir [a-z]+ designation$""), N42 &lt;&gt; """"), 1, 2))), """")"&amp;", ""NO_MATCH"")"),"")</f>
        <v/>
      </c>
      <c r="AS42" s="11"/>
      <c r="AT42" s="15"/>
      <c r="AU42" s="11"/>
      <c r="AV42" s="11"/>
      <c r="AW42" s="15"/>
      <c r="AX42" s="15"/>
      <c r="AY42" s="15"/>
      <c r="AZ42" s="11"/>
      <c r="BA42" s="15"/>
      <c r="BB42" s="11"/>
      <c r="BC42" s="11"/>
      <c r="BD42" s="15"/>
      <c r="BE42" s="11"/>
      <c r="BF42" s="11"/>
      <c r="BG42" s="15"/>
      <c r="BH42" s="15"/>
      <c r="BI42" s="15"/>
      <c r="BJ42" s="11"/>
      <c r="BK42" s="15"/>
      <c r="BL42" s="11"/>
      <c r="BM42" s="11"/>
      <c r="BN42" s="15"/>
      <c r="BO42" s="11"/>
      <c r="BP42" s="11"/>
      <c r="BQ42" s="15"/>
      <c r="BR42" s="15"/>
      <c r="BS42" s="15"/>
      <c r="BT42" s="11"/>
      <c r="BU42" s="15"/>
      <c r="BV42" s="11"/>
      <c r="BW42" s="11"/>
      <c r="BX42" s="15"/>
      <c r="BY42" s="11"/>
      <c r="BZ42" s="11"/>
      <c r="CA42" s="15"/>
      <c r="CB42" s="11"/>
      <c r="CC42" s="15"/>
      <c r="CD42" s="11"/>
      <c r="CE42" s="15"/>
      <c r="CF42" s="11"/>
      <c r="CG42" s="11"/>
      <c r="CH42" s="15"/>
      <c r="CI42" s="11"/>
      <c r="CJ42" s="11"/>
      <c r="CK42" s="15"/>
      <c r="CL42" s="11"/>
      <c r="CM42" s="11"/>
      <c r="CN42" s="11"/>
      <c r="CO42" s="11"/>
      <c r="CP42" s="28"/>
      <c r="CQ42" s="28"/>
      <c r="CR42" s="11"/>
      <c r="CS42" s="29"/>
      <c r="CT42" s="11"/>
      <c r="CU42" s="11"/>
      <c r="CV42" s="11"/>
      <c r="CW42" s="11"/>
      <c r="CX42" s="11"/>
      <c r="CY42" s="11"/>
      <c r="CZ42" s="11"/>
      <c r="DA42" s="28"/>
      <c r="DB42" s="28"/>
      <c r="DC42" s="11"/>
      <c r="DD42" s="29"/>
      <c r="DE42" s="11"/>
      <c r="DF42" s="11"/>
      <c r="DG42" s="11"/>
      <c r="DH42" s="11"/>
      <c r="DI42" s="11"/>
      <c r="DJ42" s="11"/>
      <c r="DK42" s="26"/>
      <c r="DL42" s="11"/>
      <c r="DM42" s="29"/>
      <c r="DN42" s="28"/>
      <c r="DO42" s="11"/>
      <c r="DP42" s="11"/>
      <c r="DQ42" s="11"/>
      <c r="DR42" s="29"/>
      <c r="DS42" s="28"/>
      <c r="DT42" s="11"/>
      <c r="DU42" s="26"/>
      <c r="DV42" s="11"/>
      <c r="DW42" s="29"/>
      <c r="DX42" s="28"/>
      <c r="DY42" s="11"/>
      <c r="DZ42" s="26"/>
      <c r="EA42" s="11"/>
      <c r="EB42" s="29"/>
      <c r="EC42" s="28"/>
      <c r="ED42" s="30"/>
      <c r="EE42" s="30" t="str">
        <f ca="1">IFERROR(__xludf.DUMMYFUNCTION("iferror(index(filter('Internal -- Trademark Countries'!E$2:E1000, (AM42 = 'Internal -- Trademark Countries'!B$2:B1000) + (AM42 = 'Internal -- Trademark Countries'!C$2:C1000) + (AM42 = 'Internal -- Trademark Countries'!D$2:D1000)), 1))"),"")</f>
        <v/>
      </c>
      <c r="EF42" s="30" t="e">
        <f ca="1">_xludf.ifs(AM42="", "", COUNTIF('Internal -- Trademark Countries'!B:B,AM42) &gt; 0, "polity_shortest_name", COUNTIF('Internal -- Trademark Countries'!C:C,AM42) &gt; 0, "polity_full_name", COUNTIF('Internal -- Trademark Countries'!D:D,AM42) &gt; 0, "polity_common_name", COUNTIF('Internal -- Trademark Countries'!E:E,AM42) &gt; 0, "shortest_name", COUNTIF('Internal -- Trademark Countries'!A:A,AM42) &gt; 0, "full_name", TRUE, "not a match")</f>
        <v>#NAME?</v>
      </c>
      <c r="EG42" s="30"/>
      <c r="EH42" s="30"/>
      <c r="EI42" s="30"/>
      <c r="EJ42" s="30"/>
      <c r="EK42" s="30" t="str">
        <f t="shared" si="2"/>
        <v/>
      </c>
    </row>
    <row r="43" spans="1:141" ht="16.5">
      <c r="A43" s="11"/>
      <c r="B43" s="11"/>
      <c r="C43" s="11"/>
      <c r="D43" s="11"/>
      <c r="E43" s="11"/>
      <c r="F43" s="11"/>
      <c r="G43" s="11"/>
      <c r="H43" s="11"/>
      <c r="I43" s="11"/>
      <c r="J43" s="11"/>
      <c r="K43" s="27"/>
      <c r="L43" s="11"/>
      <c r="M43" s="11"/>
      <c r="N43" s="11"/>
      <c r="O43" s="11"/>
      <c r="P43" s="15"/>
      <c r="Q43" s="15"/>
      <c r="R43" s="15"/>
      <c r="S43" s="15"/>
      <c r="T43" s="15"/>
      <c r="U43" s="15"/>
      <c r="V43" s="15"/>
      <c r="W43" s="47"/>
      <c r="X43" s="11"/>
      <c r="Y43" s="48"/>
      <c r="Z43" s="11"/>
      <c r="AA43" s="48"/>
      <c r="AB43" s="11"/>
      <c r="AC43" s="48"/>
      <c r="AD43" s="11"/>
      <c r="AE43" s="47"/>
      <c r="AF43" s="11"/>
      <c r="AG43" s="48"/>
      <c r="AH43" s="11"/>
      <c r="AI43" s="48"/>
      <c r="AJ43" s="11"/>
      <c r="AK43" s="48"/>
      <c r="AL43" s="11"/>
      <c r="AM43" s="49"/>
      <c r="AN43" s="49"/>
      <c r="AO43" s="11"/>
      <c r="AP43" s="11"/>
      <c r="AQ43" s="28" t="b">
        <f>IF(COUNTIF(SmartStatus!A$2:A1000, AM43) &gt; 2, TRUE, FALSE)</f>
        <v>0</v>
      </c>
      <c r="AR43" s="29" t="str">
        <f ca="1">IFERROR(__xludf.DUMMYFUNCTION("iferror(if(regexmatch(AO43, ""(?i)^registered""), if(EE43 &lt;&gt; ""polity_shortest_name"", ""CHECK_POLITY"", index(filter(SmartStatus!B$2:B1000, AM43 = SmartStatus!A$2:A1000, not(SmartStatus!C$2:C1000), (isblank(SmartStatus!D$2:D1000)) + ((P43 &lt;&gt; """") * (P43"&amp;" &lt; SmartStatus!D$2:D1000)), (isblank(SmartStatus!E$2:E1000)) + ((P43 &lt;&gt; """") * (P43 &gt;= SmartStatus!E$2:E1000)), (isblank(SmartStatus!F$2:F1000)) + (((Q43 &lt;&gt; """") * (Q43 &lt; SmartStatus!F$2:F1000)) + ((P43 &lt;&gt; """") * (date(year(P43) + 3, month(P43), day(P4"&amp;"3)) &lt; SmartStatus!F$2:F1000))), (isblank(SmartStatus!G$2:G1000)) + (((Q43 &lt;&gt; """") * (Q43 &gt;= SmartStatus!G$2:G1000)) + ((P43 &lt;&gt; """") * (P43 &gt;= SmartStatus!G$2:G1000)))), if(or(regexmatch(B43, ""(?i)^ir [a-z]+ designation$""), N43 &lt;&gt; """"), 1, 2))), """")"&amp;", ""NO_MATCH"")"),"")</f>
        <v/>
      </c>
      <c r="AS43" s="11"/>
      <c r="AT43" s="15"/>
      <c r="AU43" s="11"/>
      <c r="AV43" s="11"/>
      <c r="AW43" s="15"/>
      <c r="AX43" s="15"/>
      <c r="AY43" s="15"/>
      <c r="AZ43" s="11"/>
      <c r="BA43" s="15"/>
      <c r="BB43" s="11"/>
      <c r="BC43" s="11"/>
      <c r="BD43" s="15"/>
      <c r="BE43" s="11"/>
      <c r="BF43" s="11"/>
      <c r="BG43" s="15"/>
      <c r="BH43" s="15"/>
      <c r="BI43" s="15"/>
      <c r="BJ43" s="11"/>
      <c r="BK43" s="15"/>
      <c r="BL43" s="11"/>
      <c r="BM43" s="11"/>
      <c r="BN43" s="15"/>
      <c r="BO43" s="11"/>
      <c r="BP43" s="11"/>
      <c r="BQ43" s="15"/>
      <c r="BR43" s="15"/>
      <c r="BS43" s="15"/>
      <c r="BT43" s="11"/>
      <c r="BU43" s="15"/>
      <c r="BV43" s="11"/>
      <c r="BW43" s="11"/>
      <c r="BX43" s="15"/>
      <c r="BY43" s="11"/>
      <c r="BZ43" s="11"/>
      <c r="CA43" s="15"/>
      <c r="CB43" s="11"/>
      <c r="CC43" s="15"/>
      <c r="CD43" s="11"/>
      <c r="CE43" s="15"/>
      <c r="CF43" s="11"/>
      <c r="CG43" s="11"/>
      <c r="CH43" s="15"/>
      <c r="CI43" s="11"/>
      <c r="CJ43" s="11"/>
      <c r="CK43" s="15"/>
      <c r="CL43" s="11"/>
      <c r="CM43" s="11"/>
      <c r="CN43" s="11"/>
      <c r="CO43" s="11"/>
      <c r="CP43" s="28"/>
      <c r="CQ43" s="28"/>
      <c r="CR43" s="11"/>
      <c r="CS43" s="29"/>
      <c r="CT43" s="11"/>
      <c r="CU43" s="11"/>
      <c r="CV43" s="11"/>
      <c r="CW43" s="11"/>
      <c r="CX43" s="11"/>
      <c r="CY43" s="11"/>
      <c r="CZ43" s="11"/>
      <c r="DA43" s="28"/>
      <c r="DB43" s="28"/>
      <c r="DC43" s="11"/>
      <c r="DD43" s="29"/>
      <c r="DE43" s="11"/>
      <c r="DF43" s="11"/>
      <c r="DG43" s="11"/>
      <c r="DH43" s="11"/>
      <c r="DI43" s="11"/>
      <c r="DJ43" s="11"/>
      <c r="DK43" s="26"/>
      <c r="DL43" s="11"/>
      <c r="DM43" s="29"/>
      <c r="DN43" s="28"/>
      <c r="DO43" s="11"/>
      <c r="DP43" s="11"/>
      <c r="DQ43" s="11"/>
      <c r="DR43" s="29"/>
      <c r="DS43" s="28"/>
      <c r="DT43" s="11"/>
      <c r="DU43" s="26"/>
      <c r="DV43" s="11"/>
      <c r="DW43" s="29"/>
      <c r="DX43" s="28"/>
      <c r="DY43" s="11"/>
      <c r="DZ43" s="26"/>
      <c r="EA43" s="11"/>
      <c r="EB43" s="29"/>
      <c r="EC43" s="28"/>
      <c r="ED43" s="30"/>
      <c r="EE43" s="30" t="str">
        <f ca="1">IFERROR(__xludf.DUMMYFUNCTION("iferror(index(filter('Internal -- Trademark Countries'!E$2:E1000, (AM43 = 'Internal -- Trademark Countries'!B$2:B1000) + (AM43 = 'Internal -- Trademark Countries'!C$2:C1000) + (AM43 = 'Internal -- Trademark Countries'!D$2:D1000)), 1))"),"")</f>
        <v/>
      </c>
      <c r="EF43" s="30" t="e">
        <f ca="1">_xludf.ifs(AM43="", "", COUNTIF('Internal -- Trademark Countries'!B:B,AM43) &gt; 0, "polity_shortest_name", COUNTIF('Internal -- Trademark Countries'!C:C,AM43) &gt; 0, "polity_full_name", COUNTIF('Internal -- Trademark Countries'!D:D,AM43) &gt; 0, "polity_common_name", COUNTIF('Internal -- Trademark Countries'!E:E,AM43) &gt; 0, "shortest_name", COUNTIF('Internal -- Trademark Countries'!A:A,AM43) &gt; 0, "full_name", TRUE, "not a match")</f>
        <v>#NAME?</v>
      </c>
      <c r="EG43" s="30"/>
      <c r="EH43" s="30"/>
      <c r="EI43" s="30"/>
      <c r="EJ43" s="30"/>
      <c r="EK43" s="30" t="str">
        <f t="shared" si="2"/>
        <v/>
      </c>
    </row>
    <row r="44" spans="1:141" ht="16.5">
      <c r="A44" s="11"/>
      <c r="B44" s="11"/>
      <c r="C44" s="11"/>
      <c r="D44" s="11"/>
      <c r="E44" s="11"/>
      <c r="F44" s="11"/>
      <c r="G44" s="11"/>
      <c r="H44" s="11"/>
      <c r="I44" s="11"/>
      <c r="J44" s="11"/>
      <c r="K44" s="27"/>
      <c r="L44" s="11"/>
      <c r="M44" s="11"/>
      <c r="N44" s="11"/>
      <c r="O44" s="11"/>
      <c r="P44" s="15"/>
      <c r="Q44" s="15"/>
      <c r="R44" s="15"/>
      <c r="S44" s="15"/>
      <c r="T44" s="15"/>
      <c r="U44" s="15"/>
      <c r="V44" s="15"/>
      <c r="W44" s="47"/>
      <c r="X44" s="11"/>
      <c r="Y44" s="48"/>
      <c r="Z44" s="11"/>
      <c r="AA44" s="48"/>
      <c r="AB44" s="11"/>
      <c r="AC44" s="48"/>
      <c r="AD44" s="11"/>
      <c r="AE44" s="47"/>
      <c r="AF44" s="11"/>
      <c r="AG44" s="48"/>
      <c r="AH44" s="11"/>
      <c r="AI44" s="48"/>
      <c r="AJ44" s="11"/>
      <c r="AK44" s="48"/>
      <c r="AL44" s="11"/>
      <c r="AM44" s="49"/>
      <c r="AN44" s="49"/>
      <c r="AO44" s="11"/>
      <c r="AP44" s="11"/>
      <c r="AQ44" s="28" t="b">
        <f>IF(COUNTIF(SmartStatus!A$2:A1000, AM44) &gt; 2, TRUE, FALSE)</f>
        <v>0</v>
      </c>
      <c r="AR44" s="29" t="str">
        <f ca="1">IFERROR(__xludf.DUMMYFUNCTION("iferror(if(regexmatch(AO44, ""(?i)^registered""), if(EE44 &lt;&gt; ""polity_shortest_name"", ""CHECK_POLITY"", index(filter(SmartStatus!B$2:B1000, AM44 = SmartStatus!A$2:A1000, not(SmartStatus!C$2:C1000), (isblank(SmartStatus!D$2:D1000)) + ((P44 &lt;&gt; """") * (P44"&amp;" &lt; SmartStatus!D$2:D1000)), (isblank(SmartStatus!E$2:E1000)) + ((P44 &lt;&gt; """") * (P44 &gt;= SmartStatus!E$2:E1000)), (isblank(SmartStatus!F$2:F1000)) + (((Q44 &lt;&gt; """") * (Q44 &lt; SmartStatus!F$2:F1000)) + ((P44 &lt;&gt; """") * (date(year(P44) + 3, month(P44), day(P4"&amp;"4)) &lt; SmartStatus!F$2:F1000))), (isblank(SmartStatus!G$2:G1000)) + (((Q44 &lt;&gt; """") * (Q44 &gt;= SmartStatus!G$2:G1000)) + ((P44 &lt;&gt; """") * (P44 &gt;= SmartStatus!G$2:G1000)))), if(or(regexmatch(B44, ""(?i)^ir [a-z]+ designation$""), N44 &lt;&gt; """"), 1, 2))), """")"&amp;", ""NO_MATCH"")"),"")</f>
        <v/>
      </c>
      <c r="AS44" s="11"/>
      <c r="AT44" s="15"/>
      <c r="AU44" s="11"/>
      <c r="AV44" s="11"/>
      <c r="AW44" s="15"/>
      <c r="AX44" s="15"/>
      <c r="AY44" s="15"/>
      <c r="AZ44" s="11"/>
      <c r="BA44" s="15"/>
      <c r="BB44" s="11"/>
      <c r="BC44" s="11"/>
      <c r="BD44" s="15"/>
      <c r="BE44" s="11"/>
      <c r="BF44" s="11"/>
      <c r="BG44" s="15"/>
      <c r="BH44" s="15"/>
      <c r="BI44" s="15"/>
      <c r="BJ44" s="11"/>
      <c r="BK44" s="15"/>
      <c r="BL44" s="11"/>
      <c r="BM44" s="11"/>
      <c r="BN44" s="15"/>
      <c r="BO44" s="11"/>
      <c r="BP44" s="11"/>
      <c r="BQ44" s="15"/>
      <c r="BR44" s="15"/>
      <c r="BS44" s="15"/>
      <c r="BT44" s="11"/>
      <c r="BU44" s="15"/>
      <c r="BV44" s="11"/>
      <c r="BW44" s="11"/>
      <c r="BX44" s="15"/>
      <c r="BY44" s="11"/>
      <c r="BZ44" s="11"/>
      <c r="CA44" s="15"/>
      <c r="CB44" s="11"/>
      <c r="CC44" s="15"/>
      <c r="CD44" s="11"/>
      <c r="CE44" s="15"/>
      <c r="CF44" s="11"/>
      <c r="CG44" s="11"/>
      <c r="CH44" s="15"/>
      <c r="CI44" s="11"/>
      <c r="CJ44" s="11"/>
      <c r="CK44" s="15"/>
      <c r="CL44" s="11"/>
      <c r="CM44" s="11"/>
      <c r="CN44" s="11"/>
      <c r="CO44" s="11"/>
      <c r="CP44" s="28"/>
      <c r="CQ44" s="28"/>
      <c r="CR44" s="11"/>
      <c r="CS44" s="29"/>
      <c r="CT44" s="11"/>
      <c r="CU44" s="11"/>
      <c r="CV44" s="11"/>
      <c r="CW44" s="11"/>
      <c r="CX44" s="11"/>
      <c r="CY44" s="11"/>
      <c r="CZ44" s="11"/>
      <c r="DA44" s="28"/>
      <c r="DB44" s="28"/>
      <c r="DC44" s="11"/>
      <c r="DD44" s="29"/>
      <c r="DE44" s="11"/>
      <c r="DF44" s="11"/>
      <c r="DG44" s="11"/>
      <c r="DH44" s="11"/>
      <c r="DI44" s="11"/>
      <c r="DJ44" s="11"/>
      <c r="DK44" s="26"/>
      <c r="DL44" s="11"/>
      <c r="DM44" s="29"/>
      <c r="DN44" s="28"/>
      <c r="DO44" s="11"/>
      <c r="DP44" s="11"/>
      <c r="DQ44" s="11"/>
      <c r="DR44" s="29"/>
      <c r="DS44" s="28"/>
      <c r="DT44" s="11"/>
      <c r="DU44" s="26"/>
      <c r="DV44" s="11"/>
      <c r="DW44" s="29"/>
      <c r="DX44" s="28"/>
      <c r="DY44" s="11"/>
      <c r="DZ44" s="26"/>
      <c r="EA44" s="11"/>
      <c r="EB44" s="29"/>
      <c r="EC44" s="28"/>
      <c r="ED44" s="30"/>
      <c r="EE44" s="30" t="str">
        <f ca="1">IFERROR(__xludf.DUMMYFUNCTION("iferror(index(filter('Internal -- Trademark Countries'!E$2:E1000, (AM44 = 'Internal -- Trademark Countries'!B$2:B1000) + (AM44 = 'Internal -- Trademark Countries'!C$2:C1000) + (AM44 = 'Internal -- Trademark Countries'!D$2:D1000)), 1))"),"")</f>
        <v/>
      </c>
      <c r="EF44" s="30" t="e">
        <f ca="1">_xludf.ifs(AM44="", "", COUNTIF('Internal -- Trademark Countries'!B:B,AM44) &gt; 0, "polity_shortest_name", COUNTIF('Internal -- Trademark Countries'!C:C,AM44) &gt; 0, "polity_full_name", COUNTIF('Internal -- Trademark Countries'!D:D,AM44) &gt; 0, "polity_common_name", COUNTIF('Internal -- Trademark Countries'!E:E,AM44) &gt; 0, "shortest_name", COUNTIF('Internal -- Trademark Countries'!A:A,AM44) &gt; 0, "full_name", TRUE, "not a match")</f>
        <v>#NAME?</v>
      </c>
      <c r="EG44" s="30"/>
      <c r="EH44" s="30"/>
      <c r="EI44" s="30"/>
      <c r="EJ44" s="30"/>
      <c r="EK44" s="30" t="str">
        <f t="shared" si="2"/>
        <v/>
      </c>
    </row>
    <row r="45" spans="1:141" ht="16.5">
      <c r="A45" s="11"/>
      <c r="B45" s="11"/>
      <c r="C45" s="11"/>
      <c r="D45" s="11"/>
      <c r="E45" s="11"/>
      <c r="F45" s="11"/>
      <c r="G45" s="11"/>
      <c r="H45" s="11"/>
      <c r="I45" s="11"/>
      <c r="J45" s="11"/>
      <c r="K45" s="27"/>
      <c r="L45" s="11"/>
      <c r="M45" s="11"/>
      <c r="N45" s="11"/>
      <c r="O45" s="11"/>
      <c r="P45" s="15"/>
      <c r="Q45" s="15"/>
      <c r="R45" s="15"/>
      <c r="S45" s="15"/>
      <c r="T45" s="15"/>
      <c r="U45" s="15"/>
      <c r="V45" s="15"/>
      <c r="W45" s="47"/>
      <c r="X45" s="11"/>
      <c r="Y45" s="48"/>
      <c r="Z45" s="11"/>
      <c r="AA45" s="48"/>
      <c r="AB45" s="11"/>
      <c r="AC45" s="48"/>
      <c r="AD45" s="11"/>
      <c r="AE45" s="47"/>
      <c r="AF45" s="11"/>
      <c r="AG45" s="48"/>
      <c r="AH45" s="11"/>
      <c r="AI45" s="48"/>
      <c r="AJ45" s="11"/>
      <c r="AK45" s="48"/>
      <c r="AL45" s="11"/>
      <c r="AM45" s="49"/>
      <c r="AN45" s="49"/>
      <c r="AO45" s="11"/>
      <c r="AP45" s="11"/>
      <c r="AQ45" s="28" t="b">
        <f>IF(COUNTIF(SmartStatus!A$2:A1000, AM45) &gt; 2, TRUE, FALSE)</f>
        <v>0</v>
      </c>
      <c r="AR45" s="29" t="str">
        <f ca="1">IFERROR(__xludf.DUMMYFUNCTION("iferror(if(regexmatch(AO45, ""(?i)^registered""), if(EE45 &lt;&gt; ""polity_shortest_name"", ""CHECK_POLITY"", index(filter(SmartStatus!B$2:B1000, AM45 = SmartStatus!A$2:A1000, not(SmartStatus!C$2:C1000), (isblank(SmartStatus!D$2:D1000)) + ((P45 &lt;&gt; """") * (P45"&amp;" &lt; SmartStatus!D$2:D1000)), (isblank(SmartStatus!E$2:E1000)) + ((P45 &lt;&gt; """") * (P45 &gt;= SmartStatus!E$2:E1000)), (isblank(SmartStatus!F$2:F1000)) + (((Q45 &lt;&gt; """") * (Q45 &lt; SmartStatus!F$2:F1000)) + ((P45 &lt;&gt; """") * (date(year(P45) + 3, month(P45), day(P4"&amp;"5)) &lt; SmartStatus!F$2:F1000))), (isblank(SmartStatus!G$2:G1000)) + (((Q45 &lt;&gt; """") * (Q45 &gt;= SmartStatus!G$2:G1000)) + ((P45 &lt;&gt; """") * (P45 &gt;= SmartStatus!G$2:G1000)))), if(or(regexmatch(B45, ""(?i)^ir [a-z]+ designation$""), N45 &lt;&gt; """"), 1, 2))), """")"&amp;", ""NO_MATCH"")"),"")</f>
        <v/>
      </c>
      <c r="AS45" s="11"/>
      <c r="AT45" s="15"/>
      <c r="AU45" s="11"/>
      <c r="AV45" s="11"/>
      <c r="AW45" s="15"/>
      <c r="AX45" s="15"/>
      <c r="AY45" s="15"/>
      <c r="AZ45" s="11"/>
      <c r="BA45" s="15"/>
      <c r="BB45" s="11"/>
      <c r="BC45" s="11"/>
      <c r="BD45" s="15"/>
      <c r="BE45" s="11"/>
      <c r="BF45" s="11"/>
      <c r="BG45" s="15"/>
      <c r="BH45" s="15"/>
      <c r="BI45" s="15"/>
      <c r="BJ45" s="11"/>
      <c r="BK45" s="15"/>
      <c r="BL45" s="11"/>
      <c r="BM45" s="11"/>
      <c r="BN45" s="15"/>
      <c r="BO45" s="11"/>
      <c r="BP45" s="11"/>
      <c r="BQ45" s="15"/>
      <c r="BR45" s="15"/>
      <c r="BS45" s="15"/>
      <c r="BT45" s="11"/>
      <c r="BU45" s="15"/>
      <c r="BV45" s="11"/>
      <c r="BW45" s="11"/>
      <c r="BX45" s="15"/>
      <c r="BY45" s="11"/>
      <c r="BZ45" s="11"/>
      <c r="CA45" s="15"/>
      <c r="CB45" s="11"/>
      <c r="CC45" s="15"/>
      <c r="CD45" s="11"/>
      <c r="CE45" s="15"/>
      <c r="CF45" s="11"/>
      <c r="CG45" s="11"/>
      <c r="CH45" s="15"/>
      <c r="CI45" s="11"/>
      <c r="CJ45" s="11"/>
      <c r="CK45" s="15"/>
      <c r="CL45" s="11"/>
      <c r="CM45" s="11"/>
      <c r="CN45" s="11"/>
      <c r="CO45" s="11"/>
      <c r="CP45" s="28"/>
      <c r="CQ45" s="28"/>
      <c r="CR45" s="11"/>
      <c r="CS45" s="29"/>
      <c r="CT45" s="11"/>
      <c r="CU45" s="11"/>
      <c r="CV45" s="11"/>
      <c r="CW45" s="11"/>
      <c r="CX45" s="11"/>
      <c r="CY45" s="11"/>
      <c r="CZ45" s="11"/>
      <c r="DA45" s="28"/>
      <c r="DB45" s="28"/>
      <c r="DC45" s="11"/>
      <c r="DD45" s="29"/>
      <c r="DE45" s="11"/>
      <c r="DF45" s="11"/>
      <c r="DG45" s="11"/>
      <c r="DH45" s="11"/>
      <c r="DI45" s="11"/>
      <c r="DJ45" s="11"/>
      <c r="DK45" s="26"/>
      <c r="DL45" s="11"/>
      <c r="DM45" s="29"/>
      <c r="DN45" s="28"/>
      <c r="DO45" s="11"/>
      <c r="DP45" s="11"/>
      <c r="DQ45" s="11"/>
      <c r="DR45" s="29"/>
      <c r="DS45" s="28"/>
      <c r="DT45" s="11"/>
      <c r="DU45" s="26"/>
      <c r="DV45" s="11"/>
      <c r="DW45" s="29"/>
      <c r="DX45" s="28"/>
      <c r="DY45" s="11"/>
      <c r="DZ45" s="26"/>
      <c r="EA45" s="11"/>
      <c r="EB45" s="29"/>
      <c r="EC45" s="28"/>
      <c r="ED45" s="30"/>
      <c r="EE45" s="30" t="str">
        <f ca="1">IFERROR(__xludf.DUMMYFUNCTION("iferror(index(filter('Internal -- Trademark Countries'!E$2:E1000, (AM45 = 'Internal -- Trademark Countries'!B$2:B1000) + (AM45 = 'Internal -- Trademark Countries'!C$2:C1000) + (AM45 = 'Internal -- Trademark Countries'!D$2:D1000)), 1))"),"")</f>
        <v/>
      </c>
      <c r="EF45" s="30" t="e">
        <f ca="1">_xludf.ifs(AM45="", "", COUNTIF('Internal -- Trademark Countries'!B:B,AM45) &gt; 0, "polity_shortest_name", COUNTIF('Internal -- Trademark Countries'!C:C,AM45) &gt; 0, "polity_full_name", COUNTIF('Internal -- Trademark Countries'!D:D,AM45) &gt; 0, "polity_common_name", COUNTIF('Internal -- Trademark Countries'!E:E,AM45) &gt; 0, "shortest_name", COUNTIF('Internal -- Trademark Countries'!A:A,AM45) &gt; 0, "full_name", TRUE, "not a match")</f>
        <v>#NAME?</v>
      </c>
      <c r="EG45" s="30"/>
      <c r="EH45" s="30"/>
      <c r="EI45" s="30"/>
      <c r="EJ45" s="30"/>
      <c r="EK45" s="30" t="str">
        <f t="shared" si="2"/>
        <v/>
      </c>
    </row>
    <row r="46" spans="1:141" ht="16.5">
      <c r="A46" s="11"/>
      <c r="B46" s="11"/>
      <c r="C46" s="11"/>
      <c r="D46" s="11"/>
      <c r="E46" s="11"/>
      <c r="F46" s="11"/>
      <c r="G46" s="11"/>
      <c r="H46" s="11"/>
      <c r="I46" s="11"/>
      <c r="J46" s="11"/>
      <c r="K46" s="27"/>
      <c r="L46" s="11"/>
      <c r="M46" s="11"/>
      <c r="N46" s="11"/>
      <c r="O46" s="11"/>
      <c r="P46" s="15"/>
      <c r="Q46" s="15"/>
      <c r="R46" s="15"/>
      <c r="S46" s="15"/>
      <c r="T46" s="15"/>
      <c r="U46" s="15"/>
      <c r="V46" s="15"/>
      <c r="W46" s="47"/>
      <c r="X46" s="11"/>
      <c r="Y46" s="48"/>
      <c r="Z46" s="11"/>
      <c r="AA46" s="48"/>
      <c r="AB46" s="11"/>
      <c r="AC46" s="48"/>
      <c r="AD46" s="11"/>
      <c r="AE46" s="47"/>
      <c r="AF46" s="11"/>
      <c r="AG46" s="48"/>
      <c r="AH46" s="11"/>
      <c r="AI46" s="48"/>
      <c r="AJ46" s="11"/>
      <c r="AK46" s="48"/>
      <c r="AL46" s="11"/>
      <c r="AM46" s="49"/>
      <c r="AN46" s="49"/>
      <c r="AO46" s="11"/>
      <c r="AP46" s="11"/>
      <c r="AQ46" s="28" t="b">
        <f>IF(COUNTIF(SmartStatus!A$2:A1000, AM46) &gt; 2, TRUE, FALSE)</f>
        <v>0</v>
      </c>
      <c r="AR46" s="29" t="str">
        <f ca="1">IFERROR(__xludf.DUMMYFUNCTION("iferror(if(regexmatch(AO46, ""(?i)^registered""), if(EE46 &lt;&gt; ""polity_shortest_name"", ""CHECK_POLITY"", index(filter(SmartStatus!B$2:B1000, AM46 = SmartStatus!A$2:A1000, not(SmartStatus!C$2:C1000), (isblank(SmartStatus!D$2:D1000)) + ((P46 &lt;&gt; """") * (P46"&amp;" &lt; SmartStatus!D$2:D1000)), (isblank(SmartStatus!E$2:E1000)) + ((P46 &lt;&gt; """") * (P46 &gt;= SmartStatus!E$2:E1000)), (isblank(SmartStatus!F$2:F1000)) + (((Q46 &lt;&gt; """") * (Q46 &lt; SmartStatus!F$2:F1000)) + ((P46 &lt;&gt; """") * (date(year(P46) + 3, month(P46), day(P4"&amp;"6)) &lt; SmartStatus!F$2:F1000))), (isblank(SmartStatus!G$2:G1000)) + (((Q46 &lt;&gt; """") * (Q46 &gt;= SmartStatus!G$2:G1000)) + ((P46 &lt;&gt; """") * (P46 &gt;= SmartStatus!G$2:G1000)))), if(or(regexmatch(B46, ""(?i)^ir [a-z]+ designation$""), N46 &lt;&gt; """"), 1, 2))), """")"&amp;", ""NO_MATCH"")"),"")</f>
        <v/>
      </c>
      <c r="AS46" s="11"/>
      <c r="AT46" s="15"/>
      <c r="AU46" s="11"/>
      <c r="AV46" s="11"/>
      <c r="AW46" s="15"/>
      <c r="AX46" s="15"/>
      <c r="AY46" s="15"/>
      <c r="AZ46" s="11"/>
      <c r="BA46" s="15"/>
      <c r="BB46" s="11"/>
      <c r="BC46" s="11"/>
      <c r="BD46" s="15"/>
      <c r="BE46" s="11"/>
      <c r="BF46" s="11"/>
      <c r="BG46" s="15"/>
      <c r="BH46" s="15"/>
      <c r="BI46" s="15"/>
      <c r="BJ46" s="11"/>
      <c r="BK46" s="15"/>
      <c r="BL46" s="11"/>
      <c r="BM46" s="11"/>
      <c r="BN46" s="15"/>
      <c r="BO46" s="11"/>
      <c r="BP46" s="11"/>
      <c r="BQ46" s="15"/>
      <c r="BR46" s="15"/>
      <c r="BS46" s="15"/>
      <c r="BT46" s="11"/>
      <c r="BU46" s="15"/>
      <c r="BV46" s="11"/>
      <c r="BW46" s="11"/>
      <c r="BX46" s="15"/>
      <c r="BY46" s="11"/>
      <c r="BZ46" s="11"/>
      <c r="CA46" s="15"/>
      <c r="CB46" s="11"/>
      <c r="CC46" s="15"/>
      <c r="CD46" s="11"/>
      <c r="CE46" s="15"/>
      <c r="CF46" s="11"/>
      <c r="CG46" s="11"/>
      <c r="CH46" s="15"/>
      <c r="CI46" s="11"/>
      <c r="CJ46" s="11"/>
      <c r="CK46" s="15"/>
      <c r="CL46" s="11"/>
      <c r="CM46" s="11"/>
      <c r="CN46" s="11"/>
      <c r="CO46" s="11"/>
      <c r="CP46" s="28"/>
      <c r="CQ46" s="28"/>
      <c r="CR46" s="11"/>
      <c r="CS46" s="29"/>
      <c r="CT46" s="11"/>
      <c r="CU46" s="11"/>
      <c r="CV46" s="11"/>
      <c r="CW46" s="11"/>
      <c r="CX46" s="11"/>
      <c r="CY46" s="11"/>
      <c r="CZ46" s="11"/>
      <c r="DA46" s="28"/>
      <c r="DB46" s="28"/>
      <c r="DC46" s="11"/>
      <c r="DD46" s="29"/>
      <c r="DE46" s="11"/>
      <c r="DF46" s="11"/>
      <c r="DG46" s="11"/>
      <c r="DH46" s="11"/>
      <c r="DI46" s="11"/>
      <c r="DJ46" s="11"/>
      <c r="DK46" s="26"/>
      <c r="DL46" s="11"/>
      <c r="DM46" s="29"/>
      <c r="DN46" s="28"/>
      <c r="DO46" s="11"/>
      <c r="DP46" s="11"/>
      <c r="DQ46" s="11"/>
      <c r="DR46" s="29"/>
      <c r="DS46" s="28"/>
      <c r="DT46" s="11"/>
      <c r="DU46" s="26"/>
      <c r="DV46" s="11"/>
      <c r="DW46" s="29"/>
      <c r="DX46" s="28"/>
      <c r="DY46" s="11"/>
      <c r="DZ46" s="26"/>
      <c r="EA46" s="11"/>
      <c r="EB46" s="29"/>
      <c r="EC46" s="28"/>
      <c r="ED46" s="30"/>
      <c r="EE46" s="30" t="str">
        <f ca="1">IFERROR(__xludf.DUMMYFUNCTION("iferror(index(filter('Internal -- Trademark Countries'!E$2:E1000, (AM46 = 'Internal -- Trademark Countries'!B$2:B1000) + (AM46 = 'Internal -- Trademark Countries'!C$2:C1000) + (AM46 = 'Internal -- Trademark Countries'!D$2:D1000)), 1))"),"")</f>
        <v/>
      </c>
      <c r="EF46" s="30" t="e">
        <f ca="1">_xludf.ifs(AM46="", "", COUNTIF('Internal -- Trademark Countries'!B:B,AM46) &gt; 0, "polity_shortest_name", COUNTIF('Internal -- Trademark Countries'!C:C,AM46) &gt; 0, "polity_full_name", COUNTIF('Internal -- Trademark Countries'!D:D,AM46) &gt; 0, "polity_common_name", COUNTIF('Internal -- Trademark Countries'!E:E,AM46) &gt; 0, "shortest_name", COUNTIF('Internal -- Trademark Countries'!A:A,AM46) &gt; 0, "full_name", TRUE, "not a match")</f>
        <v>#NAME?</v>
      </c>
      <c r="EG46" s="30"/>
      <c r="EH46" s="30"/>
      <c r="EI46" s="30"/>
      <c r="EJ46" s="30"/>
      <c r="EK46" s="30" t="str">
        <f t="shared" si="2"/>
        <v/>
      </c>
    </row>
    <row r="47" spans="1:141" ht="16.5">
      <c r="A47" s="11"/>
      <c r="B47" s="11"/>
      <c r="C47" s="11"/>
      <c r="D47" s="11"/>
      <c r="E47" s="11"/>
      <c r="F47" s="11"/>
      <c r="G47" s="11"/>
      <c r="H47" s="11"/>
      <c r="I47" s="11"/>
      <c r="J47" s="11"/>
      <c r="K47" s="27"/>
      <c r="L47" s="11"/>
      <c r="M47" s="11"/>
      <c r="N47" s="11"/>
      <c r="O47" s="11"/>
      <c r="P47" s="15"/>
      <c r="Q47" s="15"/>
      <c r="R47" s="15"/>
      <c r="S47" s="15"/>
      <c r="T47" s="15"/>
      <c r="U47" s="15"/>
      <c r="V47" s="15"/>
      <c r="W47" s="47"/>
      <c r="X47" s="11"/>
      <c r="Y47" s="48"/>
      <c r="Z47" s="11"/>
      <c r="AA47" s="48"/>
      <c r="AB47" s="11"/>
      <c r="AC47" s="48"/>
      <c r="AD47" s="11"/>
      <c r="AE47" s="47"/>
      <c r="AF47" s="11"/>
      <c r="AG47" s="48"/>
      <c r="AH47" s="11"/>
      <c r="AI47" s="48"/>
      <c r="AJ47" s="11"/>
      <c r="AK47" s="48"/>
      <c r="AL47" s="11"/>
      <c r="AM47" s="49"/>
      <c r="AN47" s="49"/>
      <c r="AO47" s="11"/>
      <c r="AP47" s="11"/>
      <c r="AQ47" s="28" t="b">
        <f>IF(COUNTIF(SmartStatus!A$2:A1000, AM47) &gt; 2, TRUE, FALSE)</f>
        <v>0</v>
      </c>
      <c r="AR47" s="29" t="str">
        <f ca="1">IFERROR(__xludf.DUMMYFUNCTION("iferror(if(regexmatch(AO47, ""(?i)^registered""), if(EE47 &lt;&gt; ""polity_shortest_name"", ""CHECK_POLITY"", index(filter(SmartStatus!B$2:B1000, AM47 = SmartStatus!A$2:A1000, not(SmartStatus!C$2:C1000), (isblank(SmartStatus!D$2:D1000)) + ((P47 &lt;&gt; """") * (P47"&amp;" &lt; SmartStatus!D$2:D1000)), (isblank(SmartStatus!E$2:E1000)) + ((P47 &lt;&gt; """") * (P47 &gt;= SmartStatus!E$2:E1000)), (isblank(SmartStatus!F$2:F1000)) + (((Q47 &lt;&gt; """") * (Q47 &lt; SmartStatus!F$2:F1000)) + ((P47 &lt;&gt; """") * (date(year(P47) + 3, month(P47), day(P4"&amp;"7)) &lt; SmartStatus!F$2:F1000))), (isblank(SmartStatus!G$2:G1000)) + (((Q47 &lt;&gt; """") * (Q47 &gt;= SmartStatus!G$2:G1000)) + ((P47 &lt;&gt; """") * (P47 &gt;= SmartStatus!G$2:G1000)))), if(or(regexmatch(B47, ""(?i)^ir [a-z]+ designation$""), N47 &lt;&gt; """"), 1, 2))), """")"&amp;", ""NO_MATCH"")"),"")</f>
        <v/>
      </c>
      <c r="AS47" s="11"/>
      <c r="AT47" s="15"/>
      <c r="AU47" s="11"/>
      <c r="AV47" s="11"/>
      <c r="AW47" s="15"/>
      <c r="AX47" s="15"/>
      <c r="AY47" s="15"/>
      <c r="AZ47" s="11"/>
      <c r="BA47" s="15"/>
      <c r="BB47" s="11"/>
      <c r="BC47" s="11"/>
      <c r="BD47" s="15"/>
      <c r="BE47" s="11"/>
      <c r="BF47" s="11"/>
      <c r="BG47" s="15"/>
      <c r="BH47" s="15"/>
      <c r="BI47" s="15"/>
      <c r="BJ47" s="11"/>
      <c r="BK47" s="15"/>
      <c r="BL47" s="11"/>
      <c r="BM47" s="11"/>
      <c r="BN47" s="15"/>
      <c r="BO47" s="11"/>
      <c r="BP47" s="11"/>
      <c r="BQ47" s="15"/>
      <c r="BR47" s="15"/>
      <c r="BS47" s="15"/>
      <c r="BT47" s="11"/>
      <c r="BU47" s="15"/>
      <c r="BV47" s="11"/>
      <c r="BW47" s="11"/>
      <c r="BX47" s="15"/>
      <c r="BY47" s="11"/>
      <c r="BZ47" s="11"/>
      <c r="CA47" s="15"/>
      <c r="CB47" s="11"/>
      <c r="CC47" s="15"/>
      <c r="CD47" s="11"/>
      <c r="CE47" s="15"/>
      <c r="CF47" s="11"/>
      <c r="CG47" s="11"/>
      <c r="CH47" s="15"/>
      <c r="CI47" s="11"/>
      <c r="CJ47" s="11"/>
      <c r="CK47" s="15"/>
      <c r="CL47" s="11"/>
      <c r="CM47" s="11"/>
      <c r="CN47" s="11"/>
      <c r="CO47" s="11"/>
      <c r="CP47" s="28"/>
      <c r="CQ47" s="28"/>
      <c r="CR47" s="11"/>
      <c r="CS47" s="29"/>
      <c r="CT47" s="11"/>
      <c r="CU47" s="11"/>
      <c r="CV47" s="11"/>
      <c r="CW47" s="11"/>
      <c r="CX47" s="11"/>
      <c r="CY47" s="11"/>
      <c r="CZ47" s="11"/>
      <c r="DA47" s="28"/>
      <c r="DB47" s="28"/>
      <c r="DC47" s="11"/>
      <c r="DD47" s="29"/>
      <c r="DE47" s="11"/>
      <c r="DF47" s="11"/>
      <c r="DG47" s="11"/>
      <c r="DH47" s="11"/>
      <c r="DI47" s="11"/>
      <c r="DJ47" s="11"/>
      <c r="DK47" s="26"/>
      <c r="DL47" s="11"/>
      <c r="DM47" s="29"/>
      <c r="DN47" s="28"/>
      <c r="DO47" s="11"/>
      <c r="DP47" s="11"/>
      <c r="DQ47" s="11"/>
      <c r="DR47" s="29"/>
      <c r="DS47" s="28"/>
      <c r="DT47" s="11"/>
      <c r="DU47" s="26"/>
      <c r="DV47" s="11"/>
      <c r="DW47" s="29"/>
      <c r="DX47" s="28"/>
      <c r="DY47" s="11"/>
      <c r="DZ47" s="26"/>
      <c r="EA47" s="11"/>
      <c r="EB47" s="29"/>
      <c r="EC47" s="28"/>
      <c r="ED47" s="30"/>
      <c r="EE47" s="30" t="str">
        <f ca="1">IFERROR(__xludf.DUMMYFUNCTION("iferror(index(filter('Internal -- Trademark Countries'!E$2:E1000, (AM47 = 'Internal -- Trademark Countries'!B$2:B1000) + (AM47 = 'Internal -- Trademark Countries'!C$2:C1000) + (AM47 = 'Internal -- Trademark Countries'!D$2:D1000)), 1))"),"")</f>
        <v/>
      </c>
      <c r="EF47" s="30" t="e">
        <f ca="1">_xludf.ifs(AM47="", "", COUNTIF('Internal -- Trademark Countries'!B:B,AM47) &gt; 0, "polity_shortest_name", COUNTIF('Internal -- Trademark Countries'!C:C,AM47) &gt; 0, "polity_full_name", COUNTIF('Internal -- Trademark Countries'!D:D,AM47) &gt; 0, "polity_common_name", COUNTIF('Internal -- Trademark Countries'!E:E,AM47) &gt; 0, "shortest_name", COUNTIF('Internal -- Trademark Countries'!A:A,AM47) &gt; 0, "full_name", TRUE, "not a match")</f>
        <v>#NAME?</v>
      </c>
      <c r="EG47" s="30"/>
      <c r="EH47" s="30"/>
      <c r="EI47" s="30"/>
      <c r="EJ47" s="30"/>
      <c r="EK47" s="30" t="str">
        <f t="shared" si="2"/>
        <v/>
      </c>
    </row>
    <row r="48" spans="1:141" ht="16.5">
      <c r="A48" s="11"/>
      <c r="B48" s="11"/>
      <c r="C48" s="11"/>
      <c r="D48" s="11"/>
      <c r="E48" s="11"/>
      <c r="F48" s="11"/>
      <c r="G48" s="11"/>
      <c r="H48" s="11"/>
      <c r="I48" s="11"/>
      <c r="J48" s="11"/>
      <c r="K48" s="27"/>
      <c r="L48" s="11"/>
      <c r="M48" s="11"/>
      <c r="N48" s="11"/>
      <c r="O48" s="11"/>
      <c r="P48" s="15"/>
      <c r="Q48" s="15"/>
      <c r="R48" s="15"/>
      <c r="S48" s="15"/>
      <c r="T48" s="15"/>
      <c r="U48" s="15"/>
      <c r="V48" s="15"/>
      <c r="W48" s="47"/>
      <c r="X48" s="11"/>
      <c r="Y48" s="48"/>
      <c r="Z48" s="11"/>
      <c r="AA48" s="48"/>
      <c r="AB48" s="11"/>
      <c r="AC48" s="48"/>
      <c r="AD48" s="11"/>
      <c r="AE48" s="47"/>
      <c r="AF48" s="11"/>
      <c r="AG48" s="48"/>
      <c r="AH48" s="11"/>
      <c r="AI48" s="48"/>
      <c r="AJ48" s="11"/>
      <c r="AK48" s="48"/>
      <c r="AL48" s="11"/>
      <c r="AM48" s="49"/>
      <c r="AN48" s="49"/>
      <c r="AO48" s="11"/>
      <c r="AP48" s="11"/>
      <c r="AQ48" s="28" t="b">
        <f>IF(COUNTIF(SmartStatus!A$2:A1000, AM48) &gt; 2, TRUE, FALSE)</f>
        <v>0</v>
      </c>
      <c r="AR48" s="29" t="str">
        <f ca="1">IFERROR(__xludf.DUMMYFUNCTION("iferror(if(regexmatch(AO48, ""(?i)^registered""), if(EE48 &lt;&gt; ""polity_shortest_name"", ""CHECK_POLITY"", index(filter(SmartStatus!B$2:B1000, AM48 = SmartStatus!A$2:A1000, not(SmartStatus!C$2:C1000), (isblank(SmartStatus!D$2:D1000)) + ((P48 &lt;&gt; """") * (P48"&amp;" &lt; SmartStatus!D$2:D1000)), (isblank(SmartStatus!E$2:E1000)) + ((P48 &lt;&gt; """") * (P48 &gt;= SmartStatus!E$2:E1000)), (isblank(SmartStatus!F$2:F1000)) + (((Q48 &lt;&gt; """") * (Q48 &lt; SmartStatus!F$2:F1000)) + ((P48 &lt;&gt; """") * (date(year(P48) + 3, month(P48), day(P4"&amp;"8)) &lt; SmartStatus!F$2:F1000))), (isblank(SmartStatus!G$2:G1000)) + (((Q48 &lt;&gt; """") * (Q48 &gt;= SmartStatus!G$2:G1000)) + ((P48 &lt;&gt; """") * (P48 &gt;= SmartStatus!G$2:G1000)))), if(or(regexmatch(B48, ""(?i)^ir [a-z]+ designation$""), N48 &lt;&gt; """"), 1, 2))), """")"&amp;", ""NO_MATCH"")"),"")</f>
        <v/>
      </c>
      <c r="AS48" s="11"/>
      <c r="AT48" s="15"/>
      <c r="AU48" s="11"/>
      <c r="AV48" s="11"/>
      <c r="AW48" s="15"/>
      <c r="AX48" s="15"/>
      <c r="AY48" s="15"/>
      <c r="AZ48" s="11"/>
      <c r="BA48" s="15"/>
      <c r="BB48" s="11"/>
      <c r="BC48" s="11"/>
      <c r="BD48" s="15"/>
      <c r="BE48" s="11"/>
      <c r="BF48" s="11"/>
      <c r="BG48" s="15"/>
      <c r="BH48" s="15"/>
      <c r="BI48" s="15"/>
      <c r="BJ48" s="11"/>
      <c r="BK48" s="15"/>
      <c r="BL48" s="11"/>
      <c r="BM48" s="11"/>
      <c r="BN48" s="15"/>
      <c r="BO48" s="11"/>
      <c r="BP48" s="11"/>
      <c r="BQ48" s="15"/>
      <c r="BR48" s="15"/>
      <c r="BS48" s="15"/>
      <c r="BT48" s="11"/>
      <c r="BU48" s="15"/>
      <c r="BV48" s="11"/>
      <c r="BW48" s="11"/>
      <c r="BX48" s="15"/>
      <c r="BY48" s="11"/>
      <c r="BZ48" s="11"/>
      <c r="CA48" s="15"/>
      <c r="CB48" s="11"/>
      <c r="CC48" s="15"/>
      <c r="CD48" s="11"/>
      <c r="CE48" s="15"/>
      <c r="CF48" s="11"/>
      <c r="CG48" s="11"/>
      <c r="CH48" s="15"/>
      <c r="CI48" s="11"/>
      <c r="CJ48" s="11"/>
      <c r="CK48" s="15"/>
      <c r="CL48" s="11"/>
      <c r="CM48" s="11"/>
      <c r="CN48" s="11"/>
      <c r="CO48" s="11"/>
      <c r="CP48" s="28"/>
      <c r="CQ48" s="28"/>
      <c r="CR48" s="11"/>
      <c r="CS48" s="29"/>
      <c r="CT48" s="11"/>
      <c r="CU48" s="11"/>
      <c r="CV48" s="11"/>
      <c r="CW48" s="11"/>
      <c r="CX48" s="11"/>
      <c r="CY48" s="11"/>
      <c r="CZ48" s="11"/>
      <c r="DA48" s="28"/>
      <c r="DB48" s="28"/>
      <c r="DC48" s="11"/>
      <c r="DD48" s="29"/>
      <c r="DE48" s="11"/>
      <c r="DF48" s="11"/>
      <c r="DG48" s="11"/>
      <c r="DH48" s="11"/>
      <c r="DI48" s="11"/>
      <c r="DJ48" s="11"/>
      <c r="DK48" s="26"/>
      <c r="DL48" s="11"/>
      <c r="DM48" s="29"/>
      <c r="DN48" s="28"/>
      <c r="DO48" s="11"/>
      <c r="DP48" s="11"/>
      <c r="DQ48" s="11"/>
      <c r="DR48" s="29"/>
      <c r="DS48" s="28"/>
      <c r="DT48" s="11"/>
      <c r="DU48" s="26"/>
      <c r="DV48" s="11"/>
      <c r="DW48" s="29"/>
      <c r="DX48" s="28"/>
      <c r="DY48" s="11"/>
      <c r="DZ48" s="26"/>
      <c r="EA48" s="11"/>
      <c r="EB48" s="29"/>
      <c r="EC48" s="28"/>
      <c r="ED48" s="30"/>
      <c r="EE48" s="30" t="str">
        <f ca="1">IFERROR(__xludf.DUMMYFUNCTION("iferror(index(filter('Internal -- Trademark Countries'!E$2:E1000, (AM48 = 'Internal -- Trademark Countries'!B$2:B1000) + (AM48 = 'Internal -- Trademark Countries'!C$2:C1000) + (AM48 = 'Internal -- Trademark Countries'!D$2:D1000)), 1))"),"")</f>
        <v/>
      </c>
      <c r="EF48" s="30" t="e">
        <f ca="1">_xludf.ifs(AM48="", "", COUNTIF('Internal -- Trademark Countries'!B:B,AM48) &gt; 0, "polity_shortest_name", COUNTIF('Internal -- Trademark Countries'!C:C,AM48) &gt; 0, "polity_full_name", COUNTIF('Internal -- Trademark Countries'!D:D,AM48) &gt; 0, "polity_common_name", COUNTIF('Internal -- Trademark Countries'!E:E,AM48) &gt; 0, "shortest_name", COUNTIF('Internal -- Trademark Countries'!A:A,AM48) &gt; 0, "full_name", TRUE, "not a match")</f>
        <v>#NAME?</v>
      </c>
      <c r="EG48" s="30"/>
      <c r="EH48" s="30"/>
      <c r="EI48" s="30"/>
      <c r="EJ48" s="30"/>
      <c r="EK48" s="30" t="str">
        <f t="shared" si="2"/>
        <v/>
      </c>
    </row>
    <row r="49" spans="1:141" ht="16.5">
      <c r="A49" s="11"/>
      <c r="B49" s="11"/>
      <c r="C49" s="11"/>
      <c r="D49" s="11"/>
      <c r="E49" s="11"/>
      <c r="F49" s="11"/>
      <c r="G49" s="11"/>
      <c r="H49" s="11"/>
      <c r="I49" s="11"/>
      <c r="J49" s="11"/>
      <c r="K49" s="27"/>
      <c r="L49" s="11"/>
      <c r="M49" s="11"/>
      <c r="N49" s="11"/>
      <c r="O49" s="11"/>
      <c r="P49" s="15"/>
      <c r="Q49" s="15"/>
      <c r="R49" s="15"/>
      <c r="S49" s="15"/>
      <c r="T49" s="15"/>
      <c r="U49" s="15"/>
      <c r="V49" s="15"/>
      <c r="W49" s="47"/>
      <c r="X49" s="11"/>
      <c r="Y49" s="48"/>
      <c r="Z49" s="11"/>
      <c r="AA49" s="48"/>
      <c r="AB49" s="11"/>
      <c r="AC49" s="48"/>
      <c r="AD49" s="11"/>
      <c r="AE49" s="47"/>
      <c r="AF49" s="11"/>
      <c r="AG49" s="48"/>
      <c r="AH49" s="11"/>
      <c r="AI49" s="48"/>
      <c r="AJ49" s="11"/>
      <c r="AK49" s="48"/>
      <c r="AL49" s="11"/>
      <c r="AM49" s="49"/>
      <c r="AN49" s="49"/>
      <c r="AO49" s="11"/>
      <c r="AP49" s="11"/>
      <c r="AQ49" s="28" t="b">
        <f>IF(COUNTIF(SmartStatus!A$2:A1000, AM49) &gt; 2, TRUE, FALSE)</f>
        <v>0</v>
      </c>
      <c r="AR49" s="29" t="str">
        <f ca="1">IFERROR(__xludf.DUMMYFUNCTION("iferror(if(regexmatch(AO49, ""(?i)^registered""), if(EE49 &lt;&gt; ""polity_shortest_name"", ""CHECK_POLITY"", index(filter(SmartStatus!B$2:B1000, AM49 = SmartStatus!A$2:A1000, not(SmartStatus!C$2:C1000), (isblank(SmartStatus!D$2:D1000)) + ((P49 &lt;&gt; """") * (P49"&amp;" &lt; SmartStatus!D$2:D1000)), (isblank(SmartStatus!E$2:E1000)) + ((P49 &lt;&gt; """") * (P49 &gt;= SmartStatus!E$2:E1000)), (isblank(SmartStatus!F$2:F1000)) + (((Q49 &lt;&gt; """") * (Q49 &lt; SmartStatus!F$2:F1000)) + ((P49 &lt;&gt; """") * (date(year(P49) + 3, month(P49), day(P4"&amp;"9)) &lt; SmartStatus!F$2:F1000))), (isblank(SmartStatus!G$2:G1000)) + (((Q49 &lt;&gt; """") * (Q49 &gt;= SmartStatus!G$2:G1000)) + ((P49 &lt;&gt; """") * (P49 &gt;= SmartStatus!G$2:G1000)))), if(or(regexmatch(B49, ""(?i)^ir [a-z]+ designation$""), N49 &lt;&gt; """"), 1, 2))), """")"&amp;", ""NO_MATCH"")"),"")</f>
        <v/>
      </c>
      <c r="AS49" s="11"/>
      <c r="AT49" s="15"/>
      <c r="AU49" s="11"/>
      <c r="AV49" s="11"/>
      <c r="AW49" s="15"/>
      <c r="AX49" s="15"/>
      <c r="AY49" s="15"/>
      <c r="AZ49" s="11"/>
      <c r="BA49" s="15"/>
      <c r="BB49" s="11"/>
      <c r="BC49" s="11"/>
      <c r="BD49" s="15"/>
      <c r="BE49" s="11"/>
      <c r="BF49" s="11"/>
      <c r="BG49" s="15"/>
      <c r="BH49" s="15"/>
      <c r="BI49" s="15"/>
      <c r="BJ49" s="11"/>
      <c r="BK49" s="15"/>
      <c r="BL49" s="11"/>
      <c r="BM49" s="11"/>
      <c r="BN49" s="15"/>
      <c r="BO49" s="11"/>
      <c r="BP49" s="11"/>
      <c r="BQ49" s="15"/>
      <c r="BR49" s="15"/>
      <c r="BS49" s="15"/>
      <c r="BT49" s="11"/>
      <c r="BU49" s="15"/>
      <c r="BV49" s="11"/>
      <c r="BW49" s="11"/>
      <c r="BX49" s="15"/>
      <c r="BY49" s="11"/>
      <c r="BZ49" s="11"/>
      <c r="CA49" s="15"/>
      <c r="CB49" s="11"/>
      <c r="CC49" s="15"/>
      <c r="CD49" s="11"/>
      <c r="CE49" s="15"/>
      <c r="CF49" s="11"/>
      <c r="CG49" s="11"/>
      <c r="CH49" s="15"/>
      <c r="CI49" s="11"/>
      <c r="CJ49" s="11"/>
      <c r="CK49" s="15"/>
      <c r="CL49" s="11"/>
      <c r="CM49" s="11"/>
      <c r="CN49" s="11"/>
      <c r="CO49" s="11"/>
      <c r="CP49" s="28"/>
      <c r="CQ49" s="28"/>
      <c r="CR49" s="11"/>
      <c r="CS49" s="29"/>
      <c r="CT49" s="11"/>
      <c r="CU49" s="11"/>
      <c r="CV49" s="11"/>
      <c r="CW49" s="11"/>
      <c r="CX49" s="11"/>
      <c r="CY49" s="11"/>
      <c r="CZ49" s="11"/>
      <c r="DA49" s="28"/>
      <c r="DB49" s="28"/>
      <c r="DC49" s="11"/>
      <c r="DD49" s="29"/>
      <c r="DE49" s="11"/>
      <c r="DF49" s="11"/>
      <c r="DG49" s="11"/>
      <c r="DH49" s="11"/>
      <c r="DI49" s="11"/>
      <c r="DJ49" s="11"/>
      <c r="DK49" s="26"/>
      <c r="DL49" s="11"/>
      <c r="DM49" s="29"/>
      <c r="DN49" s="28"/>
      <c r="DO49" s="11"/>
      <c r="DP49" s="11"/>
      <c r="DQ49" s="11"/>
      <c r="DR49" s="29"/>
      <c r="DS49" s="28"/>
      <c r="DT49" s="11"/>
      <c r="DU49" s="26"/>
      <c r="DV49" s="11"/>
      <c r="DW49" s="29"/>
      <c r="DX49" s="28"/>
      <c r="DY49" s="11"/>
      <c r="DZ49" s="26"/>
      <c r="EA49" s="11"/>
      <c r="EB49" s="29"/>
      <c r="EC49" s="28"/>
      <c r="ED49" s="30"/>
      <c r="EE49" s="30" t="str">
        <f ca="1">IFERROR(__xludf.DUMMYFUNCTION("iferror(index(filter('Internal -- Trademark Countries'!E$2:E1000, (AM49 = 'Internal -- Trademark Countries'!B$2:B1000) + (AM49 = 'Internal -- Trademark Countries'!C$2:C1000) + (AM49 = 'Internal -- Trademark Countries'!D$2:D1000)), 1))"),"")</f>
        <v/>
      </c>
      <c r="EF49" s="30" t="e">
        <f ca="1">_xludf.ifs(AM49="", "", COUNTIF('Internal -- Trademark Countries'!B:B,AM49) &gt; 0, "polity_shortest_name", COUNTIF('Internal -- Trademark Countries'!C:C,AM49) &gt; 0, "polity_full_name", COUNTIF('Internal -- Trademark Countries'!D:D,AM49) &gt; 0, "polity_common_name", COUNTIF('Internal -- Trademark Countries'!E:E,AM49) &gt; 0, "shortest_name", COUNTIF('Internal -- Trademark Countries'!A:A,AM49) &gt; 0, "full_name", TRUE, "not a match")</f>
        <v>#NAME?</v>
      </c>
      <c r="EG49" s="30"/>
      <c r="EH49" s="30"/>
      <c r="EI49" s="30"/>
      <c r="EJ49" s="30"/>
      <c r="EK49" s="30" t="str">
        <f t="shared" si="2"/>
        <v/>
      </c>
    </row>
    <row r="50" spans="1:141" ht="16.5">
      <c r="A50" s="11"/>
      <c r="B50" s="11"/>
      <c r="C50" s="11"/>
      <c r="D50" s="11"/>
      <c r="E50" s="11"/>
      <c r="F50" s="11"/>
      <c r="G50" s="11"/>
      <c r="H50" s="11"/>
      <c r="I50" s="11"/>
      <c r="J50" s="11"/>
      <c r="K50" s="27"/>
      <c r="L50" s="11"/>
      <c r="M50" s="11"/>
      <c r="N50" s="11"/>
      <c r="O50" s="11"/>
      <c r="P50" s="15"/>
      <c r="Q50" s="15"/>
      <c r="R50" s="15"/>
      <c r="S50" s="15"/>
      <c r="T50" s="15"/>
      <c r="U50" s="15"/>
      <c r="V50" s="15"/>
      <c r="W50" s="47"/>
      <c r="X50" s="11"/>
      <c r="Y50" s="48"/>
      <c r="Z50" s="11"/>
      <c r="AA50" s="48"/>
      <c r="AB50" s="11"/>
      <c r="AC50" s="48"/>
      <c r="AD50" s="11"/>
      <c r="AE50" s="47"/>
      <c r="AF50" s="11"/>
      <c r="AG50" s="48"/>
      <c r="AH50" s="11"/>
      <c r="AI50" s="48"/>
      <c r="AJ50" s="11"/>
      <c r="AK50" s="48"/>
      <c r="AL50" s="11"/>
      <c r="AM50" s="49"/>
      <c r="AN50" s="49"/>
      <c r="AO50" s="11"/>
      <c r="AP50" s="11"/>
      <c r="AQ50" s="28" t="b">
        <f>IF(COUNTIF(SmartStatus!A$2:A1000, AM50) &gt; 2, TRUE, FALSE)</f>
        <v>0</v>
      </c>
      <c r="AR50" s="29" t="str">
        <f ca="1">IFERROR(__xludf.DUMMYFUNCTION("iferror(if(regexmatch(AO50, ""(?i)^registered""), if(EE50 &lt;&gt; ""polity_shortest_name"", ""CHECK_POLITY"", index(filter(SmartStatus!B$2:B1000, AM50 = SmartStatus!A$2:A1000, not(SmartStatus!C$2:C1000), (isblank(SmartStatus!D$2:D1000)) + ((P50 &lt;&gt; """") * (P50"&amp;" &lt; SmartStatus!D$2:D1000)), (isblank(SmartStatus!E$2:E1000)) + ((P50 &lt;&gt; """") * (P50 &gt;= SmartStatus!E$2:E1000)), (isblank(SmartStatus!F$2:F1000)) + (((Q50 &lt;&gt; """") * (Q50 &lt; SmartStatus!F$2:F1000)) + ((P50 &lt;&gt; """") * (date(year(P50) + 3, month(P50), day(P5"&amp;"0)) &lt; SmartStatus!F$2:F1000))), (isblank(SmartStatus!G$2:G1000)) + (((Q50 &lt;&gt; """") * (Q50 &gt;= SmartStatus!G$2:G1000)) + ((P50 &lt;&gt; """") * (P50 &gt;= SmartStatus!G$2:G1000)))), if(or(regexmatch(B50, ""(?i)^ir [a-z]+ designation$""), N50 &lt;&gt; """"), 1, 2))), """")"&amp;", ""NO_MATCH"")"),"")</f>
        <v/>
      </c>
      <c r="AS50" s="11"/>
      <c r="AT50" s="15"/>
      <c r="AU50" s="11"/>
      <c r="AV50" s="11"/>
      <c r="AW50" s="15"/>
      <c r="AX50" s="15"/>
      <c r="AY50" s="15"/>
      <c r="AZ50" s="11"/>
      <c r="BA50" s="15"/>
      <c r="BB50" s="11"/>
      <c r="BC50" s="11"/>
      <c r="BD50" s="15"/>
      <c r="BE50" s="11"/>
      <c r="BF50" s="11"/>
      <c r="BG50" s="15"/>
      <c r="BH50" s="15"/>
      <c r="BI50" s="15"/>
      <c r="BJ50" s="11"/>
      <c r="BK50" s="15"/>
      <c r="BL50" s="11"/>
      <c r="BM50" s="11"/>
      <c r="BN50" s="15"/>
      <c r="BO50" s="11"/>
      <c r="BP50" s="11"/>
      <c r="BQ50" s="15"/>
      <c r="BR50" s="15"/>
      <c r="BS50" s="15"/>
      <c r="BT50" s="11"/>
      <c r="BU50" s="15"/>
      <c r="BV50" s="11"/>
      <c r="BW50" s="11"/>
      <c r="BX50" s="15"/>
      <c r="BY50" s="11"/>
      <c r="BZ50" s="11"/>
      <c r="CA50" s="15"/>
      <c r="CB50" s="11"/>
      <c r="CC50" s="15"/>
      <c r="CD50" s="11"/>
      <c r="CE50" s="15"/>
      <c r="CF50" s="11"/>
      <c r="CG50" s="11"/>
      <c r="CH50" s="15"/>
      <c r="CI50" s="11"/>
      <c r="CJ50" s="11"/>
      <c r="CK50" s="15"/>
      <c r="CL50" s="11"/>
      <c r="CM50" s="11"/>
      <c r="CN50" s="11"/>
      <c r="CO50" s="11"/>
      <c r="CP50" s="28"/>
      <c r="CQ50" s="28"/>
      <c r="CR50" s="11"/>
      <c r="CS50" s="29"/>
      <c r="CT50" s="11"/>
      <c r="CU50" s="11"/>
      <c r="CV50" s="11"/>
      <c r="CW50" s="11"/>
      <c r="CX50" s="11"/>
      <c r="CY50" s="11"/>
      <c r="CZ50" s="11"/>
      <c r="DA50" s="28"/>
      <c r="DB50" s="28"/>
      <c r="DC50" s="11"/>
      <c r="DD50" s="29"/>
      <c r="DE50" s="11"/>
      <c r="DF50" s="11"/>
      <c r="DG50" s="11"/>
      <c r="DH50" s="11"/>
      <c r="DI50" s="11"/>
      <c r="DJ50" s="11"/>
      <c r="DK50" s="26"/>
      <c r="DL50" s="11"/>
      <c r="DM50" s="29"/>
      <c r="DN50" s="28"/>
      <c r="DO50" s="11"/>
      <c r="DP50" s="11"/>
      <c r="DQ50" s="11"/>
      <c r="DR50" s="29"/>
      <c r="DS50" s="28"/>
      <c r="DT50" s="11"/>
      <c r="DU50" s="26"/>
      <c r="DV50" s="11"/>
      <c r="DW50" s="29"/>
      <c r="DX50" s="28"/>
      <c r="DY50" s="11"/>
      <c r="DZ50" s="26"/>
      <c r="EA50" s="11"/>
      <c r="EB50" s="29"/>
      <c r="EC50" s="28"/>
      <c r="ED50" s="30"/>
      <c r="EE50" s="30" t="str">
        <f ca="1">IFERROR(__xludf.DUMMYFUNCTION("iferror(index(filter('Internal -- Trademark Countries'!E$2:E1000, (AM50 = 'Internal -- Trademark Countries'!B$2:B1000) + (AM50 = 'Internal -- Trademark Countries'!C$2:C1000) + (AM50 = 'Internal -- Trademark Countries'!D$2:D1000)), 1))"),"")</f>
        <v/>
      </c>
      <c r="EF50" s="30" t="e">
        <f ca="1">_xludf.ifs(AM50="", "", COUNTIF('Internal -- Trademark Countries'!B:B,AM50) &gt; 0, "polity_shortest_name", COUNTIF('Internal -- Trademark Countries'!C:C,AM50) &gt; 0, "polity_full_name", COUNTIF('Internal -- Trademark Countries'!D:D,AM50) &gt; 0, "polity_common_name", COUNTIF('Internal -- Trademark Countries'!E:E,AM50) &gt; 0, "shortest_name", COUNTIF('Internal -- Trademark Countries'!A:A,AM50) &gt; 0, "full_name", TRUE, "not a match")</f>
        <v>#NAME?</v>
      </c>
      <c r="EG50" s="30"/>
      <c r="EH50" s="30"/>
      <c r="EI50" s="30"/>
      <c r="EJ50" s="30"/>
      <c r="EK50" s="30" t="str">
        <f t="shared" si="2"/>
        <v/>
      </c>
    </row>
    <row r="51" spans="1:141" ht="16.5">
      <c r="A51" s="11"/>
      <c r="B51" s="11"/>
      <c r="C51" s="11"/>
      <c r="D51" s="11"/>
      <c r="E51" s="11"/>
      <c r="F51" s="11"/>
      <c r="G51" s="11"/>
      <c r="H51" s="11"/>
      <c r="I51" s="11"/>
      <c r="J51" s="11"/>
      <c r="K51" s="27"/>
      <c r="L51" s="11"/>
      <c r="M51" s="11"/>
      <c r="N51" s="11"/>
      <c r="O51" s="11"/>
      <c r="P51" s="15"/>
      <c r="Q51" s="15"/>
      <c r="R51" s="15"/>
      <c r="S51" s="15"/>
      <c r="T51" s="15"/>
      <c r="U51" s="15"/>
      <c r="V51" s="15"/>
      <c r="W51" s="47"/>
      <c r="X51" s="11"/>
      <c r="Y51" s="48"/>
      <c r="Z51" s="11"/>
      <c r="AA51" s="48"/>
      <c r="AB51" s="11"/>
      <c r="AC51" s="48"/>
      <c r="AD51" s="11"/>
      <c r="AE51" s="47"/>
      <c r="AF51" s="11"/>
      <c r="AG51" s="48"/>
      <c r="AH51" s="11"/>
      <c r="AI51" s="48"/>
      <c r="AJ51" s="11"/>
      <c r="AK51" s="48"/>
      <c r="AL51" s="11"/>
      <c r="AM51" s="49"/>
      <c r="AN51" s="49"/>
      <c r="AO51" s="11"/>
      <c r="AP51" s="11"/>
      <c r="AQ51" s="28" t="b">
        <f>IF(COUNTIF(SmartStatus!A$2:A1000, AM51) &gt; 2, TRUE, FALSE)</f>
        <v>0</v>
      </c>
      <c r="AR51" s="29" t="str">
        <f ca="1">IFERROR(__xludf.DUMMYFUNCTION("iferror(if(regexmatch(AO51, ""(?i)^registered""), if(EE51 &lt;&gt; ""polity_shortest_name"", ""CHECK_POLITY"", index(filter(SmartStatus!B$2:B1000, AM51 = SmartStatus!A$2:A1000, not(SmartStatus!C$2:C1000), (isblank(SmartStatus!D$2:D1000)) + ((P51 &lt;&gt; """") * (P51"&amp;" &lt; SmartStatus!D$2:D1000)), (isblank(SmartStatus!E$2:E1000)) + ((P51 &lt;&gt; """") * (P51 &gt;= SmartStatus!E$2:E1000)), (isblank(SmartStatus!F$2:F1000)) + (((Q51 &lt;&gt; """") * (Q51 &lt; SmartStatus!F$2:F1000)) + ((P51 &lt;&gt; """") * (date(year(P51) + 3, month(P51), day(P5"&amp;"1)) &lt; SmartStatus!F$2:F1000))), (isblank(SmartStatus!G$2:G1000)) + (((Q51 &lt;&gt; """") * (Q51 &gt;= SmartStatus!G$2:G1000)) + ((P51 &lt;&gt; """") * (P51 &gt;= SmartStatus!G$2:G1000)))), if(or(regexmatch(B51, ""(?i)^ir [a-z]+ designation$""), N51 &lt;&gt; """"), 1, 2))), """")"&amp;", ""NO_MATCH"")"),"")</f>
        <v/>
      </c>
      <c r="AS51" s="11"/>
      <c r="AT51" s="15"/>
      <c r="AU51" s="11"/>
      <c r="AV51" s="11"/>
      <c r="AW51" s="15"/>
      <c r="AX51" s="15"/>
      <c r="AY51" s="15"/>
      <c r="AZ51" s="11"/>
      <c r="BA51" s="15"/>
      <c r="BB51" s="11"/>
      <c r="BC51" s="11"/>
      <c r="BD51" s="15"/>
      <c r="BE51" s="11"/>
      <c r="BF51" s="11"/>
      <c r="BG51" s="15"/>
      <c r="BH51" s="15"/>
      <c r="BI51" s="15"/>
      <c r="BJ51" s="11"/>
      <c r="BK51" s="15"/>
      <c r="BL51" s="11"/>
      <c r="BM51" s="11"/>
      <c r="BN51" s="15"/>
      <c r="BO51" s="11"/>
      <c r="BP51" s="11"/>
      <c r="BQ51" s="15"/>
      <c r="BR51" s="15"/>
      <c r="BS51" s="15"/>
      <c r="BT51" s="11"/>
      <c r="BU51" s="15"/>
      <c r="BV51" s="11"/>
      <c r="BW51" s="11"/>
      <c r="BX51" s="15"/>
      <c r="BY51" s="11"/>
      <c r="BZ51" s="11"/>
      <c r="CA51" s="15"/>
      <c r="CB51" s="11"/>
      <c r="CC51" s="15"/>
      <c r="CD51" s="11"/>
      <c r="CE51" s="15"/>
      <c r="CF51" s="11"/>
      <c r="CG51" s="11"/>
      <c r="CH51" s="15"/>
      <c r="CI51" s="11"/>
      <c r="CJ51" s="11"/>
      <c r="CK51" s="15"/>
      <c r="CL51" s="11"/>
      <c r="CM51" s="11"/>
      <c r="CN51" s="11"/>
      <c r="CO51" s="11"/>
      <c r="CP51" s="28"/>
      <c r="CQ51" s="28"/>
      <c r="CR51" s="11"/>
      <c r="CS51" s="29"/>
      <c r="CT51" s="11"/>
      <c r="CU51" s="11"/>
      <c r="CV51" s="11"/>
      <c r="CW51" s="11"/>
      <c r="CX51" s="11"/>
      <c r="CY51" s="11"/>
      <c r="CZ51" s="11"/>
      <c r="DA51" s="28"/>
      <c r="DB51" s="28"/>
      <c r="DC51" s="11"/>
      <c r="DD51" s="29"/>
      <c r="DE51" s="11"/>
      <c r="DF51" s="11"/>
      <c r="DG51" s="11"/>
      <c r="DH51" s="11"/>
      <c r="DI51" s="11"/>
      <c r="DJ51" s="11"/>
      <c r="DK51" s="26"/>
      <c r="DL51" s="11"/>
      <c r="DM51" s="29"/>
      <c r="DN51" s="28"/>
      <c r="DO51" s="11"/>
      <c r="DP51" s="11"/>
      <c r="DQ51" s="11"/>
      <c r="DR51" s="29"/>
      <c r="DS51" s="28"/>
      <c r="DT51" s="11"/>
      <c r="DU51" s="26"/>
      <c r="DV51" s="11"/>
      <c r="DW51" s="29"/>
      <c r="DX51" s="28"/>
      <c r="DY51" s="11"/>
      <c r="DZ51" s="26"/>
      <c r="EA51" s="11"/>
      <c r="EB51" s="29"/>
      <c r="EC51" s="28"/>
      <c r="ED51" s="30"/>
      <c r="EE51" s="30" t="str">
        <f ca="1">IFERROR(__xludf.DUMMYFUNCTION("iferror(index(filter('Internal -- Trademark Countries'!E$2:E1000, (AM51 = 'Internal -- Trademark Countries'!B$2:B1000) + (AM51 = 'Internal -- Trademark Countries'!C$2:C1000) + (AM51 = 'Internal -- Trademark Countries'!D$2:D1000)), 1))"),"")</f>
        <v/>
      </c>
      <c r="EF51" s="30" t="e">
        <f ca="1">_xludf.ifs(AM51="", "", COUNTIF('Internal -- Trademark Countries'!B:B,AM51) &gt; 0, "polity_shortest_name", COUNTIF('Internal -- Trademark Countries'!C:C,AM51) &gt; 0, "polity_full_name", COUNTIF('Internal -- Trademark Countries'!D:D,AM51) &gt; 0, "polity_common_name", COUNTIF('Internal -- Trademark Countries'!E:E,AM51) &gt; 0, "shortest_name", COUNTIF('Internal -- Trademark Countries'!A:A,AM51) &gt; 0, "full_name", TRUE, "not a match")</f>
        <v>#NAME?</v>
      </c>
      <c r="EG51" s="30"/>
      <c r="EH51" s="30"/>
      <c r="EI51" s="30"/>
      <c r="EJ51" s="30"/>
      <c r="EK51" s="30" t="str">
        <f t="shared" si="2"/>
        <v/>
      </c>
    </row>
    <row r="52" spans="1:141" ht="16.5">
      <c r="A52" s="11"/>
      <c r="B52" s="11"/>
      <c r="C52" s="11"/>
      <c r="D52" s="11"/>
      <c r="E52" s="11"/>
      <c r="F52" s="11"/>
      <c r="G52" s="11"/>
      <c r="H52" s="11"/>
      <c r="I52" s="11"/>
      <c r="J52" s="11"/>
      <c r="K52" s="27"/>
      <c r="L52" s="11"/>
      <c r="M52" s="11"/>
      <c r="N52" s="11"/>
      <c r="O52" s="11"/>
      <c r="P52" s="15"/>
      <c r="Q52" s="15"/>
      <c r="R52" s="15"/>
      <c r="S52" s="15"/>
      <c r="T52" s="15"/>
      <c r="U52" s="15"/>
      <c r="V52" s="15"/>
      <c r="W52" s="47"/>
      <c r="X52" s="11"/>
      <c r="Y52" s="48"/>
      <c r="Z52" s="11"/>
      <c r="AA52" s="48"/>
      <c r="AB52" s="11"/>
      <c r="AC52" s="48"/>
      <c r="AD52" s="11"/>
      <c r="AE52" s="47"/>
      <c r="AF52" s="11"/>
      <c r="AG52" s="48"/>
      <c r="AH52" s="11"/>
      <c r="AI52" s="48"/>
      <c r="AJ52" s="11"/>
      <c r="AK52" s="48"/>
      <c r="AL52" s="11"/>
      <c r="AM52" s="49"/>
      <c r="AN52" s="49"/>
      <c r="AO52" s="11"/>
      <c r="AP52" s="11"/>
      <c r="AQ52" s="28" t="b">
        <f>IF(COUNTIF(SmartStatus!A$2:A1000, AM52) &gt; 2, TRUE, FALSE)</f>
        <v>0</v>
      </c>
      <c r="AR52" s="29" t="str">
        <f ca="1">IFERROR(__xludf.DUMMYFUNCTION("iferror(if(regexmatch(AO52, ""(?i)^registered""), if(EE52 &lt;&gt; ""polity_shortest_name"", ""CHECK_POLITY"", index(filter(SmartStatus!B$2:B1000, AM52 = SmartStatus!A$2:A1000, not(SmartStatus!C$2:C1000), (isblank(SmartStatus!D$2:D1000)) + ((P52 &lt;&gt; """") * (P52"&amp;" &lt; SmartStatus!D$2:D1000)), (isblank(SmartStatus!E$2:E1000)) + ((P52 &lt;&gt; """") * (P52 &gt;= SmartStatus!E$2:E1000)), (isblank(SmartStatus!F$2:F1000)) + (((Q52 &lt;&gt; """") * (Q52 &lt; SmartStatus!F$2:F1000)) + ((P52 &lt;&gt; """") * (date(year(P52) + 3, month(P52), day(P5"&amp;"2)) &lt; SmartStatus!F$2:F1000))), (isblank(SmartStatus!G$2:G1000)) + (((Q52 &lt;&gt; """") * (Q52 &gt;= SmartStatus!G$2:G1000)) + ((P52 &lt;&gt; """") * (P52 &gt;= SmartStatus!G$2:G1000)))), if(or(regexmatch(B52, ""(?i)^ir [a-z]+ designation$""), N52 &lt;&gt; """"), 1, 2))), """")"&amp;", ""NO_MATCH"")"),"")</f>
        <v/>
      </c>
      <c r="AS52" s="11"/>
      <c r="AT52" s="15"/>
      <c r="AU52" s="11"/>
      <c r="AV52" s="11"/>
      <c r="AW52" s="15"/>
      <c r="AX52" s="15"/>
      <c r="AY52" s="15"/>
      <c r="AZ52" s="11"/>
      <c r="BA52" s="15"/>
      <c r="BB52" s="11"/>
      <c r="BC52" s="11"/>
      <c r="BD52" s="15"/>
      <c r="BE52" s="11"/>
      <c r="BF52" s="11"/>
      <c r="BG52" s="15"/>
      <c r="BH52" s="15"/>
      <c r="BI52" s="15"/>
      <c r="BJ52" s="11"/>
      <c r="BK52" s="15"/>
      <c r="BL52" s="11"/>
      <c r="BM52" s="11"/>
      <c r="BN52" s="15"/>
      <c r="BO52" s="11"/>
      <c r="BP52" s="11"/>
      <c r="BQ52" s="15"/>
      <c r="BR52" s="15"/>
      <c r="BS52" s="15"/>
      <c r="BT52" s="11"/>
      <c r="BU52" s="15"/>
      <c r="BV52" s="11"/>
      <c r="BW52" s="11"/>
      <c r="BX52" s="15"/>
      <c r="BY52" s="11"/>
      <c r="BZ52" s="11"/>
      <c r="CA52" s="15"/>
      <c r="CB52" s="11"/>
      <c r="CC52" s="15"/>
      <c r="CD52" s="11"/>
      <c r="CE52" s="15"/>
      <c r="CF52" s="11"/>
      <c r="CG52" s="11"/>
      <c r="CH52" s="15"/>
      <c r="CI52" s="11"/>
      <c r="CJ52" s="11"/>
      <c r="CK52" s="15"/>
      <c r="CL52" s="11"/>
      <c r="CM52" s="11"/>
      <c r="CN52" s="11"/>
      <c r="CO52" s="11"/>
      <c r="CP52" s="28"/>
      <c r="CQ52" s="28"/>
      <c r="CR52" s="11"/>
      <c r="CS52" s="29"/>
      <c r="CT52" s="11"/>
      <c r="CU52" s="11"/>
      <c r="CV52" s="11"/>
      <c r="CW52" s="11"/>
      <c r="CX52" s="11"/>
      <c r="CY52" s="11"/>
      <c r="CZ52" s="11"/>
      <c r="DA52" s="28"/>
      <c r="DB52" s="28"/>
      <c r="DC52" s="11"/>
      <c r="DD52" s="29"/>
      <c r="DE52" s="11"/>
      <c r="DF52" s="11"/>
      <c r="DG52" s="11"/>
      <c r="DH52" s="11"/>
      <c r="DI52" s="11"/>
      <c r="DJ52" s="11"/>
      <c r="DK52" s="26"/>
      <c r="DL52" s="11"/>
      <c r="DM52" s="29"/>
      <c r="DN52" s="28"/>
      <c r="DO52" s="11"/>
      <c r="DP52" s="11"/>
      <c r="DQ52" s="11"/>
      <c r="DR52" s="29"/>
      <c r="DS52" s="28"/>
      <c r="DT52" s="11"/>
      <c r="DU52" s="26"/>
      <c r="DV52" s="11"/>
      <c r="DW52" s="29"/>
      <c r="DX52" s="28"/>
      <c r="DY52" s="11"/>
      <c r="DZ52" s="26"/>
      <c r="EA52" s="11"/>
      <c r="EB52" s="29"/>
      <c r="EC52" s="28"/>
      <c r="ED52" s="30"/>
      <c r="EE52" s="30" t="str">
        <f ca="1">IFERROR(__xludf.DUMMYFUNCTION("iferror(index(filter('Internal -- Trademark Countries'!E$2:E1000, (AM52 = 'Internal -- Trademark Countries'!B$2:B1000) + (AM52 = 'Internal -- Trademark Countries'!C$2:C1000) + (AM52 = 'Internal -- Trademark Countries'!D$2:D1000)), 1))"),"")</f>
        <v/>
      </c>
      <c r="EF52" s="30" t="e">
        <f ca="1">_xludf.ifs(AM52="", "", COUNTIF('Internal -- Trademark Countries'!B:B,AM52) &gt; 0, "polity_shortest_name", COUNTIF('Internal -- Trademark Countries'!C:C,AM52) &gt; 0, "polity_full_name", COUNTIF('Internal -- Trademark Countries'!D:D,AM52) &gt; 0, "polity_common_name", COUNTIF('Internal -- Trademark Countries'!E:E,AM52) &gt; 0, "shortest_name", COUNTIF('Internal -- Trademark Countries'!A:A,AM52) &gt; 0, "full_name", TRUE, "not a match")</f>
        <v>#NAME?</v>
      </c>
      <c r="EG52" s="30"/>
      <c r="EH52" s="30"/>
      <c r="EI52" s="30"/>
      <c r="EJ52" s="30"/>
      <c r="EK52" s="30" t="str">
        <f t="shared" si="2"/>
        <v/>
      </c>
    </row>
    <row r="53" spans="1:141" ht="16.5">
      <c r="A53" s="11"/>
      <c r="B53" s="11"/>
      <c r="C53" s="11"/>
      <c r="D53" s="11"/>
      <c r="E53" s="11"/>
      <c r="F53" s="11"/>
      <c r="G53" s="11"/>
      <c r="H53" s="11"/>
      <c r="I53" s="11"/>
      <c r="J53" s="11"/>
      <c r="K53" s="27"/>
      <c r="L53" s="11"/>
      <c r="M53" s="11"/>
      <c r="N53" s="11"/>
      <c r="O53" s="11"/>
      <c r="P53" s="15"/>
      <c r="Q53" s="15"/>
      <c r="R53" s="15"/>
      <c r="S53" s="15"/>
      <c r="T53" s="15"/>
      <c r="U53" s="15"/>
      <c r="V53" s="15"/>
      <c r="W53" s="47"/>
      <c r="X53" s="11"/>
      <c r="Y53" s="48"/>
      <c r="Z53" s="11"/>
      <c r="AA53" s="48"/>
      <c r="AB53" s="11"/>
      <c r="AC53" s="48"/>
      <c r="AD53" s="11"/>
      <c r="AE53" s="47"/>
      <c r="AF53" s="11"/>
      <c r="AG53" s="48"/>
      <c r="AH53" s="11"/>
      <c r="AI53" s="48"/>
      <c r="AJ53" s="11"/>
      <c r="AK53" s="48"/>
      <c r="AL53" s="11"/>
      <c r="AM53" s="49"/>
      <c r="AN53" s="49"/>
      <c r="AO53" s="11"/>
      <c r="AP53" s="11"/>
      <c r="AQ53" s="28" t="b">
        <f>IF(COUNTIF(SmartStatus!A$2:A1000, AM53) &gt; 2, TRUE, FALSE)</f>
        <v>0</v>
      </c>
      <c r="AR53" s="29" t="str">
        <f ca="1">IFERROR(__xludf.DUMMYFUNCTION("iferror(if(regexmatch(AO53, ""(?i)^registered""), if(EE53 &lt;&gt; ""polity_shortest_name"", ""CHECK_POLITY"", index(filter(SmartStatus!B$2:B1000, AM53 = SmartStatus!A$2:A1000, not(SmartStatus!C$2:C1000), (isblank(SmartStatus!D$2:D1000)) + ((P53 &lt;&gt; """") * (P53"&amp;" &lt; SmartStatus!D$2:D1000)), (isblank(SmartStatus!E$2:E1000)) + ((P53 &lt;&gt; """") * (P53 &gt;= SmartStatus!E$2:E1000)), (isblank(SmartStatus!F$2:F1000)) + (((Q53 &lt;&gt; """") * (Q53 &lt; SmartStatus!F$2:F1000)) + ((P53 &lt;&gt; """") * (date(year(P53) + 3, month(P53), day(P5"&amp;"3)) &lt; SmartStatus!F$2:F1000))), (isblank(SmartStatus!G$2:G1000)) + (((Q53 &lt;&gt; """") * (Q53 &gt;= SmartStatus!G$2:G1000)) + ((P53 &lt;&gt; """") * (P53 &gt;= SmartStatus!G$2:G1000)))), if(or(regexmatch(B53, ""(?i)^ir [a-z]+ designation$""), N53 &lt;&gt; """"), 1, 2))), """")"&amp;", ""NO_MATCH"")"),"")</f>
        <v/>
      </c>
      <c r="AS53" s="11"/>
      <c r="AT53" s="15"/>
      <c r="AU53" s="11"/>
      <c r="AV53" s="11"/>
      <c r="AW53" s="15"/>
      <c r="AX53" s="15"/>
      <c r="AY53" s="15"/>
      <c r="AZ53" s="11"/>
      <c r="BA53" s="15"/>
      <c r="BB53" s="11"/>
      <c r="BC53" s="11"/>
      <c r="BD53" s="15"/>
      <c r="BE53" s="11"/>
      <c r="BF53" s="11"/>
      <c r="BG53" s="15"/>
      <c r="BH53" s="15"/>
      <c r="BI53" s="15"/>
      <c r="BJ53" s="11"/>
      <c r="BK53" s="15"/>
      <c r="BL53" s="11"/>
      <c r="BM53" s="11"/>
      <c r="BN53" s="15"/>
      <c r="BO53" s="11"/>
      <c r="BP53" s="11"/>
      <c r="BQ53" s="15"/>
      <c r="BR53" s="15"/>
      <c r="BS53" s="15"/>
      <c r="BT53" s="11"/>
      <c r="BU53" s="15"/>
      <c r="BV53" s="11"/>
      <c r="BW53" s="11"/>
      <c r="BX53" s="15"/>
      <c r="BY53" s="11"/>
      <c r="BZ53" s="11"/>
      <c r="CA53" s="15"/>
      <c r="CB53" s="11"/>
      <c r="CC53" s="15"/>
      <c r="CD53" s="11"/>
      <c r="CE53" s="15"/>
      <c r="CF53" s="11"/>
      <c r="CG53" s="11"/>
      <c r="CH53" s="15"/>
      <c r="CI53" s="11"/>
      <c r="CJ53" s="11"/>
      <c r="CK53" s="15"/>
      <c r="CL53" s="11"/>
      <c r="CM53" s="11"/>
      <c r="CN53" s="11"/>
      <c r="CO53" s="11"/>
      <c r="CP53" s="28"/>
      <c r="CQ53" s="28"/>
      <c r="CR53" s="11"/>
      <c r="CS53" s="29"/>
      <c r="CT53" s="11"/>
      <c r="CU53" s="11"/>
      <c r="CV53" s="11"/>
      <c r="CW53" s="11"/>
      <c r="CX53" s="11"/>
      <c r="CY53" s="11"/>
      <c r="CZ53" s="11"/>
      <c r="DA53" s="28"/>
      <c r="DB53" s="28"/>
      <c r="DC53" s="11"/>
      <c r="DD53" s="29"/>
      <c r="DE53" s="11"/>
      <c r="DF53" s="11"/>
      <c r="DG53" s="11"/>
      <c r="DH53" s="11"/>
      <c r="DI53" s="11"/>
      <c r="DJ53" s="11"/>
      <c r="DK53" s="26"/>
      <c r="DL53" s="11"/>
      <c r="DM53" s="29"/>
      <c r="DN53" s="28"/>
      <c r="DO53" s="11"/>
      <c r="DP53" s="11"/>
      <c r="DQ53" s="11"/>
      <c r="DR53" s="29"/>
      <c r="DS53" s="28"/>
      <c r="DT53" s="11"/>
      <c r="DU53" s="26"/>
      <c r="DV53" s="11"/>
      <c r="DW53" s="29"/>
      <c r="DX53" s="28"/>
      <c r="DY53" s="11"/>
      <c r="DZ53" s="26"/>
      <c r="EA53" s="11"/>
      <c r="EB53" s="29"/>
      <c r="EC53" s="28"/>
      <c r="ED53" s="30"/>
      <c r="EE53" s="30" t="str">
        <f ca="1">IFERROR(__xludf.DUMMYFUNCTION("iferror(index(filter('Internal -- Trademark Countries'!E$2:E1000, (AM53 = 'Internal -- Trademark Countries'!B$2:B1000) + (AM53 = 'Internal -- Trademark Countries'!C$2:C1000) + (AM53 = 'Internal -- Trademark Countries'!D$2:D1000)), 1))"),"")</f>
        <v/>
      </c>
      <c r="EF53" s="30" t="e">
        <f ca="1">_xludf.ifs(AM53="", "", COUNTIF('Internal -- Trademark Countries'!B:B,AM53) &gt; 0, "polity_shortest_name", COUNTIF('Internal -- Trademark Countries'!C:C,AM53) &gt; 0, "polity_full_name", COUNTIF('Internal -- Trademark Countries'!D:D,AM53) &gt; 0, "polity_common_name", COUNTIF('Internal -- Trademark Countries'!E:E,AM53) &gt; 0, "shortest_name", COUNTIF('Internal -- Trademark Countries'!A:A,AM53) &gt; 0, "full_name", TRUE, "not a match")</f>
        <v>#NAME?</v>
      </c>
      <c r="EG53" s="30"/>
      <c r="EH53" s="30"/>
      <c r="EI53" s="30"/>
      <c r="EJ53" s="30"/>
      <c r="EK53" s="30" t="str">
        <f t="shared" si="2"/>
        <v/>
      </c>
    </row>
    <row r="54" spans="1:141" ht="16.5">
      <c r="A54" s="11"/>
      <c r="B54" s="11"/>
      <c r="C54" s="11"/>
      <c r="D54" s="11"/>
      <c r="E54" s="11"/>
      <c r="F54" s="11"/>
      <c r="G54" s="11"/>
      <c r="H54" s="11"/>
      <c r="I54" s="11"/>
      <c r="J54" s="11"/>
      <c r="K54" s="27"/>
      <c r="L54" s="11"/>
      <c r="M54" s="11"/>
      <c r="N54" s="11"/>
      <c r="O54" s="11"/>
      <c r="P54" s="15"/>
      <c r="Q54" s="15"/>
      <c r="R54" s="15"/>
      <c r="S54" s="15"/>
      <c r="T54" s="15"/>
      <c r="U54" s="15"/>
      <c r="V54" s="15"/>
      <c r="W54" s="47"/>
      <c r="X54" s="11"/>
      <c r="Y54" s="48"/>
      <c r="Z54" s="11"/>
      <c r="AA54" s="48"/>
      <c r="AB54" s="11"/>
      <c r="AC54" s="48"/>
      <c r="AD54" s="11"/>
      <c r="AE54" s="47"/>
      <c r="AF54" s="11"/>
      <c r="AG54" s="48"/>
      <c r="AH54" s="11"/>
      <c r="AI54" s="48"/>
      <c r="AJ54" s="11"/>
      <c r="AK54" s="48"/>
      <c r="AL54" s="11"/>
      <c r="AM54" s="49"/>
      <c r="AN54" s="49"/>
      <c r="AO54" s="11"/>
      <c r="AP54" s="11"/>
      <c r="AQ54" s="28" t="b">
        <f>IF(COUNTIF(SmartStatus!A$2:A1000, AM54) &gt; 2, TRUE, FALSE)</f>
        <v>0</v>
      </c>
      <c r="AR54" s="29" t="str">
        <f ca="1">IFERROR(__xludf.DUMMYFUNCTION("iferror(if(regexmatch(AO54, ""(?i)^registered""), if(EE54 &lt;&gt; ""polity_shortest_name"", ""CHECK_POLITY"", index(filter(SmartStatus!B$2:B1000, AM54 = SmartStatus!A$2:A1000, not(SmartStatus!C$2:C1000), (isblank(SmartStatus!D$2:D1000)) + ((P54 &lt;&gt; """") * (P54"&amp;" &lt; SmartStatus!D$2:D1000)), (isblank(SmartStatus!E$2:E1000)) + ((P54 &lt;&gt; """") * (P54 &gt;= SmartStatus!E$2:E1000)), (isblank(SmartStatus!F$2:F1000)) + (((Q54 &lt;&gt; """") * (Q54 &lt; SmartStatus!F$2:F1000)) + ((P54 &lt;&gt; """") * (date(year(P54) + 3, month(P54), day(P5"&amp;"4)) &lt; SmartStatus!F$2:F1000))), (isblank(SmartStatus!G$2:G1000)) + (((Q54 &lt;&gt; """") * (Q54 &gt;= SmartStatus!G$2:G1000)) + ((P54 &lt;&gt; """") * (P54 &gt;= SmartStatus!G$2:G1000)))), if(or(regexmatch(B54, ""(?i)^ir [a-z]+ designation$""), N54 &lt;&gt; """"), 1, 2))), """")"&amp;", ""NO_MATCH"")"),"")</f>
        <v/>
      </c>
      <c r="AS54" s="11"/>
      <c r="AT54" s="15"/>
      <c r="AU54" s="11"/>
      <c r="AV54" s="11"/>
      <c r="AW54" s="15"/>
      <c r="AX54" s="15"/>
      <c r="AY54" s="15"/>
      <c r="AZ54" s="11"/>
      <c r="BA54" s="15"/>
      <c r="BB54" s="11"/>
      <c r="BC54" s="11"/>
      <c r="BD54" s="15"/>
      <c r="BE54" s="11"/>
      <c r="BF54" s="11"/>
      <c r="BG54" s="15"/>
      <c r="BH54" s="15"/>
      <c r="BI54" s="15"/>
      <c r="BJ54" s="11"/>
      <c r="BK54" s="15"/>
      <c r="BL54" s="11"/>
      <c r="BM54" s="11"/>
      <c r="BN54" s="15"/>
      <c r="BO54" s="11"/>
      <c r="BP54" s="11"/>
      <c r="BQ54" s="15"/>
      <c r="BR54" s="15"/>
      <c r="BS54" s="15"/>
      <c r="BT54" s="11"/>
      <c r="BU54" s="15"/>
      <c r="BV54" s="11"/>
      <c r="BW54" s="11"/>
      <c r="BX54" s="15"/>
      <c r="BY54" s="11"/>
      <c r="BZ54" s="11"/>
      <c r="CA54" s="15"/>
      <c r="CB54" s="11"/>
      <c r="CC54" s="15"/>
      <c r="CD54" s="11"/>
      <c r="CE54" s="15"/>
      <c r="CF54" s="11"/>
      <c r="CG54" s="11"/>
      <c r="CH54" s="15"/>
      <c r="CI54" s="11"/>
      <c r="CJ54" s="11"/>
      <c r="CK54" s="15"/>
      <c r="CL54" s="11"/>
      <c r="CM54" s="11"/>
      <c r="CN54" s="11"/>
      <c r="CO54" s="11"/>
      <c r="CP54" s="28"/>
      <c r="CQ54" s="28"/>
      <c r="CR54" s="11"/>
      <c r="CS54" s="29"/>
      <c r="CT54" s="11"/>
      <c r="CU54" s="11"/>
      <c r="CV54" s="11"/>
      <c r="CW54" s="11"/>
      <c r="CX54" s="11"/>
      <c r="CY54" s="11"/>
      <c r="CZ54" s="11"/>
      <c r="DA54" s="28"/>
      <c r="DB54" s="28"/>
      <c r="DC54" s="11"/>
      <c r="DD54" s="29"/>
      <c r="DE54" s="11"/>
      <c r="DF54" s="11"/>
      <c r="DG54" s="11"/>
      <c r="DH54" s="11"/>
      <c r="DI54" s="11"/>
      <c r="DJ54" s="11"/>
      <c r="DK54" s="26"/>
      <c r="DL54" s="11"/>
      <c r="DM54" s="29"/>
      <c r="DN54" s="28"/>
      <c r="DO54" s="11"/>
      <c r="DP54" s="11"/>
      <c r="DQ54" s="11"/>
      <c r="DR54" s="29"/>
      <c r="DS54" s="28"/>
      <c r="DT54" s="11"/>
      <c r="DU54" s="26"/>
      <c r="DV54" s="11"/>
      <c r="DW54" s="29"/>
      <c r="DX54" s="28"/>
      <c r="DY54" s="11"/>
      <c r="DZ54" s="26"/>
      <c r="EA54" s="11"/>
      <c r="EB54" s="29"/>
      <c r="EC54" s="28"/>
      <c r="ED54" s="30"/>
      <c r="EE54" s="30" t="str">
        <f ca="1">IFERROR(__xludf.DUMMYFUNCTION("iferror(index(filter('Internal -- Trademark Countries'!E$2:E1000, (AM54 = 'Internal -- Trademark Countries'!B$2:B1000) + (AM54 = 'Internal -- Trademark Countries'!C$2:C1000) + (AM54 = 'Internal -- Trademark Countries'!D$2:D1000)), 1))"),"")</f>
        <v/>
      </c>
      <c r="EF54" s="30" t="e">
        <f ca="1">_xludf.ifs(AM54="", "", COUNTIF('Internal -- Trademark Countries'!B:B,AM54) &gt; 0, "polity_shortest_name", COUNTIF('Internal -- Trademark Countries'!C:C,AM54) &gt; 0, "polity_full_name", COUNTIF('Internal -- Trademark Countries'!D:D,AM54) &gt; 0, "polity_common_name", COUNTIF('Internal -- Trademark Countries'!E:E,AM54) &gt; 0, "shortest_name", COUNTIF('Internal -- Trademark Countries'!A:A,AM54) &gt; 0, "full_name", TRUE, "not a match")</f>
        <v>#NAME?</v>
      </c>
      <c r="EG54" s="30"/>
      <c r="EH54" s="30"/>
      <c r="EI54" s="30"/>
      <c r="EJ54" s="30"/>
      <c r="EK54" s="30" t="str">
        <f t="shared" si="2"/>
        <v/>
      </c>
    </row>
    <row r="55" spans="1:141" ht="16.5">
      <c r="A55" s="11"/>
      <c r="B55" s="11"/>
      <c r="C55" s="11"/>
      <c r="D55" s="11"/>
      <c r="E55" s="11"/>
      <c r="F55" s="11"/>
      <c r="G55" s="11"/>
      <c r="H55" s="11"/>
      <c r="I55" s="11"/>
      <c r="J55" s="11"/>
      <c r="K55" s="27"/>
      <c r="L55" s="11"/>
      <c r="M55" s="11"/>
      <c r="N55" s="11"/>
      <c r="O55" s="11"/>
      <c r="P55" s="15"/>
      <c r="Q55" s="15"/>
      <c r="R55" s="15"/>
      <c r="S55" s="15"/>
      <c r="T55" s="15"/>
      <c r="U55" s="15"/>
      <c r="V55" s="15"/>
      <c r="W55" s="47"/>
      <c r="X55" s="11"/>
      <c r="Y55" s="48"/>
      <c r="Z55" s="11"/>
      <c r="AA55" s="48"/>
      <c r="AB55" s="11"/>
      <c r="AC55" s="48"/>
      <c r="AD55" s="11"/>
      <c r="AE55" s="47"/>
      <c r="AF55" s="11"/>
      <c r="AG55" s="48"/>
      <c r="AH55" s="11"/>
      <c r="AI55" s="48"/>
      <c r="AJ55" s="11"/>
      <c r="AK55" s="48"/>
      <c r="AL55" s="11"/>
      <c r="AM55" s="49"/>
      <c r="AN55" s="49"/>
      <c r="AO55" s="11"/>
      <c r="AP55" s="11"/>
      <c r="AQ55" s="28" t="b">
        <f>IF(COUNTIF(SmartStatus!A$2:A1000, AM55) &gt; 2, TRUE, FALSE)</f>
        <v>0</v>
      </c>
      <c r="AR55" s="29" t="str">
        <f ca="1">IFERROR(__xludf.DUMMYFUNCTION("iferror(if(regexmatch(AO55, ""(?i)^registered""), if(EE55 &lt;&gt; ""polity_shortest_name"", ""CHECK_POLITY"", index(filter(SmartStatus!B$2:B1000, AM55 = SmartStatus!A$2:A1000, not(SmartStatus!C$2:C1000), (isblank(SmartStatus!D$2:D1000)) + ((P55 &lt;&gt; """") * (P55"&amp;" &lt; SmartStatus!D$2:D1000)), (isblank(SmartStatus!E$2:E1000)) + ((P55 &lt;&gt; """") * (P55 &gt;= SmartStatus!E$2:E1000)), (isblank(SmartStatus!F$2:F1000)) + (((Q55 &lt;&gt; """") * (Q55 &lt; SmartStatus!F$2:F1000)) + ((P55 &lt;&gt; """") * (date(year(P55) + 3, month(P55), day(P5"&amp;"5)) &lt; SmartStatus!F$2:F1000))), (isblank(SmartStatus!G$2:G1000)) + (((Q55 &lt;&gt; """") * (Q55 &gt;= SmartStatus!G$2:G1000)) + ((P55 &lt;&gt; """") * (P55 &gt;= SmartStatus!G$2:G1000)))), if(or(regexmatch(B55, ""(?i)^ir [a-z]+ designation$""), N55 &lt;&gt; """"), 1, 2))), """")"&amp;", ""NO_MATCH"")"),"")</f>
        <v/>
      </c>
      <c r="AS55" s="11"/>
      <c r="AT55" s="15"/>
      <c r="AU55" s="11"/>
      <c r="AV55" s="11"/>
      <c r="AW55" s="15"/>
      <c r="AX55" s="15"/>
      <c r="AY55" s="15"/>
      <c r="AZ55" s="11"/>
      <c r="BA55" s="15"/>
      <c r="BB55" s="11"/>
      <c r="BC55" s="11"/>
      <c r="BD55" s="15"/>
      <c r="BE55" s="11"/>
      <c r="BF55" s="11"/>
      <c r="BG55" s="15"/>
      <c r="BH55" s="15"/>
      <c r="BI55" s="15"/>
      <c r="BJ55" s="11"/>
      <c r="BK55" s="15"/>
      <c r="BL55" s="11"/>
      <c r="BM55" s="11"/>
      <c r="BN55" s="15"/>
      <c r="BO55" s="11"/>
      <c r="BP55" s="11"/>
      <c r="BQ55" s="15"/>
      <c r="BR55" s="15"/>
      <c r="BS55" s="15"/>
      <c r="BT55" s="11"/>
      <c r="BU55" s="15"/>
      <c r="BV55" s="11"/>
      <c r="BW55" s="11"/>
      <c r="BX55" s="15"/>
      <c r="BY55" s="11"/>
      <c r="BZ55" s="11"/>
      <c r="CA55" s="15"/>
      <c r="CB55" s="11"/>
      <c r="CC55" s="15"/>
      <c r="CD55" s="11"/>
      <c r="CE55" s="15"/>
      <c r="CF55" s="11"/>
      <c r="CG55" s="11"/>
      <c r="CH55" s="15"/>
      <c r="CI55" s="11"/>
      <c r="CJ55" s="11"/>
      <c r="CK55" s="15"/>
      <c r="CL55" s="11"/>
      <c r="CM55" s="11"/>
      <c r="CN55" s="11"/>
      <c r="CO55" s="11"/>
      <c r="CP55" s="28"/>
      <c r="CQ55" s="28"/>
      <c r="CR55" s="11"/>
      <c r="CS55" s="29"/>
      <c r="CT55" s="11"/>
      <c r="CU55" s="11"/>
      <c r="CV55" s="11"/>
      <c r="CW55" s="11"/>
      <c r="CX55" s="11"/>
      <c r="CY55" s="11"/>
      <c r="CZ55" s="11"/>
      <c r="DA55" s="28"/>
      <c r="DB55" s="28"/>
      <c r="DC55" s="11"/>
      <c r="DD55" s="29"/>
      <c r="DE55" s="11"/>
      <c r="DF55" s="11"/>
      <c r="DG55" s="11"/>
      <c r="DH55" s="11"/>
      <c r="DI55" s="11"/>
      <c r="DJ55" s="11"/>
      <c r="DK55" s="26"/>
      <c r="DL55" s="11"/>
      <c r="DM55" s="29"/>
      <c r="DN55" s="28"/>
      <c r="DO55" s="11"/>
      <c r="DP55" s="11"/>
      <c r="DQ55" s="11"/>
      <c r="DR55" s="29"/>
      <c r="DS55" s="28"/>
      <c r="DT55" s="11"/>
      <c r="DU55" s="26"/>
      <c r="DV55" s="11"/>
      <c r="DW55" s="29"/>
      <c r="DX55" s="28"/>
      <c r="DY55" s="11"/>
      <c r="DZ55" s="26"/>
      <c r="EA55" s="11"/>
      <c r="EB55" s="29"/>
      <c r="EC55" s="28"/>
      <c r="ED55" s="30"/>
      <c r="EE55" s="30" t="str">
        <f ca="1">IFERROR(__xludf.DUMMYFUNCTION("iferror(index(filter('Internal -- Trademark Countries'!E$2:E1000, (AM55 = 'Internal -- Trademark Countries'!B$2:B1000) + (AM55 = 'Internal -- Trademark Countries'!C$2:C1000) + (AM55 = 'Internal -- Trademark Countries'!D$2:D1000)), 1))"),"")</f>
        <v/>
      </c>
      <c r="EF55" s="30" t="e">
        <f ca="1">_xludf.ifs(AM55="", "", COUNTIF('Internal -- Trademark Countries'!B:B,AM55) &gt; 0, "polity_shortest_name", COUNTIF('Internal -- Trademark Countries'!C:C,AM55) &gt; 0, "polity_full_name", COUNTIF('Internal -- Trademark Countries'!D:D,AM55) &gt; 0, "polity_common_name", COUNTIF('Internal -- Trademark Countries'!E:E,AM55) &gt; 0, "shortest_name", COUNTIF('Internal -- Trademark Countries'!A:A,AM55) &gt; 0, "full_name", TRUE, "not a match")</f>
        <v>#NAME?</v>
      </c>
      <c r="EG55" s="30"/>
      <c r="EH55" s="30"/>
      <c r="EI55" s="30"/>
      <c r="EJ55" s="30"/>
      <c r="EK55" s="30" t="str">
        <f t="shared" si="2"/>
        <v/>
      </c>
    </row>
    <row r="56" spans="1:141" ht="16.5">
      <c r="A56" s="11"/>
      <c r="B56" s="11"/>
      <c r="C56" s="11"/>
      <c r="D56" s="11"/>
      <c r="E56" s="11"/>
      <c r="F56" s="11"/>
      <c r="G56" s="11"/>
      <c r="H56" s="11"/>
      <c r="I56" s="11"/>
      <c r="J56" s="11"/>
      <c r="K56" s="27"/>
      <c r="L56" s="11"/>
      <c r="M56" s="11"/>
      <c r="N56" s="11"/>
      <c r="O56" s="11"/>
      <c r="P56" s="15"/>
      <c r="Q56" s="15"/>
      <c r="R56" s="15"/>
      <c r="S56" s="15"/>
      <c r="T56" s="15"/>
      <c r="U56" s="15"/>
      <c r="V56" s="15"/>
      <c r="W56" s="47"/>
      <c r="X56" s="11"/>
      <c r="Y56" s="48"/>
      <c r="Z56" s="11"/>
      <c r="AA56" s="48"/>
      <c r="AB56" s="11"/>
      <c r="AC56" s="48"/>
      <c r="AD56" s="11"/>
      <c r="AE56" s="47"/>
      <c r="AF56" s="11"/>
      <c r="AG56" s="48"/>
      <c r="AH56" s="11"/>
      <c r="AI56" s="48"/>
      <c r="AJ56" s="11"/>
      <c r="AK56" s="48"/>
      <c r="AL56" s="11"/>
      <c r="AM56" s="49"/>
      <c r="AN56" s="49"/>
      <c r="AO56" s="11"/>
      <c r="AP56" s="11"/>
      <c r="AQ56" s="28" t="b">
        <f>IF(COUNTIF(SmartStatus!A$2:A1000, AM56) &gt; 2, TRUE, FALSE)</f>
        <v>0</v>
      </c>
      <c r="AR56" s="29" t="str">
        <f ca="1">IFERROR(__xludf.DUMMYFUNCTION("iferror(if(regexmatch(AO56, ""(?i)^registered""), if(EE56 &lt;&gt; ""polity_shortest_name"", ""CHECK_POLITY"", index(filter(SmartStatus!B$2:B1000, AM56 = SmartStatus!A$2:A1000, not(SmartStatus!C$2:C1000), (isblank(SmartStatus!D$2:D1000)) + ((P56 &lt;&gt; """") * (P56"&amp;" &lt; SmartStatus!D$2:D1000)), (isblank(SmartStatus!E$2:E1000)) + ((P56 &lt;&gt; """") * (P56 &gt;= SmartStatus!E$2:E1000)), (isblank(SmartStatus!F$2:F1000)) + (((Q56 &lt;&gt; """") * (Q56 &lt; SmartStatus!F$2:F1000)) + ((P56 &lt;&gt; """") * (date(year(P56) + 3, month(P56), day(P5"&amp;"6)) &lt; SmartStatus!F$2:F1000))), (isblank(SmartStatus!G$2:G1000)) + (((Q56 &lt;&gt; """") * (Q56 &gt;= SmartStatus!G$2:G1000)) + ((P56 &lt;&gt; """") * (P56 &gt;= SmartStatus!G$2:G1000)))), if(or(regexmatch(B56, ""(?i)^ir [a-z]+ designation$""), N56 &lt;&gt; """"), 1, 2))), """")"&amp;", ""NO_MATCH"")"),"")</f>
        <v/>
      </c>
      <c r="AS56" s="11"/>
      <c r="AT56" s="15"/>
      <c r="AU56" s="11"/>
      <c r="AV56" s="11"/>
      <c r="AW56" s="15"/>
      <c r="AX56" s="15"/>
      <c r="AY56" s="15"/>
      <c r="AZ56" s="11"/>
      <c r="BA56" s="15"/>
      <c r="BB56" s="11"/>
      <c r="BC56" s="11"/>
      <c r="BD56" s="15"/>
      <c r="BE56" s="11"/>
      <c r="BF56" s="11"/>
      <c r="BG56" s="15"/>
      <c r="BH56" s="15"/>
      <c r="BI56" s="15"/>
      <c r="BJ56" s="11"/>
      <c r="BK56" s="15"/>
      <c r="BL56" s="11"/>
      <c r="BM56" s="11"/>
      <c r="BN56" s="15"/>
      <c r="BO56" s="11"/>
      <c r="BP56" s="11"/>
      <c r="BQ56" s="15"/>
      <c r="BR56" s="15"/>
      <c r="BS56" s="15"/>
      <c r="BT56" s="11"/>
      <c r="BU56" s="15"/>
      <c r="BV56" s="11"/>
      <c r="BW56" s="11"/>
      <c r="BX56" s="15"/>
      <c r="BY56" s="11"/>
      <c r="BZ56" s="11"/>
      <c r="CA56" s="15"/>
      <c r="CB56" s="11"/>
      <c r="CC56" s="15"/>
      <c r="CD56" s="11"/>
      <c r="CE56" s="15"/>
      <c r="CF56" s="11"/>
      <c r="CG56" s="11"/>
      <c r="CH56" s="15"/>
      <c r="CI56" s="11"/>
      <c r="CJ56" s="11"/>
      <c r="CK56" s="15"/>
      <c r="CL56" s="11"/>
      <c r="CM56" s="11"/>
      <c r="CN56" s="11"/>
      <c r="CO56" s="11"/>
      <c r="CP56" s="28"/>
      <c r="CQ56" s="28"/>
      <c r="CR56" s="11"/>
      <c r="CS56" s="29"/>
      <c r="CT56" s="11"/>
      <c r="CU56" s="11"/>
      <c r="CV56" s="11"/>
      <c r="CW56" s="11"/>
      <c r="CX56" s="11"/>
      <c r="CY56" s="11"/>
      <c r="CZ56" s="11"/>
      <c r="DA56" s="28"/>
      <c r="DB56" s="28"/>
      <c r="DC56" s="11"/>
      <c r="DD56" s="29"/>
      <c r="DE56" s="11"/>
      <c r="DF56" s="11"/>
      <c r="DG56" s="11"/>
      <c r="DH56" s="11"/>
      <c r="DI56" s="11"/>
      <c r="DJ56" s="11"/>
      <c r="DK56" s="26"/>
      <c r="DL56" s="11"/>
      <c r="DM56" s="29"/>
      <c r="DN56" s="28"/>
      <c r="DO56" s="11"/>
      <c r="DP56" s="11"/>
      <c r="DQ56" s="11"/>
      <c r="DR56" s="29"/>
      <c r="DS56" s="28"/>
      <c r="DT56" s="11"/>
      <c r="DU56" s="26"/>
      <c r="DV56" s="11"/>
      <c r="DW56" s="29"/>
      <c r="DX56" s="28"/>
      <c r="DY56" s="11"/>
      <c r="DZ56" s="26"/>
      <c r="EA56" s="11"/>
      <c r="EB56" s="29"/>
      <c r="EC56" s="28"/>
      <c r="ED56" s="30"/>
      <c r="EE56" s="30" t="str">
        <f ca="1">IFERROR(__xludf.DUMMYFUNCTION("iferror(index(filter('Internal -- Trademark Countries'!E$2:E1000, (AM56 = 'Internal -- Trademark Countries'!B$2:B1000) + (AM56 = 'Internal -- Trademark Countries'!C$2:C1000) + (AM56 = 'Internal -- Trademark Countries'!D$2:D1000)), 1))"),"")</f>
        <v/>
      </c>
      <c r="EF56" s="30" t="e">
        <f ca="1">_xludf.ifs(AM56="", "", COUNTIF('Internal -- Trademark Countries'!B:B,AM56) &gt; 0, "polity_shortest_name", COUNTIF('Internal -- Trademark Countries'!C:C,AM56) &gt; 0, "polity_full_name", COUNTIF('Internal -- Trademark Countries'!D:D,AM56) &gt; 0, "polity_common_name", COUNTIF('Internal -- Trademark Countries'!E:E,AM56) &gt; 0, "shortest_name", COUNTIF('Internal -- Trademark Countries'!A:A,AM56) &gt; 0, "full_name", TRUE, "not a match")</f>
        <v>#NAME?</v>
      </c>
      <c r="EG56" s="30"/>
      <c r="EH56" s="30"/>
      <c r="EI56" s="30"/>
      <c r="EJ56" s="30"/>
      <c r="EK56" s="30" t="str">
        <f t="shared" si="2"/>
        <v/>
      </c>
    </row>
    <row r="57" spans="1:141" ht="16.5">
      <c r="A57" s="11"/>
      <c r="B57" s="11"/>
      <c r="C57" s="11"/>
      <c r="D57" s="11"/>
      <c r="E57" s="11"/>
      <c r="F57" s="11"/>
      <c r="G57" s="11"/>
      <c r="H57" s="11"/>
      <c r="I57" s="11"/>
      <c r="J57" s="11"/>
      <c r="K57" s="27"/>
      <c r="L57" s="11"/>
      <c r="M57" s="11"/>
      <c r="N57" s="11"/>
      <c r="O57" s="11"/>
      <c r="P57" s="15"/>
      <c r="Q57" s="15"/>
      <c r="R57" s="15"/>
      <c r="S57" s="15"/>
      <c r="T57" s="15"/>
      <c r="U57" s="15"/>
      <c r="V57" s="15"/>
      <c r="W57" s="47"/>
      <c r="X57" s="11"/>
      <c r="Y57" s="48"/>
      <c r="Z57" s="11"/>
      <c r="AA57" s="48"/>
      <c r="AB57" s="11"/>
      <c r="AC57" s="48"/>
      <c r="AD57" s="11"/>
      <c r="AE57" s="47"/>
      <c r="AF57" s="11"/>
      <c r="AG57" s="48"/>
      <c r="AH57" s="11"/>
      <c r="AI57" s="48"/>
      <c r="AJ57" s="11"/>
      <c r="AK57" s="48"/>
      <c r="AL57" s="11"/>
      <c r="AM57" s="49"/>
      <c r="AN57" s="49"/>
      <c r="AO57" s="11"/>
      <c r="AP57" s="11"/>
      <c r="AQ57" s="28" t="b">
        <f>IF(COUNTIF(SmartStatus!A$2:A1000, AM57) &gt; 2, TRUE, FALSE)</f>
        <v>0</v>
      </c>
      <c r="AR57" s="29" t="str">
        <f ca="1">IFERROR(__xludf.DUMMYFUNCTION("iferror(if(regexmatch(AO57, ""(?i)^registered""), if(EE57 &lt;&gt; ""polity_shortest_name"", ""CHECK_POLITY"", index(filter(SmartStatus!B$2:B1000, AM57 = SmartStatus!A$2:A1000, not(SmartStatus!C$2:C1000), (isblank(SmartStatus!D$2:D1000)) + ((P57 &lt;&gt; """") * (P57"&amp;" &lt; SmartStatus!D$2:D1000)), (isblank(SmartStatus!E$2:E1000)) + ((P57 &lt;&gt; """") * (P57 &gt;= SmartStatus!E$2:E1000)), (isblank(SmartStatus!F$2:F1000)) + (((Q57 &lt;&gt; """") * (Q57 &lt; SmartStatus!F$2:F1000)) + ((P57 &lt;&gt; """") * (date(year(P57) + 3, month(P57), day(P5"&amp;"7)) &lt; SmartStatus!F$2:F1000))), (isblank(SmartStatus!G$2:G1000)) + (((Q57 &lt;&gt; """") * (Q57 &gt;= SmartStatus!G$2:G1000)) + ((P57 &lt;&gt; """") * (P57 &gt;= SmartStatus!G$2:G1000)))), if(or(regexmatch(B57, ""(?i)^ir [a-z]+ designation$""), N57 &lt;&gt; """"), 1, 2))), """")"&amp;", ""NO_MATCH"")"),"")</f>
        <v/>
      </c>
      <c r="AS57" s="11"/>
      <c r="AT57" s="15"/>
      <c r="AU57" s="11"/>
      <c r="AV57" s="11"/>
      <c r="AW57" s="15"/>
      <c r="AX57" s="15"/>
      <c r="AY57" s="15"/>
      <c r="AZ57" s="11"/>
      <c r="BA57" s="15"/>
      <c r="BB57" s="11"/>
      <c r="BC57" s="11"/>
      <c r="BD57" s="15"/>
      <c r="BE57" s="11"/>
      <c r="BF57" s="11"/>
      <c r="BG57" s="15"/>
      <c r="BH57" s="15"/>
      <c r="BI57" s="15"/>
      <c r="BJ57" s="11"/>
      <c r="BK57" s="15"/>
      <c r="BL57" s="11"/>
      <c r="BM57" s="11"/>
      <c r="BN57" s="15"/>
      <c r="BO57" s="11"/>
      <c r="BP57" s="11"/>
      <c r="BQ57" s="15"/>
      <c r="BR57" s="15"/>
      <c r="BS57" s="15"/>
      <c r="BT57" s="11"/>
      <c r="BU57" s="15"/>
      <c r="BV57" s="11"/>
      <c r="BW57" s="11"/>
      <c r="BX57" s="15"/>
      <c r="BY57" s="11"/>
      <c r="BZ57" s="11"/>
      <c r="CA57" s="15"/>
      <c r="CB57" s="11"/>
      <c r="CC57" s="15"/>
      <c r="CD57" s="11"/>
      <c r="CE57" s="15"/>
      <c r="CF57" s="11"/>
      <c r="CG57" s="11"/>
      <c r="CH57" s="15"/>
      <c r="CI57" s="11"/>
      <c r="CJ57" s="11"/>
      <c r="CK57" s="15"/>
      <c r="CL57" s="11"/>
      <c r="CM57" s="11"/>
      <c r="CN57" s="11"/>
      <c r="CO57" s="11"/>
      <c r="CP57" s="28"/>
      <c r="CQ57" s="28"/>
      <c r="CR57" s="11"/>
      <c r="CS57" s="29"/>
      <c r="CT57" s="11"/>
      <c r="CU57" s="11"/>
      <c r="CV57" s="11"/>
      <c r="CW57" s="11"/>
      <c r="CX57" s="11"/>
      <c r="CY57" s="11"/>
      <c r="CZ57" s="11"/>
      <c r="DA57" s="28"/>
      <c r="DB57" s="28"/>
      <c r="DC57" s="11"/>
      <c r="DD57" s="29"/>
      <c r="DE57" s="11"/>
      <c r="DF57" s="11"/>
      <c r="DG57" s="11"/>
      <c r="DH57" s="11"/>
      <c r="DI57" s="11"/>
      <c r="DJ57" s="11"/>
      <c r="DK57" s="26"/>
      <c r="DL57" s="11"/>
      <c r="DM57" s="29"/>
      <c r="DN57" s="28"/>
      <c r="DO57" s="11"/>
      <c r="DP57" s="11"/>
      <c r="DQ57" s="11"/>
      <c r="DR57" s="29"/>
      <c r="DS57" s="28"/>
      <c r="DT57" s="11"/>
      <c r="DU57" s="26"/>
      <c r="DV57" s="11"/>
      <c r="DW57" s="29"/>
      <c r="DX57" s="28"/>
      <c r="DY57" s="11"/>
      <c r="DZ57" s="26"/>
      <c r="EA57" s="11"/>
      <c r="EB57" s="29"/>
      <c r="EC57" s="28"/>
      <c r="ED57" s="30"/>
      <c r="EE57" s="30" t="str">
        <f ca="1">IFERROR(__xludf.DUMMYFUNCTION("iferror(index(filter('Internal -- Trademark Countries'!E$2:E1000, (AM57 = 'Internal -- Trademark Countries'!B$2:B1000) + (AM57 = 'Internal -- Trademark Countries'!C$2:C1000) + (AM57 = 'Internal -- Trademark Countries'!D$2:D1000)), 1))"),"")</f>
        <v/>
      </c>
      <c r="EF57" s="30" t="e">
        <f ca="1">_xludf.ifs(AM57="", "", COUNTIF('Internal -- Trademark Countries'!B:B,AM57) &gt; 0, "polity_shortest_name", COUNTIF('Internal -- Trademark Countries'!C:C,AM57) &gt; 0, "polity_full_name", COUNTIF('Internal -- Trademark Countries'!D:D,AM57) &gt; 0, "polity_common_name", COUNTIF('Internal -- Trademark Countries'!E:E,AM57) &gt; 0, "shortest_name", COUNTIF('Internal -- Trademark Countries'!A:A,AM57) &gt; 0, "full_name", TRUE, "not a match")</f>
        <v>#NAME?</v>
      </c>
      <c r="EG57" s="30"/>
      <c r="EH57" s="30"/>
      <c r="EI57" s="30"/>
      <c r="EJ57" s="30"/>
      <c r="EK57" s="30" t="str">
        <f t="shared" si="2"/>
        <v/>
      </c>
    </row>
    <row r="58" spans="1:141" ht="16.5">
      <c r="A58" s="11"/>
      <c r="B58" s="11"/>
      <c r="C58" s="11"/>
      <c r="D58" s="11"/>
      <c r="E58" s="11"/>
      <c r="F58" s="11"/>
      <c r="G58" s="11"/>
      <c r="H58" s="11"/>
      <c r="I58" s="11"/>
      <c r="J58" s="11"/>
      <c r="K58" s="27"/>
      <c r="L58" s="11"/>
      <c r="M58" s="11"/>
      <c r="N58" s="11"/>
      <c r="O58" s="11"/>
      <c r="P58" s="15"/>
      <c r="Q58" s="15"/>
      <c r="R58" s="15"/>
      <c r="S58" s="15"/>
      <c r="T58" s="15"/>
      <c r="U58" s="15"/>
      <c r="V58" s="15"/>
      <c r="W58" s="47"/>
      <c r="X58" s="11"/>
      <c r="Y58" s="48"/>
      <c r="Z58" s="11"/>
      <c r="AA58" s="48"/>
      <c r="AB58" s="11"/>
      <c r="AC58" s="48"/>
      <c r="AD58" s="11"/>
      <c r="AE58" s="47"/>
      <c r="AF58" s="11"/>
      <c r="AG58" s="48"/>
      <c r="AH58" s="11"/>
      <c r="AI58" s="48"/>
      <c r="AJ58" s="11"/>
      <c r="AK58" s="48"/>
      <c r="AL58" s="11"/>
      <c r="AM58" s="49"/>
      <c r="AN58" s="49"/>
      <c r="AO58" s="11"/>
      <c r="AP58" s="11"/>
      <c r="AQ58" s="28" t="b">
        <f>IF(COUNTIF(SmartStatus!A$2:A1000, AM58) &gt; 2, TRUE, FALSE)</f>
        <v>0</v>
      </c>
      <c r="AR58" s="29" t="str">
        <f ca="1">IFERROR(__xludf.DUMMYFUNCTION("iferror(if(regexmatch(AO58, ""(?i)^registered""), if(EE58 &lt;&gt; ""polity_shortest_name"", ""CHECK_POLITY"", index(filter(SmartStatus!B$2:B1000, AM58 = SmartStatus!A$2:A1000, not(SmartStatus!C$2:C1000), (isblank(SmartStatus!D$2:D1000)) + ((P58 &lt;&gt; """") * (P58"&amp;" &lt; SmartStatus!D$2:D1000)), (isblank(SmartStatus!E$2:E1000)) + ((P58 &lt;&gt; """") * (P58 &gt;= SmartStatus!E$2:E1000)), (isblank(SmartStatus!F$2:F1000)) + (((Q58 &lt;&gt; """") * (Q58 &lt; SmartStatus!F$2:F1000)) + ((P58 &lt;&gt; """") * (date(year(P58) + 3, month(P58), day(P5"&amp;"8)) &lt; SmartStatus!F$2:F1000))), (isblank(SmartStatus!G$2:G1000)) + (((Q58 &lt;&gt; """") * (Q58 &gt;= SmartStatus!G$2:G1000)) + ((P58 &lt;&gt; """") * (P58 &gt;= SmartStatus!G$2:G1000)))), if(or(regexmatch(B58, ""(?i)^ir [a-z]+ designation$""), N58 &lt;&gt; """"), 1, 2))), """")"&amp;", ""NO_MATCH"")"),"")</f>
        <v/>
      </c>
      <c r="AS58" s="11"/>
      <c r="AT58" s="15"/>
      <c r="AU58" s="11"/>
      <c r="AV58" s="11"/>
      <c r="AW58" s="15"/>
      <c r="AX58" s="15"/>
      <c r="AY58" s="15"/>
      <c r="AZ58" s="11"/>
      <c r="BA58" s="15"/>
      <c r="BB58" s="11"/>
      <c r="BC58" s="11"/>
      <c r="BD58" s="15"/>
      <c r="BE58" s="11"/>
      <c r="BF58" s="11"/>
      <c r="BG58" s="15"/>
      <c r="BH58" s="15"/>
      <c r="BI58" s="15"/>
      <c r="BJ58" s="11"/>
      <c r="BK58" s="15"/>
      <c r="BL58" s="11"/>
      <c r="BM58" s="11"/>
      <c r="BN58" s="15"/>
      <c r="BO58" s="11"/>
      <c r="BP58" s="11"/>
      <c r="BQ58" s="15"/>
      <c r="BR58" s="15"/>
      <c r="BS58" s="15"/>
      <c r="BT58" s="11"/>
      <c r="BU58" s="15"/>
      <c r="BV58" s="11"/>
      <c r="BW58" s="11"/>
      <c r="BX58" s="15"/>
      <c r="BY58" s="11"/>
      <c r="BZ58" s="11"/>
      <c r="CA58" s="15"/>
      <c r="CB58" s="11"/>
      <c r="CC58" s="15"/>
      <c r="CD58" s="11"/>
      <c r="CE58" s="15"/>
      <c r="CF58" s="11"/>
      <c r="CG58" s="11"/>
      <c r="CH58" s="15"/>
      <c r="CI58" s="11"/>
      <c r="CJ58" s="11"/>
      <c r="CK58" s="15"/>
      <c r="CL58" s="11"/>
      <c r="CM58" s="11"/>
      <c r="CN58" s="11"/>
      <c r="CO58" s="11"/>
      <c r="CP58" s="28"/>
      <c r="CQ58" s="28"/>
      <c r="CR58" s="11"/>
      <c r="CS58" s="29"/>
      <c r="CT58" s="11"/>
      <c r="CU58" s="11"/>
      <c r="CV58" s="11"/>
      <c r="CW58" s="11"/>
      <c r="CX58" s="11"/>
      <c r="CY58" s="11"/>
      <c r="CZ58" s="11"/>
      <c r="DA58" s="28"/>
      <c r="DB58" s="28"/>
      <c r="DC58" s="11"/>
      <c r="DD58" s="29"/>
      <c r="DE58" s="11"/>
      <c r="DF58" s="11"/>
      <c r="DG58" s="11"/>
      <c r="DH58" s="11"/>
      <c r="DI58" s="11"/>
      <c r="DJ58" s="11"/>
      <c r="DK58" s="26"/>
      <c r="DL58" s="11"/>
      <c r="DM58" s="29"/>
      <c r="DN58" s="28"/>
      <c r="DO58" s="11"/>
      <c r="DP58" s="11"/>
      <c r="DQ58" s="11"/>
      <c r="DR58" s="29"/>
      <c r="DS58" s="28"/>
      <c r="DT58" s="11"/>
      <c r="DU58" s="26"/>
      <c r="DV58" s="11"/>
      <c r="DW58" s="29"/>
      <c r="DX58" s="28"/>
      <c r="DY58" s="11"/>
      <c r="DZ58" s="26"/>
      <c r="EA58" s="11"/>
      <c r="EB58" s="29"/>
      <c r="EC58" s="28"/>
      <c r="ED58" s="30"/>
      <c r="EE58" s="30" t="str">
        <f ca="1">IFERROR(__xludf.DUMMYFUNCTION("iferror(index(filter('Internal -- Trademark Countries'!E$2:E1000, (AM58 = 'Internal -- Trademark Countries'!B$2:B1000) + (AM58 = 'Internal -- Trademark Countries'!C$2:C1000) + (AM58 = 'Internal -- Trademark Countries'!D$2:D1000)), 1))"),"")</f>
        <v/>
      </c>
      <c r="EF58" s="30" t="e">
        <f ca="1">_xludf.ifs(AM58="", "", COUNTIF('Internal -- Trademark Countries'!B:B,AM58) &gt; 0, "polity_shortest_name", COUNTIF('Internal -- Trademark Countries'!C:C,AM58) &gt; 0, "polity_full_name", COUNTIF('Internal -- Trademark Countries'!D:D,AM58) &gt; 0, "polity_common_name", COUNTIF('Internal -- Trademark Countries'!E:E,AM58) &gt; 0, "shortest_name", COUNTIF('Internal -- Trademark Countries'!A:A,AM58) &gt; 0, "full_name", TRUE, "not a match")</f>
        <v>#NAME?</v>
      </c>
      <c r="EG58" s="30"/>
      <c r="EH58" s="30"/>
      <c r="EI58" s="30"/>
      <c r="EJ58" s="30"/>
      <c r="EK58" s="30" t="str">
        <f t="shared" si="2"/>
        <v/>
      </c>
    </row>
    <row r="59" spans="1:141" ht="16.5">
      <c r="A59" s="11"/>
      <c r="B59" s="11"/>
      <c r="C59" s="11"/>
      <c r="D59" s="11"/>
      <c r="E59" s="11"/>
      <c r="F59" s="11"/>
      <c r="G59" s="11"/>
      <c r="H59" s="11"/>
      <c r="I59" s="11"/>
      <c r="J59" s="11"/>
      <c r="K59" s="27"/>
      <c r="L59" s="11"/>
      <c r="M59" s="11"/>
      <c r="N59" s="11"/>
      <c r="O59" s="11"/>
      <c r="P59" s="15"/>
      <c r="Q59" s="15"/>
      <c r="R59" s="15"/>
      <c r="S59" s="15"/>
      <c r="T59" s="15"/>
      <c r="U59" s="15"/>
      <c r="V59" s="15"/>
      <c r="W59" s="47"/>
      <c r="X59" s="11"/>
      <c r="Y59" s="48"/>
      <c r="Z59" s="11"/>
      <c r="AA59" s="48"/>
      <c r="AB59" s="11"/>
      <c r="AC59" s="48"/>
      <c r="AD59" s="11"/>
      <c r="AE59" s="47"/>
      <c r="AF59" s="11"/>
      <c r="AG59" s="48"/>
      <c r="AH59" s="11"/>
      <c r="AI59" s="48"/>
      <c r="AJ59" s="11"/>
      <c r="AK59" s="48"/>
      <c r="AL59" s="11"/>
      <c r="AM59" s="49"/>
      <c r="AN59" s="49"/>
      <c r="AO59" s="11"/>
      <c r="AP59" s="11"/>
      <c r="AQ59" s="28" t="b">
        <f>IF(COUNTIF(SmartStatus!A$2:A1000, AM59) &gt; 2, TRUE, FALSE)</f>
        <v>0</v>
      </c>
      <c r="AR59" s="29" t="str">
        <f ca="1">IFERROR(__xludf.DUMMYFUNCTION("iferror(if(regexmatch(AO59, ""(?i)^registered""), if(EE59 &lt;&gt; ""polity_shortest_name"", ""CHECK_POLITY"", index(filter(SmartStatus!B$2:B1000, AM59 = SmartStatus!A$2:A1000, not(SmartStatus!C$2:C1000), (isblank(SmartStatus!D$2:D1000)) + ((P59 &lt;&gt; """") * (P59"&amp;" &lt; SmartStatus!D$2:D1000)), (isblank(SmartStatus!E$2:E1000)) + ((P59 &lt;&gt; """") * (P59 &gt;= SmartStatus!E$2:E1000)), (isblank(SmartStatus!F$2:F1000)) + (((Q59 &lt;&gt; """") * (Q59 &lt; SmartStatus!F$2:F1000)) + ((P59 &lt;&gt; """") * (date(year(P59) + 3, month(P59), day(P5"&amp;"9)) &lt; SmartStatus!F$2:F1000))), (isblank(SmartStatus!G$2:G1000)) + (((Q59 &lt;&gt; """") * (Q59 &gt;= SmartStatus!G$2:G1000)) + ((P59 &lt;&gt; """") * (P59 &gt;= SmartStatus!G$2:G1000)))), if(or(regexmatch(B59, ""(?i)^ir [a-z]+ designation$""), N59 &lt;&gt; """"), 1, 2))), """")"&amp;", ""NO_MATCH"")"),"")</f>
        <v/>
      </c>
      <c r="AS59" s="11"/>
      <c r="AT59" s="15"/>
      <c r="AU59" s="11"/>
      <c r="AV59" s="11"/>
      <c r="AW59" s="15"/>
      <c r="AX59" s="15"/>
      <c r="AY59" s="15"/>
      <c r="AZ59" s="11"/>
      <c r="BA59" s="15"/>
      <c r="BB59" s="11"/>
      <c r="BC59" s="11"/>
      <c r="BD59" s="15"/>
      <c r="BE59" s="11"/>
      <c r="BF59" s="11"/>
      <c r="BG59" s="15"/>
      <c r="BH59" s="15"/>
      <c r="BI59" s="15"/>
      <c r="BJ59" s="11"/>
      <c r="BK59" s="15"/>
      <c r="BL59" s="11"/>
      <c r="BM59" s="11"/>
      <c r="BN59" s="15"/>
      <c r="BO59" s="11"/>
      <c r="BP59" s="11"/>
      <c r="BQ59" s="15"/>
      <c r="BR59" s="15"/>
      <c r="BS59" s="15"/>
      <c r="BT59" s="11"/>
      <c r="BU59" s="15"/>
      <c r="BV59" s="11"/>
      <c r="BW59" s="11"/>
      <c r="BX59" s="15"/>
      <c r="BY59" s="11"/>
      <c r="BZ59" s="11"/>
      <c r="CA59" s="15"/>
      <c r="CB59" s="11"/>
      <c r="CC59" s="15"/>
      <c r="CD59" s="11"/>
      <c r="CE59" s="15"/>
      <c r="CF59" s="11"/>
      <c r="CG59" s="11"/>
      <c r="CH59" s="15"/>
      <c r="CI59" s="11"/>
      <c r="CJ59" s="11"/>
      <c r="CK59" s="15"/>
      <c r="CL59" s="11"/>
      <c r="CM59" s="11"/>
      <c r="CN59" s="11"/>
      <c r="CO59" s="11"/>
      <c r="CP59" s="28"/>
      <c r="CQ59" s="28"/>
      <c r="CR59" s="11"/>
      <c r="CS59" s="29"/>
      <c r="CT59" s="11"/>
      <c r="CU59" s="11"/>
      <c r="CV59" s="11"/>
      <c r="CW59" s="11"/>
      <c r="CX59" s="11"/>
      <c r="CY59" s="11"/>
      <c r="CZ59" s="11"/>
      <c r="DA59" s="28"/>
      <c r="DB59" s="28"/>
      <c r="DC59" s="11"/>
      <c r="DD59" s="29"/>
      <c r="DE59" s="11"/>
      <c r="DF59" s="11"/>
      <c r="DG59" s="11"/>
      <c r="DH59" s="11"/>
      <c r="DI59" s="11"/>
      <c r="DJ59" s="11"/>
      <c r="DK59" s="26"/>
      <c r="DL59" s="11"/>
      <c r="DM59" s="29"/>
      <c r="DN59" s="28"/>
      <c r="DO59" s="11"/>
      <c r="DP59" s="11"/>
      <c r="DQ59" s="11"/>
      <c r="DR59" s="29"/>
      <c r="DS59" s="28"/>
      <c r="DT59" s="11"/>
      <c r="DU59" s="26"/>
      <c r="DV59" s="11"/>
      <c r="DW59" s="29"/>
      <c r="DX59" s="28"/>
      <c r="DY59" s="11"/>
      <c r="DZ59" s="26"/>
      <c r="EA59" s="11"/>
      <c r="EB59" s="29"/>
      <c r="EC59" s="28"/>
      <c r="ED59" s="30"/>
      <c r="EE59" s="30" t="str">
        <f ca="1">IFERROR(__xludf.DUMMYFUNCTION("iferror(index(filter('Internal -- Trademark Countries'!E$2:E1000, (AM59 = 'Internal -- Trademark Countries'!B$2:B1000) + (AM59 = 'Internal -- Trademark Countries'!C$2:C1000) + (AM59 = 'Internal -- Trademark Countries'!D$2:D1000)), 1))"),"")</f>
        <v/>
      </c>
      <c r="EF59" s="30" t="e">
        <f ca="1">_xludf.ifs(AM59="", "", COUNTIF('Internal -- Trademark Countries'!B:B,AM59) &gt; 0, "polity_shortest_name", COUNTIF('Internal -- Trademark Countries'!C:C,AM59) &gt; 0, "polity_full_name", COUNTIF('Internal -- Trademark Countries'!D:D,AM59) &gt; 0, "polity_common_name", COUNTIF('Internal -- Trademark Countries'!E:E,AM59) &gt; 0, "shortest_name", COUNTIF('Internal -- Trademark Countries'!A:A,AM59) &gt; 0, "full_name", TRUE, "not a match")</f>
        <v>#NAME?</v>
      </c>
      <c r="EG59" s="30"/>
      <c r="EH59" s="30"/>
      <c r="EI59" s="30"/>
      <c r="EJ59" s="30"/>
      <c r="EK59" s="30" t="str">
        <f t="shared" si="2"/>
        <v/>
      </c>
    </row>
    <row r="60" spans="1:141" ht="16.5">
      <c r="A60" s="11"/>
      <c r="B60" s="11"/>
      <c r="C60" s="11"/>
      <c r="D60" s="11"/>
      <c r="E60" s="11"/>
      <c r="F60" s="11"/>
      <c r="G60" s="11"/>
      <c r="H60" s="11"/>
      <c r="I60" s="11"/>
      <c r="J60" s="11"/>
      <c r="K60" s="27"/>
      <c r="L60" s="11"/>
      <c r="M60" s="11"/>
      <c r="N60" s="11"/>
      <c r="O60" s="11"/>
      <c r="P60" s="15"/>
      <c r="Q60" s="15"/>
      <c r="R60" s="15"/>
      <c r="S60" s="15"/>
      <c r="T60" s="15"/>
      <c r="U60" s="15"/>
      <c r="V60" s="15"/>
      <c r="W60" s="47"/>
      <c r="X60" s="11"/>
      <c r="Y60" s="48"/>
      <c r="Z60" s="11"/>
      <c r="AA60" s="48"/>
      <c r="AB60" s="11"/>
      <c r="AC60" s="48"/>
      <c r="AD60" s="11"/>
      <c r="AE60" s="47"/>
      <c r="AF60" s="11"/>
      <c r="AG60" s="48"/>
      <c r="AH60" s="11"/>
      <c r="AI60" s="48"/>
      <c r="AJ60" s="11"/>
      <c r="AK60" s="48"/>
      <c r="AL60" s="11"/>
      <c r="AM60" s="49"/>
      <c r="AN60" s="49"/>
      <c r="AO60" s="11"/>
      <c r="AP60" s="11"/>
      <c r="AQ60" s="28" t="b">
        <f>IF(COUNTIF(SmartStatus!A$2:A1000, AM60) &gt; 2, TRUE, FALSE)</f>
        <v>0</v>
      </c>
      <c r="AR60" s="29" t="str">
        <f ca="1">IFERROR(__xludf.DUMMYFUNCTION("iferror(if(regexmatch(AO60, ""(?i)^registered""), if(EE60 &lt;&gt; ""polity_shortest_name"", ""CHECK_POLITY"", index(filter(SmartStatus!B$2:B1000, AM60 = SmartStatus!A$2:A1000, not(SmartStatus!C$2:C1000), (isblank(SmartStatus!D$2:D1000)) + ((P60 &lt;&gt; """") * (P60"&amp;" &lt; SmartStatus!D$2:D1000)), (isblank(SmartStatus!E$2:E1000)) + ((P60 &lt;&gt; """") * (P60 &gt;= SmartStatus!E$2:E1000)), (isblank(SmartStatus!F$2:F1000)) + (((Q60 &lt;&gt; """") * (Q60 &lt; SmartStatus!F$2:F1000)) + ((P60 &lt;&gt; """") * (date(year(P60) + 3, month(P60), day(P6"&amp;"0)) &lt; SmartStatus!F$2:F1000))), (isblank(SmartStatus!G$2:G1000)) + (((Q60 &lt;&gt; """") * (Q60 &gt;= SmartStatus!G$2:G1000)) + ((P60 &lt;&gt; """") * (P60 &gt;= SmartStatus!G$2:G1000)))), if(or(regexmatch(B60, ""(?i)^ir [a-z]+ designation$""), N60 &lt;&gt; """"), 1, 2))), """")"&amp;", ""NO_MATCH"")"),"")</f>
        <v/>
      </c>
      <c r="AS60" s="11"/>
      <c r="AT60" s="15"/>
      <c r="AU60" s="11"/>
      <c r="AV60" s="11"/>
      <c r="AW60" s="15"/>
      <c r="AX60" s="15"/>
      <c r="AY60" s="15"/>
      <c r="AZ60" s="11"/>
      <c r="BA60" s="15"/>
      <c r="BB60" s="11"/>
      <c r="BC60" s="11"/>
      <c r="BD60" s="15"/>
      <c r="BE60" s="11"/>
      <c r="BF60" s="11"/>
      <c r="BG60" s="15"/>
      <c r="BH60" s="15"/>
      <c r="BI60" s="15"/>
      <c r="BJ60" s="11"/>
      <c r="BK60" s="15"/>
      <c r="BL60" s="11"/>
      <c r="BM60" s="11"/>
      <c r="BN60" s="15"/>
      <c r="BO60" s="11"/>
      <c r="BP60" s="11"/>
      <c r="BQ60" s="15"/>
      <c r="BR60" s="15"/>
      <c r="BS60" s="15"/>
      <c r="BT60" s="11"/>
      <c r="BU60" s="15"/>
      <c r="BV60" s="11"/>
      <c r="BW60" s="11"/>
      <c r="BX60" s="15"/>
      <c r="BY60" s="11"/>
      <c r="BZ60" s="11"/>
      <c r="CA60" s="15"/>
      <c r="CB60" s="11"/>
      <c r="CC60" s="15"/>
      <c r="CD60" s="11"/>
      <c r="CE60" s="15"/>
      <c r="CF60" s="11"/>
      <c r="CG60" s="11"/>
      <c r="CH60" s="15"/>
      <c r="CI60" s="11"/>
      <c r="CJ60" s="11"/>
      <c r="CK60" s="15"/>
      <c r="CL60" s="11"/>
      <c r="CM60" s="11"/>
      <c r="CN60" s="11"/>
      <c r="CO60" s="11"/>
      <c r="CP60" s="28"/>
      <c r="CQ60" s="28"/>
      <c r="CR60" s="11"/>
      <c r="CS60" s="29"/>
      <c r="CT60" s="11"/>
      <c r="CU60" s="11"/>
      <c r="CV60" s="11"/>
      <c r="CW60" s="11"/>
      <c r="CX60" s="11"/>
      <c r="CY60" s="11"/>
      <c r="CZ60" s="11"/>
      <c r="DA60" s="28"/>
      <c r="DB60" s="28"/>
      <c r="DC60" s="11"/>
      <c r="DD60" s="29"/>
      <c r="DE60" s="11"/>
      <c r="DF60" s="11"/>
      <c r="DG60" s="11"/>
      <c r="DH60" s="11"/>
      <c r="DI60" s="11"/>
      <c r="DJ60" s="11"/>
      <c r="DK60" s="26"/>
      <c r="DL60" s="11"/>
      <c r="DM60" s="29"/>
      <c r="DN60" s="28"/>
      <c r="DO60" s="11"/>
      <c r="DP60" s="11"/>
      <c r="DQ60" s="11"/>
      <c r="DR60" s="29"/>
      <c r="DS60" s="28"/>
      <c r="DT60" s="11"/>
      <c r="DU60" s="26"/>
      <c r="DV60" s="11"/>
      <c r="DW60" s="29"/>
      <c r="DX60" s="28"/>
      <c r="DY60" s="11"/>
      <c r="DZ60" s="26"/>
      <c r="EA60" s="11"/>
      <c r="EB60" s="29"/>
      <c r="EC60" s="28"/>
      <c r="ED60" s="30"/>
      <c r="EE60" s="30" t="str">
        <f ca="1">IFERROR(__xludf.DUMMYFUNCTION("iferror(index(filter('Internal -- Trademark Countries'!E$2:E1000, (AM60 = 'Internal -- Trademark Countries'!B$2:B1000) + (AM60 = 'Internal -- Trademark Countries'!C$2:C1000) + (AM60 = 'Internal -- Trademark Countries'!D$2:D1000)), 1))"),"")</f>
        <v/>
      </c>
      <c r="EF60" s="30" t="e">
        <f ca="1">_xludf.ifs(AM60="", "", COUNTIF('Internal -- Trademark Countries'!B:B,AM60) &gt; 0, "polity_shortest_name", COUNTIF('Internal -- Trademark Countries'!C:C,AM60) &gt; 0, "polity_full_name", COUNTIF('Internal -- Trademark Countries'!D:D,AM60) &gt; 0, "polity_common_name", COUNTIF('Internal -- Trademark Countries'!E:E,AM60) &gt; 0, "shortest_name", COUNTIF('Internal -- Trademark Countries'!A:A,AM60) &gt; 0, "full_name", TRUE, "not a match")</f>
        <v>#NAME?</v>
      </c>
      <c r="EG60" s="30"/>
      <c r="EH60" s="30"/>
      <c r="EI60" s="30"/>
      <c r="EJ60" s="30"/>
      <c r="EK60" s="30" t="str">
        <f t="shared" si="2"/>
        <v/>
      </c>
    </row>
    <row r="61" spans="1:141" ht="16.5">
      <c r="A61" s="11"/>
      <c r="B61" s="11"/>
      <c r="C61" s="11"/>
      <c r="D61" s="11"/>
      <c r="E61" s="11"/>
      <c r="F61" s="11"/>
      <c r="G61" s="11"/>
      <c r="H61" s="11"/>
      <c r="I61" s="11"/>
      <c r="J61" s="11"/>
      <c r="K61" s="27"/>
      <c r="L61" s="11"/>
      <c r="M61" s="11"/>
      <c r="N61" s="11"/>
      <c r="O61" s="11"/>
      <c r="P61" s="15"/>
      <c r="Q61" s="15"/>
      <c r="R61" s="15"/>
      <c r="S61" s="15"/>
      <c r="T61" s="15"/>
      <c r="U61" s="15"/>
      <c r="V61" s="15"/>
      <c r="W61" s="47"/>
      <c r="X61" s="11"/>
      <c r="Y61" s="48"/>
      <c r="Z61" s="11"/>
      <c r="AA61" s="48"/>
      <c r="AB61" s="11"/>
      <c r="AC61" s="48"/>
      <c r="AD61" s="11"/>
      <c r="AE61" s="47"/>
      <c r="AF61" s="11"/>
      <c r="AG61" s="48"/>
      <c r="AH61" s="11"/>
      <c r="AI61" s="48"/>
      <c r="AJ61" s="11"/>
      <c r="AK61" s="48"/>
      <c r="AL61" s="11"/>
      <c r="AM61" s="49"/>
      <c r="AN61" s="49"/>
      <c r="AO61" s="11"/>
      <c r="AP61" s="11"/>
      <c r="AQ61" s="28" t="b">
        <f>IF(COUNTIF(SmartStatus!A$2:A1000, AM61) &gt; 2, TRUE, FALSE)</f>
        <v>0</v>
      </c>
      <c r="AR61" s="29" t="str">
        <f ca="1">IFERROR(__xludf.DUMMYFUNCTION("iferror(if(regexmatch(AO61, ""(?i)^registered""), if(EE61 &lt;&gt; ""polity_shortest_name"", ""CHECK_POLITY"", index(filter(SmartStatus!B$2:B1000, AM61 = SmartStatus!A$2:A1000, not(SmartStatus!C$2:C1000), (isblank(SmartStatus!D$2:D1000)) + ((P61 &lt;&gt; """") * (P61"&amp;" &lt; SmartStatus!D$2:D1000)), (isblank(SmartStatus!E$2:E1000)) + ((P61 &lt;&gt; """") * (P61 &gt;= SmartStatus!E$2:E1000)), (isblank(SmartStatus!F$2:F1000)) + (((Q61 &lt;&gt; """") * (Q61 &lt; SmartStatus!F$2:F1000)) + ((P61 &lt;&gt; """") * (date(year(P61) + 3, month(P61), day(P6"&amp;"1)) &lt; SmartStatus!F$2:F1000))), (isblank(SmartStatus!G$2:G1000)) + (((Q61 &lt;&gt; """") * (Q61 &gt;= SmartStatus!G$2:G1000)) + ((P61 &lt;&gt; """") * (P61 &gt;= SmartStatus!G$2:G1000)))), if(or(regexmatch(B61, ""(?i)^ir [a-z]+ designation$""), N61 &lt;&gt; """"), 1, 2))), """")"&amp;", ""NO_MATCH"")"),"")</f>
        <v/>
      </c>
      <c r="AS61" s="11"/>
      <c r="AT61" s="15"/>
      <c r="AU61" s="11"/>
      <c r="AV61" s="11"/>
      <c r="AW61" s="15"/>
      <c r="AX61" s="15"/>
      <c r="AY61" s="15"/>
      <c r="AZ61" s="11"/>
      <c r="BA61" s="15"/>
      <c r="BB61" s="11"/>
      <c r="BC61" s="11"/>
      <c r="BD61" s="15"/>
      <c r="BE61" s="11"/>
      <c r="BF61" s="11"/>
      <c r="BG61" s="15"/>
      <c r="BH61" s="15"/>
      <c r="BI61" s="15"/>
      <c r="BJ61" s="11"/>
      <c r="BK61" s="15"/>
      <c r="BL61" s="11"/>
      <c r="BM61" s="11"/>
      <c r="BN61" s="15"/>
      <c r="BO61" s="11"/>
      <c r="BP61" s="11"/>
      <c r="BQ61" s="15"/>
      <c r="BR61" s="15"/>
      <c r="BS61" s="15"/>
      <c r="BT61" s="11"/>
      <c r="BU61" s="15"/>
      <c r="BV61" s="11"/>
      <c r="BW61" s="11"/>
      <c r="BX61" s="15"/>
      <c r="BY61" s="11"/>
      <c r="BZ61" s="11"/>
      <c r="CA61" s="15"/>
      <c r="CB61" s="11"/>
      <c r="CC61" s="15"/>
      <c r="CD61" s="11"/>
      <c r="CE61" s="15"/>
      <c r="CF61" s="11"/>
      <c r="CG61" s="11"/>
      <c r="CH61" s="15"/>
      <c r="CI61" s="11"/>
      <c r="CJ61" s="11"/>
      <c r="CK61" s="15"/>
      <c r="CL61" s="11"/>
      <c r="CM61" s="11"/>
      <c r="CN61" s="11"/>
      <c r="CO61" s="11"/>
      <c r="CP61" s="28"/>
      <c r="CQ61" s="28"/>
      <c r="CR61" s="11"/>
      <c r="CS61" s="29"/>
      <c r="CT61" s="11"/>
      <c r="CU61" s="11"/>
      <c r="CV61" s="11"/>
      <c r="CW61" s="11"/>
      <c r="CX61" s="11"/>
      <c r="CY61" s="11"/>
      <c r="CZ61" s="11"/>
      <c r="DA61" s="28"/>
      <c r="DB61" s="28"/>
      <c r="DC61" s="11"/>
      <c r="DD61" s="29"/>
      <c r="DE61" s="11"/>
      <c r="DF61" s="11"/>
      <c r="DG61" s="11"/>
      <c r="DH61" s="11"/>
      <c r="DI61" s="11"/>
      <c r="DJ61" s="11"/>
      <c r="DK61" s="26"/>
      <c r="DL61" s="11"/>
      <c r="DM61" s="29"/>
      <c r="DN61" s="28"/>
      <c r="DO61" s="11"/>
      <c r="DP61" s="11"/>
      <c r="DQ61" s="11"/>
      <c r="DR61" s="29"/>
      <c r="DS61" s="28"/>
      <c r="DT61" s="11"/>
      <c r="DU61" s="26"/>
      <c r="DV61" s="11"/>
      <c r="DW61" s="29"/>
      <c r="DX61" s="28"/>
      <c r="DY61" s="11"/>
      <c r="DZ61" s="26"/>
      <c r="EA61" s="11"/>
      <c r="EB61" s="29"/>
      <c r="EC61" s="28"/>
      <c r="ED61" s="30"/>
      <c r="EE61" s="30" t="str">
        <f ca="1">IFERROR(__xludf.DUMMYFUNCTION("iferror(index(filter('Internal -- Trademark Countries'!E$2:E1000, (AM61 = 'Internal -- Trademark Countries'!B$2:B1000) + (AM61 = 'Internal -- Trademark Countries'!C$2:C1000) + (AM61 = 'Internal -- Trademark Countries'!D$2:D1000)), 1))"),"")</f>
        <v/>
      </c>
      <c r="EF61" s="30" t="e">
        <f ca="1">_xludf.ifs(AM61="", "", COUNTIF('Internal -- Trademark Countries'!B:B,AM61) &gt; 0, "polity_shortest_name", COUNTIF('Internal -- Trademark Countries'!C:C,AM61) &gt; 0, "polity_full_name", COUNTIF('Internal -- Trademark Countries'!D:D,AM61) &gt; 0, "polity_common_name", COUNTIF('Internal -- Trademark Countries'!E:E,AM61) &gt; 0, "shortest_name", COUNTIF('Internal -- Trademark Countries'!A:A,AM61) &gt; 0, "full_name", TRUE, "not a match")</f>
        <v>#NAME?</v>
      </c>
      <c r="EG61" s="30"/>
      <c r="EH61" s="30"/>
      <c r="EI61" s="30"/>
      <c r="EJ61" s="30"/>
      <c r="EK61" s="30" t="str">
        <f t="shared" si="2"/>
        <v/>
      </c>
    </row>
    <row r="62" spans="1:141" ht="16.5">
      <c r="A62" s="11"/>
      <c r="B62" s="11"/>
      <c r="C62" s="11"/>
      <c r="D62" s="11"/>
      <c r="E62" s="11"/>
      <c r="F62" s="11"/>
      <c r="G62" s="11"/>
      <c r="H62" s="11"/>
      <c r="I62" s="11"/>
      <c r="J62" s="11"/>
      <c r="K62" s="27"/>
      <c r="L62" s="11"/>
      <c r="M62" s="11"/>
      <c r="N62" s="11"/>
      <c r="O62" s="11"/>
      <c r="P62" s="15"/>
      <c r="Q62" s="15"/>
      <c r="R62" s="15"/>
      <c r="S62" s="15"/>
      <c r="T62" s="15"/>
      <c r="U62" s="15"/>
      <c r="V62" s="15"/>
      <c r="W62" s="47"/>
      <c r="X62" s="11"/>
      <c r="Y62" s="48"/>
      <c r="Z62" s="11"/>
      <c r="AA62" s="48"/>
      <c r="AB62" s="11"/>
      <c r="AC62" s="48"/>
      <c r="AD62" s="11"/>
      <c r="AE62" s="47"/>
      <c r="AF62" s="11"/>
      <c r="AG62" s="48"/>
      <c r="AH62" s="11"/>
      <c r="AI62" s="48"/>
      <c r="AJ62" s="11"/>
      <c r="AK62" s="48"/>
      <c r="AL62" s="11"/>
      <c r="AM62" s="49"/>
      <c r="AN62" s="49"/>
      <c r="AO62" s="11"/>
      <c r="AP62" s="11"/>
      <c r="AQ62" s="28" t="b">
        <f>IF(COUNTIF(SmartStatus!A$2:A1000, AM62) &gt; 2, TRUE, FALSE)</f>
        <v>0</v>
      </c>
      <c r="AR62" s="29" t="str">
        <f ca="1">IFERROR(__xludf.DUMMYFUNCTION("iferror(if(regexmatch(AO62, ""(?i)^registered""), if(EE62 &lt;&gt; ""polity_shortest_name"", ""CHECK_POLITY"", index(filter(SmartStatus!B$2:B1000, AM62 = SmartStatus!A$2:A1000, not(SmartStatus!C$2:C1000), (isblank(SmartStatus!D$2:D1000)) + ((P62 &lt;&gt; """") * (P62"&amp;" &lt; SmartStatus!D$2:D1000)), (isblank(SmartStatus!E$2:E1000)) + ((P62 &lt;&gt; """") * (P62 &gt;= SmartStatus!E$2:E1000)), (isblank(SmartStatus!F$2:F1000)) + (((Q62 &lt;&gt; """") * (Q62 &lt; SmartStatus!F$2:F1000)) + ((P62 &lt;&gt; """") * (date(year(P62) + 3, month(P62), day(P6"&amp;"2)) &lt; SmartStatus!F$2:F1000))), (isblank(SmartStatus!G$2:G1000)) + (((Q62 &lt;&gt; """") * (Q62 &gt;= SmartStatus!G$2:G1000)) + ((P62 &lt;&gt; """") * (P62 &gt;= SmartStatus!G$2:G1000)))), if(or(regexmatch(B62, ""(?i)^ir [a-z]+ designation$""), N62 &lt;&gt; """"), 1, 2))), """")"&amp;", ""NO_MATCH"")"),"")</f>
        <v/>
      </c>
      <c r="AS62" s="11"/>
      <c r="AT62" s="15"/>
      <c r="AU62" s="11"/>
      <c r="AV62" s="11"/>
      <c r="AW62" s="15"/>
      <c r="AX62" s="15"/>
      <c r="AY62" s="15"/>
      <c r="AZ62" s="11"/>
      <c r="BA62" s="15"/>
      <c r="BB62" s="11"/>
      <c r="BC62" s="11"/>
      <c r="BD62" s="15"/>
      <c r="BE62" s="11"/>
      <c r="BF62" s="11"/>
      <c r="BG62" s="15"/>
      <c r="BH62" s="15"/>
      <c r="BI62" s="15"/>
      <c r="BJ62" s="11"/>
      <c r="BK62" s="15"/>
      <c r="BL62" s="11"/>
      <c r="BM62" s="11"/>
      <c r="BN62" s="15"/>
      <c r="BO62" s="11"/>
      <c r="BP62" s="11"/>
      <c r="BQ62" s="15"/>
      <c r="BR62" s="15"/>
      <c r="BS62" s="15"/>
      <c r="BT62" s="11"/>
      <c r="BU62" s="15"/>
      <c r="BV62" s="11"/>
      <c r="BW62" s="11"/>
      <c r="BX62" s="15"/>
      <c r="BY62" s="11"/>
      <c r="BZ62" s="11"/>
      <c r="CA62" s="15"/>
      <c r="CB62" s="11"/>
      <c r="CC62" s="15"/>
      <c r="CD62" s="11"/>
      <c r="CE62" s="15"/>
      <c r="CF62" s="11"/>
      <c r="CG62" s="11"/>
      <c r="CH62" s="15"/>
      <c r="CI62" s="11"/>
      <c r="CJ62" s="11"/>
      <c r="CK62" s="15"/>
      <c r="CL62" s="11"/>
      <c r="CM62" s="11"/>
      <c r="CN62" s="11"/>
      <c r="CO62" s="11"/>
      <c r="CP62" s="28"/>
      <c r="CQ62" s="28"/>
      <c r="CR62" s="11"/>
      <c r="CS62" s="29"/>
      <c r="CT62" s="11"/>
      <c r="CU62" s="11"/>
      <c r="CV62" s="11"/>
      <c r="CW62" s="11"/>
      <c r="CX62" s="11"/>
      <c r="CY62" s="11"/>
      <c r="CZ62" s="11"/>
      <c r="DA62" s="28"/>
      <c r="DB62" s="28"/>
      <c r="DC62" s="11"/>
      <c r="DD62" s="29"/>
      <c r="DE62" s="11"/>
      <c r="DF62" s="11"/>
      <c r="DG62" s="11"/>
      <c r="DH62" s="11"/>
      <c r="DI62" s="11"/>
      <c r="DJ62" s="11"/>
      <c r="DK62" s="26"/>
      <c r="DL62" s="11"/>
      <c r="DM62" s="29"/>
      <c r="DN62" s="28"/>
      <c r="DO62" s="11"/>
      <c r="DP62" s="11"/>
      <c r="DQ62" s="11"/>
      <c r="DR62" s="29"/>
      <c r="DS62" s="28"/>
      <c r="DT62" s="11"/>
      <c r="DU62" s="26"/>
      <c r="DV62" s="11"/>
      <c r="DW62" s="29"/>
      <c r="DX62" s="28"/>
      <c r="DY62" s="11"/>
      <c r="DZ62" s="26"/>
      <c r="EA62" s="11"/>
      <c r="EB62" s="29"/>
      <c r="EC62" s="28"/>
      <c r="ED62" s="30"/>
      <c r="EE62" s="30" t="str">
        <f ca="1">IFERROR(__xludf.DUMMYFUNCTION("iferror(index(filter('Internal -- Trademark Countries'!E$2:E1000, (AM62 = 'Internal -- Trademark Countries'!B$2:B1000) + (AM62 = 'Internal -- Trademark Countries'!C$2:C1000) + (AM62 = 'Internal -- Trademark Countries'!D$2:D1000)), 1))"),"")</f>
        <v/>
      </c>
      <c r="EF62" s="30" t="e">
        <f ca="1">_xludf.ifs(AM62="", "", COUNTIF('Internal -- Trademark Countries'!B:B,AM62) &gt; 0, "polity_shortest_name", COUNTIF('Internal -- Trademark Countries'!C:C,AM62) &gt; 0, "polity_full_name", COUNTIF('Internal -- Trademark Countries'!D:D,AM62) &gt; 0, "polity_common_name", COUNTIF('Internal -- Trademark Countries'!E:E,AM62) &gt; 0, "shortest_name", COUNTIF('Internal -- Trademark Countries'!A:A,AM62) &gt; 0, "full_name", TRUE, "not a match")</f>
        <v>#NAME?</v>
      </c>
      <c r="EG62" s="30"/>
      <c r="EH62" s="30"/>
      <c r="EI62" s="30"/>
      <c r="EJ62" s="30"/>
      <c r="EK62" s="30" t="str">
        <f t="shared" si="2"/>
        <v/>
      </c>
    </row>
    <row r="63" spans="1:141" ht="16.5">
      <c r="A63" s="11"/>
      <c r="B63" s="11"/>
      <c r="C63" s="11"/>
      <c r="D63" s="11"/>
      <c r="E63" s="11"/>
      <c r="F63" s="11"/>
      <c r="G63" s="11"/>
      <c r="H63" s="11"/>
      <c r="I63" s="11"/>
      <c r="J63" s="11"/>
      <c r="K63" s="27"/>
      <c r="L63" s="11"/>
      <c r="M63" s="11"/>
      <c r="N63" s="11"/>
      <c r="O63" s="11"/>
      <c r="P63" s="15"/>
      <c r="Q63" s="15"/>
      <c r="R63" s="15"/>
      <c r="S63" s="15"/>
      <c r="T63" s="15"/>
      <c r="U63" s="15"/>
      <c r="V63" s="15"/>
      <c r="W63" s="47"/>
      <c r="X63" s="11"/>
      <c r="Y63" s="48"/>
      <c r="Z63" s="11"/>
      <c r="AA63" s="48"/>
      <c r="AB63" s="11"/>
      <c r="AC63" s="48"/>
      <c r="AD63" s="11"/>
      <c r="AE63" s="47"/>
      <c r="AF63" s="11"/>
      <c r="AG63" s="48"/>
      <c r="AH63" s="11"/>
      <c r="AI63" s="48"/>
      <c r="AJ63" s="11"/>
      <c r="AK63" s="48"/>
      <c r="AL63" s="11"/>
      <c r="AM63" s="49"/>
      <c r="AN63" s="49"/>
      <c r="AO63" s="11"/>
      <c r="AP63" s="11"/>
      <c r="AQ63" s="28" t="b">
        <f>IF(COUNTIF(SmartStatus!A$2:A1000, AM63) &gt; 2, TRUE, FALSE)</f>
        <v>0</v>
      </c>
      <c r="AR63" s="29" t="str">
        <f ca="1">IFERROR(__xludf.DUMMYFUNCTION("iferror(if(regexmatch(AO63, ""(?i)^registered""), if(EE63 &lt;&gt; ""polity_shortest_name"", ""CHECK_POLITY"", index(filter(SmartStatus!B$2:B1000, AM63 = SmartStatus!A$2:A1000, not(SmartStatus!C$2:C1000), (isblank(SmartStatus!D$2:D1000)) + ((P63 &lt;&gt; """") * (P63"&amp;" &lt; SmartStatus!D$2:D1000)), (isblank(SmartStatus!E$2:E1000)) + ((P63 &lt;&gt; """") * (P63 &gt;= SmartStatus!E$2:E1000)), (isblank(SmartStatus!F$2:F1000)) + (((Q63 &lt;&gt; """") * (Q63 &lt; SmartStatus!F$2:F1000)) + ((P63 &lt;&gt; """") * (date(year(P63) + 3, month(P63), day(P6"&amp;"3)) &lt; SmartStatus!F$2:F1000))), (isblank(SmartStatus!G$2:G1000)) + (((Q63 &lt;&gt; """") * (Q63 &gt;= SmartStatus!G$2:G1000)) + ((P63 &lt;&gt; """") * (P63 &gt;= SmartStatus!G$2:G1000)))), if(or(regexmatch(B63, ""(?i)^ir [a-z]+ designation$""), N63 &lt;&gt; """"), 1, 2))), """")"&amp;", ""NO_MATCH"")"),"")</f>
        <v/>
      </c>
      <c r="AS63" s="11"/>
      <c r="AT63" s="15"/>
      <c r="AU63" s="11"/>
      <c r="AV63" s="11"/>
      <c r="AW63" s="15"/>
      <c r="AX63" s="15"/>
      <c r="AY63" s="15"/>
      <c r="AZ63" s="11"/>
      <c r="BA63" s="15"/>
      <c r="BB63" s="11"/>
      <c r="BC63" s="11"/>
      <c r="BD63" s="15"/>
      <c r="BE63" s="11"/>
      <c r="BF63" s="11"/>
      <c r="BG63" s="15"/>
      <c r="BH63" s="15"/>
      <c r="BI63" s="15"/>
      <c r="BJ63" s="11"/>
      <c r="BK63" s="15"/>
      <c r="BL63" s="11"/>
      <c r="BM63" s="11"/>
      <c r="BN63" s="15"/>
      <c r="BO63" s="11"/>
      <c r="BP63" s="11"/>
      <c r="BQ63" s="15"/>
      <c r="BR63" s="15"/>
      <c r="BS63" s="15"/>
      <c r="BT63" s="11"/>
      <c r="BU63" s="15"/>
      <c r="BV63" s="11"/>
      <c r="BW63" s="11"/>
      <c r="BX63" s="15"/>
      <c r="BY63" s="11"/>
      <c r="BZ63" s="11"/>
      <c r="CA63" s="15"/>
      <c r="CB63" s="11"/>
      <c r="CC63" s="15"/>
      <c r="CD63" s="11"/>
      <c r="CE63" s="15"/>
      <c r="CF63" s="11"/>
      <c r="CG63" s="11"/>
      <c r="CH63" s="15"/>
      <c r="CI63" s="11"/>
      <c r="CJ63" s="11"/>
      <c r="CK63" s="15"/>
      <c r="CL63" s="11"/>
      <c r="CM63" s="11"/>
      <c r="CN63" s="11"/>
      <c r="CO63" s="11"/>
      <c r="CP63" s="28"/>
      <c r="CQ63" s="28"/>
      <c r="CR63" s="11"/>
      <c r="CS63" s="29"/>
      <c r="CT63" s="11"/>
      <c r="CU63" s="11"/>
      <c r="CV63" s="11"/>
      <c r="CW63" s="11"/>
      <c r="CX63" s="11"/>
      <c r="CY63" s="11"/>
      <c r="CZ63" s="11"/>
      <c r="DA63" s="28"/>
      <c r="DB63" s="28"/>
      <c r="DC63" s="11"/>
      <c r="DD63" s="29"/>
      <c r="DE63" s="11"/>
      <c r="DF63" s="11"/>
      <c r="DG63" s="11"/>
      <c r="DH63" s="11"/>
      <c r="DI63" s="11"/>
      <c r="DJ63" s="11"/>
      <c r="DK63" s="26"/>
      <c r="DL63" s="11"/>
      <c r="DM63" s="29"/>
      <c r="DN63" s="28"/>
      <c r="DO63" s="11"/>
      <c r="DP63" s="11"/>
      <c r="DQ63" s="11"/>
      <c r="DR63" s="29"/>
      <c r="DS63" s="28"/>
      <c r="DT63" s="11"/>
      <c r="DU63" s="26"/>
      <c r="DV63" s="11"/>
      <c r="DW63" s="29"/>
      <c r="DX63" s="28"/>
      <c r="DY63" s="11"/>
      <c r="DZ63" s="26"/>
      <c r="EA63" s="11"/>
      <c r="EB63" s="29"/>
      <c r="EC63" s="28"/>
      <c r="ED63" s="30"/>
      <c r="EE63" s="30" t="str">
        <f ca="1">IFERROR(__xludf.DUMMYFUNCTION("iferror(index(filter('Internal -- Trademark Countries'!E$2:E1000, (AM63 = 'Internal -- Trademark Countries'!B$2:B1000) + (AM63 = 'Internal -- Trademark Countries'!C$2:C1000) + (AM63 = 'Internal -- Trademark Countries'!D$2:D1000)), 1))"),"")</f>
        <v/>
      </c>
      <c r="EF63" s="30" t="e">
        <f ca="1">_xludf.ifs(AM63="", "", COUNTIF('Internal -- Trademark Countries'!B:B,AM63) &gt; 0, "polity_shortest_name", COUNTIF('Internal -- Trademark Countries'!C:C,AM63) &gt; 0, "polity_full_name", COUNTIF('Internal -- Trademark Countries'!D:D,AM63) &gt; 0, "polity_common_name", COUNTIF('Internal -- Trademark Countries'!E:E,AM63) &gt; 0, "shortest_name", COUNTIF('Internal -- Trademark Countries'!A:A,AM63) &gt; 0, "full_name", TRUE, "not a match")</f>
        <v>#NAME?</v>
      </c>
      <c r="EG63" s="30"/>
      <c r="EH63" s="30"/>
      <c r="EI63" s="30"/>
      <c r="EJ63" s="30"/>
      <c r="EK63" s="30" t="str">
        <f t="shared" si="2"/>
        <v/>
      </c>
    </row>
    <row r="64" spans="1:141" ht="16.5">
      <c r="A64" s="11"/>
      <c r="B64" s="11"/>
      <c r="C64" s="11"/>
      <c r="D64" s="11"/>
      <c r="E64" s="11"/>
      <c r="F64" s="11"/>
      <c r="G64" s="11"/>
      <c r="H64" s="11"/>
      <c r="I64" s="11"/>
      <c r="J64" s="11"/>
      <c r="K64" s="27"/>
      <c r="L64" s="11"/>
      <c r="M64" s="11"/>
      <c r="N64" s="11"/>
      <c r="O64" s="11"/>
      <c r="P64" s="15"/>
      <c r="Q64" s="15"/>
      <c r="R64" s="15"/>
      <c r="S64" s="15"/>
      <c r="T64" s="15"/>
      <c r="U64" s="15"/>
      <c r="V64" s="15"/>
      <c r="W64" s="47"/>
      <c r="X64" s="11"/>
      <c r="Y64" s="48"/>
      <c r="Z64" s="11"/>
      <c r="AA64" s="48"/>
      <c r="AB64" s="11"/>
      <c r="AC64" s="48"/>
      <c r="AD64" s="11"/>
      <c r="AE64" s="47"/>
      <c r="AF64" s="11"/>
      <c r="AG64" s="48"/>
      <c r="AH64" s="11"/>
      <c r="AI64" s="48"/>
      <c r="AJ64" s="11"/>
      <c r="AK64" s="48"/>
      <c r="AL64" s="11"/>
      <c r="AM64" s="49"/>
      <c r="AN64" s="49"/>
      <c r="AO64" s="11"/>
      <c r="AP64" s="11"/>
      <c r="AQ64" s="28" t="b">
        <f>IF(COUNTIF(SmartStatus!A$2:A1000, AM64) &gt; 2, TRUE, FALSE)</f>
        <v>0</v>
      </c>
      <c r="AR64" s="29" t="str">
        <f ca="1">IFERROR(__xludf.DUMMYFUNCTION("iferror(if(regexmatch(AO64, ""(?i)^registered""), if(EE64 &lt;&gt; ""polity_shortest_name"", ""CHECK_POLITY"", index(filter(SmartStatus!B$2:B1000, AM64 = SmartStatus!A$2:A1000, not(SmartStatus!C$2:C1000), (isblank(SmartStatus!D$2:D1000)) + ((P64 &lt;&gt; """") * (P64"&amp;" &lt; SmartStatus!D$2:D1000)), (isblank(SmartStatus!E$2:E1000)) + ((P64 &lt;&gt; """") * (P64 &gt;= SmartStatus!E$2:E1000)), (isblank(SmartStatus!F$2:F1000)) + (((Q64 &lt;&gt; """") * (Q64 &lt; SmartStatus!F$2:F1000)) + ((P64 &lt;&gt; """") * (date(year(P64) + 3, month(P64), day(P6"&amp;"4)) &lt; SmartStatus!F$2:F1000))), (isblank(SmartStatus!G$2:G1000)) + (((Q64 &lt;&gt; """") * (Q64 &gt;= SmartStatus!G$2:G1000)) + ((P64 &lt;&gt; """") * (P64 &gt;= SmartStatus!G$2:G1000)))), if(or(regexmatch(B64, ""(?i)^ir [a-z]+ designation$""), N64 &lt;&gt; """"), 1, 2))), """")"&amp;", ""NO_MATCH"")"),"")</f>
        <v/>
      </c>
      <c r="AS64" s="11"/>
      <c r="AT64" s="15"/>
      <c r="AU64" s="11"/>
      <c r="AV64" s="11"/>
      <c r="AW64" s="15"/>
      <c r="AX64" s="15"/>
      <c r="AY64" s="15"/>
      <c r="AZ64" s="11"/>
      <c r="BA64" s="15"/>
      <c r="BB64" s="11"/>
      <c r="BC64" s="11"/>
      <c r="BD64" s="15"/>
      <c r="BE64" s="11"/>
      <c r="BF64" s="11"/>
      <c r="BG64" s="15"/>
      <c r="BH64" s="15"/>
      <c r="BI64" s="15"/>
      <c r="BJ64" s="11"/>
      <c r="BK64" s="15"/>
      <c r="BL64" s="11"/>
      <c r="BM64" s="11"/>
      <c r="BN64" s="15"/>
      <c r="BO64" s="11"/>
      <c r="BP64" s="11"/>
      <c r="BQ64" s="15"/>
      <c r="BR64" s="15"/>
      <c r="BS64" s="15"/>
      <c r="BT64" s="11"/>
      <c r="BU64" s="15"/>
      <c r="BV64" s="11"/>
      <c r="BW64" s="11"/>
      <c r="BX64" s="15"/>
      <c r="BY64" s="11"/>
      <c r="BZ64" s="11"/>
      <c r="CA64" s="15"/>
      <c r="CB64" s="11"/>
      <c r="CC64" s="15"/>
      <c r="CD64" s="11"/>
      <c r="CE64" s="15"/>
      <c r="CF64" s="11"/>
      <c r="CG64" s="11"/>
      <c r="CH64" s="15"/>
      <c r="CI64" s="11"/>
      <c r="CJ64" s="11"/>
      <c r="CK64" s="15"/>
      <c r="CL64" s="11"/>
      <c r="CM64" s="11"/>
      <c r="CN64" s="11"/>
      <c r="CO64" s="11"/>
      <c r="CP64" s="28"/>
      <c r="CQ64" s="28"/>
      <c r="CR64" s="11"/>
      <c r="CS64" s="29"/>
      <c r="CT64" s="11"/>
      <c r="CU64" s="11"/>
      <c r="CV64" s="11"/>
      <c r="CW64" s="11"/>
      <c r="CX64" s="11"/>
      <c r="CY64" s="11"/>
      <c r="CZ64" s="11"/>
      <c r="DA64" s="28"/>
      <c r="DB64" s="28"/>
      <c r="DC64" s="11"/>
      <c r="DD64" s="29"/>
      <c r="DE64" s="11"/>
      <c r="DF64" s="11"/>
      <c r="DG64" s="11"/>
      <c r="DH64" s="11"/>
      <c r="DI64" s="11"/>
      <c r="DJ64" s="11"/>
      <c r="DK64" s="26"/>
      <c r="DL64" s="11"/>
      <c r="DM64" s="29"/>
      <c r="DN64" s="28"/>
      <c r="DO64" s="11"/>
      <c r="DP64" s="11"/>
      <c r="DQ64" s="11"/>
      <c r="DR64" s="29"/>
      <c r="DS64" s="28"/>
      <c r="DT64" s="11"/>
      <c r="DU64" s="26"/>
      <c r="DV64" s="11"/>
      <c r="DW64" s="29"/>
      <c r="DX64" s="28"/>
      <c r="DY64" s="11"/>
      <c r="DZ64" s="26"/>
      <c r="EA64" s="11"/>
      <c r="EB64" s="29"/>
      <c r="EC64" s="28"/>
      <c r="ED64" s="30"/>
      <c r="EE64" s="30" t="str">
        <f ca="1">IFERROR(__xludf.DUMMYFUNCTION("iferror(index(filter('Internal -- Trademark Countries'!E$2:E1000, (AM64 = 'Internal -- Trademark Countries'!B$2:B1000) + (AM64 = 'Internal -- Trademark Countries'!C$2:C1000) + (AM64 = 'Internal -- Trademark Countries'!D$2:D1000)), 1))"),"")</f>
        <v/>
      </c>
      <c r="EF64" s="30" t="e">
        <f ca="1">_xludf.ifs(AM64="", "", COUNTIF('Internal -- Trademark Countries'!B:B,AM64) &gt; 0, "polity_shortest_name", COUNTIF('Internal -- Trademark Countries'!C:C,AM64) &gt; 0, "polity_full_name", COUNTIF('Internal -- Trademark Countries'!D:D,AM64) &gt; 0, "polity_common_name", COUNTIF('Internal -- Trademark Countries'!E:E,AM64) &gt; 0, "shortest_name", COUNTIF('Internal -- Trademark Countries'!A:A,AM64) &gt; 0, "full_name", TRUE, "not a match")</f>
        <v>#NAME?</v>
      </c>
      <c r="EG64" s="30"/>
      <c r="EH64" s="30"/>
      <c r="EI64" s="30"/>
      <c r="EJ64" s="30"/>
      <c r="EK64" s="30" t="str">
        <f t="shared" si="2"/>
        <v/>
      </c>
    </row>
    <row r="65" spans="1:141" ht="16.5">
      <c r="A65" s="11"/>
      <c r="B65" s="11"/>
      <c r="C65" s="11"/>
      <c r="D65" s="11"/>
      <c r="E65" s="11"/>
      <c r="F65" s="11"/>
      <c r="G65" s="11"/>
      <c r="H65" s="11"/>
      <c r="I65" s="11"/>
      <c r="J65" s="11"/>
      <c r="K65" s="27"/>
      <c r="L65" s="11"/>
      <c r="M65" s="11"/>
      <c r="N65" s="11"/>
      <c r="O65" s="11"/>
      <c r="P65" s="15"/>
      <c r="Q65" s="15"/>
      <c r="R65" s="15"/>
      <c r="S65" s="15"/>
      <c r="T65" s="15"/>
      <c r="U65" s="15"/>
      <c r="V65" s="15"/>
      <c r="W65" s="47"/>
      <c r="X65" s="11"/>
      <c r="Y65" s="48"/>
      <c r="Z65" s="11"/>
      <c r="AA65" s="48"/>
      <c r="AB65" s="11"/>
      <c r="AC65" s="48"/>
      <c r="AD65" s="11"/>
      <c r="AE65" s="47"/>
      <c r="AF65" s="11"/>
      <c r="AG65" s="48"/>
      <c r="AH65" s="11"/>
      <c r="AI65" s="48"/>
      <c r="AJ65" s="11"/>
      <c r="AK65" s="48"/>
      <c r="AL65" s="11"/>
      <c r="AM65" s="49"/>
      <c r="AN65" s="49"/>
      <c r="AO65" s="11"/>
      <c r="AP65" s="11"/>
      <c r="AQ65" s="28" t="b">
        <f>IF(COUNTIF(SmartStatus!A$2:A1000, AM65) &gt; 2, TRUE, FALSE)</f>
        <v>0</v>
      </c>
      <c r="AR65" s="29" t="str">
        <f ca="1">IFERROR(__xludf.DUMMYFUNCTION("iferror(if(regexmatch(AO65, ""(?i)^registered""), if(EE65 &lt;&gt; ""polity_shortest_name"", ""CHECK_POLITY"", index(filter(SmartStatus!B$2:B1000, AM65 = SmartStatus!A$2:A1000, not(SmartStatus!C$2:C1000), (isblank(SmartStatus!D$2:D1000)) + ((P65 &lt;&gt; """") * (P65"&amp;" &lt; SmartStatus!D$2:D1000)), (isblank(SmartStatus!E$2:E1000)) + ((P65 &lt;&gt; """") * (P65 &gt;= SmartStatus!E$2:E1000)), (isblank(SmartStatus!F$2:F1000)) + (((Q65 &lt;&gt; """") * (Q65 &lt; SmartStatus!F$2:F1000)) + ((P65 &lt;&gt; """") * (date(year(P65) + 3, month(P65), day(P6"&amp;"5)) &lt; SmartStatus!F$2:F1000))), (isblank(SmartStatus!G$2:G1000)) + (((Q65 &lt;&gt; """") * (Q65 &gt;= SmartStatus!G$2:G1000)) + ((P65 &lt;&gt; """") * (P65 &gt;= SmartStatus!G$2:G1000)))), if(or(regexmatch(B65, ""(?i)^ir [a-z]+ designation$""), N65 &lt;&gt; """"), 1, 2))), """")"&amp;", ""NO_MATCH"")"),"")</f>
        <v/>
      </c>
      <c r="AS65" s="11"/>
      <c r="AT65" s="15"/>
      <c r="AU65" s="11"/>
      <c r="AV65" s="11"/>
      <c r="AW65" s="15"/>
      <c r="AX65" s="15"/>
      <c r="AY65" s="15"/>
      <c r="AZ65" s="11"/>
      <c r="BA65" s="15"/>
      <c r="BB65" s="11"/>
      <c r="BC65" s="11"/>
      <c r="BD65" s="15"/>
      <c r="BE65" s="11"/>
      <c r="BF65" s="11"/>
      <c r="BG65" s="15"/>
      <c r="BH65" s="15"/>
      <c r="BI65" s="15"/>
      <c r="BJ65" s="11"/>
      <c r="BK65" s="15"/>
      <c r="BL65" s="11"/>
      <c r="BM65" s="11"/>
      <c r="BN65" s="15"/>
      <c r="BO65" s="11"/>
      <c r="BP65" s="11"/>
      <c r="BQ65" s="15"/>
      <c r="BR65" s="15"/>
      <c r="BS65" s="15"/>
      <c r="BT65" s="11"/>
      <c r="BU65" s="15"/>
      <c r="BV65" s="11"/>
      <c r="BW65" s="11"/>
      <c r="BX65" s="15"/>
      <c r="BY65" s="11"/>
      <c r="BZ65" s="11"/>
      <c r="CA65" s="15"/>
      <c r="CB65" s="11"/>
      <c r="CC65" s="15"/>
      <c r="CD65" s="11"/>
      <c r="CE65" s="15"/>
      <c r="CF65" s="11"/>
      <c r="CG65" s="11"/>
      <c r="CH65" s="15"/>
      <c r="CI65" s="11"/>
      <c r="CJ65" s="11"/>
      <c r="CK65" s="15"/>
      <c r="CL65" s="11"/>
      <c r="CM65" s="11"/>
      <c r="CN65" s="11"/>
      <c r="CO65" s="11"/>
      <c r="CP65" s="28"/>
      <c r="CQ65" s="28"/>
      <c r="CR65" s="11"/>
      <c r="CS65" s="29"/>
      <c r="CT65" s="11"/>
      <c r="CU65" s="11"/>
      <c r="CV65" s="11"/>
      <c r="CW65" s="11"/>
      <c r="CX65" s="11"/>
      <c r="CY65" s="11"/>
      <c r="CZ65" s="11"/>
      <c r="DA65" s="28"/>
      <c r="DB65" s="28"/>
      <c r="DC65" s="11"/>
      <c r="DD65" s="29"/>
      <c r="DE65" s="11"/>
      <c r="DF65" s="11"/>
      <c r="DG65" s="11"/>
      <c r="DH65" s="11"/>
      <c r="DI65" s="11"/>
      <c r="DJ65" s="11"/>
      <c r="DK65" s="26"/>
      <c r="DL65" s="11"/>
      <c r="DM65" s="29"/>
      <c r="DN65" s="28"/>
      <c r="DO65" s="11"/>
      <c r="DP65" s="11"/>
      <c r="DQ65" s="11"/>
      <c r="DR65" s="29"/>
      <c r="DS65" s="28"/>
      <c r="DT65" s="11"/>
      <c r="DU65" s="26"/>
      <c r="DV65" s="11"/>
      <c r="DW65" s="29"/>
      <c r="DX65" s="28"/>
      <c r="DY65" s="11"/>
      <c r="DZ65" s="26"/>
      <c r="EA65" s="11"/>
      <c r="EB65" s="29"/>
      <c r="EC65" s="28"/>
      <c r="ED65" s="30"/>
      <c r="EE65" s="30" t="str">
        <f ca="1">IFERROR(__xludf.DUMMYFUNCTION("iferror(index(filter('Internal -- Trademark Countries'!E$2:E1000, (AM65 = 'Internal -- Trademark Countries'!B$2:B1000) + (AM65 = 'Internal -- Trademark Countries'!C$2:C1000) + (AM65 = 'Internal -- Trademark Countries'!D$2:D1000)), 1))"),"")</f>
        <v/>
      </c>
      <c r="EF65" s="30" t="e">
        <f ca="1">_xludf.ifs(AM65="", "", COUNTIF('Internal -- Trademark Countries'!B:B,AM65) &gt; 0, "polity_shortest_name", COUNTIF('Internal -- Trademark Countries'!C:C,AM65) &gt; 0, "polity_full_name", COUNTIF('Internal -- Trademark Countries'!D:D,AM65) &gt; 0, "polity_common_name", COUNTIF('Internal -- Trademark Countries'!E:E,AM65) &gt; 0, "shortest_name", COUNTIF('Internal -- Trademark Countries'!A:A,AM65) &gt; 0, "full_name", TRUE, "not a match")</f>
        <v>#NAME?</v>
      </c>
      <c r="EG65" s="30"/>
      <c r="EH65" s="30"/>
      <c r="EI65" s="30"/>
      <c r="EJ65" s="30"/>
      <c r="EK65" s="30" t="str">
        <f t="shared" si="2"/>
        <v/>
      </c>
    </row>
    <row r="66" spans="1:141" ht="16.5">
      <c r="A66" s="11"/>
      <c r="B66" s="11"/>
      <c r="C66" s="11"/>
      <c r="D66" s="11"/>
      <c r="E66" s="11"/>
      <c r="F66" s="11"/>
      <c r="G66" s="11"/>
      <c r="H66" s="11"/>
      <c r="I66" s="11"/>
      <c r="J66" s="11"/>
      <c r="K66" s="27"/>
      <c r="L66" s="11"/>
      <c r="M66" s="11"/>
      <c r="N66" s="11"/>
      <c r="O66" s="11"/>
      <c r="P66" s="15"/>
      <c r="Q66" s="15"/>
      <c r="R66" s="15"/>
      <c r="S66" s="15"/>
      <c r="T66" s="15"/>
      <c r="U66" s="15"/>
      <c r="V66" s="15"/>
      <c r="W66" s="47"/>
      <c r="X66" s="11"/>
      <c r="Y66" s="48"/>
      <c r="Z66" s="11"/>
      <c r="AA66" s="48"/>
      <c r="AB66" s="11"/>
      <c r="AC66" s="48"/>
      <c r="AD66" s="11"/>
      <c r="AE66" s="47"/>
      <c r="AF66" s="11"/>
      <c r="AG66" s="48"/>
      <c r="AH66" s="11"/>
      <c r="AI66" s="48"/>
      <c r="AJ66" s="11"/>
      <c r="AK66" s="48"/>
      <c r="AL66" s="11"/>
      <c r="AM66" s="49"/>
      <c r="AN66" s="49"/>
      <c r="AO66" s="11"/>
      <c r="AP66" s="11"/>
      <c r="AQ66" s="28" t="b">
        <f>IF(COUNTIF(SmartStatus!A$2:A1000, AM66) &gt; 2, TRUE, FALSE)</f>
        <v>0</v>
      </c>
      <c r="AR66" s="29" t="str">
        <f ca="1">IFERROR(__xludf.DUMMYFUNCTION("iferror(if(regexmatch(AO66, ""(?i)^registered""), if(EE66 &lt;&gt; ""polity_shortest_name"", ""CHECK_POLITY"", index(filter(SmartStatus!B$2:B1000, AM66 = SmartStatus!A$2:A1000, not(SmartStatus!C$2:C1000), (isblank(SmartStatus!D$2:D1000)) + ((P66 &lt;&gt; """") * (P66"&amp;" &lt; SmartStatus!D$2:D1000)), (isblank(SmartStatus!E$2:E1000)) + ((P66 &lt;&gt; """") * (P66 &gt;= SmartStatus!E$2:E1000)), (isblank(SmartStatus!F$2:F1000)) + (((Q66 &lt;&gt; """") * (Q66 &lt; SmartStatus!F$2:F1000)) + ((P66 &lt;&gt; """") * (date(year(P66) + 3, month(P66), day(P6"&amp;"6)) &lt; SmartStatus!F$2:F1000))), (isblank(SmartStatus!G$2:G1000)) + (((Q66 &lt;&gt; """") * (Q66 &gt;= SmartStatus!G$2:G1000)) + ((P66 &lt;&gt; """") * (P66 &gt;= SmartStatus!G$2:G1000)))), if(or(regexmatch(B66, ""(?i)^ir [a-z]+ designation$""), N66 &lt;&gt; """"), 1, 2))), """")"&amp;", ""NO_MATCH"")"),"")</f>
        <v/>
      </c>
      <c r="AS66" s="11"/>
      <c r="AT66" s="15"/>
      <c r="AU66" s="11"/>
      <c r="AV66" s="11"/>
      <c r="AW66" s="15"/>
      <c r="AX66" s="15"/>
      <c r="AY66" s="15"/>
      <c r="AZ66" s="11"/>
      <c r="BA66" s="15"/>
      <c r="BB66" s="11"/>
      <c r="BC66" s="11"/>
      <c r="BD66" s="15"/>
      <c r="BE66" s="11"/>
      <c r="BF66" s="11"/>
      <c r="BG66" s="15"/>
      <c r="BH66" s="15"/>
      <c r="BI66" s="15"/>
      <c r="BJ66" s="11"/>
      <c r="BK66" s="15"/>
      <c r="BL66" s="11"/>
      <c r="BM66" s="11"/>
      <c r="BN66" s="15"/>
      <c r="BO66" s="11"/>
      <c r="BP66" s="11"/>
      <c r="BQ66" s="15"/>
      <c r="BR66" s="15"/>
      <c r="BS66" s="15"/>
      <c r="BT66" s="11"/>
      <c r="BU66" s="15"/>
      <c r="BV66" s="11"/>
      <c r="BW66" s="11"/>
      <c r="BX66" s="15"/>
      <c r="BY66" s="11"/>
      <c r="BZ66" s="11"/>
      <c r="CA66" s="15"/>
      <c r="CB66" s="11"/>
      <c r="CC66" s="15"/>
      <c r="CD66" s="11"/>
      <c r="CE66" s="15"/>
      <c r="CF66" s="11"/>
      <c r="CG66" s="11"/>
      <c r="CH66" s="15"/>
      <c r="CI66" s="11"/>
      <c r="CJ66" s="11"/>
      <c r="CK66" s="15"/>
      <c r="CL66" s="11"/>
      <c r="CM66" s="11"/>
      <c r="CN66" s="11"/>
      <c r="CO66" s="11"/>
      <c r="CP66" s="28"/>
      <c r="CQ66" s="28"/>
      <c r="CR66" s="11"/>
      <c r="CS66" s="29"/>
      <c r="CT66" s="11"/>
      <c r="CU66" s="11"/>
      <c r="CV66" s="11"/>
      <c r="CW66" s="11"/>
      <c r="CX66" s="11"/>
      <c r="CY66" s="11"/>
      <c r="CZ66" s="11"/>
      <c r="DA66" s="28"/>
      <c r="DB66" s="28"/>
      <c r="DC66" s="11"/>
      <c r="DD66" s="29"/>
      <c r="DE66" s="11"/>
      <c r="DF66" s="11"/>
      <c r="DG66" s="11"/>
      <c r="DH66" s="11"/>
      <c r="DI66" s="11"/>
      <c r="DJ66" s="11"/>
      <c r="DK66" s="26"/>
      <c r="DL66" s="11"/>
      <c r="DM66" s="29"/>
      <c r="DN66" s="28"/>
      <c r="DO66" s="11"/>
      <c r="DP66" s="11"/>
      <c r="DQ66" s="11"/>
      <c r="DR66" s="29"/>
      <c r="DS66" s="28"/>
      <c r="DT66" s="11"/>
      <c r="DU66" s="26"/>
      <c r="DV66" s="11"/>
      <c r="DW66" s="29"/>
      <c r="DX66" s="28"/>
      <c r="DY66" s="11"/>
      <c r="DZ66" s="26"/>
      <c r="EA66" s="11"/>
      <c r="EB66" s="29"/>
      <c r="EC66" s="28"/>
      <c r="ED66" s="30"/>
      <c r="EE66" s="30" t="str">
        <f ca="1">IFERROR(__xludf.DUMMYFUNCTION("iferror(index(filter('Internal -- Trademark Countries'!E$2:E1000, (AM66 = 'Internal -- Trademark Countries'!B$2:B1000) + (AM66 = 'Internal -- Trademark Countries'!C$2:C1000) + (AM66 = 'Internal -- Trademark Countries'!D$2:D1000)), 1))"),"")</f>
        <v/>
      </c>
      <c r="EF66" s="30" t="e">
        <f ca="1">_xludf.ifs(AM66="", "", COUNTIF('Internal -- Trademark Countries'!B:B,AM66) &gt; 0, "polity_shortest_name", COUNTIF('Internal -- Trademark Countries'!C:C,AM66) &gt; 0, "polity_full_name", COUNTIF('Internal -- Trademark Countries'!D:D,AM66) &gt; 0, "polity_common_name", COUNTIF('Internal -- Trademark Countries'!E:E,AM66) &gt; 0, "shortest_name", COUNTIF('Internal -- Trademark Countries'!A:A,AM66) &gt; 0, "full_name", TRUE, "not a match")</f>
        <v>#NAME?</v>
      </c>
      <c r="EG66" s="30"/>
      <c r="EH66" s="30"/>
      <c r="EI66" s="30"/>
      <c r="EJ66" s="30"/>
      <c r="EK66" s="30" t="str">
        <f t="shared" si="2"/>
        <v/>
      </c>
    </row>
    <row r="67" spans="1:141" ht="16.5">
      <c r="A67" s="11"/>
      <c r="B67" s="11"/>
      <c r="C67" s="11"/>
      <c r="D67" s="11"/>
      <c r="E67" s="11"/>
      <c r="F67" s="11"/>
      <c r="G67" s="11"/>
      <c r="H67" s="11"/>
      <c r="I67" s="11"/>
      <c r="J67" s="11"/>
      <c r="K67" s="27"/>
      <c r="L67" s="11"/>
      <c r="M67" s="11"/>
      <c r="N67" s="11"/>
      <c r="O67" s="11"/>
      <c r="P67" s="15"/>
      <c r="Q67" s="15"/>
      <c r="R67" s="15"/>
      <c r="S67" s="15"/>
      <c r="T67" s="15"/>
      <c r="U67" s="15"/>
      <c r="V67" s="15"/>
      <c r="W67" s="47"/>
      <c r="X67" s="11"/>
      <c r="Y67" s="48"/>
      <c r="Z67" s="11"/>
      <c r="AA67" s="48"/>
      <c r="AB67" s="11"/>
      <c r="AC67" s="48"/>
      <c r="AD67" s="11"/>
      <c r="AE67" s="47"/>
      <c r="AF67" s="11"/>
      <c r="AG67" s="48"/>
      <c r="AH67" s="11"/>
      <c r="AI67" s="48"/>
      <c r="AJ67" s="11"/>
      <c r="AK67" s="48"/>
      <c r="AL67" s="11"/>
      <c r="AM67" s="49"/>
      <c r="AN67" s="49"/>
      <c r="AO67" s="11"/>
      <c r="AP67" s="11"/>
      <c r="AQ67" s="28" t="b">
        <f>IF(COUNTIF(SmartStatus!A$2:A1000, AM67) &gt; 2, TRUE, FALSE)</f>
        <v>0</v>
      </c>
      <c r="AR67" s="29" t="str">
        <f ca="1">IFERROR(__xludf.DUMMYFUNCTION("iferror(if(regexmatch(AO67, ""(?i)^registered""), if(EE67 &lt;&gt; ""polity_shortest_name"", ""CHECK_POLITY"", index(filter(SmartStatus!B$2:B1000, AM67 = SmartStatus!A$2:A1000, not(SmartStatus!C$2:C1000), (isblank(SmartStatus!D$2:D1000)) + ((P67 &lt;&gt; """") * (P67"&amp;" &lt; SmartStatus!D$2:D1000)), (isblank(SmartStatus!E$2:E1000)) + ((P67 &lt;&gt; """") * (P67 &gt;= SmartStatus!E$2:E1000)), (isblank(SmartStatus!F$2:F1000)) + (((Q67 &lt;&gt; """") * (Q67 &lt; SmartStatus!F$2:F1000)) + ((P67 &lt;&gt; """") * (date(year(P67) + 3, month(P67), day(P6"&amp;"7)) &lt; SmartStatus!F$2:F1000))), (isblank(SmartStatus!G$2:G1000)) + (((Q67 &lt;&gt; """") * (Q67 &gt;= SmartStatus!G$2:G1000)) + ((P67 &lt;&gt; """") * (P67 &gt;= SmartStatus!G$2:G1000)))), if(or(regexmatch(B67, ""(?i)^ir [a-z]+ designation$""), N67 &lt;&gt; """"), 1, 2))), """")"&amp;", ""NO_MATCH"")"),"")</f>
        <v/>
      </c>
      <c r="AS67" s="11"/>
      <c r="AT67" s="15"/>
      <c r="AU67" s="11"/>
      <c r="AV67" s="11"/>
      <c r="AW67" s="15"/>
      <c r="AX67" s="15"/>
      <c r="AY67" s="15"/>
      <c r="AZ67" s="11"/>
      <c r="BA67" s="15"/>
      <c r="BB67" s="11"/>
      <c r="BC67" s="11"/>
      <c r="BD67" s="15"/>
      <c r="BE67" s="11"/>
      <c r="BF67" s="11"/>
      <c r="BG67" s="15"/>
      <c r="BH67" s="15"/>
      <c r="BI67" s="15"/>
      <c r="BJ67" s="11"/>
      <c r="BK67" s="15"/>
      <c r="BL67" s="11"/>
      <c r="BM67" s="11"/>
      <c r="BN67" s="15"/>
      <c r="BO67" s="11"/>
      <c r="BP67" s="11"/>
      <c r="BQ67" s="15"/>
      <c r="BR67" s="15"/>
      <c r="BS67" s="15"/>
      <c r="BT67" s="11"/>
      <c r="BU67" s="15"/>
      <c r="BV67" s="11"/>
      <c r="BW67" s="11"/>
      <c r="BX67" s="15"/>
      <c r="BY67" s="11"/>
      <c r="BZ67" s="11"/>
      <c r="CA67" s="15"/>
      <c r="CB67" s="11"/>
      <c r="CC67" s="15"/>
      <c r="CD67" s="11"/>
      <c r="CE67" s="15"/>
      <c r="CF67" s="11"/>
      <c r="CG67" s="11"/>
      <c r="CH67" s="15"/>
      <c r="CI67" s="11"/>
      <c r="CJ67" s="11"/>
      <c r="CK67" s="15"/>
      <c r="CL67" s="11"/>
      <c r="CM67" s="11"/>
      <c r="CN67" s="11"/>
      <c r="CO67" s="11"/>
      <c r="CP67" s="28"/>
      <c r="CQ67" s="28"/>
      <c r="CR67" s="11"/>
      <c r="CS67" s="29"/>
      <c r="CT67" s="11"/>
      <c r="CU67" s="11"/>
      <c r="CV67" s="11"/>
      <c r="CW67" s="11"/>
      <c r="CX67" s="11"/>
      <c r="CY67" s="11"/>
      <c r="CZ67" s="11"/>
      <c r="DA67" s="28"/>
      <c r="DB67" s="28"/>
      <c r="DC67" s="11"/>
      <c r="DD67" s="29"/>
      <c r="DE67" s="11"/>
      <c r="DF67" s="11"/>
      <c r="DG67" s="11"/>
      <c r="DH67" s="11"/>
      <c r="DI67" s="11"/>
      <c r="DJ67" s="11"/>
      <c r="DK67" s="26"/>
      <c r="DL67" s="11"/>
      <c r="DM67" s="29"/>
      <c r="DN67" s="28"/>
      <c r="DO67" s="11"/>
      <c r="DP67" s="11"/>
      <c r="DQ67" s="11"/>
      <c r="DR67" s="29"/>
      <c r="DS67" s="28"/>
      <c r="DT67" s="11"/>
      <c r="DU67" s="26"/>
      <c r="DV67" s="11"/>
      <c r="DW67" s="29"/>
      <c r="DX67" s="28"/>
      <c r="DY67" s="11"/>
      <c r="DZ67" s="26"/>
      <c r="EA67" s="11"/>
      <c r="EB67" s="29"/>
      <c r="EC67" s="28"/>
      <c r="ED67" s="30"/>
      <c r="EE67" s="30" t="str">
        <f ca="1">IFERROR(__xludf.DUMMYFUNCTION("iferror(index(filter('Internal -- Trademark Countries'!E$2:E1000, (AM67 = 'Internal -- Trademark Countries'!B$2:B1000) + (AM67 = 'Internal -- Trademark Countries'!C$2:C1000) + (AM67 = 'Internal -- Trademark Countries'!D$2:D1000)), 1))"),"")</f>
        <v/>
      </c>
      <c r="EF67" s="30" t="e">
        <f ca="1">_xludf.ifs(AM67="", "", COUNTIF('Internal -- Trademark Countries'!B:B,AM67) &gt; 0, "polity_shortest_name", COUNTIF('Internal -- Trademark Countries'!C:C,AM67) &gt; 0, "polity_full_name", COUNTIF('Internal -- Trademark Countries'!D:D,AM67) &gt; 0, "polity_common_name", COUNTIF('Internal -- Trademark Countries'!E:E,AM67) &gt; 0, "shortest_name", COUNTIF('Internal -- Trademark Countries'!A:A,AM67) &gt; 0, "full_name", TRUE, "not a match")</f>
        <v>#NAME?</v>
      </c>
      <c r="EG67" s="30"/>
      <c r="EH67" s="30"/>
      <c r="EI67" s="30"/>
      <c r="EJ67" s="30"/>
      <c r="EK67" s="30" t="str">
        <f t="shared" si="2"/>
        <v/>
      </c>
    </row>
    <row r="68" spans="1:141" ht="16.5">
      <c r="A68" s="11"/>
      <c r="B68" s="11"/>
      <c r="C68" s="11"/>
      <c r="D68" s="11"/>
      <c r="E68" s="11"/>
      <c r="F68" s="11"/>
      <c r="G68" s="11"/>
      <c r="H68" s="11"/>
      <c r="I68" s="11"/>
      <c r="J68" s="11"/>
      <c r="K68" s="27"/>
      <c r="L68" s="11"/>
      <c r="M68" s="11"/>
      <c r="N68" s="11"/>
      <c r="O68" s="11"/>
      <c r="P68" s="15"/>
      <c r="Q68" s="15"/>
      <c r="R68" s="15"/>
      <c r="S68" s="15"/>
      <c r="T68" s="15"/>
      <c r="U68" s="15"/>
      <c r="V68" s="15"/>
      <c r="W68" s="47"/>
      <c r="X68" s="11"/>
      <c r="Y68" s="48"/>
      <c r="Z68" s="11"/>
      <c r="AA68" s="48"/>
      <c r="AB68" s="11"/>
      <c r="AC68" s="48"/>
      <c r="AD68" s="11"/>
      <c r="AE68" s="47"/>
      <c r="AF68" s="11"/>
      <c r="AG68" s="48"/>
      <c r="AH68" s="11"/>
      <c r="AI68" s="48"/>
      <c r="AJ68" s="11"/>
      <c r="AK68" s="48"/>
      <c r="AL68" s="11"/>
      <c r="AM68" s="49"/>
      <c r="AN68" s="49"/>
      <c r="AO68" s="11"/>
      <c r="AP68" s="11"/>
      <c r="AQ68" s="28" t="b">
        <f>IF(COUNTIF(SmartStatus!A$2:A1000, AM68) &gt; 2, TRUE, FALSE)</f>
        <v>0</v>
      </c>
      <c r="AR68" s="29" t="str">
        <f ca="1">IFERROR(__xludf.DUMMYFUNCTION("iferror(if(regexmatch(AO68, ""(?i)^registered""), if(EE68 &lt;&gt; ""polity_shortest_name"", ""CHECK_POLITY"", index(filter(SmartStatus!B$2:B1000, AM68 = SmartStatus!A$2:A1000, not(SmartStatus!C$2:C1000), (isblank(SmartStatus!D$2:D1000)) + ((P68 &lt;&gt; """") * (P68"&amp;" &lt; SmartStatus!D$2:D1000)), (isblank(SmartStatus!E$2:E1000)) + ((P68 &lt;&gt; """") * (P68 &gt;= SmartStatus!E$2:E1000)), (isblank(SmartStatus!F$2:F1000)) + (((Q68 &lt;&gt; """") * (Q68 &lt; SmartStatus!F$2:F1000)) + ((P68 &lt;&gt; """") * (date(year(P68) + 3, month(P68), day(P6"&amp;"8)) &lt; SmartStatus!F$2:F1000))), (isblank(SmartStatus!G$2:G1000)) + (((Q68 &lt;&gt; """") * (Q68 &gt;= SmartStatus!G$2:G1000)) + ((P68 &lt;&gt; """") * (P68 &gt;= SmartStatus!G$2:G1000)))), if(or(regexmatch(B68, ""(?i)^ir [a-z]+ designation$""), N68 &lt;&gt; """"), 1, 2))), """")"&amp;", ""NO_MATCH"")"),"")</f>
        <v/>
      </c>
      <c r="AS68" s="11"/>
      <c r="AT68" s="15"/>
      <c r="AU68" s="11"/>
      <c r="AV68" s="11"/>
      <c r="AW68" s="15"/>
      <c r="AX68" s="15"/>
      <c r="AY68" s="15"/>
      <c r="AZ68" s="11"/>
      <c r="BA68" s="15"/>
      <c r="BB68" s="11"/>
      <c r="BC68" s="11"/>
      <c r="BD68" s="15"/>
      <c r="BE68" s="11"/>
      <c r="BF68" s="11"/>
      <c r="BG68" s="15"/>
      <c r="BH68" s="15"/>
      <c r="BI68" s="15"/>
      <c r="BJ68" s="11"/>
      <c r="BK68" s="15"/>
      <c r="BL68" s="11"/>
      <c r="BM68" s="11"/>
      <c r="BN68" s="15"/>
      <c r="BO68" s="11"/>
      <c r="BP68" s="11"/>
      <c r="BQ68" s="15"/>
      <c r="BR68" s="15"/>
      <c r="BS68" s="15"/>
      <c r="BT68" s="11"/>
      <c r="BU68" s="15"/>
      <c r="BV68" s="11"/>
      <c r="BW68" s="11"/>
      <c r="BX68" s="15"/>
      <c r="BY68" s="11"/>
      <c r="BZ68" s="11"/>
      <c r="CA68" s="15"/>
      <c r="CB68" s="11"/>
      <c r="CC68" s="15"/>
      <c r="CD68" s="11"/>
      <c r="CE68" s="15"/>
      <c r="CF68" s="11"/>
      <c r="CG68" s="11"/>
      <c r="CH68" s="15"/>
      <c r="CI68" s="11"/>
      <c r="CJ68" s="11"/>
      <c r="CK68" s="15"/>
      <c r="CL68" s="11"/>
      <c r="CM68" s="11"/>
      <c r="CN68" s="11"/>
      <c r="CO68" s="11"/>
      <c r="CP68" s="28"/>
      <c r="CQ68" s="28"/>
      <c r="CR68" s="11"/>
      <c r="CS68" s="29"/>
      <c r="CT68" s="11"/>
      <c r="CU68" s="11"/>
      <c r="CV68" s="11"/>
      <c r="CW68" s="11"/>
      <c r="CX68" s="11"/>
      <c r="CY68" s="11"/>
      <c r="CZ68" s="11"/>
      <c r="DA68" s="28"/>
      <c r="DB68" s="28"/>
      <c r="DC68" s="11"/>
      <c r="DD68" s="29"/>
      <c r="DE68" s="11"/>
      <c r="DF68" s="11"/>
      <c r="DG68" s="11"/>
      <c r="DH68" s="11"/>
      <c r="DI68" s="11"/>
      <c r="DJ68" s="11"/>
      <c r="DK68" s="26"/>
      <c r="DL68" s="11"/>
      <c r="DM68" s="29"/>
      <c r="DN68" s="28"/>
      <c r="DO68" s="11"/>
      <c r="DP68" s="11"/>
      <c r="DQ68" s="11"/>
      <c r="DR68" s="29"/>
      <c r="DS68" s="28"/>
      <c r="DT68" s="11"/>
      <c r="DU68" s="26"/>
      <c r="DV68" s="11"/>
      <c r="DW68" s="29"/>
      <c r="DX68" s="28"/>
      <c r="DY68" s="11"/>
      <c r="DZ68" s="26"/>
      <c r="EA68" s="11"/>
      <c r="EB68" s="29"/>
      <c r="EC68" s="28"/>
      <c r="ED68" s="30"/>
      <c r="EE68" s="30" t="str">
        <f ca="1">IFERROR(__xludf.DUMMYFUNCTION("iferror(index(filter('Internal -- Trademark Countries'!E$2:E1000, (AM68 = 'Internal -- Trademark Countries'!B$2:B1000) + (AM68 = 'Internal -- Trademark Countries'!C$2:C1000) + (AM68 = 'Internal -- Trademark Countries'!D$2:D1000)), 1))"),"")</f>
        <v/>
      </c>
      <c r="EF68" s="30" t="e">
        <f ca="1">_xludf.ifs(AM68="", "", COUNTIF('Internal -- Trademark Countries'!B:B,AM68) &gt; 0, "polity_shortest_name", COUNTIF('Internal -- Trademark Countries'!C:C,AM68) &gt; 0, "polity_full_name", COUNTIF('Internal -- Trademark Countries'!D:D,AM68) &gt; 0, "polity_common_name", COUNTIF('Internal -- Trademark Countries'!E:E,AM68) &gt; 0, "shortest_name", COUNTIF('Internal -- Trademark Countries'!A:A,AM68) &gt; 0, "full_name", TRUE, "not a match")</f>
        <v>#NAME?</v>
      </c>
      <c r="EG68" s="30"/>
      <c r="EH68" s="30"/>
      <c r="EI68" s="30"/>
      <c r="EJ68" s="30"/>
      <c r="EK68" s="30" t="str">
        <f t="shared" si="2"/>
        <v/>
      </c>
    </row>
    <row r="69" spans="1:141" ht="16.5">
      <c r="A69" s="11"/>
      <c r="B69" s="11"/>
      <c r="C69" s="11"/>
      <c r="D69" s="11"/>
      <c r="E69" s="11"/>
      <c r="F69" s="11"/>
      <c r="G69" s="11"/>
      <c r="H69" s="11"/>
      <c r="I69" s="11"/>
      <c r="J69" s="11"/>
      <c r="K69" s="27"/>
      <c r="L69" s="11"/>
      <c r="M69" s="11"/>
      <c r="N69" s="11"/>
      <c r="O69" s="11"/>
      <c r="P69" s="15"/>
      <c r="Q69" s="15"/>
      <c r="R69" s="15"/>
      <c r="S69" s="15"/>
      <c r="T69" s="15"/>
      <c r="U69" s="15"/>
      <c r="V69" s="15"/>
      <c r="W69" s="47"/>
      <c r="X69" s="11"/>
      <c r="Y69" s="48"/>
      <c r="Z69" s="11"/>
      <c r="AA69" s="48"/>
      <c r="AB69" s="11"/>
      <c r="AC69" s="48"/>
      <c r="AD69" s="11"/>
      <c r="AE69" s="47"/>
      <c r="AF69" s="11"/>
      <c r="AG69" s="48"/>
      <c r="AH69" s="11"/>
      <c r="AI69" s="48"/>
      <c r="AJ69" s="11"/>
      <c r="AK69" s="48"/>
      <c r="AL69" s="11"/>
      <c r="AM69" s="49"/>
      <c r="AN69" s="49"/>
      <c r="AO69" s="11"/>
      <c r="AP69" s="11"/>
      <c r="AQ69" s="28" t="b">
        <f>IF(COUNTIF(SmartStatus!A$2:A1000, AM69) &gt; 2, TRUE, FALSE)</f>
        <v>0</v>
      </c>
      <c r="AR69" s="29" t="str">
        <f ca="1">IFERROR(__xludf.DUMMYFUNCTION("iferror(if(regexmatch(AO69, ""(?i)^registered""), if(EE69 &lt;&gt; ""polity_shortest_name"", ""CHECK_POLITY"", index(filter(SmartStatus!B$2:B1000, AM69 = SmartStatus!A$2:A1000, not(SmartStatus!C$2:C1000), (isblank(SmartStatus!D$2:D1000)) + ((P69 &lt;&gt; """") * (P69"&amp;" &lt; SmartStatus!D$2:D1000)), (isblank(SmartStatus!E$2:E1000)) + ((P69 &lt;&gt; """") * (P69 &gt;= SmartStatus!E$2:E1000)), (isblank(SmartStatus!F$2:F1000)) + (((Q69 &lt;&gt; """") * (Q69 &lt; SmartStatus!F$2:F1000)) + ((P69 &lt;&gt; """") * (date(year(P69) + 3, month(P69), day(P6"&amp;"9)) &lt; SmartStatus!F$2:F1000))), (isblank(SmartStatus!G$2:G1000)) + (((Q69 &lt;&gt; """") * (Q69 &gt;= SmartStatus!G$2:G1000)) + ((P69 &lt;&gt; """") * (P69 &gt;= SmartStatus!G$2:G1000)))), if(or(regexmatch(B69, ""(?i)^ir [a-z]+ designation$""), N69 &lt;&gt; """"), 1, 2))), """")"&amp;", ""NO_MATCH"")"),"")</f>
        <v/>
      </c>
      <c r="AS69" s="11"/>
      <c r="AT69" s="15"/>
      <c r="AU69" s="11"/>
      <c r="AV69" s="11"/>
      <c r="AW69" s="15"/>
      <c r="AX69" s="15"/>
      <c r="AY69" s="15"/>
      <c r="AZ69" s="11"/>
      <c r="BA69" s="15"/>
      <c r="BB69" s="11"/>
      <c r="BC69" s="11"/>
      <c r="BD69" s="15"/>
      <c r="BE69" s="11"/>
      <c r="BF69" s="11"/>
      <c r="BG69" s="15"/>
      <c r="BH69" s="15"/>
      <c r="BI69" s="15"/>
      <c r="BJ69" s="11"/>
      <c r="BK69" s="15"/>
      <c r="BL69" s="11"/>
      <c r="BM69" s="11"/>
      <c r="BN69" s="15"/>
      <c r="BO69" s="11"/>
      <c r="BP69" s="11"/>
      <c r="BQ69" s="15"/>
      <c r="BR69" s="15"/>
      <c r="BS69" s="15"/>
      <c r="BT69" s="11"/>
      <c r="BU69" s="15"/>
      <c r="BV69" s="11"/>
      <c r="BW69" s="11"/>
      <c r="BX69" s="15"/>
      <c r="BY69" s="11"/>
      <c r="BZ69" s="11"/>
      <c r="CA69" s="15"/>
      <c r="CB69" s="11"/>
      <c r="CC69" s="15"/>
      <c r="CD69" s="11"/>
      <c r="CE69" s="15"/>
      <c r="CF69" s="11"/>
      <c r="CG69" s="11"/>
      <c r="CH69" s="15"/>
      <c r="CI69" s="11"/>
      <c r="CJ69" s="11"/>
      <c r="CK69" s="15"/>
      <c r="CL69" s="11"/>
      <c r="CM69" s="11"/>
      <c r="CN69" s="11"/>
      <c r="CO69" s="11"/>
      <c r="CP69" s="28"/>
      <c r="CQ69" s="28"/>
      <c r="CR69" s="11"/>
      <c r="CS69" s="29"/>
      <c r="CT69" s="11"/>
      <c r="CU69" s="11"/>
      <c r="CV69" s="11"/>
      <c r="CW69" s="11"/>
      <c r="CX69" s="11"/>
      <c r="CY69" s="11"/>
      <c r="CZ69" s="11"/>
      <c r="DA69" s="28"/>
      <c r="DB69" s="28"/>
      <c r="DC69" s="11"/>
      <c r="DD69" s="29"/>
      <c r="DE69" s="11"/>
      <c r="DF69" s="11"/>
      <c r="DG69" s="11"/>
      <c r="DH69" s="11"/>
      <c r="DI69" s="11"/>
      <c r="DJ69" s="11"/>
      <c r="DK69" s="26"/>
      <c r="DL69" s="11"/>
      <c r="DM69" s="29"/>
      <c r="DN69" s="28"/>
      <c r="DO69" s="11"/>
      <c r="DP69" s="11"/>
      <c r="DQ69" s="11"/>
      <c r="DR69" s="29"/>
      <c r="DS69" s="28"/>
      <c r="DT69" s="11"/>
      <c r="DU69" s="26"/>
      <c r="DV69" s="11"/>
      <c r="DW69" s="29"/>
      <c r="DX69" s="28"/>
      <c r="DY69" s="11"/>
      <c r="DZ69" s="26"/>
      <c r="EA69" s="11"/>
      <c r="EB69" s="29"/>
      <c r="EC69" s="28"/>
      <c r="ED69" s="30"/>
      <c r="EE69" s="30" t="str">
        <f ca="1">IFERROR(__xludf.DUMMYFUNCTION("iferror(index(filter('Internal -- Trademark Countries'!E$2:E1000, (AM69 = 'Internal -- Trademark Countries'!B$2:B1000) + (AM69 = 'Internal -- Trademark Countries'!C$2:C1000) + (AM69 = 'Internal -- Trademark Countries'!D$2:D1000)), 1))"),"")</f>
        <v/>
      </c>
      <c r="EF69" s="30" t="e">
        <f ca="1">_xludf.ifs(AM69="", "", COUNTIF('Internal -- Trademark Countries'!B:B,AM69) &gt; 0, "polity_shortest_name", COUNTIF('Internal -- Trademark Countries'!C:C,AM69) &gt; 0, "polity_full_name", COUNTIF('Internal -- Trademark Countries'!D:D,AM69) &gt; 0, "polity_common_name", COUNTIF('Internal -- Trademark Countries'!E:E,AM69) &gt; 0, "shortest_name", COUNTIF('Internal -- Trademark Countries'!A:A,AM69) &gt; 0, "full_name", TRUE, "not a match")</f>
        <v>#NAME?</v>
      </c>
      <c r="EG69" s="30"/>
      <c r="EH69" s="30"/>
      <c r="EI69" s="30"/>
      <c r="EJ69" s="30"/>
      <c r="EK69" s="30" t="str">
        <f t="shared" si="2"/>
        <v/>
      </c>
    </row>
    <row r="70" spans="1:141" ht="16.5">
      <c r="A70" s="11"/>
      <c r="B70" s="11"/>
      <c r="C70" s="11"/>
      <c r="D70" s="11"/>
      <c r="E70" s="11"/>
      <c r="F70" s="11"/>
      <c r="G70" s="11"/>
      <c r="H70" s="11"/>
      <c r="I70" s="11"/>
      <c r="J70" s="11"/>
      <c r="K70" s="27"/>
      <c r="L70" s="11"/>
      <c r="M70" s="11"/>
      <c r="N70" s="11"/>
      <c r="O70" s="11"/>
      <c r="P70" s="15"/>
      <c r="Q70" s="15"/>
      <c r="R70" s="15"/>
      <c r="S70" s="15"/>
      <c r="T70" s="15"/>
      <c r="U70" s="15"/>
      <c r="V70" s="15"/>
      <c r="W70" s="47"/>
      <c r="X70" s="11"/>
      <c r="Y70" s="48"/>
      <c r="Z70" s="11"/>
      <c r="AA70" s="48"/>
      <c r="AB70" s="11"/>
      <c r="AC70" s="48"/>
      <c r="AD70" s="11"/>
      <c r="AE70" s="47"/>
      <c r="AF70" s="11"/>
      <c r="AG70" s="48"/>
      <c r="AH70" s="11"/>
      <c r="AI70" s="48"/>
      <c r="AJ70" s="11"/>
      <c r="AK70" s="48"/>
      <c r="AL70" s="11"/>
      <c r="AM70" s="49"/>
      <c r="AN70" s="49"/>
      <c r="AO70" s="11"/>
      <c r="AP70" s="11"/>
      <c r="AQ70" s="28" t="b">
        <f>IF(COUNTIF(SmartStatus!A$2:A1000, AM70) &gt; 2, TRUE, FALSE)</f>
        <v>0</v>
      </c>
      <c r="AR70" s="29" t="str">
        <f ca="1">IFERROR(__xludf.DUMMYFUNCTION("iferror(if(regexmatch(AO70, ""(?i)^registered""), if(EE70 &lt;&gt; ""polity_shortest_name"", ""CHECK_POLITY"", index(filter(SmartStatus!B$2:B1000, AM70 = SmartStatus!A$2:A1000, not(SmartStatus!C$2:C1000), (isblank(SmartStatus!D$2:D1000)) + ((P70 &lt;&gt; """") * (P70"&amp;" &lt; SmartStatus!D$2:D1000)), (isblank(SmartStatus!E$2:E1000)) + ((P70 &lt;&gt; """") * (P70 &gt;= SmartStatus!E$2:E1000)), (isblank(SmartStatus!F$2:F1000)) + (((Q70 &lt;&gt; """") * (Q70 &lt; SmartStatus!F$2:F1000)) + ((P70 &lt;&gt; """") * (date(year(P70) + 3, month(P70), day(P7"&amp;"0)) &lt; SmartStatus!F$2:F1000))), (isblank(SmartStatus!G$2:G1000)) + (((Q70 &lt;&gt; """") * (Q70 &gt;= SmartStatus!G$2:G1000)) + ((P70 &lt;&gt; """") * (P70 &gt;= SmartStatus!G$2:G1000)))), if(or(regexmatch(B70, ""(?i)^ir [a-z]+ designation$""), N70 &lt;&gt; """"), 1, 2))), """")"&amp;", ""NO_MATCH"")"),"")</f>
        <v/>
      </c>
      <c r="AS70" s="11"/>
      <c r="AT70" s="15"/>
      <c r="AU70" s="11"/>
      <c r="AV70" s="11"/>
      <c r="AW70" s="15"/>
      <c r="AX70" s="15"/>
      <c r="AY70" s="15"/>
      <c r="AZ70" s="11"/>
      <c r="BA70" s="15"/>
      <c r="BB70" s="11"/>
      <c r="BC70" s="11"/>
      <c r="BD70" s="15"/>
      <c r="BE70" s="11"/>
      <c r="BF70" s="11"/>
      <c r="BG70" s="15"/>
      <c r="BH70" s="15"/>
      <c r="BI70" s="15"/>
      <c r="BJ70" s="11"/>
      <c r="BK70" s="15"/>
      <c r="BL70" s="11"/>
      <c r="BM70" s="11"/>
      <c r="BN70" s="15"/>
      <c r="BO70" s="11"/>
      <c r="BP70" s="11"/>
      <c r="BQ70" s="15"/>
      <c r="BR70" s="15"/>
      <c r="BS70" s="15"/>
      <c r="BT70" s="11"/>
      <c r="BU70" s="15"/>
      <c r="BV70" s="11"/>
      <c r="BW70" s="11"/>
      <c r="BX70" s="15"/>
      <c r="BY70" s="11"/>
      <c r="BZ70" s="11"/>
      <c r="CA70" s="15"/>
      <c r="CB70" s="11"/>
      <c r="CC70" s="15"/>
      <c r="CD70" s="11"/>
      <c r="CE70" s="15"/>
      <c r="CF70" s="11"/>
      <c r="CG70" s="11"/>
      <c r="CH70" s="15"/>
      <c r="CI70" s="11"/>
      <c r="CJ70" s="11"/>
      <c r="CK70" s="15"/>
      <c r="CL70" s="11"/>
      <c r="CM70" s="11"/>
      <c r="CN70" s="11"/>
      <c r="CO70" s="11"/>
      <c r="CP70" s="28"/>
      <c r="CQ70" s="28"/>
      <c r="CR70" s="11"/>
      <c r="CS70" s="29"/>
      <c r="CT70" s="11"/>
      <c r="CU70" s="11"/>
      <c r="CV70" s="11"/>
      <c r="CW70" s="11"/>
      <c r="CX70" s="11"/>
      <c r="CY70" s="11"/>
      <c r="CZ70" s="11"/>
      <c r="DA70" s="28"/>
      <c r="DB70" s="28"/>
      <c r="DC70" s="11"/>
      <c r="DD70" s="29"/>
      <c r="DE70" s="11"/>
      <c r="DF70" s="11"/>
      <c r="DG70" s="11"/>
      <c r="DH70" s="11"/>
      <c r="DI70" s="11"/>
      <c r="DJ70" s="11"/>
      <c r="DK70" s="26"/>
      <c r="DL70" s="11"/>
      <c r="DM70" s="29"/>
      <c r="DN70" s="28"/>
      <c r="DO70" s="11"/>
      <c r="DP70" s="11"/>
      <c r="DQ70" s="11"/>
      <c r="DR70" s="29"/>
      <c r="DS70" s="28"/>
      <c r="DT70" s="11"/>
      <c r="DU70" s="26"/>
      <c r="DV70" s="11"/>
      <c r="DW70" s="29"/>
      <c r="DX70" s="28"/>
      <c r="DY70" s="11"/>
      <c r="DZ70" s="26"/>
      <c r="EA70" s="11"/>
      <c r="EB70" s="29"/>
      <c r="EC70" s="28"/>
      <c r="ED70" s="30"/>
      <c r="EE70" s="30" t="str">
        <f ca="1">IFERROR(__xludf.DUMMYFUNCTION("iferror(index(filter('Internal -- Trademark Countries'!E$2:E1000, (AM70 = 'Internal -- Trademark Countries'!B$2:B1000) + (AM70 = 'Internal -- Trademark Countries'!C$2:C1000) + (AM70 = 'Internal -- Trademark Countries'!D$2:D1000)), 1))"),"")</f>
        <v/>
      </c>
      <c r="EF70" s="30" t="e">
        <f ca="1">_xludf.ifs(AM70="", "", COUNTIF('Internal -- Trademark Countries'!B:B,AM70) &gt; 0, "polity_shortest_name", COUNTIF('Internal -- Trademark Countries'!C:C,AM70) &gt; 0, "polity_full_name", COUNTIF('Internal -- Trademark Countries'!D:D,AM70) &gt; 0, "polity_common_name", COUNTIF('Internal -- Trademark Countries'!E:E,AM70) &gt; 0, "shortest_name", COUNTIF('Internal -- Trademark Countries'!A:A,AM70) &gt; 0, "full_name", TRUE, "not a match")</f>
        <v>#NAME?</v>
      </c>
      <c r="EG70" s="30"/>
      <c r="EH70" s="30"/>
      <c r="EI70" s="30"/>
      <c r="EJ70" s="30"/>
      <c r="EK70" s="30" t="str">
        <f t="shared" si="2"/>
        <v/>
      </c>
    </row>
    <row r="71" spans="1:141" ht="16.5">
      <c r="A71" s="11"/>
      <c r="B71" s="11"/>
      <c r="C71" s="11"/>
      <c r="D71" s="11"/>
      <c r="E71" s="11"/>
      <c r="F71" s="11"/>
      <c r="G71" s="11"/>
      <c r="H71" s="11"/>
      <c r="I71" s="11"/>
      <c r="J71" s="11"/>
      <c r="K71" s="27"/>
      <c r="L71" s="11"/>
      <c r="M71" s="11"/>
      <c r="N71" s="11"/>
      <c r="O71" s="11"/>
      <c r="P71" s="15"/>
      <c r="Q71" s="15"/>
      <c r="R71" s="15"/>
      <c r="S71" s="15"/>
      <c r="T71" s="15"/>
      <c r="U71" s="15"/>
      <c r="V71" s="15"/>
      <c r="W71" s="47"/>
      <c r="X71" s="11"/>
      <c r="Y71" s="48"/>
      <c r="Z71" s="11"/>
      <c r="AA71" s="48"/>
      <c r="AB71" s="11"/>
      <c r="AC71" s="48"/>
      <c r="AD71" s="11"/>
      <c r="AE71" s="47"/>
      <c r="AF71" s="11"/>
      <c r="AG71" s="48"/>
      <c r="AH71" s="11"/>
      <c r="AI71" s="48"/>
      <c r="AJ71" s="11"/>
      <c r="AK71" s="48"/>
      <c r="AL71" s="11"/>
      <c r="AM71" s="49"/>
      <c r="AN71" s="49"/>
      <c r="AO71" s="11"/>
      <c r="AP71" s="11"/>
      <c r="AQ71" s="28" t="b">
        <f>IF(COUNTIF(SmartStatus!A$2:A1000, AM71) &gt; 2, TRUE, FALSE)</f>
        <v>0</v>
      </c>
      <c r="AR71" s="29" t="str">
        <f ca="1">IFERROR(__xludf.DUMMYFUNCTION("iferror(if(regexmatch(AO71, ""(?i)^registered""), if(EE71 &lt;&gt; ""polity_shortest_name"", ""CHECK_POLITY"", index(filter(SmartStatus!B$2:B1000, AM71 = SmartStatus!A$2:A1000, not(SmartStatus!C$2:C1000), (isblank(SmartStatus!D$2:D1000)) + ((P71 &lt;&gt; """") * (P71"&amp;" &lt; SmartStatus!D$2:D1000)), (isblank(SmartStatus!E$2:E1000)) + ((P71 &lt;&gt; """") * (P71 &gt;= SmartStatus!E$2:E1000)), (isblank(SmartStatus!F$2:F1000)) + (((Q71 &lt;&gt; """") * (Q71 &lt; SmartStatus!F$2:F1000)) + ((P71 &lt;&gt; """") * (date(year(P71) + 3, month(P71), day(P7"&amp;"1)) &lt; SmartStatus!F$2:F1000))), (isblank(SmartStatus!G$2:G1000)) + (((Q71 &lt;&gt; """") * (Q71 &gt;= SmartStatus!G$2:G1000)) + ((P71 &lt;&gt; """") * (P71 &gt;= SmartStatus!G$2:G1000)))), if(or(regexmatch(B71, ""(?i)^ir [a-z]+ designation$""), N71 &lt;&gt; """"), 1, 2))), """")"&amp;", ""NO_MATCH"")"),"")</f>
        <v/>
      </c>
      <c r="AS71" s="11"/>
      <c r="AT71" s="15"/>
      <c r="AU71" s="11"/>
      <c r="AV71" s="11"/>
      <c r="AW71" s="15"/>
      <c r="AX71" s="15"/>
      <c r="AY71" s="15"/>
      <c r="AZ71" s="11"/>
      <c r="BA71" s="15"/>
      <c r="BB71" s="11"/>
      <c r="BC71" s="11"/>
      <c r="BD71" s="15"/>
      <c r="BE71" s="11"/>
      <c r="BF71" s="11"/>
      <c r="BG71" s="15"/>
      <c r="BH71" s="15"/>
      <c r="BI71" s="15"/>
      <c r="BJ71" s="11"/>
      <c r="BK71" s="15"/>
      <c r="BL71" s="11"/>
      <c r="BM71" s="11"/>
      <c r="BN71" s="15"/>
      <c r="BO71" s="11"/>
      <c r="BP71" s="11"/>
      <c r="BQ71" s="15"/>
      <c r="BR71" s="15"/>
      <c r="BS71" s="15"/>
      <c r="BT71" s="11"/>
      <c r="BU71" s="15"/>
      <c r="BV71" s="11"/>
      <c r="BW71" s="11"/>
      <c r="BX71" s="15"/>
      <c r="BY71" s="11"/>
      <c r="BZ71" s="11"/>
      <c r="CA71" s="15"/>
      <c r="CB71" s="11"/>
      <c r="CC71" s="15"/>
      <c r="CD71" s="11"/>
      <c r="CE71" s="15"/>
      <c r="CF71" s="11"/>
      <c r="CG71" s="11"/>
      <c r="CH71" s="15"/>
      <c r="CI71" s="11"/>
      <c r="CJ71" s="11"/>
      <c r="CK71" s="15"/>
      <c r="CL71" s="11"/>
      <c r="CM71" s="11"/>
      <c r="CN71" s="11"/>
      <c r="CO71" s="11"/>
      <c r="CP71" s="28"/>
      <c r="CQ71" s="28"/>
      <c r="CR71" s="11"/>
      <c r="CS71" s="29"/>
      <c r="CT71" s="11"/>
      <c r="CU71" s="11"/>
      <c r="CV71" s="11"/>
      <c r="CW71" s="11"/>
      <c r="CX71" s="11"/>
      <c r="CY71" s="11"/>
      <c r="CZ71" s="11"/>
      <c r="DA71" s="28"/>
      <c r="DB71" s="28"/>
      <c r="DC71" s="11"/>
      <c r="DD71" s="29"/>
      <c r="DE71" s="11"/>
      <c r="DF71" s="11"/>
      <c r="DG71" s="11"/>
      <c r="DH71" s="11"/>
      <c r="DI71" s="11"/>
      <c r="DJ71" s="11"/>
      <c r="DK71" s="26"/>
      <c r="DL71" s="11"/>
      <c r="DM71" s="29"/>
      <c r="DN71" s="28"/>
      <c r="DO71" s="11"/>
      <c r="DP71" s="11"/>
      <c r="DQ71" s="11"/>
      <c r="DR71" s="29"/>
      <c r="DS71" s="28"/>
      <c r="DT71" s="11"/>
      <c r="DU71" s="26"/>
      <c r="DV71" s="11"/>
      <c r="DW71" s="29"/>
      <c r="DX71" s="28"/>
      <c r="DY71" s="11"/>
      <c r="DZ71" s="26"/>
      <c r="EA71" s="11"/>
      <c r="EB71" s="29"/>
      <c r="EC71" s="28"/>
      <c r="ED71" s="30"/>
      <c r="EE71" s="30" t="str">
        <f ca="1">IFERROR(__xludf.DUMMYFUNCTION("iferror(index(filter('Internal -- Trademark Countries'!E$2:E1000, (AM71 = 'Internal -- Trademark Countries'!B$2:B1000) + (AM71 = 'Internal -- Trademark Countries'!C$2:C1000) + (AM71 = 'Internal -- Trademark Countries'!D$2:D1000)), 1))"),"")</f>
        <v/>
      </c>
      <c r="EF71" s="30" t="e">
        <f ca="1">_xludf.ifs(AM71="", "", COUNTIF('Internal -- Trademark Countries'!B:B,AM71) &gt; 0, "polity_shortest_name", COUNTIF('Internal -- Trademark Countries'!C:C,AM71) &gt; 0, "polity_full_name", COUNTIF('Internal -- Trademark Countries'!D:D,AM71) &gt; 0, "polity_common_name", COUNTIF('Internal -- Trademark Countries'!E:E,AM71) &gt; 0, "shortest_name", COUNTIF('Internal -- Trademark Countries'!A:A,AM71) &gt; 0, "full_name", TRUE, "not a match")</f>
        <v>#NAME?</v>
      </c>
      <c r="EG71" s="30"/>
      <c r="EH71" s="30"/>
      <c r="EI71" s="30"/>
      <c r="EJ71" s="30"/>
      <c r="EK71" s="30" t="str">
        <f t="shared" si="2"/>
        <v/>
      </c>
    </row>
    <row r="72" spans="1:141" ht="16.5">
      <c r="A72" s="11"/>
      <c r="B72" s="11"/>
      <c r="C72" s="11"/>
      <c r="D72" s="11"/>
      <c r="E72" s="11"/>
      <c r="F72" s="11"/>
      <c r="G72" s="11"/>
      <c r="H72" s="11"/>
      <c r="I72" s="11"/>
      <c r="J72" s="11"/>
      <c r="K72" s="27"/>
      <c r="L72" s="11"/>
      <c r="M72" s="11"/>
      <c r="N72" s="11"/>
      <c r="O72" s="11"/>
      <c r="P72" s="15"/>
      <c r="Q72" s="15"/>
      <c r="R72" s="15"/>
      <c r="S72" s="15"/>
      <c r="T72" s="15"/>
      <c r="U72" s="15"/>
      <c r="V72" s="15"/>
      <c r="W72" s="47"/>
      <c r="X72" s="11"/>
      <c r="Y72" s="48"/>
      <c r="Z72" s="11"/>
      <c r="AA72" s="48"/>
      <c r="AB72" s="11"/>
      <c r="AC72" s="48"/>
      <c r="AD72" s="11"/>
      <c r="AE72" s="47"/>
      <c r="AF72" s="11"/>
      <c r="AG72" s="48"/>
      <c r="AH72" s="11"/>
      <c r="AI72" s="48"/>
      <c r="AJ72" s="11"/>
      <c r="AK72" s="48"/>
      <c r="AL72" s="11"/>
      <c r="AM72" s="49"/>
      <c r="AN72" s="49"/>
      <c r="AO72" s="11"/>
      <c r="AP72" s="11"/>
      <c r="AQ72" s="28" t="b">
        <f>IF(COUNTIF(SmartStatus!A$2:A1000, AM72) &gt; 2, TRUE, FALSE)</f>
        <v>0</v>
      </c>
      <c r="AR72" s="29" t="str">
        <f ca="1">IFERROR(__xludf.DUMMYFUNCTION("iferror(if(regexmatch(AO72, ""(?i)^registered""), if(EE72 &lt;&gt; ""polity_shortest_name"", ""CHECK_POLITY"", index(filter(SmartStatus!B$2:B1000, AM72 = SmartStatus!A$2:A1000, not(SmartStatus!C$2:C1000), (isblank(SmartStatus!D$2:D1000)) + ((P72 &lt;&gt; """") * (P72"&amp;" &lt; SmartStatus!D$2:D1000)), (isblank(SmartStatus!E$2:E1000)) + ((P72 &lt;&gt; """") * (P72 &gt;= SmartStatus!E$2:E1000)), (isblank(SmartStatus!F$2:F1000)) + (((Q72 &lt;&gt; """") * (Q72 &lt; SmartStatus!F$2:F1000)) + ((P72 &lt;&gt; """") * (date(year(P72) + 3, month(P72), day(P7"&amp;"2)) &lt; SmartStatus!F$2:F1000))), (isblank(SmartStatus!G$2:G1000)) + (((Q72 &lt;&gt; """") * (Q72 &gt;= SmartStatus!G$2:G1000)) + ((P72 &lt;&gt; """") * (P72 &gt;= SmartStatus!G$2:G1000)))), if(or(regexmatch(B72, ""(?i)^ir [a-z]+ designation$""), N72 &lt;&gt; """"), 1, 2))), """")"&amp;", ""NO_MATCH"")"),"")</f>
        <v/>
      </c>
      <c r="AS72" s="11"/>
      <c r="AT72" s="15"/>
      <c r="AU72" s="11"/>
      <c r="AV72" s="11"/>
      <c r="AW72" s="15"/>
      <c r="AX72" s="15"/>
      <c r="AY72" s="15"/>
      <c r="AZ72" s="11"/>
      <c r="BA72" s="15"/>
      <c r="BB72" s="11"/>
      <c r="BC72" s="11"/>
      <c r="BD72" s="15"/>
      <c r="BE72" s="11"/>
      <c r="BF72" s="11"/>
      <c r="BG72" s="15"/>
      <c r="BH72" s="15"/>
      <c r="BI72" s="15"/>
      <c r="BJ72" s="11"/>
      <c r="BK72" s="15"/>
      <c r="BL72" s="11"/>
      <c r="BM72" s="11"/>
      <c r="BN72" s="15"/>
      <c r="BO72" s="11"/>
      <c r="BP72" s="11"/>
      <c r="BQ72" s="15"/>
      <c r="BR72" s="15"/>
      <c r="BS72" s="15"/>
      <c r="BT72" s="11"/>
      <c r="BU72" s="15"/>
      <c r="BV72" s="11"/>
      <c r="BW72" s="11"/>
      <c r="BX72" s="15"/>
      <c r="BY72" s="11"/>
      <c r="BZ72" s="11"/>
      <c r="CA72" s="15"/>
      <c r="CB72" s="11"/>
      <c r="CC72" s="15"/>
      <c r="CD72" s="11"/>
      <c r="CE72" s="15"/>
      <c r="CF72" s="11"/>
      <c r="CG72" s="11"/>
      <c r="CH72" s="15"/>
      <c r="CI72" s="11"/>
      <c r="CJ72" s="11"/>
      <c r="CK72" s="15"/>
      <c r="CL72" s="11"/>
      <c r="CM72" s="11"/>
      <c r="CN72" s="11"/>
      <c r="CO72" s="11"/>
      <c r="CP72" s="28"/>
      <c r="CQ72" s="28"/>
      <c r="CR72" s="11"/>
      <c r="CS72" s="29"/>
      <c r="CT72" s="11"/>
      <c r="CU72" s="11"/>
      <c r="CV72" s="11"/>
      <c r="CW72" s="11"/>
      <c r="CX72" s="11"/>
      <c r="CY72" s="11"/>
      <c r="CZ72" s="11"/>
      <c r="DA72" s="28"/>
      <c r="DB72" s="28"/>
      <c r="DC72" s="11"/>
      <c r="DD72" s="29"/>
      <c r="DE72" s="11"/>
      <c r="DF72" s="11"/>
      <c r="DG72" s="11"/>
      <c r="DH72" s="11"/>
      <c r="DI72" s="11"/>
      <c r="DJ72" s="11"/>
      <c r="DK72" s="26"/>
      <c r="DL72" s="11"/>
      <c r="DM72" s="29"/>
      <c r="DN72" s="28"/>
      <c r="DO72" s="11"/>
      <c r="DP72" s="11"/>
      <c r="DQ72" s="11"/>
      <c r="DR72" s="29"/>
      <c r="DS72" s="28"/>
      <c r="DT72" s="11"/>
      <c r="DU72" s="26"/>
      <c r="DV72" s="11"/>
      <c r="DW72" s="29"/>
      <c r="DX72" s="28"/>
      <c r="DY72" s="11"/>
      <c r="DZ72" s="26"/>
      <c r="EA72" s="11"/>
      <c r="EB72" s="29"/>
      <c r="EC72" s="28"/>
      <c r="ED72" s="30"/>
      <c r="EE72" s="30" t="str">
        <f ca="1">IFERROR(__xludf.DUMMYFUNCTION("iferror(index(filter('Internal -- Trademark Countries'!E$2:E1000, (AM72 = 'Internal -- Trademark Countries'!B$2:B1000) + (AM72 = 'Internal -- Trademark Countries'!C$2:C1000) + (AM72 = 'Internal -- Trademark Countries'!D$2:D1000)), 1))"),"")</f>
        <v/>
      </c>
      <c r="EF72" s="30" t="e">
        <f ca="1">_xludf.ifs(AM72="", "", COUNTIF('Internal -- Trademark Countries'!B:B,AM72) &gt; 0, "polity_shortest_name", COUNTIF('Internal -- Trademark Countries'!C:C,AM72) &gt; 0, "polity_full_name", COUNTIF('Internal -- Trademark Countries'!D:D,AM72) &gt; 0, "polity_common_name", COUNTIF('Internal -- Trademark Countries'!E:E,AM72) &gt; 0, "shortest_name", COUNTIF('Internal -- Trademark Countries'!A:A,AM72) &gt; 0, "full_name", TRUE, "not a match")</f>
        <v>#NAME?</v>
      </c>
      <c r="EG72" s="30"/>
      <c r="EH72" s="30"/>
      <c r="EI72" s="30"/>
      <c r="EJ72" s="30"/>
      <c r="EK72" s="30" t="str">
        <f t="shared" si="2"/>
        <v/>
      </c>
    </row>
    <row r="73" spans="1:141" ht="16.5">
      <c r="A73" s="11"/>
      <c r="B73" s="11"/>
      <c r="C73" s="11"/>
      <c r="D73" s="11"/>
      <c r="E73" s="11"/>
      <c r="F73" s="11"/>
      <c r="G73" s="11"/>
      <c r="H73" s="11"/>
      <c r="I73" s="11"/>
      <c r="J73" s="11"/>
      <c r="K73" s="27"/>
      <c r="L73" s="11"/>
      <c r="M73" s="11"/>
      <c r="N73" s="11"/>
      <c r="O73" s="11"/>
      <c r="P73" s="15"/>
      <c r="Q73" s="15"/>
      <c r="R73" s="15"/>
      <c r="S73" s="15"/>
      <c r="T73" s="15"/>
      <c r="U73" s="15"/>
      <c r="V73" s="15"/>
      <c r="W73" s="47"/>
      <c r="X73" s="11"/>
      <c r="Y73" s="48"/>
      <c r="Z73" s="11"/>
      <c r="AA73" s="48"/>
      <c r="AB73" s="11"/>
      <c r="AC73" s="48"/>
      <c r="AD73" s="11"/>
      <c r="AE73" s="47"/>
      <c r="AF73" s="11"/>
      <c r="AG73" s="48"/>
      <c r="AH73" s="11"/>
      <c r="AI73" s="48"/>
      <c r="AJ73" s="11"/>
      <c r="AK73" s="48"/>
      <c r="AL73" s="11"/>
      <c r="AM73" s="49"/>
      <c r="AN73" s="49"/>
      <c r="AO73" s="11"/>
      <c r="AP73" s="11"/>
      <c r="AQ73" s="28" t="b">
        <f>IF(COUNTIF(SmartStatus!A$2:A1000, AM73) &gt; 2, TRUE, FALSE)</f>
        <v>0</v>
      </c>
      <c r="AR73" s="29" t="str">
        <f ca="1">IFERROR(__xludf.DUMMYFUNCTION("iferror(if(regexmatch(AO73, ""(?i)^registered""), if(EE73 &lt;&gt; ""polity_shortest_name"", ""CHECK_POLITY"", index(filter(SmartStatus!B$2:B1000, AM73 = SmartStatus!A$2:A1000, not(SmartStatus!C$2:C1000), (isblank(SmartStatus!D$2:D1000)) + ((P73 &lt;&gt; """") * (P73"&amp;" &lt; SmartStatus!D$2:D1000)), (isblank(SmartStatus!E$2:E1000)) + ((P73 &lt;&gt; """") * (P73 &gt;= SmartStatus!E$2:E1000)), (isblank(SmartStatus!F$2:F1000)) + (((Q73 &lt;&gt; """") * (Q73 &lt; SmartStatus!F$2:F1000)) + ((P73 &lt;&gt; """") * (date(year(P73) + 3, month(P73), day(P7"&amp;"3)) &lt; SmartStatus!F$2:F1000))), (isblank(SmartStatus!G$2:G1000)) + (((Q73 &lt;&gt; """") * (Q73 &gt;= SmartStatus!G$2:G1000)) + ((P73 &lt;&gt; """") * (P73 &gt;= SmartStatus!G$2:G1000)))), if(or(regexmatch(B73, ""(?i)^ir [a-z]+ designation$""), N73 &lt;&gt; """"), 1, 2))), """")"&amp;", ""NO_MATCH"")"),"")</f>
        <v/>
      </c>
      <c r="AS73" s="11"/>
      <c r="AT73" s="15"/>
      <c r="AU73" s="11"/>
      <c r="AV73" s="11"/>
      <c r="AW73" s="15"/>
      <c r="AX73" s="15"/>
      <c r="AY73" s="15"/>
      <c r="AZ73" s="11"/>
      <c r="BA73" s="15"/>
      <c r="BB73" s="11"/>
      <c r="BC73" s="11"/>
      <c r="BD73" s="15"/>
      <c r="BE73" s="11"/>
      <c r="BF73" s="11"/>
      <c r="BG73" s="15"/>
      <c r="BH73" s="15"/>
      <c r="BI73" s="15"/>
      <c r="BJ73" s="11"/>
      <c r="BK73" s="15"/>
      <c r="BL73" s="11"/>
      <c r="BM73" s="11"/>
      <c r="BN73" s="15"/>
      <c r="BO73" s="11"/>
      <c r="BP73" s="11"/>
      <c r="BQ73" s="15"/>
      <c r="BR73" s="15"/>
      <c r="BS73" s="15"/>
      <c r="BT73" s="11"/>
      <c r="BU73" s="15"/>
      <c r="BV73" s="11"/>
      <c r="BW73" s="11"/>
      <c r="BX73" s="15"/>
      <c r="BY73" s="11"/>
      <c r="BZ73" s="11"/>
      <c r="CA73" s="15"/>
      <c r="CB73" s="11"/>
      <c r="CC73" s="15"/>
      <c r="CD73" s="11"/>
      <c r="CE73" s="15"/>
      <c r="CF73" s="11"/>
      <c r="CG73" s="11"/>
      <c r="CH73" s="15"/>
      <c r="CI73" s="11"/>
      <c r="CJ73" s="11"/>
      <c r="CK73" s="15"/>
      <c r="CL73" s="11"/>
      <c r="CM73" s="11"/>
      <c r="CN73" s="11"/>
      <c r="CO73" s="11"/>
      <c r="CP73" s="28"/>
      <c r="CQ73" s="28"/>
      <c r="CR73" s="11"/>
      <c r="CS73" s="29"/>
      <c r="CT73" s="11"/>
      <c r="CU73" s="11"/>
      <c r="CV73" s="11"/>
      <c r="CW73" s="11"/>
      <c r="CX73" s="11"/>
      <c r="CY73" s="11"/>
      <c r="CZ73" s="11"/>
      <c r="DA73" s="28"/>
      <c r="DB73" s="28"/>
      <c r="DC73" s="11"/>
      <c r="DD73" s="29"/>
      <c r="DE73" s="11"/>
      <c r="DF73" s="11"/>
      <c r="DG73" s="11"/>
      <c r="DH73" s="11"/>
      <c r="DI73" s="11"/>
      <c r="DJ73" s="11"/>
      <c r="DK73" s="26"/>
      <c r="DL73" s="11"/>
      <c r="DM73" s="29"/>
      <c r="DN73" s="28"/>
      <c r="DO73" s="11"/>
      <c r="DP73" s="11"/>
      <c r="DQ73" s="11"/>
      <c r="DR73" s="29"/>
      <c r="DS73" s="28"/>
      <c r="DT73" s="11"/>
      <c r="DU73" s="26"/>
      <c r="DV73" s="11"/>
      <c r="DW73" s="29"/>
      <c r="DX73" s="28"/>
      <c r="DY73" s="11"/>
      <c r="DZ73" s="26"/>
      <c r="EA73" s="11"/>
      <c r="EB73" s="29"/>
      <c r="EC73" s="28"/>
      <c r="ED73" s="30"/>
      <c r="EE73" s="30" t="str">
        <f ca="1">IFERROR(__xludf.DUMMYFUNCTION("iferror(index(filter('Internal -- Trademark Countries'!E$2:E1000, (AM73 = 'Internal -- Trademark Countries'!B$2:B1000) + (AM73 = 'Internal -- Trademark Countries'!C$2:C1000) + (AM73 = 'Internal -- Trademark Countries'!D$2:D1000)), 1))"),"")</f>
        <v/>
      </c>
      <c r="EF73" s="30" t="e">
        <f ca="1">_xludf.ifs(AM73="", "", COUNTIF('Internal -- Trademark Countries'!B:B,AM73) &gt; 0, "polity_shortest_name", COUNTIF('Internal -- Trademark Countries'!C:C,AM73) &gt; 0, "polity_full_name", COUNTIF('Internal -- Trademark Countries'!D:D,AM73) &gt; 0, "polity_common_name", COUNTIF('Internal -- Trademark Countries'!E:E,AM73) &gt; 0, "shortest_name", COUNTIF('Internal -- Trademark Countries'!A:A,AM73) &gt; 0, "full_name", TRUE, "not a match")</f>
        <v>#NAME?</v>
      </c>
      <c r="EG73" s="30"/>
      <c r="EH73" s="30"/>
      <c r="EI73" s="30"/>
      <c r="EJ73" s="30"/>
      <c r="EK73" s="30" t="str">
        <f t="shared" si="2"/>
        <v/>
      </c>
    </row>
    <row r="74" spans="1:141" ht="16.5">
      <c r="A74" s="11"/>
      <c r="B74" s="11"/>
      <c r="C74" s="11"/>
      <c r="D74" s="11"/>
      <c r="E74" s="11"/>
      <c r="F74" s="11"/>
      <c r="G74" s="11"/>
      <c r="H74" s="11"/>
      <c r="I74" s="11"/>
      <c r="J74" s="11"/>
      <c r="K74" s="27"/>
      <c r="L74" s="11"/>
      <c r="M74" s="11"/>
      <c r="N74" s="11"/>
      <c r="O74" s="11"/>
      <c r="P74" s="15"/>
      <c r="Q74" s="15"/>
      <c r="R74" s="15"/>
      <c r="S74" s="15"/>
      <c r="T74" s="15"/>
      <c r="U74" s="15"/>
      <c r="V74" s="15"/>
      <c r="W74" s="47"/>
      <c r="X74" s="11"/>
      <c r="Y74" s="48"/>
      <c r="Z74" s="11"/>
      <c r="AA74" s="48"/>
      <c r="AB74" s="11"/>
      <c r="AC74" s="48"/>
      <c r="AD74" s="11"/>
      <c r="AE74" s="47"/>
      <c r="AF74" s="11"/>
      <c r="AG74" s="48"/>
      <c r="AH74" s="11"/>
      <c r="AI74" s="48"/>
      <c r="AJ74" s="11"/>
      <c r="AK74" s="48"/>
      <c r="AL74" s="11"/>
      <c r="AM74" s="49"/>
      <c r="AN74" s="49"/>
      <c r="AO74" s="11"/>
      <c r="AP74" s="11"/>
      <c r="AQ74" s="28" t="b">
        <f>IF(COUNTIF(SmartStatus!A$2:A1000, AM74) &gt; 2, TRUE, FALSE)</f>
        <v>0</v>
      </c>
      <c r="AR74" s="29" t="str">
        <f ca="1">IFERROR(__xludf.DUMMYFUNCTION("iferror(if(regexmatch(AO74, ""(?i)^registered""), if(EE74 &lt;&gt; ""polity_shortest_name"", ""CHECK_POLITY"", index(filter(SmartStatus!B$2:B1000, AM74 = SmartStatus!A$2:A1000, not(SmartStatus!C$2:C1000), (isblank(SmartStatus!D$2:D1000)) + ((P74 &lt;&gt; """") * (P74"&amp;" &lt; SmartStatus!D$2:D1000)), (isblank(SmartStatus!E$2:E1000)) + ((P74 &lt;&gt; """") * (P74 &gt;= SmartStatus!E$2:E1000)), (isblank(SmartStatus!F$2:F1000)) + (((Q74 &lt;&gt; """") * (Q74 &lt; SmartStatus!F$2:F1000)) + ((P74 &lt;&gt; """") * (date(year(P74) + 3, month(P74), day(P7"&amp;"4)) &lt; SmartStatus!F$2:F1000))), (isblank(SmartStatus!G$2:G1000)) + (((Q74 &lt;&gt; """") * (Q74 &gt;= SmartStatus!G$2:G1000)) + ((P74 &lt;&gt; """") * (P74 &gt;= SmartStatus!G$2:G1000)))), if(or(regexmatch(B74, ""(?i)^ir [a-z]+ designation$""), N74 &lt;&gt; """"), 1, 2))), """")"&amp;", ""NO_MATCH"")"),"")</f>
        <v/>
      </c>
      <c r="AS74" s="11"/>
      <c r="AT74" s="15"/>
      <c r="AU74" s="11"/>
      <c r="AV74" s="11"/>
      <c r="AW74" s="15"/>
      <c r="AX74" s="15"/>
      <c r="AY74" s="15"/>
      <c r="AZ74" s="11"/>
      <c r="BA74" s="15"/>
      <c r="BB74" s="11"/>
      <c r="BC74" s="11"/>
      <c r="BD74" s="15"/>
      <c r="BE74" s="11"/>
      <c r="BF74" s="11"/>
      <c r="BG74" s="15"/>
      <c r="BH74" s="15"/>
      <c r="BI74" s="15"/>
      <c r="BJ74" s="11"/>
      <c r="BK74" s="15"/>
      <c r="BL74" s="11"/>
      <c r="BM74" s="11"/>
      <c r="BN74" s="15"/>
      <c r="BO74" s="11"/>
      <c r="BP74" s="11"/>
      <c r="BQ74" s="15"/>
      <c r="BR74" s="15"/>
      <c r="BS74" s="15"/>
      <c r="BT74" s="11"/>
      <c r="BU74" s="15"/>
      <c r="BV74" s="11"/>
      <c r="BW74" s="11"/>
      <c r="BX74" s="15"/>
      <c r="BY74" s="11"/>
      <c r="BZ74" s="11"/>
      <c r="CA74" s="15"/>
      <c r="CB74" s="11"/>
      <c r="CC74" s="15"/>
      <c r="CD74" s="11"/>
      <c r="CE74" s="15"/>
      <c r="CF74" s="11"/>
      <c r="CG74" s="11"/>
      <c r="CH74" s="15"/>
      <c r="CI74" s="11"/>
      <c r="CJ74" s="11"/>
      <c r="CK74" s="15"/>
      <c r="CL74" s="11"/>
      <c r="CM74" s="11"/>
      <c r="CN74" s="11"/>
      <c r="CO74" s="11"/>
      <c r="CP74" s="28"/>
      <c r="CQ74" s="28"/>
      <c r="CR74" s="11"/>
      <c r="CS74" s="29"/>
      <c r="CT74" s="11"/>
      <c r="CU74" s="11"/>
      <c r="CV74" s="11"/>
      <c r="CW74" s="11"/>
      <c r="CX74" s="11"/>
      <c r="CY74" s="11"/>
      <c r="CZ74" s="11"/>
      <c r="DA74" s="28"/>
      <c r="DB74" s="28"/>
      <c r="DC74" s="11"/>
      <c r="DD74" s="29"/>
      <c r="DE74" s="11"/>
      <c r="DF74" s="11"/>
      <c r="DG74" s="11"/>
      <c r="DH74" s="11"/>
      <c r="DI74" s="11"/>
      <c r="DJ74" s="11"/>
      <c r="DK74" s="26"/>
      <c r="DL74" s="11"/>
      <c r="DM74" s="29"/>
      <c r="DN74" s="28"/>
      <c r="DO74" s="11"/>
      <c r="DP74" s="11"/>
      <c r="DQ74" s="11"/>
      <c r="DR74" s="29"/>
      <c r="DS74" s="28"/>
      <c r="DT74" s="11"/>
      <c r="DU74" s="26"/>
      <c r="DV74" s="11"/>
      <c r="DW74" s="29"/>
      <c r="DX74" s="28"/>
      <c r="DY74" s="11"/>
      <c r="DZ74" s="26"/>
      <c r="EA74" s="11"/>
      <c r="EB74" s="29"/>
      <c r="EC74" s="28"/>
      <c r="ED74" s="30"/>
      <c r="EE74" s="30" t="str">
        <f ca="1">IFERROR(__xludf.DUMMYFUNCTION("iferror(index(filter('Internal -- Trademark Countries'!E$2:E1000, (AM74 = 'Internal -- Trademark Countries'!B$2:B1000) + (AM74 = 'Internal -- Trademark Countries'!C$2:C1000) + (AM74 = 'Internal -- Trademark Countries'!D$2:D1000)), 1))"),"")</f>
        <v/>
      </c>
      <c r="EF74" s="30" t="e">
        <f ca="1">_xludf.ifs(AM74="", "", COUNTIF('Internal -- Trademark Countries'!B:B,AM74) &gt; 0, "polity_shortest_name", COUNTIF('Internal -- Trademark Countries'!C:C,AM74) &gt; 0, "polity_full_name", COUNTIF('Internal -- Trademark Countries'!D:D,AM74) &gt; 0, "polity_common_name", COUNTIF('Internal -- Trademark Countries'!E:E,AM74) &gt; 0, "shortest_name", COUNTIF('Internal -- Trademark Countries'!A:A,AM74) &gt; 0, "full_name", TRUE, "not a match")</f>
        <v>#NAME?</v>
      </c>
      <c r="EG74" s="30"/>
      <c r="EH74" s="30"/>
      <c r="EI74" s="30"/>
      <c r="EJ74" s="30"/>
      <c r="EK74" s="30" t="str">
        <f t="shared" si="2"/>
        <v/>
      </c>
    </row>
    <row r="75" spans="1:141" ht="16.5">
      <c r="A75" s="11"/>
      <c r="B75" s="11"/>
      <c r="C75" s="11"/>
      <c r="D75" s="11"/>
      <c r="E75" s="11"/>
      <c r="F75" s="11"/>
      <c r="G75" s="11"/>
      <c r="H75" s="11"/>
      <c r="I75" s="11"/>
      <c r="J75" s="11"/>
      <c r="K75" s="27"/>
      <c r="L75" s="11"/>
      <c r="M75" s="11"/>
      <c r="N75" s="11"/>
      <c r="O75" s="11"/>
      <c r="P75" s="15"/>
      <c r="Q75" s="15"/>
      <c r="R75" s="15"/>
      <c r="S75" s="15"/>
      <c r="T75" s="15"/>
      <c r="U75" s="15"/>
      <c r="V75" s="15"/>
      <c r="W75" s="47"/>
      <c r="X75" s="11"/>
      <c r="Y75" s="48"/>
      <c r="Z75" s="11"/>
      <c r="AA75" s="48"/>
      <c r="AB75" s="11"/>
      <c r="AC75" s="48"/>
      <c r="AD75" s="11"/>
      <c r="AE75" s="47"/>
      <c r="AF75" s="11"/>
      <c r="AG75" s="48"/>
      <c r="AH75" s="11"/>
      <c r="AI75" s="48"/>
      <c r="AJ75" s="11"/>
      <c r="AK75" s="48"/>
      <c r="AL75" s="11"/>
      <c r="AM75" s="49"/>
      <c r="AN75" s="49"/>
      <c r="AO75" s="11"/>
      <c r="AP75" s="11"/>
      <c r="AQ75" s="28" t="b">
        <f>IF(COUNTIF(SmartStatus!A$2:A1000, AM75) &gt; 2, TRUE, FALSE)</f>
        <v>0</v>
      </c>
      <c r="AR75" s="29" t="str">
        <f ca="1">IFERROR(__xludf.DUMMYFUNCTION("iferror(if(regexmatch(AO75, ""(?i)^registered""), if(EE75 &lt;&gt; ""polity_shortest_name"", ""CHECK_POLITY"", index(filter(SmartStatus!B$2:B1000, AM75 = SmartStatus!A$2:A1000, not(SmartStatus!C$2:C1000), (isblank(SmartStatus!D$2:D1000)) + ((P75 &lt;&gt; """") * (P75"&amp;" &lt; SmartStatus!D$2:D1000)), (isblank(SmartStatus!E$2:E1000)) + ((P75 &lt;&gt; """") * (P75 &gt;= SmartStatus!E$2:E1000)), (isblank(SmartStatus!F$2:F1000)) + (((Q75 &lt;&gt; """") * (Q75 &lt; SmartStatus!F$2:F1000)) + ((P75 &lt;&gt; """") * (date(year(P75) + 3, month(P75), day(P7"&amp;"5)) &lt; SmartStatus!F$2:F1000))), (isblank(SmartStatus!G$2:G1000)) + (((Q75 &lt;&gt; """") * (Q75 &gt;= SmartStatus!G$2:G1000)) + ((P75 &lt;&gt; """") * (P75 &gt;= SmartStatus!G$2:G1000)))), if(or(regexmatch(B75, ""(?i)^ir [a-z]+ designation$""), N75 &lt;&gt; """"), 1, 2))), """")"&amp;", ""NO_MATCH"")"),"")</f>
        <v/>
      </c>
      <c r="AS75" s="11"/>
      <c r="AT75" s="15"/>
      <c r="AU75" s="11"/>
      <c r="AV75" s="11"/>
      <c r="AW75" s="15"/>
      <c r="AX75" s="15"/>
      <c r="AY75" s="15"/>
      <c r="AZ75" s="11"/>
      <c r="BA75" s="15"/>
      <c r="BB75" s="11"/>
      <c r="BC75" s="11"/>
      <c r="BD75" s="15"/>
      <c r="BE75" s="11"/>
      <c r="BF75" s="11"/>
      <c r="BG75" s="15"/>
      <c r="BH75" s="15"/>
      <c r="BI75" s="15"/>
      <c r="BJ75" s="11"/>
      <c r="BK75" s="15"/>
      <c r="BL75" s="11"/>
      <c r="BM75" s="11"/>
      <c r="BN75" s="15"/>
      <c r="BO75" s="11"/>
      <c r="BP75" s="11"/>
      <c r="BQ75" s="15"/>
      <c r="BR75" s="15"/>
      <c r="BS75" s="15"/>
      <c r="BT75" s="11"/>
      <c r="BU75" s="15"/>
      <c r="BV75" s="11"/>
      <c r="BW75" s="11"/>
      <c r="BX75" s="15"/>
      <c r="BY75" s="11"/>
      <c r="BZ75" s="11"/>
      <c r="CA75" s="15"/>
      <c r="CB75" s="11"/>
      <c r="CC75" s="15"/>
      <c r="CD75" s="11"/>
      <c r="CE75" s="15"/>
      <c r="CF75" s="11"/>
      <c r="CG75" s="11"/>
      <c r="CH75" s="15"/>
      <c r="CI75" s="11"/>
      <c r="CJ75" s="11"/>
      <c r="CK75" s="15"/>
      <c r="CL75" s="11"/>
      <c r="CM75" s="11"/>
      <c r="CN75" s="11"/>
      <c r="CO75" s="11"/>
      <c r="CP75" s="28"/>
      <c r="CQ75" s="28"/>
      <c r="CR75" s="11"/>
      <c r="CS75" s="29"/>
      <c r="CT75" s="11"/>
      <c r="CU75" s="11"/>
      <c r="CV75" s="11"/>
      <c r="CW75" s="11"/>
      <c r="CX75" s="11"/>
      <c r="CY75" s="11"/>
      <c r="CZ75" s="11"/>
      <c r="DA75" s="28"/>
      <c r="DB75" s="28"/>
      <c r="DC75" s="11"/>
      <c r="DD75" s="29"/>
      <c r="DE75" s="11"/>
      <c r="DF75" s="11"/>
      <c r="DG75" s="11"/>
      <c r="DH75" s="11"/>
      <c r="DI75" s="11"/>
      <c r="DJ75" s="11"/>
      <c r="DK75" s="26"/>
      <c r="DL75" s="11"/>
      <c r="DM75" s="29"/>
      <c r="DN75" s="28"/>
      <c r="DO75" s="11"/>
      <c r="DP75" s="11"/>
      <c r="DQ75" s="11"/>
      <c r="DR75" s="29"/>
      <c r="DS75" s="28"/>
      <c r="DT75" s="11"/>
      <c r="DU75" s="26"/>
      <c r="DV75" s="11"/>
      <c r="DW75" s="29"/>
      <c r="DX75" s="28"/>
      <c r="DY75" s="11"/>
      <c r="DZ75" s="26"/>
      <c r="EA75" s="11"/>
      <c r="EB75" s="29"/>
      <c r="EC75" s="28"/>
      <c r="ED75" s="30"/>
      <c r="EE75" s="30" t="str">
        <f ca="1">IFERROR(__xludf.DUMMYFUNCTION("iferror(index(filter('Internal -- Trademark Countries'!E$2:E1000, (AM75 = 'Internal -- Trademark Countries'!B$2:B1000) + (AM75 = 'Internal -- Trademark Countries'!C$2:C1000) + (AM75 = 'Internal -- Trademark Countries'!D$2:D1000)), 1))"),"")</f>
        <v/>
      </c>
      <c r="EF75" s="30" t="e">
        <f ca="1">_xludf.ifs(AM75="", "", COUNTIF('Internal -- Trademark Countries'!B:B,AM75) &gt; 0, "polity_shortest_name", COUNTIF('Internal -- Trademark Countries'!C:C,AM75) &gt; 0, "polity_full_name", COUNTIF('Internal -- Trademark Countries'!D:D,AM75) &gt; 0, "polity_common_name", COUNTIF('Internal -- Trademark Countries'!E:E,AM75) &gt; 0, "shortest_name", COUNTIF('Internal -- Trademark Countries'!A:A,AM75) &gt; 0, "full_name", TRUE, "not a match")</f>
        <v>#NAME?</v>
      </c>
      <c r="EG75" s="30"/>
      <c r="EH75" s="30"/>
      <c r="EI75" s="30"/>
      <c r="EJ75" s="30"/>
      <c r="EK75" s="30" t="str">
        <f t="shared" si="2"/>
        <v/>
      </c>
    </row>
    <row r="76" spans="1:141" ht="16.5">
      <c r="A76" s="11"/>
      <c r="B76" s="11"/>
      <c r="C76" s="11"/>
      <c r="D76" s="11"/>
      <c r="E76" s="11"/>
      <c r="F76" s="11"/>
      <c r="G76" s="11"/>
      <c r="H76" s="11"/>
      <c r="I76" s="11"/>
      <c r="J76" s="11"/>
      <c r="K76" s="27"/>
      <c r="L76" s="11"/>
      <c r="M76" s="11"/>
      <c r="N76" s="11"/>
      <c r="O76" s="11"/>
      <c r="P76" s="15"/>
      <c r="Q76" s="15"/>
      <c r="R76" s="15"/>
      <c r="S76" s="15"/>
      <c r="T76" s="15"/>
      <c r="U76" s="15"/>
      <c r="V76" s="15"/>
      <c r="W76" s="47"/>
      <c r="X76" s="11"/>
      <c r="Y76" s="48"/>
      <c r="Z76" s="11"/>
      <c r="AA76" s="48"/>
      <c r="AB76" s="11"/>
      <c r="AC76" s="48"/>
      <c r="AD76" s="11"/>
      <c r="AE76" s="47"/>
      <c r="AF76" s="11"/>
      <c r="AG76" s="48"/>
      <c r="AH76" s="11"/>
      <c r="AI76" s="48"/>
      <c r="AJ76" s="11"/>
      <c r="AK76" s="48"/>
      <c r="AL76" s="11"/>
      <c r="AM76" s="49"/>
      <c r="AN76" s="49"/>
      <c r="AO76" s="11"/>
      <c r="AP76" s="11"/>
      <c r="AQ76" s="28" t="b">
        <f>IF(COUNTIF(SmartStatus!A$2:A1000, AM76) &gt; 2, TRUE, FALSE)</f>
        <v>0</v>
      </c>
      <c r="AR76" s="29" t="str">
        <f ca="1">IFERROR(__xludf.DUMMYFUNCTION("iferror(if(regexmatch(AO76, ""(?i)^registered""), if(EE76 &lt;&gt; ""polity_shortest_name"", ""CHECK_POLITY"", index(filter(SmartStatus!B$2:B1000, AM76 = SmartStatus!A$2:A1000, not(SmartStatus!C$2:C1000), (isblank(SmartStatus!D$2:D1000)) + ((P76 &lt;&gt; """") * (P76"&amp;" &lt; SmartStatus!D$2:D1000)), (isblank(SmartStatus!E$2:E1000)) + ((P76 &lt;&gt; """") * (P76 &gt;= SmartStatus!E$2:E1000)), (isblank(SmartStatus!F$2:F1000)) + (((Q76 &lt;&gt; """") * (Q76 &lt; SmartStatus!F$2:F1000)) + ((P76 &lt;&gt; """") * (date(year(P76) + 3, month(P76), day(P7"&amp;"6)) &lt; SmartStatus!F$2:F1000))), (isblank(SmartStatus!G$2:G1000)) + (((Q76 &lt;&gt; """") * (Q76 &gt;= SmartStatus!G$2:G1000)) + ((P76 &lt;&gt; """") * (P76 &gt;= SmartStatus!G$2:G1000)))), if(or(regexmatch(B76, ""(?i)^ir [a-z]+ designation$""), N76 &lt;&gt; """"), 1, 2))), """")"&amp;", ""NO_MATCH"")"),"")</f>
        <v/>
      </c>
      <c r="AS76" s="11"/>
      <c r="AT76" s="15"/>
      <c r="AU76" s="11"/>
      <c r="AV76" s="11"/>
      <c r="AW76" s="15"/>
      <c r="AX76" s="15"/>
      <c r="AY76" s="15"/>
      <c r="AZ76" s="11"/>
      <c r="BA76" s="15"/>
      <c r="BB76" s="11"/>
      <c r="BC76" s="11"/>
      <c r="BD76" s="15"/>
      <c r="BE76" s="11"/>
      <c r="BF76" s="11"/>
      <c r="BG76" s="15"/>
      <c r="BH76" s="15"/>
      <c r="BI76" s="15"/>
      <c r="BJ76" s="11"/>
      <c r="BK76" s="15"/>
      <c r="BL76" s="11"/>
      <c r="BM76" s="11"/>
      <c r="BN76" s="15"/>
      <c r="BO76" s="11"/>
      <c r="BP76" s="11"/>
      <c r="BQ76" s="15"/>
      <c r="BR76" s="15"/>
      <c r="BS76" s="15"/>
      <c r="BT76" s="11"/>
      <c r="BU76" s="15"/>
      <c r="BV76" s="11"/>
      <c r="BW76" s="11"/>
      <c r="BX76" s="15"/>
      <c r="BY76" s="11"/>
      <c r="BZ76" s="11"/>
      <c r="CA76" s="15"/>
      <c r="CB76" s="11"/>
      <c r="CC76" s="15"/>
      <c r="CD76" s="11"/>
      <c r="CE76" s="15"/>
      <c r="CF76" s="11"/>
      <c r="CG76" s="11"/>
      <c r="CH76" s="15"/>
      <c r="CI76" s="11"/>
      <c r="CJ76" s="11"/>
      <c r="CK76" s="15"/>
      <c r="CL76" s="11"/>
      <c r="CM76" s="11"/>
      <c r="CN76" s="11"/>
      <c r="CO76" s="11"/>
      <c r="CP76" s="28"/>
      <c r="CQ76" s="28"/>
      <c r="CR76" s="11"/>
      <c r="CS76" s="29"/>
      <c r="CT76" s="11"/>
      <c r="CU76" s="11"/>
      <c r="CV76" s="11"/>
      <c r="CW76" s="11"/>
      <c r="CX76" s="11"/>
      <c r="CY76" s="11"/>
      <c r="CZ76" s="11"/>
      <c r="DA76" s="28"/>
      <c r="DB76" s="28"/>
      <c r="DC76" s="11"/>
      <c r="DD76" s="29"/>
      <c r="DE76" s="11"/>
      <c r="DF76" s="11"/>
      <c r="DG76" s="11"/>
      <c r="DH76" s="11"/>
      <c r="DI76" s="11"/>
      <c r="DJ76" s="11"/>
      <c r="DK76" s="26"/>
      <c r="DL76" s="11"/>
      <c r="DM76" s="29"/>
      <c r="DN76" s="28"/>
      <c r="DO76" s="11"/>
      <c r="DP76" s="11"/>
      <c r="DQ76" s="11"/>
      <c r="DR76" s="29"/>
      <c r="DS76" s="28"/>
      <c r="DT76" s="11"/>
      <c r="DU76" s="26"/>
      <c r="DV76" s="11"/>
      <c r="DW76" s="29"/>
      <c r="DX76" s="28"/>
      <c r="DY76" s="11"/>
      <c r="DZ76" s="26"/>
      <c r="EA76" s="11"/>
      <c r="EB76" s="29"/>
      <c r="EC76" s="28"/>
      <c r="ED76" s="30"/>
      <c r="EE76" s="30" t="str">
        <f ca="1">IFERROR(__xludf.DUMMYFUNCTION("iferror(index(filter('Internal -- Trademark Countries'!E$2:E1000, (AM76 = 'Internal -- Trademark Countries'!B$2:B1000) + (AM76 = 'Internal -- Trademark Countries'!C$2:C1000) + (AM76 = 'Internal -- Trademark Countries'!D$2:D1000)), 1))"),"")</f>
        <v/>
      </c>
      <c r="EF76" s="30" t="e">
        <f ca="1">_xludf.ifs(AM76="", "", COUNTIF('Internal -- Trademark Countries'!B:B,AM76) &gt; 0, "polity_shortest_name", COUNTIF('Internal -- Trademark Countries'!C:C,AM76) &gt; 0, "polity_full_name", COUNTIF('Internal -- Trademark Countries'!D:D,AM76) &gt; 0, "polity_common_name", COUNTIF('Internal -- Trademark Countries'!E:E,AM76) &gt; 0, "shortest_name", COUNTIF('Internal -- Trademark Countries'!A:A,AM76) &gt; 0, "full_name", TRUE, "not a match")</f>
        <v>#NAME?</v>
      </c>
      <c r="EG76" s="30"/>
      <c r="EH76" s="30"/>
      <c r="EI76" s="30"/>
      <c r="EJ76" s="30"/>
      <c r="EK76" s="30" t="str">
        <f t="shared" si="2"/>
        <v/>
      </c>
    </row>
    <row r="77" spans="1:141" ht="16.5">
      <c r="A77" s="11"/>
      <c r="B77" s="11"/>
      <c r="C77" s="11"/>
      <c r="D77" s="11"/>
      <c r="E77" s="11"/>
      <c r="F77" s="11"/>
      <c r="G77" s="11"/>
      <c r="H77" s="11"/>
      <c r="I77" s="11"/>
      <c r="J77" s="11"/>
      <c r="K77" s="27"/>
      <c r="L77" s="11"/>
      <c r="M77" s="11"/>
      <c r="N77" s="11"/>
      <c r="O77" s="11"/>
      <c r="P77" s="15"/>
      <c r="Q77" s="15"/>
      <c r="R77" s="15"/>
      <c r="S77" s="15"/>
      <c r="T77" s="15"/>
      <c r="U77" s="15"/>
      <c r="V77" s="15"/>
      <c r="W77" s="47"/>
      <c r="X77" s="11"/>
      <c r="Y77" s="48"/>
      <c r="Z77" s="11"/>
      <c r="AA77" s="48"/>
      <c r="AB77" s="11"/>
      <c r="AC77" s="48"/>
      <c r="AD77" s="11"/>
      <c r="AE77" s="47"/>
      <c r="AF77" s="11"/>
      <c r="AG77" s="48"/>
      <c r="AH77" s="11"/>
      <c r="AI77" s="48"/>
      <c r="AJ77" s="11"/>
      <c r="AK77" s="48"/>
      <c r="AL77" s="11"/>
      <c r="AM77" s="49"/>
      <c r="AN77" s="49"/>
      <c r="AO77" s="11"/>
      <c r="AP77" s="11"/>
      <c r="AQ77" s="28" t="b">
        <f>IF(COUNTIF(SmartStatus!A$2:A1000, AM77) &gt; 2, TRUE, FALSE)</f>
        <v>0</v>
      </c>
      <c r="AR77" s="29" t="str">
        <f ca="1">IFERROR(__xludf.DUMMYFUNCTION("iferror(if(regexmatch(AO77, ""(?i)^registered""), if(EE77 &lt;&gt; ""polity_shortest_name"", ""CHECK_POLITY"", index(filter(SmartStatus!B$2:B1000, AM77 = SmartStatus!A$2:A1000, not(SmartStatus!C$2:C1000), (isblank(SmartStatus!D$2:D1000)) + ((P77 &lt;&gt; """") * (P77"&amp;" &lt; SmartStatus!D$2:D1000)), (isblank(SmartStatus!E$2:E1000)) + ((P77 &lt;&gt; """") * (P77 &gt;= SmartStatus!E$2:E1000)), (isblank(SmartStatus!F$2:F1000)) + (((Q77 &lt;&gt; """") * (Q77 &lt; SmartStatus!F$2:F1000)) + ((P77 &lt;&gt; """") * (date(year(P77) + 3, month(P77), day(P7"&amp;"7)) &lt; SmartStatus!F$2:F1000))), (isblank(SmartStatus!G$2:G1000)) + (((Q77 &lt;&gt; """") * (Q77 &gt;= SmartStatus!G$2:G1000)) + ((P77 &lt;&gt; """") * (P77 &gt;= SmartStatus!G$2:G1000)))), if(or(regexmatch(B77, ""(?i)^ir [a-z]+ designation$""), N77 &lt;&gt; """"), 1, 2))), """")"&amp;", ""NO_MATCH"")"),"")</f>
        <v/>
      </c>
      <c r="AS77" s="11"/>
      <c r="AT77" s="15"/>
      <c r="AU77" s="11"/>
      <c r="AV77" s="11"/>
      <c r="AW77" s="15"/>
      <c r="AX77" s="15"/>
      <c r="AY77" s="15"/>
      <c r="AZ77" s="11"/>
      <c r="BA77" s="15"/>
      <c r="BB77" s="11"/>
      <c r="BC77" s="11"/>
      <c r="BD77" s="15"/>
      <c r="BE77" s="11"/>
      <c r="BF77" s="11"/>
      <c r="BG77" s="15"/>
      <c r="BH77" s="15"/>
      <c r="BI77" s="15"/>
      <c r="BJ77" s="11"/>
      <c r="BK77" s="15"/>
      <c r="BL77" s="11"/>
      <c r="BM77" s="11"/>
      <c r="BN77" s="15"/>
      <c r="BO77" s="11"/>
      <c r="BP77" s="11"/>
      <c r="BQ77" s="15"/>
      <c r="BR77" s="15"/>
      <c r="BS77" s="15"/>
      <c r="BT77" s="11"/>
      <c r="BU77" s="15"/>
      <c r="BV77" s="11"/>
      <c r="BW77" s="11"/>
      <c r="BX77" s="15"/>
      <c r="BY77" s="11"/>
      <c r="BZ77" s="11"/>
      <c r="CA77" s="15"/>
      <c r="CB77" s="11"/>
      <c r="CC77" s="15"/>
      <c r="CD77" s="11"/>
      <c r="CE77" s="15"/>
      <c r="CF77" s="11"/>
      <c r="CG77" s="11"/>
      <c r="CH77" s="15"/>
      <c r="CI77" s="11"/>
      <c r="CJ77" s="11"/>
      <c r="CK77" s="15"/>
      <c r="CL77" s="11"/>
      <c r="CM77" s="11"/>
      <c r="CN77" s="11"/>
      <c r="CO77" s="11"/>
      <c r="CP77" s="28"/>
      <c r="CQ77" s="28"/>
      <c r="CR77" s="11"/>
      <c r="CS77" s="29"/>
      <c r="CT77" s="11"/>
      <c r="CU77" s="11"/>
      <c r="CV77" s="11"/>
      <c r="CW77" s="11"/>
      <c r="CX77" s="11"/>
      <c r="CY77" s="11"/>
      <c r="CZ77" s="11"/>
      <c r="DA77" s="28"/>
      <c r="DB77" s="28"/>
      <c r="DC77" s="11"/>
      <c r="DD77" s="29"/>
      <c r="DE77" s="11"/>
      <c r="DF77" s="11"/>
      <c r="DG77" s="11"/>
      <c r="DH77" s="11"/>
      <c r="DI77" s="11"/>
      <c r="DJ77" s="11"/>
      <c r="DK77" s="26"/>
      <c r="DL77" s="11"/>
      <c r="DM77" s="29"/>
      <c r="DN77" s="28"/>
      <c r="DO77" s="11"/>
      <c r="DP77" s="11"/>
      <c r="DQ77" s="11"/>
      <c r="DR77" s="29"/>
      <c r="DS77" s="28"/>
      <c r="DT77" s="11"/>
      <c r="DU77" s="26"/>
      <c r="DV77" s="11"/>
      <c r="DW77" s="29"/>
      <c r="DX77" s="28"/>
      <c r="DY77" s="11"/>
      <c r="DZ77" s="26"/>
      <c r="EA77" s="11"/>
      <c r="EB77" s="29"/>
      <c r="EC77" s="28"/>
      <c r="ED77" s="30"/>
      <c r="EE77" s="30" t="str">
        <f ca="1">IFERROR(__xludf.DUMMYFUNCTION("iferror(index(filter('Internal -- Trademark Countries'!E$2:E1000, (AM77 = 'Internal -- Trademark Countries'!B$2:B1000) + (AM77 = 'Internal -- Trademark Countries'!C$2:C1000) + (AM77 = 'Internal -- Trademark Countries'!D$2:D1000)), 1))"),"")</f>
        <v/>
      </c>
      <c r="EF77" s="30" t="e">
        <f ca="1">_xludf.ifs(AM77="", "", COUNTIF('Internal -- Trademark Countries'!B:B,AM77) &gt; 0, "polity_shortest_name", COUNTIF('Internal -- Trademark Countries'!C:C,AM77) &gt; 0, "polity_full_name", COUNTIF('Internal -- Trademark Countries'!D:D,AM77) &gt; 0, "polity_common_name", COUNTIF('Internal -- Trademark Countries'!E:E,AM77) &gt; 0, "shortest_name", COUNTIF('Internal -- Trademark Countries'!A:A,AM77) &gt; 0, "full_name", TRUE, "not a match")</f>
        <v>#NAME?</v>
      </c>
      <c r="EG77" s="30"/>
      <c r="EH77" s="30"/>
      <c r="EI77" s="30"/>
      <c r="EJ77" s="30"/>
      <c r="EK77" s="30" t="str">
        <f t="shared" si="2"/>
        <v/>
      </c>
    </row>
    <row r="78" spans="1:141" ht="16.5">
      <c r="A78" s="11"/>
      <c r="B78" s="11"/>
      <c r="C78" s="11"/>
      <c r="D78" s="11"/>
      <c r="E78" s="11"/>
      <c r="F78" s="11"/>
      <c r="G78" s="11"/>
      <c r="H78" s="11"/>
      <c r="I78" s="11"/>
      <c r="J78" s="11"/>
      <c r="K78" s="27"/>
      <c r="L78" s="11"/>
      <c r="M78" s="11"/>
      <c r="N78" s="11"/>
      <c r="O78" s="11"/>
      <c r="P78" s="15"/>
      <c r="Q78" s="15"/>
      <c r="R78" s="15"/>
      <c r="S78" s="15"/>
      <c r="T78" s="15"/>
      <c r="U78" s="15"/>
      <c r="V78" s="15"/>
      <c r="W78" s="47"/>
      <c r="X78" s="11"/>
      <c r="Y78" s="48"/>
      <c r="Z78" s="11"/>
      <c r="AA78" s="48"/>
      <c r="AB78" s="11"/>
      <c r="AC78" s="48"/>
      <c r="AD78" s="11"/>
      <c r="AE78" s="47"/>
      <c r="AF78" s="11"/>
      <c r="AG78" s="48"/>
      <c r="AH78" s="11"/>
      <c r="AI78" s="48"/>
      <c r="AJ78" s="11"/>
      <c r="AK78" s="48"/>
      <c r="AL78" s="11"/>
      <c r="AM78" s="49"/>
      <c r="AN78" s="49"/>
      <c r="AO78" s="11"/>
      <c r="AP78" s="11"/>
      <c r="AQ78" s="28" t="b">
        <f>IF(COUNTIF(SmartStatus!A$2:A1000, AM78) &gt; 2, TRUE, FALSE)</f>
        <v>0</v>
      </c>
      <c r="AR78" s="29" t="str">
        <f ca="1">IFERROR(__xludf.DUMMYFUNCTION("iferror(if(regexmatch(AO78, ""(?i)^registered""), if(EE78 &lt;&gt; ""polity_shortest_name"", ""CHECK_POLITY"", index(filter(SmartStatus!B$2:B1000, AM78 = SmartStatus!A$2:A1000, not(SmartStatus!C$2:C1000), (isblank(SmartStatus!D$2:D1000)) + ((P78 &lt;&gt; """") * (P78"&amp;" &lt; SmartStatus!D$2:D1000)), (isblank(SmartStatus!E$2:E1000)) + ((P78 &lt;&gt; """") * (P78 &gt;= SmartStatus!E$2:E1000)), (isblank(SmartStatus!F$2:F1000)) + (((Q78 &lt;&gt; """") * (Q78 &lt; SmartStatus!F$2:F1000)) + ((P78 &lt;&gt; """") * (date(year(P78) + 3, month(P78), day(P7"&amp;"8)) &lt; SmartStatus!F$2:F1000))), (isblank(SmartStatus!G$2:G1000)) + (((Q78 &lt;&gt; """") * (Q78 &gt;= SmartStatus!G$2:G1000)) + ((P78 &lt;&gt; """") * (P78 &gt;= SmartStatus!G$2:G1000)))), if(or(regexmatch(B78, ""(?i)^ir [a-z]+ designation$""), N78 &lt;&gt; """"), 1, 2))), """")"&amp;", ""NO_MATCH"")"),"")</f>
        <v/>
      </c>
      <c r="AS78" s="11"/>
      <c r="AT78" s="15"/>
      <c r="AU78" s="11"/>
      <c r="AV78" s="11"/>
      <c r="AW78" s="15"/>
      <c r="AX78" s="15"/>
      <c r="AY78" s="15"/>
      <c r="AZ78" s="11"/>
      <c r="BA78" s="15"/>
      <c r="BB78" s="11"/>
      <c r="BC78" s="11"/>
      <c r="BD78" s="15"/>
      <c r="BE78" s="11"/>
      <c r="BF78" s="11"/>
      <c r="BG78" s="15"/>
      <c r="BH78" s="15"/>
      <c r="BI78" s="15"/>
      <c r="BJ78" s="11"/>
      <c r="BK78" s="15"/>
      <c r="BL78" s="11"/>
      <c r="BM78" s="11"/>
      <c r="BN78" s="15"/>
      <c r="BO78" s="11"/>
      <c r="BP78" s="11"/>
      <c r="BQ78" s="15"/>
      <c r="BR78" s="15"/>
      <c r="BS78" s="15"/>
      <c r="BT78" s="11"/>
      <c r="BU78" s="15"/>
      <c r="BV78" s="11"/>
      <c r="BW78" s="11"/>
      <c r="BX78" s="15"/>
      <c r="BY78" s="11"/>
      <c r="BZ78" s="11"/>
      <c r="CA78" s="15"/>
      <c r="CB78" s="11"/>
      <c r="CC78" s="15"/>
      <c r="CD78" s="11"/>
      <c r="CE78" s="15"/>
      <c r="CF78" s="11"/>
      <c r="CG78" s="11"/>
      <c r="CH78" s="15"/>
      <c r="CI78" s="11"/>
      <c r="CJ78" s="11"/>
      <c r="CK78" s="15"/>
      <c r="CL78" s="11"/>
      <c r="CM78" s="11"/>
      <c r="CN78" s="11"/>
      <c r="CO78" s="11"/>
      <c r="CP78" s="28"/>
      <c r="CQ78" s="28"/>
      <c r="CR78" s="11"/>
      <c r="CS78" s="29"/>
      <c r="CT78" s="11"/>
      <c r="CU78" s="11"/>
      <c r="CV78" s="11"/>
      <c r="CW78" s="11"/>
      <c r="CX78" s="11"/>
      <c r="CY78" s="11"/>
      <c r="CZ78" s="11"/>
      <c r="DA78" s="28"/>
      <c r="DB78" s="28"/>
      <c r="DC78" s="11"/>
      <c r="DD78" s="29"/>
      <c r="DE78" s="11"/>
      <c r="DF78" s="11"/>
      <c r="DG78" s="11"/>
      <c r="DH78" s="11"/>
      <c r="DI78" s="11"/>
      <c r="DJ78" s="11"/>
      <c r="DK78" s="26"/>
      <c r="DL78" s="11"/>
      <c r="DM78" s="29"/>
      <c r="DN78" s="28"/>
      <c r="DO78" s="11"/>
      <c r="DP78" s="11"/>
      <c r="DQ78" s="11"/>
      <c r="DR78" s="29"/>
      <c r="DS78" s="28"/>
      <c r="DT78" s="11"/>
      <c r="DU78" s="26"/>
      <c r="DV78" s="11"/>
      <c r="DW78" s="29"/>
      <c r="DX78" s="28"/>
      <c r="DY78" s="11"/>
      <c r="DZ78" s="26"/>
      <c r="EA78" s="11"/>
      <c r="EB78" s="29"/>
      <c r="EC78" s="28"/>
      <c r="ED78" s="30"/>
      <c r="EE78" s="30" t="str">
        <f ca="1">IFERROR(__xludf.DUMMYFUNCTION("iferror(index(filter('Internal -- Trademark Countries'!E$2:E1000, (AM78 = 'Internal -- Trademark Countries'!B$2:B1000) + (AM78 = 'Internal -- Trademark Countries'!C$2:C1000) + (AM78 = 'Internal -- Trademark Countries'!D$2:D1000)), 1))"),"")</f>
        <v/>
      </c>
      <c r="EF78" s="30" t="e">
        <f ca="1">_xludf.ifs(AM78="", "", COUNTIF('Internal -- Trademark Countries'!B:B,AM78) &gt; 0, "polity_shortest_name", COUNTIF('Internal -- Trademark Countries'!C:C,AM78) &gt; 0, "polity_full_name", COUNTIF('Internal -- Trademark Countries'!D:D,AM78) &gt; 0, "polity_common_name", COUNTIF('Internal -- Trademark Countries'!E:E,AM78) &gt; 0, "shortest_name", COUNTIF('Internal -- Trademark Countries'!A:A,AM78) &gt; 0, "full_name", TRUE, "not a match")</f>
        <v>#NAME?</v>
      </c>
      <c r="EG78" s="30"/>
      <c r="EH78" s="30"/>
      <c r="EI78" s="30"/>
      <c r="EJ78" s="30"/>
      <c r="EK78" s="30" t="str">
        <f t="shared" si="2"/>
        <v/>
      </c>
    </row>
    <row r="79" spans="1:141" ht="16.5">
      <c r="A79" s="11"/>
      <c r="B79" s="11"/>
      <c r="C79" s="11"/>
      <c r="D79" s="11"/>
      <c r="E79" s="11"/>
      <c r="F79" s="11"/>
      <c r="G79" s="11"/>
      <c r="H79" s="11"/>
      <c r="I79" s="11"/>
      <c r="J79" s="11"/>
      <c r="K79" s="27"/>
      <c r="L79" s="11"/>
      <c r="M79" s="11"/>
      <c r="N79" s="11"/>
      <c r="O79" s="11"/>
      <c r="P79" s="15"/>
      <c r="Q79" s="15"/>
      <c r="R79" s="15"/>
      <c r="S79" s="15"/>
      <c r="T79" s="15"/>
      <c r="U79" s="15"/>
      <c r="V79" s="15"/>
      <c r="W79" s="47"/>
      <c r="X79" s="11"/>
      <c r="Y79" s="48"/>
      <c r="Z79" s="11"/>
      <c r="AA79" s="48"/>
      <c r="AB79" s="11"/>
      <c r="AC79" s="48"/>
      <c r="AD79" s="11"/>
      <c r="AE79" s="47"/>
      <c r="AF79" s="11"/>
      <c r="AG79" s="48"/>
      <c r="AH79" s="11"/>
      <c r="AI79" s="48"/>
      <c r="AJ79" s="11"/>
      <c r="AK79" s="48"/>
      <c r="AL79" s="11"/>
      <c r="AM79" s="49"/>
      <c r="AN79" s="49"/>
      <c r="AO79" s="11"/>
      <c r="AP79" s="11"/>
      <c r="AQ79" s="28" t="b">
        <f>IF(COUNTIF(SmartStatus!A$2:A1000, AM79) &gt; 2, TRUE, FALSE)</f>
        <v>0</v>
      </c>
      <c r="AR79" s="29" t="str">
        <f ca="1">IFERROR(__xludf.DUMMYFUNCTION("iferror(if(regexmatch(AO79, ""(?i)^registered""), if(EE79 &lt;&gt; ""polity_shortest_name"", ""CHECK_POLITY"", index(filter(SmartStatus!B$2:B1000, AM79 = SmartStatus!A$2:A1000, not(SmartStatus!C$2:C1000), (isblank(SmartStatus!D$2:D1000)) + ((P79 &lt;&gt; """") * (P79"&amp;" &lt; SmartStatus!D$2:D1000)), (isblank(SmartStatus!E$2:E1000)) + ((P79 &lt;&gt; """") * (P79 &gt;= SmartStatus!E$2:E1000)), (isblank(SmartStatus!F$2:F1000)) + (((Q79 &lt;&gt; """") * (Q79 &lt; SmartStatus!F$2:F1000)) + ((P79 &lt;&gt; """") * (date(year(P79) + 3, month(P79), day(P7"&amp;"9)) &lt; SmartStatus!F$2:F1000))), (isblank(SmartStatus!G$2:G1000)) + (((Q79 &lt;&gt; """") * (Q79 &gt;= SmartStatus!G$2:G1000)) + ((P79 &lt;&gt; """") * (P79 &gt;= SmartStatus!G$2:G1000)))), if(or(regexmatch(B79, ""(?i)^ir [a-z]+ designation$""), N79 &lt;&gt; """"), 1, 2))), """")"&amp;", ""NO_MATCH"")"),"")</f>
        <v/>
      </c>
      <c r="AS79" s="11"/>
      <c r="AT79" s="15"/>
      <c r="AU79" s="11"/>
      <c r="AV79" s="11"/>
      <c r="AW79" s="15"/>
      <c r="AX79" s="15"/>
      <c r="AY79" s="15"/>
      <c r="AZ79" s="11"/>
      <c r="BA79" s="15"/>
      <c r="BB79" s="11"/>
      <c r="BC79" s="11"/>
      <c r="BD79" s="15"/>
      <c r="BE79" s="11"/>
      <c r="BF79" s="11"/>
      <c r="BG79" s="15"/>
      <c r="BH79" s="15"/>
      <c r="BI79" s="15"/>
      <c r="BJ79" s="11"/>
      <c r="BK79" s="15"/>
      <c r="BL79" s="11"/>
      <c r="BM79" s="11"/>
      <c r="BN79" s="15"/>
      <c r="BO79" s="11"/>
      <c r="BP79" s="11"/>
      <c r="BQ79" s="15"/>
      <c r="BR79" s="15"/>
      <c r="BS79" s="15"/>
      <c r="BT79" s="11"/>
      <c r="BU79" s="15"/>
      <c r="BV79" s="11"/>
      <c r="BW79" s="11"/>
      <c r="BX79" s="15"/>
      <c r="BY79" s="11"/>
      <c r="BZ79" s="11"/>
      <c r="CA79" s="15"/>
      <c r="CB79" s="11"/>
      <c r="CC79" s="15"/>
      <c r="CD79" s="11"/>
      <c r="CE79" s="15"/>
      <c r="CF79" s="11"/>
      <c r="CG79" s="11"/>
      <c r="CH79" s="15"/>
      <c r="CI79" s="11"/>
      <c r="CJ79" s="11"/>
      <c r="CK79" s="15"/>
      <c r="CL79" s="11"/>
      <c r="CM79" s="11"/>
      <c r="CN79" s="11"/>
      <c r="CO79" s="11"/>
      <c r="CP79" s="28"/>
      <c r="CQ79" s="28"/>
      <c r="CR79" s="11"/>
      <c r="CS79" s="29"/>
      <c r="CT79" s="11"/>
      <c r="CU79" s="11"/>
      <c r="CV79" s="11"/>
      <c r="CW79" s="11"/>
      <c r="CX79" s="11"/>
      <c r="CY79" s="11"/>
      <c r="CZ79" s="11"/>
      <c r="DA79" s="28"/>
      <c r="DB79" s="28"/>
      <c r="DC79" s="11"/>
      <c r="DD79" s="29"/>
      <c r="DE79" s="11"/>
      <c r="DF79" s="11"/>
      <c r="DG79" s="11"/>
      <c r="DH79" s="11"/>
      <c r="DI79" s="11"/>
      <c r="DJ79" s="11"/>
      <c r="DK79" s="26"/>
      <c r="DL79" s="11"/>
      <c r="DM79" s="29"/>
      <c r="DN79" s="28"/>
      <c r="DO79" s="11"/>
      <c r="DP79" s="11"/>
      <c r="DQ79" s="11"/>
      <c r="DR79" s="29"/>
      <c r="DS79" s="28"/>
      <c r="DT79" s="11"/>
      <c r="DU79" s="26"/>
      <c r="DV79" s="11"/>
      <c r="DW79" s="29"/>
      <c r="DX79" s="28"/>
      <c r="DY79" s="11"/>
      <c r="DZ79" s="26"/>
      <c r="EA79" s="11"/>
      <c r="EB79" s="29"/>
      <c r="EC79" s="28"/>
      <c r="ED79" s="30"/>
      <c r="EE79" s="30" t="str">
        <f ca="1">IFERROR(__xludf.DUMMYFUNCTION("iferror(index(filter('Internal -- Trademark Countries'!E$2:E1000, (AM79 = 'Internal -- Trademark Countries'!B$2:B1000) + (AM79 = 'Internal -- Trademark Countries'!C$2:C1000) + (AM79 = 'Internal -- Trademark Countries'!D$2:D1000)), 1))"),"")</f>
        <v/>
      </c>
      <c r="EF79" s="30" t="e">
        <f ca="1">_xludf.ifs(AM79="", "", COUNTIF('Internal -- Trademark Countries'!B:B,AM79) &gt; 0, "polity_shortest_name", COUNTIF('Internal -- Trademark Countries'!C:C,AM79) &gt; 0, "polity_full_name", COUNTIF('Internal -- Trademark Countries'!D:D,AM79) &gt; 0, "polity_common_name", COUNTIF('Internal -- Trademark Countries'!E:E,AM79) &gt; 0, "shortest_name", COUNTIF('Internal -- Trademark Countries'!A:A,AM79) &gt; 0, "full_name", TRUE, "not a match")</f>
        <v>#NAME?</v>
      </c>
      <c r="EG79" s="30"/>
      <c r="EH79" s="30"/>
      <c r="EI79" s="30"/>
      <c r="EJ79" s="30"/>
      <c r="EK79" s="30" t="str">
        <f t="shared" si="2"/>
        <v/>
      </c>
    </row>
    <row r="80" spans="1:141" ht="16.5">
      <c r="A80" s="11"/>
      <c r="B80" s="11"/>
      <c r="C80" s="11"/>
      <c r="D80" s="11"/>
      <c r="E80" s="11"/>
      <c r="F80" s="11"/>
      <c r="G80" s="11"/>
      <c r="H80" s="11"/>
      <c r="I80" s="11"/>
      <c r="J80" s="11"/>
      <c r="K80" s="27"/>
      <c r="L80" s="11"/>
      <c r="M80" s="11"/>
      <c r="N80" s="11"/>
      <c r="O80" s="11"/>
      <c r="P80" s="15"/>
      <c r="Q80" s="15"/>
      <c r="R80" s="15"/>
      <c r="S80" s="15"/>
      <c r="T80" s="15"/>
      <c r="U80" s="15"/>
      <c r="V80" s="15"/>
      <c r="W80" s="47"/>
      <c r="X80" s="11"/>
      <c r="Y80" s="48"/>
      <c r="Z80" s="11"/>
      <c r="AA80" s="48"/>
      <c r="AB80" s="11"/>
      <c r="AC80" s="48"/>
      <c r="AD80" s="11"/>
      <c r="AE80" s="47"/>
      <c r="AF80" s="11"/>
      <c r="AG80" s="48"/>
      <c r="AH80" s="11"/>
      <c r="AI80" s="48"/>
      <c r="AJ80" s="11"/>
      <c r="AK80" s="48"/>
      <c r="AL80" s="11"/>
      <c r="AM80" s="49"/>
      <c r="AN80" s="49"/>
      <c r="AO80" s="11"/>
      <c r="AP80" s="11"/>
      <c r="AQ80" s="28" t="b">
        <f>IF(COUNTIF(SmartStatus!A$2:A1000, AM80) &gt; 2, TRUE, FALSE)</f>
        <v>0</v>
      </c>
      <c r="AR80" s="29" t="str">
        <f ca="1">IFERROR(__xludf.DUMMYFUNCTION("iferror(if(regexmatch(AO80, ""(?i)^registered""), if(EE80 &lt;&gt; ""polity_shortest_name"", ""CHECK_POLITY"", index(filter(SmartStatus!B$2:B1000, AM80 = SmartStatus!A$2:A1000, not(SmartStatus!C$2:C1000), (isblank(SmartStatus!D$2:D1000)) + ((P80 &lt;&gt; """") * (P80"&amp;" &lt; SmartStatus!D$2:D1000)), (isblank(SmartStatus!E$2:E1000)) + ((P80 &lt;&gt; """") * (P80 &gt;= SmartStatus!E$2:E1000)), (isblank(SmartStatus!F$2:F1000)) + (((Q80 &lt;&gt; """") * (Q80 &lt; SmartStatus!F$2:F1000)) + ((P80 &lt;&gt; """") * (date(year(P80) + 3, month(P80), day(P8"&amp;"0)) &lt; SmartStatus!F$2:F1000))), (isblank(SmartStatus!G$2:G1000)) + (((Q80 &lt;&gt; """") * (Q80 &gt;= SmartStatus!G$2:G1000)) + ((P80 &lt;&gt; """") * (P80 &gt;= SmartStatus!G$2:G1000)))), if(or(regexmatch(B80, ""(?i)^ir [a-z]+ designation$""), N80 &lt;&gt; """"), 1, 2))), """")"&amp;", ""NO_MATCH"")"),"")</f>
        <v/>
      </c>
      <c r="AS80" s="11"/>
      <c r="AT80" s="15"/>
      <c r="AU80" s="11"/>
      <c r="AV80" s="11"/>
      <c r="AW80" s="15"/>
      <c r="AX80" s="15"/>
      <c r="AY80" s="15"/>
      <c r="AZ80" s="11"/>
      <c r="BA80" s="15"/>
      <c r="BB80" s="11"/>
      <c r="BC80" s="11"/>
      <c r="BD80" s="15"/>
      <c r="BE80" s="11"/>
      <c r="BF80" s="11"/>
      <c r="BG80" s="15"/>
      <c r="BH80" s="15"/>
      <c r="BI80" s="15"/>
      <c r="BJ80" s="11"/>
      <c r="BK80" s="15"/>
      <c r="BL80" s="11"/>
      <c r="BM80" s="11"/>
      <c r="BN80" s="15"/>
      <c r="BO80" s="11"/>
      <c r="BP80" s="11"/>
      <c r="BQ80" s="15"/>
      <c r="BR80" s="15"/>
      <c r="BS80" s="15"/>
      <c r="BT80" s="11"/>
      <c r="BU80" s="15"/>
      <c r="BV80" s="11"/>
      <c r="BW80" s="11"/>
      <c r="BX80" s="15"/>
      <c r="BY80" s="11"/>
      <c r="BZ80" s="11"/>
      <c r="CA80" s="15"/>
      <c r="CB80" s="11"/>
      <c r="CC80" s="15"/>
      <c r="CD80" s="11"/>
      <c r="CE80" s="15"/>
      <c r="CF80" s="11"/>
      <c r="CG80" s="11"/>
      <c r="CH80" s="15"/>
      <c r="CI80" s="11"/>
      <c r="CJ80" s="11"/>
      <c r="CK80" s="15"/>
      <c r="CL80" s="11"/>
      <c r="CM80" s="11"/>
      <c r="CN80" s="11"/>
      <c r="CO80" s="11"/>
      <c r="CP80" s="28"/>
      <c r="CQ80" s="28"/>
      <c r="CR80" s="11"/>
      <c r="CS80" s="29"/>
      <c r="CT80" s="11"/>
      <c r="CU80" s="11"/>
      <c r="CV80" s="11"/>
      <c r="CW80" s="11"/>
      <c r="CX80" s="11"/>
      <c r="CY80" s="11"/>
      <c r="CZ80" s="11"/>
      <c r="DA80" s="28"/>
      <c r="DB80" s="28"/>
      <c r="DC80" s="11"/>
      <c r="DD80" s="29"/>
      <c r="DE80" s="11"/>
      <c r="DF80" s="11"/>
      <c r="DG80" s="11"/>
      <c r="DH80" s="11"/>
      <c r="DI80" s="11"/>
      <c r="DJ80" s="11"/>
      <c r="DK80" s="26"/>
      <c r="DL80" s="11"/>
      <c r="DM80" s="29"/>
      <c r="DN80" s="28"/>
      <c r="DO80" s="11"/>
      <c r="DP80" s="11"/>
      <c r="DQ80" s="11"/>
      <c r="DR80" s="29"/>
      <c r="DS80" s="28"/>
      <c r="DT80" s="11"/>
      <c r="DU80" s="26"/>
      <c r="DV80" s="11"/>
      <c r="DW80" s="29"/>
      <c r="DX80" s="28"/>
      <c r="DY80" s="11"/>
      <c r="DZ80" s="26"/>
      <c r="EA80" s="11"/>
      <c r="EB80" s="29"/>
      <c r="EC80" s="28"/>
      <c r="ED80" s="30"/>
      <c r="EE80" s="30" t="str">
        <f ca="1">IFERROR(__xludf.DUMMYFUNCTION("iferror(index(filter('Internal -- Trademark Countries'!E$2:E1000, (AM80 = 'Internal -- Trademark Countries'!B$2:B1000) + (AM80 = 'Internal -- Trademark Countries'!C$2:C1000) + (AM80 = 'Internal -- Trademark Countries'!D$2:D1000)), 1))"),"")</f>
        <v/>
      </c>
      <c r="EF80" s="30" t="e">
        <f ca="1">_xludf.ifs(AM80="", "", COUNTIF('Internal -- Trademark Countries'!B:B,AM80) &gt; 0, "polity_shortest_name", COUNTIF('Internal -- Trademark Countries'!C:C,AM80) &gt; 0, "polity_full_name", COUNTIF('Internal -- Trademark Countries'!D:D,AM80) &gt; 0, "polity_common_name", COUNTIF('Internal -- Trademark Countries'!E:E,AM80) &gt; 0, "shortest_name", COUNTIF('Internal -- Trademark Countries'!A:A,AM80) &gt; 0, "full_name", TRUE, "not a match")</f>
        <v>#NAME?</v>
      </c>
      <c r="EG80" s="30"/>
      <c r="EH80" s="30"/>
      <c r="EI80" s="30"/>
      <c r="EJ80" s="30"/>
      <c r="EK80" s="30" t="str">
        <f t="shared" si="2"/>
        <v/>
      </c>
    </row>
    <row r="81" spans="1:141" ht="16.5">
      <c r="A81" s="11"/>
      <c r="B81" s="11"/>
      <c r="C81" s="11"/>
      <c r="D81" s="11"/>
      <c r="E81" s="11"/>
      <c r="F81" s="11"/>
      <c r="G81" s="11"/>
      <c r="H81" s="11"/>
      <c r="I81" s="11"/>
      <c r="J81" s="11"/>
      <c r="K81" s="27"/>
      <c r="L81" s="11"/>
      <c r="M81" s="11"/>
      <c r="N81" s="11"/>
      <c r="O81" s="11"/>
      <c r="P81" s="15"/>
      <c r="Q81" s="15"/>
      <c r="R81" s="15"/>
      <c r="S81" s="15"/>
      <c r="T81" s="15"/>
      <c r="U81" s="15"/>
      <c r="V81" s="15"/>
      <c r="W81" s="47"/>
      <c r="X81" s="11"/>
      <c r="Y81" s="48"/>
      <c r="Z81" s="11"/>
      <c r="AA81" s="48"/>
      <c r="AB81" s="11"/>
      <c r="AC81" s="48"/>
      <c r="AD81" s="11"/>
      <c r="AE81" s="47"/>
      <c r="AF81" s="11"/>
      <c r="AG81" s="48"/>
      <c r="AH81" s="11"/>
      <c r="AI81" s="48"/>
      <c r="AJ81" s="11"/>
      <c r="AK81" s="48"/>
      <c r="AL81" s="11"/>
      <c r="AM81" s="49"/>
      <c r="AN81" s="49"/>
      <c r="AO81" s="11"/>
      <c r="AP81" s="11"/>
      <c r="AQ81" s="28" t="b">
        <f>IF(COUNTIF(SmartStatus!A$2:A1000, AM81) &gt; 2, TRUE, FALSE)</f>
        <v>0</v>
      </c>
      <c r="AR81" s="29" t="str">
        <f ca="1">IFERROR(__xludf.DUMMYFUNCTION("iferror(if(regexmatch(AO81, ""(?i)^registered""), if(EE81 &lt;&gt; ""polity_shortest_name"", ""CHECK_POLITY"", index(filter(SmartStatus!B$2:B1000, AM81 = SmartStatus!A$2:A1000, not(SmartStatus!C$2:C1000), (isblank(SmartStatus!D$2:D1000)) + ((P81 &lt;&gt; """") * (P81"&amp;" &lt; SmartStatus!D$2:D1000)), (isblank(SmartStatus!E$2:E1000)) + ((P81 &lt;&gt; """") * (P81 &gt;= SmartStatus!E$2:E1000)), (isblank(SmartStatus!F$2:F1000)) + (((Q81 &lt;&gt; """") * (Q81 &lt; SmartStatus!F$2:F1000)) + ((P81 &lt;&gt; """") * (date(year(P81) + 3, month(P81), day(P8"&amp;"1)) &lt; SmartStatus!F$2:F1000))), (isblank(SmartStatus!G$2:G1000)) + (((Q81 &lt;&gt; """") * (Q81 &gt;= SmartStatus!G$2:G1000)) + ((P81 &lt;&gt; """") * (P81 &gt;= SmartStatus!G$2:G1000)))), if(or(regexmatch(B81, ""(?i)^ir [a-z]+ designation$""), N81 &lt;&gt; """"), 1, 2))), """")"&amp;", ""NO_MATCH"")"),"")</f>
        <v/>
      </c>
      <c r="AS81" s="11"/>
      <c r="AT81" s="15"/>
      <c r="AU81" s="11"/>
      <c r="AV81" s="11"/>
      <c r="AW81" s="15"/>
      <c r="AX81" s="15"/>
      <c r="AY81" s="15"/>
      <c r="AZ81" s="11"/>
      <c r="BA81" s="15"/>
      <c r="BB81" s="11"/>
      <c r="BC81" s="11"/>
      <c r="BD81" s="15"/>
      <c r="BE81" s="11"/>
      <c r="BF81" s="11"/>
      <c r="BG81" s="15"/>
      <c r="BH81" s="15"/>
      <c r="BI81" s="15"/>
      <c r="BJ81" s="11"/>
      <c r="BK81" s="15"/>
      <c r="BL81" s="11"/>
      <c r="BM81" s="11"/>
      <c r="BN81" s="15"/>
      <c r="BO81" s="11"/>
      <c r="BP81" s="11"/>
      <c r="BQ81" s="15"/>
      <c r="BR81" s="15"/>
      <c r="BS81" s="15"/>
      <c r="BT81" s="11"/>
      <c r="BU81" s="15"/>
      <c r="BV81" s="11"/>
      <c r="BW81" s="11"/>
      <c r="BX81" s="15"/>
      <c r="BY81" s="11"/>
      <c r="BZ81" s="11"/>
      <c r="CA81" s="15"/>
      <c r="CB81" s="11"/>
      <c r="CC81" s="15"/>
      <c r="CD81" s="11"/>
      <c r="CE81" s="15"/>
      <c r="CF81" s="11"/>
      <c r="CG81" s="11"/>
      <c r="CH81" s="15"/>
      <c r="CI81" s="11"/>
      <c r="CJ81" s="11"/>
      <c r="CK81" s="15"/>
      <c r="CL81" s="11"/>
      <c r="CM81" s="11"/>
      <c r="CN81" s="11"/>
      <c r="CO81" s="11"/>
      <c r="CP81" s="28"/>
      <c r="CQ81" s="28"/>
      <c r="CR81" s="11"/>
      <c r="CS81" s="29"/>
      <c r="CT81" s="11"/>
      <c r="CU81" s="11"/>
      <c r="CV81" s="11"/>
      <c r="CW81" s="11"/>
      <c r="CX81" s="11"/>
      <c r="CY81" s="11"/>
      <c r="CZ81" s="11"/>
      <c r="DA81" s="28"/>
      <c r="DB81" s="28"/>
      <c r="DC81" s="11"/>
      <c r="DD81" s="29"/>
      <c r="DE81" s="11"/>
      <c r="DF81" s="11"/>
      <c r="DG81" s="11"/>
      <c r="DH81" s="11"/>
      <c r="DI81" s="11"/>
      <c r="DJ81" s="11"/>
      <c r="DK81" s="26"/>
      <c r="DL81" s="11"/>
      <c r="DM81" s="29"/>
      <c r="DN81" s="28"/>
      <c r="DO81" s="11"/>
      <c r="DP81" s="11"/>
      <c r="DQ81" s="11"/>
      <c r="DR81" s="29"/>
      <c r="DS81" s="28"/>
      <c r="DT81" s="11"/>
      <c r="DU81" s="26"/>
      <c r="DV81" s="11"/>
      <c r="DW81" s="29"/>
      <c r="DX81" s="28"/>
      <c r="DY81" s="11"/>
      <c r="DZ81" s="26"/>
      <c r="EA81" s="11"/>
      <c r="EB81" s="29"/>
      <c r="EC81" s="28"/>
      <c r="ED81" s="30"/>
      <c r="EE81" s="30" t="str">
        <f ca="1">IFERROR(__xludf.DUMMYFUNCTION("iferror(index(filter('Internal -- Trademark Countries'!E$2:E1000, (AM81 = 'Internal -- Trademark Countries'!B$2:B1000) + (AM81 = 'Internal -- Trademark Countries'!C$2:C1000) + (AM81 = 'Internal -- Trademark Countries'!D$2:D1000)), 1))"),"")</f>
        <v/>
      </c>
      <c r="EF81" s="30" t="e">
        <f ca="1">_xludf.ifs(AM81="", "", COUNTIF('Internal -- Trademark Countries'!B:B,AM81) &gt; 0, "polity_shortest_name", COUNTIF('Internal -- Trademark Countries'!C:C,AM81) &gt; 0, "polity_full_name", COUNTIF('Internal -- Trademark Countries'!D:D,AM81) &gt; 0, "polity_common_name", COUNTIF('Internal -- Trademark Countries'!E:E,AM81) &gt; 0, "shortest_name", COUNTIF('Internal -- Trademark Countries'!A:A,AM81) &gt; 0, "full_name", TRUE, "not a match")</f>
        <v>#NAME?</v>
      </c>
      <c r="EG81" s="30"/>
      <c r="EH81" s="30"/>
      <c r="EI81" s="30"/>
      <c r="EJ81" s="30"/>
      <c r="EK81" s="30" t="str">
        <f t="shared" si="2"/>
        <v/>
      </c>
    </row>
    <row r="82" spans="1:141" ht="16.5">
      <c r="A82" s="11"/>
      <c r="B82" s="11"/>
      <c r="C82" s="11"/>
      <c r="D82" s="11"/>
      <c r="E82" s="11"/>
      <c r="F82" s="11"/>
      <c r="G82" s="11"/>
      <c r="H82" s="11"/>
      <c r="I82" s="11"/>
      <c r="J82" s="11"/>
      <c r="K82" s="27"/>
      <c r="L82" s="11"/>
      <c r="M82" s="11"/>
      <c r="N82" s="11"/>
      <c r="O82" s="11"/>
      <c r="P82" s="15"/>
      <c r="Q82" s="15"/>
      <c r="R82" s="15"/>
      <c r="S82" s="15"/>
      <c r="T82" s="15"/>
      <c r="U82" s="15"/>
      <c r="V82" s="15"/>
      <c r="W82" s="47"/>
      <c r="X82" s="11"/>
      <c r="Y82" s="48"/>
      <c r="Z82" s="11"/>
      <c r="AA82" s="48"/>
      <c r="AB82" s="11"/>
      <c r="AC82" s="48"/>
      <c r="AD82" s="11"/>
      <c r="AE82" s="47"/>
      <c r="AF82" s="11"/>
      <c r="AG82" s="48"/>
      <c r="AH82" s="11"/>
      <c r="AI82" s="48"/>
      <c r="AJ82" s="11"/>
      <c r="AK82" s="48"/>
      <c r="AL82" s="11"/>
      <c r="AM82" s="49"/>
      <c r="AN82" s="49"/>
      <c r="AO82" s="11"/>
      <c r="AP82" s="11"/>
      <c r="AQ82" s="28" t="b">
        <f>IF(COUNTIF(SmartStatus!A$2:A1000, AM82) &gt; 2, TRUE, FALSE)</f>
        <v>0</v>
      </c>
      <c r="AR82" s="29" t="str">
        <f ca="1">IFERROR(__xludf.DUMMYFUNCTION("iferror(if(regexmatch(AO82, ""(?i)^registered""), if(EE82 &lt;&gt; ""polity_shortest_name"", ""CHECK_POLITY"", index(filter(SmartStatus!B$2:B1000, AM82 = SmartStatus!A$2:A1000, not(SmartStatus!C$2:C1000), (isblank(SmartStatus!D$2:D1000)) + ((P82 &lt;&gt; """") * (P82"&amp;" &lt; SmartStatus!D$2:D1000)), (isblank(SmartStatus!E$2:E1000)) + ((P82 &lt;&gt; """") * (P82 &gt;= SmartStatus!E$2:E1000)), (isblank(SmartStatus!F$2:F1000)) + (((Q82 &lt;&gt; """") * (Q82 &lt; SmartStatus!F$2:F1000)) + ((P82 &lt;&gt; """") * (date(year(P82) + 3, month(P82), day(P8"&amp;"2)) &lt; SmartStatus!F$2:F1000))), (isblank(SmartStatus!G$2:G1000)) + (((Q82 &lt;&gt; """") * (Q82 &gt;= SmartStatus!G$2:G1000)) + ((P82 &lt;&gt; """") * (P82 &gt;= SmartStatus!G$2:G1000)))), if(or(regexmatch(B82, ""(?i)^ir [a-z]+ designation$""), N82 &lt;&gt; """"), 1, 2))), """")"&amp;", ""NO_MATCH"")"),"")</f>
        <v/>
      </c>
      <c r="AS82" s="11"/>
      <c r="AT82" s="15"/>
      <c r="AU82" s="11"/>
      <c r="AV82" s="11"/>
      <c r="AW82" s="15"/>
      <c r="AX82" s="15"/>
      <c r="AY82" s="15"/>
      <c r="AZ82" s="11"/>
      <c r="BA82" s="15"/>
      <c r="BB82" s="11"/>
      <c r="BC82" s="11"/>
      <c r="BD82" s="15"/>
      <c r="BE82" s="11"/>
      <c r="BF82" s="11"/>
      <c r="BG82" s="15"/>
      <c r="BH82" s="15"/>
      <c r="BI82" s="15"/>
      <c r="BJ82" s="11"/>
      <c r="BK82" s="15"/>
      <c r="BL82" s="11"/>
      <c r="BM82" s="11"/>
      <c r="BN82" s="15"/>
      <c r="BO82" s="11"/>
      <c r="BP82" s="11"/>
      <c r="BQ82" s="15"/>
      <c r="BR82" s="15"/>
      <c r="BS82" s="15"/>
      <c r="BT82" s="11"/>
      <c r="BU82" s="15"/>
      <c r="BV82" s="11"/>
      <c r="BW82" s="11"/>
      <c r="BX82" s="15"/>
      <c r="BY82" s="11"/>
      <c r="BZ82" s="11"/>
      <c r="CA82" s="15"/>
      <c r="CB82" s="11"/>
      <c r="CC82" s="15"/>
      <c r="CD82" s="11"/>
      <c r="CE82" s="15"/>
      <c r="CF82" s="11"/>
      <c r="CG82" s="11"/>
      <c r="CH82" s="15"/>
      <c r="CI82" s="11"/>
      <c r="CJ82" s="11"/>
      <c r="CK82" s="15"/>
      <c r="CL82" s="11"/>
      <c r="CM82" s="11"/>
      <c r="CN82" s="11"/>
      <c r="CO82" s="11"/>
      <c r="CP82" s="28"/>
      <c r="CQ82" s="28"/>
      <c r="CR82" s="11"/>
      <c r="CS82" s="29"/>
      <c r="CT82" s="11"/>
      <c r="CU82" s="11"/>
      <c r="CV82" s="11"/>
      <c r="CW82" s="11"/>
      <c r="CX82" s="11"/>
      <c r="CY82" s="11"/>
      <c r="CZ82" s="11"/>
      <c r="DA82" s="28"/>
      <c r="DB82" s="28"/>
      <c r="DC82" s="11"/>
      <c r="DD82" s="29"/>
      <c r="DE82" s="11"/>
      <c r="DF82" s="11"/>
      <c r="DG82" s="11"/>
      <c r="DH82" s="11"/>
      <c r="DI82" s="11"/>
      <c r="DJ82" s="11"/>
      <c r="DK82" s="26"/>
      <c r="DL82" s="11"/>
      <c r="DM82" s="29"/>
      <c r="DN82" s="28"/>
      <c r="DO82" s="11"/>
      <c r="DP82" s="11"/>
      <c r="DQ82" s="11"/>
      <c r="DR82" s="29"/>
      <c r="DS82" s="28"/>
      <c r="DT82" s="11"/>
      <c r="DU82" s="26"/>
      <c r="DV82" s="11"/>
      <c r="DW82" s="29"/>
      <c r="DX82" s="28"/>
      <c r="DY82" s="11"/>
      <c r="DZ82" s="26"/>
      <c r="EA82" s="11"/>
      <c r="EB82" s="29"/>
      <c r="EC82" s="28"/>
      <c r="ED82" s="30"/>
      <c r="EE82" s="30" t="str">
        <f ca="1">IFERROR(__xludf.DUMMYFUNCTION("iferror(index(filter('Internal -- Trademark Countries'!E$2:E1000, (AM82 = 'Internal -- Trademark Countries'!B$2:B1000) + (AM82 = 'Internal -- Trademark Countries'!C$2:C1000) + (AM82 = 'Internal -- Trademark Countries'!D$2:D1000)), 1))"),"")</f>
        <v/>
      </c>
      <c r="EF82" s="30" t="e">
        <f ca="1">_xludf.ifs(AM82="", "", COUNTIF('Internal -- Trademark Countries'!B:B,AM82) &gt; 0, "polity_shortest_name", COUNTIF('Internal -- Trademark Countries'!C:C,AM82) &gt; 0, "polity_full_name", COUNTIF('Internal -- Trademark Countries'!D:D,AM82) &gt; 0, "polity_common_name", COUNTIF('Internal -- Trademark Countries'!E:E,AM82) &gt; 0, "shortest_name", COUNTIF('Internal -- Trademark Countries'!A:A,AM82) &gt; 0, "full_name", TRUE, "not a match")</f>
        <v>#NAME?</v>
      </c>
      <c r="EG82" s="30"/>
      <c r="EH82" s="30"/>
      <c r="EI82" s="30"/>
      <c r="EJ82" s="30"/>
      <c r="EK82" s="30" t="str">
        <f t="shared" si="2"/>
        <v/>
      </c>
    </row>
    <row r="83" spans="1:141" ht="16.5">
      <c r="A83" s="11"/>
      <c r="B83" s="11"/>
      <c r="C83" s="11"/>
      <c r="D83" s="11"/>
      <c r="E83" s="11"/>
      <c r="F83" s="11"/>
      <c r="G83" s="11"/>
      <c r="H83" s="11"/>
      <c r="I83" s="11"/>
      <c r="J83" s="11"/>
      <c r="K83" s="27"/>
      <c r="L83" s="11"/>
      <c r="M83" s="11"/>
      <c r="N83" s="11"/>
      <c r="O83" s="11"/>
      <c r="P83" s="15"/>
      <c r="Q83" s="15"/>
      <c r="R83" s="15"/>
      <c r="S83" s="15"/>
      <c r="T83" s="15"/>
      <c r="U83" s="15"/>
      <c r="V83" s="15"/>
      <c r="W83" s="47"/>
      <c r="X83" s="11"/>
      <c r="Y83" s="48"/>
      <c r="Z83" s="11"/>
      <c r="AA83" s="48"/>
      <c r="AB83" s="11"/>
      <c r="AC83" s="48"/>
      <c r="AD83" s="11"/>
      <c r="AE83" s="47"/>
      <c r="AF83" s="11"/>
      <c r="AG83" s="48"/>
      <c r="AH83" s="11"/>
      <c r="AI83" s="48"/>
      <c r="AJ83" s="11"/>
      <c r="AK83" s="48"/>
      <c r="AL83" s="11"/>
      <c r="AM83" s="49"/>
      <c r="AN83" s="49"/>
      <c r="AO83" s="11"/>
      <c r="AP83" s="11"/>
      <c r="AQ83" s="28" t="b">
        <f>IF(COUNTIF(SmartStatus!A$2:A1000, AM83) &gt; 2, TRUE, FALSE)</f>
        <v>0</v>
      </c>
      <c r="AR83" s="29" t="str">
        <f ca="1">IFERROR(__xludf.DUMMYFUNCTION("iferror(if(regexmatch(AO83, ""(?i)^registered""), if(EE83 &lt;&gt; ""polity_shortest_name"", ""CHECK_POLITY"", index(filter(SmartStatus!B$2:B1000, AM83 = SmartStatus!A$2:A1000, not(SmartStatus!C$2:C1000), (isblank(SmartStatus!D$2:D1000)) + ((P83 &lt;&gt; """") * (P83"&amp;" &lt; SmartStatus!D$2:D1000)), (isblank(SmartStatus!E$2:E1000)) + ((P83 &lt;&gt; """") * (P83 &gt;= SmartStatus!E$2:E1000)), (isblank(SmartStatus!F$2:F1000)) + (((Q83 &lt;&gt; """") * (Q83 &lt; SmartStatus!F$2:F1000)) + ((P83 &lt;&gt; """") * (date(year(P83) + 3, month(P83), day(P8"&amp;"3)) &lt; SmartStatus!F$2:F1000))), (isblank(SmartStatus!G$2:G1000)) + (((Q83 &lt;&gt; """") * (Q83 &gt;= SmartStatus!G$2:G1000)) + ((P83 &lt;&gt; """") * (P83 &gt;= SmartStatus!G$2:G1000)))), if(or(regexmatch(B83, ""(?i)^ir [a-z]+ designation$""), N83 &lt;&gt; """"), 1, 2))), """")"&amp;", ""NO_MATCH"")"),"")</f>
        <v/>
      </c>
      <c r="AS83" s="11"/>
      <c r="AT83" s="15"/>
      <c r="AU83" s="11"/>
      <c r="AV83" s="11"/>
      <c r="AW83" s="15"/>
      <c r="AX83" s="15"/>
      <c r="AY83" s="15"/>
      <c r="AZ83" s="11"/>
      <c r="BA83" s="15"/>
      <c r="BB83" s="11"/>
      <c r="BC83" s="11"/>
      <c r="BD83" s="15"/>
      <c r="BE83" s="11"/>
      <c r="BF83" s="11"/>
      <c r="BG83" s="15"/>
      <c r="BH83" s="15"/>
      <c r="BI83" s="15"/>
      <c r="BJ83" s="11"/>
      <c r="BK83" s="15"/>
      <c r="BL83" s="11"/>
      <c r="BM83" s="11"/>
      <c r="BN83" s="15"/>
      <c r="BO83" s="11"/>
      <c r="BP83" s="11"/>
      <c r="BQ83" s="15"/>
      <c r="BR83" s="15"/>
      <c r="BS83" s="15"/>
      <c r="BT83" s="11"/>
      <c r="BU83" s="15"/>
      <c r="BV83" s="11"/>
      <c r="BW83" s="11"/>
      <c r="BX83" s="15"/>
      <c r="BY83" s="11"/>
      <c r="BZ83" s="11"/>
      <c r="CA83" s="15"/>
      <c r="CB83" s="11"/>
      <c r="CC83" s="15"/>
      <c r="CD83" s="11"/>
      <c r="CE83" s="15"/>
      <c r="CF83" s="11"/>
      <c r="CG83" s="11"/>
      <c r="CH83" s="15"/>
      <c r="CI83" s="11"/>
      <c r="CJ83" s="11"/>
      <c r="CK83" s="15"/>
      <c r="CL83" s="11"/>
      <c r="CM83" s="11"/>
      <c r="CN83" s="11"/>
      <c r="CO83" s="11"/>
      <c r="CP83" s="28"/>
      <c r="CQ83" s="28"/>
      <c r="CR83" s="11"/>
      <c r="CS83" s="29"/>
      <c r="CT83" s="11"/>
      <c r="CU83" s="11"/>
      <c r="CV83" s="11"/>
      <c r="CW83" s="11"/>
      <c r="CX83" s="11"/>
      <c r="CY83" s="11"/>
      <c r="CZ83" s="11"/>
      <c r="DA83" s="28"/>
      <c r="DB83" s="28"/>
      <c r="DC83" s="11"/>
      <c r="DD83" s="29"/>
      <c r="DE83" s="11"/>
      <c r="DF83" s="11"/>
      <c r="DG83" s="11"/>
      <c r="DH83" s="11"/>
      <c r="DI83" s="11"/>
      <c r="DJ83" s="11"/>
      <c r="DK83" s="26"/>
      <c r="DL83" s="11"/>
      <c r="DM83" s="29"/>
      <c r="DN83" s="28"/>
      <c r="DO83" s="11"/>
      <c r="DP83" s="11"/>
      <c r="DQ83" s="11"/>
      <c r="DR83" s="29"/>
      <c r="DS83" s="28"/>
      <c r="DT83" s="11"/>
      <c r="DU83" s="26"/>
      <c r="DV83" s="11"/>
      <c r="DW83" s="29"/>
      <c r="DX83" s="28"/>
      <c r="DY83" s="11"/>
      <c r="DZ83" s="26"/>
      <c r="EA83" s="11"/>
      <c r="EB83" s="29"/>
      <c r="EC83" s="28"/>
      <c r="ED83" s="30"/>
      <c r="EE83" s="30" t="str">
        <f ca="1">IFERROR(__xludf.DUMMYFUNCTION("iferror(index(filter('Internal -- Trademark Countries'!E$2:E1000, (AM83 = 'Internal -- Trademark Countries'!B$2:B1000) + (AM83 = 'Internal -- Trademark Countries'!C$2:C1000) + (AM83 = 'Internal -- Trademark Countries'!D$2:D1000)), 1))"),"")</f>
        <v/>
      </c>
      <c r="EF83" s="30" t="e">
        <f ca="1">_xludf.ifs(AM83="", "", COUNTIF('Internal -- Trademark Countries'!B:B,AM83) &gt; 0, "polity_shortest_name", COUNTIF('Internal -- Trademark Countries'!C:C,AM83) &gt; 0, "polity_full_name", COUNTIF('Internal -- Trademark Countries'!D:D,AM83) &gt; 0, "polity_common_name", COUNTIF('Internal -- Trademark Countries'!E:E,AM83) &gt; 0, "shortest_name", COUNTIF('Internal -- Trademark Countries'!A:A,AM83) &gt; 0, "full_name", TRUE, "not a match")</f>
        <v>#NAME?</v>
      </c>
      <c r="EG83" s="30"/>
      <c r="EH83" s="30"/>
      <c r="EI83" s="30"/>
      <c r="EJ83" s="30"/>
      <c r="EK83" s="30" t="str">
        <f t="shared" si="2"/>
        <v/>
      </c>
    </row>
    <row r="84" spans="1:141" ht="16.5">
      <c r="A84" s="11"/>
      <c r="B84" s="11"/>
      <c r="C84" s="11"/>
      <c r="D84" s="11"/>
      <c r="E84" s="11"/>
      <c r="F84" s="11"/>
      <c r="G84" s="11"/>
      <c r="H84" s="11"/>
      <c r="I84" s="11"/>
      <c r="J84" s="11"/>
      <c r="K84" s="27"/>
      <c r="L84" s="11"/>
      <c r="M84" s="11"/>
      <c r="N84" s="11"/>
      <c r="O84" s="11"/>
      <c r="P84" s="15"/>
      <c r="Q84" s="15"/>
      <c r="R84" s="15"/>
      <c r="S84" s="15"/>
      <c r="T84" s="15"/>
      <c r="U84" s="15"/>
      <c r="V84" s="15"/>
      <c r="W84" s="47"/>
      <c r="X84" s="11"/>
      <c r="Y84" s="48"/>
      <c r="Z84" s="11"/>
      <c r="AA84" s="48"/>
      <c r="AB84" s="11"/>
      <c r="AC84" s="48"/>
      <c r="AD84" s="11"/>
      <c r="AE84" s="47"/>
      <c r="AF84" s="11"/>
      <c r="AG84" s="48"/>
      <c r="AH84" s="11"/>
      <c r="AI84" s="48"/>
      <c r="AJ84" s="11"/>
      <c r="AK84" s="48"/>
      <c r="AL84" s="11"/>
      <c r="AM84" s="49"/>
      <c r="AN84" s="49"/>
      <c r="AO84" s="11"/>
      <c r="AP84" s="11"/>
      <c r="AQ84" s="28" t="b">
        <f>IF(COUNTIF(SmartStatus!A$2:A1000, AM84) &gt; 2, TRUE, FALSE)</f>
        <v>0</v>
      </c>
      <c r="AR84" s="29" t="str">
        <f ca="1">IFERROR(__xludf.DUMMYFUNCTION("iferror(if(regexmatch(AO84, ""(?i)^registered""), if(EE84 &lt;&gt; ""polity_shortest_name"", ""CHECK_POLITY"", index(filter(SmartStatus!B$2:B1000, AM84 = SmartStatus!A$2:A1000, not(SmartStatus!C$2:C1000), (isblank(SmartStatus!D$2:D1000)) + ((P84 &lt;&gt; """") * (P84"&amp;" &lt; SmartStatus!D$2:D1000)), (isblank(SmartStatus!E$2:E1000)) + ((P84 &lt;&gt; """") * (P84 &gt;= SmartStatus!E$2:E1000)), (isblank(SmartStatus!F$2:F1000)) + (((Q84 &lt;&gt; """") * (Q84 &lt; SmartStatus!F$2:F1000)) + ((P84 &lt;&gt; """") * (date(year(P84) + 3, month(P84), day(P8"&amp;"4)) &lt; SmartStatus!F$2:F1000))), (isblank(SmartStatus!G$2:G1000)) + (((Q84 &lt;&gt; """") * (Q84 &gt;= SmartStatus!G$2:G1000)) + ((P84 &lt;&gt; """") * (P84 &gt;= SmartStatus!G$2:G1000)))), if(or(regexmatch(B84, ""(?i)^ir [a-z]+ designation$""), N84 &lt;&gt; """"), 1, 2))), """")"&amp;", ""NO_MATCH"")"),"")</f>
        <v/>
      </c>
      <c r="AS84" s="11"/>
      <c r="AT84" s="15"/>
      <c r="AU84" s="11"/>
      <c r="AV84" s="11"/>
      <c r="AW84" s="15"/>
      <c r="AX84" s="15"/>
      <c r="AY84" s="15"/>
      <c r="AZ84" s="11"/>
      <c r="BA84" s="15"/>
      <c r="BB84" s="11"/>
      <c r="BC84" s="11"/>
      <c r="BD84" s="15"/>
      <c r="BE84" s="11"/>
      <c r="BF84" s="11"/>
      <c r="BG84" s="15"/>
      <c r="BH84" s="15"/>
      <c r="BI84" s="15"/>
      <c r="BJ84" s="11"/>
      <c r="BK84" s="15"/>
      <c r="BL84" s="11"/>
      <c r="BM84" s="11"/>
      <c r="BN84" s="15"/>
      <c r="BO84" s="11"/>
      <c r="BP84" s="11"/>
      <c r="BQ84" s="15"/>
      <c r="BR84" s="15"/>
      <c r="BS84" s="15"/>
      <c r="BT84" s="11"/>
      <c r="BU84" s="15"/>
      <c r="BV84" s="11"/>
      <c r="BW84" s="11"/>
      <c r="BX84" s="15"/>
      <c r="BY84" s="11"/>
      <c r="BZ84" s="11"/>
      <c r="CA84" s="15"/>
      <c r="CB84" s="11"/>
      <c r="CC84" s="15"/>
      <c r="CD84" s="11"/>
      <c r="CE84" s="15"/>
      <c r="CF84" s="11"/>
      <c r="CG84" s="11"/>
      <c r="CH84" s="15"/>
      <c r="CI84" s="11"/>
      <c r="CJ84" s="11"/>
      <c r="CK84" s="15"/>
      <c r="CL84" s="11"/>
      <c r="CM84" s="11"/>
      <c r="CN84" s="11"/>
      <c r="CO84" s="11"/>
      <c r="CP84" s="28"/>
      <c r="CQ84" s="28"/>
      <c r="CR84" s="11"/>
      <c r="CS84" s="29"/>
      <c r="CT84" s="11"/>
      <c r="CU84" s="11"/>
      <c r="CV84" s="11"/>
      <c r="CW84" s="11"/>
      <c r="CX84" s="11"/>
      <c r="CY84" s="11"/>
      <c r="CZ84" s="11"/>
      <c r="DA84" s="28"/>
      <c r="DB84" s="28"/>
      <c r="DC84" s="11"/>
      <c r="DD84" s="29"/>
      <c r="DE84" s="11"/>
      <c r="DF84" s="11"/>
      <c r="DG84" s="11"/>
      <c r="DH84" s="11"/>
      <c r="DI84" s="11"/>
      <c r="DJ84" s="11"/>
      <c r="DK84" s="26"/>
      <c r="DL84" s="11"/>
      <c r="DM84" s="29"/>
      <c r="DN84" s="28"/>
      <c r="DO84" s="11"/>
      <c r="DP84" s="11"/>
      <c r="DQ84" s="11"/>
      <c r="DR84" s="29"/>
      <c r="DS84" s="28"/>
      <c r="DT84" s="11"/>
      <c r="DU84" s="26"/>
      <c r="DV84" s="11"/>
      <c r="DW84" s="29"/>
      <c r="DX84" s="28"/>
      <c r="DY84" s="11"/>
      <c r="DZ84" s="26"/>
      <c r="EA84" s="11"/>
      <c r="EB84" s="29"/>
      <c r="EC84" s="28"/>
      <c r="ED84" s="30"/>
      <c r="EE84" s="30" t="str">
        <f ca="1">IFERROR(__xludf.DUMMYFUNCTION("iferror(index(filter('Internal -- Trademark Countries'!E$2:E1000, (AM84 = 'Internal -- Trademark Countries'!B$2:B1000) + (AM84 = 'Internal -- Trademark Countries'!C$2:C1000) + (AM84 = 'Internal -- Trademark Countries'!D$2:D1000)), 1))"),"")</f>
        <v/>
      </c>
      <c r="EF84" s="30" t="e">
        <f ca="1">_xludf.ifs(AM84="", "", COUNTIF('Internal -- Trademark Countries'!B:B,AM84) &gt; 0, "polity_shortest_name", COUNTIF('Internal -- Trademark Countries'!C:C,AM84) &gt; 0, "polity_full_name", COUNTIF('Internal -- Trademark Countries'!D:D,AM84) &gt; 0, "polity_common_name", COUNTIF('Internal -- Trademark Countries'!E:E,AM84) &gt; 0, "shortest_name", COUNTIF('Internal -- Trademark Countries'!A:A,AM84) &gt; 0, "full_name", TRUE, "not a match")</f>
        <v>#NAME?</v>
      </c>
      <c r="EG84" s="30"/>
      <c r="EH84" s="30"/>
      <c r="EI84" s="30"/>
      <c r="EJ84" s="30"/>
      <c r="EK84" s="30" t="str">
        <f t="shared" si="2"/>
        <v/>
      </c>
    </row>
    <row r="85" spans="1:141" ht="16.5">
      <c r="A85" s="11"/>
      <c r="B85" s="11"/>
      <c r="C85" s="11"/>
      <c r="D85" s="11"/>
      <c r="E85" s="11"/>
      <c r="F85" s="11"/>
      <c r="G85" s="11"/>
      <c r="H85" s="11"/>
      <c r="I85" s="11"/>
      <c r="J85" s="11"/>
      <c r="K85" s="27"/>
      <c r="L85" s="11"/>
      <c r="M85" s="11"/>
      <c r="N85" s="11"/>
      <c r="O85" s="11"/>
      <c r="P85" s="15"/>
      <c r="Q85" s="15"/>
      <c r="R85" s="15"/>
      <c r="S85" s="15"/>
      <c r="T85" s="15"/>
      <c r="U85" s="15"/>
      <c r="V85" s="15"/>
      <c r="W85" s="47"/>
      <c r="X85" s="11"/>
      <c r="Y85" s="48"/>
      <c r="Z85" s="11"/>
      <c r="AA85" s="48"/>
      <c r="AB85" s="11"/>
      <c r="AC85" s="48"/>
      <c r="AD85" s="11"/>
      <c r="AE85" s="47"/>
      <c r="AF85" s="11"/>
      <c r="AG85" s="48"/>
      <c r="AH85" s="11"/>
      <c r="AI85" s="48"/>
      <c r="AJ85" s="11"/>
      <c r="AK85" s="48"/>
      <c r="AL85" s="11"/>
      <c r="AM85" s="49"/>
      <c r="AN85" s="49"/>
      <c r="AO85" s="11"/>
      <c r="AP85" s="11"/>
      <c r="AQ85" s="28" t="b">
        <f>IF(COUNTIF(SmartStatus!A$2:A1000, AM85) &gt; 2, TRUE, FALSE)</f>
        <v>0</v>
      </c>
      <c r="AR85" s="29" t="str">
        <f ca="1">IFERROR(__xludf.DUMMYFUNCTION("iferror(if(regexmatch(AO85, ""(?i)^registered""), if(EE85 &lt;&gt; ""polity_shortest_name"", ""CHECK_POLITY"", index(filter(SmartStatus!B$2:B1000, AM85 = SmartStatus!A$2:A1000, not(SmartStatus!C$2:C1000), (isblank(SmartStatus!D$2:D1000)) + ((P85 &lt;&gt; """") * (P85"&amp;" &lt; SmartStatus!D$2:D1000)), (isblank(SmartStatus!E$2:E1000)) + ((P85 &lt;&gt; """") * (P85 &gt;= SmartStatus!E$2:E1000)), (isblank(SmartStatus!F$2:F1000)) + (((Q85 &lt;&gt; """") * (Q85 &lt; SmartStatus!F$2:F1000)) + ((P85 &lt;&gt; """") * (date(year(P85) + 3, month(P85), day(P8"&amp;"5)) &lt; SmartStatus!F$2:F1000))), (isblank(SmartStatus!G$2:G1000)) + (((Q85 &lt;&gt; """") * (Q85 &gt;= SmartStatus!G$2:G1000)) + ((P85 &lt;&gt; """") * (P85 &gt;= SmartStatus!G$2:G1000)))), if(or(regexmatch(B85, ""(?i)^ir [a-z]+ designation$""), N85 &lt;&gt; """"), 1, 2))), """")"&amp;", ""NO_MATCH"")"),"")</f>
        <v/>
      </c>
      <c r="AS85" s="11"/>
      <c r="AT85" s="15"/>
      <c r="AU85" s="11"/>
      <c r="AV85" s="11"/>
      <c r="AW85" s="15"/>
      <c r="AX85" s="15"/>
      <c r="AY85" s="15"/>
      <c r="AZ85" s="11"/>
      <c r="BA85" s="15"/>
      <c r="BB85" s="11"/>
      <c r="BC85" s="11"/>
      <c r="BD85" s="15"/>
      <c r="BE85" s="11"/>
      <c r="BF85" s="11"/>
      <c r="BG85" s="15"/>
      <c r="BH85" s="15"/>
      <c r="BI85" s="15"/>
      <c r="BJ85" s="11"/>
      <c r="BK85" s="15"/>
      <c r="BL85" s="11"/>
      <c r="BM85" s="11"/>
      <c r="BN85" s="15"/>
      <c r="BO85" s="11"/>
      <c r="BP85" s="11"/>
      <c r="BQ85" s="15"/>
      <c r="BR85" s="15"/>
      <c r="BS85" s="15"/>
      <c r="BT85" s="11"/>
      <c r="BU85" s="15"/>
      <c r="BV85" s="11"/>
      <c r="BW85" s="11"/>
      <c r="BX85" s="15"/>
      <c r="BY85" s="11"/>
      <c r="BZ85" s="11"/>
      <c r="CA85" s="15"/>
      <c r="CB85" s="11"/>
      <c r="CC85" s="15"/>
      <c r="CD85" s="11"/>
      <c r="CE85" s="15"/>
      <c r="CF85" s="11"/>
      <c r="CG85" s="11"/>
      <c r="CH85" s="15"/>
      <c r="CI85" s="11"/>
      <c r="CJ85" s="11"/>
      <c r="CK85" s="15"/>
      <c r="CL85" s="11"/>
      <c r="CM85" s="11"/>
      <c r="CN85" s="11"/>
      <c r="CO85" s="11"/>
      <c r="CP85" s="28"/>
      <c r="CQ85" s="28"/>
      <c r="CR85" s="11"/>
      <c r="CS85" s="29"/>
      <c r="CT85" s="11"/>
      <c r="CU85" s="11"/>
      <c r="CV85" s="11"/>
      <c r="CW85" s="11"/>
      <c r="CX85" s="11"/>
      <c r="CY85" s="11"/>
      <c r="CZ85" s="11"/>
      <c r="DA85" s="28"/>
      <c r="DB85" s="28"/>
      <c r="DC85" s="11"/>
      <c r="DD85" s="29"/>
      <c r="DE85" s="11"/>
      <c r="DF85" s="11"/>
      <c r="DG85" s="11"/>
      <c r="DH85" s="11"/>
      <c r="DI85" s="11"/>
      <c r="DJ85" s="11"/>
      <c r="DK85" s="26"/>
      <c r="DL85" s="11"/>
      <c r="DM85" s="29"/>
      <c r="DN85" s="28"/>
      <c r="DO85" s="11"/>
      <c r="DP85" s="11"/>
      <c r="DQ85" s="11"/>
      <c r="DR85" s="29"/>
      <c r="DS85" s="28"/>
      <c r="DT85" s="11"/>
      <c r="DU85" s="26"/>
      <c r="DV85" s="11"/>
      <c r="DW85" s="29"/>
      <c r="DX85" s="28"/>
      <c r="DY85" s="11"/>
      <c r="DZ85" s="26"/>
      <c r="EA85" s="11"/>
      <c r="EB85" s="29"/>
      <c r="EC85" s="28"/>
      <c r="ED85" s="30"/>
      <c r="EE85" s="30" t="str">
        <f ca="1">IFERROR(__xludf.DUMMYFUNCTION("iferror(index(filter('Internal -- Trademark Countries'!E$2:E1000, (AM85 = 'Internal -- Trademark Countries'!B$2:B1000) + (AM85 = 'Internal -- Trademark Countries'!C$2:C1000) + (AM85 = 'Internal -- Trademark Countries'!D$2:D1000)), 1))"),"")</f>
        <v/>
      </c>
      <c r="EF85" s="30" t="e">
        <f ca="1">_xludf.ifs(AM85="", "", COUNTIF('Internal -- Trademark Countries'!B:B,AM85) &gt; 0, "polity_shortest_name", COUNTIF('Internal -- Trademark Countries'!C:C,AM85) &gt; 0, "polity_full_name", COUNTIF('Internal -- Trademark Countries'!D:D,AM85) &gt; 0, "polity_common_name", COUNTIF('Internal -- Trademark Countries'!E:E,AM85) &gt; 0, "shortest_name", COUNTIF('Internal -- Trademark Countries'!A:A,AM85) &gt; 0, "full_name", TRUE, "not a match")</f>
        <v>#NAME?</v>
      </c>
      <c r="EG85" s="30"/>
      <c r="EH85" s="30"/>
      <c r="EI85" s="30"/>
      <c r="EJ85" s="30"/>
      <c r="EK85" s="30" t="str">
        <f t="shared" si="2"/>
        <v/>
      </c>
    </row>
    <row r="86" spans="1:141" ht="16.5">
      <c r="A86" s="11"/>
      <c r="B86" s="11"/>
      <c r="C86" s="11"/>
      <c r="D86" s="11"/>
      <c r="E86" s="11"/>
      <c r="F86" s="11"/>
      <c r="G86" s="11"/>
      <c r="H86" s="11"/>
      <c r="I86" s="11"/>
      <c r="J86" s="11"/>
      <c r="K86" s="27"/>
      <c r="L86" s="11"/>
      <c r="M86" s="11"/>
      <c r="N86" s="11"/>
      <c r="O86" s="11"/>
      <c r="P86" s="15"/>
      <c r="Q86" s="15"/>
      <c r="R86" s="15"/>
      <c r="S86" s="15"/>
      <c r="T86" s="15"/>
      <c r="U86" s="15"/>
      <c r="V86" s="15"/>
      <c r="W86" s="47"/>
      <c r="X86" s="11"/>
      <c r="Y86" s="48"/>
      <c r="Z86" s="11"/>
      <c r="AA86" s="48"/>
      <c r="AB86" s="11"/>
      <c r="AC86" s="48"/>
      <c r="AD86" s="11"/>
      <c r="AE86" s="47"/>
      <c r="AF86" s="11"/>
      <c r="AG86" s="48"/>
      <c r="AH86" s="11"/>
      <c r="AI86" s="48"/>
      <c r="AJ86" s="11"/>
      <c r="AK86" s="48"/>
      <c r="AL86" s="11"/>
      <c r="AM86" s="49"/>
      <c r="AN86" s="49"/>
      <c r="AO86" s="11"/>
      <c r="AP86" s="11"/>
      <c r="AQ86" s="28" t="b">
        <f>IF(COUNTIF(SmartStatus!A$2:A1000, AM86) &gt; 2, TRUE, FALSE)</f>
        <v>0</v>
      </c>
      <c r="AR86" s="29" t="str">
        <f ca="1">IFERROR(__xludf.DUMMYFUNCTION("iferror(if(regexmatch(AO86, ""(?i)^registered""), if(EE86 &lt;&gt; ""polity_shortest_name"", ""CHECK_POLITY"", index(filter(SmartStatus!B$2:B1000, AM86 = SmartStatus!A$2:A1000, not(SmartStatus!C$2:C1000), (isblank(SmartStatus!D$2:D1000)) + ((P86 &lt;&gt; """") * (P86"&amp;" &lt; SmartStatus!D$2:D1000)), (isblank(SmartStatus!E$2:E1000)) + ((P86 &lt;&gt; """") * (P86 &gt;= SmartStatus!E$2:E1000)), (isblank(SmartStatus!F$2:F1000)) + (((Q86 &lt;&gt; """") * (Q86 &lt; SmartStatus!F$2:F1000)) + ((P86 &lt;&gt; """") * (date(year(P86) + 3, month(P86), day(P8"&amp;"6)) &lt; SmartStatus!F$2:F1000))), (isblank(SmartStatus!G$2:G1000)) + (((Q86 &lt;&gt; """") * (Q86 &gt;= SmartStatus!G$2:G1000)) + ((P86 &lt;&gt; """") * (P86 &gt;= SmartStatus!G$2:G1000)))), if(or(regexmatch(B86, ""(?i)^ir [a-z]+ designation$""), N86 &lt;&gt; """"), 1, 2))), """")"&amp;", ""NO_MATCH"")"),"")</f>
        <v/>
      </c>
      <c r="AS86" s="11"/>
      <c r="AT86" s="15"/>
      <c r="AU86" s="11"/>
      <c r="AV86" s="11"/>
      <c r="AW86" s="15"/>
      <c r="AX86" s="15"/>
      <c r="AY86" s="15"/>
      <c r="AZ86" s="11"/>
      <c r="BA86" s="15"/>
      <c r="BB86" s="11"/>
      <c r="BC86" s="11"/>
      <c r="BD86" s="15"/>
      <c r="BE86" s="11"/>
      <c r="BF86" s="11"/>
      <c r="BG86" s="15"/>
      <c r="BH86" s="15"/>
      <c r="BI86" s="15"/>
      <c r="BJ86" s="11"/>
      <c r="BK86" s="15"/>
      <c r="BL86" s="11"/>
      <c r="BM86" s="11"/>
      <c r="BN86" s="15"/>
      <c r="BO86" s="11"/>
      <c r="BP86" s="11"/>
      <c r="BQ86" s="15"/>
      <c r="BR86" s="15"/>
      <c r="BS86" s="15"/>
      <c r="BT86" s="11"/>
      <c r="BU86" s="15"/>
      <c r="BV86" s="11"/>
      <c r="BW86" s="11"/>
      <c r="BX86" s="15"/>
      <c r="BY86" s="11"/>
      <c r="BZ86" s="11"/>
      <c r="CA86" s="15"/>
      <c r="CB86" s="11"/>
      <c r="CC86" s="15"/>
      <c r="CD86" s="11"/>
      <c r="CE86" s="15"/>
      <c r="CF86" s="11"/>
      <c r="CG86" s="11"/>
      <c r="CH86" s="15"/>
      <c r="CI86" s="11"/>
      <c r="CJ86" s="11"/>
      <c r="CK86" s="15"/>
      <c r="CL86" s="11"/>
      <c r="CM86" s="11"/>
      <c r="CN86" s="11"/>
      <c r="CO86" s="11"/>
      <c r="CP86" s="28"/>
      <c r="CQ86" s="28"/>
      <c r="CR86" s="11"/>
      <c r="CS86" s="29"/>
      <c r="CT86" s="11"/>
      <c r="CU86" s="11"/>
      <c r="CV86" s="11"/>
      <c r="CW86" s="11"/>
      <c r="CX86" s="11"/>
      <c r="CY86" s="11"/>
      <c r="CZ86" s="11"/>
      <c r="DA86" s="28"/>
      <c r="DB86" s="28"/>
      <c r="DC86" s="11"/>
      <c r="DD86" s="29"/>
      <c r="DE86" s="11"/>
      <c r="DF86" s="11"/>
      <c r="DG86" s="11"/>
      <c r="DH86" s="11"/>
      <c r="DI86" s="11"/>
      <c r="DJ86" s="11"/>
      <c r="DK86" s="26"/>
      <c r="DL86" s="11"/>
      <c r="DM86" s="29"/>
      <c r="DN86" s="28"/>
      <c r="DO86" s="11"/>
      <c r="DP86" s="11"/>
      <c r="DQ86" s="11"/>
      <c r="DR86" s="29"/>
      <c r="DS86" s="28"/>
      <c r="DT86" s="11"/>
      <c r="DU86" s="26"/>
      <c r="DV86" s="11"/>
      <c r="DW86" s="29"/>
      <c r="DX86" s="28"/>
      <c r="DY86" s="11"/>
      <c r="DZ86" s="26"/>
      <c r="EA86" s="11"/>
      <c r="EB86" s="29"/>
      <c r="EC86" s="28"/>
      <c r="ED86" s="30"/>
      <c r="EE86" s="30" t="str">
        <f ca="1">IFERROR(__xludf.DUMMYFUNCTION("iferror(index(filter('Internal -- Trademark Countries'!E$2:E1000, (AM86 = 'Internal -- Trademark Countries'!B$2:B1000) + (AM86 = 'Internal -- Trademark Countries'!C$2:C1000) + (AM86 = 'Internal -- Trademark Countries'!D$2:D1000)), 1))"),"")</f>
        <v/>
      </c>
      <c r="EF86" s="30" t="e">
        <f ca="1">_xludf.ifs(AM86="", "", COUNTIF('Internal -- Trademark Countries'!B:B,AM86) &gt; 0, "polity_shortest_name", COUNTIF('Internal -- Trademark Countries'!C:C,AM86) &gt; 0, "polity_full_name", COUNTIF('Internal -- Trademark Countries'!D:D,AM86) &gt; 0, "polity_common_name", COUNTIF('Internal -- Trademark Countries'!E:E,AM86) &gt; 0, "shortest_name", COUNTIF('Internal -- Trademark Countries'!A:A,AM86) &gt; 0, "full_name", TRUE, "not a match")</f>
        <v>#NAME?</v>
      </c>
      <c r="EG86" s="30"/>
      <c r="EH86" s="30"/>
      <c r="EI86" s="30"/>
      <c r="EJ86" s="30"/>
      <c r="EK86" s="30" t="str">
        <f t="shared" si="2"/>
        <v/>
      </c>
    </row>
    <row r="87" spans="1:141" ht="16.5">
      <c r="A87" s="11"/>
      <c r="B87" s="11"/>
      <c r="C87" s="11"/>
      <c r="D87" s="11"/>
      <c r="E87" s="11"/>
      <c r="F87" s="11"/>
      <c r="G87" s="11"/>
      <c r="H87" s="11"/>
      <c r="I87" s="11"/>
      <c r="J87" s="11"/>
      <c r="K87" s="27"/>
      <c r="L87" s="11"/>
      <c r="M87" s="11"/>
      <c r="N87" s="11"/>
      <c r="O87" s="11"/>
      <c r="P87" s="15"/>
      <c r="Q87" s="15"/>
      <c r="R87" s="15"/>
      <c r="S87" s="15"/>
      <c r="T87" s="15"/>
      <c r="U87" s="15"/>
      <c r="V87" s="15"/>
      <c r="W87" s="47"/>
      <c r="X87" s="11"/>
      <c r="Y87" s="48"/>
      <c r="Z87" s="11"/>
      <c r="AA87" s="48"/>
      <c r="AB87" s="11"/>
      <c r="AC87" s="48"/>
      <c r="AD87" s="11"/>
      <c r="AE87" s="47"/>
      <c r="AF87" s="11"/>
      <c r="AG87" s="48"/>
      <c r="AH87" s="11"/>
      <c r="AI87" s="48"/>
      <c r="AJ87" s="11"/>
      <c r="AK87" s="48"/>
      <c r="AL87" s="11"/>
      <c r="AM87" s="49"/>
      <c r="AN87" s="49"/>
      <c r="AO87" s="11"/>
      <c r="AP87" s="11"/>
      <c r="AQ87" s="28" t="b">
        <f>IF(COUNTIF(SmartStatus!A$2:A1000, AM87) &gt; 2, TRUE, FALSE)</f>
        <v>0</v>
      </c>
      <c r="AR87" s="29" t="str">
        <f ca="1">IFERROR(__xludf.DUMMYFUNCTION("iferror(if(regexmatch(AO87, ""(?i)^registered""), if(EE87 &lt;&gt; ""polity_shortest_name"", ""CHECK_POLITY"", index(filter(SmartStatus!B$2:B1000, AM87 = SmartStatus!A$2:A1000, not(SmartStatus!C$2:C1000), (isblank(SmartStatus!D$2:D1000)) + ((P87 &lt;&gt; """") * (P87"&amp;" &lt; SmartStatus!D$2:D1000)), (isblank(SmartStatus!E$2:E1000)) + ((P87 &lt;&gt; """") * (P87 &gt;= SmartStatus!E$2:E1000)), (isblank(SmartStatus!F$2:F1000)) + (((Q87 &lt;&gt; """") * (Q87 &lt; SmartStatus!F$2:F1000)) + ((P87 &lt;&gt; """") * (date(year(P87) + 3, month(P87), day(P8"&amp;"7)) &lt; SmartStatus!F$2:F1000))), (isblank(SmartStatus!G$2:G1000)) + (((Q87 &lt;&gt; """") * (Q87 &gt;= SmartStatus!G$2:G1000)) + ((P87 &lt;&gt; """") * (P87 &gt;= SmartStatus!G$2:G1000)))), if(or(regexmatch(B87, ""(?i)^ir [a-z]+ designation$""), N87 &lt;&gt; """"), 1, 2))), """")"&amp;", ""NO_MATCH"")"),"")</f>
        <v/>
      </c>
      <c r="AS87" s="11"/>
      <c r="AT87" s="15"/>
      <c r="AU87" s="11"/>
      <c r="AV87" s="11"/>
      <c r="AW87" s="15"/>
      <c r="AX87" s="15"/>
      <c r="AY87" s="15"/>
      <c r="AZ87" s="11"/>
      <c r="BA87" s="15"/>
      <c r="BB87" s="11"/>
      <c r="BC87" s="11"/>
      <c r="BD87" s="15"/>
      <c r="BE87" s="11"/>
      <c r="BF87" s="11"/>
      <c r="BG87" s="15"/>
      <c r="BH87" s="15"/>
      <c r="BI87" s="15"/>
      <c r="BJ87" s="11"/>
      <c r="BK87" s="15"/>
      <c r="BL87" s="11"/>
      <c r="BM87" s="11"/>
      <c r="BN87" s="15"/>
      <c r="BO87" s="11"/>
      <c r="BP87" s="11"/>
      <c r="BQ87" s="15"/>
      <c r="BR87" s="15"/>
      <c r="BS87" s="15"/>
      <c r="BT87" s="11"/>
      <c r="BU87" s="15"/>
      <c r="BV87" s="11"/>
      <c r="BW87" s="11"/>
      <c r="BX87" s="15"/>
      <c r="BY87" s="11"/>
      <c r="BZ87" s="11"/>
      <c r="CA87" s="15"/>
      <c r="CB87" s="11"/>
      <c r="CC87" s="15"/>
      <c r="CD87" s="11"/>
      <c r="CE87" s="15"/>
      <c r="CF87" s="11"/>
      <c r="CG87" s="11"/>
      <c r="CH87" s="15"/>
      <c r="CI87" s="11"/>
      <c r="CJ87" s="11"/>
      <c r="CK87" s="15"/>
      <c r="CL87" s="11"/>
      <c r="CM87" s="11"/>
      <c r="CN87" s="11"/>
      <c r="CO87" s="11"/>
      <c r="CP87" s="28"/>
      <c r="CQ87" s="28"/>
      <c r="CR87" s="11"/>
      <c r="CS87" s="29"/>
      <c r="CT87" s="11"/>
      <c r="CU87" s="11"/>
      <c r="CV87" s="11"/>
      <c r="CW87" s="11"/>
      <c r="CX87" s="11"/>
      <c r="CY87" s="11"/>
      <c r="CZ87" s="11"/>
      <c r="DA87" s="28"/>
      <c r="DB87" s="28"/>
      <c r="DC87" s="11"/>
      <c r="DD87" s="29"/>
      <c r="DE87" s="11"/>
      <c r="DF87" s="11"/>
      <c r="DG87" s="11"/>
      <c r="DH87" s="11"/>
      <c r="DI87" s="11"/>
      <c r="DJ87" s="11"/>
      <c r="DK87" s="26"/>
      <c r="DL87" s="11"/>
      <c r="DM87" s="29"/>
      <c r="DN87" s="28"/>
      <c r="DO87" s="11"/>
      <c r="DP87" s="11"/>
      <c r="DQ87" s="11"/>
      <c r="DR87" s="29"/>
      <c r="DS87" s="28"/>
      <c r="DT87" s="11"/>
      <c r="DU87" s="26"/>
      <c r="DV87" s="11"/>
      <c r="DW87" s="29"/>
      <c r="DX87" s="28"/>
      <c r="DY87" s="11"/>
      <c r="DZ87" s="26"/>
      <c r="EA87" s="11"/>
      <c r="EB87" s="29"/>
      <c r="EC87" s="28"/>
      <c r="ED87" s="30"/>
      <c r="EE87" s="30" t="str">
        <f ca="1">IFERROR(__xludf.DUMMYFUNCTION("iferror(index(filter('Internal -- Trademark Countries'!E$2:E1000, (AM87 = 'Internal -- Trademark Countries'!B$2:B1000) + (AM87 = 'Internal -- Trademark Countries'!C$2:C1000) + (AM87 = 'Internal -- Trademark Countries'!D$2:D1000)), 1))"),"")</f>
        <v/>
      </c>
      <c r="EF87" s="30" t="e">
        <f ca="1">_xludf.ifs(AM87="", "", COUNTIF('Internal -- Trademark Countries'!B:B,AM87) &gt; 0, "polity_shortest_name", COUNTIF('Internal -- Trademark Countries'!C:C,AM87) &gt; 0, "polity_full_name", COUNTIF('Internal -- Trademark Countries'!D:D,AM87) &gt; 0, "polity_common_name", COUNTIF('Internal -- Trademark Countries'!E:E,AM87) &gt; 0, "shortest_name", COUNTIF('Internal -- Trademark Countries'!A:A,AM87) &gt; 0, "full_name", TRUE, "not a match")</f>
        <v>#NAME?</v>
      </c>
      <c r="EG87" s="30"/>
      <c r="EH87" s="30"/>
      <c r="EI87" s="30"/>
      <c r="EJ87" s="30"/>
      <c r="EK87" s="30" t="str">
        <f t="shared" si="2"/>
        <v/>
      </c>
    </row>
    <row r="88" spans="1:141" ht="16.5">
      <c r="A88" s="11"/>
      <c r="B88" s="11"/>
      <c r="C88" s="11"/>
      <c r="D88" s="11"/>
      <c r="E88" s="11"/>
      <c r="F88" s="11"/>
      <c r="G88" s="11"/>
      <c r="H88" s="11"/>
      <c r="I88" s="11"/>
      <c r="J88" s="11"/>
      <c r="K88" s="27"/>
      <c r="L88" s="11"/>
      <c r="M88" s="11"/>
      <c r="N88" s="11"/>
      <c r="O88" s="11"/>
      <c r="P88" s="15"/>
      <c r="Q88" s="15"/>
      <c r="R88" s="15"/>
      <c r="S88" s="15"/>
      <c r="T88" s="15"/>
      <c r="U88" s="15"/>
      <c r="V88" s="15"/>
      <c r="W88" s="47"/>
      <c r="X88" s="11"/>
      <c r="Y88" s="48"/>
      <c r="Z88" s="11"/>
      <c r="AA88" s="48"/>
      <c r="AB88" s="11"/>
      <c r="AC88" s="48"/>
      <c r="AD88" s="11"/>
      <c r="AE88" s="47"/>
      <c r="AF88" s="11"/>
      <c r="AG88" s="48"/>
      <c r="AH88" s="11"/>
      <c r="AI88" s="48"/>
      <c r="AJ88" s="11"/>
      <c r="AK88" s="48"/>
      <c r="AL88" s="11"/>
      <c r="AM88" s="49"/>
      <c r="AN88" s="49"/>
      <c r="AO88" s="11"/>
      <c r="AP88" s="11"/>
      <c r="AQ88" s="28" t="b">
        <f>IF(COUNTIF(SmartStatus!A$2:A1000, AM88) &gt; 2, TRUE, FALSE)</f>
        <v>0</v>
      </c>
      <c r="AR88" s="29" t="str">
        <f ca="1">IFERROR(__xludf.DUMMYFUNCTION("iferror(if(regexmatch(AO88, ""(?i)^registered""), if(EE88 &lt;&gt; ""polity_shortest_name"", ""CHECK_POLITY"", index(filter(SmartStatus!B$2:B1000, AM88 = SmartStatus!A$2:A1000, not(SmartStatus!C$2:C1000), (isblank(SmartStatus!D$2:D1000)) + ((P88 &lt;&gt; """") * (P88"&amp;" &lt; SmartStatus!D$2:D1000)), (isblank(SmartStatus!E$2:E1000)) + ((P88 &lt;&gt; """") * (P88 &gt;= SmartStatus!E$2:E1000)), (isblank(SmartStatus!F$2:F1000)) + (((Q88 &lt;&gt; """") * (Q88 &lt; SmartStatus!F$2:F1000)) + ((P88 &lt;&gt; """") * (date(year(P88) + 3, month(P88), day(P8"&amp;"8)) &lt; SmartStatus!F$2:F1000))), (isblank(SmartStatus!G$2:G1000)) + (((Q88 &lt;&gt; """") * (Q88 &gt;= SmartStatus!G$2:G1000)) + ((P88 &lt;&gt; """") * (P88 &gt;= SmartStatus!G$2:G1000)))), if(or(regexmatch(B88, ""(?i)^ir [a-z]+ designation$""), N88 &lt;&gt; """"), 1, 2))), """")"&amp;", ""NO_MATCH"")"),"")</f>
        <v/>
      </c>
      <c r="AS88" s="11"/>
      <c r="AT88" s="15"/>
      <c r="AU88" s="11"/>
      <c r="AV88" s="11"/>
      <c r="AW88" s="15"/>
      <c r="AX88" s="15"/>
      <c r="AY88" s="15"/>
      <c r="AZ88" s="11"/>
      <c r="BA88" s="15"/>
      <c r="BB88" s="11"/>
      <c r="BC88" s="11"/>
      <c r="BD88" s="15"/>
      <c r="BE88" s="11"/>
      <c r="BF88" s="11"/>
      <c r="BG88" s="15"/>
      <c r="BH88" s="15"/>
      <c r="BI88" s="15"/>
      <c r="BJ88" s="11"/>
      <c r="BK88" s="15"/>
      <c r="BL88" s="11"/>
      <c r="BM88" s="11"/>
      <c r="BN88" s="15"/>
      <c r="BO88" s="11"/>
      <c r="BP88" s="11"/>
      <c r="BQ88" s="15"/>
      <c r="BR88" s="15"/>
      <c r="BS88" s="15"/>
      <c r="BT88" s="11"/>
      <c r="BU88" s="15"/>
      <c r="BV88" s="11"/>
      <c r="BW88" s="11"/>
      <c r="BX88" s="15"/>
      <c r="BY88" s="11"/>
      <c r="BZ88" s="11"/>
      <c r="CA88" s="15"/>
      <c r="CB88" s="11"/>
      <c r="CC88" s="15"/>
      <c r="CD88" s="11"/>
      <c r="CE88" s="15"/>
      <c r="CF88" s="11"/>
      <c r="CG88" s="11"/>
      <c r="CH88" s="15"/>
      <c r="CI88" s="11"/>
      <c r="CJ88" s="11"/>
      <c r="CK88" s="15"/>
      <c r="CL88" s="11"/>
      <c r="CM88" s="11"/>
      <c r="CN88" s="11"/>
      <c r="CO88" s="11"/>
      <c r="CP88" s="28"/>
      <c r="CQ88" s="28"/>
      <c r="CR88" s="11"/>
      <c r="CS88" s="29"/>
      <c r="CT88" s="11"/>
      <c r="CU88" s="11"/>
      <c r="CV88" s="11"/>
      <c r="CW88" s="11"/>
      <c r="CX88" s="11"/>
      <c r="CY88" s="11"/>
      <c r="CZ88" s="11"/>
      <c r="DA88" s="28"/>
      <c r="DB88" s="28"/>
      <c r="DC88" s="11"/>
      <c r="DD88" s="29"/>
      <c r="DE88" s="11"/>
      <c r="DF88" s="11"/>
      <c r="DG88" s="11"/>
      <c r="DH88" s="11"/>
      <c r="DI88" s="11"/>
      <c r="DJ88" s="11"/>
      <c r="DK88" s="26"/>
      <c r="DL88" s="11"/>
      <c r="DM88" s="29"/>
      <c r="DN88" s="28"/>
      <c r="DO88" s="11"/>
      <c r="DP88" s="11"/>
      <c r="DQ88" s="11"/>
      <c r="DR88" s="29"/>
      <c r="DS88" s="28"/>
      <c r="DT88" s="11"/>
      <c r="DU88" s="26"/>
      <c r="DV88" s="11"/>
      <c r="DW88" s="29"/>
      <c r="DX88" s="28"/>
      <c r="DY88" s="11"/>
      <c r="DZ88" s="26"/>
      <c r="EA88" s="11"/>
      <c r="EB88" s="29"/>
      <c r="EC88" s="28"/>
      <c r="ED88" s="30"/>
      <c r="EE88" s="30" t="str">
        <f ca="1">IFERROR(__xludf.DUMMYFUNCTION("iferror(index(filter('Internal -- Trademark Countries'!E$2:E1000, (AM88 = 'Internal -- Trademark Countries'!B$2:B1000) + (AM88 = 'Internal -- Trademark Countries'!C$2:C1000) + (AM88 = 'Internal -- Trademark Countries'!D$2:D1000)), 1))"),"")</f>
        <v/>
      </c>
      <c r="EF88" s="30" t="e">
        <f ca="1">_xludf.ifs(AM88="", "", COUNTIF('Internal -- Trademark Countries'!B:B,AM88) &gt; 0, "polity_shortest_name", COUNTIF('Internal -- Trademark Countries'!C:C,AM88) &gt; 0, "polity_full_name", COUNTIF('Internal -- Trademark Countries'!D:D,AM88) &gt; 0, "polity_common_name", COUNTIF('Internal -- Trademark Countries'!E:E,AM88) &gt; 0, "shortest_name", COUNTIF('Internal -- Trademark Countries'!A:A,AM88) &gt; 0, "full_name", TRUE, "not a match")</f>
        <v>#NAME?</v>
      </c>
      <c r="EG88" s="30"/>
      <c r="EH88" s="30"/>
      <c r="EI88" s="30"/>
      <c r="EJ88" s="30"/>
      <c r="EK88" s="30" t="str">
        <f t="shared" si="2"/>
        <v/>
      </c>
    </row>
    <row r="89" spans="1:141" ht="16.5">
      <c r="A89" s="11"/>
      <c r="B89" s="11"/>
      <c r="C89" s="11"/>
      <c r="D89" s="11"/>
      <c r="E89" s="11"/>
      <c r="F89" s="11"/>
      <c r="G89" s="11"/>
      <c r="H89" s="11"/>
      <c r="I89" s="11"/>
      <c r="J89" s="11"/>
      <c r="K89" s="27"/>
      <c r="L89" s="11"/>
      <c r="M89" s="11"/>
      <c r="N89" s="11"/>
      <c r="O89" s="11"/>
      <c r="P89" s="15"/>
      <c r="Q89" s="15"/>
      <c r="R89" s="15"/>
      <c r="S89" s="15"/>
      <c r="T89" s="15"/>
      <c r="U89" s="15"/>
      <c r="V89" s="15"/>
      <c r="W89" s="47"/>
      <c r="X89" s="11"/>
      <c r="Y89" s="48"/>
      <c r="Z89" s="11"/>
      <c r="AA89" s="48"/>
      <c r="AB89" s="11"/>
      <c r="AC89" s="48"/>
      <c r="AD89" s="11"/>
      <c r="AE89" s="47"/>
      <c r="AF89" s="11"/>
      <c r="AG89" s="48"/>
      <c r="AH89" s="11"/>
      <c r="AI89" s="48"/>
      <c r="AJ89" s="11"/>
      <c r="AK89" s="48"/>
      <c r="AL89" s="11"/>
      <c r="AM89" s="49"/>
      <c r="AN89" s="49"/>
      <c r="AO89" s="11"/>
      <c r="AP89" s="11"/>
      <c r="AQ89" s="28" t="b">
        <f>IF(COUNTIF(SmartStatus!A$2:A1000, AM89) &gt; 2, TRUE, FALSE)</f>
        <v>0</v>
      </c>
      <c r="AR89" s="29" t="str">
        <f ca="1">IFERROR(__xludf.DUMMYFUNCTION("iferror(if(regexmatch(AO89, ""(?i)^registered""), if(EE89 &lt;&gt; ""polity_shortest_name"", ""CHECK_POLITY"", index(filter(SmartStatus!B$2:B1000, AM89 = SmartStatus!A$2:A1000, not(SmartStatus!C$2:C1000), (isblank(SmartStatus!D$2:D1000)) + ((P89 &lt;&gt; """") * (P89"&amp;" &lt; SmartStatus!D$2:D1000)), (isblank(SmartStatus!E$2:E1000)) + ((P89 &lt;&gt; """") * (P89 &gt;= SmartStatus!E$2:E1000)), (isblank(SmartStatus!F$2:F1000)) + (((Q89 &lt;&gt; """") * (Q89 &lt; SmartStatus!F$2:F1000)) + ((P89 &lt;&gt; """") * (date(year(P89) + 3, month(P89), day(P8"&amp;"9)) &lt; SmartStatus!F$2:F1000))), (isblank(SmartStatus!G$2:G1000)) + (((Q89 &lt;&gt; """") * (Q89 &gt;= SmartStatus!G$2:G1000)) + ((P89 &lt;&gt; """") * (P89 &gt;= SmartStatus!G$2:G1000)))), if(or(regexmatch(B89, ""(?i)^ir [a-z]+ designation$""), N89 &lt;&gt; """"), 1, 2))), """")"&amp;", ""NO_MATCH"")"),"")</f>
        <v/>
      </c>
      <c r="AS89" s="11"/>
      <c r="AT89" s="15"/>
      <c r="AU89" s="11"/>
      <c r="AV89" s="11"/>
      <c r="AW89" s="15"/>
      <c r="AX89" s="15"/>
      <c r="AY89" s="15"/>
      <c r="AZ89" s="11"/>
      <c r="BA89" s="15"/>
      <c r="BB89" s="11"/>
      <c r="BC89" s="11"/>
      <c r="BD89" s="15"/>
      <c r="BE89" s="11"/>
      <c r="BF89" s="11"/>
      <c r="BG89" s="15"/>
      <c r="BH89" s="15"/>
      <c r="BI89" s="15"/>
      <c r="BJ89" s="11"/>
      <c r="BK89" s="15"/>
      <c r="BL89" s="11"/>
      <c r="BM89" s="11"/>
      <c r="BN89" s="15"/>
      <c r="BO89" s="11"/>
      <c r="BP89" s="11"/>
      <c r="BQ89" s="15"/>
      <c r="BR89" s="15"/>
      <c r="BS89" s="15"/>
      <c r="BT89" s="11"/>
      <c r="BU89" s="15"/>
      <c r="BV89" s="11"/>
      <c r="BW89" s="11"/>
      <c r="BX89" s="15"/>
      <c r="BY89" s="11"/>
      <c r="BZ89" s="11"/>
      <c r="CA89" s="15"/>
      <c r="CB89" s="11"/>
      <c r="CC89" s="15"/>
      <c r="CD89" s="11"/>
      <c r="CE89" s="15"/>
      <c r="CF89" s="11"/>
      <c r="CG89" s="11"/>
      <c r="CH89" s="15"/>
      <c r="CI89" s="11"/>
      <c r="CJ89" s="11"/>
      <c r="CK89" s="15"/>
      <c r="CL89" s="11"/>
      <c r="CM89" s="11"/>
      <c r="CN89" s="11"/>
      <c r="CO89" s="11"/>
      <c r="CP89" s="28"/>
      <c r="CQ89" s="28"/>
      <c r="CR89" s="11"/>
      <c r="CS89" s="29"/>
      <c r="CT89" s="11"/>
      <c r="CU89" s="11"/>
      <c r="CV89" s="11"/>
      <c r="CW89" s="11"/>
      <c r="CX89" s="11"/>
      <c r="CY89" s="11"/>
      <c r="CZ89" s="11"/>
      <c r="DA89" s="28"/>
      <c r="DB89" s="28"/>
      <c r="DC89" s="11"/>
      <c r="DD89" s="29"/>
      <c r="DE89" s="11"/>
      <c r="DF89" s="11"/>
      <c r="DG89" s="11"/>
      <c r="DH89" s="11"/>
      <c r="DI89" s="11"/>
      <c r="DJ89" s="11"/>
      <c r="DK89" s="26"/>
      <c r="DL89" s="11"/>
      <c r="DM89" s="29"/>
      <c r="DN89" s="28"/>
      <c r="DO89" s="11"/>
      <c r="DP89" s="11"/>
      <c r="DQ89" s="11"/>
      <c r="DR89" s="29"/>
      <c r="DS89" s="28"/>
      <c r="DT89" s="11"/>
      <c r="DU89" s="26"/>
      <c r="DV89" s="11"/>
      <c r="DW89" s="29"/>
      <c r="DX89" s="28"/>
      <c r="DY89" s="11"/>
      <c r="DZ89" s="26"/>
      <c r="EA89" s="11"/>
      <c r="EB89" s="29"/>
      <c r="EC89" s="28"/>
      <c r="ED89" s="30"/>
      <c r="EE89" s="30" t="str">
        <f ca="1">IFERROR(__xludf.DUMMYFUNCTION("iferror(index(filter('Internal -- Trademark Countries'!E$2:E1000, (AM89 = 'Internal -- Trademark Countries'!B$2:B1000) + (AM89 = 'Internal -- Trademark Countries'!C$2:C1000) + (AM89 = 'Internal -- Trademark Countries'!D$2:D1000)), 1))"),"")</f>
        <v/>
      </c>
      <c r="EF89" s="30" t="e">
        <f ca="1">_xludf.ifs(AM89="", "", COUNTIF('Internal -- Trademark Countries'!B:B,AM89) &gt; 0, "polity_shortest_name", COUNTIF('Internal -- Trademark Countries'!C:C,AM89) &gt; 0, "polity_full_name", COUNTIF('Internal -- Trademark Countries'!D:D,AM89) &gt; 0, "polity_common_name", COUNTIF('Internal -- Trademark Countries'!E:E,AM89) &gt; 0, "shortest_name", COUNTIF('Internal -- Trademark Countries'!A:A,AM89) &gt; 0, "full_name", TRUE, "not a match")</f>
        <v>#NAME?</v>
      </c>
      <c r="EG89" s="30"/>
      <c r="EH89" s="30"/>
      <c r="EI89" s="30"/>
      <c r="EJ89" s="30"/>
      <c r="EK89" s="30" t="str">
        <f t="shared" si="2"/>
        <v/>
      </c>
    </row>
    <row r="90" spans="1:141" ht="16.5">
      <c r="A90" s="11"/>
      <c r="B90" s="11"/>
      <c r="C90" s="11"/>
      <c r="D90" s="11"/>
      <c r="E90" s="11"/>
      <c r="F90" s="11"/>
      <c r="G90" s="11"/>
      <c r="H90" s="11"/>
      <c r="I90" s="11"/>
      <c r="J90" s="11"/>
      <c r="K90" s="27"/>
      <c r="L90" s="11"/>
      <c r="M90" s="11"/>
      <c r="N90" s="11"/>
      <c r="O90" s="11"/>
      <c r="P90" s="15"/>
      <c r="Q90" s="15"/>
      <c r="R90" s="15"/>
      <c r="S90" s="15"/>
      <c r="T90" s="15"/>
      <c r="U90" s="15"/>
      <c r="V90" s="15"/>
      <c r="W90" s="47"/>
      <c r="X90" s="11"/>
      <c r="Y90" s="48"/>
      <c r="Z90" s="11"/>
      <c r="AA90" s="48"/>
      <c r="AB90" s="11"/>
      <c r="AC90" s="48"/>
      <c r="AD90" s="11"/>
      <c r="AE90" s="47"/>
      <c r="AF90" s="11"/>
      <c r="AG90" s="48"/>
      <c r="AH90" s="11"/>
      <c r="AI90" s="48"/>
      <c r="AJ90" s="11"/>
      <c r="AK90" s="48"/>
      <c r="AL90" s="11"/>
      <c r="AM90" s="49"/>
      <c r="AN90" s="49"/>
      <c r="AO90" s="11"/>
      <c r="AP90" s="11"/>
      <c r="AQ90" s="28" t="b">
        <f>IF(COUNTIF(SmartStatus!A$2:A1000, AM90) &gt; 2, TRUE, FALSE)</f>
        <v>0</v>
      </c>
      <c r="AR90" s="29" t="str">
        <f ca="1">IFERROR(__xludf.DUMMYFUNCTION("iferror(if(regexmatch(AO90, ""(?i)^registered""), if(EE90 &lt;&gt; ""polity_shortest_name"", ""CHECK_POLITY"", index(filter(SmartStatus!B$2:B1000, AM90 = SmartStatus!A$2:A1000, not(SmartStatus!C$2:C1000), (isblank(SmartStatus!D$2:D1000)) + ((P90 &lt;&gt; """") * (P90"&amp;" &lt; SmartStatus!D$2:D1000)), (isblank(SmartStatus!E$2:E1000)) + ((P90 &lt;&gt; """") * (P90 &gt;= SmartStatus!E$2:E1000)), (isblank(SmartStatus!F$2:F1000)) + (((Q90 &lt;&gt; """") * (Q90 &lt; SmartStatus!F$2:F1000)) + ((P90 &lt;&gt; """") * (date(year(P90) + 3, month(P90), day(P9"&amp;"0)) &lt; SmartStatus!F$2:F1000))), (isblank(SmartStatus!G$2:G1000)) + (((Q90 &lt;&gt; """") * (Q90 &gt;= SmartStatus!G$2:G1000)) + ((P90 &lt;&gt; """") * (P90 &gt;= SmartStatus!G$2:G1000)))), if(or(regexmatch(B90, ""(?i)^ir [a-z]+ designation$""), N90 &lt;&gt; """"), 1, 2))), """")"&amp;", ""NO_MATCH"")"),"")</f>
        <v/>
      </c>
      <c r="AS90" s="11"/>
      <c r="AT90" s="15"/>
      <c r="AU90" s="11"/>
      <c r="AV90" s="11"/>
      <c r="AW90" s="15"/>
      <c r="AX90" s="15"/>
      <c r="AY90" s="15"/>
      <c r="AZ90" s="11"/>
      <c r="BA90" s="15"/>
      <c r="BB90" s="11"/>
      <c r="BC90" s="11"/>
      <c r="BD90" s="15"/>
      <c r="BE90" s="11"/>
      <c r="BF90" s="11"/>
      <c r="BG90" s="15"/>
      <c r="BH90" s="15"/>
      <c r="BI90" s="15"/>
      <c r="BJ90" s="11"/>
      <c r="BK90" s="15"/>
      <c r="BL90" s="11"/>
      <c r="BM90" s="11"/>
      <c r="BN90" s="15"/>
      <c r="BO90" s="11"/>
      <c r="BP90" s="11"/>
      <c r="BQ90" s="15"/>
      <c r="BR90" s="15"/>
      <c r="BS90" s="15"/>
      <c r="BT90" s="11"/>
      <c r="BU90" s="15"/>
      <c r="BV90" s="11"/>
      <c r="BW90" s="11"/>
      <c r="BX90" s="15"/>
      <c r="BY90" s="11"/>
      <c r="BZ90" s="11"/>
      <c r="CA90" s="15"/>
      <c r="CB90" s="11"/>
      <c r="CC90" s="15"/>
      <c r="CD90" s="11"/>
      <c r="CE90" s="15"/>
      <c r="CF90" s="11"/>
      <c r="CG90" s="11"/>
      <c r="CH90" s="15"/>
      <c r="CI90" s="11"/>
      <c r="CJ90" s="11"/>
      <c r="CK90" s="15"/>
      <c r="CL90" s="11"/>
      <c r="CM90" s="11"/>
      <c r="CN90" s="11"/>
      <c r="CO90" s="11"/>
      <c r="CP90" s="28"/>
      <c r="CQ90" s="28"/>
      <c r="CR90" s="11"/>
      <c r="CS90" s="29"/>
      <c r="CT90" s="11"/>
      <c r="CU90" s="11"/>
      <c r="CV90" s="11"/>
      <c r="CW90" s="11"/>
      <c r="CX90" s="11"/>
      <c r="CY90" s="11"/>
      <c r="CZ90" s="11"/>
      <c r="DA90" s="28"/>
      <c r="DB90" s="28"/>
      <c r="DC90" s="11"/>
      <c r="DD90" s="29"/>
      <c r="DE90" s="11"/>
      <c r="DF90" s="11"/>
      <c r="DG90" s="11"/>
      <c r="DH90" s="11"/>
      <c r="DI90" s="11"/>
      <c r="DJ90" s="11"/>
      <c r="DK90" s="26"/>
      <c r="DL90" s="11"/>
      <c r="DM90" s="29"/>
      <c r="DN90" s="28"/>
      <c r="DO90" s="11"/>
      <c r="DP90" s="11"/>
      <c r="DQ90" s="11"/>
      <c r="DR90" s="29"/>
      <c r="DS90" s="28"/>
      <c r="DT90" s="11"/>
      <c r="DU90" s="26"/>
      <c r="DV90" s="11"/>
      <c r="DW90" s="29"/>
      <c r="DX90" s="28"/>
      <c r="DY90" s="11"/>
      <c r="DZ90" s="26"/>
      <c r="EA90" s="11"/>
      <c r="EB90" s="29"/>
      <c r="EC90" s="28"/>
      <c r="ED90" s="30"/>
      <c r="EE90" s="30" t="str">
        <f ca="1">IFERROR(__xludf.DUMMYFUNCTION("iferror(index(filter('Internal -- Trademark Countries'!E$2:E1000, (AM90 = 'Internal -- Trademark Countries'!B$2:B1000) + (AM90 = 'Internal -- Trademark Countries'!C$2:C1000) + (AM90 = 'Internal -- Trademark Countries'!D$2:D1000)), 1))"),"")</f>
        <v/>
      </c>
      <c r="EF90" s="30" t="e">
        <f ca="1">_xludf.ifs(AM90="", "", COUNTIF('Internal -- Trademark Countries'!B:B,AM90) &gt; 0, "polity_shortest_name", COUNTIF('Internal -- Trademark Countries'!C:C,AM90) &gt; 0, "polity_full_name", COUNTIF('Internal -- Trademark Countries'!D:D,AM90) &gt; 0, "polity_common_name", COUNTIF('Internal -- Trademark Countries'!E:E,AM90) &gt; 0, "shortest_name", COUNTIF('Internal -- Trademark Countries'!A:A,AM90) &gt; 0, "full_name", TRUE, "not a match")</f>
        <v>#NAME?</v>
      </c>
      <c r="EG90" s="30"/>
      <c r="EH90" s="30"/>
      <c r="EI90" s="30"/>
      <c r="EJ90" s="30"/>
      <c r="EK90" s="30" t="str">
        <f t="shared" si="2"/>
        <v/>
      </c>
    </row>
    <row r="91" spans="1:141" ht="16.5">
      <c r="A91" s="11"/>
      <c r="B91" s="11"/>
      <c r="C91" s="11"/>
      <c r="D91" s="11"/>
      <c r="E91" s="11"/>
      <c r="F91" s="11"/>
      <c r="G91" s="11"/>
      <c r="H91" s="11"/>
      <c r="I91" s="11"/>
      <c r="J91" s="11"/>
      <c r="K91" s="27"/>
      <c r="L91" s="11"/>
      <c r="M91" s="11"/>
      <c r="N91" s="11"/>
      <c r="O91" s="11"/>
      <c r="P91" s="15"/>
      <c r="Q91" s="15"/>
      <c r="R91" s="15"/>
      <c r="S91" s="15"/>
      <c r="T91" s="15"/>
      <c r="U91" s="15"/>
      <c r="V91" s="15"/>
      <c r="W91" s="47"/>
      <c r="X91" s="11"/>
      <c r="Y91" s="48"/>
      <c r="Z91" s="11"/>
      <c r="AA91" s="48"/>
      <c r="AB91" s="11"/>
      <c r="AC91" s="48"/>
      <c r="AD91" s="11"/>
      <c r="AE91" s="47"/>
      <c r="AF91" s="11"/>
      <c r="AG91" s="48"/>
      <c r="AH91" s="11"/>
      <c r="AI91" s="48"/>
      <c r="AJ91" s="11"/>
      <c r="AK91" s="48"/>
      <c r="AL91" s="11"/>
      <c r="AM91" s="49"/>
      <c r="AN91" s="49"/>
      <c r="AO91" s="11"/>
      <c r="AP91" s="11"/>
      <c r="AQ91" s="28" t="b">
        <f>IF(COUNTIF(SmartStatus!A$2:A1000, AM91) &gt; 2, TRUE, FALSE)</f>
        <v>0</v>
      </c>
      <c r="AR91" s="29" t="str">
        <f ca="1">IFERROR(__xludf.DUMMYFUNCTION("iferror(if(regexmatch(AO91, ""(?i)^registered""), if(EE91 &lt;&gt; ""polity_shortest_name"", ""CHECK_POLITY"", index(filter(SmartStatus!B$2:B1000, AM91 = SmartStatus!A$2:A1000, not(SmartStatus!C$2:C1000), (isblank(SmartStatus!D$2:D1000)) + ((P91 &lt;&gt; """") * (P91"&amp;" &lt; SmartStatus!D$2:D1000)), (isblank(SmartStatus!E$2:E1000)) + ((P91 &lt;&gt; """") * (P91 &gt;= SmartStatus!E$2:E1000)), (isblank(SmartStatus!F$2:F1000)) + (((Q91 &lt;&gt; """") * (Q91 &lt; SmartStatus!F$2:F1000)) + ((P91 &lt;&gt; """") * (date(year(P91) + 3, month(P91), day(P9"&amp;"1)) &lt; SmartStatus!F$2:F1000))), (isblank(SmartStatus!G$2:G1000)) + (((Q91 &lt;&gt; """") * (Q91 &gt;= SmartStatus!G$2:G1000)) + ((P91 &lt;&gt; """") * (P91 &gt;= SmartStatus!G$2:G1000)))), if(or(regexmatch(B91, ""(?i)^ir [a-z]+ designation$""), N91 &lt;&gt; """"), 1, 2))), """")"&amp;", ""NO_MATCH"")"),"")</f>
        <v/>
      </c>
      <c r="AS91" s="11"/>
      <c r="AT91" s="15"/>
      <c r="AU91" s="11"/>
      <c r="AV91" s="11"/>
      <c r="AW91" s="15"/>
      <c r="AX91" s="15"/>
      <c r="AY91" s="15"/>
      <c r="AZ91" s="11"/>
      <c r="BA91" s="15"/>
      <c r="BB91" s="11"/>
      <c r="BC91" s="11"/>
      <c r="BD91" s="15"/>
      <c r="BE91" s="11"/>
      <c r="BF91" s="11"/>
      <c r="BG91" s="15"/>
      <c r="BH91" s="15"/>
      <c r="BI91" s="15"/>
      <c r="BJ91" s="11"/>
      <c r="BK91" s="15"/>
      <c r="BL91" s="11"/>
      <c r="BM91" s="11"/>
      <c r="BN91" s="15"/>
      <c r="BO91" s="11"/>
      <c r="BP91" s="11"/>
      <c r="BQ91" s="15"/>
      <c r="BR91" s="15"/>
      <c r="BS91" s="15"/>
      <c r="BT91" s="11"/>
      <c r="BU91" s="15"/>
      <c r="BV91" s="11"/>
      <c r="BW91" s="11"/>
      <c r="BX91" s="15"/>
      <c r="BY91" s="11"/>
      <c r="BZ91" s="11"/>
      <c r="CA91" s="15"/>
      <c r="CB91" s="11"/>
      <c r="CC91" s="15"/>
      <c r="CD91" s="11"/>
      <c r="CE91" s="15"/>
      <c r="CF91" s="11"/>
      <c r="CG91" s="11"/>
      <c r="CH91" s="15"/>
      <c r="CI91" s="11"/>
      <c r="CJ91" s="11"/>
      <c r="CK91" s="15"/>
      <c r="CL91" s="11"/>
      <c r="CM91" s="11"/>
      <c r="CN91" s="11"/>
      <c r="CO91" s="11"/>
      <c r="CP91" s="28"/>
      <c r="CQ91" s="28"/>
      <c r="CR91" s="11"/>
      <c r="CS91" s="29"/>
      <c r="CT91" s="11"/>
      <c r="CU91" s="11"/>
      <c r="CV91" s="11"/>
      <c r="CW91" s="11"/>
      <c r="CX91" s="11"/>
      <c r="CY91" s="11"/>
      <c r="CZ91" s="11"/>
      <c r="DA91" s="28"/>
      <c r="DB91" s="28"/>
      <c r="DC91" s="11"/>
      <c r="DD91" s="29"/>
      <c r="DE91" s="11"/>
      <c r="DF91" s="11"/>
      <c r="DG91" s="11"/>
      <c r="DH91" s="11"/>
      <c r="DI91" s="11"/>
      <c r="DJ91" s="11"/>
      <c r="DK91" s="26"/>
      <c r="DL91" s="11"/>
      <c r="DM91" s="29"/>
      <c r="DN91" s="28"/>
      <c r="DO91" s="11"/>
      <c r="DP91" s="11"/>
      <c r="DQ91" s="11"/>
      <c r="DR91" s="29"/>
      <c r="DS91" s="28"/>
      <c r="DT91" s="11"/>
      <c r="DU91" s="26"/>
      <c r="DV91" s="11"/>
      <c r="DW91" s="29"/>
      <c r="DX91" s="28"/>
      <c r="DY91" s="11"/>
      <c r="DZ91" s="26"/>
      <c r="EA91" s="11"/>
      <c r="EB91" s="29"/>
      <c r="EC91" s="28"/>
      <c r="ED91" s="30"/>
      <c r="EE91" s="30" t="str">
        <f ca="1">IFERROR(__xludf.DUMMYFUNCTION("iferror(index(filter('Internal -- Trademark Countries'!E$2:E1000, (AM91 = 'Internal -- Trademark Countries'!B$2:B1000) + (AM91 = 'Internal -- Trademark Countries'!C$2:C1000) + (AM91 = 'Internal -- Trademark Countries'!D$2:D1000)), 1))"),"")</f>
        <v/>
      </c>
      <c r="EF91" s="30" t="e">
        <f ca="1">_xludf.ifs(AM91="", "", COUNTIF('Internal -- Trademark Countries'!B:B,AM91) &gt; 0, "polity_shortest_name", COUNTIF('Internal -- Trademark Countries'!C:C,AM91) &gt; 0, "polity_full_name", COUNTIF('Internal -- Trademark Countries'!D:D,AM91) &gt; 0, "polity_common_name", COUNTIF('Internal -- Trademark Countries'!E:E,AM91) &gt; 0, "shortest_name", COUNTIF('Internal -- Trademark Countries'!A:A,AM91) &gt; 0, "full_name", TRUE, "not a match")</f>
        <v>#NAME?</v>
      </c>
      <c r="EG91" s="30"/>
      <c r="EH91" s="30"/>
      <c r="EI91" s="30"/>
      <c r="EJ91" s="30"/>
      <c r="EK91" s="30" t="str">
        <f t="shared" si="2"/>
        <v/>
      </c>
    </row>
    <row r="92" spans="1:141" ht="16.5">
      <c r="A92" s="11"/>
      <c r="B92" s="11"/>
      <c r="C92" s="11"/>
      <c r="D92" s="11"/>
      <c r="E92" s="11"/>
      <c r="F92" s="11"/>
      <c r="G92" s="11"/>
      <c r="H92" s="11"/>
      <c r="I92" s="11"/>
      <c r="J92" s="11"/>
      <c r="K92" s="27"/>
      <c r="L92" s="11"/>
      <c r="M92" s="11"/>
      <c r="N92" s="11"/>
      <c r="O92" s="11"/>
      <c r="P92" s="15"/>
      <c r="Q92" s="15"/>
      <c r="R92" s="15"/>
      <c r="S92" s="15"/>
      <c r="T92" s="15"/>
      <c r="U92" s="15"/>
      <c r="V92" s="15"/>
      <c r="W92" s="47"/>
      <c r="X92" s="11"/>
      <c r="Y92" s="48"/>
      <c r="Z92" s="11"/>
      <c r="AA92" s="48"/>
      <c r="AB92" s="11"/>
      <c r="AC92" s="48"/>
      <c r="AD92" s="11"/>
      <c r="AE92" s="47"/>
      <c r="AF92" s="11"/>
      <c r="AG92" s="48"/>
      <c r="AH92" s="11"/>
      <c r="AI92" s="48"/>
      <c r="AJ92" s="11"/>
      <c r="AK92" s="48"/>
      <c r="AL92" s="11"/>
      <c r="AM92" s="49"/>
      <c r="AN92" s="49"/>
      <c r="AO92" s="11"/>
      <c r="AP92" s="11"/>
      <c r="AQ92" s="28" t="b">
        <f>IF(COUNTIF(SmartStatus!A$2:A1000, AM92) &gt; 2, TRUE, FALSE)</f>
        <v>0</v>
      </c>
      <c r="AR92" s="29" t="str">
        <f ca="1">IFERROR(__xludf.DUMMYFUNCTION("iferror(if(regexmatch(AO92, ""(?i)^registered""), if(EE92 &lt;&gt; ""polity_shortest_name"", ""CHECK_POLITY"", index(filter(SmartStatus!B$2:B1000, AM92 = SmartStatus!A$2:A1000, not(SmartStatus!C$2:C1000), (isblank(SmartStatus!D$2:D1000)) + ((P92 &lt;&gt; """") * (P92"&amp;" &lt; SmartStatus!D$2:D1000)), (isblank(SmartStatus!E$2:E1000)) + ((P92 &lt;&gt; """") * (P92 &gt;= SmartStatus!E$2:E1000)), (isblank(SmartStatus!F$2:F1000)) + (((Q92 &lt;&gt; """") * (Q92 &lt; SmartStatus!F$2:F1000)) + ((P92 &lt;&gt; """") * (date(year(P92) + 3, month(P92), day(P9"&amp;"2)) &lt; SmartStatus!F$2:F1000))), (isblank(SmartStatus!G$2:G1000)) + (((Q92 &lt;&gt; """") * (Q92 &gt;= SmartStatus!G$2:G1000)) + ((P92 &lt;&gt; """") * (P92 &gt;= SmartStatus!G$2:G1000)))), if(or(regexmatch(B92, ""(?i)^ir [a-z]+ designation$""), N92 &lt;&gt; """"), 1, 2))), """")"&amp;", ""NO_MATCH"")"),"")</f>
        <v/>
      </c>
      <c r="AS92" s="11"/>
      <c r="AT92" s="15"/>
      <c r="AU92" s="11"/>
      <c r="AV92" s="11"/>
      <c r="AW92" s="15"/>
      <c r="AX92" s="15"/>
      <c r="AY92" s="15"/>
      <c r="AZ92" s="11"/>
      <c r="BA92" s="15"/>
      <c r="BB92" s="11"/>
      <c r="BC92" s="11"/>
      <c r="BD92" s="15"/>
      <c r="BE92" s="11"/>
      <c r="BF92" s="11"/>
      <c r="BG92" s="15"/>
      <c r="BH92" s="15"/>
      <c r="BI92" s="15"/>
      <c r="BJ92" s="11"/>
      <c r="BK92" s="15"/>
      <c r="BL92" s="11"/>
      <c r="BM92" s="11"/>
      <c r="BN92" s="15"/>
      <c r="BO92" s="11"/>
      <c r="BP92" s="11"/>
      <c r="BQ92" s="15"/>
      <c r="BR92" s="15"/>
      <c r="BS92" s="15"/>
      <c r="BT92" s="11"/>
      <c r="BU92" s="15"/>
      <c r="BV92" s="11"/>
      <c r="BW92" s="11"/>
      <c r="BX92" s="15"/>
      <c r="BY92" s="11"/>
      <c r="BZ92" s="11"/>
      <c r="CA92" s="15"/>
      <c r="CB92" s="11"/>
      <c r="CC92" s="15"/>
      <c r="CD92" s="11"/>
      <c r="CE92" s="15"/>
      <c r="CF92" s="11"/>
      <c r="CG92" s="11"/>
      <c r="CH92" s="15"/>
      <c r="CI92" s="11"/>
      <c r="CJ92" s="11"/>
      <c r="CK92" s="15"/>
      <c r="CL92" s="11"/>
      <c r="CM92" s="11"/>
      <c r="CN92" s="11"/>
      <c r="CO92" s="11"/>
      <c r="CP92" s="28"/>
      <c r="CQ92" s="28"/>
      <c r="CR92" s="11"/>
      <c r="CS92" s="29"/>
      <c r="CT92" s="11"/>
      <c r="CU92" s="11"/>
      <c r="CV92" s="11"/>
      <c r="CW92" s="11"/>
      <c r="CX92" s="11"/>
      <c r="CY92" s="11"/>
      <c r="CZ92" s="11"/>
      <c r="DA92" s="28"/>
      <c r="DB92" s="28"/>
      <c r="DC92" s="11"/>
      <c r="DD92" s="29"/>
      <c r="DE92" s="11"/>
      <c r="DF92" s="11"/>
      <c r="DG92" s="11"/>
      <c r="DH92" s="11"/>
      <c r="DI92" s="11"/>
      <c r="DJ92" s="11"/>
      <c r="DK92" s="26"/>
      <c r="DL92" s="11"/>
      <c r="DM92" s="29"/>
      <c r="DN92" s="28"/>
      <c r="DO92" s="11"/>
      <c r="DP92" s="11"/>
      <c r="DQ92" s="11"/>
      <c r="DR92" s="29"/>
      <c r="DS92" s="28"/>
      <c r="DT92" s="11"/>
      <c r="DU92" s="26"/>
      <c r="DV92" s="11"/>
      <c r="DW92" s="29"/>
      <c r="DX92" s="28"/>
      <c r="DY92" s="11"/>
      <c r="DZ92" s="26"/>
      <c r="EA92" s="11"/>
      <c r="EB92" s="29"/>
      <c r="EC92" s="28"/>
      <c r="ED92" s="30"/>
      <c r="EE92" s="30" t="str">
        <f ca="1">IFERROR(__xludf.DUMMYFUNCTION("iferror(index(filter('Internal -- Trademark Countries'!E$2:E1000, (AM92 = 'Internal -- Trademark Countries'!B$2:B1000) + (AM92 = 'Internal -- Trademark Countries'!C$2:C1000) + (AM92 = 'Internal -- Trademark Countries'!D$2:D1000)), 1))"),"")</f>
        <v/>
      </c>
      <c r="EF92" s="30" t="e">
        <f ca="1">_xludf.ifs(AM92="", "", COUNTIF('Internal -- Trademark Countries'!B:B,AM92) &gt; 0, "polity_shortest_name", COUNTIF('Internal -- Trademark Countries'!C:C,AM92) &gt; 0, "polity_full_name", COUNTIF('Internal -- Trademark Countries'!D:D,AM92) &gt; 0, "polity_common_name", COUNTIF('Internal -- Trademark Countries'!E:E,AM92) &gt; 0, "shortest_name", COUNTIF('Internal -- Trademark Countries'!A:A,AM92) &gt; 0, "full_name", TRUE, "not a match")</f>
        <v>#NAME?</v>
      </c>
      <c r="EG92" s="30"/>
      <c r="EH92" s="30"/>
      <c r="EI92" s="30"/>
      <c r="EJ92" s="30"/>
      <c r="EK92" s="30" t="str">
        <f t="shared" si="2"/>
        <v/>
      </c>
    </row>
    <row r="93" spans="1:141" ht="16.5">
      <c r="A93" s="11"/>
      <c r="B93" s="11"/>
      <c r="C93" s="11"/>
      <c r="D93" s="11"/>
      <c r="E93" s="11"/>
      <c r="F93" s="11"/>
      <c r="G93" s="11"/>
      <c r="H93" s="11"/>
      <c r="I93" s="11"/>
      <c r="J93" s="11"/>
      <c r="K93" s="27"/>
      <c r="L93" s="11"/>
      <c r="M93" s="11"/>
      <c r="N93" s="11"/>
      <c r="O93" s="11"/>
      <c r="P93" s="15"/>
      <c r="Q93" s="15"/>
      <c r="R93" s="15"/>
      <c r="S93" s="15"/>
      <c r="T93" s="15"/>
      <c r="U93" s="15"/>
      <c r="V93" s="15"/>
      <c r="W93" s="47"/>
      <c r="X93" s="11"/>
      <c r="Y93" s="48"/>
      <c r="Z93" s="11"/>
      <c r="AA93" s="48"/>
      <c r="AB93" s="11"/>
      <c r="AC93" s="48"/>
      <c r="AD93" s="11"/>
      <c r="AE93" s="47"/>
      <c r="AF93" s="11"/>
      <c r="AG93" s="48"/>
      <c r="AH93" s="11"/>
      <c r="AI93" s="48"/>
      <c r="AJ93" s="11"/>
      <c r="AK93" s="48"/>
      <c r="AL93" s="11"/>
      <c r="AM93" s="49"/>
      <c r="AN93" s="49"/>
      <c r="AO93" s="11"/>
      <c r="AP93" s="11"/>
      <c r="AQ93" s="28" t="b">
        <f>IF(COUNTIF(SmartStatus!A$2:A1000, AM93) &gt; 2, TRUE, FALSE)</f>
        <v>0</v>
      </c>
      <c r="AR93" s="29" t="str">
        <f ca="1">IFERROR(__xludf.DUMMYFUNCTION("iferror(if(regexmatch(AO93, ""(?i)^registered""), if(EE93 &lt;&gt; ""polity_shortest_name"", ""CHECK_POLITY"", index(filter(SmartStatus!B$2:B1000, AM93 = SmartStatus!A$2:A1000, not(SmartStatus!C$2:C1000), (isblank(SmartStatus!D$2:D1000)) + ((P93 &lt;&gt; """") * (P93"&amp;" &lt; SmartStatus!D$2:D1000)), (isblank(SmartStatus!E$2:E1000)) + ((P93 &lt;&gt; """") * (P93 &gt;= SmartStatus!E$2:E1000)), (isblank(SmartStatus!F$2:F1000)) + (((Q93 &lt;&gt; """") * (Q93 &lt; SmartStatus!F$2:F1000)) + ((P93 &lt;&gt; """") * (date(year(P93) + 3, month(P93), day(P9"&amp;"3)) &lt; SmartStatus!F$2:F1000))), (isblank(SmartStatus!G$2:G1000)) + (((Q93 &lt;&gt; """") * (Q93 &gt;= SmartStatus!G$2:G1000)) + ((P93 &lt;&gt; """") * (P93 &gt;= SmartStatus!G$2:G1000)))), if(or(regexmatch(B93, ""(?i)^ir [a-z]+ designation$""), N93 &lt;&gt; """"), 1, 2))), """")"&amp;", ""NO_MATCH"")"),"")</f>
        <v/>
      </c>
      <c r="AS93" s="11"/>
      <c r="AT93" s="15"/>
      <c r="AU93" s="11"/>
      <c r="AV93" s="11"/>
      <c r="AW93" s="15"/>
      <c r="AX93" s="15"/>
      <c r="AY93" s="15"/>
      <c r="AZ93" s="11"/>
      <c r="BA93" s="15"/>
      <c r="BB93" s="11"/>
      <c r="BC93" s="11"/>
      <c r="BD93" s="15"/>
      <c r="BE93" s="11"/>
      <c r="BF93" s="11"/>
      <c r="BG93" s="15"/>
      <c r="BH93" s="15"/>
      <c r="BI93" s="15"/>
      <c r="BJ93" s="11"/>
      <c r="BK93" s="15"/>
      <c r="BL93" s="11"/>
      <c r="BM93" s="11"/>
      <c r="BN93" s="15"/>
      <c r="BO93" s="11"/>
      <c r="BP93" s="11"/>
      <c r="BQ93" s="15"/>
      <c r="BR93" s="15"/>
      <c r="BS93" s="15"/>
      <c r="BT93" s="11"/>
      <c r="BU93" s="15"/>
      <c r="BV93" s="11"/>
      <c r="BW93" s="11"/>
      <c r="BX93" s="15"/>
      <c r="BY93" s="11"/>
      <c r="BZ93" s="11"/>
      <c r="CA93" s="15"/>
      <c r="CB93" s="11"/>
      <c r="CC93" s="15"/>
      <c r="CD93" s="11"/>
      <c r="CE93" s="15"/>
      <c r="CF93" s="11"/>
      <c r="CG93" s="11"/>
      <c r="CH93" s="15"/>
      <c r="CI93" s="11"/>
      <c r="CJ93" s="11"/>
      <c r="CK93" s="15"/>
      <c r="CL93" s="11"/>
      <c r="CM93" s="11"/>
      <c r="CN93" s="11"/>
      <c r="CO93" s="11"/>
      <c r="CP93" s="28"/>
      <c r="CQ93" s="28"/>
      <c r="CR93" s="11"/>
      <c r="CS93" s="29"/>
      <c r="CT93" s="11"/>
      <c r="CU93" s="11"/>
      <c r="CV93" s="11"/>
      <c r="CW93" s="11"/>
      <c r="CX93" s="11"/>
      <c r="CY93" s="11"/>
      <c r="CZ93" s="11"/>
      <c r="DA93" s="28"/>
      <c r="DB93" s="28"/>
      <c r="DC93" s="11"/>
      <c r="DD93" s="29"/>
      <c r="DE93" s="11"/>
      <c r="DF93" s="11"/>
      <c r="DG93" s="11"/>
      <c r="DH93" s="11"/>
      <c r="DI93" s="11"/>
      <c r="DJ93" s="11"/>
      <c r="DK93" s="26"/>
      <c r="DL93" s="11"/>
      <c r="DM93" s="29"/>
      <c r="DN93" s="28"/>
      <c r="DO93" s="11"/>
      <c r="DP93" s="11"/>
      <c r="DQ93" s="11"/>
      <c r="DR93" s="29"/>
      <c r="DS93" s="28"/>
      <c r="DT93" s="11"/>
      <c r="DU93" s="26"/>
      <c r="DV93" s="11"/>
      <c r="DW93" s="29"/>
      <c r="DX93" s="28"/>
      <c r="DY93" s="11"/>
      <c r="DZ93" s="26"/>
      <c r="EA93" s="11"/>
      <c r="EB93" s="29"/>
      <c r="EC93" s="28"/>
      <c r="ED93" s="30"/>
      <c r="EE93" s="30" t="str">
        <f ca="1">IFERROR(__xludf.DUMMYFUNCTION("iferror(index(filter('Internal -- Trademark Countries'!E$2:E1000, (AM93 = 'Internal -- Trademark Countries'!B$2:B1000) + (AM93 = 'Internal -- Trademark Countries'!C$2:C1000) + (AM93 = 'Internal -- Trademark Countries'!D$2:D1000)), 1))"),"")</f>
        <v/>
      </c>
      <c r="EF93" s="30" t="e">
        <f ca="1">_xludf.ifs(AM93="", "", COUNTIF('Internal -- Trademark Countries'!B:B,AM93) &gt; 0, "polity_shortest_name", COUNTIF('Internal -- Trademark Countries'!C:C,AM93) &gt; 0, "polity_full_name", COUNTIF('Internal -- Trademark Countries'!D:D,AM93) &gt; 0, "polity_common_name", COUNTIF('Internal -- Trademark Countries'!E:E,AM93) &gt; 0, "shortest_name", COUNTIF('Internal -- Trademark Countries'!A:A,AM93) &gt; 0, "full_name", TRUE, "not a match")</f>
        <v>#NAME?</v>
      </c>
      <c r="EG93" s="30"/>
      <c r="EH93" s="30"/>
      <c r="EI93" s="30"/>
      <c r="EJ93" s="30"/>
      <c r="EK93" s="30" t="str">
        <f t="shared" si="2"/>
        <v/>
      </c>
    </row>
    <row r="94" spans="1:141" ht="16.5">
      <c r="A94" s="11"/>
      <c r="B94" s="11"/>
      <c r="C94" s="11"/>
      <c r="D94" s="11"/>
      <c r="E94" s="11"/>
      <c r="F94" s="11"/>
      <c r="G94" s="11"/>
      <c r="H94" s="11"/>
      <c r="I94" s="11"/>
      <c r="J94" s="11"/>
      <c r="K94" s="27"/>
      <c r="L94" s="11"/>
      <c r="M94" s="11"/>
      <c r="N94" s="11"/>
      <c r="O94" s="11"/>
      <c r="P94" s="15"/>
      <c r="Q94" s="15"/>
      <c r="R94" s="15"/>
      <c r="S94" s="15"/>
      <c r="T94" s="15"/>
      <c r="U94" s="15"/>
      <c r="V94" s="15"/>
      <c r="W94" s="47"/>
      <c r="X94" s="11"/>
      <c r="Y94" s="48"/>
      <c r="Z94" s="11"/>
      <c r="AA94" s="48"/>
      <c r="AB94" s="11"/>
      <c r="AC94" s="48"/>
      <c r="AD94" s="11"/>
      <c r="AE94" s="47"/>
      <c r="AF94" s="11"/>
      <c r="AG94" s="48"/>
      <c r="AH94" s="11"/>
      <c r="AI94" s="48"/>
      <c r="AJ94" s="11"/>
      <c r="AK94" s="48"/>
      <c r="AL94" s="11"/>
      <c r="AM94" s="49"/>
      <c r="AN94" s="49"/>
      <c r="AO94" s="11"/>
      <c r="AP94" s="11"/>
      <c r="AQ94" s="28" t="b">
        <f>IF(COUNTIF(SmartStatus!A$2:A1000, AM94) &gt; 2, TRUE, FALSE)</f>
        <v>0</v>
      </c>
      <c r="AR94" s="29" t="str">
        <f ca="1">IFERROR(__xludf.DUMMYFUNCTION("iferror(if(regexmatch(AO94, ""(?i)^registered""), if(EE94 &lt;&gt; ""polity_shortest_name"", ""CHECK_POLITY"", index(filter(SmartStatus!B$2:B1000, AM94 = SmartStatus!A$2:A1000, not(SmartStatus!C$2:C1000), (isblank(SmartStatus!D$2:D1000)) + ((P94 &lt;&gt; """") * (P94"&amp;" &lt; SmartStatus!D$2:D1000)), (isblank(SmartStatus!E$2:E1000)) + ((P94 &lt;&gt; """") * (P94 &gt;= SmartStatus!E$2:E1000)), (isblank(SmartStatus!F$2:F1000)) + (((Q94 &lt;&gt; """") * (Q94 &lt; SmartStatus!F$2:F1000)) + ((P94 &lt;&gt; """") * (date(year(P94) + 3, month(P94), day(P9"&amp;"4)) &lt; SmartStatus!F$2:F1000))), (isblank(SmartStatus!G$2:G1000)) + (((Q94 &lt;&gt; """") * (Q94 &gt;= SmartStatus!G$2:G1000)) + ((P94 &lt;&gt; """") * (P94 &gt;= SmartStatus!G$2:G1000)))), if(or(regexmatch(B94, ""(?i)^ir [a-z]+ designation$""), N94 &lt;&gt; """"), 1, 2))), """")"&amp;", ""NO_MATCH"")"),"")</f>
        <v/>
      </c>
      <c r="AS94" s="11"/>
      <c r="AT94" s="15"/>
      <c r="AU94" s="11"/>
      <c r="AV94" s="11"/>
      <c r="AW94" s="15"/>
      <c r="AX94" s="15"/>
      <c r="AY94" s="15"/>
      <c r="AZ94" s="11"/>
      <c r="BA94" s="15"/>
      <c r="BB94" s="11"/>
      <c r="BC94" s="11"/>
      <c r="BD94" s="15"/>
      <c r="BE94" s="11"/>
      <c r="BF94" s="11"/>
      <c r="BG94" s="15"/>
      <c r="BH94" s="15"/>
      <c r="BI94" s="15"/>
      <c r="BJ94" s="11"/>
      <c r="BK94" s="15"/>
      <c r="BL94" s="11"/>
      <c r="BM94" s="11"/>
      <c r="BN94" s="15"/>
      <c r="BO94" s="11"/>
      <c r="BP94" s="11"/>
      <c r="BQ94" s="15"/>
      <c r="BR94" s="15"/>
      <c r="BS94" s="15"/>
      <c r="BT94" s="11"/>
      <c r="BU94" s="15"/>
      <c r="BV94" s="11"/>
      <c r="BW94" s="11"/>
      <c r="BX94" s="15"/>
      <c r="BY94" s="11"/>
      <c r="BZ94" s="11"/>
      <c r="CA94" s="15"/>
      <c r="CB94" s="11"/>
      <c r="CC94" s="15"/>
      <c r="CD94" s="11"/>
      <c r="CE94" s="15"/>
      <c r="CF94" s="11"/>
      <c r="CG94" s="11"/>
      <c r="CH94" s="15"/>
      <c r="CI94" s="11"/>
      <c r="CJ94" s="11"/>
      <c r="CK94" s="15"/>
      <c r="CL94" s="11"/>
      <c r="CM94" s="11"/>
      <c r="CN94" s="11"/>
      <c r="CO94" s="11"/>
      <c r="CP94" s="28"/>
      <c r="CQ94" s="28"/>
      <c r="CR94" s="11"/>
      <c r="CS94" s="29"/>
      <c r="CT94" s="11"/>
      <c r="CU94" s="11"/>
      <c r="CV94" s="11"/>
      <c r="CW94" s="11"/>
      <c r="CX94" s="11"/>
      <c r="CY94" s="11"/>
      <c r="CZ94" s="11"/>
      <c r="DA94" s="28"/>
      <c r="DB94" s="28"/>
      <c r="DC94" s="11"/>
      <c r="DD94" s="29"/>
      <c r="DE94" s="11"/>
      <c r="DF94" s="11"/>
      <c r="DG94" s="11"/>
      <c r="DH94" s="11"/>
      <c r="DI94" s="11"/>
      <c r="DJ94" s="11"/>
      <c r="DK94" s="26"/>
      <c r="DL94" s="11"/>
      <c r="DM94" s="29"/>
      <c r="DN94" s="28"/>
      <c r="DO94" s="11"/>
      <c r="DP94" s="11"/>
      <c r="DQ94" s="11"/>
      <c r="DR94" s="29"/>
      <c r="DS94" s="28"/>
      <c r="DT94" s="11"/>
      <c r="DU94" s="26"/>
      <c r="DV94" s="11"/>
      <c r="DW94" s="29"/>
      <c r="DX94" s="28"/>
      <c r="DY94" s="11"/>
      <c r="DZ94" s="26"/>
      <c r="EA94" s="11"/>
      <c r="EB94" s="29"/>
      <c r="EC94" s="28"/>
      <c r="ED94" s="30"/>
      <c r="EE94" s="30" t="str">
        <f ca="1">IFERROR(__xludf.DUMMYFUNCTION("iferror(index(filter('Internal -- Trademark Countries'!E$2:E1000, (AM94 = 'Internal -- Trademark Countries'!B$2:B1000) + (AM94 = 'Internal -- Trademark Countries'!C$2:C1000) + (AM94 = 'Internal -- Trademark Countries'!D$2:D1000)), 1))"),"")</f>
        <v/>
      </c>
      <c r="EF94" s="30" t="e">
        <f ca="1">_xludf.ifs(AM94="", "", COUNTIF('Internal -- Trademark Countries'!B:B,AM94) &gt; 0, "polity_shortest_name", COUNTIF('Internal -- Trademark Countries'!C:C,AM94) &gt; 0, "polity_full_name", COUNTIF('Internal -- Trademark Countries'!D:D,AM94) &gt; 0, "polity_common_name", COUNTIF('Internal -- Trademark Countries'!E:E,AM94) &gt; 0, "shortest_name", COUNTIF('Internal -- Trademark Countries'!A:A,AM94) &gt; 0, "full_name", TRUE, "not a match")</f>
        <v>#NAME?</v>
      </c>
      <c r="EG94" s="30"/>
      <c r="EH94" s="30"/>
      <c r="EI94" s="30"/>
      <c r="EJ94" s="30"/>
      <c r="EK94" s="30" t="str">
        <f t="shared" si="2"/>
        <v/>
      </c>
    </row>
    <row r="95" spans="1:141" ht="16.5">
      <c r="A95" s="11"/>
      <c r="B95" s="11"/>
      <c r="C95" s="11"/>
      <c r="D95" s="11"/>
      <c r="E95" s="11"/>
      <c r="F95" s="11"/>
      <c r="G95" s="11"/>
      <c r="H95" s="11"/>
      <c r="I95" s="11"/>
      <c r="J95" s="11"/>
      <c r="K95" s="27"/>
      <c r="L95" s="11"/>
      <c r="M95" s="11"/>
      <c r="N95" s="11"/>
      <c r="O95" s="11"/>
      <c r="P95" s="15"/>
      <c r="Q95" s="15"/>
      <c r="R95" s="15"/>
      <c r="S95" s="15"/>
      <c r="T95" s="15"/>
      <c r="U95" s="15"/>
      <c r="V95" s="15"/>
      <c r="W95" s="47"/>
      <c r="X95" s="11"/>
      <c r="Y95" s="48"/>
      <c r="Z95" s="11"/>
      <c r="AA95" s="48"/>
      <c r="AB95" s="11"/>
      <c r="AC95" s="48"/>
      <c r="AD95" s="11"/>
      <c r="AE95" s="47"/>
      <c r="AF95" s="11"/>
      <c r="AG95" s="48"/>
      <c r="AH95" s="11"/>
      <c r="AI95" s="48"/>
      <c r="AJ95" s="11"/>
      <c r="AK95" s="48"/>
      <c r="AL95" s="11"/>
      <c r="AM95" s="49"/>
      <c r="AN95" s="49"/>
      <c r="AO95" s="11"/>
      <c r="AP95" s="11"/>
      <c r="AQ95" s="28" t="b">
        <f>IF(COUNTIF(SmartStatus!A$2:A1000, AM95) &gt; 2, TRUE, FALSE)</f>
        <v>0</v>
      </c>
      <c r="AR95" s="29" t="str">
        <f ca="1">IFERROR(__xludf.DUMMYFUNCTION("iferror(if(regexmatch(AO95, ""(?i)^registered""), if(EE95 &lt;&gt; ""polity_shortest_name"", ""CHECK_POLITY"", index(filter(SmartStatus!B$2:B1000, AM95 = SmartStatus!A$2:A1000, not(SmartStatus!C$2:C1000), (isblank(SmartStatus!D$2:D1000)) + ((P95 &lt;&gt; """") * (P95"&amp;" &lt; SmartStatus!D$2:D1000)), (isblank(SmartStatus!E$2:E1000)) + ((P95 &lt;&gt; """") * (P95 &gt;= SmartStatus!E$2:E1000)), (isblank(SmartStatus!F$2:F1000)) + (((Q95 &lt;&gt; """") * (Q95 &lt; SmartStatus!F$2:F1000)) + ((P95 &lt;&gt; """") * (date(year(P95) + 3, month(P95), day(P9"&amp;"5)) &lt; SmartStatus!F$2:F1000))), (isblank(SmartStatus!G$2:G1000)) + (((Q95 &lt;&gt; """") * (Q95 &gt;= SmartStatus!G$2:G1000)) + ((P95 &lt;&gt; """") * (P95 &gt;= SmartStatus!G$2:G1000)))), if(or(regexmatch(B95, ""(?i)^ir [a-z]+ designation$""), N95 &lt;&gt; """"), 1, 2))), """")"&amp;", ""NO_MATCH"")"),"")</f>
        <v/>
      </c>
      <c r="AS95" s="11"/>
      <c r="AT95" s="15"/>
      <c r="AU95" s="11"/>
      <c r="AV95" s="11"/>
      <c r="AW95" s="15"/>
      <c r="AX95" s="15"/>
      <c r="AY95" s="15"/>
      <c r="AZ95" s="11"/>
      <c r="BA95" s="15"/>
      <c r="BB95" s="11"/>
      <c r="BC95" s="11"/>
      <c r="BD95" s="15"/>
      <c r="BE95" s="11"/>
      <c r="BF95" s="11"/>
      <c r="BG95" s="15"/>
      <c r="BH95" s="15"/>
      <c r="BI95" s="15"/>
      <c r="BJ95" s="11"/>
      <c r="BK95" s="15"/>
      <c r="BL95" s="11"/>
      <c r="BM95" s="11"/>
      <c r="BN95" s="15"/>
      <c r="BO95" s="11"/>
      <c r="BP95" s="11"/>
      <c r="BQ95" s="15"/>
      <c r="BR95" s="15"/>
      <c r="BS95" s="15"/>
      <c r="BT95" s="11"/>
      <c r="BU95" s="15"/>
      <c r="BV95" s="11"/>
      <c r="BW95" s="11"/>
      <c r="BX95" s="15"/>
      <c r="BY95" s="11"/>
      <c r="BZ95" s="11"/>
      <c r="CA95" s="15"/>
      <c r="CB95" s="11"/>
      <c r="CC95" s="15"/>
      <c r="CD95" s="11"/>
      <c r="CE95" s="15"/>
      <c r="CF95" s="11"/>
      <c r="CG95" s="11"/>
      <c r="CH95" s="15"/>
      <c r="CI95" s="11"/>
      <c r="CJ95" s="11"/>
      <c r="CK95" s="15"/>
      <c r="CL95" s="11"/>
      <c r="CM95" s="11"/>
      <c r="CN95" s="11"/>
      <c r="CO95" s="11"/>
      <c r="CP95" s="28"/>
      <c r="CQ95" s="28"/>
      <c r="CR95" s="11"/>
      <c r="CS95" s="29"/>
      <c r="CT95" s="11"/>
      <c r="CU95" s="11"/>
      <c r="CV95" s="11"/>
      <c r="CW95" s="11"/>
      <c r="CX95" s="11"/>
      <c r="CY95" s="11"/>
      <c r="CZ95" s="11"/>
      <c r="DA95" s="28"/>
      <c r="DB95" s="28"/>
      <c r="DC95" s="11"/>
      <c r="DD95" s="29"/>
      <c r="DE95" s="11"/>
      <c r="DF95" s="11"/>
      <c r="DG95" s="11"/>
      <c r="DH95" s="11"/>
      <c r="DI95" s="11"/>
      <c r="DJ95" s="11"/>
      <c r="DK95" s="26"/>
      <c r="DL95" s="11"/>
      <c r="DM95" s="29"/>
      <c r="DN95" s="28"/>
      <c r="DO95" s="11"/>
      <c r="DP95" s="11"/>
      <c r="DQ95" s="11"/>
      <c r="DR95" s="29"/>
      <c r="DS95" s="28"/>
      <c r="DT95" s="11"/>
      <c r="DU95" s="26"/>
      <c r="DV95" s="11"/>
      <c r="DW95" s="29"/>
      <c r="DX95" s="28"/>
      <c r="DY95" s="11"/>
      <c r="DZ95" s="26"/>
      <c r="EA95" s="11"/>
      <c r="EB95" s="29"/>
      <c r="EC95" s="28"/>
      <c r="ED95" s="30"/>
      <c r="EE95" s="30" t="str">
        <f ca="1">IFERROR(__xludf.DUMMYFUNCTION("iferror(index(filter('Internal -- Trademark Countries'!E$2:E1000, (AM95 = 'Internal -- Trademark Countries'!B$2:B1000) + (AM95 = 'Internal -- Trademark Countries'!C$2:C1000) + (AM95 = 'Internal -- Trademark Countries'!D$2:D1000)), 1))"),"")</f>
        <v/>
      </c>
      <c r="EF95" s="30" t="e">
        <f ca="1">_xludf.ifs(AM95="", "", COUNTIF('Internal -- Trademark Countries'!B:B,AM95) &gt; 0, "polity_shortest_name", COUNTIF('Internal -- Trademark Countries'!C:C,AM95) &gt; 0, "polity_full_name", COUNTIF('Internal -- Trademark Countries'!D:D,AM95) &gt; 0, "polity_common_name", COUNTIF('Internal -- Trademark Countries'!E:E,AM95) &gt; 0, "shortest_name", COUNTIF('Internal -- Trademark Countries'!A:A,AM95) &gt; 0, "full_name", TRUE, "not a match")</f>
        <v>#NAME?</v>
      </c>
      <c r="EG95" s="30"/>
      <c r="EH95" s="30"/>
      <c r="EI95" s="30"/>
      <c r="EJ95" s="30"/>
      <c r="EK95" s="30" t="str">
        <f t="shared" si="2"/>
        <v/>
      </c>
    </row>
    <row r="96" spans="1:141" ht="16.5">
      <c r="A96" s="11"/>
      <c r="B96" s="11"/>
      <c r="C96" s="11"/>
      <c r="D96" s="11"/>
      <c r="E96" s="11"/>
      <c r="F96" s="11"/>
      <c r="G96" s="11"/>
      <c r="H96" s="11"/>
      <c r="I96" s="11"/>
      <c r="J96" s="11"/>
      <c r="K96" s="27"/>
      <c r="L96" s="11"/>
      <c r="M96" s="11"/>
      <c r="N96" s="11"/>
      <c r="O96" s="11"/>
      <c r="P96" s="15"/>
      <c r="Q96" s="15"/>
      <c r="R96" s="15"/>
      <c r="S96" s="15"/>
      <c r="T96" s="15"/>
      <c r="U96" s="15"/>
      <c r="V96" s="15"/>
      <c r="W96" s="47"/>
      <c r="X96" s="11"/>
      <c r="Y96" s="48"/>
      <c r="Z96" s="11"/>
      <c r="AA96" s="48"/>
      <c r="AB96" s="11"/>
      <c r="AC96" s="48"/>
      <c r="AD96" s="11"/>
      <c r="AE96" s="47"/>
      <c r="AF96" s="11"/>
      <c r="AG96" s="48"/>
      <c r="AH96" s="11"/>
      <c r="AI96" s="48"/>
      <c r="AJ96" s="11"/>
      <c r="AK96" s="48"/>
      <c r="AL96" s="11"/>
      <c r="AM96" s="49"/>
      <c r="AN96" s="49"/>
      <c r="AO96" s="11"/>
      <c r="AP96" s="11"/>
      <c r="AQ96" s="28" t="b">
        <f>IF(COUNTIF(SmartStatus!A$2:A1000, AM96) &gt; 2, TRUE, FALSE)</f>
        <v>0</v>
      </c>
      <c r="AR96" s="29" t="str">
        <f ca="1">IFERROR(__xludf.DUMMYFUNCTION("iferror(if(regexmatch(AO96, ""(?i)^registered""), if(EE96 &lt;&gt; ""polity_shortest_name"", ""CHECK_POLITY"", index(filter(SmartStatus!B$2:B1000, AM96 = SmartStatus!A$2:A1000, not(SmartStatus!C$2:C1000), (isblank(SmartStatus!D$2:D1000)) + ((P96 &lt;&gt; """") * (P96"&amp;" &lt; SmartStatus!D$2:D1000)), (isblank(SmartStatus!E$2:E1000)) + ((P96 &lt;&gt; """") * (P96 &gt;= SmartStatus!E$2:E1000)), (isblank(SmartStatus!F$2:F1000)) + (((Q96 &lt;&gt; """") * (Q96 &lt; SmartStatus!F$2:F1000)) + ((P96 &lt;&gt; """") * (date(year(P96) + 3, month(P96), day(P9"&amp;"6)) &lt; SmartStatus!F$2:F1000))), (isblank(SmartStatus!G$2:G1000)) + (((Q96 &lt;&gt; """") * (Q96 &gt;= SmartStatus!G$2:G1000)) + ((P96 &lt;&gt; """") * (P96 &gt;= SmartStatus!G$2:G1000)))), if(or(regexmatch(B96, ""(?i)^ir [a-z]+ designation$""), N96 &lt;&gt; """"), 1, 2))), """")"&amp;", ""NO_MATCH"")"),"")</f>
        <v/>
      </c>
      <c r="AS96" s="11"/>
      <c r="AT96" s="15"/>
      <c r="AU96" s="11"/>
      <c r="AV96" s="11"/>
      <c r="AW96" s="15"/>
      <c r="AX96" s="15"/>
      <c r="AY96" s="15"/>
      <c r="AZ96" s="11"/>
      <c r="BA96" s="15"/>
      <c r="BB96" s="11"/>
      <c r="BC96" s="11"/>
      <c r="BD96" s="15"/>
      <c r="BE96" s="11"/>
      <c r="BF96" s="11"/>
      <c r="BG96" s="15"/>
      <c r="BH96" s="15"/>
      <c r="BI96" s="15"/>
      <c r="BJ96" s="11"/>
      <c r="BK96" s="15"/>
      <c r="BL96" s="11"/>
      <c r="BM96" s="11"/>
      <c r="BN96" s="15"/>
      <c r="BO96" s="11"/>
      <c r="BP96" s="11"/>
      <c r="BQ96" s="15"/>
      <c r="BR96" s="15"/>
      <c r="BS96" s="15"/>
      <c r="BT96" s="11"/>
      <c r="BU96" s="15"/>
      <c r="BV96" s="11"/>
      <c r="BW96" s="11"/>
      <c r="BX96" s="15"/>
      <c r="BY96" s="11"/>
      <c r="BZ96" s="11"/>
      <c r="CA96" s="15"/>
      <c r="CB96" s="11"/>
      <c r="CC96" s="15"/>
      <c r="CD96" s="11"/>
      <c r="CE96" s="15"/>
      <c r="CF96" s="11"/>
      <c r="CG96" s="11"/>
      <c r="CH96" s="15"/>
      <c r="CI96" s="11"/>
      <c r="CJ96" s="11"/>
      <c r="CK96" s="15"/>
      <c r="CL96" s="11"/>
      <c r="CM96" s="11"/>
      <c r="CN96" s="11"/>
      <c r="CO96" s="11"/>
      <c r="CP96" s="28"/>
      <c r="CQ96" s="28"/>
      <c r="CR96" s="11"/>
      <c r="CS96" s="29"/>
      <c r="CT96" s="11"/>
      <c r="CU96" s="11"/>
      <c r="CV96" s="11"/>
      <c r="CW96" s="11"/>
      <c r="CX96" s="11"/>
      <c r="CY96" s="11"/>
      <c r="CZ96" s="11"/>
      <c r="DA96" s="28"/>
      <c r="DB96" s="28"/>
      <c r="DC96" s="11"/>
      <c r="DD96" s="29"/>
      <c r="DE96" s="11"/>
      <c r="DF96" s="11"/>
      <c r="DG96" s="11"/>
      <c r="DH96" s="11"/>
      <c r="DI96" s="11"/>
      <c r="DJ96" s="11"/>
      <c r="DK96" s="26"/>
      <c r="DL96" s="11"/>
      <c r="DM96" s="29"/>
      <c r="DN96" s="28"/>
      <c r="DO96" s="11"/>
      <c r="DP96" s="11"/>
      <c r="DQ96" s="11"/>
      <c r="DR96" s="29"/>
      <c r="DS96" s="28"/>
      <c r="DT96" s="11"/>
      <c r="DU96" s="26"/>
      <c r="DV96" s="11"/>
      <c r="DW96" s="29"/>
      <c r="DX96" s="28"/>
      <c r="DY96" s="11"/>
      <c r="DZ96" s="26"/>
      <c r="EA96" s="11"/>
      <c r="EB96" s="29"/>
      <c r="EC96" s="28"/>
      <c r="ED96" s="30"/>
      <c r="EE96" s="30" t="str">
        <f ca="1">IFERROR(__xludf.DUMMYFUNCTION("iferror(index(filter('Internal -- Trademark Countries'!E$2:E1000, (AM96 = 'Internal -- Trademark Countries'!B$2:B1000) + (AM96 = 'Internal -- Trademark Countries'!C$2:C1000) + (AM96 = 'Internal -- Trademark Countries'!D$2:D1000)), 1))"),"")</f>
        <v/>
      </c>
      <c r="EF96" s="30" t="e">
        <f ca="1">_xludf.ifs(AM96="", "", COUNTIF('Internal -- Trademark Countries'!B:B,AM96) &gt; 0, "polity_shortest_name", COUNTIF('Internal -- Trademark Countries'!C:C,AM96) &gt; 0, "polity_full_name", COUNTIF('Internal -- Trademark Countries'!D:D,AM96) &gt; 0, "polity_common_name", COUNTIF('Internal -- Trademark Countries'!E:E,AM96) &gt; 0, "shortest_name", COUNTIF('Internal -- Trademark Countries'!A:A,AM96) &gt; 0, "full_name", TRUE, "not a match")</f>
        <v>#NAME?</v>
      </c>
      <c r="EG96" s="30"/>
      <c r="EH96" s="30"/>
      <c r="EI96" s="30"/>
      <c r="EJ96" s="30"/>
      <c r="EK96" s="30" t="str">
        <f t="shared" si="2"/>
        <v/>
      </c>
    </row>
    <row r="97" spans="1:141" ht="16.5">
      <c r="A97" s="11"/>
      <c r="B97" s="11"/>
      <c r="C97" s="11"/>
      <c r="D97" s="11"/>
      <c r="E97" s="11"/>
      <c r="F97" s="11"/>
      <c r="G97" s="11"/>
      <c r="H97" s="11"/>
      <c r="I97" s="11"/>
      <c r="J97" s="11"/>
      <c r="K97" s="27"/>
      <c r="L97" s="11"/>
      <c r="M97" s="11"/>
      <c r="N97" s="11"/>
      <c r="O97" s="11"/>
      <c r="P97" s="15"/>
      <c r="Q97" s="15"/>
      <c r="R97" s="15"/>
      <c r="S97" s="15"/>
      <c r="T97" s="15"/>
      <c r="U97" s="15"/>
      <c r="V97" s="15"/>
      <c r="W97" s="47"/>
      <c r="X97" s="11"/>
      <c r="Y97" s="48"/>
      <c r="Z97" s="11"/>
      <c r="AA97" s="48"/>
      <c r="AB97" s="11"/>
      <c r="AC97" s="48"/>
      <c r="AD97" s="11"/>
      <c r="AE97" s="47"/>
      <c r="AF97" s="11"/>
      <c r="AG97" s="48"/>
      <c r="AH97" s="11"/>
      <c r="AI97" s="48"/>
      <c r="AJ97" s="11"/>
      <c r="AK97" s="48"/>
      <c r="AL97" s="11"/>
      <c r="AM97" s="49"/>
      <c r="AN97" s="49"/>
      <c r="AO97" s="11"/>
      <c r="AP97" s="11"/>
      <c r="AQ97" s="28" t="b">
        <f>IF(COUNTIF(SmartStatus!A$2:A1000, AM97) &gt; 2, TRUE, FALSE)</f>
        <v>0</v>
      </c>
      <c r="AR97" s="29" t="str">
        <f ca="1">IFERROR(__xludf.DUMMYFUNCTION("iferror(if(regexmatch(AO97, ""(?i)^registered""), if(EE97 &lt;&gt; ""polity_shortest_name"", ""CHECK_POLITY"", index(filter(SmartStatus!B$2:B1000, AM97 = SmartStatus!A$2:A1000, not(SmartStatus!C$2:C1000), (isblank(SmartStatus!D$2:D1000)) + ((P97 &lt;&gt; """") * (P97"&amp;" &lt; SmartStatus!D$2:D1000)), (isblank(SmartStatus!E$2:E1000)) + ((P97 &lt;&gt; """") * (P97 &gt;= SmartStatus!E$2:E1000)), (isblank(SmartStatus!F$2:F1000)) + (((Q97 &lt;&gt; """") * (Q97 &lt; SmartStatus!F$2:F1000)) + ((P97 &lt;&gt; """") * (date(year(P97) + 3, month(P97), day(P9"&amp;"7)) &lt; SmartStatus!F$2:F1000))), (isblank(SmartStatus!G$2:G1000)) + (((Q97 &lt;&gt; """") * (Q97 &gt;= SmartStatus!G$2:G1000)) + ((P97 &lt;&gt; """") * (P97 &gt;= SmartStatus!G$2:G1000)))), if(or(regexmatch(B97, ""(?i)^ir [a-z]+ designation$""), N97 &lt;&gt; """"), 1, 2))), """")"&amp;", ""NO_MATCH"")"),"")</f>
        <v/>
      </c>
      <c r="AS97" s="11"/>
      <c r="AT97" s="15"/>
      <c r="AU97" s="11"/>
      <c r="AV97" s="11"/>
      <c r="AW97" s="15"/>
      <c r="AX97" s="15"/>
      <c r="AY97" s="15"/>
      <c r="AZ97" s="11"/>
      <c r="BA97" s="15"/>
      <c r="BB97" s="11"/>
      <c r="BC97" s="11"/>
      <c r="BD97" s="15"/>
      <c r="BE97" s="11"/>
      <c r="BF97" s="11"/>
      <c r="BG97" s="15"/>
      <c r="BH97" s="15"/>
      <c r="BI97" s="15"/>
      <c r="BJ97" s="11"/>
      <c r="BK97" s="15"/>
      <c r="BL97" s="11"/>
      <c r="BM97" s="11"/>
      <c r="BN97" s="15"/>
      <c r="BO97" s="11"/>
      <c r="BP97" s="11"/>
      <c r="BQ97" s="15"/>
      <c r="BR97" s="15"/>
      <c r="BS97" s="15"/>
      <c r="BT97" s="11"/>
      <c r="BU97" s="15"/>
      <c r="BV97" s="11"/>
      <c r="BW97" s="11"/>
      <c r="BX97" s="15"/>
      <c r="BY97" s="11"/>
      <c r="BZ97" s="11"/>
      <c r="CA97" s="15"/>
      <c r="CB97" s="11"/>
      <c r="CC97" s="15"/>
      <c r="CD97" s="11"/>
      <c r="CE97" s="15"/>
      <c r="CF97" s="11"/>
      <c r="CG97" s="11"/>
      <c r="CH97" s="15"/>
      <c r="CI97" s="11"/>
      <c r="CJ97" s="11"/>
      <c r="CK97" s="15"/>
      <c r="CL97" s="11"/>
      <c r="CM97" s="11"/>
      <c r="CN97" s="11"/>
      <c r="CO97" s="11"/>
      <c r="CP97" s="28"/>
      <c r="CQ97" s="28"/>
      <c r="CR97" s="11"/>
      <c r="CS97" s="29"/>
      <c r="CT97" s="11"/>
      <c r="CU97" s="11"/>
      <c r="CV97" s="11"/>
      <c r="CW97" s="11"/>
      <c r="CX97" s="11"/>
      <c r="CY97" s="11"/>
      <c r="CZ97" s="11"/>
      <c r="DA97" s="28"/>
      <c r="DB97" s="28"/>
      <c r="DC97" s="11"/>
      <c r="DD97" s="29"/>
      <c r="DE97" s="11"/>
      <c r="DF97" s="11"/>
      <c r="DG97" s="11"/>
      <c r="DH97" s="11"/>
      <c r="DI97" s="11"/>
      <c r="DJ97" s="11"/>
      <c r="DK97" s="26"/>
      <c r="DL97" s="11"/>
      <c r="DM97" s="29"/>
      <c r="DN97" s="28"/>
      <c r="DO97" s="11"/>
      <c r="DP97" s="11"/>
      <c r="DQ97" s="11"/>
      <c r="DR97" s="29"/>
      <c r="DS97" s="28"/>
      <c r="DT97" s="11"/>
      <c r="DU97" s="26"/>
      <c r="DV97" s="11"/>
      <c r="DW97" s="29"/>
      <c r="DX97" s="28"/>
      <c r="DY97" s="11"/>
      <c r="DZ97" s="26"/>
      <c r="EA97" s="11"/>
      <c r="EB97" s="29"/>
      <c r="EC97" s="28"/>
      <c r="ED97" s="30"/>
      <c r="EE97" s="30" t="str">
        <f ca="1">IFERROR(__xludf.DUMMYFUNCTION("iferror(index(filter('Internal -- Trademark Countries'!E$2:E1000, (AM97 = 'Internal -- Trademark Countries'!B$2:B1000) + (AM97 = 'Internal -- Trademark Countries'!C$2:C1000) + (AM97 = 'Internal -- Trademark Countries'!D$2:D1000)), 1))"),"")</f>
        <v/>
      </c>
      <c r="EF97" s="30" t="e">
        <f ca="1">_xludf.ifs(AM97="", "", COUNTIF('Internal -- Trademark Countries'!B:B,AM97) &gt; 0, "polity_shortest_name", COUNTIF('Internal -- Trademark Countries'!C:C,AM97) &gt; 0, "polity_full_name", COUNTIF('Internal -- Trademark Countries'!D:D,AM97) &gt; 0, "polity_common_name", COUNTIF('Internal -- Trademark Countries'!E:E,AM97) &gt; 0, "shortest_name", COUNTIF('Internal -- Trademark Countries'!A:A,AM97) &gt; 0, "full_name", TRUE, "not a match")</f>
        <v>#NAME?</v>
      </c>
      <c r="EG97" s="30"/>
      <c r="EH97" s="30"/>
      <c r="EI97" s="30"/>
      <c r="EJ97" s="30"/>
      <c r="EK97" s="30" t="str">
        <f t="shared" si="2"/>
        <v/>
      </c>
    </row>
    <row r="98" spans="1:141" ht="16.5">
      <c r="A98" s="11"/>
      <c r="B98" s="11"/>
      <c r="C98" s="11"/>
      <c r="D98" s="11"/>
      <c r="E98" s="11"/>
      <c r="F98" s="11"/>
      <c r="G98" s="11"/>
      <c r="H98" s="11"/>
      <c r="I98" s="11"/>
      <c r="J98" s="11"/>
      <c r="K98" s="27"/>
      <c r="L98" s="11"/>
      <c r="M98" s="11"/>
      <c r="N98" s="11"/>
      <c r="O98" s="11"/>
      <c r="P98" s="15"/>
      <c r="Q98" s="15"/>
      <c r="R98" s="15"/>
      <c r="S98" s="15"/>
      <c r="T98" s="15"/>
      <c r="U98" s="15"/>
      <c r="V98" s="15"/>
      <c r="W98" s="47"/>
      <c r="X98" s="11"/>
      <c r="Y98" s="48"/>
      <c r="Z98" s="11"/>
      <c r="AA98" s="48"/>
      <c r="AB98" s="11"/>
      <c r="AC98" s="48"/>
      <c r="AD98" s="11"/>
      <c r="AE98" s="47"/>
      <c r="AF98" s="11"/>
      <c r="AG98" s="48"/>
      <c r="AH98" s="11"/>
      <c r="AI98" s="48"/>
      <c r="AJ98" s="11"/>
      <c r="AK98" s="48"/>
      <c r="AL98" s="11"/>
      <c r="AM98" s="49"/>
      <c r="AN98" s="49"/>
      <c r="AO98" s="11"/>
      <c r="AP98" s="11"/>
      <c r="AQ98" s="28" t="b">
        <f>IF(COUNTIF(SmartStatus!A$2:A1000, AM98) &gt; 2, TRUE, FALSE)</f>
        <v>0</v>
      </c>
      <c r="AR98" s="29" t="str">
        <f ca="1">IFERROR(__xludf.DUMMYFUNCTION("iferror(if(regexmatch(AO98, ""(?i)^registered""), if(EE98 &lt;&gt; ""polity_shortest_name"", ""CHECK_POLITY"", index(filter(SmartStatus!B$2:B1000, AM98 = SmartStatus!A$2:A1000, not(SmartStatus!C$2:C1000), (isblank(SmartStatus!D$2:D1000)) + ((P98 &lt;&gt; """") * (P98"&amp;" &lt; SmartStatus!D$2:D1000)), (isblank(SmartStatus!E$2:E1000)) + ((P98 &lt;&gt; """") * (P98 &gt;= SmartStatus!E$2:E1000)), (isblank(SmartStatus!F$2:F1000)) + (((Q98 &lt;&gt; """") * (Q98 &lt; SmartStatus!F$2:F1000)) + ((P98 &lt;&gt; """") * (date(year(P98) + 3, month(P98), day(P9"&amp;"8)) &lt; SmartStatus!F$2:F1000))), (isblank(SmartStatus!G$2:G1000)) + (((Q98 &lt;&gt; """") * (Q98 &gt;= SmartStatus!G$2:G1000)) + ((P98 &lt;&gt; """") * (P98 &gt;= SmartStatus!G$2:G1000)))), if(or(regexmatch(B98, ""(?i)^ir [a-z]+ designation$""), N98 &lt;&gt; """"), 1, 2))), """")"&amp;", ""NO_MATCH"")"),"")</f>
        <v/>
      </c>
      <c r="AS98" s="11"/>
      <c r="AT98" s="15"/>
      <c r="AU98" s="11"/>
      <c r="AV98" s="11"/>
      <c r="AW98" s="15"/>
      <c r="AX98" s="15"/>
      <c r="AY98" s="15"/>
      <c r="AZ98" s="11"/>
      <c r="BA98" s="15"/>
      <c r="BB98" s="11"/>
      <c r="BC98" s="11"/>
      <c r="BD98" s="15"/>
      <c r="BE98" s="11"/>
      <c r="BF98" s="11"/>
      <c r="BG98" s="15"/>
      <c r="BH98" s="15"/>
      <c r="BI98" s="15"/>
      <c r="BJ98" s="11"/>
      <c r="BK98" s="15"/>
      <c r="BL98" s="11"/>
      <c r="BM98" s="11"/>
      <c r="BN98" s="15"/>
      <c r="BO98" s="11"/>
      <c r="BP98" s="11"/>
      <c r="BQ98" s="15"/>
      <c r="BR98" s="15"/>
      <c r="BS98" s="15"/>
      <c r="BT98" s="11"/>
      <c r="BU98" s="15"/>
      <c r="BV98" s="11"/>
      <c r="BW98" s="11"/>
      <c r="BX98" s="15"/>
      <c r="BY98" s="11"/>
      <c r="BZ98" s="11"/>
      <c r="CA98" s="15"/>
      <c r="CB98" s="11"/>
      <c r="CC98" s="15"/>
      <c r="CD98" s="11"/>
      <c r="CE98" s="15"/>
      <c r="CF98" s="11"/>
      <c r="CG98" s="11"/>
      <c r="CH98" s="15"/>
      <c r="CI98" s="11"/>
      <c r="CJ98" s="11"/>
      <c r="CK98" s="15"/>
      <c r="CL98" s="11"/>
      <c r="CM98" s="11"/>
      <c r="CN98" s="11"/>
      <c r="CO98" s="11"/>
      <c r="CP98" s="28"/>
      <c r="CQ98" s="28"/>
      <c r="CR98" s="11"/>
      <c r="CS98" s="29"/>
      <c r="CT98" s="11"/>
      <c r="CU98" s="11"/>
      <c r="CV98" s="11"/>
      <c r="CW98" s="11"/>
      <c r="CX98" s="11"/>
      <c r="CY98" s="11"/>
      <c r="CZ98" s="11"/>
      <c r="DA98" s="28"/>
      <c r="DB98" s="28"/>
      <c r="DC98" s="11"/>
      <c r="DD98" s="29"/>
      <c r="DE98" s="11"/>
      <c r="DF98" s="11"/>
      <c r="DG98" s="11"/>
      <c r="DH98" s="11"/>
      <c r="DI98" s="11"/>
      <c r="DJ98" s="11"/>
      <c r="DK98" s="26"/>
      <c r="DL98" s="11"/>
      <c r="DM98" s="29"/>
      <c r="DN98" s="28"/>
      <c r="DO98" s="11"/>
      <c r="DP98" s="11"/>
      <c r="DQ98" s="11"/>
      <c r="DR98" s="29"/>
      <c r="DS98" s="28"/>
      <c r="DT98" s="11"/>
      <c r="DU98" s="26"/>
      <c r="DV98" s="11"/>
      <c r="DW98" s="29"/>
      <c r="DX98" s="28"/>
      <c r="DY98" s="11"/>
      <c r="DZ98" s="26"/>
      <c r="EA98" s="11"/>
      <c r="EB98" s="29"/>
      <c r="EC98" s="28"/>
      <c r="ED98" s="30"/>
      <c r="EE98" s="30" t="str">
        <f ca="1">IFERROR(__xludf.DUMMYFUNCTION("iferror(index(filter('Internal -- Trademark Countries'!E$2:E1000, (AM98 = 'Internal -- Trademark Countries'!B$2:B1000) + (AM98 = 'Internal -- Trademark Countries'!C$2:C1000) + (AM98 = 'Internal -- Trademark Countries'!D$2:D1000)), 1))"),"")</f>
        <v/>
      </c>
      <c r="EF98" s="30" t="e">
        <f ca="1">_xludf.ifs(AM98="", "", COUNTIF('Internal -- Trademark Countries'!B:B,AM98) &gt; 0, "polity_shortest_name", COUNTIF('Internal -- Trademark Countries'!C:C,AM98) &gt; 0, "polity_full_name", COUNTIF('Internal -- Trademark Countries'!D:D,AM98) &gt; 0, "polity_common_name", COUNTIF('Internal -- Trademark Countries'!E:E,AM98) &gt; 0, "shortest_name", COUNTIF('Internal -- Trademark Countries'!A:A,AM98) &gt; 0, "full_name", TRUE, "not a match")</f>
        <v>#NAME?</v>
      </c>
      <c r="EG98" s="30"/>
      <c r="EH98" s="30"/>
      <c r="EI98" s="30"/>
      <c r="EJ98" s="30"/>
      <c r="EK98" s="30" t="str">
        <f t="shared" si="2"/>
        <v/>
      </c>
    </row>
    <row r="99" spans="1:141" ht="16.5">
      <c r="A99" s="11"/>
      <c r="B99" s="11"/>
      <c r="C99" s="11"/>
      <c r="D99" s="11"/>
      <c r="E99" s="11"/>
      <c r="F99" s="11"/>
      <c r="G99" s="11"/>
      <c r="H99" s="11"/>
      <c r="I99" s="11"/>
      <c r="J99" s="11"/>
      <c r="K99" s="27"/>
      <c r="L99" s="11"/>
      <c r="M99" s="11"/>
      <c r="N99" s="11"/>
      <c r="O99" s="11"/>
      <c r="P99" s="15"/>
      <c r="Q99" s="15"/>
      <c r="R99" s="15"/>
      <c r="S99" s="15"/>
      <c r="T99" s="15"/>
      <c r="U99" s="15"/>
      <c r="V99" s="15"/>
      <c r="W99" s="47"/>
      <c r="X99" s="11"/>
      <c r="Y99" s="48"/>
      <c r="Z99" s="11"/>
      <c r="AA99" s="48"/>
      <c r="AB99" s="11"/>
      <c r="AC99" s="48"/>
      <c r="AD99" s="11"/>
      <c r="AE99" s="47"/>
      <c r="AF99" s="11"/>
      <c r="AG99" s="48"/>
      <c r="AH99" s="11"/>
      <c r="AI99" s="48"/>
      <c r="AJ99" s="11"/>
      <c r="AK99" s="48"/>
      <c r="AL99" s="11"/>
      <c r="AM99" s="49"/>
      <c r="AN99" s="49"/>
      <c r="AO99" s="11"/>
      <c r="AP99" s="11"/>
      <c r="AQ99" s="28" t="b">
        <f>IF(COUNTIF(SmartStatus!A$2:A1000, AM99) &gt; 2, TRUE, FALSE)</f>
        <v>0</v>
      </c>
      <c r="AR99" s="29" t="str">
        <f ca="1">IFERROR(__xludf.DUMMYFUNCTION("iferror(if(regexmatch(AO99, ""(?i)^registered""), if(EE99 &lt;&gt; ""polity_shortest_name"", ""CHECK_POLITY"", index(filter(SmartStatus!B$2:B1000, AM99 = SmartStatus!A$2:A1000, not(SmartStatus!C$2:C1000), (isblank(SmartStatus!D$2:D1000)) + ((P99 &lt;&gt; """") * (P99"&amp;" &lt; SmartStatus!D$2:D1000)), (isblank(SmartStatus!E$2:E1000)) + ((P99 &lt;&gt; """") * (P99 &gt;= SmartStatus!E$2:E1000)), (isblank(SmartStatus!F$2:F1000)) + (((Q99 &lt;&gt; """") * (Q99 &lt; SmartStatus!F$2:F1000)) + ((P99 &lt;&gt; """") * (date(year(P99) + 3, month(P99), day(P9"&amp;"9)) &lt; SmartStatus!F$2:F1000))), (isblank(SmartStatus!G$2:G1000)) + (((Q99 &lt;&gt; """") * (Q99 &gt;= SmartStatus!G$2:G1000)) + ((P99 &lt;&gt; """") * (P99 &gt;= SmartStatus!G$2:G1000)))), if(or(regexmatch(B99, ""(?i)^ir [a-z]+ designation$""), N99 &lt;&gt; """"), 1, 2))), """")"&amp;", ""NO_MATCH"")"),"")</f>
        <v/>
      </c>
      <c r="AS99" s="11"/>
      <c r="AT99" s="15"/>
      <c r="AU99" s="11"/>
      <c r="AV99" s="11"/>
      <c r="AW99" s="15"/>
      <c r="AX99" s="15"/>
      <c r="AY99" s="15"/>
      <c r="AZ99" s="11"/>
      <c r="BA99" s="15"/>
      <c r="BB99" s="11"/>
      <c r="BC99" s="11"/>
      <c r="BD99" s="15"/>
      <c r="BE99" s="11"/>
      <c r="BF99" s="11"/>
      <c r="BG99" s="15"/>
      <c r="BH99" s="15"/>
      <c r="BI99" s="15"/>
      <c r="BJ99" s="11"/>
      <c r="BK99" s="15"/>
      <c r="BL99" s="11"/>
      <c r="BM99" s="11"/>
      <c r="BN99" s="15"/>
      <c r="BO99" s="11"/>
      <c r="BP99" s="11"/>
      <c r="BQ99" s="15"/>
      <c r="BR99" s="15"/>
      <c r="BS99" s="15"/>
      <c r="BT99" s="11"/>
      <c r="BU99" s="15"/>
      <c r="BV99" s="11"/>
      <c r="BW99" s="11"/>
      <c r="BX99" s="15"/>
      <c r="BY99" s="11"/>
      <c r="BZ99" s="11"/>
      <c r="CA99" s="15"/>
      <c r="CB99" s="11"/>
      <c r="CC99" s="15"/>
      <c r="CD99" s="11"/>
      <c r="CE99" s="15"/>
      <c r="CF99" s="11"/>
      <c r="CG99" s="11"/>
      <c r="CH99" s="15"/>
      <c r="CI99" s="11"/>
      <c r="CJ99" s="11"/>
      <c r="CK99" s="15"/>
      <c r="CL99" s="11"/>
      <c r="CM99" s="11"/>
      <c r="CN99" s="11"/>
      <c r="CO99" s="11"/>
      <c r="CP99" s="28"/>
      <c r="CQ99" s="28"/>
      <c r="CR99" s="11"/>
      <c r="CS99" s="29"/>
      <c r="CT99" s="11"/>
      <c r="CU99" s="11"/>
      <c r="CV99" s="11"/>
      <c r="CW99" s="11"/>
      <c r="CX99" s="11"/>
      <c r="CY99" s="11"/>
      <c r="CZ99" s="11"/>
      <c r="DA99" s="28"/>
      <c r="DB99" s="28"/>
      <c r="DC99" s="11"/>
      <c r="DD99" s="29"/>
      <c r="DE99" s="11"/>
      <c r="DF99" s="11"/>
      <c r="DG99" s="11"/>
      <c r="DH99" s="11"/>
      <c r="DI99" s="11"/>
      <c r="DJ99" s="11"/>
      <c r="DK99" s="26"/>
      <c r="DL99" s="11"/>
      <c r="DM99" s="29"/>
      <c r="DN99" s="28"/>
      <c r="DO99" s="11"/>
      <c r="DP99" s="11"/>
      <c r="DQ99" s="11"/>
      <c r="DR99" s="29"/>
      <c r="DS99" s="28"/>
      <c r="DT99" s="11"/>
      <c r="DU99" s="26"/>
      <c r="DV99" s="11"/>
      <c r="DW99" s="29"/>
      <c r="DX99" s="28"/>
      <c r="DY99" s="11"/>
      <c r="DZ99" s="26"/>
      <c r="EA99" s="11"/>
      <c r="EB99" s="29"/>
      <c r="EC99" s="28"/>
      <c r="ED99" s="30"/>
      <c r="EE99" s="30" t="str">
        <f ca="1">IFERROR(__xludf.DUMMYFUNCTION("iferror(index(filter('Internal -- Trademark Countries'!E$2:E1000, (AM99 = 'Internal -- Trademark Countries'!B$2:B1000) + (AM99 = 'Internal -- Trademark Countries'!C$2:C1000) + (AM99 = 'Internal -- Trademark Countries'!D$2:D1000)), 1))"),"")</f>
        <v/>
      </c>
      <c r="EF99" s="30" t="e">
        <f ca="1">_xludf.ifs(AM99="", "", COUNTIF('Internal -- Trademark Countries'!B:B,AM99) &gt; 0, "polity_shortest_name", COUNTIF('Internal -- Trademark Countries'!C:C,AM99) &gt; 0, "polity_full_name", COUNTIF('Internal -- Trademark Countries'!D:D,AM99) &gt; 0, "polity_common_name", COUNTIF('Internal -- Trademark Countries'!E:E,AM99) &gt; 0, "shortest_name", COUNTIF('Internal -- Trademark Countries'!A:A,AM99) &gt; 0, "full_name", TRUE, "not a match")</f>
        <v>#NAME?</v>
      </c>
      <c r="EG99" s="30"/>
      <c r="EH99" s="30"/>
      <c r="EI99" s="30"/>
      <c r="EJ99" s="30"/>
      <c r="EK99" s="30" t="str">
        <f t="shared" si="2"/>
        <v/>
      </c>
    </row>
    <row r="100" spans="1:141" ht="16.5">
      <c r="A100" s="11"/>
      <c r="B100" s="11"/>
      <c r="C100" s="11"/>
      <c r="D100" s="11"/>
      <c r="E100" s="11"/>
      <c r="F100" s="11"/>
      <c r="G100" s="11"/>
      <c r="H100" s="11"/>
      <c r="I100" s="11"/>
      <c r="J100" s="11"/>
      <c r="K100" s="27"/>
      <c r="L100" s="11"/>
      <c r="M100" s="11"/>
      <c r="N100" s="11"/>
      <c r="O100" s="11"/>
      <c r="P100" s="15"/>
      <c r="Q100" s="15"/>
      <c r="R100" s="15"/>
      <c r="S100" s="15"/>
      <c r="T100" s="15"/>
      <c r="U100" s="15"/>
      <c r="V100" s="15"/>
      <c r="W100" s="47"/>
      <c r="X100" s="11"/>
      <c r="Y100" s="48"/>
      <c r="Z100" s="11"/>
      <c r="AA100" s="48"/>
      <c r="AB100" s="11"/>
      <c r="AC100" s="48"/>
      <c r="AD100" s="11"/>
      <c r="AE100" s="47"/>
      <c r="AF100" s="11"/>
      <c r="AG100" s="48"/>
      <c r="AH100" s="11"/>
      <c r="AI100" s="48"/>
      <c r="AJ100" s="11"/>
      <c r="AK100" s="48"/>
      <c r="AL100" s="11"/>
      <c r="AM100" s="49"/>
      <c r="AN100" s="49"/>
      <c r="AO100" s="11"/>
      <c r="AP100" s="11"/>
      <c r="AQ100" s="28" t="b">
        <f>IF(COUNTIF(SmartStatus!A$2:A1000, AM100) &gt; 2, TRUE, FALSE)</f>
        <v>0</v>
      </c>
      <c r="AR100" s="29" t="str">
        <f ca="1">IFERROR(__xludf.DUMMYFUNCTION("iferror(if(regexmatch(AO100, ""(?i)^registered""), if(EE100 &lt;&gt; ""polity_shortest_name"", ""CHECK_POLITY"", index(filter(SmartStatus!B$2:B1000, AM100 = SmartStatus!A$2:A1000, not(SmartStatus!C$2:C1000), (isblank(SmartStatus!D$2:D1000)) + ((P100 &lt;&gt; """") * "&amp;"(P100 &lt; SmartStatus!D$2:D1000)), (isblank(SmartStatus!E$2:E1000)) + ((P100 &lt;&gt; """") * (P100 &gt;= SmartStatus!E$2:E1000)), (isblank(SmartStatus!F$2:F1000)) + (((Q100 &lt;&gt; """") * (Q100 &lt; SmartStatus!F$2:F1000)) + ((P100 &lt;&gt; """") * (date(year(P100) + 3, month(P"&amp;"100), day(P100)) &lt; SmartStatus!F$2:F1000))), (isblank(SmartStatus!G$2:G1000)) + (((Q100 &lt;&gt; """") * (Q100 &gt;= SmartStatus!G$2:G1000)) + ((P100 &lt;&gt; """") * (P100 &gt;= SmartStatus!G$2:G1000)))), if(or(regexmatch(B100, ""(?i)^ir [a-z]+ designation$""), N100 &lt;&gt; """&amp;"""), 1, 2))), """"), ""NO_MATCH"")"),"")</f>
        <v/>
      </c>
      <c r="AS100" s="11"/>
      <c r="AT100" s="15"/>
      <c r="AU100" s="11"/>
      <c r="AV100" s="11"/>
      <c r="AW100" s="15"/>
      <c r="AX100" s="15"/>
      <c r="AY100" s="15"/>
      <c r="AZ100" s="11"/>
      <c r="BA100" s="15"/>
      <c r="BB100" s="11"/>
      <c r="BC100" s="11"/>
      <c r="BD100" s="15"/>
      <c r="BE100" s="11"/>
      <c r="BF100" s="11"/>
      <c r="BG100" s="15"/>
      <c r="BH100" s="15"/>
      <c r="BI100" s="15"/>
      <c r="BJ100" s="11"/>
      <c r="BK100" s="15"/>
      <c r="BL100" s="11"/>
      <c r="BM100" s="11"/>
      <c r="BN100" s="15"/>
      <c r="BO100" s="11"/>
      <c r="BP100" s="11"/>
      <c r="BQ100" s="15"/>
      <c r="BR100" s="15"/>
      <c r="BS100" s="15"/>
      <c r="BT100" s="11"/>
      <c r="BU100" s="15"/>
      <c r="BV100" s="11"/>
      <c r="BW100" s="11"/>
      <c r="BX100" s="15"/>
      <c r="BY100" s="11"/>
      <c r="BZ100" s="11"/>
      <c r="CA100" s="15"/>
      <c r="CB100" s="11"/>
      <c r="CC100" s="15"/>
      <c r="CD100" s="11"/>
      <c r="CE100" s="15"/>
      <c r="CF100" s="11"/>
      <c r="CG100" s="11"/>
      <c r="CH100" s="15"/>
      <c r="CI100" s="11"/>
      <c r="CJ100" s="11"/>
      <c r="CK100" s="15"/>
      <c r="CL100" s="11"/>
      <c r="CM100" s="11"/>
      <c r="CN100" s="11"/>
      <c r="CO100" s="11"/>
      <c r="CP100" s="28"/>
      <c r="CQ100" s="28"/>
      <c r="CR100" s="11"/>
      <c r="CS100" s="29"/>
      <c r="CT100" s="11"/>
      <c r="CU100" s="11"/>
      <c r="CV100" s="11"/>
      <c r="CW100" s="11"/>
      <c r="CX100" s="11"/>
      <c r="CY100" s="11"/>
      <c r="CZ100" s="11"/>
      <c r="DA100" s="28"/>
      <c r="DB100" s="28"/>
      <c r="DC100" s="11"/>
      <c r="DD100" s="29"/>
      <c r="DE100" s="11"/>
      <c r="DF100" s="11"/>
      <c r="DG100" s="11"/>
      <c r="DH100" s="11"/>
      <c r="DI100" s="11"/>
      <c r="DJ100" s="11"/>
      <c r="DK100" s="26"/>
      <c r="DL100" s="11"/>
      <c r="DM100" s="29"/>
      <c r="DN100" s="28"/>
      <c r="DO100" s="11"/>
      <c r="DP100" s="11"/>
      <c r="DQ100" s="11"/>
      <c r="DR100" s="29"/>
      <c r="DS100" s="28"/>
      <c r="DT100" s="11"/>
      <c r="DU100" s="26"/>
      <c r="DV100" s="11"/>
      <c r="DW100" s="29"/>
      <c r="DX100" s="28"/>
      <c r="DY100" s="11"/>
      <c r="DZ100" s="26"/>
      <c r="EA100" s="11"/>
      <c r="EB100" s="29"/>
      <c r="EC100" s="28"/>
      <c r="ED100" s="30"/>
      <c r="EE100" s="30" t="str">
        <f ca="1">IFERROR(__xludf.DUMMYFUNCTION("iferror(index(filter('Internal -- Trademark Countries'!E$2:E1000, (AM100 = 'Internal -- Trademark Countries'!B$2:B1000) + (AM100 = 'Internal -- Trademark Countries'!C$2:C1000) + (AM100 = 'Internal -- Trademark Countries'!D$2:D1000)), 1))"),"")</f>
        <v/>
      </c>
      <c r="EF100" s="30" t="e">
        <f ca="1">_xludf.ifs(AM100="", "", COUNTIF('Internal -- Trademark Countries'!B:B,AM100) &gt; 0, "polity_shortest_name", COUNTIF('Internal -- Trademark Countries'!C:C,AM100) &gt; 0, "polity_full_name", COUNTIF('Internal -- Trademark Countries'!D:D,AM100) &gt; 0, "polity_common_name", COUNTIF('Internal -- Trademark Countries'!E:E,AM100) &gt; 0, "shortest_name", COUNTIF('Internal -- Trademark Countries'!A:A,AM100) &gt; 0, "full_name", TRUE, "not a match")</f>
        <v>#NAME?</v>
      </c>
      <c r="EG100" s="30"/>
      <c r="EH100" s="30"/>
      <c r="EI100" s="30"/>
      <c r="EJ100" s="30"/>
      <c r="EK100" s="30" t="str">
        <f t="shared" si="2"/>
        <v/>
      </c>
    </row>
    <row r="101" spans="1:141" ht="16.5">
      <c r="A101" s="11"/>
      <c r="B101" s="11"/>
      <c r="C101" s="11"/>
      <c r="D101" s="11"/>
      <c r="E101" s="11"/>
      <c r="F101" s="11"/>
      <c r="G101" s="11"/>
      <c r="H101" s="11"/>
      <c r="I101" s="11"/>
      <c r="J101" s="11"/>
      <c r="K101" s="27"/>
      <c r="L101" s="11"/>
      <c r="M101" s="11"/>
      <c r="N101" s="11"/>
      <c r="O101" s="11"/>
      <c r="P101" s="15"/>
      <c r="Q101" s="15"/>
      <c r="R101" s="15"/>
      <c r="S101" s="15"/>
      <c r="T101" s="15"/>
      <c r="U101" s="15"/>
      <c r="V101" s="15"/>
      <c r="W101" s="47"/>
      <c r="X101" s="11"/>
      <c r="Y101" s="48"/>
      <c r="Z101" s="11"/>
      <c r="AA101" s="48"/>
      <c r="AB101" s="11"/>
      <c r="AC101" s="48"/>
      <c r="AD101" s="11"/>
      <c r="AE101" s="47"/>
      <c r="AF101" s="11"/>
      <c r="AG101" s="48"/>
      <c r="AH101" s="11"/>
      <c r="AI101" s="48"/>
      <c r="AJ101" s="11"/>
      <c r="AK101" s="48"/>
      <c r="AL101" s="11"/>
      <c r="AM101" s="49"/>
      <c r="AN101" s="49"/>
      <c r="AO101" s="11"/>
      <c r="AP101" s="11"/>
      <c r="AQ101" s="28" t="b">
        <f>IF(COUNTIF(SmartStatus!A$2:A1000, AM101) &gt; 2, TRUE, FALSE)</f>
        <v>0</v>
      </c>
      <c r="AR101" s="29" t="str">
        <f ca="1">IFERROR(__xludf.DUMMYFUNCTION("iferror(if(regexmatch(AO101, ""(?i)^registered""), if(EE101 &lt;&gt; ""polity_shortest_name"", ""CHECK_POLITY"", index(filter(SmartStatus!B$2:B1000, AM101 = SmartStatus!A$2:A1000, not(SmartStatus!C$2:C1000), (isblank(SmartStatus!D$2:D1000)) + ((P101 &lt;&gt; """") * "&amp;"(P101 &lt; SmartStatus!D$2:D1000)), (isblank(SmartStatus!E$2:E1000)) + ((P101 &lt;&gt; """") * (P101 &gt;= SmartStatus!E$2:E1000)), (isblank(SmartStatus!F$2:F1000)) + (((Q101 &lt;&gt; """") * (Q101 &lt; SmartStatus!F$2:F1000)) + ((P101 &lt;&gt; """") * (date(year(P101) + 3, month(P"&amp;"101), day(P101)) &lt; SmartStatus!F$2:F1000))), (isblank(SmartStatus!G$2:G1000)) + (((Q101 &lt;&gt; """") * (Q101 &gt;= SmartStatus!G$2:G1000)) + ((P101 &lt;&gt; """") * (P101 &gt;= SmartStatus!G$2:G1000)))), if(or(regexmatch(B101, ""(?i)^ir [a-z]+ designation$""), N101 &lt;&gt; """&amp;"""), 1, 2))), """"), ""NO_MATCH"")"),"")</f>
        <v/>
      </c>
      <c r="AS101" s="11"/>
      <c r="AT101" s="15"/>
      <c r="AU101" s="11"/>
      <c r="AV101" s="11"/>
      <c r="AW101" s="15"/>
      <c r="AX101" s="15"/>
      <c r="AY101" s="15"/>
      <c r="AZ101" s="11"/>
      <c r="BA101" s="15"/>
      <c r="BB101" s="11"/>
      <c r="BC101" s="11"/>
      <c r="BD101" s="15"/>
      <c r="BE101" s="11"/>
      <c r="BF101" s="11"/>
      <c r="BG101" s="15"/>
      <c r="BH101" s="15"/>
      <c r="BI101" s="15"/>
      <c r="BJ101" s="11"/>
      <c r="BK101" s="15"/>
      <c r="BL101" s="11"/>
      <c r="BM101" s="11"/>
      <c r="BN101" s="15"/>
      <c r="BO101" s="11"/>
      <c r="BP101" s="11"/>
      <c r="BQ101" s="15"/>
      <c r="BR101" s="15"/>
      <c r="BS101" s="15"/>
      <c r="BT101" s="11"/>
      <c r="BU101" s="15"/>
      <c r="BV101" s="11"/>
      <c r="BW101" s="11"/>
      <c r="BX101" s="15"/>
      <c r="BY101" s="11"/>
      <c r="BZ101" s="11"/>
      <c r="CA101" s="15"/>
      <c r="CB101" s="11"/>
      <c r="CC101" s="15"/>
      <c r="CD101" s="11"/>
      <c r="CE101" s="15"/>
      <c r="CF101" s="11"/>
      <c r="CG101" s="11"/>
      <c r="CH101" s="15"/>
      <c r="CI101" s="11"/>
      <c r="CJ101" s="11"/>
      <c r="CK101" s="15"/>
      <c r="CL101" s="11"/>
      <c r="CM101" s="11"/>
      <c r="CN101" s="11"/>
      <c r="CO101" s="11"/>
      <c r="CP101" s="28"/>
      <c r="CQ101" s="28"/>
      <c r="CR101" s="11"/>
      <c r="CS101" s="29"/>
      <c r="CT101" s="11"/>
      <c r="CU101" s="11"/>
      <c r="CV101" s="11"/>
      <c r="CW101" s="11"/>
      <c r="CX101" s="11"/>
      <c r="CY101" s="11"/>
      <c r="CZ101" s="11"/>
      <c r="DA101" s="28"/>
      <c r="DB101" s="28"/>
      <c r="DC101" s="11"/>
      <c r="DD101" s="29"/>
      <c r="DE101" s="11"/>
      <c r="DF101" s="11"/>
      <c r="DG101" s="11"/>
      <c r="DH101" s="11"/>
      <c r="DI101" s="11"/>
      <c r="DJ101" s="11"/>
      <c r="DK101" s="26"/>
      <c r="DL101" s="11"/>
      <c r="DM101" s="29"/>
      <c r="DN101" s="28"/>
      <c r="DO101" s="11"/>
      <c r="DP101" s="11"/>
      <c r="DQ101" s="11"/>
      <c r="DR101" s="29"/>
      <c r="DS101" s="28"/>
      <c r="DT101" s="11"/>
      <c r="DU101" s="26"/>
      <c r="DV101" s="11"/>
      <c r="DW101" s="29"/>
      <c r="DX101" s="28"/>
      <c r="DY101" s="11"/>
      <c r="DZ101" s="26"/>
      <c r="EA101" s="11"/>
      <c r="EB101" s="29"/>
      <c r="EC101" s="28"/>
      <c r="ED101" s="30"/>
      <c r="EE101" s="30" t="str">
        <f ca="1">IFERROR(__xludf.DUMMYFUNCTION("iferror(index(filter('Internal -- Trademark Countries'!E$2:E1000, (AM101 = 'Internal -- Trademark Countries'!B$2:B1000) + (AM101 = 'Internal -- Trademark Countries'!C$2:C1000) + (AM101 = 'Internal -- Trademark Countries'!D$2:D1000)), 1))"),"")</f>
        <v/>
      </c>
      <c r="EF101" s="30" t="e">
        <f ca="1">_xludf.ifs(AM101="", "", COUNTIF('Internal -- Trademark Countries'!B:B,AM101) &gt; 0, "polity_shortest_name", COUNTIF('Internal -- Trademark Countries'!C:C,AM101) &gt; 0, "polity_full_name", COUNTIF('Internal -- Trademark Countries'!D:D,AM101) &gt; 0, "polity_common_name", COUNTIF('Internal -- Trademark Countries'!E:E,AM101) &gt; 0, "shortest_name", COUNTIF('Internal -- Trademark Countries'!A:A,AM101) &gt; 0, "full_name", TRUE, "not a match")</f>
        <v>#NAME?</v>
      </c>
      <c r="EG101" s="30"/>
      <c r="EH101" s="30"/>
      <c r="EI101" s="30"/>
      <c r="EJ101" s="30"/>
      <c r="EK101" s="30" t="str">
        <f t="shared" si="2"/>
        <v/>
      </c>
    </row>
    <row r="102" spans="1:141" ht="16.5">
      <c r="A102" s="11"/>
      <c r="B102" s="11"/>
      <c r="C102" s="11"/>
      <c r="D102" s="11"/>
      <c r="E102" s="11"/>
      <c r="F102" s="11"/>
      <c r="G102" s="11"/>
      <c r="H102" s="11"/>
      <c r="I102" s="11"/>
      <c r="J102" s="11"/>
      <c r="K102" s="27"/>
      <c r="L102" s="11"/>
      <c r="M102" s="11"/>
      <c r="N102" s="11"/>
      <c r="O102" s="11"/>
      <c r="P102" s="15"/>
      <c r="Q102" s="15"/>
      <c r="R102" s="15"/>
      <c r="S102" s="15"/>
      <c r="T102" s="15"/>
      <c r="U102" s="15"/>
      <c r="V102" s="15"/>
      <c r="W102" s="47"/>
      <c r="X102" s="11"/>
      <c r="Y102" s="48"/>
      <c r="Z102" s="11"/>
      <c r="AA102" s="48"/>
      <c r="AB102" s="11"/>
      <c r="AC102" s="48"/>
      <c r="AD102" s="11"/>
      <c r="AE102" s="47"/>
      <c r="AF102" s="11"/>
      <c r="AG102" s="48"/>
      <c r="AH102" s="11"/>
      <c r="AI102" s="48"/>
      <c r="AJ102" s="11"/>
      <c r="AK102" s="48"/>
      <c r="AL102" s="11"/>
      <c r="AM102" s="49"/>
      <c r="AN102" s="49"/>
      <c r="AO102" s="11"/>
      <c r="AP102" s="11"/>
      <c r="AQ102" s="28" t="b">
        <f>IF(COUNTIF(SmartStatus!A$2:A1000, AM102) &gt; 2, TRUE, FALSE)</f>
        <v>0</v>
      </c>
      <c r="AR102" s="29" t="str">
        <f ca="1">IFERROR(__xludf.DUMMYFUNCTION("iferror(if(regexmatch(AO102, ""(?i)^registered""), if(EE102 &lt;&gt; ""polity_shortest_name"", ""CHECK_POLITY"", index(filter(SmartStatus!B$2:B1000, AM102 = SmartStatus!A$2:A1000, not(SmartStatus!C$2:C1000), (isblank(SmartStatus!D$2:D1000)) + ((P102 &lt;&gt; """") * "&amp;"(P102 &lt; SmartStatus!D$2:D1000)), (isblank(SmartStatus!E$2:E1000)) + ((P102 &lt;&gt; """") * (P102 &gt;= SmartStatus!E$2:E1000)), (isblank(SmartStatus!F$2:F1000)) + (((Q102 &lt;&gt; """") * (Q102 &lt; SmartStatus!F$2:F1000)) + ((P102 &lt;&gt; """") * (date(year(P102) + 3, month(P"&amp;"102), day(P102)) &lt; SmartStatus!F$2:F1000))), (isblank(SmartStatus!G$2:G1000)) + (((Q102 &lt;&gt; """") * (Q102 &gt;= SmartStatus!G$2:G1000)) + ((P102 &lt;&gt; """") * (P102 &gt;= SmartStatus!G$2:G1000)))), if(or(regexmatch(B102, ""(?i)^ir [a-z]+ designation$""), N102 &lt;&gt; """&amp;"""), 1, 2))), """"), ""NO_MATCH"")"),"")</f>
        <v/>
      </c>
      <c r="AS102" s="11"/>
      <c r="AT102" s="15"/>
      <c r="AU102" s="11"/>
      <c r="AV102" s="11"/>
      <c r="AW102" s="15"/>
      <c r="AX102" s="15"/>
      <c r="AY102" s="15"/>
      <c r="AZ102" s="11"/>
      <c r="BA102" s="15"/>
      <c r="BB102" s="11"/>
      <c r="BC102" s="11"/>
      <c r="BD102" s="15"/>
      <c r="BE102" s="11"/>
      <c r="BF102" s="11"/>
      <c r="BG102" s="15"/>
      <c r="BH102" s="15"/>
      <c r="BI102" s="15"/>
      <c r="BJ102" s="11"/>
      <c r="BK102" s="15"/>
      <c r="BL102" s="11"/>
      <c r="BM102" s="11"/>
      <c r="BN102" s="15"/>
      <c r="BO102" s="11"/>
      <c r="BP102" s="11"/>
      <c r="BQ102" s="15"/>
      <c r="BR102" s="15"/>
      <c r="BS102" s="15"/>
      <c r="BT102" s="11"/>
      <c r="BU102" s="15"/>
      <c r="BV102" s="11"/>
      <c r="BW102" s="11"/>
      <c r="BX102" s="15"/>
      <c r="BY102" s="11"/>
      <c r="BZ102" s="11"/>
      <c r="CA102" s="15"/>
      <c r="CB102" s="11"/>
      <c r="CC102" s="15"/>
      <c r="CD102" s="11"/>
      <c r="CE102" s="15"/>
      <c r="CF102" s="11"/>
      <c r="CG102" s="11"/>
      <c r="CH102" s="15"/>
      <c r="CI102" s="11"/>
      <c r="CJ102" s="11"/>
      <c r="CK102" s="15"/>
      <c r="CL102" s="11"/>
      <c r="CM102" s="11"/>
      <c r="CN102" s="11"/>
      <c r="CO102" s="11"/>
      <c r="CP102" s="28"/>
      <c r="CQ102" s="28"/>
      <c r="CR102" s="11"/>
      <c r="CS102" s="29"/>
      <c r="CT102" s="11"/>
      <c r="CU102" s="11"/>
      <c r="CV102" s="11"/>
      <c r="CW102" s="11"/>
      <c r="CX102" s="11"/>
      <c r="CY102" s="11"/>
      <c r="CZ102" s="11"/>
      <c r="DA102" s="28"/>
      <c r="DB102" s="28"/>
      <c r="DC102" s="11"/>
      <c r="DD102" s="29"/>
      <c r="DE102" s="11"/>
      <c r="DF102" s="11"/>
      <c r="DG102" s="11"/>
      <c r="DH102" s="11"/>
      <c r="DI102" s="11"/>
      <c r="DJ102" s="11"/>
      <c r="DK102" s="26"/>
      <c r="DL102" s="11"/>
      <c r="DM102" s="29"/>
      <c r="DN102" s="28"/>
      <c r="DO102" s="11"/>
      <c r="DP102" s="11"/>
      <c r="DQ102" s="11"/>
      <c r="DR102" s="29"/>
      <c r="DS102" s="28"/>
      <c r="DT102" s="11"/>
      <c r="DU102" s="26"/>
      <c r="DV102" s="11"/>
      <c r="DW102" s="29"/>
      <c r="DX102" s="28"/>
      <c r="DY102" s="11"/>
      <c r="DZ102" s="26"/>
      <c r="EA102" s="11"/>
      <c r="EB102" s="29"/>
      <c r="EC102" s="28"/>
      <c r="ED102" s="30"/>
      <c r="EE102" s="30" t="str">
        <f ca="1">IFERROR(__xludf.DUMMYFUNCTION("iferror(index(filter('Internal -- Trademark Countries'!E$2:E1000, (AM102 = 'Internal -- Trademark Countries'!B$2:B1000) + (AM102 = 'Internal -- Trademark Countries'!C$2:C1000) + (AM102 = 'Internal -- Trademark Countries'!D$2:D1000)), 1))"),"")</f>
        <v/>
      </c>
      <c r="EF102" s="30" t="e">
        <f ca="1">_xludf.ifs(AM102="", "", COUNTIF('Internal -- Trademark Countries'!B:B,AM102) &gt; 0, "polity_shortest_name", COUNTIF('Internal -- Trademark Countries'!C:C,AM102) &gt; 0, "polity_full_name", COUNTIF('Internal -- Trademark Countries'!D:D,AM102) &gt; 0, "polity_common_name", COUNTIF('Internal -- Trademark Countries'!E:E,AM102) &gt; 0, "shortest_name", COUNTIF('Internal -- Trademark Countries'!A:A,AM102) &gt; 0, "full_name", TRUE, "not a match")</f>
        <v>#NAME?</v>
      </c>
      <c r="EG102" s="30"/>
      <c r="EH102" s="30"/>
      <c r="EI102" s="30"/>
      <c r="EJ102" s="30"/>
      <c r="EK102" s="30" t="str">
        <f t="shared" si="2"/>
        <v/>
      </c>
    </row>
    <row r="103" spans="1:141" ht="16.5">
      <c r="A103" s="11"/>
      <c r="B103" s="11"/>
      <c r="C103" s="11"/>
      <c r="D103" s="11"/>
      <c r="E103" s="11"/>
      <c r="F103" s="11"/>
      <c r="G103" s="11"/>
      <c r="H103" s="11"/>
      <c r="I103" s="11"/>
      <c r="J103" s="11"/>
      <c r="K103" s="27"/>
      <c r="L103" s="11"/>
      <c r="M103" s="11"/>
      <c r="N103" s="11"/>
      <c r="O103" s="11"/>
      <c r="P103" s="15"/>
      <c r="Q103" s="15"/>
      <c r="R103" s="15"/>
      <c r="S103" s="15"/>
      <c r="T103" s="15"/>
      <c r="U103" s="15"/>
      <c r="V103" s="15"/>
      <c r="W103" s="47"/>
      <c r="X103" s="11"/>
      <c r="Y103" s="48"/>
      <c r="Z103" s="11"/>
      <c r="AA103" s="48"/>
      <c r="AB103" s="11"/>
      <c r="AC103" s="48"/>
      <c r="AD103" s="11"/>
      <c r="AE103" s="47"/>
      <c r="AF103" s="11"/>
      <c r="AG103" s="48"/>
      <c r="AH103" s="11"/>
      <c r="AI103" s="48"/>
      <c r="AJ103" s="11"/>
      <c r="AK103" s="48"/>
      <c r="AL103" s="11"/>
      <c r="AM103" s="49"/>
      <c r="AN103" s="49"/>
      <c r="AO103" s="11"/>
      <c r="AP103" s="11"/>
      <c r="AQ103" s="28" t="b">
        <f>IF(COUNTIF(SmartStatus!A$2:A1000, AM103) &gt; 2, TRUE, FALSE)</f>
        <v>0</v>
      </c>
      <c r="AR103" s="29" t="str">
        <f ca="1">IFERROR(__xludf.DUMMYFUNCTION("iferror(if(regexmatch(AO103, ""(?i)^registered""), if(EE103 &lt;&gt; ""polity_shortest_name"", ""CHECK_POLITY"", index(filter(SmartStatus!B$2:B1000, AM103 = SmartStatus!A$2:A1000, not(SmartStatus!C$2:C1000), (isblank(SmartStatus!D$2:D1000)) + ((P103 &lt;&gt; """") * "&amp;"(P103 &lt; SmartStatus!D$2:D1000)), (isblank(SmartStatus!E$2:E1000)) + ((P103 &lt;&gt; """") * (P103 &gt;= SmartStatus!E$2:E1000)), (isblank(SmartStatus!F$2:F1000)) + (((Q103 &lt;&gt; """") * (Q103 &lt; SmartStatus!F$2:F1000)) + ((P103 &lt;&gt; """") * (date(year(P103) + 3, month(P"&amp;"103), day(P103)) &lt; SmartStatus!F$2:F1000))), (isblank(SmartStatus!G$2:G1000)) + (((Q103 &lt;&gt; """") * (Q103 &gt;= SmartStatus!G$2:G1000)) + ((P103 &lt;&gt; """") * (P103 &gt;= SmartStatus!G$2:G1000)))), if(or(regexmatch(B103, ""(?i)^ir [a-z]+ designation$""), N103 &lt;&gt; """&amp;"""), 1, 2))), """"), ""NO_MATCH"")"),"")</f>
        <v/>
      </c>
      <c r="AS103" s="11"/>
      <c r="AT103" s="15"/>
      <c r="AU103" s="11"/>
      <c r="AV103" s="11"/>
      <c r="AW103" s="15"/>
      <c r="AX103" s="15"/>
      <c r="AY103" s="15"/>
      <c r="AZ103" s="11"/>
      <c r="BA103" s="15"/>
      <c r="BB103" s="11"/>
      <c r="BC103" s="11"/>
      <c r="BD103" s="15"/>
      <c r="BE103" s="11"/>
      <c r="BF103" s="11"/>
      <c r="BG103" s="15"/>
      <c r="BH103" s="15"/>
      <c r="BI103" s="15"/>
      <c r="BJ103" s="11"/>
      <c r="BK103" s="15"/>
      <c r="BL103" s="11"/>
      <c r="BM103" s="11"/>
      <c r="BN103" s="15"/>
      <c r="BO103" s="11"/>
      <c r="BP103" s="11"/>
      <c r="BQ103" s="15"/>
      <c r="BR103" s="15"/>
      <c r="BS103" s="15"/>
      <c r="BT103" s="11"/>
      <c r="BU103" s="15"/>
      <c r="BV103" s="11"/>
      <c r="BW103" s="11"/>
      <c r="BX103" s="15"/>
      <c r="BY103" s="11"/>
      <c r="BZ103" s="11"/>
      <c r="CA103" s="15"/>
      <c r="CB103" s="11"/>
      <c r="CC103" s="15"/>
      <c r="CD103" s="11"/>
      <c r="CE103" s="15"/>
      <c r="CF103" s="11"/>
      <c r="CG103" s="11"/>
      <c r="CH103" s="15"/>
      <c r="CI103" s="11"/>
      <c r="CJ103" s="11"/>
      <c r="CK103" s="15"/>
      <c r="CL103" s="11"/>
      <c r="CM103" s="11"/>
      <c r="CN103" s="11"/>
      <c r="CO103" s="11"/>
      <c r="CP103" s="28"/>
      <c r="CQ103" s="28"/>
      <c r="CR103" s="11"/>
      <c r="CS103" s="29"/>
      <c r="CT103" s="11"/>
      <c r="CU103" s="11"/>
      <c r="CV103" s="11"/>
      <c r="CW103" s="11"/>
      <c r="CX103" s="11"/>
      <c r="CY103" s="11"/>
      <c r="CZ103" s="11"/>
      <c r="DA103" s="28"/>
      <c r="DB103" s="28"/>
      <c r="DC103" s="11"/>
      <c r="DD103" s="29"/>
      <c r="DE103" s="11"/>
      <c r="DF103" s="11"/>
      <c r="DG103" s="11"/>
      <c r="DH103" s="11"/>
      <c r="DI103" s="11"/>
      <c r="DJ103" s="11"/>
      <c r="DK103" s="26"/>
      <c r="DL103" s="11"/>
      <c r="DM103" s="29"/>
      <c r="DN103" s="28"/>
      <c r="DO103" s="11"/>
      <c r="DP103" s="11"/>
      <c r="DQ103" s="11"/>
      <c r="DR103" s="29"/>
      <c r="DS103" s="28"/>
      <c r="DT103" s="11"/>
      <c r="DU103" s="26"/>
      <c r="DV103" s="11"/>
      <c r="DW103" s="29"/>
      <c r="DX103" s="28"/>
      <c r="DY103" s="11"/>
      <c r="DZ103" s="26"/>
      <c r="EA103" s="11"/>
      <c r="EB103" s="29"/>
      <c r="EC103" s="28"/>
      <c r="ED103" s="30"/>
      <c r="EE103" s="30" t="str">
        <f ca="1">IFERROR(__xludf.DUMMYFUNCTION("iferror(index(filter('Internal -- Trademark Countries'!E$2:E1000, (AM103 = 'Internal -- Trademark Countries'!B$2:B1000) + (AM103 = 'Internal -- Trademark Countries'!C$2:C1000) + (AM103 = 'Internal -- Trademark Countries'!D$2:D1000)), 1))"),"")</f>
        <v/>
      </c>
      <c r="EF103" s="30" t="e">
        <f ca="1">_xludf.ifs(AM103="", "", COUNTIF('Internal -- Trademark Countries'!B:B,AM103) &gt; 0, "polity_shortest_name", COUNTIF('Internal -- Trademark Countries'!C:C,AM103) &gt; 0, "polity_full_name", COUNTIF('Internal -- Trademark Countries'!D:D,AM103) &gt; 0, "polity_common_name", COUNTIF('Internal -- Trademark Countries'!E:E,AM103) &gt; 0, "shortest_name", COUNTIF('Internal -- Trademark Countries'!A:A,AM103) &gt; 0, "full_name", TRUE, "not a match")</f>
        <v>#NAME?</v>
      </c>
      <c r="EG103" s="30"/>
      <c r="EH103" s="30"/>
      <c r="EI103" s="30"/>
      <c r="EJ103" s="30"/>
      <c r="EK103" s="30" t="str">
        <f t="shared" si="2"/>
        <v/>
      </c>
    </row>
    <row r="104" spans="1:141" ht="16.5">
      <c r="A104" s="11"/>
      <c r="B104" s="11"/>
      <c r="C104" s="11"/>
      <c r="D104" s="11"/>
      <c r="E104" s="11"/>
      <c r="F104" s="11"/>
      <c r="G104" s="11"/>
      <c r="H104" s="11"/>
      <c r="I104" s="11"/>
      <c r="J104" s="11"/>
      <c r="K104" s="27"/>
      <c r="L104" s="11"/>
      <c r="M104" s="11"/>
      <c r="N104" s="11"/>
      <c r="O104" s="11"/>
      <c r="P104" s="15"/>
      <c r="Q104" s="15"/>
      <c r="R104" s="15"/>
      <c r="S104" s="15"/>
      <c r="T104" s="15"/>
      <c r="U104" s="15"/>
      <c r="V104" s="15"/>
      <c r="W104" s="47"/>
      <c r="X104" s="11"/>
      <c r="Y104" s="48"/>
      <c r="Z104" s="11"/>
      <c r="AA104" s="48"/>
      <c r="AB104" s="11"/>
      <c r="AC104" s="48"/>
      <c r="AD104" s="11"/>
      <c r="AE104" s="47"/>
      <c r="AF104" s="11"/>
      <c r="AG104" s="48"/>
      <c r="AH104" s="11"/>
      <c r="AI104" s="48"/>
      <c r="AJ104" s="11"/>
      <c r="AK104" s="48"/>
      <c r="AL104" s="11"/>
      <c r="AM104" s="49"/>
      <c r="AN104" s="49"/>
      <c r="AO104" s="11"/>
      <c r="AP104" s="11"/>
      <c r="AQ104" s="28" t="b">
        <f>IF(COUNTIF(SmartStatus!A$2:A1000, AM104) &gt; 2, TRUE, FALSE)</f>
        <v>0</v>
      </c>
      <c r="AR104" s="29" t="str">
        <f ca="1">IFERROR(__xludf.DUMMYFUNCTION("iferror(if(regexmatch(AO104, ""(?i)^registered""), if(EE104 &lt;&gt; ""polity_shortest_name"", ""CHECK_POLITY"", index(filter(SmartStatus!B$2:B1000, AM104 = SmartStatus!A$2:A1000, not(SmartStatus!C$2:C1000), (isblank(SmartStatus!D$2:D1000)) + ((P104 &lt;&gt; """") * "&amp;"(P104 &lt; SmartStatus!D$2:D1000)), (isblank(SmartStatus!E$2:E1000)) + ((P104 &lt;&gt; """") * (P104 &gt;= SmartStatus!E$2:E1000)), (isblank(SmartStatus!F$2:F1000)) + (((Q104 &lt;&gt; """") * (Q104 &lt; SmartStatus!F$2:F1000)) + ((P104 &lt;&gt; """") * (date(year(P104) + 3, month(P"&amp;"104), day(P104)) &lt; SmartStatus!F$2:F1000))), (isblank(SmartStatus!G$2:G1000)) + (((Q104 &lt;&gt; """") * (Q104 &gt;= SmartStatus!G$2:G1000)) + ((P104 &lt;&gt; """") * (P104 &gt;= SmartStatus!G$2:G1000)))), if(or(regexmatch(B104, ""(?i)^ir [a-z]+ designation$""), N104 &lt;&gt; """&amp;"""), 1, 2))), """"), ""NO_MATCH"")"),"")</f>
        <v/>
      </c>
      <c r="AS104" s="11"/>
      <c r="AT104" s="15"/>
      <c r="AU104" s="11"/>
      <c r="AV104" s="11"/>
      <c r="AW104" s="15"/>
      <c r="AX104" s="15"/>
      <c r="AY104" s="15"/>
      <c r="AZ104" s="11"/>
      <c r="BA104" s="15"/>
      <c r="BB104" s="11"/>
      <c r="BC104" s="11"/>
      <c r="BD104" s="15"/>
      <c r="BE104" s="11"/>
      <c r="BF104" s="11"/>
      <c r="BG104" s="15"/>
      <c r="BH104" s="15"/>
      <c r="BI104" s="15"/>
      <c r="BJ104" s="11"/>
      <c r="BK104" s="15"/>
      <c r="BL104" s="11"/>
      <c r="BM104" s="11"/>
      <c r="BN104" s="15"/>
      <c r="BO104" s="11"/>
      <c r="BP104" s="11"/>
      <c r="BQ104" s="15"/>
      <c r="BR104" s="15"/>
      <c r="BS104" s="15"/>
      <c r="BT104" s="11"/>
      <c r="BU104" s="15"/>
      <c r="BV104" s="11"/>
      <c r="BW104" s="11"/>
      <c r="BX104" s="15"/>
      <c r="BY104" s="11"/>
      <c r="BZ104" s="11"/>
      <c r="CA104" s="15"/>
      <c r="CB104" s="11"/>
      <c r="CC104" s="15"/>
      <c r="CD104" s="11"/>
      <c r="CE104" s="15"/>
      <c r="CF104" s="11"/>
      <c r="CG104" s="11"/>
      <c r="CH104" s="15"/>
      <c r="CI104" s="11"/>
      <c r="CJ104" s="11"/>
      <c r="CK104" s="15"/>
      <c r="CL104" s="11"/>
      <c r="CM104" s="11"/>
      <c r="CN104" s="11"/>
      <c r="CO104" s="11"/>
      <c r="CP104" s="28"/>
      <c r="CQ104" s="28"/>
      <c r="CR104" s="11"/>
      <c r="CS104" s="29"/>
      <c r="CT104" s="11"/>
      <c r="CU104" s="11"/>
      <c r="CV104" s="11"/>
      <c r="CW104" s="11"/>
      <c r="CX104" s="11"/>
      <c r="CY104" s="11"/>
      <c r="CZ104" s="11"/>
      <c r="DA104" s="28"/>
      <c r="DB104" s="28"/>
      <c r="DC104" s="11"/>
      <c r="DD104" s="29"/>
      <c r="DE104" s="11"/>
      <c r="DF104" s="11"/>
      <c r="DG104" s="11"/>
      <c r="DH104" s="11"/>
      <c r="DI104" s="11"/>
      <c r="DJ104" s="11"/>
      <c r="DK104" s="26"/>
      <c r="DL104" s="11"/>
      <c r="DM104" s="29"/>
      <c r="DN104" s="28"/>
      <c r="DO104" s="11"/>
      <c r="DP104" s="11"/>
      <c r="DQ104" s="11"/>
      <c r="DR104" s="29"/>
      <c r="DS104" s="28"/>
      <c r="DT104" s="11"/>
      <c r="DU104" s="26"/>
      <c r="DV104" s="11"/>
      <c r="DW104" s="29"/>
      <c r="DX104" s="28"/>
      <c r="DY104" s="11"/>
      <c r="DZ104" s="26"/>
      <c r="EA104" s="11"/>
      <c r="EB104" s="29"/>
      <c r="EC104" s="28"/>
      <c r="ED104" s="30"/>
      <c r="EE104" s="30" t="str">
        <f ca="1">IFERROR(__xludf.DUMMYFUNCTION("iferror(index(filter('Internal -- Trademark Countries'!E$2:E1000, (AM104 = 'Internal -- Trademark Countries'!B$2:B1000) + (AM104 = 'Internal -- Trademark Countries'!C$2:C1000) + (AM104 = 'Internal -- Trademark Countries'!D$2:D1000)), 1))"),"")</f>
        <v/>
      </c>
      <c r="EF104" s="30" t="e">
        <f ca="1">_xludf.ifs(AM104="", "", COUNTIF('Internal -- Trademark Countries'!B:B,AM104) &gt; 0, "polity_shortest_name", COUNTIF('Internal -- Trademark Countries'!C:C,AM104) &gt; 0, "polity_full_name", COUNTIF('Internal -- Trademark Countries'!D:D,AM104) &gt; 0, "polity_common_name", COUNTIF('Internal -- Trademark Countries'!E:E,AM104) &gt; 0, "shortest_name", COUNTIF('Internal -- Trademark Countries'!A:A,AM104) &gt; 0, "full_name", TRUE, "not a match")</f>
        <v>#NAME?</v>
      </c>
      <c r="EG104" s="30"/>
      <c r="EH104" s="30"/>
      <c r="EI104" s="30"/>
      <c r="EJ104" s="30"/>
      <c r="EK104" s="30" t="str">
        <f t="shared" si="2"/>
        <v/>
      </c>
    </row>
    <row r="105" spans="1:141" ht="16.5">
      <c r="A105" s="11"/>
      <c r="B105" s="11"/>
      <c r="C105" s="11"/>
      <c r="D105" s="11"/>
      <c r="E105" s="11"/>
      <c r="F105" s="11"/>
      <c r="G105" s="11"/>
      <c r="H105" s="11"/>
      <c r="I105" s="11"/>
      <c r="J105" s="11"/>
      <c r="K105" s="27"/>
      <c r="L105" s="11"/>
      <c r="M105" s="11"/>
      <c r="N105" s="11"/>
      <c r="O105" s="11"/>
      <c r="P105" s="15"/>
      <c r="Q105" s="15"/>
      <c r="R105" s="15"/>
      <c r="S105" s="15"/>
      <c r="T105" s="15"/>
      <c r="U105" s="15"/>
      <c r="V105" s="15"/>
      <c r="W105" s="47"/>
      <c r="X105" s="11"/>
      <c r="Y105" s="48"/>
      <c r="Z105" s="11"/>
      <c r="AA105" s="48"/>
      <c r="AB105" s="11"/>
      <c r="AC105" s="48"/>
      <c r="AD105" s="11"/>
      <c r="AE105" s="47"/>
      <c r="AF105" s="11"/>
      <c r="AG105" s="48"/>
      <c r="AH105" s="11"/>
      <c r="AI105" s="48"/>
      <c r="AJ105" s="11"/>
      <c r="AK105" s="48"/>
      <c r="AL105" s="11"/>
      <c r="AM105" s="49"/>
      <c r="AN105" s="49"/>
      <c r="AO105" s="11"/>
      <c r="AP105" s="11"/>
      <c r="AQ105" s="28" t="b">
        <f>IF(COUNTIF(SmartStatus!A$2:A1000, AM105) &gt; 2, TRUE, FALSE)</f>
        <v>0</v>
      </c>
      <c r="AR105" s="29" t="str">
        <f ca="1">IFERROR(__xludf.DUMMYFUNCTION("iferror(if(regexmatch(AO105, ""(?i)^registered""), if(EE105 &lt;&gt; ""polity_shortest_name"", ""CHECK_POLITY"", index(filter(SmartStatus!B$2:B1000, AM105 = SmartStatus!A$2:A1000, not(SmartStatus!C$2:C1000), (isblank(SmartStatus!D$2:D1000)) + ((P105 &lt;&gt; """") * "&amp;"(P105 &lt; SmartStatus!D$2:D1000)), (isblank(SmartStatus!E$2:E1000)) + ((P105 &lt;&gt; """") * (P105 &gt;= SmartStatus!E$2:E1000)), (isblank(SmartStatus!F$2:F1000)) + (((Q105 &lt;&gt; """") * (Q105 &lt; SmartStatus!F$2:F1000)) + ((P105 &lt;&gt; """") * (date(year(P105) + 3, month(P"&amp;"105), day(P105)) &lt; SmartStatus!F$2:F1000))), (isblank(SmartStatus!G$2:G1000)) + (((Q105 &lt;&gt; """") * (Q105 &gt;= SmartStatus!G$2:G1000)) + ((P105 &lt;&gt; """") * (P105 &gt;= SmartStatus!G$2:G1000)))), if(or(regexmatch(B105, ""(?i)^ir [a-z]+ designation$""), N105 &lt;&gt; """&amp;"""), 1, 2))), """"), ""NO_MATCH"")"),"")</f>
        <v/>
      </c>
      <c r="AS105" s="11"/>
      <c r="AT105" s="15"/>
      <c r="AU105" s="11"/>
      <c r="AV105" s="11"/>
      <c r="AW105" s="15"/>
      <c r="AX105" s="15"/>
      <c r="AY105" s="15"/>
      <c r="AZ105" s="11"/>
      <c r="BA105" s="15"/>
      <c r="BB105" s="11"/>
      <c r="BC105" s="11"/>
      <c r="BD105" s="15"/>
      <c r="BE105" s="11"/>
      <c r="BF105" s="11"/>
      <c r="BG105" s="15"/>
      <c r="BH105" s="15"/>
      <c r="BI105" s="15"/>
      <c r="BJ105" s="11"/>
      <c r="BK105" s="15"/>
      <c r="BL105" s="11"/>
      <c r="BM105" s="11"/>
      <c r="BN105" s="15"/>
      <c r="BO105" s="11"/>
      <c r="BP105" s="11"/>
      <c r="BQ105" s="15"/>
      <c r="BR105" s="15"/>
      <c r="BS105" s="15"/>
      <c r="BT105" s="11"/>
      <c r="BU105" s="15"/>
      <c r="BV105" s="11"/>
      <c r="BW105" s="11"/>
      <c r="BX105" s="15"/>
      <c r="BY105" s="11"/>
      <c r="BZ105" s="11"/>
      <c r="CA105" s="15"/>
      <c r="CB105" s="11"/>
      <c r="CC105" s="15"/>
      <c r="CD105" s="11"/>
      <c r="CE105" s="15"/>
      <c r="CF105" s="11"/>
      <c r="CG105" s="11"/>
      <c r="CH105" s="15"/>
      <c r="CI105" s="11"/>
      <c r="CJ105" s="11"/>
      <c r="CK105" s="15"/>
      <c r="CL105" s="11"/>
      <c r="CM105" s="11"/>
      <c r="CN105" s="11"/>
      <c r="CO105" s="11"/>
      <c r="CP105" s="28"/>
      <c r="CQ105" s="28"/>
      <c r="CR105" s="11"/>
      <c r="CS105" s="29"/>
      <c r="CT105" s="11"/>
      <c r="CU105" s="11"/>
      <c r="CV105" s="11"/>
      <c r="CW105" s="11"/>
      <c r="CX105" s="11"/>
      <c r="CY105" s="11"/>
      <c r="CZ105" s="11"/>
      <c r="DA105" s="28"/>
      <c r="DB105" s="28"/>
      <c r="DC105" s="11"/>
      <c r="DD105" s="29"/>
      <c r="DE105" s="11"/>
      <c r="DF105" s="11"/>
      <c r="DG105" s="11"/>
      <c r="DH105" s="11"/>
      <c r="DI105" s="11"/>
      <c r="DJ105" s="11"/>
      <c r="DK105" s="26"/>
      <c r="DL105" s="11"/>
      <c r="DM105" s="29"/>
      <c r="DN105" s="28"/>
      <c r="DO105" s="11"/>
      <c r="DP105" s="11"/>
      <c r="DQ105" s="11"/>
      <c r="DR105" s="29"/>
      <c r="DS105" s="28"/>
      <c r="DT105" s="11"/>
      <c r="DU105" s="26"/>
      <c r="DV105" s="11"/>
      <c r="DW105" s="29"/>
      <c r="DX105" s="28"/>
      <c r="DY105" s="11"/>
      <c r="DZ105" s="26"/>
      <c r="EA105" s="11"/>
      <c r="EB105" s="29"/>
      <c r="EC105" s="28"/>
      <c r="ED105" s="30"/>
      <c r="EE105" s="30" t="str">
        <f ca="1">IFERROR(__xludf.DUMMYFUNCTION("iferror(index(filter('Internal -- Trademark Countries'!E$2:E1000, (AM105 = 'Internal -- Trademark Countries'!B$2:B1000) + (AM105 = 'Internal -- Trademark Countries'!C$2:C1000) + (AM105 = 'Internal -- Trademark Countries'!D$2:D1000)), 1))"),"")</f>
        <v/>
      </c>
      <c r="EF105" s="30" t="e">
        <f ca="1">_xludf.ifs(AM105="", "", COUNTIF('Internal -- Trademark Countries'!B:B,AM105) &gt; 0, "polity_shortest_name", COUNTIF('Internal -- Trademark Countries'!C:C,AM105) &gt; 0, "polity_full_name", COUNTIF('Internal -- Trademark Countries'!D:D,AM105) &gt; 0, "polity_common_name", COUNTIF('Internal -- Trademark Countries'!E:E,AM105) &gt; 0, "shortest_name", COUNTIF('Internal -- Trademark Countries'!A:A,AM105) &gt; 0, "full_name", TRUE, "not a match")</f>
        <v>#NAME?</v>
      </c>
      <c r="EG105" s="30"/>
      <c r="EH105" s="30"/>
      <c r="EI105" s="30"/>
      <c r="EJ105" s="30"/>
      <c r="EK105" s="30" t="str">
        <f t="shared" si="2"/>
        <v/>
      </c>
    </row>
    <row r="106" spans="1:141" ht="16.5">
      <c r="A106" s="11"/>
      <c r="B106" s="11"/>
      <c r="C106" s="11"/>
      <c r="D106" s="11"/>
      <c r="E106" s="11"/>
      <c r="F106" s="11"/>
      <c r="G106" s="11"/>
      <c r="H106" s="11"/>
      <c r="I106" s="11"/>
      <c r="J106" s="11"/>
      <c r="K106" s="27"/>
      <c r="L106" s="11"/>
      <c r="M106" s="11"/>
      <c r="N106" s="11"/>
      <c r="O106" s="11"/>
      <c r="P106" s="15"/>
      <c r="Q106" s="15"/>
      <c r="R106" s="15"/>
      <c r="S106" s="15"/>
      <c r="T106" s="15"/>
      <c r="U106" s="15"/>
      <c r="V106" s="15"/>
      <c r="W106" s="47"/>
      <c r="X106" s="11"/>
      <c r="Y106" s="48"/>
      <c r="Z106" s="11"/>
      <c r="AA106" s="48"/>
      <c r="AB106" s="11"/>
      <c r="AC106" s="48"/>
      <c r="AD106" s="11"/>
      <c r="AE106" s="47"/>
      <c r="AF106" s="11"/>
      <c r="AG106" s="48"/>
      <c r="AH106" s="11"/>
      <c r="AI106" s="48"/>
      <c r="AJ106" s="11"/>
      <c r="AK106" s="48"/>
      <c r="AL106" s="11"/>
      <c r="AM106" s="49"/>
      <c r="AN106" s="49"/>
      <c r="AO106" s="11"/>
      <c r="AP106" s="11"/>
      <c r="AQ106" s="28" t="b">
        <f>IF(COUNTIF(SmartStatus!A$2:A1000, AM106) &gt; 2, TRUE, FALSE)</f>
        <v>0</v>
      </c>
      <c r="AR106" s="29" t="str">
        <f ca="1">IFERROR(__xludf.DUMMYFUNCTION("iferror(if(regexmatch(AO106, ""(?i)^registered""), if(EE106 &lt;&gt; ""polity_shortest_name"", ""CHECK_POLITY"", index(filter(SmartStatus!B$2:B1000, AM106 = SmartStatus!A$2:A1000, not(SmartStatus!C$2:C1000), (isblank(SmartStatus!D$2:D1000)) + ((P106 &lt;&gt; """") * "&amp;"(P106 &lt; SmartStatus!D$2:D1000)), (isblank(SmartStatus!E$2:E1000)) + ((P106 &lt;&gt; """") * (P106 &gt;= SmartStatus!E$2:E1000)), (isblank(SmartStatus!F$2:F1000)) + (((Q106 &lt;&gt; """") * (Q106 &lt; SmartStatus!F$2:F1000)) + ((P106 &lt;&gt; """") * (date(year(P106) + 3, month(P"&amp;"106), day(P106)) &lt; SmartStatus!F$2:F1000))), (isblank(SmartStatus!G$2:G1000)) + (((Q106 &lt;&gt; """") * (Q106 &gt;= SmartStatus!G$2:G1000)) + ((P106 &lt;&gt; """") * (P106 &gt;= SmartStatus!G$2:G1000)))), if(or(regexmatch(B106, ""(?i)^ir [a-z]+ designation$""), N106 &lt;&gt; """&amp;"""), 1, 2))), """"), ""NO_MATCH"")"),"")</f>
        <v/>
      </c>
      <c r="AS106" s="11"/>
      <c r="AT106" s="15"/>
      <c r="AU106" s="11"/>
      <c r="AV106" s="11"/>
      <c r="AW106" s="15"/>
      <c r="AX106" s="15"/>
      <c r="AY106" s="15"/>
      <c r="AZ106" s="11"/>
      <c r="BA106" s="15"/>
      <c r="BB106" s="11"/>
      <c r="BC106" s="11"/>
      <c r="BD106" s="15"/>
      <c r="BE106" s="11"/>
      <c r="BF106" s="11"/>
      <c r="BG106" s="15"/>
      <c r="BH106" s="15"/>
      <c r="BI106" s="15"/>
      <c r="BJ106" s="11"/>
      <c r="BK106" s="15"/>
      <c r="BL106" s="11"/>
      <c r="BM106" s="11"/>
      <c r="BN106" s="15"/>
      <c r="BO106" s="11"/>
      <c r="BP106" s="11"/>
      <c r="BQ106" s="15"/>
      <c r="BR106" s="15"/>
      <c r="BS106" s="15"/>
      <c r="BT106" s="11"/>
      <c r="BU106" s="15"/>
      <c r="BV106" s="11"/>
      <c r="BW106" s="11"/>
      <c r="BX106" s="15"/>
      <c r="BY106" s="11"/>
      <c r="BZ106" s="11"/>
      <c r="CA106" s="15"/>
      <c r="CB106" s="11"/>
      <c r="CC106" s="15"/>
      <c r="CD106" s="11"/>
      <c r="CE106" s="15"/>
      <c r="CF106" s="11"/>
      <c r="CG106" s="11"/>
      <c r="CH106" s="15"/>
      <c r="CI106" s="11"/>
      <c r="CJ106" s="11"/>
      <c r="CK106" s="15"/>
      <c r="CL106" s="11"/>
      <c r="CM106" s="11"/>
      <c r="CN106" s="11"/>
      <c r="CO106" s="11"/>
      <c r="CP106" s="28"/>
      <c r="CQ106" s="28"/>
      <c r="CR106" s="11"/>
      <c r="CS106" s="29"/>
      <c r="CT106" s="11"/>
      <c r="CU106" s="11"/>
      <c r="CV106" s="11"/>
      <c r="CW106" s="11"/>
      <c r="CX106" s="11"/>
      <c r="CY106" s="11"/>
      <c r="CZ106" s="11"/>
      <c r="DA106" s="28"/>
      <c r="DB106" s="28"/>
      <c r="DC106" s="11"/>
      <c r="DD106" s="29"/>
      <c r="DE106" s="11"/>
      <c r="DF106" s="11"/>
      <c r="DG106" s="11"/>
      <c r="DH106" s="11"/>
      <c r="DI106" s="11"/>
      <c r="DJ106" s="11"/>
      <c r="DK106" s="26"/>
      <c r="DL106" s="11"/>
      <c r="DM106" s="29"/>
      <c r="DN106" s="28"/>
      <c r="DO106" s="11"/>
      <c r="DP106" s="11"/>
      <c r="DQ106" s="11"/>
      <c r="DR106" s="29"/>
      <c r="DS106" s="28"/>
      <c r="DT106" s="11"/>
      <c r="DU106" s="26"/>
      <c r="DV106" s="11"/>
      <c r="DW106" s="29"/>
      <c r="DX106" s="28"/>
      <c r="DY106" s="11"/>
      <c r="DZ106" s="26"/>
      <c r="EA106" s="11"/>
      <c r="EB106" s="29"/>
      <c r="EC106" s="28"/>
      <c r="ED106" s="30"/>
      <c r="EE106" s="30" t="str">
        <f ca="1">IFERROR(__xludf.DUMMYFUNCTION("iferror(index(filter('Internal -- Trademark Countries'!E$2:E1000, (AM106 = 'Internal -- Trademark Countries'!B$2:B1000) + (AM106 = 'Internal -- Trademark Countries'!C$2:C1000) + (AM106 = 'Internal -- Trademark Countries'!D$2:D1000)), 1))"),"")</f>
        <v/>
      </c>
      <c r="EF106" s="30" t="e">
        <f ca="1">_xludf.ifs(AM106="", "", COUNTIF('Internal -- Trademark Countries'!B:B,AM106) &gt; 0, "polity_shortest_name", COUNTIF('Internal -- Trademark Countries'!C:C,AM106) &gt; 0, "polity_full_name", COUNTIF('Internal -- Trademark Countries'!D:D,AM106) &gt; 0, "polity_common_name", COUNTIF('Internal -- Trademark Countries'!E:E,AM106) &gt; 0, "shortest_name", COUNTIF('Internal -- Trademark Countries'!A:A,AM106) &gt; 0, "full_name", TRUE, "not a match")</f>
        <v>#NAME?</v>
      </c>
      <c r="EG106" s="30"/>
      <c r="EH106" s="30"/>
      <c r="EI106" s="30"/>
      <c r="EJ106" s="30"/>
      <c r="EK106" s="30" t="str">
        <f t="shared" si="2"/>
        <v/>
      </c>
    </row>
    <row r="107" spans="1:141" ht="16.5">
      <c r="A107" s="11"/>
      <c r="B107" s="11"/>
      <c r="C107" s="11"/>
      <c r="D107" s="11"/>
      <c r="E107" s="11"/>
      <c r="F107" s="11"/>
      <c r="G107" s="11"/>
      <c r="H107" s="11"/>
      <c r="I107" s="11"/>
      <c r="J107" s="11"/>
      <c r="K107" s="27"/>
      <c r="L107" s="11"/>
      <c r="M107" s="11"/>
      <c r="N107" s="11"/>
      <c r="O107" s="11"/>
      <c r="P107" s="15"/>
      <c r="Q107" s="15"/>
      <c r="R107" s="15"/>
      <c r="S107" s="15"/>
      <c r="T107" s="15"/>
      <c r="U107" s="15"/>
      <c r="V107" s="15"/>
      <c r="W107" s="47"/>
      <c r="X107" s="11"/>
      <c r="Y107" s="48"/>
      <c r="Z107" s="11"/>
      <c r="AA107" s="48"/>
      <c r="AB107" s="11"/>
      <c r="AC107" s="48"/>
      <c r="AD107" s="11"/>
      <c r="AE107" s="47"/>
      <c r="AF107" s="11"/>
      <c r="AG107" s="48"/>
      <c r="AH107" s="11"/>
      <c r="AI107" s="48"/>
      <c r="AJ107" s="11"/>
      <c r="AK107" s="48"/>
      <c r="AL107" s="11"/>
      <c r="AM107" s="49"/>
      <c r="AN107" s="49"/>
      <c r="AO107" s="11"/>
      <c r="AP107" s="11"/>
      <c r="AQ107" s="28" t="b">
        <f>IF(COUNTIF(SmartStatus!A$2:A1000, AM107) &gt; 2, TRUE, FALSE)</f>
        <v>0</v>
      </c>
      <c r="AR107" s="29" t="str">
        <f ca="1">IFERROR(__xludf.DUMMYFUNCTION("iferror(if(regexmatch(AO107, ""(?i)^registered""), if(EE107 &lt;&gt; ""polity_shortest_name"", ""CHECK_POLITY"", index(filter(SmartStatus!B$2:B1000, AM107 = SmartStatus!A$2:A1000, not(SmartStatus!C$2:C1000), (isblank(SmartStatus!D$2:D1000)) + ((P107 &lt;&gt; """") * "&amp;"(P107 &lt; SmartStatus!D$2:D1000)), (isblank(SmartStatus!E$2:E1000)) + ((P107 &lt;&gt; """") * (P107 &gt;= SmartStatus!E$2:E1000)), (isblank(SmartStatus!F$2:F1000)) + (((Q107 &lt;&gt; """") * (Q107 &lt; SmartStatus!F$2:F1000)) + ((P107 &lt;&gt; """") * (date(year(P107) + 3, month(P"&amp;"107), day(P107)) &lt; SmartStatus!F$2:F1000))), (isblank(SmartStatus!G$2:G1000)) + (((Q107 &lt;&gt; """") * (Q107 &gt;= SmartStatus!G$2:G1000)) + ((P107 &lt;&gt; """") * (P107 &gt;= SmartStatus!G$2:G1000)))), if(or(regexmatch(B107, ""(?i)^ir [a-z]+ designation$""), N107 &lt;&gt; """&amp;"""), 1, 2))), """"), ""NO_MATCH"")"),"")</f>
        <v/>
      </c>
      <c r="AS107" s="11"/>
      <c r="AT107" s="15"/>
      <c r="AU107" s="11"/>
      <c r="AV107" s="11"/>
      <c r="AW107" s="15"/>
      <c r="AX107" s="15"/>
      <c r="AY107" s="15"/>
      <c r="AZ107" s="11"/>
      <c r="BA107" s="15"/>
      <c r="BB107" s="11"/>
      <c r="BC107" s="11"/>
      <c r="BD107" s="15"/>
      <c r="BE107" s="11"/>
      <c r="BF107" s="11"/>
      <c r="BG107" s="15"/>
      <c r="BH107" s="15"/>
      <c r="BI107" s="15"/>
      <c r="BJ107" s="11"/>
      <c r="BK107" s="15"/>
      <c r="BL107" s="11"/>
      <c r="BM107" s="11"/>
      <c r="BN107" s="15"/>
      <c r="BO107" s="11"/>
      <c r="BP107" s="11"/>
      <c r="BQ107" s="15"/>
      <c r="BR107" s="15"/>
      <c r="BS107" s="15"/>
      <c r="BT107" s="11"/>
      <c r="BU107" s="15"/>
      <c r="BV107" s="11"/>
      <c r="BW107" s="11"/>
      <c r="BX107" s="15"/>
      <c r="BY107" s="11"/>
      <c r="BZ107" s="11"/>
      <c r="CA107" s="15"/>
      <c r="CB107" s="11"/>
      <c r="CC107" s="15"/>
      <c r="CD107" s="11"/>
      <c r="CE107" s="15"/>
      <c r="CF107" s="11"/>
      <c r="CG107" s="11"/>
      <c r="CH107" s="15"/>
      <c r="CI107" s="11"/>
      <c r="CJ107" s="11"/>
      <c r="CK107" s="15"/>
      <c r="CL107" s="11"/>
      <c r="CM107" s="11"/>
      <c r="CN107" s="11"/>
      <c r="CO107" s="11"/>
      <c r="CP107" s="28"/>
      <c r="CQ107" s="28"/>
      <c r="CR107" s="11"/>
      <c r="CS107" s="29"/>
      <c r="CT107" s="11"/>
      <c r="CU107" s="11"/>
      <c r="CV107" s="11"/>
      <c r="CW107" s="11"/>
      <c r="CX107" s="11"/>
      <c r="CY107" s="11"/>
      <c r="CZ107" s="11"/>
      <c r="DA107" s="28"/>
      <c r="DB107" s="28"/>
      <c r="DC107" s="11"/>
      <c r="DD107" s="29"/>
      <c r="DE107" s="11"/>
      <c r="DF107" s="11"/>
      <c r="DG107" s="11"/>
      <c r="DH107" s="11"/>
      <c r="DI107" s="11"/>
      <c r="DJ107" s="11"/>
      <c r="DK107" s="26"/>
      <c r="DL107" s="11"/>
      <c r="DM107" s="29"/>
      <c r="DN107" s="28"/>
      <c r="DO107" s="11"/>
      <c r="DP107" s="11"/>
      <c r="DQ107" s="11"/>
      <c r="DR107" s="29"/>
      <c r="DS107" s="28"/>
      <c r="DT107" s="11"/>
      <c r="DU107" s="26"/>
      <c r="DV107" s="11"/>
      <c r="DW107" s="29"/>
      <c r="DX107" s="28"/>
      <c r="DY107" s="11"/>
      <c r="DZ107" s="26"/>
      <c r="EA107" s="11"/>
      <c r="EB107" s="29"/>
      <c r="EC107" s="28"/>
      <c r="ED107" s="30"/>
      <c r="EE107" s="30" t="str">
        <f ca="1">IFERROR(__xludf.DUMMYFUNCTION("iferror(index(filter('Internal -- Trademark Countries'!E$2:E1000, (AM107 = 'Internal -- Trademark Countries'!B$2:B1000) + (AM107 = 'Internal -- Trademark Countries'!C$2:C1000) + (AM107 = 'Internal -- Trademark Countries'!D$2:D1000)), 1))"),"")</f>
        <v/>
      </c>
      <c r="EF107" s="30" t="e">
        <f ca="1">_xludf.ifs(AM107="", "", COUNTIF('Internal -- Trademark Countries'!B:B,AM107) &gt; 0, "polity_shortest_name", COUNTIF('Internal -- Trademark Countries'!C:C,AM107) &gt; 0, "polity_full_name", COUNTIF('Internal -- Trademark Countries'!D:D,AM107) &gt; 0, "polity_common_name", COUNTIF('Internal -- Trademark Countries'!E:E,AM107) &gt; 0, "shortest_name", COUNTIF('Internal -- Trademark Countries'!A:A,AM107) &gt; 0, "full_name", TRUE, "not a match")</f>
        <v>#NAME?</v>
      </c>
      <c r="EG107" s="30"/>
      <c r="EH107" s="30"/>
      <c r="EI107" s="30"/>
      <c r="EJ107" s="30"/>
      <c r="EK107" s="30" t="str">
        <f t="shared" si="2"/>
        <v/>
      </c>
    </row>
    <row r="108" spans="1:141" ht="16.5">
      <c r="A108" s="11"/>
      <c r="B108" s="11"/>
      <c r="C108" s="11"/>
      <c r="D108" s="11"/>
      <c r="E108" s="11"/>
      <c r="F108" s="11"/>
      <c r="G108" s="11"/>
      <c r="H108" s="11"/>
      <c r="I108" s="11"/>
      <c r="J108" s="11"/>
      <c r="K108" s="27"/>
      <c r="L108" s="11"/>
      <c r="M108" s="11"/>
      <c r="N108" s="11"/>
      <c r="O108" s="11"/>
      <c r="P108" s="15"/>
      <c r="Q108" s="15"/>
      <c r="R108" s="15"/>
      <c r="S108" s="15"/>
      <c r="T108" s="15"/>
      <c r="U108" s="15"/>
      <c r="V108" s="15"/>
      <c r="W108" s="47"/>
      <c r="X108" s="11"/>
      <c r="Y108" s="48"/>
      <c r="Z108" s="11"/>
      <c r="AA108" s="48"/>
      <c r="AB108" s="11"/>
      <c r="AC108" s="48"/>
      <c r="AD108" s="11"/>
      <c r="AE108" s="47"/>
      <c r="AF108" s="11"/>
      <c r="AG108" s="48"/>
      <c r="AH108" s="11"/>
      <c r="AI108" s="48"/>
      <c r="AJ108" s="11"/>
      <c r="AK108" s="48"/>
      <c r="AL108" s="11"/>
      <c r="AM108" s="49"/>
      <c r="AN108" s="49"/>
      <c r="AO108" s="11"/>
      <c r="AP108" s="11"/>
      <c r="AQ108" s="28" t="b">
        <f>IF(COUNTIF(SmartStatus!A$2:A1000, AM108) &gt; 2, TRUE, FALSE)</f>
        <v>0</v>
      </c>
      <c r="AR108" s="29" t="str">
        <f ca="1">IFERROR(__xludf.DUMMYFUNCTION("iferror(if(regexmatch(AO108, ""(?i)^registered""), if(EE108 &lt;&gt; ""polity_shortest_name"", ""CHECK_POLITY"", index(filter(SmartStatus!B$2:B1000, AM108 = SmartStatus!A$2:A1000, not(SmartStatus!C$2:C1000), (isblank(SmartStatus!D$2:D1000)) + ((P108 &lt;&gt; """") * "&amp;"(P108 &lt; SmartStatus!D$2:D1000)), (isblank(SmartStatus!E$2:E1000)) + ((P108 &lt;&gt; """") * (P108 &gt;= SmartStatus!E$2:E1000)), (isblank(SmartStatus!F$2:F1000)) + (((Q108 &lt;&gt; """") * (Q108 &lt; SmartStatus!F$2:F1000)) + ((P108 &lt;&gt; """") * (date(year(P108) + 3, month(P"&amp;"108), day(P108)) &lt; SmartStatus!F$2:F1000))), (isblank(SmartStatus!G$2:G1000)) + (((Q108 &lt;&gt; """") * (Q108 &gt;= SmartStatus!G$2:G1000)) + ((P108 &lt;&gt; """") * (P108 &gt;= SmartStatus!G$2:G1000)))), if(or(regexmatch(B108, ""(?i)^ir [a-z]+ designation$""), N108 &lt;&gt; """&amp;"""), 1, 2))), """"), ""NO_MATCH"")"),"")</f>
        <v/>
      </c>
      <c r="AS108" s="11"/>
      <c r="AT108" s="15"/>
      <c r="AU108" s="11"/>
      <c r="AV108" s="11"/>
      <c r="AW108" s="15"/>
      <c r="AX108" s="15"/>
      <c r="AY108" s="15"/>
      <c r="AZ108" s="11"/>
      <c r="BA108" s="15"/>
      <c r="BB108" s="11"/>
      <c r="BC108" s="11"/>
      <c r="BD108" s="15"/>
      <c r="BE108" s="11"/>
      <c r="BF108" s="11"/>
      <c r="BG108" s="15"/>
      <c r="BH108" s="15"/>
      <c r="BI108" s="15"/>
      <c r="BJ108" s="11"/>
      <c r="BK108" s="15"/>
      <c r="BL108" s="11"/>
      <c r="BM108" s="11"/>
      <c r="BN108" s="15"/>
      <c r="BO108" s="11"/>
      <c r="BP108" s="11"/>
      <c r="BQ108" s="15"/>
      <c r="BR108" s="15"/>
      <c r="BS108" s="15"/>
      <c r="BT108" s="11"/>
      <c r="BU108" s="15"/>
      <c r="BV108" s="11"/>
      <c r="BW108" s="11"/>
      <c r="BX108" s="15"/>
      <c r="BY108" s="11"/>
      <c r="BZ108" s="11"/>
      <c r="CA108" s="15"/>
      <c r="CB108" s="11"/>
      <c r="CC108" s="15"/>
      <c r="CD108" s="11"/>
      <c r="CE108" s="15"/>
      <c r="CF108" s="11"/>
      <c r="CG108" s="11"/>
      <c r="CH108" s="15"/>
      <c r="CI108" s="11"/>
      <c r="CJ108" s="11"/>
      <c r="CK108" s="15"/>
      <c r="CL108" s="11"/>
      <c r="CM108" s="11"/>
      <c r="CN108" s="11"/>
      <c r="CO108" s="11"/>
      <c r="CP108" s="28"/>
      <c r="CQ108" s="28"/>
      <c r="CR108" s="11"/>
      <c r="CS108" s="29"/>
      <c r="CT108" s="11"/>
      <c r="CU108" s="11"/>
      <c r="CV108" s="11"/>
      <c r="CW108" s="11"/>
      <c r="CX108" s="11"/>
      <c r="CY108" s="11"/>
      <c r="CZ108" s="11"/>
      <c r="DA108" s="28"/>
      <c r="DB108" s="28"/>
      <c r="DC108" s="11"/>
      <c r="DD108" s="29"/>
      <c r="DE108" s="11"/>
      <c r="DF108" s="11"/>
      <c r="DG108" s="11"/>
      <c r="DH108" s="11"/>
      <c r="DI108" s="11"/>
      <c r="DJ108" s="11"/>
      <c r="DK108" s="26"/>
      <c r="DL108" s="11"/>
      <c r="DM108" s="29"/>
      <c r="DN108" s="28"/>
      <c r="DO108" s="11"/>
      <c r="DP108" s="11"/>
      <c r="DQ108" s="11"/>
      <c r="DR108" s="29"/>
      <c r="DS108" s="28"/>
      <c r="DT108" s="11"/>
      <c r="DU108" s="26"/>
      <c r="DV108" s="11"/>
      <c r="DW108" s="29"/>
      <c r="DX108" s="28"/>
      <c r="DY108" s="11"/>
      <c r="DZ108" s="26"/>
      <c r="EA108" s="11"/>
      <c r="EB108" s="29"/>
      <c r="EC108" s="28"/>
      <c r="ED108" s="30"/>
      <c r="EE108" s="30" t="str">
        <f ca="1">IFERROR(__xludf.DUMMYFUNCTION("iferror(index(filter('Internal -- Trademark Countries'!E$2:E1000, (AM108 = 'Internal -- Trademark Countries'!B$2:B1000) + (AM108 = 'Internal -- Trademark Countries'!C$2:C1000) + (AM108 = 'Internal -- Trademark Countries'!D$2:D1000)), 1))"),"")</f>
        <v/>
      </c>
      <c r="EF108" s="30" t="e">
        <f ca="1">_xludf.ifs(AM108="", "", COUNTIF('Internal -- Trademark Countries'!B:B,AM108) &gt; 0, "polity_shortest_name", COUNTIF('Internal -- Trademark Countries'!C:C,AM108) &gt; 0, "polity_full_name", COUNTIF('Internal -- Trademark Countries'!D:D,AM108) &gt; 0, "polity_common_name", COUNTIF('Internal -- Trademark Countries'!E:E,AM108) &gt; 0, "shortest_name", COUNTIF('Internal -- Trademark Countries'!A:A,AM108) &gt; 0, "full_name", TRUE, "not a match")</f>
        <v>#NAME?</v>
      </c>
      <c r="EG108" s="30"/>
      <c r="EH108" s="30"/>
      <c r="EI108" s="30"/>
      <c r="EJ108" s="30"/>
      <c r="EK108" s="30" t="str">
        <f t="shared" si="2"/>
        <v/>
      </c>
    </row>
    <row r="109" spans="1:141" ht="16.5">
      <c r="A109" s="11"/>
      <c r="B109" s="11"/>
      <c r="C109" s="11"/>
      <c r="D109" s="11"/>
      <c r="E109" s="11"/>
      <c r="F109" s="11"/>
      <c r="G109" s="11"/>
      <c r="H109" s="11"/>
      <c r="I109" s="11"/>
      <c r="J109" s="11"/>
      <c r="K109" s="27"/>
      <c r="L109" s="11"/>
      <c r="M109" s="11"/>
      <c r="N109" s="11"/>
      <c r="O109" s="11"/>
      <c r="P109" s="15"/>
      <c r="Q109" s="15"/>
      <c r="R109" s="15"/>
      <c r="S109" s="15"/>
      <c r="T109" s="15"/>
      <c r="U109" s="15"/>
      <c r="V109" s="15"/>
      <c r="W109" s="47"/>
      <c r="X109" s="11"/>
      <c r="Y109" s="48"/>
      <c r="Z109" s="11"/>
      <c r="AA109" s="48"/>
      <c r="AB109" s="11"/>
      <c r="AC109" s="48"/>
      <c r="AD109" s="11"/>
      <c r="AE109" s="47"/>
      <c r="AF109" s="11"/>
      <c r="AG109" s="48"/>
      <c r="AH109" s="11"/>
      <c r="AI109" s="48"/>
      <c r="AJ109" s="11"/>
      <c r="AK109" s="48"/>
      <c r="AL109" s="11"/>
      <c r="AM109" s="49"/>
      <c r="AN109" s="49"/>
      <c r="AO109" s="11"/>
      <c r="AP109" s="11"/>
      <c r="AQ109" s="28" t="b">
        <f>IF(COUNTIF(SmartStatus!A$2:A1000, AM109) &gt; 2, TRUE, FALSE)</f>
        <v>0</v>
      </c>
      <c r="AR109" s="29" t="str">
        <f ca="1">IFERROR(__xludf.DUMMYFUNCTION("iferror(if(regexmatch(AO109, ""(?i)^registered""), if(EE109 &lt;&gt; ""polity_shortest_name"", ""CHECK_POLITY"", index(filter(SmartStatus!B$2:B1000, AM109 = SmartStatus!A$2:A1000, not(SmartStatus!C$2:C1000), (isblank(SmartStatus!D$2:D1000)) + ((P109 &lt;&gt; """") * "&amp;"(P109 &lt; SmartStatus!D$2:D1000)), (isblank(SmartStatus!E$2:E1000)) + ((P109 &lt;&gt; """") * (P109 &gt;= SmartStatus!E$2:E1000)), (isblank(SmartStatus!F$2:F1000)) + (((Q109 &lt;&gt; """") * (Q109 &lt; SmartStatus!F$2:F1000)) + ((P109 &lt;&gt; """") * (date(year(P109) + 3, month(P"&amp;"109), day(P109)) &lt; SmartStatus!F$2:F1000))), (isblank(SmartStatus!G$2:G1000)) + (((Q109 &lt;&gt; """") * (Q109 &gt;= SmartStatus!G$2:G1000)) + ((P109 &lt;&gt; """") * (P109 &gt;= SmartStatus!G$2:G1000)))), if(or(regexmatch(B109, ""(?i)^ir [a-z]+ designation$""), N109 &lt;&gt; """&amp;"""), 1, 2))), """"), ""NO_MATCH"")"),"")</f>
        <v/>
      </c>
      <c r="AS109" s="11"/>
      <c r="AT109" s="15"/>
      <c r="AU109" s="11"/>
      <c r="AV109" s="11"/>
      <c r="AW109" s="15"/>
      <c r="AX109" s="15"/>
      <c r="AY109" s="15"/>
      <c r="AZ109" s="11"/>
      <c r="BA109" s="15"/>
      <c r="BB109" s="11"/>
      <c r="BC109" s="11"/>
      <c r="BD109" s="15"/>
      <c r="BE109" s="11"/>
      <c r="BF109" s="11"/>
      <c r="BG109" s="15"/>
      <c r="BH109" s="15"/>
      <c r="BI109" s="15"/>
      <c r="BJ109" s="11"/>
      <c r="BK109" s="15"/>
      <c r="BL109" s="11"/>
      <c r="BM109" s="11"/>
      <c r="BN109" s="15"/>
      <c r="BO109" s="11"/>
      <c r="BP109" s="11"/>
      <c r="BQ109" s="15"/>
      <c r="BR109" s="15"/>
      <c r="BS109" s="15"/>
      <c r="BT109" s="11"/>
      <c r="BU109" s="15"/>
      <c r="BV109" s="11"/>
      <c r="BW109" s="11"/>
      <c r="BX109" s="15"/>
      <c r="BY109" s="11"/>
      <c r="BZ109" s="11"/>
      <c r="CA109" s="15"/>
      <c r="CB109" s="11"/>
      <c r="CC109" s="15"/>
      <c r="CD109" s="11"/>
      <c r="CE109" s="15"/>
      <c r="CF109" s="11"/>
      <c r="CG109" s="11"/>
      <c r="CH109" s="15"/>
      <c r="CI109" s="11"/>
      <c r="CJ109" s="11"/>
      <c r="CK109" s="15"/>
      <c r="CL109" s="11"/>
      <c r="CM109" s="11"/>
      <c r="CN109" s="11"/>
      <c r="CO109" s="11"/>
      <c r="CP109" s="28"/>
      <c r="CQ109" s="28"/>
      <c r="CR109" s="11"/>
      <c r="CS109" s="29"/>
      <c r="CT109" s="11"/>
      <c r="CU109" s="11"/>
      <c r="CV109" s="11"/>
      <c r="CW109" s="11"/>
      <c r="CX109" s="11"/>
      <c r="CY109" s="11"/>
      <c r="CZ109" s="11"/>
      <c r="DA109" s="28"/>
      <c r="DB109" s="28"/>
      <c r="DC109" s="11"/>
      <c r="DD109" s="29"/>
      <c r="DE109" s="11"/>
      <c r="DF109" s="11"/>
      <c r="DG109" s="11"/>
      <c r="DH109" s="11"/>
      <c r="DI109" s="11"/>
      <c r="DJ109" s="11"/>
      <c r="DK109" s="26"/>
      <c r="DL109" s="11"/>
      <c r="DM109" s="29"/>
      <c r="DN109" s="28"/>
      <c r="DO109" s="11"/>
      <c r="DP109" s="11"/>
      <c r="DQ109" s="11"/>
      <c r="DR109" s="29"/>
      <c r="DS109" s="28"/>
      <c r="DT109" s="11"/>
      <c r="DU109" s="26"/>
      <c r="DV109" s="11"/>
      <c r="DW109" s="29"/>
      <c r="DX109" s="28"/>
      <c r="DY109" s="11"/>
      <c r="DZ109" s="26"/>
      <c r="EA109" s="11"/>
      <c r="EB109" s="29"/>
      <c r="EC109" s="28"/>
      <c r="ED109" s="30"/>
      <c r="EE109" s="30" t="str">
        <f ca="1">IFERROR(__xludf.DUMMYFUNCTION("iferror(index(filter('Internal -- Trademark Countries'!E$2:E1000, (AM109 = 'Internal -- Trademark Countries'!B$2:B1000) + (AM109 = 'Internal -- Trademark Countries'!C$2:C1000) + (AM109 = 'Internal -- Trademark Countries'!D$2:D1000)), 1))"),"")</f>
        <v/>
      </c>
      <c r="EF109" s="30" t="e">
        <f ca="1">_xludf.ifs(AM109="", "", COUNTIF('Internal -- Trademark Countries'!B:B,AM109) &gt; 0, "polity_shortest_name", COUNTIF('Internal -- Trademark Countries'!C:C,AM109) &gt; 0, "polity_full_name", COUNTIF('Internal -- Trademark Countries'!D:D,AM109) &gt; 0, "polity_common_name", COUNTIF('Internal -- Trademark Countries'!E:E,AM109) &gt; 0, "shortest_name", COUNTIF('Internal -- Trademark Countries'!A:A,AM109) &gt; 0, "full_name", TRUE, "not a match")</f>
        <v>#NAME?</v>
      </c>
      <c r="EG109" s="30"/>
      <c r="EH109" s="30"/>
      <c r="EI109" s="30"/>
      <c r="EJ109" s="30"/>
      <c r="EK109" s="30" t="str">
        <f t="shared" si="2"/>
        <v/>
      </c>
    </row>
    <row r="110" spans="1:141" ht="16.5">
      <c r="A110" s="11"/>
      <c r="B110" s="11"/>
      <c r="C110" s="11"/>
      <c r="D110" s="11"/>
      <c r="E110" s="11"/>
      <c r="F110" s="11"/>
      <c r="G110" s="11"/>
      <c r="H110" s="11"/>
      <c r="I110" s="11"/>
      <c r="J110" s="11"/>
      <c r="K110" s="27"/>
      <c r="L110" s="11"/>
      <c r="M110" s="11"/>
      <c r="N110" s="11"/>
      <c r="O110" s="11"/>
      <c r="P110" s="15"/>
      <c r="Q110" s="15"/>
      <c r="R110" s="15"/>
      <c r="S110" s="15"/>
      <c r="T110" s="15"/>
      <c r="U110" s="15"/>
      <c r="V110" s="15"/>
      <c r="W110" s="47"/>
      <c r="X110" s="11"/>
      <c r="Y110" s="48"/>
      <c r="Z110" s="11"/>
      <c r="AA110" s="48"/>
      <c r="AB110" s="11"/>
      <c r="AC110" s="48"/>
      <c r="AD110" s="11"/>
      <c r="AE110" s="47"/>
      <c r="AF110" s="11"/>
      <c r="AG110" s="48"/>
      <c r="AH110" s="11"/>
      <c r="AI110" s="48"/>
      <c r="AJ110" s="11"/>
      <c r="AK110" s="48"/>
      <c r="AL110" s="11"/>
      <c r="AM110" s="49"/>
      <c r="AN110" s="49"/>
      <c r="AO110" s="11"/>
      <c r="AP110" s="11"/>
      <c r="AQ110" s="28" t="b">
        <f>IF(COUNTIF(SmartStatus!A$2:A1000, AM110) &gt; 2, TRUE, FALSE)</f>
        <v>0</v>
      </c>
      <c r="AR110" s="29" t="str">
        <f ca="1">IFERROR(__xludf.DUMMYFUNCTION("iferror(if(regexmatch(AO110, ""(?i)^registered""), if(EE110 &lt;&gt; ""polity_shortest_name"", ""CHECK_POLITY"", index(filter(SmartStatus!B$2:B1000, AM110 = SmartStatus!A$2:A1000, not(SmartStatus!C$2:C1000), (isblank(SmartStatus!D$2:D1000)) + ((P110 &lt;&gt; """") * "&amp;"(P110 &lt; SmartStatus!D$2:D1000)), (isblank(SmartStatus!E$2:E1000)) + ((P110 &lt;&gt; """") * (P110 &gt;= SmartStatus!E$2:E1000)), (isblank(SmartStatus!F$2:F1000)) + (((Q110 &lt;&gt; """") * (Q110 &lt; SmartStatus!F$2:F1000)) + ((P110 &lt;&gt; """") * (date(year(P110) + 3, month(P"&amp;"110), day(P110)) &lt; SmartStatus!F$2:F1000))), (isblank(SmartStatus!G$2:G1000)) + (((Q110 &lt;&gt; """") * (Q110 &gt;= SmartStatus!G$2:G1000)) + ((P110 &lt;&gt; """") * (P110 &gt;= SmartStatus!G$2:G1000)))), if(or(regexmatch(B110, ""(?i)^ir [a-z]+ designation$""), N110 &lt;&gt; """&amp;"""), 1, 2))), """"), ""NO_MATCH"")"),"")</f>
        <v/>
      </c>
      <c r="AS110" s="11"/>
      <c r="AT110" s="15"/>
      <c r="AU110" s="11"/>
      <c r="AV110" s="11"/>
      <c r="AW110" s="15"/>
      <c r="AX110" s="15"/>
      <c r="AY110" s="15"/>
      <c r="AZ110" s="11"/>
      <c r="BA110" s="15"/>
      <c r="BB110" s="11"/>
      <c r="BC110" s="11"/>
      <c r="BD110" s="15"/>
      <c r="BE110" s="11"/>
      <c r="BF110" s="11"/>
      <c r="BG110" s="15"/>
      <c r="BH110" s="15"/>
      <c r="BI110" s="15"/>
      <c r="BJ110" s="11"/>
      <c r="BK110" s="15"/>
      <c r="BL110" s="11"/>
      <c r="BM110" s="11"/>
      <c r="BN110" s="15"/>
      <c r="BO110" s="11"/>
      <c r="BP110" s="11"/>
      <c r="BQ110" s="15"/>
      <c r="BR110" s="15"/>
      <c r="BS110" s="15"/>
      <c r="BT110" s="11"/>
      <c r="BU110" s="15"/>
      <c r="BV110" s="11"/>
      <c r="BW110" s="11"/>
      <c r="BX110" s="15"/>
      <c r="BY110" s="11"/>
      <c r="BZ110" s="11"/>
      <c r="CA110" s="15"/>
      <c r="CB110" s="11"/>
      <c r="CC110" s="15"/>
      <c r="CD110" s="11"/>
      <c r="CE110" s="15"/>
      <c r="CF110" s="11"/>
      <c r="CG110" s="11"/>
      <c r="CH110" s="15"/>
      <c r="CI110" s="11"/>
      <c r="CJ110" s="11"/>
      <c r="CK110" s="15"/>
      <c r="CL110" s="11"/>
      <c r="CM110" s="11"/>
      <c r="CN110" s="11"/>
      <c r="CO110" s="11"/>
      <c r="CP110" s="28"/>
      <c r="CQ110" s="28"/>
      <c r="CR110" s="11"/>
      <c r="CS110" s="29"/>
      <c r="CT110" s="11"/>
      <c r="CU110" s="11"/>
      <c r="CV110" s="11"/>
      <c r="CW110" s="11"/>
      <c r="CX110" s="11"/>
      <c r="CY110" s="11"/>
      <c r="CZ110" s="11"/>
      <c r="DA110" s="28"/>
      <c r="DB110" s="28"/>
      <c r="DC110" s="11"/>
      <c r="DD110" s="29"/>
      <c r="DE110" s="11"/>
      <c r="DF110" s="11"/>
      <c r="DG110" s="11"/>
      <c r="DH110" s="11"/>
      <c r="DI110" s="11"/>
      <c r="DJ110" s="11"/>
      <c r="DK110" s="26"/>
      <c r="DL110" s="11"/>
      <c r="DM110" s="29"/>
      <c r="DN110" s="28"/>
      <c r="DO110" s="11"/>
      <c r="DP110" s="11"/>
      <c r="DQ110" s="11"/>
      <c r="DR110" s="29"/>
      <c r="DS110" s="28"/>
      <c r="DT110" s="11"/>
      <c r="DU110" s="26"/>
      <c r="DV110" s="11"/>
      <c r="DW110" s="29"/>
      <c r="DX110" s="28"/>
      <c r="DY110" s="11"/>
      <c r="DZ110" s="26"/>
      <c r="EA110" s="11"/>
      <c r="EB110" s="29"/>
      <c r="EC110" s="28"/>
      <c r="ED110" s="30"/>
      <c r="EE110" s="30" t="str">
        <f ca="1">IFERROR(__xludf.DUMMYFUNCTION("iferror(index(filter('Internal -- Trademark Countries'!E$2:E1000, (AM110 = 'Internal -- Trademark Countries'!B$2:B1000) + (AM110 = 'Internal -- Trademark Countries'!C$2:C1000) + (AM110 = 'Internal -- Trademark Countries'!D$2:D1000)), 1))"),"")</f>
        <v/>
      </c>
      <c r="EF110" s="30" t="e">
        <f ca="1">_xludf.ifs(AM110="", "", COUNTIF('Internal -- Trademark Countries'!B:B,AM110) &gt; 0, "polity_shortest_name", COUNTIF('Internal -- Trademark Countries'!C:C,AM110) &gt; 0, "polity_full_name", COUNTIF('Internal -- Trademark Countries'!D:D,AM110) &gt; 0, "polity_common_name", COUNTIF('Internal -- Trademark Countries'!E:E,AM110) &gt; 0, "shortest_name", COUNTIF('Internal -- Trademark Countries'!A:A,AM110) &gt; 0, "full_name", TRUE, "not a match")</f>
        <v>#NAME?</v>
      </c>
      <c r="EG110" s="30"/>
      <c r="EH110" s="30"/>
      <c r="EI110" s="30"/>
      <c r="EJ110" s="30"/>
      <c r="EK110" s="30" t="str">
        <f t="shared" si="2"/>
        <v/>
      </c>
    </row>
    <row r="111" spans="1:141" ht="16.5">
      <c r="A111" s="11"/>
      <c r="B111" s="11"/>
      <c r="C111" s="11"/>
      <c r="D111" s="11"/>
      <c r="E111" s="11"/>
      <c r="F111" s="11"/>
      <c r="G111" s="11"/>
      <c r="H111" s="11"/>
      <c r="I111" s="11"/>
      <c r="J111" s="11"/>
      <c r="K111" s="27"/>
      <c r="L111" s="11"/>
      <c r="M111" s="11"/>
      <c r="N111" s="11"/>
      <c r="O111" s="11"/>
      <c r="P111" s="15"/>
      <c r="Q111" s="15"/>
      <c r="R111" s="15"/>
      <c r="S111" s="15"/>
      <c r="T111" s="15"/>
      <c r="U111" s="15"/>
      <c r="V111" s="15"/>
      <c r="W111" s="47"/>
      <c r="X111" s="11"/>
      <c r="Y111" s="48"/>
      <c r="Z111" s="11"/>
      <c r="AA111" s="48"/>
      <c r="AB111" s="11"/>
      <c r="AC111" s="48"/>
      <c r="AD111" s="11"/>
      <c r="AE111" s="47"/>
      <c r="AF111" s="11"/>
      <c r="AG111" s="48"/>
      <c r="AH111" s="11"/>
      <c r="AI111" s="48"/>
      <c r="AJ111" s="11"/>
      <c r="AK111" s="48"/>
      <c r="AL111" s="11"/>
      <c r="AM111" s="49"/>
      <c r="AN111" s="49"/>
      <c r="AO111" s="11"/>
      <c r="AP111" s="11"/>
      <c r="AQ111" s="28" t="b">
        <f>IF(COUNTIF(SmartStatus!A$2:A1000, AM111) &gt; 2, TRUE, FALSE)</f>
        <v>0</v>
      </c>
      <c r="AR111" s="29" t="str">
        <f ca="1">IFERROR(__xludf.DUMMYFUNCTION("iferror(if(regexmatch(AO111, ""(?i)^registered""), if(EE111 &lt;&gt; ""polity_shortest_name"", ""CHECK_POLITY"", index(filter(SmartStatus!B$2:B1000, AM111 = SmartStatus!A$2:A1000, not(SmartStatus!C$2:C1000), (isblank(SmartStatus!D$2:D1000)) + ((P111 &lt;&gt; """") * "&amp;"(P111 &lt; SmartStatus!D$2:D1000)), (isblank(SmartStatus!E$2:E1000)) + ((P111 &lt;&gt; """") * (P111 &gt;= SmartStatus!E$2:E1000)), (isblank(SmartStatus!F$2:F1000)) + (((Q111 &lt;&gt; """") * (Q111 &lt; SmartStatus!F$2:F1000)) + ((P111 &lt;&gt; """") * (date(year(P111) + 3, month(P"&amp;"111), day(P111)) &lt; SmartStatus!F$2:F1000))), (isblank(SmartStatus!G$2:G1000)) + (((Q111 &lt;&gt; """") * (Q111 &gt;= SmartStatus!G$2:G1000)) + ((P111 &lt;&gt; """") * (P111 &gt;= SmartStatus!G$2:G1000)))), if(or(regexmatch(B111, ""(?i)^ir [a-z]+ designation$""), N111 &lt;&gt; """&amp;"""), 1, 2))), """"), ""NO_MATCH"")"),"")</f>
        <v/>
      </c>
      <c r="AS111" s="11"/>
      <c r="AT111" s="15"/>
      <c r="AU111" s="11"/>
      <c r="AV111" s="11"/>
      <c r="AW111" s="15"/>
      <c r="AX111" s="15"/>
      <c r="AY111" s="15"/>
      <c r="AZ111" s="11"/>
      <c r="BA111" s="15"/>
      <c r="BB111" s="11"/>
      <c r="BC111" s="11"/>
      <c r="BD111" s="15"/>
      <c r="BE111" s="11"/>
      <c r="BF111" s="11"/>
      <c r="BG111" s="15"/>
      <c r="BH111" s="15"/>
      <c r="BI111" s="15"/>
      <c r="BJ111" s="11"/>
      <c r="BK111" s="15"/>
      <c r="BL111" s="11"/>
      <c r="BM111" s="11"/>
      <c r="BN111" s="15"/>
      <c r="BO111" s="11"/>
      <c r="BP111" s="11"/>
      <c r="BQ111" s="15"/>
      <c r="BR111" s="15"/>
      <c r="BS111" s="15"/>
      <c r="BT111" s="11"/>
      <c r="BU111" s="15"/>
      <c r="BV111" s="11"/>
      <c r="BW111" s="11"/>
      <c r="BX111" s="15"/>
      <c r="BY111" s="11"/>
      <c r="BZ111" s="11"/>
      <c r="CA111" s="15"/>
      <c r="CB111" s="11"/>
      <c r="CC111" s="15"/>
      <c r="CD111" s="11"/>
      <c r="CE111" s="15"/>
      <c r="CF111" s="11"/>
      <c r="CG111" s="11"/>
      <c r="CH111" s="15"/>
      <c r="CI111" s="11"/>
      <c r="CJ111" s="11"/>
      <c r="CK111" s="15"/>
      <c r="CL111" s="11"/>
      <c r="CM111" s="11"/>
      <c r="CN111" s="11"/>
      <c r="CO111" s="11"/>
      <c r="CP111" s="28"/>
      <c r="CQ111" s="28"/>
      <c r="CR111" s="11"/>
      <c r="CS111" s="29"/>
      <c r="CT111" s="11"/>
      <c r="CU111" s="11"/>
      <c r="CV111" s="11"/>
      <c r="CW111" s="11"/>
      <c r="CX111" s="11"/>
      <c r="CY111" s="11"/>
      <c r="CZ111" s="11"/>
      <c r="DA111" s="28"/>
      <c r="DB111" s="28"/>
      <c r="DC111" s="11"/>
      <c r="DD111" s="29"/>
      <c r="DE111" s="11"/>
      <c r="DF111" s="11"/>
      <c r="DG111" s="11"/>
      <c r="DH111" s="11"/>
      <c r="DI111" s="11"/>
      <c r="DJ111" s="11"/>
      <c r="DK111" s="26"/>
      <c r="DL111" s="11"/>
      <c r="DM111" s="29"/>
      <c r="DN111" s="28"/>
      <c r="DO111" s="11"/>
      <c r="DP111" s="11"/>
      <c r="DQ111" s="11"/>
      <c r="DR111" s="29"/>
      <c r="DS111" s="28"/>
      <c r="DT111" s="11"/>
      <c r="DU111" s="26"/>
      <c r="DV111" s="11"/>
      <c r="DW111" s="29"/>
      <c r="DX111" s="28"/>
      <c r="DY111" s="11"/>
      <c r="DZ111" s="26"/>
      <c r="EA111" s="11"/>
      <c r="EB111" s="29"/>
      <c r="EC111" s="28"/>
      <c r="ED111" s="30"/>
      <c r="EE111" s="30" t="str">
        <f ca="1">IFERROR(__xludf.DUMMYFUNCTION("iferror(index(filter('Internal -- Trademark Countries'!E$2:E1000, (AM111 = 'Internal -- Trademark Countries'!B$2:B1000) + (AM111 = 'Internal -- Trademark Countries'!C$2:C1000) + (AM111 = 'Internal -- Trademark Countries'!D$2:D1000)), 1))"),"")</f>
        <v/>
      </c>
      <c r="EF111" s="30" t="e">
        <f ca="1">_xludf.ifs(AM111="", "", COUNTIF('Internal -- Trademark Countries'!B:B,AM111) &gt; 0, "polity_shortest_name", COUNTIF('Internal -- Trademark Countries'!C:C,AM111) &gt; 0, "polity_full_name", COUNTIF('Internal -- Trademark Countries'!D:D,AM111) &gt; 0, "polity_common_name", COUNTIF('Internal -- Trademark Countries'!E:E,AM111) &gt; 0, "shortest_name", COUNTIF('Internal -- Trademark Countries'!A:A,AM111) &gt; 0, "full_name", TRUE, "not a match")</f>
        <v>#NAME?</v>
      </c>
      <c r="EG111" s="30"/>
      <c r="EH111" s="30"/>
      <c r="EI111" s="30"/>
      <c r="EJ111" s="30"/>
      <c r="EK111" s="30" t="str">
        <f t="shared" si="2"/>
        <v/>
      </c>
    </row>
    <row r="112" spans="1:141" ht="16.5">
      <c r="A112" s="11"/>
      <c r="B112" s="11"/>
      <c r="C112" s="11"/>
      <c r="D112" s="11"/>
      <c r="E112" s="11"/>
      <c r="F112" s="11"/>
      <c r="G112" s="11"/>
      <c r="H112" s="11"/>
      <c r="I112" s="11"/>
      <c r="J112" s="11"/>
      <c r="K112" s="27"/>
      <c r="L112" s="11"/>
      <c r="M112" s="11"/>
      <c r="N112" s="11"/>
      <c r="O112" s="11"/>
      <c r="P112" s="15"/>
      <c r="Q112" s="15"/>
      <c r="R112" s="15"/>
      <c r="S112" s="15"/>
      <c r="T112" s="15"/>
      <c r="U112" s="15"/>
      <c r="V112" s="15"/>
      <c r="W112" s="47"/>
      <c r="X112" s="11"/>
      <c r="Y112" s="48"/>
      <c r="Z112" s="11"/>
      <c r="AA112" s="48"/>
      <c r="AB112" s="11"/>
      <c r="AC112" s="48"/>
      <c r="AD112" s="11"/>
      <c r="AE112" s="47"/>
      <c r="AF112" s="11"/>
      <c r="AG112" s="48"/>
      <c r="AH112" s="11"/>
      <c r="AI112" s="48"/>
      <c r="AJ112" s="11"/>
      <c r="AK112" s="48"/>
      <c r="AL112" s="11"/>
      <c r="AM112" s="49"/>
      <c r="AN112" s="49"/>
      <c r="AO112" s="11"/>
      <c r="AP112" s="11"/>
      <c r="AQ112" s="28" t="b">
        <f>IF(COUNTIF(SmartStatus!A$2:A1000, AM112) &gt; 2, TRUE, FALSE)</f>
        <v>0</v>
      </c>
      <c r="AR112" s="29" t="str">
        <f ca="1">IFERROR(__xludf.DUMMYFUNCTION("iferror(if(regexmatch(AO112, ""(?i)^registered""), if(EE112 &lt;&gt; ""polity_shortest_name"", ""CHECK_POLITY"", index(filter(SmartStatus!B$2:B1000, AM112 = SmartStatus!A$2:A1000, not(SmartStatus!C$2:C1000), (isblank(SmartStatus!D$2:D1000)) + ((P112 &lt;&gt; """") * "&amp;"(P112 &lt; SmartStatus!D$2:D1000)), (isblank(SmartStatus!E$2:E1000)) + ((P112 &lt;&gt; """") * (P112 &gt;= SmartStatus!E$2:E1000)), (isblank(SmartStatus!F$2:F1000)) + (((Q112 &lt;&gt; """") * (Q112 &lt; SmartStatus!F$2:F1000)) + ((P112 &lt;&gt; """") * (date(year(P112) + 3, month(P"&amp;"112), day(P112)) &lt; SmartStatus!F$2:F1000))), (isblank(SmartStatus!G$2:G1000)) + (((Q112 &lt;&gt; """") * (Q112 &gt;= SmartStatus!G$2:G1000)) + ((P112 &lt;&gt; """") * (P112 &gt;= SmartStatus!G$2:G1000)))), if(or(regexmatch(B112, ""(?i)^ir [a-z]+ designation$""), N112 &lt;&gt; """&amp;"""), 1, 2))), """"), ""NO_MATCH"")"),"")</f>
        <v/>
      </c>
      <c r="AS112" s="11"/>
      <c r="AT112" s="15"/>
      <c r="AU112" s="11"/>
      <c r="AV112" s="11"/>
      <c r="AW112" s="15"/>
      <c r="AX112" s="15"/>
      <c r="AY112" s="15"/>
      <c r="AZ112" s="11"/>
      <c r="BA112" s="15"/>
      <c r="BB112" s="11"/>
      <c r="BC112" s="11"/>
      <c r="BD112" s="15"/>
      <c r="BE112" s="11"/>
      <c r="BF112" s="11"/>
      <c r="BG112" s="15"/>
      <c r="BH112" s="15"/>
      <c r="BI112" s="15"/>
      <c r="BJ112" s="11"/>
      <c r="BK112" s="15"/>
      <c r="BL112" s="11"/>
      <c r="BM112" s="11"/>
      <c r="BN112" s="15"/>
      <c r="BO112" s="11"/>
      <c r="BP112" s="11"/>
      <c r="BQ112" s="15"/>
      <c r="BR112" s="15"/>
      <c r="BS112" s="15"/>
      <c r="BT112" s="11"/>
      <c r="BU112" s="15"/>
      <c r="BV112" s="11"/>
      <c r="BW112" s="11"/>
      <c r="BX112" s="15"/>
      <c r="BY112" s="11"/>
      <c r="BZ112" s="11"/>
      <c r="CA112" s="15"/>
      <c r="CB112" s="11"/>
      <c r="CC112" s="15"/>
      <c r="CD112" s="11"/>
      <c r="CE112" s="15"/>
      <c r="CF112" s="11"/>
      <c r="CG112" s="11"/>
      <c r="CH112" s="15"/>
      <c r="CI112" s="11"/>
      <c r="CJ112" s="11"/>
      <c r="CK112" s="15"/>
      <c r="CL112" s="11"/>
      <c r="CM112" s="11"/>
      <c r="CN112" s="11"/>
      <c r="CO112" s="11"/>
      <c r="CP112" s="28"/>
      <c r="CQ112" s="28"/>
      <c r="CR112" s="11"/>
      <c r="CS112" s="29"/>
      <c r="CT112" s="11"/>
      <c r="CU112" s="11"/>
      <c r="CV112" s="11"/>
      <c r="CW112" s="11"/>
      <c r="CX112" s="11"/>
      <c r="CY112" s="11"/>
      <c r="CZ112" s="11"/>
      <c r="DA112" s="28"/>
      <c r="DB112" s="28"/>
      <c r="DC112" s="11"/>
      <c r="DD112" s="29"/>
      <c r="DE112" s="11"/>
      <c r="DF112" s="11"/>
      <c r="DG112" s="11"/>
      <c r="DH112" s="11"/>
      <c r="DI112" s="11"/>
      <c r="DJ112" s="11"/>
      <c r="DK112" s="26"/>
      <c r="DL112" s="11"/>
      <c r="DM112" s="29"/>
      <c r="DN112" s="28"/>
      <c r="DO112" s="11"/>
      <c r="DP112" s="11"/>
      <c r="DQ112" s="11"/>
      <c r="DR112" s="29"/>
      <c r="DS112" s="28"/>
      <c r="DT112" s="11"/>
      <c r="DU112" s="26"/>
      <c r="DV112" s="11"/>
      <c r="DW112" s="29"/>
      <c r="DX112" s="28"/>
      <c r="DY112" s="11"/>
      <c r="DZ112" s="26"/>
      <c r="EA112" s="11"/>
      <c r="EB112" s="29"/>
      <c r="EC112" s="28"/>
      <c r="ED112" s="30"/>
      <c r="EE112" s="30" t="str">
        <f ca="1">IFERROR(__xludf.DUMMYFUNCTION("iferror(index(filter('Internal -- Trademark Countries'!E$2:E1000, (AM112 = 'Internal -- Trademark Countries'!B$2:B1000) + (AM112 = 'Internal -- Trademark Countries'!C$2:C1000) + (AM112 = 'Internal -- Trademark Countries'!D$2:D1000)), 1))"),"")</f>
        <v/>
      </c>
      <c r="EF112" s="30" t="e">
        <f ca="1">_xludf.ifs(AM112="", "", COUNTIF('Internal -- Trademark Countries'!B:B,AM112) &gt; 0, "polity_shortest_name", COUNTIF('Internal -- Trademark Countries'!C:C,AM112) &gt; 0, "polity_full_name", COUNTIF('Internal -- Trademark Countries'!D:D,AM112) &gt; 0, "polity_common_name", COUNTIF('Internal -- Trademark Countries'!E:E,AM112) &gt; 0, "shortest_name", COUNTIF('Internal -- Trademark Countries'!A:A,AM112) &gt; 0, "full_name", TRUE, "not a match")</f>
        <v>#NAME?</v>
      </c>
      <c r="EG112" s="30"/>
      <c r="EH112" s="30"/>
      <c r="EI112" s="30"/>
      <c r="EJ112" s="30"/>
      <c r="EK112" s="30" t="str">
        <f t="shared" si="2"/>
        <v/>
      </c>
    </row>
    <row r="113" spans="1:141" ht="16.5">
      <c r="A113" s="11"/>
      <c r="B113" s="11"/>
      <c r="C113" s="11"/>
      <c r="D113" s="11"/>
      <c r="E113" s="11"/>
      <c r="F113" s="11"/>
      <c r="G113" s="11"/>
      <c r="H113" s="11"/>
      <c r="I113" s="11"/>
      <c r="J113" s="11"/>
      <c r="K113" s="27"/>
      <c r="L113" s="11"/>
      <c r="M113" s="11"/>
      <c r="N113" s="11"/>
      <c r="O113" s="11"/>
      <c r="P113" s="15"/>
      <c r="Q113" s="15"/>
      <c r="R113" s="15"/>
      <c r="S113" s="15"/>
      <c r="T113" s="15"/>
      <c r="U113" s="15"/>
      <c r="V113" s="15"/>
      <c r="W113" s="47"/>
      <c r="X113" s="11"/>
      <c r="Y113" s="48"/>
      <c r="Z113" s="11"/>
      <c r="AA113" s="48"/>
      <c r="AB113" s="11"/>
      <c r="AC113" s="48"/>
      <c r="AD113" s="11"/>
      <c r="AE113" s="47"/>
      <c r="AF113" s="11"/>
      <c r="AG113" s="48"/>
      <c r="AH113" s="11"/>
      <c r="AI113" s="48"/>
      <c r="AJ113" s="11"/>
      <c r="AK113" s="48"/>
      <c r="AL113" s="11"/>
      <c r="AM113" s="49"/>
      <c r="AN113" s="49"/>
      <c r="AO113" s="11"/>
      <c r="AP113" s="11"/>
      <c r="AQ113" s="28" t="b">
        <f>IF(COUNTIF(SmartStatus!A$2:A1000, AM113) &gt; 2, TRUE, FALSE)</f>
        <v>0</v>
      </c>
      <c r="AR113" s="29" t="str">
        <f ca="1">IFERROR(__xludf.DUMMYFUNCTION("iferror(if(regexmatch(AO113, ""(?i)^registered""), if(EE113 &lt;&gt; ""polity_shortest_name"", ""CHECK_POLITY"", index(filter(SmartStatus!B$2:B1000, AM113 = SmartStatus!A$2:A1000, not(SmartStatus!C$2:C1000), (isblank(SmartStatus!D$2:D1000)) + ((P113 &lt;&gt; """") * "&amp;"(P113 &lt; SmartStatus!D$2:D1000)), (isblank(SmartStatus!E$2:E1000)) + ((P113 &lt;&gt; """") * (P113 &gt;= SmartStatus!E$2:E1000)), (isblank(SmartStatus!F$2:F1000)) + (((Q113 &lt;&gt; """") * (Q113 &lt; SmartStatus!F$2:F1000)) + ((P113 &lt;&gt; """") * (date(year(P113) + 3, month(P"&amp;"113), day(P113)) &lt; SmartStatus!F$2:F1000))), (isblank(SmartStatus!G$2:G1000)) + (((Q113 &lt;&gt; """") * (Q113 &gt;= SmartStatus!G$2:G1000)) + ((P113 &lt;&gt; """") * (P113 &gt;= SmartStatus!G$2:G1000)))), if(or(regexmatch(B113, ""(?i)^ir [a-z]+ designation$""), N113 &lt;&gt; """&amp;"""), 1, 2))), """"), ""NO_MATCH"")"),"")</f>
        <v/>
      </c>
      <c r="AS113" s="11"/>
      <c r="AT113" s="15"/>
      <c r="AU113" s="11"/>
      <c r="AV113" s="11"/>
      <c r="AW113" s="15"/>
      <c r="AX113" s="15"/>
      <c r="AY113" s="15"/>
      <c r="AZ113" s="11"/>
      <c r="BA113" s="15"/>
      <c r="BB113" s="11"/>
      <c r="BC113" s="11"/>
      <c r="BD113" s="15"/>
      <c r="BE113" s="11"/>
      <c r="BF113" s="11"/>
      <c r="BG113" s="15"/>
      <c r="BH113" s="15"/>
      <c r="BI113" s="15"/>
      <c r="BJ113" s="11"/>
      <c r="BK113" s="15"/>
      <c r="BL113" s="11"/>
      <c r="BM113" s="11"/>
      <c r="BN113" s="15"/>
      <c r="BO113" s="11"/>
      <c r="BP113" s="11"/>
      <c r="BQ113" s="15"/>
      <c r="BR113" s="15"/>
      <c r="BS113" s="15"/>
      <c r="BT113" s="11"/>
      <c r="BU113" s="15"/>
      <c r="BV113" s="11"/>
      <c r="BW113" s="11"/>
      <c r="BX113" s="15"/>
      <c r="BY113" s="11"/>
      <c r="BZ113" s="11"/>
      <c r="CA113" s="15"/>
      <c r="CB113" s="11"/>
      <c r="CC113" s="15"/>
      <c r="CD113" s="11"/>
      <c r="CE113" s="15"/>
      <c r="CF113" s="11"/>
      <c r="CG113" s="11"/>
      <c r="CH113" s="15"/>
      <c r="CI113" s="11"/>
      <c r="CJ113" s="11"/>
      <c r="CK113" s="15"/>
      <c r="CL113" s="11"/>
      <c r="CM113" s="11"/>
      <c r="CN113" s="11"/>
      <c r="CO113" s="11"/>
      <c r="CP113" s="28"/>
      <c r="CQ113" s="28"/>
      <c r="CR113" s="11"/>
      <c r="CS113" s="29"/>
      <c r="CT113" s="11"/>
      <c r="CU113" s="11"/>
      <c r="CV113" s="11"/>
      <c r="CW113" s="11"/>
      <c r="CX113" s="11"/>
      <c r="CY113" s="11"/>
      <c r="CZ113" s="11"/>
      <c r="DA113" s="28"/>
      <c r="DB113" s="28"/>
      <c r="DC113" s="11"/>
      <c r="DD113" s="29"/>
      <c r="DE113" s="11"/>
      <c r="DF113" s="11"/>
      <c r="DG113" s="11"/>
      <c r="DH113" s="11"/>
      <c r="DI113" s="11"/>
      <c r="DJ113" s="11"/>
      <c r="DK113" s="26"/>
      <c r="DL113" s="11"/>
      <c r="DM113" s="29"/>
      <c r="DN113" s="28"/>
      <c r="DO113" s="11"/>
      <c r="DP113" s="11"/>
      <c r="DQ113" s="11"/>
      <c r="DR113" s="29"/>
      <c r="DS113" s="28"/>
      <c r="DT113" s="11"/>
      <c r="DU113" s="26"/>
      <c r="DV113" s="11"/>
      <c r="DW113" s="29"/>
      <c r="DX113" s="28"/>
      <c r="DY113" s="11"/>
      <c r="DZ113" s="26"/>
      <c r="EA113" s="11"/>
      <c r="EB113" s="29"/>
      <c r="EC113" s="28"/>
      <c r="ED113" s="30"/>
      <c r="EE113" s="30" t="str">
        <f ca="1">IFERROR(__xludf.DUMMYFUNCTION("iferror(index(filter('Internal -- Trademark Countries'!E$2:E1000, (AM113 = 'Internal -- Trademark Countries'!B$2:B1000) + (AM113 = 'Internal -- Trademark Countries'!C$2:C1000) + (AM113 = 'Internal -- Trademark Countries'!D$2:D1000)), 1))"),"")</f>
        <v/>
      </c>
      <c r="EF113" s="30" t="e">
        <f ca="1">_xludf.ifs(AM113="", "", COUNTIF('Internal -- Trademark Countries'!B:B,AM113) &gt; 0, "polity_shortest_name", COUNTIF('Internal -- Trademark Countries'!C:C,AM113) &gt; 0, "polity_full_name", COUNTIF('Internal -- Trademark Countries'!D:D,AM113) &gt; 0, "polity_common_name", COUNTIF('Internal -- Trademark Countries'!E:E,AM113) &gt; 0, "shortest_name", COUNTIF('Internal -- Trademark Countries'!A:A,AM113) &gt; 0, "full_name", TRUE, "not a match")</f>
        <v>#NAME?</v>
      </c>
      <c r="EG113" s="30"/>
      <c r="EH113" s="30"/>
      <c r="EI113" s="30"/>
      <c r="EJ113" s="30"/>
      <c r="EK113" s="30" t="str">
        <f t="shared" si="2"/>
        <v/>
      </c>
    </row>
    <row r="114" spans="1:141" ht="16.5">
      <c r="A114" s="11"/>
      <c r="B114" s="11"/>
      <c r="C114" s="11"/>
      <c r="D114" s="11"/>
      <c r="E114" s="11"/>
      <c r="F114" s="11"/>
      <c r="G114" s="11"/>
      <c r="H114" s="11"/>
      <c r="I114" s="11"/>
      <c r="J114" s="11"/>
      <c r="K114" s="27"/>
      <c r="L114" s="11"/>
      <c r="M114" s="11"/>
      <c r="N114" s="11"/>
      <c r="O114" s="11"/>
      <c r="P114" s="15"/>
      <c r="Q114" s="15"/>
      <c r="R114" s="15"/>
      <c r="S114" s="15"/>
      <c r="T114" s="15"/>
      <c r="U114" s="15"/>
      <c r="V114" s="15"/>
      <c r="W114" s="47"/>
      <c r="X114" s="11"/>
      <c r="Y114" s="48"/>
      <c r="Z114" s="11"/>
      <c r="AA114" s="48"/>
      <c r="AB114" s="11"/>
      <c r="AC114" s="48"/>
      <c r="AD114" s="11"/>
      <c r="AE114" s="47"/>
      <c r="AF114" s="11"/>
      <c r="AG114" s="48"/>
      <c r="AH114" s="11"/>
      <c r="AI114" s="48"/>
      <c r="AJ114" s="11"/>
      <c r="AK114" s="48"/>
      <c r="AL114" s="11"/>
      <c r="AM114" s="49"/>
      <c r="AN114" s="49"/>
      <c r="AO114" s="11"/>
      <c r="AP114" s="11"/>
      <c r="AQ114" s="28" t="b">
        <f>IF(COUNTIF(SmartStatus!A$2:A1000, AM114) &gt; 2, TRUE, FALSE)</f>
        <v>0</v>
      </c>
      <c r="AR114" s="29" t="str">
        <f ca="1">IFERROR(__xludf.DUMMYFUNCTION("iferror(if(regexmatch(AO114, ""(?i)^registered""), if(EE114 &lt;&gt; ""polity_shortest_name"", ""CHECK_POLITY"", index(filter(SmartStatus!B$2:B1000, AM114 = SmartStatus!A$2:A1000, not(SmartStatus!C$2:C1000), (isblank(SmartStatus!D$2:D1000)) + ((P114 &lt;&gt; """") * "&amp;"(P114 &lt; SmartStatus!D$2:D1000)), (isblank(SmartStatus!E$2:E1000)) + ((P114 &lt;&gt; """") * (P114 &gt;= SmartStatus!E$2:E1000)), (isblank(SmartStatus!F$2:F1000)) + (((Q114 &lt;&gt; """") * (Q114 &lt; SmartStatus!F$2:F1000)) + ((P114 &lt;&gt; """") * (date(year(P114) + 3, month(P"&amp;"114), day(P114)) &lt; SmartStatus!F$2:F1000))), (isblank(SmartStatus!G$2:G1000)) + (((Q114 &lt;&gt; """") * (Q114 &gt;= SmartStatus!G$2:G1000)) + ((P114 &lt;&gt; """") * (P114 &gt;= SmartStatus!G$2:G1000)))), if(or(regexmatch(B114, ""(?i)^ir [a-z]+ designation$""), N114 &lt;&gt; """&amp;"""), 1, 2))), """"), ""NO_MATCH"")"),"")</f>
        <v/>
      </c>
      <c r="AS114" s="11"/>
      <c r="AT114" s="15"/>
      <c r="AU114" s="11"/>
      <c r="AV114" s="11"/>
      <c r="AW114" s="15"/>
      <c r="AX114" s="15"/>
      <c r="AY114" s="15"/>
      <c r="AZ114" s="11"/>
      <c r="BA114" s="15"/>
      <c r="BB114" s="11"/>
      <c r="BC114" s="11"/>
      <c r="BD114" s="15"/>
      <c r="BE114" s="11"/>
      <c r="BF114" s="11"/>
      <c r="BG114" s="15"/>
      <c r="BH114" s="15"/>
      <c r="BI114" s="15"/>
      <c r="BJ114" s="11"/>
      <c r="BK114" s="15"/>
      <c r="BL114" s="11"/>
      <c r="BM114" s="11"/>
      <c r="BN114" s="15"/>
      <c r="BO114" s="11"/>
      <c r="BP114" s="11"/>
      <c r="BQ114" s="15"/>
      <c r="BR114" s="15"/>
      <c r="BS114" s="15"/>
      <c r="BT114" s="11"/>
      <c r="BU114" s="15"/>
      <c r="BV114" s="11"/>
      <c r="BW114" s="11"/>
      <c r="BX114" s="15"/>
      <c r="BY114" s="11"/>
      <c r="BZ114" s="11"/>
      <c r="CA114" s="15"/>
      <c r="CB114" s="11"/>
      <c r="CC114" s="15"/>
      <c r="CD114" s="11"/>
      <c r="CE114" s="15"/>
      <c r="CF114" s="11"/>
      <c r="CG114" s="11"/>
      <c r="CH114" s="15"/>
      <c r="CI114" s="11"/>
      <c r="CJ114" s="11"/>
      <c r="CK114" s="15"/>
      <c r="CL114" s="11"/>
      <c r="CM114" s="11"/>
      <c r="CN114" s="11"/>
      <c r="CO114" s="11"/>
      <c r="CP114" s="28"/>
      <c r="CQ114" s="28"/>
      <c r="CR114" s="11"/>
      <c r="CS114" s="29"/>
      <c r="CT114" s="11"/>
      <c r="CU114" s="11"/>
      <c r="CV114" s="11"/>
      <c r="CW114" s="11"/>
      <c r="CX114" s="11"/>
      <c r="CY114" s="11"/>
      <c r="CZ114" s="11"/>
      <c r="DA114" s="28"/>
      <c r="DB114" s="28"/>
      <c r="DC114" s="11"/>
      <c r="DD114" s="29"/>
      <c r="DE114" s="11"/>
      <c r="DF114" s="11"/>
      <c r="DG114" s="11"/>
      <c r="DH114" s="11"/>
      <c r="DI114" s="11"/>
      <c r="DJ114" s="11"/>
      <c r="DK114" s="26"/>
      <c r="DL114" s="11"/>
      <c r="DM114" s="29"/>
      <c r="DN114" s="28"/>
      <c r="DO114" s="11"/>
      <c r="DP114" s="11"/>
      <c r="DQ114" s="11"/>
      <c r="DR114" s="29"/>
      <c r="DS114" s="28"/>
      <c r="DT114" s="11"/>
      <c r="DU114" s="26"/>
      <c r="DV114" s="11"/>
      <c r="DW114" s="29"/>
      <c r="DX114" s="28"/>
      <c r="DY114" s="11"/>
      <c r="DZ114" s="26"/>
      <c r="EA114" s="11"/>
      <c r="EB114" s="29"/>
      <c r="EC114" s="28"/>
      <c r="ED114" s="30"/>
      <c r="EE114" s="30" t="str">
        <f ca="1">IFERROR(__xludf.DUMMYFUNCTION("iferror(index(filter('Internal -- Trademark Countries'!E$2:E1000, (AM114 = 'Internal -- Trademark Countries'!B$2:B1000) + (AM114 = 'Internal -- Trademark Countries'!C$2:C1000) + (AM114 = 'Internal -- Trademark Countries'!D$2:D1000)), 1))"),"")</f>
        <v/>
      </c>
      <c r="EF114" s="30" t="e">
        <f ca="1">_xludf.ifs(AM114="", "", COUNTIF('Internal -- Trademark Countries'!B:B,AM114) &gt; 0, "polity_shortest_name", COUNTIF('Internal -- Trademark Countries'!C:C,AM114) &gt; 0, "polity_full_name", COUNTIF('Internal -- Trademark Countries'!D:D,AM114) &gt; 0, "polity_common_name", COUNTIF('Internal -- Trademark Countries'!E:E,AM114) &gt; 0, "shortest_name", COUNTIF('Internal -- Trademark Countries'!A:A,AM114) &gt; 0, "full_name", TRUE, "not a match")</f>
        <v>#NAME?</v>
      </c>
      <c r="EG114" s="30"/>
      <c r="EH114" s="30"/>
      <c r="EI114" s="30"/>
      <c r="EJ114" s="30"/>
      <c r="EK114" s="30" t="str">
        <f t="shared" si="2"/>
        <v/>
      </c>
    </row>
    <row r="115" spans="1:141" ht="16.5">
      <c r="A115" s="11"/>
      <c r="B115" s="11"/>
      <c r="C115" s="11"/>
      <c r="D115" s="11"/>
      <c r="E115" s="11"/>
      <c r="F115" s="11"/>
      <c r="G115" s="11"/>
      <c r="H115" s="11"/>
      <c r="I115" s="11"/>
      <c r="J115" s="11"/>
      <c r="K115" s="27"/>
      <c r="L115" s="11"/>
      <c r="M115" s="11"/>
      <c r="N115" s="11"/>
      <c r="O115" s="11"/>
      <c r="P115" s="15"/>
      <c r="Q115" s="15"/>
      <c r="R115" s="15"/>
      <c r="S115" s="15"/>
      <c r="T115" s="15"/>
      <c r="U115" s="15"/>
      <c r="V115" s="15"/>
      <c r="W115" s="47"/>
      <c r="X115" s="11"/>
      <c r="Y115" s="48"/>
      <c r="Z115" s="11"/>
      <c r="AA115" s="48"/>
      <c r="AB115" s="11"/>
      <c r="AC115" s="48"/>
      <c r="AD115" s="11"/>
      <c r="AE115" s="47"/>
      <c r="AF115" s="11"/>
      <c r="AG115" s="48"/>
      <c r="AH115" s="11"/>
      <c r="AI115" s="48"/>
      <c r="AJ115" s="11"/>
      <c r="AK115" s="48"/>
      <c r="AL115" s="11"/>
      <c r="AM115" s="49"/>
      <c r="AN115" s="49"/>
      <c r="AO115" s="11"/>
      <c r="AP115" s="11"/>
      <c r="AQ115" s="28" t="b">
        <f>IF(COUNTIF(SmartStatus!A$2:A1000, AM115) &gt; 2, TRUE, FALSE)</f>
        <v>0</v>
      </c>
      <c r="AR115" s="29" t="str">
        <f ca="1">IFERROR(__xludf.DUMMYFUNCTION("iferror(if(regexmatch(AO115, ""(?i)^registered""), if(EE115 &lt;&gt; ""polity_shortest_name"", ""CHECK_POLITY"", index(filter(SmartStatus!B$2:B1000, AM115 = SmartStatus!A$2:A1000, not(SmartStatus!C$2:C1000), (isblank(SmartStatus!D$2:D1000)) + ((P115 &lt;&gt; """") * "&amp;"(P115 &lt; SmartStatus!D$2:D1000)), (isblank(SmartStatus!E$2:E1000)) + ((P115 &lt;&gt; """") * (P115 &gt;= SmartStatus!E$2:E1000)), (isblank(SmartStatus!F$2:F1000)) + (((Q115 &lt;&gt; """") * (Q115 &lt; SmartStatus!F$2:F1000)) + ((P115 &lt;&gt; """") * (date(year(P115) + 3, month(P"&amp;"115), day(P115)) &lt; SmartStatus!F$2:F1000))), (isblank(SmartStatus!G$2:G1000)) + (((Q115 &lt;&gt; """") * (Q115 &gt;= SmartStatus!G$2:G1000)) + ((P115 &lt;&gt; """") * (P115 &gt;= SmartStatus!G$2:G1000)))), if(or(regexmatch(B115, ""(?i)^ir [a-z]+ designation$""), N115 &lt;&gt; """&amp;"""), 1, 2))), """"), ""NO_MATCH"")"),"")</f>
        <v/>
      </c>
      <c r="AS115" s="11"/>
      <c r="AT115" s="15"/>
      <c r="AU115" s="11"/>
      <c r="AV115" s="11"/>
      <c r="AW115" s="15"/>
      <c r="AX115" s="15"/>
      <c r="AY115" s="15"/>
      <c r="AZ115" s="11"/>
      <c r="BA115" s="15"/>
      <c r="BB115" s="11"/>
      <c r="BC115" s="11"/>
      <c r="BD115" s="15"/>
      <c r="BE115" s="11"/>
      <c r="BF115" s="11"/>
      <c r="BG115" s="15"/>
      <c r="BH115" s="15"/>
      <c r="BI115" s="15"/>
      <c r="BJ115" s="11"/>
      <c r="BK115" s="15"/>
      <c r="BL115" s="11"/>
      <c r="BM115" s="11"/>
      <c r="BN115" s="15"/>
      <c r="BO115" s="11"/>
      <c r="BP115" s="11"/>
      <c r="BQ115" s="15"/>
      <c r="BR115" s="15"/>
      <c r="BS115" s="15"/>
      <c r="BT115" s="11"/>
      <c r="BU115" s="15"/>
      <c r="BV115" s="11"/>
      <c r="BW115" s="11"/>
      <c r="BX115" s="15"/>
      <c r="BY115" s="11"/>
      <c r="BZ115" s="11"/>
      <c r="CA115" s="15"/>
      <c r="CB115" s="11"/>
      <c r="CC115" s="15"/>
      <c r="CD115" s="11"/>
      <c r="CE115" s="15"/>
      <c r="CF115" s="11"/>
      <c r="CG115" s="11"/>
      <c r="CH115" s="15"/>
      <c r="CI115" s="11"/>
      <c r="CJ115" s="11"/>
      <c r="CK115" s="15"/>
      <c r="CL115" s="11"/>
      <c r="CM115" s="11"/>
      <c r="CN115" s="11"/>
      <c r="CO115" s="11"/>
      <c r="CP115" s="28"/>
      <c r="CQ115" s="28"/>
      <c r="CR115" s="11"/>
      <c r="CS115" s="29"/>
      <c r="CT115" s="11"/>
      <c r="CU115" s="11"/>
      <c r="CV115" s="11"/>
      <c r="CW115" s="11"/>
      <c r="CX115" s="11"/>
      <c r="CY115" s="11"/>
      <c r="CZ115" s="11"/>
      <c r="DA115" s="28"/>
      <c r="DB115" s="28"/>
      <c r="DC115" s="11"/>
      <c r="DD115" s="29"/>
      <c r="DE115" s="11"/>
      <c r="DF115" s="11"/>
      <c r="DG115" s="11"/>
      <c r="DH115" s="11"/>
      <c r="DI115" s="11"/>
      <c r="DJ115" s="11"/>
      <c r="DK115" s="26"/>
      <c r="DL115" s="11"/>
      <c r="DM115" s="29"/>
      <c r="DN115" s="28"/>
      <c r="DO115" s="11"/>
      <c r="DP115" s="11"/>
      <c r="DQ115" s="11"/>
      <c r="DR115" s="29"/>
      <c r="DS115" s="28"/>
      <c r="DT115" s="11"/>
      <c r="DU115" s="26"/>
      <c r="DV115" s="11"/>
      <c r="DW115" s="29"/>
      <c r="DX115" s="28"/>
      <c r="DY115" s="11"/>
      <c r="DZ115" s="26"/>
      <c r="EA115" s="11"/>
      <c r="EB115" s="29"/>
      <c r="EC115" s="28"/>
      <c r="ED115" s="30"/>
      <c r="EE115" s="30" t="str">
        <f ca="1">IFERROR(__xludf.DUMMYFUNCTION("iferror(index(filter('Internal -- Trademark Countries'!E$2:E1000, (AM115 = 'Internal -- Trademark Countries'!B$2:B1000) + (AM115 = 'Internal -- Trademark Countries'!C$2:C1000) + (AM115 = 'Internal -- Trademark Countries'!D$2:D1000)), 1))"),"")</f>
        <v/>
      </c>
      <c r="EF115" s="30" t="e">
        <f ca="1">_xludf.ifs(AM115="", "", COUNTIF('Internal -- Trademark Countries'!B:B,AM115) &gt; 0, "polity_shortest_name", COUNTIF('Internal -- Trademark Countries'!C:C,AM115) &gt; 0, "polity_full_name", COUNTIF('Internal -- Trademark Countries'!D:D,AM115) &gt; 0, "polity_common_name", COUNTIF('Internal -- Trademark Countries'!E:E,AM115) &gt; 0, "shortest_name", COUNTIF('Internal -- Trademark Countries'!A:A,AM115) &gt; 0, "full_name", TRUE, "not a match")</f>
        <v>#NAME?</v>
      </c>
      <c r="EG115" s="30"/>
      <c r="EH115" s="30"/>
      <c r="EI115" s="30"/>
      <c r="EJ115" s="30"/>
      <c r="EK115" s="30" t="str">
        <f t="shared" si="2"/>
        <v/>
      </c>
    </row>
    <row r="116" spans="1:141" ht="16.5">
      <c r="A116" s="11"/>
      <c r="B116" s="11"/>
      <c r="C116" s="11"/>
      <c r="D116" s="11"/>
      <c r="E116" s="11"/>
      <c r="F116" s="11"/>
      <c r="G116" s="11"/>
      <c r="H116" s="11"/>
      <c r="I116" s="11"/>
      <c r="J116" s="11"/>
      <c r="K116" s="27"/>
      <c r="L116" s="11"/>
      <c r="M116" s="11"/>
      <c r="N116" s="11"/>
      <c r="O116" s="11"/>
      <c r="P116" s="15"/>
      <c r="Q116" s="15"/>
      <c r="R116" s="15"/>
      <c r="S116" s="15"/>
      <c r="T116" s="15"/>
      <c r="U116" s="15"/>
      <c r="V116" s="15"/>
      <c r="W116" s="47"/>
      <c r="X116" s="11"/>
      <c r="Y116" s="48"/>
      <c r="Z116" s="11"/>
      <c r="AA116" s="48"/>
      <c r="AB116" s="11"/>
      <c r="AC116" s="48"/>
      <c r="AD116" s="11"/>
      <c r="AE116" s="47"/>
      <c r="AF116" s="11"/>
      <c r="AG116" s="48"/>
      <c r="AH116" s="11"/>
      <c r="AI116" s="48"/>
      <c r="AJ116" s="11"/>
      <c r="AK116" s="48"/>
      <c r="AL116" s="11"/>
      <c r="AM116" s="49"/>
      <c r="AN116" s="49"/>
      <c r="AO116" s="11"/>
      <c r="AP116" s="11"/>
      <c r="AQ116" s="28" t="b">
        <f>IF(COUNTIF(SmartStatus!A$2:A1000, AM116) &gt; 2, TRUE, FALSE)</f>
        <v>0</v>
      </c>
      <c r="AR116" s="29" t="str">
        <f ca="1">IFERROR(__xludf.DUMMYFUNCTION("iferror(if(regexmatch(AO116, ""(?i)^registered""), if(EE116 &lt;&gt; ""polity_shortest_name"", ""CHECK_POLITY"", index(filter(SmartStatus!B$2:B1000, AM116 = SmartStatus!A$2:A1000, not(SmartStatus!C$2:C1000), (isblank(SmartStatus!D$2:D1000)) + ((P116 &lt;&gt; """") * "&amp;"(P116 &lt; SmartStatus!D$2:D1000)), (isblank(SmartStatus!E$2:E1000)) + ((P116 &lt;&gt; """") * (P116 &gt;= SmartStatus!E$2:E1000)), (isblank(SmartStatus!F$2:F1000)) + (((Q116 &lt;&gt; """") * (Q116 &lt; SmartStatus!F$2:F1000)) + ((P116 &lt;&gt; """") * (date(year(P116) + 3, month(P"&amp;"116), day(P116)) &lt; SmartStatus!F$2:F1000))), (isblank(SmartStatus!G$2:G1000)) + (((Q116 &lt;&gt; """") * (Q116 &gt;= SmartStatus!G$2:G1000)) + ((P116 &lt;&gt; """") * (P116 &gt;= SmartStatus!G$2:G1000)))), if(or(regexmatch(B116, ""(?i)^ir [a-z]+ designation$""), N116 &lt;&gt; """&amp;"""), 1, 2))), """"), ""NO_MATCH"")"),"")</f>
        <v/>
      </c>
      <c r="AS116" s="11"/>
      <c r="AT116" s="15"/>
      <c r="AU116" s="11"/>
      <c r="AV116" s="11"/>
      <c r="AW116" s="15"/>
      <c r="AX116" s="15"/>
      <c r="AY116" s="15"/>
      <c r="AZ116" s="11"/>
      <c r="BA116" s="15"/>
      <c r="BB116" s="11"/>
      <c r="BC116" s="11"/>
      <c r="BD116" s="15"/>
      <c r="BE116" s="11"/>
      <c r="BF116" s="11"/>
      <c r="BG116" s="15"/>
      <c r="BH116" s="15"/>
      <c r="BI116" s="15"/>
      <c r="BJ116" s="11"/>
      <c r="BK116" s="15"/>
      <c r="BL116" s="11"/>
      <c r="BM116" s="11"/>
      <c r="BN116" s="15"/>
      <c r="BO116" s="11"/>
      <c r="BP116" s="11"/>
      <c r="BQ116" s="15"/>
      <c r="BR116" s="15"/>
      <c r="BS116" s="15"/>
      <c r="BT116" s="11"/>
      <c r="BU116" s="15"/>
      <c r="BV116" s="11"/>
      <c r="BW116" s="11"/>
      <c r="BX116" s="15"/>
      <c r="BY116" s="11"/>
      <c r="BZ116" s="11"/>
      <c r="CA116" s="15"/>
      <c r="CB116" s="11"/>
      <c r="CC116" s="15"/>
      <c r="CD116" s="11"/>
      <c r="CE116" s="15"/>
      <c r="CF116" s="11"/>
      <c r="CG116" s="11"/>
      <c r="CH116" s="15"/>
      <c r="CI116" s="11"/>
      <c r="CJ116" s="11"/>
      <c r="CK116" s="15"/>
      <c r="CL116" s="11"/>
      <c r="CM116" s="11"/>
      <c r="CN116" s="11"/>
      <c r="CO116" s="11"/>
      <c r="CP116" s="28"/>
      <c r="CQ116" s="28"/>
      <c r="CR116" s="11"/>
      <c r="CS116" s="29"/>
      <c r="CT116" s="11"/>
      <c r="CU116" s="11"/>
      <c r="CV116" s="11"/>
      <c r="CW116" s="11"/>
      <c r="CX116" s="11"/>
      <c r="CY116" s="11"/>
      <c r="CZ116" s="11"/>
      <c r="DA116" s="28"/>
      <c r="DB116" s="28"/>
      <c r="DC116" s="11"/>
      <c r="DD116" s="29"/>
      <c r="DE116" s="11"/>
      <c r="DF116" s="11"/>
      <c r="DG116" s="11"/>
      <c r="DH116" s="11"/>
      <c r="DI116" s="11"/>
      <c r="DJ116" s="11"/>
      <c r="DK116" s="26"/>
      <c r="DL116" s="11"/>
      <c r="DM116" s="29"/>
      <c r="DN116" s="28"/>
      <c r="DO116" s="11"/>
      <c r="DP116" s="11"/>
      <c r="DQ116" s="11"/>
      <c r="DR116" s="29"/>
      <c r="DS116" s="28"/>
      <c r="DT116" s="11"/>
      <c r="DU116" s="26"/>
      <c r="DV116" s="11"/>
      <c r="DW116" s="29"/>
      <c r="DX116" s="28"/>
      <c r="DY116" s="11"/>
      <c r="DZ116" s="26"/>
      <c r="EA116" s="11"/>
      <c r="EB116" s="29"/>
      <c r="EC116" s="28"/>
      <c r="ED116" s="30"/>
      <c r="EE116" s="30" t="str">
        <f ca="1">IFERROR(__xludf.DUMMYFUNCTION("iferror(index(filter('Internal -- Trademark Countries'!E$2:E1000, (AM116 = 'Internal -- Trademark Countries'!B$2:B1000) + (AM116 = 'Internal -- Trademark Countries'!C$2:C1000) + (AM116 = 'Internal -- Trademark Countries'!D$2:D1000)), 1))"),"")</f>
        <v/>
      </c>
      <c r="EF116" s="30" t="e">
        <f ca="1">_xludf.ifs(AM116="", "", COUNTIF('Internal -- Trademark Countries'!B:B,AM116) &gt; 0, "polity_shortest_name", COUNTIF('Internal -- Trademark Countries'!C:C,AM116) &gt; 0, "polity_full_name", COUNTIF('Internal -- Trademark Countries'!D:D,AM116) &gt; 0, "polity_common_name", COUNTIF('Internal -- Trademark Countries'!E:E,AM116) &gt; 0, "shortest_name", COUNTIF('Internal -- Trademark Countries'!A:A,AM116) &gt; 0, "full_name", TRUE, "not a match")</f>
        <v>#NAME?</v>
      </c>
      <c r="EG116" s="30"/>
      <c r="EH116" s="30"/>
      <c r="EI116" s="30"/>
      <c r="EJ116" s="30"/>
      <c r="EK116" s="30" t="str">
        <f t="shared" si="2"/>
        <v/>
      </c>
    </row>
    <row r="117" spans="1:141" ht="16.5">
      <c r="A117" s="11"/>
      <c r="B117" s="11"/>
      <c r="C117" s="11"/>
      <c r="D117" s="11"/>
      <c r="E117" s="11"/>
      <c r="F117" s="11"/>
      <c r="G117" s="11"/>
      <c r="H117" s="11"/>
      <c r="I117" s="11"/>
      <c r="J117" s="11"/>
      <c r="K117" s="27"/>
      <c r="L117" s="11"/>
      <c r="M117" s="11"/>
      <c r="N117" s="11"/>
      <c r="O117" s="11"/>
      <c r="P117" s="15"/>
      <c r="Q117" s="15"/>
      <c r="R117" s="15"/>
      <c r="S117" s="15"/>
      <c r="T117" s="15"/>
      <c r="U117" s="15"/>
      <c r="V117" s="15"/>
      <c r="W117" s="47"/>
      <c r="X117" s="11"/>
      <c r="Y117" s="48"/>
      <c r="Z117" s="11"/>
      <c r="AA117" s="48"/>
      <c r="AB117" s="11"/>
      <c r="AC117" s="48"/>
      <c r="AD117" s="11"/>
      <c r="AE117" s="47"/>
      <c r="AF117" s="11"/>
      <c r="AG117" s="48"/>
      <c r="AH117" s="11"/>
      <c r="AI117" s="48"/>
      <c r="AJ117" s="11"/>
      <c r="AK117" s="48"/>
      <c r="AL117" s="11"/>
      <c r="AM117" s="49"/>
      <c r="AN117" s="49"/>
      <c r="AO117" s="11"/>
      <c r="AP117" s="11"/>
      <c r="AQ117" s="28" t="b">
        <f>IF(COUNTIF(SmartStatus!A$2:A1000, AM117) &gt; 2, TRUE, FALSE)</f>
        <v>0</v>
      </c>
      <c r="AR117" s="29" t="str">
        <f ca="1">IFERROR(__xludf.DUMMYFUNCTION("iferror(if(regexmatch(AO117, ""(?i)^registered""), if(EE117 &lt;&gt; ""polity_shortest_name"", ""CHECK_POLITY"", index(filter(SmartStatus!B$2:B1000, AM117 = SmartStatus!A$2:A1000, not(SmartStatus!C$2:C1000), (isblank(SmartStatus!D$2:D1000)) + ((P117 &lt;&gt; """") * "&amp;"(P117 &lt; SmartStatus!D$2:D1000)), (isblank(SmartStatus!E$2:E1000)) + ((P117 &lt;&gt; """") * (P117 &gt;= SmartStatus!E$2:E1000)), (isblank(SmartStatus!F$2:F1000)) + (((Q117 &lt;&gt; """") * (Q117 &lt; SmartStatus!F$2:F1000)) + ((P117 &lt;&gt; """") * (date(year(P117) + 3, month(P"&amp;"117), day(P117)) &lt; SmartStatus!F$2:F1000))), (isblank(SmartStatus!G$2:G1000)) + (((Q117 &lt;&gt; """") * (Q117 &gt;= SmartStatus!G$2:G1000)) + ((P117 &lt;&gt; """") * (P117 &gt;= SmartStatus!G$2:G1000)))), if(or(regexmatch(B117, ""(?i)^ir [a-z]+ designation$""), N117 &lt;&gt; """&amp;"""), 1, 2))), """"), ""NO_MATCH"")"),"")</f>
        <v/>
      </c>
      <c r="AS117" s="11"/>
      <c r="AT117" s="15"/>
      <c r="AU117" s="11"/>
      <c r="AV117" s="11"/>
      <c r="AW117" s="15"/>
      <c r="AX117" s="15"/>
      <c r="AY117" s="15"/>
      <c r="AZ117" s="11"/>
      <c r="BA117" s="15"/>
      <c r="BB117" s="11"/>
      <c r="BC117" s="11"/>
      <c r="BD117" s="15"/>
      <c r="BE117" s="11"/>
      <c r="BF117" s="11"/>
      <c r="BG117" s="15"/>
      <c r="BH117" s="15"/>
      <c r="BI117" s="15"/>
      <c r="BJ117" s="11"/>
      <c r="BK117" s="15"/>
      <c r="BL117" s="11"/>
      <c r="BM117" s="11"/>
      <c r="BN117" s="15"/>
      <c r="BO117" s="11"/>
      <c r="BP117" s="11"/>
      <c r="BQ117" s="15"/>
      <c r="BR117" s="15"/>
      <c r="BS117" s="15"/>
      <c r="BT117" s="11"/>
      <c r="BU117" s="15"/>
      <c r="BV117" s="11"/>
      <c r="BW117" s="11"/>
      <c r="BX117" s="15"/>
      <c r="BY117" s="11"/>
      <c r="BZ117" s="11"/>
      <c r="CA117" s="15"/>
      <c r="CB117" s="11"/>
      <c r="CC117" s="15"/>
      <c r="CD117" s="11"/>
      <c r="CE117" s="15"/>
      <c r="CF117" s="11"/>
      <c r="CG117" s="11"/>
      <c r="CH117" s="15"/>
      <c r="CI117" s="11"/>
      <c r="CJ117" s="11"/>
      <c r="CK117" s="15"/>
      <c r="CL117" s="11"/>
      <c r="CM117" s="11"/>
      <c r="CN117" s="11"/>
      <c r="CO117" s="11"/>
      <c r="CP117" s="28"/>
      <c r="CQ117" s="28"/>
      <c r="CR117" s="11"/>
      <c r="CS117" s="29"/>
      <c r="CT117" s="11"/>
      <c r="CU117" s="11"/>
      <c r="CV117" s="11"/>
      <c r="CW117" s="11"/>
      <c r="CX117" s="11"/>
      <c r="CY117" s="11"/>
      <c r="CZ117" s="11"/>
      <c r="DA117" s="28"/>
      <c r="DB117" s="28"/>
      <c r="DC117" s="11"/>
      <c r="DD117" s="29"/>
      <c r="DE117" s="11"/>
      <c r="DF117" s="11"/>
      <c r="DG117" s="11"/>
      <c r="DH117" s="11"/>
      <c r="DI117" s="11"/>
      <c r="DJ117" s="11"/>
      <c r="DK117" s="26"/>
      <c r="DL117" s="11"/>
      <c r="DM117" s="29"/>
      <c r="DN117" s="28"/>
      <c r="DO117" s="11"/>
      <c r="DP117" s="11"/>
      <c r="DQ117" s="11"/>
      <c r="DR117" s="29"/>
      <c r="DS117" s="28"/>
      <c r="DT117" s="11"/>
      <c r="DU117" s="26"/>
      <c r="DV117" s="11"/>
      <c r="DW117" s="29"/>
      <c r="DX117" s="28"/>
      <c r="DY117" s="11"/>
      <c r="DZ117" s="26"/>
      <c r="EA117" s="11"/>
      <c r="EB117" s="29"/>
      <c r="EC117" s="28"/>
      <c r="ED117" s="30"/>
      <c r="EE117" s="30" t="str">
        <f ca="1">IFERROR(__xludf.DUMMYFUNCTION("iferror(index(filter('Internal -- Trademark Countries'!E$2:E1000, (AM117 = 'Internal -- Trademark Countries'!B$2:B1000) + (AM117 = 'Internal -- Trademark Countries'!C$2:C1000) + (AM117 = 'Internal -- Trademark Countries'!D$2:D1000)), 1))"),"")</f>
        <v/>
      </c>
      <c r="EF117" s="30" t="e">
        <f ca="1">_xludf.ifs(AM117="", "", COUNTIF('Internal -- Trademark Countries'!B:B,AM117) &gt; 0, "polity_shortest_name", COUNTIF('Internal -- Trademark Countries'!C:C,AM117) &gt; 0, "polity_full_name", COUNTIF('Internal -- Trademark Countries'!D:D,AM117) &gt; 0, "polity_common_name", COUNTIF('Internal -- Trademark Countries'!E:E,AM117) &gt; 0, "shortest_name", COUNTIF('Internal -- Trademark Countries'!A:A,AM117) &gt; 0, "full_name", TRUE, "not a match")</f>
        <v>#NAME?</v>
      </c>
      <c r="EG117" s="30"/>
      <c r="EH117" s="30"/>
      <c r="EI117" s="30"/>
      <c r="EJ117" s="30"/>
      <c r="EK117" s="30" t="str">
        <f t="shared" si="2"/>
        <v/>
      </c>
    </row>
    <row r="118" spans="1:141" ht="16.5">
      <c r="A118" s="11"/>
      <c r="B118" s="11"/>
      <c r="C118" s="11"/>
      <c r="D118" s="11"/>
      <c r="E118" s="11"/>
      <c r="F118" s="11"/>
      <c r="G118" s="11"/>
      <c r="H118" s="11"/>
      <c r="I118" s="11"/>
      <c r="J118" s="11"/>
      <c r="K118" s="27"/>
      <c r="L118" s="11"/>
      <c r="M118" s="11"/>
      <c r="N118" s="11"/>
      <c r="O118" s="11"/>
      <c r="P118" s="15"/>
      <c r="Q118" s="15"/>
      <c r="R118" s="15"/>
      <c r="S118" s="15"/>
      <c r="T118" s="15"/>
      <c r="U118" s="15"/>
      <c r="V118" s="15"/>
      <c r="W118" s="47"/>
      <c r="X118" s="11"/>
      <c r="Y118" s="48"/>
      <c r="Z118" s="11"/>
      <c r="AA118" s="48"/>
      <c r="AB118" s="11"/>
      <c r="AC118" s="48"/>
      <c r="AD118" s="11"/>
      <c r="AE118" s="47"/>
      <c r="AF118" s="11"/>
      <c r="AG118" s="48"/>
      <c r="AH118" s="11"/>
      <c r="AI118" s="48"/>
      <c r="AJ118" s="11"/>
      <c r="AK118" s="48"/>
      <c r="AL118" s="11"/>
      <c r="AM118" s="49"/>
      <c r="AN118" s="49"/>
      <c r="AO118" s="11"/>
      <c r="AP118" s="11"/>
      <c r="AQ118" s="28" t="b">
        <f>IF(COUNTIF(SmartStatus!A$2:A1000, AM118) &gt; 2, TRUE, FALSE)</f>
        <v>0</v>
      </c>
      <c r="AR118" s="29" t="str">
        <f ca="1">IFERROR(__xludf.DUMMYFUNCTION("iferror(if(regexmatch(AO118, ""(?i)^registered""), if(EE118 &lt;&gt; ""polity_shortest_name"", ""CHECK_POLITY"", index(filter(SmartStatus!B$2:B1000, AM118 = SmartStatus!A$2:A1000, not(SmartStatus!C$2:C1000), (isblank(SmartStatus!D$2:D1000)) + ((P118 &lt;&gt; """") * "&amp;"(P118 &lt; SmartStatus!D$2:D1000)), (isblank(SmartStatus!E$2:E1000)) + ((P118 &lt;&gt; """") * (P118 &gt;= SmartStatus!E$2:E1000)), (isblank(SmartStatus!F$2:F1000)) + (((Q118 &lt;&gt; """") * (Q118 &lt; SmartStatus!F$2:F1000)) + ((P118 &lt;&gt; """") * (date(year(P118) + 3, month(P"&amp;"118), day(P118)) &lt; SmartStatus!F$2:F1000))), (isblank(SmartStatus!G$2:G1000)) + (((Q118 &lt;&gt; """") * (Q118 &gt;= SmartStatus!G$2:G1000)) + ((P118 &lt;&gt; """") * (P118 &gt;= SmartStatus!G$2:G1000)))), if(or(regexmatch(B118, ""(?i)^ir [a-z]+ designation$""), N118 &lt;&gt; """&amp;"""), 1, 2))), """"), ""NO_MATCH"")"),"")</f>
        <v/>
      </c>
      <c r="AS118" s="11"/>
      <c r="AT118" s="15"/>
      <c r="AU118" s="11"/>
      <c r="AV118" s="11"/>
      <c r="AW118" s="15"/>
      <c r="AX118" s="15"/>
      <c r="AY118" s="15"/>
      <c r="AZ118" s="11"/>
      <c r="BA118" s="15"/>
      <c r="BB118" s="11"/>
      <c r="BC118" s="11"/>
      <c r="BD118" s="15"/>
      <c r="BE118" s="11"/>
      <c r="BF118" s="11"/>
      <c r="BG118" s="15"/>
      <c r="BH118" s="15"/>
      <c r="BI118" s="15"/>
      <c r="BJ118" s="11"/>
      <c r="BK118" s="15"/>
      <c r="BL118" s="11"/>
      <c r="BM118" s="11"/>
      <c r="BN118" s="15"/>
      <c r="BO118" s="11"/>
      <c r="BP118" s="11"/>
      <c r="BQ118" s="15"/>
      <c r="BR118" s="15"/>
      <c r="BS118" s="15"/>
      <c r="BT118" s="11"/>
      <c r="BU118" s="15"/>
      <c r="BV118" s="11"/>
      <c r="BW118" s="11"/>
      <c r="BX118" s="15"/>
      <c r="BY118" s="11"/>
      <c r="BZ118" s="11"/>
      <c r="CA118" s="15"/>
      <c r="CB118" s="11"/>
      <c r="CC118" s="15"/>
      <c r="CD118" s="11"/>
      <c r="CE118" s="15"/>
      <c r="CF118" s="11"/>
      <c r="CG118" s="11"/>
      <c r="CH118" s="15"/>
      <c r="CI118" s="11"/>
      <c r="CJ118" s="11"/>
      <c r="CK118" s="15"/>
      <c r="CL118" s="11"/>
      <c r="CM118" s="11"/>
      <c r="CN118" s="11"/>
      <c r="CO118" s="11"/>
      <c r="CP118" s="28"/>
      <c r="CQ118" s="28"/>
      <c r="CR118" s="11"/>
      <c r="CS118" s="29"/>
      <c r="CT118" s="11"/>
      <c r="CU118" s="11"/>
      <c r="CV118" s="11"/>
      <c r="CW118" s="11"/>
      <c r="CX118" s="11"/>
      <c r="CY118" s="11"/>
      <c r="CZ118" s="11"/>
      <c r="DA118" s="28"/>
      <c r="DB118" s="28"/>
      <c r="DC118" s="11"/>
      <c r="DD118" s="29"/>
      <c r="DE118" s="11"/>
      <c r="DF118" s="11"/>
      <c r="DG118" s="11"/>
      <c r="DH118" s="11"/>
      <c r="DI118" s="11"/>
      <c r="DJ118" s="11"/>
      <c r="DK118" s="26"/>
      <c r="DL118" s="11"/>
      <c r="DM118" s="29"/>
      <c r="DN118" s="28"/>
      <c r="DO118" s="11"/>
      <c r="DP118" s="11"/>
      <c r="DQ118" s="11"/>
      <c r="DR118" s="29"/>
      <c r="DS118" s="28"/>
      <c r="DT118" s="11"/>
      <c r="DU118" s="26"/>
      <c r="DV118" s="11"/>
      <c r="DW118" s="29"/>
      <c r="DX118" s="28"/>
      <c r="DY118" s="11"/>
      <c r="DZ118" s="26"/>
      <c r="EA118" s="11"/>
      <c r="EB118" s="29"/>
      <c r="EC118" s="28"/>
      <c r="ED118" s="30"/>
      <c r="EE118" s="30" t="str">
        <f ca="1">IFERROR(__xludf.DUMMYFUNCTION("iferror(index(filter('Internal -- Trademark Countries'!E$2:E1000, (AM118 = 'Internal -- Trademark Countries'!B$2:B1000) + (AM118 = 'Internal -- Trademark Countries'!C$2:C1000) + (AM118 = 'Internal -- Trademark Countries'!D$2:D1000)), 1))"),"")</f>
        <v/>
      </c>
      <c r="EF118" s="30" t="e">
        <f ca="1">_xludf.ifs(AM118="", "", COUNTIF('Internal -- Trademark Countries'!B:B,AM118) &gt; 0, "polity_shortest_name", COUNTIF('Internal -- Trademark Countries'!C:C,AM118) &gt; 0, "polity_full_name", COUNTIF('Internal -- Trademark Countries'!D:D,AM118) &gt; 0, "polity_common_name", COUNTIF('Internal -- Trademark Countries'!E:E,AM118) &gt; 0, "shortest_name", COUNTIF('Internal -- Trademark Countries'!A:A,AM118) &gt; 0, "full_name", TRUE, "not a match")</f>
        <v>#NAME?</v>
      </c>
      <c r="EG118" s="30"/>
      <c r="EH118" s="30"/>
      <c r="EI118" s="30"/>
      <c r="EJ118" s="30"/>
      <c r="EK118" s="30" t="str">
        <f t="shared" si="2"/>
        <v/>
      </c>
    </row>
    <row r="119" spans="1:141" ht="16.5">
      <c r="A119" s="11"/>
      <c r="B119" s="11"/>
      <c r="C119" s="11"/>
      <c r="D119" s="11"/>
      <c r="E119" s="11"/>
      <c r="F119" s="11"/>
      <c r="G119" s="11"/>
      <c r="H119" s="11"/>
      <c r="I119" s="11"/>
      <c r="J119" s="11"/>
      <c r="K119" s="27"/>
      <c r="L119" s="11"/>
      <c r="M119" s="11"/>
      <c r="N119" s="11"/>
      <c r="O119" s="11"/>
      <c r="P119" s="15"/>
      <c r="Q119" s="15"/>
      <c r="R119" s="15"/>
      <c r="S119" s="15"/>
      <c r="T119" s="15"/>
      <c r="U119" s="15"/>
      <c r="V119" s="15"/>
      <c r="W119" s="47"/>
      <c r="X119" s="11"/>
      <c r="Y119" s="48"/>
      <c r="Z119" s="11"/>
      <c r="AA119" s="48"/>
      <c r="AB119" s="11"/>
      <c r="AC119" s="48"/>
      <c r="AD119" s="11"/>
      <c r="AE119" s="47"/>
      <c r="AF119" s="11"/>
      <c r="AG119" s="48"/>
      <c r="AH119" s="11"/>
      <c r="AI119" s="48"/>
      <c r="AJ119" s="11"/>
      <c r="AK119" s="48"/>
      <c r="AL119" s="11"/>
      <c r="AM119" s="49"/>
      <c r="AN119" s="49"/>
      <c r="AO119" s="11"/>
      <c r="AP119" s="11"/>
      <c r="AQ119" s="28" t="b">
        <f>IF(COUNTIF(SmartStatus!A$2:A1000, AM119) &gt; 2, TRUE, FALSE)</f>
        <v>0</v>
      </c>
      <c r="AR119" s="29" t="str">
        <f ca="1">IFERROR(__xludf.DUMMYFUNCTION("iferror(if(regexmatch(AO119, ""(?i)^registered""), if(EE119 &lt;&gt; ""polity_shortest_name"", ""CHECK_POLITY"", index(filter(SmartStatus!B$2:B1000, AM119 = SmartStatus!A$2:A1000, not(SmartStatus!C$2:C1000), (isblank(SmartStatus!D$2:D1000)) + ((P119 &lt;&gt; """") * "&amp;"(P119 &lt; SmartStatus!D$2:D1000)), (isblank(SmartStatus!E$2:E1000)) + ((P119 &lt;&gt; """") * (P119 &gt;= SmartStatus!E$2:E1000)), (isblank(SmartStatus!F$2:F1000)) + (((Q119 &lt;&gt; """") * (Q119 &lt; SmartStatus!F$2:F1000)) + ((P119 &lt;&gt; """") * (date(year(P119) + 3, month(P"&amp;"119), day(P119)) &lt; SmartStatus!F$2:F1000))), (isblank(SmartStatus!G$2:G1000)) + (((Q119 &lt;&gt; """") * (Q119 &gt;= SmartStatus!G$2:G1000)) + ((P119 &lt;&gt; """") * (P119 &gt;= SmartStatus!G$2:G1000)))), if(or(regexmatch(B119, ""(?i)^ir [a-z]+ designation$""), N119 &lt;&gt; """&amp;"""), 1, 2))), """"), ""NO_MATCH"")"),"")</f>
        <v/>
      </c>
      <c r="AS119" s="11"/>
      <c r="AT119" s="15"/>
      <c r="AU119" s="11"/>
      <c r="AV119" s="11"/>
      <c r="AW119" s="15"/>
      <c r="AX119" s="15"/>
      <c r="AY119" s="15"/>
      <c r="AZ119" s="11"/>
      <c r="BA119" s="15"/>
      <c r="BB119" s="11"/>
      <c r="BC119" s="11"/>
      <c r="BD119" s="15"/>
      <c r="BE119" s="11"/>
      <c r="BF119" s="11"/>
      <c r="BG119" s="15"/>
      <c r="BH119" s="15"/>
      <c r="BI119" s="15"/>
      <c r="BJ119" s="11"/>
      <c r="BK119" s="15"/>
      <c r="BL119" s="11"/>
      <c r="BM119" s="11"/>
      <c r="BN119" s="15"/>
      <c r="BO119" s="11"/>
      <c r="BP119" s="11"/>
      <c r="BQ119" s="15"/>
      <c r="BR119" s="15"/>
      <c r="BS119" s="15"/>
      <c r="BT119" s="11"/>
      <c r="BU119" s="15"/>
      <c r="BV119" s="11"/>
      <c r="BW119" s="11"/>
      <c r="BX119" s="15"/>
      <c r="BY119" s="11"/>
      <c r="BZ119" s="11"/>
      <c r="CA119" s="15"/>
      <c r="CB119" s="11"/>
      <c r="CC119" s="15"/>
      <c r="CD119" s="11"/>
      <c r="CE119" s="15"/>
      <c r="CF119" s="11"/>
      <c r="CG119" s="11"/>
      <c r="CH119" s="15"/>
      <c r="CI119" s="11"/>
      <c r="CJ119" s="11"/>
      <c r="CK119" s="15"/>
      <c r="CL119" s="11"/>
      <c r="CM119" s="11"/>
      <c r="CN119" s="11"/>
      <c r="CO119" s="11"/>
      <c r="CP119" s="28"/>
      <c r="CQ119" s="28"/>
      <c r="CR119" s="11"/>
      <c r="CS119" s="29"/>
      <c r="CT119" s="11"/>
      <c r="CU119" s="11"/>
      <c r="CV119" s="11"/>
      <c r="CW119" s="11"/>
      <c r="CX119" s="11"/>
      <c r="CY119" s="11"/>
      <c r="CZ119" s="11"/>
      <c r="DA119" s="28"/>
      <c r="DB119" s="28"/>
      <c r="DC119" s="11"/>
      <c r="DD119" s="29"/>
      <c r="DE119" s="11"/>
      <c r="DF119" s="11"/>
      <c r="DG119" s="11"/>
      <c r="DH119" s="11"/>
      <c r="DI119" s="11"/>
      <c r="DJ119" s="11"/>
      <c r="DK119" s="26"/>
      <c r="DL119" s="11"/>
      <c r="DM119" s="29"/>
      <c r="DN119" s="28"/>
      <c r="DO119" s="11"/>
      <c r="DP119" s="11"/>
      <c r="DQ119" s="11"/>
      <c r="DR119" s="29"/>
      <c r="DS119" s="28"/>
      <c r="DT119" s="11"/>
      <c r="DU119" s="26"/>
      <c r="DV119" s="11"/>
      <c r="DW119" s="29"/>
      <c r="DX119" s="28"/>
      <c r="DY119" s="11"/>
      <c r="DZ119" s="26"/>
      <c r="EA119" s="11"/>
      <c r="EB119" s="29"/>
      <c r="EC119" s="28"/>
      <c r="ED119" s="30"/>
      <c r="EE119" s="30" t="str">
        <f ca="1">IFERROR(__xludf.DUMMYFUNCTION("iferror(index(filter('Internal -- Trademark Countries'!E$2:E1000, (AM119 = 'Internal -- Trademark Countries'!B$2:B1000) + (AM119 = 'Internal -- Trademark Countries'!C$2:C1000) + (AM119 = 'Internal -- Trademark Countries'!D$2:D1000)), 1))"),"")</f>
        <v/>
      </c>
      <c r="EF119" s="30" t="e">
        <f ca="1">_xludf.ifs(AM119="", "", COUNTIF('Internal -- Trademark Countries'!B:B,AM119) &gt; 0, "polity_shortest_name", COUNTIF('Internal -- Trademark Countries'!C:C,AM119) &gt; 0, "polity_full_name", COUNTIF('Internal -- Trademark Countries'!D:D,AM119) &gt; 0, "polity_common_name", COUNTIF('Internal -- Trademark Countries'!E:E,AM119) &gt; 0, "shortest_name", COUNTIF('Internal -- Trademark Countries'!A:A,AM119) &gt; 0, "full_name", TRUE, "not a match")</f>
        <v>#NAME?</v>
      </c>
      <c r="EG119" s="30"/>
      <c r="EH119" s="30"/>
      <c r="EI119" s="30"/>
      <c r="EJ119" s="30"/>
      <c r="EK119" s="30" t="str">
        <f t="shared" si="2"/>
        <v/>
      </c>
    </row>
    <row r="120" spans="1:141" ht="16.5">
      <c r="A120" s="11"/>
      <c r="B120" s="11"/>
      <c r="C120" s="11"/>
      <c r="D120" s="11"/>
      <c r="E120" s="11"/>
      <c r="F120" s="11"/>
      <c r="G120" s="11"/>
      <c r="H120" s="11"/>
      <c r="I120" s="11"/>
      <c r="J120" s="11"/>
      <c r="K120" s="27"/>
      <c r="L120" s="11"/>
      <c r="M120" s="11"/>
      <c r="N120" s="11"/>
      <c r="O120" s="11"/>
      <c r="P120" s="15"/>
      <c r="Q120" s="15"/>
      <c r="R120" s="15"/>
      <c r="S120" s="15"/>
      <c r="T120" s="15"/>
      <c r="U120" s="15"/>
      <c r="V120" s="15"/>
      <c r="W120" s="47"/>
      <c r="X120" s="11"/>
      <c r="Y120" s="48"/>
      <c r="Z120" s="11"/>
      <c r="AA120" s="48"/>
      <c r="AB120" s="11"/>
      <c r="AC120" s="48"/>
      <c r="AD120" s="11"/>
      <c r="AE120" s="47"/>
      <c r="AF120" s="11"/>
      <c r="AG120" s="48"/>
      <c r="AH120" s="11"/>
      <c r="AI120" s="48"/>
      <c r="AJ120" s="11"/>
      <c r="AK120" s="48"/>
      <c r="AL120" s="11"/>
      <c r="AM120" s="49"/>
      <c r="AN120" s="49"/>
      <c r="AO120" s="11"/>
      <c r="AP120" s="11"/>
      <c r="AQ120" s="28" t="b">
        <f>IF(COUNTIF(SmartStatus!A$2:A1000, AM120) &gt; 2, TRUE, FALSE)</f>
        <v>0</v>
      </c>
      <c r="AR120" s="29" t="str">
        <f ca="1">IFERROR(__xludf.DUMMYFUNCTION("iferror(if(regexmatch(AO120, ""(?i)^registered""), if(EE120 &lt;&gt; ""polity_shortest_name"", ""CHECK_POLITY"", index(filter(SmartStatus!B$2:B1000, AM120 = SmartStatus!A$2:A1000, not(SmartStatus!C$2:C1000), (isblank(SmartStatus!D$2:D1000)) + ((P120 &lt;&gt; """") * "&amp;"(P120 &lt; SmartStatus!D$2:D1000)), (isblank(SmartStatus!E$2:E1000)) + ((P120 &lt;&gt; """") * (P120 &gt;= SmartStatus!E$2:E1000)), (isblank(SmartStatus!F$2:F1000)) + (((Q120 &lt;&gt; """") * (Q120 &lt; SmartStatus!F$2:F1000)) + ((P120 &lt;&gt; """") * (date(year(P120) + 3, month(P"&amp;"120), day(P120)) &lt; SmartStatus!F$2:F1000))), (isblank(SmartStatus!G$2:G1000)) + (((Q120 &lt;&gt; """") * (Q120 &gt;= SmartStatus!G$2:G1000)) + ((P120 &lt;&gt; """") * (P120 &gt;= SmartStatus!G$2:G1000)))), if(or(regexmatch(B120, ""(?i)^ir [a-z]+ designation$""), N120 &lt;&gt; """&amp;"""), 1, 2))), """"), ""NO_MATCH"")"),"")</f>
        <v/>
      </c>
      <c r="AS120" s="11"/>
      <c r="AT120" s="15"/>
      <c r="AU120" s="11"/>
      <c r="AV120" s="11"/>
      <c r="AW120" s="15"/>
      <c r="AX120" s="15"/>
      <c r="AY120" s="15"/>
      <c r="AZ120" s="11"/>
      <c r="BA120" s="15"/>
      <c r="BB120" s="11"/>
      <c r="BC120" s="11"/>
      <c r="BD120" s="15"/>
      <c r="BE120" s="11"/>
      <c r="BF120" s="11"/>
      <c r="BG120" s="15"/>
      <c r="BH120" s="15"/>
      <c r="BI120" s="15"/>
      <c r="BJ120" s="11"/>
      <c r="BK120" s="15"/>
      <c r="BL120" s="11"/>
      <c r="BM120" s="11"/>
      <c r="BN120" s="15"/>
      <c r="BO120" s="11"/>
      <c r="BP120" s="11"/>
      <c r="BQ120" s="15"/>
      <c r="BR120" s="15"/>
      <c r="BS120" s="15"/>
      <c r="BT120" s="11"/>
      <c r="BU120" s="15"/>
      <c r="BV120" s="11"/>
      <c r="BW120" s="11"/>
      <c r="BX120" s="15"/>
      <c r="BY120" s="11"/>
      <c r="BZ120" s="11"/>
      <c r="CA120" s="15"/>
      <c r="CB120" s="11"/>
      <c r="CC120" s="15"/>
      <c r="CD120" s="11"/>
      <c r="CE120" s="15"/>
      <c r="CF120" s="11"/>
      <c r="CG120" s="11"/>
      <c r="CH120" s="15"/>
      <c r="CI120" s="11"/>
      <c r="CJ120" s="11"/>
      <c r="CK120" s="15"/>
      <c r="CL120" s="11"/>
      <c r="CM120" s="11"/>
      <c r="CN120" s="11"/>
      <c r="CO120" s="11"/>
      <c r="CP120" s="28"/>
      <c r="CQ120" s="28"/>
      <c r="CR120" s="11"/>
      <c r="CS120" s="29"/>
      <c r="CT120" s="11"/>
      <c r="CU120" s="11"/>
      <c r="CV120" s="11"/>
      <c r="CW120" s="11"/>
      <c r="CX120" s="11"/>
      <c r="CY120" s="11"/>
      <c r="CZ120" s="11"/>
      <c r="DA120" s="28"/>
      <c r="DB120" s="28"/>
      <c r="DC120" s="11"/>
      <c r="DD120" s="29"/>
      <c r="DE120" s="11"/>
      <c r="DF120" s="11"/>
      <c r="DG120" s="11"/>
      <c r="DH120" s="11"/>
      <c r="DI120" s="11"/>
      <c r="DJ120" s="11"/>
      <c r="DK120" s="26"/>
      <c r="DL120" s="11"/>
      <c r="DM120" s="29"/>
      <c r="DN120" s="28"/>
      <c r="DO120" s="11"/>
      <c r="DP120" s="11"/>
      <c r="DQ120" s="11"/>
      <c r="DR120" s="29"/>
      <c r="DS120" s="28"/>
      <c r="DT120" s="11"/>
      <c r="DU120" s="26"/>
      <c r="DV120" s="11"/>
      <c r="DW120" s="29"/>
      <c r="DX120" s="28"/>
      <c r="DY120" s="11"/>
      <c r="DZ120" s="26"/>
      <c r="EA120" s="11"/>
      <c r="EB120" s="29"/>
      <c r="EC120" s="28"/>
      <c r="ED120" s="30"/>
      <c r="EE120" s="30" t="str">
        <f ca="1">IFERROR(__xludf.DUMMYFUNCTION("iferror(index(filter('Internal -- Trademark Countries'!E$2:E1000, (AM120 = 'Internal -- Trademark Countries'!B$2:B1000) + (AM120 = 'Internal -- Trademark Countries'!C$2:C1000) + (AM120 = 'Internal -- Trademark Countries'!D$2:D1000)), 1))"),"")</f>
        <v/>
      </c>
      <c r="EF120" s="30" t="e">
        <f ca="1">_xludf.ifs(AM120="", "", COUNTIF('Internal -- Trademark Countries'!B:B,AM120) &gt; 0, "polity_shortest_name", COUNTIF('Internal -- Trademark Countries'!C:C,AM120) &gt; 0, "polity_full_name", COUNTIF('Internal -- Trademark Countries'!D:D,AM120) &gt; 0, "polity_common_name", COUNTIF('Internal -- Trademark Countries'!E:E,AM120) &gt; 0, "shortest_name", COUNTIF('Internal -- Trademark Countries'!A:A,AM120) &gt; 0, "full_name", TRUE, "not a match")</f>
        <v>#NAME?</v>
      </c>
      <c r="EG120" s="30"/>
      <c r="EH120" s="30"/>
      <c r="EI120" s="30"/>
      <c r="EJ120" s="30"/>
      <c r="EK120" s="30" t="str">
        <f t="shared" si="2"/>
        <v/>
      </c>
    </row>
    <row r="121" spans="1:141" ht="16.5">
      <c r="A121" s="11"/>
      <c r="B121" s="11"/>
      <c r="C121" s="11"/>
      <c r="D121" s="11"/>
      <c r="E121" s="11"/>
      <c r="F121" s="11"/>
      <c r="G121" s="11"/>
      <c r="H121" s="11"/>
      <c r="I121" s="11"/>
      <c r="J121" s="11"/>
      <c r="K121" s="27"/>
      <c r="L121" s="11"/>
      <c r="M121" s="11"/>
      <c r="N121" s="11"/>
      <c r="O121" s="11"/>
      <c r="P121" s="15"/>
      <c r="Q121" s="15"/>
      <c r="R121" s="15"/>
      <c r="S121" s="15"/>
      <c r="T121" s="15"/>
      <c r="U121" s="15"/>
      <c r="V121" s="15"/>
      <c r="W121" s="47"/>
      <c r="X121" s="11"/>
      <c r="Y121" s="48"/>
      <c r="Z121" s="11"/>
      <c r="AA121" s="48"/>
      <c r="AB121" s="11"/>
      <c r="AC121" s="48"/>
      <c r="AD121" s="11"/>
      <c r="AE121" s="47"/>
      <c r="AF121" s="11"/>
      <c r="AG121" s="48"/>
      <c r="AH121" s="11"/>
      <c r="AI121" s="48"/>
      <c r="AJ121" s="11"/>
      <c r="AK121" s="48"/>
      <c r="AL121" s="11"/>
      <c r="AM121" s="49"/>
      <c r="AN121" s="49"/>
      <c r="AO121" s="11"/>
      <c r="AP121" s="11"/>
      <c r="AQ121" s="28" t="b">
        <f>IF(COUNTIF(SmartStatus!A$2:A1000, AM121) &gt; 2, TRUE, FALSE)</f>
        <v>0</v>
      </c>
      <c r="AR121" s="29" t="str">
        <f ca="1">IFERROR(__xludf.DUMMYFUNCTION("iferror(if(regexmatch(AO121, ""(?i)^registered""), if(EE121 &lt;&gt; ""polity_shortest_name"", ""CHECK_POLITY"", index(filter(SmartStatus!B$2:B1000, AM121 = SmartStatus!A$2:A1000, not(SmartStatus!C$2:C1000), (isblank(SmartStatus!D$2:D1000)) + ((P121 &lt;&gt; """") * "&amp;"(P121 &lt; SmartStatus!D$2:D1000)), (isblank(SmartStatus!E$2:E1000)) + ((P121 &lt;&gt; """") * (P121 &gt;= SmartStatus!E$2:E1000)), (isblank(SmartStatus!F$2:F1000)) + (((Q121 &lt;&gt; """") * (Q121 &lt; SmartStatus!F$2:F1000)) + ((P121 &lt;&gt; """") * (date(year(P121) + 3, month(P"&amp;"121), day(P121)) &lt; SmartStatus!F$2:F1000))), (isblank(SmartStatus!G$2:G1000)) + (((Q121 &lt;&gt; """") * (Q121 &gt;= SmartStatus!G$2:G1000)) + ((P121 &lt;&gt; """") * (P121 &gt;= SmartStatus!G$2:G1000)))), if(or(regexmatch(B121, ""(?i)^ir [a-z]+ designation$""), N121 &lt;&gt; """&amp;"""), 1, 2))), """"), ""NO_MATCH"")"),"")</f>
        <v/>
      </c>
      <c r="AS121" s="11"/>
      <c r="AT121" s="15"/>
      <c r="AU121" s="11"/>
      <c r="AV121" s="11"/>
      <c r="AW121" s="15"/>
      <c r="AX121" s="15"/>
      <c r="AY121" s="15"/>
      <c r="AZ121" s="11"/>
      <c r="BA121" s="15"/>
      <c r="BB121" s="11"/>
      <c r="BC121" s="11"/>
      <c r="BD121" s="15"/>
      <c r="BE121" s="11"/>
      <c r="BF121" s="11"/>
      <c r="BG121" s="15"/>
      <c r="BH121" s="15"/>
      <c r="BI121" s="15"/>
      <c r="BJ121" s="11"/>
      <c r="BK121" s="15"/>
      <c r="BL121" s="11"/>
      <c r="BM121" s="11"/>
      <c r="BN121" s="15"/>
      <c r="BO121" s="11"/>
      <c r="BP121" s="11"/>
      <c r="BQ121" s="15"/>
      <c r="BR121" s="15"/>
      <c r="BS121" s="15"/>
      <c r="BT121" s="11"/>
      <c r="BU121" s="15"/>
      <c r="BV121" s="11"/>
      <c r="BW121" s="11"/>
      <c r="BX121" s="15"/>
      <c r="BY121" s="11"/>
      <c r="BZ121" s="11"/>
      <c r="CA121" s="15"/>
      <c r="CB121" s="11"/>
      <c r="CC121" s="15"/>
      <c r="CD121" s="11"/>
      <c r="CE121" s="15"/>
      <c r="CF121" s="11"/>
      <c r="CG121" s="11"/>
      <c r="CH121" s="15"/>
      <c r="CI121" s="11"/>
      <c r="CJ121" s="11"/>
      <c r="CK121" s="15"/>
      <c r="CL121" s="11"/>
      <c r="CM121" s="11"/>
      <c r="CN121" s="11"/>
      <c r="CO121" s="11"/>
      <c r="CP121" s="28"/>
      <c r="CQ121" s="28"/>
      <c r="CR121" s="11"/>
      <c r="CS121" s="29"/>
      <c r="CT121" s="11"/>
      <c r="CU121" s="11"/>
      <c r="CV121" s="11"/>
      <c r="CW121" s="11"/>
      <c r="CX121" s="11"/>
      <c r="CY121" s="11"/>
      <c r="CZ121" s="11"/>
      <c r="DA121" s="28"/>
      <c r="DB121" s="28"/>
      <c r="DC121" s="11"/>
      <c r="DD121" s="29"/>
      <c r="DE121" s="11"/>
      <c r="DF121" s="11"/>
      <c r="DG121" s="11"/>
      <c r="DH121" s="11"/>
      <c r="DI121" s="11"/>
      <c r="DJ121" s="11"/>
      <c r="DK121" s="26"/>
      <c r="DL121" s="11"/>
      <c r="DM121" s="29"/>
      <c r="DN121" s="28"/>
      <c r="DO121" s="11"/>
      <c r="DP121" s="11"/>
      <c r="DQ121" s="11"/>
      <c r="DR121" s="29"/>
      <c r="DS121" s="28"/>
      <c r="DT121" s="11"/>
      <c r="DU121" s="26"/>
      <c r="DV121" s="11"/>
      <c r="DW121" s="29"/>
      <c r="DX121" s="28"/>
      <c r="DY121" s="11"/>
      <c r="DZ121" s="26"/>
      <c r="EA121" s="11"/>
      <c r="EB121" s="29"/>
      <c r="EC121" s="28"/>
      <c r="ED121" s="30"/>
      <c r="EE121" s="30" t="str">
        <f ca="1">IFERROR(__xludf.DUMMYFUNCTION("iferror(index(filter('Internal -- Trademark Countries'!E$2:E1000, (AM121 = 'Internal -- Trademark Countries'!B$2:B1000) + (AM121 = 'Internal -- Trademark Countries'!C$2:C1000) + (AM121 = 'Internal -- Trademark Countries'!D$2:D1000)), 1))"),"")</f>
        <v/>
      </c>
      <c r="EF121" s="30" t="e">
        <f ca="1">_xludf.ifs(AM121="", "", COUNTIF('Internal -- Trademark Countries'!B:B,AM121) &gt; 0, "polity_shortest_name", COUNTIF('Internal -- Trademark Countries'!C:C,AM121) &gt; 0, "polity_full_name", COUNTIF('Internal -- Trademark Countries'!D:D,AM121) &gt; 0, "polity_common_name", COUNTIF('Internal -- Trademark Countries'!E:E,AM121) &gt; 0, "shortest_name", COUNTIF('Internal -- Trademark Countries'!A:A,AM121) &gt; 0, "full_name", TRUE, "not a match")</f>
        <v>#NAME?</v>
      </c>
      <c r="EG121" s="30"/>
      <c r="EH121" s="30"/>
      <c r="EI121" s="30"/>
      <c r="EJ121" s="30"/>
      <c r="EK121" s="30" t="str">
        <f t="shared" si="2"/>
        <v/>
      </c>
    </row>
    <row r="122" spans="1:141" ht="16.5">
      <c r="A122" s="11"/>
      <c r="B122" s="11"/>
      <c r="C122" s="11"/>
      <c r="D122" s="11"/>
      <c r="E122" s="11"/>
      <c r="F122" s="11"/>
      <c r="G122" s="11"/>
      <c r="H122" s="11"/>
      <c r="I122" s="11"/>
      <c r="J122" s="11"/>
      <c r="K122" s="27"/>
      <c r="L122" s="11"/>
      <c r="M122" s="11"/>
      <c r="N122" s="11"/>
      <c r="O122" s="11"/>
      <c r="P122" s="15"/>
      <c r="Q122" s="15"/>
      <c r="R122" s="15"/>
      <c r="S122" s="15"/>
      <c r="T122" s="15"/>
      <c r="U122" s="15"/>
      <c r="V122" s="15"/>
      <c r="W122" s="47"/>
      <c r="X122" s="11"/>
      <c r="Y122" s="48"/>
      <c r="Z122" s="11"/>
      <c r="AA122" s="48"/>
      <c r="AB122" s="11"/>
      <c r="AC122" s="48"/>
      <c r="AD122" s="11"/>
      <c r="AE122" s="47"/>
      <c r="AF122" s="11"/>
      <c r="AG122" s="48"/>
      <c r="AH122" s="11"/>
      <c r="AI122" s="48"/>
      <c r="AJ122" s="11"/>
      <c r="AK122" s="48"/>
      <c r="AL122" s="11"/>
      <c r="AM122" s="49"/>
      <c r="AN122" s="49"/>
      <c r="AO122" s="11"/>
      <c r="AP122" s="11"/>
      <c r="AQ122" s="28" t="b">
        <f>IF(COUNTIF(SmartStatus!A$2:A1000, AM122) &gt; 2, TRUE, FALSE)</f>
        <v>0</v>
      </c>
      <c r="AR122" s="29" t="str">
        <f ca="1">IFERROR(__xludf.DUMMYFUNCTION("iferror(if(regexmatch(AO122, ""(?i)^registered""), if(EE122 &lt;&gt; ""polity_shortest_name"", ""CHECK_POLITY"", index(filter(SmartStatus!B$2:B1000, AM122 = SmartStatus!A$2:A1000, not(SmartStatus!C$2:C1000), (isblank(SmartStatus!D$2:D1000)) + ((P122 &lt;&gt; """") * "&amp;"(P122 &lt; SmartStatus!D$2:D1000)), (isblank(SmartStatus!E$2:E1000)) + ((P122 &lt;&gt; """") * (P122 &gt;= SmartStatus!E$2:E1000)), (isblank(SmartStatus!F$2:F1000)) + (((Q122 &lt;&gt; """") * (Q122 &lt; SmartStatus!F$2:F1000)) + ((P122 &lt;&gt; """") * (date(year(P122) + 3, month(P"&amp;"122), day(P122)) &lt; SmartStatus!F$2:F1000))), (isblank(SmartStatus!G$2:G1000)) + (((Q122 &lt;&gt; """") * (Q122 &gt;= SmartStatus!G$2:G1000)) + ((P122 &lt;&gt; """") * (P122 &gt;= SmartStatus!G$2:G1000)))), if(or(regexmatch(B122, ""(?i)^ir [a-z]+ designation$""), N122 &lt;&gt; """&amp;"""), 1, 2))), """"), ""NO_MATCH"")"),"")</f>
        <v/>
      </c>
      <c r="AS122" s="11"/>
      <c r="AT122" s="15"/>
      <c r="AU122" s="11"/>
      <c r="AV122" s="11"/>
      <c r="AW122" s="15"/>
      <c r="AX122" s="15"/>
      <c r="AY122" s="15"/>
      <c r="AZ122" s="11"/>
      <c r="BA122" s="15"/>
      <c r="BB122" s="11"/>
      <c r="BC122" s="11"/>
      <c r="BD122" s="15"/>
      <c r="BE122" s="11"/>
      <c r="BF122" s="11"/>
      <c r="BG122" s="15"/>
      <c r="BH122" s="15"/>
      <c r="BI122" s="15"/>
      <c r="BJ122" s="11"/>
      <c r="BK122" s="15"/>
      <c r="BL122" s="11"/>
      <c r="BM122" s="11"/>
      <c r="BN122" s="15"/>
      <c r="BO122" s="11"/>
      <c r="BP122" s="11"/>
      <c r="BQ122" s="15"/>
      <c r="BR122" s="15"/>
      <c r="BS122" s="15"/>
      <c r="BT122" s="11"/>
      <c r="BU122" s="15"/>
      <c r="BV122" s="11"/>
      <c r="BW122" s="11"/>
      <c r="BX122" s="15"/>
      <c r="BY122" s="11"/>
      <c r="BZ122" s="11"/>
      <c r="CA122" s="15"/>
      <c r="CB122" s="11"/>
      <c r="CC122" s="15"/>
      <c r="CD122" s="11"/>
      <c r="CE122" s="15"/>
      <c r="CF122" s="11"/>
      <c r="CG122" s="11"/>
      <c r="CH122" s="15"/>
      <c r="CI122" s="11"/>
      <c r="CJ122" s="11"/>
      <c r="CK122" s="15"/>
      <c r="CL122" s="11"/>
      <c r="CM122" s="11"/>
      <c r="CN122" s="11"/>
      <c r="CO122" s="11"/>
      <c r="CP122" s="28"/>
      <c r="CQ122" s="28"/>
      <c r="CR122" s="11"/>
      <c r="CS122" s="29"/>
      <c r="CT122" s="11"/>
      <c r="CU122" s="11"/>
      <c r="CV122" s="11"/>
      <c r="CW122" s="11"/>
      <c r="CX122" s="11"/>
      <c r="CY122" s="11"/>
      <c r="CZ122" s="11"/>
      <c r="DA122" s="28"/>
      <c r="DB122" s="28"/>
      <c r="DC122" s="11"/>
      <c r="DD122" s="29"/>
      <c r="DE122" s="11"/>
      <c r="DF122" s="11"/>
      <c r="DG122" s="11"/>
      <c r="DH122" s="11"/>
      <c r="DI122" s="11"/>
      <c r="DJ122" s="11"/>
      <c r="DK122" s="26"/>
      <c r="DL122" s="11"/>
      <c r="DM122" s="29"/>
      <c r="DN122" s="28"/>
      <c r="DO122" s="11"/>
      <c r="DP122" s="11"/>
      <c r="DQ122" s="11"/>
      <c r="DR122" s="29"/>
      <c r="DS122" s="28"/>
      <c r="DT122" s="11"/>
      <c r="DU122" s="26"/>
      <c r="DV122" s="11"/>
      <c r="DW122" s="29"/>
      <c r="DX122" s="28"/>
      <c r="DY122" s="11"/>
      <c r="DZ122" s="26"/>
      <c r="EA122" s="11"/>
      <c r="EB122" s="29"/>
      <c r="EC122" s="28"/>
      <c r="ED122" s="30"/>
      <c r="EE122" s="30" t="str">
        <f ca="1">IFERROR(__xludf.DUMMYFUNCTION("iferror(index(filter('Internal -- Trademark Countries'!E$2:E1000, (AM122 = 'Internal -- Trademark Countries'!B$2:B1000) + (AM122 = 'Internal -- Trademark Countries'!C$2:C1000) + (AM122 = 'Internal -- Trademark Countries'!D$2:D1000)), 1))"),"")</f>
        <v/>
      </c>
      <c r="EF122" s="30" t="e">
        <f ca="1">_xludf.ifs(AM122="", "", COUNTIF('Internal -- Trademark Countries'!B:B,AM122) &gt; 0, "polity_shortest_name", COUNTIF('Internal -- Trademark Countries'!C:C,AM122) &gt; 0, "polity_full_name", COUNTIF('Internal -- Trademark Countries'!D:D,AM122) &gt; 0, "polity_common_name", COUNTIF('Internal -- Trademark Countries'!E:E,AM122) &gt; 0, "shortest_name", COUNTIF('Internal -- Trademark Countries'!A:A,AM122) &gt; 0, "full_name", TRUE, "not a match")</f>
        <v>#NAME?</v>
      </c>
      <c r="EG122" s="30"/>
      <c r="EH122" s="30"/>
      <c r="EI122" s="30"/>
      <c r="EJ122" s="30"/>
      <c r="EK122" s="30" t="str">
        <f t="shared" si="2"/>
        <v/>
      </c>
    </row>
    <row r="123" spans="1:141" ht="16.5">
      <c r="A123" s="11"/>
      <c r="B123" s="11"/>
      <c r="C123" s="11"/>
      <c r="D123" s="11"/>
      <c r="E123" s="11"/>
      <c r="F123" s="11"/>
      <c r="G123" s="11"/>
      <c r="H123" s="11"/>
      <c r="I123" s="11"/>
      <c r="J123" s="11"/>
      <c r="K123" s="27"/>
      <c r="L123" s="11"/>
      <c r="M123" s="11"/>
      <c r="N123" s="11"/>
      <c r="O123" s="11"/>
      <c r="P123" s="15"/>
      <c r="Q123" s="15"/>
      <c r="R123" s="15"/>
      <c r="S123" s="15"/>
      <c r="T123" s="15"/>
      <c r="U123" s="15"/>
      <c r="V123" s="15"/>
      <c r="W123" s="47"/>
      <c r="X123" s="11"/>
      <c r="Y123" s="48"/>
      <c r="Z123" s="11"/>
      <c r="AA123" s="48"/>
      <c r="AB123" s="11"/>
      <c r="AC123" s="48"/>
      <c r="AD123" s="11"/>
      <c r="AE123" s="47"/>
      <c r="AF123" s="11"/>
      <c r="AG123" s="48"/>
      <c r="AH123" s="11"/>
      <c r="AI123" s="48"/>
      <c r="AJ123" s="11"/>
      <c r="AK123" s="48"/>
      <c r="AL123" s="11"/>
      <c r="AM123" s="49"/>
      <c r="AN123" s="49"/>
      <c r="AO123" s="11"/>
      <c r="AP123" s="11"/>
      <c r="AQ123" s="28" t="b">
        <f>IF(COUNTIF(SmartStatus!A$2:A1000, AM123) &gt; 2, TRUE, FALSE)</f>
        <v>0</v>
      </c>
      <c r="AR123" s="29" t="str">
        <f ca="1">IFERROR(__xludf.DUMMYFUNCTION("iferror(if(regexmatch(AO123, ""(?i)^registered""), if(EE123 &lt;&gt; ""polity_shortest_name"", ""CHECK_POLITY"", index(filter(SmartStatus!B$2:B1000, AM123 = SmartStatus!A$2:A1000, not(SmartStatus!C$2:C1000), (isblank(SmartStatus!D$2:D1000)) + ((P123 &lt;&gt; """") * "&amp;"(P123 &lt; SmartStatus!D$2:D1000)), (isblank(SmartStatus!E$2:E1000)) + ((P123 &lt;&gt; """") * (P123 &gt;= SmartStatus!E$2:E1000)), (isblank(SmartStatus!F$2:F1000)) + (((Q123 &lt;&gt; """") * (Q123 &lt; SmartStatus!F$2:F1000)) + ((P123 &lt;&gt; """") * (date(year(P123) + 3, month(P"&amp;"123), day(P123)) &lt; SmartStatus!F$2:F1000))), (isblank(SmartStatus!G$2:G1000)) + (((Q123 &lt;&gt; """") * (Q123 &gt;= SmartStatus!G$2:G1000)) + ((P123 &lt;&gt; """") * (P123 &gt;= SmartStatus!G$2:G1000)))), if(or(regexmatch(B123, ""(?i)^ir [a-z]+ designation$""), N123 &lt;&gt; """&amp;"""), 1, 2))), """"), ""NO_MATCH"")"),"")</f>
        <v/>
      </c>
      <c r="AS123" s="11"/>
      <c r="AT123" s="15"/>
      <c r="AU123" s="11"/>
      <c r="AV123" s="11"/>
      <c r="AW123" s="15"/>
      <c r="AX123" s="15"/>
      <c r="AY123" s="15"/>
      <c r="AZ123" s="11"/>
      <c r="BA123" s="15"/>
      <c r="BB123" s="11"/>
      <c r="BC123" s="11"/>
      <c r="BD123" s="15"/>
      <c r="BE123" s="11"/>
      <c r="BF123" s="11"/>
      <c r="BG123" s="15"/>
      <c r="BH123" s="15"/>
      <c r="BI123" s="15"/>
      <c r="BJ123" s="11"/>
      <c r="BK123" s="15"/>
      <c r="BL123" s="11"/>
      <c r="BM123" s="11"/>
      <c r="BN123" s="15"/>
      <c r="BO123" s="11"/>
      <c r="BP123" s="11"/>
      <c r="BQ123" s="15"/>
      <c r="BR123" s="15"/>
      <c r="BS123" s="15"/>
      <c r="BT123" s="11"/>
      <c r="BU123" s="15"/>
      <c r="BV123" s="11"/>
      <c r="BW123" s="11"/>
      <c r="BX123" s="15"/>
      <c r="BY123" s="11"/>
      <c r="BZ123" s="11"/>
      <c r="CA123" s="15"/>
      <c r="CB123" s="11"/>
      <c r="CC123" s="15"/>
      <c r="CD123" s="11"/>
      <c r="CE123" s="15"/>
      <c r="CF123" s="11"/>
      <c r="CG123" s="11"/>
      <c r="CH123" s="15"/>
      <c r="CI123" s="11"/>
      <c r="CJ123" s="11"/>
      <c r="CK123" s="15"/>
      <c r="CL123" s="11"/>
      <c r="CM123" s="11"/>
      <c r="CN123" s="11"/>
      <c r="CO123" s="11"/>
      <c r="CP123" s="28"/>
      <c r="CQ123" s="28"/>
      <c r="CR123" s="11"/>
      <c r="CS123" s="29"/>
      <c r="CT123" s="11"/>
      <c r="CU123" s="11"/>
      <c r="CV123" s="11"/>
      <c r="CW123" s="11"/>
      <c r="CX123" s="11"/>
      <c r="CY123" s="11"/>
      <c r="CZ123" s="11"/>
      <c r="DA123" s="28"/>
      <c r="DB123" s="28"/>
      <c r="DC123" s="11"/>
      <c r="DD123" s="29"/>
      <c r="DE123" s="11"/>
      <c r="DF123" s="11"/>
      <c r="DG123" s="11"/>
      <c r="DH123" s="11"/>
      <c r="DI123" s="11"/>
      <c r="DJ123" s="11"/>
      <c r="DK123" s="26"/>
      <c r="DL123" s="11"/>
      <c r="DM123" s="29"/>
      <c r="DN123" s="28"/>
      <c r="DO123" s="11"/>
      <c r="DP123" s="11"/>
      <c r="DQ123" s="11"/>
      <c r="DR123" s="29"/>
      <c r="DS123" s="28"/>
      <c r="DT123" s="11"/>
      <c r="DU123" s="26"/>
      <c r="DV123" s="11"/>
      <c r="DW123" s="29"/>
      <c r="DX123" s="28"/>
      <c r="DY123" s="11"/>
      <c r="DZ123" s="26"/>
      <c r="EA123" s="11"/>
      <c r="EB123" s="29"/>
      <c r="EC123" s="28"/>
      <c r="ED123" s="30"/>
      <c r="EE123" s="30" t="str">
        <f ca="1">IFERROR(__xludf.DUMMYFUNCTION("iferror(index(filter('Internal -- Trademark Countries'!E$2:E1000, (AM123 = 'Internal -- Trademark Countries'!B$2:B1000) + (AM123 = 'Internal -- Trademark Countries'!C$2:C1000) + (AM123 = 'Internal -- Trademark Countries'!D$2:D1000)), 1))"),"")</f>
        <v/>
      </c>
      <c r="EF123" s="30" t="e">
        <f ca="1">_xludf.ifs(AM123="", "", COUNTIF('Internal -- Trademark Countries'!B:B,AM123) &gt; 0, "polity_shortest_name", COUNTIF('Internal -- Trademark Countries'!C:C,AM123) &gt; 0, "polity_full_name", COUNTIF('Internal -- Trademark Countries'!D:D,AM123) &gt; 0, "polity_common_name", COUNTIF('Internal -- Trademark Countries'!E:E,AM123) &gt; 0, "shortest_name", COUNTIF('Internal -- Trademark Countries'!A:A,AM123) &gt; 0, "full_name", TRUE, "not a match")</f>
        <v>#NAME?</v>
      </c>
      <c r="EG123" s="30"/>
      <c r="EH123" s="30"/>
      <c r="EI123" s="30"/>
      <c r="EJ123" s="30"/>
      <c r="EK123" s="30" t="str">
        <f t="shared" si="2"/>
        <v/>
      </c>
    </row>
    <row r="124" spans="1:141" ht="16.5">
      <c r="A124" s="11"/>
      <c r="B124" s="11"/>
      <c r="C124" s="11"/>
      <c r="D124" s="11"/>
      <c r="E124" s="11"/>
      <c r="F124" s="11"/>
      <c r="G124" s="11"/>
      <c r="H124" s="11"/>
      <c r="I124" s="11"/>
      <c r="J124" s="11"/>
      <c r="K124" s="27"/>
      <c r="L124" s="11"/>
      <c r="M124" s="11"/>
      <c r="N124" s="11"/>
      <c r="O124" s="11"/>
      <c r="P124" s="15"/>
      <c r="Q124" s="15"/>
      <c r="R124" s="15"/>
      <c r="S124" s="15"/>
      <c r="T124" s="15"/>
      <c r="U124" s="15"/>
      <c r="V124" s="15"/>
      <c r="W124" s="47"/>
      <c r="X124" s="11"/>
      <c r="Y124" s="48"/>
      <c r="Z124" s="11"/>
      <c r="AA124" s="48"/>
      <c r="AB124" s="11"/>
      <c r="AC124" s="48"/>
      <c r="AD124" s="11"/>
      <c r="AE124" s="47"/>
      <c r="AF124" s="11"/>
      <c r="AG124" s="48"/>
      <c r="AH124" s="11"/>
      <c r="AI124" s="48"/>
      <c r="AJ124" s="11"/>
      <c r="AK124" s="48"/>
      <c r="AL124" s="11"/>
      <c r="AM124" s="49"/>
      <c r="AN124" s="49"/>
      <c r="AO124" s="11"/>
      <c r="AP124" s="11"/>
      <c r="AQ124" s="28" t="b">
        <f>IF(COUNTIF(SmartStatus!A$2:A1000, AM124) &gt; 2, TRUE, FALSE)</f>
        <v>0</v>
      </c>
      <c r="AR124" s="29" t="str">
        <f ca="1">IFERROR(__xludf.DUMMYFUNCTION("iferror(if(regexmatch(AO124, ""(?i)^registered""), if(EE124 &lt;&gt; ""polity_shortest_name"", ""CHECK_POLITY"", index(filter(SmartStatus!B$2:B1000, AM124 = SmartStatus!A$2:A1000, not(SmartStatus!C$2:C1000), (isblank(SmartStatus!D$2:D1000)) + ((P124 &lt;&gt; """") * "&amp;"(P124 &lt; SmartStatus!D$2:D1000)), (isblank(SmartStatus!E$2:E1000)) + ((P124 &lt;&gt; """") * (P124 &gt;= SmartStatus!E$2:E1000)), (isblank(SmartStatus!F$2:F1000)) + (((Q124 &lt;&gt; """") * (Q124 &lt; SmartStatus!F$2:F1000)) + ((P124 &lt;&gt; """") * (date(year(P124) + 3, month(P"&amp;"124), day(P124)) &lt; SmartStatus!F$2:F1000))), (isblank(SmartStatus!G$2:G1000)) + (((Q124 &lt;&gt; """") * (Q124 &gt;= SmartStatus!G$2:G1000)) + ((P124 &lt;&gt; """") * (P124 &gt;= SmartStatus!G$2:G1000)))), if(or(regexmatch(B124, ""(?i)^ir [a-z]+ designation$""), N124 &lt;&gt; """&amp;"""), 1, 2))), """"), ""NO_MATCH"")"),"")</f>
        <v/>
      </c>
      <c r="AS124" s="11"/>
      <c r="AT124" s="15"/>
      <c r="AU124" s="11"/>
      <c r="AV124" s="11"/>
      <c r="AW124" s="15"/>
      <c r="AX124" s="15"/>
      <c r="AY124" s="15"/>
      <c r="AZ124" s="11"/>
      <c r="BA124" s="15"/>
      <c r="BB124" s="11"/>
      <c r="BC124" s="11"/>
      <c r="BD124" s="15"/>
      <c r="BE124" s="11"/>
      <c r="BF124" s="11"/>
      <c r="BG124" s="15"/>
      <c r="BH124" s="15"/>
      <c r="BI124" s="15"/>
      <c r="BJ124" s="11"/>
      <c r="BK124" s="15"/>
      <c r="BL124" s="11"/>
      <c r="BM124" s="11"/>
      <c r="BN124" s="15"/>
      <c r="BO124" s="11"/>
      <c r="BP124" s="11"/>
      <c r="BQ124" s="15"/>
      <c r="BR124" s="15"/>
      <c r="BS124" s="15"/>
      <c r="BT124" s="11"/>
      <c r="BU124" s="15"/>
      <c r="BV124" s="11"/>
      <c r="BW124" s="11"/>
      <c r="BX124" s="15"/>
      <c r="BY124" s="11"/>
      <c r="BZ124" s="11"/>
      <c r="CA124" s="15"/>
      <c r="CB124" s="11"/>
      <c r="CC124" s="15"/>
      <c r="CD124" s="11"/>
      <c r="CE124" s="15"/>
      <c r="CF124" s="11"/>
      <c r="CG124" s="11"/>
      <c r="CH124" s="15"/>
      <c r="CI124" s="11"/>
      <c r="CJ124" s="11"/>
      <c r="CK124" s="15"/>
      <c r="CL124" s="11"/>
      <c r="CM124" s="11"/>
      <c r="CN124" s="11"/>
      <c r="CO124" s="11"/>
      <c r="CP124" s="28"/>
      <c r="CQ124" s="28"/>
      <c r="CR124" s="11"/>
      <c r="CS124" s="29"/>
      <c r="CT124" s="11"/>
      <c r="CU124" s="11"/>
      <c r="CV124" s="11"/>
      <c r="CW124" s="11"/>
      <c r="CX124" s="11"/>
      <c r="CY124" s="11"/>
      <c r="CZ124" s="11"/>
      <c r="DA124" s="28"/>
      <c r="DB124" s="28"/>
      <c r="DC124" s="11"/>
      <c r="DD124" s="29"/>
      <c r="DE124" s="11"/>
      <c r="DF124" s="11"/>
      <c r="DG124" s="11"/>
      <c r="DH124" s="11"/>
      <c r="DI124" s="11"/>
      <c r="DJ124" s="11"/>
      <c r="DK124" s="26"/>
      <c r="DL124" s="11"/>
      <c r="DM124" s="29"/>
      <c r="DN124" s="28"/>
      <c r="DO124" s="11"/>
      <c r="DP124" s="11"/>
      <c r="DQ124" s="11"/>
      <c r="DR124" s="29"/>
      <c r="DS124" s="28"/>
      <c r="DT124" s="11"/>
      <c r="DU124" s="26"/>
      <c r="DV124" s="11"/>
      <c r="DW124" s="29"/>
      <c r="DX124" s="28"/>
      <c r="DY124" s="11"/>
      <c r="DZ124" s="26"/>
      <c r="EA124" s="11"/>
      <c r="EB124" s="29"/>
      <c r="EC124" s="28"/>
      <c r="ED124" s="30"/>
      <c r="EE124" s="30" t="str">
        <f ca="1">IFERROR(__xludf.DUMMYFUNCTION("iferror(index(filter('Internal -- Trademark Countries'!E$2:E1000, (AM124 = 'Internal -- Trademark Countries'!B$2:B1000) + (AM124 = 'Internal -- Trademark Countries'!C$2:C1000) + (AM124 = 'Internal -- Trademark Countries'!D$2:D1000)), 1))"),"")</f>
        <v/>
      </c>
      <c r="EF124" s="30" t="e">
        <f ca="1">_xludf.ifs(AM124="", "", COUNTIF('Internal -- Trademark Countries'!B:B,AM124) &gt; 0, "polity_shortest_name", COUNTIF('Internal -- Trademark Countries'!C:C,AM124) &gt; 0, "polity_full_name", COUNTIF('Internal -- Trademark Countries'!D:D,AM124) &gt; 0, "polity_common_name", COUNTIF('Internal -- Trademark Countries'!E:E,AM124) &gt; 0, "shortest_name", COUNTIF('Internal -- Trademark Countries'!A:A,AM124) &gt; 0, "full_name", TRUE, "not a match")</f>
        <v>#NAME?</v>
      </c>
      <c r="EG124" s="30"/>
      <c r="EH124" s="30"/>
      <c r="EI124" s="30"/>
      <c r="EJ124" s="30"/>
      <c r="EK124" s="30" t="str">
        <f t="shared" si="2"/>
        <v/>
      </c>
    </row>
    <row r="125" spans="1:141" ht="16.5">
      <c r="A125" s="11"/>
      <c r="B125" s="11"/>
      <c r="C125" s="11"/>
      <c r="D125" s="11"/>
      <c r="E125" s="11"/>
      <c r="F125" s="11"/>
      <c r="G125" s="11"/>
      <c r="H125" s="11"/>
      <c r="I125" s="11"/>
      <c r="J125" s="11"/>
      <c r="K125" s="27"/>
      <c r="L125" s="11"/>
      <c r="M125" s="11"/>
      <c r="N125" s="11"/>
      <c r="O125" s="11"/>
      <c r="P125" s="15"/>
      <c r="Q125" s="15"/>
      <c r="R125" s="15"/>
      <c r="S125" s="15"/>
      <c r="T125" s="15"/>
      <c r="U125" s="15"/>
      <c r="V125" s="15"/>
      <c r="W125" s="47"/>
      <c r="X125" s="11"/>
      <c r="Y125" s="48"/>
      <c r="Z125" s="11"/>
      <c r="AA125" s="48"/>
      <c r="AB125" s="11"/>
      <c r="AC125" s="48"/>
      <c r="AD125" s="11"/>
      <c r="AE125" s="47"/>
      <c r="AF125" s="11"/>
      <c r="AG125" s="48"/>
      <c r="AH125" s="11"/>
      <c r="AI125" s="48"/>
      <c r="AJ125" s="11"/>
      <c r="AK125" s="48"/>
      <c r="AL125" s="11"/>
      <c r="AM125" s="49"/>
      <c r="AN125" s="49"/>
      <c r="AO125" s="11"/>
      <c r="AP125" s="11"/>
      <c r="AQ125" s="28" t="b">
        <f>IF(COUNTIF(SmartStatus!A$2:A1000, AM125) &gt; 2, TRUE, FALSE)</f>
        <v>0</v>
      </c>
      <c r="AR125" s="29" t="str">
        <f ca="1">IFERROR(__xludf.DUMMYFUNCTION("iferror(if(regexmatch(AO125, ""(?i)^registered""), if(EE125 &lt;&gt; ""polity_shortest_name"", ""CHECK_POLITY"", index(filter(SmartStatus!B$2:B1000, AM125 = SmartStatus!A$2:A1000, not(SmartStatus!C$2:C1000), (isblank(SmartStatus!D$2:D1000)) + ((P125 &lt;&gt; """") * "&amp;"(P125 &lt; SmartStatus!D$2:D1000)), (isblank(SmartStatus!E$2:E1000)) + ((P125 &lt;&gt; """") * (P125 &gt;= SmartStatus!E$2:E1000)), (isblank(SmartStatus!F$2:F1000)) + (((Q125 &lt;&gt; """") * (Q125 &lt; SmartStatus!F$2:F1000)) + ((P125 &lt;&gt; """") * (date(year(P125) + 3, month(P"&amp;"125), day(P125)) &lt; SmartStatus!F$2:F1000))), (isblank(SmartStatus!G$2:G1000)) + (((Q125 &lt;&gt; """") * (Q125 &gt;= SmartStatus!G$2:G1000)) + ((P125 &lt;&gt; """") * (P125 &gt;= SmartStatus!G$2:G1000)))), if(or(regexmatch(B125, ""(?i)^ir [a-z]+ designation$""), N125 &lt;&gt; """&amp;"""), 1, 2))), """"), ""NO_MATCH"")"),"")</f>
        <v/>
      </c>
      <c r="AS125" s="11"/>
      <c r="AT125" s="15"/>
      <c r="AU125" s="11"/>
      <c r="AV125" s="11"/>
      <c r="AW125" s="15"/>
      <c r="AX125" s="15"/>
      <c r="AY125" s="15"/>
      <c r="AZ125" s="11"/>
      <c r="BA125" s="15"/>
      <c r="BB125" s="11"/>
      <c r="BC125" s="11"/>
      <c r="BD125" s="15"/>
      <c r="BE125" s="11"/>
      <c r="BF125" s="11"/>
      <c r="BG125" s="15"/>
      <c r="BH125" s="15"/>
      <c r="BI125" s="15"/>
      <c r="BJ125" s="11"/>
      <c r="BK125" s="15"/>
      <c r="BL125" s="11"/>
      <c r="BM125" s="11"/>
      <c r="BN125" s="15"/>
      <c r="BO125" s="11"/>
      <c r="BP125" s="11"/>
      <c r="BQ125" s="15"/>
      <c r="BR125" s="15"/>
      <c r="BS125" s="15"/>
      <c r="BT125" s="11"/>
      <c r="BU125" s="15"/>
      <c r="BV125" s="11"/>
      <c r="BW125" s="11"/>
      <c r="BX125" s="15"/>
      <c r="BY125" s="11"/>
      <c r="BZ125" s="11"/>
      <c r="CA125" s="15"/>
      <c r="CB125" s="11"/>
      <c r="CC125" s="15"/>
      <c r="CD125" s="11"/>
      <c r="CE125" s="15"/>
      <c r="CF125" s="11"/>
      <c r="CG125" s="11"/>
      <c r="CH125" s="15"/>
      <c r="CI125" s="11"/>
      <c r="CJ125" s="11"/>
      <c r="CK125" s="15"/>
      <c r="CL125" s="11"/>
      <c r="CM125" s="11"/>
      <c r="CN125" s="11"/>
      <c r="CO125" s="11"/>
      <c r="CP125" s="28"/>
      <c r="CQ125" s="28"/>
      <c r="CR125" s="11"/>
      <c r="CS125" s="29"/>
      <c r="CT125" s="11"/>
      <c r="CU125" s="11"/>
      <c r="CV125" s="11"/>
      <c r="CW125" s="11"/>
      <c r="CX125" s="11"/>
      <c r="CY125" s="11"/>
      <c r="CZ125" s="11"/>
      <c r="DA125" s="28"/>
      <c r="DB125" s="28"/>
      <c r="DC125" s="11"/>
      <c r="DD125" s="29"/>
      <c r="DE125" s="11"/>
      <c r="DF125" s="11"/>
      <c r="DG125" s="11"/>
      <c r="DH125" s="11"/>
      <c r="DI125" s="11"/>
      <c r="DJ125" s="11"/>
      <c r="DK125" s="26"/>
      <c r="DL125" s="11"/>
      <c r="DM125" s="29"/>
      <c r="DN125" s="28"/>
      <c r="DO125" s="11"/>
      <c r="DP125" s="11"/>
      <c r="DQ125" s="11"/>
      <c r="DR125" s="29"/>
      <c r="DS125" s="28"/>
      <c r="DT125" s="11"/>
      <c r="DU125" s="26"/>
      <c r="DV125" s="11"/>
      <c r="DW125" s="29"/>
      <c r="DX125" s="28"/>
      <c r="DY125" s="11"/>
      <c r="DZ125" s="26"/>
      <c r="EA125" s="11"/>
      <c r="EB125" s="29"/>
      <c r="EC125" s="28"/>
      <c r="ED125" s="30"/>
      <c r="EE125" s="30" t="str">
        <f ca="1">IFERROR(__xludf.DUMMYFUNCTION("iferror(index(filter('Internal -- Trademark Countries'!E$2:E1000, (AM125 = 'Internal -- Trademark Countries'!B$2:B1000) + (AM125 = 'Internal -- Trademark Countries'!C$2:C1000) + (AM125 = 'Internal -- Trademark Countries'!D$2:D1000)), 1))"),"")</f>
        <v/>
      </c>
      <c r="EF125" s="30" t="e">
        <f ca="1">_xludf.ifs(AM125="", "", COUNTIF('Internal -- Trademark Countries'!B:B,AM125) &gt; 0, "polity_shortest_name", COUNTIF('Internal -- Trademark Countries'!C:C,AM125) &gt; 0, "polity_full_name", COUNTIF('Internal -- Trademark Countries'!D:D,AM125) &gt; 0, "polity_common_name", COUNTIF('Internal -- Trademark Countries'!E:E,AM125) &gt; 0, "shortest_name", COUNTIF('Internal -- Trademark Countries'!A:A,AM125) &gt; 0, "full_name", TRUE, "not a match")</f>
        <v>#NAME?</v>
      </c>
      <c r="EG125" s="30"/>
      <c r="EH125" s="30"/>
      <c r="EI125" s="30"/>
      <c r="EJ125" s="30"/>
      <c r="EK125" s="30" t="str">
        <f t="shared" si="2"/>
        <v/>
      </c>
    </row>
    <row r="126" spans="1:141" ht="16.5">
      <c r="A126" s="11"/>
      <c r="B126" s="11"/>
      <c r="C126" s="11"/>
      <c r="D126" s="11"/>
      <c r="E126" s="11"/>
      <c r="F126" s="11"/>
      <c r="G126" s="11"/>
      <c r="H126" s="11"/>
      <c r="I126" s="11"/>
      <c r="J126" s="11"/>
      <c r="K126" s="27"/>
      <c r="L126" s="11"/>
      <c r="M126" s="11"/>
      <c r="N126" s="11"/>
      <c r="O126" s="11"/>
      <c r="P126" s="15"/>
      <c r="Q126" s="15"/>
      <c r="R126" s="15"/>
      <c r="S126" s="15"/>
      <c r="T126" s="15"/>
      <c r="U126" s="15"/>
      <c r="V126" s="15"/>
      <c r="W126" s="47"/>
      <c r="X126" s="11"/>
      <c r="Y126" s="48"/>
      <c r="Z126" s="11"/>
      <c r="AA126" s="48"/>
      <c r="AB126" s="11"/>
      <c r="AC126" s="48"/>
      <c r="AD126" s="11"/>
      <c r="AE126" s="47"/>
      <c r="AF126" s="11"/>
      <c r="AG126" s="48"/>
      <c r="AH126" s="11"/>
      <c r="AI126" s="48"/>
      <c r="AJ126" s="11"/>
      <c r="AK126" s="48"/>
      <c r="AL126" s="11"/>
      <c r="AM126" s="49"/>
      <c r="AN126" s="49"/>
      <c r="AO126" s="11"/>
      <c r="AP126" s="11"/>
      <c r="AQ126" s="28" t="b">
        <f>IF(COUNTIF(SmartStatus!A$2:A1000, AM126) &gt; 2, TRUE, FALSE)</f>
        <v>0</v>
      </c>
      <c r="AR126" s="29" t="str">
        <f ca="1">IFERROR(__xludf.DUMMYFUNCTION("iferror(if(regexmatch(AO126, ""(?i)^registered""), if(EE126 &lt;&gt; ""polity_shortest_name"", ""CHECK_POLITY"", index(filter(SmartStatus!B$2:B1000, AM126 = SmartStatus!A$2:A1000, not(SmartStatus!C$2:C1000), (isblank(SmartStatus!D$2:D1000)) + ((P126 &lt;&gt; """") * "&amp;"(P126 &lt; SmartStatus!D$2:D1000)), (isblank(SmartStatus!E$2:E1000)) + ((P126 &lt;&gt; """") * (P126 &gt;= SmartStatus!E$2:E1000)), (isblank(SmartStatus!F$2:F1000)) + (((Q126 &lt;&gt; """") * (Q126 &lt; SmartStatus!F$2:F1000)) + ((P126 &lt;&gt; """") * (date(year(P126) + 3, month(P"&amp;"126), day(P126)) &lt; SmartStatus!F$2:F1000))), (isblank(SmartStatus!G$2:G1000)) + (((Q126 &lt;&gt; """") * (Q126 &gt;= SmartStatus!G$2:G1000)) + ((P126 &lt;&gt; """") * (P126 &gt;= SmartStatus!G$2:G1000)))), if(or(regexmatch(B126, ""(?i)^ir [a-z]+ designation$""), N126 &lt;&gt; """&amp;"""), 1, 2))), """"), ""NO_MATCH"")"),"")</f>
        <v/>
      </c>
      <c r="AS126" s="11"/>
      <c r="AT126" s="15"/>
      <c r="AU126" s="11"/>
      <c r="AV126" s="11"/>
      <c r="AW126" s="15"/>
      <c r="AX126" s="15"/>
      <c r="AY126" s="15"/>
      <c r="AZ126" s="11"/>
      <c r="BA126" s="15"/>
      <c r="BB126" s="11"/>
      <c r="BC126" s="11"/>
      <c r="BD126" s="15"/>
      <c r="BE126" s="11"/>
      <c r="BF126" s="11"/>
      <c r="BG126" s="15"/>
      <c r="BH126" s="15"/>
      <c r="BI126" s="15"/>
      <c r="BJ126" s="11"/>
      <c r="BK126" s="15"/>
      <c r="BL126" s="11"/>
      <c r="BM126" s="11"/>
      <c r="BN126" s="15"/>
      <c r="BO126" s="11"/>
      <c r="BP126" s="11"/>
      <c r="BQ126" s="15"/>
      <c r="BR126" s="15"/>
      <c r="BS126" s="15"/>
      <c r="BT126" s="11"/>
      <c r="BU126" s="15"/>
      <c r="BV126" s="11"/>
      <c r="BW126" s="11"/>
      <c r="BX126" s="15"/>
      <c r="BY126" s="11"/>
      <c r="BZ126" s="11"/>
      <c r="CA126" s="15"/>
      <c r="CB126" s="11"/>
      <c r="CC126" s="15"/>
      <c r="CD126" s="11"/>
      <c r="CE126" s="15"/>
      <c r="CF126" s="11"/>
      <c r="CG126" s="11"/>
      <c r="CH126" s="15"/>
      <c r="CI126" s="11"/>
      <c r="CJ126" s="11"/>
      <c r="CK126" s="15"/>
      <c r="CL126" s="11"/>
      <c r="CM126" s="11"/>
      <c r="CN126" s="11"/>
      <c r="CO126" s="11"/>
      <c r="CP126" s="28"/>
      <c r="CQ126" s="28"/>
      <c r="CR126" s="11"/>
      <c r="CS126" s="29"/>
      <c r="CT126" s="11"/>
      <c r="CU126" s="11"/>
      <c r="CV126" s="11"/>
      <c r="CW126" s="11"/>
      <c r="CX126" s="11"/>
      <c r="CY126" s="11"/>
      <c r="CZ126" s="11"/>
      <c r="DA126" s="28"/>
      <c r="DB126" s="28"/>
      <c r="DC126" s="11"/>
      <c r="DD126" s="29"/>
      <c r="DE126" s="11"/>
      <c r="DF126" s="11"/>
      <c r="DG126" s="11"/>
      <c r="DH126" s="11"/>
      <c r="DI126" s="11"/>
      <c r="DJ126" s="11"/>
      <c r="DK126" s="26"/>
      <c r="DL126" s="11"/>
      <c r="DM126" s="29"/>
      <c r="DN126" s="28"/>
      <c r="DO126" s="11"/>
      <c r="DP126" s="11"/>
      <c r="DQ126" s="11"/>
      <c r="DR126" s="29"/>
      <c r="DS126" s="28"/>
      <c r="DT126" s="11"/>
      <c r="DU126" s="26"/>
      <c r="DV126" s="11"/>
      <c r="DW126" s="29"/>
      <c r="DX126" s="28"/>
      <c r="DY126" s="11"/>
      <c r="DZ126" s="26"/>
      <c r="EA126" s="11"/>
      <c r="EB126" s="29"/>
      <c r="EC126" s="28"/>
      <c r="ED126" s="30"/>
      <c r="EE126" s="30" t="str">
        <f ca="1">IFERROR(__xludf.DUMMYFUNCTION("iferror(index(filter('Internal -- Trademark Countries'!E$2:E1000, (AM126 = 'Internal -- Trademark Countries'!B$2:B1000) + (AM126 = 'Internal -- Trademark Countries'!C$2:C1000) + (AM126 = 'Internal -- Trademark Countries'!D$2:D1000)), 1))"),"")</f>
        <v/>
      </c>
      <c r="EF126" s="30" t="e">
        <f ca="1">_xludf.ifs(AM126="", "", COUNTIF('Internal -- Trademark Countries'!B:B,AM126) &gt; 0, "polity_shortest_name", COUNTIF('Internal -- Trademark Countries'!C:C,AM126) &gt; 0, "polity_full_name", COUNTIF('Internal -- Trademark Countries'!D:D,AM126) &gt; 0, "polity_common_name", COUNTIF('Internal -- Trademark Countries'!E:E,AM126) &gt; 0, "shortest_name", COUNTIF('Internal -- Trademark Countries'!A:A,AM126) &gt; 0, "full_name", TRUE, "not a match")</f>
        <v>#NAME?</v>
      </c>
      <c r="EG126" s="30"/>
      <c r="EH126" s="30"/>
      <c r="EI126" s="30"/>
      <c r="EJ126" s="30"/>
      <c r="EK126" s="30" t="str">
        <f t="shared" si="2"/>
        <v/>
      </c>
    </row>
    <row r="127" spans="1:141" ht="16.5">
      <c r="A127" s="11"/>
      <c r="B127" s="11"/>
      <c r="C127" s="11"/>
      <c r="D127" s="11"/>
      <c r="E127" s="11"/>
      <c r="F127" s="11"/>
      <c r="G127" s="11"/>
      <c r="H127" s="11"/>
      <c r="I127" s="11"/>
      <c r="J127" s="11"/>
      <c r="K127" s="27"/>
      <c r="L127" s="11"/>
      <c r="M127" s="11"/>
      <c r="N127" s="11"/>
      <c r="O127" s="11"/>
      <c r="P127" s="15"/>
      <c r="Q127" s="15"/>
      <c r="R127" s="15"/>
      <c r="S127" s="15"/>
      <c r="T127" s="15"/>
      <c r="U127" s="15"/>
      <c r="V127" s="15"/>
      <c r="W127" s="47"/>
      <c r="X127" s="11"/>
      <c r="Y127" s="48"/>
      <c r="Z127" s="11"/>
      <c r="AA127" s="48"/>
      <c r="AB127" s="11"/>
      <c r="AC127" s="48"/>
      <c r="AD127" s="11"/>
      <c r="AE127" s="47"/>
      <c r="AF127" s="11"/>
      <c r="AG127" s="48"/>
      <c r="AH127" s="11"/>
      <c r="AI127" s="48"/>
      <c r="AJ127" s="11"/>
      <c r="AK127" s="48"/>
      <c r="AL127" s="11"/>
      <c r="AM127" s="49"/>
      <c r="AN127" s="49"/>
      <c r="AO127" s="11"/>
      <c r="AP127" s="11"/>
      <c r="AQ127" s="28" t="b">
        <f>IF(COUNTIF(SmartStatus!A$2:A1000, AM127) &gt; 2, TRUE, FALSE)</f>
        <v>0</v>
      </c>
      <c r="AR127" s="29" t="str">
        <f ca="1">IFERROR(__xludf.DUMMYFUNCTION("iferror(if(regexmatch(AO127, ""(?i)^registered""), if(EE127 &lt;&gt; ""polity_shortest_name"", ""CHECK_POLITY"", index(filter(SmartStatus!B$2:B1000, AM127 = SmartStatus!A$2:A1000, not(SmartStatus!C$2:C1000), (isblank(SmartStatus!D$2:D1000)) + ((P127 &lt;&gt; """") * "&amp;"(P127 &lt; SmartStatus!D$2:D1000)), (isblank(SmartStatus!E$2:E1000)) + ((P127 &lt;&gt; """") * (P127 &gt;= SmartStatus!E$2:E1000)), (isblank(SmartStatus!F$2:F1000)) + (((Q127 &lt;&gt; """") * (Q127 &lt; SmartStatus!F$2:F1000)) + ((P127 &lt;&gt; """") * (date(year(P127) + 3, month(P"&amp;"127), day(P127)) &lt; SmartStatus!F$2:F1000))), (isblank(SmartStatus!G$2:G1000)) + (((Q127 &lt;&gt; """") * (Q127 &gt;= SmartStatus!G$2:G1000)) + ((P127 &lt;&gt; """") * (P127 &gt;= SmartStatus!G$2:G1000)))), if(or(regexmatch(B127, ""(?i)^ir [a-z]+ designation$""), N127 &lt;&gt; """&amp;"""), 1, 2))), """"), ""NO_MATCH"")"),"")</f>
        <v/>
      </c>
      <c r="AS127" s="11"/>
      <c r="AT127" s="15"/>
      <c r="AU127" s="11"/>
      <c r="AV127" s="11"/>
      <c r="AW127" s="15"/>
      <c r="AX127" s="15"/>
      <c r="AY127" s="15"/>
      <c r="AZ127" s="11"/>
      <c r="BA127" s="15"/>
      <c r="BB127" s="11"/>
      <c r="BC127" s="11"/>
      <c r="BD127" s="15"/>
      <c r="BE127" s="11"/>
      <c r="BF127" s="11"/>
      <c r="BG127" s="15"/>
      <c r="BH127" s="15"/>
      <c r="BI127" s="15"/>
      <c r="BJ127" s="11"/>
      <c r="BK127" s="15"/>
      <c r="BL127" s="11"/>
      <c r="BM127" s="11"/>
      <c r="BN127" s="15"/>
      <c r="BO127" s="11"/>
      <c r="BP127" s="11"/>
      <c r="BQ127" s="15"/>
      <c r="BR127" s="15"/>
      <c r="BS127" s="15"/>
      <c r="BT127" s="11"/>
      <c r="BU127" s="15"/>
      <c r="BV127" s="11"/>
      <c r="BW127" s="11"/>
      <c r="BX127" s="15"/>
      <c r="BY127" s="11"/>
      <c r="BZ127" s="11"/>
      <c r="CA127" s="15"/>
      <c r="CB127" s="11"/>
      <c r="CC127" s="15"/>
      <c r="CD127" s="11"/>
      <c r="CE127" s="15"/>
      <c r="CF127" s="11"/>
      <c r="CG127" s="11"/>
      <c r="CH127" s="15"/>
      <c r="CI127" s="11"/>
      <c r="CJ127" s="11"/>
      <c r="CK127" s="15"/>
      <c r="CL127" s="11"/>
      <c r="CM127" s="11"/>
      <c r="CN127" s="11"/>
      <c r="CO127" s="11"/>
      <c r="CP127" s="28"/>
      <c r="CQ127" s="28"/>
      <c r="CR127" s="11"/>
      <c r="CS127" s="29"/>
      <c r="CT127" s="11"/>
      <c r="CU127" s="11"/>
      <c r="CV127" s="11"/>
      <c r="CW127" s="11"/>
      <c r="CX127" s="11"/>
      <c r="CY127" s="11"/>
      <c r="CZ127" s="11"/>
      <c r="DA127" s="28"/>
      <c r="DB127" s="28"/>
      <c r="DC127" s="11"/>
      <c r="DD127" s="29"/>
      <c r="DE127" s="11"/>
      <c r="DF127" s="11"/>
      <c r="DG127" s="11"/>
      <c r="DH127" s="11"/>
      <c r="DI127" s="11"/>
      <c r="DJ127" s="11"/>
      <c r="DK127" s="26"/>
      <c r="DL127" s="11"/>
      <c r="DM127" s="29"/>
      <c r="DN127" s="28"/>
      <c r="DO127" s="11"/>
      <c r="DP127" s="11"/>
      <c r="DQ127" s="11"/>
      <c r="DR127" s="29"/>
      <c r="DS127" s="28"/>
      <c r="DT127" s="11"/>
      <c r="DU127" s="26"/>
      <c r="DV127" s="11"/>
      <c r="DW127" s="29"/>
      <c r="DX127" s="28"/>
      <c r="DY127" s="11"/>
      <c r="DZ127" s="26"/>
      <c r="EA127" s="11"/>
      <c r="EB127" s="29"/>
      <c r="EC127" s="28"/>
      <c r="ED127" s="30"/>
      <c r="EE127" s="30" t="str">
        <f ca="1">IFERROR(__xludf.DUMMYFUNCTION("iferror(index(filter('Internal -- Trademark Countries'!E$2:E1000, (AM127 = 'Internal -- Trademark Countries'!B$2:B1000) + (AM127 = 'Internal -- Trademark Countries'!C$2:C1000) + (AM127 = 'Internal -- Trademark Countries'!D$2:D1000)), 1))"),"")</f>
        <v/>
      </c>
      <c r="EF127" s="30" t="e">
        <f ca="1">_xludf.ifs(AM127="", "", COUNTIF('Internal -- Trademark Countries'!B:B,AM127) &gt; 0, "polity_shortest_name", COUNTIF('Internal -- Trademark Countries'!C:C,AM127) &gt; 0, "polity_full_name", COUNTIF('Internal -- Trademark Countries'!D:D,AM127) &gt; 0, "polity_common_name", COUNTIF('Internal -- Trademark Countries'!E:E,AM127) &gt; 0, "shortest_name", COUNTIF('Internal -- Trademark Countries'!A:A,AM127) &gt; 0, "full_name", TRUE, "not a match")</f>
        <v>#NAME?</v>
      </c>
      <c r="EG127" s="30"/>
      <c r="EH127" s="30"/>
      <c r="EI127" s="30"/>
      <c r="EJ127" s="30"/>
      <c r="EK127" s="30" t="str">
        <f t="shared" si="2"/>
        <v/>
      </c>
    </row>
    <row r="128" spans="1:141" ht="16.5">
      <c r="A128" s="11"/>
      <c r="B128" s="11"/>
      <c r="C128" s="11"/>
      <c r="D128" s="11"/>
      <c r="E128" s="11"/>
      <c r="F128" s="11"/>
      <c r="G128" s="11"/>
      <c r="H128" s="11"/>
      <c r="I128" s="11"/>
      <c r="J128" s="11"/>
      <c r="K128" s="27"/>
      <c r="L128" s="11"/>
      <c r="M128" s="11"/>
      <c r="N128" s="11"/>
      <c r="O128" s="11"/>
      <c r="P128" s="15"/>
      <c r="Q128" s="15"/>
      <c r="R128" s="15"/>
      <c r="S128" s="15"/>
      <c r="T128" s="15"/>
      <c r="U128" s="15"/>
      <c r="V128" s="15"/>
      <c r="W128" s="47"/>
      <c r="X128" s="11"/>
      <c r="Y128" s="48"/>
      <c r="Z128" s="11"/>
      <c r="AA128" s="48"/>
      <c r="AB128" s="11"/>
      <c r="AC128" s="48"/>
      <c r="AD128" s="11"/>
      <c r="AE128" s="47"/>
      <c r="AF128" s="11"/>
      <c r="AG128" s="48"/>
      <c r="AH128" s="11"/>
      <c r="AI128" s="48"/>
      <c r="AJ128" s="11"/>
      <c r="AK128" s="48"/>
      <c r="AL128" s="11"/>
      <c r="AM128" s="49"/>
      <c r="AN128" s="49"/>
      <c r="AO128" s="11"/>
      <c r="AP128" s="11"/>
      <c r="AQ128" s="28" t="b">
        <f>IF(COUNTIF(SmartStatus!A$2:A1000, AM128) &gt; 2, TRUE, FALSE)</f>
        <v>0</v>
      </c>
      <c r="AR128" s="29" t="str">
        <f ca="1">IFERROR(__xludf.DUMMYFUNCTION("iferror(if(regexmatch(AO128, ""(?i)^registered""), if(EE128 &lt;&gt; ""polity_shortest_name"", ""CHECK_POLITY"", index(filter(SmartStatus!B$2:B1000, AM128 = SmartStatus!A$2:A1000, not(SmartStatus!C$2:C1000), (isblank(SmartStatus!D$2:D1000)) + ((P128 &lt;&gt; """") * "&amp;"(P128 &lt; SmartStatus!D$2:D1000)), (isblank(SmartStatus!E$2:E1000)) + ((P128 &lt;&gt; """") * (P128 &gt;= SmartStatus!E$2:E1000)), (isblank(SmartStatus!F$2:F1000)) + (((Q128 &lt;&gt; """") * (Q128 &lt; SmartStatus!F$2:F1000)) + ((P128 &lt;&gt; """") * (date(year(P128) + 3, month(P"&amp;"128), day(P128)) &lt; SmartStatus!F$2:F1000))), (isblank(SmartStatus!G$2:G1000)) + (((Q128 &lt;&gt; """") * (Q128 &gt;= SmartStatus!G$2:G1000)) + ((P128 &lt;&gt; """") * (P128 &gt;= SmartStatus!G$2:G1000)))), if(or(regexmatch(B128, ""(?i)^ir [a-z]+ designation$""), N128 &lt;&gt; """&amp;"""), 1, 2))), """"), ""NO_MATCH"")"),"")</f>
        <v/>
      </c>
      <c r="AS128" s="11"/>
      <c r="AT128" s="15"/>
      <c r="AU128" s="11"/>
      <c r="AV128" s="11"/>
      <c r="AW128" s="15"/>
      <c r="AX128" s="15"/>
      <c r="AY128" s="15"/>
      <c r="AZ128" s="11"/>
      <c r="BA128" s="15"/>
      <c r="BB128" s="11"/>
      <c r="BC128" s="11"/>
      <c r="BD128" s="15"/>
      <c r="BE128" s="11"/>
      <c r="BF128" s="11"/>
      <c r="BG128" s="15"/>
      <c r="BH128" s="15"/>
      <c r="BI128" s="15"/>
      <c r="BJ128" s="11"/>
      <c r="BK128" s="15"/>
      <c r="BL128" s="11"/>
      <c r="BM128" s="11"/>
      <c r="BN128" s="15"/>
      <c r="BO128" s="11"/>
      <c r="BP128" s="11"/>
      <c r="BQ128" s="15"/>
      <c r="BR128" s="15"/>
      <c r="BS128" s="15"/>
      <c r="BT128" s="11"/>
      <c r="BU128" s="15"/>
      <c r="BV128" s="11"/>
      <c r="BW128" s="11"/>
      <c r="BX128" s="15"/>
      <c r="BY128" s="11"/>
      <c r="BZ128" s="11"/>
      <c r="CA128" s="15"/>
      <c r="CB128" s="11"/>
      <c r="CC128" s="15"/>
      <c r="CD128" s="11"/>
      <c r="CE128" s="15"/>
      <c r="CF128" s="11"/>
      <c r="CG128" s="11"/>
      <c r="CH128" s="15"/>
      <c r="CI128" s="11"/>
      <c r="CJ128" s="11"/>
      <c r="CK128" s="15"/>
      <c r="CL128" s="11"/>
      <c r="CM128" s="11"/>
      <c r="CN128" s="11"/>
      <c r="CO128" s="11"/>
      <c r="CP128" s="28"/>
      <c r="CQ128" s="28"/>
      <c r="CR128" s="11"/>
      <c r="CS128" s="29"/>
      <c r="CT128" s="11"/>
      <c r="CU128" s="11"/>
      <c r="CV128" s="11"/>
      <c r="CW128" s="11"/>
      <c r="CX128" s="11"/>
      <c r="CY128" s="11"/>
      <c r="CZ128" s="11"/>
      <c r="DA128" s="28"/>
      <c r="DB128" s="28"/>
      <c r="DC128" s="11"/>
      <c r="DD128" s="29"/>
      <c r="DE128" s="11"/>
      <c r="DF128" s="11"/>
      <c r="DG128" s="11"/>
      <c r="DH128" s="11"/>
      <c r="DI128" s="11"/>
      <c r="DJ128" s="11"/>
      <c r="DK128" s="26"/>
      <c r="DL128" s="11"/>
      <c r="DM128" s="29"/>
      <c r="DN128" s="28"/>
      <c r="DO128" s="11"/>
      <c r="DP128" s="11"/>
      <c r="DQ128" s="11"/>
      <c r="DR128" s="29"/>
      <c r="DS128" s="28"/>
      <c r="DT128" s="11"/>
      <c r="DU128" s="26"/>
      <c r="DV128" s="11"/>
      <c r="DW128" s="29"/>
      <c r="DX128" s="28"/>
      <c r="DY128" s="11"/>
      <c r="DZ128" s="26"/>
      <c r="EA128" s="11"/>
      <c r="EB128" s="29"/>
      <c r="EC128" s="28"/>
      <c r="ED128" s="30"/>
      <c r="EE128" s="30" t="str">
        <f ca="1">IFERROR(__xludf.DUMMYFUNCTION("iferror(index(filter('Internal -- Trademark Countries'!E$2:E1000, (AM128 = 'Internal -- Trademark Countries'!B$2:B1000) + (AM128 = 'Internal -- Trademark Countries'!C$2:C1000) + (AM128 = 'Internal -- Trademark Countries'!D$2:D1000)), 1))"),"")</f>
        <v/>
      </c>
      <c r="EF128" s="30" t="e">
        <f ca="1">_xludf.ifs(AM128="", "", COUNTIF('Internal -- Trademark Countries'!B:B,AM128) &gt; 0, "polity_shortest_name", COUNTIF('Internal -- Trademark Countries'!C:C,AM128) &gt; 0, "polity_full_name", COUNTIF('Internal -- Trademark Countries'!D:D,AM128) &gt; 0, "polity_common_name", COUNTIF('Internal -- Trademark Countries'!E:E,AM128) &gt; 0, "shortest_name", COUNTIF('Internal -- Trademark Countries'!A:A,AM128) &gt; 0, "full_name", TRUE, "not a match")</f>
        <v>#NAME?</v>
      </c>
      <c r="EG128" s="30"/>
      <c r="EH128" s="30"/>
      <c r="EI128" s="30"/>
      <c r="EJ128" s="30"/>
      <c r="EK128" s="30" t="str">
        <f t="shared" si="2"/>
        <v/>
      </c>
    </row>
    <row r="129" spans="1:141" ht="16.5">
      <c r="A129" s="11"/>
      <c r="B129" s="11"/>
      <c r="C129" s="11"/>
      <c r="D129" s="11"/>
      <c r="E129" s="11"/>
      <c r="F129" s="11"/>
      <c r="G129" s="11"/>
      <c r="H129" s="11"/>
      <c r="I129" s="11"/>
      <c r="J129" s="11"/>
      <c r="K129" s="27"/>
      <c r="L129" s="11"/>
      <c r="M129" s="11"/>
      <c r="N129" s="11"/>
      <c r="O129" s="11"/>
      <c r="P129" s="15"/>
      <c r="Q129" s="15"/>
      <c r="R129" s="15"/>
      <c r="S129" s="15"/>
      <c r="T129" s="15"/>
      <c r="U129" s="15"/>
      <c r="V129" s="15"/>
      <c r="W129" s="47"/>
      <c r="X129" s="11"/>
      <c r="Y129" s="48"/>
      <c r="Z129" s="11"/>
      <c r="AA129" s="48"/>
      <c r="AB129" s="11"/>
      <c r="AC129" s="48"/>
      <c r="AD129" s="11"/>
      <c r="AE129" s="47"/>
      <c r="AF129" s="11"/>
      <c r="AG129" s="48"/>
      <c r="AH129" s="11"/>
      <c r="AI129" s="48"/>
      <c r="AJ129" s="11"/>
      <c r="AK129" s="48"/>
      <c r="AL129" s="11"/>
      <c r="AM129" s="49"/>
      <c r="AN129" s="49"/>
      <c r="AO129" s="11"/>
      <c r="AP129" s="11"/>
      <c r="AQ129" s="28" t="b">
        <f>IF(COUNTIF(SmartStatus!A$2:A1000, AM129) &gt; 2, TRUE, FALSE)</f>
        <v>0</v>
      </c>
      <c r="AR129" s="29" t="str">
        <f ca="1">IFERROR(__xludf.DUMMYFUNCTION("iferror(if(regexmatch(AO129, ""(?i)^registered""), if(EE129 &lt;&gt; ""polity_shortest_name"", ""CHECK_POLITY"", index(filter(SmartStatus!B$2:B1000, AM129 = SmartStatus!A$2:A1000, not(SmartStatus!C$2:C1000), (isblank(SmartStatus!D$2:D1000)) + ((P129 &lt;&gt; """") * "&amp;"(P129 &lt; SmartStatus!D$2:D1000)), (isblank(SmartStatus!E$2:E1000)) + ((P129 &lt;&gt; """") * (P129 &gt;= SmartStatus!E$2:E1000)), (isblank(SmartStatus!F$2:F1000)) + (((Q129 &lt;&gt; """") * (Q129 &lt; SmartStatus!F$2:F1000)) + ((P129 &lt;&gt; """") * (date(year(P129) + 3, month(P"&amp;"129), day(P129)) &lt; SmartStatus!F$2:F1000))), (isblank(SmartStatus!G$2:G1000)) + (((Q129 &lt;&gt; """") * (Q129 &gt;= SmartStatus!G$2:G1000)) + ((P129 &lt;&gt; """") * (P129 &gt;= SmartStatus!G$2:G1000)))), if(or(regexmatch(B129, ""(?i)^ir [a-z]+ designation$""), N129 &lt;&gt; """&amp;"""), 1, 2))), """"), ""NO_MATCH"")"),"")</f>
        <v/>
      </c>
      <c r="AS129" s="11"/>
      <c r="AT129" s="15"/>
      <c r="AU129" s="11"/>
      <c r="AV129" s="11"/>
      <c r="AW129" s="15"/>
      <c r="AX129" s="15"/>
      <c r="AY129" s="15"/>
      <c r="AZ129" s="11"/>
      <c r="BA129" s="15"/>
      <c r="BB129" s="11"/>
      <c r="BC129" s="11"/>
      <c r="BD129" s="15"/>
      <c r="BE129" s="11"/>
      <c r="BF129" s="11"/>
      <c r="BG129" s="15"/>
      <c r="BH129" s="15"/>
      <c r="BI129" s="15"/>
      <c r="BJ129" s="11"/>
      <c r="BK129" s="15"/>
      <c r="BL129" s="11"/>
      <c r="BM129" s="11"/>
      <c r="BN129" s="15"/>
      <c r="BO129" s="11"/>
      <c r="BP129" s="11"/>
      <c r="BQ129" s="15"/>
      <c r="BR129" s="15"/>
      <c r="BS129" s="15"/>
      <c r="BT129" s="11"/>
      <c r="BU129" s="15"/>
      <c r="BV129" s="11"/>
      <c r="BW129" s="11"/>
      <c r="BX129" s="15"/>
      <c r="BY129" s="11"/>
      <c r="BZ129" s="11"/>
      <c r="CA129" s="15"/>
      <c r="CB129" s="11"/>
      <c r="CC129" s="15"/>
      <c r="CD129" s="11"/>
      <c r="CE129" s="15"/>
      <c r="CF129" s="11"/>
      <c r="CG129" s="11"/>
      <c r="CH129" s="15"/>
      <c r="CI129" s="11"/>
      <c r="CJ129" s="11"/>
      <c r="CK129" s="15"/>
      <c r="CL129" s="11"/>
      <c r="CM129" s="11"/>
      <c r="CN129" s="11"/>
      <c r="CO129" s="11"/>
      <c r="CP129" s="28"/>
      <c r="CQ129" s="28"/>
      <c r="CR129" s="11"/>
      <c r="CS129" s="29"/>
      <c r="CT129" s="11"/>
      <c r="CU129" s="11"/>
      <c r="CV129" s="11"/>
      <c r="CW129" s="11"/>
      <c r="CX129" s="11"/>
      <c r="CY129" s="11"/>
      <c r="CZ129" s="11"/>
      <c r="DA129" s="28"/>
      <c r="DB129" s="28"/>
      <c r="DC129" s="11"/>
      <c r="DD129" s="29"/>
      <c r="DE129" s="11"/>
      <c r="DF129" s="11"/>
      <c r="DG129" s="11"/>
      <c r="DH129" s="11"/>
      <c r="DI129" s="11"/>
      <c r="DJ129" s="11"/>
      <c r="DK129" s="26"/>
      <c r="DL129" s="11"/>
      <c r="DM129" s="29"/>
      <c r="DN129" s="28"/>
      <c r="DO129" s="11"/>
      <c r="DP129" s="11"/>
      <c r="DQ129" s="11"/>
      <c r="DR129" s="29"/>
      <c r="DS129" s="28"/>
      <c r="DT129" s="11"/>
      <c r="DU129" s="26"/>
      <c r="DV129" s="11"/>
      <c r="DW129" s="29"/>
      <c r="DX129" s="28"/>
      <c r="DY129" s="11"/>
      <c r="DZ129" s="26"/>
      <c r="EA129" s="11"/>
      <c r="EB129" s="29"/>
      <c r="EC129" s="28"/>
      <c r="ED129" s="30"/>
      <c r="EE129" s="30" t="str">
        <f ca="1">IFERROR(__xludf.DUMMYFUNCTION("iferror(index(filter('Internal -- Trademark Countries'!E$2:E1000, (AM129 = 'Internal -- Trademark Countries'!B$2:B1000) + (AM129 = 'Internal -- Trademark Countries'!C$2:C1000) + (AM129 = 'Internal -- Trademark Countries'!D$2:D1000)), 1))"),"")</f>
        <v/>
      </c>
      <c r="EF129" s="30" t="e">
        <f ca="1">_xludf.ifs(AM129="", "", COUNTIF('Internal -- Trademark Countries'!B:B,AM129) &gt; 0, "polity_shortest_name", COUNTIF('Internal -- Trademark Countries'!C:C,AM129) &gt; 0, "polity_full_name", COUNTIF('Internal -- Trademark Countries'!D:D,AM129) &gt; 0, "polity_common_name", COUNTIF('Internal -- Trademark Countries'!E:E,AM129) &gt; 0, "shortest_name", COUNTIF('Internal -- Trademark Countries'!A:A,AM129) &gt; 0, "full_name", TRUE, "not a match")</f>
        <v>#NAME?</v>
      </c>
      <c r="EG129" s="30"/>
      <c r="EH129" s="30"/>
      <c r="EI129" s="30"/>
      <c r="EJ129" s="30"/>
      <c r="EK129" s="30" t="str">
        <f t="shared" si="2"/>
        <v/>
      </c>
    </row>
    <row r="130" spans="1:141" ht="16.5">
      <c r="A130" s="11"/>
      <c r="B130" s="11"/>
      <c r="C130" s="11"/>
      <c r="D130" s="11"/>
      <c r="E130" s="11"/>
      <c r="F130" s="11"/>
      <c r="G130" s="11"/>
      <c r="H130" s="11"/>
      <c r="I130" s="11"/>
      <c r="J130" s="11"/>
      <c r="K130" s="27"/>
      <c r="L130" s="11"/>
      <c r="M130" s="11"/>
      <c r="N130" s="11"/>
      <c r="O130" s="11"/>
      <c r="P130" s="15"/>
      <c r="Q130" s="15"/>
      <c r="R130" s="15"/>
      <c r="S130" s="15"/>
      <c r="T130" s="15"/>
      <c r="U130" s="15"/>
      <c r="V130" s="15"/>
      <c r="W130" s="47"/>
      <c r="X130" s="11"/>
      <c r="Y130" s="48"/>
      <c r="Z130" s="11"/>
      <c r="AA130" s="48"/>
      <c r="AB130" s="11"/>
      <c r="AC130" s="48"/>
      <c r="AD130" s="11"/>
      <c r="AE130" s="47"/>
      <c r="AF130" s="11"/>
      <c r="AG130" s="48"/>
      <c r="AH130" s="11"/>
      <c r="AI130" s="48"/>
      <c r="AJ130" s="11"/>
      <c r="AK130" s="48"/>
      <c r="AL130" s="11"/>
      <c r="AM130" s="49"/>
      <c r="AN130" s="49"/>
      <c r="AO130" s="11"/>
      <c r="AP130" s="11"/>
      <c r="AQ130" s="28" t="b">
        <f>IF(COUNTIF(SmartStatus!A$2:A1000, AM130) &gt; 2, TRUE, FALSE)</f>
        <v>0</v>
      </c>
      <c r="AR130" s="29" t="str">
        <f ca="1">IFERROR(__xludf.DUMMYFUNCTION("iferror(if(regexmatch(AO130, ""(?i)^registered""), if(EE130 &lt;&gt; ""polity_shortest_name"", ""CHECK_POLITY"", index(filter(SmartStatus!B$2:B1000, AM130 = SmartStatus!A$2:A1000, not(SmartStatus!C$2:C1000), (isblank(SmartStatus!D$2:D1000)) + ((P130 &lt;&gt; """") * "&amp;"(P130 &lt; SmartStatus!D$2:D1000)), (isblank(SmartStatus!E$2:E1000)) + ((P130 &lt;&gt; """") * (P130 &gt;= SmartStatus!E$2:E1000)), (isblank(SmartStatus!F$2:F1000)) + (((Q130 &lt;&gt; """") * (Q130 &lt; SmartStatus!F$2:F1000)) + ((P130 &lt;&gt; """") * (date(year(P130) + 3, month(P"&amp;"130), day(P130)) &lt; SmartStatus!F$2:F1000))), (isblank(SmartStatus!G$2:G1000)) + (((Q130 &lt;&gt; """") * (Q130 &gt;= SmartStatus!G$2:G1000)) + ((P130 &lt;&gt; """") * (P130 &gt;= SmartStatus!G$2:G1000)))), if(or(regexmatch(B130, ""(?i)^ir [a-z]+ designation$""), N130 &lt;&gt; """&amp;"""), 1, 2))), """"), ""NO_MATCH"")"),"")</f>
        <v/>
      </c>
      <c r="AS130" s="11"/>
      <c r="AT130" s="15"/>
      <c r="AU130" s="11"/>
      <c r="AV130" s="11"/>
      <c r="AW130" s="15"/>
      <c r="AX130" s="15"/>
      <c r="AY130" s="15"/>
      <c r="AZ130" s="11"/>
      <c r="BA130" s="15"/>
      <c r="BB130" s="11"/>
      <c r="BC130" s="11"/>
      <c r="BD130" s="15"/>
      <c r="BE130" s="11"/>
      <c r="BF130" s="11"/>
      <c r="BG130" s="15"/>
      <c r="BH130" s="15"/>
      <c r="BI130" s="15"/>
      <c r="BJ130" s="11"/>
      <c r="BK130" s="15"/>
      <c r="BL130" s="11"/>
      <c r="BM130" s="11"/>
      <c r="BN130" s="15"/>
      <c r="BO130" s="11"/>
      <c r="BP130" s="11"/>
      <c r="BQ130" s="15"/>
      <c r="BR130" s="15"/>
      <c r="BS130" s="15"/>
      <c r="BT130" s="11"/>
      <c r="BU130" s="15"/>
      <c r="BV130" s="11"/>
      <c r="BW130" s="11"/>
      <c r="BX130" s="15"/>
      <c r="BY130" s="11"/>
      <c r="BZ130" s="11"/>
      <c r="CA130" s="15"/>
      <c r="CB130" s="11"/>
      <c r="CC130" s="15"/>
      <c r="CD130" s="11"/>
      <c r="CE130" s="15"/>
      <c r="CF130" s="11"/>
      <c r="CG130" s="11"/>
      <c r="CH130" s="15"/>
      <c r="CI130" s="11"/>
      <c r="CJ130" s="11"/>
      <c r="CK130" s="15"/>
      <c r="CL130" s="11"/>
      <c r="CM130" s="11"/>
      <c r="CN130" s="11"/>
      <c r="CO130" s="11"/>
      <c r="CP130" s="28"/>
      <c r="CQ130" s="28"/>
      <c r="CR130" s="11"/>
      <c r="CS130" s="29"/>
      <c r="CT130" s="11"/>
      <c r="CU130" s="11"/>
      <c r="CV130" s="11"/>
      <c r="CW130" s="11"/>
      <c r="CX130" s="11"/>
      <c r="CY130" s="11"/>
      <c r="CZ130" s="11"/>
      <c r="DA130" s="28"/>
      <c r="DB130" s="28"/>
      <c r="DC130" s="11"/>
      <c r="DD130" s="29"/>
      <c r="DE130" s="11"/>
      <c r="DF130" s="11"/>
      <c r="DG130" s="11"/>
      <c r="DH130" s="11"/>
      <c r="DI130" s="11"/>
      <c r="DJ130" s="11"/>
      <c r="DK130" s="26"/>
      <c r="DL130" s="11"/>
      <c r="DM130" s="29"/>
      <c r="DN130" s="28"/>
      <c r="DO130" s="11"/>
      <c r="DP130" s="11"/>
      <c r="DQ130" s="11"/>
      <c r="DR130" s="29"/>
      <c r="DS130" s="28"/>
      <c r="DT130" s="11"/>
      <c r="DU130" s="26"/>
      <c r="DV130" s="11"/>
      <c r="DW130" s="29"/>
      <c r="DX130" s="28"/>
      <c r="DY130" s="11"/>
      <c r="DZ130" s="26"/>
      <c r="EA130" s="11"/>
      <c r="EB130" s="29"/>
      <c r="EC130" s="28"/>
      <c r="ED130" s="30"/>
      <c r="EE130" s="30" t="str">
        <f ca="1">IFERROR(__xludf.DUMMYFUNCTION("iferror(index(filter('Internal -- Trademark Countries'!E$2:E1000, (AM130 = 'Internal -- Trademark Countries'!B$2:B1000) + (AM130 = 'Internal -- Trademark Countries'!C$2:C1000) + (AM130 = 'Internal -- Trademark Countries'!D$2:D1000)), 1))"),"")</f>
        <v/>
      </c>
      <c r="EF130" s="30" t="e">
        <f ca="1">_xludf.ifs(AM130="", "", COUNTIF('Internal -- Trademark Countries'!B:B,AM130) &gt; 0, "polity_shortest_name", COUNTIF('Internal -- Trademark Countries'!C:C,AM130) &gt; 0, "polity_full_name", COUNTIF('Internal -- Trademark Countries'!D:D,AM130) &gt; 0, "polity_common_name", COUNTIF('Internal -- Trademark Countries'!E:E,AM130) &gt; 0, "shortest_name", COUNTIF('Internal -- Trademark Countries'!A:A,AM130) &gt; 0, "full_name", TRUE, "not a match")</f>
        <v>#NAME?</v>
      </c>
      <c r="EG130" s="30"/>
      <c r="EH130" s="30"/>
      <c r="EI130" s="30"/>
      <c r="EJ130" s="30"/>
      <c r="EK130" s="30" t="str">
        <f t="shared" si="2"/>
        <v/>
      </c>
    </row>
    <row r="131" spans="1:141" ht="16.5">
      <c r="A131" s="11"/>
      <c r="B131" s="11"/>
      <c r="C131" s="11"/>
      <c r="D131" s="11"/>
      <c r="E131" s="11"/>
      <c r="F131" s="11"/>
      <c r="G131" s="11"/>
      <c r="H131" s="11"/>
      <c r="I131" s="11"/>
      <c r="J131" s="11"/>
      <c r="K131" s="27"/>
      <c r="L131" s="11"/>
      <c r="M131" s="11"/>
      <c r="N131" s="11"/>
      <c r="O131" s="11"/>
      <c r="P131" s="15"/>
      <c r="Q131" s="15"/>
      <c r="R131" s="15"/>
      <c r="S131" s="15"/>
      <c r="T131" s="15"/>
      <c r="U131" s="15"/>
      <c r="V131" s="15"/>
      <c r="W131" s="47"/>
      <c r="X131" s="11"/>
      <c r="Y131" s="48"/>
      <c r="Z131" s="11"/>
      <c r="AA131" s="48"/>
      <c r="AB131" s="11"/>
      <c r="AC131" s="48"/>
      <c r="AD131" s="11"/>
      <c r="AE131" s="47"/>
      <c r="AF131" s="11"/>
      <c r="AG131" s="48"/>
      <c r="AH131" s="11"/>
      <c r="AI131" s="48"/>
      <c r="AJ131" s="11"/>
      <c r="AK131" s="48"/>
      <c r="AL131" s="11"/>
      <c r="AM131" s="49"/>
      <c r="AN131" s="49"/>
      <c r="AO131" s="11"/>
      <c r="AP131" s="11"/>
      <c r="AQ131" s="28" t="b">
        <f>IF(COUNTIF(SmartStatus!A$2:A1000, AM131) &gt; 2, TRUE, FALSE)</f>
        <v>0</v>
      </c>
      <c r="AR131" s="29" t="str">
        <f ca="1">IFERROR(__xludf.DUMMYFUNCTION("iferror(if(regexmatch(AO131, ""(?i)^registered""), if(EE131 &lt;&gt; ""polity_shortest_name"", ""CHECK_POLITY"", index(filter(SmartStatus!B$2:B1000, AM131 = SmartStatus!A$2:A1000, not(SmartStatus!C$2:C1000), (isblank(SmartStatus!D$2:D1000)) + ((P131 &lt;&gt; """") * "&amp;"(P131 &lt; SmartStatus!D$2:D1000)), (isblank(SmartStatus!E$2:E1000)) + ((P131 &lt;&gt; """") * (P131 &gt;= SmartStatus!E$2:E1000)), (isblank(SmartStatus!F$2:F1000)) + (((Q131 &lt;&gt; """") * (Q131 &lt; SmartStatus!F$2:F1000)) + ((P131 &lt;&gt; """") * (date(year(P131) + 3, month(P"&amp;"131), day(P131)) &lt; SmartStatus!F$2:F1000))), (isblank(SmartStatus!G$2:G1000)) + (((Q131 &lt;&gt; """") * (Q131 &gt;= SmartStatus!G$2:G1000)) + ((P131 &lt;&gt; """") * (P131 &gt;= SmartStatus!G$2:G1000)))), if(or(regexmatch(B131, ""(?i)^ir [a-z]+ designation$""), N131 &lt;&gt; """&amp;"""), 1, 2))), """"), ""NO_MATCH"")"),"")</f>
        <v/>
      </c>
      <c r="AS131" s="11"/>
      <c r="AT131" s="15"/>
      <c r="AU131" s="11"/>
      <c r="AV131" s="11"/>
      <c r="AW131" s="15"/>
      <c r="AX131" s="15"/>
      <c r="AY131" s="15"/>
      <c r="AZ131" s="11"/>
      <c r="BA131" s="15"/>
      <c r="BB131" s="11"/>
      <c r="BC131" s="11"/>
      <c r="BD131" s="15"/>
      <c r="BE131" s="11"/>
      <c r="BF131" s="11"/>
      <c r="BG131" s="15"/>
      <c r="BH131" s="15"/>
      <c r="BI131" s="15"/>
      <c r="BJ131" s="11"/>
      <c r="BK131" s="15"/>
      <c r="BL131" s="11"/>
      <c r="BM131" s="11"/>
      <c r="BN131" s="15"/>
      <c r="BO131" s="11"/>
      <c r="BP131" s="11"/>
      <c r="BQ131" s="15"/>
      <c r="BR131" s="15"/>
      <c r="BS131" s="15"/>
      <c r="BT131" s="11"/>
      <c r="BU131" s="15"/>
      <c r="BV131" s="11"/>
      <c r="BW131" s="11"/>
      <c r="BX131" s="15"/>
      <c r="BY131" s="11"/>
      <c r="BZ131" s="11"/>
      <c r="CA131" s="15"/>
      <c r="CB131" s="11"/>
      <c r="CC131" s="15"/>
      <c r="CD131" s="11"/>
      <c r="CE131" s="15"/>
      <c r="CF131" s="11"/>
      <c r="CG131" s="11"/>
      <c r="CH131" s="15"/>
      <c r="CI131" s="11"/>
      <c r="CJ131" s="11"/>
      <c r="CK131" s="15"/>
      <c r="CL131" s="11"/>
      <c r="CM131" s="11"/>
      <c r="CN131" s="11"/>
      <c r="CO131" s="11"/>
      <c r="CP131" s="28"/>
      <c r="CQ131" s="28"/>
      <c r="CR131" s="11"/>
      <c r="CS131" s="29"/>
      <c r="CT131" s="11"/>
      <c r="CU131" s="11"/>
      <c r="CV131" s="11"/>
      <c r="CW131" s="11"/>
      <c r="CX131" s="11"/>
      <c r="CY131" s="11"/>
      <c r="CZ131" s="11"/>
      <c r="DA131" s="28"/>
      <c r="DB131" s="28"/>
      <c r="DC131" s="11"/>
      <c r="DD131" s="29"/>
      <c r="DE131" s="11"/>
      <c r="DF131" s="11"/>
      <c r="DG131" s="11"/>
      <c r="DH131" s="11"/>
      <c r="DI131" s="11"/>
      <c r="DJ131" s="11"/>
      <c r="DK131" s="26"/>
      <c r="DL131" s="11"/>
      <c r="DM131" s="29"/>
      <c r="DN131" s="28"/>
      <c r="DO131" s="11"/>
      <c r="DP131" s="11"/>
      <c r="DQ131" s="11"/>
      <c r="DR131" s="29"/>
      <c r="DS131" s="28"/>
      <c r="DT131" s="11"/>
      <c r="DU131" s="26"/>
      <c r="DV131" s="11"/>
      <c r="DW131" s="29"/>
      <c r="DX131" s="28"/>
      <c r="DY131" s="11"/>
      <c r="DZ131" s="26"/>
      <c r="EA131" s="11"/>
      <c r="EB131" s="29"/>
      <c r="EC131" s="28"/>
      <c r="ED131" s="30"/>
      <c r="EE131" s="30" t="str">
        <f ca="1">IFERROR(__xludf.DUMMYFUNCTION("iferror(index(filter('Internal -- Trademark Countries'!E$2:E1000, (AM131 = 'Internal -- Trademark Countries'!B$2:B1000) + (AM131 = 'Internal -- Trademark Countries'!C$2:C1000) + (AM131 = 'Internal -- Trademark Countries'!D$2:D1000)), 1))"),"")</f>
        <v/>
      </c>
      <c r="EF131" s="30" t="e">
        <f ca="1">_xludf.ifs(AM131="", "", COUNTIF('Internal -- Trademark Countries'!B:B,AM131) &gt; 0, "polity_shortest_name", COUNTIF('Internal -- Trademark Countries'!C:C,AM131) &gt; 0, "polity_full_name", COUNTIF('Internal -- Trademark Countries'!D:D,AM131) &gt; 0, "polity_common_name", COUNTIF('Internal -- Trademark Countries'!E:E,AM131) &gt; 0, "shortest_name", COUNTIF('Internal -- Trademark Countries'!A:A,AM131) &gt; 0, "full_name", TRUE, "not a match")</f>
        <v>#NAME?</v>
      </c>
      <c r="EG131" s="30"/>
      <c r="EH131" s="30"/>
      <c r="EI131" s="30"/>
      <c r="EJ131" s="30"/>
      <c r="EK131" s="30" t="str">
        <f t="shared" si="2"/>
        <v/>
      </c>
    </row>
    <row r="132" spans="1:141" ht="16.5">
      <c r="A132" s="11"/>
      <c r="B132" s="11"/>
      <c r="C132" s="11"/>
      <c r="D132" s="11"/>
      <c r="E132" s="11"/>
      <c r="F132" s="11"/>
      <c r="G132" s="11"/>
      <c r="H132" s="11"/>
      <c r="I132" s="11"/>
      <c r="J132" s="11"/>
      <c r="K132" s="27"/>
      <c r="L132" s="11"/>
      <c r="M132" s="11"/>
      <c r="N132" s="11"/>
      <c r="O132" s="11"/>
      <c r="P132" s="15"/>
      <c r="Q132" s="15"/>
      <c r="R132" s="15"/>
      <c r="S132" s="15"/>
      <c r="T132" s="15"/>
      <c r="U132" s="15"/>
      <c r="V132" s="15"/>
      <c r="W132" s="47"/>
      <c r="X132" s="11"/>
      <c r="Y132" s="48"/>
      <c r="Z132" s="11"/>
      <c r="AA132" s="48"/>
      <c r="AB132" s="11"/>
      <c r="AC132" s="48"/>
      <c r="AD132" s="11"/>
      <c r="AE132" s="47"/>
      <c r="AF132" s="11"/>
      <c r="AG132" s="48"/>
      <c r="AH132" s="11"/>
      <c r="AI132" s="48"/>
      <c r="AJ132" s="11"/>
      <c r="AK132" s="48"/>
      <c r="AL132" s="11"/>
      <c r="AM132" s="49"/>
      <c r="AN132" s="49"/>
      <c r="AO132" s="11"/>
      <c r="AP132" s="11"/>
      <c r="AQ132" s="28" t="b">
        <f>IF(COUNTIF(SmartStatus!A$2:A1000, AM132) &gt; 2, TRUE, FALSE)</f>
        <v>0</v>
      </c>
      <c r="AR132" s="29" t="str">
        <f ca="1">IFERROR(__xludf.DUMMYFUNCTION("iferror(if(regexmatch(AO132, ""(?i)^registered""), if(EE132 &lt;&gt; ""polity_shortest_name"", ""CHECK_POLITY"", index(filter(SmartStatus!B$2:B1000, AM132 = SmartStatus!A$2:A1000, not(SmartStatus!C$2:C1000), (isblank(SmartStatus!D$2:D1000)) + ((P132 &lt;&gt; """") * "&amp;"(P132 &lt; SmartStatus!D$2:D1000)), (isblank(SmartStatus!E$2:E1000)) + ((P132 &lt;&gt; """") * (P132 &gt;= SmartStatus!E$2:E1000)), (isblank(SmartStatus!F$2:F1000)) + (((Q132 &lt;&gt; """") * (Q132 &lt; SmartStatus!F$2:F1000)) + ((P132 &lt;&gt; """") * (date(year(P132) + 3, month(P"&amp;"132), day(P132)) &lt; SmartStatus!F$2:F1000))), (isblank(SmartStatus!G$2:G1000)) + (((Q132 &lt;&gt; """") * (Q132 &gt;= SmartStatus!G$2:G1000)) + ((P132 &lt;&gt; """") * (P132 &gt;= SmartStatus!G$2:G1000)))), if(or(regexmatch(B132, ""(?i)^ir [a-z]+ designation$""), N132 &lt;&gt; """&amp;"""), 1, 2))), """"), ""NO_MATCH"")"),"")</f>
        <v/>
      </c>
      <c r="AS132" s="11"/>
      <c r="AT132" s="15"/>
      <c r="AU132" s="11"/>
      <c r="AV132" s="11"/>
      <c r="AW132" s="15"/>
      <c r="AX132" s="15"/>
      <c r="AY132" s="15"/>
      <c r="AZ132" s="11"/>
      <c r="BA132" s="15"/>
      <c r="BB132" s="11"/>
      <c r="BC132" s="11"/>
      <c r="BD132" s="15"/>
      <c r="BE132" s="11"/>
      <c r="BF132" s="11"/>
      <c r="BG132" s="15"/>
      <c r="BH132" s="15"/>
      <c r="BI132" s="15"/>
      <c r="BJ132" s="11"/>
      <c r="BK132" s="15"/>
      <c r="BL132" s="11"/>
      <c r="BM132" s="11"/>
      <c r="BN132" s="15"/>
      <c r="BO132" s="11"/>
      <c r="BP132" s="11"/>
      <c r="BQ132" s="15"/>
      <c r="BR132" s="15"/>
      <c r="BS132" s="15"/>
      <c r="BT132" s="11"/>
      <c r="BU132" s="15"/>
      <c r="BV132" s="11"/>
      <c r="BW132" s="11"/>
      <c r="BX132" s="15"/>
      <c r="BY132" s="11"/>
      <c r="BZ132" s="11"/>
      <c r="CA132" s="15"/>
      <c r="CB132" s="11"/>
      <c r="CC132" s="15"/>
      <c r="CD132" s="11"/>
      <c r="CE132" s="15"/>
      <c r="CF132" s="11"/>
      <c r="CG132" s="11"/>
      <c r="CH132" s="15"/>
      <c r="CI132" s="11"/>
      <c r="CJ132" s="11"/>
      <c r="CK132" s="15"/>
      <c r="CL132" s="11"/>
      <c r="CM132" s="11"/>
      <c r="CN132" s="11"/>
      <c r="CO132" s="11"/>
      <c r="CP132" s="28"/>
      <c r="CQ132" s="28"/>
      <c r="CR132" s="11"/>
      <c r="CS132" s="29"/>
      <c r="CT132" s="11"/>
      <c r="CU132" s="11"/>
      <c r="CV132" s="11"/>
      <c r="CW132" s="11"/>
      <c r="CX132" s="11"/>
      <c r="CY132" s="11"/>
      <c r="CZ132" s="11"/>
      <c r="DA132" s="28"/>
      <c r="DB132" s="28"/>
      <c r="DC132" s="11"/>
      <c r="DD132" s="29"/>
      <c r="DE132" s="11"/>
      <c r="DF132" s="11"/>
      <c r="DG132" s="11"/>
      <c r="DH132" s="11"/>
      <c r="DI132" s="11"/>
      <c r="DJ132" s="11"/>
      <c r="DK132" s="26"/>
      <c r="DL132" s="11"/>
      <c r="DM132" s="29"/>
      <c r="DN132" s="28"/>
      <c r="DO132" s="11"/>
      <c r="DP132" s="11"/>
      <c r="DQ132" s="11"/>
      <c r="DR132" s="29"/>
      <c r="DS132" s="28"/>
      <c r="DT132" s="11"/>
      <c r="DU132" s="26"/>
      <c r="DV132" s="11"/>
      <c r="DW132" s="29"/>
      <c r="DX132" s="28"/>
      <c r="DY132" s="11"/>
      <c r="DZ132" s="26"/>
      <c r="EA132" s="11"/>
      <c r="EB132" s="29"/>
      <c r="EC132" s="28"/>
      <c r="ED132" s="30"/>
      <c r="EE132" s="30" t="str">
        <f ca="1">IFERROR(__xludf.DUMMYFUNCTION("iferror(index(filter('Internal -- Trademark Countries'!E$2:E1000, (AM132 = 'Internal -- Trademark Countries'!B$2:B1000) + (AM132 = 'Internal -- Trademark Countries'!C$2:C1000) + (AM132 = 'Internal -- Trademark Countries'!D$2:D1000)), 1))"),"")</f>
        <v/>
      </c>
      <c r="EF132" s="30" t="e">
        <f ca="1">_xludf.ifs(AM132="", "", COUNTIF('Internal -- Trademark Countries'!B:B,AM132) &gt; 0, "polity_shortest_name", COUNTIF('Internal -- Trademark Countries'!C:C,AM132) &gt; 0, "polity_full_name", COUNTIF('Internal -- Trademark Countries'!D:D,AM132) &gt; 0, "polity_common_name", COUNTIF('Internal -- Trademark Countries'!E:E,AM132) &gt; 0, "shortest_name", COUNTIF('Internal -- Trademark Countries'!A:A,AM132) &gt; 0, "full_name", TRUE, "not a match")</f>
        <v>#NAME?</v>
      </c>
      <c r="EG132" s="30"/>
      <c r="EH132" s="30"/>
      <c r="EI132" s="30"/>
      <c r="EJ132" s="30"/>
      <c r="EK132" s="30" t="str">
        <f t="shared" si="2"/>
        <v/>
      </c>
    </row>
    <row r="133" spans="1:141" ht="16.5">
      <c r="A133" s="11"/>
      <c r="B133" s="11"/>
      <c r="C133" s="11"/>
      <c r="D133" s="11"/>
      <c r="E133" s="11"/>
      <c r="F133" s="11"/>
      <c r="G133" s="11"/>
      <c r="H133" s="11"/>
      <c r="I133" s="11"/>
      <c r="J133" s="11"/>
      <c r="K133" s="27"/>
      <c r="L133" s="11"/>
      <c r="M133" s="11"/>
      <c r="N133" s="11"/>
      <c r="O133" s="11"/>
      <c r="P133" s="15"/>
      <c r="Q133" s="15"/>
      <c r="R133" s="15"/>
      <c r="S133" s="15"/>
      <c r="T133" s="15"/>
      <c r="U133" s="15"/>
      <c r="V133" s="15"/>
      <c r="W133" s="47"/>
      <c r="X133" s="11"/>
      <c r="Y133" s="48"/>
      <c r="Z133" s="11"/>
      <c r="AA133" s="48"/>
      <c r="AB133" s="11"/>
      <c r="AC133" s="48"/>
      <c r="AD133" s="11"/>
      <c r="AE133" s="47"/>
      <c r="AF133" s="11"/>
      <c r="AG133" s="48"/>
      <c r="AH133" s="11"/>
      <c r="AI133" s="48"/>
      <c r="AJ133" s="11"/>
      <c r="AK133" s="48"/>
      <c r="AL133" s="11"/>
      <c r="AM133" s="49"/>
      <c r="AN133" s="49"/>
      <c r="AO133" s="11"/>
      <c r="AP133" s="11"/>
      <c r="AQ133" s="28" t="b">
        <f>IF(COUNTIF(SmartStatus!A$2:A1000, AM133) &gt; 2, TRUE, FALSE)</f>
        <v>0</v>
      </c>
      <c r="AR133" s="29" t="str">
        <f ca="1">IFERROR(__xludf.DUMMYFUNCTION("iferror(if(regexmatch(AO133, ""(?i)^registered""), if(EE133 &lt;&gt; ""polity_shortest_name"", ""CHECK_POLITY"", index(filter(SmartStatus!B$2:B1000, AM133 = SmartStatus!A$2:A1000, not(SmartStatus!C$2:C1000), (isblank(SmartStatus!D$2:D1000)) + ((P133 &lt;&gt; """") * "&amp;"(P133 &lt; SmartStatus!D$2:D1000)), (isblank(SmartStatus!E$2:E1000)) + ((P133 &lt;&gt; """") * (P133 &gt;= SmartStatus!E$2:E1000)), (isblank(SmartStatus!F$2:F1000)) + (((Q133 &lt;&gt; """") * (Q133 &lt; SmartStatus!F$2:F1000)) + ((P133 &lt;&gt; """") * (date(year(P133) + 3, month(P"&amp;"133), day(P133)) &lt; SmartStatus!F$2:F1000))), (isblank(SmartStatus!G$2:G1000)) + (((Q133 &lt;&gt; """") * (Q133 &gt;= SmartStatus!G$2:G1000)) + ((P133 &lt;&gt; """") * (P133 &gt;= SmartStatus!G$2:G1000)))), if(or(regexmatch(B133, ""(?i)^ir [a-z]+ designation$""), N133 &lt;&gt; """&amp;"""), 1, 2))), """"), ""NO_MATCH"")"),"")</f>
        <v/>
      </c>
      <c r="AS133" s="11"/>
      <c r="AT133" s="15"/>
      <c r="AU133" s="11"/>
      <c r="AV133" s="11"/>
      <c r="AW133" s="15"/>
      <c r="AX133" s="15"/>
      <c r="AY133" s="15"/>
      <c r="AZ133" s="11"/>
      <c r="BA133" s="15"/>
      <c r="BB133" s="11"/>
      <c r="BC133" s="11"/>
      <c r="BD133" s="15"/>
      <c r="BE133" s="11"/>
      <c r="BF133" s="11"/>
      <c r="BG133" s="15"/>
      <c r="BH133" s="15"/>
      <c r="BI133" s="15"/>
      <c r="BJ133" s="11"/>
      <c r="BK133" s="15"/>
      <c r="BL133" s="11"/>
      <c r="BM133" s="11"/>
      <c r="BN133" s="15"/>
      <c r="BO133" s="11"/>
      <c r="BP133" s="11"/>
      <c r="BQ133" s="15"/>
      <c r="BR133" s="15"/>
      <c r="BS133" s="15"/>
      <c r="BT133" s="11"/>
      <c r="BU133" s="15"/>
      <c r="BV133" s="11"/>
      <c r="BW133" s="11"/>
      <c r="BX133" s="15"/>
      <c r="BY133" s="11"/>
      <c r="BZ133" s="11"/>
      <c r="CA133" s="15"/>
      <c r="CB133" s="11"/>
      <c r="CC133" s="15"/>
      <c r="CD133" s="11"/>
      <c r="CE133" s="15"/>
      <c r="CF133" s="11"/>
      <c r="CG133" s="11"/>
      <c r="CH133" s="15"/>
      <c r="CI133" s="11"/>
      <c r="CJ133" s="11"/>
      <c r="CK133" s="15"/>
      <c r="CL133" s="11"/>
      <c r="CM133" s="11"/>
      <c r="CN133" s="11"/>
      <c r="CO133" s="11"/>
      <c r="CP133" s="28"/>
      <c r="CQ133" s="28"/>
      <c r="CR133" s="11"/>
      <c r="CS133" s="29"/>
      <c r="CT133" s="11"/>
      <c r="CU133" s="11"/>
      <c r="CV133" s="11"/>
      <c r="CW133" s="11"/>
      <c r="CX133" s="11"/>
      <c r="CY133" s="11"/>
      <c r="CZ133" s="11"/>
      <c r="DA133" s="28"/>
      <c r="DB133" s="28"/>
      <c r="DC133" s="11"/>
      <c r="DD133" s="29"/>
      <c r="DE133" s="11"/>
      <c r="DF133" s="11"/>
      <c r="DG133" s="11"/>
      <c r="DH133" s="11"/>
      <c r="DI133" s="11"/>
      <c r="DJ133" s="11"/>
      <c r="DK133" s="26"/>
      <c r="DL133" s="11"/>
      <c r="DM133" s="29"/>
      <c r="DN133" s="28"/>
      <c r="DO133" s="11"/>
      <c r="DP133" s="11"/>
      <c r="DQ133" s="11"/>
      <c r="DR133" s="29"/>
      <c r="DS133" s="28"/>
      <c r="DT133" s="11"/>
      <c r="DU133" s="26"/>
      <c r="DV133" s="11"/>
      <c r="DW133" s="29"/>
      <c r="DX133" s="28"/>
      <c r="DY133" s="11"/>
      <c r="DZ133" s="26"/>
      <c r="EA133" s="11"/>
      <c r="EB133" s="29"/>
      <c r="EC133" s="28"/>
      <c r="ED133" s="30"/>
      <c r="EE133" s="30" t="str">
        <f ca="1">IFERROR(__xludf.DUMMYFUNCTION("iferror(index(filter('Internal -- Trademark Countries'!E$2:E1000, (AM133 = 'Internal -- Trademark Countries'!B$2:B1000) + (AM133 = 'Internal -- Trademark Countries'!C$2:C1000) + (AM133 = 'Internal -- Trademark Countries'!D$2:D1000)), 1))"),"")</f>
        <v/>
      </c>
      <c r="EF133" s="30" t="e">
        <f ca="1">_xludf.ifs(AM133="", "", COUNTIF('Internal -- Trademark Countries'!B:B,AM133) &gt; 0, "polity_shortest_name", COUNTIF('Internal -- Trademark Countries'!C:C,AM133) &gt; 0, "polity_full_name", COUNTIF('Internal -- Trademark Countries'!D:D,AM133) &gt; 0, "polity_common_name", COUNTIF('Internal -- Trademark Countries'!E:E,AM133) &gt; 0, "shortest_name", COUNTIF('Internal -- Trademark Countries'!A:A,AM133) &gt; 0, "full_name", TRUE, "not a match")</f>
        <v>#NAME?</v>
      </c>
      <c r="EG133" s="30"/>
      <c r="EH133" s="30"/>
      <c r="EI133" s="30"/>
      <c r="EJ133" s="30"/>
      <c r="EK133" s="30" t="str">
        <f t="shared" si="2"/>
        <v/>
      </c>
    </row>
    <row r="134" spans="1:141" ht="16.5">
      <c r="A134" s="11"/>
      <c r="B134" s="11"/>
      <c r="C134" s="11"/>
      <c r="D134" s="11"/>
      <c r="E134" s="11"/>
      <c r="F134" s="11"/>
      <c r="G134" s="11"/>
      <c r="H134" s="11"/>
      <c r="I134" s="11"/>
      <c r="J134" s="11"/>
      <c r="K134" s="27"/>
      <c r="L134" s="11"/>
      <c r="M134" s="11"/>
      <c r="N134" s="11"/>
      <c r="O134" s="11"/>
      <c r="P134" s="15"/>
      <c r="Q134" s="15"/>
      <c r="R134" s="15"/>
      <c r="S134" s="15"/>
      <c r="T134" s="15"/>
      <c r="U134" s="15"/>
      <c r="V134" s="15"/>
      <c r="W134" s="47"/>
      <c r="X134" s="11"/>
      <c r="Y134" s="48"/>
      <c r="Z134" s="11"/>
      <c r="AA134" s="48"/>
      <c r="AB134" s="11"/>
      <c r="AC134" s="48"/>
      <c r="AD134" s="11"/>
      <c r="AE134" s="47"/>
      <c r="AF134" s="11"/>
      <c r="AG134" s="48"/>
      <c r="AH134" s="11"/>
      <c r="AI134" s="48"/>
      <c r="AJ134" s="11"/>
      <c r="AK134" s="48"/>
      <c r="AL134" s="11"/>
      <c r="AM134" s="49"/>
      <c r="AN134" s="49"/>
      <c r="AO134" s="11"/>
      <c r="AP134" s="11"/>
      <c r="AQ134" s="28" t="b">
        <f>IF(COUNTIF(SmartStatus!A$2:A1000, AM134) &gt; 2, TRUE, FALSE)</f>
        <v>0</v>
      </c>
      <c r="AR134" s="29" t="str">
        <f ca="1">IFERROR(__xludf.DUMMYFUNCTION("iferror(if(regexmatch(AO134, ""(?i)^registered""), if(EE134 &lt;&gt; ""polity_shortest_name"", ""CHECK_POLITY"", index(filter(SmartStatus!B$2:B1000, AM134 = SmartStatus!A$2:A1000, not(SmartStatus!C$2:C1000), (isblank(SmartStatus!D$2:D1000)) + ((P134 &lt;&gt; """") * "&amp;"(P134 &lt; SmartStatus!D$2:D1000)), (isblank(SmartStatus!E$2:E1000)) + ((P134 &lt;&gt; """") * (P134 &gt;= SmartStatus!E$2:E1000)), (isblank(SmartStatus!F$2:F1000)) + (((Q134 &lt;&gt; """") * (Q134 &lt; SmartStatus!F$2:F1000)) + ((P134 &lt;&gt; """") * (date(year(P134) + 3, month(P"&amp;"134), day(P134)) &lt; SmartStatus!F$2:F1000))), (isblank(SmartStatus!G$2:G1000)) + (((Q134 &lt;&gt; """") * (Q134 &gt;= SmartStatus!G$2:G1000)) + ((P134 &lt;&gt; """") * (P134 &gt;= SmartStatus!G$2:G1000)))), if(or(regexmatch(B134, ""(?i)^ir [a-z]+ designation$""), N134 &lt;&gt; """&amp;"""), 1, 2))), """"), ""NO_MATCH"")"),"")</f>
        <v/>
      </c>
      <c r="AS134" s="11"/>
      <c r="AT134" s="15"/>
      <c r="AU134" s="11"/>
      <c r="AV134" s="11"/>
      <c r="AW134" s="15"/>
      <c r="AX134" s="15"/>
      <c r="AY134" s="15"/>
      <c r="AZ134" s="11"/>
      <c r="BA134" s="15"/>
      <c r="BB134" s="11"/>
      <c r="BC134" s="11"/>
      <c r="BD134" s="15"/>
      <c r="BE134" s="11"/>
      <c r="BF134" s="11"/>
      <c r="BG134" s="15"/>
      <c r="BH134" s="15"/>
      <c r="BI134" s="15"/>
      <c r="BJ134" s="11"/>
      <c r="BK134" s="15"/>
      <c r="BL134" s="11"/>
      <c r="BM134" s="11"/>
      <c r="BN134" s="15"/>
      <c r="BO134" s="11"/>
      <c r="BP134" s="11"/>
      <c r="BQ134" s="15"/>
      <c r="BR134" s="15"/>
      <c r="BS134" s="15"/>
      <c r="BT134" s="11"/>
      <c r="BU134" s="15"/>
      <c r="BV134" s="11"/>
      <c r="BW134" s="11"/>
      <c r="BX134" s="15"/>
      <c r="BY134" s="11"/>
      <c r="BZ134" s="11"/>
      <c r="CA134" s="15"/>
      <c r="CB134" s="11"/>
      <c r="CC134" s="15"/>
      <c r="CD134" s="11"/>
      <c r="CE134" s="15"/>
      <c r="CF134" s="11"/>
      <c r="CG134" s="11"/>
      <c r="CH134" s="15"/>
      <c r="CI134" s="11"/>
      <c r="CJ134" s="11"/>
      <c r="CK134" s="15"/>
      <c r="CL134" s="11"/>
      <c r="CM134" s="11"/>
      <c r="CN134" s="11"/>
      <c r="CO134" s="11"/>
      <c r="CP134" s="28"/>
      <c r="CQ134" s="28"/>
      <c r="CR134" s="11"/>
      <c r="CS134" s="29"/>
      <c r="CT134" s="11"/>
      <c r="CU134" s="11"/>
      <c r="CV134" s="11"/>
      <c r="CW134" s="11"/>
      <c r="CX134" s="11"/>
      <c r="CY134" s="11"/>
      <c r="CZ134" s="11"/>
      <c r="DA134" s="28"/>
      <c r="DB134" s="28"/>
      <c r="DC134" s="11"/>
      <c r="DD134" s="29"/>
      <c r="DE134" s="11"/>
      <c r="DF134" s="11"/>
      <c r="DG134" s="11"/>
      <c r="DH134" s="11"/>
      <c r="DI134" s="11"/>
      <c r="DJ134" s="11"/>
      <c r="DK134" s="26"/>
      <c r="DL134" s="11"/>
      <c r="DM134" s="29"/>
      <c r="DN134" s="28"/>
      <c r="DO134" s="11"/>
      <c r="DP134" s="11"/>
      <c r="DQ134" s="11"/>
      <c r="DR134" s="29"/>
      <c r="DS134" s="28"/>
      <c r="DT134" s="11"/>
      <c r="DU134" s="26"/>
      <c r="DV134" s="11"/>
      <c r="DW134" s="29"/>
      <c r="DX134" s="28"/>
      <c r="DY134" s="11"/>
      <c r="DZ134" s="26"/>
      <c r="EA134" s="11"/>
      <c r="EB134" s="29"/>
      <c r="EC134" s="28"/>
      <c r="ED134" s="30"/>
      <c r="EE134" s="30" t="str">
        <f ca="1">IFERROR(__xludf.DUMMYFUNCTION("iferror(index(filter('Internal -- Trademark Countries'!E$2:E1000, (AM134 = 'Internal -- Trademark Countries'!B$2:B1000) + (AM134 = 'Internal -- Trademark Countries'!C$2:C1000) + (AM134 = 'Internal -- Trademark Countries'!D$2:D1000)), 1))"),"")</f>
        <v/>
      </c>
      <c r="EF134" s="30" t="e">
        <f ca="1">_xludf.ifs(AM134="", "", COUNTIF('Internal -- Trademark Countries'!B:B,AM134) &gt; 0, "polity_shortest_name", COUNTIF('Internal -- Trademark Countries'!C:C,AM134) &gt; 0, "polity_full_name", COUNTIF('Internal -- Trademark Countries'!D:D,AM134) &gt; 0, "polity_common_name", COUNTIF('Internal -- Trademark Countries'!E:E,AM134) &gt; 0, "shortest_name", COUNTIF('Internal -- Trademark Countries'!A:A,AM134) &gt; 0, "full_name", TRUE, "not a match")</f>
        <v>#NAME?</v>
      </c>
      <c r="EG134" s="30"/>
      <c r="EH134" s="30"/>
      <c r="EI134" s="30"/>
      <c r="EJ134" s="30"/>
      <c r="EK134" s="30" t="str">
        <f t="shared" si="2"/>
        <v/>
      </c>
    </row>
    <row r="135" spans="1:141" ht="16.5">
      <c r="A135" s="11"/>
      <c r="B135" s="11"/>
      <c r="C135" s="11"/>
      <c r="D135" s="11"/>
      <c r="E135" s="11"/>
      <c r="F135" s="11"/>
      <c r="G135" s="11"/>
      <c r="H135" s="11"/>
      <c r="I135" s="11"/>
      <c r="J135" s="11"/>
      <c r="K135" s="27"/>
      <c r="L135" s="11"/>
      <c r="M135" s="11"/>
      <c r="N135" s="11"/>
      <c r="O135" s="11"/>
      <c r="P135" s="15"/>
      <c r="Q135" s="15"/>
      <c r="R135" s="15"/>
      <c r="S135" s="15"/>
      <c r="T135" s="15"/>
      <c r="U135" s="15"/>
      <c r="V135" s="15"/>
      <c r="W135" s="47"/>
      <c r="X135" s="11"/>
      <c r="Y135" s="48"/>
      <c r="Z135" s="11"/>
      <c r="AA135" s="48"/>
      <c r="AB135" s="11"/>
      <c r="AC135" s="48"/>
      <c r="AD135" s="11"/>
      <c r="AE135" s="47"/>
      <c r="AF135" s="11"/>
      <c r="AG135" s="48"/>
      <c r="AH135" s="11"/>
      <c r="AI135" s="48"/>
      <c r="AJ135" s="11"/>
      <c r="AK135" s="48"/>
      <c r="AL135" s="11"/>
      <c r="AM135" s="49"/>
      <c r="AN135" s="49"/>
      <c r="AO135" s="11"/>
      <c r="AP135" s="11"/>
      <c r="AQ135" s="28" t="b">
        <f>IF(COUNTIF(SmartStatus!A$2:A1000, AM135) &gt; 2, TRUE, FALSE)</f>
        <v>0</v>
      </c>
      <c r="AR135" s="29" t="str">
        <f ca="1">IFERROR(__xludf.DUMMYFUNCTION("iferror(if(regexmatch(AO135, ""(?i)^registered""), if(EE135 &lt;&gt; ""polity_shortest_name"", ""CHECK_POLITY"", index(filter(SmartStatus!B$2:B1000, AM135 = SmartStatus!A$2:A1000, not(SmartStatus!C$2:C1000), (isblank(SmartStatus!D$2:D1000)) + ((P135 &lt;&gt; """") * "&amp;"(P135 &lt; SmartStatus!D$2:D1000)), (isblank(SmartStatus!E$2:E1000)) + ((P135 &lt;&gt; """") * (P135 &gt;= SmartStatus!E$2:E1000)), (isblank(SmartStatus!F$2:F1000)) + (((Q135 &lt;&gt; """") * (Q135 &lt; SmartStatus!F$2:F1000)) + ((P135 &lt;&gt; """") * (date(year(P135) + 3, month(P"&amp;"135), day(P135)) &lt; SmartStatus!F$2:F1000))), (isblank(SmartStatus!G$2:G1000)) + (((Q135 &lt;&gt; """") * (Q135 &gt;= SmartStatus!G$2:G1000)) + ((P135 &lt;&gt; """") * (P135 &gt;= SmartStatus!G$2:G1000)))), if(or(regexmatch(B135, ""(?i)^ir [a-z]+ designation$""), N135 &lt;&gt; """&amp;"""), 1, 2))), """"), ""NO_MATCH"")"),"")</f>
        <v/>
      </c>
      <c r="AS135" s="11"/>
      <c r="AT135" s="15"/>
      <c r="AU135" s="11"/>
      <c r="AV135" s="11"/>
      <c r="AW135" s="15"/>
      <c r="AX135" s="15"/>
      <c r="AY135" s="15"/>
      <c r="AZ135" s="11"/>
      <c r="BA135" s="15"/>
      <c r="BB135" s="11"/>
      <c r="BC135" s="11"/>
      <c r="BD135" s="15"/>
      <c r="BE135" s="11"/>
      <c r="BF135" s="11"/>
      <c r="BG135" s="15"/>
      <c r="BH135" s="15"/>
      <c r="BI135" s="15"/>
      <c r="BJ135" s="11"/>
      <c r="BK135" s="15"/>
      <c r="BL135" s="11"/>
      <c r="BM135" s="11"/>
      <c r="BN135" s="15"/>
      <c r="BO135" s="11"/>
      <c r="BP135" s="11"/>
      <c r="BQ135" s="15"/>
      <c r="BR135" s="15"/>
      <c r="BS135" s="15"/>
      <c r="BT135" s="11"/>
      <c r="BU135" s="15"/>
      <c r="BV135" s="11"/>
      <c r="BW135" s="11"/>
      <c r="BX135" s="15"/>
      <c r="BY135" s="11"/>
      <c r="BZ135" s="11"/>
      <c r="CA135" s="15"/>
      <c r="CB135" s="11"/>
      <c r="CC135" s="15"/>
      <c r="CD135" s="11"/>
      <c r="CE135" s="15"/>
      <c r="CF135" s="11"/>
      <c r="CG135" s="11"/>
      <c r="CH135" s="15"/>
      <c r="CI135" s="11"/>
      <c r="CJ135" s="11"/>
      <c r="CK135" s="15"/>
      <c r="CL135" s="11"/>
      <c r="CM135" s="11"/>
      <c r="CN135" s="11"/>
      <c r="CO135" s="11"/>
      <c r="CP135" s="28"/>
      <c r="CQ135" s="28"/>
      <c r="CR135" s="11"/>
      <c r="CS135" s="29"/>
      <c r="CT135" s="11"/>
      <c r="CU135" s="11"/>
      <c r="CV135" s="11"/>
      <c r="CW135" s="11"/>
      <c r="CX135" s="11"/>
      <c r="CY135" s="11"/>
      <c r="CZ135" s="11"/>
      <c r="DA135" s="28"/>
      <c r="DB135" s="28"/>
      <c r="DC135" s="11"/>
      <c r="DD135" s="29"/>
      <c r="DE135" s="11"/>
      <c r="DF135" s="11"/>
      <c r="DG135" s="11"/>
      <c r="DH135" s="11"/>
      <c r="DI135" s="11"/>
      <c r="DJ135" s="11"/>
      <c r="DK135" s="26"/>
      <c r="DL135" s="11"/>
      <c r="DM135" s="29"/>
      <c r="DN135" s="28"/>
      <c r="DO135" s="11"/>
      <c r="DP135" s="11"/>
      <c r="DQ135" s="11"/>
      <c r="DR135" s="29"/>
      <c r="DS135" s="28"/>
      <c r="DT135" s="11"/>
      <c r="DU135" s="26"/>
      <c r="DV135" s="11"/>
      <c r="DW135" s="29"/>
      <c r="DX135" s="28"/>
      <c r="DY135" s="11"/>
      <c r="DZ135" s="26"/>
      <c r="EA135" s="11"/>
      <c r="EB135" s="29"/>
      <c r="EC135" s="28"/>
      <c r="ED135" s="30"/>
      <c r="EE135" s="30" t="str">
        <f ca="1">IFERROR(__xludf.DUMMYFUNCTION("iferror(index(filter('Internal -- Trademark Countries'!E$2:E1000, (AM135 = 'Internal -- Trademark Countries'!B$2:B1000) + (AM135 = 'Internal -- Trademark Countries'!C$2:C1000) + (AM135 = 'Internal -- Trademark Countries'!D$2:D1000)), 1))"),"")</f>
        <v/>
      </c>
      <c r="EF135" s="30" t="e">
        <f ca="1">_xludf.ifs(AM135="", "", COUNTIF('Internal -- Trademark Countries'!B:B,AM135) &gt; 0, "polity_shortest_name", COUNTIF('Internal -- Trademark Countries'!C:C,AM135) &gt; 0, "polity_full_name", COUNTIF('Internal -- Trademark Countries'!D:D,AM135) &gt; 0, "polity_common_name", COUNTIF('Internal -- Trademark Countries'!E:E,AM135) &gt; 0, "shortest_name", COUNTIF('Internal -- Trademark Countries'!A:A,AM135) &gt; 0, "full_name", TRUE, "not a match")</f>
        <v>#NAME?</v>
      </c>
      <c r="EG135" s="30"/>
      <c r="EH135" s="30"/>
      <c r="EI135" s="30"/>
      <c r="EJ135" s="30"/>
      <c r="EK135" s="30" t="str">
        <f t="shared" si="2"/>
        <v/>
      </c>
    </row>
    <row r="136" spans="1:141" ht="16.5">
      <c r="A136" s="11"/>
      <c r="B136" s="11"/>
      <c r="C136" s="11"/>
      <c r="D136" s="11"/>
      <c r="E136" s="11"/>
      <c r="F136" s="11"/>
      <c r="G136" s="11"/>
      <c r="H136" s="11"/>
      <c r="I136" s="11"/>
      <c r="J136" s="11"/>
      <c r="K136" s="27"/>
      <c r="L136" s="11"/>
      <c r="M136" s="11"/>
      <c r="N136" s="11"/>
      <c r="O136" s="11"/>
      <c r="P136" s="15"/>
      <c r="Q136" s="15"/>
      <c r="R136" s="15"/>
      <c r="S136" s="15"/>
      <c r="T136" s="15"/>
      <c r="U136" s="15"/>
      <c r="V136" s="15"/>
      <c r="W136" s="47"/>
      <c r="X136" s="11"/>
      <c r="Y136" s="48"/>
      <c r="Z136" s="11"/>
      <c r="AA136" s="48"/>
      <c r="AB136" s="11"/>
      <c r="AC136" s="48"/>
      <c r="AD136" s="11"/>
      <c r="AE136" s="47"/>
      <c r="AF136" s="11"/>
      <c r="AG136" s="48"/>
      <c r="AH136" s="11"/>
      <c r="AI136" s="48"/>
      <c r="AJ136" s="11"/>
      <c r="AK136" s="48"/>
      <c r="AL136" s="11"/>
      <c r="AM136" s="49"/>
      <c r="AN136" s="49"/>
      <c r="AO136" s="11"/>
      <c r="AP136" s="11"/>
      <c r="AQ136" s="28" t="b">
        <f>IF(COUNTIF(SmartStatus!A$2:A1000, AM136) &gt; 2, TRUE, FALSE)</f>
        <v>0</v>
      </c>
      <c r="AR136" s="29" t="str">
        <f ca="1">IFERROR(__xludf.DUMMYFUNCTION("iferror(if(regexmatch(AO136, ""(?i)^registered""), if(EE136 &lt;&gt; ""polity_shortest_name"", ""CHECK_POLITY"", index(filter(SmartStatus!B$2:B1000, AM136 = SmartStatus!A$2:A1000, not(SmartStatus!C$2:C1000), (isblank(SmartStatus!D$2:D1000)) + ((P136 &lt;&gt; """") * "&amp;"(P136 &lt; SmartStatus!D$2:D1000)), (isblank(SmartStatus!E$2:E1000)) + ((P136 &lt;&gt; """") * (P136 &gt;= SmartStatus!E$2:E1000)), (isblank(SmartStatus!F$2:F1000)) + (((Q136 &lt;&gt; """") * (Q136 &lt; SmartStatus!F$2:F1000)) + ((P136 &lt;&gt; """") * (date(year(P136) + 3, month(P"&amp;"136), day(P136)) &lt; SmartStatus!F$2:F1000))), (isblank(SmartStatus!G$2:G1000)) + (((Q136 &lt;&gt; """") * (Q136 &gt;= SmartStatus!G$2:G1000)) + ((P136 &lt;&gt; """") * (P136 &gt;= SmartStatus!G$2:G1000)))), if(or(regexmatch(B136, ""(?i)^ir [a-z]+ designation$""), N136 &lt;&gt; """&amp;"""), 1, 2))), """"), ""NO_MATCH"")"),"")</f>
        <v/>
      </c>
      <c r="AS136" s="11"/>
      <c r="AT136" s="15"/>
      <c r="AU136" s="11"/>
      <c r="AV136" s="11"/>
      <c r="AW136" s="15"/>
      <c r="AX136" s="15"/>
      <c r="AY136" s="15"/>
      <c r="AZ136" s="11"/>
      <c r="BA136" s="15"/>
      <c r="BB136" s="11"/>
      <c r="BC136" s="11"/>
      <c r="BD136" s="15"/>
      <c r="BE136" s="11"/>
      <c r="BF136" s="11"/>
      <c r="BG136" s="15"/>
      <c r="BH136" s="15"/>
      <c r="BI136" s="15"/>
      <c r="BJ136" s="11"/>
      <c r="BK136" s="15"/>
      <c r="BL136" s="11"/>
      <c r="BM136" s="11"/>
      <c r="BN136" s="15"/>
      <c r="BO136" s="11"/>
      <c r="BP136" s="11"/>
      <c r="BQ136" s="15"/>
      <c r="BR136" s="15"/>
      <c r="BS136" s="15"/>
      <c r="BT136" s="11"/>
      <c r="BU136" s="15"/>
      <c r="BV136" s="11"/>
      <c r="BW136" s="11"/>
      <c r="BX136" s="15"/>
      <c r="BY136" s="11"/>
      <c r="BZ136" s="11"/>
      <c r="CA136" s="15"/>
      <c r="CB136" s="11"/>
      <c r="CC136" s="15"/>
      <c r="CD136" s="11"/>
      <c r="CE136" s="15"/>
      <c r="CF136" s="11"/>
      <c r="CG136" s="11"/>
      <c r="CH136" s="15"/>
      <c r="CI136" s="11"/>
      <c r="CJ136" s="11"/>
      <c r="CK136" s="15"/>
      <c r="CL136" s="11"/>
      <c r="CM136" s="11"/>
      <c r="CN136" s="11"/>
      <c r="CO136" s="11"/>
      <c r="CP136" s="28"/>
      <c r="CQ136" s="28"/>
      <c r="CR136" s="11"/>
      <c r="CS136" s="29"/>
      <c r="CT136" s="11"/>
      <c r="CU136" s="11"/>
      <c r="CV136" s="11"/>
      <c r="CW136" s="11"/>
      <c r="CX136" s="11"/>
      <c r="CY136" s="11"/>
      <c r="CZ136" s="11"/>
      <c r="DA136" s="28"/>
      <c r="DB136" s="28"/>
      <c r="DC136" s="11"/>
      <c r="DD136" s="29"/>
      <c r="DE136" s="11"/>
      <c r="DF136" s="11"/>
      <c r="DG136" s="11"/>
      <c r="DH136" s="11"/>
      <c r="DI136" s="11"/>
      <c r="DJ136" s="11"/>
      <c r="DK136" s="26"/>
      <c r="DL136" s="11"/>
      <c r="DM136" s="29"/>
      <c r="DN136" s="28"/>
      <c r="DO136" s="11"/>
      <c r="DP136" s="11"/>
      <c r="DQ136" s="11"/>
      <c r="DR136" s="29"/>
      <c r="DS136" s="28"/>
      <c r="DT136" s="11"/>
      <c r="DU136" s="26"/>
      <c r="DV136" s="11"/>
      <c r="DW136" s="29"/>
      <c r="DX136" s="28"/>
      <c r="DY136" s="11"/>
      <c r="DZ136" s="26"/>
      <c r="EA136" s="11"/>
      <c r="EB136" s="29"/>
      <c r="EC136" s="28"/>
      <c r="ED136" s="30"/>
      <c r="EE136" s="30" t="str">
        <f ca="1">IFERROR(__xludf.DUMMYFUNCTION("iferror(index(filter('Internal -- Trademark Countries'!E$2:E1000, (AM136 = 'Internal -- Trademark Countries'!B$2:B1000) + (AM136 = 'Internal -- Trademark Countries'!C$2:C1000) + (AM136 = 'Internal -- Trademark Countries'!D$2:D1000)), 1))"),"")</f>
        <v/>
      </c>
      <c r="EF136" s="30" t="e">
        <f ca="1">_xludf.ifs(AM136="", "", COUNTIF('Internal -- Trademark Countries'!B:B,AM136) &gt; 0, "polity_shortest_name", COUNTIF('Internal -- Trademark Countries'!C:C,AM136) &gt; 0, "polity_full_name", COUNTIF('Internal -- Trademark Countries'!D:D,AM136) &gt; 0, "polity_common_name", COUNTIF('Internal -- Trademark Countries'!E:E,AM136) &gt; 0, "shortest_name", COUNTIF('Internal -- Trademark Countries'!A:A,AM136) &gt; 0, "full_name", TRUE, "not a match")</f>
        <v>#NAME?</v>
      </c>
      <c r="EG136" s="30"/>
      <c r="EH136" s="30"/>
      <c r="EI136" s="30"/>
      <c r="EJ136" s="30"/>
      <c r="EK136" s="30" t="str">
        <f t="shared" si="2"/>
        <v/>
      </c>
    </row>
    <row r="137" spans="1:141" ht="16.5">
      <c r="A137" s="11"/>
      <c r="B137" s="11"/>
      <c r="C137" s="11"/>
      <c r="D137" s="11"/>
      <c r="E137" s="11"/>
      <c r="F137" s="11"/>
      <c r="G137" s="11"/>
      <c r="H137" s="11"/>
      <c r="I137" s="11"/>
      <c r="J137" s="11"/>
      <c r="K137" s="27"/>
      <c r="L137" s="11"/>
      <c r="M137" s="11"/>
      <c r="N137" s="11"/>
      <c r="O137" s="11"/>
      <c r="P137" s="15"/>
      <c r="Q137" s="15"/>
      <c r="R137" s="15"/>
      <c r="S137" s="15"/>
      <c r="T137" s="15"/>
      <c r="U137" s="15"/>
      <c r="V137" s="15"/>
      <c r="W137" s="47"/>
      <c r="X137" s="11"/>
      <c r="Y137" s="48"/>
      <c r="Z137" s="11"/>
      <c r="AA137" s="48"/>
      <c r="AB137" s="11"/>
      <c r="AC137" s="48"/>
      <c r="AD137" s="11"/>
      <c r="AE137" s="47"/>
      <c r="AF137" s="11"/>
      <c r="AG137" s="48"/>
      <c r="AH137" s="11"/>
      <c r="AI137" s="48"/>
      <c r="AJ137" s="11"/>
      <c r="AK137" s="48"/>
      <c r="AL137" s="11"/>
      <c r="AM137" s="49"/>
      <c r="AN137" s="49"/>
      <c r="AO137" s="11"/>
      <c r="AP137" s="11"/>
      <c r="AQ137" s="28" t="b">
        <f>IF(COUNTIF(SmartStatus!A$2:A1000, AM137) &gt; 2, TRUE, FALSE)</f>
        <v>0</v>
      </c>
      <c r="AR137" s="29" t="str">
        <f ca="1">IFERROR(__xludf.DUMMYFUNCTION("iferror(if(regexmatch(AO137, ""(?i)^registered""), if(EE137 &lt;&gt; ""polity_shortest_name"", ""CHECK_POLITY"", index(filter(SmartStatus!B$2:B1000, AM137 = SmartStatus!A$2:A1000, not(SmartStatus!C$2:C1000), (isblank(SmartStatus!D$2:D1000)) + ((P137 &lt;&gt; """") * "&amp;"(P137 &lt; SmartStatus!D$2:D1000)), (isblank(SmartStatus!E$2:E1000)) + ((P137 &lt;&gt; """") * (P137 &gt;= SmartStatus!E$2:E1000)), (isblank(SmartStatus!F$2:F1000)) + (((Q137 &lt;&gt; """") * (Q137 &lt; SmartStatus!F$2:F1000)) + ((P137 &lt;&gt; """") * (date(year(P137) + 3, month(P"&amp;"137), day(P137)) &lt; SmartStatus!F$2:F1000))), (isblank(SmartStatus!G$2:G1000)) + (((Q137 &lt;&gt; """") * (Q137 &gt;= SmartStatus!G$2:G1000)) + ((P137 &lt;&gt; """") * (P137 &gt;= SmartStatus!G$2:G1000)))), if(or(regexmatch(B137, ""(?i)^ir [a-z]+ designation$""), N137 &lt;&gt; """&amp;"""), 1, 2))), """"), ""NO_MATCH"")"),"")</f>
        <v/>
      </c>
      <c r="AS137" s="11"/>
      <c r="AT137" s="15"/>
      <c r="AU137" s="11"/>
      <c r="AV137" s="11"/>
      <c r="AW137" s="15"/>
      <c r="AX137" s="15"/>
      <c r="AY137" s="15"/>
      <c r="AZ137" s="11"/>
      <c r="BA137" s="15"/>
      <c r="BB137" s="11"/>
      <c r="BC137" s="11"/>
      <c r="BD137" s="15"/>
      <c r="BE137" s="11"/>
      <c r="BF137" s="11"/>
      <c r="BG137" s="15"/>
      <c r="BH137" s="15"/>
      <c r="BI137" s="15"/>
      <c r="BJ137" s="11"/>
      <c r="BK137" s="15"/>
      <c r="BL137" s="11"/>
      <c r="BM137" s="11"/>
      <c r="BN137" s="15"/>
      <c r="BO137" s="11"/>
      <c r="BP137" s="11"/>
      <c r="BQ137" s="15"/>
      <c r="BR137" s="15"/>
      <c r="BS137" s="15"/>
      <c r="BT137" s="11"/>
      <c r="BU137" s="15"/>
      <c r="BV137" s="11"/>
      <c r="BW137" s="11"/>
      <c r="BX137" s="15"/>
      <c r="BY137" s="11"/>
      <c r="BZ137" s="11"/>
      <c r="CA137" s="15"/>
      <c r="CB137" s="11"/>
      <c r="CC137" s="15"/>
      <c r="CD137" s="11"/>
      <c r="CE137" s="15"/>
      <c r="CF137" s="11"/>
      <c r="CG137" s="11"/>
      <c r="CH137" s="15"/>
      <c r="CI137" s="11"/>
      <c r="CJ137" s="11"/>
      <c r="CK137" s="15"/>
      <c r="CL137" s="11"/>
      <c r="CM137" s="11"/>
      <c r="CN137" s="11"/>
      <c r="CO137" s="11"/>
      <c r="CP137" s="28"/>
      <c r="CQ137" s="28"/>
      <c r="CR137" s="11"/>
      <c r="CS137" s="29"/>
      <c r="CT137" s="11"/>
      <c r="CU137" s="11"/>
      <c r="CV137" s="11"/>
      <c r="CW137" s="11"/>
      <c r="CX137" s="11"/>
      <c r="CY137" s="11"/>
      <c r="CZ137" s="11"/>
      <c r="DA137" s="28"/>
      <c r="DB137" s="28"/>
      <c r="DC137" s="11"/>
      <c r="DD137" s="29"/>
      <c r="DE137" s="11"/>
      <c r="DF137" s="11"/>
      <c r="DG137" s="11"/>
      <c r="DH137" s="11"/>
      <c r="DI137" s="11"/>
      <c r="DJ137" s="11"/>
      <c r="DK137" s="26"/>
      <c r="DL137" s="11"/>
      <c r="DM137" s="29"/>
      <c r="DN137" s="28"/>
      <c r="DO137" s="11"/>
      <c r="DP137" s="11"/>
      <c r="DQ137" s="11"/>
      <c r="DR137" s="29"/>
      <c r="DS137" s="28"/>
      <c r="DT137" s="11"/>
      <c r="DU137" s="26"/>
      <c r="DV137" s="11"/>
      <c r="DW137" s="29"/>
      <c r="DX137" s="28"/>
      <c r="DY137" s="11"/>
      <c r="DZ137" s="26"/>
      <c r="EA137" s="11"/>
      <c r="EB137" s="29"/>
      <c r="EC137" s="28"/>
      <c r="ED137" s="30"/>
      <c r="EE137" s="30" t="str">
        <f ca="1">IFERROR(__xludf.DUMMYFUNCTION("iferror(index(filter('Internal -- Trademark Countries'!E$2:E1000, (AM137 = 'Internal -- Trademark Countries'!B$2:B1000) + (AM137 = 'Internal -- Trademark Countries'!C$2:C1000) + (AM137 = 'Internal -- Trademark Countries'!D$2:D1000)), 1))"),"")</f>
        <v/>
      </c>
      <c r="EF137" s="30" t="e">
        <f ca="1">_xludf.ifs(AM137="", "", COUNTIF('Internal -- Trademark Countries'!B:B,AM137) &gt; 0, "polity_shortest_name", COUNTIF('Internal -- Trademark Countries'!C:C,AM137) &gt; 0, "polity_full_name", COUNTIF('Internal -- Trademark Countries'!D:D,AM137) &gt; 0, "polity_common_name", COUNTIF('Internal -- Trademark Countries'!E:E,AM137) &gt; 0, "shortest_name", COUNTIF('Internal -- Trademark Countries'!A:A,AM137) &gt; 0, "full_name", TRUE, "not a match")</f>
        <v>#NAME?</v>
      </c>
      <c r="EG137" s="30"/>
      <c r="EH137" s="30"/>
      <c r="EI137" s="30"/>
      <c r="EJ137" s="30"/>
      <c r="EK137" s="30" t="str">
        <f t="shared" si="2"/>
        <v/>
      </c>
    </row>
    <row r="138" spans="1:141" ht="16.5">
      <c r="A138" s="11"/>
      <c r="B138" s="11"/>
      <c r="C138" s="11"/>
      <c r="D138" s="11"/>
      <c r="E138" s="11"/>
      <c r="F138" s="11"/>
      <c r="G138" s="11"/>
      <c r="H138" s="11"/>
      <c r="I138" s="11"/>
      <c r="J138" s="11"/>
      <c r="K138" s="27"/>
      <c r="L138" s="11"/>
      <c r="M138" s="11"/>
      <c r="N138" s="11"/>
      <c r="O138" s="11"/>
      <c r="P138" s="15"/>
      <c r="Q138" s="15"/>
      <c r="R138" s="15"/>
      <c r="S138" s="15"/>
      <c r="T138" s="15"/>
      <c r="U138" s="15"/>
      <c r="V138" s="15"/>
      <c r="W138" s="47"/>
      <c r="X138" s="11"/>
      <c r="Y138" s="48"/>
      <c r="Z138" s="11"/>
      <c r="AA138" s="48"/>
      <c r="AB138" s="11"/>
      <c r="AC138" s="48"/>
      <c r="AD138" s="11"/>
      <c r="AE138" s="47"/>
      <c r="AF138" s="11"/>
      <c r="AG138" s="48"/>
      <c r="AH138" s="11"/>
      <c r="AI138" s="48"/>
      <c r="AJ138" s="11"/>
      <c r="AK138" s="48"/>
      <c r="AL138" s="11"/>
      <c r="AM138" s="49"/>
      <c r="AN138" s="49"/>
      <c r="AO138" s="11"/>
      <c r="AP138" s="11"/>
      <c r="AQ138" s="28" t="b">
        <f>IF(COUNTIF(SmartStatus!A$2:A1000, AM138) &gt; 2, TRUE, FALSE)</f>
        <v>0</v>
      </c>
      <c r="AR138" s="29" t="str">
        <f ca="1">IFERROR(__xludf.DUMMYFUNCTION("iferror(if(regexmatch(AO138, ""(?i)^registered""), if(EE138 &lt;&gt; ""polity_shortest_name"", ""CHECK_POLITY"", index(filter(SmartStatus!B$2:B1000, AM138 = SmartStatus!A$2:A1000, not(SmartStatus!C$2:C1000), (isblank(SmartStatus!D$2:D1000)) + ((P138 &lt;&gt; """") * "&amp;"(P138 &lt; SmartStatus!D$2:D1000)), (isblank(SmartStatus!E$2:E1000)) + ((P138 &lt;&gt; """") * (P138 &gt;= SmartStatus!E$2:E1000)), (isblank(SmartStatus!F$2:F1000)) + (((Q138 &lt;&gt; """") * (Q138 &lt; SmartStatus!F$2:F1000)) + ((P138 &lt;&gt; """") * (date(year(P138) + 3, month(P"&amp;"138), day(P138)) &lt; SmartStatus!F$2:F1000))), (isblank(SmartStatus!G$2:G1000)) + (((Q138 &lt;&gt; """") * (Q138 &gt;= SmartStatus!G$2:G1000)) + ((P138 &lt;&gt; """") * (P138 &gt;= SmartStatus!G$2:G1000)))), if(or(regexmatch(B138, ""(?i)^ir [a-z]+ designation$""), N138 &lt;&gt; """&amp;"""), 1, 2))), """"), ""NO_MATCH"")"),"")</f>
        <v/>
      </c>
      <c r="AS138" s="11"/>
      <c r="AT138" s="15"/>
      <c r="AU138" s="11"/>
      <c r="AV138" s="11"/>
      <c r="AW138" s="15"/>
      <c r="AX138" s="15"/>
      <c r="AY138" s="15"/>
      <c r="AZ138" s="11"/>
      <c r="BA138" s="15"/>
      <c r="BB138" s="11"/>
      <c r="BC138" s="11"/>
      <c r="BD138" s="15"/>
      <c r="BE138" s="11"/>
      <c r="BF138" s="11"/>
      <c r="BG138" s="15"/>
      <c r="BH138" s="15"/>
      <c r="BI138" s="15"/>
      <c r="BJ138" s="11"/>
      <c r="BK138" s="15"/>
      <c r="BL138" s="11"/>
      <c r="BM138" s="11"/>
      <c r="BN138" s="15"/>
      <c r="BO138" s="11"/>
      <c r="BP138" s="11"/>
      <c r="BQ138" s="15"/>
      <c r="BR138" s="15"/>
      <c r="BS138" s="15"/>
      <c r="BT138" s="11"/>
      <c r="BU138" s="15"/>
      <c r="BV138" s="11"/>
      <c r="BW138" s="11"/>
      <c r="BX138" s="15"/>
      <c r="BY138" s="11"/>
      <c r="BZ138" s="11"/>
      <c r="CA138" s="15"/>
      <c r="CB138" s="11"/>
      <c r="CC138" s="15"/>
      <c r="CD138" s="11"/>
      <c r="CE138" s="15"/>
      <c r="CF138" s="11"/>
      <c r="CG138" s="11"/>
      <c r="CH138" s="15"/>
      <c r="CI138" s="11"/>
      <c r="CJ138" s="11"/>
      <c r="CK138" s="15"/>
      <c r="CL138" s="11"/>
      <c r="CM138" s="11"/>
      <c r="CN138" s="11"/>
      <c r="CO138" s="11"/>
      <c r="CP138" s="28"/>
      <c r="CQ138" s="28"/>
      <c r="CR138" s="11"/>
      <c r="CS138" s="29"/>
      <c r="CT138" s="11"/>
      <c r="CU138" s="11"/>
      <c r="CV138" s="11"/>
      <c r="CW138" s="11"/>
      <c r="CX138" s="11"/>
      <c r="CY138" s="11"/>
      <c r="CZ138" s="11"/>
      <c r="DA138" s="28"/>
      <c r="DB138" s="28"/>
      <c r="DC138" s="11"/>
      <c r="DD138" s="29"/>
      <c r="DE138" s="11"/>
      <c r="DF138" s="11"/>
      <c r="DG138" s="11"/>
      <c r="DH138" s="11"/>
      <c r="DI138" s="11"/>
      <c r="DJ138" s="11"/>
      <c r="DK138" s="26"/>
      <c r="DL138" s="11"/>
      <c r="DM138" s="29"/>
      <c r="DN138" s="28"/>
      <c r="DO138" s="11"/>
      <c r="DP138" s="11"/>
      <c r="DQ138" s="11"/>
      <c r="DR138" s="29"/>
      <c r="DS138" s="28"/>
      <c r="DT138" s="11"/>
      <c r="DU138" s="26"/>
      <c r="DV138" s="11"/>
      <c r="DW138" s="29"/>
      <c r="DX138" s="28"/>
      <c r="DY138" s="11"/>
      <c r="DZ138" s="26"/>
      <c r="EA138" s="11"/>
      <c r="EB138" s="29"/>
      <c r="EC138" s="28"/>
      <c r="ED138" s="30"/>
      <c r="EE138" s="30" t="str">
        <f ca="1">IFERROR(__xludf.DUMMYFUNCTION("iferror(index(filter('Internal -- Trademark Countries'!E$2:E1000, (AM138 = 'Internal -- Trademark Countries'!B$2:B1000) + (AM138 = 'Internal -- Trademark Countries'!C$2:C1000) + (AM138 = 'Internal -- Trademark Countries'!D$2:D1000)), 1))"),"")</f>
        <v/>
      </c>
      <c r="EF138" s="30" t="e">
        <f ca="1">_xludf.ifs(AM138="", "", COUNTIF('Internal -- Trademark Countries'!B:B,AM138) &gt; 0, "polity_shortest_name", COUNTIF('Internal -- Trademark Countries'!C:C,AM138) &gt; 0, "polity_full_name", COUNTIF('Internal -- Trademark Countries'!D:D,AM138) &gt; 0, "polity_common_name", COUNTIF('Internal -- Trademark Countries'!E:E,AM138) &gt; 0, "shortest_name", COUNTIF('Internal -- Trademark Countries'!A:A,AM138) &gt; 0, "full_name", TRUE, "not a match")</f>
        <v>#NAME?</v>
      </c>
      <c r="EG138" s="30"/>
      <c r="EH138" s="30"/>
      <c r="EI138" s="30"/>
      <c r="EJ138" s="30"/>
      <c r="EK138" s="30" t="str">
        <f t="shared" si="2"/>
        <v/>
      </c>
    </row>
    <row r="139" spans="1:141" ht="16.5">
      <c r="A139" s="11"/>
      <c r="B139" s="11"/>
      <c r="C139" s="11"/>
      <c r="D139" s="11"/>
      <c r="E139" s="11"/>
      <c r="F139" s="11"/>
      <c r="G139" s="11"/>
      <c r="H139" s="11"/>
      <c r="I139" s="11"/>
      <c r="J139" s="11"/>
      <c r="K139" s="27"/>
      <c r="L139" s="11"/>
      <c r="M139" s="11"/>
      <c r="N139" s="11"/>
      <c r="O139" s="11"/>
      <c r="P139" s="15"/>
      <c r="Q139" s="15"/>
      <c r="R139" s="15"/>
      <c r="S139" s="15"/>
      <c r="T139" s="15"/>
      <c r="U139" s="15"/>
      <c r="V139" s="15"/>
      <c r="W139" s="47"/>
      <c r="X139" s="11"/>
      <c r="Y139" s="48"/>
      <c r="Z139" s="11"/>
      <c r="AA139" s="48"/>
      <c r="AB139" s="11"/>
      <c r="AC139" s="48"/>
      <c r="AD139" s="11"/>
      <c r="AE139" s="47"/>
      <c r="AF139" s="11"/>
      <c r="AG139" s="48"/>
      <c r="AH139" s="11"/>
      <c r="AI139" s="48"/>
      <c r="AJ139" s="11"/>
      <c r="AK139" s="48"/>
      <c r="AL139" s="11"/>
      <c r="AM139" s="49"/>
      <c r="AN139" s="49"/>
      <c r="AO139" s="11"/>
      <c r="AP139" s="11"/>
      <c r="AQ139" s="28" t="b">
        <f>IF(COUNTIF(SmartStatus!A$2:A1000, AM139) &gt; 2, TRUE, FALSE)</f>
        <v>0</v>
      </c>
      <c r="AR139" s="29" t="str">
        <f ca="1">IFERROR(__xludf.DUMMYFUNCTION("iferror(if(regexmatch(AO139, ""(?i)^registered""), if(EE139 &lt;&gt; ""polity_shortest_name"", ""CHECK_POLITY"", index(filter(SmartStatus!B$2:B1000, AM139 = SmartStatus!A$2:A1000, not(SmartStatus!C$2:C1000), (isblank(SmartStatus!D$2:D1000)) + ((P139 &lt;&gt; """") * "&amp;"(P139 &lt; SmartStatus!D$2:D1000)), (isblank(SmartStatus!E$2:E1000)) + ((P139 &lt;&gt; """") * (P139 &gt;= SmartStatus!E$2:E1000)), (isblank(SmartStatus!F$2:F1000)) + (((Q139 &lt;&gt; """") * (Q139 &lt; SmartStatus!F$2:F1000)) + ((P139 &lt;&gt; """") * (date(year(P139) + 3, month(P"&amp;"139), day(P139)) &lt; SmartStatus!F$2:F1000))), (isblank(SmartStatus!G$2:G1000)) + (((Q139 &lt;&gt; """") * (Q139 &gt;= SmartStatus!G$2:G1000)) + ((P139 &lt;&gt; """") * (P139 &gt;= SmartStatus!G$2:G1000)))), if(or(regexmatch(B139, ""(?i)^ir [a-z]+ designation$""), N139 &lt;&gt; """&amp;"""), 1, 2))), """"), ""NO_MATCH"")"),"")</f>
        <v/>
      </c>
      <c r="AS139" s="11"/>
      <c r="AT139" s="15"/>
      <c r="AU139" s="11"/>
      <c r="AV139" s="11"/>
      <c r="AW139" s="15"/>
      <c r="AX139" s="15"/>
      <c r="AY139" s="15"/>
      <c r="AZ139" s="11"/>
      <c r="BA139" s="15"/>
      <c r="BB139" s="11"/>
      <c r="BC139" s="11"/>
      <c r="BD139" s="15"/>
      <c r="BE139" s="11"/>
      <c r="BF139" s="11"/>
      <c r="BG139" s="15"/>
      <c r="BH139" s="15"/>
      <c r="BI139" s="15"/>
      <c r="BJ139" s="11"/>
      <c r="BK139" s="15"/>
      <c r="BL139" s="11"/>
      <c r="BM139" s="11"/>
      <c r="BN139" s="15"/>
      <c r="BO139" s="11"/>
      <c r="BP139" s="11"/>
      <c r="BQ139" s="15"/>
      <c r="BR139" s="15"/>
      <c r="BS139" s="15"/>
      <c r="BT139" s="11"/>
      <c r="BU139" s="15"/>
      <c r="BV139" s="11"/>
      <c r="BW139" s="11"/>
      <c r="BX139" s="15"/>
      <c r="BY139" s="11"/>
      <c r="BZ139" s="11"/>
      <c r="CA139" s="15"/>
      <c r="CB139" s="11"/>
      <c r="CC139" s="15"/>
      <c r="CD139" s="11"/>
      <c r="CE139" s="15"/>
      <c r="CF139" s="11"/>
      <c r="CG139" s="11"/>
      <c r="CH139" s="15"/>
      <c r="CI139" s="11"/>
      <c r="CJ139" s="11"/>
      <c r="CK139" s="15"/>
      <c r="CL139" s="11"/>
      <c r="CM139" s="11"/>
      <c r="CN139" s="11"/>
      <c r="CO139" s="11"/>
      <c r="CP139" s="28"/>
      <c r="CQ139" s="28"/>
      <c r="CR139" s="11"/>
      <c r="CS139" s="29"/>
      <c r="CT139" s="11"/>
      <c r="CU139" s="11"/>
      <c r="CV139" s="11"/>
      <c r="CW139" s="11"/>
      <c r="CX139" s="11"/>
      <c r="CY139" s="11"/>
      <c r="CZ139" s="11"/>
      <c r="DA139" s="28"/>
      <c r="DB139" s="28"/>
      <c r="DC139" s="11"/>
      <c r="DD139" s="29"/>
      <c r="DE139" s="11"/>
      <c r="DF139" s="11"/>
      <c r="DG139" s="11"/>
      <c r="DH139" s="11"/>
      <c r="DI139" s="11"/>
      <c r="DJ139" s="11"/>
      <c r="DK139" s="26"/>
      <c r="DL139" s="11"/>
      <c r="DM139" s="29"/>
      <c r="DN139" s="28"/>
      <c r="DO139" s="11"/>
      <c r="DP139" s="11"/>
      <c r="DQ139" s="11"/>
      <c r="DR139" s="29"/>
      <c r="DS139" s="28"/>
      <c r="DT139" s="11"/>
      <c r="DU139" s="26"/>
      <c r="DV139" s="11"/>
      <c r="DW139" s="29"/>
      <c r="DX139" s="28"/>
      <c r="DY139" s="11"/>
      <c r="DZ139" s="26"/>
      <c r="EA139" s="11"/>
      <c r="EB139" s="29"/>
      <c r="EC139" s="28"/>
      <c r="ED139" s="30"/>
      <c r="EE139" s="30" t="str">
        <f ca="1">IFERROR(__xludf.DUMMYFUNCTION("iferror(index(filter('Internal -- Trademark Countries'!E$2:E1000, (AM139 = 'Internal -- Trademark Countries'!B$2:B1000) + (AM139 = 'Internal -- Trademark Countries'!C$2:C1000) + (AM139 = 'Internal -- Trademark Countries'!D$2:D1000)), 1))"),"")</f>
        <v/>
      </c>
      <c r="EF139" s="30" t="e">
        <f ca="1">_xludf.ifs(AM139="", "", COUNTIF('Internal -- Trademark Countries'!B:B,AM139) &gt; 0, "polity_shortest_name", COUNTIF('Internal -- Trademark Countries'!C:C,AM139) &gt; 0, "polity_full_name", COUNTIF('Internal -- Trademark Countries'!D:D,AM139) &gt; 0, "polity_common_name", COUNTIF('Internal -- Trademark Countries'!E:E,AM139) &gt; 0, "shortest_name", COUNTIF('Internal -- Trademark Countries'!A:A,AM139) &gt; 0, "full_name", TRUE, "not a match")</f>
        <v>#NAME?</v>
      </c>
      <c r="EG139" s="30"/>
      <c r="EH139" s="30"/>
      <c r="EI139" s="30"/>
      <c r="EJ139" s="30"/>
      <c r="EK139" s="30" t="str">
        <f t="shared" si="2"/>
        <v/>
      </c>
    </row>
    <row r="140" spans="1:141" ht="16.5">
      <c r="A140" s="11"/>
      <c r="B140" s="11"/>
      <c r="C140" s="11"/>
      <c r="D140" s="11"/>
      <c r="E140" s="11"/>
      <c r="F140" s="11"/>
      <c r="G140" s="11"/>
      <c r="H140" s="11"/>
      <c r="I140" s="11"/>
      <c r="J140" s="11"/>
      <c r="K140" s="27"/>
      <c r="L140" s="11"/>
      <c r="M140" s="11"/>
      <c r="N140" s="11"/>
      <c r="O140" s="11"/>
      <c r="P140" s="15"/>
      <c r="Q140" s="15"/>
      <c r="R140" s="15"/>
      <c r="S140" s="15"/>
      <c r="T140" s="15"/>
      <c r="U140" s="15"/>
      <c r="V140" s="15"/>
      <c r="W140" s="47"/>
      <c r="X140" s="11"/>
      <c r="Y140" s="48"/>
      <c r="Z140" s="11"/>
      <c r="AA140" s="48"/>
      <c r="AB140" s="11"/>
      <c r="AC140" s="48"/>
      <c r="AD140" s="11"/>
      <c r="AE140" s="47"/>
      <c r="AF140" s="11"/>
      <c r="AG140" s="48"/>
      <c r="AH140" s="11"/>
      <c r="AI140" s="48"/>
      <c r="AJ140" s="11"/>
      <c r="AK140" s="48"/>
      <c r="AL140" s="11"/>
      <c r="AM140" s="49"/>
      <c r="AN140" s="49"/>
      <c r="AO140" s="11"/>
      <c r="AP140" s="11"/>
      <c r="AQ140" s="28" t="b">
        <f>IF(COUNTIF(SmartStatus!A$2:A1000, AM140) &gt; 2, TRUE, FALSE)</f>
        <v>0</v>
      </c>
      <c r="AR140" s="29" t="str">
        <f ca="1">IFERROR(__xludf.DUMMYFUNCTION("iferror(if(regexmatch(AO140, ""(?i)^registered""), if(EE140 &lt;&gt; ""polity_shortest_name"", ""CHECK_POLITY"", index(filter(SmartStatus!B$2:B1000, AM140 = SmartStatus!A$2:A1000, not(SmartStatus!C$2:C1000), (isblank(SmartStatus!D$2:D1000)) + ((P140 &lt;&gt; """") * "&amp;"(P140 &lt; SmartStatus!D$2:D1000)), (isblank(SmartStatus!E$2:E1000)) + ((P140 &lt;&gt; """") * (P140 &gt;= SmartStatus!E$2:E1000)), (isblank(SmartStatus!F$2:F1000)) + (((Q140 &lt;&gt; """") * (Q140 &lt; SmartStatus!F$2:F1000)) + ((P140 &lt;&gt; """") * (date(year(P140) + 3, month(P"&amp;"140), day(P140)) &lt; SmartStatus!F$2:F1000))), (isblank(SmartStatus!G$2:G1000)) + (((Q140 &lt;&gt; """") * (Q140 &gt;= SmartStatus!G$2:G1000)) + ((P140 &lt;&gt; """") * (P140 &gt;= SmartStatus!G$2:G1000)))), if(or(regexmatch(B140, ""(?i)^ir [a-z]+ designation$""), N140 &lt;&gt; """&amp;"""), 1, 2))), """"), ""NO_MATCH"")"),"")</f>
        <v/>
      </c>
      <c r="AS140" s="11"/>
      <c r="AT140" s="15"/>
      <c r="AU140" s="11"/>
      <c r="AV140" s="11"/>
      <c r="AW140" s="15"/>
      <c r="AX140" s="15"/>
      <c r="AY140" s="15"/>
      <c r="AZ140" s="11"/>
      <c r="BA140" s="15"/>
      <c r="BB140" s="11"/>
      <c r="BC140" s="11"/>
      <c r="BD140" s="15"/>
      <c r="BE140" s="11"/>
      <c r="BF140" s="11"/>
      <c r="BG140" s="15"/>
      <c r="BH140" s="15"/>
      <c r="BI140" s="15"/>
      <c r="BJ140" s="11"/>
      <c r="BK140" s="15"/>
      <c r="BL140" s="11"/>
      <c r="BM140" s="11"/>
      <c r="BN140" s="15"/>
      <c r="BO140" s="11"/>
      <c r="BP140" s="11"/>
      <c r="BQ140" s="15"/>
      <c r="BR140" s="15"/>
      <c r="BS140" s="15"/>
      <c r="BT140" s="11"/>
      <c r="BU140" s="15"/>
      <c r="BV140" s="11"/>
      <c r="BW140" s="11"/>
      <c r="BX140" s="15"/>
      <c r="BY140" s="11"/>
      <c r="BZ140" s="11"/>
      <c r="CA140" s="15"/>
      <c r="CB140" s="11"/>
      <c r="CC140" s="15"/>
      <c r="CD140" s="11"/>
      <c r="CE140" s="15"/>
      <c r="CF140" s="11"/>
      <c r="CG140" s="11"/>
      <c r="CH140" s="15"/>
      <c r="CI140" s="11"/>
      <c r="CJ140" s="11"/>
      <c r="CK140" s="15"/>
      <c r="CL140" s="11"/>
      <c r="CM140" s="11"/>
      <c r="CN140" s="11"/>
      <c r="CO140" s="11"/>
      <c r="CP140" s="28"/>
      <c r="CQ140" s="28"/>
      <c r="CR140" s="11"/>
      <c r="CS140" s="29"/>
      <c r="CT140" s="11"/>
      <c r="CU140" s="11"/>
      <c r="CV140" s="11"/>
      <c r="CW140" s="11"/>
      <c r="CX140" s="11"/>
      <c r="CY140" s="11"/>
      <c r="CZ140" s="11"/>
      <c r="DA140" s="28"/>
      <c r="DB140" s="28"/>
      <c r="DC140" s="11"/>
      <c r="DD140" s="29"/>
      <c r="DE140" s="11"/>
      <c r="DF140" s="11"/>
      <c r="DG140" s="11"/>
      <c r="DH140" s="11"/>
      <c r="DI140" s="11"/>
      <c r="DJ140" s="11"/>
      <c r="DK140" s="26"/>
      <c r="DL140" s="11"/>
      <c r="DM140" s="29"/>
      <c r="DN140" s="28"/>
      <c r="DO140" s="11"/>
      <c r="DP140" s="11"/>
      <c r="DQ140" s="11"/>
      <c r="DR140" s="29"/>
      <c r="DS140" s="28"/>
      <c r="DT140" s="11"/>
      <c r="DU140" s="26"/>
      <c r="DV140" s="11"/>
      <c r="DW140" s="29"/>
      <c r="DX140" s="28"/>
      <c r="DY140" s="11"/>
      <c r="DZ140" s="26"/>
      <c r="EA140" s="11"/>
      <c r="EB140" s="29"/>
      <c r="EC140" s="28"/>
      <c r="ED140" s="30"/>
      <c r="EE140" s="30" t="str">
        <f ca="1">IFERROR(__xludf.DUMMYFUNCTION("iferror(index(filter('Internal -- Trademark Countries'!E$2:E1000, (AM140 = 'Internal -- Trademark Countries'!B$2:B1000) + (AM140 = 'Internal -- Trademark Countries'!C$2:C1000) + (AM140 = 'Internal -- Trademark Countries'!D$2:D1000)), 1))"),"")</f>
        <v/>
      </c>
      <c r="EF140" s="30" t="e">
        <f ca="1">_xludf.ifs(AM140="", "", COUNTIF('Internal -- Trademark Countries'!B:B,AM140) &gt; 0, "polity_shortest_name", COUNTIF('Internal -- Trademark Countries'!C:C,AM140) &gt; 0, "polity_full_name", COUNTIF('Internal -- Trademark Countries'!D:D,AM140) &gt; 0, "polity_common_name", COUNTIF('Internal -- Trademark Countries'!E:E,AM140) &gt; 0, "shortest_name", COUNTIF('Internal -- Trademark Countries'!A:A,AM140) &gt; 0, "full_name", TRUE, "not a match")</f>
        <v>#NAME?</v>
      </c>
      <c r="EG140" s="30"/>
      <c r="EH140" s="30"/>
      <c r="EI140" s="30"/>
      <c r="EJ140" s="30"/>
      <c r="EK140" s="30" t="str">
        <f t="shared" si="2"/>
        <v/>
      </c>
    </row>
    <row r="141" spans="1:141" ht="16.5">
      <c r="A141" s="11"/>
      <c r="B141" s="11"/>
      <c r="C141" s="11"/>
      <c r="D141" s="11"/>
      <c r="E141" s="11"/>
      <c r="F141" s="11"/>
      <c r="G141" s="11"/>
      <c r="H141" s="11"/>
      <c r="I141" s="11"/>
      <c r="J141" s="11"/>
      <c r="K141" s="27"/>
      <c r="L141" s="11"/>
      <c r="M141" s="11"/>
      <c r="N141" s="11"/>
      <c r="O141" s="11"/>
      <c r="P141" s="15"/>
      <c r="Q141" s="15"/>
      <c r="R141" s="15"/>
      <c r="S141" s="15"/>
      <c r="T141" s="15"/>
      <c r="U141" s="15"/>
      <c r="V141" s="15"/>
      <c r="W141" s="47"/>
      <c r="X141" s="11"/>
      <c r="Y141" s="48"/>
      <c r="Z141" s="11"/>
      <c r="AA141" s="48"/>
      <c r="AB141" s="11"/>
      <c r="AC141" s="48"/>
      <c r="AD141" s="11"/>
      <c r="AE141" s="47"/>
      <c r="AF141" s="11"/>
      <c r="AG141" s="48"/>
      <c r="AH141" s="11"/>
      <c r="AI141" s="48"/>
      <c r="AJ141" s="11"/>
      <c r="AK141" s="48"/>
      <c r="AL141" s="11"/>
      <c r="AM141" s="49"/>
      <c r="AN141" s="49"/>
      <c r="AO141" s="11"/>
      <c r="AP141" s="11"/>
      <c r="AQ141" s="28" t="b">
        <f>IF(COUNTIF(SmartStatus!A$2:A1000, AM141) &gt; 2, TRUE, FALSE)</f>
        <v>0</v>
      </c>
      <c r="AR141" s="29" t="str">
        <f ca="1">IFERROR(__xludf.DUMMYFUNCTION("iferror(if(regexmatch(AO141, ""(?i)^registered""), if(EE141 &lt;&gt; ""polity_shortest_name"", ""CHECK_POLITY"", index(filter(SmartStatus!B$2:B1000, AM141 = SmartStatus!A$2:A1000, not(SmartStatus!C$2:C1000), (isblank(SmartStatus!D$2:D1000)) + ((P141 &lt;&gt; """") * "&amp;"(P141 &lt; SmartStatus!D$2:D1000)), (isblank(SmartStatus!E$2:E1000)) + ((P141 &lt;&gt; """") * (P141 &gt;= SmartStatus!E$2:E1000)), (isblank(SmartStatus!F$2:F1000)) + (((Q141 &lt;&gt; """") * (Q141 &lt; SmartStatus!F$2:F1000)) + ((P141 &lt;&gt; """") * (date(year(P141) + 3, month(P"&amp;"141), day(P141)) &lt; SmartStatus!F$2:F1000))), (isblank(SmartStatus!G$2:G1000)) + (((Q141 &lt;&gt; """") * (Q141 &gt;= SmartStatus!G$2:G1000)) + ((P141 &lt;&gt; """") * (P141 &gt;= SmartStatus!G$2:G1000)))), if(or(regexmatch(B141, ""(?i)^ir [a-z]+ designation$""), N141 &lt;&gt; """&amp;"""), 1, 2))), """"), ""NO_MATCH"")"),"")</f>
        <v/>
      </c>
      <c r="AS141" s="11"/>
      <c r="AT141" s="15"/>
      <c r="AU141" s="11"/>
      <c r="AV141" s="11"/>
      <c r="AW141" s="15"/>
      <c r="AX141" s="15"/>
      <c r="AY141" s="15"/>
      <c r="AZ141" s="11"/>
      <c r="BA141" s="15"/>
      <c r="BB141" s="11"/>
      <c r="BC141" s="11"/>
      <c r="BD141" s="15"/>
      <c r="BE141" s="11"/>
      <c r="BF141" s="11"/>
      <c r="BG141" s="15"/>
      <c r="BH141" s="15"/>
      <c r="BI141" s="15"/>
      <c r="BJ141" s="11"/>
      <c r="BK141" s="15"/>
      <c r="BL141" s="11"/>
      <c r="BM141" s="11"/>
      <c r="BN141" s="15"/>
      <c r="BO141" s="11"/>
      <c r="BP141" s="11"/>
      <c r="BQ141" s="15"/>
      <c r="BR141" s="15"/>
      <c r="BS141" s="15"/>
      <c r="BT141" s="11"/>
      <c r="BU141" s="15"/>
      <c r="BV141" s="11"/>
      <c r="BW141" s="11"/>
      <c r="BX141" s="15"/>
      <c r="BY141" s="11"/>
      <c r="BZ141" s="11"/>
      <c r="CA141" s="15"/>
      <c r="CB141" s="11"/>
      <c r="CC141" s="15"/>
      <c r="CD141" s="11"/>
      <c r="CE141" s="15"/>
      <c r="CF141" s="11"/>
      <c r="CG141" s="11"/>
      <c r="CH141" s="15"/>
      <c r="CI141" s="11"/>
      <c r="CJ141" s="11"/>
      <c r="CK141" s="15"/>
      <c r="CL141" s="11"/>
      <c r="CM141" s="11"/>
      <c r="CN141" s="11"/>
      <c r="CO141" s="11"/>
      <c r="CP141" s="28"/>
      <c r="CQ141" s="28"/>
      <c r="CR141" s="11"/>
      <c r="CS141" s="29"/>
      <c r="CT141" s="11"/>
      <c r="CU141" s="11"/>
      <c r="CV141" s="11"/>
      <c r="CW141" s="11"/>
      <c r="CX141" s="11"/>
      <c r="CY141" s="11"/>
      <c r="CZ141" s="11"/>
      <c r="DA141" s="28"/>
      <c r="DB141" s="28"/>
      <c r="DC141" s="11"/>
      <c r="DD141" s="29"/>
      <c r="DE141" s="11"/>
      <c r="DF141" s="11"/>
      <c r="DG141" s="11"/>
      <c r="DH141" s="11"/>
      <c r="DI141" s="11"/>
      <c r="DJ141" s="11"/>
      <c r="DK141" s="26"/>
      <c r="DL141" s="11"/>
      <c r="DM141" s="29"/>
      <c r="DN141" s="28"/>
      <c r="DO141" s="11"/>
      <c r="DP141" s="11"/>
      <c r="DQ141" s="11"/>
      <c r="DR141" s="29"/>
      <c r="DS141" s="28"/>
      <c r="DT141" s="11"/>
      <c r="DU141" s="26"/>
      <c r="DV141" s="11"/>
      <c r="DW141" s="29"/>
      <c r="DX141" s="28"/>
      <c r="DY141" s="11"/>
      <c r="DZ141" s="26"/>
      <c r="EA141" s="11"/>
      <c r="EB141" s="29"/>
      <c r="EC141" s="28"/>
      <c r="ED141" s="30"/>
      <c r="EE141" s="30" t="str">
        <f ca="1">IFERROR(__xludf.DUMMYFUNCTION("iferror(index(filter('Internal -- Trademark Countries'!E$2:E1000, (AM141 = 'Internal -- Trademark Countries'!B$2:B1000) + (AM141 = 'Internal -- Trademark Countries'!C$2:C1000) + (AM141 = 'Internal -- Trademark Countries'!D$2:D1000)), 1))"),"")</f>
        <v/>
      </c>
      <c r="EF141" s="30" t="e">
        <f ca="1">_xludf.ifs(AM141="", "", COUNTIF('Internal -- Trademark Countries'!B:B,AM141) &gt; 0, "polity_shortest_name", COUNTIF('Internal -- Trademark Countries'!C:C,AM141) &gt; 0, "polity_full_name", COUNTIF('Internal -- Trademark Countries'!D:D,AM141) &gt; 0, "polity_common_name", COUNTIF('Internal -- Trademark Countries'!E:E,AM141) &gt; 0, "shortest_name", COUNTIF('Internal -- Trademark Countries'!A:A,AM141) &gt; 0, "full_name", TRUE, "not a match")</f>
        <v>#NAME?</v>
      </c>
      <c r="EG141" s="30"/>
      <c r="EH141" s="30"/>
      <c r="EI141" s="30"/>
      <c r="EJ141" s="30"/>
      <c r="EK141" s="30" t="str">
        <f t="shared" si="2"/>
        <v/>
      </c>
    </row>
    <row r="142" spans="1:141" ht="16.5">
      <c r="A142" s="11"/>
      <c r="B142" s="11"/>
      <c r="C142" s="11"/>
      <c r="D142" s="11"/>
      <c r="E142" s="11"/>
      <c r="F142" s="11"/>
      <c r="G142" s="11"/>
      <c r="H142" s="11"/>
      <c r="I142" s="11"/>
      <c r="J142" s="11"/>
      <c r="K142" s="27"/>
      <c r="L142" s="11"/>
      <c r="M142" s="11"/>
      <c r="N142" s="11"/>
      <c r="O142" s="11"/>
      <c r="P142" s="15"/>
      <c r="Q142" s="15"/>
      <c r="R142" s="15"/>
      <c r="S142" s="15"/>
      <c r="T142" s="15"/>
      <c r="U142" s="15"/>
      <c r="V142" s="15"/>
      <c r="W142" s="47"/>
      <c r="X142" s="11"/>
      <c r="Y142" s="48"/>
      <c r="Z142" s="11"/>
      <c r="AA142" s="48"/>
      <c r="AB142" s="11"/>
      <c r="AC142" s="48"/>
      <c r="AD142" s="11"/>
      <c r="AE142" s="47"/>
      <c r="AF142" s="11"/>
      <c r="AG142" s="48"/>
      <c r="AH142" s="11"/>
      <c r="AI142" s="48"/>
      <c r="AJ142" s="11"/>
      <c r="AK142" s="48"/>
      <c r="AL142" s="11"/>
      <c r="AM142" s="49"/>
      <c r="AN142" s="49"/>
      <c r="AO142" s="11"/>
      <c r="AP142" s="11"/>
      <c r="AQ142" s="28" t="b">
        <f>IF(COUNTIF(SmartStatus!A$2:A1000, AM142) &gt; 2, TRUE, FALSE)</f>
        <v>0</v>
      </c>
      <c r="AR142" s="29" t="str">
        <f ca="1">IFERROR(__xludf.DUMMYFUNCTION("iferror(if(regexmatch(AO142, ""(?i)^registered""), if(EE142 &lt;&gt; ""polity_shortest_name"", ""CHECK_POLITY"", index(filter(SmartStatus!B$2:B1000, AM142 = SmartStatus!A$2:A1000, not(SmartStatus!C$2:C1000), (isblank(SmartStatus!D$2:D1000)) + ((P142 &lt;&gt; """") * "&amp;"(P142 &lt; SmartStatus!D$2:D1000)), (isblank(SmartStatus!E$2:E1000)) + ((P142 &lt;&gt; """") * (P142 &gt;= SmartStatus!E$2:E1000)), (isblank(SmartStatus!F$2:F1000)) + (((Q142 &lt;&gt; """") * (Q142 &lt; SmartStatus!F$2:F1000)) + ((P142 &lt;&gt; """") * (date(year(P142) + 3, month(P"&amp;"142), day(P142)) &lt; SmartStatus!F$2:F1000))), (isblank(SmartStatus!G$2:G1000)) + (((Q142 &lt;&gt; """") * (Q142 &gt;= SmartStatus!G$2:G1000)) + ((P142 &lt;&gt; """") * (P142 &gt;= SmartStatus!G$2:G1000)))), if(or(regexmatch(B142, ""(?i)^ir [a-z]+ designation$""), N142 &lt;&gt; """&amp;"""), 1, 2))), """"), ""NO_MATCH"")"),"")</f>
        <v/>
      </c>
      <c r="AS142" s="11"/>
      <c r="AT142" s="15"/>
      <c r="AU142" s="11"/>
      <c r="AV142" s="11"/>
      <c r="AW142" s="15"/>
      <c r="AX142" s="15"/>
      <c r="AY142" s="15"/>
      <c r="AZ142" s="11"/>
      <c r="BA142" s="15"/>
      <c r="BB142" s="11"/>
      <c r="BC142" s="11"/>
      <c r="BD142" s="15"/>
      <c r="BE142" s="11"/>
      <c r="BF142" s="11"/>
      <c r="BG142" s="15"/>
      <c r="BH142" s="15"/>
      <c r="BI142" s="15"/>
      <c r="BJ142" s="11"/>
      <c r="BK142" s="15"/>
      <c r="BL142" s="11"/>
      <c r="BM142" s="11"/>
      <c r="BN142" s="15"/>
      <c r="BO142" s="11"/>
      <c r="BP142" s="11"/>
      <c r="BQ142" s="15"/>
      <c r="BR142" s="15"/>
      <c r="BS142" s="15"/>
      <c r="BT142" s="11"/>
      <c r="BU142" s="15"/>
      <c r="BV142" s="11"/>
      <c r="BW142" s="11"/>
      <c r="BX142" s="15"/>
      <c r="BY142" s="11"/>
      <c r="BZ142" s="11"/>
      <c r="CA142" s="15"/>
      <c r="CB142" s="11"/>
      <c r="CC142" s="15"/>
      <c r="CD142" s="11"/>
      <c r="CE142" s="15"/>
      <c r="CF142" s="11"/>
      <c r="CG142" s="11"/>
      <c r="CH142" s="15"/>
      <c r="CI142" s="11"/>
      <c r="CJ142" s="11"/>
      <c r="CK142" s="15"/>
      <c r="CL142" s="11"/>
      <c r="CM142" s="11"/>
      <c r="CN142" s="11"/>
      <c r="CO142" s="11"/>
      <c r="CP142" s="28"/>
      <c r="CQ142" s="28"/>
      <c r="CR142" s="11"/>
      <c r="CS142" s="29"/>
      <c r="CT142" s="11"/>
      <c r="CU142" s="11"/>
      <c r="CV142" s="11"/>
      <c r="CW142" s="11"/>
      <c r="CX142" s="11"/>
      <c r="CY142" s="11"/>
      <c r="CZ142" s="11"/>
      <c r="DA142" s="28"/>
      <c r="DB142" s="28"/>
      <c r="DC142" s="11"/>
      <c r="DD142" s="29"/>
      <c r="DE142" s="11"/>
      <c r="DF142" s="11"/>
      <c r="DG142" s="11"/>
      <c r="DH142" s="11"/>
      <c r="DI142" s="11"/>
      <c r="DJ142" s="11"/>
      <c r="DK142" s="26"/>
      <c r="DL142" s="11"/>
      <c r="DM142" s="29"/>
      <c r="DN142" s="28"/>
      <c r="DO142" s="11"/>
      <c r="DP142" s="11"/>
      <c r="DQ142" s="11"/>
      <c r="DR142" s="29"/>
      <c r="DS142" s="28"/>
      <c r="DT142" s="11"/>
      <c r="DU142" s="26"/>
      <c r="DV142" s="11"/>
      <c r="DW142" s="29"/>
      <c r="DX142" s="28"/>
      <c r="DY142" s="11"/>
      <c r="DZ142" s="26"/>
      <c r="EA142" s="11"/>
      <c r="EB142" s="29"/>
      <c r="EC142" s="28"/>
      <c r="ED142" s="30"/>
      <c r="EE142" s="30" t="str">
        <f ca="1">IFERROR(__xludf.DUMMYFUNCTION("iferror(index(filter('Internal -- Trademark Countries'!E$2:E1000, (AM142 = 'Internal -- Trademark Countries'!B$2:B1000) + (AM142 = 'Internal -- Trademark Countries'!C$2:C1000) + (AM142 = 'Internal -- Trademark Countries'!D$2:D1000)), 1))"),"")</f>
        <v/>
      </c>
      <c r="EF142" s="30" t="e">
        <f ca="1">_xludf.ifs(AM142="", "", COUNTIF('Internal -- Trademark Countries'!B:B,AM142) &gt; 0, "polity_shortest_name", COUNTIF('Internal -- Trademark Countries'!C:C,AM142) &gt; 0, "polity_full_name", COUNTIF('Internal -- Trademark Countries'!D:D,AM142) &gt; 0, "polity_common_name", COUNTIF('Internal -- Trademark Countries'!E:E,AM142) &gt; 0, "shortest_name", COUNTIF('Internal -- Trademark Countries'!A:A,AM142) &gt; 0, "full_name", TRUE, "not a match")</f>
        <v>#NAME?</v>
      </c>
      <c r="EG142" s="30"/>
      <c r="EH142" s="30"/>
      <c r="EI142" s="30"/>
      <c r="EJ142" s="30"/>
      <c r="EK142" s="30" t="str">
        <f t="shared" si="2"/>
        <v/>
      </c>
    </row>
    <row r="143" spans="1:141" ht="16.5">
      <c r="A143" s="11"/>
      <c r="B143" s="11"/>
      <c r="C143" s="11"/>
      <c r="D143" s="11"/>
      <c r="E143" s="11"/>
      <c r="F143" s="11"/>
      <c r="G143" s="11"/>
      <c r="H143" s="11"/>
      <c r="I143" s="11"/>
      <c r="J143" s="11"/>
      <c r="K143" s="27"/>
      <c r="L143" s="11"/>
      <c r="M143" s="11"/>
      <c r="N143" s="11"/>
      <c r="O143" s="11"/>
      <c r="P143" s="15"/>
      <c r="Q143" s="15"/>
      <c r="R143" s="15"/>
      <c r="S143" s="15"/>
      <c r="T143" s="15"/>
      <c r="U143" s="15"/>
      <c r="V143" s="15"/>
      <c r="W143" s="47"/>
      <c r="X143" s="11"/>
      <c r="Y143" s="48"/>
      <c r="Z143" s="11"/>
      <c r="AA143" s="48"/>
      <c r="AB143" s="11"/>
      <c r="AC143" s="48"/>
      <c r="AD143" s="11"/>
      <c r="AE143" s="47"/>
      <c r="AF143" s="11"/>
      <c r="AG143" s="48"/>
      <c r="AH143" s="11"/>
      <c r="AI143" s="48"/>
      <c r="AJ143" s="11"/>
      <c r="AK143" s="48"/>
      <c r="AL143" s="11"/>
      <c r="AM143" s="49"/>
      <c r="AN143" s="49"/>
      <c r="AO143" s="11"/>
      <c r="AP143" s="11"/>
      <c r="AQ143" s="28" t="b">
        <f>IF(COUNTIF(SmartStatus!A$2:A1000, AM143) &gt; 2, TRUE, FALSE)</f>
        <v>0</v>
      </c>
      <c r="AR143" s="29" t="str">
        <f ca="1">IFERROR(__xludf.DUMMYFUNCTION("iferror(if(regexmatch(AO143, ""(?i)^registered""), if(EE143 &lt;&gt; ""polity_shortest_name"", ""CHECK_POLITY"", index(filter(SmartStatus!B$2:B1000, AM143 = SmartStatus!A$2:A1000, not(SmartStatus!C$2:C1000), (isblank(SmartStatus!D$2:D1000)) + ((P143 &lt;&gt; """") * "&amp;"(P143 &lt; SmartStatus!D$2:D1000)), (isblank(SmartStatus!E$2:E1000)) + ((P143 &lt;&gt; """") * (P143 &gt;= SmartStatus!E$2:E1000)), (isblank(SmartStatus!F$2:F1000)) + (((Q143 &lt;&gt; """") * (Q143 &lt; SmartStatus!F$2:F1000)) + ((P143 &lt;&gt; """") * (date(year(P143) + 3, month(P"&amp;"143), day(P143)) &lt; SmartStatus!F$2:F1000))), (isblank(SmartStatus!G$2:G1000)) + (((Q143 &lt;&gt; """") * (Q143 &gt;= SmartStatus!G$2:G1000)) + ((P143 &lt;&gt; """") * (P143 &gt;= SmartStatus!G$2:G1000)))), if(or(regexmatch(B143, ""(?i)^ir [a-z]+ designation$""), N143 &lt;&gt; """&amp;"""), 1, 2))), """"), ""NO_MATCH"")"),"")</f>
        <v/>
      </c>
      <c r="AS143" s="11"/>
      <c r="AT143" s="15"/>
      <c r="AU143" s="11"/>
      <c r="AV143" s="11"/>
      <c r="AW143" s="15"/>
      <c r="AX143" s="15"/>
      <c r="AY143" s="15"/>
      <c r="AZ143" s="11"/>
      <c r="BA143" s="15"/>
      <c r="BB143" s="11"/>
      <c r="BC143" s="11"/>
      <c r="BD143" s="15"/>
      <c r="BE143" s="11"/>
      <c r="BF143" s="11"/>
      <c r="BG143" s="15"/>
      <c r="BH143" s="15"/>
      <c r="BI143" s="15"/>
      <c r="BJ143" s="11"/>
      <c r="BK143" s="15"/>
      <c r="BL143" s="11"/>
      <c r="BM143" s="11"/>
      <c r="BN143" s="15"/>
      <c r="BO143" s="11"/>
      <c r="BP143" s="11"/>
      <c r="BQ143" s="15"/>
      <c r="BR143" s="15"/>
      <c r="BS143" s="15"/>
      <c r="BT143" s="11"/>
      <c r="BU143" s="15"/>
      <c r="BV143" s="11"/>
      <c r="BW143" s="11"/>
      <c r="BX143" s="15"/>
      <c r="BY143" s="11"/>
      <c r="BZ143" s="11"/>
      <c r="CA143" s="15"/>
      <c r="CB143" s="11"/>
      <c r="CC143" s="15"/>
      <c r="CD143" s="11"/>
      <c r="CE143" s="15"/>
      <c r="CF143" s="11"/>
      <c r="CG143" s="11"/>
      <c r="CH143" s="15"/>
      <c r="CI143" s="11"/>
      <c r="CJ143" s="11"/>
      <c r="CK143" s="15"/>
      <c r="CL143" s="11"/>
      <c r="CM143" s="11"/>
      <c r="CN143" s="11"/>
      <c r="CO143" s="11"/>
      <c r="CP143" s="28"/>
      <c r="CQ143" s="28"/>
      <c r="CR143" s="11"/>
      <c r="CS143" s="29"/>
      <c r="CT143" s="11"/>
      <c r="CU143" s="11"/>
      <c r="CV143" s="11"/>
      <c r="CW143" s="11"/>
      <c r="CX143" s="11"/>
      <c r="CY143" s="11"/>
      <c r="CZ143" s="11"/>
      <c r="DA143" s="28"/>
      <c r="DB143" s="28"/>
      <c r="DC143" s="11"/>
      <c r="DD143" s="29"/>
      <c r="DE143" s="11"/>
      <c r="DF143" s="11"/>
      <c r="DG143" s="11"/>
      <c r="DH143" s="11"/>
      <c r="DI143" s="11"/>
      <c r="DJ143" s="11"/>
      <c r="DK143" s="26"/>
      <c r="DL143" s="11"/>
      <c r="DM143" s="29"/>
      <c r="DN143" s="28"/>
      <c r="DO143" s="11"/>
      <c r="DP143" s="11"/>
      <c r="DQ143" s="11"/>
      <c r="DR143" s="29"/>
      <c r="DS143" s="28"/>
      <c r="DT143" s="11"/>
      <c r="DU143" s="26"/>
      <c r="DV143" s="11"/>
      <c r="DW143" s="29"/>
      <c r="DX143" s="28"/>
      <c r="DY143" s="11"/>
      <c r="DZ143" s="26"/>
      <c r="EA143" s="11"/>
      <c r="EB143" s="29"/>
      <c r="EC143" s="28"/>
      <c r="ED143" s="30"/>
      <c r="EE143" s="30" t="str">
        <f ca="1">IFERROR(__xludf.DUMMYFUNCTION("iferror(index(filter('Internal -- Trademark Countries'!E$2:E1000, (AM143 = 'Internal -- Trademark Countries'!B$2:B1000) + (AM143 = 'Internal -- Trademark Countries'!C$2:C1000) + (AM143 = 'Internal -- Trademark Countries'!D$2:D1000)), 1))"),"")</f>
        <v/>
      </c>
      <c r="EF143" s="30" t="e">
        <f ca="1">_xludf.ifs(AM143="", "", COUNTIF('Internal -- Trademark Countries'!B:B,AM143) &gt; 0, "polity_shortest_name", COUNTIF('Internal -- Trademark Countries'!C:C,AM143) &gt; 0, "polity_full_name", COUNTIF('Internal -- Trademark Countries'!D:D,AM143) &gt; 0, "polity_common_name", COUNTIF('Internal -- Trademark Countries'!E:E,AM143) &gt; 0, "shortest_name", COUNTIF('Internal -- Trademark Countries'!A:A,AM143) &gt; 0, "full_name", TRUE, "not a match")</f>
        <v>#NAME?</v>
      </c>
      <c r="EG143" s="30"/>
      <c r="EH143" s="30"/>
      <c r="EI143" s="30"/>
      <c r="EJ143" s="30"/>
      <c r="EK143" s="30" t="str">
        <f t="shared" si="2"/>
        <v/>
      </c>
    </row>
    <row r="144" spans="1:141" ht="16.5">
      <c r="A144" s="11"/>
      <c r="B144" s="11"/>
      <c r="C144" s="11"/>
      <c r="D144" s="11"/>
      <c r="E144" s="11"/>
      <c r="F144" s="11"/>
      <c r="G144" s="11"/>
      <c r="H144" s="11"/>
      <c r="I144" s="11"/>
      <c r="J144" s="11"/>
      <c r="K144" s="27"/>
      <c r="L144" s="11"/>
      <c r="M144" s="11"/>
      <c r="N144" s="11"/>
      <c r="O144" s="11"/>
      <c r="P144" s="15"/>
      <c r="Q144" s="15"/>
      <c r="R144" s="15"/>
      <c r="S144" s="15"/>
      <c r="T144" s="15"/>
      <c r="U144" s="15"/>
      <c r="V144" s="15"/>
      <c r="W144" s="47"/>
      <c r="X144" s="11"/>
      <c r="Y144" s="48"/>
      <c r="Z144" s="11"/>
      <c r="AA144" s="48"/>
      <c r="AB144" s="11"/>
      <c r="AC144" s="48"/>
      <c r="AD144" s="11"/>
      <c r="AE144" s="47"/>
      <c r="AF144" s="11"/>
      <c r="AG144" s="48"/>
      <c r="AH144" s="11"/>
      <c r="AI144" s="48"/>
      <c r="AJ144" s="11"/>
      <c r="AK144" s="48"/>
      <c r="AL144" s="11"/>
      <c r="AM144" s="49"/>
      <c r="AN144" s="49"/>
      <c r="AO144" s="11"/>
      <c r="AP144" s="11"/>
      <c r="AQ144" s="28" t="b">
        <f>IF(COUNTIF(SmartStatus!A$2:A1000, AM144) &gt; 2, TRUE, FALSE)</f>
        <v>0</v>
      </c>
      <c r="AR144" s="29" t="str">
        <f ca="1">IFERROR(__xludf.DUMMYFUNCTION("iferror(if(regexmatch(AO144, ""(?i)^registered""), if(EE144 &lt;&gt; ""polity_shortest_name"", ""CHECK_POLITY"", index(filter(SmartStatus!B$2:B1000, AM144 = SmartStatus!A$2:A1000, not(SmartStatus!C$2:C1000), (isblank(SmartStatus!D$2:D1000)) + ((P144 &lt;&gt; """") * "&amp;"(P144 &lt; SmartStatus!D$2:D1000)), (isblank(SmartStatus!E$2:E1000)) + ((P144 &lt;&gt; """") * (P144 &gt;= SmartStatus!E$2:E1000)), (isblank(SmartStatus!F$2:F1000)) + (((Q144 &lt;&gt; """") * (Q144 &lt; SmartStatus!F$2:F1000)) + ((P144 &lt;&gt; """") * (date(year(P144) + 3, month(P"&amp;"144), day(P144)) &lt; SmartStatus!F$2:F1000))), (isblank(SmartStatus!G$2:G1000)) + (((Q144 &lt;&gt; """") * (Q144 &gt;= SmartStatus!G$2:G1000)) + ((P144 &lt;&gt; """") * (P144 &gt;= SmartStatus!G$2:G1000)))), if(or(regexmatch(B144, ""(?i)^ir [a-z]+ designation$""), N144 &lt;&gt; """&amp;"""), 1, 2))), """"), ""NO_MATCH"")"),"")</f>
        <v/>
      </c>
      <c r="AS144" s="11"/>
      <c r="AT144" s="15"/>
      <c r="AU144" s="11"/>
      <c r="AV144" s="11"/>
      <c r="AW144" s="15"/>
      <c r="AX144" s="15"/>
      <c r="AY144" s="15"/>
      <c r="AZ144" s="11"/>
      <c r="BA144" s="15"/>
      <c r="BB144" s="11"/>
      <c r="BC144" s="11"/>
      <c r="BD144" s="15"/>
      <c r="BE144" s="11"/>
      <c r="BF144" s="11"/>
      <c r="BG144" s="15"/>
      <c r="BH144" s="15"/>
      <c r="BI144" s="15"/>
      <c r="BJ144" s="11"/>
      <c r="BK144" s="15"/>
      <c r="BL144" s="11"/>
      <c r="BM144" s="11"/>
      <c r="BN144" s="15"/>
      <c r="BO144" s="11"/>
      <c r="BP144" s="11"/>
      <c r="BQ144" s="15"/>
      <c r="BR144" s="15"/>
      <c r="BS144" s="15"/>
      <c r="BT144" s="11"/>
      <c r="BU144" s="15"/>
      <c r="BV144" s="11"/>
      <c r="BW144" s="11"/>
      <c r="BX144" s="15"/>
      <c r="BY144" s="11"/>
      <c r="BZ144" s="11"/>
      <c r="CA144" s="15"/>
      <c r="CB144" s="11"/>
      <c r="CC144" s="15"/>
      <c r="CD144" s="11"/>
      <c r="CE144" s="15"/>
      <c r="CF144" s="11"/>
      <c r="CG144" s="11"/>
      <c r="CH144" s="15"/>
      <c r="CI144" s="11"/>
      <c r="CJ144" s="11"/>
      <c r="CK144" s="15"/>
      <c r="CL144" s="11"/>
      <c r="CM144" s="11"/>
      <c r="CN144" s="11"/>
      <c r="CO144" s="11"/>
      <c r="CP144" s="28"/>
      <c r="CQ144" s="28"/>
      <c r="CR144" s="11"/>
      <c r="CS144" s="29"/>
      <c r="CT144" s="11"/>
      <c r="CU144" s="11"/>
      <c r="CV144" s="11"/>
      <c r="CW144" s="11"/>
      <c r="CX144" s="11"/>
      <c r="CY144" s="11"/>
      <c r="CZ144" s="11"/>
      <c r="DA144" s="28"/>
      <c r="DB144" s="28"/>
      <c r="DC144" s="11"/>
      <c r="DD144" s="29"/>
      <c r="DE144" s="11"/>
      <c r="DF144" s="11"/>
      <c r="DG144" s="11"/>
      <c r="DH144" s="11"/>
      <c r="DI144" s="11"/>
      <c r="DJ144" s="11"/>
      <c r="DK144" s="26"/>
      <c r="DL144" s="11"/>
      <c r="DM144" s="29"/>
      <c r="DN144" s="28"/>
      <c r="DO144" s="11"/>
      <c r="DP144" s="11"/>
      <c r="DQ144" s="11"/>
      <c r="DR144" s="29"/>
      <c r="DS144" s="28"/>
      <c r="DT144" s="11"/>
      <c r="DU144" s="26"/>
      <c r="DV144" s="11"/>
      <c r="DW144" s="29"/>
      <c r="DX144" s="28"/>
      <c r="DY144" s="11"/>
      <c r="DZ144" s="26"/>
      <c r="EA144" s="11"/>
      <c r="EB144" s="29"/>
      <c r="EC144" s="28"/>
      <c r="ED144" s="30"/>
      <c r="EE144" s="30" t="str">
        <f ca="1">IFERROR(__xludf.DUMMYFUNCTION("iferror(index(filter('Internal -- Trademark Countries'!E$2:E1000, (AM144 = 'Internal -- Trademark Countries'!B$2:B1000) + (AM144 = 'Internal -- Trademark Countries'!C$2:C1000) + (AM144 = 'Internal -- Trademark Countries'!D$2:D1000)), 1))"),"")</f>
        <v/>
      </c>
      <c r="EF144" s="30" t="e">
        <f ca="1">_xludf.ifs(AM144="", "", COUNTIF('Internal -- Trademark Countries'!B:B,AM144) &gt; 0, "polity_shortest_name", COUNTIF('Internal -- Trademark Countries'!C:C,AM144) &gt; 0, "polity_full_name", COUNTIF('Internal -- Trademark Countries'!D:D,AM144) &gt; 0, "polity_common_name", COUNTIF('Internal -- Trademark Countries'!E:E,AM144) &gt; 0, "shortest_name", COUNTIF('Internal -- Trademark Countries'!A:A,AM144) &gt; 0, "full_name", TRUE, "not a match")</f>
        <v>#NAME?</v>
      </c>
      <c r="EG144" s="30"/>
      <c r="EH144" s="30"/>
      <c r="EI144" s="30"/>
      <c r="EJ144" s="30"/>
      <c r="EK144" s="30" t="str">
        <f t="shared" si="2"/>
        <v/>
      </c>
    </row>
    <row r="145" spans="1:141" ht="16.5">
      <c r="A145" s="11"/>
      <c r="B145" s="11"/>
      <c r="C145" s="11"/>
      <c r="D145" s="11"/>
      <c r="E145" s="11"/>
      <c r="F145" s="11"/>
      <c r="G145" s="11"/>
      <c r="H145" s="11"/>
      <c r="I145" s="11"/>
      <c r="J145" s="11"/>
      <c r="K145" s="27"/>
      <c r="L145" s="11"/>
      <c r="M145" s="11"/>
      <c r="N145" s="11"/>
      <c r="O145" s="11"/>
      <c r="P145" s="15"/>
      <c r="Q145" s="15"/>
      <c r="R145" s="15"/>
      <c r="S145" s="15"/>
      <c r="T145" s="15"/>
      <c r="U145" s="15"/>
      <c r="V145" s="15"/>
      <c r="W145" s="47"/>
      <c r="X145" s="11"/>
      <c r="Y145" s="48"/>
      <c r="Z145" s="11"/>
      <c r="AA145" s="48"/>
      <c r="AB145" s="11"/>
      <c r="AC145" s="48"/>
      <c r="AD145" s="11"/>
      <c r="AE145" s="47"/>
      <c r="AF145" s="11"/>
      <c r="AG145" s="48"/>
      <c r="AH145" s="11"/>
      <c r="AI145" s="48"/>
      <c r="AJ145" s="11"/>
      <c r="AK145" s="48"/>
      <c r="AL145" s="11"/>
      <c r="AM145" s="49"/>
      <c r="AN145" s="49"/>
      <c r="AO145" s="11"/>
      <c r="AP145" s="11"/>
      <c r="AQ145" s="28" t="b">
        <f>IF(COUNTIF(SmartStatus!A$2:A1000, AM145) &gt; 2, TRUE, FALSE)</f>
        <v>0</v>
      </c>
      <c r="AR145" s="29" t="str">
        <f ca="1">IFERROR(__xludf.DUMMYFUNCTION("iferror(if(regexmatch(AO145, ""(?i)^registered""), if(EE145 &lt;&gt; ""polity_shortest_name"", ""CHECK_POLITY"", index(filter(SmartStatus!B$2:B1000, AM145 = SmartStatus!A$2:A1000, not(SmartStatus!C$2:C1000), (isblank(SmartStatus!D$2:D1000)) + ((P145 &lt;&gt; """") * "&amp;"(P145 &lt; SmartStatus!D$2:D1000)), (isblank(SmartStatus!E$2:E1000)) + ((P145 &lt;&gt; """") * (P145 &gt;= SmartStatus!E$2:E1000)), (isblank(SmartStatus!F$2:F1000)) + (((Q145 &lt;&gt; """") * (Q145 &lt; SmartStatus!F$2:F1000)) + ((P145 &lt;&gt; """") * (date(year(P145) + 3, month(P"&amp;"145), day(P145)) &lt; SmartStatus!F$2:F1000))), (isblank(SmartStatus!G$2:G1000)) + (((Q145 &lt;&gt; """") * (Q145 &gt;= SmartStatus!G$2:G1000)) + ((P145 &lt;&gt; """") * (P145 &gt;= SmartStatus!G$2:G1000)))), if(or(regexmatch(B145, ""(?i)^ir [a-z]+ designation$""), N145 &lt;&gt; """&amp;"""), 1, 2))), """"), ""NO_MATCH"")"),"")</f>
        <v/>
      </c>
      <c r="AS145" s="11"/>
      <c r="AT145" s="15"/>
      <c r="AU145" s="11"/>
      <c r="AV145" s="11"/>
      <c r="AW145" s="15"/>
      <c r="AX145" s="15"/>
      <c r="AY145" s="15"/>
      <c r="AZ145" s="11"/>
      <c r="BA145" s="15"/>
      <c r="BB145" s="11"/>
      <c r="BC145" s="11"/>
      <c r="BD145" s="15"/>
      <c r="BE145" s="11"/>
      <c r="BF145" s="11"/>
      <c r="BG145" s="15"/>
      <c r="BH145" s="15"/>
      <c r="BI145" s="15"/>
      <c r="BJ145" s="11"/>
      <c r="BK145" s="15"/>
      <c r="BL145" s="11"/>
      <c r="BM145" s="11"/>
      <c r="BN145" s="15"/>
      <c r="BO145" s="11"/>
      <c r="BP145" s="11"/>
      <c r="BQ145" s="15"/>
      <c r="BR145" s="15"/>
      <c r="BS145" s="15"/>
      <c r="BT145" s="11"/>
      <c r="BU145" s="15"/>
      <c r="BV145" s="11"/>
      <c r="BW145" s="11"/>
      <c r="BX145" s="15"/>
      <c r="BY145" s="11"/>
      <c r="BZ145" s="11"/>
      <c r="CA145" s="15"/>
      <c r="CB145" s="11"/>
      <c r="CC145" s="15"/>
      <c r="CD145" s="11"/>
      <c r="CE145" s="15"/>
      <c r="CF145" s="11"/>
      <c r="CG145" s="11"/>
      <c r="CH145" s="15"/>
      <c r="CI145" s="11"/>
      <c r="CJ145" s="11"/>
      <c r="CK145" s="15"/>
      <c r="CL145" s="11"/>
      <c r="CM145" s="11"/>
      <c r="CN145" s="11"/>
      <c r="CO145" s="11"/>
      <c r="CP145" s="28"/>
      <c r="CQ145" s="28"/>
      <c r="CR145" s="11"/>
      <c r="CS145" s="29"/>
      <c r="CT145" s="11"/>
      <c r="CU145" s="11"/>
      <c r="CV145" s="11"/>
      <c r="CW145" s="11"/>
      <c r="CX145" s="11"/>
      <c r="CY145" s="11"/>
      <c r="CZ145" s="11"/>
      <c r="DA145" s="28"/>
      <c r="DB145" s="28"/>
      <c r="DC145" s="11"/>
      <c r="DD145" s="29"/>
      <c r="DE145" s="11"/>
      <c r="DF145" s="11"/>
      <c r="DG145" s="11"/>
      <c r="DH145" s="11"/>
      <c r="DI145" s="11"/>
      <c r="DJ145" s="11"/>
      <c r="DK145" s="26"/>
      <c r="DL145" s="11"/>
      <c r="DM145" s="29"/>
      <c r="DN145" s="28"/>
      <c r="DO145" s="11"/>
      <c r="DP145" s="11"/>
      <c r="DQ145" s="11"/>
      <c r="DR145" s="29"/>
      <c r="DS145" s="28"/>
      <c r="DT145" s="11"/>
      <c r="DU145" s="26"/>
      <c r="DV145" s="11"/>
      <c r="DW145" s="29"/>
      <c r="DX145" s="28"/>
      <c r="DY145" s="11"/>
      <c r="DZ145" s="26"/>
      <c r="EA145" s="11"/>
      <c r="EB145" s="29"/>
      <c r="EC145" s="28"/>
      <c r="ED145" s="30"/>
      <c r="EE145" s="30" t="str">
        <f ca="1">IFERROR(__xludf.DUMMYFUNCTION("iferror(index(filter('Internal -- Trademark Countries'!E$2:E1000, (AM145 = 'Internal -- Trademark Countries'!B$2:B1000) + (AM145 = 'Internal -- Trademark Countries'!C$2:C1000) + (AM145 = 'Internal -- Trademark Countries'!D$2:D1000)), 1))"),"")</f>
        <v/>
      </c>
      <c r="EF145" s="30" t="e">
        <f ca="1">_xludf.ifs(AM145="", "", COUNTIF('Internal -- Trademark Countries'!B:B,AM145) &gt; 0, "polity_shortest_name", COUNTIF('Internal -- Trademark Countries'!C:C,AM145) &gt; 0, "polity_full_name", COUNTIF('Internal -- Trademark Countries'!D:D,AM145) &gt; 0, "polity_common_name", COUNTIF('Internal -- Trademark Countries'!E:E,AM145) &gt; 0, "shortest_name", COUNTIF('Internal -- Trademark Countries'!A:A,AM145) &gt; 0, "full_name", TRUE, "not a match")</f>
        <v>#NAME?</v>
      </c>
      <c r="EG145" s="30"/>
      <c r="EH145" s="30"/>
      <c r="EI145" s="30"/>
      <c r="EJ145" s="30"/>
      <c r="EK145" s="30" t="str">
        <f t="shared" si="2"/>
        <v/>
      </c>
    </row>
    <row r="146" spans="1:141" ht="16.5">
      <c r="A146" s="11"/>
      <c r="B146" s="11"/>
      <c r="C146" s="11"/>
      <c r="D146" s="11"/>
      <c r="E146" s="11"/>
      <c r="F146" s="11"/>
      <c r="G146" s="11"/>
      <c r="H146" s="11"/>
      <c r="I146" s="11"/>
      <c r="J146" s="11"/>
      <c r="K146" s="27"/>
      <c r="L146" s="11"/>
      <c r="M146" s="11"/>
      <c r="N146" s="11"/>
      <c r="O146" s="11"/>
      <c r="P146" s="15"/>
      <c r="Q146" s="15"/>
      <c r="R146" s="15"/>
      <c r="S146" s="15"/>
      <c r="T146" s="15"/>
      <c r="U146" s="15"/>
      <c r="V146" s="15"/>
      <c r="W146" s="47"/>
      <c r="X146" s="11"/>
      <c r="Y146" s="48"/>
      <c r="Z146" s="11"/>
      <c r="AA146" s="48"/>
      <c r="AB146" s="11"/>
      <c r="AC146" s="48"/>
      <c r="AD146" s="11"/>
      <c r="AE146" s="47"/>
      <c r="AF146" s="11"/>
      <c r="AG146" s="48"/>
      <c r="AH146" s="11"/>
      <c r="AI146" s="48"/>
      <c r="AJ146" s="11"/>
      <c r="AK146" s="48"/>
      <c r="AL146" s="11"/>
      <c r="AM146" s="49"/>
      <c r="AN146" s="49"/>
      <c r="AO146" s="11"/>
      <c r="AP146" s="11"/>
      <c r="AQ146" s="28" t="b">
        <f>IF(COUNTIF(SmartStatus!A$2:A1000, AM146) &gt; 2, TRUE, FALSE)</f>
        <v>0</v>
      </c>
      <c r="AR146" s="29" t="str">
        <f ca="1">IFERROR(__xludf.DUMMYFUNCTION("iferror(if(regexmatch(AO146, ""(?i)^registered""), if(EE146 &lt;&gt; ""polity_shortest_name"", ""CHECK_POLITY"", index(filter(SmartStatus!B$2:B1000, AM146 = SmartStatus!A$2:A1000, not(SmartStatus!C$2:C1000), (isblank(SmartStatus!D$2:D1000)) + ((P146 &lt;&gt; """") * "&amp;"(P146 &lt; SmartStatus!D$2:D1000)), (isblank(SmartStatus!E$2:E1000)) + ((P146 &lt;&gt; """") * (P146 &gt;= SmartStatus!E$2:E1000)), (isblank(SmartStatus!F$2:F1000)) + (((Q146 &lt;&gt; """") * (Q146 &lt; SmartStatus!F$2:F1000)) + ((P146 &lt;&gt; """") * (date(year(P146) + 3, month(P"&amp;"146), day(P146)) &lt; SmartStatus!F$2:F1000))), (isblank(SmartStatus!G$2:G1000)) + (((Q146 &lt;&gt; """") * (Q146 &gt;= SmartStatus!G$2:G1000)) + ((P146 &lt;&gt; """") * (P146 &gt;= SmartStatus!G$2:G1000)))), if(or(regexmatch(B146, ""(?i)^ir [a-z]+ designation$""), N146 &lt;&gt; """&amp;"""), 1, 2))), """"), ""NO_MATCH"")"),"")</f>
        <v/>
      </c>
      <c r="AS146" s="11"/>
      <c r="AT146" s="15"/>
      <c r="AU146" s="11"/>
      <c r="AV146" s="11"/>
      <c r="AW146" s="15"/>
      <c r="AX146" s="15"/>
      <c r="AY146" s="15"/>
      <c r="AZ146" s="11"/>
      <c r="BA146" s="15"/>
      <c r="BB146" s="11"/>
      <c r="BC146" s="11"/>
      <c r="BD146" s="15"/>
      <c r="BE146" s="11"/>
      <c r="BF146" s="11"/>
      <c r="BG146" s="15"/>
      <c r="BH146" s="15"/>
      <c r="BI146" s="15"/>
      <c r="BJ146" s="11"/>
      <c r="BK146" s="15"/>
      <c r="BL146" s="11"/>
      <c r="BM146" s="11"/>
      <c r="BN146" s="15"/>
      <c r="BO146" s="11"/>
      <c r="BP146" s="11"/>
      <c r="BQ146" s="15"/>
      <c r="BR146" s="15"/>
      <c r="BS146" s="15"/>
      <c r="BT146" s="11"/>
      <c r="BU146" s="15"/>
      <c r="BV146" s="11"/>
      <c r="BW146" s="11"/>
      <c r="BX146" s="15"/>
      <c r="BY146" s="11"/>
      <c r="BZ146" s="11"/>
      <c r="CA146" s="15"/>
      <c r="CB146" s="11"/>
      <c r="CC146" s="15"/>
      <c r="CD146" s="11"/>
      <c r="CE146" s="15"/>
      <c r="CF146" s="11"/>
      <c r="CG146" s="11"/>
      <c r="CH146" s="15"/>
      <c r="CI146" s="11"/>
      <c r="CJ146" s="11"/>
      <c r="CK146" s="15"/>
      <c r="CL146" s="11"/>
      <c r="CM146" s="11"/>
      <c r="CN146" s="11"/>
      <c r="CO146" s="11"/>
      <c r="CP146" s="28"/>
      <c r="CQ146" s="28"/>
      <c r="CR146" s="11"/>
      <c r="CS146" s="29"/>
      <c r="CT146" s="11"/>
      <c r="CU146" s="11"/>
      <c r="CV146" s="11"/>
      <c r="CW146" s="11"/>
      <c r="CX146" s="11"/>
      <c r="CY146" s="11"/>
      <c r="CZ146" s="11"/>
      <c r="DA146" s="28"/>
      <c r="DB146" s="28"/>
      <c r="DC146" s="11"/>
      <c r="DD146" s="29"/>
      <c r="DE146" s="11"/>
      <c r="DF146" s="11"/>
      <c r="DG146" s="11"/>
      <c r="DH146" s="11"/>
      <c r="DI146" s="11"/>
      <c r="DJ146" s="11"/>
      <c r="DK146" s="26"/>
      <c r="DL146" s="11"/>
      <c r="DM146" s="29"/>
      <c r="DN146" s="28"/>
      <c r="DO146" s="11"/>
      <c r="DP146" s="11"/>
      <c r="DQ146" s="11"/>
      <c r="DR146" s="29"/>
      <c r="DS146" s="28"/>
      <c r="DT146" s="11"/>
      <c r="DU146" s="26"/>
      <c r="DV146" s="11"/>
      <c r="DW146" s="29"/>
      <c r="DX146" s="28"/>
      <c r="DY146" s="11"/>
      <c r="DZ146" s="26"/>
      <c r="EA146" s="11"/>
      <c r="EB146" s="29"/>
      <c r="EC146" s="28"/>
      <c r="ED146" s="30"/>
      <c r="EE146" s="30" t="str">
        <f ca="1">IFERROR(__xludf.DUMMYFUNCTION("iferror(index(filter('Internal -- Trademark Countries'!E$2:E1000, (AM146 = 'Internal -- Trademark Countries'!B$2:B1000) + (AM146 = 'Internal -- Trademark Countries'!C$2:C1000) + (AM146 = 'Internal -- Trademark Countries'!D$2:D1000)), 1))"),"")</f>
        <v/>
      </c>
      <c r="EF146" s="30" t="e">
        <f ca="1">_xludf.ifs(AM146="", "", COUNTIF('Internal -- Trademark Countries'!B:B,AM146) &gt; 0, "polity_shortest_name", COUNTIF('Internal -- Trademark Countries'!C:C,AM146) &gt; 0, "polity_full_name", COUNTIF('Internal -- Trademark Countries'!D:D,AM146) &gt; 0, "polity_common_name", COUNTIF('Internal -- Trademark Countries'!E:E,AM146) &gt; 0, "shortest_name", COUNTIF('Internal -- Trademark Countries'!A:A,AM146) &gt; 0, "full_name", TRUE, "not a match")</f>
        <v>#NAME?</v>
      </c>
      <c r="EG146" s="30"/>
      <c r="EH146" s="30"/>
      <c r="EI146" s="30"/>
      <c r="EJ146" s="30"/>
      <c r="EK146" s="30" t="str">
        <f t="shared" si="2"/>
        <v/>
      </c>
    </row>
    <row r="147" spans="1:141" ht="16.5">
      <c r="A147" s="11"/>
      <c r="B147" s="11"/>
      <c r="C147" s="11"/>
      <c r="D147" s="11"/>
      <c r="E147" s="11"/>
      <c r="F147" s="11"/>
      <c r="G147" s="11"/>
      <c r="H147" s="11"/>
      <c r="I147" s="11"/>
      <c r="J147" s="11"/>
      <c r="K147" s="27"/>
      <c r="L147" s="11"/>
      <c r="M147" s="11"/>
      <c r="N147" s="11"/>
      <c r="O147" s="11"/>
      <c r="P147" s="15"/>
      <c r="Q147" s="15"/>
      <c r="R147" s="15"/>
      <c r="S147" s="15"/>
      <c r="T147" s="15"/>
      <c r="U147" s="15"/>
      <c r="V147" s="15"/>
      <c r="W147" s="47"/>
      <c r="X147" s="11"/>
      <c r="Y147" s="48"/>
      <c r="Z147" s="11"/>
      <c r="AA147" s="48"/>
      <c r="AB147" s="11"/>
      <c r="AC147" s="48"/>
      <c r="AD147" s="11"/>
      <c r="AE147" s="47"/>
      <c r="AF147" s="11"/>
      <c r="AG147" s="48"/>
      <c r="AH147" s="11"/>
      <c r="AI147" s="48"/>
      <c r="AJ147" s="11"/>
      <c r="AK147" s="48"/>
      <c r="AL147" s="11"/>
      <c r="AM147" s="49"/>
      <c r="AN147" s="49"/>
      <c r="AO147" s="11"/>
      <c r="AP147" s="11"/>
      <c r="AQ147" s="28" t="b">
        <f>IF(COUNTIF(SmartStatus!A$2:A1000, AM147) &gt; 2, TRUE, FALSE)</f>
        <v>0</v>
      </c>
      <c r="AR147" s="29" t="str">
        <f ca="1">IFERROR(__xludf.DUMMYFUNCTION("iferror(if(regexmatch(AO147, ""(?i)^registered""), if(EE147 &lt;&gt; ""polity_shortest_name"", ""CHECK_POLITY"", index(filter(SmartStatus!B$2:B1000, AM147 = SmartStatus!A$2:A1000, not(SmartStatus!C$2:C1000), (isblank(SmartStatus!D$2:D1000)) + ((P147 &lt;&gt; """") * "&amp;"(P147 &lt; SmartStatus!D$2:D1000)), (isblank(SmartStatus!E$2:E1000)) + ((P147 &lt;&gt; """") * (P147 &gt;= SmartStatus!E$2:E1000)), (isblank(SmartStatus!F$2:F1000)) + (((Q147 &lt;&gt; """") * (Q147 &lt; SmartStatus!F$2:F1000)) + ((P147 &lt;&gt; """") * (date(year(P147) + 3, month(P"&amp;"147), day(P147)) &lt; SmartStatus!F$2:F1000))), (isblank(SmartStatus!G$2:G1000)) + (((Q147 &lt;&gt; """") * (Q147 &gt;= SmartStatus!G$2:G1000)) + ((P147 &lt;&gt; """") * (P147 &gt;= SmartStatus!G$2:G1000)))), if(or(regexmatch(B147, ""(?i)^ir [a-z]+ designation$""), N147 &lt;&gt; """&amp;"""), 1, 2))), """"), ""NO_MATCH"")"),"")</f>
        <v/>
      </c>
      <c r="AS147" s="11"/>
      <c r="AT147" s="15"/>
      <c r="AU147" s="11"/>
      <c r="AV147" s="11"/>
      <c r="AW147" s="15"/>
      <c r="AX147" s="15"/>
      <c r="AY147" s="15"/>
      <c r="AZ147" s="11"/>
      <c r="BA147" s="15"/>
      <c r="BB147" s="11"/>
      <c r="BC147" s="11"/>
      <c r="BD147" s="15"/>
      <c r="BE147" s="11"/>
      <c r="BF147" s="11"/>
      <c r="BG147" s="15"/>
      <c r="BH147" s="15"/>
      <c r="BI147" s="15"/>
      <c r="BJ147" s="11"/>
      <c r="BK147" s="15"/>
      <c r="BL147" s="11"/>
      <c r="BM147" s="11"/>
      <c r="BN147" s="15"/>
      <c r="BO147" s="11"/>
      <c r="BP147" s="11"/>
      <c r="BQ147" s="15"/>
      <c r="BR147" s="15"/>
      <c r="BS147" s="15"/>
      <c r="BT147" s="11"/>
      <c r="BU147" s="15"/>
      <c r="BV147" s="11"/>
      <c r="BW147" s="11"/>
      <c r="BX147" s="15"/>
      <c r="BY147" s="11"/>
      <c r="BZ147" s="11"/>
      <c r="CA147" s="15"/>
      <c r="CB147" s="11"/>
      <c r="CC147" s="15"/>
      <c r="CD147" s="11"/>
      <c r="CE147" s="15"/>
      <c r="CF147" s="11"/>
      <c r="CG147" s="11"/>
      <c r="CH147" s="15"/>
      <c r="CI147" s="11"/>
      <c r="CJ147" s="11"/>
      <c r="CK147" s="15"/>
      <c r="CL147" s="11"/>
      <c r="CM147" s="11"/>
      <c r="CN147" s="11"/>
      <c r="CO147" s="11"/>
      <c r="CP147" s="28"/>
      <c r="CQ147" s="28"/>
      <c r="CR147" s="11"/>
      <c r="CS147" s="29"/>
      <c r="CT147" s="11"/>
      <c r="CU147" s="11"/>
      <c r="CV147" s="11"/>
      <c r="CW147" s="11"/>
      <c r="CX147" s="11"/>
      <c r="CY147" s="11"/>
      <c r="CZ147" s="11"/>
      <c r="DA147" s="28"/>
      <c r="DB147" s="28"/>
      <c r="DC147" s="11"/>
      <c r="DD147" s="29"/>
      <c r="DE147" s="11"/>
      <c r="DF147" s="11"/>
      <c r="DG147" s="11"/>
      <c r="DH147" s="11"/>
      <c r="DI147" s="11"/>
      <c r="DJ147" s="11"/>
      <c r="DK147" s="26"/>
      <c r="DL147" s="11"/>
      <c r="DM147" s="29"/>
      <c r="DN147" s="28"/>
      <c r="DO147" s="11"/>
      <c r="DP147" s="11"/>
      <c r="DQ147" s="11"/>
      <c r="DR147" s="29"/>
      <c r="DS147" s="28"/>
      <c r="DT147" s="11"/>
      <c r="DU147" s="26"/>
      <c r="DV147" s="11"/>
      <c r="DW147" s="29"/>
      <c r="DX147" s="28"/>
      <c r="DY147" s="11"/>
      <c r="DZ147" s="26"/>
      <c r="EA147" s="11"/>
      <c r="EB147" s="29"/>
      <c r="EC147" s="28"/>
      <c r="ED147" s="30"/>
      <c r="EE147" s="30" t="str">
        <f ca="1">IFERROR(__xludf.DUMMYFUNCTION("iferror(index(filter('Internal -- Trademark Countries'!E$2:E1000, (AM147 = 'Internal -- Trademark Countries'!B$2:B1000) + (AM147 = 'Internal -- Trademark Countries'!C$2:C1000) + (AM147 = 'Internal -- Trademark Countries'!D$2:D1000)), 1))"),"")</f>
        <v/>
      </c>
      <c r="EF147" s="30" t="e">
        <f ca="1">_xludf.ifs(AM147="", "", COUNTIF('Internal -- Trademark Countries'!B:B,AM147) &gt; 0, "polity_shortest_name", COUNTIF('Internal -- Trademark Countries'!C:C,AM147) &gt; 0, "polity_full_name", COUNTIF('Internal -- Trademark Countries'!D:D,AM147) &gt; 0, "polity_common_name", COUNTIF('Internal -- Trademark Countries'!E:E,AM147) &gt; 0, "shortest_name", COUNTIF('Internal -- Trademark Countries'!A:A,AM147) &gt; 0, "full_name", TRUE, "not a match")</f>
        <v>#NAME?</v>
      </c>
      <c r="EG147" s="30"/>
      <c r="EH147" s="30"/>
      <c r="EI147" s="30"/>
      <c r="EJ147" s="30"/>
      <c r="EK147" s="30" t="str">
        <f t="shared" si="2"/>
        <v/>
      </c>
    </row>
    <row r="148" spans="1:141" ht="16.5">
      <c r="A148" s="11"/>
      <c r="B148" s="11"/>
      <c r="C148" s="11"/>
      <c r="D148" s="11"/>
      <c r="E148" s="11"/>
      <c r="F148" s="11"/>
      <c r="G148" s="11"/>
      <c r="H148" s="11"/>
      <c r="I148" s="11"/>
      <c r="J148" s="11"/>
      <c r="K148" s="27"/>
      <c r="L148" s="11"/>
      <c r="M148" s="11"/>
      <c r="N148" s="11"/>
      <c r="O148" s="11"/>
      <c r="P148" s="15"/>
      <c r="Q148" s="15"/>
      <c r="R148" s="15"/>
      <c r="S148" s="15"/>
      <c r="T148" s="15"/>
      <c r="U148" s="15"/>
      <c r="V148" s="15"/>
      <c r="W148" s="47"/>
      <c r="X148" s="11"/>
      <c r="Y148" s="48"/>
      <c r="Z148" s="11"/>
      <c r="AA148" s="48"/>
      <c r="AB148" s="11"/>
      <c r="AC148" s="48"/>
      <c r="AD148" s="11"/>
      <c r="AE148" s="47"/>
      <c r="AF148" s="11"/>
      <c r="AG148" s="48"/>
      <c r="AH148" s="11"/>
      <c r="AI148" s="48"/>
      <c r="AJ148" s="11"/>
      <c r="AK148" s="48"/>
      <c r="AL148" s="11"/>
      <c r="AM148" s="49"/>
      <c r="AN148" s="49"/>
      <c r="AO148" s="11"/>
      <c r="AP148" s="11"/>
      <c r="AQ148" s="28" t="b">
        <f>IF(COUNTIF(SmartStatus!A$2:A1000, AM148) &gt; 2, TRUE, FALSE)</f>
        <v>0</v>
      </c>
      <c r="AR148" s="29" t="str">
        <f ca="1">IFERROR(__xludf.DUMMYFUNCTION("iferror(if(regexmatch(AO148, ""(?i)^registered""), if(EE148 &lt;&gt; ""polity_shortest_name"", ""CHECK_POLITY"", index(filter(SmartStatus!B$2:B1000, AM148 = SmartStatus!A$2:A1000, not(SmartStatus!C$2:C1000), (isblank(SmartStatus!D$2:D1000)) + ((P148 &lt;&gt; """") * "&amp;"(P148 &lt; SmartStatus!D$2:D1000)), (isblank(SmartStatus!E$2:E1000)) + ((P148 &lt;&gt; """") * (P148 &gt;= SmartStatus!E$2:E1000)), (isblank(SmartStatus!F$2:F1000)) + (((Q148 &lt;&gt; """") * (Q148 &lt; SmartStatus!F$2:F1000)) + ((P148 &lt;&gt; """") * (date(year(P148) + 3, month(P"&amp;"148), day(P148)) &lt; SmartStatus!F$2:F1000))), (isblank(SmartStatus!G$2:G1000)) + (((Q148 &lt;&gt; """") * (Q148 &gt;= SmartStatus!G$2:G1000)) + ((P148 &lt;&gt; """") * (P148 &gt;= SmartStatus!G$2:G1000)))), if(or(regexmatch(B148, ""(?i)^ir [a-z]+ designation$""), N148 &lt;&gt; """&amp;"""), 1, 2))), """"), ""NO_MATCH"")"),"")</f>
        <v/>
      </c>
      <c r="AS148" s="11"/>
      <c r="AT148" s="15"/>
      <c r="AU148" s="11"/>
      <c r="AV148" s="11"/>
      <c r="AW148" s="15"/>
      <c r="AX148" s="15"/>
      <c r="AY148" s="15"/>
      <c r="AZ148" s="11"/>
      <c r="BA148" s="15"/>
      <c r="BB148" s="11"/>
      <c r="BC148" s="11"/>
      <c r="BD148" s="15"/>
      <c r="BE148" s="11"/>
      <c r="BF148" s="11"/>
      <c r="BG148" s="15"/>
      <c r="BH148" s="15"/>
      <c r="BI148" s="15"/>
      <c r="BJ148" s="11"/>
      <c r="BK148" s="15"/>
      <c r="BL148" s="11"/>
      <c r="BM148" s="11"/>
      <c r="BN148" s="15"/>
      <c r="BO148" s="11"/>
      <c r="BP148" s="11"/>
      <c r="BQ148" s="15"/>
      <c r="BR148" s="15"/>
      <c r="BS148" s="15"/>
      <c r="BT148" s="11"/>
      <c r="BU148" s="15"/>
      <c r="BV148" s="11"/>
      <c r="BW148" s="11"/>
      <c r="BX148" s="15"/>
      <c r="BY148" s="11"/>
      <c r="BZ148" s="11"/>
      <c r="CA148" s="15"/>
      <c r="CB148" s="11"/>
      <c r="CC148" s="15"/>
      <c r="CD148" s="11"/>
      <c r="CE148" s="15"/>
      <c r="CF148" s="11"/>
      <c r="CG148" s="11"/>
      <c r="CH148" s="15"/>
      <c r="CI148" s="11"/>
      <c r="CJ148" s="11"/>
      <c r="CK148" s="15"/>
      <c r="CL148" s="11"/>
      <c r="CM148" s="11"/>
      <c r="CN148" s="11"/>
      <c r="CO148" s="11"/>
      <c r="CP148" s="28"/>
      <c r="CQ148" s="28"/>
      <c r="CR148" s="11"/>
      <c r="CS148" s="29"/>
      <c r="CT148" s="11"/>
      <c r="CU148" s="11"/>
      <c r="CV148" s="11"/>
      <c r="CW148" s="11"/>
      <c r="CX148" s="11"/>
      <c r="CY148" s="11"/>
      <c r="CZ148" s="11"/>
      <c r="DA148" s="28"/>
      <c r="DB148" s="28"/>
      <c r="DC148" s="11"/>
      <c r="DD148" s="29"/>
      <c r="DE148" s="11"/>
      <c r="DF148" s="11"/>
      <c r="DG148" s="11"/>
      <c r="DH148" s="11"/>
      <c r="DI148" s="11"/>
      <c r="DJ148" s="11"/>
      <c r="DK148" s="26"/>
      <c r="DL148" s="11"/>
      <c r="DM148" s="29"/>
      <c r="DN148" s="28"/>
      <c r="DO148" s="11"/>
      <c r="DP148" s="11"/>
      <c r="DQ148" s="11"/>
      <c r="DR148" s="29"/>
      <c r="DS148" s="28"/>
      <c r="DT148" s="11"/>
      <c r="DU148" s="26"/>
      <c r="DV148" s="11"/>
      <c r="DW148" s="29"/>
      <c r="DX148" s="28"/>
      <c r="DY148" s="11"/>
      <c r="DZ148" s="26"/>
      <c r="EA148" s="11"/>
      <c r="EB148" s="29"/>
      <c r="EC148" s="28"/>
      <c r="ED148" s="30"/>
      <c r="EE148" s="30" t="str">
        <f ca="1">IFERROR(__xludf.DUMMYFUNCTION("iferror(index(filter('Internal -- Trademark Countries'!E$2:E1000, (AM148 = 'Internal -- Trademark Countries'!B$2:B1000) + (AM148 = 'Internal -- Trademark Countries'!C$2:C1000) + (AM148 = 'Internal -- Trademark Countries'!D$2:D1000)), 1))"),"")</f>
        <v/>
      </c>
      <c r="EF148" s="30" t="e">
        <f ca="1">_xludf.ifs(AM148="", "", COUNTIF('Internal -- Trademark Countries'!B:B,AM148) &gt; 0, "polity_shortest_name", COUNTIF('Internal -- Trademark Countries'!C:C,AM148) &gt; 0, "polity_full_name", COUNTIF('Internal -- Trademark Countries'!D:D,AM148) &gt; 0, "polity_common_name", COUNTIF('Internal -- Trademark Countries'!E:E,AM148) &gt; 0, "shortest_name", COUNTIF('Internal -- Trademark Countries'!A:A,AM148) &gt; 0, "full_name", TRUE, "not a match")</f>
        <v>#NAME?</v>
      </c>
      <c r="EG148" s="30"/>
      <c r="EH148" s="30"/>
      <c r="EI148" s="30"/>
      <c r="EJ148" s="30"/>
      <c r="EK148" s="30" t="str">
        <f t="shared" si="2"/>
        <v/>
      </c>
    </row>
    <row r="149" spans="1:141" ht="16.5">
      <c r="A149" s="11"/>
      <c r="B149" s="11"/>
      <c r="C149" s="11"/>
      <c r="D149" s="11"/>
      <c r="E149" s="11"/>
      <c r="F149" s="11"/>
      <c r="G149" s="11"/>
      <c r="H149" s="11"/>
      <c r="I149" s="11"/>
      <c r="J149" s="11"/>
      <c r="K149" s="27"/>
      <c r="L149" s="11"/>
      <c r="M149" s="11"/>
      <c r="N149" s="11"/>
      <c r="O149" s="11"/>
      <c r="P149" s="15"/>
      <c r="Q149" s="15"/>
      <c r="R149" s="15"/>
      <c r="S149" s="15"/>
      <c r="T149" s="15"/>
      <c r="U149" s="15"/>
      <c r="V149" s="15"/>
      <c r="W149" s="47"/>
      <c r="X149" s="11"/>
      <c r="Y149" s="48"/>
      <c r="Z149" s="11"/>
      <c r="AA149" s="48"/>
      <c r="AB149" s="11"/>
      <c r="AC149" s="48"/>
      <c r="AD149" s="11"/>
      <c r="AE149" s="47"/>
      <c r="AF149" s="11"/>
      <c r="AG149" s="48"/>
      <c r="AH149" s="11"/>
      <c r="AI149" s="48"/>
      <c r="AJ149" s="11"/>
      <c r="AK149" s="48"/>
      <c r="AL149" s="11"/>
      <c r="AM149" s="49"/>
      <c r="AN149" s="49"/>
      <c r="AO149" s="11"/>
      <c r="AP149" s="11"/>
      <c r="AQ149" s="28" t="b">
        <f>IF(COUNTIF(SmartStatus!A$2:A1000, AM149) &gt; 2, TRUE, FALSE)</f>
        <v>0</v>
      </c>
      <c r="AR149" s="29" t="str">
        <f ca="1">IFERROR(__xludf.DUMMYFUNCTION("iferror(if(regexmatch(AO149, ""(?i)^registered""), if(EE149 &lt;&gt; ""polity_shortest_name"", ""CHECK_POLITY"", index(filter(SmartStatus!B$2:B1000, AM149 = SmartStatus!A$2:A1000, not(SmartStatus!C$2:C1000), (isblank(SmartStatus!D$2:D1000)) + ((P149 &lt;&gt; """") * "&amp;"(P149 &lt; SmartStatus!D$2:D1000)), (isblank(SmartStatus!E$2:E1000)) + ((P149 &lt;&gt; """") * (P149 &gt;= SmartStatus!E$2:E1000)), (isblank(SmartStatus!F$2:F1000)) + (((Q149 &lt;&gt; """") * (Q149 &lt; SmartStatus!F$2:F1000)) + ((P149 &lt;&gt; """") * (date(year(P149) + 3, month(P"&amp;"149), day(P149)) &lt; SmartStatus!F$2:F1000))), (isblank(SmartStatus!G$2:G1000)) + (((Q149 &lt;&gt; """") * (Q149 &gt;= SmartStatus!G$2:G1000)) + ((P149 &lt;&gt; """") * (P149 &gt;= SmartStatus!G$2:G1000)))), if(or(regexmatch(B149, ""(?i)^ir [a-z]+ designation$""), N149 &lt;&gt; """&amp;"""), 1, 2))), """"), ""NO_MATCH"")"),"")</f>
        <v/>
      </c>
      <c r="AS149" s="11"/>
      <c r="AT149" s="15"/>
      <c r="AU149" s="11"/>
      <c r="AV149" s="11"/>
      <c r="AW149" s="15"/>
      <c r="AX149" s="15"/>
      <c r="AY149" s="15"/>
      <c r="AZ149" s="11"/>
      <c r="BA149" s="15"/>
      <c r="BB149" s="11"/>
      <c r="BC149" s="11"/>
      <c r="BD149" s="15"/>
      <c r="BE149" s="11"/>
      <c r="BF149" s="11"/>
      <c r="BG149" s="15"/>
      <c r="BH149" s="15"/>
      <c r="BI149" s="15"/>
      <c r="BJ149" s="11"/>
      <c r="BK149" s="15"/>
      <c r="BL149" s="11"/>
      <c r="BM149" s="11"/>
      <c r="BN149" s="15"/>
      <c r="BO149" s="11"/>
      <c r="BP149" s="11"/>
      <c r="BQ149" s="15"/>
      <c r="BR149" s="15"/>
      <c r="BS149" s="15"/>
      <c r="BT149" s="11"/>
      <c r="BU149" s="15"/>
      <c r="BV149" s="11"/>
      <c r="BW149" s="11"/>
      <c r="BX149" s="15"/>
      <c r="BY149" s="11"/>
      <c r="BZ149" s="11"/>
      <c r="CA149" s="15"/>
      <c r="CB149" s="11"/>
      <c r="CC149" s="15"/>
      <c r="CD149" s="11"/>
      <c r="CE149" s="15"/>
      <c r="CF149" s="11"/>
      <c r="CG149" s="11"/>
      <c r="CH149" s="15"/>
      <c r="CI149" s="11"/>
      <c r="CJ149" s="11"/>
      <c r="CK149" s="15"/>
      <c r="CL149" s="11"/>
      <c r="CM149" s="11"/>
      <c r="CN149" s="11"/>
      <c r="CO149" s="11"/>
      <c r="CP149" s="28"/>
      <c r="CQ149" s="28"/>
      <c r="CR149" s="11"/>
      <c r="CS149" s="29"/>
      <c r="CT149" s="11"/>
      <c r="CU149" s="11"/>
      <c r="CV149" s="11"/>
      <c r="CW149" s="11"/>
      <c r="CX149" s="11"/>
      <c r="CY149" s="11"/>
      <c r="CZ149" s="11"/>
      <c r="DA149" s="28"/>
      <c r="DB149" s="28"/>
      <c r="DC149" s="11"/>
      <c r="DD149" s="29"/>
      <c r="DE149" s="11"/>
      <c r="DF149" s="11"/>
      <c r="DG149" s="11"/>
      <c r="DH149" s="11"/>
      <c r="DI149" s="11"/>
      <c r="DJ149" s="11"/>
      <c r="DK149" s="26"/>
      <c r="DL149" s="11"/>
      <c r="DM149" s="29"/>
      <c r="DN149" s="28"/>
      <c r="DO149" s="11"/>
      <c r="DP149" s="11"/>
      <c r="DQ149" s="11"/>
      <c r="DR149" s="29"/>
      <c r="DS149" s="28"/>
      <c r="DT149" s="11"/>
      <c r="DU149" s="26"/>
      <c r="DV149" s="11"/>
      <c r="DW149" s="29"/>
      <c r="DX149" s="28"/>
      <c r="DY149" s="11"/>
      <c r="DZ149" s="26"/>
      <c r="EA149" s="11"/>
      <c r="EB149" s="29"/>
      <c r="EC149" s="28"/>
      <c r="ED149" s="30"/>
      <c r="EE149" s="30" t="str">
        <f ca="1">IFERROR(__xludf.DUMMYFUNCTION("iferror(index(filter('Internal -- Trademark Countries'!E$2:E1000, (AM149 = 'Internal -- Trademark Countries'!B$2:B1000) + (AM149 = 'Internal -- Trademark Countries'!C$2:C1000) + (AM149 = 'Internal -- Trademark Countries'!D$2:D1000)), 1))"),"")</f>
        <v/>
      </c>
      <c r="EF149" s="30" t="e">
        <f ca="1">_xludf.ifs(AM149="", "", COUNTIF('Internal -- Trademark Countries'!B:B,AM149) &gt; 0, "polity_shortest_name", COUNTIF('Internal -- Trademark Countries'!C:C,AM149) &gt; 0, "polity_full_name", COUNTIF('Internal -- Trademark Countries'!D:D,AM149) &gt; 0, "polity_common_name", COUNTIF('Internal -- Trademark Countries'!E:E,AM149) &gt; 0, "shortest_name", COUNTIF('Internal -- Trademark Countries'!A:A,AM149) &gt; 0, "full_name", TRUE, "not a match")</f>
        <v>#NAME?</v>
      </c>
      <c r="EG149" s="30"/>
      <c r="EH149" s="30"/>
      <c r="EI149" s="30"/>
      <c r="EJ149" s="30"/>
      <c r="EK149" s="30" t="str">
        <f t="shared" si="2"/>
        <v/>
      </c>
    </row>
    <row r="150" spans="1:141" ht="16.5">
      <c r="A150" s="11"/>
      <c r="B150" s="11"/>
      <c r="C150" s="11"/>
      <c r="D150" s="11"/>
      <c r="E150" s="11"/>
      <c r="F150" s="11"/>
      <c r="G150" s="11"/>
      <c r="H150" s="11"/>
      <c r="I150" s="11"/>
      <c r="J150" s="11"/>
      <c r="K150" s="27"/>
      <c r="L150" s="11"/>
      <c r="M150" s="11"/>
      <c r="N150" s="11"/>
      <c r="O150" s="11"/>
      <c r="P150" s="15"/>
      <c r="Q150" s="15"/>
      <c r="R150" s="15"/>
      <c r="S150" s="15"/>
      <c r="T150" s="15"/>
      <c r="U150" s="15"/>
      <c r="V150" s="15"/>
      <c r="W150" s="47"/>
      <c r="X150" s="11"/>
      <c r="Y150" s="48"/>
      <c r="Z150" s="11"/>
      <c r="AA150" s="48"/>
      <c r="AB150" s="11"/>
      <c r="AC150" s="48"/>
      <c r="AD150" s="11"/>
      <c r="AE150" s="47"/>
      <c r="AF150" s="11"/>
      <c r="AG150" s="48"/>
      <c r="AH150" s="11"/>
      <c r="AI150" s="48"/>
      <c r="AJ150" s="11"/>
      <c r="AK150" s="48"/>
      <c r="AL150" s="11"/>
      <c r="AM150" s="49"/>
      <c r="AN150" s="49"/>
      <c r="AO150" s="11"/>
      <c r="AP150" s="11"/>
      <c r="AQ150" s="28" t="b">
        <f>IF(COUNTIF(SmartStatus!A$2:A1000, AM150) &gt; 2, TRUE, FALSE)</f>
        <v>0</v>
      </c>
      <c r="AR150" s="29" t="str">
        <f ca="1">IFERROR(__xludf.DUMMYFUNCTION("iferror(if(regexmatch(AO150, ""(?i)^registered""), if(EE150 &lt;&gt; ""polity_shortest_name"", ""CHECK_POLITY"", index(filter(SmartStatus!B$2:B1000, AM150 = SmartStatus!A$2:A1000, not(SmartStatus!C$2:C1000), (isblank(SmartStatus!D$2:D1000)) + ((P150 &lt;&gt; """") * "&amp;"(P150 &lt; SmartStatus!D$2:D1000)), (isblank(SmartStatus!E$2:E1000)) + ((P150 &lt;&gt; """") * (P150 &gt;= SmartStatus!E$2:E1000)), (isblank(SmartStatus!F$2:F1000)) + (((Q150 &lt;&gt; """") * (Q150 &lt; SmartStatus!F$2:F1000)) + ((P150 &lt;&gt; """") * (date(year(P150) + 3, month(P"&amp;"150), day(P150)) &lt; SmartStatus!F$2:F1000))), (isblank(SmartStatus!G$2:G1000)) + (((Q150 &lt;&gt; """") * (Q150 &gt;= SmartStatus!G$2:G1000)) + ((P150 &lt;&gt; """") * (P150 &gt;= SmartStatus!G$2:G1000)))), if(or(regexmatch(B150, ""(?i)^ir [a-z]+ designation$""), N150 &lt;&gt; """&amp;"""), 1, 2))), """"), ""NO_MATCH"")"),"")</f>
        <v/>
      </c>
      <c r="AS150" s="11"/>
      <c r="AT150" s="15"/>
      <c r="AU150" s="11"/>
      <c r="AV150" s="11"/>
      <c r="AW150" s="15"/>
      <c r="AX150" s="15"/>
      <c r="AY150" s="15"/>
      <c r="AZ150" s="11"/>
      <c r="BA150" s="15"/>
      <c r="BB150" s="11"/>
      <c r="BC150" s="11"/>
      <c r="BD150" s="15"/>
      <c r="BE150" s="11"/>
      <c r="BF150" s="11"/>
      <c r="BG150" s="15"/>
      <c r="BH150" s="15"/>
      <c r="BI150" s="15"/>
      <c r="BJ150" s="11"/>
      <c r="BK150" s="15"/>
      <c r="BL150" s="11"/>
      <c r="BM150" s="11"/>
      <c r="BN150" s="15"/>
      <c r="BO150" s="11"/>
      <c r="BP150" s="11"/>
      <c r="BQ150" s="15"/>
      <c r="BR150" s="15"/>
      <c r="BS150" s="15"/>
      <c r="BT150" s="11"/>
      <c r="BU150" s="15"/>
      <c r="BV150" s="11"/>
      <c r="BW150" s="11"/>
      <c r="BX150" s="15"/>
      <c r="BY150" s="11"/>
      <c r="BZ150" s="11"/>
      <c r="CA150" s="15"/>
      <c r="CB150" s="11"/>
      <c r="CC150" s="15"/>
      <c r="CD150" s="11"/>
      <c r="CE150" s="15"/>
      <c r="CF150" s="11"/>
      <c r="CG150" s="11"/>
      <c r="CH150" s="15"/>
      <c r="CI150" s="11"/>
      <c r="CJ150" s="11"/>
      <c r="CK150" s="15"/>
      <c r="CL150" s="11"/>
      <c r="CM150" s="11"/>
      <c r="CN150" s="11"/>
      <c r="CO150" s="11"/>
      <c r="CP150" s="28"/>
      <c r="CQ150" s="28"/>
      <c r="CR150" s="11"/>
      <c r="CS150" s="29"/>
      <c r="CT150" s="11"/>
      <c r="CU150" s="11"/>
      <c r="CV150" s="11"/>
      <c r="CW150" s="11"/>
      <c r="CX150" s="11"/>
      <c r="CY150" s="11"/>
      <c r="CZ150" s="11"/>
      <c r="DA150" s="28"/>
      <c r="DB150" s="28"/>
      <c r="DC150" s="11"/>
      <c r="DD150" s="29"/>
      <c r="DE150" s="11"/>
      <c r="DF150" s="11"/>
      <c r="DG150" s="11"/>
      <c r="DH150" s="11"/>
      <c r="DI150" s="11"/>
      <c r="DJ150" s="11"/>
      <c r="DK150" s="26"/>
      <c r="DL150" s="11"/>
      <c r="DM150" s="29"/>
      <c r="DN150" s="28"/>
      <c r="DO150" s="11"/>
      <c r="DP150" s="11"/>
      <c r="DQ150" s="11"/>
      <c r="DR150" s="29"/>
      <c r="DS150" s="28"/>
      <c r="DT150" s="11"/>
      <c r="DU150" s="26"/>
      <c r="DV150" s="11"/>
      <c r="DW150" s="29"/>
      <c r="DX150" s="28"/>
      <c r="DY150" s="11"/>
      <c r="DZ150" s="26"/>
      <c r="EA150" s="11"/>
      <c r="EB150" s="29"/>
      <c r="EC150" s="28"/>
      <c r="ED150" s="30"/>
      <c r="EE150" s="30" t="str">
        <f ca="1">IFERROR(__xludf.DUMMYFUNCTION("iferror(index(filter('Internal -- Trademark Countries'!E$2:E1000, (AM150 = 'Internal -- Trademark Countries'!B$2:B1000) + (AM150 = 'Internal -- Trademark Countries'!C$2:C1000) + (AM150 = 'Internal -- Trademark Countries'!D$2:D1000)), 1))"),"")</f>
        <v/>
      </c>
      <c r="EF150" s="30" t="e">
        <f ca="1">_xludf.ifs(AM150="", "", COUNTIF('Internal -- Trademark Countries'!B:B,AM150) &gt; 0, "polity_shortest_name", COUNTIF('Internal -- Trademark Countries'!C:C,AM150) &gt; 0, "polity_full_name", COUNTIF('Internal -- Trademark Countries'!D:D,AM150) &gt; 0, "polity_common_name", COUNTIF('Internal -- Trademark Countries'!E:E,AM150) &gt; 0, "shortest_name", COUNTIF('Internal -- Trademark Countries'!A:A,AM150) &gt; 0, "full_name", TRUE, "not a match")</f>
        <v>#NAME?</v>
      </c>
      <c r="EG150" s="30"/>
      <c r="EH150" s="30"/>
      <c r="EI150" s="30"/>
      <c r="EJ150" s="30"/>
      <c r="EK150" s="30" t="str">
        <f t="shared" si="2"/>
        <v/>
      </c>
    </row>
    <row r="151" spans="1:141" ht="16.5">
      <c r="A151" s="11"/>
      <c r="B151" s="11"/>
      <c r="C151" s="11"/>
      <c r="D151" s="11"/>
      <c r="E151" s="11"/>
      <c r="F151" s="11"/>
      <c r="G151" s="11"/>
      <c r="H151" s="11"/>
      <c r="I151" s="11"/>
      <c r="J151" s="11"/>
      <c r="K151" s="27"/>
      <c r="L151" s="11"/>
      <c r="M151" s="11"/>
      <c r="N151" s="11"/>
      <c r="O151" s="11"/>
      <c r="P151" s="15"/>
      <c r="Q151" s="15"/>
      <c r="R151" s="15"/>
      <c r="S151" s="15"/>
      <c r="T151" s="15"/>
      <c r="U151" s="15"/>
      <c r="V151" s="15"/>
      <c r="W151" s="47"/>
      <c r="X151" s="11"/>
      <c r="Y151" s="48"/>
      <c r="Z151" s="11"/>
      <c r="AA151" s="48"/>
      <c r="AB151" s="11"/>
      <c r="AC151" s="48"/>
      <c r="AD151" s="11"/>
      <c r="AE151" s="47"/>
      <c r="AF151" s="11"/>
      <c r="AG151" s="48"/>
      <c r="AH151" s="11"/>
      <c r="AI151" s="48"/>
      <c r="AJ151" s="11"/>
      <c r="AK151" s="48"/>
      <c r="AL151" s="11"/>
      <c r="AM151" s="49"/>
      <c r="AN151" s="49"/>
      <c r="AO151" s="11"/>
      <c r="AP151" s="11"/>
      <c r="AQ151" s="28" t="b">
        <f>IF(COUNTIF(SmartStatus!A$2:A1000, AM151) &gt; 2, TRUE, FALSE)</f>
        <v>0</v>
      </c>
      <c r="AR151" s="29" t="str">
        <f ca="1">IFERROR(__xludf.DUMMYFUNCTION("iferror(if(regexmatch(AO151, ""(?i)^registered""), if(EE151 &lt;&gt; ""polity_shortest_name"", ""CHECK_POLITY"", index(filter(SmartStatus!B$2:B1000, AM151 = SmartStatus!A$2:A1000, not(SmartStatus!C$2:C1000), (isblank(SmartStatus!D$2:D1000)) + ((P151 &lt;&gt; """") * "&amp;"(P151 &lt; SmartStatus!D$2:D1000)), (isblank(SmartStatus!E$2:E1000)) + ((P151 &lt;&gt; """") * (P151 &gt;= SmartStatus!E$2:E1000)), (isblank(SmartStatus!F$2:F1000)) + (((Q151 &lt;&gt; """") * (Q151 &lt; SmartStatus!F$2:F1000)) + ((P151 &lt;&gt; """") * (date(year(P151) + 3, month(P"&amp;"151), day(P151)) &lt; SmartStatus!F$2:F1000))), (isblank(SmartStatus!G$2:G1000)) + (((Q151 &lt;&gt; """") * (Q151 &gt;= SmartStatus!G$2:G1000)) + ((P151 &lt;&gt; """") * (P151 &gt;= SmartStatus!G$2:G1000)))), if(or(regexmatch(B151, ""(?i)^ir [a-z]+ designation$""), N151 &lt;&gt; """&amp;"""), 1, 2))), """"), ""NO_MATCH"")"),"")</f>
        <v/>
      </c>
      <c r="AS151" s="11"/>
      <c r="AT151" s="15"/>
      <c r="AU151" s="11"/>
      <c r="AV151" s="11"/>
      <c r="AW151" s="15"/>
      <c r="AX151" s="15"/>
      <c r="AY151" s="15"/>
      <c r="AZ151" s="11"/>
      <c r="BA151" s="15"/>
      <c r="BB151" s="11"/>
      <c r="BC151" s="11"/>
      <c r="BD151" s="15"/>
      <c r="BE151" s="11"/>
      <c r="BF151" s="11"/>
      <c r="BG151" s="15"/>
      <c r="BH151" s="15"/>
      <c r="BI151" s="15"/>
      <c r="BJ151" s="11"/>
      <c r="BK151" s="15"/>
      <c r="BL151" s="11"/>
      <c r="BM151" s="11"/>
      <c r="BN151" s="15"/>
      <c r="BO151" s="11"/>
      <c r="BP151" s="11"/>
      <c r="BQ151" s="15"/>
      <c r="BR151" s="15"/>
      <c r="BS151" s="15"/>
      <c r="BT151" s="11"/>
      <c r="BU151" s="15"/>
      <c r="BV151" s="11"/>
      <c r="BW151" s="11"/>
      <c r="BX151" s="15"/>
      <c r="BY151" s="11"/>
      <c r="BZ151" s="11"/>
      <c r="CA151" s="15"/>
      <c r="CB151" s="11"/>
      <c r="CC151" s="15"/>
      <c r="CD151" s="11"/>
      <c r="CE151" s="15"/>
      <c r="CF151" s="11"/>
      <c r="CG151" s="11"/>
      <c r="CH151" s="15"/>
      <c r="CI151" s="11"/>
      <c r="CJ151" s="11"/>
      <c r="CK151" s="15"/>
      <c r="CL151" s="11"/>
      <c r="CM151" s="11"/>
      <c r="CN151" s="11"/>
      <c r="CO151" s="11"/>
      <c r="CP151" s="28"/>
      <c r="CQ151" s="28"/>
      <c r="CR151" s="11"/>
      <c r="CS151" s="29"/>
      <c r="CT151" s="11"/>
      <c r="CU151" s="11"/>
      <c r="CV151" s="11"/>
      <c r="CW151" s="11"/>
      <c r="CX151" s="11"/>
      <c r="CY151" s="11"/>
      <c r="CZ151" s="11"/>
      <c r="DA151" s="28"/>
      <c r="DB151" s="28"/>
      <c r="DC151" s="11"/>
      <c r="DD151" s="29"/>
      <c r="DE151" s="11"/>
      <c r="DF151" s="11"/>
      <c r="DG151" s="11"/>
      <c r="DH151" s="11"/>
      <c r="DI151" s="11"/>
      <c r="DJ151" s="11"/>
      <c r="DK151" s="26"/>
      <c r="DL151" s="11"/>
      <c r="DM151" s="29"/>
      <c r="DN151" s="28"/>
      <c r="DO151" s="11"/>
      <c r="DP151" s="11"/>
      <c r="DQ151" s="11"/>
      <c r="DR151" s="29"/>
      <c r="DS151" s="28"/>
      <c r="DT151" s="11"/>
      <c r="DU151" s="26"/>
      <c r="DV151" s="11"/>
      <c r="DW151" s="29"/>
      <c r="DX151" s="28"/>
      <c r="DY151" s="11"/>
      <c r="DZ151" s="26"/>
      <c r="EA151" s="11"/>
      <c r="EB151" s="29"/>
      <c r="EC151" s="28"/>
      <c r="ED151" s="30"/>
      <c r="EE151" s="30" t="str">
        <f ca="1">IFERROR(__xludf.DUMMYFUNCTION("iferror(index(filter('Internal -- Trademark Countries'!E$2:E1000, (AM151 = 'Internal -- Trademark Countries'!B$2:B1000) + (AM151 = 'Internal -- Trademark Countries'!C$2:C1000) + (AM151 = 'Internal -- Trademark Countries'!D$2:D1000)), 1))"),"")</f>
        <v/>
      </c>
      <c r="EF151" s="30" t="e">
        <f ca="1">_xludf.ifs(AM151="", "", COUNTIF('Internal -- Trademark Countries'!B:B,AM151) &gt; 0, "polity_shortest_name", COUNTIF('Internal -- Trademark Countries'!C:C,AM151) &gt; 0, "polity_full_name", COUNTIF('Internal -- Trademark Countries'!D:D,AM151) &gt; 0, "polity_common_name", COUNTIF('Internal -- Trademark Countries'!E:E,AM151) &gt; 0, "shortest_name", COUNTIF('Internal -- Trademark Countries'!A:A,AM151) &gt; 0, "full_name", TRUE, "not a match")</f>
        <v>#NAME?</v>
      </c>
      <c r="EG151" s="30"/>
      <c r="EH151" s="30"/>
      <c r="EI151" s="30"/>
      <c r="EJ151" s="30"/>
      <c r="EK151" s="30" t="str">
        <f t="shared" si="2"/>
        <v/>
      </c>
    </row>
    <row r="152" spans="1:141" ht="16.5">
      <c r="A152" s="11"/>
      <c r="B152" s="11"/>
      <c r="C152" s="11"/>
      <c r="D152" s="11"/>
      <c r="E152" s="11"/>
      <c r="F152" s="11"/>
      <c r="G152" s="11"/>
      <c r="H152" s="11"/>
      <c r="I152" s="11"/>
      <c r="J152" s="11"/>
      <c r="K152" s="27"/>
      <c r="L152" s="11"/>
      <c r="M152" s="11"/>
      <c r="N152" s="11"/>
      <c r="O152" s="11"/>
      <c r="P152" s="15"/>
      <c r="Q152" s="15"/>
      <c r="R152" s="15"/>
      <c r="S152" s="15"/>
      <c r="T152" s="15"/>
      <c r="U152" s="15"/>
      <c r="V152" s="15"/>
      <c r="W152" s="47"/>
      <c r="X152" s="11"/>
      <c r="Y152" s="48"/>
      <c r="Z152" s="11"/>
      <c r="AA152" s="48"/>
      <c r="AB152" s="11"/>
      <c r="AC152" s="48"/>
      <c r="AD152" s="11"/>
      <c r="AE152" s="47"/>
      <c r="AF152" s="11"/>
      <c r="AG152" s="48"/>
      <c r="AH152" s="11"/>
      <c r="AI152" s="48"/>
      <c r="AJ152" s="11"/>
      <c r="AK152" s="48"/>
      <c r="AL152" s="11"/>
      <c r="AM152" s="49"/>
      <c r="AN152" s="49"/>
      <c r="AO152" s="11"/>
      <c r="AP152" s="11"/>
      <c r="AQ152" s="28" t="b">
        <f>IF(COUNTIF(SmartStatus!A$2:A1000, AM152) &gt; 2, TRUE, FALSE)</f>
        <v>0</v>
      </c>
      <c r="AR152" s="29" t="str">
        <f ca="1">IFERROR(__xludf.DUMMYFUNCTION("iferror(if(regexmatch(AO152, ""(?i)^registered""), if(EE152 &lt;&gt; ""polity_shortest_name"", ""CHECK_POLITY"", index(filter(SmartStatus!B$2:B1000, AM152 = SmartStatus!A$2:A1000, not(SmartStatus!C$2:C1000), (isblank(SmartStatus!D$2:D1000)) + ((P152 &lt;&gt; """") * "&amp;"(P152 &lt; SmartStatus!D$2:D1000)), (isblank(SmartStatus!E$2:E1000)) + ((P152 &lt;&gt; """") * (P152 &gt;= SmartStatus!E$2:E1000)), (isblank(SmartStatus!F$2:F1000)) + (((Q152 &lt;&gt; """") * (Q152 &lt; SmartStatus!F$2:F1000)) + ((P152 &lt;&gt; """") * (date(year(P152) + 3, month(P"&amp;"152), day(P152)) &lt; SmartStatus!F$2:F1000))), (isblank(SmartStatus!G$2:G1000)) + (((Q152 &lt;&gt; """") * (Q152 &gt;= SmartStatus!G$2:G1000)) + ((P152 &lt;&gt; """") * (P152 &gt;= SmartStatus!G$2:G1000)))), if(or(regexmatch(B152, ""(?i)^ir [a-z]+ designation$""), N152 &lt;&gt; """&amp;"""), 1, 2))), """"), ""NO_MATCH"")"),"")</f>
        <v/>
      </c>
      <c r="AS152" s="11"/>
      <c r="AT152" s="15"/>
      <c r="AU152" s="11"/>
      <c r="AV152" s="11"/>
      <c r="AW152" s="15"/>
      <c r="AX152" s="15"/>
      <c r="AY152" s="15"/>
      <c r="AZ152" s="11"/>
      <c r="BA152" s="15"/>
      <c r="BB152" s="11"/>
      <c r="BC152" s="11"/>
      <c r="BD152" s="15"/>
      <c r="BE152" s="11"/>
      <c r="BF152" s="11"/>
      <c r="BG152" s="15"/>
      <c r="BH152" s="15"/>
      <c r="BI152" s="15"/>
      <c r="BJ152" s="11"/>
      <c r="BK152" s="15"/>
      <c r="BL152" s="11"/>
      <c r="BM152" s="11"/>
      <c r="BN152" s="15"/>
      <c r="BO152" s="11"/>
      <c r="BP152" s="11"/>
      <c r="BQ152" s="15"/>
      <c r="BR152" s="15"/>
      <c r="BS152" s="15"/>
      <c r="BT152" s="11"/>
      <c r="BU152" s="15"/>
      <c r="BV152" s="11"/>
      <c r="BW152" s="11"/>
      <c r="BX152" s="15"/>
      <c r="BY152" s="11"/>
      <c r="BZ152" s="11"/>
      <c r="CA152" s="15"/>
      <c r="CB152" s="11"/>
      <c r="CC152" s="15"/>
      <c r="CD152" s="11"/>
      <c r="CE152" s="15"/>
      <c r="CF152" s="11"/>
      <c r="CG152" s="11"/>
      <c r="CH152" s="15"/>
      <c r="CI152" s="11"/>
      <c r="CJ152" s="11"/>
      <c r="CK152" s="15"/>
      <c r="CL152" s="11"/>
      <c r="CM152" s="11"/>
      <c r="CN152" s="11"/>
      <c r="CO152" s="11"/>
      <c r="CP152" s="28"/>
      <c r="CQ152" s="28"/>
      <c r="CR152" s="11"/>
      <c r="CS152" s="29"/>
      <c r="CT152" s="11"/>
      <c r="CU152" s="11"/>
      <c r="CV152" s="11"/>
      <c r="CW152" s="11"/>
      <c r="CX152" s="11"/>
      <c r="CY152" s="11"/>
      <c r="CZ152" s="11"/>
      <c r="DA152" s="28"/>
      <c r="DB152" s="28"/>
      <c r="DC152" s="11"/>
      <c r="DD152" s="29"/>
      <c r="DE152" s="11"/>
      <c r="DF152" s="11"/>
      <c r="DG152" s="11"/>
      <c r="DH152" s="11"/>
      <c r="DI152" s="11"/>
      <c r="DJ152" s="11"/>
      <c r="DK152" s="26"/>
      <c r="DL152" s="11"/>
      <c r="DM152" s="29"/>
      <c r="DN152" s="28"/>
      <c r="DO152" s="11"/>
      <c r="DP152" s="11"/>
      <c r="DQ152" s="11"/>
      <c r="DR152" s="29"/>
      <c r="DS152" s="28"/>
      <c r="DT152" s="11"/>
      <c r="DU152" s="26"/>
      <c r="DV152" s="11"/>
      <c r="DW152" s="29"/>
      <c r="DX152" s="28"/>
      <c r="DY152" s="11"/>
      <c r="DZ152" s="26"/>
      <c r="EA152" s="11"/>
      <c r="EB152" s="29"/>
      <c r="EC152" s="28"/>
      <c r="ED152" s="30"/>
      <c r="EE152" s="30" t="str">
        <f ca="1">IFERROR(__xludf.DUMMYFUNCTION("iferror(index(filter('Internal -- Trademark Countries'!E$2:E1000, (AM152 = 'Internal -- Trademark Countries'!B$2:B1000) + (AM152 = 'Internal -- Trademark Countries'!C$2:C1000) + (AM152 = 'Internal -- Trademark Countries'!D$2:D1000)), 1))"),"")</f>
        <v/>
      </c>
      <c r="EF152" s="30" t="e">
        <f ca="1">_xludf.ifs(AM152="", "", COUNTIF('Internal -- Trademark Countries'!B:B,AM152) &gt; 0, "polity_shortest_name", COUNTIF('Internal -- Trademark Countries'!C:C,AM152) &gt; 0, "polity_full_name", COUNTIF('Internal -- Trademark Countries'!D:D,AM152) &gt; 0, "polity_common_name", COUNTIF('Internal -- Trademark Countries'!E:E,AM152) &gt; 0, "shortest_name", COUNTIF('Internal -- Trademark Countries'!A:A,AM152) &gt; 0, "full_name", TRUE, "not a match")</f>
        <v>#NAME?</v>
      </c>
      <c r="EG152" s="30"/>
      <c r="EH152" s="30"/>
      <c r="EI152" s="30"/>
      <c r="EJ152" s="30"/>
      <c r="EK152" s="30" t="str">
        <f t="shared" si="2"/>
        <v/>
      </c>
    </row>
    <row r="153" spans="1:141" ht="16.5">
      <c r="A153" s="11"/>
      <c r="B153" s="11"/>
      <c r="C153" s="11"/>
      <c r="D153" s="11"/>
      <c r="E153" s="11"/>
      <c r="F153" s="11"/>
      <c r="G153" s="11"/>
      <c r="H153" s="11"/>
      <c r="I153" s="11"/>
      <c r="J153" s="11"/>
      <c r="K153" s="27"/>
      <c r="L153" s="11"/>
      <c r="M153" s="11"/>
      <c r="N153" s="11"/>
      <c r="O153" s="11"/>
      <c r="P153" s="15"/>
      <c r="Q153" s="15"/>
      <c r="R153" s="15"/>
      <c r="S153" s="15"/>
      <c r="T153" s="15"/>
      <c r="U153" s="15"/>
      <c r="V153" s="15"/>
      <c r="W153" s="47"/>
      <c r="X153" s="11"/>
      <c r="Y153" s="48"/>
      <c r="Z153" s="11"/>
      <c r="AA153" s="48"/>
      <c r="AB153" s="11"/>
      <c r="AC153" s="48"/>
      <c r="AD153" s="11"/>
      <c r="AE153" s="47"/>
      <c r="AF153" s="11"/>
      <c r="AG153" s="48"/>
      <c r="AH153" s="11"/>
      <c r="AI153" s="48"/>
      <c r="AJ153" s="11"/>
      <c r="AK153" s="48"/>
      <c r="AL153" s="11"/>
      <c r="AM153" s="49"/>
      <c r="AN153" s="49"/>
      <c r="AO153" s="11"/>
      <c r="AP153" s="11"/>
      <c r="AQ153" s="28" t="b">
        <f>IF(COUNTIF(SmartStatus!A$2:A1000, AM153) &gt; 2, TRUE, FALSE)</f>
        <v>0</v>
      </c>
      <c r="AR153" s="29" t="str">
        <f ca="1">IFERROR(__xludf.DUMMYFUNCTION("iferror(if(regexmatch(AO153, ""(?i)^registered""), if(EE153 &lt;&gt; ""polity_shortest_name"", ""CHECK_POLITY"", index(filter(SmartStatus!B$2:B1000, AM153 = SmartStatus!A$2:A1000, not(SmartStatus!C$2:C1000), (isblank(SmartStatus!D$2:D1000)) + ((P153 &lt;&gt; """") * "&amp;"(P153 &lt; SmartStatus!D$2:D1000)), (isblank(SmartStatus!E$2:E1000)) + ((P153 &lt;&gt; """") * (P153 &gt;= SmartStatus!E$2:E1000)), (isblank(SmartStatus!F$2:F1000)) + (((Q153 &lt;&gt; """") * (Q153 &lt; SmartStatus!F$2:F1000)) + ((P153 &lt;&gt; """") * (date(year(P153) + 3, month(P"&amp;"153), day(P153)) &lt; SmartStatus!F$2:F1000))), (isblank(SmartStatus!G$2:G1000)) + (((Q153 &lt;&gt; """") * (Q153 &gt;= SmartStatus!G$2:G1000)) + ((P153 &lt;&gt; """") * (P153 &gt;= SmartStatus!G$2:G1000)))), if(or(regexmatch(B153, ""(?i)^ir [a-z]+ designation$""), N153 &lt;&gt; """&amp;"""), 1, 2))), """"), ""NO_MATCH"")"),"")</f>
        <v/>
      </c>
      <c r="AS153" s="11"/>
      <c r="AT153" s="15"/>
      <c r="AU153" s="11"/>
      <c r="AV153" s="11"/>
      <c r="AW153" s="15"/>
      <c r="AX153" s="15"/>
      <c r="AY153" s="15"/>
      <c r="AZ153" s="11"/>
      <c r="BA153" s="15"/>
      <c r="BB153" s="11"/>
      <c r="BC153" s="11"/>
      <c r="BD153" s="15"/>
      <c r="BE153" s="11"/>
      <c r="BF153" s="11"/>
      <c r="BG153" s="15"/>
      <c r="BH153" s="15"/>
      <c r="BI153" s="15"/>
      <c r="BJ153" s="11"/>
      <c r="BK153" s="15"/>
      <c r="BL153" s="11"/>
      <c r="BM153" s="11"/>
      <c r="BN153" s="15"/>
      <c r="BO153" s="11"/>
      <c r="BP153" s="11"/>
      <c r="BQ153" s="15"/>
      <c r="BR153" s="15"/>
      <c r="BS153" s="15"/>
      <c r="BT153" s="11"/>
      <c r="BU153" s="15"/>
      <c r="BV153" s="11"/>
      <c r="BW153" s="11"/>
      <c r="BX153" s="15"/>
      <c r="BY153" s="11"/>
      <c r="BZ153" s="11"/>
      <c r="CA153" s="15"/>
      <c r="CB153" s="11"/>
      <c r="CC153" s="15"/>
      <c r="CD153" s="11"/>
      <c r="CE153" s="15"/>
      <c r="CF153" s="11"/>
      <c r="CG153" s="11"/>
      <c r="CH153" s="15"/>
      <c r="CI153" s="11"/>
      <c r="CJ153" s="11"/>
      <c r="CK153" s="15"/>
      <c r="CL153" s="11"/>
      <c r="CM153" s="11"/>
      <c r="CN153" s="11"/>
      <c r="CO153" s="11"/>
      <c r="CP153" s="28"/>
      <c r="CQ153" s="28"/>
      <c r="CR153" s="11"/>
      <c r="CS153" s="29"/>
      <c r="CT153" s="11"/>
      <c r="CU153" s="11"/>
      <c r="CV153" s="11"/>
      <c r="CW153" s="11"/>
      <c r="CX153" s="11"/>
      <c r="CY153" s="11"/>
      <c r="CZ153" s="11"/>
      <c r="DA153" s="28"/>
      <c r="DB153" s="28"/>
      <c r="DC153" s="11"/>
      <c r="DD153" s="29"/>
      <c r="DE153" s="11"/>
      <c r="DF153" s="11"/>
      <c r="DG153" s="11"/>
      <c r="DH153" s="11"/>
      <c r="DI153" s="11"/>
      <c r="DJ153" s="11"/>
      <c r="DK153" s="26"/>
      <c r="DL153" s="11"/>
      <c r="DM153" s="29"/>
      <c r="DN153" s="28"/>
      <c r="DO153" s="11"/>
      <c r="DP153" s="11"/>
      <c r="DQ153" s="11"/>
      <c r="DR153" s="29"/>
      <c r="DS153" s="28"/>
      <c r="DT153" s="11"/>
      <c r="DU153" s="26"/>
      <c r="DV153" s="11"/>
      <c r="DW153" s="29"/>
      <c r="DX153" s="28"/>
      <c r="DY153" s="11"/>
      <c r="DZ153" s="26"/>
      <c r="EA153" s="11"/>
      <c r="EB153" s="29"/>
      <c r="EC153" s="28"/>
      <c r="ED153" s="30"/>
      <c r="EE153" s="30" t="str">
        <f ca="1">IFERROR(__xludf.DUMMYFUNCTION("iferror(index(filter('Internal -- Trademark Countries'!E$2:E1000, (AM153 = 'Internal -- Trademark Countries'!B$2:B1000) + (AM153 = 'Internal -- Trademark Countries'!C$2:C1000) + (AM153 = 'Internal -- Trademark Countries'!D$2:D1000)), 1))"),"")</f>
        <v/>
      </c>
      <c r="EF153" s="30" t="e">
        <f ca="1">_xludf.ifs(AM153="", "", COUNTIF('Internal -- Trademark Countries'!B:B,AM153) &gt; 0, "polity_shortest_name", COUNTIF('Internal -- Trademark Countries'!C:C,AM153) &gt; 0, "polity_full_name", COUNTIF('Internal -- Trademark Countries'!D:D,AM153) &gt; 0, "polity_common_name", COUNTIF('Internal -- Trademark Countries'!E:E,AM153) &gt; 0, "shortest_name", COUNTIF('Internal -- Trademark Countries'!A:A,AM153) &gt; 0, "full_name", TRUE, "not a match")</f>
        <v>#NAME?</v>
      </c>
      <c r="EG153" s="30"/>
      <c r="EH153" s="30"/>
      <c r="EI153" s="30"/>
      <c r="EJ153" s="30"/>
      <c r="EK153" s="30" t="str">
        <f t="shared" si="2"/>
        <v/>
      </c>
    </row>
    <row r="154" spans="1:141" ht="16.5">
      <c r="A154" s="11"/>
      <c r="B154" s="11"/>
      <c r="C154" s="11"/>
      <c r="D154" s="11"/>
      <c r="E154" s="11"/>
      <c r="F154" s="11"/>
      <c r="G154" s="11"/>
      <c r="H154" s="11"/>
      <c r="I154" s="11"/>
      <c r="J154" s="11"/>
      <c r="K154" s="27"/>
      <c r="L154" s="11"/>
      <c r="M154" s="11"/>
      <c r="N154" s="11"/>
      <c r="O154" s="11"/>
      <c r="P154" s="15"/>
      <c r="Q154" s="15"/>
      <c r="R154" s="15"/>
      <c r="S154" s="15"/>
      <c r="T154" s="15"/>
      <c r="U154" s="15"/>
      <c r="V154" s="15"/>
      <c r="W154" s="47"/>
      <c r="X154" s="11"/>
      <c r="Y154" s="48"/>
      <c r="Z154" s="11"/>
      <c r="AA154" s="48"/>
      <c r="AB154" s="11"/>
      <c r="AC154" s="48"/>
      <c r="AD154" s="11"/>
      <c r="AE154" s="47"/>
      <c r="AF154" s="11"/>
      <c r="AG154" s="48"/>
      <c r="AH154" s="11"/>
      <c r="AI154" s="48"/>
      <c r="AJ154" s="11"/>
      <c r="AK154" s="48"/>
      <c r="AL154" s="11"/>
      <c r="AM154" s="49"/>
      <c r="AN154" s="49"/>
      <c r="AO154" s="11"/>
      <c r="AP154" s="11"/>
      <c r="AQ154" s="28" t="b">
        <f>IF(COUNTIF(SmartStatus!A$2:A1000, AM154) &gt; 2, TRUE, FALSE)</f>
        <v>0</v>
      </c>
      <c r="AR154" s="29" t="str">
        <f ca="1">IFERROR(__xludf.DUMMYFUNCTION("iferror(if(regexmatch(AO154, ""(?i)^registered""), if(EE154 &lt;&gt; ""polity_shortest_name"", ""CHECK_POLITY"", index(filter(SmartStatus!B$2:B1000, AM154 = SmartStatus!A$2:A1000, not(SmartStatus!C$2:C1000), (isblank(SmartStatus!D$2:D1000)) + ((P154 &lt;&gt; """") * "&amp;"(P154 &lt; SmartStatus!D$2:D1000)), (isblank(SmartStatus!E$2:E1000)) + ((P154 &lt;&gt; """") * (P154 &gt;= SmartStatus!E$2:E1000)), (isblank(SmartStatus!F$2:F1000)) + (((Q154 &lt;&gt; """") * (Q154 &lt; SmartStatus!F$2:F1000)) + ((P154 &lt;&gt; """") * (date(year(P154) + 3, month(P"&amp;"154), day(P154)) &lt; SmartStatus!F$2:F1000))), (isblank(SmartStatus!G$2:G1000)) + (((Q154 &lt;&gt; """") * (Q154 &gt;= SmartStatus!G$2:G1000)) + ((P154 &lt;&gt; """") * (P154 &gt;= SmartStatus!G$2:G1000)))), if(or(regexmatch(B154, ""(?i)^ir [a-z]+ designation$""), N154 &lt;&gt; """&amp;"""), 1, 2))), """"), ""NO_MATCH"")"),"")</f>
        <v/>
      </c>
      <c r="AS154" s="11"/>
      <c r="AT154" s="15"/>
      <c r="AU154" s="11"/>
      <c r="AV154" s="11"/>
      <c r="AW154" s="15"/>
      <c r="AX154" s="15"/>
      <c r="AY154" s="15"/>
      <c r="AZ154" s="11"/>
      <c r="BA154" s="15"/>
      <c r="BB154" s="11"/>
      <c r="BC154" s="11"/>
      <c r="BD154" s="15"/>
      <c r="BE154" s="11"/>
      <c r="BF154" s="11"/>
      <c r="BG154" s="15"/>
      <c r="BH154" s="15"/>
      <c r="BI154" s="15"/>
      <c r="BJ154" s="11"/>
      <c r="BK154" s="15"/>
      <c r="BL154" s="11"/>
      <c r="BM154" s="11"/>
      <c r="BN154" s="15"/>
      <c r="BO154" s="11"/>
      <c r="BP154" s="11"/>
      <c r="BQ154" s="15"/>
      <c r="BR154" s="15"/>
      <c r="BS154" s="15"/>
      <c r="BT154" s="11"/>
      <c r="BU154" s="15"/>
      <c r="BV154" s="11"/>
      <c r="BW154" s="11"/>
      <c r="BX154" s="15"/>
      <c r="BY154" s="11"/>
      <c r="BZ154" s="11"/>
      <c r="CA154" s="15"/>
      <c r="CB154" s="11"/>
      <c r="CC154" s="15"/>
      <c r="CD154" s="11"/>
      <c r="CE154" s="15"/>
      <c r="CF154" s="11"/>
      <c r="CG154" s="11"/>
      <c r="CH154" s="15"/>
      <c r="CI154" s="11"/>
      <c r="CJ154" s="11"/>
      <c r="CK154" s="15"/>
      <c r="CL154" s="11"/>
      <c r="CM154" s="11"/>
      <c r="CN154" s="11"/>
      <c r="CO154" s="11"/>
      <c r="CP154" s="28"/>
      <c r="CQ154" s="28"/>
      <c r="CR154" s="11"/>
      <c r="CS154" s="29"/>
      <c r="CT154" s="11"/>
      <c r="CU154" s="11"/>
      <c r="CV154" s="11"/>
      <c r="CW154" s="11"/>
      <c r="CX154" s="11"/>
      <c r="CY154" s="11"/>
      <c r="CZ154" s="11"/>
      <c r="DA154" s="28"/>
      <c r="DB154" s="28"/>
      <c r="DC154" s="11"/>
      <c r="DD154" s="29"/>
      <c r="DE154" s="11"/>
      <c r="DF154" s="11"/>
      <c r="DG154" s="11"/>
      <c r="DH154" s="11"/>
      <c r="DI154" s="11"/>
      <c r="DJ154" s="11"/>
      <c r="DK154" s="26"/>
      <c r="DL154" s="11"/>
      <c r="DM154" s="29"/>
      <c r="DN154" s="28"/>
      <c r="DO154" s="11"/>
      <c r="DP154" s="11"/>
      <c r="DQ154" s="11"/>
      <c r="DR154" s="29"/>
      <c r="DS154" s="28"/>
      <c r="DT154" s="11"/>
      <c r="DU154" s="26"/>
      <c r="DV154" s="11"/>
      <c r="DW154" s="29"/>
      <c r="DX154" s="28"/>
      <c r="DY154" s="11"/>
      <c r="DZ154" s="26"/>
      <c r="EA154" s="11"/>
      <c r="EB154" s="29"/>
      <c r="EC154" s="28"/>
      <c r="ED154" s="30"/>
      <c r="EE154" s="30" t="str">
        <f ca="1">IFERROR(__xludf.DUMMYFUNCTION("iferror(index(filter('Internal -- Trademark Countries'!E$2:E1000, (AM154 = 'Internal -- Trademark Countries'!B$2:B1000) + (AM154 = 'Internal -- Trademark Countries'!C$2:C1000) + (AM154 = 'Internal -- Trademark Countries'!D$2:D1000)), 1))"),"")</f>
        <v/>
      </c>
      <c r="EF154" s="30" t="e">
        <f ca="1">_xludf.ifs(AM154="", "", COUNTIF('Internal -- Trademark Countries'!B:B,AM154) &gt; 0, "polity_shortest_name", COUNTIF('Internal -- Trademark Countries'!C:C,AM154) &gt; 0, "polity_full_name", COUNTIF('Internal -- Trademark Countries'!D:D,AM154) &gt; 0, "polity_common_name", COUNTIF('Internal -- Trademark Countries'!E:E,AM154) &gt; 0, "shortest_name", COUNTIF('Internal -- Trademark Countries'!A:A,AM154) &gt; 0, "full_name", TRUE, "not a match")</f>
        <v>#NAME?</v>
      </c>
      <c r="EG154" s="30"/>
      <c r="EH154" s="30"/>
      <c r="EI154" s="30"/>
      <c r="EJ154" s="30"/>
      <c r="EK154" s="30" t="str">
        <f t="shared" si="2"/>
        <v/>
      </c>
    </row>
    <row r="155" spans="1:141" ht="16.5">
      <c r="A155" s="11"/>
      <c r="B155" s="11"/>
      <c r="C155" s="11"/>
      <c r="D155" s="11"/>
      <c r="E155" s="11"/>
      <c r="F155" s="11"/>
      <c r="G155" s="11"/>
      <c r="H155" s="11"/>
      <c r="I155" s="11"/>
      <c r="J155" s="11"/>
      <c r="K155" s="27"/>
      <c r="L155" s="11"/>
      <c r="M155" s="11"/>
      <c r="N155" s="11"/>
      <c r="O155" s="11"/>
      <c r="P155" s="15"/>
      <c r="Q155" s="15"/>
      <c r="R155" s="15"/>
      <c r="S155" s="15"/>
      <c r="T155" s="15"/>
      <c r="U155" s="15"/>
      <c r="V155" s="15"/>
      <c r="W155" s="47"/>
      <c r="X155" s="11"/>
      <c r="Y155" s="48"/>
      <c r="Z155" s="11"/>
      <c r="AA155" s="48"/>
      <c r="AB155" s="11"/>
      <c r="AC155" s="48"/>
      <c r="AD155" s="11"/>
      <c r="AE155" s="47"/>
      <c r="AF155" s="11"/>
      <c r="AG155" s="48"/>
      <c r="AH155" s="11"/>
      <c r="AI155" s="48"/>
      <c r="AJ155" s="11"/>
      <c r="AK155" s="48"/>
      <c r="AL155" s="11"/>
      <c r="AM155" s="49"/>
      <c r="AN155" s="49"/>
      <c r="AO155" s="11"/>
      <c r="AP155" s="11"/>
      <c r="AQ155" s="28" t="b">
        <f>IF(COUNTIF(SmartStatus!A$2:A1000, AM155) &gt; 2, TRUE, FALSE)</f>
        <v>0</v>
      </c>
      <c r="AR155" s="29" t="str">
        <f ca="1">IFERROR(__xludf.DUMMYFUNCTION("iferror(if(regexmatch(AO155, ""(?i)^registered""), if(EE155 &lt;&gt; ""polity_shortest_name"", ""CHECK_POLITY"", index(filter(SmartStatus!B$2:B1000, AM155 = SmartStatus!A$2:A1000, not(SmartStatus!C$2:C1000), (isblank(SmartStatus!D$2:D1000)) + ((P155 &lt;&gt; """") * "&amp;"(P155 &lt; SmartStatus!D$2:D1000)), (isblank(SmartStatus!E$2:E1000)) + ((P155 &lt;&gt; """") * (P155 &gt;= SmartStatus!E$2:E1000)), (isblank(SmartStatus!F$2:F1000)) + (((Q155 &lt;&gt; """") * (Q155 &lt; SmartStatus!F$2:F1000)) + ((P155 &lt;&gt; """") * (date(year(P155) + 3, month(P"&amp;"155), day(P155)) &lt; SmartStatus!F$2:F1000))), (isblank(SmartStatus!G$2:G1000)) + (((Q155 &lt;&gt; """") * (Q155 &gt;= SmartStatus!G$2:G1000)) + ((P155 &lt;&gt; """") * (P155 &gt;= SmartStatus!G$2:G1000)))), if(or(regexmatch(B155, ""(?i)^ir [a-z]+ designation$""), N155 &lt;&gt; """&amp;"""), 1, 2))), """"), ""NO_MATCH"")"),"")</f>
        <v/>
      </c>
      <c r="AS155" s="11"/>
      <c r="AT155" s="15"/>
      <c r="AU155" s="11"/>
      <c r="AV155" s="11"/>
      <c r="AW155" s="15"/>
      <c r="AX155" s="15"/>
      <c r="AY155" s="15"/>
      <c r="AZ155" s="11"/>
      <c r="BA155" s="15"/>
      <c r="BB155" s="11"/>
      <c r="BC155" s="11"/>
      <c r="BD155" s="15"/>
      <c r="BE155" s="11"/>
      <c r="BF155" s="11"/>
      <c r="BG155" s="15"/>
      <c r="BH155" s="15"/>
      <c r="BI155" s="15"/>
      <c r="BJ155" s="11"/>
      <c r="BK155" s="15"/>
      <c r="BL155" s="11"/>
      <c r="BM155" s="11"/>
      <c r="BN155" s="15"/>
      <c r="BO155" s="11"/>
      <c r="BP155" s="11"/>
      <c r="BQ155" s="15"/>
      <c r="BR155" s="15"/>
      <c r="BS155" s="15"/>
      <c r="BT155" s="11"/>
      <c r="BU155" s="15"/>
      <c r="BV155" s="11"/>
      <c r="BW155" s="11"/>
      <c r="BX155" s="15"/>
      <c r="BY155" s="11"/>
      <c r="BZ155" s="11"/>
      <c r="CA155" s="15"/>
      <c r="CB155" s="11"/>
      <c r="CC155" s="15"/>
      <c r="CD155" s="11"/>
      <c r="CE155" s="15"/>
      <c r="CF155" s="11"/>
      <c r="CG155" s="11"/>
      <c r="CH155" s="15"/>
      <c r="CI155" s="11"/>
      <c r="CJ155" s="11"/>
      <c r="CK155" s="15"/>
      <c r="CL155" s="11"/>
      <c r="CM155" s="11"/>
      <c r="CN155" s="11"/>
      <c r="CO155" s="11"/>
      <c r="CP155" s="28"/>
      <c r="CQ155" s="28"/>
      <c r="CR155" s="11"/>
      <c r="CS155" s="29"/>
      <c r="CT155" s="11"/>
      <c r="CU155" s="11"/>
      <c r="CV155" s="11"/>
      <c r="CW155" s="11"/>
      <c r="CX155" s="11"/>
      <c r="CY155" s="11"/>
      <c r="CZ155" s="11"/>
      <c r="DA155" s="28"/>
      <c r="DB155" s="28"/>
      <c r="DC155" s="11"/>
      <c r="DD155" s="29"/>
      <c r="DE155" s="11"/>
      <c r="DF155" s="11"/>
      <c r="DG155" s="11"/>
      <c r="DH155" s="11"/>
      <c r="DI155" s="11"/>
      <c r="DJ155" s="11"/>
      <c r="DK155" s="26"/>
      <c r="DL155" s="11"/>
      <c r="DM155" s="29"/>
      <c r="DN155" s="28"/>
      <c r="DO155" s="11"/>
      <c r="DP155" s="11"/>
      <c r="DQ155" s="11"/>
      <c r="DR155" s="29"/>
      <c r="DS155" s="28"/>
      <c r="DT155" s="11"/>
      <c r="DU155" s="26"/>
      <c r="DV155" s="11"/>
      <c r="DW155" s="29"/>
      <c r="DX155" s="28"/>
      <c r="DY155" s="11"/>
      <c r="DZ155" s="26"/>
      <c r="EA155" s="11"/>
      <c r="EB155" s="29"/>
      <c r="EC155" s="28"/>
      <c r="ED155" s="30"/>
      <c r="EE155" s="30" t="str">
        <f ca="1">IFERROR(__xludf.DUMMYFUNCTION("iferror(index(filter('Internal -- Trademark Countries'!E$2:E1000, (AM155 = 'Internal -- Trademark Countries'!B$2:B1000) + (AM155 = 'Internal -- Trademark Countries'!C$2:C1000) + (AM155 = 'Internal -- Trademark Countries'!D$2:D1000)), 1))"),"")</f>
        <v/>
      </c>
      <c r="EF155" s="30" t="e">
        <f ca="1">_xludf.ifs(AM155="", "", COUNTIF('Internal -- Trademark Countries'!B:B,AM155) &gt; 0, "polity_shortest_name", COUNTIF('Internal -- Trademark Countries'!C:C,AM155) &gt; 0, "polity_full_name", COUNTIF('Internal -- Trademark Countries'!D:D,AM155) &gt; 0, "polity_common_name", COUNTIF('Internal -- Trademark Countries'!E:E,AM155) &gt; 0, "shortest_name", COUNTIF('Internal -- Trademark Countries'!A:A,AM155) &gt; 0, "full_name", TRUE, "not a match")</f>
        <v>#NAME?</v>
      </c>
      <c r="EG155" s="30"/>
      <c r="EH155" s="30"/>
      <c r="EI155" s="30"/>
      <c r="EJ155" s="30"/>
      <c r="EK155" s="30" t="str">
        <f t="shared" si="2"/>
        <v/>
      </c>
    </row>
    <row r="156" spans="1:141" ht="16.5">
      <c r="A156" s="11"/>
      <c r="B156" s="11"/>
      <c r="C156" s="11"/>
      <c r="D156" s="11"/>
      <c r="E156" s="11"/>
      <c r="F156" s="11"/>
      <c r="G156" s="11"/>
      <c r="H156" s="11"/>
      <c r="I156" s="11"/>
      <c r="J156" s="11"/>
      <c r="K156" s="27"/>
      <c r="L156" s="11"/>
      <c r="M156" s="11"/>
      <c r="N156" s="11"/>
      <c r="O156" s="11"/>
      <c r="P156" s="15"/>
      <c r="Q156" s="15"/>
      <c r="R156" s="15"/>
      <c r="S156" s="15"/>
      <c r="T156" s="15"/>
      <c r="U156" s="15"/>
      <c r="V156" s="15"/>
      <c r="W156" s="47"/>
      <c r="X156" s="11"/>
      <c r="Y156" s="48"/>
      <c r="Z156" s="11"/>
      <c r="AA156" s="48"/>
      <c r="AB156" s="11"/>
      <c r="AC156" s="48"/>
      <c r="AD156" s="11"/>
      <c r="AE156" s="47"/>
      <c r="AF156" s="11"/>
      <c r="AG156" s="48"/>
      <c r="AH156" s="11"/>
      <c r="AI156" s="48"/>
      <c r="AJ156" s="11"/>
      <c r="AK156" s="48"/>
      <c r="AL156" s="11"/>
      <c r="AM156" s="49"/>
      <c r="AN156" s="49"/>
      <c r="AO156" s="11"/>
      <c r="AP156" s="11"/>
      <c r="AQ156" s="28" t="b">
        <f>IF(COUNTIF(SmartStatus!A$2:A1000, AM156) &gt; 2, TRUE, FALSE)</f>
        <v>0</v>
      </c>
      <c r="AR156" s="29" t="str">
        <f ca="1">IFERROR(__xludf.DUMMYFUNCTION("iferror(if(regexmatch(AO156, ""(?i)^registered""), if(EE156 &lt;&gt; ""polity_shortest_name"", ""CHECK_POLITY"", index(filter(SmartStatus!B$2:B1000, AM156 = SmartStatus!A$2:A1000, not(SmartStatus!C$2:C1000), (isblank(SmartStatus!D$2:D1000)) + ((P156 &lt;&gt; """") * "&amp;"(P156 &lt; SmartStatus!D$2:D1000)), (isblank(SmartStatus!E$2:E1000)) + ((P156 &lt;&gt; """") * (P156 &gt;= SmartStatus!E$2:E1000)), (isblank(SmartStatus!F$2:F1000)) + (((Q156 &lt;&gt; """") * (Q156 &lt; SmartStatus!F$2:F1000)) + ((P156 &lt;&gt; """") * (date(year(P156) + 3, month(P"&amp;"156), day(P156)) &lt; SmartStatus!F$2:F1000))), (isblank(SmartStatus!G$2:G1000)) + (((Q156 &lt;&gt; """") * (Q156 &gt;= SmartStatus!G$2:G1000)) + ((P156 &lt;&gt; """") * (P156 &gt;= SmartStatus!G$2:G1000)))), if(or(regexmatch(B156, ""(?i)^ir [a-z]+ designation$""), N156 &lt;&gt; """&amp;"""), 1, 2))), """"), ""NO_MATCH"")"),"")</f>
        <v/>
      </c>
      <c r="AS156" s="11"/>
      <c r="AT156" s="15"/>
      <c r="AU156" s="11"/>
      <c r="AV156" s="11"/>
      <c r="AW156" s="15"/>
      <c r="AX156" s="15"/>
      <c r="AY156" s="15"/>
      <c r="AZ156" s="11"/>
      <c r="BA156" s="15"/>
      <c r="BB156" s="11"/>
      <c r="BC156" s="11"/>
      <c r="BD156" s="15"/>
      <c r="BE156" s="11"/>
      <c r="BF156" s="11"/>
      <c r="BG156" s="15"/>
      <c r="BH156" s="15"/>
      <c r="BI156" s="15"/>
      <c r="BJ156" s="11"/>
      <c r="BK156" s="15"/>
      <c r="BL156" s="11"/>
      <c r="BM156" s="11"/>
      <c r="BN156" s="15"/>
      <c r="BO156" s="11"/>
      <c r="BP156" s="11"/>
      <c r="BQ156" s="15"/>
      <c r="BR156" s="15"/>
      <c r="BS156" s="15"/>
      <c r="BT156" s="11"/>
      <c r="BU156" s="15"/>
      <c r="BV156" s="11"/>
      <c r="BW156" s="11"/>
      <c r="BX156" s="15"/>
      <c r="BY156" s="11"/>
      <c r="BZ156" s="11"/>
      <c r="CA156" s="15"/>
      <c r="CB156" s="11"/>
      <c r="CC156" s="15"/>
      <c r="CD156" s="11"/>
      <c r="CE156" s="15"/>
      <c r="CF156" s="11"/>
      <c r="CG156" s="11"/>
      <c r="CH156" s="15"/>
      <c r="CI156" s="11"/>
      <c r="CJ156" s="11"/>
      <c r="CK156" s="15"/>
      <c r="CL156" s="11"/>
      <c r="CM156" s="11"/>
      <c r="CN156" s="11"/>
      <c r="CO156" s="11"/>
      <c r="CP156" s="28"/>
      <c r="CQ156" s="28"/>
      <c r="CR156" s="11"/>
      <c r="CS156" s="29"/>
      <c r="CT156" s="11"/>
      <c r="CU156" s="11"/>
      <c r="CV156" s="11"/>
      <c r="CW156" s="11"/>
      <c r="CX156" s="11"/>
      <c r="CY156" s="11"/>
      <c r="CZ156" s="11"/>
      <c r="DA156" s="28"/>
      <c r="DB156" s="28"/>
      <c r="DC156" s="11"/>
      <c r="DD156" s="29"/>
      <c r="DE156" s="11"/>
      <c r="DF156" s="11"/>
      <c r="DG156" s="11"/>
      <c r="DH156" s="11"/>
      <c r="DI156" s="11"/>
      <c r="DJ156" s="11"/>
      <c r="DK156" s="26"/>
      <c r="DL156" s="11"/>
      <c r="DM156" s="29"/>
      <c r="DN156" s="28"/>
      <c r="DO156" s="11"/>
      <c r="DP156" s="11"/>
      <c r="DQ156" s="11"/>
      <c r="DR156" s="29"/>
      <c r="DS156" s="28"/>
      <c r="DT156" s="11"/>
      <c r="DU156" s="26"/>
      <c r="DV156" s="11"/>
      <c r="DW156" s="29"/>
      <c r="DX156" s="28"/>
      <c r="DY156" s="11"/>
      <c r="DZ156" s="26"/>
      <c r="EA156" s="11"/>
      <c r="EB156" s="29"/>
      <c r="EC156" s="28"/>
      <c r="ED156" s="30"/>
      <c r="EE156" s="30" t="str">
        <f ca="1">IFERROR(__xludf.DUMMYFUNCTION("iferror(index(filter('Internal -- Trademark Countries'!E$2:E1000, (AM156 = 'Internal -- Trademark Countries'!B$2:B1000) + (AM156 = 'Internal -- Trademark Countries'!C$2:C1000) + (AM156 = 'Internal -- Trademark Countries'!D$2:D1000)), 1))"),"")</f>
        <v/>
      </c>
      <c r="EF156" s="30" t="e">
        <f ca="1">_xludf.ifs(AM156="", "", COUNTIF('Internal -- Trademark Countries'!B:B,AM156) &gt; 0, "polity_shortest_name", COUNTIF('Internal -- Trademark Countries'!C:C,AM156) &gt; 0, "polity_full_name", COUNTIF('Internal -- Trademark Countries'!D:D,AM156) &gt; 0, "polity_common_name", COUNTIF('Internal -- Trademark Countries'!E:E,AM156) &gt; 0, "shortest_name", COUNTIF('Internal -- Trademark Countries'!A:A,AM156) &gt; 0, "full_name", TRUE, "not a match")</f>
        <v>#NAME?</v>
      </c>
      <c r="EG156" s="30"/>
      <c r="EH156" s="30"/>
      <c r="EI156" s="30"/>
      <c r="EJ156" s="30"/>
      <c r="EK156" s="30" t="str">
        <f t="shared" si="2"/>
        <v/>
      </c>
    </row>
    <row r="157" spans="1:141" ht="16.5">
      <c r="A157" s="11"/>
      <c r="B157" s="11"/>
      <c r="C157" s="11"/>
      <c r="D157" s="11"/>
      <c r="E157" s="11"/>
      <c r="F157" s="11"/>
      <c r="G157" s="11"/>
      <c r="H157" s="11"/>
      <c r="I157" s="11"/>
      <c r="J157" s="11"/>
      <c r="K157" s="27"/>
      <c r="L157" s="11"/>
      <c r="M157" s="11"/>
      <c r="N157" s="11"/>
      <c r="O157" s="11"/>
      <c r="P157" s="15"/>
      <c r="Q157" s="15"/>
      <c r="R157" s="15"/>
      <c r="S157" s="15"/>
      <c r="T157" s="15"/>
      <c r="U157" s="15"/>
      <c r="V157" s="15"/>
      <c r="W157" s="47"/>
      <c r="X157" s="11"/>
      <c r="Y157" s="48"/>
      <c r="Z157" s="11"/>
      <c r="AA157" s="48"/>
      <c r="AB157" s="11"/>
      <c r="AC157" s="48"/>
      <c r="AD157" s="11"/>
      <c r="AE157" s="47"/>
      <c r="AF157" s="11"/>
      <c r="AG157" s="48"/>
      <c r="AH157" s="11"/>
      <c r="AI157" s="48"/>
      <c r="AJ157" s="11"/>
      <c r="AK157" s="48"/>
      <c r="AL157" s="11"/>
      <c r="AM157" s="49"/>
      <c r="AN157" s="49"/>
      <c r="AO157" s="11"/>
      <c r="AP157" s="11"/>
      <c r="AQ157" s="28" t="b">
        <f>IF(COUNTIF(SmartStatus!A$2:A1000, AM157) &gt; 2, TRUE, FALSE)</f>
        <v>0</v>
      </c>
      <c r="AR157" s="29" t="str">
        <f ca="1">IFERROR(__xludf.DUMMYFUNCTION("iferror(if(regexmatch(AO157, ""(?i)^registered""), if(EE157 &lt;&gt; ""polity_shortest_name"", ""CHECK_POLITY"", index(filter(SmartStatus!B$2:B1000, AM157 = SmartStatus!A$2:A1000, not(SmartStatus!C$2:C1000), (isblank(SmartStatus!D$2:D1000)) + ((P157 &lt;&gt; """") * "&amp;"(P157 &lt; SmartStatus!D$2:D1000)), (isblank(SmartStatus!E$2:E1000)) + ((P157 &lt;&gt; """") * (P157 &gt;= SmartStatus!E$2:E1000)), (isblank(SmartStatus!F$2:F1000)) + (((Q157 &lt;&gt; """") * (Q157 &lt; SmartStatus!F$2:F1000)) + ((P157 &lt;&gt; """") * (date(year(P157) + 3, month(P"&amp;"157), day(P157)) &lt; SmartStatus!F$2:F1000))), (isblank(SmartStatus!G$2:G1000)) + (((Q157 &lt;&gt; """") * (Q157 &gt;= SmartStatus!G$2:G1000)) + ((P157 &lt;&gt; """") * (P157 &gt;= SmartStatus!G$2:G1000)))), if(or(regexmatch(B157, ""(?i)^ir [a-z]+ designation$""), N157 &lt;&gt; """&amp;"""), 1, 2))), """"), ""NO_MATCH"")"),"")</f>
        <v/>
      </c>
      <c r="AS157" s="11"/>
      <c r="AT157" s="15"/>
      <c r="AU157" s="11"/>
      <c r="AV157" s="11"/>
      <c r="AW157" s="15"/>
      <c r="AX157" s="15"/>
      <c r="AY157" s="15"/>
      <c r="AZ157" s="11"/>
      <c r="BA157" s="15"/>
      <c r="BB157" s="11"/>
      <c r="BC157" s="11"/>
      <c r="BD157" s="15"/>
      <c r="BE157" s="11"/>
      <c r="BF157" s="11"/>
      <c r="BG157" s="15"/>
      <c r="BH157" s="15"/>
      <c r="BI157" s="15"/>
      <c r="BJ157" s="11"/>
      <c r="BK157" s="15"/>
      <c r="BL157" s="11"/>
      <c r="BM157" s="11"/>
      <c r="BN157" s="15"/>
      <c r="BO157" s="11"/>
      <c r="BP157" s="11"/>
      <c r="BQ157" s="15"/>
      <c r="BR157" s="15"/>
      <c r="BS157" s="15"/>
      <c r="BT157" s="11"/>
      <c r="BU157" s="15"/>
      <c r="BV157" s="11"/>
      <c r="BW157" s="11"/>
      <c r="BX157" s="15"/>
      <c r="BY157" s="11"/>
      <c r="BZ157" s="11"/>
      <c r="CA157" s="15"/>
      <c r="CB157" s="11"/>
      <c r="CC157" s="15"/>
      <c r="CD157" s="11"/>
      <c r="CE157" s="15"/>
      <c r="CF157" s="11"/>
      <c r="CG157" s="11"/>
      <c r="CH157" s="15"/>
      <c r="CI157" s="11"/>
      <c r="CJ157" s="11"/>
      <c r="CK157" s="15"/>
      <c r="CL157" s="11"/>
      <c r="CM157" s="11"/>
      <c r="CN157" s="11"/>
      <c r="CO157" s="11"/>
      <c r="CP157" s="28"/>
      <c r="CQ157" s="28"/>
      <c r="CR157" s="11"/>
      <c r="CS157" s="29"/>
      <c r="CT157" s="11"/>
      <c r="CU157" s="11"/>
      <c r="CV157" s="11"/>
      <c r="CW157" s="11"/>
      <c r="CX157" s="11"/>
      <c r="CY157" s="11"/>
      <c r="CZ157" s="11"/>
      <c r="DA157" s="28"/>
      <c r="DB157" s="28"/>
      <c r="DC157" s="11"/>
      <c r="DD157" s="29"/>
      <c r="DE157" s="11"/>
      <c r="DF157" s="11"/>
      <c r="DG157" s="11"/>
      <c r="DH157" s="11"/>
      <c r="DI157" s="11"/>
      <c r="DJ157" s="11"/>
      <c r="DK157" s="26"/>
      <c r="DL157" s="11"/>
      <c r="DM157" s="29"/>
      <c r="DN157" s="28"/>
      <c r="DO157" s="11"/>
      <c r="DP157" s="11"/>
      <c r="DQ157" s="11"/>
      <c r="DR157" s="29"/>
      <c r="DS157" s="28"/>
      <c r="DT157" s="11"/>
      <c r="DU157" s="26"/>
      <c r="DV157" s="11"/>
      <c r="DW157" s="29"/>
      <c r="DX157" s="28"/>
      <c r="DY157" s="11"/>
      <c r="DZ157" s="26"/>
      <c r="EA157" s="11"/>
      <c r="EB157" s="29"/>
      <c r="EC157" s="28"/>
      <c r="ED157" s="30"/>
      <c r="EE157" s="30" t="str">
        <f ca="1">IFERROR(__xludf.DUMMYFUNCTION("iferror(index(filter('Internal -- Trademark Countries'!E$2:E1000, (AM157 = 'Internal -- Trademark Countries'!B$2:B1000) + (AM157 = 'Internal -- Trademark Countries'!C$2:C1000) + (AM157 = 'Internal -- Trademark Countries'!D$2:D1000)), 1))"),"")</f>
        <v/>
      </c>
      <c r="EF157" s="30" t="e">
        <f ca="1">_xludf.ifs(AM157="", "", COUNTIF('Internal -- Trademark Countries'!B:B,AM157) &gt; 0, "polity_shortest_name", COUNTIF('Internal -- Trademark Countries'!C:C,AM157) &gt; 0, "polity_full_name", COUNTIF('Internal -- Trademark Countries'!D:D,AM157) &gt; 0, "polity_common_name", COUNTIF('Internal -- Trademark Countries'!E:E,AM157) &gt; 0, "shortest_name", COUNTIF('Internal -- Trademark Countries'!A:A,AM157) &gt; 0, "full_name", TRUE, "not a match")</f>
        <v>#NAME?</v>
      </c>
      <c r="EG157" s="30"/>
      <c r="EH157" s="30"/>
      <c r="EI157" s="30"/>
      <c r="EJ157" s="30"/>
      <c r="EK157" s="30" t="str">
        <f t="shared" si="2"/>
        <v/>
      </c>
    </row>
    <row r="158" spans="1:141" ht="16.5">
      <c r="A158" s="11"/>
      <c r="B158" s="11"/>
      <c r="C158" s="11"/>
      <c r="D158" s="11"/>
      <c r="E158" s="11"/>
      <c r="F158" s="11"/>
      <c r="G158" s="11"/>
      <c r="H158" s="11"/>
      <c r="I158" s="11"/>
      <c r="J158" s="11"/>
      <c r="K158" s="27"/>
      <c r="L158" s="11"/>
      <c r="M158" s="11"/>
      <c r="N158" s="11"/>
      <c r="O158" s="11"/>
      <c r="P158" s="15"/>
      <c r="Q158" s="15"/>
      <c r="R158" s="15"/>
      <c r="S158" s="15"/>
      <c r="T158" s="15"/>
      <c r="U158" s="15"/>
      <c r="V158" s="15"/>
      <c r="W158" s="47"/>
      <c r="X158" s="11"/>
      <c r="Y158" s="48"/>
      <c r="Z158" s="11"/>
      <c r="AA158" s="48"/>
      <c r="AB158" s="11"/>
      <c r="AC158" s="48"/>
      <c r="AD158" s="11"/>
      <c r="AE158" s="47"/>
      <c r="AF158" s="11"/>
      <c r="AG158" s="48"/>
      <c r="AH158" s="11"/>
      <c r="AI158" s="48"/>
      <c r="AJ158" s="11"/>
      <c r="AK158" s="48"/>
      <c r="AL158" s="11"/>
      <c r="AM158" s="49"/>
      <c r="AN158" s="49"/>
      <c r="AO158" s="11"/>
      <c r="AP158" s="11"/>
      <c r="AQ158" s="28" t="b">
        <f>IF(COUNTIF(SmartStatus!A$2:A1000, AM158) &gt; 2, TRUE, FALSE)</f>
        <v>0</v>
      </c>
      <c r="AR158" s="29" t="str">
        <f ca="1">IFERROR(__xludf.DUMMYFUNCTION("iferror(if(regexmatch(AO158, ""(?i)^registered""), if(EE158 &lt;&gt; ""polity_shortest_name"", ""CHECK_POLITY"", index(filter(SmartStatus!B$2:B1000, AM158 = SmartStatus!A$2:A1000, not(SmartStatus!C$2:C1000), (isblank(SmartStatus!D$2:D1000)) + ((P158 &lt;&gt; """") * "&amp;"(P158 &lt; SmartStatus!D$2:D1000)), (isblank(SmartStatus!E$2:E1000)) + ((P158 &lt;&gt; """") * (P158 &gt;= SmartStatus!E$2:E1000)), (isblank(SmartStatus!F$2:F1000)) + (((Q158 &lt;&gt; """") * (Q158 &lt; SmartStatus!F$2:F1000)) + ((P158 &lt;&gt; """") * (date(year(P158) + 3, month(P"&amp;"158), day(P158)) &lt; SmartStatus!F$2:F1000))), (isblank(SmartStatus!G$2:G1000)) + (((Q158 &lt;&gt; """") * (Q158 &gt;= SmartStatus!G$2:G1000)) + ((P158 &lt;&gt; """") * (P158 &gt;= SmartStatus!G$2:G1000)))), if(or(regexmatch(B158, ""(?i)^ir [a-z]+ designation$""), N158 &lt;&gt; """&amp;"""), 1, 2))), """"), ""NO_MATCH"")"),"")</f>
        <v/>
      </c>
      <c r="AS158" s="11"/>
      <c r="AT158" s="15"/>
      <c r="AU158" s="11"/>
      <c r="AV158" s="11"/>
      <c r="AW158" s="15"/>
      <c r="AX158" s="15"/>
      <c r="AY158" s="15"/>
      <c r="AZ158" s="11"/>
      <c r="BA158" s="15"/>
      <c r="BB158" s="11"/>
      <c r="BC158" s="11"/>
      <c r="BD158" s="15"/>
      <c r="BE158" s="11"/>
      <c r="BF158" s="11"/>
      <c r="BG158" s="15"/>
      <c r="BH158" s="15"/>
      <c r="BI158" s="15"/>
      <c r="BJ158" s="11"/>
      <c r="BK158" s="15"/>
      <c r="BL158" s="11"/>
      <c r="BM158" s="11"/>
      <c r="BN158" s="15"/>
      <c r="BO158" s="11"/>
      <c r="BP158" s="11"/>
      <c r="BQ158" s="15"/>
      <c r="BR158" s="15"/>
      <c r="BS158" s="15"/>
      <c r="BT158" s="11"/>
      <c r="BU158" s="15"/>
      <c r="BV158" s="11"/>
      <c r="BW158" s="11"/>
      <c r="BX158" s="15"/>
      <c r="BY158" s="11"/>
      <c r="BZ158" s="11"/>
      <c r="CA158" s="15"/>
      <c r="CB158" s="11"/>
      <c r="CC158" s="15"/>
      <c r="CD158" s="11"/>
      <c r="CE158" s="15"/>
      <c r="CF158" s="11"/>
      <c r="CG158" s="11"/>
      <c r="CH158" s="15"/>
      <c r="CI158" s="11"/>
      <c r="CJ158" s="11"/>
      <c r="CK158" s="15"/>
      <c r="CL158" s="11"/>
      <c r="CM158" s="11"/>
      <c r="CN158" s="11"/>
      <c r="CO158" s="11"/>
      <c r="CP158" s="28"/>
      <c r="CQ158" s="28"/>
      <c r="CR158" s="11"/>
      <c r="CS158" s="29"/>
      <c r="CT158" s="11"/>
      <c r="CU158" s="11"/>
      <c r="CV158" s="11"/>
      <c r="CW158" s="11"/>
      <c r="CX158" s="11"/>
      <c r="CY158" s="11"/>
      <c r="CZ158" s="11"/>
      <c r="DA158" s="28"/>
      <c r="DB158" s="28"/>
      <c r="DC158" s="11"/>
      <c r="DD158" s="29"/>
      <c r="DE158" s="11"/>
      <c r="DF158" s="11"/>
      <c r="DG158" s="11"/>
      <c r="DH158" s="11"/>
      <c r="DI158" s="11"/>
      <c r="DJ158" s="11"/>
      <c r="DK158" s="26"/>
      <c r="DL158" s="11"/>
      <c r="DM158" s="29"/>
      <c r="DN158" s="28"/>
      <c r="DO158" s="11"/>
      <c r="DP158" s="11"/>
      <c r="DQ158" s="11"/>
      <c r="DR158" s="29"/>
      <c r="DS158" s="28"/>
      <c r="DT158" s="11"/>
      <c r="DU158" s="26"/>
      <c r="DV158" s="11"/>
      <c r="DW158" s="29"/>
      <c r="DX158" s="28"/>
      <c r="DY158" s="11"/>
      <c r="DZ158" s="26"/>
      <c r="EA158" s="11"/>
      <c r="EB158" s="29"/>
      <c r="EC158" s="28"/>
      <c r="ED158" s="30"/>
      <c r="EE158" s="30" t="str">
        <f ca="1">IFERROR(__xludf.DUMMYFUNCTION("iferror(index(filter('Internal -- Trademark Countries'!E$2:E1000, (AM158 = 'Internal -- Trademark Countries'!B$2:B1000) + (AM158 = 'Internal -- Trademark Countries'!C$2:C1000) + (AM158 = 'Internal -- Trademark Countries'!D$2:D1000)), 1))"),"")</f>
        <v/>
      </c>
      <c r="EF158" s="30" t="e">
        <f ca="1">_xludf.ifs(AM158="", "", COUNTIF('Internal -- Trademark Countries'!B:B,AM158) &gt; 0, "polity_shortest_name", COUNTIF('Internal -- Trademark Countries'!C:C,AM158) &gt; 0, "polity_full_name", COUNTIF('Internal -- Trademark Countries'!D:D,AM158) &gt; 0, "polity_common_name", COUNTIF('Internal -- Trademark Countries'!E:E,AM158) &gt; 0, "shortest_name", COUNTIF('Internal -- Trademark Countries'!A:A,AM158) &gt; 0, "full_name", TRUE, "not a match")</f>
        <v>#NAME?</v>
      </c>
      <c r="EG158" s="30"/>
      <c r="EH158" s="30"/>
      <c r="EI158" s="30"/>
      <c r="EJ158" s="30"/>
      <c r="EK158" s="30" t="str">
        <f t="shared" si="2"/>
        <v/>
      </c>
    </row>
    <row r="159" spans="1:141" ht="16.5">
      <c r="A159" s="11"/>
      <c r="B159" s="11"/>
      <c r="C159" s="11"/>
      <c r="D159" s="11"/>
      <c r="E159" s="11"/>
      <c r="F159" s="11"/>
      <c r="G159" s="11"/>
      <c r="H159" s="11"/>
      <c r="I159" s="11"/>
      <c r="J159" s="11"/>
      <c r="K159" s="27"/>
      <c r="L159" s="11"/>
      <c r="M159" s="11"/>
      <c r="N159" s="11"/>
      <c r="O159" s="11"/>
      <c r="P159" s="15"/>
      <c r="Q159" s="15"/>
      <c r="R159" s="15"/>
      <c r="S159" s="15"/>
      <c r="T159" s="15"/>
      <c r="U159" s="15"/>
      <c r="V159" s="15"/>
      <c r="W159" s="47"/>
      <c r="X159" s="11"/>
      <c r="Y159" s="48"/>
      <c r="Z159" s="11"/>
      <c r="AA159" s="48"/>
      <c r="AB159" s="11"/>
      <c r="AC159" s="48"/>
      <c r="AD159" s="11"/>
      <c r="AE159" s="47"/>
      <c r="AF159" s="11"/>
      <c r="AG159" s="48"/>
      <c r="AH159" s="11"/>
      <c r="AI159" s="48"/>
      <c r="AJ159" s="11"/>
      <c r="AK159" s="48"/>
      <c r="AL159" s="11"/>
      <c r="AM159" s="49"/>
      <c r="AN159" s="49"/>
      <c r="AO159" s="11"/>
      <c r="AP159" s="11"/>
      <c r="AQ159" s="28" t="b">
        <f>IF(COUNTIF(SmartStatus!A$2:A1000, AM159) &gt; 2, TRUE, FALSE)</f>
        <v>0</v>
      </c>
      <c r="AR159" s="29" t="str">
        <f ca="1">IFERROR(__xludf.DUMMYFUNCTION("iferror(if(regexmatch(AO159, ""(?i)^registered""), if(EE159 &lt;&gt; ""polity_shortest_name"", ""CHECK_POLITY"", index(filter(SmartStatus!B$2:B1000, AM159 = SmartStatus!A$2:A1000, not(SmartStatus!C$2:C1000), (isblank(SmartStatus!D$2:D1000)) + ((P159 &lt;&gt; """") * "&amp;"(P159 &lt; SmartStatus!D$2:D1000)), (isblank(SmartStatus!E$2:E1000)) + ((P159 &lt;&gt; """") * (P159 &gt;= SmartStatus!E$2:E1000)), (isblank(SmartStatus!F$2:F1000)) + (((Q159 &lt;&gt; """") * (Q159 &lt; SmartStatus!F$2:F1000)) + ((P159 &lt;&gt; """") * (date(year(P159) + 3, month(P"&amp;"159), day(P159)) &lt; SmartStatus!F$2:F1000))), (isblank(SmartStatus!G$2:G1000)) + (((Q159 &lt;&gt; """") * (Q159 &gt;= SmartStatus!G$2:G1000)) + ((P159 &lt;&gt; """") * (P159 &gt;= SmartStatus!G$2:G1000)))), if(or(regexmatch(B159, ""(?i)^ir [a-z]+ designation$""), N159 &lt;&gt; """&amp;"""), 1, 2))), """"), ""NO_MATCH"")"),"")</f>
        <v/>
      </c>
      <c r="AS159" s="11"/>
      <c r="AT159" s="15"/>
      <c r="AU159" s="11"/>
      <c r="AV159" s="11"/>
      <c r="AW159" s="15"/>
      <c r="AX159" s="15"/>
      <c r="AY159" s="15"/>
      <c r="AZ159" s="11"/>
      <c r="BA159" s="15"/>
      <c r="BB159" s="11"/>
      <c r="BC159" s="11"/>
      <c r="BD159" s="15"/>
      <c r="BE159" s="11"/>
      <c r="BF159" s="11"/>
      <c r="BG159" s="15"/>
      <c r="BH159" s="15"/>
      <c r="BI159" s="15"/>
      <c r="BJ159" s="11"/>
      <c r="BK159" s="15"/>
      <c r="BL159" s="11"/>
      <c r="BM159" s="11"/>
      <c r="BN159" s="15"/>
      <c r="BO159" s="11"/>
      <c r="BP159" s="11"/>
      <c r="BQ159" s="15"/>
      <c r="BR159" s="15"/>
      <c r="BS159" s="15"/>
      <c r="BT159" s="11"/>
      <c r="BU159" s="15"/>
      <c r="BV159" s="11"/>
      <c r="BW159" s="11"/>
      <c r="BX159" s="15"/>
      <c r="BY159" s="11"/>
      <c r="BZ159" s="11"/>
      <c r="CA159" s="15"/>
      <c r="CB159" s="11"/>
      <c r="CC159" s="15"/>
      <c r="CD159" s="11"/>
      <c r="CE159" s="15"/>
      <c r="CF159" s="11"/>
      <c r="CG159" s="11"/>
      <c r="CH159" s="15"/>
      <c r="CI159" s="11"/>
      <c r="CJ159" s="11"/>
      <c r="CK159" s="15"/>
      <c r="CL159" s="11"/>
      <c r="CM159" s="11"/>
      <c r="CN159" s="11"/>
      <c r="CO159" s="11"/>
      <c r="CP159" s="28"/>
      <c r="CQ159" s="28"/>
      <c r="CR159" s="11"/>
      <c r="CS159" s="29"/>
      <c r="CT159" s="11"/>
      <c r="CU159" s="11"/>
      <c r="CV159" s="11"/>
      <c r="CW159" s="11"/>
      <c r="CX159" s="11"/>
      <c r="CY159" s="11"/>
      <c r="CZ159" s="11"/>
      <c r="DA159" s="28"/>
      <c r="DB159" s="28"/>
      <c r="DC159" s="11"/>
      <c r="DD159" s="29"/>
      <c r="DE159" s="11"/>
      <c r="DF159" s="11"/>
      <c r="DG159" s="11"/>
      <c r="DH159" s="11"/>
      <c r="DI159" s="11"/>
      <c r="DJ159" s="11"/>
      <c r="DK159" s="26"/>
      <c r="DL159" s="11"/>
      <c r="DM159" s="29"/>
      <c r="DN159" s="28"/>
      <c r="DO159" s="11"/>
      <c r="DP159" s="11"/>
      <c r="DQ159" s="11"/>
      <c r="DR159" s="29"/>
      <c r="DS159" s="28"/>
      <c r="DT159" s="11"/>
      <c r="DU159" s="26"/>
      <c r="DV159" s="11"/>
      <c r="DW159" s="29"/>
      <c r="DX159" s="28"/>
      <c r="DY159" s="11"/>
      <c r="DZ159" s="26"/>
      <c r="EA159" s="11"/>
      <c r="EB159" s="29"/>
      <c r="EC159" s="28"/>
      <c r="ED159" s="30"/>
      <c r="EE159" s="30" t="str">
        <f ca="1">IFERROR(__xludf.DUMMYFUNCTION("iferror(index(filter('Internal -- Trademark Countries'!E$2:E1000, (AM159 = 'Internal -- Trademark Countries'!B$2:B1000) + (AM159 = 'Internal -- Trademark Countries'!C$2:C1000) + (AM159 = 'Internal -- Trademark Countries'!D$2:D1000)), 1))"),"")</f>
        <v/>
      </c>
      <c r="EF159" s="30" t="e">
        <f ca="1">_xludf.ifs(AM159="", "", COUNTIF('Internal -- Trademark Countries'!B:B,AM159) &gt; 0, "polity_shortest_name", COUNTIF('Internal -- Trademark Countries'!C:C,AM159) &gt; 0, "polity_full_name", COUNTIF('Internal -- Trademark Countries'!D:D,AM159) &gt; 0, "polity_common_name", COUNTIF('Internal -- Trademark Countries'!E:E,AM159) &gt; 0, "shortest_name", COUNTIF('Internal -- Trademark Countries'!A:A,AM159) &gt; 0, "full_name", TRUE, "not a match")</f>
        <v>#NAME?</v>
      </c>
      <c r="EG159" s="30"/>
      <c r="EH159" s="30"/>
      <c r="EI159" s="30"/>
      <c r="EJ159" s="30"/>
      <c r="EK159" s="30" t="str">
        <f t="shared" si="2"/>
        <v/>
      </c>
    </row>
    <row r="160" spans="1:141" ht="16.5">
      <c r="A160" s="11"/>
      <c r="B160" s="11"/>
      <c r="C160" s="11"/>
      <c r="D160" s="11"/>
      <c r="E160" s="11"/>
      <c r="F160" s="11"/>
      <c r="G160" s="11"/>
      <c r="H160" s="11"/>
      <c r="I160" s="11"/>
      <c r="J160" s="11"/>
      <c r="K160" s="27"/>
      <c r="L160" s="11"/>
      <c r="M160" s="11"/>
      <c r="N160" s="11"/>
      <c r="O160" s="11"/>
      <c r="P160" s="15"/>
      <c r="Q160" s="15"/>
      <c r="R160" s="15"/>
      <c r="S160" s="15"/>
      <c r="T160" s="15"/>
      <c r="U160" s="15"/>
      <c r="V160" s="15"/>
      <c r="W160" s="47"/>
      <c r="X160" s="11"/>
      <c r="Y160" s="48"/>
      <c r="Z160" s="11"/>
      <c r="AA160" s="48"/>
      <c r="AB160" s="11"/>
      <c r="AC160" s="48"/>
      <c r="AD160" s="11"/>
      <c r="AE160" s="47"/>
      <c r="AF160" s="11"/>
      <c r="AG160" s="48"/>
      <c r="AH160" s="11"/>
      <c r="AI160" s="48"/>
      <c r="AJ160" s="11"/>
      <c r="AK160" s="48"/>
      <c r="AL160" s="11"/>
      <c r="AM160" s="49"/>
      <c r="AN160" s="49"/>
      <c r="AO160" s="11"/>
      <c r="AP160" s="11"/>
      <c r="AQ160" s="28" t="b">
        <f>IF(COUNTIF(SmartStatus!A$2:A1000, AM160) &gt; 2, TRUE, FALSE)</f>
        <v>0</v>
      </c>
      <c r="AR160" s="29" t="str">
        <f ca="1">IFERROR(__xludf.DUMMYFUNCTION("iferror(if(regexmatch(AO160, ""(?i)^registered""), if(EE160 &lt;&gt; ""polity_shortest_name"", ""CHECK_POLITY"", index(filter(SmartStatus!B$2:B1000, AM160 = SmartStatus!A$2:A1000, not(SmartStatus!C$2:C1000), (isblank(SmartStatus!D$2:D1000)) + ((P160 &lt;&gt; """") * "&amp;"(P160 &lt; SmartStatus!D$2:D1000)), (isblank(SmartStatus!E$2:E1000)) + ((P160 &lt;&gt; """") * (P160 &gt;= SmartStatus!E$2:E1000)), (isblank(SmartStatus!F$2:F1000)) + (((Q160 &lt;&gt; """") * (Q160 &lt; SmartStatus!F$2:F1000)) + ((P160 &lt;&gt; """") * (date(year(P160) + 3, month(P"&amp;"160), day(P160)) &lt; SmartStatus!F$2:F1000))), (isblank(SmartStatus!G$2:G1000)) + (((Q160 &lt;&gt; """") * (Q160 &gt;= SmartStatus!G$2:G1000)) + ((P160 &lt;&gt; """") * (P160 &gt;= SmartStatus!G$2:G1000)))), if(or(regexmatch(B160, ""(?i)^ir [a-z]+ designation$""), N160 &lt;&gt; """&amp;"""), 1, 2))), """"), ""NO_MATCH"")"),"")</f>
        <v/>
      </c>
      <c r="AS160" s="11"/>
      <c r="AT160" s="15"/>
      <c r="AU160" s="11"/>
      <c r="AV160" s="11"/>
      <c r="AW160" s="15"/>
      <c r="AX160" s="15"/>
      <c r="AY160" s="15"/>
      <c r="AZ160" s="11"/>
      <c r="BA160" s="15"/>
      <c r="BB160" s="11"/>
      <c r="BC160" s="11"/>
      <c r="BD160" s="15"/>
      <c r="BE160" s="11"/>
      <c r="BF160" s="11"/>
      <c r="BG160" s="15"/>
      <c r="BH160" s="15"/>
      <c r="BI160" s="15"/>
      <c r="BJ160" s="11"/>
      <c r="BK160" s="15"/>
      <c r="BL160" s="11"/>
      <c r="BM160" s="11"/>
      <c r="BN160" s="15"/>
      <c r="BO160" s="11"/>
      <c r="BP160" s="11"/>
      <c r="BQ160" s="15"/>
      <c r="BR160" s="15"/>
      <c r="BS160" s="15"/>
      <c r="BT160" s="11"/>
      <c r="BU160" s="15"/>
      <c r="BV160" s="11"/>
      <c r="BW160" s="11"/>
      <c r="BX160" s="15"/>
      <c r="BY160" s="11"/>
      <c r="BZ160" s="11"/>
      <c r="CA160" s="15"/>
      <c r="CB160" s="11"/>
      <c r="CC160" s="15"/>
      <c r="CD160" s="11"/>
      <c r="CE160" s="15"/>
      <c r="CF160" s="11"/>
      <c r="CG160" s="11"/>
      <c r="CH160" s="15"/>
      <c r="CI160" s="11"/>
      <c r="CJ160" s="11"/>
      <c r="CK160" s="15"/>
      <c r="CL160" s="11"/>
      <c r="CM160" s="11"/>
      <c r="CN160" s="11"/>
      <c r="CO160" s="11"/>
      <c r="CP160" s="28"/>
      <c r="CQ160" s="28"/>
      <c r="CR160" s="11"/>
      <c r="CS160" s="29"/>
      <c r="CT160" s="11"/>
      <c r="CU160" s="11"/>
      <c r="CV160" s="11"/>
      <c r="CW160" s="11"/>
      <c r="CX160" s="11"/>
      <c r="CY160" s="11"/>
      <c r="CZ160" s="11"/>
      <c r="DA160" s="28"/>
      <c r="DB160" s="28"/>
      <c r="DC160" s="11"/>
      <c r="DD160" s="29"/>
      <c r="DE160" s="11"/>
      <c r="DF160" s="11"/>
      <c r="DG160" s="11"/>
      <c r="DH160" s="11"/>
      <c r="DI160" s="11"/>
      <c r="DJ160" s="11"/>
      <c r="DK160" s="26"/>
      <c r="DL160" s="11"/>
      <c r="DM160" s="29"/>
      <c r="DN160" s="28"/>
      <c r="DO160" s="11"/>
      <c r="DP160" s="11"/>
      <c r="DQ160" s="11"/>
      <c r="DR160" s="29"/>
      <c r="DS160" s="28"/>
      <c r="DT160" s="11"/>
      <c r="DU160" s="26"/>
      <c r="DV160" s="11"/>
      <c r="DW160" s="29"/>
      <c r="DX160" s="28"/>
      <c r="DY160" s="11"/>
      <c r="DZ160" s="26"/>
      <c r="EA160" s="11"/>
      <c r="EB160" s="29"/>
      <c r="EC160" s="28"/>
      <c r="ED160" s="30"/>
      <c r="EE160" s="30" t="str">
        <f ca="1">IFERROR(__xludf.DUMMYFUNCTION("iferror(index(filter('Internal -- Trademark Countries'!E$2:E1000, (AM160 = 'Internal -- Trademark Countries'!B$2:B1000) + (AM160 = 'Internal -- Trademark Countries'!C$2:C1000) + (AM160 = 'Internal -- Trademark Countries'!D$2:D1000)), 1))"),"")</f>
        <v/>
      </c>
      <c r="EF160" s="30" t="e">
        <f ca="1">_xludf.ifs(AM160="", "", COUNTIF('Internal -- Trademark Countries'!B:B,AM160) &gt; 0, "polity_shortest_name", COUNTIF('Internal -- Trademark Countries'!C:C,AM160) &gt; 0, "polity_full_name", COUNTIF('Internal -- Trademark Countries'!D:D,AM160) &gt; 0, "polity_common_name", COUNTIF('Internal -- Trademark Countries'!E:E,AM160) &gt; 0, "shortest_name", COUNTIF('Internal -- Trademark Countries'!A:A,AM160) &gt; 0, "full_name", TRUE, "not a match")</f>
        <v>#NAME?</v>
      </c>
      <c r="EG160" s="30"/>
      <c r="EH160" s="30"/>
      <c r="EI160" s="30"/>
      <c r="EJ160" s="30"/>
      <c r="EK160" s="30" t="str">
        <f t="shared" si="2"/>
        <v/>
      </c>
    </row>
    <row r="161" spans="1:141" ht="16.5">
      <c r="A161" s="11"/>
      <c r="B161" s="11"/>
      <c r="C161" s="11"/>
      <c r="D161" s="11"/>
      <c r="E161" s="11"/>
      <c r="F161" s="11"/>
      <c r="G161" s="11"/>
      <c r="H161" s="11"/>
      <c r="I161" s="11"/>
      <c r="J161" s="11"/>
      <c r="K161" s="27"/>
      <c r="L161" s="11"/>
      <c r="M161" s="11"/>
      <c r="N161" s="11"/>
      <c r="O161" s="11"/>
      <c r="P161" s="15"/>
      <c r="Q161" s="15"/>
      <c r="R161" s="15"/>
      <c r="S161" s="15"/>
      <c r="T161" s="15"/>
      <c r="U161" s="15"/>
      <c r="V161" s="15"/>
      <c r="W161" s="47"/>
      <c r="X161" s="11"/>
      <c r="Y161" s="48"/>
      <c r="Z161" s="11"/>
      <c r="AA161" s="48"/>
      <c r="AB161" s="11"/>
      <c r="AC161" s="48"/>
      <c r="AD161" s="11"/>
      <c r="AE161" s="47"/>
      <c r="AF161" s="11"/>
      <c r="AG161" s="48"/>
      <c r="AH161" s="11"/>
      <c r="AI161" s="48"/>
      <c r="AJ161" s="11"/>
      <c r="AK161" s="48"/>
      <c r="AL161" s="11"/>
      <c r="AM161" s="49"/>
      <c r="AN161" s="49"/>
      <c r="AO161" s="11"/>
      <c r="AP161" s="11"/>
      <c r="AQ161" s="28" t="b">
        <f>IF(COUNTIF(SmartStatus!A$2:A1000, AM161) &gt; 2, TRUE, FALSE)</f>
        <v>0</v>
      </c>
      <c r="AR161" s="29" t="str">
        <f ca="1">IFERROR(__xludf.DUMMYFUNCTION("iferror(if(regexmatch(AO161, ""(?i)^registered""), if(EE161 &lt;&gt; ""polity_shortest_name"", ""CHECK_POLITY"", index(filter(SmartStatus!B$2:B1000, AM161 = SmartStatus!A$2:A1000, not(SmartStatus!C$2:C1000), (isblank(SmartStatus!D$2:D1000)) + ((P161 &lt;&gt; """") * "&amp;"(P161 &lt; SmartStatus!D$2:D1000)), (isblank(SmartStatus!E$2:E1000)) + ((P161 &lt;&gt; """") * (P161 &gt;= SmartStatus!E$2:E1000)), (isblank(SmartStatus!F$2:F1000)) + (((Q161 &lt;&gt; """") * (Q161 &lt; SmartStatus!F$2:F1000)) + ((P161 &lt;&gt; """") * (date(year(P161) + 3, month(P"&amp;"161), day(P161)) &lt; SmartStatus!F$2:F1000))), (isblank(SmartStatus!G$2:G1000)) + (((Q161 &lt;&gt; """") * (Q161 &gt;= SmartStatus!G$2:G1000)) + ((P161 &lt;&gt; """") * (P161 &gt;= SmartStatus!G$2:G1000)))), if(or(regexmatch(B161, ""(?i)^ir [a-z]+ designation$""), N161 &lt;&gt; """&amp;"""), 1, 2))), """"), ""NO_MATCH"")"),"")</f>
        <v/>
      </c>
      <c r="AS161" s="11"/>
      <c r="AT161" s="15"/>
      <c r="AU161" s="11"/>
      <c r="AV161" s="11"/>
      <c r="AW161" s="15"/>
      <c r="AX161" s="15"/>
      <c r="AY161" s="15"/>
      <c r="AZ161" s="11"/>
      <c r="BA161" s="15"/>
      <c r="BB161" s="11"/>
      <c r="BC161" s="11"/>
      <c r="BD161" s="15"/>
      <c r="BE161" s="11"/>
      <c r="BF161" s="11"/>
      <c r="BG161" s="15"/>
      <c r="BH161" s="15"/>
      <c r="BI161" s="15"/>
      <c r="BJ161" s="11"/>
      <c r="BK161" s="15"/>
      <c r="BL161" s="11"/>
      <c r="BM161" s="11"/>
      <c r="BN161" s="15"/>
      <c r="BO161" s="11"/>
      <c r="BP161" s="11"/>
      <c r="BQ161" s="15"/>
      <c r="BR161" s="15"/>
      <c r="BS161" s="15"/>
      <c r="BT161" s="11"/>
      <c r="BU161" s="15"/>
      <c r="BV161" s="11"/>
      <c r="BW161" s="11"/>
      <c r="BX161" s="15"/>
      <c r="BY161" s="11"/>
      <c r="BZ161" s="11"/>
      <c r="CA161" s="15"/>
      <c r="CB161" s="11"/>
      <c r="CC161" s="15"/>
      <c r="CD161" s="11"/>
      <c r="CE161" s="15"/>
      <c r="CF161" s="11"/>
      <c r="CG161" s="11"/>
      <c r="CH161" s="15"/>
      <c r="CI161" s="11"/>
      <c r="CJ161" s="11"/>
      <c r="CK161" s="15"/>
      <c r="CL161" s="11"/>
      <c r="CM161" s="11"/>
      <c r="CN161" s="11"/>
      <c r="CO161" s="11"/>
      <c r="CP161" s="28"/>
      <c r="CQ161" s="28"/>
      <c r="CR161" s="11"/>
      <c r="CS161" s="29"/>
      <c r="CT161" s="11"/>
      <c r="CU161" s="11"/>
      <c r="CV161" s="11"/>
      <c r="CW161" s="11"/>
      <c r="CX161" s="11"/>
      <c r="CY161" s="11"/>
      <c r="CZ161" s="11"/>
      <c r="DA161" s="28"/>
      <c r="DB161" s="28"/>
      <c r="DC161" s="11"/>
      <c r="DD161" s="29"/>
      <c r="DE161" s="11"/>
      <c r="DF161" s="11"/>
      <c r="DG161" s="11"/>
      <c r="DH161" s="11"/>
      <c r="DI161" s="11"/>
      <c r="DJ161" s="11"/>
      <c r="DK161" s="26"/>
      <c r="DL161" s="11"/>
      <c r="DM161" s="29"/>
      <c r="DN161" s="28"/>
      <c r="DO161" s="11"/>
      <c r="DP161" s="11"/>
      <c r="DQ161" s="11"/>
      <c r="DR161" s="29"/>
      <c r="DS161" s="28"/>
      <c r="DT161" s="11"/>
      <c r="DU161" s="26"/>
      <c r="DV161" s="11"/>
      <c r="DW161" s="29"/>
      <c r="DX161" s="28"/>
      <c r="DY161" s="11"/>
      <c r="DZ161" s="26"/>
      <c r="EA161" s="11"/>
      <c r="EB161" s="29"/>
      <c r="EC161" s="28"/>
      <c r="ED161" s="30"/>
      <c r="EE161" s="30" t="str">
        <f ca="1">IFERROR(__xludf.DUMMYFUNCTION("iferror(index(filter('Internal -- Trademark Countries'!E$2:E1000, (AM161 = 'Internal -- Trademark Countries'!B$2:B1000) + (AM161 = 'Internal -- Trademark Countries'!C$2:C1000) + (AM161 = 'Internal -- Trademark Countries'!D$2:D1000)), 1))"),"")</f>
        <v/>
      </c>
      <c r="EF161" s="30" t="e">
        <f ca="1">_xludf.ifs(AM161="", "", COUNTIF('Internal -- Trademark Countries'!B:B,AM161) &gt; 0, "polity_shortest_name", COUNTIF('Internal -- Trademark Countries'!C:C,AM161) &gt; 0, "polity_full_name", COUNTIF('Internal -- Trademark Countries'!D:D,AM161) &gt; 0, "polity_common_name", COUNTIF('Internal -- Trademark Countries'!E:E,AM161) &gt; 0, "shortest_name", COUNTIF('Internal -- Trademark Countries'!A:A,AM161) &gt; 0, "full_name", TRUE, "not a match")</f>
        <v>#NAME?</v>
      </c>
      <c r="EG161" s="30"/>
      <c r="EH161" s="30"/>
      <c r="EI161" s="30"/>
      <c r="EJ161" s="30"/>
      <c r="EK161" s="30" t="str">
        <f t="shared" si="2"/>
        <v/>
      </c>
    </row>
    <row r="162" spans="1:141" ht="16.5">
      <c r="A162" s="11"/>
      <c r="B162" s="11"/>
      <c r="C162" s="11"/>
      <c r="D162" s="11"/>
      <c r="E162" s="11"/>
      <c r="F162" s="11"/>
      <c r="G162" s="11"/>
      <c r="H162" s="11"/>
      <c r="I162" s="11"/>
      <c r="J162" s="11"/>
      <c r="K162" s="27"/>
      <c r="L162" s="11"/>
      <c r="M162" s="11"/>
      <c r="N162" s="11"/>
      <c r="O162" s="11"/>
      <c r="P162" s="15"/>
      <c r="Q162" s="15"/>
      <c r="R162" s="15"/>
      <c r="S162" s="15"/>
      <c r="T162" s="15"/>
      <c r="U162" s="15"/>
      <c r="V162" s="15"/>
      <c r="W162" s="47"/>
      <c r="X162" s="11"/>
      <c r="Y162" s="48"/>
      <c r="Z162" s="11"/>
      <c r="AA162" s="48"/>
      <c r="AB162" s="11"/>
      <c r="AC162" s="48"/>
      <c r="AD162" s="11"/>
      <c r="AE162" s="47"/>
      <c r="AF162" s="11"/>
      <c r="AG162" s="48"/>
      <c r="AH162" s="11"/>
      <c r="AI162" s="48"/>
      <c r="AJ162" s="11"/>
      <c r="AK162" s="48"/>
      <c r="AL162" s="11"/>
      <c r="AM162" s="49"/>
      <c r="AN162" s="49"/>
      <c r="AO162" s="11"/>
      <c r="AP162" s="11"/>
      <c r="AQ162" s="28" t="b">
        <f>IF(COUNTIF(SmartStatus!A$2:A1000, AM162) &gt; 2, TRUE, FALSE)</f>
        <v>0</v>
      </c>
      <c r="AR162" s="29" t="str">
        <f ca="1">IFERROR(__xludf.DUMMYFUNCTION("iferror(if(regexmatch(AO162, ""(?i)^registered""), if(EE162 &lt;&gt; ""polity_shortest_name"", ""CHECK_POLITY"", index(filter(SmartStatus!B$2:B1000, AM162 = SmartStatus!A$2:A1000, not(SmartStatus!C$2:C1000), (isblank(SmartStatus!D$2:D1000)) + ((P162 &lt;&gt; """") * "&amp;"(P162 &lt; SmartStatus!D$2:D1000)), (isblank(SmartStatus!E$2:E1000)) + ((P162 &lt;&gt; """") * (P162 &gt;= SmartStatus!E$2:E1000)), (isblank(SmartStatus!F$2:F1000)) + (((Q162 &lt;&gt; """") * (Q162 &lt; SmartStatus!F$2:F1000)) + ((P162 &lt;&gt; """") * (date(year(P162) + 3, month(P"&amp;"162), day(P162)) &lt; SmartStatus!F$2:F1000))), (isblank(SmartStatus!G$2:G1000)) + (((Q162 &lt;&gt; """") * (Q162 &gt;= SmartStatus!G$2:G1000)) + ((P162 &lt;&gt; """") * (P162 &gt;= SmartStatus!G$2:G1000)))), if(or(regexmatch(B162, ""(?i)^ir [a-z]+ designation$""), N162 &lt;&gt; """&amp;"""), 1, 2))), """"), ""NO_MATCH"")"),"")</f>
        <v/>
      </c>
      <c r="AS162" s="11"/>
      <c r="AT162" s="15"/>
      <c r="AU162" s="11"/>
      <c r="AV162" s="11"/>
      <c r="AW162" s="15"/>
      <c r="AX162" s="15"/>
      <c r="AY162" s="15"/>
      <c r="AZ162" s="11"/>
      <c r="BA162" s="15"/>
      <c r="BB162" s="11"/>
      <c r="BC162" s="11"/>
      <c r="BD162" s="15"/>
      <c r="BE162" s="11"/>
      <c r="BF162" s="11"/>
      <c r="BG162" s="15"/>
      <c r="BH162" s="15"/>
      <c r="BI162" s="15"/>
      <c r="BJ162" s="11"/>
      <c r="BK162" s="15"/>
      <c r="BL162" s="11"/>
      <c r="BM162" s="11"/>
      <c r="BN162" s="15"/>
      <c r="BO162" s="11"/>
      <c r="BP162" s="11"/>
      <c r="BQ162" s="15"/>
      <c r="BR162" s="15"/>
      <c r="BS162" s="15"/>
      <c r="BT162" s="11"/>
      <c r="BU162" s="15"/>
      <c r="BV162" s="11"/>
      <c r="BW162" s="11"/>
      <c r="BX162" s="15"/>
      <c r="BY162" s="11"/>
      <c r="BZ162" s="11"/>
      <c r="CA162" s="15"/>
      <c r="CB162" s="11"/>
      <c r="CC162" s="15"/>
      <c r="CD162" s="11"/>
      <c r="CE162" s="15"/>
      <c r="CF162" s="11"/>
      <c r="CG162" s="11"/>
      <c r="CH162" s="15"/>
      <c r="CI162" s="11"/>
      <c r="CJ162" s="11"/>
      <c r="CK162" s="15"/>
      <c r="CL162" s="11"/>
      <c r="CM162" s="11"/>
      <c r="CN162" s="11"/>
      <c r="CO162" s="11"/>
      <c r="CP162" s="28"/>
      <c r="CQ162" s="28"/>
      <c r="CR162" s="11"/>
      <c r="CS162" s="29"/>
      <c r="CT162" s="11"/>
      <c r="CU162" s="11"/>
      <c r="CV162" s="11"/>
      <c r="CW162" s="11"/>
      <c r="CX162" s="11"/>
      <c r="CY162" s="11"/>
      <c r="CZ162" s="11"/>
      <c r="DA162" s="28"/>
      <c r="DB162" s="28"/>
      <c r="DC162" s="11"/>
      <c r="DD162" s="29"/>
      <c r="DE162" s="11"/>
      <c r="DF162" s="11"/>
      <c r="DG162" s="11"/>
      <c r="DH162" s="11"/>
      <c r="DI162" s="11"/>
      <c r="DJ162" s="11"/>
      <c r="DK162" s="26"/>
      <c r="DL162" s="11"/>
      <c r="DM162" s="29"/>
      <c r="DN162" s="28"/>
      <c r="DO162" s="11"/>
      <c r="DP162" s="11"/>
      <c r="DQ162" s="11"/>
      <c r="DR162" s="29"/>
      <c r="DS162" s="28"/>
      <c r="DT162" s="11"/>
      <c r="DU162" s="26"/>
      <c r="DV162" s="11"/>
      <c r="DW162" s="29"/>
      <c r="DX162" s="28"/>
      <c r="DY162" s="11"/>
      <c r="DZ162" s="26"/>
      <c r="EA162" s="11"/>
      <c r="EB162" s="29"/>
      <c r="EC162" s="28"/>
      <c r="ED162" s="30"/>
      <c r="EE162" s="30" t="str">
        <f ca="1">IFERROR(__xludf.DUMMYFUNCTION("iferror(index(filter('Internal -- Trademark Countries'!E$2:E1000, (AM162 = 'Internal -- Trademark Countries'!B$2:B1000) + (AM162 = 'Internal -- Trademark Countries'!C$2:C1000) + (AM162 = 'Internal -- Trademark Countries'!D$2:D1000)), 1))"),"")</f>
        <v/>
      </c>
      <c r="EF162" s="30" t="e">
        <f ca="1">_xludf.ifs(AM162="", "", COUNTIF('Internal -- Trademark Countries'!B:B,AM162) &gt; 0, "polity_shortest_name", COUNTIF('Internal -- Trademark Countries'!C:C,AM162) &gt; 0, "polity_full_name", COUNTIF('Internal -- Trademark Countries'!D:D,AM162) &gt; 0, "polity_common_name", COUNTIF('Internal -- Trademark Countries'!E:E,AM162) &gt; 0, "shortest_name", COUNTIF('Internal -- Trademark Countries'!A:A,AM162) &gt; 0, "full_name", TRUE, "not a match")</f>
        <v>#NAME?</v>
      </c>
      <c r="EG162" s="30"/>
      <c r="EH162" s="30"/>
      <c r="EI162" s="30"/>
      <c r="EJ162" s="30"/>
      <c r="EK162" s="30" t="str">
        <f t="shared" si="2"/>
        <v/>
      </c>
    </row>
    <row r="163" spans="1:141" ht="16.5">
      <c r="A163" s="11"/>
      <c r="B163" s="11"/>
      <c r="C163" s="11"/>
      <c r="D163" s="11"/>
      <c r="E163" s="11"/>
      <c r="F163" s="11"/>
      <c r="G163" s="11"/>
      <c r="H163" s="11"/>
      <c r="I163" s="11"/>
      <c r="J163" s="11"/>
      <c r="K163" s="27"/>
      <c r="L163" s="11"/>
      <c r="M163" s="11"/>
      <c r="N163" s="11"/>
      <c r="O163" s="11"/>
      <c r="P163" s="15"/>
      <c r="Q163" s="15"/>
      <c r="R163" s="15"/>
      <c r="S163" s="15"/>
      <c r="T163" s="15"/>
      <c r="U163" s="15"/>
      <c r="V163" s="15"/>
      <c r="W163" s="47"/>
      <c r="X163" s="11"/>
      <c r="Y163" s="48"/>
      <c r="Z163" s="11"/>
      <c r="AA163" s="48"/>
      <c r="AB163" s="11"/>
      <c r="AC163" s="48"/>
      <c r="AD163" s="11"/>
      <c r="AE163" s="47"/>
      <c r="AF163" s="11"/>
      <c r="AG163" s="48"/>
      <c r="AH163" s="11"/>
      <c r="AI163" s="48"/>
      <c r="AJ163" s="11"/>
      <c r="AK163" s="48"/>
      <c r="AL163" s="11"/>
      <c r="AM163" s="49"/>
      <c r="AN163" s="49"/>
      <c r="AO163" s="11"/>
      <c r="AP163" s="11"/>
      <c r="AQ163" s="28" t="b">
        <f>IF(COUNTIF(SmartStatus!A$2:A1000, AM163) &gt; 2, TRUE, FALSE)</f>
        <v>0</v>
      </c>
      <c r="AR163" s="29" t="str">
        <f ca="1">IFERROR(__xludf.DUMMYFUNCTION("iferror(if(regexmatch(AO163, ""(?i)^registered""), if(EE163 &lt;&gt; ""polity_shortest_name"", ""CHECK_POLITY"", index(filter(SmartStatus!B$2:B1000, AM163 = SmartStatus!A$2:A1000, not(SmartStatus!C$2:C1000), (isblank(SmartStatus!D$2:D1000)) + ((P163 &lt;&gt; """") * "&amp;"(P163 &lt; SmartStatus!D$2:D1000)), (isblank(SmartStatus!E$2:E1000)) + ((P163 &lt;&gt; """") * (P163 &gt;= SmartStatus!E$2:E1000)), (isblank(SmartStatus!F$2:F1000)) + (((Q163 &lt;&gt; """") * (Q163 &lt; SmartStatus!F$2:F1000)) + ((P163 &lt;&gt; """") * (date(year(P163) + 3, month(P"&amp;"163), day(P163)) &lt; SmartStatus!F$2:F1000))), (isblank(SmartStatus!G$2:G1000)) + (((Q163 &lt;&gt; """") * (Q163 &gt;= SmartStatus!G$2:G1000)) + ((P163 &lt;&gt; """") * (P163 &gt;= SmartStatus!G$2:G1000)))), if(or(regexmatch(B163, ""(?i)^ir [a-z]+ designation$""), N163 &lt;&gt; """&amp;"""), 1, 2))), """"), ""NO_MATCH"")"),"")</f>
        <v/>
      </c>
      <c r="AS163" s="11"/>
      <c r="AT163" s="15"/>
      <c r="AU163" s="11"/>
      <c r="AV163" s="11"/>
      <c r="AW163" s="15"/>
      <c r="AX163" s="15"/>
      <c r="AY163" s="15"/>
      <c r="AZ163" s="11"/>
      <c r="BA163" s="15"/>
      <c r="BB163" s="11"/>
      <c r="BC163" s="11"/>
      <c r="BD163" s="15"/>
      <c r="BE163" s="11"/>
      <c r="BF163" s="11"/>
      <c r="BG163" s="15"/>
      <c r="BH163" s="15"/>
      <c r="BI163" s="15"/>
      <c r="BJ163" s="11"/>
      <c r="BK163" s="15"/>
      <c r="BL163" s="11"/>
      <c r="BM163" s="11"/>
      <c r="BN163" s="15"/>
      <c r="BO163" s="11"/>
      <c r="BP163" s="11"/>
      <c r="BQ163" s="15"/>
      <c r="BR163" s="15"/>
      <c r="BS163" s="15"/>
      <c r="BT163" s="11"/>
      <c r="BU163" s="15"/>
      <c r="BV163" s="11"/>
      <c r="BW163" s="11"/>
      <c r="BX163" s="15"/>
      <c r="BY163" s="11"/>
      <c r="BZ163" s="11"/>
      <c r="CA163" s="15"/>
      <c r="CB163" s="11"/>
      <c r="CC163" s="15"/>
      <c r="CD163" s="11"/>
      <c r="CE163" s="15"/>
      <c r="CF163" s="11"/>
      <c r="CG163" s="11"/>
      <c r="CH163" s="15"/>
      <c r="CI163" s="11"/>
      <c r="CJ163" s="11"/>
      <c r="CK163" s="15"/>
      <c r="CL163" s="11"/>
      <c r="CM163" s="11"/>
      <c r="CN163" s="11"/>
      <c r="CO163" s="11"/>
      <c r="CP163" s="28"/>
      <c r="CQ163" s="28"/>
      <c r="CR163" s="11"/>
      <c r="CS163" s="29"/>
      <c r="CT163" s="11"/>
      <c r="CU163" s="11"/>
      <c r="CV163" s="11"/>
      <c r="CW163" s="11"/>
      <c r="CX163" s="11"/>
      <c r="CY163" s="11"/>
      <c r="CZ163" s="11"/>
      <c r="DA163" s="28"/>
      <c r="DB163" s="28"/>
      <c r="DC163" s="11"/>
      <c r="DD163" s="29"/>
      <c r="DE163" s="11"/>
      <c r="DF163" s="11"/>
      <c r="DG163" s="11"/>
      <c r="DH163" s="11"/>
      <c r="DI163" s="11"/>
      <c r="DJ163" s="11"/>
      <c r="DK163" s="26"/>
      <c r="DL163" s="11"/>
      <c r="DM163" s="29"/>
      <c r="DN163" s="28"/>
      <c r="DO163" s="11"/>
      <c r="DP163" s="11"/>
      <c r="DQ163" s="11"/>
      <c r="DR163" s="29"/>
      <c r="DS163" s="28"/>
      <c r="DT163" s="11"/>
      <c r="DU163" s="26"/>
      <c r="DV163" s="11"/>
      <c r="DW163" s="29"/>
      <c r="DX163" s="28"/>
      <c r="DY163" s="11"/>
      <c r="DZ163" s="26"/>
      <c r="EA163" s="11"/>
      <c r="EB163" s="29"/>
      <c r="EC163" s="28"/>
      <c r="ED163" s="30"/>
      <c r="EE163" s="30" t="str">
        <f ca="1">IFERROR(__xludf.DUMMYFUNCTION("iferror(index(filter('Internal -- Trademark Countries'!E$2:E1000, (AM163 = 'Internal -- Trademark Countries'!B$2:B1000) + (AM163 = 'Internal -- Trademark Countries'!C$2:C1000) + (AM163 = 'Internal -- Trademark Countries'!D$2:D1000)), 1))"),"")</f>
        <v/>
      </c>
      <c r="EF163" s="30" t="e">
        <f ca="1">_xludf.ifs(AM163="", "", COUNTIF('Internal -- Trademark Countries'!B:B,AM163) &gt; 0, "polity_shortest_name", COUNTIF('Internal -- Trademark Countries'!C:C,AM163) &gt; 0, "polity_full_name", COUNTIF('Internal -- Trademark Countries'!D:D,AM163) &gt; 0, "polity_common_name", COUNTIF('Internal -- Trademark Countries'!E:E,AM163) &gt; 0, "shortest_name", COUNTIF('Internal -- Trademark Countries'!A:A,AM163) &gt; 0, "full_name", TRUE, "not a match")</f>
        <v>#NAME?</v>
      </c>
      <c r="EG163" s="30"/>
      <c r="EH163" s="30"/>
      <c r="EI163" s="30"/>
      <c r="EJ163" s="30"/>
      <c r="EK163" s="30" t="str">
        <f t="shared" si="2"/>
        <v/>
      </c>
    </row>
    <row r="164" spans="1:141" ht="16.5">
      <c r="A164" s="11"/>
      <c r="B164" s="11"/>
      <c r="C164" s="11"/>
      <c r="D164" s="11"/>
      <c r="E164" s="11"/>
      <c r="F164" s="11"/>
      <c r="G164" s="11"/>
      <c r="H164" s="11"/>
      <c r="I164" s="11"/>
      <c r="J164" s="11"/>
      <c r="K164" s="27"/>
      <c r="L164" s="11"/>
      <c r="M164" s="11"/>
      <c r="N164" s="11"/>
      <c r="O164" s="11"/>
      <c r="P164" s="15"/>
      <c r="Q164" s="15"/>
      <c r="R164" s="15"/>
      <c r="S164" s="15"/>
      <c r="T164" s="15"/>
      <c r="U164" s="15"/>
      <c r="V164" s="15"/>
      <c r="W164" s="47"/>
      <c r="X164" s="11"/>
      <c r="Y164" s="48"/>
      <c r="Z164" s="11"/>
      <c r="AA164" s="48"/>
      <c r="AB164" s="11"/>
      <c r="AC164" s="48"/>
      <c r="AD164" s="11"/>
      <c r="AE164" s="47"/>
      <c r="AF164" s="11"/>
      <c r="AG164" s="48"/>
      <c r="AH164" s="11"/>
      <c r="AI164" s="48"/>
      <c r="AJ164" s="11"/>
      <c r="AK164" s="48"/>
      <c r="AL164" s="11"/>
      <c r="AM164" s="49"/>
      <c r="AN164" s="49"/>
      <c r="AO164" s="11"/>
      <c r="AP164" s="11"/>
      <c r="AQ164" s="28" t="b">
        <f>IF(COUNTIF(SmartStatus!A$2:A1000, AM164) &gt; 2, TRUE, FALSE)</f>
        <v>0</v>
      </c>
      <c r="AR164" s="29" t="str">
        <f ca="1">IFERROR(__xludf.DUMMYFUNCTION("iferror(if(regexmatch(AO164, ""(?i)^registered""), if(EE164 &lt;&gt; ""polity_shortest_name"", ""CHECK_POLITY"", index(filter(SmartStatus!B$2:B1000, AM164 = SmartStatus!A$2:A1000, not(SmartStatus!C$2:C1000), (isblank(SmartStatus!D$2:D1000)) + ((P164 &lt;&gt; """") * "&amp;"(P164 &lt; SmartStatus!D$2:D1000)), (isblank(SmartStatus!E$2:E1000)) + ((P164 &lt;&gt; """") * (P164 &gt;= SmartStatus!E$2:E1000)), (isblank(SmartStatus!F$2:F1000)) + (((Q164 &lt;&gt; """") * (Q164 &lt; SmartStatus!F$2:F1000)) + ((P164 &lt;&gt; """") * (date(year(P164) + 3, month(P"&amp;"164), day(P164)) &lt; SmartStatus!F$2:F1000))), (isblank(SmartStatus!G$2:G1000)) + (((Q164 &lt;&gt; """") * (Q164 &gt;= SmartStatus!G$2:G1000)) + ((P164 &lt;&gt; """") * (P164 &gt;= SmartStatus!G$2:G1000)))), if(or(regexmatch(B164, ""(?i)^ir [a-z]+ designation$""), N164 &lt;&gt; """&amp;"""), 1, 2))), """"), ""NO_MATCH"")"),"")</f>
        <v/>
      </c>
      <c r="AS164" s="11"/>
      <c r="AT164" s="15"/>
      <c r="AU164" s="11"/>
      <c r="AV164" s="11"/>
      <c r="AW164" s="15"/>
      <c r="AX164" s="15"/>
      <c r="AY164" s="15"/>
      <c r="AZ164" s="11"/>
      <c r="BA164" s="15"/>
      <c r="BB164" s="11"/>
      <c r="BC164" s="11"/>
      <c r="BD164" s="15"/>
      <c r="BE164" s="11"/>
      <c r="BF164" s="11"/>
      <c r="BG164" s="15"/>
      <c r="BH164" s="15"/>
      <c r="BI164" s="15"/>
      <c r="BJ164" s="11"/>
      <c r="BK164" s="15"/>
      <c r="BL164" s="11"/>
      <c r="BM164" s="11"/>
      <c r="BN164" s="15"/>
      <c r="BO164" s="11"/>
      <c r="BP164" s="11"/>
      <c r="BQ164" s="15"/>
      <c r="BR164" s="15"/>
      <c r="BS164" s="15"/>
      <c r="BT164" s="11"/>
      <c r="BU164" s="15"/>
      <c r="BV164" s="11"/>
      <c r="BW164" s="11"/>
      <c r="BX164" s="15"/>
      <c r="BY164" s="11"/>
      <c r="BZ164" s="11"/>
      <c r="CA164" s="15"/>
      <c r="CB164" s="11"/>
      <c r="CC164" s="15"/>
      <c r="CD164" s="11"/>
      <c r="CE164" s="15"/>
      <c r="CF164" s="11"/>
      <c r="CG164" s="11"/>
      <c r="CH164" s="15"/>
      <c r="CI164" s="11"/>
      <c r="CJ164" s="11"/>
      <c r="CK164" s="15"/>
      <c r="CL164" s="11"/>
      <c r="CM164" s="11"/>
      <c r="CN164" s="11"/>
      <c r="CO164" s="11"/>
      <c r="CP164" s="28"/>
      <c r="CQ164" s="28"/>
      <c r="CR164" s="11"/>
      <c r="CS164" s="29"/>
      <c r="CT164" s="11"/>
      <c r="CU164" s="11"/>
      <c r="CV164" s="11"/>
      <c r="CW164" s="11"/>
      <c r="CX164" s="11"/>
      <c r="CY164" s="11"/>
      <c r="CZ164" s="11"/>
      <c r="DA164" s="28"/>
      <c r="DB164" s="28"/>
      <c r="DC164" s="11"/>
      <c r="DD164" s="29"/>
      <c r="DE164" s="11"/>
      <c r="DF164" s="11"/>
      <c r="DG164" s="11"/>
      <c r="DH164" s="11"/>
      <c r="DI164" s="11"/>
      <c r="DJ164" s="11"/>
      <c r="DK164" s="26"/>
      <c r="DL164" s="11"/>
      <c r="DM164" s="29"/>
      <c r="DN164" s="28"/>
      <c r="DO164" s="11"/>
      <c r="DP164" s="11"/>
      <c r="DQ164" s="11"/>
      <c r="DR164" s="29"/>
      <c r="DS164" s="28"/>
      <c r="DT164" s="11"/>
      <c r="DU164" s="26"/>
      <c r="DV164" s="11"/>
      <c r="DW164" s="29"/>
      <c r="DX164" s="28"/>
      <c r="DY164" s="11"/>
      <c r="DZ164" s="26"/>
      <c r="EA164" s="11"/>
      <c r="EB164" s="29"/>
      <c r="EC164" s="28"/>
      <c r="ED164" s="30"/>
      <c r="EE164" s="30" t="str">
        <f ca="1">IFERROR(__xludf.DUMMYFUNCTION("iferror(index(filter('Internal -- Trademark Countries'!E$2:E1000, (AM164 = 'Internal -- Trademark Countries'!B$2:B1000) + (AM164 = 'Internal -- Trademark Countries'!C$2:C1000) + (AM164 = 'Internal -- Trademark Countries'!D$2:D1000)), 1))"),"")</f>
        <v/>
      </c>
      <c r="EF164" s="30" t="e">
        <f ca="1">_xludf.ifs(AM164="", "", COUNTIF('Internal -- Trademark Countries'!B:B,AM164) &gt; 0, "polity_shortest_name", COUNTIF('Internal -- Trademark Countries'!C:C,AM164) &gt; 0, "polity_full_name", COUNTIF('Internal -- Trademark Countries'!D:D,AM164) &gt; 0, "polity_common_name", COUNTIF('Internal -- Trademark Countries'!E:E,AM164) &gt; 0, "shortest_name", COUNTIF('Internal -- Trademark Countries'!A:A,AM164) &gt; 0, "full_name", TRUE, "not a match")</f>
        <v>#NAME?</v>
      </c>
      <c r="EG164" s="30"/>
      <c r="EH164" s="30"/>
      <c r="EI164" s="30"/>
      <c r="EJ164" s="30"/>
      <c r="EK164" s="30" t="str">
        <f t="shared" si="2"/>
        <v/>
      </c>
    </row>
    <row r="165" spans="1:141" ht="16.5">
      <c r="A165" s="11"/>
      <c r="B165" s="11"/>
      <c r="C165" s="11"/>
      <c r="D165" s="11"/>
      <c r="E165" s="11"/>
      <c r="F165" s="11"/>
      <c r="G165" s="11"/>
      <c r="H165" s="11"/>
      <c r="I165" s="11"/>
      <c r="J165" s="11"/>
      <c r="K165" s="27"/>
      <c r="L165" s="11"/>
      <c r="M165" s="11"/>
      <c r="N165" s="11"/>
      <c r="O165" s="11"/>
      <c r="P165" s="15"/>
      <c r="Q165" s="15"/>
      <c r="R165" s="15"/>
      <c r="S165" s="15"/>
      <c r="T165" s="15"/>
      <c r="U165" s="15"/>
      <c r="V165" s="15"/>
      <c r="W165" s="47"/>
      <c r="X165" s="11"/>
      <c r="Y165" s="48"/>
      <c r="Z165" s="11"/>
      <c r="AA165" s="48"/>
      <c r="AB165" s="11"/>
      <c r="AC165" s="48"/>
      <c r="AD165" s="11"/>
      <c r="AE165" s="47"/>
      <c r="AF165" s="11"/>
      <c r="AG165" s="48"/>
      <c r="AH165" s="11"/>
      <c r="AI165" s="48"/>
      <c r="AJ165" s="11"/>
      <c r="AK165" s="48"/>
      <c r="AL165" s="11"/>
      <c r="AM165" s="49"/>
      <c r="AN165" s="49"/>
      <c r="AO165" s="11"/>
      <c r="AP165" s="11"/>
      <c r="AQ165" s="28" t="b">
        <f>IF(COUNTIF(SmartStatus!A$2:A1000, AM165) &gt; 2, TRUE, FALSE)</f>
        <v>0</v>
      </c>
      <c r="AR165" s="29" t="str">
        <f ca="1">IFERROR(__xludf.DUMMYFUNCTION("iferror(if(regexmatch(AO165, ""(?i)^registered""), if(EE165 &lt;&gt; ""polity_shortest_name"", ""CHECK_POLITY"", index(filter(SmartStatus!B$2:B1000, AM165 = SmartStatus!A$2:A1000, not(SmartStatus!C$2:C1000), (isblank(SmartStatus!D$2:D1000)) + ((P165 &lt;&gt; """") * "&amp;"(P165 &lt; SmartStatus!D$2:D1000)), (isblank(SmartStatus!E$2:E1000)) + ((P165 &lt;&gt; """") * (P165 &gt;= SmartStatus!E$2:E1000)), (isblank(SmartStatus!F$2:F1000)) + (((Q165 &lt;&gt; """") * (Q165 &lt; SmartStatus!F$2:F1000)) + ((P165 &lt;&gt; """") * (date(year(P165) + 3, month(P"&amp;"165), day(P165)) &lt; SmartStatus!F$2:F1000))), (isblank(SmartStatus!G$2:G1000)) + (((Q165 &lt;&gt; """") * (Q165 &gt;= SmartStatus!G$2:G1000)) + ((P165 &lt;&gt; """") * (P165 &gt;= SmartStatus!G$2:G1000)))), if(or(regexmatch(B165, ""(?i)^ir [a-z]+ designation$""), N165 &lt;&gt; """&amp;"""), 1, 2))), """"), ""NO_MATCH"")"),"")</f>
        <v/>
      </c>
      <c r="AS165" s="11"/>
      <c r="AT165" s="15"/>
      <c r="AU165" s="11"/>
      <c r="AV165" s="11"/>
      <c r="AW165" s="15"/>
      <c r="AX165" s="15"/>
      <c r="AY165" s="15"/>
      <c r="AZ165" s="11"/>
      <c r="BA165" s="15"/>
      <c r="BB165" s="11"/>
      <c r="BC165" s="11"/>
      <c r="BD165" s="15"/>
      <c r="BE165" s="11"/>
      <c r="BF165" s="11"/>
      <c r="BG165" s="15"/>
      <c r="BH165" s="15"/>
      <c r="BI165" s="15"/>
      <c r="BJ165" s="11"/>
      <c r="BK165" s="15"/>
      <c r="BL165" s="11"/>
      <c r="BM165" s="11"/>
      <c r="BN165" s="15"/>
      <c r="BO165" s="11"/>
      <c r="BP165" s="11"/>
      <c r="BQ165" s="15"/>
      <c r="BR165" s="15"/>
      <c r="BS165" s="15"/>
      <c r="BT165" s="11"/>
      <c r="BU165" s="15"/>
      <c r="BV165" s="11"/>
      <c r="BW165" s="11"/>
      <c r="BX165" s="15"/>
      <c r="BY165" s="11"/>
      <c r="BZ165" s="11"/>
      <c r="CA165" s="15"/>
      <c r="CB165" s="11"/>
      <c r="CC165" s="15"/>
      <c r="CD165" s="11"/>
      <c r="CE165" s="15"/>
      <c r="CF165" s="11"/>
      <c r="CG165" s="11"/>
      <c r="CH165" s="15"/>
      <c r="CI165" s="11"/>
      <c r="CJ165" s="11"/>
      <c r="CK165" s="15"/>
      <c r="CL165" s="11"/>
      <c r="CM165" s="11"/>
      <c r="CN165" s="11"/>
      <c r="CO165" s="11"/>
      <c r="CP165" s="28"/>
      <c r="CQ165" s="28"/>
      <c r="CR165" s="11"/>
      <c r="CS165" s="29"/>
      <c r="CT165" s="11"/>
      <c r="CU165" s="11"/>
      <c r="CV165" s="11"/>
      <c r="CW165" s="11"/>
      <c r="CX165" s="11"/>
      <c r="CY165" s="11"/>
      <c r="CZ165" s="11"/>
      <c r="DA165" s="28"/>
      <c r="DB165" s="28"/>
      <c r="DC165" s="11"/>
      <c r="DD165" s="29"/>
      <c r="DE165" s="11"/>
      <c r="DF165" s="11"/>
      <c r="DG165" s="11"/>
      <c r="DH165" s="11"/>
      <c r="DI165" s="11"/>
      <c r="DJ165" s="11"/>
      <c r="DK165" s="26"/>
      <c r="DL165" s="11"/>
      <c r="DM165" s="29"/>
      <c r="DN165" s="28"/>
      <c r="DO165" s="11"/>
      <c r="DP165" s="11"/>
      <c r="DQ165" s="11"/>
      <c r="DR165" s="29"/>
      <c r="DS165" s="28"/>
      <c r="DT165" s="11"/>
      <c r="DU165" s="26"/>
      <c r="DV165" s="11"/>
      <c r="DW165" s="29"/>
      <c r="DX165" s="28"/>
      <c r="DY165" s="11"/>
      <c r="DZ165" s="26"/>
      <c r="EA165" s="11"/>
      <c r="EB165" s="29"/>
      <c r="EC165" s="28"/>
      <c r="ED165" s="30"/>
      <c r="EE165" s="30" t="str">
        <f ca="1">IFERROR(__xludf.DUMMYFUNCTION("iferror(index(filter('Internal -- Trademark Countries'!E$2:E1000, (AM165 = 'Internal -- Trademark Countries'!B$2:B1000) + (AM165 = 'Internal -- Trademark Countries'!C$2:C1000) + (AM165 = 'Internal -- Trademark Countries'!D$2:D1000)), 1))"),"")</f>
        <v/>
      </c>
      <c r="EF165" s="30" t="e">
        <f ca="1">_xludf.ifs(AM165="", "", COUNTIF('Internal -- Trademark Countries'!B:B,AM165) &gt; 0, "polity_shortest_name", COUNTIF('Internal -- Trademark Countries'!C:C,AM165) &gt; 0, "polity_full_name", COUNTIF('Internal -- Trademark Countries'!D:D,AM165) &gt; 0, "polity_common_name", COUNTIF('Internal -- Trademark Countries'!E:E,AM165) &gt; 0, "shortest_name", COUNTIF('Internal -- Trademark Countries'!A:A,AM165) &gt; 0, "full_name", TRUE, "not a match")</f>
        <v>#NAME?</v>
      </c>
      <c r="EG165" s="30"/>
      <c r="EH165" s="30"/>
      <c r="EI165" s="30"/>
      <c r="EJ165" s="30"/>
      <c r="EK165" s="30" t="str">
        <f t="shared" si="2"/>
        <v/>
      </c>
    </row>
    <row r="166" spans="1:141" ht="16.5">
      <c r="A166" s="11"/>
      <c r="B166" s="11"/>
      <c r="C166" s="11"/>
      <c r="D166" s="11"/>
      <c r="E166" s="11"/>
      <c r="F166" s="11"/>
      <c r="G166" s="11"/>
      <c r="H166" s="11"/>
      <c r="I166" s="11"/>
      <c r="J166" s="11"/>
      <c r="K166" s="27"/>
      <c r="L166" s="11"/>
      <c r="M166" s="11"/>
      <c r="N166" s="11"/>
      <c r="O166" s="11"/>
      <c r="P166" s="15"/>
      <c r="Q166" s="15"/>
      <c r="R166" s="15"/>
      <c r="S166" s="15"/>
      <c r="T166" s="15"/>
      <c r="U166" s="15"/>
      <c r="V166" s="15"/>
      <c r="W166" s="47"/>
      <c r="X166" s="11"/>
      <c r="Y166" s="48"/>
      <c r="Z166" s="11"/>
      <c r="AA166" s="48"/>
      <c r="AB166" s="11"/>
      <c r="AC166" s="48"/>
      <c r="AD166" s="11"/>
      <c r="AE166" s="47"/>
      <c r="AF166" s="11"/>
      <c r="AG166" s="48"/>
      <c r="AH166" s="11"/>
      <c r="AI166" s="48"/>
      <c r="AJ166" s="11"/>
      <c r="AK166" s="48"/>
      <c r="AL166" s="11"/>
      <c r="AM166" s="49"/>
      <c r="AN166" s="49"/>
      <c r="AO166" s="11"/>
      <c r="AP166" s="11"/>
      <c r="AQ166" s="28" t="b">
        <f>IF(COUNTIF(SmartStatus!A$2:A1000, AM166) &gt; 2, TRUE, FALSE)</f>
        <v>0</v>
      </c>
      <c r="AR166" s="29" t="str">
        <f ca="1">IFERROR(__xludf.DUMMYFUNCTION("iferror(if(regexmatch(AO166, ""(?i)^registered""), if(EE166 &lt;&gt; ""polity_shortest_name"", ""CHECK_POLITY"", index(filter(SmartStatus!B$2:B1000, AM166 = SmartStatus!A$2:A1000, not(SmartStatus!C$2:C1000), (isblank(SmartStatus!D$2:D1000)) + ((P166 &lt;&gt; """") * "&amp;"(P166 &lt; SmartStatus!D$2:D1000)), (isblank(SmartStatus!E$2:E1000)) + ((P166 &lt;&gt; """") * (P166 &gt;= SmartStatus!E$2:E1000)), (isblank(SmartStatus!F$2:F1000)) + (((Q166 &lt;&gt; """") * (Q166 &lt; SmartStatus!F$2:F1000)) + ((P166 &lt;&gt; """") * (date(year(P166) + 3, month(P"&amp;"166), day(P166)) &lt; SmartStatus!F$2:F1000))), (isblank(SmartStatus!G$2:G1000)) + (((Q166 &lt;&gt; """") * (Q166 &gt;= SmartStatus!G$2:G1000)) + ((P166 &lt;&gt; """") * (P166 &gt;= SmartStatus!G$2:G1000)))), if(or(regexmatch(B166, ""(?i)^ir [a-z]+ designation$""), N166 &lt;&gt; """&amp;"""), 1, 2))), """"), ""NO_MATCH"")"),"")</f>
        <v/>
      </c>
      <c r="AS166" s="11"/>
      <c r="AT166" s="15"/>
      <c r="AU166" s="11"/>
      <c r="AV166" s="11"/>
      <c r="AW166" s="15"/>
      <c r="AX166" s="15"/>
      <c r="AY166" s="15"/>
      <c r="AZ166" s="11"/>
      <c r="BA166" s="15"/>
      <c r="BB166" s="11"/>
      <c r="BC166" s="11"/>
      <c r="BD166" s="15"/>
      <c r="BE166" s="11"/>
      <c r="BF166" s="11"/>
      <c r="BG166" s="15"/>
      <c r="BH166" s="15"/>
      <c r="BI166" s="15"/>
      <c r="BJ166" s="11"/>
      <c r="BK166" s="15"/>
      <c r="BL166" s="11"/>
      <c r="BM166" s="11"/>
      <c r="BN166" s="15"/>
      <c r="BO166" s="11"/>
      <c r="BP166" s="11"/>
      <c r="BQ166" s="15"/>
      <c r="BR166" s="15"/>
      <c r="BS166" s="15"/>
      <c r="BT166" s="11"/>
      <c r="BU166" s="15"/>
      <c r="BV166" s="11"/>
      <c r="BW166" s="11"/>
      <c r="BX166" s="15"/>
      <c r="BY166" s="11"/>
      <c r="BZ166" s="11"/>
      <c r="CA166" s="15"/>
      <c r="CB166" s="11"/>
      <c r="CC166" s="15"/>
      <c r="CD166" s="11"/>
      <c r="CE166" s="15"/>
      <c r="CF166" s="11"/>
      <c r="CG166" s="11"/>
      <c r="CH166" s="15"/>
      <c r="CI166" s="11"/>
      <c r="CJ166" s="11"/>
      <c r="CK166" s="15"/>
      <c r="CL166" s="11"/>
      <c r="CM166" s="11"/>
      <c r="CN166" s="11"/>
      <c r="CO166" s="11"/>
      <c r="CP166" s="28"/>
      <c r="CQ166" s="28"/>
      <c r="CR166" s="11"/>
      <c r="CS166" s="29"/>
      <c r="CT166" s="11"/>
      <c r="CU166" s="11"/>
      <c r="CV166" s="11"/>
      <c r="CW166" s="11"/>
      <c r="CX166" s="11"/>
      <c r="CY166" s="11"/>
      <c r="CZ166" s="11"/>
      <c r="DA166" s="28"/>
      <c r="DB166" s="28"/>
      <c r="DC166" s="11"/>
      <c r="DD166" s="29"/>
      <c r="DE166" s="11"/>
      <c r="DF166" s="11"/>
      <c r="DG166" s="11"/>
      <c r="DH166" s="11"/>
      <c r="DI166" s="11"/>
      <c r="DJ166" s="11"/>
      <c r="DK166" s="26"/>
      <c r="DL166" s="11"/>
      <c r="DM166" s="29"/>
      <c r="DN166" s="28"/>
      <c r="DO166" s="11"/>
      <c r="DP166" s="11"/>
      <c r="DQ166" s="11"/>
      <c r="DR166" s="29"/>
      <c r="DS166" s="28"/>
      <c r="DT166" s="11"/>
      <c r="DU166" s="26"/>
      <c r="DV166" s="11"/>
      <c r="DW166" s="29"/>
      <c r="DX166" s="28"/>
      <c r="DY166" s="11"/>
      <c r="DZ166" s="26"/>
      <c r="EA166" s="11"/>
      <c r="EB166" s="29"/>
      <c r="EC166" s="28"/>
      <c r="ED166" s="30"/>
      <c r="EE166" s="30" t="str">
        <f ca="1">IFERROR(__xludf.DUMMYFUNCTION("iferror(index(filter('Internal -- Trademark Countries'!E$2:E1000, (AM166 = 'Internal -- Trademark Countries'!B$2:B1000) + (AM166 = 'Internal -- Trademark Countries'!C$2:C1000) + (AM166 = 'Internal -- Trademark Countries'!D$2:D1000)), 1))"),"")</f>
        <v/>
      </c>
      <c r="EF166" s="30" t="e">
        <f ca="1">_xludf.ifs(AM166="", "", COUNTIF('Internal -- Trademark Countries'!B:B,AM166) &gt; 0, "polity_shortest_name", COUNTIF('Internal -- Trademark Countries'!C:C,AM166) &gt; 0, "polity_full_name", COUNTIF('Internal -- Trademark Countries'!D:D,AM166) &gt; 0, "polity_common_name", COUNTIF('Internal -- Trademark Countries'!E:E,AM166) &gt; 0, "shortest_name", COUNTIF('Internal -- Trademark Countries'!A:A,AM166) &gt; 0, "full_name", TRUE, "not a match")</f>
        <v>#NAME?</v>
      </c>
      <c r="EG166" s="30"/>
      <c r="EH166" s="30"/>
      <c r="EI166" s="30"/>
      <c r="EJ166" s="30"/>
      <c r="EK166" s="30" t="str">
        <f t="shared" si="2"/>
        <v/>
      </c>
    </row>
    <row r="167" spans="1:141" ht="16.5">
      <c r="A167" s="11"/>
      <c r="B167" s="11"/>
      <c r="C167" s="11"/>
      <c r="D167" s="11"/>
      <c r="E167" s="11"/>
      <c r="F167" s="11"/>
      <c r="G167" s="11"/>
      <c r="H167" s="11"/>
      <c r="I167" s="11"/>
      <c r="J167" s="11"/>
      <c r="K167" s="27"/>
      <c r="L167" s="11"/>
      <c r="M167" s="11"/>
      <c r="N167" s="11"/>
      <c r="O167" s="11"/>
      <c r="P167" s="15"/>
      <c r="Q167" s="15"/>
      <c r="R167" s="15"/>
      <c r="S167" s="15"/>
      <c r="T167" s="15"/>
      <c r="U167" s="15"/>
      <c r="V167" s="15"/>
      <c r="W167" s="47"/>
      <c r="X167" s="11"/>
      <c r="Y167" s="48"/>
      <c r="Z167" s="11"/>
      <c r="AA167" s="48"/>
      <c r="AB167" s="11"/>
      <c r="AC167" s="48"/>
      <c r="AD167" s="11"/>
      <c r="AE167" s="47"/>
      <c r="AF167" s="11"/>
      <c r="AG167" s="48"/>
      <c r="AH167" s="11"/>
      <c r="AI167" s="48"/>
      <c r="AJ167" s="11"/>
      <c r="AK167" s="48"/>
      <c r="AL167" s="11"/>
      <c r="AM167" s="49"/>
      <c r="AN167" s="49"/>
      <c r="AO167" s="11"/>
      <c r="AP167" s="11"/>
      <c r="AQ167" s="28" t="b">
        <f>IF(COUNTIF(SmartStatus!A$2:A1000, AM167) &gt; 2, TRUE, FALSE)</f>
        <v>0</v>
      </c>
      <c r="AR167" s="29" t="str">
        <f ca="1">IFERROR(__xludf.DUMMYFUNCTION("iferror(if(regexmatch(AO167, ""(?i)^registered""), if(EE167 &lt;&gt; ""polity_shortest_name"", ""CHECK_POLITY"", index(filter(SmartStatus!B$2:B1000, AM167 = SmartStatus!A$2:A1000, not(SmartStatus!C$2:C1000), (isblank(SmartStatus!D$2:D1000)) + ((P167 &lt;&gt; """") * "&amp;"(P167 &lt; SmartStatus!D$2:D1000)), (isblank(SmartStatus!E$2:E1000)) + ((P167 &lt;&gt; """") * (P167 &gt;= SmartStatus!E$2:E1000)), (isblank(SmartStatus!F$2:F1000)) + (((Q167 &lt;&gt; """") * (Q167 &lt; SmartStatus!F$2:F1000)) + ((P167 &lt;&gt; """") * (date(year(P167) + 3, month(P"&amp;"167), day(P167)) &lt; SmartStatus!F$2:F1000))), (isblank(SmartStatus!G$2:G1000)) + (((Q167 &lt;&gt; """") * (Q167 &gt;= SmartStatus!G$2:G1000)) + ((P167 &lt;&gt; """") * (P167 &gt;= SmartStatus!G$2:G1000)))), if(or(regexmatch(B167, ""(?i)^ir [a-z]+ designation$""), N167 &lt;&gt; """&amp;"""), 1, 2))), """"), ""NO_MATCH"")"),"")</f>
        <v/>
      </c>
      <c r="AS167" s="11"/>
      <c r="AT167" s="15"/>
      <c r="AU167" s="11"/>
      <c r="AV167" s="11"/>
      <c r="AW167" s="15"/>
      <c r="AX167" s="15"/>
      <c r="AY167" s="15"/>
      <c r="AZ167" s="11"/>
      <c r="BA167" s="15"/>
      <c r="BB167" s="11"/>
      <c r="BC167" s="11"/>
      <c r="BD167" s="15"/>
      <c r="BE167" s="11"/>
      <c r="BF167" s="11"/>
      <c r="BG167" s="15"/>
      <c r="BH167" s="15"/>
      <c r="BI167" s="15"/>
      <c r="BJ167" s="11"/>
      <c r="BK167" s="15"/>
      <c r="BL167" s="11"/>
      <c r="BM167" s="11"/>
      <c r="BN167" s="15"/>
      <c r="BO167" s="11"/>
      <c r="BP167" s="11"/>
      <c r="BQ167" s="15"/>
      <c r="BR167" s="15"/>
      <c r="BS167" s="15"/>
      <c r="BT167" s="11"/>
      <c r="BU167" s="15"/>
      <c r="BV167" s="11"/>
      <c r="BW167" s="11"/>
      <c r="BX167" s="15"/>
      <c r="BY167" s="11"/>
      <c r="BZ167" s="11"/>
      <c r="CA167" s="15"/>
      <c r="CB167" s="11"/>
      <c r="CC167" s="15"/>
      <c r="CD167" s="11"/>
      <c r="CE167" s="15"/>
      <c r="CF167" s="11"/>
      <c r="CG167" s="11"/>
      <c r="CH167" s="15"/>
      <c r="CI167" s="11"/>
      <c r="CJ167" s="11"/>
      <c r="CK167" s="15"/>
      <c r="CL167" s="11"/>
      <c r="CM167" s="11"/>
      <c r="CN167" s="11"/>
      <c r="CO167" s="11"/>
      <c r="CP167" s="28"/>
      <c r="CQ167" s="28"/>
      <c r="CR167" s="11"/>
      <c r="CS167" s="29"/>
      <c r="CT167" s="11"/>
      <c r="CU167" s="11"/>
      <c r="CV167" s="11"/>
      <c r="CW167" s="11"/>
      <c r="CX167" s="11"/>
      <c r="CY167" s="11"/>
      <c r="CZ167" s="11"/>
      <c r="DA167" s="28"/>
      <c r="DB167" s="28"/>
      <c r="DC167" s="11"/>
      <c r="DD167" s="29"/>
      <c r="DE167" s="11"/>
      <c r="DF167" s="11"/>
      <c r="DG167" s="11"/>
      <c r="DH167" s="11"/>
      <c r="DI167" s="11"/>
      <c r="DJ167" s="11"/>
      <c r="DK167" s="26"/>
      <c r="DL167" s="11"/>
      <c r="DM167" s="29"/>
      <c r="DN167" s="28"/>
      <c r="DO167" s="11"/>
      <c r="DP167" s="11"/>
      <c r="DQ167" s="11"/>
      <c r="DR167" s="29"/>
      <c r="DS167" s="28"/>
      <c r="DT167" s="11"/>
      <c r="DU167" s="26"/>
      <c r="DV167" s="11"/>
      <c r="DW167" s="29"/>
      <c r="DX167" s="28"/>
      <c r="DY167" s="11"/>
      <c r="DZ167" s="26"/>
      <c r="EA167" s="11"/>
      <c r="EB167" s="29"/>
      <c r="EC167" s="28"/>
      <c r="ED167" s="30"/>
      <c r="EE167" s="30" t="str">
        <f ca="1">IFERROR(__xludf.DUMMYFUNCTION("iferror(index(filter('Internal -- Trademark Countries'!E$2:E1000, (AM167 = 'Internal -- Trademark Countries'!B$2:B1000) + (AM167 = 'Internal -- Trademark Countries'!C$2:C1000) + (AM167 = 'Internal -- Trademark Countries'!D$2:D1000)), 1))"),"")</f>
        <v/>
      </c>
      <c r="EF167" s="30" t="e">
        <f ca="1">_xludf.ifs(AM167="", "", COUNTIF('Internal -- Trademark Countries'!B:B,AM167) &gt; 0, "polity_shortest_name", COUNTIF('Internal -- Trademark Countries'!C:C,AM167) &gt; 0, "polity_full_name", COUNTIF('Internal -- Trademark Countries'!D:D,AM167) &gt; 0, "polity_common_name", COUNTIF('Internal -- Trademark Countries'!E:E,AM167) &gt; 0, "shortest_name", COUNTIF('Internal -- Trademark Countries'!A:A,AM167) &gt; 0, "full_name", TRUE, "not a match")</f>
        <v>#NAME?</v>
      </c>
      <c r="EG167" s="30"/>
      <c r="EH167" s="30"/>
      <c r="EI167" s="30"/>
      <c r="EJ167" s="30"/>
      <c r="EK167" s="30" t="str">
        <f t="shared" si="2"/>
        <v/>
      </c>
    </row>
    <row r="168" spans="1:141" ht="16.5">
      <c r="A168" s="11"/>
      <c r="B168" s="11"/>
      <c r="C168" s="11"/>
      <c r="D168" s="11"/>
      <c r="E168" s="11"/>
      <c r="F168" s="11"/>
      <c r="G168" s="11"/>
      <c r="H168" s="11"/>
      <c r="I168" s="11"/>
      <c r="J168" s="11"/>
      <c r="K168" s="27"/>
      <c r="L168" s="11"/>
      <c r="M168" s="11"/>
      <c r="N168" s="11"/>
      <c r="O168" s="11"/>
      <c r="P168" s="15"/>
      <c r="Q168" s="15"/>
      <c r="R168" s="15"/>
      <c r="S168" s="15"/>
      <c r="T168" s="15"/>
      <c r="U168" s="15"/>
      <c r="V168" s="15"/>
      <c r="W168" s="47"/>
      <c r="X168" s="11"/>
      <c r="Y168" s="48"/>
      <c r="Z168" s="11"/>
      <c r="AA168" s="48"/>
      <c r="AB168" s="11"/>
      <c r="AC168" s="48"/>
      <c r="AD168" s="11"/>
      <c r="AE168" s="47"/>
      <c r="AF168" s="11"/>
      <c r="AG168" s="48"/>
      <c r="AH168" s="11"/>
      <c r="AI168" s="48"/>
      <c r="AJ168" s="11"/>
      <c r="AK168" s="48"/>
      <c r="AL168" s="11"/>
      <c r="AM168" s="49"/>
      <c r="AN168" s="49"/>
      <c r="AO168" s="11"/>
      <c r="AP168" s="11"/>
      <c r="AQ168" s="28" t="b">
        <f>IF(COUNTIF(SmartStatus!A$2:A1000, AM168) &gt; 2, TRUE, FALSE)</f>
        <v>0</v>
      </c>
      <c r="AR168" s="29" t="str">
        <f ca="1">IFERROR(__xludf.DUMMYFUNCTION("iferror(if(regexmatch(AO168, ""(?i)^registered""), if(EE168 &lt;&gt; ""polity_shortest_name"", ""CHECK_POLITY"", index(filter(SmartStatus!B$2:B1000, AM168 = SmartStatus!A$2:A1000, not(SmartStatus!C$2:C1000), (isblank(SmartStatus!D$2:D1000)) + ((P168 &lt;&gt; """") * "&amp;"(P168 &lt; SmartStatus!D$2:D1000)), (isblank(SmartStatus!E$2:E1000)) + ((P168 &lt;&gt; """") * (P168 &gt;= SmartStatus!E$2:E1000)), (isblank(SmartStatus!F$2:F1000)) + (((Q168 &lt;&gt; """") * (Q168 &lt; SmartStatus!F$2:F1000)) + ((P168 &lt;&gt; """") * (date(year(P168) + 3, month(P"&amp;"168), day(P168)) &lt; SmartStatus!F$2:F1000))), (isblank(SmartStatus!G$2:G1000)) + (((Q168 &lt;&gt; """") * (Q168 &gt;= SmartStatus!G$2:G1000)) + ((P168 &lt;&gt; """") * (P168 &gt;= SmartStatus!G$2:G1000)))), if(or(regexmatch(B168, ""(?i)^ir [a-z]+ designation$""), N168 &lt;&gt; """&amp;"""), 1, 2))), """"), ""NO_MATCH"")"),"")</f>
        <v/>
      </c>
      <c r="AS168" s="11"/>
      <c r="AT168" s="15"/>
      <c r="AU168" s="11"/>
      <c r="AV168" s="11"/>
      <c r="AW168" s="15"/>
      <c r="AX168" s="15"/>
      <c r="AY168" s="15"/>
      <c r="AZ168" s="11"/>
      <c r="BA168" s="15"/>
      <c r="BB168" s="11"/>
      <c r="BC168" s="11"/>
      <c r="BD168" s="15"/>
      <c r="BE168" s="11"/>
      <c r="BF168" s="11"/>
      <c r="BG168" s="15"/>
      <c r="BH168" s="15"/>
      <c r="BI168" s="15"/>
      <c r="BJ168" s="11"/>
      <c r="BK168" s="15"/>
      <c r="BL168" s="11"/>
      <c r="BM168" s="11"/>
      <c r="BN168" s="15"/>
      <c r="BO168" s="11"/>
      <c r="BP168" s="11"/>
      <c r="BQ168" s="15"/>
      <c r="BR168" s="15"/>
      <c r="BS168" s="15"/>
      <c r="BT168" s="11"/>
      <c r="BU168" s="15"/>
      <c r="BV168" s="11"/>
      <c r="BW168" s="11"/>
      <c r="BX168" s="15"/>
      <c r="BY168" s="11"/>
      <c r="BZ168" s="11"/>
      <c r="CA168" s="15"/>
      <c r="CB168" s="11"/>
      <c r="CC168" s="15"/>
      <c r="CD168" s="11"/>
      <c r="CE168" s="15"/>
      <c r="CF168" s="11"/>
      <c r="CG168" s="11"/>
      <c r="CH168" s="15"/>
      <c r="CI168" s="11"/>
      <c r="CJ168" s="11"/>
      <c r="CK168" s="15"/>
      <c r="CL168" s="11"/>
      <c r="CM168" s="11"/>
      <c r="CN168" s="11"/>
      <c r="CO168" s="11"/>
      <c r="CP168" s="28"/>
      <c r="CQ168" s="28"/>
      <c r="CR168" s="11"/>
      <c r="CS168" s="29"/>
      <c r="CT168" s="11"/>
      <c r="CU168" s="11"/>
      <c r="CV168" s="11"/>
      <c r="CW168" s="11"/>
      <c r="CX168" s="11"/>
      <c r="CY168" s="11"/>
      <c r="CZ168" s="11"/>
      <c r="DA168" s="28"/>
      <c r="DB168" s="28"/>
      <c r="DC168" s="11"/>
      <c r="DD168" s="29"/>
      <c r="DE168" s="11"/>
      <c r="DF168" s="11"/>
      <c r="DG168" s="11"/>
      <c r="DH168" s="11"/>
      <c r="DI168" s="11"/>
      <c r="DJ168" s="11"/>
      <c r="DK168" s="26"/>
      <c r="DL168" s="11"/>
      <c r="DM168" s="29"/>
      <c r="DN168" s="28"/>
      <c r="DO168" s="11"/>
      <c r="DP168" s="11"/>
      <c r="DQ168" s="11"/>
      <c r="DR168" s="29"/>
      <c r="DS168" s="28"/>
      <c r="DT168" s="11"/>
      <c r="DU168" s="26"/>
      <c r="DV168" s="11"/>
      <c r="DW168" s="29"/>
      <c r="DX168" s="28"/>
      <c r="DY168" s="11"/>
      <c r="DZ168" s="26"/>
      <c r="EA168" s="11"/>
      <c r="EB168" s="29"/>
      <c r="EC168" s="28"/>
      <c r="ED168" s="30"/>
      <c r="EE168" s="30" t="str">
        <f ca="1">IFERROR(__xludf.DUMMYFUNCTION("iferror(index(filter('Internal -- Trademark Countries'!E$2:E1000, (AM168 = 'Internal -- Trademark Countries'!B$2:B1000) + (AM168 = 'Internal -- Trademark Countries'!C$2:C1000) + (AM168 = 'Internal -- Trademark Countries'!D$2:D1000)), 1))"),"")</f>
        <v/>
      </c>
      <c r="EF168" s="30" t="e">
        <f ca="1">_xludf.ifs(AM168="", "", COUNTIF('Internal -- Trademark Countries'!B:B,AM168) &gt; 0, "polity_shortest_name", COUNTIF('Internal -- Trademark Countries'!C:C,AM168) &gt; 0, "polity_full_name", COUNTIF('Internal -- Trademark Countries'!D:D,AM168) &gt; 0, "polity_common_name", COUNTIF('Internal -- Trademark Countries'!E:E,AM168) &gt; 0, "shortest_name", COUNTIF('Internal -- Trademark Countries'!A:A,AM168) &gt; 0, "full_name", TRUE, "not a match")</f>
        <v>#NAME?</v>
      </c>
      <c r="EG168" s="30"/>
      <c r="EH168" s="30"/>
      <c r="EI168" s="30"/>
      <c r="EJ168" s="30"/>
      <c r="EK168" s="30" t="str">
        <f t="shared" si="2"/>
        <v/>
      </c>
    </row>
    <row r="169" spans="1:141" ht="16.5">
      <c r="A169" s="11"/>
      <c r="B169" s="11"/>
      <c r="C169" s="11"/>
      <c r="D169" s="11"/>
      <c r="E169" s="11"/>
      <c r="F169" s="11"/>
      <c r="G169" s="11"/>
      <c r="H169" s="11"/>
      <c r="I169" s="11"/>
      <c r="J169" s="11"/>
      <c r="K169" s="27"/>
      <c r="L169" s="11"/>
      <c r="M169" s="11"/>
      <c r="N169" s="11"/>
      <c r="O169" s="11"/>
      <c r="P169" s="15"/>
      <c r="Q169" s="15"/>
      <c r="R169" s="15"/>
      <c r="S169" s="15"/>
      <c r="T169" s="15"/>
      <c r="U169" s="15"/>
      <c r="V169" s="15"/>
      <c r="W169" s="47"/>
      <c r="X169" s="11"/>
      <c r="Y169" s="48"/>
      <c r="Z169" s="11"/>
      <c r="AA169" s="48"/>
      <c r="AB169" s="11"/>
      <c r="AC169" s="48"/>
      <c r="AD169" s="11"/>
      <c r="AE169" s="47"/>
      <c r="AF169" s="11"/>
      <c r="AG169" s="48"/>
      <c r="AH169" s="11"/>
      <c r="AI169" s="48"/>
      <c r="AJ169" s="11"/>
      <c r="AK169" s="48"/>
      <c r="AL169" s="11"/>
      <c r="AM169" s="49"/>
      <c r="AN169" s="49"/>
      <c r="AO169" s="11"/>
      <c r="AP169" s="11"/>
      <c r="AQ169" s="28" t="b">
        <f>IF(COUNTIF(SmartStatus!A$2:A1000, AM169) &gt; 2, TRUE, FALSE)</f>
        <v>0</v>
      </c>
      <c r="AR169" s="29" t="str">
        <f ca="1">IFERROR(__xludf.DUMMYFUNCTION("iferror(if(regexmatch(AO169, ""(?i)^registered""), if(EE169 &lt;&gt; ""polity_shortest_name"", ""CHECK_POLITY"", index(filter(SmartStatus!B$2:B1000, AM169 = SmartStatus!A$2:A1000, not(SmartStatus!C$2:C1000), (isblank(SmartStatus!D$2:D1000)) + ((P169 &lt;&gt; """") * "&amp;"(P169 &lt; SmartStatus!D$2:D1000)), (isblank(SmartStatus!E$2:E1000)) + ((P169 &lt;&gt; """") * (P169 &gt;= SmartStatus!E$2:E1000)), (isblank(SmartStatus!F$2:F1000)) + (((Q169 &lt;&gt; """") * (Q169 &lt; SmartStatus!F$2:F1000)) + ((P169 &lt;&gt; """") * (date(year(P169) + 3, month(P"&amp;"169), day(P169)) &lt; SmartStatus!F$2:F1000))), (isblank(SmartStatus!G$2:G1000)) + (((Q169 &lt;&gt; """") * (Q169 &gt;= SmartStatus!G$2:G1000)) + ((P169 &lt;&gt; """") * (P169 &gt;= SmartStatus!G$2:G1000)))), if(or(regexmatch(B169, ""(?i)^ir [a-z]+ designation$""), N169 &lt;&gt; """&amp;"""), 1, 2))), """"), ""NO_MATCH"")"),"")</f>
        <v/>
      </c>
      <c r="AS169" s="11"/>
      <c r="AT169" s="15"/>
      <c r="AU169" s="11"/>
      <c r="AV169" s="11"/>
      <c r="AW169" s="15"/>
      <c r="AX169" s="15"/>
      <c r="AY169" s="15"/>
      <c r="AZ169" s="11"/>
      <c r="BA169" s="15"/>
      <c r="BB169" s="11"/>
      <c r="BC169" s="11"/>
      <c r="BD169" s="15"/>
      <c r="BE169" s="11"/>
      <c r="BF169" s="11"/>
      <c r="BG169" s="15"/>
      <c r="BH169" s="15"/>
      <c r="BI169" s="15"/>
      <c r="BJ169" s="11"/>
      <c r="BK169" s="15"/>
      <c r="BL169" s="11"/>
      <c r="BM169" s="11"/>
      <c r="BN169" s="15"/>
      <c r="BO169" s="11"/>
      <c r="BP169" s="11"/>
      <c r="BQ169" s="15"/>
      <c r="BR169" s="15"/>
      <c r="BS169" s="15"/>
      <c r="BT169" s="11"/>
      <c r="BU169" s="15"/>
      <c r="BV169" s="11"/>
      <c r="BW169" s="11"/>
      <c r="BX169" s="15"/>
      <c r="BY169" s="11"/>
      <c r="BZ169" s="11"/>
      <c r="CA169" s="15"/>
      <c r="CB169" s="11"/>
      <c r="CC169" s="15"/>
      <c r="CD169" s="11"/>
      <c r="CE169" s="15"/>
      <c r="CF169" s="11"/>
      <c r="CG169" s="11"/>
      <c r="CH169" s="15"/>
      <c r="CI169" s="11"/>
      <c r="CJ169" s="11"/>
      <c r="CK169" s="15"/>
      <c r="CL169" s="11"/>
      <c r="CM169" s="11"/>
      <c r="CN169" s="11"/>
      <c r="CO169" s="11"/>
      <c r="CP169" s="28"/>
      <c r="CQ169" s="28"/>
      <c r="CR169" s="11"/>
      <c r="CS169" s="29"/>
      <c r="CT169" s="11"/>
      <c r="CU169" s="11"/>
      <c r="CV169" s="11"/>
      <c r="CW169" s="11"/>
      <c r="CX169" s="11"/>
      <c r="CY169" s="11"/>
      <c r="CZ169" s="11"/>
      <c r="DA169" s="28"/>
      <c r="DB169" s="28"/>
      <c r="DC169" s="11"/>
      <c r="DD169" s="29"/>
      <c r="DE169" s="11"/>
      <c r="DF169" s="11"/>
      <c r="DG169" s="11"/>
      <c r="DH169" s="11"/>
      <c r="DI169" s="11"/>
      <c r="DJ169" s="11"/>
      <c r="DK169" s="26"/>
      <c r="DL169" s="11"/>
      <c r="DM169" s="29"/>
      <c r="DN169" s="28"/>
      <c r="DO169" s="11"/>
      <c r="DP169" s="11"/>
      <c r="DQ169" s="11"/>
      <c r="DR169" s="29"/>
      <c r="DS169" s="28"/>
      <c r="DT169" s="11"/>
      <c r="DU169" s="26"/>
      <c r="DV169" s="11"/>
      <c r="DW169" s="29"/>
      <c r="DX169" s="28"/>
      <c r="DY169" s="11"/>
      <c r="DZ169" s="26"/>
      <c r="EA169" s="11"/>
      <c r="EB169" s="29"/>
      <c r="EC169" s="28"/>
      <c r="ED169" s="30"/>
      <c r="EE169" s="30" t="str">
        <f ca="1">IFERROR(__xludf.DUMMYFUNCTION("iferror(index(filter('Internal -- Trademark Countries'!E$2:E1000, (AM169 = 'Internal -- Trademark Countries'!B$2:B1000) + (AM169 = 'Internal -- Trademark Countries'!C$2:C1000) + (AM169 = 'Internal -- Trademark Countries'!D$2:D1000)), 1))"),"")</f>
        <v/>
      </c>
      <c r="EF169" s="30" t="e">
        <f ca="1">_xludf.ifs(AM169="", "", COUNTIF('Internal -- Trademark Countries'!B:B,AM169) &gt; 0, "polity_shortest_name", COUNTIF('Internal -- Trademark Countries'!C:C,AM169) &gt; 0, "polity_full_name", COUNTIF('Internal -- Trademark Countries'!D:D,AM169) &gt; 0, "polity_common_name", COUNTIF('Internal -- Trademark Countries'!E:E,AM169) &gt; 0, "shortest_name", COUNTIF('Internal -- Trademark Countries'!A:A,AM169) &gt; 0, "full_name", TRUE, "not a match")</f>
        <v>#NAME?</v>
      </c>
      <c r="EG169" s="30"/>
      <c r="EH169" s="30"/>
      <c r="EI169" s="30"/>
      <c r="EJ169" s="30"/>
      <c r="EK169" s="30" t="str">
        <f t="shared" si="2"/>
        <v/>
      </c>
    </row>
    <row r="170" spans="1:141" ht="16.5">
      <c r="A170" s="11"/>
      <c r="B170" s="11"/>
      <c r="C170" s="11"/>
      <c r="D170" s="11"/>
      <c r="E170" s="11"/>
      <c r="F170" s="11"/>
      <c r="G170" s="11"/>
      <c r="H170" s="11"/>
      <c r="I170" s="11"/>
      <c r="J170" s="11"/>
      <c r="K170" s="27"/>
      <c r="L170" s="11"/>
      <c r="M170" s="11"/>
      <c r="N170" s="11"/>
      <c r="O170" s="11"/>
      <c r="P170" s="15"/>
      <c r="Q170" s="15"/>
      <c r="R170" s="15"/>
      <c r="S170" s="15"/>
      <c r="T170" s="15"/>
      <c r="U170" s="15"/>
      <c r="V170" s="15"/>
      <c r="W170" s="47"/>
      <c r="X170" s="11"/>
      <c r="Y170" s="48"/>
      <c r="Z170" s="11"/>
      <c r="AA170" s="48"/>
      <c r="AB170" s="11"/>
      <c r="AC170" s="48"/>
      <c r="AD170" s="11"/>
      <c r="AE170" s="47"/>
      <c r="AF170" s="11"/>
      <c r="AG170" s="48"/>
      <c r="AH170" s="11"/>
      <c r="AI170" s="48"/>
      <c r="AJ170" s="11"/>
      <c r="AK170" s="48"/>
      <c r="AL170" s="11"/>
      <c r="AM170" s="49"/>
      <c r="AN170" s="49"/>
      <c r="AO170" s="11"/>
      <c r="AP170" s="11"/>
      <c r="AQ170" s="28" t="b">
        <f>IF(COUNTIF(SmartStatus!A$2:A1000, AM170) &gt; 2, TRUE, FALSE)</f>
        <v>0</v>
      </c>
      <c r="AR170" s="29" t="str">
        <f ca="1">IFERROR(__xludf.DUMMYFUNCTION("iferror(if(regexmatch(AO170, ""(?i)^registered""), if(EE170 &lt;&gt; ""polity_shortest_name"", ""CHECK_POLITY"", index(filter(SmartStatus!B$2:B1000, AM170 = SmartStatus!A$2:A1000, not(SmartStatus!C$2:C1000), (isblank(SmartStatus!D$2:D1000)) + ((P170 &lt;&gt; """") * "&amp;"(P170 &lt; SmartStatus!D$2:D1000)), (isblank(SmartStatus!E$2:E1000)) + ((P170 &lt;&gt; """") * (P170 &gt;= SmartStatus!E$2:E1000)), (isblank(SmartStatus!F$2:F1000)) + (((Q170 &lt;&gt; """") * (Q170 &lt; SmartStatus!F$2:F1000)) + ((P170 &lt;&gt; """") * (date(year(P170) + 3, month(P"&amp;"170), day(P170)) &lt; SmartStatus!F$2:F1000))), (isblank(SmartStatus!G$2:G1000)) + (((Q170 &lt;&gt; """") * (Q170 &gt;= SmartStatus!G$2:G1000)) + ((P170 &lt;&gt; """") * (P170 &gt;= SmartStatus!G$2:G1000)))), if(or(regexmatch(B170, ""(?i)^ir [a-z]+ designation$""), N170 &lt;&gt; """&amp;"""), 1, 2))), """"), ""NO_MATCH"")"),"")</f>
        <v/>
      </c>
      <c r="AS170" s="11"/>
      <c r="AT170" s="15"/>
      <c r="AU170" s="11"/>
      <c r="AV170" s="11"/>
      <c r="AW170" s="15"/>
      <c r="AX170" s="15"/>
      <c r="AY170" s="15"/>
      <c r="AZ170" s="11"/>
      <c r="BA170" s="15"/>
      <c r="BB170" s="11"/>
      <c r="BC170" s="11"/>
      <c r="BD170" s="15"/>
      <c r="BE170" s="11"/>
      <c r="BF170" s="11"/>
      <c r="BG170" s="15"/>
      <c r="BH170" s="15"/>
      <c r="BI170" s="15"/>
      <c r="BJ170" s="11"/>
      <c r="BK170" s="15"/>
      <c r="BL170" s="11"/>
      <c r="BM170" s="11"/>
      <c r="BN170" s="15"/>
      <c r="BO170" s="11"/>
      <c r="BP170" s="11"/>
      <c r="BQ170" s="15"/>
      <c r="BR170" s="15"/>
      <c r="BS170" s="15"/>
      <c r="BT170" s="11"/>
      <c r="BU170" s="15"/>
      <c r="BV170" s="11"/>
      <c r="BW170" s="11"/>
      <c r="BX170" s="15"/>
      <c r="BY170" s="11"/>
      <c r="BZ170" s="11"/>
      <c r="CA170" s="15"/>
      <c r="CB170" s="11"/>
      <c r="CC170" s="15"/>
      <c r="CD170" s="11"/>
      <c r="CE170" s="15"/>
      <c r="CF170" s="11"/>
      <c r="CG170" s="11"/>
      <c r="CH170" s="15"/>
      <c r="CI170" s="11"/>
      <c r="CJ170" s="11"/>
      <c r="CK170" s="15"/>
      <c r="CL170" s="11"/>
      <c r="CM170" s="11"/>
      <c r="CN170" s="11"/>
      <c r="CO170" s="11"/>
      <c r="CP170" s="28"/>
      <c r="CQ170" s="28"/>
      <c r="CR170" s="11"/>
      <c r="CS170" s="29"/>
      <c r="CT170" s="11"/>
      <c r="CU170" s="11"/>
      <c r="CV170" s="11"/>
      <c r="CW170" s="11"/>
      <c r="CX170" s="11"/>
      <c r="CY170" s="11"/>
      <c r="CZ170" s="11"/>
      <c r="DA170" s="28"/>
      <c r="DB170" s="28"/>
      <c r="DC170" s="11"/>
      <c r="DD170" s="29"/>
      <c r="DE170" s="11"/>
      <c r="DF170" s="11"/>
      <c r="DG170" s="11"/>
      <c r="DH170" s="11"/>
      <c r="DI170" s="11"/>
      <c r="DJ170" s="11"/>
      <c r="DK170" s="26"/>
      <c r="DL170" s="11"/>
      <c r="DM170" s="29"/>
      <c r="DN170" s="28"/>
      <c r="DO170" s="11"/>
      <c r="DP170" s="11"/>
      <c r="DQ170" s="11"/>
      <c r="DR170" s="29"/>
      <c r="DS170" s="28"/>
      <c r="DT170" s="11"/>
      <c r="DU170" s="26"/>
      <c r="DV170" s="11"/>
      <c r="DW170" s="29"/>
      <c r="DX170" s="28"/>
      <c r="DY170" s="11"/>
      <c r="DZ170" s="26"/>
      <c r="EA170" s="11"/>
      <c r="EB170" s="29"/>
      <c r="EC170" s="28"/>
      <c r="ED170" s="30"/>
      <c r="EE170" s="30" t="str">
        <f ca="1">IFERROR(__xludf.DUMMYFUNCTION("iferror(index(filter('Internal -- Trademark Countries'!E$2:E1000, (AM170 = 'Internal -- Trademark Countries'!B$2:B1000) + (AM170 = 'Internal -- Trademark Countries'!C$2:C1000) + (AM170 = 'Internal -- Trademark Countries'!D$2:D1000)), 1))"),"")</f>
        <v/>
      </c>
      <c r="EF170" s="30" t="e">
        <f ca="1">_xludf.ifs(AM170="", "", COUNTIF('Internal -- Trademark Countries'!B:B,AM170) &gt; 0, "polity_shortest_name", COUNTIF('Internal -- Trademark Countries'!C:C,AM170) &gt; 0, "polity_full_name", COUNTIF('Internal -- Trademark Countries'!D:D,AM170) &gt; 0, "polity_common_name", COUNTIF('Internal -- Trademark Countries'!E:E,AM170) &gt; 0, "shortest_name", COUNTIF('Internal -- Trademark Countries'!A:A,AM170) &gt; 0, "full_name", TRUE, "not a match")</f>
        <v>#NAME?</v>
      </c>
      <c r="EG170" s="30"/>
      <c r="EH170" s="30"/>
      <c r="EI170" s="30"/>
      <c r="EJ170" s="30"/>
      <c r="EK170" s="30" t="str">
        <f t="shared" si="2"/>
        <v/>
      </c>
    </row>
    <row r="171" spans="1:141" ht="16.5">
      <c r="A171" s="11"/>
      <c r="B171" s="11"/>
      <c r="C171" s="11"/>
      <c r="D171" s="11"/>
      <c r="E171" s="11"/>
      <c r="F171" s="11"/>
      <c r="G171" s="11"/>
      <c r="H171" s="11"/>
      <c r="I171" s="11"/>
      <c r="J171" s="11"/>
      <c r="K171" s="27"/>
      <c r="L171" s="11"/>
      <c r="M171" s="11"/>
      <c r="N171" s="11"/>
      <c r="O171" s="11"/>
      <c r="P171" s="15"/>
      <c r="Q171" s="15"/>
      <c r="R171" s="15"/>
      <c r="S171" s="15"/>
      <c r="T171" s="15"/>
      <c r="U171" s="15"/>
      <c r="V171" s="15"/>
      <c r="W171" s="47"/>
      <c r="X171" s="11"/>
      <c r="Y171" s="48"/>
      <c r="Z171" s="11"/>
      <c r="AA171" s="48"/>
      <c r="AB171" s="11"/>
      <c r="AC171" s="48"/>
      <c r="AD171" s="11"/>
      <c r="AE171" s="47"/>
      <c r="AF171" s="11"/>
      <c r="AG171" s="48"/>
      <c r="AH171" s="11"/>
      <c r="AI171" s="48"/>
      <c r="AJ171" s="11"/>
      <c r="AK171" s="48"/>
      <c r="AL171" s="11"/>
      <c r="AM171" s="49"/>
      <c r="AN171" s="49"/>
      <c r="AO171" s="11"/>
      <c r="AP171" s="11"/>
      <c r="AQ171" s="28" t="b">
        <f>IF(COUNTIF(SmartStatus!A$2:A1000, AM171) &gt; 2, TRUE, FALSE)</f>
        <v>0</v>
      </c>
      <c r="AR171" s="29" t="str">
        <f ca="1">IFERROR(__xludf.DUMMYFUNCTION("iferror(if(regexmatch(AO171, ""(?i)^registered""), if(EE171 &lt;&gt; ""polity_shortest_name"", ""CHECK_POLITY"", index(filter(SmartStatus!B$2:B1000, AM171 = SmartStatus!A$2:A1000, not(SmartStatus!C$2:C1000), (isblank(SmartStatus!D$2:D1000)) + ((P171 &lt;&gt; """") * "&amp;"(P171 &lt; SmartStatus!D$2:D1000)), (isblank(SmartStatus!E$2:E1000)) + ((P171 &lt;&gt; """") * (P171 &gt;= SmartStatus!E$2:E1000)), (isblank(SmartStatus!F$2:F1000)) + (((Q171 &lt;&gt; """") * (Q171 &lt; SmartStatus!F$2:F1000)) + ((P171 &lt;&gt; """") * (date(year(P171) + 3, month(P"&amp;"171), day(P171)) &lt; SmartStatus!F$2:F1000))), (isblank(SmartStatus!G$2:G1000)) + (((Q171 &lt;&gt; """") * (Q171 &gt;= SmartStatus!G$2:G1000)) + ((P171 &lt;&gt; """") * (P171 &gt;= SmartStatus!G$2:G1000)))), if(or(regexmatch(B171, ""(?i)^ir [a-z]+ designation$""), N171 &lt;&gt; """&amp;"""), 1, 2))), """"), ""NO_MATCH"")"),"")</f>
        <v/>
      </c>
      <c r="AS171" s="11"/>
      <c r="AT171" s="15"/>
      <c r="AU171" s="11"/>
      <c r="AV171" s="11"/>
      <c r="AW171" s="15"/>
      <c r="AX171" s="15"/>
      <c r="AY171" s="15"/>
      <c r="AZ171" s="11"/>
      <c r="BA171" s="15"/>
      <c r="BB171" s="11"/>
      <c r="BC171" s="11"/>
      <c r="BD171" s="15"/>
      <c r="BE171" s="11"/>
      <c r="BF171" s="11"/>
      <c r="BG171" s="15"/>
      <c r="BH171" s="15"/>
      <c r="BI171" s="15"/>
      <c r="BJ171" s="11"/>
      <c r="BK171" s="15"/>
      <c r="BL171" s="11"/>
      <c r="BM171" s="11"/>
      <c r="BN171" s="15"/>
      <c r="BO171" s="11"/>
      <c r="BP171" s="11"/>
      <c r="BQ171" s="15"/>
      <c r="BR171" s="15"/>
      <c r="BS171" s="15"/>
      <c r="BT171" s="11"/>
      <c r="BU171" s="15"/>
      <c r="BV171" s="11"/>
      <c r="BW171" s="11"/>
      <c r="BX171" s="15"/>
      <c r="BY171" s="11"/>
      <c r="BZ171" s="11"/>
      <c r="CA171" s="15"/>
      <c r="CB171" s="11"/>
      <c r="CC171" s="15"/>
      <c r="CD171" s="11"/>
      <c r="CE171" s="15"/>
      <c r="CF171" s="11"/>
      <c r="CG171" s="11"/>
      <c r="CH171" s="15"/>
      <c r="CI171" s="11"/>
      <c r="CJ171" s="11"/>
      <c r="CK171" s="15"/>
      <c r="CL171" s="11"/>
      <c r="CM171" s="11"/>
      <c r="CN171" s="11"/>
      <c r="CO171" s="11"/>
      <c r="CP171" s="28"/>
      <c r="CQ171" s="28"/>
      <c r="CR171" s="11"/>
      <c r="CS171" s="29"/>
      <c r="CT171" s="11"/>
      <c r="CU171" s="11"/>
      <c r="CV171" s="11"/>
      <c r="CW171" s="11"/>
      <c r="CX171" s="11"/>
      <c r="CY171" s="11"/>
      <c r="CZ171" s="11"/>
      <c r="DA171" s="28"/>
      <c r="DB171" s="28"/>
      <c r="DC171" s="11"/>
      <c r="DD171" s="29"/>
      <c r="DE171" s="11"/>
      <c r="DF171" s="11"/>
      <c r="DG171" s="11"/>
      <c r="DH171" s="11"/>
      <c r="DI171" s="11"/>
      <c r="DJ171" s="11"/>
      <c r="DK171" s="26"/>
      <c r="DL171" s="11"/>
      <c r="DM171" s="29"/>
      <c r="DN171" s="28"/>
      <c r="DO171" s="11"/>
      <c r="DP171" s="11"/>
      <c r="DQ171" s="11"/>
      <c r="DR171" s="29"/>
      <c r="DS171" s="28"/>
      <c r="DT171" s="11"/>
      <c r="DU171" s="26"/>
      <c r="DV171" s="11"/>
      <c r="DW171" s="29"/>
      <c r="DX171" s="28"/>
      <c r="DY171" s="11"/>
      <c r="DZ171" s="26"/>
      <c r="EA171" s="11"/>
      <c r="EB171" s="29"/>
      <c r="EC171" s="28"/>
      <c r="ED171" s="30"/>
      <c r="EE171" s="30" t="str">
        <f ca="1">IFERROR(__xludf.DUMMYFUNCTION("iferror(index(filter('Internal -- Trademark Countries'!E$2:E1000, (AM171 = 'Internal -- Trademark Countries'!B$2:B1000) + (AM171 = 'Internal -- Trademark Countries'!C$2:C1000) + (AM171 = 'Internal -- Trademark Countries'!D$2:D1000)), 1))"),"")</f>
        <v/>
      </c>
      <c r="EF171" s="30" t="e">
        <f ca="1">_xludf.ifs(AM171="", "", COUNTIF('Internal -- Trademark Countries'!B:B,AM171) &gt; 0, "polity_shortest_name", COUNTIF('Internal -- Trademark Countries'!C:C,AM171) &gt; 0, "polity_full_name", COUNTIF('Internal -- Trademark Countries'!D:D,AM171) &gt; 0, "polity_common_name", COUNTIF('Internal -- Trademark Countries'!E:E,AM171) &gt; 0, "shortest_name", COUNTIF('Internal -- Trademark Countries'!A:A,AM171) &gt; 0, "full_name", TRUE, "not a match")</f>
        <v>#NAME?</v>
      </c>
      <c r="EG171" s="30"/>
      <c r="EH171" s="30"/>
      <c r="EI171" s="30"/>
      <c r="EJ171" s="30"/>
      <c r="EK171" s="30" t="str">
        <f t="shared" si="2"/>
        <v/>
      </c>
    </row>
    <row r="172" spans="1:141" ht="16.5">
      <c r="A172" s="11"/>
      <c r="B172" s="11"/>
      <c r="C172" s="11"/>
      <c r="D172" s="11"/>
      <c r="E172" s="11"/>
      <c r="F172" s="11"/>
      <c r="G172" s="11"/>
      <c r="H172" s="11"/>
      <c r="I172" s="11"/>
      <c r="J172" s="11"/>
      <c r="K172" s="27"/>
      <c r="L172" s="11"/>
      <c r="M172" s="11"/>
      <c r="N172" s="11"/>
      <c r="O172" s="11"/>
      <c r="P172" s="15"/>
      <c r="Q172" s="15"/>
      <c r="R172" s="15"/>
      <c r="S172" s="15"/>
      <c r="T172" s="15"/>
      <c r="U172" s="15"/>
      <c r="V172" s="15"/>
      <c r="W172" s="47"/>
      <c r="X172" s="11"/>
      <c r="Y172" s="48"/>
      <c r="Z172" s="11"/>
      <c r="AA172" s="48"/>
      <c r="AB172" s="11"/>
      <c r="AC172" s="48"/>
      <c r="AD172" s="11"/>
      <c r="AE172" s="47"/>
      <c r="AF172" s="11"/>
      <c r="AG172" s="48"/>
      <c r="AH172" s="11"/>
      <c r="AI172" s="48"/>
      <c r="AJ172" s="11"/>
      <c r="AK172" s="48"/>
      <c r="AL172" s="11"/>
      <c r="AM172" s="49"/>
      <c r="AN172" s="49"/>
      <c r="AO172" s="11"/>
      <c r="AP172" s="11"/>
      <c r="AQ172" s="28" t="b">
        <f>IF(COUNTIF(SmartStatus!A$2:A1000, AM172) &gt; 2, TRUE, FALSE)</f>
        <v>0</v>
      </c>
      <c r="AR172" s="29" t="str">
        <f ca="1">IFERROR(__xludf.DUMMYFUNCTION("iferror(if(regexmatch(AO172, ""(?i)^registered""), if(EE172 &lt;&gt; ""polity_shortest_name"", ""CHECK_POLITY"", index(filter(SmartStatus!B$2:B1000, AM172 = SmartStatus!A$2:A1000, not(SmartStatus!C$2:C1000), (isblank(SmartStatus!D$2:D1000)) + ((P172 &lt;&gt; """") * "&amp;"(P172 &lt; SmartStatus!D$2:D1000)), (isblank(SmartStatus!E$2:E1000)) + ((P172 &lt;&gt; """") * (P172 &gt;= SmartStatus!E$2:E1000)), (isblank(SmartStatus!F$2:F1000)) + (((Q172 &lt;&gt; """") * (Q172 &lt; SmartStatus!F$2:F1000)) + ((P172 &lt;&gt; """") * (date(year(P172) + 3, month(P"&amp;"172), day(P172)) &lt; SmartStatus!F$2:F1000))), (isblank(SmartStatus!G$2:G1000)) + (((Q172 &lt;&gt; """") * (Q172 &gt;= SmartStatus!G$2:G1000)) + ((P172 &lt;&gt; """") * (P172 &gt;= SmartStatus!G$2:G1000)))), if(or(regexmatch(B172, ""(?i)^ir [a-z]+ designation$""), N172 &lt;&gt; """&amp;"""), 1, 2))), """"), ""NO_MATCH"")"),"")</f>
        <v/>
      </c>
      <c r="AS172" s="11"/>
      <c r="AT172" s="15"/>
      <c r="AU172" s="11"/>
      <c r="AV172" s="11"/>
      <c r="AW172" s="15"/>
      <c r="AX172" s="15"/>
      <c r="AY172" s="15"/>
      <c r="AZ172" s="11"/>
      <c r="BA172" s="15"/>
      <c r="BB172" s="11"/>
      <c r="BC172" s="11"/>
      <c r="BD172" s="15"/>
      <c r="BE172" s="11"/>
      <c r="BF172" s="11"/>
      <c r="BG172" s="15"/>
      <c r="BH172" s="15"/>
      <c r="BI172" s="15"/>
      <c r="BJ172" s="11"/>
      <c r="BK172" s="15"/>
      <c r="BL172" s="11"/>
      <c r="BM172" s="11"/>
      <c r="BN172" s="15"/>
      <c r="BO172" s="11"/>
      <c r="BP172" s="11"/>
      <c r="BQ172" s="15"/>
      <c r="BR172" s="15"/>
      <c r="BS172" s="15"/>
      <c r="BT172" s="11"/>
      <c r="BU172" s="15"/>
      <c r="BV172" s="11"/>
      <c r="BW172" s="11"/>
      <c r="BX172" s="15"/>
      <c r="BY172" s="11"/>
      <c r="BZ172" s="11"/>
      <c r="CA172" s="15"/>
      <c r="CB172" s="11"/>
      <c r="CC172" s="15"/>
      <c r="CD172" s="11"/>
      <c r="CE172" s="15"/>
      <c r="CF172" s="11"/>
      <c r="CG172" s="11"/>
      <c r="CH172" s="15"/>
      <c r="CI172" s="11"/>
      <c r="CJ172" s="11"/>
      <c r="CK172" s="15"/>
      <c r="CL172" s="11"/>
      <c r="CM172" s="11"/>
      <c r="CN172" s="11"/>
      <c r="CO172" s="11"/>
      <c r="CP172" s="28"/>
      <c r="CQ172" s="28"/>
      <c r="CR172" s="11"/>
      <c r="CS172" s="29"/>
      <c r="CT172" s="11"/>
      <c r="CU172" s="11"/>
      <c r="CV172" s="11"/>
      <c r="CW172" s="11"/>
      <c r="CX172" s="11"/>
      <c r="CY172" s="11"/>
      <c r="CZ172" s="11"/>
      <c r="DA172" s="28"/>
      <c r="DB172" s="28"/>
      <c r="DC172" s="11"/>
      <c r="DD172" s="29"/>
      <c r="DE172" s="11"/>
      <c r="DF172" s="11"/>
      <c r="DG172" s="11"/>
      <c r="DH172" s="11"/>
      <c r="DI172" s="11"/>
      <c r="DJ172" s="11"/>
      <c r="DK172" s="26"/>
      <c r="DL172" s="11"/>
      <c r="DM172" s="29"/>
      <c r="DN172" s="28"/>
      <c r="DO172" s="11"/>
      <c r="DP172" s="11"/>
      <c r="DQ172" s="11"/>
      <c r="DR172" s="29"/>
      <c r="DS172" s="28"/>
      <c r="DT172" s="11"/>
      <c r="DU172" s="26"/>
      <c r="DV172" s="11"/>
      <c r="DW172" s="29"/>
      <c r="DX172" s="28"/>
      <c r="DY172" s="11"/>
      <c r="DZ172" s="26"/>
      <c r="EA172" s="11"/>
      <c r="EB172" s="29"/>
      <c r="EC172" s="28"/>
      <c r="ED172" s="30"/>
      <c r="EE172" s="30" t="str">
        <f ca="1">IFERROR(__xludf.DUMMYFUNCTION("iferror(index(filter('Internal -- Trademark Countries'!E$2:E1000, (AM172 = 'Internal -- Trademark Countries'!B$2:B1000) + (AM172 = 'Internal -- Trademark Countries'!C$2:C1000) + (AM172 = 'Internal -- Trademark Countries'!D$2:D1000)), 1))"),"")</f>
        <v/>
      </c>
      <c r="EF172" s="30" t="e">
        <f ca="1">_xludf.ifs(AM172="", "", COUNTIF('Internal -- Trademark Countries'!B:B,AM172) &gt; 0, "polity_shortest_name", COUNTIF('Internal -- Trademark Countries'!C:C,AM172) &gt; 0, "polity_full_name", COUNTIF('Internal -- Trademark Countries'!D:D,AM172) &gt; 0, "polity_common_name", COUNTIF('Internal -- Trademark Countries'!E:E,AM172) &gt; 0, "shortest_name", COUNTIF('Internal -- Trademark Countries'!A:A,AM172) &gt; 0, "full_name", TRUE, "not a match")</f>
        <v>#NAME?</v>
      </c>
      <c r="EG172" s="30"/>
      <c r="EH172" s="30"/>
      <c r="EI172" s="30"/>
      <c r="EJ172" s="30"/>
      <c r="EK172" s="30" t="str">
        <f t="shared" si="2"/>
        <v/>
      </c>
    </row>
    <row r="173" spans="1:141" ht="16.5">
      <c r="A173" s="11"/>
      <c r="B173" s="11"/>
      <c r="C173" s="11"/>
      <c r="D173" s="11"/>
      <c r="E173" s="11"/>
      <c r="F173" s="11"/>
      <c r="G173" s="11"/>
      <c r="H173" s="11"/>
      <c r="I173" s="11"/>
      <c r="J173" s="11"/>
      <c r="K173" s="27"/>
      <c r="L173" s="11"/>
      <c r="M173" s="11"/>
      <c r="N173" s="11"/>
      <c r="O173" s="11"/>
      <c r="P173" s="15"/>
      <c r="Q173" s="15"/>
      <c r="R173" s="15"/>
      <c r="S173" s="15"/>
      <c r="T173" s="15"/>
      <c r="U173" s="15"/>
      <c r="V173" s="15"/>
      <c r="W173" s="47"/>
      <c r="X173" s="11"/>
      <c r="Y173" s="48"/>
      <c r="Z173" s="11"/>
      <c r="AA173" s="48"/>
      <c r="AB173" s="11"/>
      <c r="AC173" s="48"/>
      <c r="AD173" s="11"/>
      <c r="AE173" s="47"/>
      <c r="AF173" s="11"/>
      <c r="AG173" s="48"/>
      <c r="AH173" s="11"/>
      <c r="AI173" s="48"/>
      <c r="AJ173" s="11"/>
      <c r="AK173" s="48"/>
      <c r="AL173" s="11"/>
      <c r="AM173" s="49"/>
      <c r="AN173" s="49"/>
      <c r="AO173" s="11"/>
      <c r="AP173" s="11"/>
      <c r="AQ173" s="28" t="b">
        <f>IF(COUNTIF(SmartStatus!A$2:A1000, AM173) &gt; 2, TRUE, FALSE)</f>
        <v>0</v>
      </c>
      <c r="AR173" s="29" t="str">
        <f ca="1">IFERROR(__xludf.DUMMYFUNCTION("iferror(if(regexmatch(AO173, ""(?i)^registered""), if(EE173 &lt;&gt; ""polity_shortest_name"", ""CHECK_POLITY"", index(filter(SmartStatus!B$2:B1000, AM173 = SmartStatus!A$2:A1000, not(SmartStatus!C$2:C1000), (isblank(SmartStatus!D$2:D1000)) + ((P173 &lt;&gt; """") * "&amp;"(P173 &lt; SmartStatus!D$2:D1000)), (isblank(SmartStatus!E$2:E1000)) + ((P173 &lt;&gt; """") * (P173 &gt;= SmartStatus!E$2:E1000)), (isblank(SmartStatus!F$2:F1000)) + (((Q173 &lt;&gt; """") * (Q173 &lt; SmartStatus!F$2:F1000)) + ((P173 &lt;&gt; """") * (date(year(P173) + 3, month(P"&amp;"173), day(P173)) &lt; SmartStatus!F$2:F1000))), (isblank(SmartStatus!G$2:G1000)) + (((Q173 &lt;&gt; """") * (Q173 &gt;= SmartStatus!G$2:G1000)) + ((P173 &lt;&gt; """") * (P173 &gt;= SmartStatus!G$2:G1000)))), if(or(regexmatch(B173, ""(?i)^ir [a-z]+ designation$""), N173 &lt;&gt; """&amp;"""), 1, 2))), """"), ""NO_MATCH"")"),"")</f>
        <v/>
      </c>
      <c r="AS173" s="11"/>
      <c r="AT173" s="15"/>
      <c r="AU173" s="11"/>
      <c r="AV173" s="11"/>
      <c r="AW173" s="15"/>
      <c r="AX173" s="15"/>
      <c r="AY173" s="15"/>
      <c r="AZ173" s="11"/>
      <c r="BA173" s="15"/>
      <c r="BB173" s="11"/>
      <c r="BC173" s="11"/>
      <c r="BD173" s="15"/>
      <c r="BE173" s="11"/>
      <c r="BF173" s="11"/>
      <c r="BG173" s="15"/>
      <c r="BH173" s="15"/>
      <c r="BI173" s="15"/>
      <c r="BJ173" s="11"/>
      <c r="BK173" s="15"/>
      <c r="BL173" s="11"/>
      <c r="BM173" s="11"/>
      <c r="BN173" s="15"/>
      <c r="BO173" s="11"/>
      <c r="BP173" s="11"/>
      <c r="BQ173" s="15"/>
      <c r="BR173" s="15"/>
      <c r="BS173" s="15"/>
      <c r="BT173" s="11"/>
      <c r="BU173" s="15"/>
      <c r="BV173" s="11"/>
      <c r="BW173" s="11"/>
      <c r="BX173" s="15"/>
      <c r="BY173" s="11"/>
      <c r="BZ173" s="11"/>
      <c r="CA173" s="15"/>
      <c r="CB173" s="11"/>
      <c r="CC173" s="15"/>
      <c r="CD173" s="11"/>
      <c r="CE173" s="15"/>
      <c r="CF173" s="11"/>
      <c r="CG173" s="11"/>
      <c r="CH173" s="15"/>
      <c r="CI173" s="11"/>
      <c r="CJ173" s="11"/>
      <c r="CK173" s="15"/>
      <c r="CL173" s="11"/>
      <c r="CM173" s="11"/>
      <c r="CN173" s="11"/>
      <c r="CO173" s="11"/>
      <c r="CP173" s="28"/>
      <c r="CQ173" s="28"/>
      <c r="CR173" s="11"/>
      <c r="CS173" s="29"/>
      <c r="CT173" s="11"/>
      <c r="CU173" s="11"/>
      <c r="CV173" s="11"/>
      <c r="CW173" s="11"/>
      <c r="CX173" s="11"/>
      <c r="CY173" s="11"/>
      <c r="CZ173" s="11"/>
      <c r="DA173" s="28"/>
      <c r="DB173" s="28"/>
      <c r="DC173" s="11"/>
      <c r="DD173" s="29"/>
      <c r="DE173" s="11"/>
      <c r="DF173" s="11"/>
      <c r="DG173" s="11"/>
      <c r="DH173" s="11"/>
      <c r="DI173" s="11"/>
      <c r="DJ173" s="11"/>
      <c r="DK173" s="26"/>
      <c r="DL173" s="11"/>
      <c r="DM173" s="29"/>
      <c r="DN173" s="28"/>
      <c r="DO173" s="11"/>
      <c r="DP173" s="11"/>
      <c r="DQ173" s="11"/>
      <c r="DR173" s="29"/>
      <c r="DS173" s="28"/>
      <c r="DT173" s="11"/>
      <c r="DU173" s="26"/>
      <c r="DV173" s="11"/>
      <c r="DW173" s="29"/>
      <c r="DX173" s="28"/>
      <c r="DY173" s="11"/>
      <c r="DZ173" s="26"/>
      <c r="EA173" s="11"/>
      <c r="EB173" s="29"/>
      <c r="EC173" s="28"/>
      <c r="ED173" s="30"/>
      <c r="EE173" s="30" t="str">
        <f ca="1">IFERROR(__xludf.DUMMYFUNCTION("iferror(index(filter('Internal -- Trademark Countries'!E$2:E1000, (AM173 = 'Internal -- Trademark Countries'!B$2:B1000) + (AM173 = 'Internal -- Trademark Countries'!C$2:C1000) + (AM173 = 'Internal -- Trademark Countries'!D$2:D1000)), 1))"),"")</f>
        <v/>
      </c>
      <c r="EF173" s="30" t="e">
        <f ca="1">_xludf.ifs(AM173="", "", COUNTIF('Internal -- Trademark Countries'!B:B,AM173) &gt; 0, "polity_shortest_name", COUNTIF('Internal -- Trademark Countries'!C:C,AM173) &gt; 0, "polity_full_name", COUNTIF('Internal -- Trademark Countries'!D:D,AM173) &gt; 0, "polity_common_name", COUNTIF('Internal -- Trademark Countries'!E:E,AM173) &gt; 0, "shortest_name", COUNTIF('Internal -- Trademark Countries'!A:A,AM173) &gt; 0, "full_name", TRUE, "not a match")</f>
        <v>#NAME?</v>
      </c>
      <c r="EG173" s="30"/>
      <c r="EH173" s="30"/>
      <c r="EI173" s="30"/>
      <c r="EJ173" s="30"/>
      <c r="EK173" s="30" t="str">
        <f t="shared" si="2"/>
        <v/>
      </c>
    </row>
    <row r="174" spans="1:141" ht="16.5">
      <c r="A174" s="11"/>
      <c r="B174" s="11"/>
      <c r="C174" s="11"/>
      <c r="D174" s="11"/>
      <c r="E174" s="11"/>
      <c r="F174" s="11"/>
      <c r="G174" s="11"/>
      <c r="H174" s="11"/>
      <c r="I174" s="11"/>
      <c r="J174" s="11"/>
      <c r="K174" s="27"/>
      <c r="L174" s="11"/>
      <c r="M174" s="11"/>
      <c r="N174" s="11"/>
      <c r="O174" s="11"/>
      <c r="P174" s="15"/>
      <c r="Q174" s="15"/>
      <c r="R174" s="15"/>
      <c r="S174" s="15"/>
      <c r="T174" s="15"/>
      <c r="U174" s="15"/>
      <c r="V174" s="15"/>
      <c r="W174" s="47"/>
      <c r="X174" s="11"/>
      <c r="Y174" s="48"/>
      <c r="Z174" s="11"/>
      <c r="AA174" s="48"/>
      <c r="AB174" s="11"/>
      <c r="AC174" s="48"/>
      <c r="AD174" s="11"/>
      <c r="AE174" s="47"/>
      <c r="AF174" s="11"/>
      <c r="AG174" s="48"/>
      <c r="AH174" s="11"/>
      <c r="AI174" s="48"/>
      <c r="AJ174" s="11"/>
      <c r="AK174" s="48"/>
      <c r="AL174" s="11"/>
      <c r="AM174" s="49"/>
      <c r="AN174" s="49"/>
      <c r="AO174" s="11"/>
      <c r="AP174" s="11"/>
      <c r="AQ174" s="28" t="b">
        <f>IF(COUNTIF(SmartStatus!A$2:A1000, AM174) &gt; 2, TRUE, FALSE)</f>
        <v>0</v>
      </c>
      <c r="AR174" s="29" t="str">
        <f ca="1">IFERROR(__xludf.DUMMYFUNCTION("iferror(if(regexmatch(AO174, ""(?i)^registered""), if(EE174 &lt;&gt; ""polity_shortest_name"", ""CHECK_POLITY"", index(filter(SmartStatus!B$2:B1000, AM174 = SmartStatus!A$2:A1000, not(SmartStatus!C$2:C1000), (isblank(SmartStatus!D$2:D1000)) + ((P174 &lt;&gt; """") * "&amp;"(P174 &lt; SmartStatus!D$2:D1000)), (isblank(SmartStatus!E$2:E1000)) + ((P174 &lt;&gt; """") * (P174 &gt;= SmartStatus!E$2:E1000)), (isblank(SmartStatus!F$2:F1000)) + (((Q174 &lt;&gt; """") * (Q174 &lt; SmartStatus!F$2:F1000)) + ((P174 &lt;&gt; """") * (date(year(P174) + 3, month(P"&amp;"174), day(P174)) &lt; SmartStatus!F$2:F1000))), (isblank(SmartStatus!G$2:G1000)) + (((Q174 &lt;&gt; """") * (Q174 &gt;= SmartStatus!G$2:G1000)) + ((P174 &lt;&gt; """") * (P174 &gt;= SmartStatus!G$2:G1000)))), if(or(regexmatch(B174, ""(?i)^ir [a-z]+ designation$""), N174 &lt;&gt; """&amp;"""), 1, 2))), """"), ""NO_MATCH"")"),"")</f>
        <v/>
      </c>
      <c r="AS174" s="11"/>
      <c r="AT174" s="15"/>
      <c r="AU174" s="11"/>
      <c r="AV174" s="11"/>
      <c r="AW174" s="15"/>
      <c r="AX174" s="15"/>
      <c r="AY174" s="15"/>
      <c r="AZ174" s="11"/>
      <c r="BA174" s="15"/>
      <c r="BB174" s="11"/>
      <c r="BC174" s="11"/>
      <c r="BD174" s="15"/>
      <c r="BE174" s="11"/>
      <c r="BF174" s="11"/>
      <c r="BG174" s="15"/>
      <c r="BH174" s="15"/>
      <c r="BI174" s="15"/>
      <c r="BJ174" s="11"/>
      <c r="BK174" s="15"/>
      <c r="BL174" s="11"/>
      <c r="BM174" s="11"/>
      <c r="BN174" s="15"/>
      <c r="BO174" s="11"/>
      <c r="BP174" s="11"/>
      <c r="BQ174" s="15"/>
      <c r="BR174" s="15"/>
      <c r="BS174" s="15"/>
      <c r="BT174" s="11"/>
      <c r="BU174" s="15"/>
      <c r="BV174" s="11"/>
      <c r="BW174" s="11"/>
      <c r="BX174" s="15"/>
      <c r="BY174" s="11"/>
      <c r="BZ174" s="11"/>
      <c r="CA174" s="15"/>
      <c r="CB174" s="11"/>
      <c r="CC174" s="15"/>
      <c r="CD174" s="11"/>
      <c r="CE174" s="15"/>
      <c r="CF174" s="11"/>
      <c r="CG174" s="11"/>
      <c r="CH174" s="15"/>
      <c r="CI174" s="11"/>
      <c r="CJ174" s="11"/>
      <c r="CK174" s="15"/>
      <c r="CL174" s="11"/>
      <c r="CM174" s="11"/>
      <c r="CN174" s="11"/>
      <c r="CO174" s="11"/>
      <c r="CP174" s="28"/>
      <c r="CQ174" s="28"/>
      <c r="CR174" s="11"/>
      <c r="CS174" s="29"/>
      <c r="CT174" s="11"/>
      <c r="CU174" s="11"/>
      <c r="CV174" s="11"/>
      <c r="CW174" s="11"/>
      <c r="CX174" s="11"/>
      <c r="CY174" s="11"/>
      <c r="CZ174" s="11"/>
      <c r="DA174" s="28"/>
      <c r="DB174" s="28"/>
      <c r="DC174" s="11"/>
      <c r="DD174" s="29"/>
      <c r="DE174" s="11"/>
      <c r="DF174" s="11"/>
      <c r="DG174" s="11"/>
      <c r="DH174" s="11"/>
      <c r="DI174" s="11"/>
      <c r="DJ174" s="11"/>
      <c r="DK174" s="26"/>
      <c r="DL174" s="11"/>
      <c r="DM174" s="29"/>
      <c r="DN174" s="28"/>
      <c r="DO174" s="11"/>
      <c r="DP174" s="11"/>
      <c r="DQ174" s="11"/>
      <c r="DR174" s="29"/>
      <c r="DS174" s="28"/>
      <c r="DT174" s="11"/>
      <c r="DU174" s="26"/>
      <c r="DV174" s="11"/>
      <c r="DW174" s="29"/>
      <c r="DX174" s="28"/>
      <c r="DY174" s="11"/>
      <c r="DZ174" s="26"/>
      <c r="EA174" s="11"/>
      <c r="EB174" s="29"/>
      <c r="EC174" s="28"/>
      <c r="ED174" s="30"/>
      <c r="EE174" s="30" t="str">
        <f ca="1">IFERROR(__xludf.DUMMYFUNCTION("iferror(index(filter('Internal -- Trademark Countries'!E$2:E1000, (AM174 = 'Internal -- Trademark Countries'!B$2:B1000) + (AM174 = 'Internal -- Trademark Countries'!C$2:C1000) + (AM174 = 'Internal -- Trademark Countries'!D$2:D1000)), 1))"),"")</f>
        <v/>
      </c>
      <c r="EF174" s="30" t="e">
        <f ca="1">_xludf.ifs(AM174="", "", COUNTIF('Internal -- Trademark Countries'!B:B,AM174) &gt; 0, "polity_shortest_name", COUNTIF('Internal -- Trademark Countries'!C:C,AM174) &gt; 0, "polity_full_name", COUNTIF('Internal -- Trademark Countries'!D:D,AM174) &gt; 0, "polity_common_name", COUNTIF('Internal -- Trademark Countries'!E:E,AM174) &gt; 0, "shortest_name", COUNTIF('Internal -- Trademark Countries'!A:A,AM174) &gt; 0, "full_name", TRUE, "not a match")</f>
        <v>#NAME?</v>
      </c>
      <c r="EG174" s="30"/>
      <c r="EH174" s="30"/>
      <c r="EI174" s="30"/>
      <c r="EJ174" s="30"/>
      <c r="EK174" s="30" t="str">
        <f t="shared" si="2"/>
        <v/>
      </c>
    </row>
    <row r="175" spans="1:141" ht="16.5">
      <c r="A175" s="11"/>
      <c r="B175" s="11"/>
      <c r="C175" s="11"/>
      <c r="D175" s="11"/>
      <c r="E175" s="11"/>
      <c r="F175" s="11"/>
      <c r="G175" s="11"/>
      <c r="H175" s="11"/>
      <c r="I175" s="11"/>
      <c r="J175" s="11"/>
      <c r="K175" s="27"/>
      <c r="L175" s="11"/>
      <c r="M175" s="11"/>
      <c r="N175" s="11"/>
      <c r="O175" s="11"/>
      <c r="P175" s="15"/>
      <c r="Q175" s="15"/>
      <c r="R175" s="15"/>
      <c r="S175" s="15"/>
      <c r="T175" s="15"/>
      <c r="U175" s="15"/>
      <c r="V175" s="15"/>
      <c r="W175" s="47"/>
      <c r="X175" s="11"/>
      <c r="Y175" s="48"/>
      <c r="Z175" s="11"/>
      <c r="AA175" s="48"/>
      <c r="AB175" s="11"/>
      <c r="AC175" s="48"/>
      <c r="AD175" s="11"/>
      <c r="AE175" s="47"/>
      <c r="AF175" s="11"/>
      <c r="AG175" s="48"/>
      <c r="AH175" s="11"/>
      <c r="AI175" s="48"/>
      <c r="AJ175" s="11"/>
      <c r="AK175" s="48"/>
      <c r="AL175" s="11"/>
      <c r="AM175" s="49"/>
      <c r="AN175" s="49"/>
      <c r="AO175" s="11"/>
      <c r="AP175" s="11"/>
      <c r="AQ175" s="28" t="b">
        <f>IF(COUNTIF(SmartStatus!A$2:A1000, AM175) &gt; 2, TRUE, FALSE)</f>
        <v>0</v>
      </c>
      <c r="AR175" s="29" t="str">
        <f ca="1">IFERROR(__xludf.DUMMYFUNCTION("iferror(if(regexmatch(AO175, ""(?i)^registered""), if(EE175 &lt;&gt; ""polity_shortest_name"", ""CHECK_POLITY"", index(filter(SmartStatus!B$2:B1000, AM175 = SmartStatus!A$2:A1000, not(SmartStatus!C$2:C1000), (isblank(SmartStatus!D$2:D1000)) + ((P175 &lt;&gt; """") * "&amp;"(P175 &lt; SmartStatus!D$2:D1000)), (isblank(SmartStatus!E$2:E1000)) + ((P175 &lt;&gt; """") * (P175 &gt;= SmartStatus!E$2:E1000)), (isblank(SmartStatus!F$2:F1000)) + (((Q175 &lt;&gt; """") * (Q175 &lt; SmartStatus!F$2:F1000)) + ((P175 &lt;&gt; """") * (date(year(P175) + 3, month(P"&amp;"175), day(P175)) &lt; SmartStatus!F$2:F1000))), (isblank(SmartStatus!G$2:G1000)) + (((Q175 &lt;&gt; """") * (Q175 &gt;= SmartStatus!G$2:G1000)) + ((P175 &lt;&gt; """") * (P175 &gt;= SmartStatus!G$2:G1000)))), if(or(regexmatch(B175, ""(?i)^ir [a-z]+ designation$""), N175 &lt;&gt; """&amp;"""), 1, 2))), """"), ""NO_MATCH"")"),"")</f>
        <v/>
      </c>
      <c r="AS175" s="11"/>
      <c r="AT175" s="15"/>
      <c r="AU175" s="11"/>
      <c r="AV175" s="11"/>
      <c r="AW175" s="15"/>
      <c r="AX175" s="15"/>
      <c r="AY175" s="15"/>
      <c r="AZ175" s="11"/>
      <c r="BA175" s="15"/>
      <c r="BB175" s="11"/>
      <c r="BC175" s="11"/>
      <c r="BD175" s="15"/>
      <c r="BE175" s="11"/>
      <c r="BF175" s="11"/>
      <c r="BG175" s="15"/>
      <c r="BH175" s="15"/>
      <c r="BI175" s="15"/>
      <c r="BJ175" s="11"/>
      <c r="BK175" s="15"/>
      <c r="BL175" s="11"/>
      <c r="BM175" s="11"/>
      <c r="BN175" s="15"/>
      <c r="BO175" s="11"/>
      <c r="BP175" s="11"/>
      <c r="BQ175" s="15"/>
      <c r="BR175" s="15"/>
      <c r="BS175" s="15"/>
      <c r="BT175" s="11"/>
      <c r="BU175" s="15"/>
      <c r="BV175" s="11"/>
      <c r="BW175" s="11"/>
      <c r="BX175" s="15"/>
      <c r="BY175" s="11"/>
      <c r="BZ175" s="11"/>
      <c r="CA175" s="15"/>
      <c r="CB175" s="11"/>
      <c r="CC175" s="15"/>
      <c r="CD175" s="11"/>
      <c r="CE175" s="15"/>
      <c r="CF175" s="11"/>
      <c r="CG175" s="11"/>
      <c r="CH175" s="15"/>
      <c r="CI175" s="11"/>
      <c r="CJ175" s="11"/>
      <c r="CK175" s="15"/>
      <c r="CL175" s="11"/>
      <c r="CM175" s="11"/>
      <c r="CN175" s="11"/>
      <c r="CO175" s="11"/>
      <c r="CP175" s="28"/>
      <c r="CQ175" s="28"/>
      <c r="CR175" s="11"/>
      <c r="CS175" s="29"/>
      <c r="CT175" s="11"/>
      <c r="CU175" s="11"/>
      <c r="CV175" s="11"/>
      <c r="CW175" s="11"/>
      <c r="CX175" s="11"/>
      <c r="CY175" s="11"/>
      <c r="CZ175" s="11"/>
      <c r="DA175" s="28"/>
      <c r="DB175" s="28"/>
      <c r="DC175" s="11"/>
      <c r="DD175" s="29"/>
      <c r="DE175" s="11"/>
      <c r="DF175" s="11"/>
      <c r="DG175" s="11"/>
      <c r="DH175" s="11"/>
      <c r="DI175" s="11"/>
      <c r="DJ175" s="11"/>
      <c r="DK175" s="26"/>
      <c r="DL175" s="11"/>
      <c r="DM175" s="29"/>
      <c r="DN175" s="28"/>
      <c r="DO175" s="11"/>
      <c r="DP175" s="11"/>
      <c r="DQ175" s="11"/>
      <c r="DR175" s="29"/>
      <c r="DS175" s="28"/>
      <c r="DT175" s="11"/>
      <c r="DU175" s="26"/>
      <c r="DV175" s="11"/>
      <c r="DW175" s="29"/>
      <c r="DX175" s="28"/>
      <c r="DY175" s="11"/>
      <c r="DZ175" s="26"/>
      <c r="EA175" s="11"/>
      <c r="EB175" s="29"/>
      <c r="EC175" s="28"/>
      <c r="ED175" s="30"/>
      <c r="EE175" s="30" t="str">
        <f ca="1">IFERROR(__xludf.DUMMYFUNCTION("iferror(index(filter('Internal -- Trademark Countries'!E$2:E1000, (AM175 = 'Internal -- Trademark Countries'!B$2:B1000) + (AM175 = 'Internal -- Trademark Countries'!C$2:C1000) + (AM175 = 'Internal -- Trademark Countries'!D$2:D1000)), 1))"),"")</f>
        <v/>
      </c>
      <c r="EF175" s="30" t="e">
        <f ca="1">_xludf.ifs(AM175="", "", COUNTIF('Internal -- Trademark Countries'!B:B,AM175) &gt; 0, "polity_shortest_name", COUNTIF('Internal -- Trademark Countries'!C:C,AM175) &gt; 0, "polity_full_name", COUNTIF('Internal -- Trademark Countries'!D:D,AM175) &gt; 0, "polity_common_name", COUNTIF('Internal -- Trademark Countries'!E:E,AM175) &gt; 0, "shortest_name", COUNTIF('Internal -- Trademark Countries'!A:A,AM175) &gt; 0, "full_name", TRUE, "not a match")</f>
        <v>#NAME?</v>
      </c>
      <c r="EG175" s="30"/>
      <c r="EH175" s="30"/>
      <c r="EI175" s="30"/>
      <c r="EJ175" s="30"/>
      <c r="EK175" s="30" t="str">
        <f t="shared" si="2"/>
        <v/>
      </c>
    </row>
    <row r="176" spans="1:141" ht="16.5">
      <c r="A176" s="11"/>
      <c r="B176" s="11"/>
      <c r="C176" s="11"/>
      <c r="D176" s="11"/>
      <c r="E176" s="11"/>
      <c r="F176" s="11"/>
      <c r="G176" s="11"/>
      <c r="H176" s="11"/>
      <c r="I176" s="11"/>
      <c r="J176" s="11"/>
      <c r="K176" s="27"/>
      <c r="L176" s="11"/>
      <c r="M176" s="11"/>
      <c r="N176" s="11"/>
      <c r="O176" s="11"/>
      <c r="P176" s="15"/>
      <c r="Q176" s="15"/>
      <c r="R176" s="15"/>
      <c r="S176" s="15"/>
      <c r="T176" s="15"/>
      <c r="U176" s="15"/>
      <c r="V176" s="15"/>
      <c r="W176" s="47"/>
      <c r="X176" s="11"/>
      <c r="Y176" s="48"/>
      <c r="Z176" s="11"/>
      <c r="AA176" s="48"/>
      <c r="AB176" s="11"/>
      <c r="AC176" s="48"/>
      <c r="AD176" s="11"/>
      <c r="AE176" s="47"/>
      <c r="AF176" s="11"/>
      <c r="AG176" s="48"/>
      <c r="AH176" s="11"/>
      <c r="AI176" s="48"/>
      <c r="AJ176" s="11"/>
      <c r="AK176" s="48"/>
      <c r="AL176" s="11"/>
      <c r="AM176" s="49"/>
      <c r="AN176" s="49"/>
      <c r="AO176" s="11"/>
      <c r="AP176" s="11"/>
      <c r="AQ176" s="28" t="b">
        <f>IF(COUNTIF(SmartStatus!A$2:A1000, AM176) &gt; 2, TRUE, FALSE)</f>
        <v>0</v>
      </c>
      <c r="AR176" s="29" t="str">
        <f ca="1">IFERROR(__xludf.DUMMYFUNCTION("iferror(if(regexmatch(AO176, ""(?i)^registered""), if(EE176 &lt;&gt; ""polity_shortest_name"", ""CHECK_POLITY"", index(filter(SmartStatus!B$2:B1000, AM176 = SmartStatus!A$2:A1000, not(SmartStatus!C$2:C1000), (isblank(SmartStatus!D$2:D1000)) + ((P176 &lt;&gt; """") * "&amp;"(P176 &lt; SmartStatus!D$2:D1000)), (isblank(SmartStatus!E$2:E1000)) + ((P176 &lt;&gt; """") * (P176 &gt;= SmartStatus!E$2:E1000)), (isblank(SmartStatus!F$2:F1000)) + (((Q176 &lt;&gt; """") * (Q176 &lt; SmartStatus!F$2:F1000)) + ((P176 &lt;&gt; """") * (date(year(P176) + 3, month(P"&amp;"176), day(P176)) &lt; SmartStatus!F$2:F1000))), (isblank(SmartStatus!G$2:G1000)) + (((Q176 &lt;&gt; """") * (Q176 &gt;= SmartStatus!G$2:G1000)) + ((P176 &lt;&gt; """") * (P176 &gt;= SmartStatus!G$2:G1000)))), if(or(regexmatch(B176, ""(?i)^ir [a-z]+ designation$""), N176 &lt;&gt; """&amp;"""), 1, 2))), """"), ""NO_MATCH"")"),"")</f>
        <v/>
      </c>
      <c r="AS176" s="11"/>
      <c r="AT176" s="15"/>
      <c r="AU176" s="11"/>
      <c r="AV176" s="11"/>
      <c r="AW176" s="15"/>
      <c r="AX176" s="15"/>
      <c r="AY176" s="15"/>
      <c r="AZ176" s="11"/>
      <c r="BA176" s="15"/>
      <c r="BB176" s="11"/>
      <c r="BC176" s="11"/>
      <c r="BD176" s="15"/>
      <c r="BE176" s="11"/>
      <c r="BF176" s="11"/>
      <c r="BG176" s="15"/>
      <c r="BH176" s="15"/>
      <c r="BI176" s="15"/>
      <c r="BJ176" s="11"/>
      <c r="BK176" s="15"/>
      <c r="BL176" s="11"/>
      <c r="BM176" s="11"/>
      <c r="BN176" s="15"/>
      <c r="BO176" s="11"/>
      <c r="BP176" s="11"/>
      <c r="BQ176" s="15"/>
      <c r="BR176" s="15"/>
      <c r="BS176" s="15"/>
      <c r="BT176" s="11"/>
      <c r="BU176" s="15"/>
      <c r="BV176" s="11"/>
      <c r="BW176" s="11"/>
      <c r="BX176" s="15"/>
      <c r="BY176" s="11"/>
      <c r="BZ176" s="11"/>
      <c r="CA176" s="15"/>
      <c r="CB176" s="11"/>
      <c r="CC176" s="15"/>
      <c r="CD176" s="11"/>
      <c r="CE176" s="15"/>
      <c r="CF176" s="11"/>
      <c r="CG176" s="11"/>
      <c r="CH176" s="15"/>
      <c r="CI176" s="11"/>
      <c r="CJ176" s="11"/>
      <c r="CK176" s="15"/>
      <c r="CL176" s="11"/>
      <c r="CM176" s="11"/>
      <c r="CN176" s="11"/>
      <c r="CO176" s="11"/>
      <c r="CP176" s="28"/>
      <c r="CQ176" s="28"/>
      <c r="CR176" s="11"/>
      <c r="CS176" s="29"/>
      <c r="CT176" s="11"/>
      <c r="CU176" s="11"/>
      <c r="CV176" s="11"/>
      <c r="CW176" s="11"/>
      <c r="CX176" s="11"/>
      <c r="CY176" s="11"/>
      <c r="CZ176" s="11"/>
      <c r="DA176" s="28"/>
      <c r="DB176" s="28"/>
      <c r="DC176" s="11"/>
      <c r="DD176" s="29"/>
      <c r="DE176" s="11"/>
      <c r="DF176" s="11"/>
      <c r="DG176" s="11"/>
      <c r="DH176" s="11"/>
      <c r="DI176" s="11"/>
      <c r="DJ176" s="11"/>
      <c r="DK176" s="26"/>
      <c r="DL176" s="11"/>
      <c r="DM176" s="29"/>
      <c r="DN176" s="28"/>
      <c r="DO176" s="11"/>
      <c r="DP176" s="11"/>
      <c r="DQ176" s="11"/>
      <c r="DR176" s="29"/>
      <c r="DS176" s="28"/>
      <c r="DT176" s="11"/>
      <c r="DU176" s="26"/>
      <c r="DV176" s="11"/>
      <c r="DW176" s="29"/>
      <c r="DX176" s="28"/>
      <c r="DY176" s="11"/>
      <c r="DZ176" s="26"/>
      <c r="EA176" s="11"/>
      <c r="EB176" s="29"/>
      <c r="EC176" s="28"/>
      <c r="ED176" s="30"/>
      <c r="EE176" s="30" t="str">
        <f ca="1">IFERROR(__xludf.DUMMYFUNCTION("iferror(index(filter('Internal -- Trademark Countries'!E$2:E1000, (AM176 = 'Internal -- Trademark Countries'!B$2:B1000) + (AM176 = 'Internal -- Trademark Countries'!C$2:C1000) + (AM176 = 'Internal -- Trademark Countries'!D$2:D1000)), 1))"),"")</f>
        <v/>
      </c>
      <c r="EF176" s="30" t="e">
        <f ca="1">_xludf.ifs(AM176="", "", COUNTIF('Internal -- Trademark Countries'!B:B,AM176) &gt; 0, "polity_shortest_name", COUNTIF('Internal -- Trademark Countries'!C:C,AM176) &gt; 0, "polity_full_name", COUNTIF('Internal -- Trademark Countries'!D:D,AM176) &gt; 0, "polity_common_name", COUNTIF('Internal -- Trademark Countries'!E:E,AM176) &gt; 0, "shortest_name", COUNTIF('Internal -- Trademark Countries'!A:A,AM176) &gt; 0, "full_name", TRUE, "not a match")</f>
        <v>#NAME?</v>
      </c>
      <c r="EG176" s="30"/>
      <c r="EH176" s="30"/>
      <c r="EI176" s="30"/>
      <c r="EJ176" s="30"/>
      <c r="EK176" s="30" t="str">
        <f t="shared" si="2"/>
        <v/>
      </c>
    </row>
    <row r="177" spans="1:141" ht="16.5">
      <c r="A177" s="11"/>
      <c r="B177" s="11"/>
      <c r="C177" s="11"/>
      <c r="D177" s="11"/>
      <c r="E177" s="11"/>
      <c r="F177" s="11"/>
      <c r="G177" s="11"/>
      <c r="H177" s="11"/>
      <c r="I177" s="11"/>
      <c r="J177" s="11"/>
      <c r="K177" s="27"/>
      <c r="L177" s="11"/>
      <c r="M177" s="11"/>
      <c r="N177" s="11"/>
      <c r="O177" s="11"/>
      <c r="P177" s="15"/>
      <c r="Q177" s="15"/>
      <c r="R177" s="15"/>
      <c r="S177" s="15"/>
      <c r="T177" s="15"/>
      <c r="U177" s="15"/>
      <c r="V177" s="15"/>
      <c r="W177" s="47"/>
      <c r="X177" s="11"/>
      <c r="Y177" s="48"/>
      <c r="Z177" s="11"/>
      <c r="AA177" s="48"/>
      <c r="AB177" s="11"/>
      <c r="AC177" s="48"/>
      <c r="AD177" s="11"/>
      <c r="AE177" s="47"/>
      <c r="AF177" s="11"/>
      <c r="AG177" s="48"/>
      <c r="AH177" s="11"/>
      <c r="AI177" s="48"/>
      <c r="AJ177" s="11"/>
      <c r="AK177" s="48"/>
      <c r="AL177" s="11"/>
      <c r="AM177" s="49"/>
      <c r="AN177" s="49"/>
      <c r="AO177" s="11"/>
      <c r="AP177" s="11"/>
      <c r="AQ177" s="28" t="b">
        <f>IF(COUNTIF(SmartStatus!A$2:A1000, AM177) &gt; 2, TRUE, FALSE)</f>
        <v>0</v>
      </c>
      <c r="AR177" s="29" t="str">
        <f ca="1">IFERROR(__xludf.DUMMYFUNCTION("iferror(if(regexmatch(AO177, ""(?i)^registered""), if(EE177 &lt;&gt; ""polity_shortest_name"", ""CHECK_POLITY"", index(filter(SmartStatus!B$2:B1000, AM177 = SmartStatus!A$2:A1000, not(SmartStatus!C$2:C1000), (isblank(SmartStatus!D$2:D1000)) + ((P177 &lt;&gt; """") * "&amp;"(P177 &lt; SmartStatus!D$2:D1000)), (isblank(SmartStatus!E$2:E1000)) + ((P177 &lt;&gt; """") * (P177 &gt;= SmartStatus!E$2:E1000)), (isblank(SmartStatus!F$2:F1000)) + (((Q177 &lt;&gt; """") * (Q177 &lt; SmartStatus!F$2:F1000)) + ((P177 &lt;&gt; """") * (date(year(P177) + 3, month(P"&amp;"177), day(P177)) &lt; SmartStatus!F$2:F1000))), (isblank(SmartStatus!G$2:G1000)) + (((Q177 &lt;&gt; """") * (Q177 &gt;= SmartStatus!G$2:G1000)) + ((P177 &lt;&gt; """") * (P177 &gt;= SmartStatus!G$2:G1000)))), if(or(regexmatch(B177, ""(?i)^ir [a-z]+ designation$""), N177 &lt;&gt; """&amp;"""), 1, 2))), """"), ""NO_MATCH"")"),"")</f>
        <v/>
      </c>
      <c r="AS177" s="11"/>
      <c r="AT177" s="15"/>
      <c r="AU177" s="11"/>
      <c r="AV177" s="11"/>
      <c r="AW177" s="15"/>
      <c r="AX177" s="15"/>
      <c r="AY177" s="15"/>
      <c r="AZ177" s="11"/>
      <c r="BA177" s="15"/>
      <c r="BB177" s="11"/>
      <c r="BC177" s="11"/>
      <c r="BD177" s="15"/>
      <c r="BE177" s="11"/>
      <c r="BF177" s="11"/>
      <c r="BG177" s="15"/>
      <c r="BH177" s="15"/>
      <c r="BI177" s="15"/>
      <c r="BJ177" s="11"/>
      <c r="BK177" s="15"/>
      <c r="BL177" s="11"/>
      <c r="BM177" s="11"/>
      <c r="BN177" s="15"/>
      <c r="BO177" s="11"/>
      <c r="BP177" s="11"/>
      <c r="BQ177" s="15"/>
      <c r="BR177" s="15"/>
      <c r="BS177" s="15"/>
      <c r="BT177" s="11"/>
      <c r="BU177" s="15"/>
      <c r="BV177" s="11"/>
      <c r="BW177" s="11"/>
      <c r="BX177" s="15"/>
      <c r="BY177" s="11"/>
      <c r="BZ177" s="11"/>
      <c r="CA177" s="15"/>
      <c r="CB177" s="11"/>
      <c r="CC177" s="15"/>
      <c r="CD177" s="11"/>
      <c r="CE177" s="15"/>
      <c r="CF177" s="11"/>
      <c r="CG177" s="11"/>
      <c r="CH177" s="15"/>
      <c r="CI177" s="11"/>
      <c r="CJ177" s="11"/>
      <c r="CK177" s="15"/>
      <c r="CL177" s="11"/>
      <c r="CM177" s="11"/>
      <c r="CN177" s="11"/>
      <c r="CO177" s="11"/>
      <c r="CP177" s="28"/>
      <c r="CQ177" s="28"/>
      <c r="CR177" s="11"/>
      <c r="CS177" s="29"/>
      <c r="CT177" s="11"/>
      <c r="CU177" s="11"/>
      <c r="CV177" s="11"/>
      <c r="CW177" s="11"/>
      <c r="CX177" s="11"/>
      <c r="CY177" s="11"/>
      <c r="CZ177" s="11"/>
      <c r="DA177" s="28"/>
      <c r="DB177" s="28"/>
      <c r="DC177" s="11"/>
      <c r="DD177" s="29"/>
      <c r="DE177" s="11"/>
      <c r="DF177" s="11"/>
      <c r="DG177" s="11"/>
      <c r="DH177" s="11"/>
      <c r="DI177" s="11"/>
      <c r="DJ177" s="11"/>
      <c r="DK177" s="26"/>
      <c r="DL177" s="11"/>
      <c r="DM177" s="29"/>
      <c r="DN177" s="28"/>
      <c r="DO177" s="11"/>
      <c r="DP177" s="11"/>
      <c r="DQ177" s="11"/>
      <c r="DR177" s="29"/>
      <c r="DS177" s="28"/>
      <c r="DT177" s="11"/>
      <c r="DU177" s="26"/>
      <c r="DV177" s="11"/>
      <c r="DW177" s="29"/>
      <c r="DX177" s="28"/>
      <c r="DY177" s="11"/>
      <c r="DZ177" s="26"/>
      <c r="EA177" s="11"/>
      <c r="EB177" s="29"/>
      <c r="EC177" s="28"/>
      <c r="ED177" s="30"/>
      <c r="EE177" s="30" t="str">
        <f ca="1">IFERROR(__xludf.DUMMYFUNCTION("iferror(index(filter('Internal -- Trademark Countries'!E$2:E1000, (AM177 = 'Internal -- Trademark Countries'!B$2:B1000) + (AM177 = 'Internal -- Trademark Countries'!C$2:C1000) + (AM177 = 'Internal -- Trademark Countries'!D$2:D1000)), 1))"),"")</f>
        <v/>
      </c>
      <c r="EF177" s="30" t="e">
        <f ca="1">_xludf.ifs(AM177="", "", COUNTIF('Internal -- Trademark Countries'!B:B,AM177) &gt; 0, "polity_shortest_name", COUNTIF('Internal -- Trademark Countries'!C:C,AM177) &gt; 0, "polity_full_name", COUNTIF('Internal -- Trademark Countries'!D:D,AM177) &gt; 0, "polity_common_name", COUNTIF('Internal -- Trademark Countries'!E:E,AM177) &gt; 0, "shortest_name", COUNTIF('Internal -- Trademark Countries'!A:A,AM177) &gt; 0, "full_name", TRUE, "not a match")</f>
        <v>#NAME?</v>
      </c>
      <c r="EG177" s="30"/>
      <c r="EH177" s="30"/>
      <c r="EI177" s="30"/>
      <c r="EJ177" s="30"/>
      <c r="EK177" s="30" t="str">
        <f t="shared" si="2"/>
        <v/>
      </c>
    </row>
    <row r="178" spans="1:141" ht="16.5">
      <c r="A178" s="11"/>
      <c r="B178" s="11"/>
      <c r="C178" s="11"/>
      <c r="D178" s="11"/>
      <c r="E178" s="11"/>
      <c r="F178" s="11"/>
      <c r="G178" s="11"/>
      <c r="H178" s="11"/>
      <c r="I178" s="11"/>
      <c r="J178" s="11"/>
      <c r="K178" s="27"/>
      <c r="L178" s="11"/>
      <c r="M178" s="11"/>
      <c r="N178" s="11"/>
      <c r="O178" s="11"/>
      <c r="P178" s="15"/>
      <c r="Q178" s="15"/>
      <c r="R178" s="15"/>
      <c r="S178" s="15"/>
      <c r="T178" s="15"/>
      <c r="U178" s="15"/>
      <c r="V178" s="15"/>
      <c r="W178" s="47"/>
      <c r="X178" s="11"/>
      <c r="Y178" s="48"/>
      <c r="Z178" s="11"/>
      <c r="AA178" s="48"/>
      <c r="AB178" s="11"/>
      <c r="AC178" s="48"/>
      <c r="AD178" s="11"/>
      <c r="AE178" s="47"/>
      <c r="AF178" s="11"/>
      <c r="AG178" s="48"/>
      <c r="AH178" s="11"/>
      <c r="AI178" s="48"/>
      <c r="AJ178" s="11"/>
      <c r="AK178" s="48"/>
      <c r="AL178" s="11"/>
      <c r="AM178" s="49"/>
      <c r="AN178" s="49"/>
      <c r="AO178" s="11"/>
      <c r="AP178" s="11"/>
      <c r="AQ178" s="28" t="b">
        <f>IF(COUNTIF(SmartStatus!A$2:A1000, AM178) &gt; 2, TRUE, FALSE)</f>
        <v>0</v>
      </c>
      <c r="AR178" s="29" t="str">
        <f ca="1">IFERROR(__xludf.DUMMYFUNCTION("iferror(if(regexmatch(AO178, ""(?i)^registered""), if(EE178 &lt;&gt; ""polity_shortest_name"", ""CHECK_POLITY"", index(filter(SmartStatus!B$2:B1000, AM178 = SmartStatus!A$2:A1000, not(SmartStatus!C$2:C1000), (isblank(SmartStatus!D$2:D1000)) + ((P178 &lt;&gt; """") * "&amp;"(P178 &lt; SmartStatus!D$2:D1000)), (isblank(SmartStatus!E$2:E1000)) + ((P178 &lt;&gt; """") * (P178 &gt;= SmartStatus!E$2:E1000)), (isblank(SmartStatus!F$2:F1000)) + (((Q178 &lt;&gt; """") * (Q178 &lt; SmartStatus!F$2:F1000)) + ((P178 &lt;&gt; """") * (date(year(P178) + 3, month(P"&amp;"178), day(P178)) &lt; SmartStatus!F$2:F1000))), (isblank(SmartStatus!G$2:G1000)) + (((Q178 &lt;&gt; """") * (Q178 &gt;= SmartStatus!G$2:G1000)) + ((P178 &lt;&gt; """") * (P178 &gt;= SmartStatus!G$2:G1000)))), if(or(regexmatch(B178, ""(?i)^ir [a-z]+ designation$""), N178 &lt;&gt; """&amp;"""), 1, 2))), """"), ""NO_MATCH"")"),"")</f>
        <v/>
      </c>
      <c r="AS178" s="11"/>
      <c r="AT178" s="15"/>
      <c r="AU178" s="11"/>
      <c r="AV178" s="11"/>
      <c r="AW178" s="15"/>
      <c r="AX178" s="15"/>
      <c r="AY178" s="15"/>
      <c r="AZ178" s="11"/>
      <c r="BA178" s="15"/>
      <c r="BB178" s="11"/>
      <c r="BC178" s="11"/>
      <c r="BD178" s="15"/>
      <c r="BE178" s="11"/>
      <c r="BF178" s="11"/>
      <c r="BG178" s="15"/>
      <c r="BH178" s="15"/>
      <c r="BI178" s="15"/>
      <c r="BJ178" s="11"/>
      <c r="BK178" s="15"/>
      <c r="BL178" s="11"/>
      <c r="BM178" s="11"/>
      <c r="BN178" s="15"/>
      <c r="BO178" s="11"/>
      <c r="BP178" s="11"/>
      <c r="BQ178" s="15"/>
      <c r="BR178" s="15"/>
      <c r="BS178" s="15"/>
      <c r="BT178" s="11"/>
      <c r="BU178" s="15"/>
      <c r="BV178" s="11"/>
      <c r="BW178" s="11"/>
      <c r="BX178" s="15"/>
      <c r="BY178" s="11"/>
      <c r="BZ178" s="11"/>
      <c r="CA178" s="15"/>
      <c r="CB178" s="11"/>
      <c r="CC178" s="15"/>
      <c r="CD178" s="11"/>
      <c r="CE178" s="15"/>
      <c r="CF178" s="11"/>
      <c r="CG178" s="11"/>
      <c r="CH178" s="15"/>
      <c r="CI178" s="11"/>
      <c r="CJ178" s="11"/>
      <c r="CK178" s="15"/>
      <c r="CL178" s="11"/>
      <c r="CM178" s="11"/>
      <c r="CN178" s="11"/>
      <c r="CO178" s="11"/>
      <c r="CP178" s="28"/>
      <c r="CQ178" s="28"/>
      <c r="CR178" s="11"/>
      <c r="CS178" s="29"/>
      <c r="CT178" s="11"/>
      <c r="CU178" s="11"/>
      <c r="CV178" s="11"/>
      <c r="CW178" s="11"/>
      <c r="CX178" s="11"/>
      <c r="CY178" s="11"/>
      <c r="CZ178" s="11"/>
      <c r="DA178" s="28"/>
      <c r="DB178" s="28"/>
      <c r="DC178" s="11"/>
      <c r="DD178" s="29"/>
      <c r="DE178" s="11"/>
      <c r="DF178" s="11"/>
      <c r="DG178" s="11"/>
      <c r="DH178" s="11"/>
      <c r="DI178" s="11"/>
      <c r="DJ178" s="11"/>
      <c r="DK178" s="26"/>
      <c r="DL178" s="11"/>
      <c r="DM178" s="29"/>
      <c r="DN178" s="28"/>
      <c r="DO178" s="11"/>
      <c r="DP178" s="11"/>
      <c r="DQ178" s="11"/>
      <c r="DR178" s="29"/>
      <c r="DS178" s="28"/>
      <c r="DT178" s="11"/>
      <c r="DU178" s="26"/>
      <c r="DV178" s="11"/>
      <c r="DW178" s="29"/>
      <c r="DX178" s="28"/>
      <c r="DY178" s="11"/>
      <c r="DZ178" s="26"/>
      <c r="EA178" s="11"/>
      <c r="EB178" s="29"/>
      <c r="EC178" s="28"/>
      <c r="ED178" s="30"/>
      <c r="EE178" s="30" t="str">
        <f ca="1">IFERROR(__xludf.DUMMYFUNCTION("iferror(index(filter('Internal -- Trademark Countries'!E$2:E1000, (AM178 = 'Internal -- Trademark Countries'!B$2:B1000) + (AM178 = 'Internal -- Trademark Countries'!C$2:C1000) + (AM178 = 'Internal -- Trademark Countries'!D$2:D1000)), 1))"),"")</f>
        <v/>
      </c>
      <c r="EF178" s="30" t="e">
        <f ca="1">_xludf.ifs(AM178="", "", COUNTIF('Internal -- Trademark Countries'!B:B,AM178) &gt; 0, "polity_shortest_name", COUNTIF('Internal -- Trademark Countries'!C:C,AM178) &gt; 0, "polity_full_name", COUNTIF('Internal -- Trademark Countries'!D:D,AM178) &gt; 0, "polity_common_name", COUNTIF('Internal -- Trademark Countries'!E:E,AM178) &gt; 0, "shortest_name", COUNTIF('Internal -- Trademark Countries'!A:A,AM178) &gt; 0, "full_name", TRUE, "not a match")</f>
        <v>#NAME?</v>
      </c>
      <c r="EG178" s="30"/>
      <c r="EH178" s="30"/>
      <c r="EI178" s="30"/>
      <c r="EJ178" s="30"/>
      <c r="EK178" s="30" t="str">
        <f t="shared" si="2"/>
        <v/>
      </c>
    </row>
    <row r="179" spans="1:141" ht="16.5">
      <c r="A179" s="11"/>
      <c r="B179" s="11"/>
      <c r="C179" s="11"/>
      <c r="D179" s="11"/>
      <c r="E179" s="11"/>
      <c r="F179" s="11"/>
      <c r="G179" s="11"/>
      <c r="H179" s="11"/>
      <c r="I179" s="11"/>
      <c r="J179" s="11"/>
      <c r="K179" s="27"/>
      <c r="L179" s="11"/>
      <c r="M179" s="11"/>
      <c r="N179" s="11"/>
      <c r="O179" s="11"/>
      <c r="P179" s="15"/>
      <c r="Q179" s="15"/>
      <c r="R179" s="15"/>
      <c r="S179" s="15"/>
      <c r="T179" s="15"/>
      <c r="U179" s="15"/>
      <c r="V179" s="15"/>
      <c r="W179" s="47"/>
      <c r="X179" s="11"/>
      <c r="Y179" s="48"/>
      <c r="Z179" s="11"/>
      <c r="AA179" s="48"/>
      <c r="AB179" s="11"/>
      <c r="AC179" s="48"/>
      <c r="AD179" s="11"/>
      <c r="AE179" s="47"/>
      <c r="AF179" s="11"/>
      <c r="AG179" s="48"/>
      <c r="AH179" s="11"/>
      <c r="AI179" s="48"/>
      <c r="AJ179" s="11"/>
      <c r="AK179" s="48"/>
      <c r="AL179" s="11"/>
      <c r="AM179" s="49"/>
      <c r="AN179" s="49"/>
      <c r="AO179" s="11"/>
      <c r="AP179" s="11"/>
      <c r="AQ179" s="28" t="b">
        <f>IF(COUNTIF(SmartStatus!A$2:A1000, AM179) &gt; 2, TRUE, FALSE)</f>
        <v>0</v>
      </c>
      <c r="AR179" s="29" t="str">
        <f ca="1">IFERROR(__xludf.DUMMYFUNCTION("iferror(if(regexmatch(AO179, ""(?i)^registered""), if(EE179 &lt;&gt; ""polity_shortest_name"", ""CHECK_POLITY"", index(filter(SmartStatus!B$2:B1000, AM179 = SmartStatus!A$2:A1000, not(SmartStatus!C$2:C1000), (isblank(SmartStatus!D$2:D1000)) + ((P179 &lt;&gt; """") * "&amp;"(P179 &lt; SmartStatus!D$2:D1000)), (isblank(SmartStatus!E$2:E1000)) + ((P179 &lt;&gt; """") * (P179 &gt;= SmartStatus!E$2:E1000)), (isblank(SmartStatus!F$2:F1000)) + (((Q179 &lt;&gt; """") * (Q179 &lt; SmartStatus!F$2:F1000)) + ((P179 &lt;&gt; """") * (date(year(P179) + 3, month(P"&amp;"179), day(P179)) &lt; SmartStatus!F$2:F1000))), (isblank(SmartStatus!G$2:G1000)) + (((Q179 &lt;&gt; """") * (Q179 &gt;= SmartStatus!G$2:G1000)) + ((P179 &lt;&gt; """") * (P179 &gt;= SmartStatus!G$2:G1000)))), if(or(regexmatch(B179, ""(?i)^ir [a-z]+ designation$""), N179 &lt;&gt; """&amp;"""), 1, 2))), """"), ""NO_MATCH"")"),"")</f>
        <v/>
      </c>
      <c r="AS179" s="11"/>
      <c r="AT179" s="15"/>
      <c r="AU179" s="11"/>
      <c r="AV179" s="11"/>
      <c r="AW179" s="15"/>
      <c r="AX179" s="15"/>
      <c r="AY179" s="15"/>
      <c r="AZ179" s="11"/>
      <c r="BA179" s="15"/>
      <c r="BB179" s="11"/>
      <c r="BC179" s="11"/>
      <c r="BD179" s="15"/>
      <c r="BE179" s="11"/>
      <c r="BF179" s="11"/>
      <c r="BG179" s="15"/>
      <c r="BH179" s="15"/>
      <c r="BI179" s="15"/>
      <c r="BJ179" s="11"/>
      <c r="BK179" s="15"/>
      <c r="BL179" s="11"/>
      <c r="BM179" s="11"/>
      <c r="BN179" s="15"/>
      <c r="BO179" s="11"/>
      <c r="BP179" s="11"/>
      <c r="BQ179" s="15"/>
      <c r="BR179" s="15"/>
      <c r="BS179" s="15"/>
      <c r="BT179" s="11"/>
      <c r="BU179" s="15"/>
      <c r="BV179" s="11"/>
      <c r="BW179" s="11"/>
      <c r="BX179" s="15"/>
      <c r="BY179" s="11"/>
      <c r="BZ179" s="11"/>
      <c r="CA179" s="15"/>
      <c r="CB179" s="11"/>
      <c r="CC179" s="15"/>
      <c r="CD179" s="11"/>
      <c r="CE179" s="15"/>
      <c r="CF179" s="11"/>
      <c r="CG179" s="11"/>
      <c r="CH179" s="15"/>
      <c r="CI179" s="11"/>
      <c r="CJ179" s="11"/>
      <c r="CK179" s="15"/>
      <c r="CL179" s="11"/>
      <c r="CM179" s="11"/>
      <c r="CN179" s="11"/>
      <c r="CO179" s="11"/>
      <c r="CP179" s="28"/>
      <c r="CQ179" s="28"/>
      <c r="CR179" s="11"/>
      <c r="CS179" s="29"/>
      <c r="CT179" s="11"/>
      <c r="CU179" s="11"/>
      <c r="CV179" s="11"/>
      <c r="CW179" s="11"/>
      <c r="CX179" s="11"/>
      <c r="CY179" s="11"/>
      <c r="CZ179" s="11"/>
      <c r="DA179" s="28"/>
      <c r="DB179" s="28"/>
      <c r="DC179" s="11"/>
      <c r="DD179" s="29"/>
      <c r="DE179" s="11"/>
      <c r="DF179" s="11"/>
      <c r="DG179" s="11"/>
      <c r="DH179" s="11"/>
      <c r="DI179" s="11"/>
      <c r="DJ179" s="11"/>
      <c r="DK179" s="26"/>
      <c r="DL179" s="11"/>
      <c r="DM179" s="29"/>
      <c r="DN179" s="28"/>
      <c r="DO179" s="11"/>
      <c r="DP179" s="11"/>
      <c r="DQ179" s="11"/>
      <c r="DR179" s="29"/>
      <c r="DS179" s="28"/>
      <c r="DT179" s="11"/>
      <c r="DU179" s="26"/>
      <c r="DV179" s="11"/>
      <c r="DW179" s="29"/>
      <c r="DX179" s="28"/>
      <c r="DY179" s="11"/>
      <c r="DZ179" s="26"/>
      <c r="EA179" s="11"/>
      <c r="EB179" s="29"/>
      <c r="EC179" s="28"/>
      <c r="ED179" s="30"/>
      <c r="EE179" s="30" t="str">
        <f ca="1">IFERROR(__xludf.DUMMYFUNCTION("iferror(index(filter('Internal -- Trademark Countries'!E$2:E1000, (AM179 = 'Internal -- Trademark Countries'!B$2:B1000) + (AM179 = 'Internal -- Trademark Countries'!C$2:C1000) + (AM179 = 'Internal -- Trademark Countries'!D$2:D1000)), 1))"),"")</f>
        <v/>
      </c>
      <c r="EF179" s="30" t="e">
        <f ca="1">_xludf.ifs(AM179="", "", COUNTIF('Internal -- Trademark Countries'!B:B,AM179) &gt; 0, "polity_shortest_name", COUNTIF('Internal -- Trademark Countries'!C:C,AM179) &gt; 0, "polity_full_name", COUNTIF('Internal -- Trademark Countries'!D:D,AM179) &gt; 0, "polity_common_name", COUNTIF('Internal -- Trademark Countries'!E:E,AM179) &gt; 0, "shortest_name", COUNTIF('Internal -- Trademark Countries'!A:A,AM179) &gt; 0, "full_name", TRUE, "not a match")</f>
        <v>#NAME?</v>
      </c>
      <c r="EG179" s="30"/>
      <c r="EH179" s="30"/>
      <c r="EI179" s="30"/>
      <c r="EJ179" s="30"/>
      <c r="EK179" s="30" t="str">
        <f t="shared" si="2"/>
        <v/>
      </c>
    </row>
    <row r="180" spans="1:141" ht="16.5">
      <c r="A180" s="11"/>
      <c r="B180" s="11"/>
      <c r="C180" s="11"/>
      <c r="D180" s="11"/>
      <c r="E180" s="11"/>
      <c r="F180" s="11"/>
      <c r="G180" s="11"/>
      <c r="H180" s="11"/>
      <c r="I180" s="11"/>
      <c r="J180" s="11"/>
      <c r="K180" s="27"/>
      <c r="L180" s="11"/>
      <c r="M180" s="11"/>
      <c r="N180" s="11"/>
      <c r="O180" s="11"/>
      <c r="P180" s="15"/>
      <c r="Q180" s="15"/>
      <c r="R180" s="15"/>
      <c r="S180" s="15"/>
      <c r="T180" s="15"/>
      <c r="U180" s="15"/>
      <c r="V180" s="15"/>
      <c r="W180" s="47"/>
      <c r="X180" s="11"/>
      <c r="Y180" s="48"/>
      <c r="Z180" s="11"/>
      <c r="AA180" s="48"/>
      <c r="AB180" s="11"/>
      <c r="AC180" s="48"/>
      <c r="AD180" s="11"/>
      <c r="AE180" s="47"/>
      <c r="AF180" s="11"/>
      <c r="AG180" s="48"/>
      <c r="AH180" s="11"/>
      <c r="AI180" s="48"/>
      <c r="AJ180" s="11"/>
      <c r="AK180" s="48"/>
      <c r="AL180" s="11"/>
      <c r="AM180" s="49"/>
      <c r="AN180" s="49"/>
      <c r="AO180" s="11"/>
      <c r="AP180" s="11"/>
      <c r="AQ180" s="28" t="b">
        <f>IF(COUNTIF(SmartStatus!A$2:A1000, AM180) &gt; 2, TRUE, FALSE)</f>
        <v>0</v>
      </c>
      <c r="AR180" s="29" t="str">
        <f ca="1">IFERROR(__xludf.DUMMYFUNCTION("iferror(if(regexmatch(AO180, ""(?i)^registered""), if(EE180 &lt;&gt; ""polity_shortest_name"", ""CHECK_POLITY"", index(filter(SmartStatus!B$2:B1000, AM180 = SmartStatus!A$2:A1000, not(SmartStatus!C$2:C1000), (isblank(SmartStatus!D$2:D1000)) + ((P180 &lt;&gt; """") * "&amp;"(P180 &lt; SmartStatus!D$2:D1000)), (isblank(SmartStatus!E$2:E1000)) + ((P180 &lt;&gt; """") * (P180 &gt;= SmartStatus!E$2:E1000)), (isblank(SmartStatus!F$2:F1000)) + (((Q180 &lt;&gt; """") * (Q180 &lt; SmartStatus!F$2:F1000)) + ((P180 &lt;&gt; """") * (date(year(P180) + 3, month(P"&amp;"180), day(P180)) &lt; SmartStatus!F$2:F1000))), (isblank(SmartStatus!G$2:G1000)) + (((Q180 &lt;&gt; """") * (Q180 &gt;= SmartStatus!G$2:G1000)) + ((P180 &lt;&gt; """") * (P180 &gt;= SmartStatus!G$2:G1000)))), if(or(regexmatch(B180, ""(?i)^ir [a-z]+ designation$""), N180 &lt;&gt; """&amp;"""), 1, 2))), """"), ""NO_MATCH"")"),"")</f>
        <v/>
      </c>
      <c r="AS180" s="11"/>
      <c r="AT180" s="15"/>
      <c r="AU180" s="11"/>
      <c r="AV180" s="11"/>
      <c r="AW180" s="15"/>
      <c r="AX180" s="15"/>
      <c r="AY180" s="15"/>
      <c r="AZ180" s="11"/>
      <c r="BA180" s="15"/>
      <c r="BB180" s="11"/>
      <c r="BC180" s="11"/>
      <c r="BD180" s="15"/>
      <c r="BE180" s="11"/>
      <c r="BF180" s="11"/>
      <c r="BG180" s="15"/>
      <c r="BH180" s="15"/>
      <c r="BI180" s="15"/>
      <c r="BJ180" s="11"/>
      <c r="BK180" s="15"/>
      <c r="BL180" s="11"/>
      <c r="BM180" s="11"/>
      <c r="BN180" s="15"/>
      <c r="BO180" s="11"/>
      <c r="BP180" s="11"/>
      <c r="BQ180" s="15"/>
      <c r="BR180" s="15"/>
      <c r="BS180" s="15"/>
      <c r="BT180" s="11"/>
      <c r="BU180" s="15"/>
      <c r="BV180" s="11"/>
      <c r="BW180" s="11"/>
      <c r="BX180" s="15"/>
      <c r="BY180" s="11"/>
      <c r="BZ180" s="11"/>
      <c r="CA180" s="15"/>
      <c r="CB180" s="11"/>
      <c r="CC180" s="15"/>
      <c r="CD180" s="11"/>
      <c r="CE180" s="15"/>
      <c r="CF180" s="11"/>
      <c r="CG180" s="11"/>
      <c r="CH180" s="15"/>
      <c r="CI180" s="11"/>
      <c r="CJ180" s="11"/>
      <c r="CK180" s="15"/>
      <c r="CL180" s="11"/>
      <c r="CM180" s="11"/>
      <c r="CN180" s="11"/>
      <c r="CO180" s="11"/>
      <c r="CP180" s="28"/>
      <c r="CQ180" s="28"/>
      <c r="CR180" s="11"/>
      <c r="CS180" s="29"/>
      <c r="CT180" s="11"/>
      <c r="CU180" s="11"/>
      <c r="CV180" s="11"/>
      <c r="CW180" s="11"/>
      <c r="CX180" s="11"/>
      <c r="CY180" s="11"/>
      <c r="CZ180" s="11"/>
      <c r="DA180" s="28"/>
      <c r="DB180" s="28"/>
      <c r="DC180" s="11"/>
      <c r="DD180" s="29"/>
      <c r="DE180" s="11"/>
      <c r="DF180" s="11"/>
      <c r="DG180" s="11"/>
      <c r="DH180" s="11"/>
      <c r="DI180" s="11"/>
      <c r="DJ180" s="11"/>
      <c r="DK180" s="26"/>
      <c r="DL180" s="11"/>
      <c r="DM180" s="29"/>
      <c r="DN180" s="28"/>
      <c r="DO180" s="11"/>
      <c r="DP180" s="11"/>
      <c r="DQ180" s="11"/>
      <c r="DR180" s="29"/>
      <c r="DS180" s="28"/>
      <c r="DT180" s="11"/>
      <c r="DU180" s="26"/>
      <c r="DV180" s="11"/>
      <c r="DW180" s="29"/>
      <c r="DX180" s="28"/>
      <c r="DY180" s="11"/>
      <c r="DZ180" s="26"/>
      <c r="EA180" s="11"/>
      <c r="EB180" s="29"/>
      <c r="EC180" s="28"/>
      <c r="ED180" s="30"/>
      <c r="EE180" s="30" t="str">
        <f ca="1">IFERROR(__xludf.DUMMYFUNCTION("iferror(index(filter('Internal -- Trademark Countries'!E$2:E1000, (AM180 = 'Internal -- Trademark Countries'!B$2:B1000) + (AM180 = 'Internal -- Trademark Countries'!C$2:C1000) + (AM180 = 'Internal -- Trademark Countries'!D$2:D1000)), 1))"),"")</f>
        <v/>
      </c>
      <c r="EF180" s="30" t="e">
        <f ca="1">_xludf.ifs(AM180="", "", COUNTIF('Internal -- Trademark Countries'!B:B,AM180) &gt; 0, "polity_shortest_name", COUNTIF('Internal -- Trademark Countries'!C:C,AM180) &gt; 0, "polity_full_name", COUNTIF('Internal -- Trademark Countries'!D:D,AM180) &gt; 0, "polity_common_name", COUNTIF('Internal -- Trademark Countries'!E:E,AM180) &gt; 0, "shortest_name", COUNTIF('Internal -- Trademark Countries'!A:A,AM180) &gt; 0, "full_name", TRUE, "not a match")</f>
        <v>#NAME?</v>
      </c>
      <c r="EG180" s="30"/>
      <c r="EH180" s="30"/>
      <c r="EI180" s="30"/>
      <c r="EJ180" s="30"/>
      <c r="EK180" s="30" t="str">
        <f t="shared" si="2"/>
        <v/>
      </c>
    </row>
    <row r="181" spans="1:141" ht="16.5">
      <c r="A181" s="11"/>
      <c r="B181" s="11"/>
      <c r="C181" s="11"/>
      <c r="D181" s="11"/>
      <c r="E181" s="11"/>
      <c r="F181" s="11"/>
      <c r="G181" s="11"/>
      <c r="H181" s="11"/>
      <c r="I181" s="11"/>
      <c r="J181" s="11"/>
      <c r="K181" s="27"/>
      <c r="L181" s="11"/>
      <c r="M181" s="11"/>
      <c r="N181" s="11"/>
      <c r="O181" s="11"/>
      <c r="P181" s="15"/>
      <c r="Q181" s="15"/>
      <c r="R181" s="15"/>
      <c r="S181" s="15"/>
      <c r="T181" s="15"/>
      <c r="U181" s="15"/>
      <c r="V181" s="15"/>
      <c r="W181" s="47"/>
      <c r="X181" s="11"/>
      <c r="Y181" s="48"/>
      <c r="Z181" s="11"/>
      <c r="AA181" s="48"/>
      <c r="AB181" s="11"/>
      <c r="AC181" s="48"/>
      <c r="AD181" s="11"/>
      <c r="AE181" s="47"/>
      <c r="AF181" s="11"/>
      <c r="AG181" s="48"/>
      <c r="AH181" s="11"/>
      <c r="AI181" s="48"/>
      <c r="AJ181" s="11"/>
      <c r="AK181" s="48"/>
      <c r="AL181" s="11"/>
      <c r="AM181" s="49"/>
      <c r="AN181" s="49"/>
      <c r="AO181" s="11"/>
      <c r="AP181" s="11"/>
      <c r="AQ181" s="28" t="b">
        <f>IF(COUNTIF(SmartStatus!A$2:A1000, AM181) &gt; 2, TRUE, FALSE)</f>
        <v>0</v>
      </c>
      <c r="AR181" s="29" t="str">
        <f ca="1">IFERROR(__xludf.DUMMYFUNCTION("iferror(if(regexmatch(AO181, ""(?i)^registered""), if(EE181 &lt;&gt; ""polity_shortest_name"", ""CHECK_POLITY"", index(filter(SmartStatus!B$2:B1000, AM181 = SmartStatus!A$2:A1000, not(SmartStatus!C$2:C1000), (isblank(SmartStatus!D$2:D1000)) + ((P181 &lt;&gt; """") * "&amp;"(P181 &lt; SmartStatus!D$2:D1000)), (isblank(SmartStatus!E$2:E1000)) + ((P181 &lt;&gt; """") * (P181 &gt;= SmartStatus!E$2:E1000)), (isblank(SmartStatus!F$2:F1000)) + (((Q181 &lt;&gt; """") * (Q181 &lt; SmartStatus!F$2:F1000)) + ((P181 &lt;&gt; """") * (date(year(P181) + 3, month(P"&amp;"181), day(P181)) &lt; SmartStatus!F$2:F1000))), (isblank(SmartStatus!G$2:G1000)) + (((Q181 &lt;&gt; """") * (Q181 &gt;= SmartStatus!G$2:G1000)) + ((P181 &lt;&gt; """") * (P181 &gt;= SmartStatus!G$2:G1000)))), if(or(regexmatch(B181, ""(?i)^ir [a-z]+ designation$""), N181 &lt;&gt; """&amp;"""), 1, 2))), """"), ""NO_MATCH"")"),"")</f>
        <v/>
      </c>
      <c r="AS181" s="11"/>
      <c r="AT181" s="15"/>
      <c r="AU181" s="11"/>
      <c r="AV181" s="11"/>
      <c r="AW181" s="15"/>
      <c r="AX181" s="15"/>
      <c r="AY181" s="15"/>
      <c r="AZ181" s="11"/>
      <c r="BA181" s="15"/>
      <c r="BB181" s="11"/>
      <c r="BC181" s="11"/>
      <c r="BD181" s="15"/>
      <c r="BE181" s="11"/>
      <c r="BF181" s="11"/>
      <c r="BG181" s="15"/>
      <c r="BH181" s="15"/>
      <c r="BI181" s="15"/>
      <c r="BJ181" s="11"/>
      <c r="BK181" s="15"/>
      <c r="BL181" s="11"/>
      <c r="BM181" s="11"/>
      <c r="BN181" s="15"/>
      <c r="BO181" s="11"/>
      <c r="BP181" s="11"/>
      <c r="BQ181" s="15"/>
      <c r="BR181" s="15"/>
      <c r="BS181" s="15"/>
      <c r="BT181" s="11"/>
      <c r="BU181" s="15"/>
      <c r="BV181" s="11"/>
      <c r="BW181" s="11"/>
      <c r="BX181" s="15"/>
      <c r="BY181" s="11"/>
      <c r="BZ181" s="11"/>
      <c r="CA181" s="15"/>
      <c r="CB181" s="11"/>
      <c r="CC181" s="15"/>
      <c r="CD181" s="11"/>
      <c r="CE181" s="15"/>
      <c r="CF181" s="11"/>
      <c r="CG181" s="11"/>
      <c r="CH181" s="15"/>
      <c r="CI181" s="11"/>
      <c r="CJ181" s="11"/>
      <c r="CK181" s="15"/>
      <c r="CL181" s="11"/>
      <c r="CM181" s="11"/>
      <c r="CN181" s="11"/>
      <c r="CO181" s="11"/>
      <c r="CP181" s="28"/>
      <c r="CQ181" s="28"/>
      <c r="CR181" s="11"/>
      <c r="CS181" s="29"/>
      <c r="CT181" s="11"/>
      <c r="CU181" s="11"/>
      <c r="CV181" s="11"/>
      <c r="CW181" s="11"/>
      <c r="CX181" s="11"/>
      <c r="CY181" s="11"/>
      <c r="CZ181" s="11"/>
      <c r="DA181" s="28"/>
      <c r="DB181" s="28"/>
      <c r="DC181" s="11"/>
      <c r="DD181" s="29"/>
      <c r="DE181" s="11"/>
      <c r="DF181" s="11"/>
      <c r="DG181" s="11"/>
      <c r="DH181" s="11"/>
      <c r="DI181" s="11"/>
      <c r="DJ181" s="11"/>
      <c r="DK181" s="26"/>
      <c r="DL181" s="11"/>
      <c r="DM181" s="29"/>
      <c r="DN181" s="28"/>
      <c r="DO181" s="11"/>
      <c r="DP181" s="11"/>
      <c r="DQ181" s="11"/>
      <c r="DR181" s="29"/>
      <c r="DS181" s="28"/>
      <c r="DT181" s="11"/>
      <c r="DU181" s="26"/>
      <c r="DV181" s="11"/>
      <c r="DW181" s="29"/>
      <c r="DX181" s="28"/>
      <c r="DY181" s="11"/>
      <c r="DZ181" s="26"/>
      <c r="EA181" s="11"/>
      <c r="EB181" s="29"/>
      <c r="EC181" s="28"/>
      <c r="ED181" s="30"/>
      <c r="EE181" s="30" t="str">
        <f ca="1">IFERROR(__xludf.DUMMYFUNCTION("iferror(index(filter('Internal -- Trademark Countries'!E$2:E1000, (AM181 = 'Internal -- Trademark Countries'!B$2:B1000) + (AM181 = 'Internal -- Trademark Countries'!C$2:C1000) + (AM181 = 'Internal -- Trademark Countries'!D$2:D1000)), 1))"),"")</f>
        <v/>
      </c>
      <c r="EF181" s="30" t="e">
        <f ca="1">_xludf.ifs(AM181="", "", COUNTIF('Internal -- Trademark Countries'!B:B,AM181) &gt; 0, "polity_shortest_name", COUNTIF('Internal -- Trademark Countries'!C:C,AM181) &gt; 0, "polity_full_name", COUNTIF('Internal -- Trademark Countries'!D:D,AM181) &gt; 0, "polity_common_name", COUNTIF('Internal -- Trademark Countries'!E:E,AM181) &gt; 0, "shortest_name", COUNTIF('Internal -- Trademark Countries'!A:A,AM181) &gt; 0, "full_name", TRUE, "not a match")</f>
        <v>#NAME?</v>
      </c>
      <c r="EG181" s="30"/>
      <c r="EH181" s="30"/>
      <c r="EI181" s="30"/>
      <c r="EJ181" s="30"/>
      <c r="EK181" s="30" t="str">
        <f t="shared" si="2"/>
        <v/>
      </c>
    </row>
    <row r="182" spans="1:141" ht="16.5">
      <c r="A182" s="11"/>
      <c r="B182" s="11"/>
      <c r="C182" s="11"/>
      <c r="D182" s="11"/>
      <c r="E182" s="11"/>
      <c r="F182" s="11"/>
      <c r="G182" s="11"/>
      <c r="H182" s="11"/>
      <c r="I182" s="11"/>
      <c r="J182" s="11"/>
      <c r="K182" s="27"/>
      <c r="L182" s="11"/>
      <c r="M182" s="11"/>
      <c r="N182" s="11"/>
      <c r="O182" s="11"/>
      <c r="P182" s="15"/>
      <c r="Q182" s="15"/>
      <c r="R182" s="15"/>
      <c r="S182" s="15"/>
      <c r="T182" s="15"/>
      <c r="U182" s="15"/>
      <c r="V182" s="15"/>
      <c r="W182" s="47"/>
      <c r="X182" s="11"/>
      <c r="Y182" s="48"/>
      <c r="Z182" s="11"/>
      <c r="AA182" s="48"/>
      <c r="AB182" s="11"/>
      <c r="AC182" s="48"/>
      <c r="AD182" s="11"/>
      <c r="AE182" s="47"/>
      <c r="AF182" s="11"/>
      <c r="AG182" s="48"/>
      <c r="AH182" s="11"/>
      <c r="AI182" s="48"/>
      <c r="AJ182" s="11"/>
      <c r="AK182" s="48"/>
      <c r="AL182" s="11"/>
      <c r="AM182" s="49"/>
      <c r="AN182" s="49"/>
      <c r="AO182" s="11"/>
      <c r="AP182" s="11"/>
      <c r="AQ182" s="28" t="b">
        <f>IF(COUNTIF(SmartStatus!A$2:A1000, AM182) &gt; 2, TRUE, FALSE)</f>
        <v>0</v>
      </c>
      <c r="AR182" s="29" t="str">
        <f ca="1">IFERROR(__xludf.DUMMYFUNCTION("iferror(if(regexmatch(AO182, ""(?i)^registered""), if(EE182 &lt;&gt; ""polity_shortest_name"", ""CHECK_POLITY"", index(filter(SmartStatus!B$2:B1000, AM182 = SmartStatus!A$2:A1000, not(SmartStatus!C$2:C1000), (isblank(SmartStatus!D$2:D1000)) + ((P182 &lt;&gt; """") * "&amp;"(P182 &lt; SmartStatus!D$2:D1000)), (isblank(SmartStatus!E$2:E1000)) + ((P182 &lt;&gt; """") * (P182 &gt;= SmartStatus!E$2:E1000)), (isblank(SmartStatus!F$2:F1000)) + (((Q182 &lt;&gt; """") * (Q182 &lt; SmartStatus!F$2:F1000)) + ((P182 &lt;&gt; """") * (date(year(P182) + 3, month(P"&amp;"182), day(P182)) &lt; SmartStatus!F$2:F1000))), (isblank(SmartStatus!G$2:G1000)) + (((Q182 &lt;&gt; """") * (Q182 &gt;= SmartStatus!G$2:G1000)) + ((P182 &lt;&gt; """") * (P182 &gt;= SmartStatus!G$2:G1000)))), if(or(regexmatch(B182, ""(?i)^ir [a-z]+ designation$""), N182 &lt;&gt; """&amp;"""), 1, 2))), """"), ""NO_MATCH"")"),"")</f>
        <v/>
      </c>
      <c r="AS182" s="11"/>
      <c r="AT182" s="15"/>
      <c r="AU182" s="11"/>
      <c r="AV182" s="11"/>
      <c r="AW182" s="15"/>
      <c r="AX182" s="15"/>
      <c r="AY182" s="15"/>
      <c r="AZ182" s="11"/>
      <c r="BA182" s="15"/>
      <c r="BB182" s="11"/>
      <c r="BC182" s="11"/>
      <c r="BD182" s="15"/>
      <c r="BE182" s="11"/>
      <c r="BF182" s="11"/>
      <c r="BG182" s="15"/>
      <c r="BH182" s="15"/>
      <c r="BI182" s="15"/>
      <c r="BJ182" s="11"/>
      <c r="BK182" s="15"/>
      <c r="BL182" s="11"/>
      <c r="BM182" s="11"/>
      <c r="BN182" s="15"/>
      <c r="BO182" s="11"/>
      <c r="BP182" s="11"/>
      <c r="BQ182" s="15"/>
      <c r="BR182" s="15"/>
      <c r="BS182" s="15"/>
      <c r="BT182" s="11"/>
      <c r="BU182" s="15"/>
      <c r="BV182" s="11"/>
      <c r="BW182" s="11"/>
      <c r="BX182" s="15"/>
      <c r="BY182" s="11"/>
      <c r="BZ182" s="11"/>
      <c r="CA182" s="15"/>
      <c r="CB182" s="11"/>
      <c r="CC182" s="15"/>
      <c r="CD182" s="11"/>
      <c r="CE182" s="15"/>
      <c r="CF182" s="11"/>
      <c r="CG182" s="11"/>
      <c r="CH182" s="15"/>
      <c r="CI182" s="11"/>
      <c r="CJ182" s="11"/>
      <c r="CK182" s="15"/>
      <c r="CL182" s="11"/>
      <c r="CM182" s="11"/>
      <c r="CN182" s="11"/>
      <c r="CO182" s="11"/>
      <c r="CP182" s="28"/>
      <c r="CQ182" s="28"/>
      <c r="CR182" s="11"/>
      <c r="CS182" s="29"/>
      <c r="CT182" s="11"/>
      <c r="CU182" s="11"/>
      <c r="CV182" s="11"/>
      <c r="CW182" s="11"/>
      <c r="CX182" s="11"/>
      <c r="CY182" s="11"/>
      <c r="CZ182" s="11"/>
      <c r="DA182" s="28"/>
      <c r="DB182" s="28"/>
      <c r="DC182" s="11"/>
      <c r="DD182" s="29"/>
      <c r="DE182" s="11"/>
      <c r="DF182" s="11"/>
      <c r="DG182" s="11"/>
      <c r="DH182" s="11"/>
      <c r="DI182" s="11"/>
      <c r="DJ182" s="11"/>
      <c r="DK182" s="26"/>
      <c r="DL182" s="11"/>
      <c r="DM182" s="29"/>
      <c r="DN182" s="28"/>
      <c r="DO182" s="11"/>
      <c r="DP182" s="11"/>
      <c r="DQ182" s="11"/>
      <c r="DR182" s="29"/>
      <c r="DS182" s="28"/>
      <c r="DT182" s="11"/>
      <c r="DU182" s="26"/>
      <c r="DV182" s="11"/>
      <c r="DW182" s="29"/>
      <c r="DX182" s="28"/>
      <c r="DY182" s="11"/>
      <c r="DZ182" s="26"/>
      <c r="EA182" s="11"/>
      <c r="EB182" s="29"/>
      <c r="EC182" s="28"/>
      <c r="ED182" s="30"/>
      <c r="EE182" s="30" t="str">
        <f ca="1">IFERROR(__xludf.DUMMYFUNCTION("iferror(index(filter('Internal -- Trademark Countries'!E$2:E1000, (AM182 = 'Internal -- Trademark Countries'!B$2:B1000) + (AM182 = 'Internal -- Trademark Countries'!C$2:C1000) + (AM182 = 'Internal -- Trademark Countries'!D$2:D1000)), 1))"),"")</f>
        <v/>
      </c>
      <c r="EF182" s="30" t="e">
        <f ca="1">_xludf.ifs(AM182="", "", COUNTIF('Internal -- Trademark Countries'!B:B,AM182) &gt; 0, "polity_shortest_name", COUNTIF('Internal -- Trademark Countries'!C:C,AM182) &gt; 0, "polity_full_name", COUNTIF('Internal -- Trademark Countries'!D:D,AM182) &gt; 0, "polity_common_name", COUNTIF('Internal -- Trademark Countries'!E:E,AM182) &gt; 0, "shortest_name", COUNTIF('Internal -- Trademark Countries'!A:A,AM182) &gt; 0, "full_name", TRUE, "not a match")</f>
        <v>#NAME?</v>
      </c>
      <c r="EG182" s="30"/>
      <c r="EH182" s="30"/>
      <c r="EI182" s="30"/>
      <c r="EJ182" s="30"/>
      <c r="EK182" s="30" t="str">
        <f t="shared" si="2"/>
        <v/>
      </c>
    </row>
    <row r="183" spans="1:141" ht="16.5">
      <c r="A183" s="11"/>
      <c r="B183" s="11"/>
      <c r="C183" s="11"/>
      <c r="D183" s="11"/>
      <c r="E183" s="11"/>
      <c r="F183" s="11"/>
      <c r="G183" s="11"/>
      <c r="H183" s="11"/>
      <c r="I183" s="11"/>
      <c r="J183" s="11"/>
      <c r="K183" s="27"/>
      <c r="L183" s="11"/>
      <c r="M183" s="11"/>
      <c r="N183" s="11"/>
      <c r="O183" s="11"/>
      <c r="P183" s="15"/>
      <c r="Q183" s="15"/>
      <c r="R183" s="15"/>
      <c r="S183" s="15"/>
      <c r="T183" s="15"/>
      <c r="U183" s="15"/>
      <c r="V183" s="15"/>
      <c r="W183" s="47"/>
      <c r="X183" s="11"/>
      <c r="Y183" s="48"/>
      <c r="Z183" s="11"/>
      <c r="AA183" s="48"/>
      <c r="AB183" s="11"/>
      <c r="AC183" s="48"/>
      <c r="AD183" s="11"/>
      <c r="AE183" s="47"/>
      <c r="AF183" s="11"/>
      <c r="AG183" s="48"/>
      <c r="AH183" s="11"/>
      <c r="AI183" s="48"/>
      <c r="AJ183" s="11"/>
      <c r="AK183" s="48"/>
      <c r="AL183" s="11"/>
      <c r="AM183" s="49"/>
      <c r="AN183" s="49"/>
      <c r="AO183" s="11"/>
      <c r="AP183" s="11"/>
      <c r="AQ183" s="28" t="b">
        <f>IF(COUNTIF(SmartStatus!A$2:A1000, AM183) &gt; 2, TRUE, FALSE)</f>
        <v>0</v>
      </c>
      <c r="AR183" s="29" t="str">
        <f ca="1">IFERROR(__xludf.DUMMYFUNCTION("iferror(if(regexmatch(AO183, ""(?i)^registered""), if(EE183 &lt;&gt; ""polity_shortest_name"", ""CHECK_POLITY"", index(filter(SmartStatus!B$2:B1000, AM183 = SmartStatus!A$2:A1000, not(SmartStatus!C$2:C1000), (isblank(SmartStatus!D$2:D1000)) + ((P183 &lt;&gt; """") * "&amp;"(P183 &lt; SmartStatus!D$2:D1000)), (isblank(SmartStatus!E$2:E1000)) + ((P183 &lt;&gt; """") * (P183 &gt;= SmartStatus!E$2:E1000)), (isblank(SmartStatus!F$2:F1000)) + (((Q183 &lt;&gt; """") * (Q183 &lt; SmartStatus!F$2:F1000)) + ((P183 &lt;&gt; """") * (date(year(P183) + 3, month(P"&amp;"183), day(P183)) &lt; SmartStatus!F$2:F1000))), (isblank(SmartStatus!G$2:G1000)) + (((Q183 &lt;&gt; """") * (Q183 &gt;= SmartStatus!G$2:G1000)) + ((P183 &lt;&gt; """") * (P183 &gt;= SmartStatus!G$2:G1000)))), if(or(regexmatch(B183, ""(?i)^ir [a-z]+ designation$""), N183 &lt;&gt; """&amp;"""), 1, 2))), """"), ""NO_MATCH"")"),"")</f>
        <v/>
      </c>
      <c r="AS183" s="11"/>
      <c r="AT183" s="15"/>
      <c r="AU183" s="11"/>
      <c r="AV183" s="11"/>
      <c r="AW183" s="15"/>
      <c r="AX183" s="15"/>
      <c r="AY183" s="15"/>
      <c r="AZ183" s="11"/>
      <c r="BA183" s="15"/>
      <c r="BB183" s="11"/>
      <c r="BC183" s="11"/>
      <c r="BD183" s="15"/>
      <c r="BE183" s="11"/>
      <c r="BF183" s="11"/>
      <c r="BG183" s="15"/>
      <c r="BH183" s="15"/>
      <c r="BI183" s="15"/>
      <c r="BJ183" s="11"/>
      <c r="BK183" s="15"/>
      <c r="BL183" s="11"/>
      <c r="BM183" s="11"/>
      <c r="BN183" s="15"/>
      <c r="BO183" s="11"/>
      <c r="BP183" s="11"/>
      <c r="BQ183" s="15"/>
      <c r="BR183" s="15"/>
      <c r="BS183" s="15"/>
      <c r="BT183" s="11"/>
      <c r="BU183" s="15"/>
      <c r="BV183" s="11"/>
      <c r="BW183" s="11"/>
      <c r="BX183" s="15"/>
      <c r="BY183" s="11"/>
      <c r="BZ183" s="11"/>
      <c r="CA183" s="15"/>
      <c r="CB183" s="11"/>
      <c r="CC183" s="15"/>
      <c r="CD183" s="11"/>
      <c r="CE183" s="15"/>
      <c r="CF183" s="11"/>
      <c r="CG183" s="11"/>
      <c r="CH183" s="15"/>
      <c r="CI183" s="11"/>
      <c r="CJ183" s="11"/>
      <c r="CK183" s="15"/>
      <c r="CL183" s="11"/>
      <c r="CM183" s="11"/>
      <c r="CN183" s="11"/>
      <c r="CO183" s="11"/>
      <c r="CP183" s="28"/>
      <c r="CQ183" s="28"/>
      <c r="CR183" s="11"/>
      <c r="CS183" s="29"/>
      <c r="CT183" s="11"/>
      <c r="CU183" s="11"/>
      <c r="CV183" s="11"/>
      <c r="CW183" s="11"/>
      <c r="CX183" s="11"/>
      <c r="CY183" s="11"/>
      <c r="CZ183" s="11"/>
      <c r="DA183" s="28"/>
      <c r="DB183" s="28"/>
      <c r="DC183" s="11"/>
      <c r="DD183" s="29"/>
      <c r="DE183" s="11"/>
      <c r="DF183" s="11"/>
      <c r="DG183" s="11"/>
      <c r="DH183" s="11"/>
      <c r="DI183" s="11"/>
      <c r="DJ183" s="11"/>
      <c r="DK183" s="26"/>
      <c r="DL183" s="11"/>
      <c r="DM183" s="29"/>
      <c r="DN183" s="28"/>
      <c r="DO183" s="11"/>
      <c r="DP183" s="11"/>
      <c r="DQ183" s="11"/>
      <c r="DR183" s="29"/>
      <c r="DS183" s="28"/>
      <c r="DT183" s="11"/>
      <c r="DU183" s="26"/>
      <c r="DV183" s="11"/>
      <c r="DW183" s="29"/>
      <c r="DX183" s="28"/>
      <c r="DY183" s="11"/>
      <c r="DZ183" s="26"/>
      <c r="EA183" s="11"/>
      <c r="EB183" s="29"/>
      <c r="EC183" s="28"/>
      <c r="ED183" s="30"/>
      <c r="EE183" s="30" t="str">
        <f ca="1">IFERROR(__xludf.DUMMYFUNCTION("iferror(index(filter('Internal -- Trademark Countries'!E$2:E1000, (AM183 = 'Internal -- Trademark Countries'!B$2:B1000) + (AM183 = 'Internal -- Trademark Countries'!C$2:C1000) + (AM183 = 'Internal -- Trademark Countries'!D$2:D1000)), 1))"),"")</f>
        <v/>
      </c>
      <c r="EF183" s="30" t="e">
        <f ca="1">_xludf.ifs(AM183="", "", COUNTIF('Internal -- Trademark Countries'!B:B,AM183) &gt; 0, "polity_shortest_name", COUNTIF('Internal -- Trademark Countries'!C:C,AM183) &gt; 0, "polity_full_name", COUNTIF('Internal -- Trademark Countries'!D:D,AM183) &gt; 0, "polity_common_name", COUNTIF('Internal -- Trademark Countries'!E:E,AM183) &gt; 0, "shortest_name", COUNTIF('Internal -- Trademark Countries'!A:A,AM183) &gt; 0, "full_name", TRUE, "not a match")</f>
        <v>#NAME?</v>
      </c>
      <c r="EG183" s="30"/>
      <c r="EH183" s="30"/>
      <c r="EI183" s="30"/>
      <c r="EJ183" s="30"/>
      <c r="EK183" s="30" t="str">
        <f t="shared" si="2"/>
        <v/>
      </c>
    </row>
    <row r="184" spans="1:141" ht="16.5">
      <c r="A184" s="11"/>
      <c r="B184" s="11"/>
      <c r="C184" s="11"/>
      <c r="D184" s="11"/>
      <c r="E184" s="11"/>
      <c r="F184" s="11"/>
      <c r="G184" s="11"/>
      <c r="H184" s="11"/>
      <c r="I184" s="11"/>
      <c r="J184" s="11"/>
      <c r="K184" s="27"/>
      <c r="L184" s="11"/>
      <c r="M184" s="11"/>
      <c r="N184" s="11"/>
      <c r="O184" s="11"/>
      <c r="P184" s="15"/>
      <c r="Q184" s="15"/>
      <c r="R184" s="15"/>
      <c r="S184" s="15"/>
      <c r="T184" s="15"/>
      <c r="U184" s="15"/>
      <c r="V184" s="15"/>
      <c r="W184" s="47"/>
      <c r="X184" s="11"/>
      <c r="Y184" s="48"/>
      <c r="Z184" s="11"/>
      <c r="AA184" s="48"/>
      <c r="AB184" s="11"/>
      <c r="AC184" s="48"/>
      <c r="AD184" s="11"/>
      <c r="AE184" s="47"/>
      <c r="AF184" s="11"/>
      <c r="AG184" s="48"/>
      <c r="AH184" s="11"/>
      <c r="AI184" s="48"/>
      <c r="AJ184" s="11"/>
      <c r="AK184" s="48"/>
      <c r="AL184" s="11"/>
      <c r="AM184" s="49"/>
      <c r="AN184" s="49"/>
      <c r="AO184" s="11"/>
      <c r="AP184" s="11"/>
      <c r="AQ184" s="28" t="b">
        <f>IF(COUNTIF(SmartStatus!A$2:A1000, AM184) &gt; 2, TRUE, FALSE)</f>
        <v>0</v>
      </c>
      <c r="AR184" s="29" t="str">
        <f ca="1">IFERROR(__xludf.DUMMYFUNCTION("iferror(if(regexmatch(AO184, ""(?i)^registered""), if(EE184 &lt;&gt; ""polity_shortest_name"", ""CHECK_POLITY"", index(filter(SmartStatus!B$2:B1000, AM184 = SmartStatus!A$2:A1000, not(SmartStatus!C$2:C1000), (isblank(SmartStatus!D$2:D1000)) + ((P184 &lt;&gt; """") * "&amp;"(P184 &lt; SmartStatus!D$2:D1000)), (isblank(SmartStatus!E$2:E1000)) + ((P184 &lt;&gt; """") * (P184 &gt;= SmartStatus!E$2:E1000)), (isblank(SmartStatus!F$2:F1000)) + (((Q184 &lt;&gt; """") * (Q184 &lt; SmartStatus!F$2:F1000)) + ((P184 &lt;&gt; """") * (date(year(P184) + 3, month(P"&amp;"184), day(P184)) &lt; SmartStatus!F$2:F1000))), (isblank(SmartStatus!G$2:G1000)) + (((Q184 &lt;&gt; """") * (Q184 &gt;= SmartStatus!G$2:G1000)) + ((P184 &lt;&gt; """") * (P184 &gt;= SmartStatus!G$2:G1000)))), if(or(regexmatch(B184, ""(?i)^ir [a-z]+ designation$""), N184 &lt;&gt; """&amp;"""), 1, 2))), """"), ""NO_MATCH"")"),"")</f>
        <v/>
      </c>
      <c r="AS184" s="11"/>
      <c r="AT184" s="15"/>
      <c r="AU184" s="11"/>
      <c r="AV184" s="11"/>
      <c r="AW184" s="15"/>
      <c r="AX184" s="15"/>
      <c r="AY184" s="15"/>
      <c r="AZ184" s="11"/>
      <c r="BA184" s="15"/>
      <c r="BB184" s="11"/>
      <c r="BC184" s="11"/>
      <c r="BD184" s="15"/>
      <c r="BE184" s="11"/>
      <c r="BF184" s="11"/>
      <c r="BG184" s="15"/>
      <c r="BH184" s="15"/>
      <c r="BI184" s="15"/>
      <c r="BJ184" s="11"/>
      <c r="BK184" s="15"/>
      <c r="BL184" s="11"/>
      <c r="BM184" s="11"/>
      <c r="BN184" s="15"/>
      <c r="BO184" s="11"/>
      <c r="BP184" s="11"/>
      <c r="BQ184" s="15"/>
      <c r="BR184" s="15"/>
      <c r="BS184" s="15"/>
      <c r="BT184" s="11"/>
      <c r="BU184" s="15"/>
      <c r="BV184" s="11"/>
      <c r="BW184" s="11"/>
      <c r="BX184" s="15"/>
      <c r="BY184" s="11"/>
      <c r="BZ184" s="11"/>
      <c r="CA184" s="15"/>
      <c r="CB184" s="11"/>
      <c r="CC184" s="15"/>
      <c r="CD184" s="11"/>
      <c r="CE184" s="15"/>
      <c r="CF184" s="11"/>
      <c r="CG184" s="11"/>
      <c r="CH184" s="15"/>
      <c r="CI184" s="11"/>
      <c r="CJ184" s="11"/>
      <c r="CK184" s="15"/>
      <c r="CL184" s="11"/>
      <c r="CM184" s="11"/>
      <c r="CN184" s="11"/>
      <c r="CO184" s="11"/>
      <c r="CP184" s="28"/>
      <c r="CQ184" s="28"/>
      <c r="CR184" s="11"/>
      <c r="CS184" s="29"/>
      <c r="CT184" s="11"/>
      <c r="CU184" s="11"/>
      <c r="CV184" s="11"/>
      <c r="CW184" s="11"/>
      <c r="CX184" s="11"/>
      <c r="CY184" s="11"/>
      <c r="CZ184" s="11"/>
      <c r="DA184" s="28"/>
      <c r="DB184" s="28"/>
      <c r="DC184" s="11"/>
      <c r="DD184" s="29"/>
      <c r="DE184" s="11"/>
      <c r="DF184" s="11"/>
      <c r="DG184" s="11"/>
      <c r="DH184" s="11"/>
      <c r="DI184" s="11"/>
      <c r="DJ184" s="11"/>
      <c r="DK184" s="26"/>
      <c r="DL184" s="11"/>
      <c r="DM184" s="29"/>
      <c r="DN184" s="28"/>
      <c r="DO184" s="11"/>
      <c r="DP184" s="11"/>
      <c r="DQ184" s="11"/>
      <c r="DR184" s="29"/>
      <c r="DS184" s="28"/>
      <c r="DT184" s="11"/>
      <c r="DU184" s="26"/>
      <c r="DV184" s="11"/>
      <c r="DW184" s="29"/>
      <c r="DX184" s="28"/>
      <c r="DY184" s="11"/>
      <c r="DZ184" s="26"/>
      <c r="EA184" s="11"/>
      <c r="EB184" s="29"/>
      <c r="EC184" s="28"/>
      <c r="ED184" s="30"/>
      <c r="EE184" s="30" t="str">
        <f ca="1">IFERROR(__xludf.DUMMYFUNCTION("iferror(index(filter('Internal -- Trademark Countries'!E$2:E1000, (AM184 = 'Internal -- Trademark Countries'!B$2:B1000) + (AM184 = 'Internal -- Trademark Countries'!C$2:C1000) + (AM184 = 'Internal -- Trademark Countries'!D$2:D1000)), 1))"),"")</f>
        <v/>
      </c>
      <c r="EF184" s="30" t="e">
        <f ca="1">_xludf.ifs(AM184="", "", COUNTIF('Internal -- Trademark Countries'!B:B,AM184) &gt; 0, "polity_shortest_name", COUNTIF('Internal -- Trademark Countries'!C:C,AM184) &gt; 0, "polity_full_name", COUNTIF('Internal -- Trademark Countries'!D:D,AM184) &gt; 0, "polity_common_name", COUNTIF('Internal -- Trademark Countries'!E:E,AM184) &gt; 0, "shortest_name", COUNTIF('Internal -- Trademark Countries'!A:A,AM184) &gt; 0, "full_name", TRUE, "not a match")</f>
        <v>#NAME?</v>
      </c>
      <c r="EG184" s="30"/>
      <c r="EH184" s="30"/>
      <c r="EI184" s="30"/>
      <c r="EJ184" s="30"/>
      <c r="EK184" s="30" t="str">
        <f t="shared" si="2"/>
        <v/>
      </c>
    </row>
    <row r="185" spans="1:141" ht="16.5">
      <c r="A185" s="11"/>
      <c r="B185" s="11"/>
      <c r="C185" s="11"/>
      <c r="D185" s="11"/>
      <c r="E185" s="11"/>
      <c r="F185" s="11"/>
      <c r="G185" s="11"/>
      <c r="H185" s="11"/>
      <c r="I185" s="11"/>
      <c r="J185" s="11"/>
      <c r="K185" s="27"/>
      <c r="L185" s="11"/>
      <c r="M185" s="11"/>
      <c r="N185" s="11"/>
      <c r="O185" s="11"/>
      <c r="P185" s="15"/>
      <c r="Q185" s="15"/>
      <c r="R185" s="15"/>
      <c r="S185" s="15"/>
      <c r="T185" s="15"/>
      <c r="U185" s="15"/>
      <c r="V185" s="15"/>
      <c r="W185" s="47"/>
      <c r="X185" s="11"/>
      <c r="Y185" s="48"/>
      <c r="Z185" s="11"/>
      <c r="AA185" s="48"/>
      <c r="AB185" s="11"/>
      <c r="AC185" s="48"/>
      <c r="AD185" s="11"/>
      <c r="AE185" s="47"/>
      <c r="AF185" s="11"/>
      <c r="AG185" s="48"/>
      <c r="AH185" s="11"/>
      <c r="AI185" s="48"/>
      <c r="AJ185" s="11"/>
      <c r="AK185" s="48"/>
      <c r="AL185" s="11"/>
      <c r="AM185" s="49"/>
      <c r="AN185" s="49"/>
      <c r="AO185" s="11"/>
      <c r="AP185" s="11"/>
      <c r="AQ185" s="28" t="b">
        <f>IF(COUNTIF(SmartStatus!A$2:A1000, AM185) &gt; 2, TRUE, FALSE)</f>
        <v>0</v>
      </c>
      <c r="AR185" s="29" t="str">
        <f ca="1">IFERROR(__xludf.DUMMYFUNCTION("iferror(if(regexmatch(AO185, ""(?i)^registered""), if(EE185 &lt;&gt; ""polity_shortest_name"", ""CHECK_POLITY"", index(filter(SmartStatus!B$2:B1000, AM185 = SmartStatus!A$2:A1000, not(SmartStatus!C$2:C1000), (isblank(SmartStatus!D$2:D1000)) + ((P185 &lt;&gt; """") * "&amp;"(P185 &lt; SmartStatus!D$2:D1000)), (isblank(SmartStatus!E$2:E1000)) + ((P185 &lt;&gt; """") * (P185 &gt;= SmartStatus!E$2:E1000)), (isblank(SmartStatus!F$2:F1000)) + (((Q185 &lt;&gt; """") * (Q185 &lt; SmartStatus!F$2:F1000)) + ((P185 &lt;&gt; """") * (date(year(P185) + 3, month(P"&amp;"185), day(P185)) &lt; SmartStatus!F$2:F1000))), (isblank(SmartStatus!G$2:G1000)) + (((Q185 &lt;&gt; """") * (Q185 &gt;= SmartStatus!G$2:G1000)) + ((P185 &lt;&gt; """") * (P185 &gt;= SmartStatus!G$2:G1000)))), if(or(regexmatch(B185, ""(?i)^ir [a-z]+ designation$""), N185 &lt;&gt; """&amp;"""), 1, 2))), """"), ""NO_MATCH"")"),"")</f>
        <v/>
      </c>
      <c r="AS185" s="11"/>
      <c r="AT185" s="15"/>
      <c r="AU185" s="11"/>
      <c r="AV185" s="11"/>
      <c r="AW185" s="15"/>
      <c r="AX185" s="15"/>
      <c r="AY185" s="15"/>
      <c r="AZ185" s="11"/>
      <c r="BA185" s="15"/>
      <c r="BB185" s="11"/>
      <c r="BC185" s="11"/>
      <c r="BD185" s="15"/>
      <c r="BE185" s="11"/>
      <c r="BF185" s="11"/>
      <c r="BG185" s="15"/>
      <c r="BH185" s="15"/>
      <c r="BI185" s="15"/>
      <c r="BJ185" s="11"/>
      <c r="BK185" s="15"/>
      <c r="BL185" s="11"/>
      <c r="BM185" s="11"/>
      <c r="BN185" s="15"/>
      <c r="BO185" s="11"/>
      <c r="BP185" s="11"/>
      <c r="BQ185" s="15"/>
      <c r="BR185" s="15"/>
      <c r="BS185" s="15"/>
      <c r="BT185" s="11"/>
      <c r="BU185" s="15"/>
      <c r="BV185" s="11"/>
      <c r="BW185" s="11"/>
      <c r="BX185" s="15"/>
      <c r="BY185" s="11"/>
      <c r="BZ185" s="11"/>
      <c r="CA185" s="15"/>
      <c r="CB185" s="11"/>
      <c r="CC185" s="15"/>
      <c r="CD185" s="11"/>
      <c r="CE185" s="15"/>
      <c r="CF185" s="11"/>
      <c r="CG185" s="11"/>
      <c r="CH185" s="15"/>
      <c r="CI185" s="11"/>
      <c r="CJ185" s="11"/>
      <c r="CK185" s="15"/>
      <c r="CL185" s="11"/>
      <c r="CM185" s="11"/>
      <c r="CN185" s="11"/>
      <c r="CO185" s="11"/>
      <c r="CP185" s="28"/>
      <c r="CQ185" s="28"/>
      <c r="CR185" s="11"/>
      <c r="CS185" s="29"/>
      <c r="CT185" s="11"/>
      <c r="CU185" s="11"/>
      <c r="CV185" s="11"/>
      <c r="CW185" s="11"/>
      <c r="CX185" s="11"/>
      <c r="CY185" s="11"/>
      <c r="CZ185" s="11"/>
      <c r="DA185" s="28"/>
      <c r="DB185" s="28"/>
      <c r="DC185" s="11"/>
      <c r="DD185" s="29"/>
      <c r="DE185" s="11"/>
      <c r="DF185" s="11"/>
      <c r="DG185" s="11"/>
      <c r="DH185" s="11"/>
      <c r="DI185" s="11"/>
      <c r="DJ185" s="11"/>
      <c r="DK185" s="26"/>
      <c r="DL185" s="11"/>
      <c r="DM185" s="29"/>
      <c r="DN185" s="28"/>
      <c r="DO185" s="11"/>
      <c r="DP185" s="11"/>
      <c r="DQ185" s="11"/>
      <c r="DR185" s="29"/>
      <c r="DS185" s="28"/>
      <c r="DT185" s="11"/>
      <c r="DU185" s="26"/>
      <c r="DV185" s="11"/>
      <c r="DW185" s="29"/>
      <c r="DX185" s="28"/>
      <c r="DY185" s="11"/>
      <c r="DZ185" s="26"/>
      <c r="EA185" s="11"/>
      <c r="EB185" s="29"/>
      <c r="EC185" s="28"/>
      <c r="ED185" s="30"/>
      <c r="EE185" s="30" t="str">
        <f ca="1">IFERROR(__xludf.DUMMYFUNCTION("iferror(index(filter('Internal -- Trademark Countries'!E$2:E1000, (AM185 = 'Internal -- Trademark Countries'!B$2:B1000) + (AM185 = 'Internal -- Trademark Countries'!C$2:C1000) + (AM185 = 'Internal -- Trademark Countries'!D$2:D1000)), 1))"),"")</f>
        <v/>
      </c>
      <c r="EF185" s="30" t="e">
        <f ca="1">_xludf.ifs(AM185="", "", COUNTIF('Internal -- Trademark Countries'!B:B,AM185) &gt; 0, "polity_shortest_name", COUNTIF('Internal -- Trademark Countries'!C:C,AM185) &gt; 0, "polity_full_name", COUNTIF('Internal -- Trademark Countries'!D:D,AM185) &gt; 0, "polity_common_name", COUNTIF('Internal -- Trademark Countries'!E:E,AM185) &gt; 0, "shortest_name", COUNTIF('Internal -- Trademark Countries'!A:A,AM185) &gt; 0, "full_name", TRUE, "not a match")</f>
        <v>#NAME?</v>
      </c>
      <c r="EG185" s="30"/>
      <c r="EH185" s="30"/>
      <c r="EI185" s="30"/>
      <c r="EJ185" s="30"/>
      <c r="EK185" s="30" t="str">
        <f t="shared" si="2"/>
        <v/>
      </c>
    </row>
    <row r="186" spans="1:141" ht="16.5">
      <c r="A186" s="11"/>
      <c r="B186" s="11"/>
      <c r="C186" s="11"/>
      <c r="D186" s="11"/>
      <c r="E186" s="11"/>
      <c r="F186" s="11"/>
      <c r="G186" s="11"/>
      <c r="H186" s="11"/>
      <c r="I186" s="11"/>
      <c r="J186" s="11"/>
      <c r="K186" s="27"/>
      <c r="L186" s="11"/>
      <c r="M186" s="11"/>
      <c r="N186" s="11"/>
      <c r="O186" s="11"/>
      <c r="P186" s="15"/>
      <c r="Q186" s="15"/>
      <c r="R186" s="15"/>
      <c r="S186" s="15"/>
      <c r="T186" s="15"/>
      <c r="U186" s="15"/>
      <c r="V186" s="15"/>
      <c r="W186" s="47"/>
      <c r="X186" s="11"/>
      <c r="Y186" s="48"/>
      <c r="Z186" s="11"/>
      <c r="AA186" s="48"/>
      <c r="AB186" s="11"/>
      <c r="AC186" s="48"/>
      <c r="AD186" s="11"/>
      <c r="AE186" s="47"/>
      <c r="AF186" s="11"/>
      <c r="AG186" s="48"/>
      <c r="AH186" s="11"/>
      <c r="AI186" s="48"/>
      <c r="AJ186" s="11"/>
      <c r="AK186" s="48"/>
      <c r="AL186" s="11"/>
      <c r="AM186" s="49"/>
      <c r="AN186" s="49"/>
      <c r="AO186" s="11"/>
      <c r="AP186" s="11"/>
      <c r="AQ186" s="28" t="b">
        <f>IF(COUNTIF(SmartStatus!A$2:A1000, AM186) &gt; 2, TRUE, FALSE)</f>
        <v>0</v>
      </c>
      <c r="AR186" s="29" t="str">
        <f ca="1">IFERROR(__xludf.DUMMYFUNCTION("iferror(if(regexmatch(AO186, ""(?i)^registered""), if(EE186 &lt;&gt; ""polity_shortest_name"", ""CHECK_POLITY"", index(filter(SmartStatus!B$2:B1000, AM186 = SmartStatus!A$2:A1000, not(SmartStatus!C$2:C1000), (isblank(SmartStatus!D$2:D1000)) + ((P186 &lt;&gt; """") * "&amp;"(P186 &lt; SmartStatus!D$2:D1000)), (isblank(SmartStatus!E$2:E1000)) + ((P186 &lt;&gt; """") * (P186 &gt;= SmartStatus!E$2:E1000)), (isblank(SmartStatus!F$2:F1000)) + (((Q186 &lt;&gt; """") * (Q186 &lt; SmartStatus!F$2:F1000)) + ((P186 &lt;&gt; """") * (date(year(P186) + 3, month(P"&amp;"186), day(P186)) &lt; SmartStatus!F$2:F1000))), (isblank(SmartStatus!G$2:G1000)) + (((Q186 &lt;&gt; """") * (Q186 &gt;= SmartStatus!G$2:G1000)) + ((P186 &lt;&gt; """") * (P186 &gt;= SmartStatus!G$2:G1000)))), if(or(regexmatch(B186, ""(?i)^ir [a-z]+ designation$""), N186 &lt;&gt; """&amp;"""), 1, 2))), """"), ""NO_MATCH"")"),"")</f>
        <v/>
      </c>
      <c r="AS186" s="11"/>
      <c r="AT186" s="15"/>
      <c r="AU186" s="11"/>
      <c r="AV186" s="11"/>
      <c r="AW186" s="15"/>
      <c r="AX186" s="15"/>
      <c r="AY186" s="15"/>
      <c r="AZ186" s="11"/>
      <c r="BA186" s="15"/>
      <c r="BB186" s="11"/>
      <c r="BC186" s="11"/>
      <c r="BD186" s="15"/>
      <c r="BE186" s="11"/>
      <c r="BF186" s="11"/>
      <c r="BG186" s="15"/>
      <c r="BH186" s="15"/>
      <c r="BI186" s="15"/>
      <c r="BJ186" s="11"/>
      <c r="BK186" s="15"/>
      <c r="BL186" s="11"/>
      <c r="BM186" s="11"/>
      <c r="BN186" s="15"/>
      <c r="BO186" s="11"/>
      <c r="BP186" s="11"/>
      <c r="BQ186" s="15"/>
      <c r="BR186" s="15"/>
      <c r="BS186" s="15"/>
      <c r="BT186" s="11"/>
      <c r="BU186" s="15"/>
      <c r="BV186" s="11"/>
      <c r="BW186" s="11"/>
      <c r="BX186" s="15"/>
      <c r="BY186" s="11"/>
      <c r="BZ186" s="11"/>
      <c r="CA186" s="15"/>
      <c r="CB186" s="11"/>
      <c r="CC186" s="15"/>
      <c r="CD186" s="11"/>
      <c r="CE186" s="15"/>
      <c r="CF186" s="11"/>
      <c r="CG186" s="11"/>
      <c r="CH186" s="15"/>
      <c r="CI186" s="11"/>
      <c r="CJ186" s="11"/>
      <c r="CK186" s="15"/>
      <c r="CL186" s="11"/>
      <c r="CM186" s="11"/>
      <c r="CN186" s="11"/>
      <c r="CO186" s="11"/>
      <c r="CP186" s="28"/>
      <c r="CQ186" s="28"/>
      <c r="CR186" s="11"/>
      <c r="CS186" s="29"/>
      <c r="CT186" s="11"/>
      <c r="CU186" s="11"/>
      <c r="CV186" s="11"/>
      <c r="CW186" s="11"/>
      <c r="CX186" s="11"/>
      <c r="CY186" s="11"/>
      <c r="CZ186" s="11"/>
      <c r="DA186" s="28"/>
      <c r="DB186" s="28"/>
      <c r="DC186" s="11"/>
      <c r="DD186" s="29"/>
      <c r="DE186" s="11"/>
      <c r="DF186" s="11"/>
      <c r="DG186" s="11"/>
      <c r="DH186" s="11"/>
      <c r="DI186" s="11"/>
      <c r="DJ186" s="11"/>
      <c r="DK186" s="26"/>
      <c r="DL186" s="11"/>
      <c r="DM186" s="29"/>
      <c r="DN186" s="28"/>
      <c r="DO186" s="11"/>
      <c r="DP186" s="11"/>
      <c r="DQ186" s="11"/>
      <c r="DR186" s="29"/>
      <c r="DS186" s="28"/>
      <c r="DT186" s="11"/>
      <c r="DU186" s="26"/>
      <c r="DV186" s="11"/>
      <c r="DW186" s="29"/>
      <c r="DX186" s="28"/>
      <c r="DY186" s="11"/>
      <c r="DZ186" s="26"/>
      <c r="EA186" s="11"/>
      <c r="EB186" s="29"/>
      <c r="EC186" s="28"/>
      <c r="ED186" s="30"/>
      <c r="EE186" s="30" t="str">
        <f ca="1">IFERROR(__xludf.DUMMYFUNCTION("iferror(index(filter('Internal -- Trademark Countries'!E$2:E1000, (AM186 = 'Internal -- Trademark Countries'!B$2:B1000) + (AM186 = 'Internal -- Trademark Countries'!C$2:C1000) + (AM186 = 'Internal -- Trademark Countries'!D$2:D1000)), 1))"),"")</f>
        <v/>
      </c>
      <c r="EF186" s="30" t="e">
        <f ca="1">_xludf.ifs(AM186="", "", COUNTIF('Internal -- Trademark Countries'!B:B,AM186) &gt; 0, "polity_shortest_name", COUNTIF('Internal -- Trademark Countries'!C:C,AM186) &gt; 0, "polity_full_name", COUNTIF('Internal -- Trademark Countries'!D:D,AM186) &gt; 0, "polity_common_name", COUNTIF('Internal -- Trademark Countries'!E:E,AM186) &gt; 0, "shortest_name", COUNTIF('Internal -- Trademark Countries'!A:A,AM186) &gt; 0, "full_name", TRUE, "not a match")</f>
        <v>#NAME?</v>
      </c>
      <c r="EG186" s="30"/>
      <c r="EH186" s="30"/>
      <c r="EI186" s="30"/>
      <c r="EJ186" s="30"/>
      <c r="EK186" s="30" t="str">
        <f t="shared" si="2"/>
        <v/>
      </c>
    </row>
    <row r="187" spans="1:141" ht="16.5">
      <c r="A187" s="11"/>
      <c r="B187" s="11"/>
      <c r="C187" s="11"/>
      <c r="D187" s="11"/>
      <c r="E187" s="11"/>
      <c r="F187" s="11"/>
      <c r="G187" s="11"/>
      <c r="H187" s="11"/>
      <c r="I187" s="11"/>
      <c r="J187" s="11"/>
      <c r="K187" s="27"/>
      <c r="L187" s="11"/>
      <c r="M187" s="11"/>
      <c r="N187" s="11"/>
      <c r="O187" s="11"/>
      <c r="P187" s="15"/>
      <c r="Q187" s="15"/>
      <c r="R187" s="15"/>
      <c r="S187" s="15"/>
      <c r="T187" s="15"/>
      <c r="U187" s="15"/>
      <c r="V187" s="15"/>
      <c r="W187" s="47"/>
      <c r="X187" s="11"/>
      <c r="Y187" s="48"/>
      <c r="Z187" s="11"/>
      <c r="AA187" s="48"/>
      <c r="AB187" s="11"/>
      <c r="AC187" s="48"/>
      <c r="AD187" s="11"/>
      <c r="AE187" s="47"/>
      <c r="AF187" s="11"/>
      <c r="AG187" s="48"/>
      <c r="AH187" s="11"/>
      <c r="AI187" s="48"/>
      <c r="AJ187" s="11"/>
      <c r="AK187" s="48"/>
      <c r="AL187" s="11"/>
      <c r="AM187" s="49"/>
      <c r="AN187" s="49"/>
      <c r="AO187" s="11"/>
      <c r="AP187" s="11"/>
      <c r="AQ187" s="28" t="b">
        <f>IF(COUNTIF(SmartStatus!A$2:A1000, AM187) &gt; 2, TRUE, FALSE)</f>
        <v>0</v>
      </c>
      <c r="AR187" s="29" t="str">
        <f ca="1">IFERROR(__xludf.DUMMYFUNCTION("iferror(if(regexmatch(AO187, ""(?i)^registered""), if(EE187 &lt;&gt; ""polity_shortest_name"", ""CHECK_POLITY"", index(filter(SmartStatus!B$2:B1000, AM187 = SmartStatus!A$2:A1000, not(SmartStatus!C$2:C1000), (isblank(SmartStatus!D$2:D1000)) + ((P187 &lt;&gt; """") * "&amp;"(P187 &lt; SmartStatus!D$2:D1000)), (isblank(SmartStatus!E$2:E1000)) + ((P187 &lt;&gt; """") * (P187 &gt;= SmartStatus!E$2:E1000)), (isblank(SmartStatus!F$2:F1000)) + (((Q187 &lt;&gt; """") * (Q187 &lt; SmartStatus!F$2:F1000)) + ((P187 &lt;&gt; """") * (date(year(P187) + 3, month(P"&amp;"187), day(P187)) &lt; SmartStatus!F$2:F1000))), (isblank(SmartStatus!G$2:G1000)) + (((Q187 &lt;&gt; """") * (Q187 &gt;= SmartStatus!G$2:G1000)) + ((P187 &lt;&gt; """") * (P187 &gt;= SmartStatus!G$2:G1000)))), if(or(regexmatch(B187, ""(?i)^ir [a-z]+ designation$""), N187 &lt;&gt; """&amp;"""), 1, 2))), """"), ""NO_MATCH"")"),"")</f>
        <v/>
      </c>
      <c r="AS187" s="11"/>
      <c r="AT187" s="15"/>
      <c r="AU187" s="11"/>
      <c r="AV187" s="11"/>
      <c r="AW187" s="15"/>
      <c r="AX187" s="15"/>
      <c r="AY187" s="15"/>
      <c r="AZ187" s="11"/>
      <c r="BA187" s="15"/>
      <c r="BB187" s="11"/>
      <c r="BC187" s="11"/>
      <c r="BD187" s="15"/>
      <c r="BE187" s="11"/>
      <c r="BF187" s="11"/>
      <c r="BG187" s="15"/>
      <c r="BH187" s="15"/>
      <c r="BI187" s="15"/>
      <c r="BJ187" s="11"/>
      <c r="BK187" s="15"/>
      <c r="BL187" s="11"/>
      <c r="BM187" s="11"/>
      <c r="BN187" s="15"/>
      <c r="BO187" s="11"/>
      <c r="BP187" s="11"/>
      <c r="BQ187" s="15"/>
      <c r="BR187" s="15"/>
      <c r="BS187" s="15"/>
      <c r="BT187" s="11"/>
      <c r="BU187" s="15"/>
      <c r="BV187" s="11"/>
      <c r="BW187" s="11"/>
      <c r="BX187" s="15"/>
      <c r="BY187" s="11"/>
      <c r="BZ187" s="11"/>
      <c r="CA187" s="15"/>
      <c r="CB187" s="11"/>
      <c r="CC187" s="15"/>
      <c r="CD187" s="11"/>
      <c r="CE187" s="15"/>
      <c r="CF187" s="11"/>
      <c r="CG187" s="11"/>
      <c r="CH187" s="15"/>
      <c r="CI187" s="11"/>
      <c r="CJ187" s="11"/>
      <c r="CK187" s="15"/>
      <c r="CL187" s="11"/>
      <c r="CM187" s="11"/>
      <c r="CN187" s="11"/>
      <c r="CO187" s="11"/>
      <c r="CP187" s="28"/>
      <c r="CQ187" s="28"/>
      <c r="CR187" s="11"/>
      <c r="CS187" s="29"/>
      <c r="CT187" s="11"/>
      <c r="CU187" s="11"/>
      <c r="CV187" s="11"/>
      <c r="CW187" s="11"/>
      <c r="CX187" s="11"/>
      <c r="CY187" s="11"/>
      <c r="CZ187" s="11"/>
      <c r="DA187" s="28"/>
      <c r="DB187" s="28"/>
      <c r="DC187" s="11"/>
      <c r="DD187" s="29"/>
      <c r="DE187" s="11"/>
      <c r="DF187" s="11"/>
      <c r="DG187" s="11"/>
      <c r="DH187" s="11"/>
      <c r="DI187" s="11"/>
      <c r="DJ187" s="11"/>
      <c r="DK187" s="26"/>
      <c r="DL187" s="11"/>
      <c r="DM187" s="29"/>
      <c r="DN187" s="28"/>
      <c r="DO187" s="11"/>
      <c r="DP187" s="11"/>
      <c r="DQ187" s="11"/>
      <c r="DR187" s="29"/>
      <c r="DS187" s="28"/>
      <c r="DT187" s="11"/>
      <c r="DU187" s="26"/>
      <c r="DV187" s="11"/>
      <c r="DW187" s="29"/>
      <c r="DX187" s="28"/>
      <c r="DY187" s="11"/>
      <c r="DZ187" s="26"/>
      <c r="EA187" s="11"/>
      <c r="EB187" s="29"/>
      <c r="EC187" s="28"/>
      <c r="ED187" s="30"/>
      <c r="EE187" s="30" t="str">
        <f ca="1">IFERROR(__xludf.DUMMYFUNCTION("iferror(index(filter('Internal -- Trademark Countries'!E$2:E1000, (AM187 = 'Internal -- Trademark Countries'!B$2:B1000) + (AM187 = 'Internal -- Trademark Countries'!C$2:C1000) + (AM187 = 'Internal -- Trademark Countries'!D$2:D1000)), 1))"),"")</f>
        <v/>
      </c>
      <c r="EF187" s="30" t="e">
        <f ca="1">_xludf.ifs(AM187="", "", COUNTIF('Internal -- Trademark Countries'!B:B,AM187) &gt; 0, "polity_shortest_name", COUNTIF('Internal -- Trademark Countries'!C:C,AM187) &gt; 0, "polity_full_name", COUNTIF('Internal -- Trademark Countries'!D:D,AM187) &gt; 0, "polity_common_name", COUNTIF('Internal -- Trademark Countries'!E:E,AM187) &gt; 0, "shortest_name", COUNTIF('Internal -- Trademark Countries'!A:A,AM187) &gt; 0, "full_name", TRUE, "not a match")</f>
        <v>#NAME?</v>
      </c>
      <c r="EG187" s="30"/>
      <c r="EH187" s="30"/>
      <c r="EI187" s="30"/>
      <c r="EJ187" s="30"/>
      <c r="EK187" s="30" t="str">
        <f t="shared" si="2"/>
        <v/>
      </c>
    </row>
    <row r="188" spans="1:141" ht="16.5">
      <c r="A188" s="11"/>
      <c r="B188" s="11"/>
      <c r="C188" s="11"/>
      <c r="D188" s="11"/>
      <c r="E188" s="11"/>
      <c r="F188" s="11"/>
      <c r="G188" s="11"/>
      <c r="H188" s="11"/>
      <c r="I188" s="11"/>
      <c r="J188" s="11"/>
      <c r="K188" s="27"/>
      <c r="L188" s="11"/>
      <c r="M188" s="11"/>
      <c r="N188" s="11"/>
      <c r="O188" s="11"/>
      <c r="P188" s="15"/>
      <c r="Q188" s="15"/>
      <c r="R188" s="15"/>
      <c r="S188" s="15"/>
      <c r="T188" s="15"/>
      <c r="U188" s="15"/>
      <c r="V188" s="15"/>
      <c r="W188" s="47"/>
      <c r="X188" s="11"/>
      <c r="Y188" s="48"/>
      <c r="Z188" s="11"/>
      <c r="AA188" s="48"/>
      <c r="AB188" s="11"/>
      <c r="AC188" s="48"/>
      <c r="AD188" s="11"/>
      <c r="AE188" s="47"/>
      <c r="AF188" s="11"/>
      <c r="AG188" s="48"/>
      <c r="AH188" s="11"/>
      <c r="AI188" s="48"/>
      <c r="AJ188" s="11"/>
      <c r="AK188" s="48"/>
      <c r="AL188" s="11"/>
      <c r="AM188" s="49"/>
      <c r="AN188" s="49"/>
      <c r="AO188" s="11"/>
      <c r="AP188" s="11"/>
      <c r="AQ188" s="28" t="b">
        <f>IF(COUNTIF(SmartStatus!A$2:A1000, AM188) &gt; 2, TRUE, FALSE)</f>
        <v>0</v>
      </c>
      <c r="AR188" s="29" t="str">
        <f ca="1">IFERROR(__xludf.DUMMYFUNCTION("iferror(if(regexmatch(AO188, ""(?i)^registered""), if(EE188 &lt;&gt; ""polity_shortest_name"", ""CHECK_POLITY"", index(filter(SmartStatus!B$2:B1000, AM188 = SmartStatus!A$2:A1000, not(SmartStatus!C$2:C1000), (isblank(SmartStatus!D$2:D1000)) + ((P188 &lt;&gt; """") * "&amp;"(P188 &lt; SmartStatus!D$2:D1000)), (isblank(SmartStatus!E$2:E1000)) + ((P188 &lt;&gt; """") * (P188 &gt;= SmartStatus!E$2:E1000)), (isblank(SmartStatus!F$2:F1000)) + (((Q188 &lt;&gt; """") * (Q188 &lt; SmartStatus!F$2:F1000)) + ((P188 &lt;&gt; """") * (date(year(P188) + 3, month(P"&amp;"188), day(P188)) &lt; SmartStatus!F$2:F1000))), (isblank(SmartStatus!G$2:G1000)) + (((Q188 &lt;&gt; """") * (Q188 &gt;= SmartStatus!G$2:G1000)) + ((P188 &lt;&gt; """") * (P188 &gt;= SmartStatus!G$2:G1000)))), if(or(regexmatch(B188, ""(?i)^ir [a-z]+ designation$""), N188 &lt;&gt; """&amp;"""), 1, 2))), """"), ""NO_MATCH"")"),"")</f>
        <v/>
      </c>
      <c r="AS188" s="11"/>
      <c r="AT188" s="15"/>
      <c r="AU188" s="11"/>
      <c r="AV188" s="11"/>
      <c r="AW188" s="15"/>
      <c r="AX188" s="15"/>
      <c r="AY188" s="15"/>
      <c r="AZ188" s="11"/>
      <c r="BA188" s="15"/>
      <c r="BB188" s="11"/>
      <c r="BC188" s="11"/>
      <c r="BD188" s="15"/>
      <c r="BE188" s="11"/>
      <c r="BF188" s="11"/>
      <c r="BG188" s="15"/>
      <c r="BH188" s="15"/>
      <c r="BI188" s="15"/>
      <c r="BJ188" s="11"/>
      <c r="BK188" s="15"/>
      <c r="BL188" s="11"/>
      <c r="BM188" s="11"/>
      <c r="BN188" s="15"/>
      <c r="BO188" s="11"/>
      <c r="BP188" s="11"/>
      <c r="BQ188" s="15"/>
      <c r="BR188" s="15"/>
      <c r="BS188" s="15"/>
      <c r="BT188" s="11"/>
      <c r="BU188" s="15"/>
      <c r="BV188" s="11"/>
      <c r="BW188" s="11"/>
      <c r="BX188" s="15"/>
      <c r="BY188" s="11"/>
      <c r="BZ188" s="11"/>
      <c r="CA188" s="15"/>
      <c r="CB188" s="11"/>
      <c r="CC188" s="15"/>
      <c r="CD188" s="11"/>
      <c r="CE188" s="15"/>
      <c r="CF188" s="11"/>
      <c r="CG188" s="11"/>
      <c r="CH188" s="15"/>
      <c r="CI188" s="11"/>
      <c r="CJ188" s="11"/>
      <c r="CK188" s="15"/>
      <c r="CL188" s="11"/>
      <c r="CM188" s="11"/>
      <c r="CN188" s="11"/>
      <c r="CO188" s="11"/>
      <c r="CP188" s="28"/>
      <c r="CQ188" s="28"/>
      <c r="CR188" s="11"/>
      <c r="CS188" s="29"/>
      <c r="CT188" s="11"/>
      <c r="CU188" s="11"/>
      <c r="CV188" s="11"/>
      <c r="CW188" s="11"/>
      <c r="CX188" s="11"/>
      <c r="CY188" s="11"/>
      <c r="CZ188" s="11"/>
      <c r="DA188" s="28"/>
      <c r="DB188" s="28"/>
      <c r="DC188" s="11"/>
      <c r="DD188" s="29"/>
      <c r="DE188" s="11"/>
      <c r="DF188" s="11"/>
      <c r="DG188" s="11"/>
      <c r="DH188" s="11"/>
      <c r="DI188" s="11"/>
      <c r="DJ188" s="11"/>
      <c r="DK188" s="26"/>
      <c r="DL188" s="11"/>
      <c r="DM188" s="29"/>
      <c r="DN188" s="28"/>
      <c r="DO188" s="11"/>
      <c r="DP188" s="11"/>
      <c r="DQ188" s="11"/>
      <c r="DR188" s="29"/>
      <c r="DS188" s="28"/>
      <c r="DT188" s="11"/>
      <c r="DU188" s="26"/>
      <c r="DV188" s="11"/>
      <c r="DW188" s="29"/>
      <c r="DX188" s="28"/>
      <c r="DY188" s="11"/>
      <c r="DZ188" s="26"/>
      <c r="EA188" s="11"/>
      <c r="EB188" s="29"/>
      <c r="EC188" s="28"/>
      <c r="ED188" s="30"/>
      <c r="EE188" s="30" t="str">
        <f ca="1">IFERROR(__xludf.DUMMYFUNCTION("iferror(index(filter('Internal -- Trademark Countries'!E$2:E1000, (AM188 = 'Internal -- Trademark Countries'!B$2:B1000) + (AM188 = 'Internal -- Trademark Countries'!C$2:C1000) + (AM188 = 'Internal -- Trademark Countries'!D$2:D1000)), 1))"),"")</f>
        <v/>
      </c>
      <c r="EF188" s="30" t="e">
        <f ca="1">_xludf.ifs(AM188="", "", COUNTIF('Internal -- Trademark Countries'!B:B,AM188) &gt; 0, "polity_shortest_name", COUNTIF('Internal -- Trademark Countries'!C:C,AM188) &gt; 0, "polity_full_name", COUNTIF('Internal -- Trademark Countries'!D:D,AM188) &gt; 0, "polity_common_name", COUNTIF('Internal -- Trademark Countries'!E:E,AM188) &gt; 0, "shortest_name", COUNTIF('Internal -- Trademark Countries'!A:A,AM188) &gt; 0, "full_name", TRUE, "not a match")</f>
        <v>#NAME?</v>
      </c>
      <c r="EG188" s="30"/>
      <c r="EH188" s="30"/>
      <c r="EI188" s="30"/>
      <c r="EJ188" s="30"/>
      <c r="EK188" s="30" t="str">
        <f t="shared" si="2"/>
        <v/>
      </c>
    </row>
    <row r="189" spans="1:141" ht="16.5">
      <c r="A189" s="11"/>
      <c r="B189" s="11"/>
      <c r="C189" s="11"/>
      <c r="D189" s="11"/>
      <c r="E189" s="11"/>
      <c r="F189" s="11"/>
      <c r="G189" s="11"/>
      <c r="H189" s="11"/>
      <c r="I189" s="11"/>
      <c r="J189" s="11"/>
      <c r="K189" s="27"/>
      <c r="L189" s="11"/>
      <c r="M189" s="11"/>
      <c r="N189" s="11"/>
      <c r="O189" s="11"/>
      <c r="P189" s="15"/>
      <c r="Q189" s="15"/>
      <c r="R189" s="15"/>
      <c r="S189" s="15"/>
      <c r="T189" s="15"/>
      <c r="U189" s="15"/>
      <c r="V189" s="15"/>
      <c r="W189" s="47"/>
      <c r="X189" s="11"/>
      <c r="Y189" s="48"/>
      <c r="Z189" s="11"/>
      <c r="AA189" s="48"/>
      <c r="AB189" s="11"/>
      <c r="AC189" s="48"/>
      <c r="AD189" s="11"/>
      <c r="AE189" s="47"/>
      <c r="AF189" s="11"/>
      <c r="AG189" s="48"/>
      <c r="AH189" s="11"/>
      <c r="AI189" s="48"/>
      <c r="AJ189" s="11"/>
      <c r="AK189" s="48"/>
      <c r="AL189" s="11"/>
      <c r="AM189" s="49"/>
      <c r="AN189" s="49"/>
      <c r="AO189" s="11"/>
      <c r="AP189" s="11"/>
      <c r="AQ189" s="28" t="b">
        <f>IF(COUNTIF(SmartStatus!A$2:A1000, AM189) &gt; 2, TRUE, FALSE)</f>
        <v>0</v>
      </c>
      <c r="AR189" s="29" t="str">
        <f ca="1">IFERROR(__xludf.DUMMYFUNCTION("iferror(if(regexmatch(AO189, ""(?i)^registered""), if(EE189 &lt;&gt; ""polity_shortest_name"", ""CHECK_POLITY"", index(filter(SmartStatus!B$2:B1000, AM189 = SmartStatus!A$2:A1000, not(SmartStatus!C$2:C1000), (isblank(SmartStatus!D$2:D1000)) + ((P189 &lt;&gt; """") * "&amp;"(P189 &lt; SmartStatus!D$2:D1000)), (isblank(SmartStatus!E$2:E1000)) + ((P189 &lt;&gt; """") * (P189 &gt;= SmartStatus!E$2:E1000)), (isblank(SmartStatus!F$2:F1000)) + (((Q189 &lt;&gt; """") * (Q189 &lt; SmartStatus!F$2:F1000)) + ((P189 &lt;&gt; """") * (date(year(P189) + 3, month(P"&amp;"189), day(P189)) &lt; SmartStatus!F$2:F1000))), (isblank(SmartStatus!G$2:G1000)) + (((Q189 &lt;&gt; """") * (Q189 &gt;= SmartStatus!G$2:G1000)) + ((P189 &lt;&gt; """") * (P189 &gt;= SmartStatus!G$2:G1000)))), if(or(regexmatch(B189, ""(?i)^ir [a-z]+ designation$""), N189 &lt;&gt; """&amp;"""), 1, 2))), """"), ""NO_MATCH"")"),"")</f>
        <v/>
      </c>
      <c r="AS189" s="11"/>
      <c r="AT189" s="15"/>
      <c r="AU189" s="11"/>
      <c r="AV189" s="11"/>
      <c r="AW189" s="15"/>
      <c r="AX189" s="15"/>
      <c r="AY189" s="15"/>
      <c r="AZ189" s="11"/>
      <c r="BA189" s="15"/>
      <c r="BB189" s="11"/>
      <c r="BC189" s="11"/>
      <c r="BD189" s="15"/>
      <c r="BE189" s="11"/>
      <c r="BF189" s="11"/>
      <c r="BG189" s="15"/>
      <c r="BH189" s="15"/>
      <c r="BI189" s="15"/>
      <c r="BJ189" s="11"/>
      <c r="BK189" s="15"/>
      <c r="BL189" s="11"/>
      <c r="BM189" s="11"/>
      <c r="BN189" s="15"/>
      <c r="BO189" s="11"/>
      <c r="BP189" s="11"/>
      <c r="BQ189" s="15"/>
      <c r="BR189" s="15"/>
      <c r="BS189" s="15"/>
      <c r="BT189" s="11"/>
      <c r="BU189" s="15"/>
      <c r="BV189" s="11"/>
      <c r="BW189" s="11"/>
      <c r="BX189" s="15"/>
      <c r="BY189" s="11"/>
      <c r="BZ189" s="11"/>
      <c r="CA189" s="15"/>
      <c r="CB189" s="11"/>
      <c r="CC189" s="15"/>
      <c r="CD189" s="11"/>
      <c r="CE189" s="15"/>
      <c r="CF189" s="11"/>
      <c r="CG189" s="11"/>
      <c r="CH189" s="15"/>
      <c r="CI189" s="11"/>
      <c r="CJ189" s="11"/>
      <c r="CK189" s="15"/>
      <c r="CL189" s="11"/>
      <c r="CM189" s="11"/>
      <c r="CN189" s="11"/>
      <c r="CO189" s="11"/>
      <c r="CP189" s="28"/>
      <c r="CQ189" s="28"/>
      <c r="CR189" s="11"/>
      <c r="CS189" s="29"/>
      <c r="CT189" s="11"/>
      <c r="CU189" s="11"/>
      <c r="CV189" s="11"/>
      <c r="CW189" s="11"/>
      <c r="CX189" s="11"/>
      <c r="CY189" s="11"/>
      <c r="CZ189" s="11"/>
      <c r="DA189" s="28"/>
      <c r="DB189" s="28"/>
      <c r="DC189" s="11"/>
      <c r="DD189" s="29"/>
      <c r="DE189" s="11"/>
      <c r="DF189" s="11"/>
      <c r="DG189" s="11"/>
      <c r="DH189" s="11"/>
      <c r="DI189" s="11"/>
      <c r="DJ189" s="11"/>
      <c r="DK189" s="26"/>
      <c r="DL189" s="11"/>
      <c r="DM189" s="29"/>
      <c r="DN189" s="28"/>
      <c r="DO189" s="11"/>
      <c r="DP189" s="11"/>
      <c r="DQ189" s="11"/>
      <c r="DR189" s="29"/>
      <c r="DS189" s="28"/>
      <c r="DT189" s="11"/>
      <c r="DU189" s="26"/>
      <c r="DV189" s="11"/>
      <c r="DW189" s="29"/>
      <c r="DX189" s="28"/>
      <c r="DY189" s="11"/>
      <c r="DZ189" s="26"/>
      <c r="EA189" s="11"/>
      <c r="EB189" s="29"/>
      <c r="EC189" s="28"/>
      <c r="ED189" s="30"/>
      <c r="EE189" s="30" t="str">
        <f ca="1">IFERROR(__xludf.DUMMYFUNCTION("iferror(index(filter('Internal -- Trademark Countries'!E$2:E1000, (AM189 = 'Internal -- Trademark Countries'!B$2:B1000) + (AM189 = 'Internal -- Trademark Countries'!C$2:C1000) + (AM189 = 'Internal -- Trademark Countries'!D$2:D1000)), 1))"),"")</f>
        <v/>
      </c>
      <c r="EF189" s="30" t="e">
        <f ca="1">_xludf.ifs(AM189="", "", COUNTIF('Internal -- Trademark Countries'!B:B,AM189) &gt; 0, "polity_shortest_name", COUNTIF('Internal -- Trademark Countries'!C:C,AM189) &gt; 0, "polity_full_name", COUNTIF('Internal -- Trademark Countries'!D:D,AM189) &gt; 0, "polity_common_name", COUNTIF('Internal -- Trademark Countries'!E:E,AM189) &gt; 0, "shortest_name", COUNTIF('Internal -- Trademark Countries'!A:A,AM189) &gt; 0, "full_name", TRUE, "not a match")</f>
        <v>#NAME?</v>
      </c>
      <c r="EG189" s="30"/>
      <c r="EH189" s="30"/>
      <c r="EI189" s="30"/>
      <c r="EJ189" s="30"/>
      <c r="EK189" s="30" t="str">
        <f t="shared" si="2"/>
        <v/>
      </c>
    </row>
    <row r="190" spans="1:141" ht="16.5">
      <c r="A190" s="11"/>
      <c r="B190" s="11"/>
      <c r="C190" s="11"/>
      <c r="D190" s="11"/>
      <c r="E190" s="11"/>
      <c r="F190" s="11"/>
      <c r="G190" s="11"/>
      <c r="H190" s="11"/>
      <c r="I190" s="11"/>
      <c r="J190" s="11"/>
      <c r="K190" s="27"/>
      <c r="L190" s="11"/>
      <c r="M190" s="11"/>
      <c r="N190" s="11"/>
      <c r="O190" s="11"/>
      <c r="P190" s="15"/>
      <c r="Q190" s="15"/>
      <c r="R190" s="15"/>
      <c r="S190" s="15"/>
      <c r="T190" s="15"/>
      <c r="U190" s="15"/>
      <c r="V190" s="15"/>
      <c r="W190" s="47"/>
      <c r="X190" s="11"/>
      <c r="Y190" s="48"/>
      <c r="Z190" s="11"/>
      <c r="AA190" s="48"/>
      <c r="AB190" s="11"/>
      <c r="AC190" s="48"/>
      <c r="AD190" s="11"/>
      <c r="AE190" s="47"/>
      <c r="AF190" s="11"/>
      <c r="AG190" s="48"/>
      <c r="AH190" s="11"/>
      <c r="AI190" s="48"/>
      <c r="AJ190" s="11"/>
      <c r="AK190" s="48"/>
      <c r="AL190" s="11"/>
      <c r="AM190" s="49"/>
      <c r="AN190" s="49"/>
      <c r="AO190" s="11"/>
      <c r="AP190" s="11"/>
      <c r="AQ190" s="28" t="b">
        <f>IF(COUNTIF(SmartStatus!A$2:A1000, AM190) &gt; 2, TRUE, FALSE)</f>
        <v>0</v>
      </c>
      <c r="AR190" s="29" t="str">
        <f ca="1">IFERROR(__xludf.DUMMYFUNCTION("iferror(if(regexmatch(AO190, ""(?i)^registered""), if(EE190 &lt;&gt; ""polity_shortest_name"", ""CHECK_POLITY"", index(filter(SmartStatus!B$2:B1000, AM190 = SmartStatus!A$2:A1000, not(SmartStatus!C$2:C1000), (isblank(SmartStatus!D$2:D1000)) + ((P190 &lt;&gt; """") * "&amp;"(P190 &lt; SmartStatus!D$2:D1000)), (isblank(SmartStatus!E$2:E1000)) + ((P190 &lt;&gt; """") * (P190 &gt;= SmartStatus!E$2:E1000)), (isblank(SmartStatus!F$2:F1000)) + (((Q190 &lt;&gt; """") * (Q190 &lt; SmartStatus!F$2:F1000)) + ((P190 &lt;&gt; """") * (date(year(P190) + 3, month(P"&amp;"190), day(P190)) &lt; SmartStatus!F$2:F1000))), (isblank(SmartStatus!G$2:G1000)) + (((Q190 &lt;&gt; """") * (Q190 &gt;= SmartStatus!G$2:G1000)) + ((P190 &lt;&gt; """") * (P190 &gt;= SmartStatus!G$2:G1000)))), if(or(regexmatch(B190, ""(?i)^ir [a-z]+ designation$""), N190 &lt;&gt; """&amp;"""), 1, 2))), """"), ""NO_MATCH"")"),"")</f>
        <v/>
      </c>
      <c r="AS190" s="11"/>
      <c r="AT190" s="15"/>
      <c r="AU190" s="11"/>
      <c r="AV190" s="11"/>
      <c r="AW190" s="15"/>
      <c r="AX190" s="15"/>
      <c r="AY190" s="15"/>
      <c r="AZ190" s="11"/>
      <c r="BA190" s="15"/>
      <c r="BB190" s="11"/>
      <c r="BC190" s="11"/>
      <c r="BD190" s="15"/>
      <c r="BE190" s="11"/>
      <c r="BF190" s="11"/>
      <c r="BG190" s="15"/>
      <c r="BH190" s="15"/>
      <c r="BI190" s="15"/>
      <c r="BJ190" s="11"/>
      <c r="BK190" s="15"/>
      <c r="BL190" s="11"/>
      <c r="BM190" s="11"/>
      <c r="BN190" s="15"/>
      <c r="BO190" s="11"/>
      <c r="BP190" s="11"/>
      <c r="BQ190" s="15"/>
      <c r="BR190" s="15"/>
      <c r="BS190" s="15"/>
      <c r="BT190" s="11"/>
      <c r="BU190" s="15"/>
      <c r="BV190" s="11"/>
      <c r="BW190" s="11"/>
      <c r="BX190" s="15"/>
      <c r="BY190" s="11"/>
      <c r="BZ190" s="11"/>
      <c r="CA190" s="15"/>
      <c r="CB190" s="11"/>
      <c r="CC190" s="15"/>
      <c r="CD190" s="11"/>
      <c r="CE190" s="15"/>
      <c r="CF190" s="11"/>
      <c r="CG190" s="11"/>
      <c r="CH190" s="15"/>
      <c r="CI190" s="11"/>
      <c r="CJ190" s="11"/>
      <c r="CK190" s="15"/>
      <c r="CL190" s="11"/>
      <c r="CM190" s="11"/>
      <c r="CN190" s="11"/>
      <c r="CO190" s="11"/>
      <c r="CP190" s="28"/>
      <c r="CQ190" s="28"/>
      <c r="CR190" s="11"/>
      <c r="CS190" s="29"/>
      <c r="CT190" s="11"/>
      <c r="CU190" s="11"/>
      <c r="CV190" s="11"/>
      <c r="CW190" s="11"/>
      <c r="CX190" s="11"/>
      <c r="CY190" s="11"/>
      <c r="CZ190" s="11"/>
      <c r="DA190" s="28"/>
      <c r="DB190" s="28"/>
      <c r="DC190" s="11"/>
      <c r="DD190" s="29"/>
      <c r="DE190" s="11"/>
      <c r="DF190" s="11"/>
      <c r="DG190" s="11"/>
      <c r="DH190" s="11"/>
      <c r="DI190" s="11"/>
      <c r="DJ190" s="11"/>
      <c r="DK190" s="26"/>
      <c r="DL190" s="11"/>
      <c r="DM190" s="29"/>
      <c r="DN190" s="28"/>
      <c r="DO190" s="11"/>
      <c r="DP190" s="11"/>
      <c r="DQ190" s="11"/>
      <c r="DR190" s="29"/>
      <c r="DS190" s="28"/>
      <c r="DT190" s="11"/>
      <c r="DU190" s="26"/>
      <c r="DV190" s="11"/>
      <c r="DW190" s="29"/>
      <c r="DX190" s="28"/>
      <c r="DY190" s="11"/>
      <c r="DZ190" s="26"/>
      <c r="EA190" s="11"/>
      <c r="EB190" s="29"/>
      <c r="EC190" s="28"/>
      <c r="ED190" s="30"/>
      <c r="EE190" s="30" t="str">
        <f ca="1">IFERROR(__xludf.DUMMYFUNCTION("iferror(index(filter('Internal -- Trademark Countries'!E$2:E1000, (AM190 = 'Internal -- Trademark Countries'!B$2:B1000) + (AM190 = 'Internal -- Trademark Countries'!C$2:C1000) + (AM190 = 'Internal -- Trademark Countries'!D$2:D1000)), 1))"),"")</f>
        <v/>
      </c>
      <c r="EF190" s="30" t="e">
        <f ca="1">_xludf.ifs(AM190="", "", COUNTIF('Internal -- Trademark Countries'!B:B,AM190) &gt; 0, "polity_shortest_name", COUNTIF('Internal -- Trademark Countries'!C:C,AM190) &gt; 0, "polity_full_name", COUNTIF('Internal -- Trademark Countries'!D:D,AM190) &gt; 0, "polity_common_name", COUNTIF('Internal -- Trademark Countries'!E:E,AM190) &gt; 0, "shortest_name", COUNTIF('Internal -- Trademark Countries'!A:A,AM190) &gt; 0, "full_name", TRUE, "not a match")</f>
        <v>#NAME?</v>
      </c>
      <c r="EG190" s="30"/>
      <c r="EH190" s="30"/>
      <c r="EI190" s="30"/>
      <c r="EJ190" s="30"/>
      <c r="EK190" s="30" t="str">
        <f t="shared" si="2"/>
        <v/>
      </c>
    </row>
    <row r="191" spans="1:141" ht="16.5">
      <c r="A191" s="11"/>
      <c r="B191" s="11"/>
      <c r="C191" s="11"/>
      <c r="D191" s="11"/>
      <c r="E191" s="11"/>
      <c r="F191" s="11"/>
      <c r="G191" s="11"/>
      <c r="H191" s="11"/>
      <c r="I191" s="11"/>
      <c r="J191" s="11"/>
      <c r="K191" s="27"/>
      <c r="L191" s="11"/>
      <c r="M191" s="11"/>
      <c r="N191" s="11"/>
      <c r="O191" s="11"/>
      <c r="P191" s="15"/>
      <c r="Q191" s="15"/>
      <c r="R191" s="15"/>
      <c r="S191" s="15"/>
      <c r="T191" s="15"/>
      <c r="U191" s="15"/>
      <c r="V191" s="15"/>
      <c r="W191" s="47"/>
      <c r="X191" s="11"/>
      <c r="Y191" s="48"/>
      <c r="Z191" s="11"/>
      <c r="AA191" s="48"/>
      <c r="AB191" s="11"/>
      <c r="AC191" s="48"/>
      <c r="AD191" s="11"/>
      <c r="AE191" s="47"/>
      <c r="AF191" s="11"/>
      <c r="AG191" s="48"/>
      <c r="AH191" s="11"/>
      <c r="AI191" s="48"/>
      <c r="AJ191" s="11"/>
      <c r="AK191" s="48"/>
      <c r="AL191" s="11"/>
      <c r="AM191" s="49"/>
      <c r="AN191" s="49"/>
      <c r="AO191" s="11"/>
      <c r="AP191" s="11"/>
      <c r="AQ191" s="28" t="b">
        <f>IF(COUNTIF(SmartStatus!A$2:A1000, AM191) &gt; 2, TRUE, FALSE)</f>
        <v>0</v>
      </c>
      <c r="AR191" s="29" t="str">
        <f ca="1">IFERROR(__xludf.DUMMYFUNCTION("iferror(if(regexmatch(AO191, ""(?i)^registered""), if(EE191 &lt;&gt; ""polity_shortest_name"", ""CHECK_POLITY"", index(filter(SmartStatus!B$2:B1000, AM191 = SmartStatus!A$2:A1000, not(SmartStatus!C$2:C1000), (isblank(SmartStatus!D$2:D1000)) + ((P191 &lt;&gt; """") * "&amp;"(P191 &lt; SmartStatus!D$2:D1000)), (isblank(SmartStatus!E$2:E1000)) + ((P191 &lt;&gt; """") * (P191 &gt;= SmartStatus!E$2:E1000)), (isblank(SmartStatus!F$2:F1000)) + (((Q191 &lt;&gt; """") * (Q191 &lt; SmartStatus!F$2:F1000)) + ((P191 &lt;&gt; """") * (date(year(P191) + 3, month(P"&amp;"191), day(P191)) &lt; SmartStatus!F$2:F1000))), (isblank(SmartStatus!G$2:G1000)) + (((Q191 &lt;&gt; """") * (Q191 &gt;= SmartStatus!G$2:G1000)) + ((P191 &lt;&gt; """") * (P191 &gt;= SmartStatus!G$2:G1000)))), if(or(regexmatch(B191, ""(?i)^ir [a-z]+ designation$""), N191 &lt;&gt; """&amp;"""), 1, 2))), """"), ""NO_MATCH"")"),"")</f>
        <v/>
      </c>
      <c r="AS191" s="11"/>
      <c r="AT191" s="15"/>
      <c r="AU191" s="11"/>
      <c r="AV191" s="11"/>
      <c r="AW191" s="15"/>
      <c r="AX191" s="15"/>
      <c r="AY191" s="15"/>
      <c r="AZ191" s="11"/>
      <c r="BA191" s="15"/>
      <c r="BB191" s="11"/>
      <c r="BC191" s="11"/>
      <c r="BD191" s="15"/>
      <c r="BE191" s="11"/>
      <c r="BF191" s="11"/>
      <c r="BG191" s="15"/>
      <c r="BH191" s="15"/>
      <c r="BI191" s="15"/>
      <c r="BJ191" s="11"/>
      <c r="BK191" s="15"/>
      <c r="BL191" s="11"/>
      <c r="BM191" s="11"/>
      <c r="BN191" s="15"/>
      <c r="BO191" s="11"/>
      <c r="BP191" s="11"/>
      <c r="BQ191" s="15"/>
      <c r="BR191" s="15"/>
      <c r="BS191" s="15"/>
      <c r="BT191" s="11"/>
      <c r="BU191" s="15"/>
      <c r="BV191" s="11"/>
      <c r="BW191" s="11"/>
      <c r="BX191" s="15"/>
      <c r="BY191" s="11"/>
      <c r="BZ191" s="11"/>
      <c r="CA191" s="15"/>
      <c r="CB191" s="11"/>
      <c r="CC191" s="15"/>
      <c r="CD191" s="11"/>
      <c r="CE191" s="15"/>
      <c r="CF191" s="11"/>
      <c r="CG191" s="11"/>
      <c r="CH191" s="15"/>
      <c r="CI191" s="11"/>
      <c r="CJ191" s="11"/>
      <c r="CK191" s="15"/>
      <c r="CL191" s="11"/>
      <c r="CM191" s="11"/>
      <c r="CN191" s="11"/>
      <c r="CO191" s="11"/>
      <c r="CP191" s="28"/>
      <c r="CQ191" s="28"/>
      <c r="CR191" s="11"/>
      <c r="CS191" s="29"/>
      <c r="CT191" s="11"/>
      <c r="CU191" s="11"/>
      <c r="CV191" s="11"/>
      <c r="CW191" s="11"/>
      <c r="CX191" s="11"/>
      <c r="CY191" s="11"/>
      <c r="CZ191" s="11"/>
      <c r="DA191" s="28"/>
      <c r="DB191" s="28"/>
      <c r="DC191" s="11"/>
      <c r="DD191" s="29"/>
      <c r="DE191" s="11"/>
      <c r="DF191" s="11"/>
      <c r="DG191" s="11"/>
      <c r="DH191" s="11"/>
      <c r="DI191" s="11"/>
      <c r="DJ191" s="11"/>
      <c r="DK191" s="26"/>
      <c r="DL191" s="11"/>
      <c r="DM191" s="29"/>
      <c r="DN191" s="28"/>
      <c r="DO191" s="11"/>
      <c r="DP191" s="11"/>
      <c r="DQ191" s="11"/>
      <c r="DR191" s="29"/>
      <c r="DS191" s="28"/>
      <c r="DT191" s="11"/>
      <c r="DU191" s="26"/>
      <c r="DV191" s="11"/>
      <c r="DW191" s="29"/>
      <c r="DX191" s="28"/>
      <c r="DY191" s="11"/>
      <c r="DZ191" s="26"/>
      <c r="EA191" s="11"/>
      <c r="EB191" s="29"/>
      <c r="EC191" s="28"/>
      <c r="ED191" s="30"/>
      <c r="EE191" s="30" t="str">
        <f ca="1">IFERROR(__xludf.DUMMYFUNCTION("iferror(index(filter('Internal -- Trademark Countries'!E$2:E1000, (AM191 = 'Internal -- Trademark Countries'!B$2:B1000) + (AM191 = 'Internal -- Trademark Countries'!C$2:C1000) + (AM191 = 'Internal -- Trademark Countries'!D$2:D1000)), 1))"),"")</f>
        <v/>
      </c>
      <c r="EF191" s="30" t="e">
        <f ca="1">_xludf.ifs(AM191="", "", COUNTIF('Internal -- Trademark Countries'!B:B,AM191) &gt; 0, "polity_shortest_name", COUNTIF('Internal -- Trademark Countries'!C:C,AM191) &gt; 0, "polity_full_name", COUNTIF('Internal -- Trademark Countries'!D:D,AM191) &gt; 0, "polity_common_name", COUNTIF('Internal -- Trademark Countries'!E:E,AM191) &gt; 0, "shortest_name", COUNTIF('Internal -- Trademark Countries'!A:A,AM191) &gt; 0, "full_name", TRUE, "not a match")</f>
        <v>#NAME?</v>
      </c>
      <c r="EG191" s="30"/>
      <c r="EH191" s="30"/>
      <c r="EI191" s="30"/>
      <c r="EJ191" s="30"/>
      <c r="EK191" s="30" t="str">
        <f t="shared" si="2"/>
        <v/>
      </c>
    </row>
    <row r="192" spans="1:141" ht="16.5">
      <c r="A192" s="11"/>
      <c r="B192" s="11"/>
      <c r="C192" s="11"/>
      <c r="D192" s="11"/>
      <c r="E192" s="11"/>
      <c r="F192" s="11"/>
      <c r="G192" s="11"/>
      <c r="H192" s="11"/>
      <c r="I192" s="11"/>
      <c r="J192" s="11"/>
      <c r="K192" s="27"/>
      <c r="L192" s="11"/>
      <c r="M192" s="11"/>
      <c r="N192" s="11"/>
      <c r="O192" s="11"/>
      <c r="P192" s="15"/>
      <c r="Q192" s="15"/>
      <c r="R192" s="15"/>
      <c r="S192" s="15"/>
      <c r="T192" s="15"/>
      <c r="U192" s="15"/>
      <c r="V192" s="15"/>
      <c r="W192" s="47"/>
      <c r="X192" s="11"/>
      <c r="Y192" s="48"/>
      <c r="Z192" s="11"/>
      <c r="AA192" s="48"/>
      <c r="AB192" s="11"/>
      <c r="AC192" s="48"/>
      <c r="AD192" s="11"/>
      <c r="AE192" s="47"/>
      <c r="AF192" s="11"/>
      <c r="AG192" s="48"/>
      <c r="AH192" s="11"/>
      <c r="AI192" s="48"/>
      <c r="AJ192" s="11"/>
      <c r="AK192" s="48"/>
      <c r="AL192" s="11"/>
      <c r="AM192" s="49"/>
      <c r="AN192" s="49"/>
      <c r="AO192" s="11"/>
      <c r="AP192" s="11"/>
      <c r="AQ192" s="28" t="b">
        <f>IF(COUNTIF(SmartStatus!A$2:A1000, AM192) &gt; 2, TRUE, FALSE)</f>
        <v>0</v>
      </c>
      <c r="AR192" s="29" t="str">
        <f ca="1">IFERROR(__xludf.DUMMYFUNCTION("iferror(if(regexmatch(AO192, ""(?i)^registered""), if(EE192 &lt;&gt; ""polity_shortest_name"", ""CHECK_POLITY"", index(filter(SmartStatus!B$2:B1000, AM192 = SmartStatus!A$2:A1000, not(SmartStatus!C$2:C1000), (isblank(SmartStatus!D$2:D1000)) + ((P192 &lt;&gt; """") * "&amp;"(P192 &lt; SmartStatus!D$2:D1000)), (isblank(SmartStatus!E$2:E1000)) + ((P192 &lt;&gt; """") * (P192 &gt;= SmartStatus!E$2:E1000)), (isblank(SmartStatus!F$2:F1000)) + (((Q192 &lt;&gt; """") * (Q192 &lt; SmartStatus!F$2:F1000)) + ((P192 &lt;&gt; """") * (date(year(P192) + 3, month(P"&amp;"192), day(P192)) &lt; SmartStatus!F$2:F1000))), (isblank(SmartStatus!G$2:G1000)) + (((Q192 &lt;&gt; """") * (Q192 &gt;= SmartStatus!G$2:G1000)) + ((P192 &lt;&gt; """") * (P192 &gt;= SmartStatus!G$2:G1000)))), if(or(regexmatch(B192, ""(?i)^ir [a-z]+ designation$""), N192 &lt;&gt; """&amp;"""), 1, 2))), """"), ""NO_MATCH"")"),"")</f>
        <v/>
      </c>
      <c r="AS192" s="11"/>
      <c r="AT192" s="15"/>
      <c r="AU192" s="11"/>
      <c r="AV192" s="11"/>
      <c r="AW192" s="15"/>
      <c r="AX192" s="15"/>
      <c r="AY192" s="15"/>
      <c r="AZ192" s="11"/>
      <c r="BA192" s="15"/>
      <c r="BB192" s="11"/>
      <c r="BC192" s="11"/>
      <c r="BD192" s="15"/>
      <c r="BE192" s="11"/>
      <c r="BF192" s="11"/>
      <c r="BG192" s="15"/>
      <c r="BH192" s="15"/>
      <c r="BI192" s="15"/>
      <c r="BJ192" s="11"/>
      <c r="BK192" s="15"/>
      <c r="BL192" s="11"/>
      <c r="BM192" s="11"/>
      <c r="BN192" s="15"/>
      <c r="BO192" s="11"/>
      <c r="BP192" s="11"/>
      <c r="BQ192" s="15"/>
      <c r="BR192" s="15"/>
      <c r="BS192" s="15"/>
      <c r="BT192" s="11"/>
      <c r="BU192" s="15"/>
      <c r="BV192" s="11"/>
      <c r="BW192" s="11"/>
      <c r="BX192" s="15"/>
      <c r="BY192" s="11"/>
      <c r="BZ192" s="11"/>
      <c r="CA192" s="15"/>
      <c r="CB192" s="11"/>
      <c r="CC192" s="15"/>
      <c r="CD192" s="11"/>
      <c r="CE192" s="15"/>
      <c r="CF192" s="11"/>
      <c r="CG192" s="11"/>
      <c r="CH192" s="15"/>
      <c r="CI192" s="11"/>
      <c r="CJ192" s="11"/>
      <c r="CK192" s="15"/>
      <c r="CL192" s="11"/>
      <c r="CM192" s="11"/>
      <c r="CN192" s="11"/>
      <c r="CO192" s="11"/>
      <c r="CP192" s="28"/>
      <c r="CQ192" s="28"/>
      <c r="CR192" s="11"/>
      <c r="CS192" s="29"/>
      <c r="CT192" s="11"/>
      <c r="CU192" s="11"/>
      <c r="CV192" s="11"/>
      <c r="CW192" s="11"/>
      <c r="CX192" s="11"/>
      <c r="CY192" s="11"/>
      <c r="CZ192" s="11"/>
      <c r="DA192" s="28"/>
      <c r="DB192" s="28"/>
      <c r="DC192" s="11"/>
      <c r="DD192" s="29"/>
      <c r="DE192" s="11"/>
      <c r="DF192" s="11"/>
      <c r="DG192" s="11"/>
      <c r="DH192" s="11"/>
      <c r="DI192" s="11"/>
      <c r="DJ192" s="11"/>
      <c r="DK192" s="26"/>
      <c r="DL192" s="11"/>
      <c r="DM192" s="29"/>
      <c r="DN192" s="28"/>
      <c r="DO192" s="11"/>
      <c r="DP192" s="11"/>
      <c r="DQ192" s="11"/>
      <c r="DR192" s="29"/>
      <c r="DS192" s="28"/>
      <c r="DT192" s="11"/>
      <c r="DU192" s="26"/>
      <c r="DV192" s="11"/>
      <c r="DW192" s="29"/>
      <c r="DX192" s="28"/>
      <c r="DY192" s="11"/>
      <c r="DZ192" s="26"/>
      <c r="EA192" s="11"/>
      <c r="EB192" s="29"/>
      <c r="EC192" s="28"/>
      <c r="ED192" s="30"/>
      <c r="EE192" s="30" t="str">
        <f ca="1">IFERROR(__xludf.DUMMYFUNCTION("iferror(index(filter('Internal -- Trademark Countries'!E$2:E1000, (AM192 = 'Internal -- Trademark Countries'!B$2:B1000) + (AM192 = 'Internal -- Trademark Countries'!C$2:C1000) + (AM192 = 'Internal -- Trademark Countries'!D$2:D1000)), 1))"),"")</f>
        <v/>
      </c>
      <c r="EF192" s="30" t="e">
        <f ca="1">_xludf.ifs(AM192="", "", COUNTIF('Internal -- Trademark Countries'!B:B,AM192) &gt; 0, "polity_shortest_name", COUNTIF('Internal -- Trademark Countries'!C:C,AM192) &gt; 0, "polity_full_name", COUNTIF('Internal -- Trademark Countries'!D:D,AM192) &gt; 0, "polity_common_name", COUNTIF('Internal -- Trademark Countries'!E:E,AM192) &gt; 0, "shortest_name", COUNTIF('Internal -- Trademark Countries'!A:A,AM192) &gt; 0, "full_name", TRUE, "not a match")</f>
        <v>#NAME?</v>
      </c>
      <c r="EG192" s="30"/>
      <c r="EH192" s="30"/>
      <c r="EI192" s="30"/>
      <c r="EJ192" s="30"/>
      <c r="EK192" s="30" t="str">
        <f t="shared" si="2"/>
        <v/>
      </c>
    </row>
    <row r="193" spans="1:141" ht="16.5">
      <c r="A193" s="11"/>
      <c r="B193" s="11"/>
      <c r="C193" s="11"/>
      <c r="D193" s="11"/>
      <c r="E193" s="11"/>
      <c r="F193" s="11"/>
      <c r="G193" s="11"/>
      <c r="H193" s="11"/>
      <c r="I193" s="11"/>
      <c r="J193" s="11"/>
      <c r="K193" s="27"/>
      <c r="L193" s="11"/>
      <c r="M193" s="11"/>
      <c r="N193" s="11"/>
      <c r="O193" s="11"/>
      <c r="P193" s="15"/>
      <c r="Q193" s="15"/>
      <c r="R193" s="15"/>
      <c r="S193" s="15"/>
      <c r="T193" s="15"/>
      <c r="U193" s="15"/>
      <c r="V193" s="15"/>
      <c r="W193" s="47"/>
      <c r="X193" s="11"/>
      <c r="Y193" s="48"/>
      <c r="Z193" s="11"/>
      <c r="AA193" s="48"/>
      <c r="AB193" s="11"/>
      <c r="AC193" s="48"/>
      <c r="AD193" s="11"/>
      <c r="AE193" s="47"/>
      <c r="AF193" s="11"/>
      <c r="AG193" s="48"/>
      <c r="AH193" s="11"/>
      <c r="AI193" s="48"/>
      <c r="AJ193" s="11"/>
      <c r="AK193" s="48"/>
      <c r="AL193" s="11"/>
      <c r="AM193" s="49"/>
      <c r="AN193" s="49"/>
      <c r="AO193" s="11"/>
      <c r="AP193" s="11"/>
      <c r="AQ193" s="28" t="b">
        <f>IF(COUNTIF(SmartStatus!A$2:A1000, AM193) &gt; 2, TRUE, FALSE)</f>
        <v>0</v>
      </c>
      <c r="AR193" s="29" t="str">
        <f ca="1">IFERROR(__xludf.DUMMYFUNCTION("iferror(if(regexmatch(AO193, ""(?i)^registered""), if(EE193 &lt;&gt; ""polity_shortest_name"", ""CHECK_POLITY"", index(filter(SmartStatus!B$2:B1000, AM193 = SmartStatus!A$2:A1000, not(SmartStatus!C$2:C1000), (isblank(SmartStatus!D$2:D1000)) + ((P193 &lt;&gt; """") * "&amp;"(P193 &lt; SmartStatus!D$2:D1000)), (isblank(SmartStatus!E$2:E1000)) + ((P193 &lt;&gt; """") * (P193 &gt;= SmartStatus!E$2:E1000)), (isblank(SmartStatus!F$2:F1000)) + (((Q193 &lt;&gt; """") * (Q193 &lt; SmartStatus!F$2:F1000)) + ((P193 &lt;&gt; """") * (date(year(P193) + 3, month(P"&amp;"193), day(P193)) &lt; SmartStatus!F$2:F1000))), (isblank(SmartStatus!G$2:G1000)) + (((Q193 &lt;&gt; """") * (Q193 &gt;= SmartStatus!G$2:G1000)) + ((P193 &lt;&gt; """") * (P193 &gt;= SmartStatus!G$2:G1000)))), if(or(regexmatch(B193, ""(?i)^ir [a-z]+ designation$""), N193 &lt;&gt; """&amp;"""), 1, 2))), """"), ""NO_MATCH"")"),"")</f>
        <v/>
      </c>
      <c r="AS193" s="11"/>
      <c r="AT193" s="15"/>
      <c r="AU193" s="11"/>
      <c r="AV193" s="11"/>
      <c r="AW193" s="15"/>
      <c r="AX193" s="15"/>
      <c r="AY193" s="15"/>
      <c r="AZ193" s="11"/>
      <c r="BA193" s="15"/>
      <c r="BB193" s="11"/>
      <c r="BC193" s="11"/>
      <c r="BD193" s="15"/>
      <c r="BE193" s="11"/>
      <c r="BF193" s="11"/>
      <c r="BG193" s="15"/>
      <c r="BH193" s="15"/>
      <c r="BI193" s="15"/>
      <c r="BJ193" s="11"/>
      <c r="BK193" s="15"/>
      <c r="BL193" s="11"/>
      <c r="BM193" s="11"/>
      <c r="BN193" s="15"/>
      <c r="BO193" s="11"/>
      <c r="BP193" s="11"/>
      <c r="BQ193" s="15"/>
      <c r="BR193" s="15"/>
      <c r="BS193" s="15"/>
      <c r="BT193" s="11"/>
      <c r="BU193" s="15"/>
      <c r="BV193" s="11"/>
      <c r="BW193" s="11"/>
      <c r="BX193" s="15"/>
      <c r="BY193" s="11"/>
      <c r="BZ193" s="11"/>
      <c r="CA193" s="15"/>
      <c r="CB193" s="11"/>
      <c r="CC193" s="15"/>
      <c r="CD193" s="11"/>
      <c r="CE193" s="15"/>
      <c r="CF193" s="11"/>
      <c r="CG193" s="11"/>
      <c r="CH193" s="15"/>
      <c r="CI193" s="11"/>
      <c r="CJ193" s="11"/>
      <c r="CK193" s="15"/>
      <c r="CL193" s="11"/>
      <c r="CM193" s="11"/>
      <c r="CN193" s="11"/>
      <c r="CO193" s="11"/>
      <c r="CP193" s="28"/>
      <c r="CQ193" s="28"/>
      <c r="CR193" s="11"/>
      <c r="CS193" s="29"/>
      <c r="CT193" s="11"/>
      <c r="CU193" s="11"/>
      <c r="CV193" s="11"/>
      <c r="CW193" s="11"/>
      <c r="CX193" s="11"/>
      <c r="CY193" s="11"/>
      <c r="CZ193" s="11"/>
      <c r="DA193" s="28"/>
      <c r="DB193" s="28"/>
      <c r="DC193" s="11"/>
      <c r="DD193" s="29"/>
      <c r="DE193" s="11"/>
      <c r="DF193" s="11"/>
      <c r="DG193" s="11"/>
      <c r="DH193" s="11"/>
      <c r="DI193" s="11"/>
      <c r="DJ193" s="11"/>
      <c r="DK193" s="26"/>
      <c r="DL193" s="11"/>
      <c r="DM193" s="29"/>
      <c r="DN193" s="28"/>
      <c r="DO193" s="11"/>
      <c r="DP193" s="11"/>
      <c r="DQ193" s="11"/>
      <c r="DR193" s="29"/>
      <c r="DS193" s="28"/>
      <c r="DT193" s="11"/>
      <c r="DU193" s="26"/>
      <c r="DV193" s="11"/>
      <c r="DW193" s="29"/>
      <c r="DX193" s="28"/>
      <c r="DY193" s="11"/>
      <c r="DZ193" s="26"/>
      <c r="EA193" s="11"/>
      <c r="EB193" s="29"/>
      <c r="EC193" s="28"/>
      <c r="ED193" s="30"/>
      <c r="EE193" s="30" t="str">
        <f ca="1">IFERROR(__xludf.DUMMYFUNCTION("iferror(index(filter('Internal -- Trademark Countries'!E$2:E1000, (AM193 = 'Internal -- Trademark Countries'!B$2:B1000) + (AM193 = 'Internal -- Trademark Countries'!C$2:C1000) + (AM193 = 'Internal -- Trademark Countries'!D$2:D1000)), 1))"),"")</f>
        <v/>
      </c>
      <c r="EF193" s="30" t="e">
        <f ca="1">_xludf.ifs(AM193="", "", COUNTIF('Internal -- Trademark Countries'!B:B,AM193) &gt; 0, "polity_shortest_name", COUNTIF('Internal -- Trademark Countries'!C:C,AM193) &gt; 0, "polity_full_name", COUNTIF('Internal -- Trademark Countries'!D:D,AM193) &gt; 0, "polity_common_name", COUNTIF('Internal -- Trademark Countries'!E:E,AM193) &gt; 0, "shortest_name", COUNTIF('Internal -- Trademark Countries'!A:A,AM193) &gt; 0, "full_name", TRUE, "not a match")</f>
        <v>#NAME?</v>
      </c>
      <c r="EG193" s="30"/>
      <c r="EH193" s="30"/>
      <c r="EI193" s="30"/>
      <c r="EJ193" s="30"/>
      <c r="EK193" s="30" t="str">
        <f t="shared" si="2"/>
        <v/>
      </c>
    </row>
    <row r="194" spans="1:141" ht="16.5">
      <c r="A194" s="11"/>
      <c r="B194" s="11"/>
      <c r="C194" s="11"/>
      <c r="D194" s="11"/>
      <c r="E194" s="11"/>
      <c r="F194" s="11"/>
      <c r="G194" s="11"/>
      <c r="H194" s="11"/>
      <c r="I194" s="11"/>
      <c r="J194" s="11"/>
      <c r="K194" s="27"/>
      <c r="L194" s="11"/>
      <c r="M194" s="11"/>
      <c r="N194" s="11"/>
      <c r="O194" s="11"/>
      <c r="P194" s="15"/>
      <c r="Q194" s="15"/>
      <c r="R194" s="15"/>
      <c r="S194" s="15"/>
      <c r="T194" s="15"/>
      <c r="U194" s="15"/>
      <c r="V194" s="15"/>
      <c r="W194" s="47"/>
      <c r="X194" s="11"/>
      <c r="Y194" s="48"/>
      <c r="Z194" s="11"/>
      <c r="AA194" s="48"/>
      <c r="AB194" s="11"/>
      <c r="AC194" s="48"/>
      <c r="AD194" s="11"/>
      <c r="AE194" s="47"/>
      <c r="AF194" s="11"/>
      <c r="AG194" s="48"/>
      <c r="AH194" s="11"/>
      <c r="AI194" s="48"/>
      <c r="AJ194" s="11"/>
      <c r="AK194" s="48"/>
      <c r="AL194" s="11"/>
      <c r="AM194" s="49"/>
      <c r="AN194" s="49"/>
      <c r="AO194" s="11"/>
      <c r="AP194" s="11"/>
      <c r="AQ194" s="28" t="b">
        <f>IF(COUNTIF(SmartStatus!A$2:A1000, AM194) &gt; 2, TRUE, FALSE)</f>
        <v>0</v>
      </c>
      <c r="AR194" s="29" t="str">
        <f ca="1">IFERROR(__xludf.DUMMYFUNCTION("iferror(if(regexmatch(AO194, ""(?i)^registered""), if(EE194 &lt;&gt; ""polity_shortest_name"", ""CHECK_POLITY"", index(filter(SmartStatus!B$2:B1000, AM194 = SmartStatus!A$2:A1000, not(SmartStatus!C$2:C1000), (isblank(SmartStatus!D$2:D1000)) + ((P194 &lt;&gt; """") * "&amp;"(P194 &lt; SmartStatus!D$2:D1000)), (isblank(SmartStatus!E$2:E1000)) + ((P194 &lt;&gt; """") * (P194 &gt;= SmartStatus!E$2:E1000)), (isblank(SmartStatus!F$2:F1000)) + (((Q194 &lt;&gt; """") * (Q194 &lt; SmartStatus!F$2:F1000)) + ((P194 &lt;&gt; """") * (date(year(P194) + 3, month(P"&amp;"194), day(P194)) &lt; SmartStatus!F$2:F1000))), (isblank(SmartStatus!G$2:G1000)) + (((Q194 &lt;&gt; """") * (Q194 &gt;= SmartStatus!G$2:G1000)) + ((P194 &lt;&gt; """") * (P194 &gt;= SmartStatus!G$2:G1000)))), if(or(regexmatch(B194, ""(?i)^ir [a-z]+ designation$""), N194 &lt;&gt; """&amp;"""), 1, 2))), """"), ""NO_MATCH"")"),"")</f>
        <v/>
      </c>
      <c r="AS194" s="11"/>
      <c r="AT194" s="15"/>
      <c r="AU194" s="11"/>
      <c r="AV194" s="11"/>
      <c r="AW194" s="15"/>
      <c r="AX194" s="15"/>
      <c r="AY194" s="15"/>
      <c r="AZ194" s="11"/>
      <c r="BA194" s="15"/>
      <c r="BB194" s="11"/>
      <c r="BC194" s="11"/>
      <c r="BD194" s="15"/>
      <c r="BE194" s="11"/>
      <c r="BF194" s="11"/>
      <c r="BG194" s="15"/>
      <c r="BH194" s="15"/>
      <c r="BI194" s="15"/>
      <c r="BJ194" s="11"/>
      <c r="BK194" s="15"/>
      <c r="BL194" s="11"/>
      <c r="BM194" s="11"/>
      <c r="BN194" s="15"/>
      <c r="BO194" s="11"/>
      <c r="BP194" s="11"/>
      <c r="BQ194" s="15"/>
      <c r="BR194" s="15"/>
      <c r="BS194" s="15"/>
      <c r="BT194" s="11"/>
      <c r="BU194" s="15"/>
      <c r="BV194" s="11"/>
      <c r="BW194" s="11"/>
      <c r="BX194" s="15"/>
      <c r="BY194" s="11"/>
      <c r="BZ194" s="11"/>
      <c r="CA194" s="15"/>
      <c r="CB194" s="11"/>
      <c r="CC194" s="15"/>
      <c r="CD194" s="11"/>
      <c r="CE194" s="15"/>
      <c r="CF194" s="11"/>
      <c r="CG194" s="11"/>
      <c r="CH194" s="15"/>
      <c r="CI194" s="11"/>
      <c r="CJ194" s="11"/>
      <c r="CK194" s="15"/>
      <c r="CL194" s="11"/>
      <c r="CM194" s="11"/>
      <c r="CN194" s="11"/>
      <c r="CO194" s="11"/>
      <c r="CP194" s="28"/>
      <c r="CQ194" s="28"/>
      <c r="CR194" s="11"/>
      <c r="CS194" s="29"/>
      <c r="CT194" s="11"/>
      <c r="CU194" s="11"/>
      <c r="CV194" s="11"/>
      <c r="CW194" s="11"/>
      <c r="CX194" s="11"/>
      <c r="CY194" s="11"/>
      <c r="CZ194" s="11"/>
      <c r="DA194" s="28"/>
      <c r="DB194" s="28"/>
      <c r="DC194" s="11"/>
      <c r="DD194" s="29"/>
      <c r="DE194" s="11"/>
      <c r="DF194" s="11"/>
      <c r="DG194" s="11"/>
      <c r="DH194" s="11"/>
      <c r="DI194" s="11"/>
      <c r="DJ194" s="11"/>
      <c r="DK194" s="26"/>
      <c r="DL194" s="11"/>
      <c r="DM194" s="29"/>
      <c r="DN194" s="28"/>
      <c r="DO194" s="11"/>
      <c r="DP194" s="11"/>
      <c r="DQ194" s="11"/>
      <c r="DR194" s="29"/>
      <c r="DS194" s="28"/>
      <c r="DT194" s="11"/>
      <c r="DU194" s="26"/>
      <c r="DV194" s="11"/>
      <c r="DW194" s="29"/>
      <c r="DX194" s="28"/>
      <c r="DY194" s="11"/>
      <c r="DZ194" s="26"/>
      <c r="EA194" s="11"/>
      <c r="EB194" s="29"/>
      <c r="EC194" s="28"/>
      <c r="ED194" s="30"/>
      <c r="EE194" s="30" t="str">
        <f ca="1">IFERROR(__xludf.DUMMYFUNCTION("iferror(index(filter('Internal -- Trademark Countries'!E$2:E1000, (AM194 = 'Internal -- Trademark Countries'!B$2:B1000) + (AM194 = 'Internal -- Trademark Countries'!C$2:C1000) + (AM194 = 'Internal -- Trademark Countries'!D$2:D1000)), 1))"),"")</f>
        <v/>
      </c>
      <c r="EF194" s="30" t="e">
        <f ca="1">_xludf.ifs(AM194="", "", COUNTIF('Internal -- Trademark Countries'!B:B,AM194) &gt; 0, "polity_shortest_name", COUNTIF('Internal -- Trademark Countries'!C:C,AM194) &gt; 0, "polity_full_name", COUNTIF('Internal -- Trademark Countries'!D:D,AM194) &gt; 0, "polity_common_name", COUNTIF('Internal -- Trademark Countries'!E:E,AM194) &gt; 0, "shortest_name", COUNTIF('Internal -- Trademark Countries'!A:A,AM194) &gt; 0, "full_name", TRUE, "not a match")</f>
        <v>#NAME?</v>
      </c>
      <c r="EG194" s="30"/>
      <c r="EH194" s="30"/>
      <c r="EI194" s="30"/>
      <c r="EJ194" s="30"/>
      <c r="EK194" s="30" t="str">
        <f t="shared" si="2"/>
        <v/>
      </c>
    </row>
    <row r="195" spans="1:141" ht="16.5">
      <c r="A195" s="11"/>
      <c r="B195" s="11"/>
      <c r="C195" s="11"/>
      <c r="D195" s="11"/>
      <c r="E195" s="11"/>
      <c r="F195" s="11"/>
      <c r="G195" s="11"/>
      <c r="H195" s="11"/>
      <c r="I195" s="11"/>
      <c r="J195" s="11"/>
      <c r="K195" s="27"/>
      <c r="L195" s="11"/>
      <c r="M195" s="11"/>
      <c r="N195" s="11"/>
      <c r="O195" s="11"/>
      <c r="P195" s="15"/>
      <c r="Q195" s="15"/>
      <c r="R195" s="15"/>
      <c r="S195" s="15"/>
      <c r="T195" s="15"/>
      <c r="U195" s="15"/>
      <c r="V195" s="15"/>
      <c r="W195" s="47"/>
      <c r="X195" s="11"/>
      <c r="Y195" s="48"/>
      <c r="Z195" s="11"/>
      <c r="AA195" s="48"/>
      <c r="AB195" s="11"/>
      <c r="AC195" s="48"/>
      <c r="AD195" s="11"/>
      <c r="AE195" s="47"/>
      <c r="AF195" s="11"/>
      <c r="AG195" s="48"/>
      <c r="AH195" s="11"/>
      <c r="AI195" s="48"/>
      <c r="AJ195" s="11"/>
      <c r="AK195" s="48"/>
      <c r="AL195" s="11"/>
      <c r="AM195" s="49"/>
      <c r="AN195" s="49"/>
      <c r="AO195" s="11"/>
      <c r="AP195" s="11"/>
      <c r="AQ195" s="28" t="b">
        <f>IF(COUNTIF(SmartStatus!A$2:A1000, AM195) &gt; 2, TRUE, FALSE)</f>
        <v>0</v>
      </c>
      <c r="AR195" s="29" t="str">
        <f ca="1">IFERROR(__xludf.DUMMYFUNCTION("iferror(if(regexmatch(AO195, ""(?i)^registered""), if(EE195 &lt;&gt; ""polity_shortest_name"", ""CHECK_POLITY"", index(filter(SmartStatus!B$2:B1000, AM195 = SmartStatus!A$2:A1000, not(SmartStatus!C$2:C1000), (isblank(SmartStatus!D$2:D1000)) + ((P195 &lt;&gt; """") * "&amp;"(P195 &lt; SmartStatus!D$2:D1000)), (isblank(SmartStatus!E$2:E1000)) + ((P195 &lt;&gt; """") * (P195 &gt;= SmartStatus!E$2:E1000)), (isblank(SmartStatus!F$2:F1000)) + (((Q195 &lt;&gt; """") * (Q195 &lt; SmartStatus!F$2:F1000)) + ((P195 &lt;&gt; """") * (date(year(P195) + 3, month(P"&amp;"195), day(P195)) &lt; SmartStatus!F$2:F1000))), (isblank(SmartStatus!G$2:G1000)) + (((Q195 &lt;&gt; """") * (Q195 &gt;= SmartStatus!G$2:G1000)) + ((P195 &lt;&gt; """") * (P195 &gt;= SmartStatus!G$2:G1000)))), if(or(regexmatch(B195, ""(?i)^ir [a-z]+ designation$""), N195 &lt;&gt; """&amp;"""), 1, 2))), """"), ""NO_MATCH"")"),"")</f>
        <v/>
      </c>
      <c r="AS195" s="11"/>
      <c r="AT195" s="15"/>
      <c r="AU195" s="11"/>
      <c r="AV195" s="11"/>
      <c r="AW195" s="15"/>
      <c r="AX195" s="15"/>
      <c r="AY195" s="15"/>
      <c r="AZ195" s="11"/>
      <c r="BA195" s="15"/>
      <c r="BB195" s="11"/>
      <c r="BC195" s="11"/>
      <c r="BD195" s="15"/>
      <c r="BE195" s="11"/>
      <c r="BF195" s="11"/>
      <c r="BG195" s="15"/>
      <c r="BH195" s="15"/>
      <c r="BI195" s="15"/>
      <c r="BJ195" s="11"/>
      <c r="BK195" s="15"/>
      <c r="BL195" s="11"/>
      <c r="BM195" s="11"/>
      <c r="BN195" s="15"/>
      <c r="BO195" s="11"/>
      <c r="BP195" s="11"/>
      <c r="BQ195" s="15"/>
      <c r="BR195" s="15"/>
      <c r="BS195" s="15"/>
      <c r="BT195" s="11"/>
      <c r="BU195" s="15"/>
      <c r="BV195" s="11"/>
      <c r="BW195" s="11"/>
      <c r="BX195" s="15"/>
      <c r="BY195" s="11"/>
      <c r="BZ195" s="11"/>
      <c r="CA195" s="15"/>
      <c r="CB195" s="11"/>
      <c r="CC195" s="15"/>
      <c r="CD195" s="11"/>
      <c r="CE195" s="15"/>
      <c r="CF195" s="11"/>
      <c r="CG195" s="11"/>
      <c r="CH195" s="15"/>
      <c r="CI195" s="11"/>
      <c r="CJ195" s="11"/>
      <c r="CK195" s="15"/>
      <c r="CL195" s="11"/>
      <c r="CM195" s="11"/>
      <c r="CN195" s="11"/>
      <c r="CO195" s="11"/>
      <c r="CP195" s="28"/>
      <c r="CQ195" s="28"/>
      <c r="CR195" s="11"/>
      <c r="CS195" s="29"/>
      <c r="CT195" s="11"/>
      <c r="CU195" s="11"/>
      <c r="CV195" s="11"/>
      <c r="CW195" s="11"/>
      <c r="CX195" s="11"/>
      <c r="CY195" s="11"/>
      <c r="CZ195" s="11"/>
      <c r="DA195" s="28"/>
      <c r="DB195" s="28"/>
      <c r="DC195" s="11"/>
      <c r="DD195" s="29"/>
      <c r="DE195" s="11"/>
      <c r="DF195" s="11"/>
      <c r="DG195" s="11"/>
      <c r="DH195" s="11"/>
      <c r="DI195" s="11"/>
      <c r="DJ195" s="11"/>
      <c r="DK195" s="26"/>
      <c r="DL195" s="11"/>
      <c r="DM195" s="29"/>
      <c r="DN195" s="28"/>
      <c r="DO195" s="11"/>
      <c r="DP195" s="11"/>
      <c r="DQ195" s="11"/>
      <c r="DR195" s="29"/>
      <c r="DS195" s="28"/>
      <c r="DT195" s="11"/>
      <c r="DU195" s="26"/>
      <c r="DV195" s="11"/>
      <c r="DW195" s="29"/>
      <c r="DX195" s="28"/>
      <c r="DY195" s="11"/>
      <c r="DZ195" s="26"/>
      <c r="EA195" s="11"/>
      <c r="EB195" s="29"/>
      <c r="EC195" s="28"/>
      <c r="ED195" s="30"/>
      <c r="EE195" s="30" t="str">
        <f ca="1">IFERROR(__xludf.DUMMYFUNCTION("iferror(index(filter('Internal -- Trademark Countries'!E$2:E1000, (AM195 = 'Internal -- Trademark Countries'!B$2:B1000) + (AM195 = 'Internal -- Trademark Countries'!C$2:C1000) + (AM195 = 'Internal -- Trademark Countries'!D$2:D1000)), 1))"),"")</f>
        <v/>
      </c>
      <c r="EF195" s="30" t="e">
        <f ca="1">_xludf.ifs(AM195="", "", COUNTIF('Internal -- Trademark Countries'!B:B,AM195) &gt; 0, "polity_shortest_name", COUNTIF('Internal -- Trademark Countries'!C:C,AM195) &gt; 0, "polity_full_name", COUNTIF('Internal -- Trademark Countries'!D:D,AM195) &gt; 0, "polity_common_name", COUNTIF('Internal -- Trademark Countries'!E:E,AM195) &gt; 0, "shortest_name", COUNTIF('Internal -- Trademark Countries'!A:A,AM195) &gt; 0, "full_name", TRUE, "not a match")</f>
        <v>#NAME?</v>
      </c>
      <c r="EG195" s="30"/>
      <c r="EH195" s="30"/>
      <c r="EI195" s="30"/>
      <c r="EJ195" s="30"/>
      <c r="EK195" s="30" t="str">
        <f t="shared" si="2"/>
        <v/>
      </c>
    </row>
    <row r="196" spans="1:141" ht="16.5">
      <c r="A196" s="11"/>
      <c r="B196" s="11"/>
      <c r="C196" s="11"/>
      <c r="D196" s="11"/>
      <c r="E196" s="11"/>
      <c r="F196" s="11"/>
      <c r="G196" s="11"/>
      <c r="H196" s="11"/>
      <c r="I196" s="11"/>
      <c r="J196" s="11"/>
      <c r="K196" s="27"/>
      <c r="L196" s="11"/>
      <c r="M196" s="11"/>
      <c r="N196" s="11"/>
      <c r="O196" s="11"/>
      <c r="P196" s="15"/>
      <c r="Q196" s="15"/>
      <c r="R196" s="15"/>
      <c r="S196" s="15"/>
      <c r="T196" s="15"/>
      <c r="U196" s="15"/>
      <c r="V196" s="15"/>
      <c r="W196" s="47"/>
      <c r="X196" s="11"/>
      <c r="Y196" s="48"/>
      <c r="Z196" s="11"/>
      <c r="AA196" s="48"/>
      <c r="AB196" s="11"/>
      <c r="AC196" s="48"/>
      <c r="AD196" s="11"/>
      <c r="AE196" s="47"/>
      <c r="AF196" s="11"/>
      <c r="AG196" s="48"/>
      <c r="AH196" s="11"/>
      <c r="AI196" s="48"/>
      <c r="AJ196" s="11"/>
      <c r="AK196" s="48"/>
      <c r="AL196" s="11"/>
      <c r="AM196" s="49"/>
      <c r="AN196" s="49"/>
      <c r="AO196" s="11"/>
      <c r="AP196" s="11"/>
      <c r="AQ196" s="28" t="b">
        <f>IF(COUNTIF(SmartStatus!A$2:A1000, AM196) &gt; 2, TRUE, FALSE)</f>
        <v>0</v>
      </c>
      <c r="AR196" s="29" t="str">
        <f ca="1">IFERROR(__xludf.DUMMYFUNCTION("iferror(if(regexmatch(AO196, ""(?i)^registered""), if(EE196 &lt;&gt; ""polity_shortest_name"", ""CHECK_POLITY"", index(filter(SmartStatus!B$2:B1000, AM196 = SmartStatus!A$2:A1000, not(SmartStatus!C$2:C1000), (isblank(SmartStatus!D$2:D1000)) + ((P196 &lt;&gt; """") * "&amp;"(P196 &lt; SmartStatus!D$2:D1000)), (isblank(SmartStatus!E$2:E1000)) + ((P196 &lt;&gt; """") * (P196 &gt;= SmartStatus!E$2:E1000)), (isblank(SmartStatus!F$2:F1000)) + (((Q196 &lt;&gt; """") * (Q196 &lt; SmartStatus!F$2:F1000)) + ((P196 &lt;&gt; """") * (date(year(P196) + 3, month(P"&amp;"196), day(P196)) &lt; SmartStatus!F$2:F1000))), (isblank(SmartStatus!G$2:G1000)) + (((Q196 &lt;&gt; """") * (Q196 &gt;= SmartStatus!G$2:G1000)) + ((P196 &lt;&gt; """") * (P196 &gt;= SmartStatus!G$2:G1000)))), if(or(regexmatch(B196, ""(?i)^ir [a-z]+ designation$""), N196 &lt;&gt; """&amp;"""), 1, 2))), """"), ""NO_MATCH"")"),"")</f>
        <v/>
      </c>
      <c r="AS196" s="11"/>
      <c r="AT196" s="15"/>
      <c r="AU196" s="11"/>
      <c r="AV196" s="11"/>
      <c r="AW196" s="15"/>
      <c r="AX196" s="15"/>
      <c r="AY196" s="15"/>
      <c r="AZ196" s="11"/>
      <c r="BA196" s="15"/>
      <c r="BB196" s="11"/>
      <c r="BC196" s="11"/>
      <c r="BD196" s="15"/>
      <c r="BE196" s="11"/>
      <c r="BF196" s="11"/>
      <c r="BG196" s="15"/>
      <c r="BH196" s="15"/>
      <c r="BI196" s="15"/>
      <c r="BJ196" s="11"/>
      <c r="BK196" s="15"/>
      <c r="BL196" s="11"/>
      <c r="BM196" s="11"/>
      <c r="BN196" s="15"/>
      <c r="BO196" s="11"/>
      <c r="BP196" s="11"/>
      <c r="BQ196" s="15"/>
      <c r="BR196" s="15"/>
      <c r="BS196" s="15"/>
      <c r="BT196" s="11"/>
      <c r="BU196" s="15"/>
      <c r="BV196" s="11"/>
      <c r="BW196" s="11"/>
      <c r="BX196" s="15"/>
      <c r="BY196" s="11"/>
      <c r="BZ196" s="11"/>
      <c r="CA196" s="15"/>
      <c r="CB196" s="11"/>
      <c r="CC196" s="15"/>
      <c r="CD196" s="11"/>
      <c r="CE196" s="15"/>
      <c r="CF196" s="11"/>
      <c r="CG196" s="11"/>
      <c r="CH196" s="15"/>
      <c r="CI196" s="11"/>
      <c r="CJ196" s="11"/>
      <c r="CK196" s="15"/>
      <c r="CL196" s="11"/>
      <c r="CM196" s="11"/>
      <c r="CN196" s="11"/>
      <c r="CO196" s="11"/>
      <c r="CP196" s="28"/>
      <c r="CQ196" s="28"/>
      <c r="CR196" s="11"/>
      <c r="CS196" s="29"/>
      <c r="CT196" s="11"/>
      <c r="CU196" s="11"/>
      <c r="CV196" s="11"/>
      <c r="CW196" s="11"/>
      <c r="CX196" s="11"/>
      <c r="CY196" s="11"/>
      <c r="CZ196" s="11"/>
      <c r="DA196" s="28"/>
      <c r="DB196" s="28"/>
      <c r="DC196" s="11"/>
      <c r="DD196" s="29"/>
      <c r="DE196" s="11"/>
      <c r="DF196" s="11"/>
      <c r="DG196" s="11"/>
      <c r="DH196" s="11"/>
      <c r="DI196" s="11"/>
      <c r="DJ196" s="11"/>
      <c r="DK196" s="26"/>
      <c r="DL196" s="11"/>
      <c r="DM196" s="29"/>
      <c r="DN196" s="28"/>
      <c r="DO196" s="11"/>
      <c r="DP196" s="11"/>
      <c r="DQ196" s="11"/>
      <c r="DR196" s="29"/>
      <c r="DS196" s="28"/>
      <c r="DT196" s="11"/>
      <c r="DU196" s="26"/>
      <c r="DV196" s="11"/>
      <c r="DW196" s="29"/>
      <c r="DX196" s="28"/>
      <c r="DY196" s="11"/>
      <c r="DZ196" s="26"/>
      <c r="EA196" s="11"/>
      <c r="EB196" s="29"/>
      <c r="EC196" s="28"/>
      <c r="ED196" s="30"/>
      <c r="EE196" s="30" t="str">
        <f ca="1">IFERROR(__xludf.DUMMYFUNCTION("iferror(index(filter('Internal -- Trademark Countries'!E$2:E1000, (AM196 = 'Internal -- Trademark Countries'!B$2:B1000) + (AM196 = 'Internal -- Trademark Countries'!C$2:C1000) + (AM196 = 'Internal -- Trademark Countries'!D$2:D1000)), 1))"),"")</f>
        <v/>
      </c>
      <c r="EF196" s="30" t="e">
        <f ca="1">_xludf.ifs(AM196="", "", COUNTIF('Internal -- Trademark Countries'!B:B,AM196) &gt; 0, "polity_shortest_name", COUNTIF('Internal -- Trademark Countries'!C:C,AM196) &gt; 0, "polity_full_name", COUNTIF('Internal -- Trademark Countries'!D:D,AM196) &gt; 0, "polity_common_name", COUNTIF('Internal -- Trademark Countries'!E:E,AM196) &gt; 0, "shortest_name", COUNTIF('Internal -- Trademark Countries'!A:A,AM196) &gt; 0, "full_name", TRUE, "not a match")</f>
        <v>#NAME?</v>
      </c>
      <c r="EG196" s="30"/>
      <c r="EH196" s="30"/>
      <c r="EI196" s="30"/>
      <c r="EJ196" s="30"/>
      <c r="EK196" s="30" t="str">
        <f t="shared" si="2"/>
        <v/>
      </c>
    </row>
    <row r="197" spans="1:141" ht="16.5">
      <c r="A197" s="11"/>
      <c r="B197" s="11"/>
      <c r="C197" s="11"/>
      <c r="D197" s="11"/>
      <c r="E197" s="11"/>
      <c r="F197" s="11"/>
      <c r="G197" s="11"/>
      <c r="H197" s="11"/>
      <c r="I197" s="11"/>
      <c r="J197" s="11"/>
      <c r="K197" s="27"/>
      <c r="L197" s="11"/>
      <c r="M197" s="11"/>
      <c r="N197" s="11"/>
      <c r="O197" s="11"/>
      <c r="P197" s="15"/>
      <c r="Q197" s="15"/>
      <c r="R197" s="15"/>
      <c r="S197" s="15"/>
      <c r="T197" s="15"/>
      <c r="U197" s="15"/>
      <c r="V197" s="15"/>
      <c r="W197" s="47"/>
      <c r="X197" s="11"/>
      <c r="Y197" s="48"/>
      <c r="Z197" s="11"/>
      <c r="AA197" s="48"/>
      <c r="AB197" s="11"/>
      <c r="AC197" s="48"/>
      <c r="AD197" s="11"/>
      <c r="AE197" s="47"/>
      <c r="AF197" s="11"/>
      <c r="AG197" s="48"/>
      <c r="AH197" s="11"/>
      <c r="AI197" s="48"/>
      <c r="AJ197" s="11"/>
      <c r="AK197" s="48"/>
      <c r="AL197" s="11"/>
      <c r="AM197" s="49"/>
      <c r="AN197" s="49"/>
      <c r="AO197" s="11"/>
      <c r="AP197" s="11"/>
      <c r="AQ197" s="28" t="b">
        <f>IF(COUNTIF(SmartStatus!A$2:A1000, AM197) &gt; 2, TRUE, FALSE)</f>
        <v>0</v>
      </c>
      <c r="AR197" s="29" t="str">
        <f ca="1">IFERROR(__xludf.DUMMYFUNCTION("iferror(if(regexmatch(AO197, ""(?i)^registered""), if(EE197 &lt;&gt; ""polity_shortest_name"", ""CHECK_POLITY"", index(filter(SmartStatus!B$2:B1000, AM197 = SmartStatus!A$2:A1000, not(SmartStatus!C$2:C1000), (isblank(SmartStatus!D$2:D1000)) + ((P197 &lt;&gt; """") * "&amp;"(P197 &lt; SmartStatus!D$2:D1000)), (isblank(SmartStatus!E$2:E1000)) + ((P197 &lt;&gt; """") * (P197 &gt;= SmartStatus!E$2:E1000)), (isblank(SmartStatus!F$2:F1000)) + (((Q197 &lt;&gt; """") * (Q197 &lt; SmartStatus!F$2:F1000)) + ((P197 &lt;&gt; """") * (date(year(P197) + 3, month(P"&amp;"197), day(P197)) &lt; SmartStatus!F$2:F1000))), (isblank(SmartStatus!G$2:G1000)) + (((Q197 &lt;&gt; """") * (Q197 &gt;= SmartStatus!G$2:G1000)) + ((P197 &lt;&gt; """") * (P197 &gt;= SmartStatus!G$2:G1000)))), if(or(regexmatch(B197, ""(?i)^ir [a-z]+ designation$""), N197 &lt;&gt; """&amp;"""), 1, 2))), """"), ""NO_MATCH"")"),"")</f>
        <v/>
      </c>
      <c r="AS197" s="11"/>
      <c r="AT197" s="15"/>
      <c r="AU197" s="11"/>
      <c r="AV197" s="11"/>
      <c r="AW197" s="15"/>
      <c r="AX197" s="15"/>
      <c r="AY197" s="15"/>
      <c r="AZ197" s="11"/>
      <c r="BA197" s="15"/>
      <c r="BB197" s="11"/>
      <c r="BC197" s="11"/>
      <c r="BD197" s="15"/>
      <c r="BE197" s="11"/>
      <c r="BF197" s="11"/>
      <c r="BG197" s="15"/>
      <c r="BH197" s="15"/>
      <c r="BI197" s="15"/>
      <c r="BJ197" s="11"/>
      <c r="BK197" s="15"/>
      <c r="BL197" s="11"/>
      <c r="BM197" s="11"/>
      <c r="BN197" s="15"/>
      <c r="BO197" s="11"/>
      <c r="BP197" s="11"/>
      <c r="BQ197" s="15"/>
      <c r="BR197" s="15"/>
      <c r="BS197" s="15"/>
      <c r="BT197" s="11"/>
      <c r="BU197" s="15"/>
      <c r="BV197" s="11"/>
      <c r="BW197" s="11"/>
      <c r="BX197" s="15"/>
      <c r="BY197" s="11"/>
      <c r="BZ197" s="11"/>
      <c r="CA197" s="15"/>
      <c r="CB197" s="11"/>
      <c r="CC197" s="15"/>
      <c r="CD197" s="11"/>
      <c r="CE197" s="15"/>
      <c r="CF197" s="11"/>
      <c r="CG197" s="11"/>
      <c r="CH197" s="15"/>
      <c r="CI197" s="11"/>
      <c r="CJ197" s="11"/>
      <c r="CK197" s="15"/>
      <c r="CL197" s="11"/>
      <c r="CM197" s="11"/>
      <c r="CN197" s="11"/>
      <c r="CO197" s="11"/>
      <c r="CP197" s="28"/>
      <c r="CQ197" s="28"/>
      <c r="CR197" s="11"/>
      <c r="CS197" s="29"/>
      <c r="CT197" s="11"/>
      <c r="CU197" s="11"/>
      <c r="CV197" s="11"/>
      <c r="CW197" s="11"/>
      <c r="CX197" s="11"/>
      <c r="CY197" s="11"/>
      <c r="CZ197" s="11"/>
      <c r="DA197" s="28"/>
      <c r="DB197" s="28"/>
      <c r="DC197" s="11"/>
      <c r="DD197" s="29"/>
      <c r="DE197" s="11"/>
      <c r="DF197" s="11"/>
      <c r="DG197" s="11"/>
      <c r="DH197" s="11"/>
      <c r="DI197" s="11"/>
      <c r="DJ197" s="11"/>
      <c r="DK197" s="26"/>
      <c r="DL197" s="11"/>
      <c r="DM197" s="29"/>
      <c r="DN197" s="28"/>
      <c r="DO197" s="11"/>
      <c r="DP197" s="11"/>
      <c r="DQ197" s="11"/>
      <c r="DR197" s="29"/>
      <c r="DS197" s="28"/>
      <c r="DT197" s="11"/>
      <c r="DU197" s="26"/>
      <c r="DV197" s="11"/>
      <c r="DW197" s="29"/>
      <c r="DX197" s="28"/>
      <c r="DY197" s="11"/>
      <c r="DZ197" s="26"/>
      <c r="EA197" s="11"/>
      <c r="EB197" s="29"/>
      <c r="EC197" s="28"/>
      <c r="ED197" s="30"/>
      <c r="EE197" s="30" t="str">
        <f ca="1">IFERROR(__xludf.DUMMYFUNCTION("iferror(index(filter('Internal -- Trademark Countries'!E$2:E1000, (AM197 = 'Internal -- Trademark Countries'!B$2:B1000) + (AM197 = 'Internal -- Trademark Countries'!C$2:C1000) + (AM197 = 'Internal -- Trademark Countries'!D$2:D1000)), 1))"),"")</f>
        <v/>
      </c>
      <c r="EF197" s="30" t="e">
        <f ca="1">_xludf.ifs(AM197="", "", COUNTIF('Internal -- Trademark Countries'!B:B,AM197) &gt; 0, "polity_shortest_name", COUNTIF('Internal -- Trademark Countries'!C:C,AM197) &gt; 0, "polity_full_name", COUNTIF('Internal -- Trademark Countries'!D:D,AM197) &gt; 0, "polity_common_name", COUNTIF('Internal -- Trademark Countries'!E:E,AM197) &gt; 0, "shortest_name", COUNTIF('Internal -- Trademark Countries'!A:A,AM197) &gt; 0, "full_name", TRUE, "not a match")</f>
        <v>#NAME?</v>
      </c>
      <c r="EG197" s="30"/>
      <c r="EH197" s="30"/>
      <c r="EI197" s="30"/>
      <c r="EJ197" s="30"/>
      <c r="EK197" s="30" t="str">
        <f t="shared" si="2"/>
        <v/>
      </c>
    </row>
    <row r="198" spans="1:141" ht="16.5">
      <c r="A198" s="11"/>
      <c r="B198" s="11"/>
      <c r="C198" s="11"/>
      <c r="D198" s="11"/>
      <c r="E198" s="11"/>
      <c r="F198" s="11"/>
      <c r="G198" s="11"/>
      <c r="H198" s="11"/>
      <c r="I198" s="11"/>
      <c r="J198" s="11"/>
      <c r="K198" s="27"/>
      <c r="L198" s="11"/>
      <c r="M198" s="11"/>
      <c r="N198" s="11"/>
      <c r="O198" s="11"/>
      <c r="P198" s="15"/>
      <c r="Q198" s="15"/>
      <c r="R198" s="15"/>
      <c r="S198" s="15"/>
      <c r="T198" s="15"/>
      <c r="U198" s="15"/>
      <c r="V198" s="15"/>
      <c r="W198" s="47"/>
      <c r="X198" s="11"/>
      <c r="Y198" s="48"/>
      <c r="Z198" s="11"/>
      <c r="AA198" s="48"/>
      <c r="AB198" s="11"/>
      <c r="AC198" s="48"/>
      <c r="AD198" s="11"/>
      <c r="AE198" s="47"/>
      <c r="AF198" s="11"/>
      <c r="AG198" s="48"/>
      <c r="AH198" s="11"/>
      <c r="AI198" s="48"/>
      <c r="AJ198" s="11"/>
      <c r="AK198" s="48"/>
      <c r="AL198" s="11"/>
      <c r="AM198" s="49"/>
      <c r="AN198" s="49"/>
      <c r="AO198" s="11"/>
      <c r="AP198" s="11"/>
      <c r="AQ198" s="28" t="b">
        <f>IF(COUNTIF(SmartStatus!A$2:A1000, AM198) &gt; 2, TRUE, FALSE)</f>
        <v>0</v>
      </c>
      <c r="AR198" s="29" t="str">
        <f ca="1">IFERROR(__xludf.DUMMYFUNCTION("iferror(if(regexmatch(AO198, ""(?i)^registered""), if(EE198 &lt;&gt; ""polity_shortest_name"", ""CHECK_POLITY"", index(filter(SmartStatus!B$2:B1000, AM198 = SmartStatus!A$2:A1000, not(SmartStatus!C$2:C1000), (isblank(SmartStatus!D$2:D1000)) + ((P198 &lt;&gt; """") * "&amp;"(P198 &lt; SmartStatus!D$2:D1000)), (isblank(SmartStatus!E$2:E1000)) + ((P198 &lt;&gt; """") * (P198 &gt;= SmartStatus!E$2:E1000)), (isblank(SmartStatus!F$2:F1000)) + (((Q198 &lt;&gt; """") * (Q198 &lt; SmartStatus!F$2:F1000)) + ((P198 &lt;&gt; """") * (date(year(P198) + 3, month(P"&amp;"198), day(P198)) &lt; SmartStatus!F$2:F1000))), (isblank(SmartStatus!G$2:G1000)) + (((Q198 &lt;&gt; """") * (Q198 &gt;= SmartStatus!G$2:G1000)) + ((P198 &lt;&gt; """") * (P198 &gt;= SmartStatus!G$2:G1000)))), if(or(regexmatch(B198, ""(?i)^ir [a-z]+ designation$""), N198 &lt;&gt; """&amp;"""), 1, 2))), """"), ""NO_MATCH"")"),"")</f>
        <v/>
      </c>
      <c r="AS198" s="11"/>
      <c r="AT198" s="15"/>
      <c r="AU198" s="11"/>
      <c r="AV198" s="11"/>
      <c r="AW198" s="15"/>
      <c r="AX198" s="15"/>
      <c r="AY198" s="15"/>
      <c r="AZ198" s="11"/>
      <c r="BA198" s="15"/>
      <c r="BB198" s="11"/>
      <c r="BC198" s="11"/>
      <c r="BD198" s="15"/>
      <c r="BE198" s="11"/>
      <c r="BF198" s="11"/>
      <c r="BG198" s="15"/>
      <c r="BH198" s="15"/>
      <c r="BI198" s="15"/>
      <c r="BJ198" s="11"/>
      <c r="BK198" s="15"/>
      <c r="BL198" s="11"/>
      <c r="BM198" s="11"/>
      <c r="BN198" s="15"/>
      <c r="BO198" s="11"/>
      <c r="BP198" s="11"/>
      <c r="BQ198" s="15"/>
      <c r="BR198" s="15"/>
      <c r="BS198" s="15"/>
      <c r="BT198" s="11"/>
      <c r="BU198" s="15"/>
      <c r="BV198" s="11"/>
      <c r="BW198" s="11"/>
      <c r="BX198" s="15"/>
      <c r="BY198" s="11"/>
      <c r="BZ198" s="11"/>
      <c r="CA198" s="15"/>
      <c r="CB198" s="11"/>
      <c r="CC198" s="15"/>
      <c r="CD198" s="11"/>
      <c r="CE198" s="15"/>
      <c r="CF198" s="11"/>
      <c r="CG198" s="11"/>
      <c r="CH198" s="15"/>
      <c r="CI198" s="11"/>
      <c r="CJ198" s="11"/>
      <c r="CK198" s="15"/>
      <c r="CL198" s="11"/>
      <c r="CM198" s="11"/>
      <c r="CN198" s="11"/>
      <c r="CO198" s="11"/>
      <c r="CP198" s="28"/>
      <c r="CQ198" s="28"/>
      <c r="CR198" s="11"/>
      <c r="CS198" s="29"/>
      <c r="CT198" s="11"/>
      <c r="CU198" s="11"/>
      <c r="CV198" s="11"/>
      <c r="CW198" s="11"/>
      <c r="CX198" s="11"/>
      <c r="CY198" s="11"/>
      <c r="CZ198" s="11"/>
      <c r="DA198" s="28"/>
      <c r="DB198" s="28"/>
      <c r="DC198" s="11"/>
      <c r="DD198" s="29"/>
      <c r="DE198" s="11"/>
      <c r="DF198" s="11"/>
      <c r="DG198" s="11"/>
      <c r="DH198" s="11"/>
      <c r="DI198" s="11"/>
      <c r="DJ198" s="11"/>
      <c r="DK198" s="26"/>
      <c r="DL198" s="11"/>
      <c r="DM198" s="29"/>
      <c r="DN198" s="28"/>
      <c r="DO198" s="11"/>
      <c r="DP198" s="11"/>
      <c r="DQ198" s="11"/>
      <c r="DR198" s="29"/>
      <c r="DS198" s="28"/>
      <c r="DT198" s="11"/>
      <c r="DU198" s="26"/>
      <c r="DV198" s="11"/>
      <c r="DW198" s="29"/>
      <c r="DX198" s="28"/>
      <c r="DY198" s="11"/>
      <c r="DZ198" s="26"/>
      <c r="EA198" s="11"/>
      <c r="EB198" s="29"/>
      <c r="EC198" s="28"/>
      <c r="ED198" s="30"/>
      <c r="EE198" s="30" t="str">
        <f ca="1">IFERROR(__xludf.DUMMYFUNCTION("iferror(index(filter('Internal -- Trademark Countries'!E$2:E1000, (AM198 = 'Internal -- Trademark Countries'!B$2:B1000) + (AM198 = 'Internal -- Trademark Countries'!C$2:C1000) + (AM198 = 'Internal -- Trademark Countries'!D$2:D1000)), 1))"),"")</f>
        <v/>
      </c>
      <c r="EF198" s="30" t="e">
        <f ca="1">_xludf.ifs(AM198="", "", COUNTIF('Internal -- Trademark Countries'!B:B,AM198) &gt; 0, "polity_shortest_name", COUNTIF('Internal -- Trademark Countries'!C:C,AM198) &gt; 0, "polity_full_name", COUNTIF('Internal -- Trademark Countries'!D:D,AM198) &gt; 0, "polity_common_name", COUNTIF('Internal -- Trademark Countries'!E:E,AM198) &gt; 0, "shortest_name", COUNTIF('Internal -- Trademark Countries'!A:A,AM198) &gt; 0, "full_name", TRUE, "not a match")</f>
        <v>#NAME?</v>
      </c>
      <c r="EG198" s="30"/>
      <c r="EH198" s="30"/>
      <c r="EI198" s="30"/>
      <c r="EJ198" s="30"/>
      <c r="EK198" s="30" t="str">
        <f t="shared" si="2"/>
        <v/>
      </c>
    </row>
    <row r="199" spans="1:141" ht="16.5">
      <c r="A199" s="11"/>
      <c r="B199" s="11"/>
      <c r="C199" s="11"/>
      <c r="D199" s="11"/>
      <c r="E199" s="11"/>
      <c r="F199" s="11"/>
      <c r="G199" s="11"/>
      <c r="H199" s="11"/>
      <c r="I199" s="11"/>
      <c r="J199" s="11"/>
      <c r="K199" s="27"/>
      <c r="L199" s="11"/>
      <c r="M199" s="11"/>
      <c r="N199" s="11"/>
      <c r="O199" s="11"/>
      <c r="P199" s="15"/>
      <c r="Q199" s="15"/>
      <c r="R199" s="15"/>
      <c r="S199" s="15"/>
      <c r="T199" s="15"/>
      <c r="U199" s="15"/>
      <c r="V199" s="15"/>
      <c r="W199" s="47"/>
      <c r="X199" s="11"/>
      <c r="Y199" s="48"/>
      <c r="Z199" s="11"/>
      <c r="AA199" s="48"/>
      <c r="AB199" s="11"/>
      <c r="AC199" s="48"/>
      <c r="AD199" s="11"/>
      <c r="AE199" s="47"/>
      <c r="AF199" s="11"/>
      <c r="AG199" s="48"/>
      <c r="AH199" s="11"/>
      <c r="AI199" s="48"/>
      <c r="AJ199" s="11"/>
      <c r="AK199" s="48"/>
      <c r="AL199" s="11"/>
      <c r="AM199" s="49"/>
      <c r="AN199" s="49"/>
      <c r="AO199" s="11"/>
      <c r="AP199" s="11"/>
      <c r="AQ199" s="28" t="b">
        <f>IF(COUNTIF(SmartStatus!A$2:A1000, AM199) &gt; 2, TRUE, FALSE)</f>
        <v>0</v>
      </c>
      <c r="AR199" s="29" t="str">
        <f ca="1">IFERROR(__xludf.DUMMYFUNCTION("iferror(if(regexmatch(AO199, ""(?i)^registered""), if(EE199 &lt;&gt; ""polity_shortest_name"", ""CHECK_POLITY"", index(filter(SmartStatus!B$2:B1000, AM199 = SmartStatus!A$2:A1000, not(SmartStatus!C$2:C1000), (isblank(SmartStatus!D$2:D1000)) + ((P199 &lt;&gt; """") * "&amp;"(P199 &lt; SmartStatus!D$2:D1000)), (isblank(SmartStatus!E$2:E1000)) + ((P199 &lt;&gt; """") * (P199 &gt;= SmartStatus!E$2:E1000)), (isblank(SmartStatus!F$2:F1000)) + (((Q199 &lt;&gt; """") * (Q199 &lt; SmartStatus!F$2:F1000)) + ((P199 &lt;&gt; """") * (date(year(P199) + 3, month(P"&amp;"199), day(P199)) &lt; SmartStatus!F$2:F1000))), (isblank(SmartStatus!G$2:G1000)) + (((Q199 &lt;&gt; """") * (Q199 &gt;= SmartStatus!G$2:G1000)) + ((P199 &lt;&gt; """") * (P199 &gt;= SmartStatus!G$2:G1000)))), if(or(regexmatch(B199, ""(?i)^ir [a-z]+ designation$""), N199 &lt;&gt; """&amp;"""), 1, 2))), """"), ""NO_MATCH"")"),"")</f>
        <v/>
      </c>
      <c r="AS199" s="11"/>
      <c r="AT199" s="15"/>
      <c r="AU199" s="11"/>
      <c r="AV199" s="11"/>
      <c r="AW199" s="15"/>
      <c r="AX199" s="15"/>
      <c r="AY199" s="15"/>
      <c r="AZ199" s="11"/>
      <c r="BA199" s="15"/>
      <c r="BB199" s="11"/>
      <c r="BC199" s="11"/>
      <c r="BD199" s="15"/>
      <c r="BE199" s="11"/>
      <c r="BF199" s="11"/>
      <c r="BG199" s="15"/>
      <c r="BH199" s="15"/>
      <c r="BI199" s="15"/>
      <c r="BJ199" s="11"/>
      <c r="BK199" s="15"/>
      <c r="BL199" s="11"/>
      <c r="BM199" s="11"/>
      <c r="BN199" s="15"/>
      <c r="BO199" s="11"/>
      <c r="BP199" s="11"/>
      <c r="BQ199" s="15"/>
      <c r="BR199" s="15"/>
      <c r="BS199" s="15"/>
      <c r="BT199" s="11"/>
      <c r="BU199" s="15"/>
      <c r="BV199" s="11"/>
      <c r="BW199" s="11"/>
      <c r="BX199" s="15"/>
      <c r="BY199" s="11"/>
      <c r="BZ199" s="11"/>
      <c r="CA199" s="15"/>
      <c r="CB199" s="11"/>
      <c r="CC199" s="15"/>
      <c r="CD199" s="11"/>
      <c r="CE199" s="15"/>
      <c r="CF199" s="11"/>
      <c r="CG199" s="11"/>
      <c r="CH199" s="15"/>
      <c r="CI199" s="11"/>
      <c r="CJ199" s="11"/>
      <c r="CK199" s="15"/>
      <c r="CL199" s="11"/>
      <c r="CM199" s="11"/>
      <c r="CN199" s="11"/>
      <c r="CO199" s="11"/>
      <c r="CP199" s="28"/>
      <c r="CQ199" s="28"/>
      <c r="CR199" s="11"/>
      <c r="CS199" s="29"/>
      <c r="CT199" s="11"/>
      <c r="CU199" s="11"/>
      <c r="CV199" s="11"/>
      <c r="CW199" s="11"/>
      <c r="CX199" s="11"/>
      <c r="CY199" s="11"/>
      <c r="CZ199" s="11"/>
      <c r="DA199" s="28"/>
      <c r="DB199" s="28"/>
      <c r="DC199" s="11"/>
      <c r="DD199" s="29"/>
      <c r="DE199" s="11"/>
      <c r="DF199" s="11"/>
      <c r="DG199" s="11"/>
      <c r="DH199" s="11"/>
      <c r="DI199" s="11"/>
      <c r="DJ199" s="11"/>
      <c r="DK199" s="26"/>
      <c r="DL199" s="11"/>
      <c r="DM199" s="29"/>
      <c r="DN199" s="28"/>
      <c r="DO199" s="11"/>
      <c r="DP199" s="11"/>
      <c r="DQ199" s="11"/>
      <c r="DR199" s="29"/>
      <c r="DS199" s="28"/>
      <c r="DT199" s="11"/>
      <c r="DU199" s="26"/>
      <c r="DV199" s="11"/>
      <c r="DW199" s="29"/>
      <c r="DX199" s="28"/>
      <c r="DY199" s="11"/>
      <c r="DZ199" s="26"/>
      <c r="EA199" s="11"/>
      <c r="EB199" s="29"/>
      <c r="EC199" s="28"/>
      <c r="ED199" s="30"/>
      <c r="EE199" s="30" t="str">
        <f ca="1">IFERROR(__xludf.DUMMYFUNCTION("iferror(index(filter('Internal -- Trademark Countries'!E$2:E1000, (AM199 = 'Internal -- Trademark Countries'!B$2:B1000) + (AM199 = 'Internal -- Trademark Countries'!C$2:C1000) + (AM199 = 'Internal -- Trademark Countries'!D$2:D1000)), 1))"),"")</f>
        <v/>
      </c>
      <c r="EF199" s="30" t="e">
        <f ca="1">_xludf.ifs(AM199="", "", COUNTIF('Internal -- Trademark Countries'!B:B,AM199) &gt; 0, "polity_shortest_name", COUNTIF('Internal -- Trademark Countries'!C:C,AM199) &gt; 0, "polity_full_name", COUNTIF('Internal -- Trademark Countries'!D:D,AM199) &gt; 0, "polity_common_name", COUNTIF('Internal -- Trademark Countries'!E:E,AM199) &gt; 0, "shortest_name", COUNTIF('Internal -- Trademark Countries'!A:A,AM199) &gt; 0, "full_name", TRUE, "not a match")</f>
        <v>#NAME?</v>
      </c>
      <c r="EG199" s="30"/>
      <c r="EH199" s="30"/>
      <c r="EI199" s="30"/>
      <c r="EJ199" s="30"/>
      <c r="EK199" s="30" t="str">
        <f t="shared" si="2"/>
        <v/>
      </c>
    </row>
    <row r="200" spans="1:141" ht="16.5">
      <c r="A200" s="11"/>
      <c r="B200" s="11"/>
      <c r="C200" s="11"/>
      <c r="D200" s="11"/>
      <c r="E200" s="11"/>
      <c r="F200" s="11"/>
      <c r="G200" s="11"/>
      <c r="H200" s="11"/>
      <c r="I200" s="11"/>
      <c r="J200" s="11"/>
      <c r="K200" s="27"/>
      <c r="L200" s="11"/>
      <c r="M200" s="11"/>
      <c r="N200" s="11"/>
      <c r="O200" s="11"/>
      <c r="P200" s="15"/>
      <c r="Q200" s="15"/>
      <c r="R200" s="15"/>
      <c r="S200" s="15"/>
      <c r="T200" s="15"/>
      <c r="U200" s="15"/>
      <c r="V200" s="15"/>
      <c r="W200" s="47"/>
      <c r="X200" s="11"/>
      <c r="Y200" s="48"/>
      <c r="Z200" s="11"/>
      <c r="AA200" s="48"/>
      <c r="AB200" s="11"/>
      <c r="AC200" s="48"/>
      <c r="AD200" s="11"/>
      <c r="AE200" s="47"/>
      <c r="AF200" s="11"/>
      <c r="AG200" s="48"/>
      <c r="AH200" s="11"/>
      <c r="AI200" s="48"/>
      <c r="AJ200" s="11"/>
      <c r="AK200" s="48"/>
      <c r="AL200" s="11"/>
      <c r="AM200" s="49"/>
      <c r="AN200" s="49"/>
      <c r="AO200" s="11"/>
      <c r="AP200" s="11"/>
      <c r="AQ200" s="28" t="b">
        <f>IF(COUNTIF(SmartStatus!A$2:A1000, AM200) &gt; 2, TRUE, FALSE)</f>
        <v>0</v>
      </c>
      <c r="AR200" s="29" t="str">
        <f ca="1">IFERROR(__xludf.DUMMYFUNCTION("iferror(if(regexmatch(AO200, ""(?i)^registered""), if(EE200 &lt;&gt; ""polity_shortest_name"", ""CHECK_POLITY"", index(filter(SmartStatus!B$2:B1000, AM200 = SmartStatus!A$2:A1000, not(SmartStatus!C$2:C1000), (isblank(SmartStatus!D$2:D1000)) + ((P200 &lt;&gt; """") * "&amp;"(P200 &lt; SmartStatus!D$2:D1000)), (isblank(SmartStatus!E$2:E1000)) + ((P200 &lt;&gt; """") * (P200 &gt;= SmartStatus!E$2:E1000)), (isblank(SmartStatus!F$2:F1000)) + (((Q200 &lt;&gt; """") * (Q200 &lt; SmartStatus!F$2:F1000)) + ((P200 &lt;&gt; """") * (date(year(P200) + 3, month(P"&amp;"200), day(P200)) &lt; SmartStatus!F$2:F1000))), (isblank(SmartStatus!G$2:G1000)) + (((Q200 &lt;&gt; """") * (Q200 &gt;= SmartStatus!G$2:G1000)) + ((P200 &lt;&gt; """") * (P200 &gt;= SmartStatus!G$2:G1000)))), if(or(regexmatch(B200, ""(?i)^ir [a-z]+ designation$""), N200 &lt;&gt; """&amp;"""), 1, 2))), """"), ""NO_MATCH"")"),"")</f>
        <v/>
      </c>
      <c r="AS200" s="11"/>
      <c r="AT200" s="15"/>
      <c r="AU200" s="11"/>
      <c r="AV200" s="11"/>
      <c r="AW200" s="15"/>
      <c r="AX200" s="15"/>
      <c r="AY200" s="15"/>
      <c r="AZ200" s="11"/>
      <c r="BA200" s="15"/>
      <c r="BB200" s="11"/>
      <c r="BC200" s="11"/>
      <c r="BD200" s="15"/>
      <c r="BE200" s="11"/>
      <c r="BF200" s="11"/>
      <c r="BG200" s="15"/>
      <c r="BH200" s="15"/>
      <c r="BI200" s="15"/>
      <c r="BJ200" s="11"/>
      <c r="BK200" s="15"/>
      <c r="BL200" s="11"/>
      <c r="BM200" s="11"/>
      <c r="BN200" s="15"/>
      <c r="BO200" s="11"/>
      <c r="BP200" s="11"/>
      <c r="BQ200" s="15"/>
      <c r="BR200" s="15"/>
      <c r="BS200" s="15"/>
      <c r="BT200" s="11"/>
      <c r="BU200" s="15"/>
      <c r="BV200" s="11"/>
      <c r="BW200" s="11"/>
      <c r="BX200" s="15"/>
      <c r="BY200" s="11"/>
      <c r="BZ200" s="11"/>
      <c r="CA200" s="15"/>
      <c r="CB200" s="11"/>
      <c r="CC200" s="15"/>
      <c r="CD200" s="11"/>
      <c r="CE200" s="15"/>
      <c r="CF200" s="11"/>
      <c r="CG200" s="11"/>
      <c r="CH200" s="15"/>
      <c r="CI200" s="11"/>
      <c r="CJ200" s="11"/>
      <c r="CK200" s="15"/>
      <c r="CL200" s="11"/>
      <c r="CM200" s="11"/>
      <c r="CN200" s="11"/>
      <c r="CO200" s="11"/>
      <c r="CP200" s="28"/>
      <c r="CQ200" s="28"/>
      <c r="CR200" s="11"/>
      <c r="CS200" s="29"/>
      <c r="CT200" s="11"/>
      <c r="CU200" s="11"/>
      <c r="CV200" s="11"/>
      <c r="CW200" s="11"/>
      <c r="CX200" s="11"/>
      <c r="CY200" s="11"/>
      <c r="CZ200" s="11"/>
      <c r="DA200" s="28"/>
      <c r="DB200" s="28"/>
      <c r="DC200" s="11"/>
      <c r="DD200" s="29"/>
      <c r="DE200" s="11"/>
      <c r="DF200" s="11"/>
      <c r="DG200" s="11"/>
      <c r="DH200" s="11"/>
      <c r="DI200" s="11"/>
      <c r="DJ200" s="11"/>
      <c r="DK200" s="26"/>
      <c r="DL200" s="11"/>
      <c r="DM200" s="29"/>
      <c r="DN200" s="28"/>
      <c r="DO200" s="11"/>
      <c r="DP200" s="11"/>
      <c r="DQ200" s="11"/>
      <c r="DR200" s="29"/>
      <c r="DS200" s="28"/>
      <c r="DT200" s="11"/>
      <c r="DU200" s="26"/>
      <c r="DV200" s="11"/>
      <c r="DW200" s="29"/>
      <c r="DX200" s="28"/>
      <c r="DY200" s="11"/>
      <c r="DZ200" s="26"/>
      <c r="EA200" s="11"/>
      <c r="EB200" s="29"/>
      <c r="EC200" s="28"/>
      <c r="ED200" s="30"/>
      <c r="EE200" s="30" t="str">
        <f ca="1">IFERROR(__xludf.DUMMYFUNCTION("iferror(index(filter('Internal -- Trademark Countries'!E$2:E1000, (AM200 = 'Internal -- Trademark Countries'!B$2:B1000) + (AM200 = 'Internal -- Trademark Countries'!C$2:C1000) + (AM200 = 'Internal -- Trademark Countries'!D$2:D1000)), 1))"),"")</f>
        <v/>
      </c>
      <c r="EF200" s="30" t="e">
        <f ca="1">_xludf.ifs(AM200="", "", COUNTIF('Internal -- Trademark Countries'!B:B,AM200) &gt; 0, "polity_shortest_name", COUNTIF('Internal -- Trademark Countries'!C:C,AM200) &gt; 0, "polity_full_name", COUNTIF('Internal -- Trademark Countries'!D:D,AM200) &gt; 0, "polity_common_name", COUNTIF('Internal -- Trademark Countries'!E:E,AM200) &gt; 0, "shortest_name", COUNTIF('Internal -- Trademark Countries'!A:A,AM200) &gt; 0, "full_name", TRUE, "not a match")</f>
        <v>#NAME?</v>
      </c>
      <c r="EG200" s="30"/>
      <c r="EH200" s="30"/>
      <c r="EI200" s="30"/>
      <c r="EJ200" s="30"/>
      <c r="EK200" s="30" t="str">
        <f t="shared" si="2"/>
        <v/>
      </c>
    </row>
    <row r="201" spans="1:141" ht="16.5">
      <c r="A201" s="11"/>
      <c r="B201" s="11"/>
      <c r="C201" s="11"/>
      <c r="D201" s="11"/>
      <c r="E201" s="11"/>
      <c r="F201" s="11"/>
      <c r="G201" s="11"/>
      <c r="H201" s="11"/>
      <c r="I201" s="11"/>
      <c r="J201" s="11"/>
      <c r="K201" s="27"/>
      <c r="L201" s="11"/>
      <c r="M201" s="11"/>
      <c r="N201" s="11"/>
      <c r="O201" s="11"/>
      <c r="P201" s="15"/>
      <c r="Q201" s="15"/>
      <c r="R201" s="15"/>
      <c r="S201" s="15"/>
      <c r="T201" s="15"/>
      <c r="U201" s="15"/>
      <c r="V201" s="15"/>
      <c r="W201" s="47"/>
      <c r="X201" s="11"/>
      <c r="Y201" s="48"/>
      <c r="Z201" s="11"/>
      <c r="AA201" s="48"/>
      <c r="AB201" s="11"/>
      <c r="AC201" s="48"/>
      <c r="AD201" s="11"/>
      <c r="AE201" s="47"/>
      <c r="AF201" s="11"/>
      <c r="AG201" s="48"/>
      <c r="AH201" s="11"/>
      <c r="AI201" s="48"/>
      <c r="AJ201" s="11"/>
      <c r="AK201" s="48"/>
      <c r="AL201" s="11"/>
      <c r="AM201" s="49"/>
      <c r="AN201" s="49"/>
      <c r="AO201" s="11"/>
      <c r="AP201" s="11"/>
      <c r="AQ201" s="28" t="b">
        <f>IF(COUNTIF(SmartStatus!A$2:A1000, AM201) &gt; 2, TRUE, FALSE)</f>
        <v>0</v>
      </c>
      <c r="AR201" s="29" t="str">
        <f ca="1">IFERROR(__xludf.DUMMYFUNCTION("iferror(if(regexmatch(AO201, ""(?i)^registered""), if(EE201 &lt;&gt; ""polity_shortest_name"", ""CHECK_POLITY"", index(filter(SmartStatus!B$2:B1000, AM201 = SmartStatus!A$2:A1000, not(SmartStatus!C$2:C1000), (isblank(SmartStatus!D$2:D1000)) + ((P201 &lt;&gt; """") * "&amp;"(P201 &lt; SmartStatus!D$2:D1000)), (isblank(SmartStatus!E$2:E1000)) + ((P201 &lt;&gt; """") * (P201 &gt;= SmartStatus!E$2:E1000)), (isblank(SmartStatus!F$2:F1000)) + (((Q201 &lt;&gt; """") * (Q201 &lt; SmartStatus!F$2:F1000)) + ((P201 &lt;&gt; """") * (date(year(P201) + 3, month(P"&amp;"201), day(P201)) &lt; SmartStatus!F$2:F1000))), (isblank(SmartStatus!G$2:G1000)) + (((Q201 &lt;&gt; """") * (Q201 &gt;= SmartStatus!G$2:G1000)) + ((P201 &lt;&gt; """") * (P201 &gt;= SmartStatus!G$2:G1000)))), if(or(regexmatch(B201, ""(?i)^ir [a-z]+ designation$""), N201 &lt;&gt; """&amp;"""), 1, 2))), """"), ""NO_MATCH"")"),"")</f>
        <v/>
      </c>
      <c r="AS201" s="11"/>
      <c r="AT201" s="15"/>
      <c r="AU201" s="11"/>
      <c r="AV201" s="11"/>
      <c r="AW201" s="15"/>
      <c r="AX201" s="15"/>
      <c r="AY201" s="15"/>
      <c r="AZ201" s="11"/>
      <c r="BA201" s="15"/>
      <c r="BB201" s="11"/>
      <c r="BC201" s="11"/>
      <c r="BD201" s="15"/>
      <c r="BE201" s="11"/>
      <c r="BF201" s="11"/>
      <c r="BG201" s="15"/>
      <c r="BH201" s="15"/>
      <c r="BI201" s="15"/>
      <c r="BJ201" s="11"/>
      <c r="BK201" s="15"/>
      <c r="BL201" s="11"/>
      <c r="BM201" s="11"/>
      <c r="BN201" s="15"/>
      <c r="BO201" s="11"/>
      <c r="BP201" s="11"/>
      <c r="BQ201" s="15"/>
      <c r="BR201" s="15"/>
      <c r="BS201" s="15"/>
      <c r="BT201" s="11"/>
      <c r="BU201" s="15"/>
      <c r="BV201" s="11"/>
      <c r="BW201" s="11"/>
      <c r="BX201" s="15"/>
      <c r="BY201" s="11"/>
      <c r="BZ201" s="11"/>
      <c r="CA201" s="15"/>
      <c r="CB201" s="11"/>
      <c r="CC201" s="15"/>
      <c r="CD201" s="11"/>
      <c r="CE201" s="15"/>
      <c r="CF201" s="11"/>
      <c r="CG201" s="11"/>
      <c r="CH201" s="15"/>
      <c r="CI201" s="11"/>
      <c r="CJ201" s="11"/>
      <c r="CK201" s="15"/>
      <c r="CL201" s="11"/>
      <c r="CM201" s="11"/>
      <c r="CN201" s="11"/>
      <c r="CO201" s="11"/>
      <c r="CP201" s="28"/>
      <c r="CQ201" s="28"/>
      <c r="CR201" s="11"/>
      <c r="CS201" s="29"/>
      <c r="CT201" s="11"/>
      <c r="CU201" s="11"/>
      <c r="CV201" s="11"/>
      <c r="CW201" s="11"/>
      <c r="CX201" s="11"/>
      <c r="CY201" s="11"/>
      <c r="CZ201" s="11"/>
      <c r="DA201" s="28"/>
      <c r="DB201" s="28"/>
      <c r="DC201" s="11"/>
      <c r="DD201" s="29"/>
      <c r="DE201" s="11"/>
      <c r="DF201" s="11"/>
      <c r="DG201" s="11"/>
      <c r="DH201" s="11"/>
      <c r="DI201" s="11"/>
      <c r="DJ201" s="11"/>
      <c r="DK201" s="26"/>
      <c r="DL201" s="11"/>
      <c r="DM201" s="29"/>
      <c r="DN201" s="28"/>
      <c r="DO201" s="11"/>
      <c r="DP201" s="11"/>
      <c r="DQ201" s="11"/>
      <c r="DR201" s="29"/>
      <c r="DS201" s="28"/>
      <c r="DT201" s="11"/>
      <c r="DU201" s="26"/>
      <c r="DV201" s="11"/>
      <c r="DW201" s="29"/>
      <c r="DX201" s="28"/>
      <c r="DY201" s="11"/>
      <c r="DZ201" s="26"/>
      <c r="EA201" s="11"/>
      <c r="EB201" s="29"/>
      <c r="EC201" s="28"/>
      <c r="ED201" s="30"/>
      <c r="EE201" s="30" t="str">
        <f ca="1">IFERROR(__xludf.DUMMYFUNCTION("iferror(index(filter('Internal -- Trademark Countries'!E$2:E1000, (AM201 = 'Internal -- Trademark Countries'!B$2:B1000) + (AM201 = 'Internal -- Trademark Countries'!C$2:C1000) + (AM201 = 'Internal -- Trademark Countries'!D$2:D1000)), 1))"),"")</f>
        <v/>
      </c>
      <c r="EF201" s="30" t="e">
        <f ca="1">_xludf.ifs(AM201="", "", COUNTIF('Internal -- Trademark Countries'!B:B,AM201) &gt; 0, "polity_shortest_name", COUNTIF('Internal -- Trademark Countries'!C:C,AM201) &gt; 0, "polity_full_name", COUNTIF('Internal -- Trademark Countries'!D:D,AM201) &gt; 0, "polity_common_name", COUNTIF('Internal -- Trademark Countries'!E:E,AM201) &gt; 0, "shortest_name", COUNTIF('Internal -- Trademark Countries'!A:A,AM201) &gt; 0, "full_name", TRUE, "not a match")</f>
        <v>#NAME?</v>
      </c>
      <c r="EG201" s="30"/>
      <c r="EH201" s="30"/>
      <c r="EI201" s="30"/>
      <c r="EJ201" s="30"/>
      <c r="EK201" s="30" t="str">
        <f t="shared" si="2"/>
        <v/>
      </c>
    </row>
    <row r="202" spans="1:141" ht="16.5">
      <c r="A202" s="11"/>
      <c r="B202" s="11"/>
      <c r="C202" s="11"/>
      <c r="D202" s="11"/>
      <c r="E202" s="11"/>
      <c r="F202" s="11"/>
      <c r="G202" s="11"/>
      <c r="H202" s="11"/>
      <c r="I202" s="11"/>
      <c r="J202" s="11"/>
      <c r="K202" s="27"/>
      <c r="L202" s="11"/>
      <c r="M202" s="11"/>
      <c r="N202" s="11"/>
      <c r="O202" s="11"/>
      <c r="P202" s="15"/>
      <c r="Q202" s="15"/>
      <c r="R202" s="15"/>
      <c r="S202" s="15"/>
      <c r="T202" s="15"/>
      <c r="U202" s="15"/>
      <c r="V202" s="15"/>
      <c r="W202" s="47"/>
      <c r="X202" s="11"/>
      <c r="Y202" s="48"/>
      <c r="Z202" s="11"/>
      <c r="AA202" s="48"/>
      <c r="AB202" s="11"/>
      <c r="AC202" s="48"/>
      <c r="AD202" s="11"/>
      <c r="AE202" s="47"/>
      <c r="AF202" s="11"/>
      <c r="AG202" s="48"/>
      <c r="AH202" s="11"/>
      <c r="AI202" s="48"/>
      <c r="AJ202" s="11"/>
      <c r="AK202" s="48"/>
      <c r="AL202" s="11"/>
      <c r="AM202" s="49"/>
      <c r="AN202" s="49"/>
      <c r="AO202" s="11"/>
      <c r="AP202" s="11"/>
      <c r="AQ202" s="28" t="b">
        <f>IF(COUNTIF(SmartStatus!A$2:A1000, AM202) &gt; 2, TRUE, FALSE)</f>
        <v>0</v>
      </c>
      <c r="AR202" s="29" t="str">
        <f ca="1">IFERROR(__xludf.DUMMYFUNCTION("iferror(if(regexmatch(AO202, ""(?i)^registered""), if(EE202 &lt;&gt; ""polity_shortest_name"", ""CHECK_POLITY"", index(filter(SmartStatus!B$2:B1000, AM202 = SmartStatus!A$2:A1000, not(SmartStatus!C$2:C1000), (isblank(SmartStatus!D$2:D1000)) + ((P202 &lt;&gt; """") * "&amp;"(P202 &lt; SmartStatus!D$2:D1000)), (isblank(SmartStatus!E$2:E1000)) + ((P202 &lt;&gt; """") * (P202 &gt;= SmartStatus!E$2:E1000)), (isblank(SmartStatus!F$2:F1000)) + (((Q202 &lt;&gt; """") * (Q202 &lt; SmartStatus!F$2:F1000)) + ((P202 &lt;&gt; """") * (date(year(P202) + 3, month(P"&amp;"202), day(P202)) &lt; SmartStatus!F$2:F1000))), (isblank(SmartStatus!G$2:G1000)) + (((Q202 &lt;&gt; """") * (Q202 &gt;= SmartStatus!G$2:G1000)) + ((P202 &lt;&gt; """") * (P202 &gt;= SmartStatus!G$2:G1000)))), if(or(regexmatch(B202, ""(?i)^ir [a-z]+ designation$""), N202 &lt;&gt; """&amp;"""), 1, 2))), """"), ""NO_MATCH"")"),"")</f>
        <v/>
      </c>
      <c r="AS202" s="11"/>
      <c r="AT202" s="15"/>
      <c r="AU202" s="11"/>
      <c r="AV202" s="11"/>
      <c r="AW202" s="15"/>
      <c r="AX202" s="15"/>
      <c r="AY202" s="15"/>
      <c r="AZ202" s="11"/>
      <c r="BA202" s="15"/>
      <c r="BB202" s="11"/>
      <c r="BC202" s="11"/>
      <c r="BD202" s="15"/>
      <c r="BE202" s="11"/>
      <c r="BF202" s="11"/>
      <c r="BG202" s="15"/>
      <c r="BH202" s="15"/>
      <c r="BI202" s="15"/>
      <c r="BJ202" s="11"/>
      <c r="BK202" s="15"/>
      <c r="BL202" s="11"/>
      <c r="BM202" s="11"/>
      <c r="BN202" s="15"/>
      <c r="BO202" s="11"/>
      <c r="BP202" s="11"/>
      <c r="BQ202" s="15"/>
      <c r="BR202" s="15"/>
      <c r="BS202" s="15"/>
      <c r="BT202" s="11"/>
      <c r="BU202" s="15"/>
      <c r="BV202" s="11"/>
      <c r="BW202" s="11"/>
      <c r="BX202" s="15"/>
      <c r="BY202" s="11"/>
      <c r="BZ202" s="11"/>
      <c r="CA202" s="15"/>
      <c r="CB202" s="11"/>
      <c r="CC202" s="15"/>
      <c r="CD202" s="11"/>
      <c r="CE202" s="15"/>
      <c r="CF202" s="11"/>
      <c r="CG202" s="11"/>
      <c r="CH202" s="15"/>
      <c r="CI202" s="11"/>
      <c r="CJ202" s="11"/>
      <c r="CK202" s="15"/>
      <c r="CL202" s="11"/>
      <c r="CM202" s="11"/>
      <c r="CN202" s="11"/>
      <c r="CO202" s="11"/>
      <c r="CP202" s="28"/>
      <c r="CQ202" s="28"/>
      <c r="CR202" s="11"/>
      <c r="CS202" s="29"/>
      <c r="CT202" s="11"/>
      <c r="CU202" s="11"/>
      <c r="CV202" s="11"/>
      <c r="CW202" s="11"/>
      <c r="CX202" s="11"/>
      <c r="CY202" s="11"/>
      <c r="CZ202" s="11"/>
      <c r="DA202" s="28"/>
      <c r="DB202" s="28"/>
      <c r="DC202" s="11"/>
      <c r="DD202" s="29"/>
      <c r="DE202" s="11"/>
      <c r="DF202" s="11"/>
      <c r="DG202" s="11"/>
      <c r="DH202" s="11"/>
      <c r="DI202" s="11"/>
      <c r="DJ202" s="11"/>
      <c r="DK202" s="26"/>
      <c r="DL202" s="11"/>
      <c r="DM202" s="29"/>
      <c r="DN202" s="28"/>
      <c r="DO202" s="11"/>
      <c r="DP202" s="11"/>
      <c r="DQ202" s="11"/>
      <c r="DR202" s="29"/>
      <c r="DS202" s="28"/>
      <c r="DT202" s="11"/>
      <c r="DU202" s="26"/>
      <c r="DV202" s="11"/>
      <c r="DW202" s="29"/>
      <c r="DX202" s="28"/>
      <c r="DY202" s="11"/>
      <c r="DZ202" s="26"/>
      <c r="EA202" s="11"/>
      <c r="EB202" s="29"/>
      <c r="EC202" s="28"/>
      <c r="ED202" s="30"/>
      <c r="EE202" s="30" t="str">
        <f ca="1">IFERROR(__xludf.DUMMYFUNCTION("iferror(index(filter('Internal -- Trademark Countries'!E$2:E1000, (AM202 = 'Internal -- Trademark Countries'!B$2:B1000) + (AM202 = 'Internal -- Trademark Countries'!C$2:C1000) + (AM202 = 'Internal -- Trademark Countries'!D$2:D1000)), 1))"),"")</f>
        <v/>
      </c>
      <c r="EF202" s="30" t="e">
        <f ca="1">_xludf.ifs(AM202="", "", COUNTIF('Internal -- Trademark Countries'!B:B,AM202) &gt; 0, "polity_shortest_name", COUNTIF('Internal -- Trademark Countries'!C:C,AM202) &gt; 0, "polity_full_name", COUNTIF('Internal -- Trademark Countries'!D:D,AM202) &gt; 0, "polity_common_name", COUNTIF('Internal -- Trademark Countries'!E:E,AM202) &gt; 0, "shortest_name", COUNTIF('Internal -- Trademark Countries'!A:A,AM202) &gt; 0, "full_name", TRUE, "not a match")</f>
        <v>#NAME?</v>
      </c>
      <c r="EG202" s="30"/>
      <c r="EH202" s="30"/>
      <c r="EI202" s="30"/>
      <c r="EJ202" s="30"/>
      <c r="EK202" s="30" t="str">
        <f t="shared" si="2"/>
        <v/>
      </c>
    </row>
    <row r="203" spans="1:141" ht="16.5">
      <c r="A203" s="11"/>
      <c r="B203" s="11"/>
      <c r="C203" s="11"/>
      <c r="D203" s="11"/>
      <c r="E203" s="11"/>
      <c r="F203" s="11"/>
      <c r="G203" s="11"/>
      <c r="H203" s="11"/>
      <c r="I203" s="11"/>
      <c r="J203" s="11"/>
      <c r="K203" s="27"/>
      <c r="L203" s="11"/>
      <c r="M203" s="11"/>
      <c r="N203" s="11"/>
      <c r="O203" s="11"/>
      <c r="P203" s="15"/>
      <c r="Q203" s="15"/>
      <c r="R203" s="15"/>
      <c r="S203" s="15"/>
      <c r="T203" s="15"/>
      <c r="U203" s="15"/>
      <c r="V203" s="15"/>
      <c r="W203" s="47"/>
      <c r="X203" s="11"/>
      <c r="Y203" s="48"/>
      <c r="Z203" s="11"/>
      <c r="AA203" s="48"/>
      <c r="AB203" s="11"/>
      <c r="AC203" s="48"/>
      <c r="AD203" s="11"/>
      <c r="AE203" s="47"/>
      <c r="AF203" s="11"/>
      <c r="AG203" s="48"/>
      <c r="AH203" s="11"/>
      <c r="AI203" s="48"/>
      <c r="AJ203" s="11"/>
      <c r="AK203" s="48"/>
      <c r="AL203" s="11"/>
      <c r="AM203" s="49"/>
      <c r="AN203" s="49"/>
      <c r="AO203" s="11"/>
      <c r="AP203" s="11"/>
      <c r="AQ203" s="28" t="b">
        <f>IF(COUNTIF(SmartStatus!A$2:A1000, AM203) &gt; 2, TRUE, FALSE)</f>
        <v>0</v>
      </c>
      <c r="AR203" s="29" t="str">
        <f ca="1">IFERROR(__xludf.DUMMYFUNCTION("iferror(if(regexmatch(AO203, ""(?i)^registered""), if(EE203 &lt;&gt; ""polity_shortest_name"", ""CHECK_POLITY"", index(filter(SmartStatus!B$2:B1000, AM203 = SmartStatus!A$2:A1000, not(SmartStatus!C$2:C1000), (isblank(SmartStatus!D$2:D1000)) + ((P203 &lt;&gt; """") * "&amp;"(P203 &lt; SmartStatus!D$2:D1000)), (isblank(SmartStatus!E$2:E1000)) + ((P203 &lt;&gt; """") * (P203 &gt;= SmartStatus!E$2:E1000)), (isblank(SmartStatus!F$2:F1000)) + (((Q203 &lt;&gt; """") * (Q203 &lt; SmartStatus!F$2:F1000)) + ((P203 &lt;&gt; """") * (date(year(P203) + 3, month(P"&amp;"203), day(P203)) &lt; SmartStatus!F$2:F1000))), (isblank(SmartStatus!G$2:G1000)) + (((Q203 &lt;&gt; """") * (Q203 &gt;= SmartStatus!G$2:G1000)) + ((P203 &lt;&gt; """") * (P203 &gt;= SmartStatus!G$2:G1000)))), if(or(regexmatch(B203, ""(?i)^ir [a-z]+ designation$""), N203 &lt;&gt; """&amp;"""), 1, 2))), """"), ""NO_MATCH"")"),"")</f>
        <v/>
      </c>
      <c r="AS203" s="11"/>
      <c r="AT203" s="15"/>
      <c r="AU203" s="11"/>
      <c r="AV203" s="11"/>
      <c r="AW203" s="15"/>
      <c r="AX203" s="15"/>
      <c r="AY203" s="15"/>
      <c r="AZ203" s="11"/>
      <c r="BA203" s="15"/>
      <c r="BB203" s="11"/>
      <c r="BC203" s="11"/>
      <c r="BD203" s="15"/>
      <c r="BE203" s="11"/>
      <c r="BF203" s="11"/>
      <c r="BG203" s="15"/>
      <c r="BH203" s="15"/>
      <c r="BI203" s="15"/>
      <c r="BJ203" s="11"/>
      <c r="BK203" s="15"/>
      <c r="BL203" s="11"/>
      <c r="BM203" s="11"/>
      <c r="BN203" s="15"/>
      <c r="BO203" s="11"/>
      <c r="BP203" s="11"/>
      <c r="BQ203" s="15"/>
      <c r="BR203" s="15"/>
      <c r="BS203" s="15"/>
      <c r="BT203" s="11"/>
      <c r="BU203" s="15"/>
      <c r="BV203" s="11"/>
      <c r="BW203" s="11"/>
      <c r="BX203" s="15"/>
      <c r="BY203" s="11"/>
      <c r="BZ203" s="11"/>
      <c r="CA203" s="15"/>
      <c r="CB203" s="11"/>
      <c r="CC203" s="15"/>
      <c r="CD203" s="11"/>
      <c r="CE203" s="15"/>
      <c r="CF203" s="11"/>
      <c r="CG203" s="11"/>
      <c r="CH203" s="15"/>
      <c r="CI203" s="11"/>
      <c r="CJ203" s="11"/>
      <c r="CK203" s="15"/>
      <c r="CL203" s="11"/>
      <c r="CM203" s="11"/>
      <c r="CN203" s="11"/>
      <c r="CO203" s="11"/>
      <c r="CP203" s="28"/>
      <c r="CQ203" s="28"/>
      <c r="CR203" s="11"/>
      <c r="CS203" s="29"/>
      <c r="CT203" s="11"/>
      <c r="CU203" s="11"/>
      <c r="CV203" s="11"/>
      <c r="CW203" s="11"/>
      <c r="CX203" s="11"/>
      <c r="CY203" s="11"/>
      <c r="CZ203" s="11"/>
      <c r="DA203" s="28"/>
      <c r="DB203" s="28"/>
      <c r="DC203" s="11"/>
      <c r="DD203" s="29"/>
      <c r="DE203" s="11"/>
      <c r="DF203" s="11"/>
      <c r="DG203" s="11"/>
      <c r="DH203" s="11"/>
      <c r="DI203" s="11"/>
      <c r="DJ203" s="11"/>
      <c r="DK203" s="26"/>
      <c r="DL203" s="11"/>
      <c r="DM203" s="29"/>
      <c r="DN203" s="28"/>
      <c r="DO203" s="11"/>
      <c r="DP203" s="11"/>
      <c r="DQ203" s="11"/>
      <c r="DR203" s="29"/>
      <c r="DS203" s="28"/>
      <c r="DT203" s="11"/>
      <c r="DU203" s="26"/>
      <c r="DV203" s="11"/>
      <c r="DW203" s="29"/>
      <c r="DX203" s="28"/>
      <c r="DY203" s="11"/>
      <c r="DZ203" s="26"/>
      <c r="EA203" s="11"/>
      <c r="EB203" s="29"/>
      <c r="EC203" s="28"/>
      <c r="ED203" s="30"/>
      <c r="EE203" s="30" t="str">
        <f ca="1">IFERROR(__xludf.DUMMYFUNCTION("iferror(index(filter('Internal -- Trademark Countries'!E$2:E1000, (AM203 = 'Internal -- Trademark Countries'!B$2:B1000) + (AM203 = 'Internal -- Trademark Countries'!C$2:C1000) + (AM203 = 'Internal -- Trademark Countries'!D$2:D1000)), 1))"),"")</f>
        <v/>
      </c>
      <c r="EF203" s="30" t="e">
        <f ca="1">_xludf.ifs(AM203="", "", COUNTIF('Internal -- Trademark Countries'!B:B,AM203) &gt; 0, "polity_shortest_name", COUNTIF('Internal -- Trademark Countries'!C:C,AM203) &gt; 0, "polity_full_name", COUNTIF('Internal -- Trademark Countries'!D:D,AM203) &gt; 0, "polity_common_name", COUNTIF('Internal -- Trademark Countries'!E:E,AM203) &gt; 0, "shortest_name", COUNTIF('Internal -- Trademark Countries'!A:A,AM203) &gt; 0, "full_name", TRUE, "not a match")</f>
        <v>#NAME?</v>
      </c>
      <c r="EG203" s="30"/>
      <c r="EH203" s="30"/>
      <c r="EI203" s="30"/>
      <c r="EJ203" s="30"/>
      <c r="EK203" s="30" t="str">
        <f t="shared" si="2"/>
        <v/>
      </c>
    </row>
    <row r="204" spans="1:141" ht="16.5">
      <c r="A204" s="11"/>
      <c r="B204" s="11"/>
      <c r="C204" s="11"/>
      <c r="D204" s="11"/>
      <c r="E204" s="11"/>
      <c r="F204" s="11"/>
      <c r="G204" s="11"/>
      <c r="H204" s="11"/>
      <c r="I204" s="11"/>
      <c r="J204" s="11"/>
      <c r="K204" s="27"/>
      <c r="L204" s="11"/>
      <c r="M204" s="11"/>
      <c r="N204" s="11"/>
      <c r="O204" s="11"/>
      <c r="P204" s="15"/>
      <c r="Q204" s="15"/>
      <c r="R204" s="15"/>
      <c r="S204" s="15"/>
      <c r="T204" s="15"/>
      <c r="U204" s="15"/>
      <c r="V204" s="15"/>
      <c r="W204" s="47"/>
      <c r="X204" s="11"/>
      <c r="Y204" s="48"/>
      <c r="Z204" s="11"/>
      <c r="AA204" s="48"/>
      <c r="AB204" s="11"/>
      <c r="AC204" s="48"/>
      <c r="AD204" s="11"/>
      <c r="AE204" s="47"/>
      <c r="AF204" s="11"/>
      <c r="AG204" s="48"/>
      <c r="AH204" s="11"/>
      <c r="AI204" s="48"/>
      <c r="AJ204" s="11"/>
      <c r="AK204" s="48"/>
      <c r="AL204" s="11"/>
      <c r="AM204" s="49"/>
      <c r="AN204" s="49"/>
      <c r="AO204" s="11"/>
      <c r="AP204" s="11"/>
      <c r="AQ204" s="28" t="b">
        <f>IF(COUNTIF(SmartStatus!A$2:A1000, AM204) &gt; 2, TRUE, FALSE)</f>
        <v>0</v>
      </c>
      <c r="AR204" s="29" t="str">
        <f ca="1">IFERROR(__xludf.DUMMYFUNCTION("iferror(if(regexmatch(AO204, ""(?i)^registered""), if(EE204 &lt;&gt; ""polity_shortest_name"", ""CHECK_POLITY"", index(filter(SmartStatus!B$2:B1000, AM204 = SmartStatus!A$2:A1000, not(SmartStatus!C$2:C1000), (isblank(SmartStatus!D$2:D1000)) + ((P204 &lt;&gt; """") * "&amp;"(P204 &lt; SmartStatus!D$2:D1000)), (isblank(SmartStatus!E$2:E1000)) + ((P204 &lt;&gt; """") * (P204 &gt;= SmartStatus!E$2:E1000)), (isblank(SmartStatus!F$2:F1000)) + (((Q204 &lt;&gt; """") * (Q204 &lt; SmartStatus!F$2:F1000)) + ((P204 &lt;&gt; """") * (date(year(P204) + 3, month(P"&amp;"204), day(P204)) &lt; SmartStatus!F$2:F1000))), (isblank(SmartStatus!G$2:G1000)) + (((Q204 &lt;&gt; """") * (Q204 &gt;= SmartStatus!G$2:G1000)) + ((P204 &lt;&gt; """") * (P204 &gt;= SmartStatus!G$2:G1000)))), if(or(regexmatch(B204, ""(?i)^ir [a-z]+ designation$""), N204 &lt;&gt; """&amp;"""), 1, 2))), """"), ""NO_MATCH"")"),"")</f>
        <v/>
      </c>
      <c r="AS204" s="11"/>
      <c r="AT204" s="15"/>
      <c r="AU204" s="11"/>
      <c r="AV204" s="11"/>
      <c r="AW204" s="15"/>
      <c r="AX204" s="15"/>
      <c r="AY204" s="15"/>
      <c r="AZ204" s="11"/>
      <c r="BA204" s="15"/>
      <c r="BB204" s="11"/>
      <c r="BC204" s="11"/>
      <c r="BD204" s="15"/>
      <c r="BE204" s="11"/>
      <c r="BF204" s="11"/>
      <c r="BG204" s="15"/>
      <c r="BH204" s="15"/>
      <c r="BI204" s="15"/>
      <c r="BJ204" s="11"/>
      <c r="BK204" s="15"/>
      <c r="BL204" s="11"/>
      <c r="BM204" s="11"/>
      <c r="BN204" s="15"/>
      <c r="BO204" s="11"/>
      <c r="BP204" s="11"/>
      <c r="BQ204" s="15"/>
      <c r="BR204" s="15"/>
      <c r="BS204" s="15"/>
      <c r="BT204" s="11"/>
      <c r="BU204" s="15"/>
      <c r="BV204" s="11"/>
      <c r="BW204" s="11"/>
      <c r="BX204" s="15"/>
      <c r="BY204" s="11"/>
      <c r="BZ204" s="11"/>
      <c r="CA204" s="15"/>
      <c r="CB204" s="11"/>
      <c r="CC204" s="15"/>
      <c r="CD204" s="11"/>
      <c r="CE204" s="15"/>
      <c r="CF204" s="11"/>
      <c r="CG204" s="11"/>
      <c r="CH204" s="15"/>
      <c r="CI204" s="11"/>
      <c r="CJ204" s="11"/>
      <c r="CK204" s="15"/>
      <c r="CL204" s="11"/>
      <c r="CM204" s="11"/>
      <c r="CN204" s="11"/>
      <c r="CO204" s="11"/>
      <c r="CP204" s="28"/>
      <c r="CQ204" s="28"/>
      <c r="CR204" s="11"/>
      <c r="CS204" s="29"/>
      <c r="CT204" s="11"/>
      <c r="CU204" s="11"/>
      <c r="CV204" s="11"/>
      <c r="CW204" s="11"/>
      <c r="CX204" s="11"/>
      <c r="CY204" s="11"/>
      <c r="CZ204" s="11"/>
      <c r="DA204" s="28"/>
      <c r="DB204" s="28"/>
      <c r="DC204" s="11"/>
      <c r="DD204" s="29"/>
      <c r="DE204" s="11"/>
      <c r="DF204" s="11"/>
      <c r="DG204" s="11"/>
      <c r="DH204" s="11"/>
      <c r="DI204" s="11"/>
      <c r="DJ204" s="11"/>
      <c r="DK204" s="26"/>
      <c r="DL204" s="11"/>
      <c r="DM204" s="29"/>
      <c r="DN204" s="28"/>
      <c r="DO204" s="11"/>
      <c r="DP204" s="11"/>
      <c r="DQ204" s="11"/>
      <c r="DR204" s="29"/>
      <c r="DS204" s="28"/>
      <c r="DT204" s="11"/>
      <c r="DU204" s="26"/>
      <c r="DV204" s="11"/>
      <c r="DW204" s="29"/>
      <c r="DX204" s="28"/>
      <c r="DY204" s="11"/>
      <c r="DZ204" s="26"/>
      <c r="EA204" s="11"/>
      <c r="EB204" s="29"/>
      <c r="EC204" s="28"/>
      <c r="ED204" s="30"/>
      <c r="EE204" s="30" t="str">
        <f ca="1">IFERROR(__xludf.DUMMYFUNCTION("iferror(index(filter('Internal -- Trademark Countries'!E$2:E1000, (AM204 = 'Internal -- Trademark Countries'!B$2:B1000) + (AM204 = 'Internal -- Trademark Countries'!C$2:C1000) + (AM204 = 'Internal -- Trademark Countries'!D$2:D1000)), 1))"),"")</f>
        <v/>
      </c>
      <c r="EF204" s="30" t="e">
        <f ca="1">_xludf.ifs(AM204="", "", COUNTIF('Internal -- Trademark Countries'!B:B,AM204) &gt; 0, "polity_shortest_name", COUNTIF('Internal -- Trademark Countries'!C:C,AM204) &gt; 0, "polity_full_name", COUNTIF('Internal -- Trademark Countries'!D:D,AM204) &gt; 0, "polity_common_name", COUNTIF('Internal -- Trademark Countries'!E:E,AM204) &gt; 0, "shortest_name", COUNTIF('Internal -- Trademark Countries'!A:A,AM204) &gt; 0, "full_name", TRUE, "not a match")</f>
        <v>#NAME?</v>
      </c>
      <c r="EG204" s="30"/>
      <c r="EH204" s="30"/>
      <c r="EI204" s="30"/>
      <c r="EJ204" s="30"/>
      <c r="EK204" s="30" t="str">
        <f t="shared" si="2"/>
        <v/>
      </c>
    </row>
    <row r="205" spans="1:141" ht="16.5">
      <c r="A205" s="11"/>
      <c r="B205" s="11"/>
      <c r="C205" s="11"/>
      <c r="D205" s="11"/>
      <c r="E205" s="11"/>
      <c r="F205" s="11"/>
      <c r="G205" s="11"/>
      <c r="H205" s="11"/>
      <c r="I205" s="11"/>
      <c r="J205" s="11"/>
      <c r="K205" s="27"/>
      <c r="L205" s="11"/>
      <c r="M205" s="11"/>
      <c r="N205" s="11"/>
      <c r="O205" s="11"/>
      <c r="P205" s="15"/>
      <c r="Q205" s="15"/>
      <c r="R205" s="15"/>
      <c r="S205" s="15"/>
      <c r="T205" s="15"/>
      <c r="U205" s="15"/>
      <c r="V205" s="15"/>
      <c r="W205" s="47"/>
      <c r="X205" s="11"/>
      <c r="Y205" s="48"/>
      <c r="Z205" s="11"/>
      <c r="AA205" s="48"/>
      <c r="AB205" s="11"/>
      <c r="AC205" s="48"/>
      <c r="AD205" s="11"/>
      <c r="AE205" s="47"/>
      <c r="AF205" s="11"/>
      <c r="AG205" s="48"/>
      <c r="AH205" s="11"/>
      <c r="AI205" s="48"/>
      <c r="AJ205" s="11"/>
      <c r="AK205" s="48"/>
      <c r="AL205" s="11"/>
      <c r="AM205" s="49"/>
      <c r="AN205" s="49"/>
      <c r="AO205" s="11"/>
      <c r="AP205" s="11"/>
      <c r="AQ205" s="28" t="b">
        <f>IF(COUNTIF(SmartStatus!A$2:A1000, AM205) &gt; 2, TRUE, FALSE)</f>
        <v>0</v>
      </c>
      <c r="AR205" s="29" t="str">
        <f ca="1">IFERROR(__xludf.DUMMYFUNCTION("iferror(if(regexmatch(AO205, ""(?i)^registered""), if(EE205 &lt;&gt; ""polity_shortest_name"", ""CHECK_POLITY"", index(filter(SmartStatus!B$2:B1000, AM205 = SmartStatus!A$2:A1000, not(SmartStatus!C$2:C1000), (isblank(SmartStatus!D$2:D1000)) + ((P205 &lt;&gt; """") * "&amp;"(P205 &lt; SmartStatus!D$2:D1000)), (isblank(SmartStatus!E$2:E1000)) + ((P205 &lt;&gt; """") * (P205 &gt;= SmartStatus!E$2:E1000)), (isblank(SmartStatus!F$2:F1000)) + (((Q205 &lt;&gt; """") * (Q205 &lt; SmartStatus!F$2:F1000)) + ((P205 &lt;&gt; """") * (date(year(P205) + 3, month(P"&amp;"205), day(P205)) &lt; SmartStatus!F$2:F1000))), (isblank(SmartStatus!G$2:G1000)) + (((Q205 &lt;&gt; """") * (Q205 &gt;= SmartStatus!G$2:G1000)) + ((P205 &lt;&gt; """") * (P205 &gt;= SmartStatus!G$2:G1000)))), if(or(regexmatch(B205, ""(?i)^ir [a-z]+ designation$""), N205 &lt;&gt; """&amp;"""), 1, 2))), """"), ""NO_MATCH"")"),"")</f>
        <v/>
      </c>
      <c r="AS205" s="11"/>
      <c r="AT205" s="15"/>
      <c r="AU205" s="11"/>
      <c r="AV205" s="11"/>
      <c r="AW205" s="15"/>
      <c r="AX205" s="15"/>
      <c r="AY205" s="15"/>
      <c r="AZ205" s="11"/>
      <c r="BA205" s="15"/>
      <c r="BB205" s="11"/>
      <c r="BC205" s="11"/>
      <c r="BD205" s="15"/>
      <c r="BE205" s="11"/>
      <c r="BF205" s="11"/>
      <c r="BG205" s="15"/>
      <c r="BH205" s="15"/>
      <c r="BI205" s="15"/>
      <c r="BJ205" s="11"/>
      <c r="BK205" s="15"/>
      <c r="BL205" s="11"/>
      <c r="BM205" s="11"/>
      <c r="BN205" s="15"/>
      <c r="BO205" s="11"/>
      <c r="BP205" s="11"/>
      <c r="BQ205" s="15"/>
      <c r="BR205" s="15"/>
      <c r="BS205" s="15"/>
      <c r="BT205" s="11"/>
      <c r="BU205" s="15"/>
      <c r="BV205" s="11"/>
      <c r="BW205" s="11"/>
      <c r="BX205" s="15"/>
      <c r="BY205" s="11"/>
      <c r="BZ205" s="11"/>
      <c r="CA205" s="15"/>
      <c r="CB205" s="11"/>
      <c r="CC205" s="15"/>
      <c r="CD205" s="11"/>
      <c r="CE205" s="15"/>
      <c r="CF205" s="11"/>
      <c r="CG205" s="11"/>
      <c r="CH205" s="15"/>
      <c r="CI205" s="11"/>
      <c r="CJ205" s="11"/>
      <c r="CK205" s="15"/>
      <c r="CL205" s="11"/>
      <c r="CM205" s="11"/>
      <c r="CN205" s="11"/>
      <c r="CO205" s="11"/>
      <c r="CP205" s="28"/>
      <c r="CQ205" s="28"/>
      <c r="CR205" s="11"/>
      <c r="CS205" s="29"/>
      <c r="CT205" s="11"/>
      <c r="CU205" s="11"/>
      <c r="CV205" s="11"/>
      <c r="CW205" s="11"/>
      <c r="CX205" s="11"/>
      <c r="CY205" s="11"/>
      <c r="CZ205" s="11"/>
      <c r="DA205" s="28"/>
      <c r="DB205" s="28"/>
      <c r="DC205" s="11"/>
      <c r="DD205" s="29"/>
      <c r="DE205" s="11"/>
      <c r="DF205" s="11"/>
      <c r="DG205" s="11"/>
      <c r="DH205" s="11"/>
      <c r="DI205" s="11"/>
      <c r="DJ205" s="11"/>
      <c r="DK205" s="26"/>
      <c r="DL205" s="11"/>
      <c r="DM205" s="29"/>
      <c r="DN205" s="28"/>
      <c r="DO205" s="11"/>
      <c r="DP205" s="11"/>
      <c r="DQ205" s="11"/>
      <c r="DR205" s="29"/>
      <c r="DS205" s="28"/>
      <c r="DT205" s="11"/>
      <c r="DU205" s="26"/>
      <c r="DV205" s="11"/>
      <c r="DW205" s="29"/>
      <c r="DX205" s="28"/>
      <c r="DY205" s="11"/>
      <c r="DZ205" s="26"/>
      <c r="EA205" s="11"/>
      <c r="EB205" s="29"/>
      <c r="EC205" s="28"/>
      <c r="ED205" s="30"/>
      <c r="EE205" s="30" t="str">
        <f ca="1">IFERROR(__xludf.DUMMYFUNCTION("iferror(index(filter('Internal -- Trademark Countries'!E$2:E1000, (AM205 = 'Internal -- Trademark Countries'!B$2:B1000) + (AM205 = 'Internal -- Trademark Countries'!C$2:C1000) + (AM205 = 'Internal -- Trademark Countries'!D$2:D1000)), 1))"),"")</f>
        <v/>
      </c>
      <c r="EF205" s="30" t="e">
        <f ca="1">_xludf.ifs(AM205="", "", COUNTIF('Internal -- Trademark Countries'!B:B,AM205) &gt; 0, "polity_shortest_name", COUNTIF('Internal -- Trademark Countries'!C:C,AM205) &gt; 0, "polity_full_name", COUNTIF('Internal -- Trademark Countries'!D:D,AM205) &gt; 0, "polity_common_name", COUNTIF('Internal -- Trademark Countries'!E:E,AM205) &gt; 0, "shortest_name", COUNTIF('Internal -- Trademark Countries'!A:A,AM205) &gt; 0, "full_name", TRUE, "not a match")</f>
        <v>#NAME?</v>
      </c>
      <c r="EG205" s="30"/>
      <c r="EH205" s="30"/>
      <c r="EI205" s="30"/>
      <c r="EJ205" s="30"/>
      <c r="EK205" s="30" t="str">
        <f t="shared" si="2"/>
        <v/>
      </c>
    </row>
    <row r="206" spans="1:141" ht="16.5">
      <c r="A206" s="11"/>
      <c r="B206" s="11"/>
      <c r="C206" s="11"/>
      <c r="D206" s="11"/>
      <c r="E206" s="11"/>
      <c r="F206" s="11"/>
      <c r="G206" s="11"/>
      <c r="H206" s="11"/>
      <c r="I206" s="11"/>
      <c r="J206" s="11"/>
      <c r="K206" s="27"/>
      <c r="L206" s="11"/>
      <c r="M206" s="11"/>
      <c r="N206" s="11"/>
      <c r="O206" s="11"/>
      <c r="P206" s="15"/>
      <c r="Q206" s="15"/>
      <c r="R206" s="15"/>
      <c r="S206" s="15"/>
      <c r="T206" s="15"/>
      <c r="U206" s="15"/>
      <c r="V206" s="15"/>
      <c r="W206" s="47"/>
      <c r="X206" s="11"/>
      <c r="Y206" s="48"/>
      <c r="Z206" s="11"/>
      <c r="AA206" s="48"/>
      <c r="AB206" s="11"/>
      <c r="AC206" s="48"/>
      <c r="AD206" s="11"/>
      <c r="AE206" s="47"/>
      <c r="AF206" s="11"/>
      <c r="AG206" s="48"/>
      <c r="AH206" s="11"/>
      <c r="AI206" s="48"/>
      <c r="AJ206" s="11"/>
      <c r="AK206" s="48"/>
      <c r="AL206" s="11"/>
      <c r="AM206" s="49"/>
      <c r="AN206" s="49"/>
      <c r="AO206" s="11"/>
      <c r="AP206" s="11"/>
      <c r="AQ206" s="28" t="b">
        <f>IF(COUNTIF(SmartStatus!A$2:A1000, AM206) &gt; 2, TRUE, FALSE)</f>
        <v>0</v>
      </c>
      <c r="AR206" s="29" t="str">
        <f ca="1">IFERROR(__xludf.DUMMYFUNCTION("iferror(if(regexmatch(AO206, ""(?i)^registered""), if(EE206 &lt;&gt; ""polity_shortest_name"", ""CHECK_POLITY"", index(filter(SmartStatus!B$2:B1000, AM206 = SmartStatus!A$2:A1000, not(SmartStatus!C$2:C1000), (isblank(SmartStatus!D$2:D1000)) + ((P206 &lt;&gt; """") * "&amp;"(P206 &lt; SmartStatus!D$2:D1000)), (isblank(SmartStatus!E$2:E1000)) + ((P206 &lt;&gt; """") * (P206 &gt;= SmartStatus!E$2:E1000)), (isblank(SmartStatus!F$2:F1000)) + (((Q206 &lt;&gt; """") * (Q206 &lt; SmartStatus!F$2:F1000)) + ((P206 &lt;&gt; """") * (date(year(P206) + 3, month(P"&amp;"206), day(P206)) &lt; SmartStatus!F$2:F1000))), (isblank(SmartStatus!G$2:G1000)) + (((Q206 &lt;&gt; """") * (Q206 &gt;= SmartStatus!G$2:G1000)) + ((P206 &lt;&gt; """") * (P206 &gt;= SmartStatus!G$2:G1000)))), if(or(regexmatch(B206, ""(?i)^ir [a-z]+ designation$""), N206 &lt;&gt; """&amp;"""), 1, 2))), """"), ""NO_MATCH"")"),"")</f>
        <v/>
      </c>
      <c r="AS206" s="11"/>
      <c r="AT206" s="15"/>
      <c r="AU206" s="11"/>
      <c r="AV206" s="11"/>
      <c r="AW206" s="15"/>
      <c r="AX206" s="15"/>
      <c r="AY206" s="15"/>
      <c r="AZ206" s="11"/>
      <c r="BA206" s="15"/>
      <c r="BB206" s="11"/>
      <c r="BC206" s="11"/>
      <c r="BD206" s="15"/>
      <c r="BE206" s="11"/>
      <c r="BF206" s="11"/>
      <c r="BG206" s="15"/>
      <c r="BH206" s="15"/>
      <c r="BI206" s="15"/>
      <c r="BJ206" s="11"/>
      <c r="BK206" s="15"/>
      <c r="BL206" s="11"/>
      <c r="BM206" s="11"/>
      <c r="BN206" s="15"/>
      <c r="BO206" s="11"/>
      <c r="BP206" s="11"/>
      <c r="BQ206" s="15"/>
      <c r="BR206" s="15"/>
      <c r="BS206" s="15"/>
      <c r="BT206" s="11"/>
      <c r="BU206" s="15"/>
      <c r="BV206" s="11"/>
      <c r="BW206" s="11"/>
      <c r="BX206" s="15"/>
      <c r="BY206" s="11"/>
      <c r="BZ206" s="11"/>
      <c r="CA206" s="15"/>
      <c r="CB206" s="11"/>
      <c r="CC206" s="15"/>
      <c r="CD206" s="11"/>
      <c r="CE206" s="15"/>
      <c r="CF206" s="11"/>
      <c r="CG206" s="11"/>
      <c r="CH206" s="15"/>
      <c r="CI206" s="11"/>
      <c r="CJ206" s="11"/>
      <c r="CK206" s="15"/>
      <c r="CL206" s="11"/>
      <c r="CM206" s="11"/>
      <c r="CN206" s="11"/>
      <c r="CO206" s="11"/>
      <c r="CP206" s="28"/>
      <c r="CQ206" s="28"/>
      <c r="CR206" s="11"/>
      <c r="CS206" s="29"/>
      <c r="CT206" s="11"/>
      <c r="CU206" s="11"/>
      <c r="CV206" s="11"/>
      <c r="CW206" s="11"/>
      <c r="CX206" s="11"/>
      <c r="CY206" s="11"/>
      <c r="CZ206" s="11"/>
      <c r="DA206" s="28"/>
      <c r="DB206" s="28"/>
      <c r="DC206" s="11"/>
      <c r="DD206" s="29"/>
      <c r="DE206" s="11"/>
      <c r="DF206" s="11"/>
      <c r="DG206" s="11"/>
      <c r="DH206" s="11"/>
      <c r="DI206" s="11"/>
      <c r="DJ206" s="11"/>
      <c r="DK206" s="26"/>
      <c r="DL206" s="11"/>
      <c r="DM206" s="29"/>
      <c r="DN206" s="28"/>
      <c r="DO206" s="11"/>
      <c r="DP206" s="11"/>
      <c r="DQ206" s="11"/>
      <c r="DR206" s="29"/>
      <c r="DS206" s="28"/>
      <c r="DT206" s="11"/>
      <c r="DU206" s="26"/>
      <c r="DV206" s="11"/>
      <c r="DW206" s="29"/>
      <c r="DX206" s="28"/>
      <c r="DY206" s="11"/>
      <c r="DZ206" s="26"/>
      <c r="EA206" s="11"/>
      <c r="EB206" s="29"/>
      <c r="EC206" s="28"/>
      <c r="ED206" s="30"/>
      <c r="EE206" s="30" t="str">
        <f ca="1">IFERROR(__xludf.DUMMYFUNCTION("iferror(index(filter('Internal -- Trademark Countries'!E$2:E1000, (AM206 = 'Internal -- Trademark Countries'!B$2:B1000) + (AM206 = 'Internal -- Trademark Countries'!C$2:C1000) + (AM206 = 'Internal -- Trademark Countries'!D$2:D1000)), 1))"),"")</f>
        <v/>
      </c>
      <c r="EF206" s="30" t="e">
        <f ca="1">_xludf.ifs(AM206="", "", COUNTIF('Internal -- Trademark Countries'!B:B,AM206) &gt; 0, "polity_shortest_name", COUNTIF('Internal -- Trademark Countries'!C:C,AM206) &gt; 0, "polity_full_name", COUNTIF('Internal -- Trademark Countries'!D:D,AM206) &gt; 0, "polity_common_name", COUNTIF('Internal -- Trademark Countries'!E:E,AM206) &gt; 0, "shortest_name", COUNTIF('Internal -- Trademark Countries'!A:A,AM206) &gt; 0, "full_name", TRUE, "not a match")</f>
        <v>#NAME?</v>
      </c>
      <c r="EG206" s="30"/>
      <c r="EH206" s="30"/>
      <c r="EI206" s="30"/>
      <c r="EJ206" s="30"/>
      <c r="EK206" s="30" t="str">
        <f t="shared" si="2"/>
        <v/>
      </c>
    </row>
    <row r="207" spans="1:141" ht="16.5">
      <c r="A207" s="11"/>
      <c r="B207" s="11"/>
      <c r="C207" s="11"/>
      <c r="D207" s="11"/>
      <c r="E207" s="11"/>
      <c r="F207" s="11"/>
      <c r="G207" s="11"/>
      <c r="H207" s="11"/>
      <c r="I207" s="11"/>
      <c r="J207" s="11"/>
      <c r="K207" s="27"/>
      <c r="L207" s="11"/>
      <c r="M207" s="11"/>
      <c r="N207" s="11"/>
      <c r="O207" s="11"/>
      <c r="P207" s="15"/>
      <c r="Q207" s="15"/>
      <c r="R207" s="15"/>
      <c r="S207" s="15"/>
      <c r="T207" s="15"/>
      <c r="U207" s="15"/>
      <c r="V207" s="15"/>
      <c r="W207" s="47"/>
      <c r="X207" s="11"/>
      <c r="Y207" s="48"/>
      <c r="Z207" s="11"/>
      <c r="AA207" s="48"/>
      <c r="AB207" s="11"/>
      <c r="AC207" s="48"/>
      <c r="AD207" s="11"/>
      <c r="AE207" s="47"/>
      <c r="AF207" s="11"/>
      <c r="AG207" s="48"/>
      <c r="AH207" s="11"/>
      <c r="AI207" s="48"/>
      <c r="AJ207" s="11"/>
      <c r="AK207" s="48"/>
      <c r="AL207" s="11"/>
      <c r="AM207" s="49"/>
      <c r="AN207" s="49"/>
      <c r="AO207" s="11"/>
      <c r="AP207" s="11"/>
      <c r="AQ207" s="28" t="b">
        <f>IF(COUNTIF(SmartStatus!A$2:A1000, AM207) &gt; 2, TRUE, FALSE)</f>
        <v>0</v>
      </c>
      <c r="AR207" s="29" t="str">
        <f ca="1">IFERROR(__xludf.DUMMYFUNCTION("iferror(if(regexmatch(AO207, ""(?i)^registered""), if(EE207 &lt;&gt; ""polity_shortest_name"", ""CHECK_POLITY"", index(filter(SmartStatus!B$2:B1000, AM207 = SmartStatus!A$2:A1000, not(SmartStatus!C$2:C1000), (isblank(SmartStatus!D$2:D1000)) + ((P207 &lt;&gt; """") * "&amp;"(P207 &lt; SmartStatus!D$2:D1000)), (isblank(SmartStatus!E$2:E1000)) + ((P207 &lt;&gt; """") * (P207 &gt;= SmartStatus!E$2:E1000)), (isblank(SmartStatus!F$2:F1000)) + (((Q207 &lt;&gt; """") * (Q207 &lt; SmartStatus!F$2:F1000)) + ((P207 &lt;&gt; """") * (date(year(P207) + 3, month(P"&amp;"207), day(P207)) &lt; SmartStatus!F$2:F1000))), (isblank(SmartStatus!G$2:G1000)) + (((Q207 &lt;&gt; """") * (Q207 &gt;= SmartStatus!G$2:G1000)) + ((P207 &lt;&gt; """") * (P207 &gt;= SmartStatus!G$2:G1000)))), if(or(regexmatch(B207, ""(?i)^ir [a-z]+ designation$""), N207 &lt;&gt; """&amp;"""), 1, 2))), """"), ""NO_MATCH"")"),"")</f>
        <v/>
      </c>
      <c r="AS207" s="11"/>
      <c r="AT207" s="15"/>
      <c r="AU207" s="11"/>
      <c r="AV207" s="11"/>
      <c r="AW207" s="15"/>
      <c r="AX207" s="15"/>
      <c r="AY207" s="15"/>
      <c r="AZ207" s="11"/>
      <c r="BA207" s="15"/>
      <c r="BB207" s="11"/>
      <c r="BC207" s="11"/>
      <c r="BD207" s="15"/>
      <c r="BE207" s="11"/>
      <c r="BF207" s="11"/>
      <c r="BG207" s="15"/>
      <c r="BH207" s="15"/>
      <c r="BI207" s="15"/>
      <c r="BJ207" s="11"/>
      <c r="BK207" s="15"/>
      <c r="BL207" s="11"/>
      <c r="BM207" s="11"/>
      <c r="BN207" s="15"/>
      <c r="BO207" s="11"/>
      <c r="BP207" s="11"/>
      <c r="BQ207" s="15"/>
      <c r="BR207" s="15"/>
      <c r="BS207" s="15"/>
      <c r="BT207" s="11"/>
      <c r="BU207" s="15"/>
      <c r="BV207" s="11"/>
      <c r="BW207" s="11"/>
      <c r="BX207" s="15"/>
      <c r="BY207" s="11"/>
      <c r="BZ207" s="11"/>
      <c r="CA207" s="15"/>
      <c r="CB207" s="11"/>
      <c r="CC207" s="15"/>
      <c r="CD207" s="11"/>
      <c r="CE207" s="15"/>
      <c r="CF207" s="11"/>
      <c r="CG207" s="11"/>
      <c r="CH207" s="15"/>
      <c r="CI207" s="11"/>
      <c r="CJ207" s="11"/>
      <c r="CK207" s="15"/>
      <c r="CL207" s="11"/>
      <c r="CM207" s="11"/>
      <c r="CN207" s="11"/>
      <c r="CO207" s="11"/>
      <c r="CP207" s="28"/>
      <c r="CQ207" s="28"/>
      <c r="CR207" s="11"/>
      <c r="CS207" s="29"/>
      <c r="CT207" s="11"/>
      <c r="CU207" s="11"/>
      <c r="CV207" s="11"/>
      <c r="CW207" s="11"/>
      <c r="CX207" s="11"/>
      <c r="CY207" s="11"/>
      <c r="CZ207" s="11"/>
      <c r="DA207" s="28"/>
      <c r="DB207" s="28"/>
      <c r="DC207" s="11"/>
      <c r="DD207" s="29"/>
      <c r="DE207" s="11"/>
      <c r="DF207" s="11"/>
      <c r="DG207" s="11"/>
      <c r="DH207" s="11"/>
      <c r="DI207" s="11"/>
      <c r="DJ207" s="11"/>
      <c r="DK207" s="26"/>
      <c r="DL207" s="11"/>
      <c r="DM207" s="29"/>
      <c r="DN207" s="28"/>
      <c r="DO207" s="11"/>
      <c r="DP207" s="11"/>
      <c r="DQ207" s="11"/>
      <c r="DR207" s="29"/>
      <c r="DS207" s="28"/>
      <c r="DT207" s="11"/>
      <c r="DU207" s="26"/>
      <c r="DV207" s="11"/>
      <c r="DW207" s="29"/>
      <c r="DX207" s="28"/>
      <c r="DY207" s="11"/>
      <c r="DZ207" s="26"/>
      <c r="EA207" s="11"/>
      <c r="EB207" s="29"/>
      <c r="EC207" s="28"/>
      <c r="ED207" s="30"/>
      <c r="EE207" s="30" t="str">
        <f ca="1">IFERROR(__xludf.DUMMYFUNCTION("iferror(index(filter('Internal -- Trademark Countries'!E$2:E1000, (AM207 = 'Internal -- Trademark Countries'!B$2:B1000) + (AM207 = 'Internal -- Trademark Countries'!C$2:C1000) + (AM207 = 'Internal -- Trademark Countries'!D$2:D1000)), 1))"),"")</f>
        <v/>
      </c>
      <c r="EF207" s="30" t="e">
        <f ca="1">_xludf.ifs(AM207="", "", COUNTIF('Internal -- Trademark Countries'!B:B,AM207) &gt; 0, "polity_shortest_name", COUNTIF('Internal -- Trademark Countries'!C:C,AM207) &gt; 0, "polity_full_name", COUNTIF('Internal -- Trademark Countries'!D:D,AM207) &gt; 0, "polity_common_name", COUNTIF('Internal -- Trademark Countries'!E:E,AM207) &gt; 0, "shortest_name", COUNTIF('Internal -- Trademark Countries'!A:A,AM207) &gt; 0, "full_name", TRUE, "not a match")</f>
        <v>#NAME?</v>
      </c>
      <c r="EG207" s="30"/>
      <c r="EH207" s="30"/>
      <c r="EI207" s="30"/>
      <c r="EJ207" s="30"/>
      <c r="EK207" s="30" t="str">
        <f t="shared" si="2"/>
        <v/>
      </c>
    </row>
    <row r="208" spans="1:141" ht="16.5">
      <c r="A208" s="11"/>
      <c r="B208" s="11"/>
      <c r="C208" s="11"/>
      <c r="D208" s="11"/>
      <c r="E208" s="11"/>
      <c r="F208" s="11"/>
      <c r="G208" s="11"/>
      <c r="H208" s="11"/>
      <c r="I208" s="11"/>
      <c r="J208" s="11"/>
      <c r="K208" s="27"/>
      <c r="L208" s="11"/>
      <c r="M208" s="11"/>
      <c r="N208" s="11"/>
      <c r="O208" s="11"/>
      <c r="P208" s="15"/>
      <c r="Q208" s="15"/>
      <c r="R208" s="15"/>
      <c r="S208" s="15"/>
      <c r="T208" s="15"/>
      <c r="U208" s="15"/>
      <c r="V208" s="15"/>
      <c r="W208" s="47"/>
      <c r="X208" s="11"/>
      <c r="Y208" s="48"/>
      <c r="Z208" s="11"/>
      <c r="AA208" s="48"/>
      <c r="AB208" s="11"/>
      <c r="AC208" s="48"/>
      <c r="AD208" s="11"/>
      <c r="AE208" s="47"/>
      <c r="AF208" s="11"/>
      <c r="AG208" s="48"/>
      <c r="AH208" s="11"/>
      <c r="AI208" s="48"/>
      <c r="AJ208" s="11"/>
      <c r="AK208" s="48"/>
      <c r="AL208" s="11"/>
      <c r="AM208" s="49"/>
      <c r="AN208" s="49"/>
      <c r="AO208" s="11"/>
      <c r="AP208" s="11"/>
      <c r="AQ208" s="28" t="b">
        <f>IF(COUNTIF(SmartStatus!A$2:A1000, AM208) &gt; 2, TRUE, FALSE)</f>
        <v>0</v>
      </c>
      <c r="AR208" s="29" t="str">
        <f ca="1">IFERROR(__xludf.DUMMYFUNCTION("iferror(if(regexmatch(AO208, ""(?i)^registered""), if(EE208 &lt;&gt; ""polity_shortest_name"", ""CHECK_POLITY"", index(filter(SmartStatus!B$2:B1000, AM208 = SmartStatus!A$2:A1000, not(SmartStatus!C$2:C1000), (isblank(SmartStatus!D$2:D1000)) + ((P208 &lt;&gt; """") * "&amp;"(P208 &lt; SmartStatus!D$2:D1000)), (isblank(SmartStatus!E$2:E1000)) + ((P208 &lt;&gt; """") * (P208 &gt;= SmartStatus!E$2:E1000)), (isblank(SmartStatus!F$2:F1000)) + (((Q208 &lt;&gt; """") * (Q208 &lt; SmartStatus!F$2:F1000)) + ((P208 &lt;&gt; """") * (date(year(P208) + 3, month(P"&amp;"208), day(P208)) &lt; SmartStatus!F$2:F1000))), (isblank(SmartStatus!G$2:G1000)) + (((Q208 &lt;&gt; """") * (Q208 &gt;= SmartStatus!G$2:G1000)) + ((P208 &lt;&gt; """") * (P208 &gt;= SmartStatus!G$2:G1000)))), if(or(regexmatch(B208, ""(?i)^ir [a-z]+ designation$""), N208 &lt;&gt; """&amp;"""), 1, 2))), """"), ""NO_MATCH"")"),"")</f>
        <v/>
      </c>
      <c r="AS208" s="11"/>
      <c r="AT208" s="15"/>
      <c r="AU208" s="11"/>
      <c r="AV208" s="11"/>
      <c r="AW208" s="15"/>
      <c r="AX208" s="15"/>
      <c r="AY208" s="15"/>
      <c r="AZ208" s="11"/>
      <c r="BA208" s="15"/>
      <c r="BB208" s="11"/>
      <c r="BC208" s="11"/>
      <c r="BD208" s="15"/>
      <c r="BE208" s="11"/>
      <c r="BF208" s="11"/>
      <c r="BG208" s="15"/>
      <c r="BH208" s="15"/>
      <c r="BI208" s="15"/>
      <c r="BJ208" s="11"/>
      <c r="BK208" s="15"/>
      <c r="BL208" s="11"/>
      <c r="BM208" s="11"/>
      <c r="BN208" s="15"/>
      <c r="BO208" s="11"/>
      <c r="BP208" s="11"/>
      <c r="BQ208" s="15"/>
      <c r="BR208" s="15"/>
      <c r="BS208" s="15"/>
      <c r="BT208" s="11"/>
      <c r="BU208" s="15"/>
      <c r="BV208" s="11"/>
      <c r="BW208" s="11"/>
      <c r="BX208" s="15"/>
      <c r="BY208" s="11"/>
      <c r="BZ208" s="11"/>
      <c r="CA208" s="15"/>
      <c r="CB208" s="11"/>
      <c r="CC208" s="15"/>
      <c r="CD208" s="11"/>
      <c r="CE208" s="15"/>
      <c r="CF208" s="11"/>
      <c r="CG208" s="11"/>
      <c r="CH208" s="15"/>
      <c r="CI208" s="11"/>
      <c r="CJ208" s="11"/>
      <c r="CK208" s="15"/>
      <c r="CL208" s="11"/>
      <c r="CM208" s="11"/>
      <c r="CN208" s="11"/>
      <c r="CO208" s="11"/>
      <c r="CP208" s="28"/>
      <c r="CQ208" s="28"/>
      <c r="CR208" s="11"/>
      <c r="CS208" s="29"/>
      <c r="CT208" s="11"/>
      <c r="CU208" s="11"/>
      <c r="CV208" s="11"/>
      <c r="CW208" s="11"/>
      <c r="CX208" s="11"/>
      <c r="CY208" s="11"/>
      <c r="CZ208" s="11"/>
      <c r="DA208" s="28"/>
      <c r="DB208" s="28"/>
      <c r="DC208" s="11"/>
      <c r="DD208" s="29"/>
      <c r="DE208" s="11"/>
      <c r="DF208" s="11"/>
      <c r="DG208" s="11"/>
      <c r="DH208" s="11"/>
      <c r="DI208" s="11"/>
      <c r="DJ208" s="11"/>
      <c r="DK208" s="26"/>
      <c r="DL208" s="11"/>
      <c r="DM208" s="29"/>
      <c r="DN208" s="28"/>
      <c r="DO208" s="11"/>
      <c r="DP208" s="11"/>
      <c r="DQ208" s="11"/>
      <c r="DR208" s="29"/>
      <c r="DS208" s="28"/>
      <c r="DT208" s="11"/>
      <c r="DU208" s="26"/>
      <c r="DV208" s="11"/>
      <c r="DW208" s="29"/>
      <c r="DX208" s="28"/>
      <c r="DY208" s="11"/>
      <c r="DZ208" s="26"/>
      <c r="EA208" s="11"/>
      <c r="EB208" s="29"/>
      <c r="EC208" s="28"/>
      <c r="ED208" s="30"/>
      <c r="EE208" s="30" t="str">
        <f ca="1">IFERROR(__xludf.DUMMYFUNCTION("iferror(index(filter('Internal -- Trademark Countries'!E$2:E1000, (AM208 = 'Internal -- Trademark Countries'!B$2:B1000) + (AM208 = 'Internal -- Trademark Countries'!C$2:C1000) + (AM208 = 'Internal -- Trademark Countries'!D$2:D1000)), 1))"),"")</f>
        <v/>
      </c>
      <c r="EF208" s="30" t="e">
        <f ca="1">_xludf.ifs(AM208="", "", COUNTIF('Internal -- Trademark Countries'!B:B,AM208) &gt; 0, "polity_shortest_name", COUNTIF('Internal -- Trademark Countries'!C:C,AM208) &gt; 0, "polity_full_name", COUNTIF('Internal -- Trademark Countries'!D:D,AM208) &gt; 0, "polity_common_name", COUNTIF('Internal -- Trademark Countries'!E:E,AM208) &gt; 0, "shortest_name", COUNTIF('Internal -- Trademark Countries'!A:A,AM208) &gt; 0, "full_name", TRUE, "not a match")</f>
        <v>#NAME?</v>
      </c>
      <c r="EG208" s="30"/>
      <c r="EH208" s="30"/>
      <c r="EI208" s="30"/>
      <c r="EJ208" s="30"/>
      <c r="EK208" s="30" t="str">
        <f t="shared" si="2"/>
        <v/>
      </c>
    </row>
    <row r="209" spans="1:141" ht="16.5">
      <c r="A209" s="11"/>
      <c r="B209" s="11"/>
      <c r="C209" s="11"/>
      <c r="D209" s="11"/>
      <c r="E209" s="11"/>
      <c r="F209" s="11"/>
      <c r="G209" s="11"/>
      <c r="H209" s="11"/>
      <c r="I209" s="11"/>
      <c r="J209" s="11"/>
      <c r="K209" s="27"/>
      <c r="L209" s="11"/>
      <c r="M209" s="11"/>
      <c r="N209" s="11"/>
      <c r="O209" s="11"/>
      <c r="P209" s="15"/>
      <c r="Q209" s="15"/>
      <c r="R209" s="15"/>
      <c r="S209" s="15"/>
      <c r="T209" s="15"/>
      <c r="U209" s="15"/>
      <c r="V209" s="15"/>
      <c r="W209" s="47"/>
      <c r="X209" s="11"/>
      <c r="Y209" s="48"/>
      <c r="Z209" s="11"/>
      <c r="AA209" s="48"/>
      <c r="AB209" s="11"/>
      <c r="AC209" s="48"/>
      <c r="AD209" s="11"/>
      <c r="AE209" s="47"/>
      <c r="AF209" s="11"/>
      <c r="AG209" s="48"/>
      <c r="AH209" s="11"/>
      <c r="AI209" s="48"/>
      <c r="AJ209" s="11"/>
      <c r="AK209" s="48"/>
      <c r="AL209" s="11"/>
      <c r="AM209" s="49"/>
      <c r="AN209" s="49"/>
      <c r="AO209" s="11"/>
      <c r="AP209" s="11"/>
      <c r="AQ209" s="28" t="b">
        <f>IF(COUNTIF(SmartStatus!A$2:A1000, AM209) &gt; 2, TRUE, FALSE)</f>
        <v>0</v>
      </c>
      <c r="AR209" s="29" t="str">
        <f ca="1">IFERROR(__xludf.DUMMYFUNCTION("iferror(if(regexmatch(AO209, ""(?i)^registered""), if(EE209 &lt;&gt; ""polity_shortest_name"", ""CHECK_POLITY"", index(filter(SmartStatus!B$2:B1000, AM209 = SmartStatus!A$2:A1000, not(SmartStatus!C$2:C1000), (isblank(SmartStatus!D$2:D1000)) + ((P209 &lt;&gt; """") * "&amp;"(P209 &lt; SmartStatus!D$2:D1000)), (isblank(SmartStatus!E$2:E1000)) + ((P209 &lt;&gt; """") * (P209 &gt;= SmartStatus!E$2:E1000)), (isblank(SmartStatus!F$2:F1000)) + (((Q209 &lt;&gt; """") * (Q209 &lt; SmartStatus!F$2:F1000)) + ((P209 &lt;&gt; """") * (date(year(P209) + 3, month(P"&amp;"209), day(P209)) &lt; SmartStatus!F$2:F1000))), (isblank(SmartStatus!G$2:G1000)) + (((Q209 &lt;&gt; """") * (Q209 &gt;= SmartStatus!G$2:G1000)) + ((P209 &lt;&gt; """") * (P209 &gt;= SmartStatus!G$2:G1000)))), if(or(regexmatch(B209, ""(?i)^ir [a-z]+ designation$""), N209 &lt;&gt; """&amp;"""), 1, 2))), """"), ""NO_MATCH"")"),"")</f>
        <v/>
      </c>
      <c r="AS209" s="11"/>
      <c r="AT209" s="15"/>
      <c r="AU209" s="11"/>
      <c r="AV209" s="11"/>
      <c r="AW209" s="15"/>
      <c r="AX209" s="15"/>
      <c r="AY209" s="15"/>
      <c r="AZ209" s="11"/>
      <c r="BA209" s="15"/>
      <c r="BB209" s="11"/>
      <c r="BC209" s="11"/>
      <c r="BD209" s="15"/>
      <c r="BE209" s="11"/>
      <c r="BF209" s="11"/>
      <c r="BG209" s="15"/>
      <c r="BH209" s="15"/>
      <c r="BI209" s="15"/>
      <c r="BJ209" s="11"/>
      <c r="BK209" s="15"/>
      <c r="BL209" s="11"/>
      <c r="BM209" s="11"/>
      <c r="BN209" s="15"/>
      <c r="BO209" s="11"/>
      <c r="BP209" s="11"/>
      <c r="BQ209" s="15"/>
      <c r="BR209" s="15"/>
      <c r="BS209" s="15"/>
      <c r="BT209" s="11"/>
      <c r="BU209" s="15"/>
      <c r="BV209" s="11"/>
      <c r="BW209" s="11"/>
      <c r="BX209" s="15"/>
      <c r="BY209" s="11"/>
      <c r="BZ209" s="11"/>
      <c r="CA209" s="15"/>
      <c r="CB209" s="11"/>
      <c r="CC209" s="15"/>
      <c r="CD209" s="11"/>
      <c r="CE209" s="15"/>
      <c r="CF209" s="11"/>
      <c r="CG209" s="11"/>
      <c r="CH209" s="15"/>
      <c r="CI209" s="11"/>
      <c r="CJ209" s="11"/>
      <c r="CK209" s="15"/>
      <c r="CL209" s="11"/>
      <c r="CM209" s="11"/>
      <c r="CN209" s="11"/>
      <c r="CO209" s="11"/>
      <c r="CP209" s="28"/>
      <c r="CQ209" s="28"/>
      <c r="CR209" s="11"/>
      <c r="CS209" s="29"/>
      <c r="CT209" s="11"/>
      <c r="CU209" s="11"/>
      <c r="CV209" s="11"/>
      <c r="CW209" s="11"/>
      <c r="CX209" s="11"/>
      <c r="CY209" s="11"/>
      <c r="CZ209" s="11"/>
      <c r="DA209" s="28"/>
      <c r="DB209" s="28"/>
      <c r="DC209" s="11"/>
      <c r="DD209" s="29"/>
      <c r="DE209" s="11"/>
      <c r="DF209" s="11"/>
      <c r="DG209" s="11"/>
      <c r="DH209" s="11"/>
      <c r="DI209" s="11"/>
      <c r="DJ209" s="11"/>
      <c r="DK209" s="26"/>
      <c r="DL209" s="11"/>
      <c r="DM209" s="29"/>
      <c r="DN209" s="28"/>
      <c r="DO209" s="11"/>
      <c r="DP209" s="11"/>
      <c r="DQ209" s="11"/>
      <c r="DR209" s="29"/>
      <c r="DS209" s="28"/>
      <c r="DT209" s="11"/>
      <c r="DU209" s="26"/>
      <c r="DV209" s="11"/>
      <c r="DW209" s="29"/>
      <c r="DX209" s="28"/>
      <c r="DY209" s="11"/>
      <c r="DZ209" s="26"/>
      <c r="EA209" s="11"/>
      <c r="EB209" s="29"/>
      <c r="EC209" s="28"/>
      <c r="ED209" s="30"/>
      <c r="EE209" s="30" t="str">
        <f ca="1">IFERROR(__xludf.DUMMYFUNCTION("iferror(index(filter('Internal -- Trademark Countries'!E$2:E1000, (AM209 = 'Internal -- Trademark Countries'!B$2:B1000) + (AM209 = 'Internal -- Trademark Countries'!C$2:C1000) + (AM209 = 'Internal -- Trademark Countries'!D$2:D1000)), 1))"),"")</f>
        <v/>
      </c>
      <c r="EF209" s="30" t="e">
        <f ca="1">_xludf.ifs(AM209="", "", COUNTIF('Internal -- Trademark Countries'!B:B,AM209) &gt; 0, "polity_shortest_name", COUNTIF('Internal -- Trademark Countries'!C:C,AM209) &gt; 0, "polity_full_name", COUNTIF('Internal -- Trademark Countries'!D:D,AM209) &gt; 0, "polity_common_name", COUNTIF('Internal -- Trademark Countries'!E:E,AM209) &gt; 0, "shortest_name", COUNTIF('Internal -- Trademark Countries'!A:A,AM209) &gt; 0, "full_name", TRUE, "not a match")</f>
        <v>#NAME?</v>
      </c>
      <c r="EG209" s="30"/>
      <c r="EH209" s="30"/>
      <c r="EI209" s="30"/>
      <c r="EJ209" s="30"/>
      <c r="EK209" s="30" t="str">
        <f t="shared" si="2"/>
        <v/>
      </c>
    </row>
    <row r="210" spans="1:141" ht="16.5">
      <c r="A210" s="11"/>
      <c r="B210" s="11"/>
      <c r="C210" s="11"/>
      <c r="D210" s="11"/>
      <c r="E210" s="11"/>
      <c r="F210" s="11"/>
      <c r="G210" s="11"/>
      <c r="H210" s="11"/>
      <c r="I210" s="11"/>
      <c r="J210" s="11"/>
      <c r="K210" s="27"/>
      <c r="L210" s="11"/>
      <c r="M210" s="11"/>
      <c r="N210" s="11"/>
      <c r="O210" s="11"/>
      <c r="P210" s="15"/>
      <c r="Q210" s="15"/>
      <c r="R210" s="15"/>
      <c r="S210" s="15"/>
      <c r="T210" s="15"/>
      <c r="U210" s="15"/>
      <c r="V210" s="15"/>
      <c r="W210" s="47"/>
      <c r="X210" s="11"/>
      <c r="Y210" s="48"/>
      <c r="Z210" s="11"/>
      <c r="AA210" s="48"/>
      <c r="AB210" s="11"/>
      <c r="AC210" s="48"/>
      <c r="AD210" s="11"/>
      <c r="AE210" s="47"/>
      <c r="AF210" s="11"/>
      <c r="AG210" s="48"/>
      <c r="AH210" s="11"/>
      <c r="AI210" s="48"/>
      <c r="AJ210" s="11"/>
      <c r="AK210" s="48"/>
      <c r="AL210" s="11"/>
      <c r="AM210" s="49"/>
      <c r="AN210" s="49"/>
      <c r="AO210" s="11"/>
      <c r="AP210" s="11"/>
      <c r="AQ210" s="28" t="b">
        <f>IF(COUNTIF(SmartStatus!A$2:A1000, AM210) &gt; 2, TRUE, FALSE)</f>
        <v>0</v>
      </c>
      <c r="AR210" s="29" t="str">
        <f ca="1">IFERROR(__xludf.DUMMYFUNCTION("iferror(if(regexmatch(AO210, ""(?i)^registered""), if(EE210 &lt;&gt; ""polity_shortest_name"", ""CHECK_POLITY"", index(filter(SmartStatus!B$2:B1000, AM210 = SmartStatus!A$2:A1000, not(SmartStatus!C$2:C1000), (isblank(SmartStatus!D$2:D1000)) + ((P210 &lt;&gt; """") * "&amp;"(P210 &lt; SmartStatus!D$2:D1000)), (isblank(SmartStatus!E$2:E1000)) + ((P210 &lt;&gt; """") * (P210 &gt;= SmartStatus!E$2:E1000)), (isblank(SmartStatus!F$2:F1000)) + (((Q210 &lt;&gt; """") * (Q210 &lt; SmartStatus!F$2:F1000)) + ((P210 &lt;&gt; """") * (date(year(P210) + 3, month(P"&amp;"210), day(P210)) &lt; SmartStatus!F$2:F1000))), (isblank(SmartStatus!G$2:G1000)) + (((Q210 &lt;&gt; """") * (Q210 &gt;= SmartStatus!G$2:G1000)) + ((P210 &lt;&gt; """") * (P210 &gt;= SmartStatus!G$2:G1000)))), if(or(regexmatch(B210, ""(?i)^ir [a-z]+ designation$""), N210 &lt;&gt; """&amp;"""), 1, 2))), """"), ""NO_MATCH"")"),"")</f>
        <v/>
      </c>
      <c r="AS210" s="11"/>
      <c r="AT210" s="15"/>
      <c r="AU210" s="11"/>
      <c r="AV210" s="11"/>
      <c r="AW210" s="15"/>
      <c r="AX210" s="15"/>
      <c r="AY210" s="15"/>
      <c r="AZ210" s="11"/>
      <c r="BA210" s="15"/>
      <c r="BB210" s="11"/>
      <c r="BC210" s="11"/>
      <c r="BD210" s="15"/>
      <c r="BE210" s="11"/>
      <c r="BF210" s="11"/>
      <c r="BG210" s="15"/>
      <c r="BH210" s="15"/>
      <c r="BI210" s="15"/>
      <c r="BJ210" s="11"/>
      <c r="BK210" s="15"/>
      <c r="BL210" s="11"/>
      <c r="BM210" s="11"/>
      <c r="BN210" s="15"/>
      <c r="BO210" s="11"/>
      <c r="BP210" s="11"/>
      <c r="BQ210" s="15"/>
      <c r="BR210" s="15"/>
      <c r="BS210" s="15"/>
      <c r="BT210" s="11"/>
      <c r="BU210" s="15"/>
      <c r="BV210" s="11"/>
      <c r="BW210" s="11"/>
      <c r="BX210" s="15"/>
      <c r="BY210" s="11"/>
      <c r="BZ210" s="11"/>
      <c r="CA210" s="15"/>
      <c r="CB210" s="11"/>
      <c r="CC210" s="15"/>
      <c r="CD210" s="11"/>
      <c r="CE210" s="15"/>
      <c r="CF210" s="11"/>
      <c r="CG210" s="11"/>
      <c r="CH210" s="15"/>
      <c r="CI210" s="11"/>
      <c r="CJ210" s="11"/>
      <c r="CK210" s="15"/>
      <c r="CL210" s="11"/>
      <c r="CM210" s="11"/>
      <c r="CN210" s="11"/>
      <c r="CO210" s="11"/>
      <c r="CP210" s="28"/>
      <c r="CQ210" s="28"/>
      <c r="CR210" s="11"/>
      <c r="CS210" s="29"/>
      <c r="CT210" s="11"/>
      <c r="CU210" s="11"/>
      <c r="CV210" s="11"/>
      <c r="CW210" s="11"/>
      <c r="CX210" s="11"/>
      <c r="CY210" s="11"/>
      <c r="CZ210" s="11"/>
      <c r="DA210" s="28"/>
      <c r="DB210" s="28"/>
      <c r="DC210" s="11"/>
      <c r="DD210" s="29"/>
      <c r="DE210" s="11"/>
      <c r="DF210" s="11"/>
      <c r="DG210" s="11"/>
      <c r="DH210" s="11"/>
      <c r="DI210" s="11"/>
      <c r="DJ210" s="11"/>
      <c r="DK210" s="26"/>
      <c r="DL210" s="11"/>
      <c r="DM210" s="29"/>
      <c r="DN210" s="28"/>
      <c r="DO210" s="11"/>
      <c r="DP210" s="11"/>
      <c r="DQ210" s="11"/>
      <c r="DR210" s="29"/>
      <c r="DS210" s="28"/>
      <c r="DT210" s="11"/>
      <c r="DU210" s="26"/>
      <c r="DV210" s="11"/>
      <c r="DW210" s="29"/>
      <c r="DX210" s="28"/>
      <c r="DY210" s="11"/>
      <c r="DZ210" s="26"/>
      <c r="EA210" s="11"/>
      <c r="EB210" s="29"/>
      <c r="EC210" s="28"/>
      <c r="ED210" s="30"/>
      <c r="EE210" s="30" t="str">
        <f ca="1">IFERROR(__xludf.DUMMYFUNCTION("iferror(index(filter('Internal -- Trademark Countries'!E$2:E1000, (AM210 = 'Internal -- Trademark Countries'!B$2:B1000) + (AM210 = 'Internal -- Trademark Countries'!C$2:C1000) + (AM210 = 'Internal -- Trademark Countries'!D$2:D1000)), 1))"),"")</f>
        <v/>
      </c>
      <c r="EF210" s="30" t="e">
        <f ca="1">_xludf.ifs(AM210="", "", COUNTIF('Internal -- Trademark Countries'!B:B,AM210) &gt; 0, "polity_shortest_name", COUNTIF('Internal -- Trademark Countries'!C:C,AM210) &gt; 0, "polity_full_name", COUNTIF('Internal -- Trademark Countries'!D:D,AM210) &gt; 0, "polity_common_name", COUNTIF('Internal -- Trademark Countries'!E:E,AM210) &gt; 0, "shortest_name", COUNTIF('Internal -- Trademark Countries'!A:A,AM210) &gt; 0, "full_name", TRUE, "not a match")</f>
        <v>#NAME?</v>
      </c>
      <c r="EG210" s="30"/>
      <c r="EH210" s="30"/>
      <c r="EI210" s="30"/>
      <c r="EJ210" s="30"/>
      <c r="EK210" s="30" t="str">
        <f t="shared" si="2"/>
        <v/>
      </c>
    </row>
    <row r="211" spans="1:141" ht="16.5">
      <c r="A211" s="11"/>
      <c r="B211" s="11"/>
      <c r="C211" s="11"/>
      <c r="D211" s="11"/>
      <c r="E211" s="11"/>
      <c r="F211" s="11"/>
      <c r="G211" s="11"/>
      <c r="H211" s="11"/>
      <c r="I211" s="11"/>
      <c r="J211" s="11"/>
      <c r="K211" s="27"/>
      <c r="L211" s="11"/>
      <c r="M211" s="11"/>
      <c r="N211" s="11"/>
      <c r="O211" s="11"/>
      <c r="P211" s="15"/>
      <c r="Q211" s="15"/>
      <c r="R211" s="15"/>
      <c r="S211" s="15"/>
      <c r="T211" s="15"/>
      <c r="U211" s="15"/>
      <c r="V211" s="15"/>
      <c r="W211" s="47"/>
      <c r="X211" s="11"/>
      <c r="Y211" s="48"/>
      <c r="Z211" s="11"/>
      <c r="AA211" s="48"/>
      <c r="AB211" s="11"/>
      <c r="AC211" s="48"/>
      <c r="AD211" s="11"/>
      <c r="AE211" s="47"/>
      <c r="AF211" s="11"/>
      <c r="AG211" s="48"/>
      <c r="AH211" s="11"/>
      <c r="AI211" s="48"/>
      <c r="AJ211" s="11"/>
      <c r="AK211" s="48"/>
      <c r="AL211" s="11"/>
      <c r="AM211" s="49"/>
      <c r="AN211" s="49"/>
      <c r="AO211" s="11"/>
      <c r="AP211" s="11"/>
      <c r="AQ211" s="28" t="b">
        <f>IF(COUNTIF(SmartStatus!A$2:A1000, AM211) &gt; 2, TRUE, FALSE)</f>
        <v>0</v>
      </c>
      <c r="AR211" s="29" t="str">
        <f ca="1">IFERROR(__xludf.DUMMYFUNCTION("iferror(if(regexmatch(AO211, ""(?i)^registered""), if(EE211 &lt;&gt; ""polity_shortest_name"", ""CHECK_POLITY"", index(filter(SmartStatus!B$2:B1000, AM211 = SmartStatus!A$2:A1000, not(SmartStatus!C$2:C1000), (isblank(SmartStatus!D$2:D1000)) + ((P211 &lt;&gt; """") * "&amp;"(P211 &lt; SmartStatus!D$2:D1000)), (isblank(SmartStatus!E$2:E1000)) + ((P211 &lt;&gt; """") * (P211 &gt;= SmartStatus!E$2:E1000)), (isblank(SmartStatus!F$2:F1000)) + (((Q211 &lt;&gt; """") * (Q211 &lt; SmartStatus!F$2:F1000)) + ((P211 &lt;&gt; """") * (date(year(P211) + 3, month(P"&amp;"211), day(P211)) &lt; SmartStatus!F$2:F1000))), (isblank(SmartStatus!G$2:G1000)) + (((Q211 &lt;&gt; """") * (Q211 &gt;= SmartStatus!G$2:G1000)) + ((P211 &lt;&gt; """") * (P211 &gt;= SmartStatus!G$2:G1000)))), if(or(regexmatch(B211, ""(?i)^ir [a-z]+ designation$""), N211 &lt;&gt; """&amp;"""), 1, 2))), """"), ""NO_MATCH"")"),"")</f>
        <v/>
      </c>
      <c r="AS211" s="11"/>
      <c r="AT211" s="15"/>
      <c r="AU211" s="11"/>
      <c r="AV211" s="11"/>
      <c r="AW211" s="15"/>
      <c r="AX211" s="15"/>
      <c r="AY211" s="15"/>
      <c r="AZ211" s="11"/>
      <c r="BA211" s="15"/>
      <c r="BB211" s="11"/>
      <c r="BC211" s="11"/>
      <c r="BD211" s="15"/>
      <c r="BE211" s="11"/>
      <c r="BF211" s="11"/>
      <c r="BG211" s="15"/>
      <c r="BH211" s="15"/>
      <c r="BI211" s="15"/>
      <c r="BJ211" s="11"/>
      <c r="BK211" s="15"/>
      <c r="BL211" s="11"/>
      <c r="BM211" s="11"/>
      <c r="BN211" s="15"/>
      <c r="BO211" s="11"/>
      <c r="BP211" s="11"/>
      <c r="BQ211" s="15"/>
      <c r="BR211" s="15"/>
      <c r="BS211" s="15"/>
      <c r="BT211" s="11"/>
      <c r="BU211" s="15"/>
      <c r="BV211" s="11"/>
      <c r="BW211" s="11"/>
      <c r="BX211" s="15"/>
      <c r="BY211" s="11"/>
      <c r="BZ211" s="11"/>
      <c r="CA211" s="15"/>
      <c r="CB211" s="11"/>
      <c r="CC211" s="15"/>
      <c r="CD211" s="11"/>
      <c r="CE211" s="15"/>
      <c r="CF211" s="11"/>
      <c r="CG211" s="11"/>
      <c r="CH211" s="15"/>
      <c r="CI211" s="11"/>
      <c r="CJ211" s="11"/>
      <c r="CK211" s="15"/>
      <c r="CL211" s="11"/>
      <c r="CM211" s="11"/>
      <c r="CN211" s="11"/>
      <c r="CO211" s="11"/>
      <c r="CP211" s="28"/>
      <c r="CQ211" s="28"/>
      <c r="CR211" s="11"/>
      <c r="CS211" s="29"/>
      <c r="CT211" s="11"/>
      <c r="CU211" s="11"/>
      <c r="CV211" s="11"/>
      <c r="CW211" s="11"/>
      <c r="CX211" s="11"/>
      <c r="CY211" s="11"/>
      <c r="CZ211" s="11"/>
      <c r="DA211" s="28"/>
      <c r="DB211" s="28"/>
      <c r="DC211" s="11"/>
      <c r="DD211" s="29"/>
      <c r="DE211" s="11"/>
      <c r="DF211" s="11"/>
      <c r="DG211" s="11"/>
      <c r="DH211" s="11"/>
      <c r="DI211" s="11"/>
      <c r="DJ211" s="11"/>
      <c r="DK211" s="26"/>
      <c r="DL211" s="11"/>
      <c r="DM211" s="29"/>
      <c r="DN211" s="28"/>
      <c r="DO211" s="11"/>
      <c r="DP211" s="11"/>
      <c r="DQ211" s="11"/>
      <c r="DR211" s="29"/>
      <c r="DS211" s="28"/>
      <c r="DT211" s="11"/>
      <c r="DU211" s="26"/>
      <c r="DV211" s="11"/>
      <c r="DW211" s="29"/>
      <c r="DX211" s="28"/>
      <c r="DY211" s="11"/>
      <c r="DZ211" s="26"/>
      <c r="EA211" s="11"/>
      <c r="EB211" s="29"/>
      <c r="EC211" s="28"/>
      <c r="ED211" s="30"/>
      <c r="EE211" s="30" t="str">
        <f ca="1">IFERROR(__xludf.DUMMYFUNCTION("iferror(index(filter('Internal -- Trademark Countries'!E$2:E1000, (AM211 = 'Internal -- Trademark Countries'!B$2:B1000) + (AM211 = 'Internal -- Trademark Countries'!C$2:C1000) + (AM211 = 'Internal -- Trademark Countries'!D$2:D1000)), 1))"),"")</f>
        <v/>
      </c>
      <c r="EF211" s="30" t="e">
        <f ca="1">_xludf.ifs(AM211="", "", COUNTIF('Internal -- Trademark Countries'!B:B,AM211) &gt; 0, "polity_shortest_name", COUNTIF('Internal -- Trademark Countries'!C:C,AM211) &gt; 0, "polity_full_name", COUNTIF('Internal -- Trademark Countries'!D:D,AM211) &gt; 0, "polity_common_name", COUNTIF('Internal -- Trademark Countries'!E:E,AM211) &gt; 0, "shortest_name", COUNTIF('Internal -- Trademark Countries'!A:A,AM211) &gt; 0, "full_name", TRUE, "not a match")</f>
        <v>#NAME?</v>
      </c>
      <c r="EG211" s="30"/>
      <c r="EH211" s="30"/>
      <c r="EI211" s="30"/>
      <c r="EJ211" s="30"/>
      <c r="EK211" s="30" t="str">
        <f t="shared" si="2"/>
        <v/>
      </c>
    </row>
    <row r="212" spans="1:141" ht="16.5">
      <c r="A212" s="11"/>
      <c r="B212" s="11"/>
      <c r="C212" s="11"/>
      <c r="D212" s="11"/>
      <c r="E212" s="11"/>
      <c r="F212" s="11"/>
      <c r="G212" s="11"/>
      <c r="H212" s="11"/>
      <c r="I212" s="11"/>
      <c r="J212" s="11"/>
      <c r="K212" s="27"/>
      <c r="L212" s="11"/>
      <c r="M212" s="11"/>
      <c r="N212" s="11"/>
      <c r="O212" s="11"/>
      <c r="P212" s="15"/>
      <c r="Q212" s="15"/>
      <c r="R212" s="15"/>
      <c r="S212" s="15"/>
      <c r="T212" s="15"/>
      <c r="U212" s="15"/>
      <c r="V212" s="15"/>
      <c r="W212" s="47"/>
      <c r="X212" s="11"/>
      <c r="Y212" s="48"/>
      <c r="Z212" s="11"/>
      <c r="AA212" s="48"/>
      <c r="AB212" s="11"/>
      <c r="AC212" s="48"/>
      <c r="AD212" s="11"/>
      <c r="AE212" s="47"/>
      <c r="AF212" s="11"/>
      <c r="AG212" s="48"/>
      <c r="AH212" s="11"/>
      <c r="AI212" s="48"/>
      <c r="AJ212" s="11"/>
      <c r="AK212" s="48"/>
      <c r="AL212" s="11"/>
      <c r="AM212" s="49"/>
      <c r="AN212" s="49"/>
      <c r="AO212" s="11"/>
      <c r="AP212" s="11"/>
      <c r="AQ212" s="28" t="b">
        <f>IF(COUNTIF(SmartStatus!A$2:A1000, AM212) &gt; 2, TRUE, FALSE)</f>
        <v>0</v>
      </c>
      <c r="AR212" s="29" t="str">
        <f ca="1">IFERROR(__xludf.DUMMYFUNCTION("iferror(if(regexmatch(AO212, ""(?i)^registered""), if(EE212 &lt;&gt; ""polity_shortest_name"", ""CHECK_POLITY"", index(filter(SmartStatus!B$2:B1000, AM212 = SmartStatus!A$2:A1000, not(SmartStatus!C$2:C1000), (isblank(SmartStatus!D$2:D1000)) + ((P212 &lt;&gt; """") * "&amp;"(P212 &lt; SmartStatus!D$2:D1000)), (isblank(SmartStatus!E$2:E1000)) + ((P212 &lt;&gt; """") * (P212 &gt;= SmartStatus!E$2:E1000)), (isblank(SmartStatus!F$2:F1000)) + (((Q212 &lt;&gt; """") * (Q212 &lt; SmartStatus!F$2:F1000)) + ((P212 &lt;&gt; """") * (date(year(P212) + 3, month(P"&amp;"212), day(P212)) &lt; SmartStatus!F$2:F1000))), (isblank(SmartStatus!G$2:G1000)) + (((Q212 &lt;&gt; """") * (Q212 &gt;= SmartStatus!G$2:G1000)) + ((P212 &lt;&gt; """") * (P212 &gt;= SmartStatus!G$2:G1000)))), if(or(regexmatch(B212, ""(?i)^ir [a-z]+ designation$""), N212 &lt;&gt; """&amp;"""), 1, 2))), """"), ""NO_MATCH"")"),"")</f>
        <v/>
      </c>
      <c r="AS212" s="11"/>
      <c r="AT212" s="15"/>
      <c r="AU212" s="11"/>
      <c r="AV212" s="11"/>
      <c r="AW212" s="15"/>
      <c r="AX212" s="15"/>
      <c r="AY212" s="15"/>
      <c r="AZ212" s="11"/>
      <c r="BA212" s="15"/>
      <c r="BB212" s="11"/>
      <c r="BC212" s="11"/>
      <c r="BD212" s="15"/>
      <c r="BE212" s="11"/>
      <c r="BF212" s="11"/>
      <c r="BG212" s="15"/>
      <c r="BH212" s="15"/>
      <c r="BI212" s="15"/>
      <c r="BJ212" s="11"/>
      <c r="BK212" s="15"/>
      <c r="BL212" s="11"/>
      <c r="BM212" s="11"/>
      <c r="BN212" s="15"/>
      <c r="BO212" s="11"/>
      <c r="BP212" s="11"/>
      <c r="BQ212" s="15"/>
      <c r="BR212" s="15"/>
      <c r="BS212" s="15"/>
      <c r="BT212" s="11"/>
      <c r="BU212" s="15"/>
      <c r="BV212" s="11"/>
      <c r="BW212" s="11"/>
      <c r="BX212" s="15"/>
      <c r="BY212" s="11"/>
      <c r="BZ212" s="11"/>
      <c r="CA212" s="15"/>
      <c r="CB212" s="11"/>
      <c r="CC212" s="15"/>
      <c r="CD212" s="11"/>
      <c r="CE212" s="15"/>
      <c r="CF212" s="11"/>
      <c r="CG212" s="11"/>
      <c r="CH212" s="15"/>
      <c r="CI212" s="11"/>
      <c r="CJ212" s="11"/>
      <c r="CK212" s="15"/>
      <c r="CL212" s="11"/>
      <c r="CM212" s="11"/>
      <c r="CN212" s="11"/>
      <c r="CO212" s="11"/>
      <c r="CP212" s="28"/>
      <c r="CQ212" s="28"/>
      <c r="CR212" s="11"/>
      <c r="CS212" s="29"/>
      <c r="CT212" s="11"/>
      <c r="CU212" s="11"/>
      <c r="CV212" s="11"/>
      <c r="CW212" s="11"/>
      <c r="CX212" s="11"/>
      <c r="CY212" s="11"/>
      <c r="CZ212" s="11"/>
      <c r="DA212" s="28"/>
      <c r="DB212" s="28"/>
      <c r="DC212" s="11"/>
      <c r="DD212" s="29"/>
      <c r="DE212" s="11"/>
      <c r="DF212" s="11"/>
      <c r="DG212" s="11"/>
      <c r="DH212" s="11"/>
      <c r="DI212" s="11"/>
      <c r="DJ212" s="11"/>
      <c r="DK212" s="26"/>
      <c r="DL212" s="11"/>
      <c r="DM212" s="29"/>
      <c r="DN212" s="28"/>
      <c r="DO212" s="11"/>
      <c r="DP212" s="11"/>
      <c r="DQ212" s="11"/>
      <c r="DR212" s="29"/>
      <c r="DS212" s="28"/>
      <c r="DT212" s="11"/>
      <c r="DU212" s="26"/>
      <c r="DV212" s="11"/>
      <c r="DW212" s="29"/>
      <c r="DX212" s="28"/>
      <c r="DY212" s="11"/>
      <c r="DZ212" s="26"/>
      <c r="EA212" s="11"/>
      <c r="EB212" s="29"/>
      <c r="EC212" s="28"/>
      <c r="ED212" s="30"/>
      <c r="EE212" s="30" t="str">
        <f ca="1">IFERROR(__xludf.DUMMYFUNCTION("iferror(index(filter('Internal -- Trademark Countries'!E$2:E1000, (AM212 = 'Internal -- Trademark Countries'!B$2:B1000) + (AM212 = 'Internal -- Trademark Countries'!C$2:C1000) + (AM212 = 'Internal -- Trademark Countries'!D$2:D1000)), 1))"),"")</f>
        <v/>
      </c>
      <c r="EF212" s="30" t="e">
        <f ca="1">_xludf.ifs(AM212="", "", COUNTIF('Internal -- Trademark Countries'!B:B,AM212) &gt; 0, "polity_shortest_name", COUNTIF('Internal -- Trademark Countries'!C:C,AM212) &gt; 0, "polity_full_name", COUNTIF('Internal -- Trademark Countries'!D:D,AM212) &gt; 0, "polity_common_name", COUNTIF('Internal -- Trademark Countries'!E:E,AM212) &gt; 0, "shortest_name", COUNTIF('Internal -- Trademark Countries'!A:A,AM212) &gt; 0, "full_name", TRUE, "not a match")</f>
        <v>#NAME?</v>
      </c>
      <c r="EG212" s="30"/>
      <c r="EH212" s="30"/>
      <c r="EI212" s="30"/>
      <c r="EJ212" s="30"/>
      <c r="EK212" s="30" t="str">
        <f t="shared" si="2"/>
        <v/>
      </c>
    </row>
    <row r="213" spans="1:141" ht="16.5">
      <c r="A213" s="11"/>
      <c r="B213" s="11"/>
      <c r="C213" s="11"/>
      <c r="D213" s="11"/>
      <c r="E213" s="11"/>
      <c r="F213" s="11"/>
      <c r="G213" s="11"/>
      <c r="H213" s="11"/>
      <c r="I213" s="11"/>
      <c r="J213" s="11"/>
      <c r="K213" s="27"/>
      <c r="L213" s="11"/>
      <c r="M213" s="11"/>
      <c r="N213" s="11"/>
      <c r="O213" s="11"/>
      <c r="P213" s="15"/>
      <c r="Q213" s="15"/>
      <c r="R213" s="15"/>
      <c r="S213" s="15"/>
      <c r="T213" s="15"/>
      <c r="U213" s="15"/>
      <c r="V213" s="15"/>
      <c r="W213" s="47"/>
      <c r="X213" s="11"/>
      <c r="Y213" s="48"/>
      <c r="Z213" s="11"/>
      <c r="AA213" s="48"/>
      <c r="AB213" s="11"/>
      <c r="AC213" s="48"/>
      <c r="AD213" s="11"/>
      <c r="AE213" s="47"/>
      <c r="AF213" s="11"/>
      <c r="AG213" s="48"/>
      <c r="AH213" s="11"/>
      <c r="AI213" s="48"/>
      <c r="AJ213" s="11"/>
      <c r="AK213" s="48"/>
      <c r="AL213" s="11"/>
      <c r="AM213" s="49"/>
      <c r="AN213" s="49"/>
      <c r="AO213" s="11"/>
      <c r="AP213" s="11"/>
      <c r="AQ213" s="28" t="b">
        <f>IF(COUNTIF(SmartStatus!A$2:A1000, AM213) &gt; 2, TRUE, FALSE)</f>
        <v>0</v>
      </c>
      <c r="AR213" s="29" t="str">
        <f ca="1">IFERROR(__xludf.DUMMYFUNCTION("iferror(if(regexmatch(AO213, ""(?i)^registered""), if(EE213 &lt;&gt; ""polity_shortest_name"", ""CHECK_POLITY"", index(filter(SmartStatus!B$2:B1000, AM213 = SmartStatus!A$2:A1000, not(SmartStatus!C$2:C1000), (isblank(SmartStatus!D$2:D1000)) + ((P213 &lt;&gt; """") * "&amp;"(P213 &lt; SmartStatus!D$2:D1000)), (isblank(SmartStatus!E$2:E1000)) + ((P213 &lt;&gt; """") * (P213 &gt;= SmartStatus!E$2:E1000)), (isblank(SmartStatus!F$2:F1000)) + (((Q213 &lt;&gt; """") * (Q213 &lt; SmartStatus!F$2:F1000)) + ((P213 &lt;&gt; """") * (date(year(P213) + 3, month(P"&amp;"213), day(P213)) &lt; SmartStatus!F$2:F1000))), (isblank(SmartStatus!G$2:G1000)) + (((Q213 &lt;&gt; """") * (Q213 &gt;= SmartStatus!G$2:G1000)) + ((P213 &lt;&gt; """") * (P213 &gt;= SmartStatus!G$2:G1000)))), if(or(regexmatch(B213, ""(?i)^ir [a-z]+ designation$""), N213 &lt;&gt; """&amp;"""), 1, 2))), """"), ""NO_MATCH"")"),"")</f>
        <v/>
      </c>
      <c r="AS213" s="11"/>
      <c r="AT213" s="15"/>
      <c r="AU213" s="11"/>
      <c r="AV213" s="11"/>
      <c r="AW213" s="15"/>
      <c r="AX213" s="15"/>
      <c r="AY213" s="15"/>
      <c r="AZ213" s="11"/>
      <c r="BA213" s="15"/>
      <c r="BB213" s="11"/>
      <c r="BC213" s="11"/>
      <c r="BD213" s="15"/>
      <c r="BE213" s="11"/>
      <c r="BF213" s="11"/>
      <c r="BG213" s="15"/>
      <c r="BH213" s="15"/>
      <c r="BI213" s="15"/>
      <c r="BJ213" s="11"/>
      <c r="BK213" s="15"/>
      <c r="BL213" s="11"/>
      <c r="BM213" s="11"/>
      <c r="BN213" s="15"/>
      <c r="BO213" s="11"/>
      <c r="BP213" s="11"/>
      <c r="BQ213" s="15"/>
      <c r="BR213" s="15"/>
      <c r="BS213" s="15"/>
      <c r="BT213" s="11"/>
      <c r="BU213" s="15"/>
      <c r="BV213" s="11"/>
      <c r="BW213" s="11"/>
      <c r="BX213" s="15"/>
      <c r="BY213" s="11"/>
      <c r="BZ213" s="11"/>
      <c r="CA213" s="15"/>
      <c r="CB213" s="11"/>
      <c r="CC213" s="15"/>
      <c r="CD213" s="11"/>
      <c r="CE213" s="15"/>
      <c r="CF213" s="11"/>
      <c r="CG213" s="11"/>
      <c r="CH213" s="15"/>
      <c r="CI213" s="11"/>
      <c r="CJ213" s="11"/>
      <c r="CK213" s="15"/>
      <c r="CL213" s="11"/>
      <c r="CM213" s="11"/>
      <c r="CN213" s="11"/>
      <c r="CO213" s="11"/>
      <c r="CP213" s="28"/>
      <c r="CQ213" s="28"/>
      <c r="CR213" s="11"/>
      <c r="CS213" s="29"/>
      <c r="CT213" s="11"/>
      <c r="CU213" s="11"/>
      <c r="CV213" s="11"/>
      <c r="CW213" s="11"/>
      <c r="CX213" s="11"/>
      <c r="CY213" s="11"/>
      <c r="CZ213" s="11"/>
      <c r="DA213" s="28"/>
      <c r="DB213" s="28"/>
      <c r="DC213" s="11"/>
      <c r="DD213" s="29"/>
      <c r="DE213" s="11"/>
      <c r="DF213" s="11"/>
      <c r="DG213" s="11"/>
      <c r="DH213" s="11"/>
      <c r="DI213" s="11"/>
      <c r="DJ213" s="11"/>
      <c r="DK213" s="26"/>
      <c r="DL213" s="11"/>
      <c r="DM213" s="29"/>
      <c r="DN213" s="28"/>
      <c r="DO213" s="11"/>
      <c r="DP213" s="11"/>
      <c r="DQ213" s="11"/>
      <c r="DR213" s="29"/>
      <c r="DS213" s="28"/>
      <c r="DT213" s="11"/>
      <c r="DU213" s="26"/>
      <c r="DV213" s="11"/>
      <c r="DW213" s="29"/>
      <c r="DX213" s="28"/>
      <c r="DY213" s="11"/>
      <c r="DZ213" s="26"/>
      <c r="EA213" s="11"/>
      <c r="EB213" s="29"/>
      <c r="EC213" s="28"/>
      <c r="ED213" s="30"/>
      <c r="EE213" s="30" t="str">
        <f ca="1">IFERROR(__xludf.DUMMYFUNCTION("iferror(index(filter('Internal -- Trademark Countries'!E$2:E1000, (AM213 = 'Internal -- Trademark Countries'!B$2:B1000) + (AM213 = 'Internal -- Trademark Countries'!C$2:C1000) + (AM213 = 'Internal -- Trademark Countries'!D$2:D1000)), 1))"),"")</f>
        <v/>
      </c>
      <c r="EF213" s="30" t="e">
        <f ca="1">_xludf.ifs(AM213="", "", COUNTIF('Internal -- Trademark Countries'!B:B,AM213) &gt; 0, "polity_shortest_name", COUNTIF('Internal -- Trademark Countries'!C:C,AM213) &gt; 0, "polity_full_name", COUNTIF('Internal -- Trademark Countries'!D:D,AM213) &gt; 0, "polity_common_name", COUNTIF('Internal -- Trademark Countries'!E:E,AM213) &gt; 0, "shortest_name", COUNTIF('Internal -- Trademark Countries'!A:A,AM213) &gt; 0, "full_name", TRUE, "not a match")</f>
        <v>#NAME?</v>
      </c>
      <c r="EG213" s="30"/>
      <c r="EH213" s="30"/>
      <c r="EI213" s="30"/>
      <c r="EJ213" s="30"/>
      <c r="EK213" s="30" t="str">
        <f t="shared" si="2"/>
        <v/>
      </c>
    </row>
    <row r="214" spans="1:141" ht="16.5">
      <c r="A214" s="11"/>
      <c r="B214" s="11"/>
      <c r="C214" s="11"/>
      <c r="D214" s="11"/>
      <c r="E214" s="11"/>
      <c r="F214" s="11"/>
      <c r="G214" s="11"/>
      <c r="H214" s="11"/>
      <c r="I214" s="11"/>
      <c r="J214" s="11"/>
      <c r="K214" s="27"/>
      <c r="L214" s="11"/>
      <c r="M214" s="11"/>
      <c r="N214" s="11"/>
      <c r="O214" s="11"/>
      <c r="P214" s="15"/>
      <c r="Q214" s="15"/>
      <c r="R214" s="15"/>
      <c r="S214" s="15"/>
      <c r="T214" s="15"/>
      <c r="U214" s="15"/>
      <c r="V214" s="15"/>
      <c r="W214" s="47"/>
      <c r="X214" s="11"/>
      <c r="Y214" s="48"/>
      <c r="Z214" s="11"/>
      <c r="AA214" s="48"/>
      <c r="AB214" s="11"/>
      <c r="AC214" s="48"/>
      <c r="AD214" s="11"/>
      <c r="AE214" s="47"/>
      <c r="AF214" s="11"/>
      <c r="AG214" s="48"/>
      <c r="AH214" s="11"/>
      <c r="AI214" s="48"/>
      <c r="AJ214" s="11"/>
      <c r="AK214" s="48"/>
      <c r="AL214" s="11"/>
      <c r="AM214" s="49"/>
      <c r="AN214" s="49"/>
      <c r="AO214" s="11"/>
      <c r="AP214" s="11"/>
      <c r="AQ214" s="28" t="b">
        <f>IF(COUNTIF(SmartStatus!A$2:A1000, AM214) &gt; 2, TRUE, FALSE)</f>
        <v>0</v>
      </c>
      <c r="AR214" s="29" t="str">
        <f ca="1">IFERROR(__xludf.DUMMYFUNCTION("iferror(if(regexmatch(AO214, ""(?i)^registered""), if(EE214 &lt;&gt; ""polity_shortest_name"", ""CHECK_POLITY"", index(filter(SmartStatus!B$2:B1000, AM214 = SmartStatus!A$2:A1000, not(SmartStatus!C$2:C1000), (isblank(SmartStatus!D$2:D1000)) + ((P214 &lt;&gt; """") * "&amp;"(P214 &lt; SmartStatus!D$2:D1000)), (isblank(SmartStatus!E$2:E1000)) + ((P214 &lt;&gt; """") * (P214 &gt;= SmartStatus!E$2:E1000)), (isblank(SmartStatus!F$2:F1000)) + (((Q214 &lt;&gt; """") * (Q214 &lt; SmartStatus!F$2:F1000)) + ((P214 &lt;&gt; """") * (date(year(P214) + 3, month(P"&amp;"214), day(P214)) &lt; SmartStatus!F$2:F1000))), (isblank(SmartStatus!G$2:G1000)) + (((Q214 &lt;&gt; """") * (Q214 &gt;= SmartStatus!G$2:G1000)) + ((P214 &lt;&gt; """") * (P214 &gt;= SmartStatus!G$2:G1000)))), if(or(regexmatch(B214, ""(?i)^ir [a-z]+ designation$""), N214 &lt;&gt; """&amp;"""), 1, 2))), """"), ""NO_MATCH"")"),"")</f>
        <v/>
      </c>
      <c r="AS214" s="11"/>
      <c r="AT214" s="15"/>
      <c r="AU214" s="11"/>
      <c r="AV214" s="11"/>
      <c r="AW214" s="15"/>
      <c r="AX214" s="15"/>
      <c r="AY214" s="15"/>
      <c r="AZ214" s="11"/>
      <c r="BA214" s="15"/>
      <c r="BB214" s="11"/>
      <c r="BC214" s="11"/>
      <c r="BD214" s="15"/>
      <c r="BE214" s="11"/>
      <c r="BF214" s="11"/>
      <c r="BG214" s="15"/>
      <c r="BH214" s="15"/>
      <c r="BI214" s="15"/>
      <c r="BJ214" s="11"/>
      <c r="BK214" s="15"/>
      <c r="BL214" s="11"/>
      <c r="BM214" s="11"/>
      <c r="BN214" s="15"/>
      <c r="BO214" s="11"/>
      <c r="BP214" s="11"/>
      <c r="BQ214" s="15"/>
      <c r="BR214" s="15"/>
      <c r="BS214" s="15"/>
      <c r="BT214" s="11"/>
      <c r="BU214" s="15"/>
      <c r="BV214" s="11"/>
      <c r="BW214" s="11"/>
      <c r="BX214" s="15"/>
      <c r="BY214" s="11"/>
      <c r="BZ214" s="11"/>
      <c r="CA214" s="15"/>
      <c r="CB214" s="11"/>
      <c r="CC214" s="15"/>
      <c r="CD214" s="11"/>
      <c r="CE214" s="15"/>
      <c r="CF214" s="11"/>
      <c r="CG214" s="11"/>
      <c r="CH214" s="15"/>
      <c r="CI214" s="11"/>
      <c r="CJ214" s="11"/>
      <c r="CK214" s="15"/>
      <c r="CL214" s="11"/>
      <c r="CM214" s="11"/>
      <c r="CN214" s="11"/>
      <c r="CO214" s="11"/>
      <c r="CP214" s="28"/>
      <c r="CQ214" s="28"/>
      <c r="CR214" s="11"/>
      <c r="CS214" s="29"/>
      <c r="CT214" s="11"/>
      <c r="CU214" s="11"/>
      <c r="CV214" s="11"/>
      <c r="CW214" s="11"/>
      <c r="CX214" s="11"/>
      <c r="CY214" s="11"/>
      <c r="CZ214" s="11"/>
      <c r="DA214" s="28"/>
      <c r="DB214" s="28"/>
      <c r="DC214" s="11"/>
      <c r="DD214" s="29"/>
      <c r="DE214" s="11"/>
      <c r="DF214" s="11"/>
      <c r="DG214" s="11"/>
      <c r="DH214" s="11"/>
      <c r="DI214" s="11"/>
      <c r="DJ214" s="11"/>
      <c r="DK214" s="26"/>
      <c r="DL214" s="11"/>
      <c r="DM214" s="29"/>
      <c r="DN214" s="28"/>
      <c r="DO214" s="11"/>
      <c r="DP214" s="11"/>
      <c r="DQ214" s="11"/>
      <c r="DR214" s="29"/>
      <c r="DS214" s="28"/>
      <c r="DT214" s="11"/>
      <c r="DU214" s="26"/>
      <c r="DV214" s="11"/>
      <c r="DW214" s="29"/>
      <c r="DX214" s="28"/>
      <c r="DY214" s="11"/>
      <c r="DZ214" s="26"/>
      <c r="EA214" s="11"/>
      <c r="EB214" s="29"/>
      <c r="EC214" s="28"/>
      <c r="ED214" s="30"/>
      <c r="EE214" s="30" t="str">
        <f ca="1">IFERROR(__xludf.DUMMYFUNCTION("iferror(index(filter('Internal -- Trademark Countries'!E$2:E1000, (AM214 = 'Internal -- Trademark Countries'!B$2:B1000) + (AM214 = 'Internal -- Trademark Countries'!C$2:C1000) + (AM214 = 'Internal -- Trademark Countries'!D$2:D1000)), 1))"),"")</f>
        <v/>
      </c>
      <c r="EF214" s="30" t="e">
        <f ca="1">_xludf.ifs(AM214="", "", COUNTIF('Internal -- Trademark Countries'!B:B,AM214) &gt; 0, "polity_shortest_name", COUNTIF('Internal -- Trademark Countries'!C:C,AM214) &gt; 0, "polity_full_name", COUNTIF('Internal -- Trademark Countries'!D:D,AM214) &gt; 0, "polity_common_name", COUNTIF('Internal -- Trademark Countries'!E:E,AM214) &gt; 0, "shortest_name", COUNTIF('Internal -- Trademark Countries'!A:A,AM214) &gt; 0, "full_name", TRUE, "not a match")</f>
        <v>#NAME?</v>
      </c>
      <c r="EG214" s="30"/>
      <c r="EH214" s="30"/>
      <c r="EI214" s="30"/>
      <c r="EJ214" s="30"/>
      <c r="EK214" s="30" t="str">
        <f t="shared" si="2"/>
        <v/>
      </c>
    </row>
    <row r="215" spans="1:141" ht="16.5">
      <c r="A215" s="11"/>
      <c r="B215" s="11"/>
      <c r="C215" s="11"/>
      <c r="D215" s="11"/>
      <c r="E215" s="11"/>
      <c r="F215" s="11"/>
      <c r="G215" s="11"/>
      <c r="H215" s="11"/>
      <c r="I215" s="11"/>
      <c r="J215" s="11"/>
      <c r="K215" s="27"/>
      <c r="L215" s="11"/>
      <c r="M215" s="11"/>
      <c r="N215" s="11"/>
      <c r="O215" s="11"/>
      <c r="P215" s="15"/>
      <c r="Q215" s="15"/>
      <c r="R215" s="15"/>
      <c r="S215" s="15"/>
      <c r="T215" s="15"/>
      <c r="U215" s="15"/>
      <c r="V215" s="15"/>
      <c r="W215" s="47"/>
      <c r="X215" s="11"/>
      <c r="Y215" s="48"/>
      <c r="Z215" s="11"/>
      <c r="AA215" s="48"/>
      <c r="AB215" s="11"/>
      <c r="AC215" s="48"/>
      <c r="AD215" s="11"/>
      <c r="AE215" s="47"/>
      <c r="AF215" s="11"/>
      <c r="AG215" s="48"/>
      <c r="AH215" s="11"/>
      <c r="AI215" s="48"/>
      <c r="AJ215" s="11"/>
      <c r="AK215" s="48"/>
      <c r="AL215" s="11"/>
      <c r="AM215" s="49"/>
      <c r="AN215" s="49"/>
      <c r="AO215" s="11"/>
      <c r="AP215" s="11"/>
      <c r="AQ215" s="28" t="b">
        <f>IF(COUNTIF(SmartStatus!A$2:A1000, AM215) &gt; 2, TRUE, FALSE)</f>
        <v>0</v>
      </c>
      <c r="AR215" s="29" t="str">
        <f ca="1">IFERROR(__xludf.DUMMYFUNCTION("iferror(if(regexmatch(AO215, ""(?i)^registered""), if(EE215 &lt;&gt; ""polity_shortest_name"", ""CHECK_POLITY"", index(filter(SmartStatus!B$2:B1000, AM215 = SmartStatus!A$2:A1000, not(SmartStatus!C$2:C1000), (isblank(SmartStatus!D$2:D1000)) + ((P215 &lt;&gt; """") * "&amp;"(P215 &lt; SmartStatus!D$2:D1000)), (isblank(SmartStatus!E$2:E1000)) + ((P215 &lt;&gt; """") * (P215 &gt;= SmartStatus!E$2:E1000)), (isblank(SmartStatus!F$2:F1000)) + (((Q215 &lt;&gt; """") * (Q215 &lt; SmartStatus!F$2:F1000)) + ((P215 &lt;&gt; """") * (date(year(P215) + 3, month(P"&amp;"215), day(P215)) &lt; SmartStatus!F$2:F1000))), (isblank(SmartStatus!G$2:G1000)) + (((Q215 &lt;&gt; """") * (Q215 &gt;= SmartStatus!G$2:G1000)) + ((P215 &lt;&gt; """") * (P215 &gt;= SmartStatus!G$2:G1000)))), if(or(regexmatch(B215, ""(?i)^ir [a-z]+ designation$""), N215 &lt;&gt; """&amp;"""), 1, 2))), """"), ""NO_MATCH"")"),"")</f>
        <v/>
      </c>
      <c r="AS215" s="11"/>
      <c r="AT215" s="15"/>
      <c r="AU215" s="11"/>
      <c r="AV215" s="11"/>
      <c r="AW215" s="15"/>
      <c r="AX215" s="15"/>
      <c r="AY215" s="15"/>
      <c r="AZ215" s="11"/>
      <c r="BA215" s="15"/>
      <c r="BB215" s="11"/>
      <c r="BC215" s="11"/>
      <c r="BD215" s="15"/>
      <c r="BE215" s="11"/>
      <c r="BF215" s="11"/>
      <c r="BG215" s="15"/>
      <c r="BH215" s="15"/>
      <c r="BI215" s="15"/>
      <c r="BJ215" s="11"/>
      <c r="BK215" s="15"/>
      <c r="BL215" s="11"/>
      <c r="BM215" s="11"/>
      <c r="BN215" s="15"/>
      <c r="BO215" s="11"/>
      <c r="BP215" s="11"/>
      <c r="BQ215" s="15"/>
      <c r="BR215" s="15"/>
      <c r="BS215" s="15"/>
      <c r="BT215" s="11"/>
      <c r="BU215" s="15"/>
      <c r="BV215" s="11"/>
      <c r="BW215" s="11"/>
      <c r="BX215" s="15"/>
      <c r="BY215" s="11"/>
      <c r="BZ215" s="11"/>
      <c r="CA215" s="15"/>
      <c r="CB215" s="11"/>
      <c r="CC215" s="15"/>
      <c r="CD215" s="11"/>
      <c r="CE215" s="15"/>
      <c r="CF215" s="11"/>
      <c r="CG215" s="11"/>
      <c r="CH215" s="15"/>
      <c r="CI215" s="11"/>
      <c r="CJ215" s="11"/>
      <c r="CK215" s="15"/>
      <c r="CL215" s="11"/>
      <c r="CM215" s="11"/>
      <c r="CN215" s="11"/>
      <c r="CO215" s="11"/>
      <c r="CP215" s="28"/>
      <c r="CQ215" s="28"/>
      <c r="CR215" s="11"/>
      <c r="CS215" s="29"/>
      <c r="CT215" s="11"/>
      <c r="CU215" s="11"/>
      <c r="CV215" s="11"/>
      <c r="CW215" s="11"/>
      <c r="CX215" s="11"/>
      <c r="CY215" s="11"/>
      <c r="CZ215" s="11"/>
      <c r="DA215" s="28"/>
      <c r="DB215" s="28"/>
      <c r="DC215" s="11"/>
      <c r="DD215" s="29"/>
      <c r="DE215" s="11"/>
      <c r="DF215" s="11"/>
      <c r="DG215" s="11"/>
      <c r="DH215" s="11"/>
      <c r="DI215" s="11"/>
      <c r="DJ215" s="11"/>
      <c r="DK215" s="26"/>
      <c r="DL215" s="11"/>
      <c r="DM215" s="29"/>
      <c r="DN215" s="28"/>
      <c r="DO215" s="11"/>
      <c r="DP215" s="11"/>
      <c r="DQ215" s="11"/>
      <c r="DR215" s="29"/>
      <c r="DS215" s="28"/>
      <c r="DT215" s="11"/>
      <c r="DU215" s="26"/>
      <c r="DV215" s="11"/>
      <c r="DW215" s="29"/>
      <c r="DX215" s="28"/>
      <c r="DY215" s="11"/>
      <c r="DZ215" s="26"/>
      <c r="EA215" s="11"/>
      <c r="EB215" s="29"/>
      <c r="EC215" s="28"/>
      <c r="ED215" s="30"/>
      <c r="EE215" s="30" t="str">
        <f ca="1">IFERROR(__xludf.DUMMYFUNCTION("iferror(index(filter('Internal -- Trademark Countries'!E$2:E1000, (AM215 = 'Internal -- Trademark Countries'!B$2:B1000) + (AM215 = 'Internal -- Trademark Countries'!C$2:C1000) + (AM215 = 'Internal -- Trademark Countries'!D$2:D1000)), 1))"),"")</f>
        <v/>
      </c>
      <c r="EF215" s="30" t="e">
        <f ca="1">_xludf.ifs(AM215="", "", COUNTIF('Internal -- Trademark Countries'!B:B,AM215) &gt; 0, "polity_shortest_name", COUNTIF('Internal -- Trademark Countries'!C:C,AM215) &gt; 0, "polity_full_name", COUNTIF('Internal -- Trademark Countries'!D:D,AM215) &gt; 0, "polity_common_name", COUNTIF('Internal -- Trademark Countries'!E:E,AM215) &gt; 0, "shortest_name", COUNTIF('Internal -- Trademark Countries'!A:A,AM215) &gt; 0, "full_name", TRUE, "not a match")</f>
        <v>#NAME?</v>
      </c>
      <c r="EG215" s="30"/>
      <c r="EH215" s="30"/>
      <c r="EI215" s="30"/>
      <c r="EJ215" s="30"/>
      <c r="EK215" s="30" t="str">
        <f t="shared" si="2"/>
        <v/>
      </c>
    </row>
    <row r="216" spans="1:141" ht="16.5">
      <c r="A216" s="11"/>
      <c r="B216" s="11"/>
      <c r="C216" s="11"/>
      <c r="D216" s="11"/>
      <c r="E216" s="11"/>
      <c r="F216" s="11"/>
      <c r="G216" s="11"/>
      <c r="H216" s="11"/>
      <c r="I216" s="11"/>
      <c r="J216" s="11"/>
      <c r="K216" s="27"/>
      <c r="L216" s="11"/>
      <c r="M216" s="11"/>
      <c r="N216" s="11"/>
      <c r="O216" s="11"/>
      <c r="P216" s="15"/>
      <c r="Q216" s="15"/>
      <c r="R216" s="15"/>
      <c r="S216" s="15"/>
      <c r="T216" s="15"/>
      <c r="U216" s="15"/>
      <c r="V216" s="15"/>
      <c r="W216" s="47"/>
      <c r="X216" s="11"/>
      <c r="Y216" s="48"/>
      <c r="Z216" s="11"/>
      <c r="AA216" s="48"/>
      <c r="AB216" s="11"/>
      <c r="AC216" s="48"/>
      <c r="AD216" s="11"/>
      <c r="AE216" s="47"/>
      <c r="AF216" s="11"/>
      <c r="AG216" s="48"/>
      <c r="AH216" s="11"/>
      <c r="AI216" s="48"/>
      <c r="AJ216" s="11"/>
      <c r="AK216" s="48"/>
      <c r="AL216" s="11"/>
      <c r="AM216" s="49"/>
      <c r="AN216" s="49"/>
      <c r="AO216" s="11"/>
      <c r="AP216" s="11"/>
      <c r="AQ216" s="28" t="b">
        <f>IF(COUNTIF(SmartStatus!A$2:A1000, AM216) &gt; 2, TRUE, FALSE)</f>
        <v>0</v>
      </c>
      <c r="AR216" s="29" t="str">
        <f ca="1">IFERROR(__xludf.DUMMYFUNCTION("iferror(if(regexmatch(AO216, ""(?i)^registered""), if(EE216 &lt;&gt; ""polity_shortest_name"", ""CHECK_POLITY"", index(filter(SmartStatus!B$2:B1000, AM216 = SmartStatus!A$2:A1000, not(SmartStatus!C$2:C1000), (isblank(SmartStatus!D$2:D1000)) + ((P216 &lt;&gt; """") * "&amp;"(P216 &lt; SmartStatus!D$2:D1000)), (isblank(SmartStatus!E$2:E1000)) + ((P216 &lt;&gt; """") * (P216 &gt;= SmartStatus!E$2:E1000)), (isblank(SmartStatus!F$2:F1000)) + (((Q216 &lt;&gt; """") * (Q216 &lt; SmartStatus!F$2:F1000)) + ((P216 &lt;&gt; """") * (date(year(P216) + 3, month(P"&amp;"216), day(P216)) &lt; SmartStatus!F$2:F1000))), (isblank(SmartStatus!G$2:G1000)) + (((Q216 &lt;&gt; """") * (Q216 &gt;= SmartStatus!G$2:G1000)) + ((P216 &lt;&gt; """") * (P216 &gt;= SmartStatus!G$2:G1000)))), if(or(regexmatch(B216, ""(?i)^ir [a-z]+ designation$""), N216 &lt;&gt; """&amp;"""), 1, 2))), """"), ""NO_MATCH"")"),"")</f>
        <v/>
      </c>
      <c r="AS216" s="11"/>
      <c r="AT216" s="15"/>
      <c r="AU216" s="11"/>
      <c r="AV216" s="11"/>
      <c r="AW216" s="15"/>
      <c r="AX216" s="15"/>
      <c r="AY216" s="15"/>
      <c r="AZ216" s="11"/>
      <c r="BA216" s="15"/>
      <c r="BB216" s="11"/>
      <c r="BC216" s="11"/>
      <c r="BD216" s="15"/>
      <c r="BE216" s="11"/>
      <c r="BF216" s="11"/>
      <c r="BG216" s="15"/>
      <c r="BH216" s="15"/>
      <c r="BI216" s="15"/>
      <c r="BJ216" s="11"/>
      <c r="BK216" s="15"/>
      <c r="BL216" s="11"/>
      <c r="BM216" s="11"/>
      <c r="BN216" s="15"/>
      <c r="BO216" s="11"/>
      <c r="BP216" s="11"/>
      <c r="BQ216" s="15"/>
      <c r="BR216" s="15"/>
      <c r="BS216" s="15"/>
      <c r="BT216" s="11"/>
      <c r="BU216" s="15"/>
      <c r="BV216" s="11"/>
      <c r="BW216" s="11"/>
      <c r="BX216" s="15"/>
      <c r="BY216" s="11"/>
      <c r="BZ216" s="11"/>
      <c r="CA216" s="15"/>
      <c r="CB216" s="11"/>
      <c r="CC216" s="15"/>
      <c r="CD216" s="11"/>
      <c r="CE216" s="15"/>
      <c r="CF216" s="11"/>
      <c r="CG216" s="11"/>
      <c r="CH216" s="15"/>
      <c r="CI216" s="11"/>
      <c r="CJ216" s="11"/>
      <c r="CK216" s="15"/>
      <c r="CL216" s="11"/>
      <c r="CM216" s="11"/>
      <c r="CN216" s="11"/>
      <c r="CO216" s="11"/>
      <c r="CP216" s="28"/>
      <c r="CQ216" s="28"/>
      <c r="CR216" s="11"/>
      <c r="CS216" s="29"/>
      <c r="CT216" s="11"/>
      <c r="CU216" s="11"/>
      <c r="CV216" s="11"/>
      <c r="CW216" s="11"/>
      <c r="CX216" s="11"/>
      <c r="CY216" s="11"/>
      <c r="CZ216" s="11"/>
      <c r="DA216" s="28"/>
      <c r="DB216" s="28"/>
      <c r="DC216" s="11"/>
      <c r="DD216" s="29"/>
      <c r="DE216" s="11"/>
      <c r="DF216" s="11"/>
      <c r="DG216" s="11"/>
      <c r="DH216" s="11"/>
      <c r="DI216" s="11"/>
      <c r="DJ216" s="11"/>
      <c r="DK216" s="26"/>
      <c r="DL216" s="11"/>
      <c r="DM216" s="29"/>
      <c r="DN216" s="28"/>
      <c r="DO216" s="11"/>
      <c r="DP216" s="11"/>
      <c r="DQ216" s="11"/>
      <c r="DR216" s="29"/>
      <c r="DS216" s="28"/>
      <c r="DT216" s="11"/>
      <c r="DU216" s="26"/>
      <c r="DV216" s="11"/>
      <c r="DW216" s="29"/>
      <c r="DX216" s="28"/>
      <c r="DY216" s="11"/>
      <c r="DZ216" s="26"/>
      <c r="EA216" s="11"/>
      <c r="EB216" s="29"/>
      <c r="EC216" s="28"/>
      <c r="ED216" s="30"/>
      <c r="EE216" s="30" t="str">
        <f ca="1">IFERROR(__xludf.DUMMYFUNCTION("iferror(index(filter('Internal -- Trademark Countries'!E$2:E1000, (AM216 = 'Internal -- Trademark Countries'!B$2:B1000) + (AM216 = 'Internal -- Trademark Countries'!C$2:C1000) + (AM216 = 'Internal -- Trademark Countries'!D$2:D1000)), 1))"),"")</f>
        <v/>
      </c>
      <c r="EF216" s="30" t="e">
        <f ca="1">_xludf.ifs(AM216="", "", COUNTIF('Internal -- Trademark Countries'!B:B,AM216) &gt; 0, "polity_shortest_name", COUNTIF('Internal -- Trademark Countries'!C:C,AM216) &gt; 0, "polity_full_name", COUNTIF('Internal -- Trademark Countries'!D:D,AM216) &gt; 0, "polity_common_name", COUNTIF('Internal -- Trademark Countries'!E:E,AM216) &gt; 0, "shortest_name", COUNTIF('Internal -- Trademark Countries'!A:A,AM216) &gt; 0, "full_name", TRUE, "not a match")</f>
        <v>#NAME?</v>
      </c>
      <c r="EG216" s="30"/>
      <c r="EH216" s="30"/>
      <c r="EI216" s="30"/>
      <c r="EJ216" s="30"/>
      <c r="EK216" s="30" t="str">
        <f t="shared" si="2"/>
        <v/>
      </c>
    </row>
    <row r="217" spans="1:141" ht="16.5">
      <c r="A217" s="11"/>
      <c r="B217" s="11"/>
      <c r="C217" s="11"/>
      <c r="D217" s="11"/>
      <c r="E217" s="11"/>
      <c r="F217" s="11"/>
      <c r="G217" s="11"/>
      <c r="H217" s="11"/>
      <c r="I217" s="11"/>
      <c r="J217" s="11"/>
      <c r="K217" s="27"/>
      <c r="L217" s="11"/>
      <c r="M217" s="11"/>
      <c r="N217" s="11"/>
      <c r="O217" s="11"/>
      <c r="P217" s="15"/>
      <c r="Q217" s="15"/>
      <c r="R217" s="15"/>
      <c r="S217" s="15"/>
      <c r="T217" s="15"/>
      <c r="U217" s="15"/>
      <c r="V217" s="15"/>
      <c r="W217" s="47"/>
      <c r="X217" s="11"/>
      <c r="Y217" s="48"/>
      <c r="Z217" s="11"/>
      <c r="AA217" s="48"/>
      <c r="AB217" s="11"/>
      <c r="AC217" s="48"/>
      <c r="AD217" s="11"/>
      <c r="AE217" s="47"/>
      <c r="AF217" s="11"/>
      <c r="AG217" s="48"/>
      <c r="AH217" s="11"/>
      <c r="AI217" s="48"/>
      <c r="AJ217" s="11"/>
      <c r="AK217" s="48"/>
      <c r="AL217" s="11"/>
      <c r="AM217" s="49"/>
      <c r="AN217" s="49"/>
      <c r="AO217" s="11"/>
      <c r="AP217" s="11"/>
      <c r="AQ217" s="28" t="b">
        <f>IF(COUNTIF(SmartStatus!A$2:A1000, AM217) &gt; 2, TRUE, FALSE)</f>
        <v>0</v>
      </c>
      <c r="AR217" s="29" t="str">
        <f ca="1">IFERROR(__xludf.DUMMYFUNCTION("iferror(if(regexmatch(AO217, ""(?i)^registered""), if(EE217 &lt;&gt; ""polity_shortest_name"", ""CHECK_POLITY"", index(filter(SmartStatus!B$2:B1000, AM217 = SmartStatus!A$2:A1000, not(SmartStatus!C$2:C1000), (isblank(SmartStatus!D$2:D1000)) + ((P217 &lt;&gt; """") * "&amp;"(P217 &lt; SmartStatus!D$2:D1000)), (isblank(SmartStatus!E$2:E1000)) + ((P217 &lt;&gt; """") * (P217 &gt;= SmartStatus!E$2:E1000)), (isblank(SmartStatus!F$2:F1000)) + (((Q217 &lt;&gt; """") * (Q217 &lt; SmartStatus!F$2:F1000)) + ((P217 &lt;&gt; """") * (date(year(P217) + 3, month(P"&amp;"217), day(P217)) &lt; SmartStatus!F$2:F1000))), (isblank(SmartStatus!G$2:G1000)) + (((Q217 &lt;&gt; """") * (Q217 &gt;= SmartStatus!G$2:G1000)) + ((P217 &lt;&gt; """") * (P217 &gt;= SmartStatus!G$2:G1000)))), if(or(regexmatch(B217, ""(?i)^ir [a-z]+ designation$""), N217 &lt;&gt; """&amp;"""), 1, 2))), """"), ""NO_MATCH"")"),"")</f>
        <v/>
      </c>
      <c r="AS217" s="11"/>
      <c r="AT217" s="15"/>
      <c r="AU217" s="11"/>
      <c r="AV217" s="11"/>
      <c r="AW217" s="15"/>
      <c r="AX217" s="15"/>
      <c r="AY217" s="15"/>
      <c r="AZ217" s="11"/>
      <c r="BA217" s="15"/>
      <c r="BB217" s="11"/>
      <c r="BC217" s="11"/>
      <c r="BD217" s="15"/>
      <c r="BE217" s="11"/>
      <c r="BF217" s="11"/>
      <c r="BG217" s="15"/>
      <c r="BH217" s="15"/>
      <c r="BI217" s="15"/>
      <c r="BJ217" s="11"/>
      <c r="BK217" s="15"/>
      <c r="BL217" s="11"/>
      <c r="BM217" s="11"/>
      <c r="BN217" s="15"/>
      <c r="BO217" s="11"/>
      <c r="BP217" s="11"/>
      <c r="BQ217" s="15"/>
      <c r="BR217" s="15"/>
      <c r="BS217" s="15"/>
      <c r="BT217" s="11"/>
      <c r="BU217" s="15"/>
      <c r="BV217" s="11"/>
      <c r="BW217" s="11"/>
      <c r="BX217" s="15"/>
      <c r="BY217" s="11"/>
      <c r="BZ217" s="11"/>
      <c r="CA217" s="15"/>
      <c r="CB217" s="11"/>
      <c r="CC217" s="15"/>
      <c r="CD217" s="11"/>
      <c r="CE217" s="15"/>
      <c r="CF217" s="11"/>
      <c r="CG217" s="11"/>
      <c r="CH217" s="15"/>
      <c r="CI217" s="11"/>
      <c r="CJ217" s="11"/>
      <c r="CK217" s="15"/>
      <c r="CL217" s="11"/>
      <c r="CM217" s="11"/>
      <c r="CN217" s="11"/>
      <c r="CO217" s="11"/>
      <c r="CP217" s="28"/>
      <c r="CQ217" s="28"/>
      <c r="CR217" s="11"/>
      <c r="CS217" s="29"/>
      <c r="CT217" s="11"/>
      <c r="CU217" s="11"/>
      <c r="CV217" s="11"/>
      <c r="CW217" s="11"/>
      <c r="CX217" s="11"/>
      <c r="CY217" s="11"/>
      <c r="CZ217" s="11"/>
      <c r="DA217" s="28"/>
      <c r="DB217" s="28"/>
      <c r="DC217" s="11"/>
      <c r="DD217" s="29"/>
      <c r="DE217" s="11"/>
      <c r="DF217" s="11"/>
      <c r="DG217" s="11"/>
      <c r="DH217" s="11"/>
      <c r="DI217" s="11"/>
      <c r="DJ217" s="11"/>
      <c r="DK217" s="26"/>
      <c r="DL217" s="11"/>
      <c r="DM217" s="29"/>
      <c r="DN217" s="28"/>
      <c r="DO217" s="11"/>
      <c r="DP217" s="11"/>
      <c r="DQ217" s="11"/>
      <c r="DR217" s="29"/>
      <c r="DS217" s="28"/>
      <c r="DT217" s="11"/>
      <c r="DU217" s="26"/>
      <c r="DV217" s="11"/>
      <c r="DW217" s="29"/>
      <c r="DX217" s="28"/>
      <c r="DY217" s="11"/>
      <c r="DZ217" s="26"/>
      <c r="EA217" s="11"/>
      <c r="EB217" s="29"/>
      <c r="EC217" s="28"/>
      <c r="ED217" s="30"/>
      <c r="EE217" s="30" t="str">
        <f ca="1">IFERROR(__xludf.DUMMYFUNCTION("iferror(index(filter('Internal -- Trademark Countries'!E$2:E1000, (AM217 = 'Internal -- Trademark Countries'!B$2:B1000) + (AM217 = 'Internal -- Trademark Countries'!C$2:C1000) + (AM217 = 'Internal -- Trademark Countries'!D$2:D1000)), 1))"),"")</f>
        <v/>
      </c>
      <c r="EF217" s="30" t="e">
        <f ca="1">_xludf.ifs(AM217="", "", COUNTIF('Internal -- Trademark Countries'!B:B,AM217) &gt; 0, "polity_shortest_name", COUNTIF('Internal -- Trademark Countries'!C:C,AM217) &gt; 0, "polity_full_name", COUNTIF('Internal -- Trademark Countries'!D:D,AM217) &gt; 0, "polity_common_name", COUNTIF('Internal -- Trademark Countries'!E:E,AM217) &gt; 0, "shortest_name", COUNTIF('Internal -- Trademark Countries'!A:A,AM217) &gt; 0, "full_name", TRUE, "not a match")</f>
        <v>#NAME?</v>
      </c>
      <c r="EG217" s="30"/>
      <c r="EH217" s="30"/>
      <c r="EI217" s="30"/>
      <c r="EJ217" s="30"/>
      <c r="EK217" s="30" t="str">
        <f t="shared" si="2"/>
        <v/>
      </c>
    </row>
    <row r="218" spans="1:141" ht="16.5">
      <c r="A218" s="11"/>
      <c r="B218" s="11"/>
      <c r="C218" s="11"/>
      <c r="D218" s="11"/>
      <c r="E218" s="11"/>
      <c r="F218" s="11"/>
      <c r="G218" s="11"/>
      <c r="H218" s="11"/>
      <c r="I218" s="11"/>
      <c r="J218" s="11"/>
      <c r="K218" s="27"/>
      <c r="L218" s="11"/>
      <c r="M218" s="11"/>
      <c r="N218" s="11"/>
      <c r="O218" s="11"/>
      <c r="P218" s="15"/>
      <c r="Q218" s="15"/>
      <c r="R218" s="15"/>
      <c r="S218" s="15"/>
      <c r="T218" s="15"/>
      <c r="U218" s="15"/>
      <c r="V218" s="15"/>
      <c r="W218" s="47"/>
      <c r="X218" s="11"/>
      <c r="Y218" s="48"/>
      <c r="Z218" s="11"/>
      <c r="AA218" s="48"/>
      <c r="AB218" s="11"/>
      <c r="AC218" s="48"/>
      <c r="AD218" s="11"/>
      <c r="AE218" s="47"/>
      <c r="AF218" s="11"/>
      <c r="AG218" s="48"/>
      <c r="AH218" s="11"/>
      <c r="AI218" s="48"/>
      <c r="AJ218" s="11"/>
      <c r="AK218" s="48"/>
      <c r="AL218" s="11"/>
      <c r="AM218" s="49"/>
      <c r="AN218" s="49"/>
      <c r="AO218" s="11"/>
      <c r="AP218" s="11"/>
      <c r="AQ218" s="28" t="b">
        <f>IF(COUNTIF(SmartStatus!A$2:A1000, AM218) &gt; 2, TRUE, FALSE)</f>
        <v>0</v>
      </c>
      <c r="AR218" s="29" t="str">
        <f ca="1">IFERROR(__xludf.DUMMYFUNCTION("iferror(if(regexmatch(AO218, ""(?i)^registered""), if(EE218 &lt;&gt; ""polity_shortest_name"", ""CHECK_POLITY"", index(filter(SmartStatus!B$2:B1000, AM218 = SmartStatus!A$2:A1000, not(SmartStatus!C$2:C1000), (isblank(SmartStatus!D$2:D1000)) + ((P218 &lt;&gt; """") * "&amp;"(P218 &lt; SmartStatus!D$2:D1000)), (isblank(SmartStatus!E$2:E1000)) + ((P218 &lt;&gt; """") * (P218 &gt;= SmartStatus!E$2:E1000)), (isblank(SmartStatus!F$2:F1000)) + (((Q218 &lt;&gt; """") * (Q218 &lt; SmartStatus!F$2:F1000)) + ((P218 &lt;&gt; """") * (date(year(P218) + 3, month(P"&amp;"218), day(P218)) &lt; SmartStatus!F$2:F1000))), (isblank(SmartStatus!G$2:G1000)) + (((Q218 &lt;&gt; """") * (Q218 &gt;= SmartStatus!G$2:G1000)) + ((P218 &lt;&gt; """") * (P218 &gt;= SmartStatus!G$2:G1000)))), if(or(regexmatch(B218, ""(?i)^ir [a-z]+ designation$""), N218 &lt;&gt; """&amp;"""), 1, 2))), """"), ""NO_MATCH"")"),"")</f>
        <v/>
      </c>
      <c r="AS218" s="11"/>
      <c r="AT218" s="15"/>
      <c r="AU218" s="11"/>
      <c r="AV218" s="11"/>
      <c r="AW218" s="15"/>
      <c r="AX218" s="15"/>
      <c r="AY218" s="15"/>
      <c r="AZ218" s="11"/>
      <c r="BA218" s="15"/>
      <c r="BB218" s="11"/>
      <c r="BC218" s="11"/>
      <c r="BD218" s="15"/>
      <c r="BE218" s="11"/>
      <c r="BF218" s="11"/>
      <c r="BG218" s="15"/>
      <c r="BH218" s="15"/>
      <c r="BI218" s="15"/>
      <c r="BJ218" s="11"/>
      <c r="BK218" s="15"/>
      <c r="BL218" s="11"/>
      <c r="BM218" s="11"/>
      <c r="BN218" s="15"/>
      <c r="BO218" s="11"/>
      <c r="BP218" s="11"/>
      <c r="BQ218" s="15"/>
      <c r="BR218" s="15"/>
      <c r="BS218" s="15"/>
      <c r="BT218" s="11"/>
      <c r="BU218" s="15"/>
      <c r="BV218" s="11"/>
      <c r="BW218" s="11"/>
      <c r="BX218" s="15"/>
      <c r="BY218" s="11"/>
      <c r="BZ218" s="11"/>
      <c r="CA218" s="15"/>
      <c r="CB218" s="11"/>
      <c r="CC218" s="15"/>
      <c r="CD218" s="11"/>
      <c r="CE218" s="15"/>
      <c r="CF218" s="11"/>
      <c r="CG218" s="11"/>
      <c r="CH218" s="15"/>
      <c r="CI218" s="11"/>
      <c r="CJ218" s="11"/>
      <c r="CK218" s="15"/>
      <c r="CL218" s="11"/>
      <c r="CM218" s="11"/>
      <c r="CN218" s="11"/>
      <c r="CO218" s="11"/>
      <c r="CP218" s="28"/>
      <c r="CQ218" s="28"/>
      <c r="CR218" s="11"/>
      <c r="CS218" s="29"/>
      <c r="CT218" s="11"/>
      <c r="CU218" s="11"/>
      <c r="CV218" s="11"/>
      <c r="CW218" s="11"/>
      <c r="CX218" s="11"/>
      <c r="CY218" s="11"/>
      <c r="CZ218" s="11"/>
      <c r="DA218" s="28"/>
      <c r="DB218" s="28"/>
      <c r="DC218" s="11"/>
      <c r="DD218" s="29"/>
      <c r="DE218" s="11"/>
      <c r="DF218" s="11"/>
      <c r="DG218" s="11"/>
      <c r="DH218" s="11"/>
      <c r="DI218" s="11"/>
      <c r="DJ218" s="11"/>
      <c r="DK218" s="26"/>
      <c r="DL218" s="11"/>
      <c r="DM218" s="29"/>
      <c r="DN218" s="28"/>
      <c r="DO218" s="11"/>
      <c r="DP218" s="11"/>
      <c r="DQ218" s="11"/>
      <c r="DR218" s="29"/>
      <c r="DS218" s="28"/>
      <c r="DT218" s="11"/>
      <c r="DU218" s="26"/>
      <c r="DV218" s="11"/>
      <c r="DW218" s="29"/>
      <c r="DX218" s="28"/>
      <c r="DY218" s="11"/>
      <c r="DZ218" s="26"/>
      <c r="EA218" s="11"/>
      <c r="EB218" s="29"/>
      <c r="EC218" s="28"/>
      <c r="ED218" s="30"/>
      <c r="EE218" s="30" t="str">
        <f ca="1">IFERROR(__xludf.DUMMYFUNCTION("iferror(index(filter('Internal -- Trademark Countries'!E$2:E1000, (AM218 = 'Internal -- Trademark Countries'!B$2:B1000) + (AM218 = 'Internal -- Trademark Countries'!C$2:C1000) + (AM218 = 'Internal -- Trademark Countries'!D$2:D1000)), 1))"),"")</f>
        <v/>
      </c>
      <c r="EF218" s="30" t="e">
        <f ca="1">_xludf.ifs(AM218="", "", COUNTIF('Internal -- Trademark Countries'!B:B,AM218) &gt; 0, "polity_shortest_name", COUNTIF('Internal -- Trademark Countries'!C:C,AM218) &gt; 0, "polity_full_name", COUNTIF('Internal -- Trademark Countries'!D:D,AM218) &gt; 0, "polity_common_name", COUNTIF('Internal -- Trademark Countries'!E:E,AM218) &gt; 0, "shortest_name", COUNTIF('Internal -- Trademark Countries'!A:A,AM218) &gt; 0, "full_name", TRUE, "not a match")</f>
        <v>#NAME?</v>
      </c>
      <c r="EG218" s="30"/>
      <c r="EH218" s="30"/>
      <c r="EI218" s="30"/>
      <c r="EJ218" s="30"/>
      <c r="EK218" s="30" t="str">
        <f t="shared" si="2"/>
        <v/>
      </c>
    </row>
    <row r="219" spans="1:141" ht="16.5">
      <c r="A219" s="11"/>
      <c r="B219" s="11"/>
      <c r="C219" s="11"/>
      <c r="D219" s="11"/>
      <c r="E219" s="11"/>
      <c r="F219" s="11"/>
      <c r="G219" s="11"/>
      <c r="H219" s="11"/>
      <c r="I219" s="11"/>
      <c r="J219" s="11"/>
      <c r="K219" s="27"/>
      <c r="L219" s="11"/>
      <c r="M219" s="11"/>
      <c r="N219" s="11"/>
      <c r="O219" s="11"/>
      <c r="P219" s="15"/>
      <c r="Q219" s="15"/>
      <c r="R219" s="15"/>
      <c r="S219" s="15"/>
      <c r="T219" s="15"/>
      <c r="U219" s="15"/>
      <c r="V219" s="15"/>
      <c r="W219" s="47"/>
      <c r="X219" s="11"/>
      <c r="Y219" s="48"/>
      <c r="Z219" s="11"/>
      <c r="AA219" s="48"/>
      <c r="AB219" s="11"/>
      <c r="AC219" s="48"/>
      <c r="AD219" s="11"/>
      <c r="AE219" s="47"/>
      <c r="AF219" s="11"/>
      <c r="AG219" s="48"/>
      <c r="AH219" s="11"/>
      <c r="AI219" s="48"/>
      <c r="AJ219" s="11"/>
      <c r="AK219" s="48"/>
      <c r="AL219" s="11"/>
      <c r="AM219" s="49"/>
      <c r="AN219" s="49"/>
      <c r="AO219" s="11"/>
      <c r="AP219" s="11"/>
      <c r="AQ219" s="28" t="b">
        <f>IF(COUNTIF(SmartStatus!A$2:A1000, AM219) &gt; 2, TRUE, FALSE)</f>
        <v>0</v>
      </c>
      <c r="AR219" s="29" t="str">
        <f ca="1">IFERROR(__xludf.DUMMYFUNCTION("iferror(if(regexmatch(AO219, ""(?i)^registered""), if(EE219 &lt;&gt; ""polity_shortest_name"", ""CHECK_POLITY"", index(filter(SmartStatus!B$2:B1000, AM219 = SmartStatus!A$2:A1000, not(SmartStatus!C$2:C1000), (isblank(SmartStatus!D$2:D1000)) + ((P219 &lt;&gt; """") * "&amp;"(P219 &lt; SmartStatus!D$2:D1000)), (isblank(SmartStatus!E$2:E1000)) + ((P219 &lt;&gt; """") * (P219 &gt;= SmartStatus!E$2:E1000)), (isblank(SmartStatus!F$2:F1000)) + (((Q219 &lt;&gt; """") * (Q219 &lt; SmartStatus!F$2:F1000)) + ((P219 &lt;&gt; """") * (date(year(P219) + 3, month(P"&amp;"219), day(P219)) &lt; SmartStatus!F$2:F1000))), (isblank(SmartStatus!G$2:G1000)) + (((Q219 &lt;&gt; """") * (Q219 &gt;= SmartStatus!G$2:G1000)) + ((P219 &lt;&gt; """") * (P219 &gt;= SmartStatus!G$2:G1000)))), if(or(regexmatch(B219, ""(?i)^ir [a-z]+ designation$""), N219 &lt;&gt; """&amp;"""), 1, 2))), """"), ""NO_MATCH"")"),"")</f>
        <v/>
      </c>
      <c r="AS219" s="11"/>
      <c r="AT219" s="15"/>
      <c r="AU219" s="11"/>
      <c r="AV219" s="11"/>
      <c r="AW219" s="15"/>
      <c r="AX219" s="15"/>
      <c r="AY219" s="15"/>
      <c r="AZ219" s="11"/>
      <c r="BA219" s="15"/>
      <c r="BB219" s="11"/>
      <c r="BC219" s="11"/>
      <c r="BD219" s="15"/>
      <c r="BE219" s="11"/>
      <c r="BF219" s="11"/>
      <c r="BG219" s="15"/>
      <c r="BH219" s="15"/>
      <c r="BI219" s="15"/>
      <c r="BJ219" s="11"/>
      <c r="BK219" s="15"/>
      <c r="BL219" s="11"/>
      <c r="BM219" s="11"/>
      <c r="BN219" s="15"/>
      <c r="BO219" s="11"/>
      <c r="BP219" s="11"/>
      <c r="BQ219" s="15"/>
      <c r="BR219" s="15"/>
      <c r="BS219" s="15"/>
      <c r="BT219" s="11"/>
      <c r="BU219" s="15"/>
      <c r="BV219" s="11"/>
      <c r="BW219" s="11"/>
      <c r="BX219" s="15"/>
      <c r="BY219" s="11"/>
      <c r="BZ219" s="11"/>
      <c r="CA219" s="15"/>
      <c r="CB219" s="11"/>
      <c r="CC219" s="15"/>
      <c r="CD219" s="11"/>
      <c r="CE219" s="15"/>
      <c r="CF219" s="11"/>
      <c r="CG219" s="11"/>
      <c r="CH219" s="15"/>
      <c r="CI219" s="11"/>
      <c r="CJ219" s="11"/>
      <c r="CK219" s="15"/>
      <c r="CL219" s="11"/>
      <c r="CM219" s="11"/>
      <c r="CN219" s="11"/>
      <c r="CO219" s="11"/>
      <c r="CP219" s="28"/>
      <c r="CQ219" s="28"/>
      <c r="CR219" s="11"/>
      <c r="CS219" s="29"/>
      <c r="CT219" s="11"/>
      <c r="CU219" s="11"/>
      <c r="CV219" s="11"/>
      <c r="CW219" s="11"/>
      <c r="CX219" s="11"/>
      <c r="CY219" s="11"/>
      <c r="CZ219" s="11"/>
      <c r="DA219" s="28"/>
      <c r="DB219" s="28"/>
      <c r="DC219" s="11"/>
      <c r="DD219" s="29"/>
      <c r="DE219" s="11"/>
      <c r="DF219" s="11"/>
      <c r="DG219" s="11"/>
      <c r="DH219" s="11"/>
      <c r="DI219" s="11"/>
      <c r="DJ219" s="11"/>
      <c r="DK219" s="26"/>
      <c r="DL219" s="11"/>
      <c r="DM219" s="29"/>
      <c r="DN219" s="28"/>
      <c r="DO219" s="11"/>
      <c r="DP219" s="11"/>
      <c r="DQ219" s="11"/>
      <c r="DR219" s="29"/>
      <c r="DS219" s="28"/>
      <c r="DT219" s="11"/>
      <c r="DU219" s="26"/>
      <c r="DV219" s="11"/>
      <c r="DW219" s="29"/>
      <c r="DX219" s="28"/>
      <c r="DY219" s="11"/>
      <c r="DZ219" s="26"/>
      <c r="EA219" s="11"/>
      <c r="EB219" s="29"/>
      <c r="EC219" s="28"/>
      <c r="ED219" s="30"/>
      <c r="EE219" s="30" t="str">
        <f ca="1">IFERROR(__xludf.DUMMYFUNCTION("iferror(index(filter('Internal -- Trademark Countries'!E$2:E1000, (AM219 = 'Internal -- Trademark Countries'!B$2:B1000) + (AM219 = 'Internal -- Trademark Countries'!C$2:C1000) + (AM219 = 'Internal -- Trademark Countries'!D$2:D1000)), 1))"),"")</f>
        <v/>
      </c>
      <c r="EF219" s="30" t="e">
        <f ca="1">_xludf.ifs(AM219="", "", COUNTIF('Internal -- Trademark Countries'!B:B,AM219) &gt; 0, "polity_shortest_name", COUNTIF('Internal -- Trademark Countries'!C:C,AM219) &gt; 0, "polity_full_name", COUNTIF('Internal -- Trademark Countries'!D:D,AM219) &gt; 0, "polity_common_name", COUNTIF('Internal -- Trademark Countries'!E:E,AM219) &gt; 0, "shortest_name", COUNTIF('Internal -- Trademark Countries'!A:A,AM219) &gt; 0, "full_name", TRUE, "not a match")</f>
        <v>#NAME?</v>
      </c>
      <c r="EG219" s="30"/>
      <c r="EH219" s="30"/>
      <c r="EI219" s="30"/>
      <c r="EJ219" s="30"/>
      <c r="EK219" s="30" t="str">
        <f t="shared" si="2"/>
        <v/>
      </c>
    </row>
    <row r="220" spans="1:141" ht="16.5">
      <c r="A220" s="11"/>
      <c r="B220" s="11"/>
      <c r="C220" s="11"/>
      <c r="D220" s="11"/>
      <c r="E220" s="11"/>
      <c r="F220" s="11"/>
      <c r="G220" s="11"/>
      <c r="H220" s="11"/>
      <c r="I220" s="11"/>
      <c r="J220" s="11"/>
      <c r="K220" s="27"/>
      <c r="L220" s="11"/>
      <c r="M220" s="11"/>
      <c r="N220" s="11"/>
      <c r="O220" s="11"/>
      <c r="P220" s="15"/>
      <c r="Q220" s="15"/>
      <c r="R220" s="15"/>
      <c r="S220" s="15"/>
      <c r="T220" s="15"/>
      <c r="U220" s="15"/>
      <c r="V220" s="15"/>
      <c r="W220" s="47"/>
      <c r="X220" s="11"/>
      <c r="Y220" s="48"/>
      <c r="Z220" s="11"/>
      <c r="AA220" s="48"/>
      <c r="AB220" s="11"/>
      <c r="AC220" s="48"/>
      <c r="AD220" s="11"/>
      <c r="AE220" s="47"/>
      <c r="AF220" s="11"/>
      <c r="AG220" s="48"/>
      <c r="AH220" s="11"/>
      <c r="AI220" s="48"/>
      <c r="AJ220" s="11"/>
      <c r="AK220" s="48"/>
      <c r="AL220" s="11"/>
      <c r="AM220" s="49"/>
      <c r="AN220" s="49"/>
      <c r="AO220" s="11"/>
      <c r="AP220" s="11"/>
      <c r="AQ220" s="28" t="b">
        <f>IF(COUNTIF(SmartStatus!A$2:A1000, AM220) &gt; 2, TRUE, FALSE)</f>
        <v>0</v>
      </c>
      <c r="AR220" s="29" t="str">
        <f ca="1">IFERROR(__xludf.DUMMYFUNCTION("iferror(if(regexmatch(AO220, ""(?i)^registered""), if(EE220 &lt;&gt; ""polity_shortest_name"", ""CHECK_POLITY"", index(filter(SmartStatus!B$2:B1000, AM220 = SmartStatus!A$2:A1000, not(SmartStatus!C$2:C1000), (isblank(SmartStatus!D$2:D1000)) + ((P220 &lt;&gt; """") * "&amp;"(P220 &lt; SmartStatus!D$2:D1000)), (isblank(SmartStatus!E$2:E1000)) + ((P220 &lt;&gt; """") * (P220 &gt;= SmartStatus!E$2:E1000)), (isblank(SmartStatus!F$2:F1000)) + (((Q220 &lt;&gt; """") * (Q220 &lt; SmartStatus!F$2:F1000)) + ((P220 &lt;&gt; """") * (date(year(P220) + 3, month(P"&amp;"220), day(P220)) &lt; SmartStatus!F$2:F1000))), (isblank(SmartStatus!G$2:G1000)) + (((Q220 &lt;&gt; """") * (Q220 &gt;= SmartStatus!G$2:G1000)) + ((P220 &lt;&gt; """") * (P220 &gt;= SmartStatus!G$2:G1000)))), if(or(regexmatch(B220, ""(?i)^ir [a-z]+ designation$""), N220 &lt;&gt; """&amp;"""), 1, 2))), """"), ""NO_MATCH"")"),"")</f>
        <v/>
      </c>
      <c r="AS220" s="11"/>
      <c r="AT220" s="15"/>
      <c r="AU220" s="11"/>
      <c r="AV220" s="11"/>
      <c r="AW220" s="15"/>
      <c r="AX220" s="15"/>
      <c r="AY220" s="15"/>
      <c r="AZ220" s="11"/>
      <c r="BA220" s="15"/>
      <c r="BB220" s="11"/>
      <c r="BC220" s="11"/>
      <c r="BD220" s="15"/>
      <c r="BE220" s="11"/>
      <c r="BF220" s="11"/>
      <c r="BG220" s="15"/>
      <c r="BH220" s="15"/>
      <c r="BI220" s="15"/>
      <c r="BJ220" s="11"/>
      <c r="BK220" s="15"/>
      <c r="BL220" s="11"/>
      <c r="BM220" s="11"/>
      <c r="BN220" s="15"/>
      <c r="BO220" s="11"/>
      <c r="BP220" s="11"/>
      <c r="BQ220" s="15"/>
      <c r="BR220" s="15"/>
      <c r="BS220" s="15"/>
      <c r="BT220" s="11"/>
      <c r="BU220" s="15"/>
      <c r="BV220" s="11"/>
      <c r="BW220" s="11"/>
      <c r="BX220" s="15"/>
      <c r="BY220" s="11"/>
      <c r="BZ220" s="11"/>
      <c r="CA220" s="15"/>
      <c r="CB220" s="11"/>
      <c r="CC220" s="15"/>
      <c r="CD220" s="11"/>
      <c r="CE220" s="15"/>
      <c r="CF220" s="11"/>
      <c r="CG220" s="11"/>
      <c r="CH220" s="15"/>
      <c r="CI220" s="11"/>
      <c r="CJ220" s="11"/>
      <c r="CK220" s="15"/>
      <c r="CL220" s="11"/>
      <c r="CM220" s="11"/>
      <c r="CN220" s="11"/>
      <c r="CO220" s="11"/>
      <c r="CP220" s="28"/>
      <c r="CQ220" s="28"/>
      <c r="CR220" s="11"/>
      <c r="CS220" s="29"/>
      <c r="CT220" s="11"/>
      <c r="CU220" s="11"/>
      <c r="CV220" s="11"/>
      <c r="CW220" s="11"/>
      <c r="CX220" s="11"/>
      <c r="CY220" s="11"/>
      <c r="CZ220" s="11"/>
      <c r="DA220" s="28"/>
      <c r="DB220" s="28"/>
      <c r="DC220" s="11"/>
      <c r="DD220" s="29"/>
      <c r="DE220" s="11"/>
      <c r="DF220" s="11"/>
      <c r="DG220" s="11"/>
      <c r="DH220" s="11"/>
      <c r="DI220" s="11"/>
      <c r="DJ220" s="11"/>
      <c r="DK220" s="26"/>
      <c r="DL220" s="11"/>
      <c r="DM220" s="29"/>
      <c r="DN220" s="28"/>
      <c r="DO220" s="11"/>
      <c r="DP220" s="11"/>
      <c r="DQ220" s="11"/>
      <c r="DR220" s="29"/>
      <c r="DS220" s="28"/>
      <c r="DT220" s="11"/>
      <c r="DU220" s="26"/>
      <c r="DV220" s="11"/>
      <c r="DW220" s="29"/>
      <c r="DX220" s="28"/>
      <c r="DY220" s="11"/>
      <c r="DZ220" s="26"/>
      <c r="EA220" s="11"/>
      <c r="EB220" s="29"/>
      <c r="EC220" s="28"/>
      <c r="ED220" s="30"/>
      <c r="EE220" s="30" t="str">
        <f ca="1">IFERROR(__xludf.DUMMYFUNCTION("iferror(index(filter('Internal -- Trademark Countries'!E$2:E1000, (AM220 = 'Internal -- Trademark Countries'!B$2:B1000) + (AM220 = 'Internal -- Trademark Countries'!C$2:C1000) + (AM220 = 'Internal -- Trademark Countries'!D$2:D1000)), 1))"),"")</f>
        <v/>
      </c>
      <c r="EF220" s="30" t="e">
        <f ca="1">_xludf.ifs(AM220="", "", COUNTIF('Internal -- Trademark Countries'!B:B,AM220) &gt; 0, "polity_shortest_name", COUNTIF('Internal -- Trademark Countries'!C:C,AM220) &gt; 0, "polity_full_name", COUNTIF('Internal -- Trademark Countries'!D:D,AM220) &gt; 0, "polity_common_name", COUNTIF('Internal -- Trademark Countries'!E:E,AM220) &gt; 0, "shortest_name", COUNTIF('Internal -- Trademark Countries'!A:A,AM220) &gt; 0, "full_name", TRUE, "not a match")</f>
        <v>#NAME?</v>
      </c>
      <c r="EG220" s="30"/>
      <c r="EH220" s="30"/>
      <c r="EI220" s="30"/>
      <c r="EJ220" s="30"/>
      <c r="EK220" s="30" t="str">
        <f t="shared" si="2"/>
        <v/>
      </c>
    </row>
    <row r="221" spans="1:141" ht="16.5">
      <c r="A221" s="11"/>
      <c r="B221" s="11"/>
      <c r="C221" s="11"/>
      <c r="D221" s="11"/>
      <c r="E221" s="11"/>
      <c r="F221" s="11"/>
      <c r="G221" s="11"/>
      <c r="H221" s="11"/>
      <c r="I221" s="11"/>
      <c r="J221" s="11"/>
      <c r="K221" s="27"/>
      <c r="L221" s="11"/>
      <c r="M221" s="11"/>
      <c r="N221" s="11"/>
      <c r="O221" s="11"/>
      <c r="P221" s="15"/>
      <c r="Q221" s="15"/>
      <c r="R221" s="15"/>
      <c r="S221" s="15"/>
      <c r="T221" s="15"/>
      <c r="U221" s="15"/>
      <c r="V221" s="15"/>
      <c r="W221" s="47"/>
      <c r="X221" s="11"/>
      <c r="Y221" s="48"/>
      <c r="Z221" s="11"/>
      <c r="AA221" s="48"/>
      <c r="AB221" s="11"/>
      <c r="AC221" s="48"/>
      <c r="AD221" s="11"/>
      <c r="AE221" s="47"/>
      <c r="AF221" s="11"/>
      <c r="AG221" s="48"/>
      <c r="AH221" s="11"/>
      <c r="AI221" s="48"/>
      <c r="AJ221" s="11"/>
      <c r="AK221" s="48"/>
      <c r="AL221" s="11"/>
      <c r="AM221" s="49"/>
      <c r="AN221" s="49"/>
      <c r="AO221" s="11"/>
      <c r="AP221" s="11"/>
      <c r="AQ221" s="28" t="b">
        <f>IF(COUNTIF(SmartStatus!A$2:A1000, AM221) &gt; 2, TRUE, FALSE)</f>
        <v>0</v>
      </c>
      <c r="AR221" s="29" t="str">
        <f ca="1">IFERROR(__xludf.DUMMYFUNCTION("iferror(if(regexmatch(AO221, ""(?i)^registered""), if(EE221 &lt;&gt; ""polity_shortest_name"", ""CHECK_POLITY"", index(filter(SmartStatus!B$2:B1000, AM221 = SmartStatus!A$2:A1000, not(SmartStatus!C$2:C1000), (isblank(SmartStatus!D$2:D1000)) + ((P221 &lt;&gt; """") * "&amp;"(P221 &lt; SmartStatus!D$2:D1000)), (isblank(SmartStatus!E$2:E1000)) + ((P221 &lt;&gt; """") * (P221 &gt;= SmartStatus!E$2:E1000)), (isblank(SmartStatus!F$2:F1000)) + (((Q221 &lt;&gt; """") * (Q221 &lt; SmartStatus!F$2:F1000)) + ((P221 &lt;&gt; """") * (date(year(P221) + 3, month(P"&amp;"221), day(P221)) &lt; SmartStatus!F$2:F1000))), (isblank(SmartStatus!G$2:G1000)) + (((Q221 &lt;&gt; """") * (Q221 &gt;= SmartStatus!G$2:G1000)) + ((P221 &lt;&gt; """") * (P221 &gt;= SmartStatus!G$2:G1000)))), if(or(regexmatch(B221, ""(?i)^ir [a-z]+ designation$""), N221 &lt;&gt; """&amp;"""), 1, 2))), """"), ""NO_MATCH"")"),"")</f>
        <v/>
      </c>
      <c r="AS221" s="11"/>
      <c r="AT221" s="15"/>
      <c r="AU221" s="11"/>
      <c r="AV221" s="11"/>
      <c r="AW221" s="15"/>
      <c r="AX221" s="15"/>
      <c r="AY221" s="15"/>
      <c r="AZ221" s="11"/>
      <c r="BA221" s="15"/>
      <c r="BB221" s="11"/>
      <c r="BC221" s="11"/>
      <c r="BD221" s="15"/>
      <c r="BE221" s="11"/>
      <c r="BF221" s="11"/>
      <c r="BG221" s="15"/>
      <c r="BH221" s="15"/>
      <c r="BI221" s="15"/>
      <c r="BJ221" s="11"/>
      <c r="BK221" s="15"/>
      <c r="BL221" s="11"/>
      <c r="BM221" s="11"/>
      <c r="BN221" s="15"/>
      <c r="BO221" s="11"/>
      <c r="BP221" s="11"/>
      <c r="BQ221" s="15"/>
      <c r="BR221" s="15"/>
      <c r="BS221" s="15"/>
      <c r="BT221" s="11"/>
      <c r="BU221" s="15"/>
      <c r="BV221" s="11"/>
      <c r="BW221" s="11"/>
      <c r="BX221" s="15"/>
      <c r="BY221" s="11"/>
      <c r="BZ221" s="11"/>
      <c r="CA221" s="15"/>
      <c r="CB221" s="11"/>
      <c r="CC221" s="15"/>
      <c r="CD221" s="11"/>
      <c r="CE221" s="15"/>
      <c r="CF221" s="11"/>
      <c r="CG221" s="11"/>
      <c r="CH221" s="15"/>
      <c r="CI221" s="11"/>
      <c r="CJ221" s="11"/>
      <c r="CK221" s="15"/>
      <c r="CL221" s="11"/>
      <c r="CM221" s="11"/>
      <c r="CN221" s="11"/>
      <c r="CO221" s="11"/>
      <c r="CP221" s="28"/>
      <c r="CQ221" s="28"/>
      <c r="CR221" s="11"/>
      <c r="CS221" s="29"/>
      <c r="CT221" s="11"/>
      <c r="CU221" s="11"/>
      <c r="CV221" s="11"/>
      <c r="CW221" s="11"/>
      <c r="CX221" s="11"/>
      <c r="CY221" s="11"/>
      <c r="CZ221" s="11"/>
      <c r="DA221" s="28"/>
      <c r="DB221" s="28"/>
      <c r="DC221" s="11"/>
      <c r="DD221" s="29"/>
      <c r="DE221" s="11"/>
      <c r="DF221" s="11"/>
      <c r="DG221" s="11"/>
      <c r="DH221" s="11"/>
      <c r="DI221" s="11"/>
      <c r="DJ221" s="11"/>
      <c r="DK221" s="26"/>
      <c r="DL221" s="11"/>
      <c r="DM221" s="29"/>
      <c r="DN221" s="28"/>
      <c r="DO221" s="11"/>
      <c r="DP221" s="11"/>
      <c r="DQ221" s="11"/>
      <c r="DR221" s="29"/>
      <c r="DS221" s="28"/>
      <c r="DT221" s="11"/>
      <c r="DU221" s="26"/>
      <c r="DV221" s="11"/>
      <c r="DW221" s="29"/>
      <c r="DX221" s="28"/>
      <c r="DY221" s="11"/>
      <c r="DZ221" s="26"/>
      <c r="EA221" s="11"/>
      <c r="EB221" s="29"/>
      <c r="EC221" s="28"/>
      <c r="ED221" s="30"/>
      <c r="EE221" s="30" t="str">
        <f ca="1">IFERROR(__xludf.DUMMYFUNCTION("iferror(index(filter('Internal -- Trademark Countries'!E$2:E1000, (AM221 = 'Internal -- Trademark Countries'!B$2:B1000) + (AM221 = 'Internal -- Trademark Countries'!C$2:C1000) + (AM221 = 'Internal -- Trademark Countries'!D$2:D1000)), 1))"),"")</f>
        <v/>
      </c>
      <c r="EF221" s="30" t="e">
        <f ca="1">_xludf.ifs(AM221="", "", COUNTIF('Internal -- Trademark Countries'!B:B,AM221) &gt; 0, "polity_shortest_name", COUNTIF('Internal -- Trademark Countries'!C:C,AM221) &gt; 0, "polity_full_name", COUNTIF('Internal -- Trademark Countries'!D:D,AM221) &gt; 0, "polity_common_name", COUNTIF('Internal -- Trademark Countries'!E:E,AM221) &gt; 0, "shortest_name", COUNTIF('Internal -- Trademark Countries'!A:A,AM221) &gt; 0, "full_name", TRUE, "not a match")</f>
        <v>#NAME?</v>
      </c>
      <c r="EG221" s="30"/>
      <c r="EH221" s="30"/>
      <c r="EI221" s="30"/>
      <c r="EJ221" s="30"/>
      <c r="EK221" s="30" t="str">
        <f t="shared" si="2"/>
        <v/>
      </c>
    </row>
    <row r="222" spans="1:141" ht="16.5">
      <c r="A222" s="11"/>
      <c r="B222" s="11"/>
      <c r="C222" s="11"/>
      <c r="D222" s="11"/>
      <c r="E222" s="11"/>
      <c r="F222" s="11"/>
      <c r="G222" s="11"/>
      <c r="H222" s="11"/>
      <c r="I222" s="11"/>
      <c r="J222" s="11"/>
      <c r="K222" s="27"/>
      <c r="L222" s="11"/>
      <c r="M222" s="11"/>
      <c r="N222" s="11"/>
      <c r="O222" s="11"/>
      <c r="P222" s="15"/>
      <c r="Q222" s="15"/>
      <c r="R222" s="15"/>
      <c r="S222" s="15"/>
      <c r="T222" s="15"/>
      <c r="U222" s="15"/>
      <c r="V222" s="15"/>
      <c r="W222" s="47"/>
      <c r="X222" s="11"/>
      <c r="Y222" s="48"/>
      <c r="Z222" s="11"/>
      <c r="AA222" s="48"/>
      <c r="AB222" s="11"/>
      <c r="AC222" s="48"/>
      <c r="AD222" s="11"/>
      <c r="AE222" s="47"/>
      <c r="AF222" s="11"/>
      <c r="AG222" s="48"/>
      <c r="AH222" s="11"/>
      <c r="AI222" s="48"/>
      <c r="AJ222" s="11"/>
      <c r="AK222" s="48"/>
      <c r="AL222" s="11"/>
      <c r="AM222" s="49"/>
      <c r="AN222" s="49"/>
      <c r="AO222" s="11"/>
      <c r="AP222" s="11"/>
      <c r="AQ222" s="28" t="b">
        <f>IF(COUNTIF(SmartStatus!A$2:A1000, AM222) &gt; 2, TRUE, FALSE)</f>
        <v>0</v>
      </c>
      <c r="AR222" s="29" t="str">
        <f ca="1">IFERROR(__xludf.DUMMYFUNCTION("iferror(if(regexmatch(AO222, ""(?i)^registered""), if(EE222 &lt;&gt; ""polity_shortest_name"", ""CHECK_POLITY"", index(filter(SmartStatus!B$2:B1000, AM222 = SmartStatus!A$2:A1000, not(SmartStatus!C$2:C1000), (isblank(SmartStatus!D$2:D1000)) + ((P222 &lt;&gt; """") * "&amp;"(P222 &lt; SmartStatus!D$2:D1000)), (isblank(SmartStatus!E$2:E1000)) + ((P222 &lt;&gt; """") * (P222 &gt;= SmartStatus!E$2:E1000)), (isblank(SmartStatus!F$2:F1000)) + (((Q222 &lt;&gt; """") * (Q222 &lt; SmartStatus!F$2:F1000)) + ((P222 &lt;&gt; """") * (date(year(P222) + 3, month(P"&amp;"222), day(P222)) &lt; SmartStatus!F$2:F1000))), (isblank(SmartStatus!G$2:G1000)) + (((Q222 &lt;&gt; """") * (Q222 &gt;= SmartStatus!G$2:G1000)) + ((P222 &lt;&gt; """") * (P222 &gt;= SmartStatus!G$2:G1000)))), if(or(regexmatch(B222, ""(?i)^ir [a-z]+ designation$""), N222 &lt;&gt; """&amp;"""), 1, 2))), """"), ""NO_MATCH"")"),"")</f>
        <v/>
      </c>
      <c r="AS222" s="11"/>
      <c r="AT222" s="15"/>
      <c r="AU222" s="11"/>
      <c r="AV222" s="11"/>
      <c r="AW222" s="15"/>
      <c r="AX222" s="15"/>
      <c r="AY222" s="15"/>
      <c r="AZ222" s="11"/>
      <c r="BA222" s="15"/>
      <c r="BB222" s="11"/>
      <c r="BC222" s="11"/>
      <c r="BD222" s="15"/>
      <c r="BE222" s="11"/>
      <c r="BF222" s="11"/>
      <c r="BG222" s="15"/>
      <c r="BH222" s="15"/>
      <c r="BI222" s="15"/>
      <c r="BJ222" s="11"/>
      <c r="BK222" s="15"/>
      <c r="BL222" s="11"/>
      <c r="BM222" s="11"/>
      <c r="BN222" s="15"/>
      <c r="BO222" s="11"/>
      <c r="BP222" s="11"/>
      <c r="BQ222" s="15"/>
      <c r="BR222" s="15"/>
      <c r="BS222" s="15"/>
      <c r="BT222" s="11"/>
      <c r="BU222" s="15"/>
      <c r="BV222" s="11"/>
      <c r="BW222" s="11"/>
      <c r="BX222" s="15"/>
      <c r="BY222" s="11"/>
      <c r="BZ222" s="11"/>
      <c r="CA222" s="15"/>
      <c r="CB222" s="11"/>
      <c r="CC222" s="15"/>
      <c r="CD222" s="11"/>
      <c r="CE222" s="15"/>
      <c r="CF222" s="11"/>
      <c r="CG222" s="11"/>
      <c r="CH222" s="15"/>
      <c r="CI222" s="11"/>
      <c r="CJ222" s="11"/>
      <c r="CK222" s="15"/>
      <c r="CL222" s="11"/>
      <c r="CM222" s="11"/>
      <c r="CN222" s="11"/>
      <c r="CO222" s="11"/>
      <c r="CP222" s="28"/>
      <c r="CQ222" s="28"/>
      <c r="CR222" s="11"/>
      <c r="CS222" s="29"/>
      <c r="CT222" s="11"/>
      <c r="CU222" s="11"/>
      <c r="CV222" s="11"/>
      <c r="CW222" s="11"/>
      <c r="CX222" s="11"/>
      <c r="CY222" s="11"/>
      <c r="CZ222" s="11"/>
      <c r="DA222" s="28"/>
      <c r="DB222" s="28"/>
      <c r="DC222" s="11"/>
      <c r="DD222" s="29"/>
      <c r="DE222" s="11"/>
      <c r="DF222" s="11"/>
      <c r="DG222" s="11"/>
      <c r="DH222" s="11"/>
      <c r="DI222" s="11"/>
      <c r="DJ222" s="11"/>
      <c r="DK222" s="26"/>
      <c r="DL222" s="11"/>
      <c r="DM222" s="29"/>
      <c r="DN222" s="28"/>
      <c r="DO222" s="11"/>
      <c r="DP222" s="11"/>
      <c r="DQ222" s="11"/>
      <c r="DR222" s="29"/>
      <c r="DS222" s="28"/>
      <c r="DT222" s="11"/>
      <c r="DU222" s="26"/>
      <c r="DV222" s="11"/>
      <c r="DW222" s="29"/>
      <c r="DX222" s="28"/>
      <c r="DY222" s="11"/>
      <c r="DZ222" s="26"/>
      <c r="EA222" s="11"/>
      <c r="EB222" s="29"/>
      <c r="EC222" s="28"/>
      <c r="ED222" s="30"/>
      <c r="EE222" s="30" t="str">
        <f ca="1">IFERROR(__xludf.DUMMYFUNCTION("iferror(index(filter('Internal -- Trademark Countries'!E$2:E1000, (AM222 = 'Internal -- Trademark Countries'!B$2:B1000) + (AM222 = 'Internal -- Trademark Countries'!C$2:C1000) + (AM222 = 'Internal -- Trademark Countries'!D$2:D1000)), 1))"),"")</f>
        <v/>
      </c>
      <c r="EF222" s="30" t="e">
        <f ca="1">_xludf.ifs(AM222="", "", COUNTIF('Internal -- Trademark Countries'!B:B,AM222) &gt; 0, "polity_shortest_name", COUNTIF('Internal -- Trademark Countries'!C:C,AM222) &gt; 0, "polity_full_name", COUNTIF('Internal -- Trademark Countries'!D:D,AM222) &gt; 0, "polity_common_name", COUNTIF('Internal -- Trademark Countries'!E:E,AM222) &gt; 0, "shortest_name", COUNTIF('Internal -- Trademark Countries'!A:A,AM222) &gt; 0, "full_name", TRUE, "not a match")</f>
        <v>#NAME?</v>
      </c>
      <c r="EG222" s="30"/>
      <c r="EH222" s="30"/>
      <c r="EI222" s="30"/>
      <c r="EJ222" s="30"/>
      <c r="EK222" s="30" t="str">
        <f t="shared" si="2"/>
        <v/>
      </c>
    </row>
    <row r="223" spans="1:141" ht="16.5">
      <c r="A223" s="11"/>
      <c r="B223" s="11"/>
      <c r="C223" s="11"/>
      <c r="D223" s="11"/>
      <c r="E223" s="11"/>
      <c r="F223" s="11"/>
      <c r="G223" s="11"/>
      <c r="H223" s="11"/>
      <c r="I223" s="11"/>
      <c r="J223" s="11"/>
      <c r="K223" s="27"/>
      <c r="L223" s="11"/>
      <c r="M223" s="11"/>
      <c r="N223" s="11"/>
      <c r="O223" s="11"/>
      <c r="P223" s="15"/>
      <c r="Q223" s="15"/>
      <c r="R223" s="15"/>
      <c r="S223" s="15"/>
      <c r="T223" s="15"/>
      <c r="U223" s="15"/>
      <c r="V223" s="15"/>
      <c r="W223" s="47"/>
      <c r="X223" s="11"/>
      <c r="Y223" s="48"/>
      <c r="Z223" s="11"/>
      <c r="AA223" s="48"/>
      <c r="AB223" s="11"/>
      <c r="AC223" s="48"/>
      <c r="AD223" s="11"/>
      <c r="AE223" s="47"/>
      <c r="AF223" s="11"/>
      <c r="AG223" s="48"/>
      <c r="AH223" s="11"/>
      <c r="AI223" s="48"/>
      <c r="AJ223" s="11"/>
      <c r="AK223" s="48"/>
      <c r="AL223" s="11"/>
      <c r="AM223" s="49"/>
      <c r="AN223" s="49"/>
      <c r="AO223" s="11"/>
      <c r="AP223" s="11"/>
      <c r="AQ223" s="28" t="b">
        <f>IF(COUNTIF(SmartStatus!A$2:A1000, AM223) &gt; 2, TRUE, FALSE)</f>
        <v>0</v>
      </c>
      <c r="AR223" s="29" t="str">
        <f ca="1">IFERROR(__xludf.DUMMYFUNCTION("iferror(if(regexmatch(AO223, ""(?i)^registered""), if(EE223 &lt;&gt; ""polity_shortest_name"", ""CHECK_POLITY"", index(filter(SmartStatus!B$2:B1000, AM223 = SmartStatus!A$2:A1000, not(SmartStatus!C$2:C1000), (isblank(SmartStatus!D$2:D1000)) + ((P223 &lt;&gt; """") * "&amp;"(P223 &lt; SmartStatus!D$2:D1000)), (isblank(SmartStatus!E$2:E1000)) + ((P223 &lt;&gt; """") * (P223 &gt;= SmartStatus!E$2:E1000)), (isblank(SmartStatus!F$2:F1000)) + (((Q223 &lt;&gt; """") * (Q223 &lt; SmartStatus!F$2:F1000)) + ((P223 &lt;&gt; """") * (date(year(P223) + 3, month(P"&amp;"223), day(P223)) &lt; SmartStatus!F$2:F1000))), (isblank(SmartStatus!G$2:G1000)) + (((Q223 &lt;&gt; """") * (Q223 &gt;= SmartStatus!G$2:G1000)) + ((P223 &lt;&gt; """") * (P223 &gt;= SmartStatus!G$2:G1000)))), if(or(regexmatch(B223, ""(?i)^ir [a-z]+ designation$""), N223 &lt;&gt; """&amp;"""), 1, 2))), """"), ""NO_MATCH"")"),"")</f>
        <v/>
      </c>
      <c r="AS223" s="11"/>
      <c r="AT223" s="15"/>
      <c r="AU223" s="11"/>
      <c r="AV223" s="11"/>
      <c r="AW223" s="15"/>
      <c r="AX223" s="15"/>
      <c r="AY223" s="15"/>
      <c r="AZ223" s="11"/>
      <c r="BA223" s="15"/>
      <c r="BB223" s="11"/>
      <c r="BC223" s="11"/>
      <c r="BD223" s="15"/>
      <c r="BE223" s="11"/>
      <c r="BF223" s="11"/>
      <c r="BG223" s="15"/>
      <c r="BH223" s="15"/>
      <c r="BI223" s="15"/>
      <c r="BJ223" s="11"/>
      <c r="BK223" s="15"/>
      <c r="BL223" s="11"/>
      <c r="BM223" s="11"/>
      <c r="BN223" s="15"/>
      <c r="BO223" s="11"/>
      <c r="BP223" s="11"/>
      <c r="BQ223" s="15"/>
      <c r="BR223" s="15"/>
      <c r="BS223" s="15"/>
      <c r="BT223" s="11"/>
      <c r="BU223" s="15"/>
      <c r="BV223" s="11"/>
      <c r="BW223" s="11"/>
      <c r="BX223" s="15"/>
      <c r="BY223" s="11"/>
      <c r="BZ223" s="11"/>
      <c r="CA223" s="15"/>
      <c r="CB223" s="11"/>
      <c r="CC223" s="15"/>
      <c r="CD223" s="11"/>
      <c r="CE223" s="15"/>
      <c r="CF223" s="11"/>
      <c r="CG223" s="11"/>
      <c r="CH223" s="15"/>
      <c r="CI223" s="11"/>
      <c r="CJ223" s="11"/>
      <c r="CK223" s="15"/>
      <c r="CL223" s="11"/>
      <c r="CM223" s="11"/>
      <c r="CN223" s="11"/>
      <c r="CO223" s="11"/>
      <c r="CP223" s="28"/>
      <c r="CQ223" s="28"/>
      <c r="CR223" s="11"/>
      <c r="CS223" s="29"/>
      <c r="CT223" s="11"/>
      <c r="CU223" s="11"/>
      <c r="CV223" s="11"/>
      <c r="CW223" s="11"/>
      <c r="CX223" s="11"/>
      <c r="CY223" s="11"/>
      <c r="CZ223" s="11"/>
      <c r="DA223" s="28"/>
      <c r="DB223" s="28"/>
      <c r="DC223" s="11"/>
      <c r="DD223" s="29"/>
      <c r="DE223" s="11"/>
      <c r="DF223" s="11"/>
      <c r="DG223" s="11"/>
      <c r="DH223" s="11"/>
      <c r="DI223" s="11"/>
      <c r="DJ223" s="11"/>
      <c r="DK223" s="26"/>
      <c r="DL223" s="11"/>
      <c r="DM223" s="29"/>
      <c r="DN223" s="28"/>
      <c r="DO223" s="11"/>
      <c r="DP223" s="11"/>
      <c r="DQ223" s="11"/>
      <c r="DR223" s="29"/>
      <c r="DS223" s="28"/>
      <c r="DT223" s="11"/>
      <c r="DU223" s="26"/>
      <c r="DV223" s="11"/>
      <c r="DW223" s="29"/>
      <c r="DX223" s="28"/>
      <c r="DY223" s="11"/>
      <c r="DZ223" s="26"/>
      <c r="EA223" s="11"/>
      <c r="EB223" s="29"/>
      <c r="EC223" s="28"/>
      <c r="ED223" s="30"/>
      <c r="EE223" s="30" t="str">
        <f ca="1">IFERROR(__xludf.DUMMYFUNCTION("iferror(index(filter('Internal -- Trademark Countries'!E$2:E1000, (AM223 = 'Internal -- Trademark Countries'!B$2:B1000) + (AM223 = 'Internal -- Trademark Countries'!C$2:C1000) + (AM223 = 'Internal -- Trademark Countries'!D$2:D1000)), 1))"),"")</f>
        <v/>
      </c>
      <c r="EF223" s="30" t="e">
        <f ca="1">_xludf.ifs(AM223="", "", COUNTIF('Internal -- Trademark Countries'!B:B,AM223) &gt; 0, "polity_shortest_name", COUNTIF('Internal -- Trademark Countries'!C:C,AM223) &gt; 0, "polity_full_name", COUNTIF('Internal -- Trademark Countries'!D:D,AM223) &gt; 0, "polity_common_name", COUNTIF('Internal -- Trademark Countries'!E:E,AM223) &gt; 0, "shortest_name", COUNTIF('Internal -- Trademark Countries'!A:A,AM223) &gt; 0, "full_name", TRUE, "not a match")</f>
        <v>#NAME?</v>
      </c>
      <c r="EG223" s="30"/>
      <c r="EH223" s="30"/>
      <c r="EI223" s="30"/>
      <c r="EJ223" s="30"/>
      <c r="EK223" s="30" t="str">
        <f t="shared" si="2"/>
        <v/>
      </c>
    </row>
    <row r="224" spans="1:141" ht="16.5">
      <c r="A224" s="11"/>
      <c r="B224" s="11"/>
      <c r="C224" s="11"/>
      <c r="D224" s="11"/>
      <c r="E224" s="11"/>
      <c r="F224" s="11"/>
      <c r="G224" s="11"/>
      <c r="H224" s="11"/>
      <c r="I224" s="11"/>
      <c r="J224" s="11"/>
      <c r="K224" s="27"/>
      <c r="L224" s="11"/>
      <c r="M224" s="11"/>
      <c r="N224" s="11"/>
      <c r="O224" s="11"/>
      <c r="P224" s="15"/>
      <c r="Q224" s="15"/>
      <c r="R224" s="15"/>
      <c r="S224" s="15"/>
      <c r="T224" s="15"/>
      <c r="U224" s="15"/>
      <c r="V224" s="15"/>
      <c r="W224" s="47"/>
      <c r="X224" s="11"/>
      <c r="Y224" s="48"/>
      <c r="Z224" s="11"/>
      <c r="AA224" s="48"/>
      <c r="AB224" s="11"/>
      <c r="AC224" s="48"/>
      <c r="AD224" s="11"/>
      <c r="AE224" s="47"/>
      <c r="AF224" s="11"/>
      <c r="AG224" s="48"/>
      <c r="AH224" s="11"/>
      <c r="AI224" s="48"/>
      <c r="AJ224" s="11"/>
      <c r="AK224" s="48"/>
      <c r="AL224" s="11"/>
      <c r="AM224" s="49"/>
      <c r="AN224" s="49"/>
      <c r="AO224" s="11"/>
      <c r="AP224" s="11"/>
      <c r="AQ224" s="28" t="b">
        <f>IF(COUNTIF(SmartStatus!A$2:A1000, AM224) &gt; 2, TRUE, FALSE)</f>
        <v>0</v>
      </c>
      <c r="AR224" s="29" t="str">
        <f ca="1">IFERROR(__xludf.DUMMYFUNCTION("iferror(if(regexmatch(AO224, ""(?i)^registered""), if(EE224 &lt;&gt; ""polity_shortest_name"", ""CHECK_POLITY"", index(filter(SmartStatus!B$2:B1000, AM224 = SmartStatus!A$2:A1000, not(SmartStatus!C$2:C1000), (isblank(SmartStatus!D$2:D1000)) + ((P224 &lt;&gt; """") * "&amp;"(P224 &lt; SmartStatus!D$2:D1000)), (isblank(SmartStatus!E$2:E1000)) + ((P224 &lt;&gt; """") * (P224 &gt;= SmartStatus!E$2:E1000)), (isblank(SmartStatus!F$2:F1000)) + (((Q224 &lt;&gt; """") * (Q224 &lt; SmartStatus!F$2:F1000)) + ((P224 &lt;&gt; """") * (date(year(P224) + 3, month(P"&amp;"224), day(P224)) &lt; SmartStatus!F$2:F1000))), (isblank(SmartStatus!G$2:G1000)) + (((Q224 &lt;&gt; """") * (Q224 &gt;= SmartStatus!G$2:G1000)) + ((P224 &lt;&gt; """") * (P224 &gt;= SmartStatus!G$2:G1000)))), if(or(regexmatch(B224, ""(?i)^ir [a-z]+ designation$""), N224 &lt;&gt; """&amp;"""), 1, 2))), """"), ""NO_MATCH"")"),"")</f>
        <v/>
      </c>
      <c r="AS224" s="11"/>
      <c r="AT224" s="15"/>
      <c r="AU224" s="11"/>
      <c r="AV224" s="11"/>
      <c r="AW224" s="15"/>
      <c r="AX224" s="15"/>
      <c r="AY224" s="15"/>
      <c r="AZ224" s="11"/>
      <c r="BA224" s="15"/>
      <c r="BB224" s="11"/>
      <c r="BC224" s="11"/>
      <c r="BD224" s="15"/>
      <c r="BE224" s="11"/>
      <c r="BF224" s="11"/>
      <c r="BG224" s="15"/>
      <c r="BH224" s="15"/>
      <c r="BI224" s="15"/>
      <c r="BJ224" s="11"/>
      <c r="BK224" s="15"/>
      <c r="BL224" s="11"/>
      <c r="BM224" s="11"/>
      <c r="BN224" s="15"/>
      <c r="BO224" s="11"/>
      <c r="BP224" s="11"/>
      <c r="BQ224" s="15"/>
      <c r="BR224" s="15"/>
      <c r="BS224" s="15"/>
      <c r="BT224" s="11"/>
      <c r="BU224" s="15"/>
      <c r="BV224" s="11"/>
      <c r="BW224" s="11"/>
      <c r="BX224" s="15"/>
      <c r="BY224" s="11"/>
      <c r="BZ224" s="11"/>
      <c r="CA224" s="15"/>
      <c r="CB224" s="11"/>
      <c r="CC224" s="15"/>
      <c r="CD224" s="11"/>
      <c r="CE224" s="15"/>
      <c r="CF224" s="11"/>
      <c r="CG224" s="11"/>
      <c r="CH224" s="15"/>
      <c r="CI224" s="11"/>
      <c r="CJ224" s="11"/>
      <c r="CK224" s="15"/>
      <c r="CL224" s="11"/>
      <c r="CM224" s="11"/>
      <c r="CN224" s="11"/>
      <c r="CO224" s="11"/>
      <c r="CP224" s="28"/>
      <c r="CQ224" s="28"/>
      <c r="CR224" s="11"/>
      <c r="CS224" s="29"/>
      <c r="CT224" s="11"/>
      <c r="CU224" s="11"/>
      <c r="CV224" s="11"/>
      <c r="CW224" s="11"/>
      <c r="CX224" s="11"/>
      <c r="CY224" s="11"/>
      <c r="CZ224" s="11"/>
      <c r="DA224" s="28"/>
      <c r="DB224" s="28"/>
      <c r="DC224" s="11"/>
      <c r="DD224" s="29"/>
      <c r="DE224" s="11"/>
      <c r="DF224" s="11"/>
      <c r="DG224" s="11"/>
      <c r="DH224" s="11"/>
      <c r="DI224" s="11"/>
      <c r="DJ224" s="11"/>
      <c r="DK224" s="26"/>
      <c r="DL224" s="11"/>
      <c r="DM224" s="29"/>
      <c r="DN224" s="28"/>
      <c r="DO224" s="11"/>
      <c r="DP224" s="11"/>
      <c r="DQ224" s="11"/>
      <c r="DR224" s="29"/>
      <c r="DS224" s="28"/>
      <c r="DT224" s="11"/>
      <c r="DU224" s="26"/>
      <c r="DV224" s="11"/>
      <c r="DW224" s="29"/>
      <c r="DX224" s="28"/>
      <c r="DY224" s="11"/>
      <c r="DZ224" s="26"/>
      <c r="EA224" s="11"/>
      <c r="EB224" s="29"/>
      <c r="EC224" s="28"/>
      <c r="ED224" s="30"/>
      <c r="EE224" s="30" t="str">
        <f ca="1">IFERROR(__xludf.DUMMYFUNCTION("iferror(index(filter('Internal -- Trademark Countries'!E$2:E1000, (AM224 = 'Internal -- Trademark Countries'!B$2:B1000) + (AM224 = 'Internal -- Trademark Countries'!C$2:C1000) + (AM224 = 'Internal -- Trademark Countries'!D$2:D1000)), 1))"),"")</f>
        <v/>
      </c>
      <c r="EF224" s="30" t="e">
        <f ca="1">_xludf.ifs(AM224="", "", COUNTIF('Internal -- Trademark Countries'!B:B,AM224) &gt; 0, "polity_shortest_name", COUNTIF('Internal -- Trademark Countries'!C:C,AM224) &gt; 0, "polity_full_name", COUNTIF('Internal -- Trademark Countries'!D:D,AM224) &gt; 0, "polity_common_name", COUNTIF('Internal -- Trademark Countries'!E:E,AM224) &gt; 0, "shortest_name", COUNTIF('Internal -- Trademark Countries'!A:A,AM224) &gt; 0, "full_name", TRUE, "not a match")</f>
        <v>#NAME?</v>
      </c>
      <c r="EG224" s="30"/>
      <c r="EH224" s="30"/>
      <c r="EI224" s="30"/>
      <c r="EJ224" s="30"/>
      <c r="EK224" s="30" t="str">
        <f t="shared" si="2"/>
        <v/>
      </c>
    </row>
    <row r="225" spans="1:141" ht="16.5">
      <c r="A225" s="11"/>
      <c r="B225" s="11"/>
      <c r="C225" s="11"/>
      <c r="D225" s="11"/>
      <c r="E225" s="11"/>
      <c r="F225" s="11"/>
      <c r="G225" s="11"/>
      <c r="H225" s="11"/>
      <c r="I225" s="11"/>
      <c r="J225" s="11"/>
      <c r="K225" s="27"/>
      <c r="L225" s="11"/>
      <c r="M225" s="11"/>
      <c r="N225" s="11"/>
      <c r="O225" s="11"/>
      <c r="P225" s="15"/>
      <c r="Q225" s="15"/>
      <c r="R225" s="15"/>
      <c r="S225" s="15"/>
      <c r="T225" s="15"/>
      <c r="U225" s="15"/>
      <c r="V225" s="15"/>
      <c r="W225" s="47"/>
      <c r="X225" s="11"/>
      <c r="Y225" s="48"/>
      <c r="Z225" s="11"/>
      <c r="AA225" s="48"/>
      <c r="AB225" s="11"/>
      <c r="AC225" s="48"/>
      <c r="AD225" s="11"/>
      <c r="AE225" s="47"/>
      <c r="AF225" s="11"/>
      <c r="AG225" s="48"/>
      <c r="AH225" s="11"/>
      <c r="AI225" s="48"/>
      <c r="AJ225" s="11"/>
      <c r="AK225" s="48"/>
      <c r="AL225" s="11"/>
      <c r="AM225" s="49"/>
      <c r="AN225" s="49"/>
      <c r="AO225" s="11"/>
      <c r="AP225" s="11"/>
      <c r="AQ225" s="28" t="b">
        <f>IF(COUNTIF(SmartStatus!A$2:A1000, AM225) &gt; 2, TRUE, FALSE)</f>
        <v>0</v>
      </c>
      <c r="AR225" s="29" t="str">
        <f ca="1">IFERROR(__xludf.DUMMYFUNCTION("iferror(if(regexmatch(AO225, ""(?i)^registered""), if(EE225 &lt;&gt; ""polity_shortest_name"", ""CHECK_POLITY"", index(filter(SmartStatus!B$2:B1000, AM225 = SmartStatus!A$2:A1000, not(SmartStatus!C$2:C1000), (isblank(SmartStatus!D$2:D1000)) + ((P225 &lt;&gt; """") * "&amp;"(P225 &lt; SmartStatus!D$2:D1000)), (isblank(SmartStatus!E$2:E1000)) + ((P225 &lt;&gt; """") * (P225 &gt;= SmartStatus!E$2:E1000)), (isblank(SmartStatus!F$2:F1000)) + (((Q225 &lt;&gt; """") * (Q225 &lt; SmartStatus!F$2:F1000)) + ((P225 &lt;&gt; """") * (date(year(P225) + 3, month(P"&amp;"225), day(P225)) &lt; SmartStatus!F$2:F1000))), (isblank(SmartStatus!G$2:G1000)) + (((Q225 &lt;&gt; """") * (Q225 &gt;= SmartStatus!G$2:G1000)) + ((P225 &lt;&gt; """") * (P225 &gt;= SmartStatus!G$2:G1000)))), if(or(regexmatch(B225, ""(?i)^ir [a-z]+ designation$""), N225 &lt;&gt; """&amp;"""), 1, 2))), """"), ""NO_MATCH"")"),"")</f>
        <v/>
      </c>
      <c r="AS225" s="11"/>
      <c r="AT225" s="15"/>
      <c r="AU225" s="11"/>
      <c r="AV225" s="11"/>
      <c r="AW225" s="15"/>
      <c r="AX225" s="15"/>
      <c r="AY225" s="15"/>
      <c r="AZ225" s="11"/>
      <c r="BA225" s="15"/>
      <c r="BB225" s="11"/>
      <c r="BC225" s="11"/>
      <c r="BD225" s="15"/>
      <c r="BE225" s="11"/>
      <c r="BF225" s="11"/>
      <c r="BG225" s="15"/>
      <c r="BH225" s="15"/>
      <c r="BI225" s="15"/>
      <c r="BJ225" s="11"/>
      <c r="BK225" s="15"/>
      <c r="BL225" s="11"/>
      <c r="BM225" s="11"/>
      <c r="BN225" s="15"/>
      <c r="BO225" s="11"/>
      <c r="BP225" s="11"/>
      <c r="BQ225" s="15"/>
      <c r="BR225" s="15"/>
      <c r="BS225" s="15"/>
      <c r="BT225" s="11"/>
      <c r="BU225" s="15"/>
      <c r="BV225" s="11"/>
      <c r="BW225" s="11"/>
      <c r="BX225" s="15"/>
      <c r="BY225" s="11"/>
      <c r="BZ225" s="11"/>
      <c r="CA225" s="15"/>
      <c r="CB225" s="11"/>
      <c r="CC225" s="15"/>
      <c r="CD225" s="11"/>
      <c r="CE225" s="15"/>
      <c r="CF225" s="11"/>
      <c r="CG225" s="11"/>
      <c r="CH225" s="15"/>
      <c r="CI225" s="11"/>
      <c r="CJ225" s="11"/>
      <c r="CK225" s="15"/>
      <c r="CL225" s="11"/>
      <c r="CM225" s="11"/>
      <c r="CN225" s="11"/>
      <c r="CO225" s="11"/>
      <c r="CP225" s="28"/>
      <c r="CQ225" s="28"/>
      <c r="CR225" s="11"/>
      <c r="CS225" s="29"/>
      <c r="CT225" s="11"/>
      <c r="CU225" s="11"/>
      <c r="CV225" s="11"/>
      <c r="CW225" s="11"/>
      <c r="CX225" s="11"/>
      <c r="CY225" s="11"/>
      <c r="CZ225" s="11"/>
      <c r="DA225" s="28"/>
      <c r="DB225" s="28"/>
      <c r="DC225" s="11"/>
      <c r="DD225" s="29"/>
      <c r="DE225" s="11"/>
      <c r="DF225" s="11"/>
      <c r="DG225" s="11"/>
      <c r="DH225" s="11"/>
      <c r="DI225" s="11"/>
      <c r="DJ225" s="11"/>
      <c r="DK225" s="26"/>
      <c r="DL225" s="11"/>
      <c r="DM225" s="29"/>
      <c r="DN225" s="28"/>
      <c r="DO225" s="11"/>
      <c r="DP225" s="11"/>
      <c r="DQ225" s="11"/>
      <c r="DR225" s="29"/>
      <c r="DS225" s="28"/>
      <c r="DT225" s="11"/>
      <c r="DU225" s="26"/>
      <c r="DV225" s="11"/>
      <c r="DW225" s="29"/>
      <c r="DX225" s="28"/>
      <c r="DY225" s="11"/>
      <c r="DZ225" s="26"/>
      <c r="EA225" s="11"/>
      <c r="EB225" s="29"/>
      <c r="EC225" s="28"/>
      <c r="ED225" s="30"/>
      <c r="EE225" s="30" t="str">
        <f ca="1">IFERROR(__xludf.DUMMYFUNCTION("iferror(index(filter('Internal -- Trademark Countries'!E$2:E1000, (AM225 = 'Internal -- Trademark Countries'!B$2:B1000) + (AM225 = 'Internal -- Trademark Countries'!C$2:C1000) + (AM225 = 'Internal -- Trademark Countries'!D$2:D1000)), 1))"),"")</f>
        <v/>
      </c>
      <c r="EF225" s="30" t="e">
        <f ca="1">_xludf.ifs(AM225="", "", COUNTIF('Internal -- Trademark Countries'!B:B,AM225) &gt; 0, "polity_shortest_name", COUNTIF('Internal -- Trademark Countries'!C:C,AM225) &gt; 0, "polity_full_name", COUNTIF('Internal -- Trademark Countries'!D:D,AM225) &gt; 0, "polity_common_name", COUNTIF('Internal -- Trademark Countries'!E:E,AM225) &gt; 0, "shortest_name", COUNTIF('Internal -- Trademark Countries'!A:A,AM225) &gt; 0, "full_name", TRUE, "not a match")</f>
        <v>#NAME?</v>
      </c>
      <c r="EG225" s="30"/>
      <c r="EH225" s="30"/>
      <c r="EI225" s="30"/>
      <c r="EJ225" s="30"/>
      <c r="EK225" s="30" t="str">
        <f t="shared" si="2"/>
        <v/>
      </c>
    </row>
    <row r="226" spans="1:141" ht="16.5">
      <c r="A226" s="11"/>
      <c r="B226" s="11"/>
      <c r="C226" s="11"/>
      <c r="D226" s="11"/>
      <c r="E226" s="11"/>
      <c r="F226" s="11"/>
      <c r="G226" s="11"/>
      <c r="H226" s="11"/>
      <c r="I226" s="11"/>
      <c r="J226" s="11"/>
      <c r="K226" s="27"/>
      <c r="L226" s="11"/>
      <c r="M226" s="11"/>
      <c r="N226" s="11"/>
      <c r="O226" s="11"/>
      <c r="P226" s="15"/>
      <c r="Q226" s="15"/>
      <c r="R226" s="15"/>
      <c r="S226" s="15"/>
      <c r="T226" s="15"/>
      <c r="U226" s="15"/>
      <c r="V226" s="15"/>
      <c r="W226" s="47"/>
      <c r="X226" s="11"/>
      <c r="Y226" s="48"/>
      <c r="Z226" s="11"/>
      <c r="AA226" s="48"/>
      <c r="AB226" s="11"/>
      <c r="AC226" s="48"/>
      <c r="AD226" s="11"/>
      <c r="AE226" s="47"/>
      <c r="AF226" s="11"/>
      <c r="AG226" s="48"/>
      <c r="AH226" s="11"/>
      <c r="AI226" s="48"/>
      <c r="AJ226" s="11"/>
      <c r="AK226" s="48"/>
      <c r="AL226" s="11"/>
      <c r="AM226" s="49"/>
      <c r="AN226" s="49"/>
      <c r="AO226" s="11"/>
      <c r="AP226" s="11"/>
      <c r="AQ226" s="28" t="b">
        <f>IF(COUNTIF(SmartStatus!A$2:A1000, AM226) &gt; 2, TRUE, FALSE)</f>
        <v>0</v>
      </c>
      <c r="AR226" s="29" t="str">
        <f ca="1">IFERROR(__xludf.DUMMYFUNCTION("iferror(if(regexmatch(AO226, ""(?i)^registered""), if(EE226 &lt;&gt; ""polity_shortest_name"", ""CHECK_POLITY"", index(filter(SmartStatus!B$2:B1000, AM226 = SmartStatus!A$2:A1000, not(SmartStatus!C$2:C1000), (isblank(SmartStatus!D$2:D1000)) + ((P226 &lt;&gt; """") * "&amp;"(P226 &lt; SmartStatus!D$2:D1000)), (isblank(SmartStatus!E$2:E1000)) + ((P226 &lt;&gt; """") * (P226 &gt;= SmartStatus!E$2:E1000)), (isblank(SmartStatus!F$2:F1000)) + (((Q226 &lt;&gt; """") * (Q226 &lt; SmartStatus!F$2:F1000)) + ((P226 &lt;&gt; """") * (date(year(P226) + 3, month(P"&amp;"226), day(P226)) &lt; SmartStatus!F$2:F1000))), (isblank(SmartStatus!G$2:G1000)) + (((Q226 &lt;&gt; """") * (Q226 &gt;= SmartStatus!G$2:G1000)) + ((P226 &lt;&gt; """") * (P226 &gt;= SmartStatus!G$2:G1000)))), if(or(regexmatch(B226, ""(?i)^ir [a-z]+ designation$""), N226 &lt;&gt; """&amp;"""), 1, 2))), """"), ""NO_MATCH"")"),"")</f>
        <v/>
      </c>
      <c r="AS226" s="11"/>
      <c r="AT226" s="15"/>
      <c r="AU226" s="11"/>
      <c r="AV226" s="11"/>
      <c r="AW226" s="15"/>
      <c r="AX226" s="15"/>
      <c r="AY226" s="15"/>
      <c r="AZ226" s="11"/>
      <c r="BA226" s="15"/>
      <c r="BB226" s="11"/>
      <c r="BC226" s="11"/>
      <c r="BD226" s="15"/>
      <c r="BE226" s="11"/>
      <c r="BF226" s="11"/>
      <c r="BG226" s="15"/>
      <c r="BH226" s="15"/>
      <c r="BI226" s="15"/>
      <c r="BJ226" s="11"/>
      <c r="BK226" s="15"/>
      <c r="BL226" s="11"/>
      <c r="BM226" s="11"/>
      <c r="BN226" s="15"/>
      <c r="BO226" s="11"/>
      <c r="BP226" s="11"/>
      <c r="BQ226" s="15"/>
      <c r="BR226" s="15"/>
      <c r="BS226" s="15"/>
      <c r="BT226" s="11"/>
      <c r="BU226" s="15"/>
      <c r="BV226" s="11"/>
      <c r="BW226" s="11"/>
      <c r="BX226" s="15"/>
      <c r="BY226" s="11"/>
      <c r="BZ226" s="11"/>
      <c r="CA226" s="15"/>
      <c r="CB226" s="11"/>
      <c r="CC226" s="15"/>
      <c r="CD226" s="11"/>
      <c r="CE226" s="15"/>
      <c r="CF226" s="11"/>
      <c r="CG226" s="11"/>
      <c r="CH226" s="15"/>
      <c r="CI226" s="11"/>
      <c r="CJ226" s="11"/>
      <c r="CK226" s="15"/>
      <c r="CL226" s="11"/>
      <c r="CM226" s="11"/>
      <c r="CN226" s="11"/>
      <c r="CO226" s="11"/>
      <c r="CP226" s="28"/>
      <c r="CQ226" s="28"/>
      <c r="CR226" s="11"/>
      <c r="CS226" s="29"/>
      <c r="CT226" s="11"/>
      <c r="CU226" s="11"/>
      <c r="CV226" s="11"/>
      <c r="CW226" s="11"/>
      <c r="CX226" s="11"/>
      <c r="CY226" s="11"/>
      <c r="CZ226" s="11"/>
      <c r="DA226" s="28"/>
      <c r="DB226" s="28"/>
      <c r="DC226" s="11"/>
      <c r="DD226" s="29"/>
      <c r="DE226" s="11"/>
      <c r="DF226" s="11"/>
      <c r="DG226" s="11"/>
      <c r="DH226" s="11"/>
      <c r="DI226" s="11"/>
      <c r="DJ226" s="11"/>
      <c r="DK226" s="26"/>
      <c r="DL226" s="11"/>
      <c r="DM226" s="29"/>
      <c r="DN226" s="28"/>
      <c r="DO226" s="11"/>
      <c r="DP226" s="11"/>
      <c r="DQ226" s="11"/>
      <c r="DR226" s="29"/>
      <c r="DS226" s="28"/>
      <c r="DT226" s="11"/>
      <c r="DU226" s="26"/>
      <c r="DV226" s="11"/>
      <c r="DW226" s="29"/>
      <c r="DX226" s="28"/>
      <c r="DY226" s="11"/>
      <c r="DZ226" s="26"/>
      <c r="EA226" s="11"/>
      <c r="EB226" s="29"/>
      <c r="EC226" s="28"/>
      <c r="ED226" s="30"/>
      <c r="EE226" s="30" t="str">
        <f ca="1">IFERROR(__xludf.DUMMYFUNCTION("iferror(index(filter('Internal -- Trademark Countries'!E$2:E1000, (AM226 = 'Internal -- Trademark Countries'!B$2:B1000) + (AM226 = 'Internal -- Trademark Countries'!C$2:C1000) + (AM226 = 'Internal -- Trademark Countries'!D$2:D1000)), 1))"),"")</f>
        <v/>
      </c>
      <c r="EF226" s="30" t="e">
        <f ca="1">_xludf.ifs(AM226="", "", COUNTIF('Internal -- Trademark Countries'!B:B,AM226) &gt; 0, "polity_shortest_name", COUNTIF('Internal -- Trademark Countries'!C:C,AM226) &gt; 0, "polity_full_name", COUNTIF('Internal -- Trademark Countries'!D:D,AM226) &gt; 0, "polity_common_name", COUNTIF('Internal -- Trademark Countries'!E:E,AM226) &gt; 0, "shortest_name", COUNTIF('Internal -- Trademark Countries'!A:A,AM226) &gt; 0, "full_name", TRUE, "not a match")</f>
        <v>#NAME?</v>
      </c>
      <c r="EG226" s="30"/>
      <c r="EH226" s="30"/>
      <c r="EI226" s="30"/>
      <c r="EJ226" s="30"/>
      <c r="EK226" s="30" t="str">
        <f t="shared" si="2"/>
        <v/>
      </c>
    </row>
    <row r="227" spans="1:141" ht="16.5">
      <c r="A227" s="11"/>
      <c r="B227" s="11"/>
      <c r="C227" s="11"/>
      <c r="D227" s="11"/>
      <c r="E227" s="11"/>
      <c r="F227" s="11"/>
      <c r="G227" s="11"/>
      <c r="H227" s="11"/>
      <c r="I227" s="11"/>
      <c r="J227" s="11"/>
      <c r="K227" s="27"/>
      <c r="L227" s="11"/>
      <c r="M227" s="11"/>
      <c r="N227" s="11"/>
      <c r="O227" s="11"/>
      <c r="P227" s="15"/>
      <c r="Q227" s="15"/>
      <c r="R227" s="15"/>
      <c r="S227" s="15"/>
      <c r="T227" s="15"/>
      <c r="U227" s="15"/>
      <c r="V227" s="15"/>
      <c r="W227" s="47"/>
      <c r="X227" s="11"/>
      <c r="Y227" s="48"/>
      <c r="Z227" s="11"/>
      <c r="AA227" s="48"/>
      <c r="AB227" s="11"/>
      <c r="AC227" s="48"/>
      <c r="AD227" s="11"/>
      <c r="AE227" s="47"/>
      <c r="AF227" s="11"/>
      <c r="AG227" s="48"/>
      <c r="AH227" s="11"/>
      <c r="AI227" s="48"/>
      <c r="AJ227" s="11"/>
      <c r="AK227" s="48"/>
      <c r="AL227" s="11"/>
      <c r="AM227" s="49"/>
      <c r="AN227" s="49"/>
      <c r="AO227" s="11"/>
      <c r="AP227" s="11"/>
      <c r="AQ227" s="28" t="b">
        <f>IF(COUNTIF(SmartStatus!A$2:A1000, AM227) &gt; 2, TRUE, FALSE)</f>
        <v>0</v>
      </c>
      <c r="AR227" s="29" t="str">
        <f ca="1">IFERROR(__xludf.DUMMYFUNCTION("iferror(if(regexmatch(AO227, ""(?i)^registered""), if(EE227 &lt;&gt; ""polity_shortest_name"", ""CHECK_POLITY"", index(filter(SmartStatus!B$2:B1000, AM227 = SmartStatus!A$2:A1000, not(SmartStatus!C$2:C1000), (isblank(SmartStatus!D$2:D1000)) + ((P227 &lt;&gt; """") * "&amp;"(P227 &lt; SmartStatus!D$2:D1000)), (isblank(SmartStatus!E$2:E1000)) + ((P227 &lt;&gt; """") * (P227 &gt;= SmartStatus!E$2:E1000)), (isblank(SmartStatus!F$2:F1000)) + (((Q227 &lt;&gt; """") * (Q227 &lt; SmartStatus!F$2:F1000)) + ((P227 &lt;&gt; """") * (date(year(P227) + 3, month(P"&amp;"227), day(P227)) &lt; SmartStatus!F$2:F1000))), (isblank(SmartStatus!G$2:G1000)) + (((Q227 &lt;&gt; """") * (Q227 &gt;= SmartStatus!G$2:G1000)) + ((P227 &lt;&gt; """") * (P227 &gt;= SmartStatus!G$2:G1000)))), if(or(regexmatch(B227, ""(?i)^ir [a-z]+ designation$""), N227 &lt;&gt; """&amp;"""), 1, 2))), """"), ""NO_MATCH"")"),"")</f>
        <v/>
      </c>
      <c r="AS227" s="11"/>
      <c r="AT227" s="15"/>
      <c r="AU227" s="11"/>
      <c r="AV227" s="11"/>
      <c r="AW227" s="15"/>
      <c r="AX227" s="15"/>
      <c r="AY227" s="15"/>
      <c r="AZ227" s="11"/>
      <c r="BA227" s="15"/>
      <c r="BB227" s="11"/>
      <c r="BC227" s="11"/>
      <c r="BD227" s="15"/>
      <c r="BE227" s="11"/>
      <c r="BF227" s="11"/>
      <c r="BG227" s="15"/>
      <c r="BH227" s="15"/>
      <c r="BI227" s="15"/>
      <c r="BJ227" s="11"/>
      <c r="BK227" s="15"/>
      <c r="BL227" s="11"/>
      <c r="BM227" s="11"/>
      <c r="BN227" s="15"/>
      <c r="BO227" s="11"/>
      <c r="BP227" s="11"/>
      <c r="BQ227" s="15"/>
      <c r="BR227" s="15"/>
      <c r="BS227" s="15"/>
      <c r="BT227" s="11"/>
      <c r="BU227" s="15"/>
      <c r="BV227" s="11"/>
      <c r="BW227" s="11"/>
      <c r="BX227" s="15"/>
      <c r="BY227" s="11"/>
      <c r="BZ227" s="11"/>
      <c r="CA227" s="15"/>
      <c r="CB227" s="11"/>
      <c r="CC227" s="15"/>
      <c r="CD227" s="11"/>
      <c r="CE227" s="15"/>
      <c r="CF227" s="11"/>
      <c r="CG227" s="11"/>
      <c r="CH227" s="15"/>
      <c r="CI227" s="11"/>
      <c r="CJ227" s="11"/>
      <c r="CK227" s="15"/>
      <c r="CL227" s="11"/>
      <c r="CM227" s="11"/>
      <c r="CN227" s="11"/>
      <c r="CO227" s="11"/>
      <c r="CP227" s="28"/>
      <c r="CQ227" s="28"/>
      <c r="CR227" s="11"/>
      <c r="CS227" s="29"/>
      <c r="CT227" s="11"/>
      <c r="CU227" s="11"/>
      <c r="CV227" s="11"/>
      <c r="CW227" s="11"/>
      <c r="CX227" s="11"/>
      <c r="CY227" s="11"/>
      <c r="CZ227" s="11"/>
      <c r="DA227" s="28"/>
      <c r="DB227" s="28"/>
      <c r="DC227" s="11"/>
      <c r="DD227" s="29"/>
      <c r="DE227" s="11"/>
      <c r="DF227" s="11"/>
      <c r="DG227" s="11"/>
      <c r="DH227" s="11"/>
      <c r="DI227" s="11"/>
      <c r="DJ227" s="11"/>
      <c r="DK227" s="26"/>
      <c r="DL227" s="11"/>
      <c r="DM227" s="29"/>
      <c r="DN227" s="28"/>
      <c r="DO227" s="11"/>
      <c r="DP227" s="11"/>
      <c r="DQ227" s="11"/>
      <c r="DR227" s="29"/>
      <c r="DS227" s="28"/>
      <c r="DT227" s="11"/>
      <c r="DU227" s="26"/>
      <c r="DV227" s="11"/>
      <c r="DW227" s="29"/>
      <c r="DX227" s="28"/>
      <c r="DY227" s="11"/>
      <c r="DZ227" s="26"/>
      <c r="EA227" s="11"/>
      <c r="EB227" s="29"/>
      <c r="EC227" s="28"/>
      <c r="ED227" s="30"/>
      <c r="EE227" s="30" t="str">
        <f ca="1">IFERROR(__xludf.DUMMYFUNCTION("iferror(index(filter('Internal -- Trademark Countries'!E$2:E1000, (AM227 = 'Internal -- Trademark Countries'!B$2:B1000) + (AM227 = 'Internal -- Trademark Countries'!C$2:C1000) + (AM227 = 'Internal -- Trademark Countries'!D$2:D1000)), 1))"),"")</f>
        <v/>
      </c>
      <c r="EF227" s="30" t="e">
        <f ca="1">_xludf.ifs(AM227="", "", COUNTIF('Internal -- Trademark Countries'!B:B,AM227) &gt; 0, "polity_shortest_name", COUNTIF('Internal -- Trademark Countries'!C:C,AM227) &gt; 0, "polity_full_name", COUNTIF('Internal -- Trademark Countries'!D:D,AM227) &gt; 0, "polity_common_name", COUNTIF('Internal -- Trademark Countries'!E:E,AM227) &gt; 0, "shortest_name", COUNTIF('Internal -- Trademark Countries'!A:A,AM227) &gt; 0, "full_name", TRUE, "not a match")</f>
        <v>#NAME?</v>
      </c>
      <c r="EG227" s="30"/>
      <c r="EH227" s="30"/>
      <c r="EI227" s="30"/>
      <c r="EJ227" s="30"/>
      <c r="EK227" s="30" t="str">
        <f t="shared" si="2"/>
        <v/>
      </c>
    </row>
    <row r="228" spans="1:141" ht="16.5">
      <c r="A228" s="11"/>
      <c r="B228" s="11"/>
      <c r="C228" s="11"/>
      <c r="D228" s="11"/>
      <c r="E228" s="11"/>
      <c r="F228" s="11"/>
      <c r="G228" s="11"/>
      <c r="H228" s="11"/>
      <c r="I228" s="11"/>
      <c r="J228" s="11"/>
      <c r="K228" s="27"/>
      <c r="L228" s="11"/>
      <c r="M228" s="11"/>
      <c r="N228" s="11"/>
      <c r="O228" s="11"/>
      <c r="P228" s="15"/>
      <c r="Q228" s="15"/>
      <c r="R228" s="15"/>
      <c r="S228" s="15"/>
      <c r="T228" s="15"/>
      <c r="U228" s="15"/>
      <c r="V228" s="15"/>
      <c r="W228" s="47"/>
      <c r="X228" s="11"/>
      <c r="Y228" s="48"/>
      <c r="Z228" s="11"/>
      <c r="AA228" s="48"/>
      <c r="AB228" s="11"/>
      <c r="AC228" s="48"/>
      <c r="AD228" s="11"/>
      <c r="AE228" s="47"/>
      <c r="AF228" s="11"/>
      <c r="AG228" s="48"/>
      <c r="AH228" s="11"/>
      <c r="AI228" s="48"/>
      <c r="AJ228" s="11"/>
      <c r="AK228" s="48"/>
      <c r="AL228" s="11"/>
      <c r="AM228" s="49"/>
      <c r="AN228" s="49"/>
      <c r="AO228" s="11"/>
      <c r="AP228" s="11"/>
      <c r="AQ228" s="28" t="b">
        <f>IF(COUNTIF(SmartStatus!A$2:A1000, AM228) &gt; 2, TRUE, FALSE)</f>
        <v>0</v>
      </c>
      <c r="AR228" s="29" t="str">
        <f ca="1">IFERROR(__xludf.DUMMYFUNCTION("iferror(if(regexmatch(AO228, ""(?i)^registered""), if(EE228 &lt;&gt; ""polity_shortest_name"", ""CHECK_POLITY"", index(filter(SmartStatus!B$2:B1000, AM228 = SmartStatus!A$2:A1000, not(SmartStatus!C$2:C1000), (isblank(SmartStatus!D$2:D1000)) + ((P228 &lt;&gt; """") * "&amp;"(P228 &lt; SmartStatus!D$2:D1000)), (isblank(SmartStatus!E$2:E1000)) + ((P228 &lt;&gt; """") * (P228 &gt;= SmartStatus!E$2:E1000)), (isblank(SmartStatus!F$2:F1000)) + (((Q228 &lt;&gt; """") * (Q228 &lt; SmartStatus!F$2:F1000)) + ((P228 &lt;&gt; """") * (date(year(P228) + 3, month(P"&amp;"228), day(P228)) &lt; SmartStatus!F$2:F1000))), (isblank(SmartStatus!G$2:G1000)) + (((Q228 &lt;&gt; """") * (Q228 &gt;= SmartStatus!G$2:G1000)) + ((P228 &lt;&gt; """") * (P228 &gt;= SmartStatus!G$2:G1000)))), if(or(regexmatch(B228, ""(?i)^ir [a-z]+ designation$""), N228 &lt;&gt; """&amp;"""), 1, 2))), """"), ""NO_MATCH"")"),"")</f>
        <v/>
      </c>
      <c r="AS228" s="11"/>
      <c r="AT228" s="15"/>
      <c r="AU228" s="11"/>
      <c r="AV228" s="11"/>
      <c r="AW228" s="15"/>
      <c r="AX228" s="15"/>
      <c r="AY228" s="15"/>
      <c r="AZ228" s="11"/>
      <c r="BA228" s="15"/>
      <c r="BB228" s="11"/>
      <c r="BC228" s="11"/>
      <c r="BD228" s="15"/>
      <c r="BE228" s="11"/>
      <c r="BF228" s="11"/>
      <c r="BG228" s="15"/>
      <c r="BH228" s="15"/>
      <c r="BI228" s="15"/>
      <c r="BJ228" s="11"/>
      <c r="BK228" s="15"/>
      <c r="BL228" s="11"/>
      <c r="BM228" s="11"/>
      <c r="BN228" s="15"/>
      <c r="BO228" s="11"/>
      <c r="BP228" s="11"/>
      <c r="BQ228" s="15"/>
      <c r="BR228" s="15"/>
      <c r="BS228" s="15"/>
      <c r="BT228" s="11"/>
      <c r="BU228" s="15"/>
      <c r="BV228" s="11"/>
      <c r="BW228" s="11"/>
      <c r="BX228" s="15"/>
      <c r="BY228" s="11"/>
      <c r="BZ228" s="11"/>
      <c r="CA228" s="15"/>
      <c r="CB228" s="11"/>
      <c r="CC228" s="15"/>
      <c r="CD228" s="11"/>
      <c r="CE228" s="15"/>
      <c r="CF228" s="11"/>
      <c r="CG228" s="11"/>
      <c r="CH228" s="15"/>
      <c r="CI228" s="11"/>
      <c r="CJ228" s="11"/>
      <c r="CK228" s="15"/>
      <c r="CL228" s="11"/>
      <c r="CM228" s="11"/>
      <c r="CN228" s="11"/>
      <c r="CO228" s="11"/>
      <c r="CP228" s="28"/>
      <c r="CQ228" s="28"/>
      <c r="CR228" s="11"/>
      <c r="CS228" s="29"/>
      <c r="CT228" s="11"/>
      <c r="CU228" s="11"/>
      <c r="CV228" s="11"/>
      <c r="CW228" s="11"/>
      <c r="CX228" s="11"/>
      <c r="CY228" s="11"/>
      <c r="CZ228" s="11"/>
      <c r="DA228" s="28"/>
      <c r="DB228" s="28"/>
      <c r="DC228" s="11"/>
      <c r="DD228" s="29"/>
      <c r="DE228" s="11"/>
      <c r="DF228" s="11"/>
      <c r="DG228" s="11"/>
      <c r="DH228" s="11"/>
      <c r="DI228" s="11"/>
      <c r="DJ228" s="11"/>
      <c r="DK228" s="26"/>
      <c r="DL228" s="11"/>
      <c r="DM228" s="29"/>
      <c r="DN228" s="28"/>
      <c r="DO228" s="11"/>
      <c r="DP228" s="11"/>
      <c r="DQ228" s="11"/>
      <c r="DR228" s="29"/>
      <c r="DS228" s="28"/>
      <c r="DT228" s="11"/>
      <c r="DU228" s="26"/>
      <c r="DV228" s="11"/>
      <c r="DW228" s="29"/>
      <c r="DX228" s="28"/>
      <c r="DY228" s="11"/>
      <c r="DZ228" s="26"/>
      <c r="EA228" s="11"/>
      <c r="EB228" s="29"/>
      <c r="EC228" s="28"/>
      <c r="ED228" s="30"/>
      <c r="EE228" s="30" t="str">
        <f ca="1">IFERROR(__xludf.DUMMYFUNCTION("iferror(index(filter('Internal -- Trademark Countries'!E$2:E1000, (AM228 = 'Internal -- Trademark Countries'!B$2:B1000) + (AM228 = 'Internal -- Trademark Countries'!C$2:C1000) + (AM228 = 'Internal -- Trademark Countries'!D$2:D1000)), 1))"),"")</f>
        <v/>
      </c>
      <c r="EF228" s="30" t="e">
        <f ca="1">_xludf.ifs(AM228="", "", COUNTIF('Internal -- Trademark Countries'!B:B,AM228) &gt; 0, "polity_shortest_name", COUNTIF('Internal -- Trademark Countries'!C:C,AM228) &gt; 0, "polity_full_name", COUNTIF('Internal -- Trademark Countries'!D:D,AM228) &gt; 0, "polity_common_name", COUNTIF('Internal -- Trademark Countries'!E:E,AM228) &gt; 0, "shortest_name", COUNTIF('Internal -- Trademark Countries'!A:A,AM228) &gt; 0, "full_name", TRUE, "not a match")</f>
        <v>#NAME?</v>
      </c>
      <c r="EG228" s="30"/>
      <c r="EH228" s="30"/>
      <c r="EI228" s="30"/>
      <c r="EJ228" s="30"/>
      <c r="EK228" s="30" t="str">
        <f t="shared" si="2"/>
        <v/>
      </c>
    </row>
    <row r="229" spans="1:141" ht="16.5">
      <c r="A229" s="11"/>
      <c r="B229" s="11"/>
      <c r="C229" s="11"/>
      <c r="D229" s="11"/>
      <c r="E229" s="11"/>
      <c r="F229" s="11"/>
      <c r="G229" s="11"/>
      <c r="H229" s="11"/>
      <c r="I229" s="11"/>
      <c r="J229" s="11"/>
      <c r="K229" s="27"/>
      <c r="L229" s="11"/>
      <c r="M229" s="11"/>
      <c r="N229" s="11"/>
      <c r="O229" s="11"/>
      <c r="P229" s="15"/>
      <c r="Q229" s="15"/>
      <c r="R229" s="15"/>
      <c r="S229" s="15"/>
      <c r="T229" s="15"/>
      <c r="U229" s="15"/>
      <c r="V229" s="15"/>
      <c r="W229" s="47"/>
      <c r="X229" s="11"/>
      <c r="Y229" s="48"/>
      <c r="Z229" s="11"/>
      <c r="AA229" s="48"/>
      <c r="AB229" s="11"/>
      <c r="AC229" s="48"/>
      <c r="AD229" s="11"/>
      <c r="AE229" s="47"/>
      <c r="AF229" s="11"/>
      <c r="AG229" s="48"/>
      <c r="AH229" s="11"/>
      <c r="AI229" s="48"/>
      <c r="AJ229" s="11"/>
      <c r="AK229" s="48"/>
      <c r="AL229" s="11"/>
      <c r="AM229" s="49"/>
      <c r="AN229" s="49"/>
      <c r="AO229" s="11"/>
      <c r="AP229" s="11"/>
      <c r="AQ229" s="28" t="b">
        <f>IF(COUNTIF(SmartStatus!A$2:A1000, AM229) &gt; 2, TRUE, FALSE)</f>
        <v>0</v>
      </c>
      <c r="AR229" s="29" t="str">
        <f ca="1">IFERROR(__xludf.DUMMYFUNCTION("iferror(if(regexmatch(AO229, ""(?i)^registered""), if(EE229 &lt;&gt; ""polity_shortest_name"", ""CHECK_POLITY"", index(filter(SmartStatus!B$2:B1000, AM229 = SmartStatus!A$2:A1000, not(SmartStatus!C$2:C1000), (isblank(SmartStatus!D$2:D1000)) + ((P229 &lt;&gt; """") * "&amp;"(P229 &lt; SmartStatus!D$2:D1000)), (isblank(SmartStatus!E$2:E1000)) + ((P229 &lt;&gt; """") * (P229 &gt;= SmartStatus!E$2:E1000)), (isblank(SmartStatus!F$2:F1000)) + (((Q229 &lt;&gt; """") * (Q229 &lt; SmartStatus!F$2:F1000)) + ((P229 &lt;&gt; """") * (date(year(P229) + 3, month(P"&amp;"229), day(P229)) &lt; SmartStatus!F$2:F1000))), (isblank(SmartStatus!G$2:G1000)) + (((Q229 &lt;&gt; """") * (Q229 &gt;= SmartStatus!G$2:G1000)) + ((P229 &lt;&gt; """") * (P229 &gt;= SmartStatus!G$2:G1000)))), if(or(regexmatch(B229, ""(?i)^ir [a-z]+ designation$""), N229 &lt;&gt; """&amp;"""), 1, 2))), """"), ""NO_MATCH"")"),"")</f>
        <v/>
      </c>
      <c r="AS229" s="11"/>
      <c r="AT229" s="15"/>
      <c r="AU229" s="11"/>
      <c r="AV229" s="11"/>
      <c r="AW229" s="15"/>
      <c r="AX229" s="15"/>
      <c r="AY229" s="15"/>
      <c r="AZ229" s="11"/>
      <c r="BA229" s="15"/>
      <c r="BB229" s="11"/>
      <c r="BC229" s="11"/>
      <c r="BD229" s="15"/>
      <c r="BE229" s="11"/>
      <c r="BF229" s="11"/>
      <c r="BG229" s="15"/>
      <c r="BH229" s="15"/>
      <c r="BI229" s="15"/>
      <c r="BJ229" s="11"/>
      <c r="BK229" s="15"/>
      <c r="BL229" s="11"/>
      <c r="BM229" s="11"/>
      <c r="BN229" s="15"/>
      <c r="BO229" s="11"/>
      <c r="BP229" s="11"/>
      <c r="BQ229" s="15"/>
      <c r="BR229" s="15"/>
      <c r="BS229" s="15"/>
      <c r="BT229" s="11"/>
      <c r="BU229" s="15"/>
      <c r="BV229" s="11"/>
      <c r="BW229" s="11"/>
      <c r="BX229" s="15"/>
      <c r="BY229" s="11"/>
      <c r="BZ229" s="11"/>
      <c r="CA229" s="15"/>
      <c r="CB229" s="11"/>
      <c r="CC229" s="15"/>
      <c r="CD229" s="11"/>
      <c r="CE229" s="15"/>
      <c r="CF229" s="11"/>
      <c r="CG229" s="11"/>
      <c r="CH229" s="15"/>
      <c r="CI229" s="11"/>
      <c r="CJ229" s="11"/>
      <c r="CK229" s="15"/>
      <c r="CL229" s="11"/>
      <c r="CM229" s="11"/>
      <c r="CN229" s="11"/>
      <c r="CO229" s="11"/>
      <c r="CP229" s="28"/>
      <c r="CQ229" s="28"/>
      <c r="CR229" s="11"/>
      <c r="CS229" s="29"/>
      <c r="CT229" s="11"/>
      <c r="CU229" s="11"/>
      <c r="CV229" s="11"/>
      <c r="CW229" s="11"/>
      <c r="CX229" s="11"/>
      <c r="CY229" s="11"/>
      <c r="CZ229" s="11"/>
      <c r="DA229" s="28"/>
      <c r="DB229" s="28"/>
      <c r="DC229" s="11"/>
      <c r="DD229" s="29"/>
      <c r="DE229" s="11"/>
      <c r="DF229" s="11"/>
      <c r="DG229" s="11"/>
      <c r="DH229" s="11"/>
      <c r="DI229" s="11"/>
      <c r="DJ229" s="11"/>
      <c r="DK229" s="26"/>
      <c r="DL229" s="11"/>
      <c r="DM229" s="29"/>
      <c r="DN229" s="28"/>
      <c r="DO229" s="11"/>
      <c r="DP229" s="11"/>
      <c r="DQ229" s="11"/>
      <c r="DR229" s="29"/>
      <c r="DS229" s="28"/>
      <c r="DT229" s="11"/>
      <c r="DU229" s="26"/>
      <c r="DV229" s="11"/>
      <c r="DW229" s="29"/>
      <c r="DX229" s="28"/>
      <c r="DY229" s="11"/>
      <c r="DZ229" s="26"/>
      <c r="EA229" s="11"/>
      <c r="EB229" s="29"/>
      <c r="EC229" s="28"/>
      <c r="ED229" s="30"/>
      <c r="EE229" s="30" t="str">
        <f ca="1">IFERROR(__xludf.DUMMYFUNCTION("iferror(index(filter('Internal -- Trademark Countries'!E$2:E1000, (AM229 = 'Internal -- Trademark Countries'!B$2:B1000) + (AM229 = 'Internal -- Trademark Countries'!C$2:C1000) + (AM229 = 'Internal -- Trademark Countries'!D$2:D1000)), 1))"),"")</f>
        <v/>
      </c>
      <c r="EF229" s="30" t="e">
        <f ca="1">_xludf.ifs(AM229="", "", COUNTIF('Internal -- Trademark Countries'!B:B,AM229) &gt; 0, "polity_shortest_name", COUNTIF('Internal -- Trademark Countries'!C:C,AM229) &gt; 0, "polity_full_name", COUNTIF('Internal -- Trademark Countries'!D:D,AM229) &gt; 0, "polity_common_name", COUNTIF('Internal -- Trademark Countries'!E:E,AM229) &gt; 0, "shortest_name", COUNTIF('Internal -- Trademark Countries'!A:A,AM229) &gt; 0, "full_name", TRUE, "not a match")</f>
        <v>#NAME?</v>
      </c>
      <c r="EG229" s="30"/>
      <c r="EH229" s="30"/>
      <c r="EI229" s="30"/>
      <c r="EJ229" s="30"/>
      <c r="EK229" s="30" t="str">
        <f t="shared" si="2"/>
        <v/>
      </c>
    </row>
    <row r="230" spans="1:141" ht="16.5">
      <c r="A230" s="11"/>
      <c r="B230" s="11"/>
      <c r="C230" s="11"/>
      <c r="D230" s="11"/>
      <c r="E230" s="11"/>
      <c r="F230" s="11"/>
      <c r="G230" s="11"/>
      <c r="H230" s="11"/>
      <c r="I230" s="11"/>
      <c r="J230" s="11"/>
      <c r="K230" s="27"/>
      <c r="L230" s="11"/>
      <c r="M230" s="11"/>
      <c r="N230" s="11"/>
      <c r="O230" s="11"/>
      <c r="P230" s="15"/>
      <c r="Q230" s="15"/>
      <c r="R230" s="15"/>
      <c r="S230" s="15"/>
      <c r="T230" s="15"/>
      <c r="U230" s="15"/>
      <c r="V230" s="15"/>
      <c r="W230" s="47"/>
      <c r="X230" s="11"/>
      <c r="Y230" s="48"/>
      <c r="Z230" s="11"/>
      <c r="AA230" s="48"/>
      <c r="AB230" s="11"/>
      <c r="AC230" s="48"/>
      <c r="AD230" s="11"/>
      <c r="AE230" s="47"/>
      <c r="AF230" s="11"/>
      <c r="AG230" s="48"/>
      <c r="AH230" s="11"/>
      <c r="AI230" s="48"/>
      <c r="AJ230" s="11"/>
      <c r="AK230" s="48"/>
      <c r="AL230" s="11"/>
      <c r="AM230" s="49"/>
      <c r="AN230" s="49"/>
      <c r="AO230" s="11"/>
      <c r="AP230" s="11"/>
      <c r="AQ230" s="28" t="b">
        <f>IF(COUNTIF(SmartStatus!A$2:A1000, AM230) &gt; 2, TRUE, FALSE)</f>
        <v>0</v>
      </c>
      <c r="AR230" s="29" t="str">
        <f ca="1">IFERROR(__xludf.DUMMYFUNCTION("iferror(if(regexmatch(AO230, ""(?i)^registered""), if(EE230 &lt;&gt; ""polity_shortest_name"", ""CHECK_POLITY"", index(filter(SmartStatus!B$2:B1000, AM230 = SmartStatus!A$2:A1000, not(SmartStatus!C$2:C1000), (isblank(SmartStatus!D$2:D1000)) + ((P230 &lt;&gt; """") * "&amp;"(P230 &lt; SmartStatus!D$2:D1000)), (isblank(SmartStatus!E$2:E1000)) + ((P230 &lt;&gt; """") * (P230 &gt;= SmartStatus!E$2:E1000)), (isblank(SmartStatus!F$2:F1000)) + (((Q230 &lt;&gt; """") * (Q230 &lt; SmartStatus!F$2:F1000)) + ((P230 &lt;&gt; """") * (date(year(P230) + 3, month(P"&amp;"230), day(P230)) &lt; SmartStatus!F$2:F1000))), (isblank(SmartStatus!G$2:G1000)) + (((Q230 &lt;&gt; """") * (Q230 &gt;= SmartStatus!G$2:G1000)) + ((P230 &lt;&gt; """") * (P230 &gt;= SmartStatus!G$2:G1000)))), if(or(regexmatch(B230, ""(?i)^ir [a-z]+ designation$""), N230 &lt;&gt; """&amp;"""), 1, 2))), """"), ""NO_MATCH"")"),"")</f>
        <v/>
      </c>
      <c r="AS230" s="11"/>
      <c r="AT230" s="15"/>
      <c r="AU230" s="11"/>
      <c r="AV230" s="11"/>
      <c r="AW230" s="15"/>
      <c r="AX230" s="15"/>
      <c r="AY230" s="15"/>
      <c r="AZ230" s="11"/>
      <c r="BA230" s="15"/>
      <c r="BB230" s="11"/>
      <c r="BC230" s="11"/>
      <c r="BD230" s="15"/>
      <c r="BE230" s="11"/>
      <c r="BF230" s="11"/>
      <c r="BG230" s="15"/>
      <c r="BH230" s="15"/>
      <c r="BI230" s="15"/>
      <c r="BJ230" s="11"/>
      <c r="BK230" s="15"/>
      <c r="BL230" s="11"/>
      <c r="BM230" s="11"/>
      <c r="BN230" s="15"/>
      <c r="BO230" s="11"/>
      <c r="BP230" s="11"/>
      <c r="BQ230" s="15"/>
      <c r="BR230" s="15"/>
      <c r="BS230" s="15"/>
      <c r="BT230" s="11"/>
      <c r="BU230" s="15"/>
      <c r="BV230" s="11"/>
      <c r="BW230" s="11"/>
      <c r="BX230" s="15"/>
      <c r="BY230" s="11"/>
      <c r="BZ230" s="11"/>
      <c r="CA230" s="15"/>
      <c r="CB230" s="11"/>
      <c r="CC230" s="15"/>
      <c r="CD230" s="11"/>
      <c r="CE230" s="15"/>
      <c r="CF230" s="11"/>
      <c r="CG230" s="11"/>
      <c r="CH230" s="15"/>
      <c r="CI230" s="11"/>
      <c r="CJ230" s="11"/>
      <c r="CK230" s="15"/>
      <c r="CL230" s="11"/>
      <c r="CM230" s="11"/>
      <c r="CN230" s="11"/>
      <c r="CO230" s="11"/>
      <c r="CP230" s="28"/>
      <c r="CQ230" s="28"/>
      <c r="CR230" s="11"/>
      <c r="CS230" s="29"/>
      <c r="CT230" s="11"/>
      <c r="CU230" s="11"/>
      <c r="CV230" s="11"/>
      <c r="CW230" s="11"/>
      <c r="CX230" s="11"/>
      <c r="CY230" s="11"/>
      <c r="CZ230" s="11"/>
      <c r="DA230" s="28"/>
      <c r="DB230" s="28"/>
      <c r="DC230" s="11"/>
      <c r="DD230" s="29"/>
      <c r="DE230" s="11"/>
      <c r="DF230" s="11"/>
      <c r="DG230" s="11"/>
      <c r="DH230" s="11"/>
      <c r="DI230" s="11"/>
      <c r="DJ230" s="11"/>
      <c r="DK230" s="26"/>
      <c r="DL230" s="11"/>
      <c r="DM230" s="29"/>
      <c r="DN230" s="28"/>
      <c r="DO230" s="11"/>
      <c r="DP230" s="11"/>
      <c r="DQ230" s="11"/>
      <c r="DR230" s="29"/>
      <c r="DS230" s="28"/>
      <c r="DT230" s="11"/>
      <c r="DU230" s="26"/>
      <c r="DV230" s="11"/>
      <c r="DW230" s="29"/>
      <c r="DX230" s="28"/>
      <c r="DY230" s="11"/>
      <c r="DZ230" s="26"/>
      <c r="EA230" s="11"/>
      <c r="EB230" s="29"/>
      <c r="EC230" s="28"/>
      <c r="ED230" s="30"/>
      <c r="EE230" s="30" t="str">
        <f ca="1">IFERROR(__xludf.DUMMYFUNCTION("iferror(index(filter('Internal -- Trademark Countries'!E$2:E1000, (AM230 = 'Internal -- Trademark Countries'!B$2:B1000) + (AM230 = 'Internal -- Trademark Countries'!C$2:C1000) + (AM230 = 'Internal -- Trademark Countries'!D$2:D1000)), 1))"),"")</f>
        <v/>
      </c>
      <c r="EF230" s="30" t="e">
        <f ca="1">_xludf.ifs(AM230="", "", COUNTIF('Internal -- Trademark Countries'!B:B,AM230) &gt; 0, "polity_shortest_name", COUNTIF('Internal -- Trademark Countries'!C:C,AM230) &gt; 0, "polity_full_name", COUNTIF('Internal -- Trademark Countries'!D:D,AM230) &gt; 0, "polity_common_name", COUNTIF('Internal -- Trademark Countries'!E:E,AM230) &gt; 0, "shortest_name", COUNTIF('Internal -- Trademark Countries'!A:A,AM230) &gt; 0, "full_name", TRUE, "not a match")</f>
        <v>#NAME?</v>
      </c>
      <c r="EG230" s="30"/>
      <c r="EH230" s="30"/>
      <c r="EI230" s="30"/>
      <c r="EJ230" s="30"/>
      <c r="EK230" s="30" t="str">
        <f t="shared" si="2"/>
        <v/>
      </c>
    </row>
    <row r="231" spans="1:141" ht="16.5">
      <c r="A231" s="11"/>
      <c r="B231" s="11"/>
      <c r="C231" s="11"/>
      <c r="D231" s="11"/>
      <c r="E231" s="11"/>
      <c r="F231" s="11"/>
      <c r="G231" s="11"/>
      <c r="H231" s="11"/>
      <c r="I231" s="11"/>
      <c r="J231" s="11"/>
      <c r="K231" s="27"/>
      <c r="L231" s="11"/>
      <c r="M231" s="11"/>
      <c r="N231" s="11"/>
      <c r="O231" s="11"/>
      <c r="P231" s="15"/>
      <c r="Q231" s="15"/>
      <c r="R231" s="15"/>
      <c r="S231" s="15"/>
      <c r="T231" s="15"/>
      <c r="U231" s="15"/>
      <c r="V231" s="15"/>
      <c r="W231" s="47"/>
      <c r="X231" s="11"/>
      <c r="Y231" s="48"/>
      <c r="Z231" s="11"/>
      <c r="AA231" s="48"/>
      <c r="AB231" s="11"/>
      <c r="AC231" s="48"/>
      <c r="AD231" s="11"/>
      <c r="AE231" s="47"/>
      <c r="AF231" s="11"/>
      <c r="AG231" s="48"/>
      <c r="AH231" s="11"/>
      <c r="AI231" s="48"/>
      <c r="AJ231" s="11"/>
      <c r="AK231" s="48"/>
      <c r="AL231" s="11"/>
      <c r="AM231" s="49"/>
      <c r="AN231" s="49"/>
      <c r="AO231" s="11"/>
      <c r="AP231" s="11"/>
      <c r="AQ231" s="28" t="b">
        <f>IF(COUNTIF(SmartStatus!A$2:A1000, AM231) &gt; 2, TRUE, FALSE)</f>
        <v>0</v>
      </c>
      <c r="AR231" s="29" t="str">
        <f ca="1">IFERROR(__xludf.DUMMYFUNCTION("iferror(if(regexmatch(AO231, ""(?i)^registered""), if(EE231 &lt;&gt; ""polity_shortest_name"", ""CHECK_POLITY"", index(filter(SmartStatus!B$2:B1000, AM231 = SmartStatus!A$2:A1000, not(SmartStatus!C$2:C1000), (isblank(SmartStatus!D$2:D1000)) + ((P231 &lt;&gt; """") * "&amp;"(P231 &lt; SmartStatus!D$2:D1000)), (isblank(SmartStatus!E$2:E1000)) + ((P231 &lt;&gt; """") * (P231 &gt;= SmartStatus!E$2:E1000)), (isblank(SmartStatus!F$2:F1000)) + (((Q231 &lt;&gt; """") * (Q231 &lt; SmartStatus!F$2:F1000)) + ((P231 &lt;&gt; """") * (date(year(P231) + 3, month(P"&amp;"231), day(P231)) &lt; SmartStatus!F$2:F1000))), (isblank(SmartStatus!G$2:G1000)) + (((Q231 &lt;&gt; """") * (Q231 &gt;= SmartStatus!G$2:G1000)) + ((P231 &lt;&gt; """") * (P231 &gt;= SmartStatus!G$2:G1000)))), if(or(regexmatch(B231, ""(?i)^ir [a-z]+ designation$""), N231 &lt;&gt; """&amp;"""), 1, 2))), """"), ""NO_MATCH"")"),"")</f>
        <v/>
      </c>
      <c r="AS231" s="11"/>
      <c r="AT231" s="15"/>
      <c r="AU231" s="11"/>
      <c r="AV231" s="11"/>
      <c r="AW231" s="15"/>
      <c r="AX231" s="15"/>
      <c r="AY231" s="15"/>
      <c r="AZ231" s="11"/>
      <c r="BA231" s="15"/>
      <c r="BB231" s="11"/>
      <c r="BC231" s="11"/>
      <c r="BD231" s="15"/>
      <c r="BE231" s="11"/>
      <c r="BF231" s="11"/>
      <c r="BG231" s="15"/>
      <c r="BH231" s="15"/>
      <c r="BI231" s="15"/>
      <c r="BJ231" s="11"/>
      <c r="BK231" s="15"/>
      <c r="BL231" s="11"/>
      <c r="BM231" s="11"/>
      <c r="BN231" s="15"/>
      <c r="BO231" s="11"/>
      <c r="BP231" s="11"/>
      <c r="BQ231" s="15"/>
      <c r="BR231" s="15"/>
      <c r="BS231" s="15"/>
      <c r="BT231" s="11"/>
      <c r="BU231" s="15"/>
      <c r="BV231" s="11"/>
      <c r="BW231" s="11"/>
      <c r="BX231" s="15"/>
      <c r="BY231" s="11"/>
      <c r="BZ231" s="11"/>
      <c r="CA231" s="15"/>
      <c r="CB231" s="11"/>
      <c r="CC231" s="15"/>
      <c r="CD231" s="11"/>
      <c r="CE231" s="15"/>
      <c r="CF231" s="11"/>
      <c r="CG231" s="11"/>
      <c r="CH231" s="15"/>
      <c r="CI231" s="11"/>
      <c r="CJ231" s="11"/>
      <c r="CK231" s="15"/>
      <c r="CL231" s="11"/>
      <c r="CM231" s="11"/>
      <c r="CN231" s="11"/>
      <c r="CO231" s="11"/>
      <c r="CP231" s="28"/>
      <c r="CQ231" s="28"/>
      <c r="CR231" s="11"/>
      <c r="CS231" s="29"/>
      <c r="CT231" s="11"/>
      <c r="CU231" s="11"/>
      <c r="CV231" s="11"/>
      <c r="CW231" s="11"/>
      <c r="CX231" s="11"/>
      <c r="CY231" s="11"/>
      <c r="CZ231" s="11"/>
      <c r="DA231" s="28"/>
      <c r="DB231" s="28"/>
      <c r="DC231" s="11"/>
      <c r="DD231" s="29"/>
      <c r="DE231" s="11"/>
      <c r="DF231" s="11"/>
      <c r="DG231" s="11"/>
      <c r="DH231" s="11"/>
      <c r="DI231" s="11"/>
      <c r="DJ231" s="11"/>
      <c r="DK231" s="26"/>
      <c r="DL231" s="11"/>
      <c r="DM231" s="29"/>
      <c r="DN231" s="28"/>
      <c r="DO231" s="11"/>
      <c r="DP231" s="11"/>
      <c r="DQ231" s="11"/>
      <c r="DR231" s="29"/>
      <c r="DS231" s="28"/>
      <c r="DT231" s="11"/>
      <c r="DU231" s="26"/>
      <c r="DV231" s="11"/>
      <c r="DW231" s="29"/>
      <c r="DX231" s="28"/>
      <c r="DY231" s="11"/>
      <c r="DZ231" s="26"/>
      <c r="EA231" s="11"/>
      <c r="EB231" s="29"/>
      <c r="EC231" s="28"/>
      <c r="ED231" s="30"/>
      <c r="EE231" s="30" t="str">
        <f ca="1">IFERROR(__xludf.DUMMYFUNCTION("iferror(index(filter('Internal -- Trademark Countries'!E$2:E1000, (AM231 = 'Internal -- Trademark Countries'!B$2:B1000) + (AM231 = 'Internal -- Trademark Countries'!C$2:C1000) + (AM231 = 'Internal -- Trademark Countries'!D$2:D1000)), 1))"),"")</f>
        <v/>
      </c>
      <c r="EF231" s="30" t="e">
        <f ca="1">_xludf.ifs(AM231="", "", COUNTIF('Internal -- Trademark Countries'!B:B,AM231) &gt; 0, "polity_shortest_name", COUNTIF('Internal -- Trademark Countries'!C:C,AM231) &gt; 0, "polity_full_name", COUNTIF('Internal -- Trademark Countries'!D:D,AM231) &gt; 0, "polity_common_name", COUNTIF('Internal -- Trademark Countries'!E:E,AM231) &gt; 0, "shortest_name", COUNTIF('Internal -- Trademark Countries'!A:A,AM231) &gt; 0, "full_name", TRUE, "not a match")</f>
        <v>#NAME?</v>
      </c>
      <c r="EG231" s="30"/>
      <c r="EH231" s="30"/>
      <c r="EI231" s="30"/>
      <c r="EJ231" s="30"/>
      <c r="EK231" s="30" t="str">
        <f t="shared" si="2"/>
        <v/>
      </c>
    </row>
    <row r="232" spans="1:141" ht="16.5">
      <c r="A232" s="11"/>
      <c r="B232" s="11"/>
      <c r="C232" s="11"/>
      <c r="D232" s="11"/>
      <c r="E232" s="11"/>
      <c r="F232" s="11"/>
      <c r="G232" s="11"/>
      <c r="H232" s="11"/>
      <c r="I232" s="11"/>
      <c r="J232" s="11"/>
      <c r="K232" s="27"/>
      <c r="L232" s="11"/>
      <c r="M232" s="11"/>
      <c r="N232" s="11"/>
      <c r="O232" s="11"/>
      <c r="P232" s="15"/>
      <c r="Q232" s="15"/>
      <c r="R232" s="15"/>
      <c r="S232" s="15"/>
      <c r="T232" s="15"/>
      <c r="U232" s="15"/>
      <c r="V232" s="15"/>
      <c r="W232" s="47"/>
      <c r="X232" s="11"/>
      <c r="Y232" s="48"/>
      <c r="Z232" s="11"/>
      <c r="AA232" s="48"/>
      <c r="AB232" s="11"/>
      <c r="AC232" s="48"/>
      <c r="AD232" s="11"/>
      <c r="AE232" s="47"/>
      <c r="AF232" s="11"/>
      <c r="AG232" s="48"/>
      <c r="AH232" s="11"/>
      <c r="AI232" s="48"/>
      <c r="AJ232" s="11"/>
      <c r="AK232" s="48"/>
      <c r="AL232" s="11"/>
      <c r="AM232" s="49"/>
      <c r="AN232" s="49"/>
      <c r="AO232" s="11"/>
      <c r="AP232" s="11"/>
      <c r="AQ232" s="28" t="b">
        <f>IF(COUNTIF(SmartStatus!A$2:A1000, AM232) &gt; 2, TRUE, FALSE)</f>
        <v>0</v>
      </c>
      <c r="AR232" s="29" t="str">
        <f ca="1">IFERROR(__xludf.DUMMYFUNCTION("iferror(if(regexmatch(AO232, ""(?i)^registered""), if(EE232 &lt;&gt; ""polity_shortest_name"", ""CHECK_POLITY"", index(filter(SmartStatus!B$2:B1000, AM232 = SmartStatus!A$2:A1000, not(SmartStatus!C$2:C1000), (isblank(SmartStatus!D$2:D1000)) + ((P232 &lt;&gt; """") * "&amp;"(P232 &lt; SmartStatus!D$2:D1000)), (isblank(SmartStatus!E$2:E1000)) + ((P232 &lt;&gt; """") * (P232 &gt;= SmartStatus!E$2:E1000)), (isblank(SmartStatus!F$2:F1000)) + (((Q232 &lt;&gt; """") * (Q232 &lt; SmartStatus!F$2:F1000)) + ((P232 &lt;&gt; """") * (date(year(P232) + 3, month(P"&amp;"232), day(P232)) &lt; SmartStatus!F$2:F1000))), (isblank(SmartStatus!G$2:G1000)) + (((Q232 &lt;&gt; """") * (Q232 &gt;= SmartStatus!G$2:G1000)) + ((P232 &lt;&gt; """") * (P232 &gt;= SmartStatus!G$2:G1000)))), if(or(regexmatch(B232, ""(?i)^ir [a-z]+ designation$""), N232 &lt;&gt; """&amp;"""), 1, 2))), """"), ""NO_MATCH"")"),"")</f>
        <v/>
      </c>
      <c r="AS232" s="11"/>
      <c r="AT232" s="15"/>
      <c r="AU232" s="11"/>
      <c r="AV232" s="11"/>
      <c r="AW232" s="15"/>
      <c r="AX232" s="15"/>
      <c r="AY232" s="15"/>
      <c r="AZ232" s="11"/>
      <c r="BA232" s="15"/>
      <c r="BB232" s="11"/>
      <c r="BC232" s="11"/>
      <c r="BD232" s="15"/>
      <c r="BE232" s="11"/>
      <c r="BF232" s="11"/>
      <c r="BG232" s="15"/>
      <c r="BH232" s="15"/>
      <c r="BI232" s="15"/>
      <c r="BJ232" s="11"/>
      <c r="BK232" s="15"/>
      <c r="BL232" s="11"/>
      <c r="BM232" s="11"/>
      <c r="BN232" s="15"/>
      <c r="BO232" s="11"/>
      <c r="BP232" s="11"/>
      <c r="BQ232" s="15"/>
      <c r="BR232" s="15"/>
      <c r="BS232" s="15"/>
      <c r="BT232" s="11"/>
      <c r="BU232" s="15"/>
      <c r="BV232" s="11"/>
      <c r="BW232" s="11"/>
      <c r="BX232" s="15"/>
      <c r="BY232" s="11"/>
      <c r="BZ232" s="11"/>
      <c r="CA232" s="15"/>
      <c r="CB232" s="11"/>
      <c r="CC232" s="15"/>
      <c r="CD232" s="11"/>
      <c r="CE232" s="15"/>
      <c r="CF232" s="11"/>
      <c r="CG232" s="11"/>
      <c r="CH232" s="15"/>
      <c r="CI232" s="11"/>
      <c r="CJ232" s="11"/>
      <c r="CK232" s="15"/>
      <c r="CL232" s="11"/>
      <c r="CM232" s="11"/>
      <c r="CN232" s="11"/>
      <c r="CO232" s="11"/>
      <c r="CP232" s="28"/>
      <c r="CQ232" s="28"/>
      <c r="CR232" s="11"/>
      <c r="CS232" s="29"/>
      <c r="CT232" s="11"/>
      <c r="CU232" s="11"/>
      <c r="CV232" s="11"/>
      <c r="CW232" s="11"/>
      <c r="CX232" s="11"/>
      <c r="CY232" s="11"/>
      <c r="CZ232" s="11"/>
      <c r="DA232" s="28"/>
      <c r="DB232" s="28"/>
      <c r="DC232" s="11"/>
      <c r="DD232" s="29"/>
      <c r="DE232" s="11"/>
      <c r="DF232" s="11"/>
      <c r="DG232" s="11"/>
      <c r="DH232" s="11"/>
      <c r="DI232" s="11"/>
      <c r="DJ232" s="11"/>
      <c r="DK232" s="26"/>
      <c r="DL232" s="11"/>
      <c r="DM232" s="29"/>
      <c r="DN232" s="28"/>
      <c r="DO232" s="11"/>
      <c r="DP232" s="11"/>
      <c r="DQ232" s="11"/>
      <c r="DR232" s="29"/>
      <c r="DS232" s="28"/>
      <c r="DT232" s="11"/>
      <c r="DU232" s="26"/>
      <c r="DV232" s="11"/>
      <c r="DW232" s="29"/>
      <c r="DX232" s="28"/>
      <c r="DY232" s="11"/>
      <c r="DZ232" s="26"/>
      <c r="EA232" s="11"/>
      <c r="EB232" s="29"/>
      <c r="EC232" s="28"/>
      <c r="ED232" s="30"/>
      <c r="EE232" s="30" t="str">
        <f ca="1">IFERROR(__xludf.DUMMYFUNCTION("iferror(index(filter('Internal -- Trademark Countries'!E$2:E1000, (AM232 = 'Internal -- Trademark Countries'!B$2:B1000) + (AM232 = 'Internal -- Trademark Countries'!C$2:C1000) + (AM232 = 'Internal -- Trademark Countries'!D$2:D1000)), 1))"),"")</f>
        <v/>
      </c>
      <c r="EF232" s="30" t="e">
        <f ca="1">_xludf.ifs(AM232="", "", COUNTIF('Internal -- Trademark Countries'!B:B,AM232) &gt; 0, "polity_shortest_name", COUNTIF('Internal -- Trademark Countries'!C:C,AM232) &gt; 0, "polity_full_name", COUNTIF('Internal -- Trademark Countries'!D:D,AM232) &gt; 0, "polity_common_name", COUNTIF('Internal -- Trademark Countries'!E:E,AM232) &gt; 0, "shortest_name", COUNTIF('Internal -- Trademark Countries'!A:A,AM232) &gt; 0, "full_name", TRUE, "not a match")</f>
        <v>#NAME?</v>
      </c>
      <c r="EG232" s="30"/>
      <c r="EH232" s="30"/>
      <c r="EI232" s="30"/>
      <c r="EJ232" s="30"/>
      <c r="EK232" s="30" t="str">
        <f t="shared" si="2"/>
        <v/>
      </c>
    </row>
    <row r="233" spans="1:141" ht="16.5">
      <c r="A233" s="11"/>
      <c r="B233" s="11"/>
      <c r="C233" s="11"/>
      <c r="D233" s="11"/>
      <c r="E233" s="11"/>
      <c r="F233" s="11"/>
      <c r="G233" s="11"/>
      <c r="H233" s="11"/>
      <c r="I233" s="11"/>
      <c r="J233" s="11"/>
      <c r="K233" s="27"/>
      <c r="L233" s="11"/>
      <c r="M233" s="11"/>
      <c r="N233" s="11"/>
      <c r="O233" s="11"/>
      <c r="P233" s="15"/>
      <c r="Q233" s="15"/>
      <c r="R233" s="15"/>
      <c r="S233" s="15"/>
      <c r="T233" s="15"/>
      <c r="U233" s="15"/>
      <c r="V233" s="15"/>
      <c r="W233" s="47"/>
      <c r="X233" s="11"/>
      <c r="Y233" s="48"/>
      <c r="Z233" s="11"/>
      <c r="AA233" s="48"/>
      <c r="AB233" s="11"/>
      <c r="AC233" s="48"/>
      <c r="AD233" s="11"/>
      <c r="AE233" s="47"/>
      <c r="AF233" s="11"/>
      <c r="AG233" s="48"/>
      <c r="AH233" s="11"/>
      <c r="AI233" s="48"/>
      <c r="AJ233" s="11"/>
      <c r="AK233" s="48"/>
      <c r="AL233" s="11"/>
      <c r="AM233" s="49"/>
      <c r="AN233" s="49"/>
      <c r="AO233" s="11"/>
      <c r="AP233" s="11"/>
      <c r="AQ233" s="28" t="b">
        <f>IF(COUNTIF(SmartStatus!A$2:A1000, AM233) &gt; 2, TRUE, FALSE)</f>
        <v>0</v>
      </c>
      <c r="AR233" s="29" t="str">
        <f ca="1">IFERROR(__xludf.DUMMYFUNCTION("iferror(if(regexmatch(AO233, ""(?i)^registered""), if(EE233 &lt;&gt; ""polity_shortest_name"", ""CHECK_POLITY"", index(filter(SmartStatus!B$2:B1000, AM233 = SmartStatus!A$2:A1000, not(SmartStatus!C$2:C1000), (isblank(SmartStatus!D$2:D1000)) + ((P233 &lt;&gt; """") * "&amp;"(P233 &lt; SmartStatus!D$2:D1000)), (isblank(SmartStatus!E$2:E1000)) + ((P233 &lt;&gt; """") * (P233 &gt;= SmartStatus!E$2:E1000)), (isblank(SmartStatus!F$2:F1000)) + (((Q233 &lt;&gt; """") * (Q233 &lt; SmartStatus!F$2:F1000)) + ((P233 &lt;&gt; """") * (date(year(P233) + 3, month(P"&amp;"233), day(P233)) &lt; SmartStatus!F$2:F1000))), (isblank(SmartStatus!G$2:G1000)) + (((Q233 &lt;&gt; """") * (Q233 &gt;= SmartStatus!G$2:G1000)) + ((P233 &lt;&gt; """") * (P233 &gt;= SmartStatus!G$2:G1000)))), if(or(regexmatch(B233, ""(?i)^ir [a-z]+ designation$""), N233 &lt;&gt; """&amp;"""), 1, 2))), """"), ""NO_MATCH"")"),"")</f>
        <v/>
      </c>
      <c r="AS233" s="11"/>
      <c r="AT233" s="15"/>
      <c r="AU233" s="11"/>
      <c r="AV233" s="11"/>
      <c r="AW233" s="15"/>
      <c r="AX233" s="15"/>
      <c r="AY233" s="15"/>
      <c r="AZ233" s="11"/>
      <c r="BA233" s="15"/>
      <c r="BB233" s="11"/>
      <c r="BC233" s="11"/>
      <c r="BD233" s="15"/>
      <c r="BE233" s="11"/>
      <c r="BF233" s="11"/>
      <c r="BG233" s="15"/>
      <c r="BH233" s="15"/>
      <c r="BI233" s="15"/>
      <c r="BJ233" s="11"/>
      <c r="BK233" s="15"/>
      <c r="BL233" s="11"/>
      <c r="BM233" s="11"/>
      <c r="BN233" s="15"/>
      <c r="BO233" s="11"/>
      <c r="BP233" s="11"/>
      <c r="BQ233" s="15"/>
      <c r="BR233" s="15"/>
      <c r="BS233" s="15"/>
      <c r="BT233" s="11"/>
      <c r="BU233" s="15"/>
      <c r="BV233" s="11"/>
      <c r="BW233" s="11"/>
      <c r="BX233" s="15"/>
      <c r="BY233" s="11"/>
      <c r="BZ233" s="11"/>
      <c r="CA233" s="15"/>
      <c r="CB233" s="11"/>
      <c r="CC233" s="15"/>
      <c r="CD233" s="11"/>
      <c r="CE233" s="15"/>
      <c r="CF233" s="11"/>
      <c r="CG233" s="11"/>
      <c r="CH233" s="15"/>
      <c r="CI233" s="11"/>
      <c r="CJ233" s="11"/>
      <c r="CK233" s="15"/>
      <c r="CL233" s="11"/>
      <c r="CM233" s="11"/>
      <c r="CN233" s="11"/>
      <c r="CO233" s="11"/>
      <c r="CP233" s="28"/>
      <c r="CQ233" s="28"/>
      <c r="CR233" s="11"/>
      <c r="CS233" s="29"/>
      <c r="CT233" s="11"/>
      <c r="CU233" s="11"/>
      <c r="CV233" s="11"/>
      <c r="CW233" s="11"/>
      <c r="CX233" s="11"/>
      <c r="CY233" s="11"/>
      <c r="CZ233" s="11"/>
      <c r="DA233" s="28"/>
      <c r="DB233" s="28"/>
      <c r="DC233" s="11"/>
      <c r="DD233" s="29"/>
      <c r="DE233" s="11"/>
      <c r="DF233" s="11"/>
      <c r="DG233" s="11"/>
      <c r="DH233" s="11"/>
      <c r="DI233" s="11"/>
      <c r="DJ233" s="11"/>
      <c r="DK233" s="26"/>
      <c r="DL233" s="11"/>
      <c r="DM233" s="29"/>
      <c r="DN233" s="28"/>
      <c r="DO233" s="11"/>
      <c r="DP233" s="11"/>
      <c r="DQ233" s="11"/>
      <c r="DR233" s="29"/>
      <c r="DS233" s="28"/>
      <c r="DT233" s="11"/>
      <c r="DU233" s="26"/>
      <c r="DV233" s="11"/>
      <c r="DW233" s="29"/>
      <c r="DX233" s="28"/>
      <c r="DY233" s="11"/>
      <c r="DZ233" s="26"/>
      <c r="EA233" s="11"/>
      <c r="EB233" s="29"/>
      <c r="EC233" s="28"/>
      <c r="ED233" s="30"/>
      <c r="EE233" s="30" t="str">
        <f ca="1">IFERROR(__xludf.DUMMYFUNCTION("iferror(index(filter('Internal -- Trademark Countries'!E$2:E1000, (AM233 = 'Internal -- Trademark Countries'!B$2:B1000) + (AM233 = 'Internal -- Trademark Countries'!C$2:C1000) + (AM233 = 'Internal -- Trademark Countries'!D$2:D1000)), 1))"),"")</f>
        <v/>
      </c>
      <c r="EF233" s="30" t="e">
        <f ca="1">_xludf.ifs(AM233="", "", COUNTIF('Internal -- Trademark Countries'!B:B,AM233) &gt; 0, "polity_shortest_name", COUNTIF('Internal -- Trademark Countries'!C:C,AM233) &gt; 0, "polity_full_name", COUNTIF('Internal -- Trademark Countries'!D:D,AM233) &gt; 0, "polity_common_name", COUNTIF('Internal -- Trademark Countries'!E:E,AM233) &gt; 0, "shortest_name", COUNTIF('Internal -- Trademark Countries'!A:A,AM233) &gt; 0, "full_name", TRUE, "not a match")</f>
        <v>#NAME?</v>
      </c>
      <c r="EG233" s="30"/>
      <c r="EH233" s="30"/>
      <c r="EI233" s="30"/>
      <c r="EJ233" s="30"/>
      <c r="EK233" s="30" t="str">
        <f t="shared" si="2"/>
        <v/>
      </c>
    </row>
    <row r="234" spans="1:141" ht="16.5">
      <c r="A234" s="11"/>
      <c r="B234" s="11"/>
      <c r="C234" s="11"/>
      <c r="D234" s="11"/>
      <c r="E234" s="11"/>
      <c r="F234" s="11"/>
      <c r="G234" s="11"/>
      <c r="H234" s="11"/>
      <c r="I234" s="11"/>
      <c r="J234" s="11"/>
      <c r="K234" s="27"/>
      <c r="L234" s="11"/>
      <c r="M234" s="11"/>
      <c r="N234" s="11"/>
      <c r="O234" s="11"/>
      <c r="P234" s="15"/>
      <c r="Q234" s="15"/>
      <c r="R234" s="15"/>
      <c r="S234" s="15"/>
      <c r="T234" s="15"/>
      <c r="U234" s="15"/>
      <c r="V234" s="15"/>
      <c r="W234" s="47"/>
      <c r="X234" s="11"/>
      <c r="Y234" s="48"/>
      <c r="Z234" s="11"/>
      <c r="AA234" s="48"/>
      <c r="AB234" s="11"/>
      <c r="AC234" s="48"/>
      <c r="AD234" s="11"/>
      <c r="AE234" s="47"/>
      <c r="AF234" s="11"/>
      <c r="AG234" s="48"/>
      <c r="AH234" s="11"/>
      <c r="AI234" s="48"/>
      <c r="AJ234" s="11"/>
      <c r="AK234" s="48"/>
      <c r="AL234" s="11"/>
      <c r="AM234" s="49"/>
      <c r="AN234" s="49"/>
      <c r="AO234" s="11"/>
      <c r="AP234" s="11"/>
      <c r="AQ234" s="28" t="b">
        <f>IF(COUNTIF(SmartStatus!A$2:A1000, AM234) &gt; 2, TRUE, FALSE)</f>
        <v>0</v>
      </c>
      <c r="AR234" s="29" t="str">
        <f ca="1">IFERROR(__xludf.DUMMYFUNCTION("iferror(if(regexmatch(AO234, ""(?i)^registered""), if(EE234 &lt;&gt; ""polity_shortest_name"", ""CHECK_POLITY"", index(filter(SmartStatus!B$2:B1000, AM234 = SmartStatus!A$2:A1000, not(SmartStatus!C$2:C1000), (isblank(SmartStatus!D$2:D1000)) + ((P234 &lt;&gt; """") * "&amp;"(P234 &lt; SmartStatus!D$2:D1000)), (isblank(SmartStatus!E$2:E1000)) + ((P234 &lt;&gt; """") * (P234 &gt;= SmartStatus!E$2:E1000)), (isblank(SmartStatus!F$2:F1000)) + (((Q234 &lt;&gt; """") * (Q234 &lt; SmartStatus!F$2:F1000)) + ((P234 &lt;&gt; """") * (date(year(P234) + 3, month(P"&amp;"234), day(P234)) &lt; SmartStatus!F$2:F1000))), (isblank(SmartStatus!G$2:G1000)) + (((Q234 &lt;&gt; """") * (Q234 &gt;= SmartStatus!G$2:G1000)) + ((P234 &lt;&gt; """") * (P234 &gt;= SmartStatus!G$2:G1000)))), if(or(regexmatch(B234, ""(?i)^ir [a-z]+ designation$""), N234 &lt;&gt; """&amp;"""), 1, 2))), """"), ""NO_MATCH"")"),"")</f>
        <v/>
      </c>
      <c r="AS234" s="11"/>
      <c r="AT234" s="15"/>
      <c r="AU234" s="11"/>
      <c r="AV234" s="11"/>
      <c r="AW234" s="15"/>
      <c r="AX234" s="15"/>
      <c r="AY234" s="15"/>
      <c r="AZ234" s="11"/>
      <c r="BA234" s="15"/>
      <c r="BB234" s="11"/>
      <c r="BC234" s="11"/>
      <c r="BD234" s="15"/>
      <c r="BE234" s="11"/>
      <c r="BF234" s="11"/>
      <c r="BG234" s="15"/>
      <c r="BH234" s="15"/>
      <c r="BI234" s="15"/>
      <c r="BJ234" s="11"/>
      <c r="BK234" s="15"/>
      <c r="BL234" s="11"/>
      <c r="BM234" s="11"/>
      <c r="BN234" s="15"/>
      <c r="BO234" s="11"/>
      <c r="BP234" s="11"/>
      <c r="BQ234" s="15"/>
      <c r="BR234" s="15"/>
      <c r="BS234" s="15"/>
      <c r="BT234" s="11"/>
      <c r="BU234" s="15"/>
      <c r="BV234" s="11"/>
      <c r="BW234" s="11"/>
      <c r="BX234" s="15"/>
      <c r="BY234" s="11"/>
      <c r="BZ234" s="11"/>
      <c r="CA234" s="15"/>
      <c r="CB234" s="11"/>
      <c r="CC234" s="15"/>
      <c r="CD234" s="11"/>
      <c r="CE234" s="15"/>
      <c r="CF234" s="11"/>
      <c r="CG234" s="11"/>
      <c r="CH234" s="15"/>
      <c r="CI234" s="11"/>
      <c r="CJ234" s="11"/>
      <c r="CK234" s="15"/>
      <c r="CL234" s="11"/>
      <c r="CM234" s="11"/>
      <c r="CN234" s="11"/>
      <c r="CO234" s="11"/>
      <c r="CP234" s="28"/>
      <c r="CQ234" s="28"/>
      <c r="CR234" s="11"/>
      <c r="CS234" s="29"/>
      <c r="CT234" s="11"/>
      <c r="CU234" s="11"/>
      <c r="CV234" s="11"/>
      <c r="CW234" s="11"/>
      <c r="CX234" s="11"/>
      <c r="CY234" s="11"/>
      <c r="CZ234" s="11"/>
      <c r="DA234" s="28"/>
      <c r="DB234" s="28"/>
      <c r="DC234" s="11"/>
      <c r="DD234" s="29"/>
      <c r="DE234" s="11"/>
      <c r="DF234" s="11"/>
      <c r="DG234" s="11"/>
      <c r="DH234" s="11"/>
      <c r="DI234" s="11"/>
      <c r="DJ234" s="11"/>
      <c r="DK234" s="26"/>
      <c r="DL234" s="11"/>
      <c r="DM234" s="29"/>
      <c r="DN234" s="28"/>
      <c r="DO234" s="11"/>
      <c r="DP234" s="11"/>
      <c r="DQ234" s="11"/>
      <c r="DR234" s="29"/>
      <c r="DS234" s="28"/>
      <c r="DT234" s="11"/>
      <c r="DU234" s="26"/>
      <c r="DV234" s="11"/>
      <c r="DW234" s="29"/>
      <c r="DX234" s="28"/>
      <c r="DY234" s="11"/>
      <c r="DZ234" s="26"/>
      <c r="EA234" s="11"/>
      <c r="EB234" s="29"/>
      <c r="EC234" s="28"/>
      <c r="ED234" s="30"/>
      <c r="EE234" s="30" t="str">
        <f ca="1">IFERROR(__xludf.DUMMYFUNCTION("iferror(index(filter('Internal -- Trademark Countries'!E$2:E1000, (AM234 = 'Internal -- Trademark Countries'!B$2:B1000) + (AM234 = 'Internal -- Trademark Countries'!C$2:C1000) + (AM234 = 'Internal -- Trademark Countries'!D$2:D1000)), 1))"),"")</f>
        <v/>
      </c>
      <c r="EF234" s="30" t="e">
        <f ca="1">_xludf.ifs(AM234="", "", COUNTIF('Internal -- Trademark Countries'!B:B,AM234) &gt; 0, "polity_shortest_name", COUNTIF('Internal -- Trademark Countries'!C:C,AM234) &gt; 0, "polity_full_name", COUNTIF('Internal -- Trademark Countries'!D:D,AM234) &gt; 0, "polity_common_name", COUNTIF('Internal -- Trademark Countries'!E:E,AM234) &gt; 0, "shortest_name", COUNTIF('Internal -- Trademark Countries'!A:A,AM234) &gt; 0, "full_name", TRUE, "not a match")</f>
        <v>#NAME?</v>
      </c>
      <c r="EG234" s="30"/>
      <c r="EH234" s="30"/>
      <c r="EI234" s="30"/>
      <c r="EJ234" s="30"/>
      <c r="EK234" s="30" t="str">
        <f t="shared" si="2"/>
        <v/>
      </c>
    </row>
    <row r="235" spans="1:141" ht="16.5">
      <c r="A235" s="11"/>
      <c r="B235" s="11"/>
      <c r="C235" s="11"/>
      <c r="D235" s="11"/>
      <c r="E235" s="11"/>
      <c r="F235" s="11"/>
      <c r="G235" s="11"/>
      <c r="H235" s="11"/>
      <c r="I235" s="11"/>
      <c r="J235" s="11"/>
      <c r="K235" s="27"/>
      <c r="L235" s="11"/>
      <c r="M235" s="11"/>
      <c r="N235" s="11"/>
      <c r="O235" s="11"/>
      <c r="P235" s="15"/>
      <c r="Q235" s="15"/>
      <c r="R235" s="15"/>
      <c r="S235" s="15"/>
      <c r="T235" s="15"/>
      <c r="U235" s="15"/>
      <c r="V235" s="15"/>
      <c r="W235" s="47"/>
      <c r="X235" s="11"/>
      <c r="Y235" s="48"/>
      <c r="Z235" s="11"/>
      <c r="AA235" s="48"/>
      <c r="AB235" s="11"/>
      <c r="AC235" s="48"/>
      <c r="AD235" s="11"/>
      <c r="AE235" s="47"/>
      <c r="AF235" s="11"/>
      <c r="AG235" s="48"/>
      <c r="AH235" s="11"/>
      <c r="AI235" s="48"/>
      <c r="AJ235" s="11"/>
      <c r="AK235" s="48"/>
      <c r="AL235" s="11"/>
      <c r="AM235" s="49"/>
      <c r="AN235" s="49"/>
      <c r="AO235" s="11"/>
      <c r="AP235" s="11"/>
      <c r="AQ235" s="28" t="b">
        <f>IF(COUNTIF(SmartStatus!A$2:A1000, AM235) &gt; 2, TRUE, FALSE)</f>
        <v>0</v>
      </c>
      <c r="AR235" s="29" t="str">
        <f ca="1">IFERROR(__xludf.DUMMYFUNCTION("iferror(if(regexmatch(AO235, ""(?i)^registered""), if(EE235 &lt;&gt; ""polity_shortest_name"", ""CHECK_POLITY"", index(filter(SmartStatus!B$2:B1000, AM235 = SmartStatus!A$2:A1000, not(SmartStatus!C$2:C1000), (isblank(SmartStatus!D$2:D1000)) + ((P235 &lt;&gt; """") * "&amp;"(P235 &lt; SmartStatus!D$2:D1000)), (isblank(SmartStatus!E$2:E1000)) + ((P235 &lt;&gt; """") * (P235 &gt;= SmartStatus!E$2:E1000)), (isblank(SmartStatus!F$2:F1000)) + (((Q235 &lt;&gt; """") * (Q235 &lt; SmartStatus!F$2:F1000)) + ((P235 &lt;&gt; """") * (date(year(P235) + 3, month(P"&amp;"235), day(P235)) &lt; SmartStatus!F$2:F1000))), (isblank(SmartStatus!G$2:G1000)) + (((Q235 &lt;&gt; """") * (Q235 &gt;= SmartStatus!G$2:G1000)) + ((P235 &lt;&gt; """") * (P235 &gt;= SmartStatus!G$2:G1000)))), if(or(regexmatch(B235, ""(?i)^ir [a-z]+ designation$""), N235 &lt;&gt; """&amp;"""), 1, 2))), """"), ""NO_MATCH"")"),"")</f>
        <v/>
      </c>
      <c r="AS235" s="11"/>
      <c r="AT235" s="15"/>
      <c r="AU235" s="11"/>
      <c r="AV235" s="11"/>
      <c r="AW235" s="15"/>
      <c r="AX235" s="15"/>
      <c r="AY235" s="15"/>
      <c r="AZ235" s="11"/>
      <c r="BA235" s="15"/>
      <c r="BB235" s="11"/>
      <c r="BC235" s="11"/>
      <c r="BD235" s="15"/>
      <c r="BE235" s="11"/>
      <c r="BF235" s="11"/>
      <c r="BG235" s="15"/>
      <c r="BH235" s="15"/>
      <c r="BI235" s="15"/>
      <c r="BJ235" s="11"/>
      <c r="BK235" s="15"/>
      <c r="BL235" s="11"/>
      <c r="BM235" s="11"/>
      <c r="BN235" s="15"/>
      <c r="BO235" s="11"/>
      <c r="BP235" s="11"/>
      <c r="BQ235" s="15"/>
      <c r="BR235" s="15"/>
      <c r="BS235" s="15"/>
      <c r="BT235" s="11"/>
      <c r="BU235" s="15"/>
      <c r="BV235" s="11"/>
      <c r="BW235" s="11"/>
      <c r="BX235" s="15"/>
      <c r="BY235" s="11"/>
      <c r="BZ235" s="11"/>
      <c r="CA235" s="15"/>
      <c r="CB235" s="11"/>
      <c r="CC235" s="15"/>
      <c r="CD235" s="11"/>
      <c r="CE235" s="15"/>
      <c r="CF235" s="11"/>
      <c r="CG235" s="11"/>
      <c r="CH235" s="15"/>
      <c r="CI235" s="11"/>
      <c r="CJ235" s="11"/>
      <c r="CK235" s="15"/>
      <c r="CL235" s="11"/>
      <c r="CM235" s="11"/>
      <c r="CN235" s="11"/>
      <c r="CO235" s="11"/>
      <c r="CP235" s="28"/>
      <c r="CQ235" s="28"/>
      <c r="CR235" s="11"/>
      <c r="CS235" s="29"/>
      <c r="CT235" s="11"/>
      <c r="CU235" s="11"/>
      <c r="CV235" s="11"/>
      <c r="CW235" s="11"/>
      <c r="CX235" s="11"/>
      <c r="CY235" s="11"/>
      <c r="CZ235" s="11"/>
      <c r="DA235" s="28"/>
      <c r="DB235" s="28"/>
      <c r="DC235" s="11"/>
      <c r="DD235" s="29"/>
      <c r="DE235" s="11"/>
      <c r="DF235" s="11"/>
      <c r="DG235" s="11"/>
      <c r="DH235" s="11"/>
      <c r="DI235" s="11"/>
      <c r="DJ235" s="11"/>
      <c r="DK235" s="26"/>
      <c r="DL235" s="11"/>
      <c r="DM235" s="29"/>
      <c r="DN235" s="28"/>
      <c r="DO235" s="11"/>
      <c r="DP235" s="11"/>
      <c r="DQ235" s="11"/>
      <c r="DR235" s="29"/>
      <c r="DS235" s="28"/>
      <c r="DT235" s="11"/>
      <c r="DU235" s="26"/>
      <c r="DV235" s="11"/>
      <c r="DW235" s="29"/>
      <c r="DX235" s="28"/>
      <c r="DY235" s="11"/>
      <c r="DZ235" s="26"/>
      <c r="EA235" s="11"/>
      <c r="EB235" s="29"/>
      <c r="EC235" s="28"/>
      <c r="ED235" s="30"/>
      <c r="EE235" s="30" t="str">
        <f ca="1">IFERROR(__xludf.DUMMYFUNCTION("iferror(index(filter('Internal -- Trademark Countries'!E$2:E1000, (AM235 = 'Internal -- Trademark Countries'!B$2:B1000) + (AM235 = 'Internal -- Trademark Countries'!C$2:C1000) + (AM235 = 'Internal -- Trademark Countries'!D$2:D1000)), 1))"),"")</f>
        <v/>
      </c>
      <c r="EF235" s="30" t="e">
        <f ca="1">_xludf.ifs(AM235="", "", COUNTIF('Internal -- Trademark Countries'!B:B,AM235) &gt; 0, "polity_shortest_name", COUNTIF('Internal -- Trademark Countries'!C:C,AM235) &gt; 0, "polity_full_name", COUNTIF('Internal -- Trademark Countries'!D:D,AM235) &gt; 0, "polity_common_name", COUNTIF('Internal -- Trademark Countries'!E:E,AM235) &gt; 0, "shortest_name", COUNTIF('Internal -- Trademark Countries'!A:A,AM235) &gt; 0, "full_name", TRUE, "not a match")</f>
        <v>#NAME?</v>
      </c>
      <c r="EG235" s="30"/>
      <c r="EH235" s="30"/>
      <c r="EI235" s="30"/>
      <c r="EJ235" s="30"/>
      <c r="EK235" s="30" t="str">
        <f t="shared" si="2"/>
        <v/>
      </c>
    </row>
    <row r="236" spans="1:141" ht="16.5">
      <c r="A236" s="11"/>
      <c r="B236" s="11"/>
      <c r="C236" s="11"/>
      <c r="D236" s="11"/>
      <c r="E236" s="11"/>
      <c r="F236" s="11"/>
      <c r="G236" s="11"/>
      <c r="H236" s="11"/>
      <c r="I236" s="11"/>
      <c r="J236" s="11"/>
      <c r="K236" s="27"/>
      <c r="L236" s="11"/>
      <c r="M236" s="11"/>
      <c r="N236" s="11"/>
      <c r="O236" s="11"/>
      <c r="P236" s="15"/>
      <c r="Q236" s="15"/>
      <c r="R236" s="15"/>
      <c r="S236" s="15"/>
      <c r="T236" s="15"/>
      <c r="U236" s="15"/>
      <c r="V236" s="15"/>
      <c r="W236" s="47"/>
      <c r="X236" s="11"/>
      <c r="Y236" s="48"/>
      <c r="Z236" s="11"/>
      <c r="AA236" s="48"/>
      <c r="AB236" s="11"/>
      <c r="AC236" s="48"/>
      <c r="AD236" s="11"/>
      <c r="AE236" s="47"/>
      <c r="AF236" s="11"/>
      <c r="AG236" s="48"/>
      <c r="AH236" s="11"/>
      <c r="AI236" s="48"/>
      <c r="AJ236" s="11"/>
      <c r="AK236" s="48"/>
      <c r="AL236" s="11"/>
      <c r="AM236" s="49"/>
      <c r="AN236" s="49"/>
      <c r="AO236" s="11"/>
      <c r="AP236" s="11"/>
      <c r="AQ236" s="28" t="b">
        <f>IF(COUNTIF(SmartStatus!A$2:A1000, AM236) &gt; 2, TRUE, FALSE)</f>
        <v>0</v>
      </c>
      <c r="AR236" s="29" t="str">
        <f ca="1">IFERROR(__xludf.DUMMYFUNCTION("iferror(if(regexmatch(AO236, ""(?i)^registered""), if(EE236 &lt;&gt; ""polity_shortest_name"", ""CHECK_POLITY"", index(filter(SmartStatus!B$2:B1000, AM236 = SmartStatus!A$2:A1000, not(SmartStatus!C$2:C1000), (isblank(SmartStatus!D$2:D1000)) + ((P236 &lt;&gt; """") * "&amp;"(P236 &lt; SmartStatus!D$2:D1000)), (isblank(SmartStatus!E$2:E1000)) + ((P236 &lt;&gt; """") * (P236 &gt;= SmartStatus!E$2:E1000)), (isblank(SmartStatus!F$2:F1000)) + (((Q236 &lt;&gt; """") * (Q236 &lt; SmartStatus!F$2:F1000)) + ((P236 &lt;&gt; """") * (date(year(P236) + 3, month(P"&amp;"236), day(P236)) &lt; SmartStatus!F$2:F1000))), (isblank(SmartStatus!G$2:G1000)) + (((Q236 &lt;&gt; """") * (Q236 &gt;= SmartStatus!G$2:G1000)) + ((P236 &lt;&gt; """") * (P236 &gt;= SmartStatus!G$2:G1000)))), if(or(regexmatch(B236, ""(?i)^ir [a-z]+ designation$""), N236 &lt;&gt; """&amp;"""), 1, 2))), """"), ""NO_MATCH"")"),"")</f>
        <v/>
      </c>
      <c r="AS236" s="11"/>
      <c r="AT236" s="15"/>
      <c r="AU236" s="11"/>
      <c r="AV236" s="11"/>
      <c r="AW236" s="15"/>
      <c r="AX236" s="15"/>
      <c r="AY236" s="15"/>
      <c r="AZ236" s="11"/>
      <c r="BA236" s="15"/>
      <c r="BB236" s="11"/>
      <c r="BC236" s="11"/>
      <c r="BD236" s="15"/>
      <c r="BE236" s="11"/>
      <c r="BF236" s="11"/>
      <c r="BG236" s="15"/>
      <c r="BH236" s="15"/>
      <c r="BI236" s="15"/>
      <c r="BJ236" s="11"/>
      <c r="BK236" s="15"/>
      <c r="BL236" s="11"/>
      <c r="BM236" s="11"/>
      <c r="BN236" s="15"/>
      <c r="BO236" s="11"/>
      <c r="BP236" s="11"/>
      <c r="BQ236" s="15"/>
      <c r="BR236" s="15"/>
      <c r="BS236" s="15"/>
      <c r="BT236" s="11"/>
      <c r="BU236" s="15"/>
      <c r="BV236" s="11"/>
      <c r="BW236" s="11"/>
      <c r="BX236" s="15"/>
      <c r="BY236" s="11"/>
      <c r="BZ236" s="11"/>
      <c r="CA236" s="15"/>
      <c r="CB236" s="11"/>
      <c r="CC236" s="15"/>
      <c r="CD236" s="11"/>
      <c r="CE236" s="15"/>
      <c r="CF236" s="11"/>
      <c r="CG236" s="11"/>
      <c r="CH236" s="15"/>
      <c r="CI236" s="11"/>
      <c r="CJ236" s="11"/>
      <c r="CK236" s="15"/>
      <c r="CL236" s="11"/>
      <c r="CM236" s="11"/>
      <c r="CN236" s="11"/>
      <c r="CO236" s="11"/>
      <c r="CP236" s="28"/>
      <c r="CQ236" s="28"/>
      <c r="CR236" s="11"/>
      <c r="CS236" s="29"/>
      <c r="CT236" s="11"/>
      <c r="CU236" s="11"/>
      <c r="CV236" s="11"/>
      <c r="CW236" s="11"/>
      <c r="CX236" s="11"/>
      <c r="CY236" s="11"/>
      <c r="CZ236" s="11"/>
      <c r="DA236" s="28"/>
      <c r="DB236" s="28"/>
      <c r="DC236" s="11"/>
      <c r="DD236" s="29"/>
      <c r="DE236" s="11"/>
      <c r="DF236" s="11"/>
      <c r="DG236" s="11"/>
      <c r="DH236" s="11"/>
      <c r="DI236" s="11"/>
      <c r="DJ236" s="11"/>
      <c r="DK236" s="26"/>
      <c r="DL236" s="11"/>
      <c r="DM236" s="29"/>
      <c r="DN236" s="28"/>
      <c r="DO236" s="11"/>
      <c r="DP236" s="11"/>
      <c r="DQ236" s="11"/>
      <c r="DR236" s="29"/>
      <c r="DS236" s="28"/>
      <c r="DT236" s="11"/>
      <c r="DU236" s="26"/>
      <c r="DV236" s="11"/>
      <c r="DW236" s="29"/>
      <c r="DX236" s="28"/>
      <c r="DY236" s="11"/>
      <c r="DZ236" s="26"/>
      <c r="EA236" s="11"/>
      <c r="EB236" s="29"/>
      <c r="EC236" s="28"/>
      <c r="ED236" s="30"/>
      <c r="EE236" s="30" t="str">
        <f ca="1">IFERROR(__xludf.DUMMYFUNCTION("iferror(index(filter('Internal -- Trademark Countries'!E$2:E1000, (AM236 = 'Internal -- Trademark Countries'!B$2:B1000) + (AM236 = 'Internal -- Trademark Countries'!C$2:C1000) + (AM236 = 'Internal -- Trademark Countries'!D$2:D1000)), 1))"),"")</f>
        <v/>
      </c>
      <c r="EF236" s="30" t="e">
        <f ca="1">_xludf.ifs(AM236="", "", COUNTIF('Internal -- Trademark Countries'!B:B,AM236) &gt; 0, "polity_shortest_name", COUNTIF('Internal -- Trademark Countries'!C:C,AM236) &gt; 0, "polity_full_name", COUNTIF('Internal -- Trademark Countries'!D:D,AM236) &gt; 0, "polity_common_name", COUNTIF('Internal -- Trademark Countries'!E:E,AM236) &gt; 0, "shortest_name", COUNTIF('Internal -- Trademark Countries'!A:A,AM236) &gt; 0, "full_name", TRUE, "not a match")</f>
        <v>#NAME?</v>
      </c>
      <c r="EG236" s="30"/>
      <c r="EH236" s="30"/>
      <c r="EI236" s="30"/>
      <c r="EJ236" s="30"/>
      <c r="EK236" s="30" t="str">
        <f t="shared" si="2"/>
        <v/>
      </c>
    </row>
    <row r="237" spans="1:141" ht="16.5">
      <c r="A237" s="11"/>
      <c r="B237" s="11"/>
      <c r="C237" s="11"/>
      <c r="D237" s="11"/>
      <c r="E237" s="11"/>
      <c r="F237" s="11"/>
      <c r="G237" s="11"/>
      <c r="H237" s="11"/>
      <c r="I237" s="11"/>
      <c r="J237" s="11"/>
      <c r="K237" s="27"/>
      <c r="L237" s="11"/>
      <c r="M237" s="11"/>
      <c r="N237" s="11"/>
      <c r="O237" s="11"/>
      <c r="P237" s="15"/>
      <c r="Q237" s="15"/>
      <c r="R237" s="15"/>
      <c r="S237" s="15"/>
      <c r="T237" s="15"/>
      <c r="U237" s="15"/>
      <c r="V237" s="15"/>
      <c r="W237" s="47"/>
      <c r="X237" s="11"/>
      <c r="Y237" s="48"/>
      <c r="Z237" s="11"/>
      <c r="AA237" s="48"/>
      <c r="AB237" s="11"/>
      <c r="AC237" s="48"/>
      <c r="AD237" s="11"/>
      <c r="AE237" s="47"/>
      <c r="AF237" s="11"/>
      <c r="AG237" s="48"/>
      <c r="AH237" s="11"/>
      <c r="AI237" s="48"/>
      <c r="AJ237" s="11"/>
      <c r="AK237" s="48"/>
      <c r="AL237" s="11"/>
      <c r="AM237" s="49"/>
      <c r="AN237" s="49"/>
      <c r="AO237" s="11"/>
      <c r="AP237" s="11"/>
      <c r="AQ237" s="28" t="b">
        <f>IF(COUNTIF(SmartStatus!A$2:A1000, AM237) &gt; 2, TRUE, FALSE)</f>
        <v>0</v>
      </c>
      <c r="AR237" s="29" t="str">
        <f ca="1">IFERROR(__xludf.DUMMYFUNCTION("iferror(if(regexmatch(AO237, ""(?i)^registered""), if(EE237 &lt;&gt; ""polity_shortest_name"", ""CHECK_POLITY"", index(filter(SmartStatus!B$2:B1000, AM237 = SmartStatus!A$2:A1000, not(SmartStatus!C$2:C1000), (isblank(SmartStatus!D$2:D1000)) + ((P237 &lt;&gt; """") * "&amp;"(P237 &lt; SmartStatus!D$2:D1000)), (isblank(SmartStatus!E$2:E1000)) + ((P237 &lt;&gt; """") * (P237 &gt;= SmartStatus!E$2:E1000)), (isblank(SmartStatus!F$2:F1000)) + (((Q237 &lt;&gt; """") * (Q237 &lt; SmartStatus!F$2:F1000)) + ((P237 &lt;&gt; """") * (date(year(P237) + 3, month(P"&amp;"237), day(P237)) &lt; SmartStatus!F$2:F1000))), (isblank(SmartStatus!G$2:G1000)) + (((Q237 &lt;&gt; """") * (Q237 &gt;= SmartStatus!G$2:G1000)) + ((P237 &lt;&gt; """") * (P237 &gt;= SmartStatus!G$2:G1000)))), if(or(regexmatch(B237, ""(?i)^ir [a-z]+ designation$""), N237 &lt;&gt; """&amp;"""), 1, 2))), """"), ""NO_MATCH"")"),"")</f>
        <v/>
      </c>
      <c r="AS237" s="11"/>
      <c r="AT237" s="15"/>
      <c r="AU237" s="11"/>
      <c r="AV237" s="11"/>
      <c r="AW237" s="15"/>
      <c r="AX237" s="15"/>
      <c r="AY237" s="15"/>
      <c r="AZ237" s="11"/>
      <c r="BA237" s="15"/>
      <c r="BB237" s="11"/>
      <c r="BC237" s="11"/>
      <c r="BD237" s="15"/>
      <c r="BE237" s="11"/>
      <c r="BF237" s="11"/>
      <c r="BG237" s="15"/>
      <c r="BH237" s="15"/>
      <c r="BI237" s="15"/>
      <c r="BJ237" s="11"/>
      <c r="BK237" s="15"/>
      <c r="BL237" s="11"/>
      <c r="BM237" s="11"/>
      <c r="BN237" s="15"/>
      <c r="BO237" s="11"/>
      <c r="BP237" s="11"/>
      <c r="BQ237" s="15"/>
      <c r="BR237" s="15"/>
      <c r="BS237" s="15"/>
      <c r="BT237" s="11"/>
      <c r="BU237" s="15"/>
      <c r="BV237" s="11"/>
      <c r="BW237" s="11"/>
      <c r="BX237" s="15"/>
      <c r="BY237" s="11"/>
      <c r="BZ237" s="11"/>
      <c r="CA237" s="15"/>
      <c r="CB237" s="11"/>
      <c r="CC237" s="15"/>
      <c r="CD237" s="11"/>
      <c r="CE237" s="15"/>
      <c r="CF237" s="11"/>
      <c r="CG237" s="11"/>
      <c r="CH237" s="15"/>
      <c r="CI237" s="11"/>
      <c r="CJ237" s="11"/>
      <c r="CK237" s="15"/>
      <c r="CL237" s="11"/>
      <c r="CM237" s="11"/>
      <c r="CN237" s="11"/>
      <c r="CO237" s="11"/>
      <c r="CP237" s="28"/>
      <c r="CQ237" s="28"/>
      <c r="CR237" s="11"/>
      <c r="CS237" s="29"/>
      <c r="CT237" s="11"/>
      <c r="CU237" s="11"/>
      <c r="CV237" s="11"/>
      <c r="CW237" s="11"/>
      <c r="CX237" s="11"/>
      <c r="CY237" s="11"/>
      <c r="CZ237" s="11"/>
      <c r="DA237" s="28"/>
      <c r="DB237" s="28"/>
      <c r="DC237" s="11"/>
      <c r="DD237" s="29"/>
      <c r="DE237" s="11"/>
      <c r="DF237" s="11"/>
      <c r="DG237" s="11"/>
      <c r="DH237" s="11"/>
      <c r="DI237" s="11"/>
      <c r="DJ237" s="11"/>
      <c r="DK237" s="26"/>
      <c r="DL237" s="11"/>
      <c r="DM237" s="29"/>
      <c r="DN237" s="28"/>
      <c r="DO237" s="11"/>
      <c r="DP237" s="11"/>
      <c r="DQ237" s="11"/>
      <c r="DR237" s="29"/>
      <c r="DS237" s="28"/>
      <c r="DT237" s="11"/>
      <c r="DU237" s="26"/>
      <c r="DV237" s="11"/>
      <c r="DW237" s="29"/>
      <c r="DX237" s="28"/>
      <c r="DY237" s="11"/>
      <c r="DZ237" s="26"/>
      <c r="EA237" s="11"/>
      <c r="EB237" s="29"/>
      <c r="EC237" s="28"/>
      <c r="ED237" s="30"/>
      <c r="EE237" s="30" t="str">
        <f ca="1">IFERROR(__xludf.DUMMYFUNCTION("iferror(index(filter('Internal -- Trademark Countries'!E$2:E1000, (AM237 = 'Internal -- Trademark Countries'!B$2:B1000) + (AM237 = 'Internal -- Trademark Countries'!C$2:C1000) + (AM237 = 'Internal -- Trademark Countries'!D$2:D1000)), 1))"),"")</f>
        <v/>
      </c>
      <c r="EF237" s="30" t="e">
        <f ca="1">_xludf.ifs(AM237="", "", COUNTIF('Internal -- Trademark Countries'!B:B,AM237) &gt; 0, "polity_shortest_name", COUNTIF('Internal -- Trademark Countries'!C:C,AM237) &gt; 0, "polity_full_name", COUNTIF('Internal -- Trademark Countries'!D:D,AM237) &gt; 0, "polity_common_name", COUNTIF('Internal -- Trademark Countries'!E:E,AM237) &gt; 0, "shortest_name", COUNTIF('Internal -- Trademark Countries'!A:A,AM237) &gt; 0, "full_name", TRUE, "not a match")</f>
        <v>#NAME?</v>
      </c>
      <c r="EG237" s="30"/>
      <c r="EH237" s="30"/>
      <c r="EI237" s="30"/>
      <c r="EJ237" s="30"/>
      <c r="EK237" s="30" t="str">
        <f t="shared" si="2"/>
        <v/>
      </c>
    </row>
    <row r="238" spans="1:141" ht="16.5">
      <c r="A238" s="11"/>
      <c r="B238" s="11"/>
      <c r="C238" s="11"/>
      <c r="D238" s="11"/>
      <c r="E238" s="11"/>
      <c r="F238" s="11"/>
      <c r="G238" s="11"/>
      <c r="H238" s="11"/>
      <c r="I238" s="11"/>
      <c r="J238" s="11"/>
      <c r="K238" s="27"/>
      <c r="L238" s="11"/>
      <c r="M238" s="11"/>
      <c r="N238" s="11"/>
      <c r="O238" s="11"/>
      <c r="P238" s="15"/>
      <c r="Q238" s="15"/>
      <c r="R238" s="15"/>
      <c r="S238" s="15"/>
      <c r="T238" s="15"/>
      <c r="U238" s="15"/>
      <c r="V238" s="15"/>
      <c r="W238" s="47"/>
      <c r="X238" s="11"/>
      <c r="Y238" s="48"/>
      <c r="Z238" s="11"/>
      <c r="AA238" s="48"/>
      <c r="AB238" s="11"/>
      <c r="AC238" s="48"/>
      <c r="AD238" s="11"/>
      <c r="AE238" s="47"/>
      <c r="AF238" s="11"/>
      <c r="AG238" s="48"/>
      <c r="AH238" s="11"/>
      <c r="AI238" s="48"/>
      <c r="AJ238" s="11"/>
      <c r="AK238" s="48"/>
      <c r="AL238" s="11"/>
      <c r="AM238" s="49"/>
      <c r="AN238" s="49"/>
      <c r="AO238" s="11"/>
      <c r="AP238" s="11"/>
      <c r="AQ238" s="28" t="b">
        <f>IF(COUNTIF(SmartStatus!A$2:A1000, AM238) &gt; 2, TRUE, FALSE)</f>
        <v>0</v>
      </c>
      <c r="AR238" s="29" t="str">
        <f ca="1">IFERROR(__xludf.DUMMYFUNCTION("iferror(if(regexmatch(AO238, ""(?i)^registered""), if(EE238 &lt;&gt; ""polity_shortest_name"", ""CHECK_POLITY"", index(filter(SmartStatus!B$2:B1000, AM238 = SmartStatus!A$2:A1000, not(SmartStatus!C$2:C1000), (isblank(SmartStatus!D$2:D1000)) + ((P238 &lt;&gt; """") * "&amp;"(P238 &lt; SmartStatus!D$2:D1000)), (isblank(SmartStatus!E$2:E1000)) + ((P238 &lt;&gt; """") * (P238 &gt;= SmartStatus!E$2:E1000)), (isblank(SmartStatus!F$2:F1000)) + (((Q238 &lt;&gt; """") * (Q238 &lt; SmartStatus!F$2:F1000)) + ((P238 &lt;&gt; """") * (date(year(P238) + 3, month(P"&amp;"238), day(P238)) &lt; SmartStatus!F$2:F1000))), (isblank(SmartStatus!G$2:G1000)) + (((Q238 &lt;&gt; """") * (Q238 &gt;= SmartStatus!G$2:G1000)) + ((P238 &lt;&gt; """") * (P238 &gt;= SmartStatus!G$2:G1000)))), if(or(regexmatch(B238, ""(?i)^ir [a-z]+ designation$""), N238 &lt;&gt; """&amp;"""), 1, 2))), """"), ""NO_MATCH"")"),"")</f>
        <v/>
      </c>
      <c r="AS238" s="11"/>
      <c r="AT238" s="15"/>
      <c r="AU238" s="11"/>
      <c r="AV238" s="11"/>
      <c r="AW238" s="15"/>
      <c r="AX238" s="15"/>
      <c r="AY238" s="15"/>
      <c r="AZ238" s="11"/>
      <c r="BA238" s="15"/>
      <c r="BB238" s="11"/>
      <c r="BC238" s="11"/>
      <c r="BD238" s="15"/>
      <c r="BE238" s="11"/>
      <c r="BF238" s="11"/>
      <c r="BG238" s="15"/>
      <c r="BH238" s="15"/>
      <c r="BI238" s="15"/>
      <c r="BJ238" s="11"/>
      <c r="BK238" s="15"/>
      <c r="BL238" s="11"/>
      <c r="BM238" s="11"/>
      <c r="BN238" s="15"/>
      <c r="BO238" s="11"/>
      <c r="BP238" s="11"/>
      <c r="BQ238" s="15"/>
      <c r="BR238" s="15"/>
      <c r="BS238" s="15"/>
      <c r="BT238" s="11"/>
      <c r="BU238" s="15"/>
      <c r="BV238" s="11"/>
      <c r="BW238" s="11"/>
      <c r="BX238" s="15"/>
      <c r="BY238" s="11"/>
      <c r="BZ238" s="11"/>
      <c r="CA238" s="15"/>
      <c r="CB238" s="11"/>
      <c r="CC238" s="15"/>
      <c r="CD238" s="11"/>
      <c r="CE238" s="15"/>
      <c r="CF238" s="11"/>
      <c r="CG238" s="11"/>
      <c r="CH238" s="15"/>
      <c r="CI238" s="11"/>
      <c r="CJ238" s="11"/>
      <c r="CK238" s="15"/>
      <c r="CL238" s="11"/>
      <c r="CM238" s="11"/>
      <c r="CN238" s="11"/>
      <c r="CO238" s="11"/>
      <c r="CP238" s="28"/>
      <c r="CQ238" s="28"/>
      <c r="CR238" s="11"/>
      <c r="CS238" s="29"/>
      <c r="CT238" s="11"/>
      <c r="CU238" s="11"/>
      <c r="CV238" s="11"/>
      <c r="CW238" s="11"/>
      <c r="CX238" s="11"/>
      <c r="CY238" s="11"/>
      <c r="CZ238" s="11"/>
      <c r="DA238" s="28"/>
      <c r="DB238" s="28"/>
      <c r="DC238" s="11"/>
      <c r="DD238" s="29"/>
      <c r="DE238" s="11"/>
      <c r="DF238" s="11"/>
      <c r="DG238" s="11"/>
      <c r="DH238" s="11"/>
      <c r="DI238" s="11"/>
      <c r="DJ238" s="11"/>
      <c r="DK238" s="26"/>
      <c r="DL238" s="11"/>
      <c r="DM238" s="29"/>
      <c r="DN238" s="28"/>
      <c r="DO238" s="11"/>
      <c r="DP238" s="11"/>
      <c r="DQ238" s="11"/>
      <c r="DR238" s="29"/>
      <c r="DS238" s="28"/>
      <c r="DT238" s="11"/>
      <c r="DU238" s="26"/>
      <c r="DV238" s="11"/>
      <c r="DW238" s="29"/>
      <c r="DX238" s="28"/>
      <c r="DY238" s="11"/>
      <c r="DZ238" s="26"/>
      <c r="EA238" s="11"/>
      <c r="EB238" s="29"/>
      <c r="EC238" s="28"/>
      <c r="ED238" s="30"/>
      <c r="EE238" s="30" t="str">
        <f ca="1">IFERROR(__xludf.DUMMYFUNCTION("iferror(index(filter('Internal -- Trademark Countries'!E$2:E1000, (AM238 = 'Internal -- Trademark Countries'!B$2:B1000) + (AM238 = 'Internal -- Trademark Countries'!C$2:C1000) + (AM238 = 'Internal -- Trademark Countries'!D$2:D1000)), 1))"),"")</f>
        <v/>
      </c>
      <c r="EF238" s="30" t="e">
        <f ca="1">_xludf.ifs(AM238="", "", COUNTIF('Internal -- Trademark Countries'!B:B,AM238) &gt; 0, "polity_shortest_name", COUNTIF('Internal -- Trademark Countries'!C:C,AM238) &gt; 0, "polity_full_name", COUNTIF('Internal -- Trademark Countries'!D:D,AM238) &gt; 0, "polity_common_name", COUNTIF('Internal -- Trademark Countries'!E:E,AM238) &gt; 0, "shortest_name", COUNTIF('Internal -- Trademark Countries'!A:A,AM238) &gt; 0, "full_name", TRUE, "not a match")</f>
        <v>#NAME?</v>
      </c>
      <c r="EG238" s="30"/>
      <c r="EH238" s="30"/>
      <c r="EI238" s="30"/>
      <c r="EJ238" s="30"/>
      <c r="EK238" s="30" t="str">
        <f t="shared" si="2"/>
        <v/>
      </c>
    </row>
    <row r="239" spans="1:141" ht="16.5">
      <c r="A239" s="11"/>
      <c r="B239" s="11"/>
      <c r="C239" s="11"/>
      <c r="D239" s="11"/>
      <c r="E239" s="11"/>
      <c r="F239" s="11"/>
      <c r="G239" s="11"/>
      <c r="H239" s="11"/>
      <c r="I239" s="11"/>
      <c r="J239" s="11"/>
      <c r="K239" s="27"/>
      <c r="L239" s="11"/>
      <c r="M239" s="11"/>
      <c r="N239" s="11"/>
      <c r="O239" s="11"/>
      <c r="P239" s="15"/>
      <c r="Q239" s="15"/>
      <c r="R239" s="15"/>
      <c r="S239" s="15"/>
      <c r="T239" s="15"/>
      <c r="U239" s="15"/>
      <c r="V239" s="15"/>
      <c r="W239" s="47"/>
      <c r="X239" s="11"/>
      <c r="Y239" s="48"/>
      <c r="Z239" s="11"/>
      <c r="AA239" s="48"/>
      <c r="AB239" s="11"/>
      <c r="AC239" s="48"/>
      <c r="AD239" s="11"/>
      <c r="AE239" s="47"/>
      <c r="AF239" s="11"/>
      <c r="AG239" s="48"/>
      <c r="AH239" s="11"/>
      <c r="AI239" s="48"/>
      <c r="AJ239" s="11"/>
      <c r="AK239" s="48"/>
      <c r="AL239" s="11"/>
      <c r="AM239" s="49"/>
      <c r="AN239" s="49"/>
      <c r="AO239" s="11"/>
      <c r="AP239" s="11"/>
      <c r="AQ239" s="28" t="b">
        <f>IF(COUNTIF(SmartStatus!A$2:A1000, AM239) &gt; 2, TRUE, FALSE)</f>
        <v>0</v>
      </c>
      <c r="AR239" s="29" t="str">
        <f ca="1">IFERROR(__xludf.DUMMYFUNCTION("iferror(if(regexmatch(AO239, ""(?i)^registered""), if(EE239 &lt;&gt; ""polity_shortest_name"", ""CHECK_POLITY"", index(filter(SmartStatus!B$2:B1000, AM239 = SmartStatus!A$2:A1000, not(SmartStatus!C$2:C1000), (isblank(SmartStatus!D$2:D1000)) + ((P239 &lt;&gt; """") * "&amp;"(P239 &lt; SmartStatus!D$2:D1000)), (isblank(SmartStatus!E$2:E1000)) + ((P239 &lt;&gt; """") * (P239 &gt;= SmartStatus!E$2:E1000)), (isblank(SmartStatus!F$2:F1000)) + (((Q239 &lt;&gt; """") * (Q239 &lt; SmartStatus!F$2:F1000)) + ((P239 &lt;&gt; """") * (date(year(P239) + 3, month(P"&amp;"239), day(P239)) &lt; SmartStatus!F$2:F1000))), (isblank(SmartStatus!G$2:G1000)) + (((Q239 &lt;&gt; """") * (Q239 &gt;= SmartStatus!G$2:G1000)) + ((P239 &lt;&gt; """") * (P239 &gt;= SmartStatus!G$2:G1000)))), if(or(regexmatch(B239, ""(?i)^ir [a-z]+ designation$""), N239 &lt;&gt; """&amp;"""), 1, 2))), """"), ""NO_MATCH"")"),"")</f>
        <v/>
      </c>
      <c r="AS239" s="11"/>
      <c r="AT239" s="15"/>
      <c r="AU239" s="11"/>
      <c r="AV239" s="11"/>
      <c r="AW239" s="15"/>
      <c r="AX239" s="15"/>
      <c r="AY239" s="15"/>
      <c r="AZ239" s="11"/>
      <c r="BA239" s="15"/>
      <c r="BB239" s="11"/>
      <c r="BC239" s="11"/>
      <c r="BD239" s="15"/>
      <c r="BE239" s="11"/>
      <c r="BF239" s="11"/>
      <c r="BG239" s="15"/>
      <c r="BH239" s="15"/>
      <c r="BI239" s="15"/>
      <c r="BJ239" s="11"/>
      <c r="BK239" s="15"/>
      <c r="BL239" s="11"/>
      <c r="BM239" s="11"/>
      <c r="BN239" s="15"/>
      <c r="BO239" s="11"/>
      <c r="BP239" s="11"/>
      <c r="BQ239" s="15"/>
      <c r="BR239" s="15"/>
      <c r="BS239" s="15"/>
      <c r="BT239" s="11"/>
      <c r="BU239" s="15"/>
      <c r="BV239" s="11"/>
      <c r="BW239" s="11"/>
      <c r="BX239" s="15"/>
      <c r="BY239" s="11"/>
      <c r="BZ239" s="11"/>
      <c r="CA239" s="15"/>
      <c r="CB239" s="11"/>
      <c r="CC239" s="15"/>
      <c r="CD239" s="11"/>
      <c r="CE239" s="15"/>
      <c r="CF239" s="11"/>
      <c r="CG239" s="11"/>
      <c r="CH239" s="15"/>
      <c r="CI239" s="11"/>
      <c r="CJ239" s="11"/>
      <c r="CK239" s="15"/>
      <c r="CL239" s="11"/>
      <c r="CM239" s="11"/>
      <c r="CN239" s="11"/>
      <c r="CO239" s="11"/>
      <c r="CP239" s="28"/>
      <c r="CQ239" s="28"/>
      <c r="CR239" s="11"/>
      <c r="CS239" s="29"/>
      <c r="CT239" s="11"/>
      <c r="CU239" s="11"/>
      <c r="CV239" s="11"/>
      <c r="CW239" s="11"/>
      <c r="CX239" s="11"/>
      <c r="CY239" s="11"/>
      <c r="CZ239" s="11"/>
      <c r="DA239" s="28"/>
      <c r="DB239" s="28"/>
      <c r="DC239" s="11"/>
      <c r="DD239" s="29"/>
      <c r="DE239" s="11"/>
      <c r="DF239" s="11"/>
      <c r="DG239" s="11"/>
      <c r="DH239" s="11"/>
      <c r="DI239" s="11"/>
      <c r="DJ239" s="11"/>
      <c r="DK239" s="26"/>
      <c r="DL239" s="11"/>
      <c r="DM239" s="29"/>
      <c r="DN239" s="28"/>
      <c r="DO239" s="11"/>
      <c r="DP239" s="11"/>
      <c r="DQ239" s="11"/>
      <c r="DR239" s="29"/>
      <c r="DS239" s="28"/>
      <c r="DT239" s="11"/>
      <c r="DU239" s="26"/>
      <c r="DV239" s="11"/>
      <c r="DW239" s="29"/>
      <c r="DX239" s="28"/>
      <c r="DY239" s="11"/>
      <c r="DZ239" s="26"/>
      <c r="EA239" s="11"/>
      <c r="EB239" s="29"/>
      <c r="EC239" s="28"/>
      <c r="ED239" s="30"/>
      <c r="EE239" s="30" t="str">
        <f ca="1">IFERROR(__xludf.DUMMYFUNCTION("iferror(index(filter('Internal -- Trademark Countries'!E$2:E1000, (AM239 = 'Internal -- Trademark Countries'!B$2:B1000) + (AM239 = 'Internal -- Trademark Countries'!C$2:C1000) + (AM239 = 'Internal -- Trademark Countries'!D$2:D1000)), 1))"),"")</f>
        <v/>
      </c>
      <c r="EF239" s="30" t="e">
        <f ca="1">_xludf.ifs(AM239="", "", COUNTIF('Internal -- Trademark Countries'!B:B,AM239) &gt; 0, "polity_shortest_name", COUNTIF('Internal -- Trademark Countries'!C:C,AM239) &gt; 0, "polity_full_name", COUNTIF('Internal -- Trademark Countries'!D:D,AM239) &gt; 0, "polity_common_name", COUNTIF('Internal -- Trademark Countries'!E:E,AM239) &gt; 0, "shortest_name", COUNTIF('Internal -- Trademark Countries'!A:A,AM239) &gt; 0, "full_name", TRUE, "not a match")</f>
        <v>#NAME?</v>
      </c>
      <c r="EG239" s="30"/>
      <c r="EH239" s="30"/>
      <c r="EI239" s="30"/>
      <c r="EJ239" s="30"/>
      <c r="EK239" s="30" t="str">
        <f t="shared" si="2"/>
        <v/>
      </c>
    </row>
    <row r="240" spans="1:141" ht="16.5">
      <c r="A240" s="11"/>
      <c r="B240" s="11"/>
      <c r="C240" s="11"/>
      <c r="D240" s="11"/>
      <c r="E240" s="11"/>
      <c r="F240" s="11"/>
      <c r="G240" s="11"/>
      <c r="H240" s="11"/>
      <c r="I240" s="11"/>
      <c r="J240" s="11"/>
      <c r="K240" s="27"/>
      <c r="L240" s="11"/>
      <c r="M240" s="11"/>
      <c r="N240" s="11"/>
      <c r="O240" s="11"/>
      <c r="P240" s="15"/>
      <c r="Q240" s="15"/>
      <c r="R240" s="15"/>
      <c r="S240" s="15"/>
      <c r="T240" s="15"/>
      <c r="U240" s="15"/>
      <c r="V240" s="15"/>
      <c r="W240" s="47"/>
      <c r="X240" s="11"/>
      <c r="Y240" s="48"/>
      <c r="Z240" s="11"/>
      <c r="AA240" s="48"/>
      <c r="AB240" s="11"/>
      <c r="AC240" s="48"/>
      <c r="AD240" s="11"/>
      <c r="AE240" s="47"/>
      <c r="AF240" s="11"/>
      <c r="AG240" s="48"/>
      <c r="AH240" s="11"/>
      <c r="AI240" s="48"/>
      <c r="AJ240" s="11"/>
      <c r="AK240" s="48"/>
      <c r="AL240" s="11"/>
      <c r="AM240" s="49"/>
      <c r="AN240" s="49"/>
      <c r="AO240" s="11"/>
      <c r="AP240" s="11"/>
      <c r="AQ240" s="28" t="b">
        <f>IF(COUNTIF(SmartStatus!A$2:A1000, AM240) &gt; 2, TRUE, FALSE)</f>
        <v>0</v>
      </c>
      <c r="AR240" s="29" t="str">
        <f ca="1">IFERROR(__xludf.DUMMYFUNCTION("iferror(if(regexmatch(AO240, ""(?i)^registered""), if(EE240 &lt;&gt; ""polity_shortest_name"", ""CHECK_POLITY"", index(filter(SmartStatus!B$2:B1000, AM240 = SmartStatus!A$2:A1000, not(SmartStatus!C$2:C1000), (isblank(SmartStatus!D$2:D1000)) + ((P240 &lt;&gt; """") * "&amp;"(P240 &lt; SmartStatus!D$2:D1000)), (isblank(SmartStatus!E$2:E1000)) + ((P240 &lt;&gt; """") * (P240 &gt;= SmartStatus!E$2:E1000)), (isblank(SmartStatus!F$2:F1000)) + (((Q240 &lt;&gt; """") * (Q240 &lt; SmartStatus!F$2:F1000)) + ((P240 &lt;&gt; """") * (date(year(P240) + 3, month(P"&amp;"240), day(P240)) &lt; SmartStatus!F$2:F1000))), (isblank(SmartStatus!G$2:G1000)) + (((Q240 &lt;&gt; """") * (Q240 &gt;= SmartStatus!G$2:G1000)) + ((P240 &lt;&gt; """") * (P240 &gt;= SmartStatus!G$2:G1000)))), if(or(regexmatch(B240, ""(?i)^ir [a-z]+ designation$""), N240 &lt;&gt; """&amp;"""), 1, 2))), """"), ""NO_MATCH"")"),"")</f>
        <v/>
      </c>
      <c r="AS240" s="11"/>
      <c r="AT240" s="15"/>
      <c r="AU240" s="11"/>
      <c r="AV240" s="11"/>
      <c r="AW240" s="15"/>
      <c r="AX240" s="15"/>
      <c r="AY240" s="15"/>
      <c r="AZ240" s="11"/>
      <c r="BA240" s="15"/>
      <c r="BB240" s="11"/>
      <c r="BC240" s="11"/>
      <c r="BD240" s="15"/>
      <c r="BE240" s="11"/>
      <c r="BF240" s="11"/>
      <c r="BG240" s="15"/>
      <c r="BH240" s="15"/>
      <c r="BI240" s="15"/>
      <c r="BJ240" s="11"/>
      <c r="BK240" s="15"/>
      <c r="BL240" s="11"/>
      <c r="BM240" s="11"/>
      <c r="BN240" s="15"/>
      <c r="BO240" s="11"/>
      <c r="BP240" s="11"/>
      <c r="BQ240" s="15"/>
      <c r="BR240" s="15"/>
      <c r="BS240" s="15"/>
      <c r="BT240" s="11"/>
      <c r="BU240" s="15"/>
      <c r="BV240" s="11"/>
      <c r="BW240" s="11"/>
      <c r="BX240" s="15"/>
      <c r="BY240" s="11"/>
      <c r="BZ240" s="11"/>
      <c r="CA240" s="15"/>
      <c r="CB240" s="11"/>
      <c r="CC240" s="15"/>
      <c r="CD240" s="11"/>
      <c r="CE240" s="15"/>
      <c r="CF240" s="11"/>
      <c r="CG240" s="11"/>
      <c r="CH240" s="15"/>
      <c r="CI240" s="11"/>
      <c r="CJ240" s="11"/>
      <c r="CK240" s="15"/>
      <c r="CL240" s="11"/>
      <c r="CM240" s="11"/>
      <c r="CN240" s="11"/>
      <c r="CO240" s="11"/>
      <c r="CP240" s="28"/>
      <c r="CQ240" s="28"/>
      <c r="CR240" s="11"/>
      <c r="CS240" s="29"/>
      <c r="CT240" s="11"/>
      <c r="CU240" s="11"/>
      <c r="CV240" s="11"/>
      <c r="CW240" s="11"/>
      <c r="CX240" s="11"/>
      <c r="CY240" s="11"/>
      <c r="CZ240" s="11"/>
      <c r="DA240" s="28"/>
      <c r="DB240" s="28"/>
      <c r="DC240" s="11"/>
      <c r="DD240" s="29"/>
      <c r="DE240" s="11"/>
      <c r="DF240" s="11"/>
      <c r="DG240" s="11"/>
      <c r="DH240" s="11"/>
      <c r="DI240" s="11"/>
      <c r="DJ240" s="11"/>
      <c r="DK240" s="26"/>
      <c r="DL240" s="11"/>
      <c r="DM240" s="29"/>
      <c r="DN240" s="28"/>
      <c r="DO240" s="11"/>
      <c r="DP240" s="11"/>
      <c r="DQ240" s="11"/>
      <c r="DR240" s="29"/>
      <c r="DS240" s="28"/>
      <c r="DT240" s="11"/>
      <c r="DU240" s="26"/>
      <c r="DV240" s="11"/>
      <c r="DW240" s="29"/>
      <c r="DX240" s="28"/>
      <c r="DY240" s="11"/>
      <c r="DZ240" s="26"/>
      <c r="EA240" s="11"/>
      <c r="EB240" s="29"/>
      <c r="EC240" s="28"/>
      <c r="ED240" s="30"/>
      <c r="EE240" s="30" t="str">
        <f ca="1">IFERROR(__xludf.DUMMYFUNCTION("iferror(index(filter('Internal -- Trademark Countries'!E$2:E1000, (AM240 = 'Internal -- Trademark Countries'!B$2:B1000) + (AM240 = 'Internal -- Trademark Countries'!C$2:C1000) + (AM240 = 'Internal -- Trademark Countries'!D$2:D1000)), 1))"),"")</f>
        <v/>
      </c>
      <c r="EF240" s="30" t="e">
        <f ca="1">_xludf.ifs(AM240="", "", COUNTIF('Internal -- Trademark Countries'!B:B,AM240) &gt; 0, "polity_shortest_name", COUNTIF('Internal -- Trademark Countries'!C:C,AM240) &gt; 0, "polity_full_name", COUNTIF('Internal -- Trademark Countries'!D:D,AM240) &gt; 0, "polity_common_name", COUNTIF('Internal -- Trademark Countries'!E:E,AM240) &gt; 0, "shortest_name", COUNTIF('Internal -- Trademark Countries'!A:A,AM240) &gt; 0, "full_name", TRUE, "not a match")</f>
        <v>#NAME?</v>
      </c>
      <c r="EG240" s="30"/>
      <c r="EH240" s="30"/>
      <c r="EI240" s="30"/>
      <c r="EJ240" s="30"/>
      <c r="EK240" s="30" t="str">
        <f t="shared" si="2"/>
        <v/>
      </c>
    </row>
    <row r="241" spans="1:141" ht="16.5">
      <c r="A241" s="11"/>
      <c r="B241" s="11"/>
      <c r="C241" s="11"/>
      <c r="D241" s="11"/>
      <c r="E241" s="11"/>
      <c r="F241" s="11"/>
      <c r="G241" s="11"/>
      <c r="H241" s="11"/>
      <c r="I241" s="11"/>
      <c r="J241" s="11"/>
      <c r="K241" s="27"/>
      <c r="L241" s="11"/>
      <c r="M241" s="11"/>
      <c r="N241" s="11"/>
      <c r="O241" s="11"/>
      <c r="P241" s="15"/>
      <c r="Q241" s="15"/>
      <c r="R241" s="15"/>
      <c r="S241" s="15"/>
      <c r="T241" s="15"/>
      <c r="U241" s="15"/>
      <c r="V241" s="15"/>
      <c r="W241" s="47"/>
      <c r="X241" s="11"/>
      <c r="Y241" s="48"/>
      <c r="Z241" s="11"/>
      <c r="AA241" s="48"/>
      <c r="AB241" s="11"/>
      <c r="AC241" s="48"/>
      <c r="AD241" s="11"/>
      <c r="AE241" s="47"/>
      <c r="AF241" s="11"/>
      <c r="AG241" s="48"/>
      <c r="AH241" s="11"/>
      <c r="AI241" s="48"/>
      <c r="AJ241" s="11"/>
      <c r="AK241" s="48"/>
      <c r="AL241" s="11"/>
      <c r="AM241" s="49"/>
      <c r="AN241" s="49"/>
      <c r="AO241" s="11"/>
      <c r="AP241" s="11"/>
      <c r="AQ241" s="28" t="b">
        <f>IF(COUNTIF(SmartStatus!A$2:A1000, AM241) &gt; 2, TRUE, FALSE)</f>
        <v>0</v>
      </c>
      <c r="AR241" s="29" t="str">
        <f ca="1">IFERROR(__xludf.DUMMYFUNCTION("iferror(if(regexmatch(AO241, ""(?i)^registered""), if(EE241 &lt;&gt; ""polity_shortest_name"", ""CHECK_POLITY"", index(filter(SmartStatus!B$2:B1000, AM241 = SmartStatus!A$2:A1000, not(SmartStatus!C$2:C1000), (isblank(SmartStatus!D$2:D1000)) + ((P241 &lt;&gt; """") * "&amp;"(P241 &lt; SmartStatus!D$2:D1000)), (isblank(SmartStatus!E$2:E1000)) + ((P241 &lt;&gt; """") * (P241 &gt;= SmartStatus!E$2:E1000)), (isblank(SmartStatus!F$2:F1000)) + (((Q241 &lt;&gt; """") * (Q241 &lt; SmartStatus!F$2:F1000)) + ((P241 &lt;&gt; """") * (date(year(P241) + 3, month(P"&amp;"241), day(P241)) &lt; SmartStatus!F$2:F1000))), (isblank(SmartStatus!G$2:G1000)) + (((Q241 &lt;&gt; """") * (Q241 &gt;= SmartStatus!G$2:G1000)) + ((P241 &lt;&gt; """") * (P241 &gt;= SmartStatus!G$2:G1000)))), if(or(regexmatch(B241, ""(?i)^ir [a-z]+ designation$""), N241 &lt;&gt; """&amp;"""), 1, 2))), """"), ""NO_MATCH"")"),"")</f>
        <v/>
      </c>
      <c r="AS241" s="11"/>
      <c r="AT241" s="15"/>
      <c r="AU241" s="11"/>
      <c r="AV241" s="11"/>
      <c r="AW241" s="15"/>
      <c r="AX241" s="15"/>
      <c r="AY241" s="15"/>
      <c r="AZ241" s="11"/>
      <c r="BA241" s="15"/>
      <c r="BB241" s="11"/>
      <c r="BC241" s="11"/>
      <c r="BD241" s="15"/>
      <c r="BE241" s="11"/>
      <c r="BF241" s="11"/>
      <c r="BG241" s="15"/>
      <c r="BH241" s="15"/>
      <c r="BI241" s="15"/>
      <c r="BJ241" s="11"/>
      <c r="BK241" s="15"/>
      <c r="BL241" s="11"/>
      <c r="BM241" s="11"/>
      <c r="BN241" s="15"/>
      <c r="BO241" s="11"/>
      <c r="BP241" s="11"/>
      <c r="BQ241" s="15"/>
      <c r="BR241" s="15"/>
      <c r="BS241" s="15"/>
      <c r="BT241" s="11"/>
      <c r="BU241" s="15"/>
      <c r="BV241" s="11"/>
      <c r="BW241" s="11"/>
      <c r="BX241" s="15"/>
      <c r="BY241" s="11"/>
      <c r="BZ241" s="11"/>
      <c r="CA241" s="15"/>
      <c r="CB241" s="11"/>
      <c r="CC241" s="15"/>
      <c r="CD241" s="11"/>
      <c r="CE241" s="15"/>
      <c r="CF241" s="11"/>
      <c r="CG241" s="11"/>
      <c r="CH241" s="15"/>
      <c r="CI241" s="11"/>
      <c r="CJ241" s="11"/>
      <c r="CK241" s="15"/>
      <c r="CL241" s="11"/>
      <c r="CM241" s="11"/>
      <c r="CN241" s="11"/>
      <c r="CO241" s="11"/>
      <c r="CP241" s="28"/>
      <c r="CQ241" s="28"/>
      <c r="CR241" s="11"/>
      <c r="CS241" s="29"/>
      <c r="CT241" s="11"/>
      <c r="CU241" s="11"/>
      <c r="CV241" s="11"/>
      <c r="CW241" s="11"/>
      <c r="CX241" s="11"/>
      <c r="CY241" s="11"/>
      <c r="CZ241" s="11"/>
      <c r="DA241" s="28"/>
      <c r="DB241" s="28"/>
      <c r="DC241" s="11"/>
      <c r="DD241" s="29"/>
      <c r="DE241" s="11"/>
      <c r="DF241" s="11"/>
      <c r="DG241" s="11"/>
      <c r="DH241" s="11"/>
      <c r="DI241" s="11"/>
      <c r="DJ241" s="11"/>
      <c r="DK241" s="26"/>
      <c r="DL241" s="11"/>
      <c r="DM241" s="29"/>
      <c r="DN241" s="28"/>
      <c r="DO241" s="11"/>
      <c r="DP241" s="11"/>
      <c r="DQ241" s="11"/>
      <c r="DR241" s="29"/>
      <c r="DS241" s="28"/>
      <c r="DT241" s="11"/>
      <c r="DU241" s="26"/>
      <c r="DV241" s="11"/>
      <c r="DW241" s="29"/>
      <c r="DX241" s="28"/>
      <c r="DY241" s="11"/>
      <c r="DZ241" s="26"/>
      <c r="EA241" s="11"/>
      <c r="EB241" s="29"/>
      <c r="EC241" s="28"/>
      <c r="ED241" s="30"/>
      <c r="EE241" s="30" t="str">
        <f ca="1">IFERROR(__xludf.DUMMYFUNCTION("iferror(index(filter('Internal -- Trademark Countries'!E$2:E1000, (AM241 = 'Internal -- Trademark Countries'!B$2:B1000) + (AM241 = 'Internal -- Trademark Countries'!C$2:C1000) + (AM241 = 'Internal -- Trademark Countries'!D$2:D1000)), 1))"),"")</f>
        <v/>
      </c>
      <c r="EF241" s="30" t="e">
        <f ca="1">_xludf.ifs(AM241="", "", COUNTIF('Internal -- Trademark Countries'!B:B,AM241) &gt; 0, "polity_shortest_name", COUNTIF('Internal -- Trademark Countries'!C:C,AM241) &gt; 0, "polity_full_name", COUNTIF('Internal -- Trademark Countries'!D:D,AM241) &gt; 0, "polity_common_name", COUNTIF('Internal -- Trademark Countries'!E:E,AM241) &gt; 0, "shortest_name", COUNTIF('Internal -- Trademark Countries'!A:A,AM241) &gt; 0, "full_name", TRUE, "not a match")</f>
        <v>#NAME?</v>
      </c>
      <c r="EG241" s="30"/>
      <c r="EH241" s="30"/>
      <c r="EI241" s="30"/>
      <c r="EJ241" s="30"/>
      <c r="EK241" s="30" t="str">
        <f t="shared" si="2"/>
        <v/>
      </c>
    </row>
    <row r="242" spans="1:141" ht="16.5">
      <c r="A242" s="11"/>
      <c r="B242" s="11"/>
      <c r="C242" s="11"/>
      <c r="D242" s="11"/>
      <c r="E242" s="11"/>
      <c r="F242" s="11"/>
      <c r="G242" s="11"/>
      <c r="H242" s="11"/>
      <c r="I242" s="11"/>
      <c r="J242" s="11"/>
      <c r="K242" s="27"/>
      <c r="L242" s="11"/>
      <c r="M242" s="11"/>
      <c r="N242" s="11"/>
      <c r="O242" s="11"/>
      <c r="P242" s="15"/>
      <c r="Q242" s="15"/>
      <c r="R242" s="15"/>
      <c r="S242" s="15"/>
      <c r="T242" s="15"/>
      <c r="U242" s="15"/>
      <c r="V242" s="15"/>
      <c r="W242" s="47"/>
      <c r="X242" s="11"/>
      <c r="Y242" s="48"/>
      <c r="Z242" s="11"/>
      <c r="AA242" s="48"/>
      <c r="AB242" s="11"/>
      <c r="AC242" s="48"/>
      <c r="AD242" s="11"/>
      <c r="AE242" s="47"/>
      <c r="AF242" s="11"/>
      <c r="AG242" s="48"/>
      <c r="AH242" s="11"/>
      <c r="AI242" s="48"/>
      <c r="AJ242" s="11"/>
      <c r="AK242" s="48"/>
      <c r="AL242" s="11"/>
      <c r="AM242" s="49"/>
      <c r="AN242" s="49"/>
      <c r="AO242" s="11"/>
      <c r="AP242" s="11"/>
      <c r="AQ242" s="28" t="b">
        <f>IF(COUNTIF(SmartStatus!A$2:A1000, AM242) &gt; 2, TRUE, FALSE)</f>
        <v>0</v>
      </c>
      <c r="AR242" s="29" t="str">
        <f ca="1">IFERROR(__xludf.DUMMYFUNCTION("iferror(if(regexmatch(AO242, ""(?i)^registered""), if(EE242 &lt;&gt; ""polity_shortest_name"", ""CHECK_POLITY"", index(filter(SmartStatus!B$2:B1000, AM242 = SmartStatus!A$2:A1000, not(SmartStatus!C$2:C1000), (isblank(SmartStatus!D$2:D1000)) + ((P242 &lt;&gt; """") * "&amp;"(P242 &lt; SmartStatus!D$2:D1000)), (isblank(SmartStatus!E$2:E1000)) + ((P242 &lt;&gt; """") * (P242 &gt;= SmartStatus!E$2:E1000)), (isblank(SmartStatus!F$2:F1000)) + (((Q242 &lt;&gt; """") * (Q242 &lt; SmartStatus!F$2:F1000)) + ((P242 &lt;&gt; """") * (date(year(P242) + 3, month(P"&amp;"242), day(P242)) &lt; SmartStatus!F$2:F1000))), (isblank(SmartStatus!G$2:G1000)) + (((Q242 &lt;&gt; """") * (Q242 &gt;= SmartStatus!G$2:G1000)) + ((P242 &lt;&gt; """") * (P242 &gt;= SmartStatus!G$2:G1000)))), if(or(regexmatch(B242, ""(?i)^ir [a-z]+ designation$""), N242 &lt;&gt; """&amp;"""), 1, 2))), """"), ""NO_MATCH"")"),"")</f>
        <v/>
      </c>
      <c r="AS242" s="11"/>
      <c r="AT242" s="15"/>
      <c r="AU242" s="11"/>
      <c r="AV242" s="11"/>
      <c r="AW242" s="15"/>
      <c r="AX242" s="15"/>
      <c r="AY242" s="15"/>
      <c r="AZ242" s="11"/>
      <c r="BA242" s="15"/>
      <c r="BB242" s="11"/>
      <c r="BC242" s="11"/>
      <c r="BD242" s="15"/>
      <c r="BE242" s="11"/>
      <c r="BF242" s="11"/>
      <c r="BG242" s="15"/>
      <c r="BH242" s="15"/>
      <c r="BI242" s="15"/>
      <c r="BJ242" s="11"/>
      <c r="BK242" s="15"/>
      <c r="BL242" s="11"/>
      <c r="BM242" s="11"/>
      <c r="BN242" s="15"/>
      <c r="BO242" s="11"/>
      <c r="BP242" s="11"/>
      <c r="BQ242" s="15"/>
      <c r="BR242" s="15"/>
      <c r="BS242" s="15"/>
      <c r="BT242" s="11"/>
      <c r="BU242" s="15"/>
      <c r="BV242" s="11"/>
      <c r="BW242" s="11"/>
      <c r="BX242" s="15"/>
      <c r="BY242" s="11"/>
      <c r="BZ242" s="11"/>
      <c r="CA242" s="15"/>
      <c r="CB242" s="11"/>
      <c r="CC242" s="15"/>
      <c r="CD242" s="11"/>
      <c r="CE242" s="15"/>
      <c r="CF242" s="11"/>
      <c r="CG242" s="11"/>
      <c r="CH242" s="15"/>
      <c r="CI242" s="11"/>
      <c r="CJ242" s="11"/>
      <c r="CK242" s="15"/>
      <c r="CL242" s="11"/>
      <c r="CM242" s="11"/>
      <c r="CN242" s="11"/>
      <c r="CO242" s="11"/>
      <c r="CP242" s="28"/>
      <c r="CQ242" s="28"/>
      <c r="CR242" s="11"/>
      <c r="CS242" s="29"/>
      <c r="CT242" s="11"/>
      <c r="CU242" s="11"/>
      <c r="CV242" s="11"/>
      <c r="CW242" s="11"/>
      <c r="CX242" s="11"/>
      <c r="CY242" s="11"/>
      <c r="CZ242" s="11"/>
      <c r="DA242" s="28"/>
      <c r="DB242" s="28"/>
      <c r="DC242" s="11"/>
      <c r="DD242" s="29"/>
      <c r="DE242" s="11"/>
      <c r="DF242" s="11"/>
      <c r="DG242" s="11"/>
      <c r="DH242" s="11"/>
      <c r="DI242" s="11"/>
      <c r="DJ242" s="11"/>
      <c r="DK242" s="26"/>
      <c r="DL242" s="11"/>
      <c r="DM242" s="29"/>
      <c r="DN242" s="28"/>
      <c r="DO242" s="11"/>
      <c r="DP242" s="11"/>
      <c r="DQ242" s="11"/>
      <c r="DR242" s="29"/>
      <c r="DS242" s="28"/>
      <c r="DT242" s="11"/>
      <c r="DU242" s="26"/>
      <c r="DV242" s="11"/>
      <c r="DW242" s="29"/>
      <c r="DX242" s="28"/>
      <c r="DY242" s="11"/>
      <c r="DZ242" s="26"/>
      <c r="EA242" s="11"/>
      <c r="EB242" s="29"/>
      <c r="EC242" s="28"/>
      <c r="ED242" s="30"/>
      <c r="EE242" s="30" t="str">
        <f ca="1">IFERROR(__xludf.DUMMYFUNCTION("iferror(index(filter('Internal -- Trademark Countries'!E$2:E1000, (AM242 = 'Internal -- Trademark Countries'!B$2:B1000) + (AM242 = 'Internal -- Trademark Countries'!C$2:C1000) + (AM242 = 'Internal -- Trademark Countries'!D$2:D1000)), 1))"),"")</f>
        <v/>
      </c>
      <c r="EF242" s="30" t="e">
        <f ca="1">_xludf.ifs(AM242="", "", COUNTIF('Internal -- Trademark Countries'!B:B,AM242) &gt; 0, "polity_shortest_name", COUNTIF('Internal -- Trademark Countries'!C:C,AM242) &gt; 0, "polity_full_name", COUNTIF('Internal -- Trademark Countries'!D:D,AM242) &gt; 0, "polity_common_name", COUNTIF('Internal -- Trademark Countries'!E:E,AM242) &gt; 0, "shortest_name", COUNTIF('Internal -- Trademark Countries'!A:A,AM242) &gt; 0, "full_name", TRUE, "not a match")</f>
        <v>#NAME?</v>
      </c>
      <c r="EG242" s="30"/>
      <c r="EH242" s="30"/>
      <c r="EI242" s="30"/>
      <c r="EJ242" s="30"/>
      <c r="EK242" s="30" t="str">
        <f t="shared" si="2"/>
        <v/>
      </c>
    </row>
    <row r="243" spans="1:141" ht="16.5">
      <c r="A243" s="11"/>
      <c r="B243" s="11"/>
      <c r="C243" s="11"/>
      <c r="D243" s="11"/>
      <c r="E243" s="11"/>
      <c r="F243" s="11"/>
      <c r="G243" s="11"/>
      <c r="H243" s="11"/>
      <c r="I243" s="11"/>
      <c r="J243" s="11"/>
      <c r="K243" s="27"/>
      <c r="L243" s="11"/>
      <c r="M243" s="11"/>
      <c r="N243" s="11"/>
      <c r="O243" s="11"/>
      <c r="P243" s="15"/>
      <c r="Q243" s="15"/>
      <c r="R243" s="15"/>
      <c r="S243" s="15"/>
      <c r="T243" s="15"/>
      <c r="U243" s="15"/>
      <c r="V243" s="15"/>
      <c r="W243" s="47"/>
      <c r="X243" s="11"/>
      <c r="Y243" s="48"/>
      <c r="Z243" s="11"/>
      <c r="AA243" s="48"/>
      <c r="AB243" s="11"/>
      <c r="AC243" s="48"/>
      <c r="AD243" s="11"/>
      <c r="AE243" s="47"/>
      <c r="AF243" s="11"/>
      <c r="AG243" s="48"/>
      <c r="AH243" s="11"/>
      <c r="AI243" s="48"/>
      <c r="AJ243" s="11"/>
      <c r="AK243" s="48"/>
      <c r="AL243" s="11"/>
      <c r="AM243" s="49"/>
      <c r="AN243" s="49"/>
      <c r="AO243" s="11"/>
      <c r="AP243" s="11"/>
      <c r="AQ243" s="28" t="b">
        <f>IF(COUNTIF(SmartStatus!A$2:A1000, AM243) &gt; 2, TRUE, FALSE)</f>
        <v>0</v>
      </c>
      <c r="AR243" s="29" t="str">
        <f ca="1">IFERROR(__xludf.DUMMYFUNCTION("iferror(if(regexmatch(AO243, ""(?i)^registered""), if(EE243 &lt;&gt; ""polity_shortest_name"", ""CHECK_POLITY"", index(filter(SmartStatus!B$2:B1000, AM243 = SmartStatus!A$2:A1000, not(SmartStatus!C$2:C1000), (isblank(SmartStatus!D$2:D1000)) + ((P243 &lt;&gt; """") * "&amp;"(P243 &lt; SmartStatus!D$2:D1000)), (isblank(SmartStatus!E$2:E1000)) + ((P243 &lt;&gt; """") * (P243 &gt;= SmartStatus!E$2:E1000)), (isblank(SmartStatus!F$2:F1000)) + (((Q243 &lt;&gt; """") * (Q243 &lt; SmartStatus!F$2:F1000)) + ((P243 &lt;&gt; """") * (date(year(P243) + 3, month(P"&amp;"243), day(P243)) &lt; SmartStatus!F$2:F1000))), (isblank(SmartStatus!G$2:G1000)) + (((Q243 &lt;&gt; """") * (Q243 &gt;= SmartStatus!G$2:G1000)) + ((P243 &lt;&gt; """") * (P243 &gt;= SmartStatus!G$2:G1000)))), if(or(regexmatch(B243, ""(?i)^ir [a-z]+ designation$""), N243 &lt;&gt; """&amp;"""), 1, 2))), """"), ""NO_MATCH"")"),"")</f>
        <v/>
      </c>
      <c r="AS243" s="11"/>
      <c r="AT243" s="15"/>
      <c r="AU243" s="11"/>
      <c r="AV243" s="11"/>
      <c r="AW243" s="15"/>
      <c r="AX243" s="15"/>
      <c r="AY243" s="15"/>
      <c r="AZ243" s="11"/>
      <c r="BA243" s="15"/>
      <c r="BB243" s="11"/>
      <c r="BC243" s="11"/>
      <c r="BD243" s="15"/>
      <c r="BE243" s="11"/>
      <c r="BF243" s="11"/>
      <c r="BG243" s="15"/>
      <c r="BH243" s="15"/>
      <c r="BI243" s="15"/>
      <c r="BJ243" s="11"/>
      <c r="BK243" s="15"/>
      <c r="BL243" s="11"/>
      <c r="BM243" s="11"/>
      <c r="BN243" s="15"/>
      <c r="BO243" s="11"/>
      <c r="BP243" s="11"/>
      <c r="BQ243" s="15"/>
      <c r="BR243" s="15"/>
      <c r="BS243" s="15"/>
      <c r="BT243" s="11"/>
      <c r="BU243" s="15"/>
      <c r="BV243" s="11"/>
      <c r="BW243" s="11"/>
      <c r="BX243" s="15"/>
      <c r="BY243" s="11"/>
      <c r="BZ243" s="11"/>
      <c r="CA243" s="15"/>
      <c r="CB243" s="11"/>
      <c r="CC243" s="15"/>
      <c r="CD243" s="11"/>
      <c r="CE243" s="15"/>
      <c r="CF243" s="11"/>
      <c r="CG243" s="11"/>
      <c r="CH243" s="15"/>
      <c r="CI243" s="11"/>
      <c r="CJ243" s="11"/>
      <c r="CK243" s="15"/>
      <c r="CL243" s="11"/>
      <c r="CM243" s="11"/>
      <c r="CN243" s="11"/>
      <c r="CO243" s="11"/>
      <c r="CP243" s="28"/>
      <c r="CQ243" s="28"/>
      <c r="CR243" s="11"/>
      <c r="CS243" s="29"/>
      <c r="CT243" s="11"/>
      <c r="CU243" s="11"/>
      <c r="CV243" s="11"/>
      <c r="CW243" s="11"/>
      <c r="CX243" s="11"/>
      <c r="CY243" s="11"/>
      <c r="CZ243" s="11"/>
      <c r="DA243" s="28"/>
      <c r="DB243" s="28"/>
      <c r="DC243" s="11"/>
      <c r="DD243" s="29"/>
      <c r="DE243" s="11"/>
      <c r="DF243" s="11"/>
      <c r="DG243" s="11"/>
      <c r="DH243" s="11"/>
      <c r="DI243" s="11"/>
      <c r="DJ243" s="11"/>
      <c r="DK243" s="26"/>
      <c r="DL243" s="11"/>
      <c r="DM243" s="29"/>
      <c r="DN243" s="28"/>
      <c r="DO243" s="11"/>
      <c r="DP243" s="11"/>
      <c r="DQ243" s="11"/>
      <c r="DR243" s="29"/>
      <c r="DS243" s="28"/>
      <c r="DT243" s="11"/>
      <c r="DU243" s="26"/>
      <c r="DV243" s="11"/>
      <c r="DW243" s="29"/>
      <c r="DX243" s="28"/>
      <c r="DY243" s="11"/>
      <c r="DZ243" s="26"/>
      <c r="EA243" s="11"/>
      <c r="EB243" s="29"/>
      <c r="EC243" s="28"/>
      <c r="ED243" s="30"/>
      <c r="EE243" s="30" t="str">
        <f ca="1">IFERROR(__xludf.DUMMYFUNCTION("iferror(index(filter('Internal -- Trademark Countries'!E$2:E1000, (AM243 = 'Internal -- Trademark Countries'!B$2:B1000) + (AM243 = 'Internal -- Trademark Countries'!C$2:C1000) + (AM243 = 'Internal -- Trademark Countries'!D$2:D1000)), 1))"),"")</f>
        <v/>
      </c>
      <c r="EF243" s="30" t="e">
        <f ca="1">_xludf.ifs(AM243="", "", COUNTIF('Internal -- Trademark Countries'!B:B,AM243) &gt; 0, "polity_shortest_name", COUNTIF('Internal -- Trademark Countries'!C:C,AM243) &gt; 0, "polity_full_name", COUNTIF('Internal -- Trademark Countries'!D:D,AM243) &gt; 0, "polity_common_name", COUNTIF('Internal -- Trademark Countries'!E:E,AM243) &gt; 0, "shortest_name", COUNTIF('Internal -- Trademark Countries'!A:A,AM243) &gt; 0, "full_name", TRUE, "not a match")</f>
        <v>#NAME?</v>
      </c>
      <c r="EG243" s="30"/>
      <c r="EH243" s="30"/>
      <c r="EI243" s="30"/>
      <c r="EJ243" s="30"/>
      <c r="EK243" s="30" t="str">
        <f t="shared" si="2"/>
        <v/>
      </c>
    </row>
    <row r="244" spans="1:141" ht="16.5">
      <c r="A244" s="11"/>
      <c r="B244" s="11"/>
      <c r="C244" s="11"/>
      <c r="D244" s="11"/>
      <c r="E244" s="11"/>
      <c r="F244" s="11"/>
      <c r="G244" s="11"/>
      <c r="H244" s="11"/>
      <c r="I244" s="11"/>
      <c r="J244" s="11"/>
      <c r="K244" s="27"/>
      <c r="L244" s="11"/>
      <c r="M244" s="11"/>
      <c r="N244" s="11"/>
      <c r="O244" s="11"/>
      <c r="P244" s="15"/>
      <c r="Q244" s="15"/>
      <c r="R244" s="15"/>
      <c r="S244" s="15"/>
      <c r="T244" s="15"/>
      <c r="U244" s="15"/>
      <c r="V244" s="15"/>
      <c r="W244" s="47"/>
      <c r="X244" s="11"/>
      <c r="Y244" s="48"/>
      <c r="Z244" s="11"/>
      <c r="AA244" s="48"/>
      <c r="AB244" s="11"/>
      <c r="AC244" s="48"/>
      <c r="AD244" s="11"/>
      <c r="AE244" s="47"/>
      <c r="AF244" s="11"/>
      <c r="AG244" s="48"/>
      <c r="AH244" s="11"/>
      <c r="AI244" s="48"/>
      <c r="AJ244" s="11"/>
      <c r="AK244" s="48"/>
      <c r="AL244" s="11"/>
      <c r="AM244" s="49"/>
      <c r="AN244" s="49"/>
      <c r="AO244" s="11"/>
      <c r="AP244" s="11"/>
      <c r="AQ244" s="28" t="b">
        <f>IF(COUNTIF(SmartStatus!A$2:A1000, AM244) &gt; 2, TRUE, FALSE)</f>
        <v>0</v>
      </c>
      <c r="AR244" s="29" t="str">
        <f ca="1">IFERROR(__xludf.DUMMYFUNCTION("iferror(if(regexmatch(AO244, ""(?i)^registered""), if(EE244 &lt;&gt; ""polity_shortest_name"", ""CHECK_POLITY"", index(filter(SmartStatus!B$2:B1000, AM244 = SmartStatus!A$2:A1000, not(SmartStatus!C$2:C1000), (isblank(SmartStatus!D$2:D1000)) + ((P244 &lt;&gt; """") * "&amp;"(P244 &lt; SmartStatus!D$2:D1000)), (isblank(SmartStatus!E$2:E1000)) + ((P244 &lt;&gt; """") * (P244 &gt;= SmartStatus!E$2:E1000)), (isblank(SmartStatus!F$2:F1000)) + (((Q244 &lt;&gt; """") * (Q244 &lt; SmartStatus!F$2:F1000)) + ((P244 &lt;&gt; """") * (date(year(P244) + 3, month(P"&amp;"244), day(P244)) &lt; SmartStatus!F$2:F1000))), (isblank(SmartStatus!G$2:G1000)) + (((Q244 &lt;&gt; """") * (Q244 &gt;= SmartStatus!G$2:G1000)) + ((P244 &lt;&gt; """") * (P244 &gt;= SmartStatus!G$2:G1000)))), if(or(regexmatch(B244, ""(?i)^ir [a-z]+ designation$""), N244 &lt;&gt; """&amp;"""), 1, 2))), """"), ""NO_MATCH"")"),"")</f>
        <v/>
      </c>
      <c r="AS244" s="11"/>
      <c r="AT244" s="15"/>
      <c r="AU244" s="11"/>
      <c r="AV244" s="11"/>
      <c r="AW244" s="15"/>
      <c r="AX244" s="15"/>
      <c r="AY244" s="15"/>
      <c r="AZ244" s="11"/>
      <c r="BA244" s="15"/>
      <c r="BB244" s="11"/>
      <c r="BC244" s="11"/>
      <c r="BD244" s="15"/>
      <c r="BE244" s="11"/>
      <c r="BF244" s="11"/>
      <c r="BG244" s="15"/>
      <c r="BH244" s="15"/>
      <c r="BI244" s="15"/>
      <c r="BJ244" s="11"/>
      <c r="BK244" s="15"/>
      <c r="BL244" s="11"/>
      <c r="BM244" s="11"/>
      <c r="BN244" s="15"/>
      <c r="BO244" s="11"/>
      <c r="BP244" s="11"/>
      <c r="BQ244" s="15"/>
      <c r="BR244" s="15"/>
      <c r="BS244" s="15"/>
      <c r="BT244" s="11"/>
      <c r="BU244" s="15"/>
      <c r="BV244" s="11"/>
      <c r="BW244" s="11"/>
      <c r="BX244" s="15"/>
      <c r="BY244" s="11"/>
      <c r="BZ244" s="11"/>
      <c r="CA244" s="15"/>
      <c r="CB244" s="11"/>
      <c r="CC244" s="15"/>
      <c r="CD244" s="11"/>
      <c r="CE244" s="15"/>
      <c r="CF244" s="11"/>
      <c r="CG244" s="11"/>
      <c r="CH244" s="15"/>
      <c r="CI244" s="11"/>
      <c r="CJ244" s="11"/>
      <c r="CK244" s="15"/>
      <c r="CL244" s="11"/>
      <c r="CM244" s="11"/>
      <c r="CN244" s="11"/>
      <c r="CO244" s="11"/>
      <c r="CP244" s="28"/>
      <c r="CQ244" s="28"/>
      <c r="CR244" s="11"/>
      <c r="CS244" s="29"/>
      <c r="CT244" s="11"/>
      <c r="CU244" s="11"/>
      <c r="CV244" s="11"/>
      <c r="CW244" s="11"/>
      <c r="CX244" s="11"/>
      <c r="CY244" s="11"/>
      <c r="CZ244" s="11"/>
      <c r="DA244" s="28"/>
      <c r="DB244" s="28"/>
      <c r="DC244" s="11"/>
      <c r="DD244" s="29"/>
      <c r="DE244" s="11"/>
      <c r="DF244" s="11"/>
      <c r="DG244" s="11"/>
      <c r="DH244" s="11"/>
      <c r="DI244" s="11"/>
      <c r="DJ244" s="11"/>
      <c r="DK244" s="26"/>
      <c r="DL244" s="11"/>
      <c r="DM244" s="29"/>
      <c r="DN244" s="28"/>
      <c r="DO244" s="11"/>
      <c r="DP244" s="11"/>
      <c r="DQ244" s="11"/>
      <c r="DR244" s="29"/>
      <c r="DS244" s="28"/>
      <c r="DT244" s="11"/>
      <c r="DU244" s="26"/>
      <c r="DV244" s="11"/>
      <c r="DW244" s="29"/>
      <c r="DX244" s="28"/>
      <c r="DY244" s="11"/>
      <c r="DZ244" s="26"/>
      <c r="EA244" s="11"/>
      <c r="EB244" s="29"/>
      <c r="EC244" s="28"/>
      <c r="ED244" s="30"/>
      <c r="EE244" s="30" t="str">
        <f ca="1">IFERROR(__xludf.DUMMYFUNCTION("iferror(index(filter('Internal -- Trademark Countries'!E$2:E1000, (AM244 = 'Internal -- Trademark Countries'!B$2:B1000) + (AM244 = 'Internal -- Trademark Countries'!C$2:C1000) + (AM244 = 'Internal -- Trademark Countries'!D$2:D1000)), 1))"),"")</f>
        <v/>
      </c>
      <c r="EF244" s="30" t="e">
        <f ca="1">_xludf.ifs(AM244="", "", COUNTIF('Internal -- Trademark Countries'!B:B,AM244) &gt; 0, "polity_shortest_name", COUNTIF('Internal -- Trademark Countries'!C:C,AM244) &gt; 0, "polity_full_name", COUNTIF('Internal -- Trademark Countries'!D:D,AM244) &gt; 0, "polity_common_name", COUNTIF('Internal -- Trademark Countries'!E:E,AM244) &gt; 0, "shortest_name", COUNTIF('Internal -- Trademark Countries'!A:A,AM244) &gt; 0, "full_name", TRUE, "not a match")</f>
        <v>#NAME?</v>
      </c>
      <c r="EG244" s="30"/>
      <c r="EH244" s="30"/>
      <c r="EI244" s="30"/>
      <c r="EJ244" s="30"/>
      <c r="EK244" s="30" t="str">
        <f t="shared" si="2"/>
        <v/>
      </c>
    </row>
    <row r="245" spans="1:141" ht="16.5">
      <c r="A245" s="11"/>
      <c r="B245" s="11"/>
      <c r="C245" s="11"/>
      <c r="D245" s="11"/>
      <c r="E245" s="11"/>
      <c r="F245" s="11"/>
      <c r="G245" s="11"/>
      <c r="H245" s="11"/>
      <c r="I245" s="11"/>
      <c r="J245" s="11"/>
      <c r="K245" s="27"/>
      <c r="L245" s="11"/>
      <c r="M245" s="11"/>
      <c r="N245" s="11"/>
      <c r="O245" s="11"/>
      <c r="P245" s="15"/>
      <c r="Q245" s="15"/>
      <c r="R245" s="15"/>
      <c r="S245" s="15"/>
      <c r="T245" s="15"/>
      <c r="U245" s="15"/>
      <c r="V245" s="15"/>
      <c r="W245" s="47"/>
      <c r="X245" s="11"/>
      <c r="Y245" s="48"/>
      <c r="Z245" s="11"/>
      <c r="AA245" s="48"/>
      <c r="AB245" s="11"/>
      <c r="AC245" s="48"/>
      <c r="AD245" s="11"/>
      <c r="AE245" s="47"/>
      <c r="AF245" s="11"/>
      <c r="AG245" s="48"/>
      <c r="AH245" s="11"/>
      <c r="AI245" s="48"/>
      <c r="AJ245" s="11"/>
      <c r="AK245" s="48"/>
      <c r="AL245" s="11"/>
      <c r="AM245" s="49"/>
      <c r="AN245" s="49"/>
      <c r="AO245" s="11"/>
      <c r="AP245" s="11"/>
      <c r="AQ245" s="28" t="b">
        <f>IF(COUNTIF(SmartStatus!A$2:A1000, AM245) &gt; 2, TRUE, FALSE)</f>
        <v>0</v>
      </c>
      <c r="AR245" s="29" t="str">
        <f ca="1">IFERROR(__xludf.DUMMYFUNCTION("iferror(if(regexmatch(AO245, ""(?i)^registered""), if(EE245 &lt;&gt; ""polity_shortest_name"", ""CHECK_POLITY"", index(filter(SmartStatus!B$2:B1000, AM245 = SmartStatus!A$2:A1000, not(SmartStatus!C$2:C1000), (isblank(SmartStatus!D$2:D1000)) + ((P245 &lt;&gt; """") * "&amp;"(P245 &lt; SmartStatus!D$2:D1000)), (isblank(SmartStatus!E$2:E1000)) + ((P245 &lt;&gt; """") * (P245 &gt;= SmartStatus!E$2:E1000)), (isblank(SmartStatus!F$2:F1000)) + (((Q245 &lt;&gt; """") * (Q245 &lt; SmartStatus!F$2:F1000)) + ((P245 &lt;&gt; """") * (date(year(P245) + 3, month(P"&amp;"245), day(P245)) &lt; SmartStatus!F$2:F1000))), (isblank(SmartStatus!G$2:G1000)) + (((Q245 &lt;&gt; """") * (Q245 &gt;= SmartStatus!G$2:G1000)) + ((P245 &lt;&gt; """") * (P245 &gt;= SmartStatus!G$2:G1000)))), if(or(regexmatch(B245, ""(?i)^ir [a-z]+ designation$""), N245 &lt;&gt; """&amp;"""), 1, 2))), """"), ""NO_MATCH"")"),"")</f>
        <v/>
      </c>
      <c r="AS245" s="11"/>
      <c r="AT245" s="15"/>
      <c r="AU245" s="11"/>
      <c r="AV245" s="11"/>
      <c r="AW245" s="15"/>
      <c r="AX245" s="15"/>
      <c r="AY245" s="15"/>
      <c r="AZ245" s="11"/>
      <c r="BA245" s="15"/>
      <c r="BB245" s="11"/>
      <c r="BC245" s="11"/>
      <c r="BD245" s="15"/>
      <c r="BE245" s="11"/>
      <c r="BF245" s="11"/>
      <c r="BG245" s="15"/>
      <c r="BH245" s="15"/>
      <c r="BI245" s="15"/>
      <c r="BJ245" s="11"/>
      <c r="BK245" s="15"/>
      <c r="BL245" s="11"/>
      <c r="BM245" s="11"/>
      <c r="BN245" s="15"/>
      <c r="BO245" s="11"/>
      <c r="BP245" s="11"/>
      <c r="BQ245" s="15"/>
      <c r="BR245" s="15"/>
      <c r="BS245" s="15"/>
      <c r="BT245" s="11"/>
      <c r="BU245" s="15"/>
      <c r="BV245" s="11"/>
      <c r="BW245" s="11"/>
      <c r="BX245" s="15"/>
      <c r="BY245" s="11"/>
      <c r="BZ245" s="11"/>
      <c r="CA245" s="15"/>
      <c r="CB245" s="11"/>
      <c r="CC245" s="15"/>
      <c r="CD245" s="11"/>
      <c r="CE245" s="15"/>
      <c r="CF245" s="11"/>
      <c r="CG245" s="11"/>
      <c r="CH245" s="15"/>
      <c r="CI245" s="11"/>
      <c r="CJ245" s="11"/>
      <c r="CK245" s="15"/>
      <c r="CL245" s="11"/>
      <c r="CM245" s="11"/>
      <c r="CN245" s="11"/>
      <c r="CO245" s="11"/>
      <c r="CP245" s="28"/>
      <c r="CQ245" s="28"/>
      <c r="CR245" s="11"/>
      <c r="CS245" s="29"/>
      <c r="CT245" s="11"/>
      <c r="CU245" s="11"/>
      <c r="CV245" s="11"/>
      <c r="CW245" s="11"/>
      <c r="CX245" s="11"/>
      <c r="CY245" s="11"/>
      <c r="CZ245" s="11"/>
      <c r="DA245" s="28"/>
      <c r="DB245" s="28"/>
      <c r="DC245" s="11"/>
      <c r="DD245" s="29"/>
      <c r="DE245" s="11"/>
      <c r="DF245" s="11"/>
      <c r="DG245" s="11"/>
      <c r="DH245" s="11"/>
      <c r="DI245" s="11"/>
      <c r="DJ245" s="11"/>
      <c r="DK245" s="26"/>
      <c r="DL245" s="11"/>
      <c r="DM245" s="29"/>
      <c r="DN245" s="28"/>
      <c r="DO245" s="11"/>
      <c r="DP245" s="11"/>
      <c r="DQ245" s="11"/>
      <c r="DR245" s="29"/>
      <c r="DS245" s="28"/>
      <c r="DT245" s="11"/>
      <c r="DU245" s="26"/>
      <c r="DV245" s="11"/>
      <c r="DW245" s="29"/>
      <c r="DX245" s="28"/>
      <c r="DY245" s="11"/>
      <c r="DZ245" s="26"/>
      <c r="EA245" s="11"/>
      <c r="EB245" s="29"/>
      <c r="EC245" s="28"/>
      <c r="ED245" s="30"/>
      <c r="EE245" s="30" t="str">
        <f ca="1">IFERROR(__xludf.DUMMYFUNCTION("iferror(index(filter('Internal -- Trademark Countries'!E$2:E1000, (AM245 = 'Internal -- Trademark Countries'!B$2:B1000) + (AM245 = 'Internal -- Trademark Countries'!C$2:C1000) + (AM245 = 'Internal -- Trademark Countries'!D$2:D1000)), 1))"),"")</f>
        <v/>
      </c>
      <c r="EF245" s="30" t="e">
        <f ca="1">_xludf.ifs(AM245="", "", COUNTIF('Internal -- Trademark Countries'!B:B,AM245) &gt; 0, "polity_shortest_name", COUNTIF('Internal -- Trademark Countries'!C:C,AM245) &gt; 0, "polity_full_name", COUNTIF('Internal -- Trademark Countries'!D:D,AM245) &gt; 0, "polity_common_name", COUNTIF('Internal -- Trademark Countries'!E:E,AM245) &gt; 0, "shortest_name", COUNTIF('Internal -- Trademark Countries'!A:A,AM245) &gt; 0, "full_name", TRUE, "not a match")</f>
        <v>#NAME?</v>
      </c>
      <c r="EG245" s="30"/>
      <c r="EH245" s="30"/>
      <c r="EI245" s="30"/>
      <c r="EJ245" s="30"/>
      <c r="EK245" s="30" t="str">
        <f t="shared" si="2"/>
        <v/>
      </c>
    </row>
    <row r="246" spans="1:141" ht="16.5">
      <c r="A246" s="11"/>
      <c r="B246" s="11"/>
      <c r="C246" s="11"/>
      <c r="D246" s="11"/>
      <c r="E246" s="11"/>
      <c r="F246" s="11"/>
      <c r="G246" s="11"/>
      <c r="H246" s="11"/>
      <c r="I246" s="11"/>
      <c r="J246" s="11"/>
      <c r="K246" s="27"/>
      <c r="L246" s="11"/>
      <c r="M246" s="11"/>
      <c r="N246" s="11"/>
      <c r="O246" s="11"/>
      <c r="P246" s="15"/>
      <c r="Q246" s="15"/>
      <c r="R246" s="15"/>
      <c r="S246" s="15"/>
      <c r="T246" s="15"/>
      <c r="U246" s="15"/>
      <c r="V246" s="15"/>
      <c r="W246" s="47"/>
      <c r="X246" s="11"/>
      <c r="Y246" s="48"/>
      <c r="Z246" s="11"/>
      <c r="AA246" s="48"/>
      <c r="AB246" s="11"/>
      <c r="AC246" s="48"/>
      <c r="AD246" s="11"/>
      <c r="AE246" s="47"/>
      <c r="AF246" s="11"/>
      <c r="AG246" s="48"/>
      <c r="AH246" s="11"/>
      <c r="AI246" s="48"/>
      <c r="AJ246" s="11"/>
      <c r="AK246" s="48"/>
      <c r="AL246" s="11"/>
      <c r="AM246" s="49"/>
      <c r="AN246" s="49"/>
      <c r="AO246" s="11"/>
      <c r="AP246" s="11"/>
      <c r="AQ246" s="28" t="b">
        <f>IF(COUNTIF(SmartStatus!A$2:A1000, AM246) &gt; 2, TRUE, FALSE)</f>
        <v>0</v>
      </c>
      <c r="AR246" s="29" t="str">
        <f ca="1">IFERROR(__xludf.DUMMYFUNCTION("iferror(if(regexmatch(AO246, ""(?i)^registered""), if(EE246 &lt;&gt; ""polity_shortest_name"", ""CHECK_POLITY"", index(filter(SmartStatus!B$2:B1000, AM246 = SmartStatus!A$2:A1000, not(SmartStatus!C$2:C1000), (isblank(SmartStatus!D$2:D1000)) + ((P246 &lt;&gt; """") * "&amp;"(P246 &lt; SmartStatus!D$2:D1000)), (isblank(SmartStatus!E$2:E1000)) + ((P246 &lt;&gt; """") * (P246 &gt;= SmartStatus!E$2:E1000)), (isblank(SmartStatus!F$2:F1000)) + (((Q246 &lt;&gt; """") * (Q246 &lt; SmartStatus!F$2:F1000)) + ((P246 &lt;&gt; """") * (date(year(P246) + 3, month(P"&amp;"246), day(P246)) &lt; SmartStatus!F$2:F1000))), (isblank(SmartStatus!G$2:G1000)) + (((Q246 &lt;&gt; """") * (Q246 &gt;= SmartStatus!G$2:G1000)) + ((P246 &lt;&gt; """") * (P246 &gt;= SmartStatus!G$2:G1000)))), if(or(regexmatch(B246, ""(?i)^ir [a-z]+ designation$""), N246 &lt;&gt; """&amp;"""), 1, 2))), """"), ""NO_MATCH"")"),"")</f>
        <v/>
      </c>
      <c r="AS246" s="11"/>
      <c r="AT246" s="15"/>
      <c r="AU246" s="11"/>
      <c r="AV246" s="11"/>
      <c r="AW246" s="15"/>
      <c r="AX246" s="15"/>
      <c r="AY246" s="15"/>
      <c r="AZ246" s="11"/>
      <c r="BA246" s="15"/>
      <c r="BB246" s="11"/>
      <c r="BC246" s="11"/>
      <c r="BD246" s="15"/>
      <c r="BE246" s="11"/>
      <c r="BF246" s="11"/>
      <c r="BG246" s="15"/>
      <c r="BH246" s="15"/>
      <c r="BI246" s="15"/>
      <c r="BJ246" s="11"/>
      <c r="BK246" s="15"/>
      <c r="BL246" s="11"/>
      <c r="BM246" s="11"/>
      <c r="BN246" s="15"/>
      <c r="BO246" s="11"/>
      <c r="BP246" s="11"/>
      <c r="BQ246" s="15"/>
      <c r="BR246" s="15"/>
      <c r="BS246" s="15"/>
      <c r="BT246" s="11"/>
      <c r="BU246" s="15"/>
      <c r="BV246" s="11"/>
      <c r="BW246" s="11"/>
      <c r="BX246" s="15"/>
      <c r="BY246" s="11"/>
      <c r="BZ246" s="11"/>
      <c r="CA246" s="15"/>
      <c r="CB246" s="11"/>
      <c r="CC246" s="15"/>
      <c r="CD246" s="11"/>
      <c r="CE246" s="15"/>
      <c r="CF246" s="11"/>
      <c r="CG246" s="11"/>
      <c r="CH246" s="15"/>
      <c r="CI246" s="11"/>
      <c r="CJ246" s="11"/>
      <c r="CK246" s="15"/>
      <c r="CL246" s="11"/>
      <c r="CM246" s="11"/>
      <c r="CN246" s="11"/>
      <c r="CO246" s="11"/>
      <c r="CP246" s="28"/>
      <c r="CQ246" s="28"/>
      <c r="CR246" s="11"/>
      <c r="CS246" s="29"/>
      <c r="CT246" s="11"/>
      <c r="CU246" s="11"/>
      <c r="CV246" s="11"/>
      <c r="CW246" s="11"/>
      <c r="CX246" s="11"/>
      <c r="CY246" s="11"/>
      <c r="CZ246" s="11"/>
      <c r="DA246" s="28"/>
      <c r="DB246" s="28"/>
      <c r="DC246" s="11"/>
      <c r="DD246" s="29"/>
      <c r="DE246" s="11"/>
      <c r="DF246" s="11"/>
      <c r="DG246" s="11"/>
      <c r="DH246" s="11"/>
      <c r="DI246" s="11"/>
      <c r="DJ246" s="11"/>
      <c r="DK246" s="26"/>
      <c r="DL246" s="11"/>
      <c r="DM246" s="29"/>
      <c r="DN246" s="28"/>
      <c r="DO246" s="11"/>
      <c r="DP246" s="11"/>
      <c r="DQ246" s="11"/>
      <c r="DR246" s="29"/>
      <c r="DS246" s="28"/>
      <c r="DT246" s="11"/>
      <c r="DU246" s="26"/>
      <c r="DV246" s="11"/>
      <c r="DW246" s="29"/>
      <c r="DX246" s="28"/>
      <c r="DY246" s="11"/>
      <c r="DZ246" s="26"/>
      <c r="EA246" s="11"/>
      <c r="EB246" s="29"/>
      <c r="EC246" s="28"/>
      <c r="ED246" s="30"/>
      <c r="EE246" s="30" t="str">
        <f ca="1">IFERROR(__xludf.DUMMYFUNCTION("iferror(index(filter('Internal -- Trademark Countries'!E$2:E1000, (AM246 = 'Internal -- Trademark Countries'!B$2:B1000) + (AM246 = 'Internal -- Trademark Countries'!C$2:C1000) + (AM246 = 'Internal -- Trademark Countries'!D$2:D1000)), 1))"),"")</f>
        <v/>
      </c>
      <c r="EF246" s="30" t="e">
        <f ca="1">_xludf.ifs(AM246="", "", COUNTIF('Internal -- Trademark Countries'!B:B,AM246) &gt; 0, "polity_shortest_name", COUNTIF('Internal -- Trademark Countries'!C:C,AM246) &gt; 0, "polity_full_name", COUNTIF('Internal -- Trademark Countries'!D:D,AM246) &gt; 0, "polity_common_name", COUNTIF('Internal -- Trademark Countries'!E:E,AM246) &gt; 0, "shortest_name", COUNTIF('Internal -- Trademark Countries'!A:A,AM246) &gt; 0, "full_name", TRUE, "not a match")</f>
        <v>#NAME?</v>
      </c>
      <c r="EG246" s="30"/>
      <c r="EH246" s="30"/>
      <c r="EI246" s="30"/>
      <c r="EJ246" s="30"/>
      <c r="EK246" s="30" t="str">
        <f t="shared" si="2"/>
        <v/>
      </c>
    </row>
    <row r="247" spans="1:141" ht="16.5">
      <c r="A247" s="11"/>
      <c r="B247" s="11"/>
      <c r="C247" s="11"/>
      <c r="D247" s="11"/>
      <c r="E247" s="11"/>
      <c r="F247" s="11"/>
      <c r="G247" s="11"/>
      <c r="H247" s="11"/>
      <c r="I247" s="11"/>
      <c r="J247" s="11"/>
      <c r="K247" s="27"/>
      <c r="L247" s="11"/>
      <c r="M247" s="11"/>
      <c r="N247" s="11"/>
      <c r="O247" s="11"/>
      <c r="P247" s="15"/>
      <c r="Q247" s="15"/>
      <c r="R247" s="15"/>
      <c r="S247" s="15"/>
      <c r="T247" s="15"/>
      <c r="U247" s="15"/>
      <c r="V247" s="15"/>
      <c r="W247" s="47"/>
      <c r="X247" s="11"/>
      <c r="Y247" s="48"/>
      <c r="Z247" s="11"/>
      <c r="AA247" s="48"/>
      <c r="AB247" s="11"/>
      <c r="AC247" s="48"/>
      <c r="AD247" s="11"/>
      <c r="AE247" s="47"/>
      <c r="AF247" s="11"/>
      <c r="AG247" s="48"/>
      <c r="AH247" s="11"/>
      <c r="AI247" s="48"/>
      <c r="AJ247" s="11"/>
      <c r="AK247" s="48"/>
      <c r="AL247" s="11"/>
      <c r="AM247" s="49"/>
      <c r="AN247" s="49"/>
      <c r="AO247" s="11"/>
      <c r="AP247" s="11"/>
      <c r="AQ247" s="28" t="b">
        <f>IF(COUNTIF(SmartStatus!A$2:A1000, AM247) &gt; 2, TRUE, FALSE)</f>
        <v>0</v>
      </c>
      <c r="AR247" s="29" t="str">
        <f ca="1">IFERROR(__xludf.DUMMYFUNCTION("iferror(if(regexmatch(AO247, ""(?i)^registered""), if(EE247 &lt;&gt; ""polity_shortest_name"", ""CHECK_POLITY"", index(filter(SmartStatus!B$2:B1000, AM247 = SmartStatus!A$2:A1000, not(SmartStatus!C$2:C1000), (isblank(SmartStatus!D$2:D1000)) + ((P247 &lt;&gt; """") * "&amp;"(P247 &lt; SmartStatus!D$2:D1000)), (isblank(SmartStatus!E$2:E1000)) + ((P247 &lt;&gt; """") * (P247 &gt;= SmartStatus!E$2:E1000)), (isblank(SmartStatus!F$2:F1000)) + (((Q247 &lt;&gt; """") * (Q247 &lt; SmartStatus!F$2:F1000)) + ((P247 &lt;&gt; """") * (date(year(P247) + 3, month(P"&amp;"247), day(P247)) &lt; SmartStatus!F$2:F1000))), (isblank(SmartStatus!G$2:G1000)) + (((Q247 &lt;&gt; """") * (Q247 &gt;= SmartStatus!G$2:G1000)) + ((P247 &lt;&gt; """") * (P247 &gt;= SmartStatus!G$2:G1000)))), if(or(regexmatch(B247, ""(?i)^ir [a-z]+ designation$""), N247 &lt;&gt; """&amp;"""), 1, 2))), """"), ""NO_MATCH"")"),"")</f>
        <v/>
      </c>
      <c r="AS247" s="11"/>
      <c r="AT247" s="15"/>
      <c r="AU247" s="11"/>
      <c r="AV247" s="11"/>
      <c r="AW247" s="15"/>
      <c r="AX247" s="15"/>
      <c r="AY247" s="15"/>
      <c r="AZ247" s="11"/>
      <c r="BA247" s="15"/>
      <c r="BB247" s="11"/>
      <c r="BC247" s="11"/>
      <c r="BD247" s="15"/>
      <c r="BE247" s="11"/>
      <c r="BF247" s="11"/>
      <c r="BG247" s="15"/>
      <c r="BH247" s="15"/>
      <c r="BI247" s="15"/>
      <c r="BJ247" s="11"/>
      <c r="BK247" s="15"/>
      <c r="BL247" s="11"/>
      <c r="BM247" s="11"/>
      <c r="BN247" s="15"/>
      <c r="BO247" s="11"/>
      <c r="BP247" s="11"/>
      <c r="BQ247" s="15"/>
      <c r="BR247" s="15"/>
      <c r="BS247" s="15"/>
      <c r="BT247" s="11"/>
      <c r="BU247" s="15"/>
      <c r="BV247" s="11"/>
      <c r="BW247" s="11"/>
      <c r="BX247" s="15"/>
      <c r="BY247" s="11"/>
      <c r="BZ247" s="11"/>
      <c r="CA247" s="15"/>
      <c r="CB247" s="11"/>
      <c r="CC247" s="15"/>
      <c r="CD247" s="11"/>
      <c r="CE247" s="15"/>
      <c r="CF247" s="11"/>
      <c r="CG247" s="11"/>
      <c r="CH247" s="15"/>
      <c r="CI247" s="11"/>
      <c r="CJ247" s="11"/>
      <c r="CK247" s="15"/>
      <c r="CL247" s="11"/>
      <c r="CM247" s="11"/>
      <c r="CN247" s="11"/>
      <c r="CO247" s="11"/>
      <c r="CP247" s="28"/>
      <c r="CQ247" s="28"/>
      <c r="CR247" s="11"/>
      <c r="CS247" s="29"/>
      <c r="CT247" s="11"/>
      <c r="CU247" s="11"/>
      <c r="CV247" s="11"/>
      <c r="CW247" s="11"/>
      <c r="CX247" s="11"/>
      <c r="CY247" s="11"/>
      <c r="CZ247" s="11"/>
      <c r="DA247" s="28"/>
      <c r="DB247" s="28"/>
      <c r="DC247" s="11"/>
      <c r="DD247" s="29"/>
      <c r="DE247" s="11"/>
      <c r="DF247" s="11"/>
      <c r="DG247" s="11"/>
      <c r="DH247" s="11"/>
      <c r="DI247" s="11"/>
      <c r="DJ247" s="11"/>
      <c r="DK247" s="26"/>
      <c r="DL247" s="11"/>
      <c r="DM247" s="29"/>
      <c r="DN247" s="28"/>
      <c r="DO247" s="11"/>
      <c r="DP247" s="11"/>
      <c r="DQ247" s="11"/>
      <c r="DR247" s="29"/>
      <c r="DS247" s="28"/>
      <c r="DT247" s="11"/>
      <c r="DU247" s="26"/>
      <c r="DV247" s="11"/>
      <c r="DW247" s="29"/>
      <c r="DX247" s="28"/>
      <c r="DY247" s="11"/>
      <c r="DZ247" s="26"/>
      <c r="EA247" s="11"/>
      <c r="EB247" s="29"/>
      <c r="EC247" s="28"/>
      <c r="ED247" s="30"/>
      <c r="EE247" s="30" t="str">
        <f ca="1">IFERROR(__xludf.DUMMYFUNCTION("iferror(index(filter('Internal -- Trademark Countries'!E$2:E1000, (AM247 = 'Internal -- Trademark Countries'!B$2:B1000) + (AM247 = 'Internal -- Trademark Countries'!C$2:C1000) + (AM247 = 'Internal -- Trademark Countries'!D$2:D1000)), 1))"),"")</f>
        <v/>
      </c>
      <c r="EF247" s="30" t="e">
        <f ca="1">_xludf.ifs(AM247="", "", COUNTIF('Internal -- Trademark Countries'!B:B,AM247) &gt; 0, "polity_shortest_name", COUNTIF('Internal -- Trademark Countries'!C:C,AM247) &gt; 0, "polity_full_name", COUNTIF('Internal -- Trademark Countries'!D:D,AM247) &gt; 0, "polity_common_name", COUNTIF('Internal -- Trademark Countries'!E:E,AM247) &gt; 0, "shortest_name", COUNTIF('Internal -- Trademark Countries'!A:A,AM247) &gt; 0, "full_name", TRUE, "not a match")</f>
        <v>#NAME?</v>
      </c>
      <c r="EG247" s="30"/>
      <c r="EH247" s="30"/>
      <c r="EI247" s="30"/>
      <c r="EJ247" s="30"/>
      <c r="EK247" s="30" t="str">
        <f t="shared" si="2"/>
        <v/>
      </c>
    </row>
    <row r="248" spans="1:141" ht="16.5">
      <c r="A248" s="11"/>
      <c r="B248" s="11"/>
      <c r="C248" s="11"/>
      <c r="D248" s="11"/>
      <c r="E248" s="11"/>
      <c r="F248" s="11"/>
      <c r="G248" s="11"/>
      <c r="H248" s="11"/>
      <c r="I248" s="11"/>
      <c r="J248" s="11"/>
      <c r="K248" s="27"/>
      <c r="L248" s="11"/>
      <c r="M248" s="11"/>
      <c r="N248" s="11"/>
      <c r="O248" s="11"/>
      <c r="P248" s="15"/>
      <c r="Q248" s="15"/>
      <c r="R248" s="15"/>
      <c r="S248" s="15"/>
      <c r="T248" s="15"/>
      <c r="U248" s="15"/>
      <c r="V248" s="15"/>
      <c r="W248" s="47"/>
      <c r="X248" s="11"/>
      <c r="Y248" s="48"/>
      <c r="Z248" s="11"/>
      <c r="AA248" s="48"/>
      <c r="AB248" s="11"/>
      <c r="AC248" s="48"/>
      <c r="AD248" s="11"/>
      <c r="AE248" s="47"/>
      <c r="AF248" s="11"/>
      <c r="AG248" s="48"/>
      <c r="AH248" s="11"/>
      <c r="AI248" s="48"/>
      <c r="AJ248" s="11"/>
      <c r="AK248" s="48"/>
      <c r="AL248" s="11"/>
      <c r="AM248" s="49"/>
      <c r="AN248" s="49"/>
      <c r="AO248" s="11"/>
      <c r="AP248" s="11"/>
      <c r="AQ248" s="28" t="b">
        <f>IF(COUNTIF(SmartStatus!A$2:A1000, AM248) &gt; 2, TRUE, FALSE)</f>
        <v>0</v>
      </c>
      <c r="AR248" s="29" t="str">
        <f ca="1">IFERROR(__xludf.DUMMYFUNCTION("iferror(if(regexmatch(AO248, ""(?i)^registered""), if(EE248 &lt;&gt; ""polity_shortest_name"", ""CHECK_POLITY"", index(filter(SmartStatus!B$2:B1000, AM248 = SmartStatus!A$2:A1000, not(SmartStatus!C$2:C1000), (isblank(SmartStatus!D$2:D1000)) + ((P248 &lt;&gt; """") * "&amp;"(P248 &lt; SmartStatus!D$2:D1000)), (isblank(SmartStatus!E$2:E1000)) + ((P248 &lt;&gt; """") * (P248 &gt;= SmartStatus!E$2:E1000)), (isblank(SmartStatus!F$2:F1000)) + (((Q248 &lt;&gt; """") * (Q248 &lt; SmartStatus!F$2:F1000)) + ((P248 &lt;&gt; """") * (date(year(P248) + 3, month(P"&amp;"248), day(P248)) &lt; SmartStatus!F$2:F1000))), (isblank(SmartStatus!G$2:G1000)) + (((Q248 &lt;&gt; """") * (Q248 &gt;= SmartStatus!G$2:G1000)) + ((P248 &lt;&gt; """") * (P248 &gt;= SmartStatus!G$2:G1000)))), if(or(regexmatch(B248, ""(?i)^ir [a-z]+ designation$""), N248 &lt;&gt; """&amp;"""), 1, 2))), """"), ""NO_MATCH"")"),"")</f>
        <v/>
      </c>
      <c r="AS248" s="11"/>
      <c r="AT248" s="15"/>
      <c r="AU248" s="11"/>
      <c r="AV248" s="11"/>
      <c r="AW248" s="15"/>
      <c r="AX248" s="15"/>
      <c r="AY248" s="15"/>
      <c r="AZ248" s="11"/>
      <c r="BA248" s="15"/>
      <c r="BB248" s="11"/>
      <c r="BC248" s="11"/>
      <c r="BD248" s="15"/>
      <c r="BE248" s="11"/>
      <c r="BF248" s="11"/>
      <c r="BG248" s="15"/>
      <c r="BH248" s="15"/>
      <c r="BI248" s="15"/>
      <c r="BJ248" s="11"/>
      <c r="BK248" s="15"/>
      <c r="BL248" s="11"/>
      <c r="BM248" s="11"/>
      <c r="BN248" s="15"/>
      <c r="BO248" s="11"/>
      <c r="BP248" s="11"/>
      <c r="BQ248" s="15"/>
      <c r="BR248" s="15"/>
      <c r="BS248" s="15"/>
      <c r="BT248" s="11"/>
      <c r="BU248" s="15"/>
      <c r="BV248" s="11"/>
      <c r="BW248" s="11"/>
      <c r="BX248" s="15"/>
      <c r="BY248" s="11"/>
      <c r="BZ248" s="11"/>
      <c r="CA248" s="15"/>
      <c r="CB248" s="11"/>
      <c r="CC248" s="15"/>
      <c r="CD248" s="11"/>
      <c r="CE248" s="15"/>
      <c r="CF248" s="11"/>
      <c r="CG248" s="11"/>
      <c r="CH248" s="15"/>
      <c r="CI248" s="11"/>
      <c r="CJ248" s="11"/>
      <c r="CK248" s="15"/>
      <c r="CL248" s="11"/>
      <c r="CM248" s="11"/>
      <c r="CN248" s="11"/>
      <c r="CO248" s="11"/>
      <c r="CP248" s="28"/>
      <c r="CQ248" s="28"/>
      <c r="CR248" s="11"/>
      <c r="CS248" s="29"/>
      <c r="CT248" s="11"/>
      <c r="CU248" s="11"/>
      <c r="CV248" s="11"/>
      <c r="CW248" s="11"/>
      <c r="CX248" s="11"/>
      <c r="CY248" s="11"/>
      <c r="CZ248" s="11"/>
      <c r="DA248" s="28"/>
      <c r="DB248" s="28"/>
      <c r="DC248" s="11"/>
      <c r="DD248" s="29"/>
      <c r="DE248" s="11"/>
      <c r="DF248" s="11"/>
      <c r="DG248" s="11"/>
      <c r="DH248" s="11"/>
      <c r="DI248" s="11"/>
      <c r="DJ248" s="11"/>
      <c r="DK248" s="26"/>
      <c r="DL248" s="11"/>
      <c r="DM248" s="29"/>
      <c r="DN248" s="28"/>
      <c r="DO248" s="11"/>
      <c r="DP248" s="11"/>
      <c r="DQ248" s="11"/>
      <c r="DR248" s="29"/>
      <c r="DS248" s="28"/>
      <c r="DT248" s="11"/>
      <c r="DU248" s="26"/>
      <c r="DV248" s="11"/>
      <c r="DW248" s="29"/>
      <c r="DX248" s="28"/>
      <c r="DY248" s="11"/>
      <c r="DZ248" s="26"/>
      <c r="EA248" s="11"/>
      <c r="EB248" s="29"/>
      <c r="EC248" s="28"/>
      <c r="ED248" s="30"/>
      <c r="EE248" s="30" t="str">
        <f ca="1">IFERROR(__xludf.DUMMYFUNCTION("iferror(index(filter('Internal -- Trademark Countries'!E$2:E1000, (AM248 = 'Internal -- Trademark Countries'!B$2:B1000) + (AM248 = 'Internal -- Trademark Countries'!C$2:C1000) + (AM248 = 'Internal -- Trademark Countries'!D$2:D1000)), 1))"),"")</f>
        <v/>
      </c>
      <c r="EF248" s="30" t="e">
        <f ca="1">_xludf.ifs(AM248="", "", COUNTIF('Internal -- Trademark Countries'!B:B,AM248) &gt; 0, "polity_shortest_name", COUNTIF('Internal -- Trademark Countries'!C:C,AM248) &gt; 0, "polity_full_name", COUNTIF('Internal -- Trademark Countries'!D:D,AM248) &gt; 0, "polity_common_name", COUNTIF('Internal -- Trademark Countries'!E:E,AM248) &gt; 0, "shortest_name", COUNTIF('Internal -- Trademark Countries'!A:A,AM248) &gt; 0, "full_name", TRUE, "not a match")</f>
        <v>#NAME?</v>
      </c>
      <c r="EG248" s="30"/>
      <c r="EH248" s="30"/>
      <c r="EI248" s="30"/>
      <c r="EJ248" s="30"/>
      <c r="EK248" s="30" t="str">
        <f t="shared" si="2"/>
        <v/>
      </c>
    </row>
    <row r="249" spans="1:141" ht="16.5">
      <c r="A249" s="11"/>
      <c r="B249" s="11"/>
      <c r="C249" s="11"/>
      <c r="D249" s="11"/>
      <c r="E249" s="11"/>
      <c r="F249" s="11"/>
      <c r="G249" s="11"/>
      <c r="H249" s="11"/>
      <c r="I249" s="11"/>
      <c r="J249" s="11"/>
      <c r="K249" s="27"/>
      <c r="L249" s="11"/>
      <c r="M249" s="11"/>
      <c r="N249" s="11"/>
      <c r="O249" s="11"/>
      <c r="P249" s="15"/>
      <c r="Q249" s="15"/>
      <c r="R249" s="15"/>
      <c r="S249" s="15"/>
      <c r="T249" s="15"/>
      <c r="U249" s="15"/>
      <c r="V249" s="15"/>
      <c r="W249" s="47"/>
      <c r="X249" s="11"/>
      <c r="Y249" s="48"/>
      <c r="Z249" s="11"/>
      <c r="AA249" s="48"/>
      <c r="AB249" s="11"/>
      <c r="AC249" s="48"/>
      <c r="AD249" s="11"/>
      <c r="AE249" s="47"/>
      <c r="AF249" s="11"/>
      <c r="AG249" s="48"/>
      <c r="AH249" s="11"/>
      <c r="AI249" s="48"/>
      <c r="AJ249" s="11"/>
      <c r="AK249" s="48"/>
      <c r="AL249" s="11"/>
      <c r="AM249" s="49"/>
      <c r="AN249" s="49"/>
      <c r="AO249" s="11"/>
      <c r="AP249" s="11"/>
      <c r="AQ249" s="28" t="b">
        <f>IF(COUNTIF(SmartStatus!A$2:A1000, AM249) &gt; 2, TRUE, FALSE)</f>
        <v>0</v>
      </c>
      <c r="AR249" s="29" t="str">
        <f ca="1">IFERROR(__xludf.DUMMYFUNCTION("iferror(if(regexmatch(AO249, ""(?i)^registered""), if(EE249 &lt;&gt; ""polity_shortest_name"", ""CHECK_POLITY"", index(filter(SmartStatus!B$2:B1000, AM249 = SmartStatus!A$2:A1000, not(SmartStatus!C$2:C1000), (isblank(SmartStatus!D$2:D1000)) + ((P249 &lt;&gt; """") * "&amp;"(P249 &lt; SmartStatus!D$2:D1000)), (isblank(SmartStatus!E$2:E1000)) + ((P249 &lt;&gt; """") * (P249 &gt;= SmartStatus!E$2:E1000)), (isblank(SmartStatus!F$2:F1000)) + (((Q249 &lt;&gt; """") * (Q249 &lt; SmartStatus!F$2:F1000)) + ((P249 &lt;&gt; """") * (date(year(P249) + 3, month(P"&amp;"249), day(P249)) &lt; SmartStatus!F$2:F1000))), (isblank(SmartStatus!G$2:G1000)) + (((Q249 &lt;&gt; """") * (Q249 &gt;= SmartStatus!G$2:G1000)) + ((P249 &lt;&gt; """") * (P249 &gt;= SmartStatus!G$2:G1000)))), if(or(regexmatch(B249, ""(?i)^ir [a-z]+ designation$""), N249 &lt;&gt; """&amp;"""), 1, 2))), """"), ""NO_MATCH"")"),"")</f>
        <v/>
      </c>
      <c r="AS249" s="11"/>
      <c r="AT249" s="15"/>
      <c r="AU249" s="11"/>
      <c r="AV249" s="11"/>
      <c r="AW249" s="15"/>
      <c r="AX249" s="15"/>
      <c r="AY249" s="15"/>
      <c r="AZ249" s="11"/>
      <c r="BA249" s="15"/>
      <c r="BB249" s="11"/>
      <c r="BC249" s="11"/>
      <c r="BD249" s="15"/>
      <c r="BE249" s="11"/>
      <c r="BF249" s="11"/>
      <c r="BG249" s="15"/>
      <c r="BH249" s="15"/>
      <c r="BI249" s="15"/>
      <c r="BJ249" s="11"/>
      <c r="BK249" s="15"/>
      <c r="BL249" s="11"/>
      <c r="BM249" s="11"/>
      <c r="BN249" s="15"/>
      <c r="BO249" s="11"/>
      <c r="BP249" s="11"/>
      <c r="BQ249" s="15"/>
      <c r="BR249" s="15"/>
      <c r="BS249" s="15"/>
      <c r="BT249" s="11"/>
      <c r="BU249" s="15"/>
      <c r="BV249" s="11"/>
      <c r="BW249" s="11"/>
      <c r="BX249" s="15"/>
      <c r="BY249" s="11"/>
      <c r="BZ249" s="11"/>
      <c r="CA249" s="15"/>
      <c r="CB249" s="11"/>
      <c r="CC249" s="15"/>
      <c r="CD249" s="11"/>
      <c r="CE249" s="15"/>
      <c r="CF249" s="11"/>
      <c r="CG249" s="11"/>
      <c r="CH249" s="15"/>
      <c r="CI249" s="11"/>
      <c r="CJ249" s="11"/>
      <c r="CK249" s="15"/>
      <c r="CL249" s="11"/>
      <c r="CM249" s="11"/>
      <c r="CN249" s="11"/>
      <c r="CO249" s="11"/>
      <c r="CP249" s="28"/>
      <c r="CQ249" s="28"/>
      <c r="CR249" s="11"/>
      <c r="CS249" s="29"/>
      <c r="CT249" s="11"/>
      <c r="CU249" s="11"/>
      <c r="CV249" s="11"/>
      <c r="CW249" s="11"/>
      <c r="CX249" s="11"/>
      <c r="CY249" s="11"/>
      <c r="CZ249" s="11"/>
      <c r="DA249" s="28"/>
      <c r="DB249" s="28"/>
      <c r="DC249" s="11"/>
      <c r="DD249" s="29"/>
      <c r="DE249" s="11"/>
      <c r="DF249" s="11"/>
      <c r="DG249" s="11"/>
      <c r="DH249" s="11"/>
      <c r="DI249" s="11"/>
      <c r="DJ249" s="11"/>
      <c r="DK249" s="26"/>
      <c r="DL249" s="11"/>
      <c r="DM249" s="29"/>
      <c r="DN249" s="28"/>
      <c r="DO249" s="11"/>
      <c r="DP249" s="11"/>
      <c r="DQ249" s="11"/>
      <c r="DR249" s="29"/>
      <c r="DS249" s="28"/>
      <c r="DT249" s="11"/>
      <c r="DU249" s="26"/>
      <c r="DV249" s="11"/>
      <c r="DW249" s="29"/>
      <c r="DX249" s="28"/>
      <c r="DY249" s="11"/>
      <c r="DZ249" s="26"/>
      <c r="EA249" s="11"/>
      <c r="EB249" s="29"/>
      <c r="EC249" s="28"/>
      <c r="ED249" s="30"/>
      <c r="EE249" s="30" t="str">
        <f ca="1">IFERROR(__xludf.DUMMYFUNCTION("iferror(index(filter('Internal -- Trademark Countries'!E$2:E1000, (AM249 = 'Internal -- Trademark Countries'!B$2:B1000) + (AM249 = 'Internal -- Trademark Countries'!C$2:C1000) + (AM249 = 'Internal -- Trademark Countries'!D$2:D1000)), 1))"),"")</f>
        <v/>
      </c>
      <c r="EF249" s="30" t="e">
        <f ca="1">_xludf.ifs(AM249="", "", COUNTIF('Internal -- Trademark Countries'!B:B,AM249) &gt; 0, "polity_shortest_name", COUNTIF('Internal -- Trademark Countries'!C:C,AM249) &gt; 0, "polity_full_name", COUNTIF('Internal -- Trademark Countries'!D:D,AM249) &gt; 0, "polity_common_name", COUNTIF('Internal -- Trademark Countries'!E:E,AM249) &gt; 0, "shortest_name", COUNTIF('Internal -- Trademark Countries'!A:A,AM249) &gt; 0, "full_name", TRUE, "not a match")</f>
        <v>#NAME?</v>
      </c>
      <c r="EG249" s="30"/>
      <c r="EH249" s="30"/>
      <c r="EI249" s="30"/>
      <c r="EJ249" s="30"/>
      <c r="EK249" s="30" t="str">
        <f t="shared" si="2"/>
        <v/>
      </c>
    </row>
    <row r="250" spans="1:141" ht="16.5">
      <c r="A250" s="11"/>
      <c r="B250" s="11"/>
      <c r="C250" s="11"/>
      <c r="D250" s="11"/>
      <c r="E250" s="11"/>
      <c r="F250" s="11"/>
      <c r="G250" s="11"/>
      <c r="H250" s="11"/>
      <c r="I250" s="11"/>
      <c r="J250" s="11"/>
      <c r="K250" s="27"/>
      <c r="L250" s="11"/>
      <c r="M250" s="11"/>
      <c r="N250" s="11"/>
      <c r="O250" s="11"/>
      <c r="P250" s="15"/>
      <c r="Q250" s="15"/>
      <c r="R250" s="15"/>
      <c r="S250" s="15"/>
      <c r="T250" s="15"/>
      <c r="U250" s="15"/>
      <c r="V250" s="15"/>
      <c r="W250" s="47"/>
      <c r="X250" s="11"/>
      <c r="Y250" s="48"/>
      <c r="Z250" s="11"/>
      <c r="AA250" s="48"/>
      <c r="AB250" s="11"/>
      <c r="AC250" s="48"/>
      <c r="AD250" s="11"/>
      <c r="AE250" s="47"/>
      <c r="AF250" s="11"/>
      <c r="AG250" s="48"/>
      <c r="AH250" s="11"/>
      <c r="AI250" s="48"/>
      <c r="AJ250" s="11"/>
      <c r="AK250" s="48"/>
      <c r="AL250" s="11"/>
      <c r="AM250" s="49"/>
      <c r="AN250" s="49"/>
      <c r="AO250" s="11"/>
      <c r="AP250" s="11"/>
      <c r="AQ250" s="28" t="b">
        <f>IF(COUNTIF(SmartStatus!A$2:A1000, AM250) &gt; 2, TRUE, FALSE)</f>
        <v>0</v>
      </c>
      <c r="AR250" s="29" t="str">
        <f ca="1">IFERROR(__xludf.DUMMYFUNCTION("iferror(if(regexmatch(AO250, ""(?i)^registered""), if(EE250 &lt;&gt; ""polity_shortest_name"", ""CHECK_POLITY"", index(filter(SmartStatus!B$2:B1000, AM250 = SmartStatus!A$2:A1000, not(SmartStatus!C$2:C1000), (isblank(SmartStatus!D$2:D1000)) + ((P250 &lt;&gt; """") * "&amp;"(P250 &lt; SmartStatus!D$2:D1000)), (isblank(SmartStatus!E$2:E1000)) + ((P250 &lt;&gt; """") * (P250 &gt;= SmartStatus!E$2:E1000)), (isblank(SmartStatus!F$2:F1000)) + (((Q250 &lt;&gt; """") * (Q250 &lt; SmartStatus!F$2:F1000)) + ((P250 &lt;&gt; """") * (date(year(P250) + 3, month(P"&amp;"250), day(P250)) &lt; SmartStatus!F$2:F1000))), (isblank(SmartStatus!G$2:G1000)) + (((Q250 &lt;&gt; """") * (Q250 &gt;= SmartStatus!G$2:G1000)) + ((P250 &lt;&gt; """") * (P250 &gt;= SmartStatus!G$2:G1000)))), if(or(regexmatch(B250, ""(?i)^ir [a-z]+ designation$""), N250 &lt;&gt; """&amp;"""), 1, 2))), """"), ""NO_MATCH"")"),"")</f>
        <v/>
      </c>
      <c r="AS250" s="11"/>
      <c r="AT250" s="15"/>
      <c r="AU250" s="11"/>
      <c r="AV250" s="11"/>
      <c r="AW250" s="15"/>
      <c r="AX250" s="15"/>
      <c r="AY250" s="15"/>
      <c r="AZ250" s="11"/>
      <c r="BA250" s="15"/>
      <c r="BB250" s="11"/>
      <c r="BC250" s="11"/>
      <c r="BD250" s="15"/>
      <c r="BE250" s="11"/>
      <c r="BF250" s="11"/>
      <c r="BG250" s="15"/>
      <c r="BH250" s="15"/>
      <c r="BI250" s="15"/>
      <c r="BJ250" s="11"/>
      <c r="BK250" s="15"/>
      <c r="BL250" s="11"/>
      <c r="BM250" s="11"/>
      <c r="BN250" s="15"/>
      <c r="BO250" s="11"/>
      <c r="BP250" s="11"/>
      <c r="BQ250" s="15"/>
      <c r="BR250" s="15"/>
      <c r="BS250" s="15"/>
      <c r="BT250" s="11"/>
      <c r="BU250" s="15"/>
      <c r="BV250" s="11"/>
      <c r="BW250" s="11"/>
      <c r="BX250" s="15"/>
      <c r="BY250" s="11"/>
      <c r="BZ250" s="11"/>
      <c r="CA250" s="15"/>
      <c r="CB250" s="11"/>
      <c r="CC250" s="15"/>
      <c r="CD250" s="11"/>
      <c r="CE250" s="15"/>
      <c r="CF250" s="11"/>
      <c r="CG250" s="11"/>
      <c r="CH250" s="15"/>
      <c r="CI250" s="11"/>
      <c r="CJ250" s="11"/>
      <c r="CK250" s="15"/>
      <c r="CL250" s="11"/>
      <c r="CM250" s="11"/>
      <c r="CN250" s="11"/>
      <c r="CO250" s="11"/>
      <c r="CP250" s="28"/>
      <c r="CQ250" s="28"/>
      <c r="CR250" s="11"/>
      <c r="CS250" s="29"/>
      <c r="CT250" s="11"/>
      <c r="CU250" s="11"/>
      <c r="CV250" s="11"/>
      <c r="CW250" s="11"/>
      <c r="CX250" s="11"/>
      <c r="CY250" s="11"/>
      <c r="CZ250" s="11"/>
      <c r="DA250" s="28"/>
      <c r="DB250" s="28"/>
      <c r="DC250" s="11"/>
      <c r="DD250" s="29"/>
      <c r="DE250" s="11"/>
      <c r="DF250" s="11"/>
      <c r="DG250" s="11"/>
      <c r="DH250" s="11"/>
      <c r="DI250" s="11"/>
      <c r="DJ250" s="11"/>
      <c r="DK250" s="26"/>
      <c r="DL250" s="11"/>
      <c r="DM250" s="29"/>
      <c r="DN250" s="28"/>
      <c r="DO250" s="11"/>
      <c r="DP250" s="11"/>
      <c r="DQ250" s="11"/>
      <c r="DR250" s="29"/>
      <c r="DS250" s="28"/>
      <c r="DT250" s="11"/>
      <c r="DU250" s="26"/>
      <c r="DV250" s="11"/>
      <c r="DW250" s="29"/>
      <c r="DX250" s="28"/>
      <c r="DY250" s="11"/>
      <c r="DZ250" s="26"/>
      <c r="EA250" s="11"/>
      <c r="EB250" s="29"/>
      <c r="EC250" s="28"/>
      <c r="ED250" s="30"/>
      <c r="EE250" s="30" t="str">
        <f ca="1">IFERROR(__xludf.DUMMYFUNCTION("iferror(index(filter('Internal -- Trademark Countries'!E$2:E1000, (AM250 = 'Internal -- Trademark Countries'!B$2:B1000) + (AM250 = 'Internal -- Trademark Countries'!C$2:C1000) + (AM250 = 'Internal -- Trademark Countries'!D$2:D1000)), 1))"),"")</f>
        <v/>
      </c>
      <c r="EF250" s="30" t="e">
        <f ca="1">_xludf.ifs(AM250="", "", COUNTIF('Internal -- Trademark Countries'!B:B,AM250) &gt; 0, "polity_shortest_name", COUNTIF('Internal -- Trademark Countries'!C:C,AM250) &gt; 0, "polity_full_name", COUNTIF('Internal -- Trademark Countries'!D:D,AM250) &gt; 0, "polity_common_name", COUNTIF('Internal -- Trademark Countries'!E:E,AM250) &gt; 0, "shortest_name", COUNTIF('Internal -- Trademark Countries'!A:A,AM250) &gt; 0, "full_name", TRUE, "not a match")</f>
        <v>#NAME?</v>
      </c>
      <c r="EG250" s="30"/>
      <c r="EH250" s="30"/>
      <c r="EI250" s="30"/>
      <c r="EJ250" s="30"/>
      <c r="EK250" s="30" t="str">
        <f t="shared" si="2"/>
        <v/>
      </c>
    </row>
    <row r="251" spans="1:141" ht="16.5">
      <c r="A251" s="11"/>
      <c r="B251" s="11"/>
      <c r="C251" s="11"/>
      <c r="D251" s="11"/>
      <c r="E251" s="11"/>
      <c r="F251" s="11"/>
      <c r="G251" s="11"/>
      <c r="H251" s="11"/>
      <c r="I251" s="11"/>
      <c r="J251" s="11"/>
      <c r="K251" s="27"/>
      <c r="L251" s="11"/>
      <c r="M251" s="11"/>
      <c r="N251" s="11"/>
      <c r="O251" s="11"/>
      <c r="P251" s="15"/>
      <c r="Q251" s="15"/>
      <c r="R251" s="15"/>
      <c r="S251" s="15"/>
      <c r="T251" s="15"/>
      <c r="U251" s="15"/>
      <c r="V251" s="15"/>
      <c r="W251" s="47"/>
      <c r="X251" s="11"/>
      <c r="Y251" s="48"/>
      <c r="Z251" s="11"/>
      <c r="AA251" s="48"/>
      <c r="AB251" s="11"/>
      <c r="AC251" s="48"/>
      <c r="AD251" s="11"/>
      <c r="AE251" s="47"/>
      <c r="AF251" s="11"/>
      <c r="AG251" s="48"/>
      <c r="AH251" s="11"/>
      <c r="AI251" s="48"/>
      <c r="AJ251" s="11"/>
      <c r="AK251" s="48"/>
      <c r="AL251" s="11"/>
      <c r="AM251" s="49"/>
      <c r="AN251" s="49"/>
      <c r="AO251" s="11"/>
      <c r="AP251" s="11"/>
      <c r="AQ251" s="28" t="b">
        <f>IF(COUNTIF(SmartStatus!A$2:A1000, AM251) &gt; 2, TRUE, FALSE)</f>
        <v>0</v>
      </c>
      <c r="AR251" s="29" t="str">
        <f ca="1">IFERROR(__xludf.DUMMYFUNCTION("iferror(if(regexmatch(AO251, ""(?i)^registered""), if(EE251 &lt;&gt; ""polity_shortest_name"", ""CHECK_POLITY"", index(filter(SmartStatus!B$2:B1000, AM251 = SmartStatus!A$2:A1000, not(SmartStatus!C$2:C1000), (isblank(SmartStatus!D$2:D1000)) + ((P251 &lt;&gt; """") * "&amp;"(P251 &lt; SmartStatus!D$2:D1000)), (isblank(SmartStatus!E$2:E1000)) + ((P251 &lt;&gt; """") * (P251 &gt;= SmartStatus!E$2:E1000)), (isblank(SmartStatus!F$2:F1000)) + (((Q251 &lt;&gt; """") * (Q251 &lt; SmartStatus!F$2:F1000)) + ((P251 &lt;&gt; """") * (date(year(P251) + 3, month(P"&amp;"251), day(P251)) &lt; SmartStatus!F$2:F1000))), (isblank(SmartStatus!G$2:G1000)) + (((Q251 &lt;&gt; """") * (Q251 &gt;= SmartStatus!G$2:G1000)) + ((P251 &lt;&gt; """") * (P251 &gt;= SmartStatus!G$2:G1000)))), if(or(regexmatch(B251, ""(?i)^ir [a-z]+ designation$""), N251 &lt;&gt; """&amp;"""), 1, 2))), """"), ""NO_MATCH"")"),"")</f>
        <v/>
      </c>
      <c r="AS251" s="11"/>
      <c r="AT251" s="15"/>
      <c r="AU251" s="11"/>
      <c r="AV251" s="11"/>
      <c r="AW251" s="15"/>
      <c r="AX251" s="15"/>
      <c r="AY251" s="15"/>
      <c r="AZ251" s="11"/>
      <c r="BA251" s="15"/>
      <c r="BB251" s="11"/>
      <c r="BC251" s="11"/>
      <c r="BD251" s="15"/>
      <c r="BE251" s="11"/>
      <c r="BF251" s="11"/>
      <c r="BG251" s="15"/>
      <c r="BH251" s="15"/>
      <c r="BI251" s="15"/>
      <c r="BJ251" s="11"/>
      <c r="BK251" s="15"/>
      <c r="BL251" s="11"/>
      <c r="BM251" s="11"/>
      <c r="BN251" s="15"/>
      <c r="BO251" s="11"/>
      <c r="BP251" s="11"/>
      <c r="BQ251" s="15"/>
      <c r="BR251" s="15"/>
      <c r="BS251" s="15"/>
      <c r="BT251" s="11"/>
      <c r="BU251" s="15"/>
      <c r="BV251" s="11"/>
      <c r="BW251" s="11"/>
      <c r="BX251" s="15"/>
      <c r="BY251" s="11"/>
      <c r="BZ251" s="11"/>
      <c r="CA251" s="15"/>
      <c r="CB251" s="11"/>
      <c r="CC251" s="15"/>
      <c r="CD251" s="11"/>
      <c r="CE251" s="15"/>
      <c r="CF251" s="11"/>
      <c r="CG251" s="11"/>
      <c r="CH251" s="15"/>
      <c r="CI251" s="11"/>
      <c r="CJ251" s="11"/>
      <c r="CK251" s="15"/>
      <c r="CL251" s="11"/>
      <c r="CM251" s="11"/>
      <c r="CN251" s="11"/>
      <c r="CO251" s="11"/>
      <c r="CP251" s="28"/>
      <c r="CQ251" s="28"/>
      <c r="CR251" s="11"/>
      <c r="CS251" s="29"/>
      <c r="CT251" s="11"/>
      <c r="CU251" s="11"/>
      <c r="CV251" s="11"/>
      <c r="CW251" s="11"/>
      <c r="CX251" s="11"/>
      <c r="CY251" s="11"/>
      <c r="CZ251" s="11"/>
      <c r="DA251" s="28"/>
      <c r="DB251" s="28"/>
      <c r="DC251" s="11"/>
      <c r="DD251" s="29"/>
      <c r="DE251" s="11"/>
      <c r="DF251" s="11"/>
      <c r="DG251" s="11"/>
      <c r="DH251" s="11"/>
      <c r="DI251" s="11"/>
      <c r="DJ251" s="11"/>
      <c r="DK251" s="26"/>
      <c r="DL251" s="11"/>
      <c r="DM251" s="29"/>
      <c r="DN251" s="28"/>
      <c r="DO251" s="11"/>
      <c r="DP251" s="11"/>
      <c r="DQ251" s="11"/>
      <c r="DR251" s="29"/>
      <c r="DS251" s="28"/>
      <c r="DT251" s="11"/>
      <c r="DU251" s="26"/>
      <c r="DV251" s="11"/>
      <c r="DW251" s="29"/>
      <c r="DX251" s="28"/>
      <c r="DY251" s="11"/>
      <c r="DZ251" s="26"/>
      <c r="EA251" s="11"/>
      <c r="EB251" s="29"/>
      <c r="EC251" s="28"/>
      <c r="ED251" s="30"/>
      <c r="EE251" s="30" t="str">
        <f ca="1">IFERROR(__xludf.DUMMYFUNCTION("iferror(index(filter('Internal -- Trademark Countries'!E$2:E1000, (AM251 = 'Internal -- Trademark Countries'!B$2:B1000) + (AM251 = 'Internal -- Trademark Countries'!C$2:C1000) + (AM251 = 'Internal -- Trademark Countries'!D$2:D1000)), 1))"),"")</f>
        <v/>
      </c>
      <c r="EF251" s="30" t="e">
        <f ca="1">_xludf.ifs(AM251="", "", COUNTIF('Internal -- Trademark Countries'!B:B,AM251) &gt; 0, "polity_shortest_name", COUNTIF('Internal -- Trademark Countries'!C:C,AM251) &gt; 0, "polity_full_name", COUNTIF('Internal -- Trademark Countries'!D:D,AM251) &gt; 0, "polity_common_name", COUNTIF('Internal -- Trademark Countries'!E:E,AM251) &gt; 0, "shortest_name", COUNTIF('Internal -- Trademark Countries'!A:A,AM251) &gt; 0, "full_name", TRUE, "not a match")</f>
        <v>#NAME?</v>
      </c>
      <c r="EG251" s="30"/>
      <c r="EH251" s="30"/>
      <c r="EI251" s="30"/>
      <c r="EJ251" s="30"/>
      <c r="EK251" s="30" t="str">
        <f t="shared" si="2"/>
        <v/>
      </c>
    </row>
    <row r="252" spans="1:141" ht="16.5">
      <c r="A252" s="11"/>
      <c r="B252" s="11"/>
      <c r="C252" s="11"/>
      <c r="D252" s="11"/>
      <c r="E252" s="11"/>
      <c r="F252" s="11"/>
      <c r="G252" s="11"/>
      <c r="H252" s="11"/>
      <c r="I252" s="11"/>
      <c r="J252" s="11"/>
      <c r="K252" s="27"/>
      <c r="L252" s="11"/>
      <c r="M252" s="11"/>
      <c r="N252" s="11"/>
      <c r="O252" s="11"/>
      <c r="P252" s="15"/>
      <c r="Q252" s="15"/>
      <c r="R252" s="15"/>
      <c r="S252" s="15"/>
      <c r="T252" s="15"/>
      <c r="U252" s="15"/>
      <c r="V252" s="15"/>
      <c r="W252" s="47"/>
      <c r="X252" s="11"/>
      <c r="Y252" s="48"/>
      <c r="Z252" s="11"/>
      <c r="AA252" s="48"/>
      <c r="AB252" s="11"/>
      <c r="AC252" s="48"/>
      <c r="AD252" s="11"/>
      <c r="AE252" s="47"/>
      <c r="AF252" s="11"/>
      <c r="AG252" s="48"/>
      <c r="AH252" s="11"/>
      <c r="AI252" s="48"/>
      <c r="AJ252" s="11"/>
      <c r="AK252" s="48"/>
      <c r="AL252" s="11"/>
      <c r="AM252" s="49"/>
      <c r="AN252" s="49"/>
      <c r="AO252" s="11"/>
      <c r="AP252" s="11"/>
      <c r="AQ252" s="28" t="b">
        <f>IF(COUNTIF(SmartStatus!A$2:A1000, AM252) &gt; 2, TRUE, FALSE)</f>
        <v>0</v>
      </c>
      <c r="AR252" s="29" t="str">
        <f ca="1">IFERROR(__xludf.DUMMYFUNCTION("iferror(if(regexmatch(AO252, ""(?i)^registered""), if(EE252 &lt;&gt; ""polity_shortest_name"", ""CHECK_POLITY"", index(filter(SmartStatus!B$2:B1000, AM252 = SmartStatus!A$2:A1000, not(SmartStatus!C$2:C1000), (isblank(SmartStatus!D$2:D1000)) + ((P252 &lt;&gt; """") * "&amp;"(P252 &lt; SmartStatus!D$2:D1000)), (isblank(SmartStatus!E$2:E1000)) + ((P252 &lt;&gt; """") * (P252 &gt;= SmartStatus!E$2:E1000)), (isblank(SmartStatus!F$2:F1000)) + (((Q252 &lt;&gt; """") * (Q252 &lt; SmartStatus!F$2:F1000)) + ((P252 &lt;&gt; """") * (date(year(P252) + 3, month(P"&amp;"252), day(P252)) &lt; SmartStatus!F$2:F1000))), (isblank(SmartStatus!G$2:G1000)) + (((Q252 &lt;&gt; """") * (Q252 &gt;= SmartStatus!G$2:G1000)) + ((P252 &lt;&gt; """") * (P252 &gt;= SmartStatus!G$2:G1000)))), if(or(regexmatch(B252, ""(?i)^ir [a-z]+ designation$""), N252 &lt;&gt; """&amp;"""), 1, 2))), """"), ""NO_MATCH"")"),"")</f>
        <v/>
      </c>
      <c r="AS252" s="11"/>
      <c r="AT252" s="15"/>
      <c r="AU252" s="11"/>
      <c r="AV252" s="11"/>
      <c r="AW252" s="15"/>
      <c r="AX252" s="15"/>
      <c r="AY252" s="15"/>
      <c r="AZ252" s="11"/>
      <c r="BA252" s="15"/>
      <c r="BB252" s="11"/>
      <c r="BC252" s="11"/>
      <c r="BD252" s="15"/>
      <c r="BE252" s="11"/>
      <c r="BF252" s="11"/>
      <c r="BG252" s="15"/>
      <c r="BH252" s="15"/>
      <c r="BI252" s="15"/>
      <c r="BJ252" s="11"/>
      <c r="BK252" s="15"/>
      <c r="BL252" s="11"/>
      <c r="BM252" s="11"/>
      <c r="BN252" s="15"/>
      <c r="BO252" s="11"/>
      <c r="BP252" s="11"/>
      <c r="BQ252" s="15"/>
      <c r="BR252" s="15"/>
      <c r="BS252" s="15"/>
      <c r="BT252" s="11"/>
      <c r="BU252" s="15"/>
      <c r="BV252" s="11"/>
      <c r="BW252" s="11"/>
      <c r="BX252" s="15"/>
      <c r="BY252" s="11"/>
      <c r="BZ252" s="11"/>
      <c r="CA252" s="15"/>
      <c r="CB252" s="11"/>
      <c r="CC252" s="15"/>
      <c r="CD252" s="11"/>
      <c r="CE252" s="15"/>
      <c r="CF252" s="11"/>
      <c r="CG252" s="11"/>
      <c r="CH252" s="15"/>
      <c r="CI252" s="11"/>
      <c r="CJ252" s="11"/>
      <c r="CK252" s="15"/>
      <c r="CL252" s="11"/>
      <c r="CM252" s="11"/>
      <c r="CN252" s="11"/>
      <c r="CO252" s="11"/>
      <c r="CP252" s="28"/>
      <c r="CQ252" s="28"/>
      <c r="CR252" s="11"/>
      <c r="CS252" s="29"/>
      <c r="CT252" s="11"/>
      <c r="CU252" s="11"/>
      <c r="CV252" s="11"/>
      <c r="CW252" s="11"/>
      <c r="CX252" s="11"/>
      <c r="CY252" s="11"/>
      <c r="CZ252" s="11"/>
      <c r="DA252" s="28"/>
      <c r="DB252" s="28"/>
      <c r="DC252" s="11"/>
      <c r="DD252" s="29"/>
      <c r="DE252" s="11"/>
      <c r="DF252" s="11"/>
      <c r="DG252" s="11"/>
      <c r="DH252" s="11"/>
      <c r="DI252" s="11"/>
      <c r="DJ252" s="11"/>
      <c r="DK252" s="26"/>
      <c r="DL252" s="11"/>
      <c r="DM252" s="29"/>
      <c r="DN252" s="28"/>
      <c r="DO252" s="11"/>
      <c r="DP252" s="11"/>
      <c r="DQ252" s="11"/>
      <c r="DR252" s="29"/>
      <c r="DS252" s="28"/>
      <c r="DT252" s="11"/>
      <c r="DU252" s="26"/>
      <c r="DV252" s="11"/>
      <c r="DW252" s="29"/>
      <c r="DX252" s="28"/>
      <c r="DY252" s="11"/>
      <c r="DZ252" s="26"/>
      <c r="EA252" s="11"/>
      <c r="EB252" s="29"/>
      <c r="EC252" s="28"/>
      <c r="ED252" s="30"/>
      <c r="EE252" s="30" t="str">
        <f ca="1">IFERROR(__xludf.DUMMYFUNCTION("iferror(index(filter('Internal -- Trademark Countries'!E$2:E1000, (AM252 = 'Internal -- Trademark Countries'!B$2:B1000) + (AM252 = 'Internal -- Trademark Countries'!C$2:C1000) + (AM252 = 'Internal -- Trademark Countries'!D$2:D1000)), 1))"),"")</f>
        <v/>
      </c>
      <c r="EF252" s="30" t="e">
        <f ca="1">_xludf.ifs(AM252="", "", COUNTIF('Internal -- Trademark Countries'!B:B,AM252) &gt; 0, "polity_shortest_name", COUNTIF('Internal -- Trademark Countries'!C:C,AM252) &gt; 0, "polity_full_name", COUNTIF('Internal -- Trademark Countries'!D:D,AM252) &gt; 0, "polity_common_name", COUNTIF('Internal -- Trademark Countries'!E:E,AM252) &gt; 0, "shortest_name", COUNTIF('Internal -- Trademark Countries'!A:A,AM252) &gt; 0, "full_name", TRUE, "not a match")</f>
        <v>#NAME?</v>
      </c>
      <c r="EG252" s="30"/>
      <c r="EH252" s="30"/>
      <c r="EI252" s="30"/>
      <c r="EJ252" s="30"/>
      <c r="EK252" s="30" t="str">
        <f t="shared" si="2"/>
        <v/>
      </c>
    </row>
    <row r="253" spans="1:141" ht="16.5">
      <c r="A253" s="11"/>
      <c r="B253" s="11"/>
      <c r="C253" s="11"/>
      <c r="D253" s="11"/>
      <c r="E253" s="11"/>
      <c r="F253" s="11"/>
      <c r="G253" s="11"/>
      <c r="H253" s="11"/>
      <c r="I253" s="11"/>
      <c r="J253" s="11"/>
      <c r="K253" s="27"/>
      <c r="L253" s="11"/>
      <c r="M253" s="11"/>
      <c r="N253" s="11"/>
      <c r="O253" s="11"/>
      <c r="P253" s="15"/>
      <c r="Q253" s="15"/>
      <c r="R253" s="15"/>
      <c r="S253" s="15"/>
      <c r="T253" s="15"/>
      <c r="U253" s="15"/>
      <c r="V253" s="15"/>
      <c r="W253" s="47"/>
      <c r="X253" s="11"/>
      <c r="Y253" s="48"/>
      <c r="Z253" s="11"/>
      <c r="AA253" s="48"/>
      <c r="AB253" s="11"/>
      <c r="AC253" s="48"/>
      <c r="AD253" s="11"/>
      <c r="AE253" s="47"/>
      <c r="AF253" s="11"/>
      <c r="AG253" s="48"/>
      <c r="AH253" s="11"/>
      <c r="AI253" s="48"/>
      <c r="AJ253" s="11"/>
      <c r="AK253" s="48"/>
      <c r="AL253" s="11"/>
      <c r="AM253" s="49"/>
      <c r="AN253" s="49"/>
      <c r="AO253" s="11"/>
      <c r="AP253" s="11"/>
      <c r="AQ253" s="28" t="b">
        <f>IF(COUNTIF(SmartStatus!A$2:A1000, AM253) &gt; 2, TRUE, FALSE)</f>
        <v>0</v>
      </c>
      <c r="AR253" s="29" t="str">
        <f ca="1">IFERROR(__xludf.DUMMYFUNCTION("iferror(if(regexmatch(AO253, ""(?i)^registered""), if(EE253 &lt;&gt; ""polity_shortest_name"", ""CHECK_POLITY"", index(filter(SmartStatus!B$2:B1000, AM253 = SmartStatus!A$2:A1000, not(SmartStatus!C$2:C1000), (isblank(SmartStatus!D$2:D1000)) + ((P253 &lt;&gt; """") * "&amp;"(P253 &lt; SmartStatus!D$2:D1000)), (isblank(SmartStatus!E$2:E1000)) + ((P253 &lt;&gt; """") * (P253 &gt;= SmartStatus!E$2:E1000)), (isblank(SmartStatus!F$2:F1000)) + (((Q253 &lt;&gt; """") * (Q253 &lt; SmartStatus!F$2:F1000)) + ((P253 &lt;&gt; """") * (date(year(P253) + 3, month(P"&amp;"253), day(P253)) &lt; SmartStatus!F$2:F1000))), (isblank(SmartStatus!G$2:G1000)) + (((Q253 &lt;&gt; """") * (Q253 &gt;= SmartStatus!G$2:G1000)) + ((P253 &lt;&gt; """") * (P253 &gt;= SmartStatus!G$2:G1000)))), if(or(regexmatch(B253, ""(?i)^ir [a-z]+ designation$""), N253 &lt;&gt; """&amp;"""), 1, 2))), """"), ""NO_MATCH"")"),"")</f>
        <v/>
      </c>
      <c r="AS253" s="11"/>
      <c r="AT253" s="15"/>
      <c r="AU253" s="11"/>
      <c r="AV253" s="11"/>
      <c r="AW253" s="15"/>
      <c r="AX253" s="15"/>
      <c r="AY253" s="15"/>
      <c r="AZ253" s="11"/>
      <c r="BA253" s="15"/>
      <c r="BB253" s="11"/>
      <c r="BC253" s="11"/>
      <c r="BD253" s="15"/>
      <c r="BE253" s="11"/>
      <c r="BF253" s="11"/>
      <c r="BG253" s="15"/>
      <c r="BH253" s="15"/>
      <c r="BI253" s="15"/>
      <c r="BJ253" s="11"/>
      <c r="BK253" s="15"/>
      <c r="BL253" s="11"/>
      <c r="BM253" s="11"/>
      <c r="BN253" s="15"/>
      <c r="BO253" s="11"/>
      <c r="BP253" s="11"/>
      <c r="BQ253" s="15"/>
      <c r="BR253" s="15"/>
      <c r="BS253" s="15"/>
      <c r="BT253" s="11"/>
      <c r="BU253" s="15"/>
      <c r="BV253" s="11"/>
      <c r="BW253" s="11"/>
      <c r="BX253" s="15"/>
      <c r="BY253" s="11"/>
      <c r="BZ253" s="11"/>
      <c r="CA253" s="15"/>
      <c r="CB253" s="11"/>
      <c r="CC253" s="15"/>
      <c r="CD253" s="11"/>
      <c r="CE253" s="15"/>
      <c r="CF253" s="11"/>
      <c r="CG253" s="11"/>
      <c r="CH253" s="15"/>
      <c r="CI253" s="11"/>
      <c r="CJ253" s="11"/>
      <c r="CK253" s="15"/>
      <c r="CL253" s="11"/>
      <c r="CM253" s="11"/>
      <c r="CN253" s="11"/>
      <c r="CO253" s="11"/>
      <c r="CP253" s="28"/>
      <c r="CQ253" s="28"/>
      <c r="CR253" s="11"/>
      <c r="CS253" s="29"/>
      <c r="CT253" s="11"/>
      <c r="CU253" s="11"/>
      <c r="CV253" s="11"/>
      <c r="CW253" s="11"/>
      <c r="CX253" s="11"/>
      <c r="CY253" s="11"/>
      <c r="CZ253" s="11"/>
      <c r="DA253" s="28"/>
      <c r="DB253" s="28"/>
      <c r="DC253" s="11"/>
      <c r="DD253" s="29"/>
      <c r="DE253" s="11"/>
      <c r="DF253" s="11"/>
      <c r="DG253" s="11"/>
      <c r="DH253" s="11"/>
      <c r="DI253" s="11"/>
      <c r="DJ253" s="11"/>
      <c r="DK253" s="26"/>
      <c r="DL253" s="11"/>
      <c r="DM253" s="29"/>
      <c r="DN253" s="28"/>
      <c r="DO253" s="11"/>
      <c r="DP253" s="11"/>
      <c r="DQ253" s="11"/>
      <c r="DR253" s="29"/>
      <c r="DS253" s="28"/>
      <c r="DT253" s="11"/>
      <c r="DU253" s="26"/>
      <c r="DV253" s="11"/>
      <c r="DW253" s="29"/>
      <c r="DX253" s="28"/>
      <c r="DY253" s="11"/>
      <c r="DZ253" s="26"/>
      <c r="EA253" s="11"/>
      <c r="EB253" s="29"/>
      <c r="EC253" s="28"/>
      <c r="ED253" s="30"/>
      <c r="EE253" s="30" t="str">
        <f ca="1">IFERROR(__xludf.DUMMYFUNCTION("iferror(index(filter('Internal -- Trademark Countries'!E$2:E1000, (AM253 = 'Internal -- Trademark Countries'!B$2:B1000) + (AM253 = 'Internal -- Trademark Countries'!C$2:C1000) + (AM253 = 'Internal -- Trademark Countries'!D$2:D1000)), 1))"),"")</f>
        <v/>
      </c>
      <c r="EF253" s="30" t="e">
        <f ca="1">_xludf.ifs(AM253="", "", COUNTIF('Internal -- Trademark Countries'!B:B,AM253) &gt; 0, "polity_shortest_name", COUNTIF('Internal -- Trademark Countries'!C:C,AM253) &gt; 0, "polity_full_name", COUNTIF('Internal -- Trademark Countries'!D:D,AM253) &gt; 0, "polity_common_name", COUNTIF('Internal -- Trademark Countries'!E:E,AM253) &gt; 0, "shortest_name", COUNTIF('Internal -- Trademark Countries'!A:A,AM253) &gt; 0, "full_name", TRUE, "not a match")</f>
        <v>#NAME?</v>
      </c>
      <c r="EG253" s="30"/>
      <c r="EH253" s="30"/>
      <c r="EI253" s="30"/>
      <c r="EJ253" s="30"/>
      <c r="EK253" s="30" t="str">
        <f t="shared" si="2"/>
        <v/>
      </c>
    </row>
    <row r="254" spans="1:141" ht="16.5">
      <c r="A254" s="11"/>
      <c r="B254" s="11"/>
      <c r="C254" s="11"/>
      <c r="D254" s="11"/>
      <c r="E254" s="11"/>
      <c r="F254" s="11"/>
      <c r="G254" s="11"/>
      <c r="H254" s="11"/>
      <c r="I254" s="11"/>
      <c r="J254" s="11"/>
      <c r="K254" s="27"/>
      <c r="L254" s="11"/>
      <c r="M254" s="11"/>
      <c r="N254" s="11"/>
      <c r="O254" s="11"/>
      <c r="P254" s="15"/>
      <c r="Q254" s="15"/>
      <c r="R254" s="15"/>
      <c r="S254" s="15"/>
      <c r="T254" s="15"/>
      <c r="U254" s="15"/>
      <c r="V254" s="15"/>
      <c r="W254" s="47"/>
      <c r="X254" s="11"/>
      <c r="Y254" s="48"/>
      <c r="Z254" s="11"/>
      <c r="AA254" s="48"/>
      <c r="AB254" s="11"/>
      <c r="AC254" s="48"/>
      <c r="AD254" s="11"/>
      <c r="AE254" s="47"/>
      <c r="AF254" s="11"/>
      <c r="AG254" s="48"/>
      <c r="AH254" s="11"/>
      <c r="AI254" s="48"/>
      <c r="AJ254" s="11"/>
      <c r="AK254" s="48"/>
      <c r="AL254" s="11"/>
      <c r="AM254" s="49"/>
      <c r="AN254" s="49"/>
      <c r="AO254" s="11"/>
      <c r="AP254" s="11"/>
      <c r="AQ254" s="28" t="b">
        <f>IF(COUNTIF(SmartStatus!A$2:A1000, AM254) &gt; 2, TRUE, FALSE)</f>
        <v>0</v>
      </c>
      <c r="AR254" s="29" t="str">
        <f ca="1">IFERROR(__xludf.DUMMYFUNCTION("iferror(if(regexmatch(AO254, ""(?i)^registered""), if(EE254 &lt;&gt; ""polity_shortest_name"", ""CHECK_POLITY"", index(filter(SmartStatus!B$2:B1000, AM254 = SmartStatus!A$2:A1000, not(SmartStatus!C$2:C1000), (isblank(SmartStatus!D$2:D1000)) + ((P254 &lt;&gt; """") * "&amp;"(P254 &lt; SmartStatus!D$2:D1000)), (isblank(SmartStatus!E$2:E1000)) + ((P254 &lt;&gt; """") * (P254 &gt;= SmartStatus!E$2:E1000)), (isblank(SmartStatus!F$2:F1000)) + (((Q254 &lt;&gt; """") * (Q254 &lt; SmartStatus!F$2:F1000)) + ((P254 &lt;&gt; """") * (date(year(P254) + 3, month(P"&amp;"254), day(P254)) &lt; SmartStatus!F$2:F1000))), (isblank(SmartStatus!G$2:G1000)) + (((Q254 &lt;&gt; """") * (Q254 &gt;= SmartStatus!G$2:G1000)) + ((P254 &lt;&gt; """") * (P254 &gt;= SmartStatus!G$2:G1000)))), if(or(regexmatch(B254, ""(?i)^ir [a-z]+ designation$""), N254 &lt;&gt; """&amp;"""), 1, 2))), """"), ""NO_MATCH"")"),"")</f>
        <v/>
      </c>
      <c r="AS254" s="11"/>
      <c r="AT254" s="15"/>
      <c r="AU254" s="11"/>
      <c r="AV254" s="11"/>
      <c r="AW254" s="15"/>
      <c r="AX254" s="15"/>
      <c r="AY254" s="15"/>
      <c r="AZ254" s="11"/>
      <c r="BA254" s="15"/>
      <c r="BB254" s="11"/>
      <c r="BC254" s="11"/>
      <c r="BD254" s="15"/>
      <c r="BE254" s="11"/>
      <c r="BF254" s="11"/>
      <c r="BG254" s="15"/>
      <c r="BH254" s="15"/>
      <c r="BI254" s="15"/>
      <c r="BJ254" s="11"/>
      <c r="BK254" s="15"/>
      <c r="BL254" s="11"/>
      <c r="BM254" s="11"/>
      <c r="BN254" s="15"/>
      <c r="BO254" s="11"/>
      <c r="BP254" s="11"/>
      <c r="BQ254" s="15"/>
      <c r="BR254" s="15"/>
      <c r="BS254" s="15"/>
      <c r="BT254" s="11"/>
      <c r="BU254" s="15"/>
      <c r="BV254" s="11"/>
      <c r="BW254" s="11"/>
      <c r="BX254" s="15"/>
      <c r="BY254" s="11"/>
      <c r="BZ254" s="11"/>
      <c r="CA254" s="15"/>
      <c r="CB254" s="11"/>
      <c r="CC254" s="15"/>
      <c r="CD254" s="11"/>
      <c r="CE254" s="15"/>
      <c r="CF254" s="11"/>
      <c r="CG254" s="11"/>
      <c r="CH254" s="15"/>
      <c r="CI254" s="11"/>
      <c r="CJ254" s="11"/>
      <c r="CK254" s="15"/>
      <c r="CL254" s="11"/>
      <c r="CM254" s="11"/>
      <c r="CN254" s="11"/>
      <c r="CO254" s="11"/>
      <c r="CP254" s="28"/>
      <c r="CQ254" s="28"/>
      <c r="CR254" s="11"/>
      <c r="CS254" s="29"/>
      <c r="CT254" s="11"/>
      <c r="CU254" s="11"/>
      <c r="CV254" s="11"/>
      <c r="CW254" s="11"/>
      <c r="CX254" s="11"/>
      <c r="CY254" s="11"/>
      <c r="CZ254" s="11"/>
      <c r="DA254" s="28"/>
      <c r="DB254" s="28"/>
      <c r="DC254" s="11"/>
      <c r="DD254" s="29"/>
      <c r="DE254" s="11"/>
      <c r="DF254" s="11"/>
      <c r="DG254" s="11"/>
      <c r="DH254" s="11"/>
      <c r="DI254" s="11"/>
      <c r="DJ254" s="11"/>
      <c r="DK254" s="26"/>
      <c r="DL254" s="11"/>
      <c r="DM254" s="29"/>
      <c r="DN254" s="28"/>
      <c r="DO254" s="11"/>
      <c r="DP254" s="11"/>
      <c r="DQ254" s="11"/>
      <c r="DR254" s="29"/>
      <c r="DS254" s="28"/>
      <c r="DT254" s="11"/>
      <c r="DU254" s="26"/>
      <c r="DV254" s="11"/>
      <c r="DW254" s="29"/>
      <c r="DX254" s="28"/>
      <c r="DY254" s="11"/>
      <c r="DZ254" s="26"/>
      <c r="EA254" s="11"/>
      <c r="EB254" s="29"/>
      <c r="EC254" s="28"/>
      <c r="ED254" s="30"/>
      <c r="EE254" s="30" t="str">
        <f ca="1">IFERROR(__xludf.DUMMYFUNCTION("iferror(index(filter('Internal -- Trademark Countries'!E$2:E1000, (AM254 = 'Internal -- Trademark Countries'!B$2:B1000) + (AM254 = 'Internal -- Trademark Countries'!C$2:C1000) + (AM254 = 'Internal -- Trademark Countries'!D$2:D1000)), 1))"),"")</f>
        <v/>
      </c>
      <c r="EF254" s="30" t="e">
        <f ca="1">_xludf.ifs(AM254="", "", COUNTIF('Internal -- Trademark Countries'!B:B,AM254) &gt; 0, "polity_shortest_name", COUNTIF('Internal -- Trademark Countries'!C:C,AM254) &gt; 0, "polity_full_name", COUNTIF('Internal -- Trademark Countries'!D:D,AM254) &gt; 0, "polity_common_name", COUNTIF('Internal -- Trademark Countries'!E:E,AM254) &gt; 0, "shortest_name", COUNTIF('Internal -- Trademark Countries'!A:A,AM254) &gt; 0, "full_name", TRUE, "not a match")</f>
        <v>#NAME?</v>
      </c>
      <c r="EG254" s="30"/>
      <c r="EH254" s="30"/>
      <c r="EI254" s="30"/>
      <c r="EJ254" s="30"/>
      <c r="EK254" s="30" t="str">
        <f t="shared" si="2"/>
        <v/>
      </c>
    </row>
    <row r="255" spans="1:141" ht="16.5">
      <c r="A255" s="11"/>
      <c r="B255" s="11"/>
      <c r="C255" s="11"/>
      <c r="D255" s="11"/>
      <c r="E255" s="11"/>
      <c r="F255" s="11"/>
      <c r="G255" s="11"/>
      <c r="H255" s="11"/>
      <c r="I255" s="11"/>
      <c r="J255" s="11"/>
      <c r="K255" s="27"/>
      <c r="L255" s="11"/>
      <c r="M255" s="11"/>
      <c r="N255" s="11"/>
      <c r="O255" s="11"/>
      <c r="P255" s="15"/>
      <c r="Q255" s="15"/>
      <c r="R255" s="15"/>
      <c r="S255" s="15"/>
      <c r="T255" s="15"/>
      <c r="U255" s="15"/>
      <c r="V255" s="15"/>
      <c r="W255" s="47"/>
      <c r="X255" s="11"/>
      <c r="Y255" s="48"/>
      <c r="Z255" s="11"/>
      <c r="AA255" s="48"/>
      <c r="AB255" s="11"/>
      <c r="AC255" s="48"/>
      <c r="AD255" s="11"/>
      <c r="AE255" s="47"/>
      <c r="AF255" s="11"/>
      <c r="AG255" s="48"/>
      <c r="AH255" s="11"/>
      <c r="AI255" s="48"/>
      <c r="AJ255" s="11"/>
      <c r="AK255" s="48"/>
      <c r="AL255" s="11"/>
      <c r="AM255" s="49"/>
      <c r="AN255" s="49"/>
      <c r="AO255" s="11"/>
      <c r="AP255" s="11"/>
      <c r="AQ255" s="28" t="b">
        <f>IF(COUNTIF(SmartStatus!A$2:A1000, AM255) &gt; 2, TRUE, FALSE)</f>
        <v>0</v>
      </c>
      <c r="AR255" s="29" t="str">
        <f ca="1">IFERROR(__xludf.DUMMYFUNCTION("iferror(if(regexmatch(AO255, ""(?i)^registered""), if(EE255 &lt;&gt; ""polity_shortest_name"", ""CHECK_POLITY"", index(filter(SmartStatus!B$2:B1000, AM255 = SmartStatus!A$2:A1000, not(SmartStatus!C$2:C1000), (isblank(SmartStatus!D$2:D1000)) + ((P255 &lt;&gt; """") * "&amp;"(P255 &lt; SmartStatus!D$2:D1000)), (isblank(SmartStatus!E$2:E1000)) + ((P255 &lt;&gt; """") * (P255 &gt;= SmartStatus!E$2:E1000)), (isblank(SmartStatus!F$2:F1000)) + (((Q255 &lt;&gt; """") * (Q255 &lt; SmartStatus!F$2:F1000)) + ((P255 &lt;&gt; """") * (date(year(P255) + 3, month(P"&amp;"255), day(P255)) &lt; SmartStatus!F$2:F1000))), (isblank(SmartStatus!G$2:G1000)) + (((Q255 &lt;&gt; """") * (Q255 &gt;= SmartStatus!G$2:G1000)) + ((P255 &lt;&gt; """") * (P255 &gt;= SmartStatus!G$2:G1000)))), if(or(regexmatch(B255, ""(?i)^ir [a-z]+ designation$""), N255 &lt;&gt; """&amp;"""), 1, 2))), """"), ""NO_MATCH"")"),"")</f>
        <v/>
      </c>
      <c r="AS255" s="11"/>
      <c r="AT255" s="15"/>
      <c r="AU255" s="11"/>
      <c r="AV255" s="11"/>
      <c r="AW255" s="15"/>
      <c r="AX255" s="15"/>
      <c r="AY255" s="15"/>
      <c r="AZ255" s="11"/>
      <c r="BA255" s="15"/>
      <c r="BB255" s="11"/>
      <c r="BC255" s="11"/>
      <c r="BD255" s="15"/>
      <c r="BE255" s="11"/>
      <c r="BF255" s="11"/>
      <c r="BG255" s="15"/>
      <c r="BH255" s="15"/>
      <c r="BI255" s="15"/>
      <c r="BJ255" s="11"/>
      <c r="BK255" s="15"/>
      <c r="BL255" s="11"/>
      <c r="BM255" s="11"/>
      <c r="BN255" s="15"/>
      <c r="BO255" s="11"/>
      <c r="BP255" s="11"/>
      <c r="BQ255" s="15"/>
      <c r="BR255" s="15"/>
      <c r="BS255" s="15"/>
      <c r="BT255" s="11"/>
      <c r="BU255" s="15"/>
      <c r="BV255" s="11"/>
      <c r="BW255" s="11"/>
      <c r="BX255" s="15"/>
      <c r="BY255" s="11"/>
      <c r="BZ255" s="11"/>
      <c r="CA255" s="15"/>
      <c r="CB255" s="11"/>
      <c r="CC255" s="15"/>
      <c r="CD255" s="11"/>
      <c r="CE255" s="15"/>
      <c r="CF255" s="11"/>
      <c r="CG255" s="11"/>
      <c r="CH255" s="15"/>
      <c r="CI255" s="11"/>
      <c r="CJ255" s="11"/>
      <c r="CK255" s="15"/>
      <c r="CL255" s="11"/>
      <c r="CM255" s="11"/>
      <c r="CN255" s="11"/>
      <c r="CO255" s="11"/>
      <c r="CP255" s="28"/>
      <c r="CQ255" s="28"/>
      <c r="CR255" s="11"/>
      <c r="CS255" s="29"/>
      <c r="CT255" s="11"/>
      <c r="CU255" s="11"/>
      <c r="CV255" s="11"/>
      <c r="CW255" s="11"/>
      <c r="CX255" s="11"/>
      <c r="CY255" s="11"/>
      <c r="CZ255" s="11"/>
      <c r="DA255" s="28"/>
      <c r="DB255" s="28"/>
      <c r="DC255" s="11"/>
      <c r="DD255" s="29"/>
      <c r="DE255" s="11"/>
      <c r="DF255" s="11"/>
      <c r="DG255" s="11"/>
      <c r="DH255" s="11"/>
      <c r="DI255" s="11"/>
      <c r="DJ255" s="11"/>
      <c r="DK255" s="26"/>
      <c r="DL255" s="11"/>
      <c r="DM255" s="29"/>
      <c r="DN255" s="28"/>
      <c r="DO255" s="11"/>
      <c r="DP255" s="11"/>
      <c r="DQ255" s="11"/>
      <c r="DR255" s="29"/>
      <c r="DS255" s="28"/>
      <c r="DT255" s="11"/>
      <c r="DU255" s="26"/>
      <c r="DV255" s="11"/>
      <c r="DW255" s="29"/>
      <c r="DX255" s="28"/>
      <c r="DY255" s="11"/>
      <c r="DZ255" s="26"/>
      <c r="EA255" s="11"/>
      <c r="EB255" s="29"/>
      <c r="EC255" s="28"/>
      <c r="ED255" s="30"/>
      <c r="EE255" s="30" t="str">
        <f ca="1">IFERROR(__xludf.DUMMYFUNCTION("iferror(index(filter('Internal -- Trademark Countries'!E$2:E1000, (AM255 = 'Internal -- Trademark Countries'!B$2:B1000) + (AM255 = 'Internal -- Trademark Countries'!C$2:C1000) + (AM255 = 'Internal -- Trademark Countries'!D$2:D1000)), 1))"),"")</f>
        <v/>
      </c>
      <c r="EF255" s="30" t="e">
        <f ca="1">_xludf.ifs(AM255="", "", COUNTIF('Internal -- Trademark Countries'!B:B,AM255) &gt; 0, "polity_shortest_name", COUNTIF('Internal -- Trademark Countries'!C:C,AM255) &gt; 0, "polity_full_name", COUNTIF('Internal -- Trademark Countries'!D:D,AM255) &gt; 0, "polity_common_name", COUNTIF('Internal -- Trademark Countries'!E:E,AM255) &gt; 0, "shortest_name", COUNTIF('Internal -- Trademark Countries'!A:A,AM255) &gt; 0, "full_name", TRUE, "not a match")</f>
        <v>#NAME?</v>
      </c>
      <c r="EG255" s="30"/>
      <c r="EH255" s="30"/>
      <c r="EI255" s="30"/>
      <c r="EJ255" s="30"/>
      <c r="EK255" s="30" t="str">
        <f t="shared" si="2"/>
        <v/>
      </c>
    </row>
    <row r="256" spans="1:141" ht="16.5">
      <c r="A256" s="11"/>
      <c r="B256" s="11"/>
      <c r="C256" s="11"/>
      <c r="D256" s="11"/>
      <c r="E256" s="11"/>
      <c r="F256" s="11"/>
      <c r="G256" s="11"/>
      <c r="H256" s="11"/>
      <c r="I256" s="11"/>
      <c r="J256" s="11"/>
      <c r="K256" s="27"/>
      <c r="L256" s="11"/>
      <c r="M256" s="11"/>
      <c r="N256" s="11"/>
      <c r="O256" s="11"/>
      <c r="P256" s="15"/>
      <c r="Q256" s="15"/>
      <c r="R256" s="15"/>
      <c r="S256" s="15"/>
      <c r="T256" s="15"/>
      <c r="U256" s="15"/>
      <c r="V256" s="15"/>
      <c r="W256" s="47"/>
      <c r="X256" s="11"/>
      <c r="Y256" s="48"/>
      <c r="Z256" s="11"/>
      <c r="AA256" s="48"/>
      <c r="AB256" s="11"/>
      <c r="AC256" s="48"/>
      <c r="AD256" s="11"/>
      <c r="AE256" s="47"/>
      <c r="AF256" s="11"/>
      <c r="AG256" s="48"/>
      <c r="AH256" s="11"/>
      <c r="AI256" s="48"/>
      <c r="AJ256" s="11"/>
      <c r="AK256" s="48"/>
      <c r="AL256" s="11"/>
      <c r="AM256" s="49"/>
      <c r="AN256" s="49"/>
      <c r="AO256" s="11"/>
      <c r="AP256" s="11"/>
      <c r="AQ256" s="28" t="b">
        <f>IF(COUNTIF(SmartStatus!A$2:A1000, AM256) &gt; 2, TRUE, FALSE)</f>
        <v>0</v>
      </c>
      <c r="AR256" s="29" t="str">
        <f ca="1">IFERROR(__xludf.DUMMYFUNCTION("iferror(if(regexmatch(AO256, ""(?i)^registered""), if(EE256 &lt;&gt; ""polity_shortest_name"", ""CHECK_POLITY"", index(filter(SmartStatus!B$2:B1000, AM256 = SmartStatus!A$2:A1000, not(SmartStatus!C$2:C1000), (isblank(SmartStatus!D$2:D1000)) + ((P256 &lt;&gt; """") * "&amp;"(P256 &lt; SmartStatus!D$2:D1000)), (isblank(SmartStatus!E$2:E1000)) + ((P256 &lt;&gt; """") * (P256 &gt;= SmartStatus!E$2:E1000)), (isblank(SmartStatus!F$2:F1000)) + (((Q256 &lt;&gt; """") * (Q256 &lt; SmartStatus!F$2:F1000)) + ((P256 &lt;&gt; """") * (date(year(P256) + 3, month(P"&amp;"256), day(P256)) &lt; SmartStatus!F$2:F1000))), (isblank(SmartStatus!G$2:G1000)) + (((Q256 &lt;&gt; """") * (Q256 &gt;= SmartStatus!G$2:G1000)) + ((P256 &lt;&gt; """") * (P256 &gt;= SmartStatus!G$2:G1000)))), if(or(regexmatch(B256, ""(?i)^ir [a-z]+ designation$""), N256 &lt;&gt; """&amp;"""), 1, 2))), """"), ""NO_MATCH"")"),"")</f>
        <v/>
      </c>
      <c r="AS256" s="11"/>
      <c r="AT256" s="15"/>
      <c r="AU256" s="11"/>
      <c r="AV256" s="11"/>
      <c r="AW256" s="15"/>
      <c r="AX256" s="15"/>
      <c r="AY256" s="15"/>
      <c r="AZ256" s="11"/>
      <c r="BA256" s="15"/>
      <c r="BB256" s="11"/>
      <c r="BC256" s="11"/>
      <c r="BD256" s="15"/>
      <c r="BE256" s="11"/>
      <c r="BF256" s="11"/>
      <c r="BG256" s="15"/>
      <c r="BH256" s="15"/>
      <c r="BI256" s="15"/>
      <c r="BJ256" s="11"/>
      <c r="BK256" s="15"/>
      <c r="BL256" s="11"/>
      <c r="BM256" s="11"/>
      <c r="BN256" s="15"/>
      <c r="BO256" s="11"/>
      <c r="BP256" s="11"/>
      <c r="BQ256" s="15"/>
      <c r="BR256" s="15"/>
      <c r="BS256" s="15"/>
      <c r="BT256" s="11"/>
      <c r="BU256" s="15"/>
      <c r="BV256" s="11"/>
      <c r="BW256" s="11"/>
      <c r="BX256" s="15"/>
      <c r="BY256" s="11"/>
      <c r="BZ256" s="11"/>
      <c r="CA256" s="15"/>
      <c r="CB256" s="11"/>
      <c r="CC256" s="15"/>
      <c r="CD256" s="11"/>
      <c r="CE256" s="15"/>
      <c r="CF256" s="11"/>
      <c r="CG256" s="11"/>
      <c r="CH256" s="15"/>
      <c r="CI256" s="11"/>
      <c r="CJ256" s="11"/>
      <c r="CK256" s="15"/>
      <c r="CL256" s="11"/>
      <c r="CM256" s="11"/>
      <c r="CN256" s="11"/>
      <c r="CO256" s="11"/>
      <c r="CP256" s="28"/>
      <c r="CQ256" s="28"/>
      <c r="CR256" s="11"/>
      <c r="CS256" s="29"/>
      <c r="CT256" s="11"/>
      <c r="CU256" s="11"/>
      <c r="CV256" s="11"/>
      <c r="CW256" s="11"/>
      <c r="CX256" s="11"/>
      <c r="CY256" s="11"/>
      <c r="CZ256" s="11"/>
      <c r="DA256" s="28"/>
      <c r="DB256" s="28"/>
      <c r="DC256" s="11"/>
      <c r="DD256" s="29"/>
      <c r="DE256" s="11"/>
      <c r="DF256" s="11"/>
      <c r="DG256" s="11"/>
      <c r="DH256" s="11"/>
      <c r="DI256" s="11"/>
      <c r="DJ256" s="11"/>
      <c r="DK256" s="26"/>
      <c r="DL256" s="11"/>
      <c r="DM256" s="29"/>
      <c r="DN256" s="28"/>
      <c r="DO256" s="11"/>
      <c r="DP256" s="11"/>
      <c r="DQ256" s="11"/>
      <c r="DR256" s="29"/>
      <c r="DS256" s="28"/>
      <c r="DT256" s="11"/>
      <c r="DU256" s="26"/>
      <c r="DV256" s="11"/>
      <c r="DW256" s="29"/>
      <c r="DX256" s="28"/>
      <c r="DY256" s="11"/>
      <c r="DZ256" s="26"/>
      <c r="EA256" s="11"/>
      <c r="EB256" s="29"/>
      <c r="EC256" s="28"/>
      <c r="ED256" s="30"/>
      <c r="EE256" s="30" t="str">
        <f ca="1">IFERROR(__xludf.DUMMYFUNCTION("iferror(index(filter('Internal -- Trademark Countries'!E$2:E1000, (AM256 = 'Internal -- Trademark Countries'!B$2:B1000) + (AM256 = 'Internal -- Trademark Countries'!C$2:C1000) + (AM256 = 'Internal -- Trademark Countries'!D$2:D1000)), 1))"),"")</f>
        <v/>
      </c>
      <c r="EF256" s="30" t="e">
        <f ca="1">_xludf.ifs(AM256="", "", COUNTIF('Internal -- Trademark Countries'!B:B,AM256) &gt; 0, "polity_shortest_name", COUNTIF('Internal -- Trademark Countries'!C:C,AM256) &gt; 0, "polity_full_name", COUNTIF('Internal -- Trademark Countries'!D:D,AM256) &gt; 0, "polity_common_name", COUNTIF('Internal -- Trademark Countries'!E:E,AM256) &gt; 0, "shortest_name", COUNTIF('Internal -- Trademark Countries'!A:A,AM256) &gt; 0, "full_name", TRUE, "not a match")</f>
        <v>#NAME?</v>
      </c>
      <c r="EG256" s="30"/>
      <c r="EH256" s="30"/>
      <c r="EI256" s="30"/>
      <c r="EJ256" s="30"/>
      <c r="EK256" s="30" t="str">
        <f t="shared" si="2"/>
        <v/>
      </c>
    </row>
    <row r="257" spans="1:141" ht="16.5">
      <c r="A257" s="11"/>
      <c r="B257" s="11"/>
      <c r="C257" s="11"/>
      <c r="D257" s="11"/>
      <c r="E257" s="11"/>
      <c r="F257" s="11"/>
      <c r="G257" s="11"/>
      <c r="H257" s="11"/>
      <c r="I257" s="11"/>
      <c r="J257" s="11"/>
      <c r="K257" s="27"/>
      <c r="L257" s="11"/>
      <c r="M257" s="11"/>
      <c r="N257" s="11"/>
      <c r="O257" s="11"/>
      <c r="P257" s="15"/>
      <c r="Q257" s="15"/>
      <c r="R257" s="15"/>
      <c r="S257" s="15"/>
      <c r="T257" s="15"/>
      <c r="U257" s="15"/>
      <c r="V257" s="15"/>
      <c r="W257" s="47"/>
      <c r="X257" s="11"/>
      <c r="Y257" s="48"/>
      <c r="Z257" s="11"/>
      <c r="AA257" s="48"/>
      <c r="AB257" s="11"/>
      <c r="AC257" s="48"/>
      <c r="AD257" s="11"/>
      <c r="AE257" s="47"/>
      <c r="AF257" s="11"/>
      <c r="AG257" s="48"/>
      <c r="AH257" s="11"/>
      <c r="AI257" s="48"/>
      <c r="AJ257" s="11"/>
      <c r="AK257" s="48"/>
      <c r="AL257" s="11"/>
      <c r="AM257" s="49"/>
      <c r="AN257" s="49"/>
      <c r="AO257" s="11"/>
      <c r="AP257" s="11"/>
      <c r="AQ257" s="28" t="b">
        <f>IF(COUNTIF(SmartStatus!A$2:A1000, AM257) &gt; 2, TRUE, FALSE)</f>
        <v>0</v>
      </c>
      <c r="AR257" s="29" t="str">
        <f ca="1">IFERROR(__xludf.DUMMYFUNCTION("iferror(if(regexmatch(AO257, ""(?i)^registered""), if(EE257 &lt;&gt; ""polity_shortest_name"", ""CHECK_POLITY"", index(filter(SmartStatus!B$2:B1000, AM257 = SmartStatus!A$2:A1000, not(SmartStatus!C$2:C1000), (isblank(SmartStatus!D$2:D1000)) + ((P257 &lt;&gt; """") * "&amp;"(P257 &lt; SmartStatus!D$2:D1000)), (isblank(SmartStatus!E$2:E1000)) + ((P257 &lt;&gt; """") * (P257 &gt;= SmartStatus!E$2:E1000)), (isblank(SmartStatus!F$2:F1000)) + (((Q257 &lt;&gt; """") * (Q257 &lt; SmartStatus!F$2:F1000)) + ((P257 &lt;&gt; """") * (date(year(P257) + 3, month(P"&amp;"257), day(P257)) &lt; SmartStatus!F$2:F1000))), (isblank(SmartStatus!G$2:G1000)) + (((Q257 &lt;&gt; """") * (Q257 &gt;= SmartStatus!G$2:G1000)) + ((P257 &lt;&gt; """") * (P257 &gt;= SmartStatus!G$2:G1000)))), if(or(regexmatch(B257, ""(?i)^ir [a-z]+ designation$""), N257 &lt;&gt; """&amp;"""), 1, 2))), """"), ""NO_MATCH"")"),"")</f>
        <v/>
      </c>
      <c r="AS257" s="11"/>
      <c r="AT257" s="15"/>
      <c r="AU257" s="11"/>
      <c r="AV257" s="11"/>
      <c r="AW257" s="15"/>
      <c r="AX257" s="15"/>
      <c r="AY257" s="15"/>
      <c r="AZ257" s="11"/>
      <c r="BA257" s="15"/>
      <c r="BB257" s="11"/>
      <c r="BC257" s="11"/>
      <c r="BD257" s="15"/>
      <c r="BE257" s="11"/>
      <c r="BF257" s="11"/>
      <c r="BG257" s="15"/>
      <c r="BH257" s="15"/>
      <c r="BI257" s="15"/>
      <c r="BJ257" s="11"/>
      <c r="BK257" s="15"/>
      <c r="BL257" s="11"/>
      <c r="BM257" s="11"/>
      <c r="BN257" s="15"/>
      <c r="BO257" s="11"/>
      <c r="BP257" s="11"/>
      <c r="BQ257" s="15"/>
      <c r="BR257" s="15"/>
      <c r="BS257" s="15"/>
      <c r="BT257" s="11"/>
      <c r="BU257" s="15"/>
      <c r="BV257" s="11"/>
      <c r="BW257" s="11"/>
      <c r="BX257" s="15"/>
      <c r="BY257" s="11"/>
      <c r="BZ257" s="11"/>
      <c r="CA257" s="15"/>
      <c r="CB257" s="11"/>
      <c r="CC257" s="15"/>
      <c r="CD257" s="11"/>
      <c r="CE257" s="15"/>
      <c r="CF257" s="11"/>
      <c r="CG257" s="11"/>
      <c r="CH257" s="15"/>
      <c r="CI257" s="11"/>
      <c r="CJ257" s="11"/>
      <c r="CK257" s="15"/>
      <c r="CL257" s="11"/>
      <c r="CM257" s="11"/>
      <c r="CN257" s="11"/>
      <c r="CO257" s="11"/>
      <c r="CP257" s="28"/>
      <c r="CQ257" s="28"/>
      <c r="CR257" s="11"/>
      <c r="CS257" s="29"/>
      <c r="CT257" s="11"/>
      <c r="CU257" s="11"/>
      <c r="CV257" s="11"/>
      <c r="CW257" s="11"/>
      <c r="CX257" s="11"/>
      <c r="CY257" s="11"/>
      <c r="CZ257" s="11"/>
      <c r="DA257" s="28"/>
      <c r="DB257" s="28"/>
      <c r="DC257" s="11"/>
      <c r="DD257" s="29"/>
      <c r="DE257" s="11"/>
      <c r="DF257" s="11"/>
      <c r="DG257" s="11"/>
      <c r="DH257" s="11"/>
      <c r="DI257" s="11"/>
      <c r="DJ257" s="11"/>
      <c r="DK257" s="26"/>
      <c r="DL257" s="11"/>
      <c r="DM257" s="29"/>
      <c r="DN257" s="28"/>
      <c r="DO257" s="11"/>
      <c r="DP257" s="11"/>
      <c r="DQ257" s="11"/>
      <c r="DR257" s="29"/>
      <c r="DS257" s="28"/>
      <c r="DT257" s="11"/>
      <c r="DU257" s="26"/>
      <c r="DV257" s="11"/>
      <c r="DW257" s="29"/>
      <c r="DX257" s="28"/>
      <c r="DY257" s="11"/>
      <c r="DZ257" s="26"/>
      <c r="EA257" s="11"/>
      <c r="EB257" s="29"/>
      <c r="EC257" s="28"/>
      <c r="ED257" s="30"/>
      <c r="EE257" s="30" t="str">
        <f ca="1">IFERROR(__xludf.DUMMYFUNCTION("iferror(index(filter('Internal -- Trademark Countries'!E$2:E1000, (AM257 = 'Internal -- Trademark Countries'!B$2:B1000) + (AM257 = 'Internal -- Trademark Countries'!C$2:C1000) + (AM257 = 'Internal -- Trademark Countries'!D$2:D1000)), 1))"),"")</f>
        <v/>
      </c>
      <c r="EF257" s="30" t="e">
        <f ca="1">_xludf.ifs(AM257="", "", COUNTIF('Internal -- Trademark Countries'!B:B,AM257) &gt; 0, "polity_shortest_name", COUNTIF('Internal -- Trademark Countries'!C:C,AM257) &gt; 0, "polity_full_name", COUNTIF('Internal -- Trademark Countries'!D:D,AM257) &gt; 0, "polity_common_name", COUNTIF('Internal -- Trademark Countries'!E:E,AM257) &gt; 0, "shortest_name", COUNTIF('Internal -- Trademark Countries'!A:A,AM257) &gt; 0, "full_name", TRUE, "not a match")</f>
        <v>#NAME?</v>
      </c>
      <c r="EG257" s="30"/>
      <c r="EH257" s="30"/>
      <c r="EI257" s="30"/>
      <c r="EJ257" s="30"/>
      <c r="EK257" s="30" t="str">
        <f t="shared" ref="EK257:EK511" si="3">IF(AT257="","",IF(AT257&lt;DATE(2000,1,1),"20th Century Deadline 1",IF(AT257&gt;DATE(2099,12,31),"22nd Century Deadline 1","")))</f>
        <v/>
      </c>
    </row>
    <row r="258" spans="1:141" ht="16.5">
      <c r="A258" s="11"/>
      <c r="B258" s="11"/>
      <c r="C258" s="11"/>
      <c r="D258" s="11"/>
      <c r="E258" s="11"/>
      <c r="F258" s="11"/>
      <c r="G258" s="11"/>
      <c r="H258" s="11"/>
      <c r="I258" s="11"/>
      <c r="J258" s="11"/>
      <c r="K258" s="27"/>
      <c r="L258" s="11"/>
      <c r="M258" s="11"/>
      <c r="N258" s="11"/>
      <c r="O258" s="11"/>
      <c r="P258" s="15"/>
      <c r="Q258" s="15"/>
      <c r="R258" s="15"/>
      <c r="S258" s="15"/>
      <c r="T258" s="15"/>
      <c r="U258" s="15"/>
      <c r="V258" s="15"/>
      <c r="W258" s="47"/>
      <c r="X258" s="11"/>
      <c r="Y258" s="48"/>
      <c r="Z258" s="11"/>
      <c r="AA258" s="48"/>
      <c r="AB258" s="11"/>
      <c r="AC258" s="48"/>
      <c r="AD258" s="11"/>
      <c r="AE258" s="47"/>
      <c r="AF258" s="11"/>
      <c r="AG258" s="48"/>
      <c r="AH258" s="11"/>
      <c r="AI258" s="48"/>
      <c r="AJ258" s="11"/>
      <c r="AK258" s="48"/>
      <c r="AL258" s="11"/>
      <c r="AM258" s="49"/>
      <c r="AN258" s="49"/>
      <c r="AO258" s="11"/>
      <c r="AP258" s="11"/>
      <c r="AQ258" s="28" t="b">
        <f>IF(COUNTIF(SmartStatus!A$2:A1000, AM258) &gt; 2, TRUE, FALSE)</f>
        <v>0</v>
      </c>
      <c r="AR258" s="29" t="str">
        <f ca="1">IFERROR(__xludf.DUMMYFUNCTION("iferror(if(regexmatch(AO258, ""(?i)^registered""), if(EE258 &lt;&gt; ""polity_shortest_name"", ""CHECK_POLITY"", index(filter(SmartStatus!B$2:B1000, AM258 = SmartStatus!A$2:A1000, not(SmartStatus!C$2:C1000), (isblank(SmartStatus!D$2:D1000)) + ((P258 &lt;&gt; """") * "&amp;"(P258 &lt; SmartStatus!D$2:D1000)), (isblank(SmartStatus!E$2:E1000)) + ((P258 &lt;&gt; """") * (P258 &gt;= SmartStatus!E$2:E1000)), (isblank(SmartStatus!F$2:F1000)) + (((Q258 &lt;&gt; """") * (Q258 &lt; SmartStatus!F$2:F1000)) + ((P258 &lt;&gt; """") * (date(year(P258) + 3, month(P"&amp;"258), day(P258)) &lt; SmartStatus!F$2:F1000))), (isblank(SmartStatus!G$2:G1000)) + (((Q258 &lt;&gt; """") * (Q258 &gt;= SmartStatus!G$2:G1000)) + ((P258 &lt;&gt; """") * (P258 &gt;= SmartStatus!G$2:G1000)))), if(or(regexmatch(B258, ""(?i)^ir [a-z]+ designation$""), N258 &lt;&gt; """&amp;"""), 1, 2))), """"), ""NO_MATCH"")"),"")</f>
        <v/>
      </c>
      <c r="AS258" s="11"/>
      <c r="AT258" s="15"/>
      <c r="AU258" s="11"/>
      <c r="AV258" s="11"/>
      <c r="AW258" s="15"/>
      <c r="AX258" s="15"/>
      <c r="AY258" s="15"/>
      <c r="AZ258" s="11"/>
      <c r="BA258" s="15"/>
      <c r="BB258" s="11"/>
      <c r="BC258" s="11"/>
      <c r="BD258" s="15"/>
      <c r="BE258" s="11"/>
      <c r="BF258" s="11"/>
      <c r="BG258" s="15"/>
      <c r="BH258" s="15"/>
      <c r="BI258" s="15"/>
      <c r="BJ258" s="11"/>
      <c r="BK258" s="15"/>
      <c r="BL258" s="11"/>
      <c r="BM258" s="11"/>
      <c r="BN258" s="15"/>
      <c r="BO258" s="11"/>
      <c r="BP258" s="11"/>
      <c r="BQ258" s="15"/>
      <c r="BR258" s="15"/>
      <c r="BS258" s="15"/>
      <c r="BT258" s="11"/>
      <c r="BU258" s="15"/>
      <c r="BV258" s="11"/>
      <c r="BW258" s="11"/>
      <c r="BX258" s="15"/>
      <c r="BY258" s="11"/>
      <c r="BZ258" s="11"/>
      <c r="CA258" s="15"/>
      <c r="CB258" s="11"/>
      <c r="CC258" s="15"/>
      <c r="CD258" s="11"/>
      <c r="CE258" s="15"/>
      <c r="CF258" s="11"/>
      <c r="CG258" s="11"/>
      <c r="CH258" s="15"/>
      <c r="CI258" s="11"/>
      <c r="CJ258" s="11"/>
      <c r="CK258" s="15"/>
      <c r="CL258" s="11"/>
      <c r="CM258" s="11"/>
      <c r="CN258" s="11"/>
      <c r="CO258" s="11"/>
      <c r="CP258" s="28"/>
      <c r="CQ258" s="28"/>
      <c r="CR258" s="11"/>
      <c r="CS258" s="29"/>
      <c r="CT258" s="11"/>
      <c r="CU258" s="11"/>
      <c r="CV258" s="11"/>
      <c r="CW258" s="11"/>
      <c r="CX258" s="11"/>
      <c r="CY258" s="11"/>
      <c r="CZ258" s="11"/>
      <c r="DA258" s="28"/>
      <c r="DB258" s="28"/>
      <c r="DC258" s="11"/>
      <c r="DD258" s="29"/>
      <c r="DE258" s="11"/>
      <c r="DF258" s="11"/>
      <c r="DG258" s="11"/>
      <c r="DH258" s="11"/>
      <c r="DI258" s="11"/>
      <c r="DJ258" s="11"/>
      <c r="DK258" s="26"/>
      <c r="DL258" s="11"/>
      <c r="DM258" s="29"/>
      <c r="DN258" s="28"/>
      <c r="DO258" s="11"/>
      <c r="DP258" s="11"/>
      <c r="DQ258" s="11"/>
      <c r="DR258" s="29"/>
      <c r="DS258" s="28"/>
      <c r="DT258" s="11"/>
      <c r="DU258" s="26"/>
      <c r="DV258" s="11"/>
      <c r="DW258" s="29"/>
      <c r="DX258" s="28"/>
      <c r="DY258" s="11"/>
      <c r="DZ258" s="26"/>
      <c r="EA258" s="11"/>
      <c r="EB258" s="29"/>
      <c r="EC258" s="28"/>
      <c r="ED258" s="30"/>
      <c r="EE258" s="30" t="str">
        <f ca="1">IFERROR(__xludf.DUMMYFUNCTION("iferror(index(filter('Internal -- Trademark Countries'!E$2:E1000, (AM258 = 'Internal -- Trademark Countries'!B$2:B1000) + (AM258 = 'Internal -- Trademark Countries'!C$2:C1000) + (AM258 = 'Internal -- Trademark Countries'!D$2:D1000)), 1))"),"")</f>
        <v/>
      </c>
      <c r="EF258" s="30" t="e">
        <f ca="1">_xludf.ifs(AM258="", "", COUNTIF('Internal -- Trademark Countries'!B:B,AM258) &gt; 0, "polity_shortest_name", COUNTIF('Internal -- Trademark Countries'!C:C,AM258) &gt; 0, "polity_full_name", COUNTIF('Internal -- Trademark Countries'!D:D,AM258) &gt; 0, "polity_common_name", COUNTIF('Internal -- Trademark Countries'!E:E,AM258) &gt; 0, "shortest_name", COUNTIF('Internal -- Trademark Countries'!A:A,AM258) &gt; 0, "full_name", TRUE, "not a match")</f>
        <v>#NAME?</v>
      </c>
      <c r="EG258" s="30"/>
      <c r="EH258" s="30"/>
      <c r="EI258" s="30"/>
      <c r="EJ258" s="30"/>
      <c r="EK258" s="30" t="str">
        <f t="shared" si="3"/>
        <v/>
      </c>
    </row>
    <row r="259" spans="1:141" ht="16.5">
      <c r="A259" s="11"/>
      <c r="B259" s="11"/>
      <c r="C259" s="11"/>
      <c r="D259" s="11"/>
      <c r="E259" s="11"/>
      <c r="F259" s="11"/>
      <c r="G259" s="11"/>
      <c r="H259" s="11"/>
      <c r="I259" s="11"/>
      <c r="J259" s="11"/>
      <c r="K259" s="27"/>
      <c r="L259" s="11"/>
      <c r="M259" s="11"/>
      <c r="N259" s="11"/>
      <c r="O259" s="11"/>
      <c r="P259" s="15"/>
      <c r="Q259" s="15"/>
      <c r="R259" s="15"/>
      <c r="S259" s="15"/>
      <c r="T259" s="15"/>
      <c r="U259" s="15"/>
      <c r="V259" s="15"/>
      <c r="W259" s="47"/>
      <c r="X259" s="11"/>
      <c r="Y259" s="48"/>
      <c r="Z259" s="11"/>
      <c r="AA259" s="48"/>
      <c r="AB259" s="11"/>
      <c r="AC259" s="48"/>
      <c r="AD259" s="11"/>
      <c r="AE259" s="47"/>
      <c r="AF259" s="11"/>
      <c r="AG259" s="48"/>
      <c r="AH259" s="11"/>
      <c r="AI259" s="48"/>
      <c r="AJ259" s="11"/>
      <c r="AK259" s="48"/>
      <c r="AL259" s="11"/>
      <c r="AM259" s="49"/>
      <c r="AN259" s="49"/>
      <c r="AO259" s="11"/>
      <c r="AP259" s="11"/>
      <c r="AQ259" s="28" t="b">
        <f>IF(COUNTIF(SmartStatus!A$2:A1000, AM259) &gt; 2, TRUE, FALSE)</f>
        <v>0</v>
      </c>
      <c r="AR259" s="29" t="str">
        <f ca="1">IFERROR(__xludf.DUMMYFUNCTION("iferror(if(regexmatch(AO259, ""(?i)^registered""), if(EE259 &lt;&gt; ""polity_shortest_name"", ""CHECK_POLITY"", index(filter(SmartStatus!B$2:B1000, AM259 = SmartStatus!A$2:A1000, not(SmartStatus!C$2:C1000), (isblank(SmartStatus!D$2:D1000)) + ((P259 &lt;&gt; """") * "&amp;"(P259 &lt; SmartStatus!D$2:D1000)), (isblank(SmartStatus!E$2:E1000)) + ((P259 &lt;&gt; """") * (P259 &gt;= SmartStatus!E$2:E1000)), (isblank(SmartStatus!F$2:F1000)) + (((Q259 &lt;&gt; """") * (Q259 &lt; SmartStatus!F$2:F1000)) + ((P259 &lt;&gt; """") * (date(year(P259) + 3, month(P"&amp;"259), day(P259)) &lt; SmartStatus!F$2:F1000))), (isblank(SmartStatus!G$2:G1000)) + (((Q259 &lt;&gt; """") * (Q259 &gt;= SmartStatus!G$2:G1000)) + ((P259 &lt;&gt; """") * (P259 &gt;= SmartStatus!G$2:G1000)))), if(or(regexmatch(B259, ""(?i)^ir [a-z]+ designation$""), N259 &lt;&gt; """&amp;"""), 1, 2))), """"), ""NO_MATCH"")"),"")</f>
        <v/>
      </c>
      <c r="AS259" s="11"/>
      <c r="AT259" s="15"/>
      <c r="AU259" s="11"/>
      <c r="AV259" s="11"/>
      <c r="AW259" s="15"/>
      <c r="AX259" s="15"/>
      <c r="AY259" s="15"/>
      <c r="AZ259" s="11"/>
      <c r="BA259" s="15"/>
      <c r="BB259" s="11"/>
      <c r="BC259" s="11"/>
      <c r="BD259" s="15"/>
      <c r="BE259" s="11"/>
      <c r="BF259" s="11"/>
      <c r="BG259" s="15"/>
      <c r="BH259" s="15"/>
      <c r="BI259" s="15"/>
      <c r="BJ259" s="11"/>
      <c r="BK259" s="15"/>
      <c r="BL259" s="11"/>
      <c r="BM259" s="11"/>
      <c r="BN259" s="15"/>
      <c r="BO259" s="11"/>
      <c r="BP259" s="11"/>
      <c r="BQ259" s="15"/>
      <c r="BR259" s="15"/>
      <c r="BS259" s="15"/>
      <c r="BT259" s="11"/>
      <c r="BU259" s="15"/>
      <c r="BV259" s="11"/>
      <c r="BW259" s="11"/>
      <c r="BX259" s="15"/>
      <c r="BY259" s="11"/>
      <c r="BZ259" s="11"/>
      <c r="CA259" s="15"/>
      <c r="CB259" s="11"/>
      <c r="CC259" s="15"/>
      <c r="CD259" s="11"/>
      <c r="CE259" s="15"/>
      <c r="CF259" s="11"/>
      <c r="CG259" s="11"/>
      <c r="CH259" s="15"/>
      <c r="CI259" s="11"/>
      <c r="CJ259" s="11"/>
      <c r="CK259" s="15"/>
      <c r="CL259" s="11"/>
      <c r="CM259" s="11"/>
      <c r="CN259" s="11"/>
      <c r="CO259" s="11"/>
      <c r="CP259" s="28"/>
      <c r="CQ259" s="28"/>
      <c r="CR259" s="11"/>
      <c r="CS259" s="29"/>
      <c r="CT259" s="11"/>
      <c r="CU259" s="11"/>
      <c r="CV259" s="11"/>
      <c r="CW259" s="11"/>
      <c r="CX259" s="11"/>
      <c r="CY259" s="11"/>
      <c r="CZ259" s="11"/>
      <c r="DA259" s="28"/>
      <c r="DB259" s="28"/>
      <c r="DC259" s="11"/>
      <c r="DD259" s="29"/>
      <c r="DE259" s="11"/>
      <c r="DF259" s="11"/>
      <c r="DG259" s="11"/>
      <c r="DH259" s="11"/>
      <c r="DI259" s="11"/>
      <c r="DJ259" s="11"/>
      <c r="DK259" s="26"/>
      <c r="DL259" s="11"/>
      <c r="DM259" s="29"/>
      <c r="DN259" s="28"/>
      <c r="DO259" s="11"/>
      <c r="DP259" s="11"/>
      <c r="DQ259" s="11"/>
      <c r="DR259" s="29"/>
      <c r="DS259" s="28"/>
      <c r="DT259" s="11"/>
      <c r="DU259" s="26"/>
      <c r="DV259" s="11"/>
      <c r="DW259" s="29"/>
      <c r="DX259" s="28"/>
      <c r="DY259" s="11"/>
      <c r="DZ259" s="26"/>
      <c r="EA259" s="11"/>
      <c r="EB259" s="29"/>
      <c r="EC259" s="28"/>
      <c r="ED259" s="30"/>
      <c r="EE259" s="30" t="str">
        <f ca="1">IFERROR(__xludf.DUMMYFUNCTION("iferror(index(filter('Internal -- Trademark Countries'!E$2:E1000, (AM259 = 'Internal -- Trademark Countries'!B$2:B1000) + (AM259 = 'Internal -- Trademark Countries'!C$2:C1000) + (AM259 = 'Internal -- Trademark Countries'!D$2:D1000)), 1))"),"")</f>
        <v/>
      </c>
      <c r="EF259" s="30" t="e">
        <f ca="1">_xludf.ifs(AM259="", "", COUNTIF('Internal -- Trademark Countries'!B:B,AM259) &gt; 0, "polity_shortest_name", COUNTIF('Internal -- Trademark Countries'!C:C,AM259) &gt; 0, "polity_full_name", COUNTIF('Internal -- Trademark Countries'!D:D,AM259) &gt; 0, "polity_common_name", COUNTIF('Internal -- Trademark Countries'!E:E,AM259) &gt; 0, "shortest_name", COUNTIF('Internal -- Trademark Countries'!A:A,AM259) &gt; 0, "full_name", TRUE, "not a match")</f>
        <v>#NAME?</v>
      </c>
      <c r="EG259" s="30"/>
      <c r="EH259" s="30"/>
      <c r="EI259" s="30"/>
      <c r="EJ259" s="30"/>
      <c r="EK259" s="30" t="str">
        <f t="shared" si="3"/>
        <v/>
      </c>
    </row>
    <row r="260" spans="1:141" ht="16.5">
      <c r="A260" s="11"/>
      <c r="B260" s="11"/>
      <c r="C260" s="11"/>
      <c r="D260" s="11"/>
      <c r="E260" s="11"/>
      <c r="F260" s="11"/>
      <c r="G260" s="11"/>
      <c r="H260" s="11"/>
      <c r="I260" s="11"/>
      <c r="J260" s="11"/>
      <c r="K260" s="27"/>
      <c r="L260" s="11"/>
      <c r="M260" s="11"/>
      <c r="N260" s="11"/>
      <c r="O260" s="11"/>
      <c r="P260" s="15"/>
      <c r="Q260" s="15"/>
      <c r="R260" s="15"/>
      <c r="S260" s="15"/>
      <c r="T260" s="15"/>
      <c r="U260" s="15"/>
      <c r="V260" s="15"/>
      <c r="W260" s="47"/>
      <c r="X260" s="11"/>
      <c r="Y260" s="48"/>
      <c r="Z260" s="11"/>
      <c r="AA260" s="48"/>
      <c r="AB260" s="11"/>
      <c r="AC260" s="48"/>
      <c r="AD260" s="11"/>
      <c r="AE260" s="47"/>
      <c r="AF260" s="11"/>
      <c r="AG260" s="48"/>
      <c r="AH260" s="11"/>
      <c r="AI260" s="48"/>
      <c r="AJ260" s="11"/>
      <c r="AK260" s="48"/>
      <c r="AL260" s="11"/>
      <c r="AM260" s="49"/>
      <c r="AN260" s="49"/>
      <c r="AO260" s="11"/>
      <c r="AP260" s="11"/>
      <c r="AQ260" s="28" t="b">
        <f>IF(COUNTIF(SmartStatus!A$2:A1000, AM260) &gt; 2, TRUE, FALSE)</f>
        <v>0</v>
      </c>
      <c r="AR260" s="29" t="str">
        <f ca="1">IFERROR(__xludf.DUMMYFUNCTION("iferror(if(regexmatch(AO260, ""(?i)^registered""), if(EE260 &lt;&gt; ""polity_shortest_name"", ""CHECK_POLITY"", index(filter(SmartStatus!B$2:B1000, AM260 = SmartStatus!A$2:A1000, not(SmartStatus!C$2:C1000), (isblank(SmartStatus!D$2:D1000)) + ((P260 &lt;&gt; """") * "&amp;"(P260 &lt; SmartStatus!D$2:D1000)), (isblank(SmartStatus!E$2:E1000)) + ((P260 &lt;&gt; """") * (P260 &gt;= SmartStatus!E$2:E1000)), (isblank(SmartStatus!F$2:F1000)) + (((Q260 &lt;&gt; """") * (Q260 &lt; SmartStatus!F$2:F1000)) + ((P260 &lt;&gt; """") * (date(year(P260) + 3, month(P"&amp;"260), day(P260)) &lt; SmartStatus!F$2:F1000))), (isblank(SmartStatus!G$2:G1000)) + (((Q260 &lt;&gt; """") * (Q260 &gt;= SmartStatus!G$2:G1000)) + ((P260 &lt;&gt; """") * (P260 &gt;= SmartStatus!G$2:G1000)))), if(or(regexmatch(B260, ""(?i)^ir [a-z]+ designation$""), N260 &lt;&gt; """&amp;"""), 1, 2))), """"), ""NO_MATCH"")"),"")</f>
        <v/>
      </c>
      <c r="AS260" s="11"/>
      <c r="AT260" s="15"/>
      <c r="AU260" s="11"/>
      <c r="AV260" s="11"/>
      <c r="AW260" s="15"/>
      <c r="AX260" s="15"/>
      <c r="AY260" s="15"/>
      <c r="AZ260" s="11"/>
      <c r="BA260" s="15"/>
      <c r="BB260" s="11"/>
      <c r="BC260" s="11"/>
      <c r="BD260" s="15"/>
      <c r="BE260" s="11"/>
      <c r="BF260" s="11"/>
      <c r="BG260" s="15"/>
      <c r="BH260" s="15"/>
      <c r="BI260" s="15"/>
      <c r="BJ260" s="11"/>
      <c r="BK260" s="15"/>
      <c r="BL260" s="11"/>
      <c r="BM260" s="11"/>
      <c r="BN260" s="15"/>
      <c r="BO260" s="11"/>
      <c r="BP260" s="11"/>
      <c r="BQ260" s="15"/>
      <c r="BR260" s="15"/>
      <c r="BS260" s="15"/>
      <c r="BT260" s="11"/>
      <c r="BU260" s="15"/>
      <c r="BV260" s="11"/>
      <c r="BW260" s="11"/>
      <c r="BX260" s="15"/>
      <c r="BY260" s="11"/>
      <c r="BZ260" s="11"/>
      <c r="CA260" s="15"/>
      <c r="CB260" s="11"/>
      <c r="CC260" s="15"/>
      <c r="CD260" s="11"/>
      <c r="CE260" s="15"/>
      <c r="CF260" s="11"/>
      <c r="CG260" s="11"/>
      <c r="CH260" s="15"/>
      <c r="CI260" s="11"/>
      <c r="CJ260" s="11"/>
      <c r="CK260" s="15"/>
      <c r="CL260" s="11"/>
      <c r="CM260" s="11"/>
      <c r="CN260" s="11"/>
      <c r="CO260" s="11"/>
      <c r="CP260" s="28"/>
      <c r="CQ260" s="28"/>
      <c r="CR260" s="11"/>
      <c r="CS260" s="29"/>
      <c r="CT260" s="11"/>
      <c r="CU260" s="11"/>
      <c r="CV260" s="11"/>
      <c r="CW260" s="11"/>
      <c r="CX260" s="11"/>
      <c r="CY260" s="11"/>
      <c r="CZ260" s="11"/>
      <c r="DA260" s="28"/>
      <c r="DB260" s="28"/>
      <c r="DC260" s="11"/>
      <c r="DD260" s="29"/>
      <c r="DE260" s="11"/>
      <c r="DF260" s="11"/>
      <c r="DG260" s="11"/>
      <c r="DH260" s="11"/>
      <c r="DI260" s="11"/>
      <c r="DJ260" s="11"/>
      <c r="DK260" s="26"/>
      <c r="DL260" s="11"/>
      <c r="DM260" s="29"/>
      <c r="DN260" s="28"/>
      <c r="DO260" s="11"/>
      <c r="DP260" s="11"/>
      <c r="DQ260" s="11"/>
      <c r="DR260" s="29"/>
      <c r="DS260" s="28"/>
      <c r="DT260" s="11"/>
      <c r="DU260" s="26"/>
      <c r="DV260" s="11"/>
      <c r="DW260" s="29"/>
      <c r="DX260" s="28"/>
      <c r="DY260" s="11"/>
      <c r="DZ260" s="26"/>
      <c r="EA260" s="11"/>
      <c r="EB260" s="29"/>
      <c r="EC260" s="28"/>
      <c r="ED260" s="30"/>
      <c r="EE260" s="30" t="str">
        <f ca="1">IFERROR(__xludf.DUMMYFUNCTION("iferror(index(filter('Internal -- Trademark Countries'!E$2:E1000, (AM260 = 'Internal -- Trademark Countries'!B$2:B1000) + (AM260 = 'Internal -- Trademark Countries'!C$2:C1000) + (AM260 = 'Internal -- Trademark Countries'!D$2:D1000)), 1))"),"")</f>
        <v/>
      </c>
      <c r="EF260" s="30" t="e">
        <f ca="1">_xludf.ifs(AM260="", "", COUNTIF('Internal -- Trademark Countries'!B:B,AM260) &gt; 0, "polity_shortest_name", COUNTIF('Internal -- Trademark Countries'!C:C,AM260) &gt; 0, "polity_full_name", COUNTIF('Internal -- Trademark Countries'!D:D,AM260) &gt; 0, "polity_common_name", COUNTIF('Internal -- Trademark Countries'!E:E,AM260) &gt; 0, "shortest_name", COUNTIF('Internal -- Trademark Countries'!A:A,AM260) &gt; 0, "full_name", TRUE, "not a match")</f>
        <v>#NAME?</v>
      </c>
      <c r="EG260" s="30"/>
      <c r="EH260" s="30"/>
      <c r="EI260" s="30"/>
      <c r="EJ260" s="30"/>
      <c r="EK260" s="30" t="str">
        <f t="shared" si="3"/>
        <v/>
      </c>
    </row>
    <row r="261" spans="1:141" ht="16.5">
      <c r="A261" s="11"/>
      <c r="B261" s="11"/>
      <c r="C261" s="11"/>
      <c r="D261" s="11"/>
      <c r="E261" s="11"/>
      <c r="F261" s="11"/>
      <c r="G261" s="11"/>
      <c r="H261" s="11"/>
      <c r="I261" s="11"/>
      <c r="J261" s="11"/>
      <c r="K261" s="27"/>
      <c r="L261" s="11"/>
      <c r="M261" s="11"/>
      <c r="N261" s="11"/>
      <c r="O261" s="11"/>
      <c r="P261" s="15"/>
      <c r="Q261" s="15"/>
      <c r="R261" s="15"/>
      <c r="S261" s="15"/>
      <c r="T261" s="15"/>
      <c r="U261" s="15"/>
      <c r="V261" s="15"/>
      <c r="W261" s="47"/>
      <c r="X261" s="11"/>
      <c r="Y261" s="48"/>
      <c r="Z261" s="11"/>
      <c r="AA261" s="48"/>
      <c r="AB261" s="11"/>
      <c r="AC261" s="48"/>
      <c r="AD261" s="11"/>
      <c r="AE261" s="47"/>
      <c r="AF261" s="11"/>
      <c r="AG261" s="48"/>
      <c r="AH261" s="11"/>
      <c r="AI261" s="48"/>
      <c r="AJ261" s="11"/>
      <c r="AK261" s="48"/>
      <c r="AL261" s="11"/>
      <c r="AM261" s="49"/>
      <c r="AN261" s="49"/>
      <c r="AO261" s="11"/>
      <c r="AP261" s="11"/>
      <c r="AQ261" s="28" t="b">
        <f>IF(COUNTIF(SmartStatus!A$2:A1000, AM261) &gt; 2, TRUE, FALSE)</f>
        <v>0</v>
      </c>
      <c r="AR261" s="29" t="str">
        <f ca="1">IFERROR(__xludf.DUMMYFUNCTION("iferror(if(regexmatch(AO261, ""(?i)^registered""), if(EE261 &lt;&gt; ""polity_shortest_name"", ""CHECK_POLITY"", index(filter(SmartStatus!B$2:B1000, AM261 = SmartStatus!A$2:A1000, not(SmartStatus!C$2:C1000), (isblank(SmartStatus!D$2:D1000)) + ((P261 &lt;&gt; """") * "&amp;"(P261 &lt; SmartStatus!D$2:D1000)), (isblank(SmartStatus!E$2:E1000)) + ((P261 &lt;&gt; """") * (P261 &gt;= SmartStatus!E$2:E1000)), (isblank(SmartStatus!F$2:F1000)) + (((Q261 &lt;&gt; """") * (Q261 &lt; SmartStatus!F$2:F1000)) + ((P261 &lt;&gt; """") * (date(year(P261) + 3, month(P"&amp;"261), day(P261)) &lt; SmartStatus!F$2:F1000))), (isblank(SmartStatus!G$2:G1000)) + (((Q261 &lt;&gt; """") * (Q261 &gt;= SmartStatus!G$2:G1000)) + ((P261 &lt;&gt; """") * (P261 &gt;= SmartStatus!G$2:G1000)))), if(or(regexmatch(B261, ""(?i)^ir [a-z]+ designation$""), N261 &lt;&gt; """&amp;"""), 1, 2))), """"), ""NO_MATCH"")"),"")</f>
        <v/>
      </c>
      <c r="AS261" s="11"/>
      <c r="AT261" s="15"/>
      <c r="AU261" s="11"/>
      <c r="AV261" s="11"/>
      <c r="AW261" s="15"/>
      <c r="AX261" s="15"/>
      <c r="AY261" s="15"/>
      <c r="AZ261" s="11"/>
      <c r="BA261" s="15"/>
      <c r="BB261" s="11"/>
      <c r="BC261" s="11"/>
      <c r="BD261" s="15"/>
      <c r="BE261" s="11"/>
      <c r="BF261" s="11"/>
      <c r="BG261" s="15"/>
      <c r="BH261" s="15"/>
      <c r="BI261" s="15"/>
      <c r="BJ261" s="11"/>
      <c r="BK261" s="15"/>
      <c r="BL261" s="11"/>
      <c r="BM261" s="11"/>
      <c r="BN261" s="15"/>
      <c r="BO261" s="11"/>
      <c r="BP261" s="11"/>
      <c r="BQ261" s="15"/>
      <c r="BR261" s="15"/>
      <c r="BS261" s="15"/>
      <c r="BT261" s="11"/>
      <c r="BU261" s="15"/>
      <c r="BV261" s="11"/>
      <c r="BW261" s="11"/>
      <c r="BX261" s="15"/>
      <c r="BY261" s="11"/>
      <c r="BZ261" s="11"/>
      <c r="CA261" s="15"/>
      <c r="CB261" s="11"/>
      <c r="CC261" s="15"/>
      <c r="CD261" s="11"/>
      <c r="CE261" s="15"/>
      <c r="CF261" s="11"/>
      <c r="CG261" s="11"/>
      <c r="CH261" s="15"/>
      <c r="CI261" s="11"/>
      <c r="CJ261" s="11"/>
      <c r="CK261" s="15"/>
      <c r="CL261" s="11"/>
      <c r="CM261" s="11"/>
      <c r="CN261" s="11"/>
      <c r="CO261" s="11"/>
      <c r="CP261" s="28"/>
      <c r="CQ261" s="28"/>
      <c r="CR261" s="11"/>
      <c r="CS261" s="29"/>
      <c r="CT261" s="11"/>
      <c r="CU261" s="11"/>
      <c r="CV261" s="11"/>
      <c r="CW261" s="11"/>
      <c r="CX261" s="11"/>
      <c r="CY261" s="11"/>
      <c r="CZ261" s="11"/>
      <c r="DA261" s="28"/>
      <c r="DB261" s="28"/>
      <c r="DC261" s="11"/>
      <c r="DD261" s="29"/>
      <c r="DE261" s="11"/>
      <c r="DF261" s="11"/>
      <c r="DG261" s="11"/>
      <c r="DH261" s="11"/>
      <c r="DI261" s="11"/>
      <c r="DJ261" s="11"/>
      <c r="DK261" s="26"/>
      <c r="DL261" s="11"/>
      <c r="DM261" s="29"/>
      <c r="DN261" s="28"/>
      <c r="DO261" s="11"/>
      <c r="DP261" s="11"/>
      <c r="DQ261" s="11"/>
      <c r="DR261" s="29"/>
      <c r="DS261" s="28"/>
      <c r="DT261" s="11"/>
      <c r="DU261" s="26"/>
      <c r="DV261" s="11"/>
      <c r="DW261" s="29"/>
      <c r="DX261" s="28"/>
      <c r="DY261" s="11"/>
      <c r="DZ261" s="26"/>
      <c r="EA261" s="11"/>
      <c r="EB261" s="29"/>
      <c r="EC261" s="28"/>
      <c r="ED261" s="30"/>
      <c r="EE261" s="30" t="str">
        <f ca="1">IFERROR(__xludf.DUMMYFUNCTION("iferror(index(filter('Internal -- Trademark Countries'!E$2:E1000, (AM261 = 'Internal -- Trademark Countries'!B$2:B1000) + (AM261 = 'Internal -- Trademark Countries'!C$2:C1000) + (AM261 = 'Internal -- Trademark Countries'!D$2:D1000)), 1))"),"")</f>
        <v/>
      </c>
      <c r="EF261" s="30" t="e">
        <f ca="1">_xludf.ifs(AM261="", "", COUNTIF('Internal -- Trademark Countries'!B:B,AM261) &gt; 0, "polity_shortest_name", COUNTIF('Internal -- Trademark Countries'!C:C,AM261) &gt; 0, "polity_full_name", COUNTIF('Internal -- Trademark Countries'!D:D,AM261) &gt; 0, "polity_common_name", COUNTIF('Internal -- Trademark Countries'!E:E,AM261) &gt; 0, "shortest_name", COUNTIF('Internal -- Trademark Countries'!A:A,AM261) &gt; 0, "full_name", TRUE, "not a match")</f>
        <v>#NAME?</v>
      </c>
      <c r="EG261" s="30"/>
      <c r="EH261" s="30"/>
      <c r="EI261" s="30"/>
      <c r="EJ261" s="30"/>
      <c r="EK261" s="30" t="str">
        <f t="shared" si="3"/>
        <v/>
      </c>
    </row>
    <row r="262" spans="1:141" ht="16.5">
      <c r="A262" s="11"/>
      <c r="B262" s="11"/>
      <c r="C262" s="11"/>
      <c r="D262" s="11"/>
      <c r="E262" s="11"/>
      <c r="F262" s="11"/>
      <c r="G262" s="11"/>
      <c r="H262" s="11"/>
      <c r="I262" s="11"/>
      <c r="J262" s="11"/>
      <c r="K262" s="27"/>
      <c r="L262" s="11"/>
      <c r="M262" s="11"/>
      <c r="N262" s="11"/>
      <c r="O262" s="11"/>
      <c r="P262" s="15"/>
      <c r="Q262" s="15"/>
      <c r="R262" s="15"/>
      <c r="S262" s="15"/>
      <c r="T262" s="15"/>
      <c r="U262" s="15"/>
      <c r="V262" s="15"/>
      <c r="W262" s="47"/>
      <c r="X262" s="11"/>
      <c r="Y262" s="48"/>
      <c r="Z262" s="11"/>
      <c r="AA262" s="48"/>
      <c r="AB262" s="11"/>
      <c r="AC262" s="48"/>
      <c r="AD262" s="11"/>
      <c r="AE262" s="47"/>
      <c r="AF262" s="11"/>
      <c r="AG262" s="48"/>
      <c r="AH262" s="11"/>
      <c r="AI262" s="48"/>
      <c r="AJ262" s="11"/>
      <c r="AK262" s="48"/>
      <c r="AL262" s="11"/>
      <c r="AM262" s="49"/>
      <c r="AN262" s="49"/>
      <c r="AO262" s="11"/>
      <c r="AP262" s="11"/>
      <c r="AQ262" s="28" t="b">
        <f>IF(COUNTIF(SmartStatus!A$2:A1000, AM262) &gt; 2, TRUE, FALSE)</f>
        <v>0</v>
      </c>
      <c r="AR262" s="29" t="str">
        <f ca="1">IFERROR(__xludf.DUMMYFUNCTION("iferror(if(regexmatch(AO262, ""(?i)^registered""), if(EE262 &lt;&gt; ""polity_shortest_name"", ""CHECK_POLITY"", index(filter(SmartStatus!B$2:B1000, AM262 = SmartStatus!A$2:A1000, not(SmartStatus!C$2:C1000), (isblank(SmartStatus!D$2:D1000)) + ((P262 &lt;&gt; """") * "&amp;"(P262 &lt; SmartStatus!D$2:D1000)), (isblank(SmartStatus!E$2:E1000)) + ((P262 &lt;&gt; """") * (P262 &gt;= SmartStatus!E$2:E1000)), (isblank(SmartStatus!F$2:F1000)) + (((Q262 &lt;&gt; """") * (Q262 &lt; SmartStatus!F$2:F1000)) + ((P262 &lt;&gt; """") * (date(year(P262) + 3, month(P"&amp;"262), day(P262)) &lt; SmartStatus!F$2:F1000))), (isblank(SmartStatus!G$2:G1000)) + (((Q262 &lt;&gt; """") * (Q262 &gt;= SmartStatus!G$2:G1000)) + ((P262 &lt;&gt; """") * (P262 &gt;= SmartStatus!G$2:G1000)))), if(or(regexmatch(B262, ""(?i)^ir [a-z]+ designation$""), N262 &lt;&gt; """&amp;"""), 1, 2))), """"), ""NO_MATCH"")"),"")</f>
        <v/>
      </c>
      <c r="AS262" s="11"/>
      <c r="AT262" s="15"/>
      <c r="AU262" s="11"/>
      <c r="AV262" s="11"/>
      <c r="AW262" s="15"/>
      <c r="AX262" s="15"/>
      <c r="AY262" s="15"/>
      <c r="AZ262" s="11"/>
      <c r="BA262" s="15"/>
      <c r="BB262" s="11"/>
      <c r="BC262" s="11"/>
      <c r="BD262" s="15"/>
      <c r="BE262" s="11"/>
      <c r="BF262" s="11"/>
      <c r="BG262" s="15"/>
      <c r="BH262" s="15"/>
      <c r="BI262" s="15"/>
      <c r="BJ262" s="11"/>
      <c r="BK262" s="15"/>
      <c r="BL262" s="11"/>
      <c r="BM262" s="11"/>
      <c r="BN262" s="15"/>
      <c r="BO262" s="11"/>
      <c r="BP262" s="11"/>
      <c r="BQ262" s="15"/>
      <c r="BR262" s="15"/>
      <c r="BS262" s="15"/>
      <c r="BT262" s="11"/>
      <c r="BU262" s="15"/>
      <c r="BV262" s="11"/>
      <c r="BW262" s="11"/>
      <c r="BX262" s="15"/>
      <c r="BY262" s="11"/>
      <c r="BZ262" s="11"/>
      <c r="CA262" s="15"/>
      <c r="CB262" s="11"/>
      <c r="CC262" s="15"/>
      <c r="CD262" s="11"/>
      <c r="CE262" s="15"/>
      <c r="CF262" s="11"/>
      <c r="CG262" s="11"/>
      <c r="CH262" s="15"/>
      <c r="CI262" s="11"/>
      <c r="CJ262" s="11"/>
      <c r="CK262" s="15"/>
      <c r="CL262" s="11"/>
      <c r="CM262" s="11"/>
      <c r="CN262" s="11"/>
      <c r="CO262" s="11"/>
      <c r="CP262" s="28"/>
      <c r="CQ262" s="28"/>
      <c r="CR262" s="11"/>
      <c r="CS262" s="29"/>
      <c r="CT262" s="11"/>
      <c r="CU262" s="11"/>
      <c r="CV262" s="11"/>
      <c r="CW262" s="11"/>
      <c r="CX262" s="11"/>
      <c r="CY262" s="11"/>
      <c r="CZ262" s="11"/>
      <c r="DA262" s="28"/>
      <c r="DB262" s="28"/>
      <c r="DC262" s="11"/>
      <c r="DD262" s="29"/>
      <c r="DE262" s="11"/>
      <c r="DF262" s="11"/>
      <c r="DG262" s="11"/>
      <c r="DH262" s="11"/>
      <c r="DI262" s="11"/>
      <c r="DJ262" s="11"/>
      <c r="DK262" s="26"/>
      <c r="DL262" s="11"/>
      <c r="DM262" s="29"/>
      <c r="DN262" s="28"/>
      <c r="DO262" s="11"/>
      <c r="DP262" s="11"/>
      <c r="DQ262" s="11"/>
      <c r="DR262" s="29"/>
      <c r="DS262" s="28"/>
      <c r="DT262" s="11"/>
      <c r="DU262" s="26"/>
      <c r="DV262" s="11"/>
      <c r="DW262" s="29"/>
      <c r="DX262" s="28"/>
      <c r="DY262" s="11"/>
      <c r="DZ262" s="26"/>
      <c r="EA262" s="11"/>
      <c r="EB262" s="29"/>
      <c r="EC262" s="28"/>
      <c r="ED262" s="30"/>
      <c r="EE262" s="30" t="str">
        <f ca="1">IFERROR(__xludf.DUMMYFUNCTION("iferror(index(filter('Internal -- Trademark Countries'!E$2:E1000, (AM262 = 'Internal -- Trademark Countries'!B$2:B1000) + (AM262 = 'Internal -- Trademark Countries'!C$2:C1000) + (AM262 = 'Internal -- Trademark Countries'!D$2:D1000)), 1))"),"")</f>
        <v/>
      </c>
      <c r="EF262" s="30" t="e">
        <f ca="1">_xludf.ifs(AM262="", "", COUNTIF('Internal -- Trademark Countries'!B:B,AM262) &gt; 0, "polity_shortest_name", COUNTIF('Internal -- Trademark Countries'!C:C,AM262) &gt; 0, "polity_full_name", COUNTIF('Internal -- Trademark Countries'!D:D,AM262) &gt; 0, "polity_common_name", COUNTIF('Internal -- Trademark Countries'!E:E,AM262) &gt; 0, "shortest_name", COUNTIF('Internal -- Trademark Countries'!A:A,AM262) &gt; 0, "full_name", TRUE, "not a match")</f>
        <v>#NAME?</v>
      </c>
      <c r="EG262" s="30"/>
      <c r="EH262" s="30"/>
      <c r="EI262" s="30"/>
      <c r="EJ262" s="30"/>
      <c r="EK262" s="30" t="str">
        <f t="shared" si="3"/>
        <v/>
      </c>
    </row>
    <row r="263" spans="1:141" ht="16.5">
      <c r="A263" s="11"/>
      <c r="B263" s="11"/>
      <c r="C263" s="11"/>
      <c r="D263" s="11"/>
      <c r="E263" s="11"/>
      <c r="F263" s="11"/>
      <c r="G263" s="11"/>
      <c r="H263" s="11"/>
      <c r="I263" s="11"/>
      <c r="J263" s="11"/>
      <c r="K263" s="27"/>
      <c r="L263" s="11"/>
      <c r="M263" s="11"/>
      <c r="N263" s="11"/>
      <c r="O263" s="11"/>
      <c r="P263" s="15"/>
      <c r="Q263" s="15"/>
      <c r="R263" s="15"/>
      <c r="S263" s="15"/>
      <c r="T263" s="15"/>
      <c r="U263" s="15"/>
      <c r="V263" s="15"/>
      <c r="W263" s="47"/>
      <c r="X263" s="11"/>
      <c r="Y263" s="48"/>
      <c r="Z263" s="11"/>
      <c r="AA263" s="48"/>
      <c r="AB263" s="11"/>
      <c r="AC263" s="48"/>
      <c r="AD263" s="11"/>
      <c r="AE263" s="47"/>
      <c r="AF263" s="11"/>
      <c r="AG263" s="48"/>
      <c r="AH263" s="11"/>
      <c r="AI263" s="48"/>
      <c r="AJ263" s="11"/>
      <c r="AK263" s="48"/>
      <c r="AL263" s="11"/>
      <c r="AM263" s="49"/>
      <c r="AN263" s="49"/>
      <c r="AO263" s="11"/>
      <c r="AP263" s="11"/>
      <c r="AQ263" s="28" t="b">
        <f>IF(COUNTIF(SmartStatus!A$2:A1000, AM263) &gt; 2, TRUE, FALSE)</f>
        <v>0</v>
      </c>
      <c r="AR263" s="29" t="str">
        <f ca="1">IFERROR(__xludf.DUMMYFUNCTION("iferror(if(regexmatch(AO263, ""(?i)^registered""), if(EE263 &lt;&gt; ""polity_shortest_name"", ""CHECK_POLITY"", index(filter(SmartStatus!B$2:B1000, AM263 = SmartStatus!A$2:A1000, not(SmartStatus!C$2:C1000), (isblank(SmartStatus!D$2:D1000)) + ((P263 &lt;&gt; """") * "&amp;"(P263 &lt; SmartStatus!D$2:D1000)), (isblank(SmartStatus!E$2:E1000)) + ((P263 &lt;&gt; """") * (P263 &gt;= SmartStatus!E$2:E1000)), (isblank(SmartStatus!F$2:F1000)) + (((Q263 &lt;&gt; """") * (Q263 &lt; SmartStatus!F$2:F1000)) + ((P263 &lt;&gt; """") * (date(year(P263) + 3, month(P"&amp;"263), day(P263)) &lt; SmartStatus!F$2:F1000))), (isblank(SmartStatus!G$2:G1000)) + (((Q263 &lt;&gt; """") * (Q263 &gt;= SmartStatus!G$2:G1000)) + ((P263 &lt;&gt; """") * (P263 &gt;= SmartStatus!G$2:G1000)))), if(or(regexmatch(B263, ""(?i)^ir [a-z]+ designation$""), N263 &lt;&gt; """&amp;"""), 1, 2))), """"), ""NO_MATCH"")"),"")</f>
        <v/>
      </c>
      <c r="AS263" s="11"/>
      <c r="AT263" s="15"/>
      <c r="AU263" s="11"/>
      <c r="AV263" s="11"/>
      <c r="AW263" s="15"/>
      <c r="AX263" s="15"/>
      <c r="AY263" s="15"/>
      <c r="AZ263" s="11"/>
      <c r="BA263" s="15"/>
      <c r="BB263" s="11"/>
      <c r="BC263" s="11"/>
      <c r="BD263" s="15"/>
      <c r="BE263" s="11"/>
      <c r="BF263" s="11"/>
      <c r="BG263" s="15"/>
      <c r="BH263" s="15"/>
      <c r="BI263" s="15"/>
      <c r="BJ263" s="11"/>
      <c r="BK263" s="15"/>
      <c r="BL263" s="11"/>
      <c r="BM263" s="11"/>
      <c r="BN263" s="15"/>
      <c r="BO263" s="11"/>
      <c r="BP263" s="11"/>
      <c r="BQ263" s="15"/>
      <c r="BR263" s="15"/>
      <c r="BS263" s="15"/>
      <c r="BT263" s="11"/>
      <c r="BU263" s="15"/>
      <c r="BV263" s="11"/>
      <c r="BW263" s="11"/>
      <c r="BX263" s="15"/>
      <c r="BY263" s="11"/>
      <c r="BZ263" s="11"/>
      <c r="CA263" s="15"/>
      <c r="CB263" s="11"/>
      <c r="CC263" s="15"/>
      <c r="CD263" s="11"/>
      <c r="CE263" s="15"/>
      <c r="CF263" s="11"/>
      <c r="CG263" s="11"/>
      <c r="CH263" s="15"/>
      <c r="CI263" s="11"/>
      <c r="CJ263" s="11"/>
      <c r="CK263" s="15"/>
      <c r="CL263" s="11"/>
      <c r="CM263" s="11"/>
      <c r="CN263" s="11"/>
      <c r="CO263" s="11"/>
      <c r="CP263" s="28"/>
      <c r="CQ263" s="28"/>
      <c r="CR263" s="11"/>
      <c r="CS263" s="29"/>
      <c r="CT263" s="11"/>
      <c r="CU263" s="11"/>
      <c r="CV263" s="11"/>
      <c r="CW263" s="11"/>
      <c r="CX263" s="11"/>
      <c r="CY263" s="11"/>
      <c r="CZ263" s="11"/>
      <c r="DA263" s="28"/>
      <c r="DB263" s="28"/>
      <c r="DC263" s="11"/>
      <c r="DD263" s="29"/>
      <c r="DE263" s="11"/>
      <c r="DF263" s="11"/>
      <c r="DG263" s="11"/>
      <c r="DH263" s="11"/>
      <c r="DI263" s="11"/>
      <c r="DJ263" s="11"/>
      <c r="DK263" s="26"/>
      <c r="DL263" s="11"/>
      <c r="DM263" s="29"/>
      <c r="DN263" s="28"/>
      <c r="DO263" s="11"/>
      <c r="DP263" s="11"/>
      <c r="DQ263" s="11"/>
      <c r="DR263" s="29"/>
      <c r="DS263" s="28"/>
      <c r="DT263" s="11"/>
      <c r="DU263" s="26"/>
      <c r="DV263" s="11"/>
      <c r="DW263" s="29"/>
      <c r="DX263" s="28"/>
      <c r="DY263" s="11"/>
      <c r="DZ263" s="26"/>
      <c r="EA263" s="11"/>
      <c r="EB263" s="29"/>
      <c r="EC263" s="28"/>
      <c r="ED263" s="30"/>
      <c r="EE263" s="30" t="str">
        <f ca="1">IFERROR(__xludf.DUMMYFUNCTION("iferror(index(filter('Internal -- Trademark Countries'!E$2:E1000, (AM263 = 'Internal -- Trademark Countries'!B$2:B1000) + (AM263 = 'Internal -- Trademark Countries'!C$2:C1000) + (AM263 = 'Internal -- Trademark Countries'!D$2:D1000)), 1))"),"")</f>
        <v/>
      </c>
      <c r="EF263" s="30" t="e">
        <f ca="1">_xludf.ifs(AM263="", "", COUNTIF('Internal -- Trademark Countries'!B:B,AM263) &gt; 0, "polity_shortest_name", COUNTIF('Internal -- Trademark Countries'!C:C,AM263) &gt; 0, "polity_full_name", COUNTIF('Internal -- Trademark Countries'!D:D,AM263) &gt; 0, "polity_common_name", COUNTIF('Internal -- Trademark Countries'!E:E,AM263) &gt; 0, "shortest_name", COUNTIF('Internal -- Trademark Countries'!A:A,AM263) &gt; 0, "full_name", TRUE, "not a match")</f>
        <v>#NAME?</v>
      </c>
      <c r="EG263" s="30"/>
      <c r="EH263" s="30"/>
      <c r="EI263" s="30"/>
      <c r="EJ263" s="30"/>
      <c r="EK263" s="30" t="str">
        <f t="shared" si="3"/>
        <v/>
      </c>
    </row>
    <row r="264" spans="1:141" ht="16.5">
      <c r="A264" s="11"/>
      <c r="B264" s="11"/>
      <c r="C264" s="11"/>
      <c r="D264" s="11"/>
      <c r="E264" s="11"/>
      <c r="F264" s="11"/>
      <c r="G264" s="11"/>
      <c r="H264" s="11"/>
      <c r="I264" s="11"/>
      <c r="J264" s="11"/>
      <c r="K264" s="27"/>
      <c r="L264" s="11"/>
      <c r="M264" s="11"/>
      <c r="N264" s="11"/>
      <c r="O264" s="11"/>
      <c r="P264" s="15"/>
      <c r="Q264" s="15"/>
      <c r="R264" s="15"/>
      <c r="S264" s="15"/>
      <c r="T264" s="15"/>
      <c r="U264" s="15"/>
      <c r="V264" s="15"/>
      <c r="W264" s="47"/>
      <c r="X264" s="11"/>
      <c r="Y264" s="48"/>
      <c r="Z264" s="11"/>
      <c r="AA264" s="48"/>
      <c r="AB264" s="11"/>
      <c r="AC264" s="48"/>
      <c r="AD264" s="11"/>
      <c r="AE264" s="47"/>
      <c r="AF264" s="11"/>
      <c r="AG264" s="48"/>
      <c r="AH264" s="11"/>
      <c r="AI264" s="48"/>
      <c r="AJ264" s="11"/>
      <c r="AK264" s="48"/>
      <c r="AL264" s="11"/>
      <c r="AM264" s="49"/>
      <c r="AN264" s="49"/>
      <c r="AO264" s="11"/>
      <c r="AP264" s="11"/>
      <c r="AQ264" s="28" t="b">
        <f>IF(COUNTIF(SmartStatus!A$2:A1000, AM264) &gt; 2, TRUE, FALSE)</f>
        <v>0</v>
      </c>
      <c r="AR264" s="29" t="str">
        <f ca="1">IFERROR(__xludf.DUMMYFUNCTION("iferror(if(regexmatch(AO264, ""(?i)^registered""), if(EE264 &lt;&gt; ""polity_shortest_name"", ""CHECK_POLITY"", index(filter(SmartStatus!B$2:B1000, AM264 = SmartStatus!A$2:A1000, not(SmartStatus!C$2:C1000), (isblank(SmartStatus!D$2:D1000)) + ((P264 &lt;&gt; """") * "&amp;"(P264 &lt; SmartStatus!D$2:D1000)), (isblank(SmartStatus!E$2:E1000)) + ((P264 &lt;&gt; """") * (P264 &gt;= SmartStatus!E$2:E1000)), (isblank(SmartStatus!F$2:F1000)) + (((Q264 &lt;&gt; """") * (Q264 &lt; SmartStatus!F$2:F1000)) + ((P264 &lt;&gt; """") * (date(year(P264) + 3, month(P"&amp;"264), day(P264)) &lt; SmartStatus!F$2:F1000))), (isblank(SmartStatus!G$2:G1000)) + (((Q264 &lt;&gt; """") * (Q264 &gt;= SmartStatus!G$2:G1000)) + ((P264 &lt;&gt; """") * (P264 &gt;= SmartStatus!G$2:G1000)))), if(or(regexmatch(B264, ""(?i)^ir [a-z]+ designation$""), N264 &lt;&gt; """&amp;"""), 1, 2))), """"), ""NO_MATCH"")"),"")</f>
        <v/>
      </c>
      <c r="AS264" s="11"/>
      <c r="AT264" s="15"/>
      <c r="AU264" s="11"/>
      <c r="AV264" s="11"/>
      <c r="AW264" s="15"/>
      <c r="AX264" s="15"/>
      <c r="AY264" s="15"/>
      <c r="AZ264" s="11"/>
      <c r="BA264" s="15"/>
      <c r="BB264" s="11"/>
      <c r="BC264" s="11"/>
      <c r="BD264" s="15"/>
      <c r="BE264" s="11"/>
      <c r="BF264" s="11"/>
      <c r="BG264" s="15"/>
      <c r="BH264" s="15"/>
      <c r="BI264" s="15"/>
      <c r="BJ264" s="11"/>
      <c r="BK264" s="15"/>
      <c r="BL264" s="11"/>
      <c r="BM264" s="11"/>
      <c r="BN264" s="15"/>
      <c r="BO264" s="11"/>
      <c r="BP264" s="11"/>
      <c r="BQ264" s="15"/>
      <c r="BR264" s="15"/>
      <c r="BS264" s="15"/>
      <c r="BT264" s="11"/>
      <c r="BU264" s="15"/>
      <c r="BV264" s="11"/>
      <c r="BW264" s="11"/>
      <c r="BX264" s="15"/>
      <c r="BY264" s="11"/>
      <c r="BZ264" s="11"/>
      <c r="CA264" s="15"/>
      <c r="CB264" s="11"/>
      <c r="CC264" s="15"/>
      <c r="CD264" s="11"/>
      <c r="CE264" s="15"/>
      <c r="CF264" s="11"/>
      <c r="CG264" s="11"/>
      <c r="CH264" s="15"/>
      <c r="CI264" s="11"/>
      <c r="CJ264" s="11"/>
      <c r="CK264" s="15"/>
      <c r="CL264" s="11"/>
      <c r="CM264" s="11"/>
      <c r="CN264" s="11"/>
      <c r="CO264" s="11"/>
      <c r="CP264" s="28"/>
      <c r="CQ264" s="28"/>
      <c r="CR264" s="11"/>
      <c r="CS264" s="29"/>
      <c r="CT264" s="11"/>
      <c r="CU264" s="11"/>
      <c r="CV264" s="11"/>
      <c r="CW264" s="11"/>
      <c r="CX264" s="11"/>
      <c r="CY264" s="11"/>
      <c r="CZ264" s="11"/>
      <c r="DA264" s="28"/>
      <c r="DB264" s="28"/>
      <c r="DC264" s="11"/>
      <c r="DD264" s="29"/>
      <c r="DE264" s="11"/>
      <c r="DF264" s="11"/>
      <c r="DG264" s="11"/>
      <c r="DH264" s="11"/>
      <c r="DI264" s="11"/>
      <c r="DJ264" s="11"/>
      <c r="DK264" s="26"/>
      <c r="DL264" s="11"/>
      <c r="DM264" s="29"/>
      <c r="DN264" s="28"/>
      <c r="DO264" s="11"/>
      <c r="DP264" s="11"/>
      <c r="DQ264" s="11"/>
      <c r="DR264" s="29"/>
      <c r="DS264" s="28"/>
      <c r="DT264" s="11"/>
      <c r="DU264" s="26"/>
      <c r="DV264" s="11"/>
      <c r="DW264" s="29"/>
      <c r="DX264" s="28"/>
      <c r="DY264" s="11"/>
      <c r="DZ264" s="26"/>
      <c r="EA264" s="11"/>
      <c r="EB264" s="29"/>
      <c r="EC264" s="28"/>
      <c r="ED264" s="30"/>
      <c r="EE264" s="30" t="str">
        <f ca="1">IFERROR(__xludf.DUMMYFUNCTION("iferror(index(filter('Internal -- Trademark Countries'!E$2:E1000, (AM264 = 'Internal -- Trademark Countries'!B$2:B1000) + (AM264 = 'Internal -- Trademark Countries'!C$2:C1000) + (AM264 = 'Internal -- Trademark Countries'!D$2:D1000)), 1))"),"")</f>
        <v/>
      </c>
      <c r="EF264" s="30" t="e">
        <f ca="1">_xludf.ifs(AM264="", "", COUNTIF('Internal -- Trademark Countries'!B:B,AM264) &gt; 0, "polity_shortest_name", COUNTIF('Internal -- Trademark Countries'!C:C,AM264) &gt; 0, "polity_full_name", COUNTIF('Internal -- Trademark Countries'!D:D,AM264) &gt; 0, "polity_common_name", COUNTIF('Internal -- Trademark Countries'!E:E,AM264) &gt; 0, "shortest_name", COUNTIF('Internal -- Trademark Countries'!A:A,AM264) &gt; 0, "full_name", TRUE, "not a match")</f>
        <v>#NAME?</v>
      </c>
      <c r="EG264" s="30"/>
      <c r="EH264" s="30"/>
      <c r="EI264" s="30"/>
      <c r="EJ264" s="30"/>
      <c r="EK264" s="30" t="str">
        <f t="shared" si="3"/>
        <v/>
      </c>
    </row>
    <row r="265" spans="1:141" ht="16.5">
      <c r="A265" s="11"/>
      <c r="B265" s="11"/>
      <c r="C265" s="11"/>
      <c r="D265" s="11"/>
      <c r="E265" s="11"/>
      <c r="F265" s="11"/>
      <c r="G265" s="11"/>
      <c r="H265" s="11"/>
      <c r="I265" s="11"/>
      <c r="J265" s="11"/>
      <c r="K265" s="27"/>
      <c r="L265" s="11"/>
      <c r="M265" s="11"/>
      <c r="N265" s="11"/>
      <c r="O265" s="11"/>
      <c r="P265" s="15"/>
      <c r="Q265" s="15"/>
      <c r="R265" s="15"/>
      <c r="S265" s="15"/>
      <c r="T265" s="15"/>
      <c r="U265" s="15"/>
      <c r="V265" s="15"/>
      <c r="W265" s="47"/>
      <c r="X265" s="11"/>
      <c r="Y265" s="48"/>
      <c r="Z265" s="11"/>
      <c r="AA265" s="48"/>
      <c r="AB265" s="11"/>
      <c r="AC265" s="48"/>
      <c r="AD265" s="11"/>
      <c r="AE265" s="47"/>
      <c r="AF265" s="11"/>
      <c r="AG265" s="48"/>
      <c r="AH265" s="11"/>
      <c r="AI265" s="48"/>
      <c r="AJ265" s="11"/>
      <c r="AK265" s="48"/>
      <c r="AL265" s="11"/>
      <c r="AM265" s="49"/>
      <c r="AN265" s="49"/>
      <c r="AO265" s="11"/>
      <c r="AP265" s="11"/>
      <c r="AQ265" s="28" t="b">
        <f>IF(COUNTIF(SmartStatus!A$2:A1000, AM265) &gt; 2, TRUE, FALSE)</f>
        <v>0</v>
      </c>
      <c r="AR265" s="29" t="str">
        <f ca="1">IFERROR(__xludf.DUMMYFUNCTION("iferror(if(regexmatch(AO265, ""(?i)^registered""), if(EE265 &lt;&gt; ""polity_shortest_name"", ""CHECK_POLITY"", index(filter(SmartStatus!B$2:B1000, AM265 = SmartStatus!A$2:A1000, not(SmartStatus!C$2:C1000), (isblank(SmartStatus!D$2:D1000)) + ((P265 &lt;&gt; """") * "&amp;"(P265 &lt; SmartStatus!D$2:D1000)), (isblank(SmartStatus!E$2:E1000)) + ((P265 &lt;&gt; """") * (P265 &gt;= SmartStatus!E$2:E1000)), (isblank(SmartStatus!F$2:F1000)) + (((Q265 &lt;&gt; """") * (Q265 &lt; SmartStatus!F$2:F1000)) + ((P265 &lt;&gt; """") * (date(year(P265) + 3, month(P"&amp;"265), day(P265)) &lt; SmartStatus!F$2:F1000))), (isblank(SmartStatus!G$2:G1000)) + (((Q265 &lt;&gt; """") * (Q265 &gt;= SmartStatus!G$2:G1000)) + ((P265 &lt;&gt; """") * (P265 &gt;= SmartStatus!G$2:G1000)))), if(or(regexmatch(B265, ""(?i)^ir [a-z]+ designation$""), N265 &lt;&gt; """&amp;"""), 1, 2))), """"), ""NO_MATCH"")"),"")</f>
        <v/>
      </c>
      <c r="AS265" s="11"/>
      <c r="AT265" s="15"/>
      <c r="AU265" s="11"/>
      <c r="AV265" s="11"/>
      <c r="AW265" s="15"/>
      <c r="AX265" s="15"/>
      <c r="AY265" s="15"/>
      <c r="AZ265" s="11"/>
      <c r="BA265" s="15"/>
      <c r="BB265" s="11"/>
      <c r="BC265" s="11"/>
      <c r="BD265" s="15"/>
      <c r="BE265" s="11"/>
      <c r="BF265" s="11"/>
      <c r="BG265" s="15"/>
      <c r="BH265" s="15"/>
      <c r="BI265" s="15"/>
      <c r="BJ265" s="11"/>
      <c r="BK265" s="15"/>
      <c r="BL265" s="11"/>
      <c r="BM265" s="11"/>
      <c r="BN265" s="15"/>
      <c r="BO265" s="11"/>
      <c r="BP265" s="11"/>
      <c r="BQ265" s="15"/>
      <c r="BR265" s="15"/>
      <c r="BS265" s="15"/>
      <c r="BT265" s="11"/>
      <c r="BU265" s="15"/>
      <c r="BV265" s="11"/>
      <c r="BW265" s="11"/>
      <c r="BX265" s="15"/>
      <c r="BY265" s="11"/>
      <c r="BZ265" s="11"/>
      <c r="CA265" s="15"/>
      <c r="CB265" s="11"/>
      <c r="CC265" s="15"/>
      <c r="CD265" s="11"/>
      <c r="CE265" s="15"/>
      <c r="CF265" s="11"/>
      <c r="CG265" s="11"/>
      <c r="CH265" s="15"/>
      <c r="CI265" s="11"/>
      <c r="CJ265" s="11"/>
      <c r="CK265" s="15"/>
      <c r="CL265" s="11"/>
      <c r="CM265" s="11"/>
      <c r="CN265" s="11"/>
      <c r="CO265" s="11"/>
      <c r="CP265" s="28"/>
      <c r="CQ265" s="28"/>
      <c r="CR265" s="11"/>
      <c r="CS265" s="29"/>
      <c r="CT265" s="11"/>
      <c r="CU265" s="11"/>
      <c r="CV265" s="11"/>
      <c r="CW265" s="11"/>
      <c r="CX265" s="11"/>
      <c r="CY265" s="11"/>
      <c r="CZ265" s="11"/>
      <c r="DA265" s="28"/>
      <c r="DB265" s="28"/>
      <c r="DC265" s="11"/>
      <c r="DD265" s="29"/>
      <c r="DE265" s="11"/>
      <c r="DF265" s="11"/>
      <c r="DG265" s="11"/>
      <c r="DH265" s="11"/>
      <c r="DI265" s="11"/>
      <c r="DJ265" s="11"/>
      <c r="DK265" s="26"/>
      <c r="DL265" s="11"/>
      <c r="DM265" s="29"/>
      <c r="DN265" s="28"/>
      <c r="DO265" s="11"/>
      <c r="DP265" s="11"/>
      <c r="DQ265" s="11"/>
      <c r="DR265" s="29"/>
      <c r="DS265" s="28"/>
      <c r="DT265" s="11"/>
      <c r="DU265" s="26"/>
      <c r="DV265" s="11"/>
      <c r="DW265" s="29"/>
      <c r="DX265" s="28"/>
      <c r="DY265" s="11"/>
      <c r="DZ265" s="26"/>
      <c r="EA265" s="11"/>
      <c r="EB265" s="29"/>
      <c r="EC265" s="28"/>
      <c r="ED265" s="30"/>
      <c r="EE265" s="30" t="str">
        <f ca="1">IFERROR(__xludf.DUMMYFUNCTION("iferror(index(filter('Internal -- Trademark Countries'!E$2:E1000, (AM265 = 'Internal -- Trademark Countries'!B$2:B1000) + (AM265 = 'Internal -- Trademark Countries'!C$2:C1000) + (AM265 = 'Internal -- Trademark Countries'!D$2:D1000)), 1))"),"")</f>
        <v/>
      </c>
      <c r="EF265" s="30" t="e">
        <f ca="1">_xludf.ifs(AM265="", "", COUNTIF('Internal -- Trademark Countries'!B:B,AM265) &gt; 0, "polity_shortest_name", COUNTIF('Internal -- Trademark Countries'!C:C,AM265) &gt; 0, "polity_full_name", COUNTIF('Internal -- Trademark Countries'!D:D,AM265) &gt; 0, "polity_common_name", COUNTIF('Internal -- Trademark Countries'!E:E,AM265) &gt; 0, "shortest_name", COUNTIF('Internal -- Trademark Countries'!A:A,AM265) &gt; 0, "full_name", TRUE, "not a match")</f>
        <v>#NAME?</v>
      </c>
      <c r="EG265" s="30"/>
      <c r="EH265" s="30"/>
      <c r="EI265" s="30"/>
      <c r="EJ265" s="30"/>
      <c r="EK265" s="30" t="str">
        <f t="shared" si="3"/>
        <v/>
      </c>
    </row>
    <row r="266" spans="1:141" ht="16.5">
      <c r="A266" s="11"/>
      <c r="B266" s="11"/>
      <c r="C266" s="11"/>
      <c r="D266" s="11"/>
      <c r="E266" s="11"/>
      <c r="F266" s="11"/>
      <c r="G266" s="11"/>
      <c r="H266" s="11"/>
      <c r="I266" s="11"/>
      <c r="J266" s="11"/>
      <c r="K266" s="27"/>
      <c r="L266" s="11"/>
      <c r="M266" s="11"/>
      <c r="N266" s="11"/>
      <c r="O266" s="11"/>
      <c r="P266" s="15"/>
      <c r="Q266" s="15"/>
      <c r="R266" s="15"/>
      <c r="S266" s="15"/>
      <c r="T266" s="15"/>
      <c r="U266" s="15"/>
      <c r="V266" s="15"/>
      <c r="W266" s="47"/>
      <c r="X266" s="11"/>
      <c r="Y266" s="48"/>
      <c r="Z266" s="11"/>
      <c r="AA266" s="48"/>
      <c r="AB266" s="11"/>
      <c r="AC266" s="48"/>
      <c r="AD266" s="11"/>
      <c r="AE266" s="47"/>
      <c r="AF266" s="11"/>
      <c r="AG266" s="48"/>
      <c r="AH266" s="11"/>
      <c r="AI266" s="48"/>
      <c r="AJ266" s="11"/>
      <c r="AK266" s="48"/>
      <c r="AL266" s="11"/>
      <c r="AM266" s="49"/>
      <c r="AN266" s="49"/>
      <c r="AO266" s="11"/>
      <c r="AP266" s="11"/>
      <c r="AQ266" s="28" t="b">
        <f>IF(COUNTIF(SmartStatus!A$2:A1000, AM266) &gt; 2, TRUE, FALSE)</f>
        <v>0</v>
      </c>
      <c r="AR266" s="29" t="str">
        <f ca="1">IFERROR(__xludf.DUMMYFUNCTION("iferror(if(regexmatch(AO266, ""(?i)^registered""), if(EE266 &lt;&gt; ""polity_shortest_name"", ""CHECK_POLITY"", index(filter(SmartStatus!B$2:B1000, AM266 = SmartStatus!A$2:A1000, not(SmartStatus!C$2:C1000), (isblank(SmartStatus!D$2:D1000)) + ((P266 &lt;&gt; """") * "&amp;"(P266 &lt; SmartStatus!D$2:D1000)), (isblank(SmartStatus!E$2:E1000)) + ((P266 &lt;&gt; """") * (P266 &gt;= SmartStatus!E$2:E1000)), (isblank(SmartStatus!F$2:F1000)) + (((Q266 &lt;&gt; """") * (Q266 &lt; SmartStatus!F$2:F1000)) + ((P266 &lt;&gt; """") * (date(year(P266) + 3, month(P"&amp;"266), day(P266)) &lt; SmartStatus!F$2:F1000))), (isblank(SmartStatus!G$2:G1000)) + (((Q266 &lt;&gt; """") * (Q266 &gt;= SmartStatus!G$2:G1000)) + ((P266 &lt;&gt; """") * (P266 &gt;= SmartStatus!G$2:G1000)))), if(or(regexmatch(B266, ""(?i)^ir [a-z]+ designation$""), N266 &lt;&gt; """&amp;"""), 1, 2))), """"), ""NO_MATCH"")"),"")</f>
        <v/>
      </c>
      <c r="AS266" s="11"/>
      <c r="AT266" s="15"/>
      <c r="AU266" s="11"/>
      <c r="AV266" s="11"/>
      <c r="AW266" s="15"/>
      <c r="AX266" s="15"/>
      <c r="AY266" s="15"/>
      <c r="AZ266" s="11"/>
      <c r="BA266" s="15"/>
      <c r="BB266" s="11"/>
      <c r="BC266" s="11"/>
      <c r="BD266" s="15"/>
      <c r="BE266" s="11"/>
      <c r="BF266" s="11"/>
      <c r="BG266" s="15"/>
      <c r="BH266" s="15"/>
      <c r="BI266" s="15"/>
      <c r="BJ266" s="11"/>
      <c r="BK266" s="15"/>
      <c r="BL266" s="11"/>
      <c r="BM266" s="11"/>
      <c r="BN266" s="15"/>
      <c r="BO266" s="11"/>
      <c r="BP266" s="11"/>
      <c r="BQ266" s="15"/>
      <c r="BR266" s="15"/>
      <c r="BS266" s="15"/>
      <c r="BT266" s="11"/>
      <c r="BU266" s="15"/>
      <c r="BV266" s="11"/>
      <c r="BW266" s="11"/>
      <c r="BX266" s="15"/>
      <c r="BY266" s="11"/>
      <c r="BZ266" s="11"/>
      <c r="CA266" s="15"/>
      <c r="CB266" s="11"/>
      <c r="CC266" s="15"/>
      <c r="CD266" s="11"/>
      <c r="CE266" s="15"/>
      <c r="CF266" s="11"/>
      <c r="CG266" s="11"/>
      <c r="CH266" s="15"/>
      <c r="CI266" s="11"/>
      <c r="CJ266" s="11"/>
      <c r="CK266" s="15"/>
      <c r="CL266" s="11"/>
      <c r="CM266" s="11"/>
      <c r="CN266" s="11"/>
      <c r="CO266" s="11"/>
      <c r="CP266" s="28"/>
      <c r="CQ266" s="28"/>
      <c r="CR266" s="11"/>
      <c r="CS266" s="29"/>
      <c r="CT266" s="11"/>
      <c r="CU266" s="11"/>
      <c r="CV266" s="11"/>
      <c r="CW266" s="11"/>
      <c r="CX266" s="11"/>
      <c r="CY266" s="11"/>
      <c r="CZ266" s="11"/>
      <c r="DA266" s="28"/>
      <c r="DB266" s="28"/>
      <c r="DC266" s="11"/>
      <c r="DD266" s="29"/>
      <c r="DE266" s="11"/>
      <c r="DF266" s="11"/>
      <c r="DG266" s="11"/>
      <c r="DH266" s="11"/>
      <c r="DI266" s="11"/>
      <c r="DJ266" s="11"/>
      <c r="DK266" s="26"/>
      <c r="DL266" s="11"/>
      <c r="DM266" s="29"/>
      <c r="DN266" s="28"/>
      <c r="DO266" s="11"/>
      <c r="DP266" s="11"/>
      <c r="DQ266" s="11"/>
      <c r="DR266" s="29"/>
      <c r="DS266" s="28"/>
      <c r="DT266" s="11"/>
      <c r="DU266" s="26"/>
      <c r="DV266" s="11"/>
      <c r="DW266" s="29"/>
      <c r="DX266" s="28"/>
      <c r="DY266" s="11"/>
      <c r="DZ266" s="26"/>
      <c r="EA266" s="11"/>
      <c r="EB266" s="29"/>
      <c r="EC266" s="28"/>
      <c r="ED266" s="30"/>
      <c r="EE266" s="30" t="str">
        <f ca="1">IFERROR(__xludf.DUMMYFUNCTION("iferror(index(filter('Internal -- Trademark Countries'!E$2:E1000, (AM266 = 'Internal -- Trademark Countries'!B$2:B1000) + (AM266 = 'Internal -- Trademark Countries'!C$2:C1000) + (AM266 = 'Internal -- Trademark Countries'!D$2:D1000)), 1))"),"")</f>
        <v/>
      </c>
      <c r="EF266" s="30" t="e">
        <f ca="1">_xludf.ifs(AM266="", "", COUNTIF('Internal -- Trademark Countries'!B:B,AM266) &gt; 0, "polity_shortest_name", COUNTIF('Internal -- Trademark Countries'!C:C,AM266) &gt; 0, "polity_full_name", COUNTIF('Internal -- Trademark Countries'!D:D,AM266) &gt; 0, "polity_common_name", COUNTIF('Internal -- Trademark Countries'!E:E,AM266) &gt; 0, "shortest_name", COUNTIF('Internal -- Trademark Countries'!A:A,AM266) &gt; 0, "full_name", TRUE, "not a match")</f>
        <v>#NAME?</v>
      </c>
      <c r="EG266" s="30"/>
      <c r="EH266" s="30"/>
      <c r="EI266" s="30"/>
      <c r="EJ266" s="30"/>
      <c r="EK266" s="30" t="str">
        <f t="shared" si="3"/>
        <v/>
      </c>
    </row>
    <row r="267" spans="1:141" ht="16.5">
      <c r="A267" s="11"/>
      <c r="B267" s="11"/>
      <c r="C267" s="11"/>
      <c r="D267" s="11"/>
      <c r="E267" s="11"/>
      <c r="F267" s="11"/>
      <c r="G267" s="11"/>
      <c r="H267" s="11"/>
      <c r="I267" s="11"/>
      <c r="J267" s="11"/>
      <c r="K267" s="27"/>
      <c r="L267" s="11"/>
      <c r="M267" s="11"/>
      <c r="N267" s="11"/>
      <c r="O267" s="11"/>
      <c r="P267" s="15"/>
      <c r="Q267" s="15"/>
      <c r="R267" s="15"/>
      <c r="S267" s="15"/>
      <c r="T267" s="15"/>
      <c r="U267" s="15"/>
      <c r="V267" s="15"/>
      <c r="W267" s="47"/>
      <c r="X267" s="11"/>
      <c r="Y267" s="48"/>
      <c r="Z267" s="11"/>
      <c r="AA267" s="48"/>
      <c r="AB267" s="11"/>
      <c r="AC267" s="48"/>
      <c r="AD267" s="11"/>
      <c r="AE267" s="47"/>
      <c r="AF267" s="11"/>
      <c r="AG267" s="48"/>
      <c r="AH267" s="11"/>
      <c r="AI267" s="48"/>
      <c r="AJ267" s="11"/>
      <c r="AK267" s="48"/>
      <c r="AL267" s="11"/>
      <c r="AM267" s="49"/>
      <c r="AN267" s="49"/>
      <c r="AO267" s="11"/>
      <c r="AP267" s="11"/>
      <c r="AQ267" s="28" t="b">
        <f>IF(COUNTIF(SmartStatus!A$2:A1000, AM267) &gt; 2, TRUE, FALSE)</f>
        <v>0</v>
      </c>
      <c r="AR267" s="29" t="str">
        <f ca="1">IFERROR(__xludf.DUMMYFUNCTION("iferror(if(regexmatch(AO267, ""(?i)^registered""), if(EE267 &lt;&gt; ""polity_shortest_name"", ""CHECK_POLITY"", index(filter(SmartStatus!B$2:B1000, AM267 = SmartStatus!A$2:A1000, not(SmartStatus!C$2:C1000), (isblank(SmartStatus!D$2:D1000)) + ((P267 &lt;&gt; """") * "&amp;"(P267 &lt; SmartStatus!D$2:D1000)), (isblank(SmartStatus!E$2:E1000)) + ((P267 &lt;&gt; """") * (P267 &gt;= SmartStatus!E$2:E1000)), (isblank(SmartStatus!F$2:F1000)) + (((Q267 &lt;&gt; """") * (Q267 &lt; SmartStatus!F$2:F1000)) + ((P267 &lt;&gt; """") * (date(year(P267) + 3, month(P"&amp;"267), day(P267)) &lt; SmartStatus!F$2:F1000))), (isblank(SmartStatus!G$2:G1000)) + (((Q267 &lt;&gt; """") * (Q267 &gt;= SmartStatus!G$2:G1000)) + ((P267 &lt;&gt; """") * (P267 &gt;= SmartStatus!G$2:G1000)))), if(or(regexmatch(B267, ""(?i)^ir [a-z]+ designation$""), N267 &lt;&gt; """&amp;"""), 1, 2))), """"), ""NO_MATCH"")"),"")</f>
        <v/>
      </c>
      <c r="AS267" s="11"/>
      <c r="AT267" s="15"/>
      <c r="AU267" s="11"/>
      <c r="AV267" s="11"/>
      <c r="AW267" s="15"/>
      <c r="AX267" s="15"/>
      <c r="AY267" s="15"/>
      <c r="AZ267" s="11"/>
      <c r="BA267" s="15"/>
      <c r="BB267" s="11"/>
      <c r="BC267" s="11"/>
      <c r="BD267" s="15"/>
      <c r="BE267" s="11"/>
      <c r="BF267" s="11"/>
      <c r="BG267" s="15"/>
      <c r="BH267" s="15"/>
      <c r="BI267" s="15"/>
      <c r="BJ267" s="11"/>
      <c r="BK267" s="15"/>
      <c r="BL267" s="11"/>
      <c r="BM267" s="11"/>
      <c r="BN267" s="15"/>
      <c r="BO267" s="11"/>
      <c r="BP267" s="11"/>
      <c r="BQ267" s="15"/>
      <c r="BR267" s="15"/>
      <c r="BS267" s="15"/>
      <c r="BT267" s="11"/>
      <c r="BU267" s="15"/>
      <c r="BV267" s="11"/>
      <c r="BW267" s="11"/>
      <c r="BX267" s="15"/>
      <c r="BY267" s="11"/>
      <c r="BZ267" s="11"/>
      <c r="CA267" s="15"/>
      <c r="CB267" s="11"/>
      <c r="CC267" s="15"/>
      <c r="CD267" s="11"/>
      <c r="CE267" s="15"/>
      <c r="CF267" s="11"/>
      <c r="CG267" s="11"/>
      <c r="CH267" s="15"/>
      <c r="CI267" s="11"/>
      <c r="CJ267" s="11"/>
      <c r="CK267" s="15"/>
      <c r="CL267" s="11"/>
      <c r="CM267" s="11"/>
      <c r="CN267" s="11"/>
      <c r="CO267" s="11"/>
      <c r="CP267" s="28"/>
      <c r="CQ267" s="28"/>
      <c r="CR267" s="11"/>
      <c r="CS267" s="29"/>
      <c r="CT267" s="11"/>
      <c r="CU267" s="11"/>
      <c r="CV267" s="11"/>
      <c r="CW267" s="11"/>
      <c r="CX267" s="11"/>
      <c r="CY267" s="11"/>
      <c r="CZ267" s="11"/>
      <c r="DA267" s="28"/>
      <c r="DB267" s="28"/>
      <c r="DC267" s="11"/>
      <c r="DD267" s="29"/>
      <c r="DE267" s="11"/>
      <c r="DF267" s="11"/>
      <c r="DG267" s="11"/>
      <c r="DH267" s="11"/>
      <c r="DI267" s="11"/>
      <c r="DJ267" s="11"/>
      <c r="DK267" s="26"/>
      <c r="DL267" s="11"/>
      <c r="DM267" s="29"/>
      <c r="DN267" s="28"/>
      <c r="DO267" s="11"/>
      <c r="DP267" s="11"/>
      <c r="DQ267" s="11"/>
      <c r="DR267" s="29"/>
      <c r="DS267" s="28"/>
      <c r="DT267" s="11"/>
      <c r="DU267" s="26"/>
      <c r="DV267" s="11"/>
      <c r="DW267" s="29"/>
      <c r="DX267" s="28"/>
      <c r="DY267" s="11"/>
      <c r="DZ267" s="26"/>
      <c r="EA267" s="11"/>
      <c r="EB267" s="29"/>
      <c r="EC267" s="28"/>
      <c r="ED267" s="30"/>
      <c r="EE267" s="30" t="str">
        <f ca="1">IFERROR(__xludf.DUMMYFUNCTION("iferror(index(filter('Internal -- Trademark Countries'!E$2:E1000, (AM267 = 'Internal -- Trademark Countries'!B$2:B1000) + (AM267 = 'Internal -- Trademark Countries'!C$2:C1000) + (AM267 = 'Internal -- Trademark Countries'!D$2:D1000)), 1))"),"")</f>
        <v/>
      </c>
      <c r="EF267" s="30" t="e">
        <f ca="1">_xludf.ifs(AM267="", "", COUNTIF('Internal -- Trademark Countries'!B:B,AM267) &gt; 0, "polity_shortest_name", COUNTIF('Internal -- Trademark Countries'!C:C,AM267) &gt; 0, "polity_full_name", COUNTIF('Internal -- Trademark Countries'!D:D,AM267) &gt; 0, "polity_common_name", COUNTIF('Internal -- Trademark Countries'!E:E,AM267) &gt; 0, "shortest_name", COUNTIF('Internal -- Trademark Countries'!A:A,AM267) &gt; 0, "full_name", TRUE, "not a match")</f>
        <v>#NAME?</v>
      </c>
      <c r="EG267" s="30"/>
      <c r="EH267" s="30"/>
      <c r="EI267" s="30"/>
      <c r="EJ267" s="30"/>
      <c r="EK267" s="30" t="str">
        <f t="shared" si="3"/>
        <v/>
      </c>
    </row>
    <row r="268" spans="1:141" ht="16.5">
      <c r="A268" s="11"/>
      <c r="B268" s="11"/>
      <c r="C268" s="11"/>
      <c r="D268" s="11"/>
      <c r="E268" s="11"/>
      <c r="F268" s="11"/>
      <c r="G268" s="11"/>
      <c r="H268" s="11"/>
      <c r="I268" s="11"/>
      <c r="J268" s="11"/>
      <c r="K268" s="27"/>
      <c r="L268" s="11"/>
      <c r="M268" s="11"/>
      <c r="N268" s="11"/>
      <c r="O268" s="11"/>
      <c r="P268" s="15"/>
      <c r="Q268" s="15"/>
      <c r="R268" s="15"/>
      <c r="S268" s="15"/>
      <c r="T268" s="15"/>
      <c r="U268" s="15"/>
      <c r="V268" s="15"/>
      <c r="W268" s="47"/>
      <c r="X268" s="11"/>
      <c r="Y268" s="48"/>
      <c r="Z268" s="11"/>
      <c r="AA268" s="48"/>
      <c r="AB268" s="11"/>
      <c r="AC268" s="48"/>
      <c r="AD268" s="11"/>
      <c r="AE268" s="47"/>
      <c r="AF268" s="11"/>
      <c r="AG268" s="48"/>
      <c r="AH268" s="11"/>
      <c r="AI268" s="48"/>
      <c r="AJ268" s="11"/>
      <c r="AK268" s="48"/>
      <c r="AL268" s="11"/>
      <c r="AM268" s="49"/>
      <c r="AN268" s="49"/>
      <c r="AO268" s="11"/>
      <c r="AP268" s="11"/>
      <c r="AQ268" s="28" t="b">
        <f>IF(COUNTIF(SmartStatus!A$2:A1000, AM268) &gt; 2, TRUE, FALSE)</f>
        <v>0</v>
      </c>
      <c r="AR268" s="29" t="str">
        <f ca="1">IFERROR(__xludf.DUMMYFUNCTION("iferror(if(regexmatch(AO268, ""(?i)^registered""), if(EE268 &lt;&gt; ""polity_shortest_name"", ""CHECK_POLITY"", index(filter(SmartStatus!B$2:B1000, AM268 = SmartStatus!A$2:A1000, not(SmartStatus!C$2:C1000), (isblank(SmartStatus!D$2:D1000)) + ((P268 &lt;&gt; """") * "&amp;"(P268 &lt; SmartStatus!D$2:D1000)), (isblank(SmartStatus!E$2:E1000)) + ((P268 &lt;&gt; """") * (P268 &gt;= SmartStatus!E$2:E1000)), (isblank(SmartStatus!F$2:F1000)) + (((Q268 &lt;&gt; """") * (Q268 &lt; SmartStatus!F$2:F1000)) + ((P268 &lt;&gt; """") * (date(year(P268) + 3, month(P"&amp;"268), day(P268)) &lt; SmartStatus!F$2:F1000))), (isblank(SmartStatus!G$2:G1000)) + (((Q268 &lt;&gt; """") * (Q268 &gt;= SmartStatus!G$2:G1000)) + ((P268 &lt;&gt; """") * (P268 &gt;= SmartStatus!G$2:G1000)))), if(or(regexmatch(B268, ""(?i)^ir [a-z]+ designation$""), N268 &lt;&gt; """&amp;"""), 1, 2))), """"), ""NO_MATCH"")"),"")</f>
        <v/>
      </c>
      <c r="AS268" s="11"/>
      <c r="AT268" s="15"/>
      <c r="AU268" s="11"/>
      <c r="AV268" s="11"/>
      <c r="AW268" s="15"/>
      <c r="AX268" s="15"/>
      <c r="AY268" s="15"/>
      <c r="AZ268" s="11"/>
      <c r="BA268" s="15"/>
      <c r="BB268" s="11"/>
      <c r="BC268" s="11"/>
      <c r="BD268" s="15"/>
      <c r="BE268" s="11"/>
      <c r="BF268" s="11"/>
      <c r="BG268" s="15"/>
      <c r="BH268" s="15"/>
      <c r="BI268" s="15"/>
      <c r="BJ268" s="11"/>
      <c r="BK268" s="15"/>
      <c r="BL268" s="11"/>
      <c r="BM268" s="11"/>
      <c r="BN268" s="15"/>
      <c r="BO268" s="11"/>
      <c r="BP268" s="11"/>
      <c r="BQ268" s="15"/>
      <c r="BR268" s="15"/>
      <c r="BS268" s="15"/>
      <c r="BT268" s="11"/>
      <c r="BU268" s="15"/>
      <c r="BV268" s="11"/>
      <c r="BW268" s="11"/>
      <c r="BX268" s="15"/>
      <c r="BY268" s="11"/>
      <c r="BZ268" s="11"/>
      <c r="CA268" s="15"/>
      <c r="CB268" s="11"/>
      <c r="CC268" s="15"/>
      <c r="CD268" s="11"/>
      <c r="CE268" s="15"/>
      <c r="CF268" s="11"/>
      <c r="CG268" s="11"/>
      <c r="CH268" s="15"/>
      <c r="CI268" s="11"/>
      <c r="CJ268" s="11"/>
      <c r="CK268" s="15"/>
      <c r="CL268" s="11"/>
      <c r="CM268" s="11"/>
      <c r="CN268" s="11"/>
      <c r="CO268" s="11"/>
      <c r="CP268" s="28"/>
      <c r="CQ268" s="28"/>
      <c r="CR268" s="11"/>
      <c r="CS268" s="29"/>
      <c r="CT268" s="11"/>
      <c r="CU268" s="11"/>
      <c r="CV268" s="11"/>
      <c r="CW268" s="11"/>
      <c r="CX268" s="11"/>
      <c r="CY268" s="11"/>
      <c r="CZ268" s="11"/>
      <c r="DA268" s="28"/>
      <c r="DB268" s="28"/>
      <c r="DC268" s="11"/>
      <c r="DD268" s="29"/>
      <c r="DE268" s="11"/>
      <c r="DF268" s="11"/>
      <c r="DG268" s="11"/>
      <c r="DH268" s="11"/>
      <c r="DI268" s="11"/>
      <c r="DJ268" s="11"/>
      <c r="DK268" s="26"/>
      <c r="DL268" s="11"/>
      <c r="DM268" s="29"/>
      <c r="DN268" s="28"/>
      <c r="DO268" s="11"/>
      <c r="DP268" s="11"/>
      <c r="DQ268" s="11"/>
      <c r="DR268" s="29"/>
      <c r="DS268" s="28"/>
      <c r="DT268" s="11"/>
      <c r="DU268" s="26"/>
      <c r="DV268" s="11"/>
      <c r="DW268" s="29"/>
      <c r="DX268" s="28"/>
      <c r="DY268" s="11"/>
      <c r="DZ268" s="26"/>
      <c r="EA268" s="11"/>
      <c r="EB268" s="29"/>
      <c r="EC268" s="28"/>
      <c r="ED268" s="30"/>
      <c r="EE268" s="30" t="str">
        <f ca="1">IFERROR(__xludf.DUMMYFUNCTION("iferror(index(filter('Internal -- Trademark Countries'!E$2:E1000, (AM268 = 'Internal -- Trademark Countries'!B$2:B1000) + (AM268 = 'Internal -- Trademark Countries'!C$2:C1000) + (AM268 = 'Internal -- Trademark Countries'!D$2:D1000)), 1))"),"")</f>
        <v/>
      </c>
      <c r="EF268" s="30" t="e">
        <f ca="1">_xludf.ifs(AM268="", "", COUNTIF('Internal -- Trademark Countries'!B:B,AM268) &gt; 0, "polity_shortest_name", COUNTIF('Internal -- Trademark Countries'!C:C,AM268) &gt; 0, "polity_full_name", COUNTIF('Internal -- Trademark Countries'!D:D,AM268) &gt; 0, "polity_common_name", COUNTIF('Internal -- Trademark Countries'!E:E,AM268) &gt; 0, "shortest_name", COUNTIF('Internal -- Trademark Countries'!A:A,AM268) &gt; 0, "full_name", TRUE, "not a match")</f>
        <v>#NAME?</v>
      </c>
      <c r="EG268" s="30"/>
      <c r="EH268" s="30"/>
      <c r="EI268" s="30"/>
      <c r="EJ268" s="30"/>
      <c r="EK268" s="30" t="str">
        <f t="shared" si="3"/>
        <v/>
      </c>
    </row>
    <row r="269" spans="1:141" ht="16.5">
      <c r="A269" s="11"/>
      <c r="B269" s="11"/>
      <c r="C269" s="11"/>
      <c r="D269" s="11"/>
      <c r="E269" s="11"/>
      <c r="F269" s="11"/>
      <c r="G269" s="11"/>
      <c r="H269" s="11"/>
      <c r="I269" s="11"/>
      <c r="J269" s="11"/>
      <c r="K269" s="27"/>
      <c r="L269" s="11"/>
      <c r="M269" s="11"/>
      <c r="N269" s="11"/>
      <c r="O269" s="11"/>
      <c r="P269" s="15"/>
      <c r="Q269" s="15"/>
      <c r="R269" s="15"/>
      <c r="S269" s="15"/>
      <c r="T269" s="15"/>
      <c r="U269" s="15"/>
      <c r="V269" s="15"/>
      <c r="W269" s="47"/>
      <c r="X269" s="11"/>
      <c r="Y269" s="48"/>
      <c r="Z269" s="11"/>
      <c r="AA269" s="48"/>
      <c r="AB269" s="11"/>
      <c r="AC269" s="48"/>
      <c r="AD269" s="11"/>
      <c r="AE269" s="47"/>
      <c r="AF269" s="11"/>
      <c r="AG269" s="48"/>
      <c r="AH269" s="11"/>
      <c r="AI269" s="48"/>
      <c r="AJ269" s="11"/>
      <c r="AK269" s="48"/>
      <c r="AL269" s="11"/>
      <c r="AM269" s="49"/>
      <c r="AN269" s="49"/>
      <c r="AO269" s="11"/>
      <c r="AP269" s="11"/>
      <c r="AQ269" s="28" t="b">
        <f>IF(COUNTIF(SmartStatus!A$2:A1000, AM269) &gt; 2, TRUE, FALSE)</f>
        <v>0</v>
      </c>
      <c r="AR269" s="29" t="str">
        <f ca="1">IFERROR(__xludf.DUMMYFUNCTION("iferror(if(regexmatch(AO269, ""(?i)^registered""), if(EE269 &lt;&gt; ""polity_shortest_name"", ""CHECK_POLITY"", index(filter(SmartStatus!B$2:B1000, AM269 = SmartStatus!A$2:A1000, not(SmartStatus!C$2:C1000), (isblank(SmartStatus!D$2:D1000)) + ((P269 &lt;&gt; """") * "&amp;"(P269 &lt; SmartStatus!D$2:D1000)), (isblank(SmartStatus!E$2:E1000)) + ((P269 &lt;&gt; """") * (P269 &gt;= SmartStatus!E$2:E1000)), (isblank(SmartStatus!F$2:F1000)) + (((Q269 &lt;&gt; """") * (Q269 &lt; SmartStatus!F$2:F1000)) + ((P269 &lt;&gt; """") * (date(year(P269) + 3, month(P"&amp;"269), day(P269)) &lt; SmartStatus!F$2:F1000))), (isblank(SmartStatus!G$2:G1000)) + (((Q269 &lt;&gt; """") * (Q269 &gt;= SmartStatus!G$2:G1000)) + ((P269 &lt;&gt; """") * (P269 &gt;= SmartStatus!G$2:G1000)))), if(or(regexmatch(B269, ""(?i)^ir [a-z]+ designation$""), N269 &lt;&gt; """&amp;"""), 1, 2))), """"), ""NO_MATCH"")"),"")</f>
        <v/>
      </c>
      <c r="AS269" s="11"/>
      <c r="AT269" s="15"/>
      <c r="AU269" s="11"/>
      <c r="AV269" s="11"/>
      <c r="AW269" s="15"/>
      <c r="AX269" s="15"/>
      <c r="AY269" s="15"/>
      <c r="AZ269" s="11"/>
      <c r="BA269" s="15"/>
      <c r="BB269" s="11"/>
      <c r="BC269" s="11"/>
      <c r="BD269" s="15"/>
      <c r="BE269" s="11"/>
      <c r="BF269" s="11"/>
      <c r="BG269" s="15"/>
      <c r="BH269" s="15"/>
      <c r="BI269" s="15"/>
      <c r="BJ269" s="11"/>
      <c r="BK269" s="15"/>
      <c r="BL269" s="11"/>
      <c r="BM269" s="11"/>
      <c r="BN269" s="15"/>
      <c r="BO269" s="11"/>
      <c r="BP269" s="11"/>
      <c r="BQ269" s="15"/>
      <c r="BR269" s="15"/>
      <c r="BS269" s="15"/>
      <c r="BT269" s="11"/>
      <c r="BU269" s="15"/>
      <c r="BV269" s="11"/>
      <c r="BW269" s="11"/>
      <c r="BX269" s="15"/>
      <c r="BY269" s="11"/>
      <c r="BZ269" s="11"/>
      <c r="CA269" s="15"/>
      <c r="CB269" s="11"/>
      <c r="CC269" s="15"/>
      <c r="CD269" s="11"/>
      <c r="CE269" s="15"/>
      <c r="CF269" s="11"/>
      <c r="CG269" s="11"/>
      <c r="CH269" s="15"/>
      <c r="CI269" s="11"/>
      <c r="CJ269" s="11"/>
      <c r="CK269" s="15"/>
      <c r="CL269" s="11"/>
      <c r="CM269" s="11"/>
      <c r="CN269" s="11"/>
      <c r="CO269" s="11"/>
      <c r="CP269" s="28"/>
      <c r="CQ269" s="28"/>
      <c r="CR269" s="11"/>
      <c r="CS269" s="29"/>
      <c r="CT269" s="11"/>
      <c r="CU269" s="11"/>
      <c r="CV269" s="11"/>
      <c r="CW269" s="11"/>
      <c r="CX269" s="11"/>
      <c r="CY269" s="11"/>
      <c r="CZ269" s="11"/>
      <c r="DA269" s="28"/>
      <c r="DB269" s="28"/>
      <c r="DC269" s="11"/>
      <c r="DD269" s="29"/>
      <c r="DE269" s="11"/>
      <c r="DF269" s="11"/>
      <c r="DG269" s="11"/>
      <c r="DH269" s="11"/>
      <c r="DI269" s="11"/>
      <c r="DJ269" s="11"/>
      <c r="DK269" s="26"/>
      <c r="DL269" s="11"/>
      <c r="DM269" s="29"/>
      <c r="DN269" s="28"/>
      <c r="DO269" s="11"/>
      <c r="DP269" s="11"/>
      <c r="DQ269" s="11"/>
      <c r="DR269" s="29"/>
      <c r="DS269" s="28"/>
      <c r="DT269" s="11"/>
      <c r="DU269" s="26"/>
      <c r="DV269" s="11"/>
      <c r="DW269" s="29"/>
      <c r="DX269" s="28"/>
      <c r="DY269" s="11"/>
      <c r="DZ269" s="26"/>
      <c r="EA269" s="11"/>
      <c r="EB269" s="29"/>
      <c r="EC269" s="28"/>
      <c r="ED269" s="30"/>
      <c r="EE269" s="30" t="str">
        <f ca="1">IFERROR(__xludf.DUMMYFUNCTION("iferror(index(filter('Internal -- Trademark Countries'!E$2:E1000, (AM269 = 'Internal -- Trademark Countries'!B$2:B1000) + (AM269 = 'Internal -- Trademark Countries'!C$2:C1000) + (AM269 = 'Internal -- Trademark Countries'!D$2:D1000)), 1))"),"")</f>
        <v/>
      </c>
      <c r="EF269" s="30" t="e">
        <f ca="1">_xludf.ifs(AM269="", "", COUNTIF('Internal -- Trademark Countries'!B:B,AM269) &gt; 0, "polity_shortest_name", COUNTIF('Internal -- Trademark Countries'!C:C,AM269) &gt; 0, "polity_full_name", COUNTIF('Internal -- Trademark Countries'!D:D,AM269) &gt; 0, "polity_common_name", COUNTIF('Internal -- Trademark Countries'!E:E,AM269) &gt; 0, "shortest_name", COUNTIF('Internal -- Trademark Countries'!A:A,AM269) &gt; 0, "full_name", TRUE, "not a match")</f>
        <v>#NAME?</v>
      </c>
      <c r="EG269" s="30"/>
      <c r="EH269" s="30"/>
      <c r="EI269" s="30"/>
      <c r="EJ269" s="30"/>
      <c r="EK269" s="30" t="str">
        <f t="shared" si="3"/>
        <v/>
      </c>
    </row>
    <row r="270" spans="1:141" ht="16.5">
      <c r="A270" s="11"/>
      <c r="B270" s="11"/>
      <c r="C270" s="11"/>
      <c r="D270" s="11"/>
      <c r="E270" s="11"/>
      <c r="F270" s="11"/>
      <c r="G270" s="11"/>
      <c r="H270" s="11"/>
      <c r="I270" s="11"/>
      <c r="J270" s="11"/>
      <c r="K270" s="27"/>
      <c r="L270" s="11"/>
      <c r="M270" s="11"/>
      <c r="N270" s="11"/>
      <c r="O270" s="11"/>
      <c r="P270" s="15"/>
      <c r="Q270" s="15"/>
      <c r="R270" s="15"/>
      <c r="S270" s="15"/>
      <c r="T270" s="15"/>
      <c r="U270" s="15"/>
      <c r="V270" s="15"/>
      <c r="W270" s="47"/>
      <c r="X270" s="11"/>
      <c r="Y270" s="48"/>
      <c r="Z270" s="11"/>
      <c r="AA270" s="48"/>
      <c r="AB270" s="11"/>
      <c r="AC270" s="48"/>
      <c r="AD270" s="11"/>
      <c r="AE270" s="47"/>
      <c r="AF270" s="11"/>
      <c r="AG270" s="48"/>
      <c r="AH270" s="11"/>
      <c r="AI270" s="48"/>
      <c r="AJ270" s="11"/>
      <c r="AK270" s="48"/>
      <c r="AL270" s="11"/>
      <c r="AM270" s="49"/>
      <c r="AN270" s="49"/>
      <c r="AO270" s="11"/>
      <c r="AP270" s="11"/>
      <c r="AQ270" s="28" t="b">
        <f>IF(COUNTIF(SmartStatus!A$2:A1000, AM270) &gt; 2, TRUE, FALSE)</f>
        <v>0</v>
      </c>
      <c r="AR270" s="29" t="str">
        <f ca="1">IFERROR(__xludf.DUMMYFUNCTION("iferror(if(regexmatch(AO270, ""(?i)^registered""), if(EE270 &lt;&gt; ""polity_shortest_name"", ""CHECK_POLITY"", index(filter(SmartStatus!B$2:B1000, AM270 = SmartStatus!A$2:A1000, not(SmartStatus!C$2:C1000), (isblank(SmartStatus!D$2:D1000)) + ((P270 &lt;&gt; """") * "&amp;"(P270 &lt; SmartStatus!D$2:D1000)), (isblank(SmartStatus!E$2:E1000)) + ((P270 &lt;&gt; """") * (P270 &gt;= SmartStatus!E$2:E1000)), (isblank(SmartStatus!F$2:F1000)) + (((Q270 &lt;&gt; """") * (Q270 &lt; SmartStatus!F$2:F1000)) + ((P270 &lt;&gt; """") * (date(year(P270) + 3, month(P"&amp;"270), day(P270)) &lt; SmartStatus!F$2:F1000))), (isblank(SmartStatus!G$2:G1000)) + (((Q270 &lt;&gt; """") * (Q270 &gt;= SmartStatus!G$2:G1000)) + ((P270 &lt;&gt; """") * (P270 &gt;= SmartStatus!G$2:G1000)))), if(or(regexmatch(B270, ""(?i)^ir [a-z]+ designation$""), N270 &lt;&gt; """&amp;"""), 1, 2))), """"), ""NO_MATCH"")"),"")</f>
        <v/>
      </c>
      <c r="AS270" s="11"/>
      <c r="AT270" s="15"/>
      <c r="AU270" s="11"/>
      <c r="AV270" s="11"/>
      <c r="AW270" s="15"/>
      <c r="AX270" s="15"/>
      <c r="AY270" s="15"/>
      <c r="AZ270" s="11"/>
      <c r="BA270" s="15"/>
      <c r="BB270" s="11"/>
      <c r="BC270" s="11"/>
      <c r="BD270" s="15"/>
      <c r="BE270" s="11"/>
      <c r="BF270" s="11"/>
      <c r="BG270" s="15"/>
      <c r="BH270" s="15"/>
      <c r="BI270" s="15"/>
      <c r="BJ270" s="11"/>
      <c r="BK270" s="15"/>
      <c r="BL270" s="11"/>
      <c r="BM270" s="11"/>
      <c r="BN270" s="15"/>
      <c r="BO270" s="11"/>
      <c r="BP270" s="11"/>
      <c r="BQ270" s="15"/>
      <c r="BR270" s="15"/>
      <c r="BS270" s="15"/>
      <c r="BT270" s="11"/>
      <c r="BU270" s="15"/>
      <c r="BV270" s="11"/>
      <c r="BW270" s="11"/>
      <c r="BX270" s="15"/>
      <c r="BY270" s="11"/>
      <c r="BZ270" s="11"/>
      <c r="CA270" s="15"/>
      <c r="CB270" s="11"/>
      <c r="CC270" s="15"/>
      <c r="CD270" s="11"/>
      <c r="CE270" s="15"/>
      <c r="CF270" s="11"/>
      <c r="CG270" s="11"/>
      <c r="CH270" s="15"/>
      <c r="CI270" s="11"/>
      <c r="CJ270" s="11"/>
      <c r="CK270" s="15"/>
      <c r="CL270" s="11"/>
      <c r="CM270" s="11"/>
      <c r="CN270" s="11"/>
      <c r="CO270" s="11"/>
      <c r="CP270" s="28"/>
      <c r="CQ270" s="28"/>
      <c r="CR270" s="11"/>
      <c r="CS270" s="29"/>
      <c r="CT270" s="11"/>
      <c r="CU270" s="11"/>
      <c r="CV270" s="11"/>
      <c r="CW270" s="11"/>
      <c r="CX270" s="11"/>
      <c r="CY270" s="11"/>
      <c r="CZ270" s="11"/>
      <c r="DA270" s="28"/>
      <c r="DB270" s="28"/>
      <c r="DC270" s="11"/>
      <c r="DD270" s="29"/>
      <c r="DE270" s="11"/>
      <c r="DF270" s="11"/>
      <c r="DG270" s="11"/>
      <c r="DH270" s="11"/>
      <c r="DI270" s="11"/>
      <c r="DJ270" s="11"/>
      <c r="DK270" s="26"/>
      <c r="DL270" s="11"/>
      <c r="DM270" s="29"/>
      <c r="DN270" s="28"/>
      <c r="DO270" s="11"/>
      <c r="DP270" s="11"/>
      <c r="DQ270" s="11"/>
      <c r="DR270" s="29"/>
      <c r="DS270" s="28"/>
      <c r="DT270" s="11"/>
      <c r="DU270" s="26"/>
      <c r="DV270" s="11"/>
      <c r="DW270" s="29"/>
      <c r="DX270" s="28"/>
      <c r="DY270" s="11"/>
      <c r="DZ270" s="26"/>
      <c r="EA270" s="11"/>
      <c r="EB270" s="29"/>
      <c r="EC270" s="28"/>
      <c r="ED270" s="30"/>
      <c r="EE270" s="30" t="str">
        <f ca="1">IFERROR(__xludf.DUMMYFUNCTION("iferror(index(filter('Internal -- Trademark Countries'!E$2:E1000, (AM270 = 'Internal -- Trademark Countries'!B$2:B1000) + (AM270 = 'Internal -- Trademark Countries'!C$2:C1000) + (AM270 = 'Internal -- Trademark Countries'!D$2:D1000)), 1))"),"")</f>
        <v/>
      </c>
      <c r="EF270" s="30" t="e">
        <f ca="1">_xludf.ifs(AM270="", "", COUNTIF('Internal -- Trademark Countries'!B:B,AM270) &gt; 0, "polity_shortest_name", COUNTIF('Internal -- Trademark Countries'!C:C,AM270) &gt; 0, "polity_full_name", COUNTIF('Internal -- Trademark Countries'!D:D,AM270) &gt; 0, "polity_common_name", COUNTIF('Internal -- Trademark Countries'!E:E,AM270) &gt; 0, "shortest_name", COUNTIF('Internal -- Trademark Countries'!A:A,AM270) &gt; 0, "full_name", TRUE, "not a match")</f>
        <v>#NAME?</v>
      </c>
      <c r="EG270" s="30"/>
      <c r="EH270" s="30"/>
      <c r="EI270" s="30"/>
      <c r="EJ270" s="30"/>
      <c r="EK270" s="30" t="str">
        <f t="shared" si="3"/>
        <v/>
      </c>
    </row>
    <row r="271" spans="1:141" ht="16.5">
      <c r="A271" s="11"/>
      <c r="B271" s="11"/>
      <c r="C271" s="11"/>
      <c r="D271" s="11"/>
      <c r="E271" s="11"/>
      <c r="F271" s="11"/>
      <c r="G271" s="11"/>
      <c r="H271" s="11"/>
      <c r="I271" s="11"/>
      <c r="J271" s="11"/>
      <c r="K271" s="27"/>
      <c r="L271" s="11"/>
      <c r="M271" s="11"/>
      <c r="N271" s="11"/>
      <c r="O271" s="11"/>
      <c r="P271" s="15"/>
      <c r="Q271" s="15"/>
      <c r="R271" s="15"/>
      <c r="S271" s="15"/>
      <c r="T271" s="15"/>
      <c r="U271" s="15"/>
      <c r="V271" s="15"/>
      <c r="W271" s="47"/>
      <c r="X271" s="11"/>
      <c r="Y271" s="48"/>
      <c r="Z271" s="11"/>
      <c r="AA271" s="48"/>
      <c r="AB271" s="11"/>
      <c r="AC271" s="48"/>
      <c r="AD271" s="11"/>
      <c r="AE271" s="47"/>
      <c r="AF271" s="11"/>
      <c r="AG271" s="48"/>
      <c r="AH271" s="11"/>
      <c r="AI271" s="48"/>
      <c r="AJ271" s="11"/>
      <c r="AK271" s="48"/>
      <c r="AL271" s="11"/>
      <c r="AM271" s="49"/>
      <c r="AN271" s="49"/>
      <c r="AO271" s="11"/>
      <c r="AP271" s="11"/>
      <c r="AQ271" s="28" t="b">
        <f>IF(COUNTIF(SmartStatus!A$2:A1000, AM271) &gt; 2, TRUE, FALSE)</f>
        <v>0</v>
      </c>
      <c r="AR271" s="29" t="str">
        <f ca="1">IFERROR(__xludf.DUMMYFUNCTION("iferror(if(regexmatch(AO271, ""(?i)^registered""), if(EE271 &lt;&gt; ""polity_shortest_name"", ""CHECK_POLITY"", index(filter(SmartStatus!B$2:B1000, AM271 = SmartStatus!A$2:A1000, not(SmartStatus!C$2:C1000), (isblank(SmartStatus!D$2:D1000)) + ((P271 &lt;&gt; """") * "&amp;"(P271 &lt; SmartStatus!D$2:D1000)), (isblank(SmartStatus!E$2:E1000)) + ((P271 &lt;&gt; """") * (P271 &gt;= SmartStatus!E$2:E1000)), (isblank(SmartStatus!F$2:F1000)) + (((Q271 &lt;&gt; """") * (Q271 &lt; SmartStatus!F$2:F1000)) + ((P271 &lt;&gt; """") * (date(year(P271) + 3, month(P"&amp;"271), day(P271)) &lt; SmartStatus!F$2:F1000))), (isblank(SmartStatus!G$2:G1000)) + (((Q271 &lt;&gt; """") * (Q271 &gt;= SmartStatus!G$2:G1000)) + ((P271 &lt;&gt; """") * (P271 &gt;= SmartStatus!G$2:G1000)))), if(or(regexmatch(B271, ""(?i)^ir [a-z]+ designation$""), N271 &lt;&gt; """&amp;"""), 1, 2))), """"), ""NO_MATCH"")"),"")</f>
        <v/>
      </c>
      <c r="AS271" s="11"/>
      <c r="AT271" s="15"/>
      <c r="AU271" s="11"/>
      <c r="AV271" s="11"/>
      <c r="AW271" s="15"/>
      <c r="AX271" s="15"/>
      <c r="AY271" s="15"/>
      <c r="AZ271" s="11"/>
      <c r="BA271" s="15"/>
      <c r="BB271" s="11"/>
      <c r="BC271" s="11"/>
      <c r="BD271" s="15"/>
      <c r="BE271" s="11"/>
      <c r="BF271" s="11"/>
      <c r="BG271" s="15"/>
      <c r="BH271" s="15"/>
      <c r="BI271" s="15"/>
      <c r="BJ271" s="11"/>
      <c r="BK271" s="15"/>
      <c r="BL271" s="11"/>
      <c r="BM271" s="11"/>
      <c r="BN271" s="15"/>
      <c r="BO271" s="11"/>
      <c r="BP271" s="11"/>
      <c r="BQ271" s="15"/>
      <c r="BR271" s="15"/>
      <c r="BS271" s="15"/>
      <c r="BT271" s="11"/>
      <c r="BU271" s="15"/>
      <c r="BV271" s="11"/>
      <c r="BW271" s="11"/>
      <c r="BX271" s="15"/>
      <c r="BY271" s="11"/>
      <c r="BZ271" s="11"/>
      <c r="CA271" s="15"/>
      <c r="CB271" s="11"/>
      <c r="CC271" s="15"/>
      <c r="CD271" s="11"/>
      <c r="CE271" s="15"/>
      <c r="CF271" s="11"/>
      <c r="CG271" s="11"/>
      <c r="CH271" s="15"/>
      <c r="CI271" s="11"/>
      <c r="CJ271" s="11"/>
      <c r="CK271" s="15"/>
      <c r="CL271" s="11"/>
      <c r="CM271" s="11"/>
      <c r="CN271" s="11"/>
      <c r="CO271" s="11"/>
      <c r="CP271" s="28"/>
      <c r="CQ271" s="28"/>
      <c r="CR271" s="11"/>
      <c r="CS271" s="29"/>
      <c r="CT271" s="11"/>
      <c r="CU271" s="11"/>
      <c r="CV271" s="11"/>
      <c r="CW271" s="11"/>
      <c r="CX271" s="11"/>
      <c r="CY271" s="11"/>
      <c r="CZ271" s="11"/>
      <c r="DA271" s="28"/>
      <c r="DB271" s="28"/>
      <c r="DC271" s="11"/>
      <c r="DD271" s="29"/>
      <c r="DE271" s="11"/>
      <c r="DF271" s="11"/>
      <c r="DG271" s="11"/>
      <c r="DH271" s="11"/>
      <c r="DI271" s="11"/>
      <c r="DJ271" s="11"/>
      <c r="DK271" s="26"/>
      <c r="DL271" s="11"/>
      <c r="DM271" s="29"/>
      <c r="DN271" s="28"/>
      <c r="DO271" s="11"/>
      <c r="DP271" s="11"/>
      <c r="DQ271" s="11"/>
      <c r="DR271" s="29"/>
      <c r="DS271" s="28"/>
      <c r="DT271" s="11"/>
      <c r="DU271" s="26"/>
      <c r="DV271" s="11"/>
      <c r="DW271" s="29"/>
      <c r="DX271" s="28"/>
      <c r="DY271" s="11"/>
      <c r="DZ271" s="26"/>
      <c r="EA271" s="11"/>
      <c r="EB271" s="29"/>
      <c r="EC271" s="28"/>
      <c r="ED271" s="30"/>
      <c r="EE271" s="30" t="str">
        <f ca="1">IFERROR(__xludf.DUMMYFUNCTION("iferror(index(filter('Internal -- Trademark Countries'!E$2:E1000, (AM271 = 'Internal -- Trademark Countries'!B$2:B1000) + (AM271 = 'Internal -- Trademark Countries'!C$2:C1000) + (AM271 = 'Internal -- Trademark Countries'!D$2:D1000)), 1))"),"")</f>
        <v/>
      </c>
      <c r="EF271" s="30" t="e">
        <f ca="1">_xludf.ifs(AM271="", "", COUNTIF('Internal -- Trademark Countries'!B:B,AM271) &gt; 0, "polity_shortest_name", COUNTIF('Internal -- Trademark Countries'!C:C,AM271) &gt; 0, "polity_full_name", COUNTIF('Internal -- Trademark Countries'!D:D,AM271) &gt; 0, "polity_common_name", COUNTIF('Internal -- Trademark Countries'!E:E,AM271) &gt; 0, "shortest_name", COUNTIF('Internal -- Trademark Countries'!A:A,AM271) &gt; 0, "full_name", TRUE, "not a match")</f>
        <v>#NAME?</v>
      </c>
      <c r="EG271" s="30"/>
      <c r="EH271" s="30"/>
      <c r="EI271" s="30"/>
      <c r="EJ271" s="30"/>
      <c r="EK271" s="30" t="str">
        <f t="shared" si="3"/>
        <v/>
      </c>
    </row>
    <row r="272" spans="1:141" ht="16.5">
      <c r="A272" s="11"/>
      <c r="B272" s="11"/>
      <c r="C272" s="11"/>
      <c r="D272" s="11"/>
      <c r="E272" s="11"/>
      <c r="F272" s="11"/>
      <c r="G272" s="11"/>
      <c r="H272" s="11"/>
      <c r="I272" s="11"/>
      <c r="J272" s="11"/>
      <c r="K272" s="27"/>
      <c r="L272" s="11"/>
      <c r="M272" s="11"/>
      <c r="N272" s="11"/>
      <c r="O272" s="11"/>
      <c r="P272" s="15"/>
      <c r="Q272" s="15"/>
      <c r="R272" s="15"/>
      <c r="S272" s="15"/>
      <c r="T272" s="15"/>
      <c r="U272" s="15"/>
      <c r="V272" s="15"/>
      <c r="W272" s="47"/>
      <c r="X272" s="11"/>
      <c r="Y272" s="48"/>
      <c r="Z272" s="11"/>
      <c r="AA272" s="48"/>
      <c r="AB272" s="11"/>
      <c r="AC272" s="48"/>
      <c r="AD272" s="11"/>
      <c r="AE272" s="47"/>
      <c r="AF272" s="11"/>
      <c r="AG272" s="48"/>
      <c r="AH272" s="11"/>
      <c r="AI272" s="48"/>
      <c r="AJ272" s="11"/>
      <c r="AK272" s="48"/>
      <c r="AL272" s="11"/>
      <c r="AM272" s="49"/>
      <c r="AN272" s="49"/>
      <c r="AO272" s="11"/>
      <c r="AP272" s="11"/>
      <c r="AQ272" s="28" t="b">
        <f>IF(COUNTIF(SmartStatus!A$2:A1000, AM272) &gt; 2, TRUE, FALSE)</f>
        <v>0</v>
      </c>
      <c r="AR272" s="29" t="str">
        <f ca="1">IFERROR(__xludf.DUMMYFUNCTION("iferror(if(regexmatch(AO272, ""(?i)^registered""), if(EE272 &lt;&gt; ""polity_shortest_name"", ""CHECK_POLITY"", index(filter(SmartStatus!B$2:B1000, AM272 = SmartStatus!A$2:A1000, not(SmartStatus!C$2:C1000), (isblank(SmartStatus!D$2:D1000)) + ((P272 &lt;&gt; """") * "&amp;"(P272 &lt; SmartStatus!D$2:D1000)), (isblank(SmartStatus!E$2:E1000)) + ((P272 &lt;&gt; """") * (P272 &gt;= SmartStatus!E$2:E1000)), (isblank(SmartStatus!F$2:F1000)) + (((Q272 &lt;&gt; """") * (Q272 &lt; SmartStatus!F$2:F1000)) + ((P272 &lt;&gt; """") * (date(year(P272) + 3, month(P"&amp;"272), day(P272)) &lt; SmartStatus!F$2:F1000))), (isblank(SmartStatus!G$2:G1000)) + (((Q272 &lt;&gt; """") * (Q272 &gt;= SmartStatus!G$2:G1000)) + ((P272 &lt;&gt; """") * (P272 &gt;= SmartStatus!G$2:G1000)))), if(or(regexmatch(B272, ""(?i)^ir [a-z]+ designation$""), N272 &lt;&gt; """&amp;"""), 1, 2))), """"), ""NO_MATCH"")"),"")</f>
        <v/>
      </c>
      <c r="AS272" s="11"/>
      <c r="AT272" s="15"/>
      <c r="AU272" s="11"/>
      <c r="AV272" s="11"/>
      <c r="AW272" s="15"/>
      <c r="AX272" s="15"/>
      <c r="AY272" s="15"/>
      <c r="AZ272" s="11"/>
      <c r="BA272" s="15"/>
      <c r="BB272" s="11"/>
      <c r="BC272" s="11"/>
      <c r="BD272" s="15"/>
      <c r="BE272" s="11"/>
      <c r="BF272" s="11"/>
      <c r="BG272" s="15"/>
      <c r="BH272" s="15"/>
      <c r="BI272" s="15"/>
      <c r="BJ272" s="11"/>
      <c r="BK272" s="15"/>
      <c r="BL272" s="11"/>
      <c r="BM272" s="11"/>
      <c r="BN272" s="15"/>
      <c r="BO272" s="11"/>
      <c r="BP272" s="11"/>
      <c r="BQ272" s="15"/>
      <c r="BR272" s="15"/>
      <c r="BS272" s="15"/>
      <c r="BT272" s="11"/>
      <c r="BU272" s="15"/>
      <c r="BV272" s="11"/>
      <c r="BW272" s="11"/>
      <c r="BX272" s="15"/>
      <c r="BY272" s="11"/>
      <c r="BZ272" s="11"/>
      <c r="CA272" s="15"/>
      <c r="CB272" s="11"/>
      <c r="CC272" s="15"/>
      <c r="CD272" s="11"/>
      <c r="CE272" s="15"/>
      <c r="CF272" s="11"/>
      <c r="CG272" s="11"/>
      <c r="CH272" s="15"/>
      <c r="CI272" s="11"/>
      <c r="CJ272" s="11"/>
      <c r="CK272" s="15"/>
      <c r="CL272" s="11"/>
      <c r="CM272" s="11"/>
      <c r="CN272" s="11"/>
      <c r="CO272" s="11"/>
      <c r="CP272" s="28"/>
      <c r="CQ272" s="28"/>
      <c r="CR272" s="11"/>
      <c r="CS272" s="29"/>
      <c r="CT272" s="11"/>
      <c r="CU272" s="11"/>
      <c r="CV272" s="11"/>
      <c r="CW272" s="11"/>
      <c r="CX272" s="11"/>
      <c r="CY272" s="11"/>
      <c r="CZ272" s="11"/>
      <c r="DA272" s="28"/>
      <c r="DB272" s="28"/>
      <c r="DC272" s="11"/>
      <c r="DD272" s="29"/>
      <c r="DE272" s="11"/>
      <c r="DF272" s="11"/>
      <c r="DG272" s="11"/>
      <c r="DH272" s="11"/>
      <c r="DI272" s="11"/>
      <c r="DJ272" s="11"/>
      <c r="DK272" s="26"/>
      <c r="DL272" s="11"/>
      <c r="DM272" s="29"/>
      <c r="DN272" s="28"/>
      <c r="DO272" s="11"/>
      <c r="DP272" s="11"/>
      <c r="DQ272" s="11"/>
      <c r="DR272" s="29"/>
      <c r="DS272" s="28"/>
      <c r="DT272" s="11"/>
      <c r="DU272" s="26"/>
      <c r="DV272" s="11"/>
      <c r="DW272" s="29"/>
      <c r="DX272" s="28"/>
      <c r="DY272" s="11"/>
      <c r="DZ272" s="26"/>
      <c r="EA272" s="11"/>
      <c r="EB272" s="29"/>
      <c r="EC272" s="28"/>
      <c r="ED272" s="30"/>
      <c r="EE272" s="30" t="str">
        <f ca="1">IFERROR(__xludf.DUMMYFUNCTION("iferror(index(filter('Internal -- Trademark Countries'!E$2:E1000, (AM272 = 'Internal -- Trademark Countries'!B$2:B1000) + (AM272 = 'Internal -- Trademark Countries'!C$2:C1000) + (AM272 = 'Internal -- Trademark Countries'!D$2:D1000)), 1))"),"")</f>
        <v/>
      </c>
      <c r="EF272" s="30" t="e">
        <f ca="1">_xludf.ifs(AM272="", "", COUNTIF('Internal -- Trademark Countries'!B:B,AM272) &gt; 0, "polity_shortest_name", COUNTIF('Internal -- Trademark Countries'!C:C,AM272) &gt; 0, "polity_full_name", COUNTIF('Internal -- Trademark Countries'!D:D,AM272) &gt; 0, "polity_common_name", COUNTIF('Internal -- Trademark Countries'!E:E,AM272) &gt; 0, "shortest_name", COUNTIF('Internal -- Trademark Countries'!A:A,AM272) &gt; 0, "full_name", TRUE, "not a match")</f>
        <v>#NAME?</v>
      </c>
      <c r="EG272" s="30"/>
      <c r="EH272" s="30"/>
      <c r="EI272" s="30"/>
      <c r="EJ272" s="30"/>
      <c r="EK272" s="30" t="str">
        <f t="shared" si="3"/>
        <v/>
      </c>
    </row>
    <row r="273" spans="1:141" ht="16.5">
      <c r="A273" s="11"/>
      <c r="B273" s="11"/>
      <c r="C273" s="11"/>
      <c r="D273" s="11"/>
      <c r="E273" s="11"/>
      <c r="F273" s="11"/>
      <c r="G273" s="11"/>
      <c r="H273" s="11"/>
      <c r="I273" s="11"/>
      <c r="J273" s="11"/>
      <c r="K273" s="27"/>
      <c r="L273" s="11"/>
      <c r="M273" s="11"/>
      <c r="N273" s="11"/>
      <c r="O273" s="11"/>
      <c r="P273" s="15"/>
      <c r="Q273" s="15"/>
      <c r="R273" s="15"/>
      <c r="S273" s="15"/>
      <c r="T273" s="15"/>
      <c r="U273" s="15"/>
      <c r="V273" s="15"/>
      <c r="W273" s="47"/>
      <c r="X273" s="11"/>
      <c r="Y273" s="48"/>
      <c r="Z273" s="11"/>
      <c r="AA273" s="48"/>
      <c r="AB273" s="11"/>
      <c r="AC273" s="48"/>
      <c r="AD273" s="11"/>
      <c r="AE273" s="47"/>
      <c r="AF273" s="11"/>
      <c r="AG273" s="48"/>
      <c r="AH273" s="11"/>
      <c r="AI273" s="48"/>
      <c r="AJ273" s="11"/>
      <c r="AK273" s="48"/>
      <c r="AL273" s="11"/>
      <c r="AM273" s="49"/>
      <c r="AN273" s="49"/>
      <c r="AO273" s="11"/>
      <c r="AP273" s="11"/>
      <c r="AQ273" s="28" t="b">
        <f>IF(COUNTIF(SmartStatus!A$2:A1000, AM273) &gt; 2, TRUE, FALSE)</f>
        <v>0</v>
      </c>
      <c r="AR273" s="29" t="str">
        <f ca="1">IFERROR(__xludf.DUMMYFUNCTION("iferror(if(regexmatch(AO273, ""(?i)^registered""), if(EE273 &lt;&gt; ""polity_shortest_name"", ""CHECK_POLITY"", index(filter(SmartStatus!B$2:B1000, AM273 = SmartStatus!A$2:A1000, not(SmartStatus!C$2:C1000), (isblank(SmartStatus!D$2:D1000)) + ((P273 &lt;&gt; """") * "&amp;"(P273 &lt; SmartStatus!D$2:D1000)), (isblank(SmartStatus!E$2:E1000)) + ((P273 &lt;&gt; """") * (P273 &gt;= SmartStatus!E$2:E1000)), (isblank(SmartStatus!F$2:F1000)) + (((Q273 &lt;&gt; """") * (Q273 &lt; SmartStatus!F$2:F1000)) + ((P273 &lt;&gt; """") * (date(year(P273) + 3, month(P"&amp;"273), day(P273)) &lt; SmartStatus!F$2:F1000))), (isblank(SmartStatus!G$2:G1000)) + (((Q273 &lt;&gt; """") * (Q273 &gt;= SmartStatus!G$2:G1000)) + ((P273 &lt;&gt; """") * (P273 &gt;= SmartStatus!G$2:G1000)))), if(or(regexmatch(B273, ""(?i)^ir [a-z]+ designation$""), N273 &lt;&gt; """&amp;"""), 1, 2))), """"), ""NO_MATCH"")"),"")</f>
        <v/>
      </c>
      <c r="AS273" s="11"/>
      <c r="AT273" s="15"/>
      <c r="AU273" s="11"/>
      <c r="AV273" s="11"/>
      <c r="AW273" s="15"/>
      <c r="AX273" s="15"/>
      <c r="AY273" s="15"/>
      <c r="AZ273" s="11"/>
      <c r="BA273" s="15"/>
      <c r="BB273" s="11"/>
      <c r="BC273" s="11"/>
      <c r="BD273" s="15"/>
      <c r="BE273" s="11"/>
      <c r="BF273" s="11"/>
      <c r="BG273" s="15"/>
      <c r="BH273" s="15"/>
      <c r="BI273" s="15"/>
      <c r="BJ273" s="11"/>
      <c r="BK273" s="15"/>
      <c r="BL273" s="11"/>
      <c r="BM273" s="11"/>
      <c r="BN273" s="15"/>
      <c r="BO273" s="11"/>
      <c r="BP273" s="11"/>
      <c r="BQ273" s="15"/>
      <c r="BR273" s="15"/>
      <c r="BS273" s="15"/>
      <c r="BT273" s="11"/>
      <c r="BU273" s="15"/>
      <c r="BV273" s="11"/>
      <c r="BW273" s="11"/>
      <c r="BX273" s="15"/>
      <c r="BY273" s="11"/>
      <c r="BZ273" s="11"/>
      <c r="CA273" s="15"/>
      <c r="CB273" s="11"/>
      <c r="CC273" s="15"/>
      <c r="CD273" s="11"/>
      <c r="CE273" s="15"/>
      <c r="CF273" s="11"/>
      <c r="CG273" s="11"/>
      <c r="CH273" s="15"/>
      <c r="CI273" s="11"/>
      <c r="CJ273" s="11"/>
      <c r="CK273" s="15"/>
      <c r="CL273" s="11"/>
      <c r="CM273" s="11"/>
      <c r="CN273" s="11"/>
      <c r="CO273" s="11"/>
      <c r="CP273" s="28"/>
      <c r="CQ273" s="28"/>
      <c r="CR273" s="11"/>
      <c r="CS273" s="29"/>
      <c r="CT273" s="11"/>
      <c r="CU273" s="11"/>
      <c r="CV273" s="11"/>
      <c r="CW273" s="11"/>
      <c r="CX273" s="11"/>
      <c r="CY273" s="11"/>
      <c r="CZ273" s="11"/>
      <c r="DA273" s="28"/>
      <c r="DB273" s="28"/>
      <c r="DC273" s="11"/>
      <c r="DD273" s="29"/>
      <c r="DE273" s="11"/>
      <c r="DF273" s="11"/>
      <c r="DG273" s="11"/>
      <c r="DH273" s="11"/>
      <c r="DI273" s="11"/>
      <c r="DJ273" s="11"/>
      <c r="DK273" s="26"/>
      <c r="DL273" s="11"/>
      <c r="DM273" s="29"/>
      <c r="DN273" s="28"/>
      <c r="DO273" s="11"/>
      <c r="DP273" s="11"/>
      <c r="DQ273" s="11"/>
      <c r="DR273" s="29"/>
      <c r="DS273" s="28"/>
      <c r="DT273" s="11"/>
      <c r="DU273" s="26"/>
      <c r="DV273" s="11"/>
      <c r="DW273" s="29"/>
      <c r="DX273" s="28"/>
      <c r="DY273" s="11"/>
      <c r="DZ273" s="26"/>
      <c r="EA273" s="11"/>
      <c r="EB273" s="29"/>
      <c r="EC273" s="28"/>
      <c r="ED273" s="30"/>
      <c r="EE273" s="30" t="str">
        <f ca="1">IFERROR(__xludf.DUMMYFUNCTION("iferror(index(filter('Internal -- Trademark Countries'!E$2:E1000, (AM273 = 'Internal -- Trademark Countries'!B$2:B1000) + (AM273 = 'Internal -- Trademark Countries'!C$2:C1000) + (AM273 = 'Internal -- Trademark Countries'!D$2:D1000)), 1))"),"")</f>
        <v/>
      </c>
      <c r="EF273" s="30" t="e">
        <f ca="1">_xludf.ifs(AM273="", "", COUNTIF('Internal -- Trademark Countries'!B:B,AM273) &gt; 0, "polity_shortest_name", COUNTIF('Internal -- Trademark Countries'!C:C,AM273) &gt; 0, "polity_full_name", COUNTIF('Internal -- Trademark Countries'!D:D,AM273) &gt; 0, "polity_common_name", COUNTIF('Internal -- Trademark Countries'!E:E,AM273) &gt; 0, "shortest_name", COUNTIF('Internal -- Trademark Countries'!A:A,AM273) &gt; 0, "full_name", TRUE, "not a match")</f>
        <v>#NAME?</v>
      </c>
      <c r="EG273" s="30"/>
      <c r="EH273" s="30"/>
      <c r="EI273" s="30"/>
      <c r="EJ273" s="30"/>
      <c r="EK273" s="30" t="str">
        <f t="shared" si="3"/>
        <v/>
      </c>
    </row>
    <row r="274" spans="1:141" ht="16.5">
      <c r="A274" s="11"/>
      <c r="B274" s="11"/>
      <c r="C274" s="11"/>
      <c r="D274" s="11"/>
      <c r="E274" s="11"/>
      <c r="F274" s="11"/>
      <c r="G274" s="11"/>
      <c r="H274" s="11"/>
      <c r="I274" s="11"/>
      <c r="J274" s="11"/>
      <c r="K274" s="27"/>
      <c r="L274" s="11"/>
      <c r="M274" s="11"/>
      <c r="N274" s="11"/>
      <c r="O274" s="11"/>
      <c r="P274" s="15"/>
      <c r="Q274" s="15"/>
      <c r="R274" s="15"/>
      <c r="S274" s="15"/>
      <c r="T274" s="15"/>
      <c r="U274" s="15"/>
      <c r="V274" s="15"/>
      <c r="W274" s="47"/>
      <c r="X274" s="11"/>
      <c r="Y274" s="48"/>
      <c r="Z274" s="11"/>
      <c r="AA274" s="48"/>
      <c r="AB274" s="11"/>
      <c r="AC274" s="48"/>
      <c r="AD274" s="11"/>
      <c r="AE274" s="47"/>
      <c r="AF274" s="11"/>
      <c r="AG274" s="48"/>
      <c r="AH274" s="11"/>
      <c r="AI274" s="48"/>
      <c r="AJ274" s="11"/>
      <c r="AK274" s="48"/>
      <c r="AL274" s="11"/>
      <c r="AM274" s="49"/>
      <c r="AN274" s="49"/>
      <c r="AO274" s="11"/>
      <c r="AP274" s="11"/>
      <c r="AQ274" s="28" t="b">
        <f>IF(COUNTIF(SmartStatus!A$2:A1000, AM274) &gt; 2, TRUE, FALSE)</f>
        <v>0</v>
      </c>
      <c r="AR274" s="29" t="str">
        <f ca="1">IFERROR(__xludf.DUMMYFUNCTION("iferror(if(regexmatch(AO274, ""(?i)^registered""), if(EE274 &lt;&gt; ""polity_shortest_name"", ""CHECK_POLITY"", index(filter(SmartStatus!B$2:B1000, AM274 = SmartStatus!A$2:A1000, not(SmartStatus!C$2:C1000), (isblank(SmartStatus!D$2:D1000)) + ((P274 &lt;&gt; """") * "&amp;"(P274 &lt; SmartStatus!D$2:D1000)), (isblank(SmartStatus!E$2:E1000)) + ((P274 &lt;&gt; """") * (P274 &gt;= SmartStatus!E$2:E1000)), (isblank(SmartStatus!F$2:F1000)) + (((Q274 &lt;&gt; """") * (Q274 &lt; SmartStatus!F$2:F1000)) + ((P274 &lt;&gt; """") * (date(year(P274) + 3, month(P"&amp;"274), day(P274)) &lt; SmartStatus!F$2:F1000))), (isblank(SmartStatus!G$2:G1000)) + (((Q274 &lt;&gt; """") * (Q274 &gt;= SmartStatus!G$2:G1000)) + ((P274 &lt;&gt; """") * (P274 &gt;= SmartStatus!G$2:G1000)))), if(or(regexmatch(B274, ""(?i)^ir [a-z]+ designation$""), N274 &lt;&gt; """&amp;"""), 1, 2))), """"), ""NO_MATCH"")"),"")</f>
        <v/>
      </c>
      <c r="AS274" s="11"/>
      <c r="AT274" s="15"/>
      <c r="AU274" s="11"/>
      <c r="AV274" s="11"/>
      <c r="AW274" s="15"/>
      <c r="AX274" s="15"/>
      <c r="AY274" s="15"/>
      <c r="AZ274" s="11"/>
      <c r="BA274" s="15"/>
      <c r="BB274" s="11"/>
      <c r="BC274" s="11"/>
      <c r="BD274" s="15"/>
      <c r="BE274" s="11"/>
      <c r="BF274" s="11"/>
      <c r="BG274" s="15"/>
      <c r="BH274" s="15"/>
      <c r="BI274" s="15"/>
      <c r="BJ274" s="11"/>
      <c r="BK274" s="15"/>
      <c r="BL274" s="11"/>
      <c r="BM274" s="11"/>
      <c r="BN274" s="15"/>
      <c r="BO274" s="11"/>
      <c r="BP274" s="11"/>
      <c r="BQ274" s="15"/>
      <c r="BR274" s="15"/>
      <c r="BS274" s="15"/>
      <c r="BT274" s="11"/>
      <c r="BU274" s="15"/>
      <c r="BV274" s="11"/>
      <c r="BW274" s="11"/>
      <c r="BX274" s="15"/>
      <c r="BY274" s="11"/>
      <c r="BZ274" s="11"/>
      <c r="CA274" s="15"/>
      <c r="CB274" s="11"/>
      <c r="CC274" s="15"/>
      <c r="CD274" s="11"/>
      <c r="CE274" s="15"/>
      <c r="CF274" s="11"/>
      <c r="CG274" s="11"/>
      <c r="CH274" s="15"/>
      <c r="CI274" s="11"/>
      <c r="CJ274" s="11"/>
      <c r="CK274" s="15"/>
      <c r="CL274" s="11"/>
      <c r="CM274" s="11"/>
      <c r="CN274" s="11"/>
      <c r="CO274" s="11"/>
      <c r="CP274" s="28"/>
      <c r="CQ274" s="28"/>
      <c r="CR274" s="11"/>
      <c r="CS274" s="29"/>
      <c r="CT274" s="11"/>
      <c r="CU274" s="11"/>
      <c r="CV274" s="11"/>
      <c r="CW274" s="11"/>
      <c r="CX274" s="11"/>
      <c r="CY274" s="11"/>
      <c r="CZ274" s="11"/>
      <c r="DA274" s="28"/>
      <c r="DB274" s="28"/>
      <c r="DC274" s="11"/>
      <c r="DD274" s="29"/>
      <c r="DE274" s="11"/>
      <c r="DF274" s="11"/>
      <c r="DG274" s="11"/>
      <c r="DH274" s="11"/>
      <c r="DI274" s="11"/>
      <c r="DJ274" s="11"/>
      <c r="DK274" s="26"/>
      <c r="DL274" s="11"/>
      <c r="DM274" s="29"/>
      <c r="DN274" s="28"/>
      <c r="DO274" s="11"/>
      <c r="DP274" s="11"/>
      <c r="DQ274" s="11"/>
      <c r="DR274" s="29"/>
      <c r="DS274" s="28"/>
      <c r="DT274" s="11"/>
      <c r="DU274" s="26"/>
      <c r="DV274" s="11"/>
      <c r="DW274" s="29"/>
      <c r="DX274" s="28"/>
      <c r="DY274" s="11"/>
      <c r="DZ274" s="26"/>
      <c r="EA274" s="11"/>
      <c r="EB274" s="29"/>
      <c r="EC274" s="28"/>
      <c r="ED274" s="30"/>
      <c r="EE274" s="30" t="str">
        <f ca="1">IFERROR(__xludf.DUMMYFUNCTION("iferror(index(filter('Internal -- Trademark Countries'!E$2:E1000, (AM274 = 'Internal -- Trademark Countries'!B$2:B1000) + (AM274 = 'Internal -- Trademark Countries'!C$2:C1000) + (AM274 = 'Internal -- Trademark Countries'!D$2:D1000)), 1))"),"")</f>
        <v/>
      </c>
      <c r="EF274" s="30" t="e">
        <f ca="1">_xludf.ifs(AM274="", "", COUNTIF('Internal -- Trademark Countries'!B:B,AM274) &gt; 0, "polity_shortest_name", COUNTIF('Internal -- Trademark Countries'!C:C,AM274) &gt; 0, "polity_full_name", COUNTIF('Internal -- Trademark Countries'!D:D,AM274) &gt; 0, "polity_common_name", COUNTIF('Internal -- Trademark Countries'!E:E,AM274) &gt; 0, "shortest_name", COUNTIF('Internal -- Trademark Countries'!A:A,AM274) &gt; 0, "full_name", TRUE, "not a match")</f>
        <v>#NAME?</v>
      </c>
      <c r="EG274" s="30"/>
      <c r="EH274" s="30"/>
      <c r="EI274" s="30"/>
      <c r="EJ274" s="30"/>
      <c r="EK274" s="30" t="str">
        <f t="shared" si="3"/>
        <v/>
      </c>
    </row>
    <row r="275" spans="1:141" ht="16.5">
      <c r="A275" s="11"/>
      <c r="B275" s="11"/>
      <c r="C275" s="11"/>
      <c r="D275" s="11"/>
      <c r="E275" s="11"/>
      <c r="F275" s="11"/>
      <c r="G275" s="11"/>
      <c r="H275" s="11"/>
      <c r="I275" s="11"/>
      <c r="J275" s="11"/>
      <c r="K275" s="27"/>
      <c r="L275" s="11"/>
      <c r="M275" s="11"/>
      <c r="N275" s="11"/>
      <c r="O275" s="11"/>
      <c r="P275" s="15"/>
      <c r="Q275" s="15"/>
      <c r="R275" s="15"/>
      <c r="S275" s="15"/>
      <c r="T275" s="15"/>
      <c r="U275" s="15"/>
      <c r="V275" s="15"/>
      <c r="W275" s="47"/>
      <c r="X275" s="11"/>
      <c r="Y275" s="48"/>
      <c r="Z275" s="11"/>
      <c r="AA275" s="48"/>
      <c r="AB275" s="11"/>
      <c r="AC275" s="48"/>
      <c r="AD275" s="11"/>
      <c r="AE275" s="47"/>
      <c r="AF275" s="11"/>
      <c r="AG275" s="48"/>
      <c r="AH275" s="11"/>
      <c r="AI275" s="48"/>
      <c r="AJ275" s="11"/>
      <c r="AK275" s="48"/>
      <c r="AL275" s="11"/>
      <c r="AM275" s="49"/>
      <c r="AN275" s="49"/>
      <c r="AO275" s="11"/>
      <c r="AP275" s="11"/>
      <c r="AQ275" s="28" t="b">
        <f>IF(COUNTIF(SmartStatus!A$2:A1000, AM275) &gt; 2, TRUE, FALSE)</f>
        <v>0</v>
      </c>
      <c r="AR275" s="29" t="str">
        <f ca="1">IFERROR(__xludf.DUMMYFUNCTION("iferror(if(regexmatch(AO275, ""(?i)^registered""), if(EE275 &lt;&gt; ""polity_shortest_name"", ""CHECK_POLITY"", index(filter(SmartStatus!B$2:B1000, AM275 = SmartStatus!A$2:A1000, not(SmartStatus!C$2:C1000), (isblank(SmartStatus!D$2:D1000)) + ((P275 &lt;&gt; """") * "&amp;"(P275 &lt; SmartStatus!D$2:D1000)), (isblank(SmartStatus!E$2:E1000)) + ((P275 &lt;&gt; """") * (P275 &gt;= SmartStatus!E$2:E1000)), (isblank(SmartStatus!F$2:F1000)) + (((Q275 &lt;&gt; """") * (Q275 &lt; SmartStatus!F$2:F1000)) + ((P275 &lt;&gt; """") * (date(year(P275) + 3, month(P"&amp;"275), day(P275)) &lt; SmartStatus!F$2:F1000))), (isblank(SmartStatus!G$2:G1000)) + (((Q275 &lt;&gt; """") * (Q275 &gt;= SmartStatus!G$2:G1000)) + ((P275 &lt;&gt; """") * (P275 &gt;= SmartStatus!G$2:G1000)))), if(or(regexmatch(B275, ""(?i)^ir [a-z]+ designation$""), N275 &lt;&gt; """&amp;"""), 1, 2))), """"), ""NO_MATCH"")"),"")</f>
        <v/>
      </c>
      <c r="AS275" s="11"/>
      <c r="AT275" s="15"/>
      <c r="AU275" s="11"/>
      <c r="AV275" s="11"/>
      <c r="AW275" s="15"/>
      <c r="AX275" s="15"/>
      <c r="AY275" s="15"/>
      <c r="AZ275" s="11"/>
      <c r="BA275" s="15"/>
      <c r="BB275" s="11"/>
      <c r="BC275" s="11"/>
      <c r="BD275" s="15"/>
      <c r="BE275" s="11"/>
      <c r="BF275" s="11"/>
      <c r="BG275" s="15"/>
      <c r="BH275" s="15"/>
      <c r="BI275" s="15"/>
      <c r="BJ275" s="11"/>
      <c r="BK275" s="15"/>
      <c r="BL275" s="11"/>
      <c r="BM275" s="11"/>
      <c r="BN275" s="15"/>
      <c r="BO275" s="11"/>
      <c r="BP275" s="11"/>
      <c r="BQ275" s="15"/>
      <c r="BR275" s="15"/>
      <c r="BS275" s="15"/>
      <c r="BT275" s="11"/>
      <c r="BU275" s="15"/>
      <c r="BV275" s="11"/>
      <c r="BW275" s="11"/>
      <c r="BX275" s="15"/>
      <c r="BY275" s="11"/>
      <c r="BZ275" s="11"/>
      <c r="CA275" s="15"/>
      <c r="CB275" s="11"/>
      <c r="CC275" s="15"/>
      <c r="CD275" s="11"/>
      <c r="CE275" s="15"/>
      <c r="CF275" s="11"/>
      <c r="CG275" s="11"/>
      <c r="CH275" s="15"/>
      <c r="CI275" s="11"/>
      <c r="CJ275" s="11"/>
      <c r="CK275" s="15"/>
      <c r="CL275" s="11"/>
      <c r="CM275" s="11"/>
      <c r="CN275" s="11"/>
      <c r="CO275" s="11"/>
      <c r="CP275" s="28"/>
      <c r="CQ275" s="28"/>
      <c r="CR275" s="11"/>
      <c r="CS275" s="29"/>
      <c r="CT275" s="11"/>
      <c r="CU275" s="11"/>
      <c r="CV275" s="11"/>
      <c r="CW275" s="11"/>
      <c r="CX275" s="11"/>
      <c r="CY275" s="11"/>
      <c r="CZ275" s="11"/>
      <c r="DA275" s="28"/>
      <c r="DB275" s="28"/>
      <c r="DC275" s="11"/>
      <c r="DD275" s="29"/>
      <c r="DE275" s="11"/>
      <c r="DF275" s="11"/>
      <c r="DG275" s="11"/>
      <c r="DH275" s="11"/>
      <c r="DI275" s="11"/>
      <c r="DJ275" s="11"/>
      <c r="DK275" s="26"/>
      <c r="DL275" s="11"/>
      <c r="DM275" s="29"/>
      <c r="DN275" s="28"/>
      <c r="DO275" s="11"/>
      <c r="DP275" s="11"/>
      <c r="DQ275" s="11"/>
      <c r="DR275" s="29"/>
      <c r="DS275" s="28"/>
      <c r="DT275" s="11"/>
      <c r="DU275" s="26"/>
      <c r="DV275" s="11"/>
      <c r="DW275" s="29"/>
      <c r="DX275" s="28"/>
      <c r="DY275" s="11"/>
      <c r="DZ275" s="26"/>
      <c r="EA275" s="11"/>
      <c r="EB275" s="29"/>
      <c r="EC275" s="28"/>
      <c r="ED275" s="30"/>
      <c r="EE275" s="30" t="str">
        <f ca="1">IFERROR(__xludf.DUMMYFUNCTION("iferror(index(filter('Internal -- Trademark Countries'!E$2:E1000, (AM275 = 'Internal -- Trademark Countries'!B$2:B1000) + (AM275 = 'Internal -- Trademark Countries'!C$2:C1000) + (AM275 = 'Internal -- Trademark Countries'!D$2:D1000)), 1))"),"")</f>
        <v/>
      </c>
      <c r="EF275" s="30" t="e">
        <f ca="1">_xludf.ifs(AM275="", "", COUNTIF('Internal -- Trademark Countries'!B:B,AM275) &gt; 0, "polity_shortest_name", COUNTIF('Internal -- Trademark Countries'!C:C,AM275) &gt; 0, "polity_full_name", COUNTIF('Internal -- Trademark Countries'!D:D,AM275) &gt; 0, "polity_common_name", COUNTIF('Internal -- Trademark Countries'!E:E,AM275) &gt; 0, "shortest_name", COUNTIF('Internal -- Trademark Countries'!A:A,AM275) &gt; 0, "full_name", TRUE, "not a match")</f>
        <v>#NAME?</v>
      </c>
      <c r="EG275" s="30"/>
      <c r="EH275" s="30"/>
      <c r="EI275" s="30"/>
      <c r="EJ275" s="30"/>
      <c r="EK275" s="30" t="str">
        <f t="shared" si="3"/>
        <v/>
      </c>
    </row>
    <row r="276" spans="1:141" ht="16.5">
      <c r="A276" s="11"/>
      <c r="B276" s="11"/>
      <c r="C276" s="11"/>
      <c r="D276" s="11"/>
      <c r="E276" s="11"/>
      <c r="F276" s="11"/>
      <c r="G276" s="11"/>
      <c r="H276" s="11"/>
      <c r="I276" s="11"/>
      <c r="J276" s="11"/>
      <c r="K276" s="27"/>
      <c r="L276" s="11"/>
      <c r="M276" s="11"/>
      <c r="N276" s="11"/>
      <c r="O276" s="11"/>
      <c r="P276" s="15"/>
      <c r="Q276" s="15"/>
      <c r="R276" s="15"/>
      <c r="S276" s="15"/>
      <c r="T276" s="15"/>
      <c r="U276" s="15"/>
      <c r="V276" s="15"/>
      <c r="W276" s="47"/>
      <c r="X276" s="11"/>
      <c r="Y276" s="48"/>
      <c r="Z276" s="11"/>
      <c r="AA276" s="48"/>
      <c r="AB276" s="11"/>
      <c r="AC276" s="48"/>
      <c r="AD276" s="11"/>
      <c r="AE276" s="47"/>
      <c r="AF276" s="11"/>
      <c r="AG276" s="48"/>
      <c r="AH276" s="11"/>
      <c r="AI276" s="48"/>
      <c r="AJ276" s="11"/>
      <c r="AK276" s="48"/>
      <c r="AL276" s="11"/>
      <c r="AM276" s="49"/>
      <c r="AN276" s="49"/>
      <c r="AO276" s="11"/>
      <c r="AP276" s="11"/>
      <c r="AQ276" s="28" t="b">
        <f>IF(COUNTIF(SmartStatus!A$2:A1000, AM276) &gt; 2, TRUE, FALSE)</f>
        <v>0</v>
      </c>
      <c r="AR276" s="29" t="str">
        <f ca="1">IFERROR(__xludf.DUMMYFUNCTION("iferror(if(regexmatch(AO276, ""(?i)^registered""), if(EE276 &lt;&gt; ""polity_shortest_name"", ""CHECK_POLITY"", index(filter(SmartStatus!B$2:B1000, AM276 = SmartStatus!A$2:A1000, not(SmartStatus!C$2:C1000), (isblank(SmartStatus!D$2:D1000)) + ((P276 &lt;&gt; """") * "&amp;"(P276 &lt; SmartStatus!D$2:D1000)), (isblank(SmartStatus!E$2:E1000)) + ((P276 &lt;&gt; """") * (P276 &gt;= SmartStatus!E$2:E1000)), (isblank(SmartStatus!F$2:F1000)) + (((Q276 &lt;&gt; """") * (Q276 &lt; SmartStatus!F$2:F1000)) + ((P276 &lt;&gt; """") * (date(year(P276) + 3, month(P"&amp;"276), day(P276)) &lt; SmartStatus!F$2:F1000))), (isblank(SmartStatus!G$2:G1000)) + (((Q276 &lt;&gt; """") * (Q276 &gt;= SmartStatus!G$2:G1000)) + ((P276 &lt;&gt; """") * (P276 &gt;= SmartStatus!G$2:G1000)))), if(or(regexmatch(B276, ""(?i)^ir [a-z]+ designation$""), N276 &lt;&gt; """&amp;"""), 1, 2))), """"), ""NO_MATCH"")"),"")</f>
        <v/>
      </c>
      <c r="AS276" s="11"/>
      <c r="AT276" s="15"/>
      <c r="AU276" s="11"/>
      <c r="AV276" s="11"/>
      <c r="AW276" s="15"/>
      <c r="AX276" s="15"/>
      <c r="AY276" s="15"/>
      <c r="AZ276" s="11"/>
      <c r="BA276" s="15"/>
      <c r="BB276" s="11"/>
      <c r="BC276" s="11"/>
      <c r="BD276" s="15"/>
      <c r="BE276" s="11"/>
      <c r="BF276" s="11"/>
      <c r="BG276" s="15"/>
      <c r="BH276" s="15"/>
      <c r="BI276" s="15"/>
      <c r="BJ276" s="11"/>
      <c r="BK276" s="15"/>
      <c r="BL276" s="11"/>
      <c r="BM276" s="11"/>
      <c r="BN276" s="15"/>
      <c r="BO276" s="11"/>
      <c r="BP276" s="11"/>
      <c r="BQ276" s="15"/>
      <c r="BR276" s="15"/>
      <c r="BS276" s="15"/>
      <c r="BT276" s="11"/>
      <c r="BU276" s="15"/>
      <c r="BV276" s="11"/>
      <c r="BW276" s="11"/>
      <c r="BX276" s="15"/>
      <c r="BY276" s="11"/>
      <c r="BZ276" s="11"/>
      <c r="CA276" s="15"/>
      <c r="CB276" s="11"/>
      <c r="CC276" s="15"/>
      <c r="CD276" s="11"/>
      <c r="CE276" s="15"/>
      <c r="CF276" s="11"/>
      <c r="CG276" s="11"/>
      <c r="CH276" s="15"/>
      <c r="CI276" s="11"/>
      <c r="CJ276" s="11"/>
      <c r="CK276" s="15"/>
      <c r="CL276" s="11"/>
      <c r="CM276" s="11"/>
      <c r="CN276" s="11"/>
      <c r="CO276" s="11"/>
      <c r="CP276" s="28"/>
      <c r="CQ276" s="28"/>
      <c r="CR276" s="11"/>
      <c r="CS276" s="29"/>
      <c r="CT276" s="11"/>
      <c r="CU276" s="11"/>
      <c r="CV276" s="11"/>
      <c r="CW276" s="11"/>
      <c r="CX276" s="11"/>
      <c r="CY276" s="11"/>
      <c r="CZ276" s="11"/>
      <c r="DA276" s="28"/>
      <c r="DB276" s="28"/>
      <c r="DC276" s="11"/>
      <c r="DD276" s="29"/>
      <c r="DE276" s="11"/>
      <c r="DF276" s="11"/>
      <c r="DG276" s="11"/>
      <c r="DH276" s="11"/>
      <c r="DI276" s="11"/>
      <c r="DJ276" s="11"/>
      <c r="DK276" s="26"/>
      <c r="DL276" s="11"/>
      <c r="DM276" s="29"/>
      <c r="DN276" s="28"/>
      <c r="DO276" s="11"/>
      <c r="DP276" s="11"/>
      <c r="DQ276" s="11"/>
      <c r="DR276" s="29"/>
      <c r="DS276" s="28"/>
      <c r="DT276" s="11"/>
      <c r="DU276" s="26"/>
      <c r="DV276" s="11"/>
      <c r="DW276" s="29"/>
      <c r="DX276" s="28"/>
      <c r="DY276" s="11"/>
      <c r="DZ276" s="26"/>
      <c r="EA276" s="11"/>
      <c r="EB276" s="29"/>
      <c r="EC276" s="28"/>
      <c r="ED276" s="30"/>
      <c r="EE276" s="30" t="str">
        <f ca="1">IFERROR(__xludf.DUMMYFUNCTION("iferror(index(filter('Internal -- Trademark Countries'!E$2:E1000, (AM276 = 'Internal -- Trademark Countries'!B$2:B1000) + (AM276 = 'Internal -- Trademark Countries'!C$2:C1000) + (AM276 = 'Internal -- Trademark Countries'!D$2:D1000)), 1))"),"")</f>
        <v/>
      </c>
      <c r="EF276" s="30" t="e">
        <f ca="1">_xludf.ifs(AM276="", "", COUNTIF('Internal -- Trademark Countries'!B:B,AM276) &gt; 0, "polity_shortest_name", COUNTIF('Internal -- Trademark Countries'!C:C,AM276) &gt; 0, "polity_full_name", COUNTIF('Internal -- Trademark Countries'!D:D,AM276) &gt; 0, "polity_common_name", COUNTIF('Internal -- Trademark Countries'!E:E,AM276) &gt; 0, "shortest_name", COUNTIF('Internal -- Trademark Countries'!A:A,AM276) &gt; 0, "full_name", TRUE, "not a match")</f>
        <v>#NAME?</v>
      </c>
      <c r="EG276" s="30"/>
      <c r="EH276" s="30"/>
      <c r="EI276" s="30"/>
      <c r="EJ276" s="30"/>
      <c r="EK276" s="30" t="str">
        <f t="shared" si="3"/>
        <v/>
      </c>
    </row>
    <row r="277" spans="1:141" ht="16.5">
      <c r="A277" s="11"/>
      <c r="B277" s="11"/>
      <c r="C277" s="11"/>
      <c r="D277" s="11"/>
      <c r="E277" s="11"/>
      <c r="F277" s="11"/>
      <c r="G277" s="11"/>
      <c r="H277" s="11"/>
      <c r="I277" s="11"/>
      <c r="J277" s="11"/>
      <c r="K277" s="27"/>
      <c r="L277" s="11"/>
      <c r="M277" s="11"/>
      <c r="N277" s="11"/>
      <c r="O277" s="11"/>
      <c r="P277" s="15"/>
      <c r="Q277" s="15"/>
      <c r="R277" s="15"/>
      <c r="S277" s="15"/>
      <c r="T277" s="15"/>
      <c r="U277" s="15"/>
      <c r="V277" s="15"/>
      <c r="W277" s="47"/>
      <c r="X277" s="11"/>
      <c r="Y277" s="48"/>
      <c r="Z277" s="11"/>
      <c r="AA277" s="48"/>
      <c r="AB277" s="11"/>
      <c r="AC277" s="48"/>
      <c r="AD277" s="11"/>
      <c r="AE277" s="47"/>
      <c r="AF277" s="11"/>
      <c r="AG277" s="48"/>
      <c r="AH277" s="11"/>
      <c r="AI277" s="48"/>
      <c r="AJ277" s="11"/>
      <c r="AK277" s="48"/>
      <c r="AL277" s="11"/>
      <c r="AM277" s="49"/>
      <c r="AN277" s="49"/>
      <c r="AO277" s="11"/>
      <c r="AP277" s="11"/>
      <c r="AQ277" s="28" t="b">
        <f>IF(COUNTIF(SmartStatus!A$2:A1000, AM277) &gt; 2, TRUE, FALSE)</f>
        <v>0</v>
      </c>
      <c r="AR277" s="29" t="str">
        <f ca="1">IFERROR(__xludf.DUMMYFUNCTION("iferror(if(regexmatch(AO277, ""(?i)^registered""), if(EE277 &lt;&gt; ""polity_shortest_name"", ""CHECK_POLITY"", index(filter(SmartStatus!B$2:B1000, AM277 = SmartStatus!A$2:A1000, not(SmartStatus!C$2:C1000), (isblank(SmartStatus!D$2:D1000)) + ((P277 &lt;&gt; """") * "&amp;"(P277 &lt; SmartStatus!D$2:D1000)), (isblank(SmartStatus!E$2:E1000)) + ((P277 &lt;&gt; """") * (P277 &gt;= SmartStatus!E$2:E1000)), (isblank(SmartStatus!F$2:F1000)) + (((Q277 &lt;&gt; """") * (Q277 &lt; SmartStatus!F$2:F1000)) + ((P277 &lt;&gt; """") * (date(year(P277) + 3, month(P"&amp;"277), day(P277)) &lt; SmartStatus!F$2:F1000))), (isblank(SmartStatus!G$2:G1000)) + (((Q277 &lt;&gt; """") * (Q277 &gt;= SmartStatus!G$2:G1000)) + ((P277 &lt;&gt; """") * (P277 &gt;= SmartStatus!G$2:G1000)))), if(or(regexmatch(B277, ""(?i)^ir [a-z]+ designation$""), N277 &lt;&gt; """&amp;"""), 1, 2))), """"), ""NO_MATCH"")"),"")</f>
        <v/>
      </c>
      <c r="AS277" s="11"/>
      <c r="AT277" s="15"/>
      <c r="AU277" s="11"/>
      <c r="AV277" s="11"/>
      <c r="AW277" s="15"/>
      <c r="AX277" s="15"/>
      <c r="AY277" s="15"/>
      <c r="AZ277" s="11"/>
      <c r="BA277" s="15"/>
      <c r="BB277" s="11"/>
      <c r="BC277" s="11"/>
      <c r="BD277" s="15"/>
      <c r="BE277" s="11"/>
      <c r="BF277" s="11"/>
      <c r="BG277" s="15"/>
      <c r="BH277" s="15"/>
      <c r="BI277" s="15"/>
      <c r="BJ277" s="11"/>
      <c r="BK277" s="15"/>
      <c r="BL277" s="11"/>
      <c r="BM277" s="11"/>
      <c r="BN277" s="15"/>
      <c r="BO277" s="11"/>
      <c r="BP277" s="11"/>
      <c r="BQ277" s="15"/>
      <c r="BR277" s="15"/>
      <c r="BS277" s="15"/>
      <c r="BT277" s="11"/>
      <c r="BU277" s="15"/>
      <c r="BV277" s="11"/>
      <c r="BW277" s="11"/>
      <c r="BX277" s="15"/>
      <c r="BY277" s="11"/>
      <c r="BZ277" s="11"/>
      <c r="CA277" s="15"/>
      <c r="CB277" s="11"/>
      <c r="CC277" s="15"/>
      <c r="CD277" s="11"/>
      <c r="CE277" s="15"/>
      <c r="CF277" s="11"/>
      <c r="CG277" s="11"/>
      <c r="CH277" s="15"/>
      <c r="CI277" s="11"/>
      <c r="CJ277" s="11"/>
      <c r="CK277" s="15"/>
      <c r="CL277" s="11"/>
      <c r="CM277" s="11"/>
      <c r="CN277" s="11"/>
      <c r="CO277" s="11"/>
      <c r="CP277" s="28"/>
      <c r="CQ277" s="28"/>
      <c r="CR277" s="11"/>
      <c r="CS277" s="29"/>
      <c r="CT277" s="11"/>
      <c r="CU277" s="11"/>
      <c r="CV277" s="11"/>
      <c r="CW277" s="11"/>
      <c r="CX277" s="11"/>
      <c r="CY277" s="11"/>
      <c r="CZ277" s="11"/>
      <c r="DA277" s="28"/>
      <c r="DB277" s="28"/>
      <c r="DC277" s="11"/>
      <c r="DD277" s="29"/>
      <c r="DE277" s="11"/>
      <c r="DF277" s="11"/>
      <c r="DG277" s="11"/>
      <c r="DH277" s="11"/>
      <c r="DI277" s="11"/>
      <c r="DJ277" s="11"/>
      <c r="DK277" s="26"/>
      <c r="DL277" s="11"/>
      <c r="DM277" s="29"/>
      <c r="DN277" s="28"/>
      <c r="DO277" s="11"/>
      <c r="DP277" s="11"/>
      <c r="DQ277" s="11"/>
      <c r="DR277" s="29"/>
      <c r="DS277" s="28"/>
      <c r="DT277" s="11"/>
      <c r="DU277" s="26"/>
      <c r="DV277" s="11"/>
      <c r="DW277" s="29"/>
      <c r="DX277" s="28"/>
      <c r="DY277" s="11"/>
      <c r="DZ277" s="26"/>
      <c r="EA277" s="11"/>
      <c r="EB277" s="29"/>
      <c r="EC277" s="28"/>
      <c r="ED277" s="30"/>
      <c r="EE277" s="30" t="str">
        <f ca="1">IFERROR(__xludf.DUMMYFUNCTION("iferror(index(filter('Internal -- Trademark Countries'!E$2:E1000, (AM277 = 'Internal -- Trademark Countries'!B$2:B1000) + (AM277 = 'Internal -- Trademark Countries'!C$2:C1000) + (AM277 = 'Internal -- Trademark Countries'!D$2:D1000)), 1))"),"")</f>
        <v/>
      </c>
      <c r="EF277" s="30" t="e">
        <f ca="1">_xludf.ifs(AM277="", "", COUNTIF('Internal -- Trademark Countries'!B:B,AM277) &gt; 0, "polity_shortest_name", COUNTIF('Internal -- Trademark Countries'!C:C,AM277) &gt; 0, "polity_full_name", COUNTIF('Internal -- Trademark Countries'!D:D,AM277) &gt; 0, "polity_common_name", COUNTIF('Internal -- Trademark Countries'!E:E,AM277) &gt; 0, "shortest_name", COUNTIF('Internal -- Trademark Countries'!A:A,AM277) &gt; 0, "full_name", TRUE, "not a match")</f>
        <v>#NAME?</v>
      </c>
      <c r="EG277" s="30"/>
      <c r="EH277" s="30"/>
      <c r="EI277" s="30"/>
      <c r="EJ277" s="30"/>
      <c r="EK277" s="30" t="str">
        <f t="shared" si="3"/>
        <v/>
      </c>
    </row>
    <row r="278" spans="1:141" ht="16.5">
      <c r="A278" s="11"/>
      <c r="B278" s="11"/>
      <c r="C278" s="11"/>
      <c r="D278" s="11"/>
      <c r="E278" s="11"/>
      <c r="F278" s="11"/>
      <c r="G278" s="11"/>
      <c r="H278" s="11"/>
      <c r="I278" s="11"/>
      <c r="J278" s="11"/>
      <c r="K278" s="27"/>
      <c r="L278" s="11"/>
      <c r="M278" s="11"/>
      <c r="N278" s="11"/>
      <c r="O278" s="11"/>
      <c r="P278" s="15"/>
      <c r="Q278" s="15"/>
      <c r="R278" s="15"/>
      <c r="S278" s="15"/>
      <c r="T278" s="15"/>
      <c r="U278" s="15"/>
      <c r="V278" s="15"/>
      <c r="W278" s="47"/>
      <c r="X278" s="11"/>
      <c r="Y278" s="48"/>
      <c r="Z278" s="11"/>
      <c r="AA278" s="48"/>
      <c r="AB278" s="11"/>
      <c r="AC278" s="48"/>
      <c r="AD278" s="11"/>
      <c r="AE278" s="47"/>
      <c r="AF278" s="11"/>
      <c r="AG278" s="48"/>
      <c r="AH278" s="11"/>
      <c r="AI278" s="48"/>
      <c r="AJ278" s="11"/>
      <c r="AK278" s="48"/>
      <c r="AL278" s="11"/>
      <c r="AM278" s="49"/>
      <c r="AN278" s="49"/>
      <c r="AO278" s="11"/>
      <c r="AP278" s="11"/>
      <c r="AQ278" s="28" t="b">
        <f>IF(COUNTIF(SmartStatus!A$2:A1000, AM278) &gt; 2, TRUE, FALSE)</f>
        <v>0</v>
      </c>
      <c r="AR278" s="29" t="str">
        <f ca="1">IFERROR(__xludf.DUMMYFUNCTION("iferror(if(regexmatch(AO278, ""(?i)^registered""), if(EE278 &lt;&gt; ""polity_shortest_name"", ""CHECK_POLITY"", index(filter(SmartStatus!B$2:B1000, AM278 = SmartStatus!A$2:A1000, not(SmartStatus!C$2:C1000), (isblank(SmartStatus!D$2:D1000)) + ((P278 &lt;&gt; """") * "&amp;"(P278 &lt; SmartStatus!D$2:D1000)), (isblank(SmartStatus!E$2:E1000)) + ((P278 &lt;&gt; """") * (P278 &gt;= SmartStatus!E$2:E1000)), (isblank(SmartStatus!F$2:F1000)) + (((Q278 &lt;&gt; """") * (Q278 &lt; SmartStatus!F$2:F1000)) + ((P278 &lt;&gt; """") * (date(year(P278) + 3, month(P"&amp;"278), day(P278)) &lt; SmartStatus!F$2:F1000))), (isblank(SmartStatus!G$2:G1000)) + (((Q278 &lt;&gt; """") * (Q278 &gt;= SmartStatus!G$2:G1000)) + ((P278 &lt;&gt; """") * (P278 &gt;= SmartStatus!G$2:G1000)))), if(or(regexmatch(B278, ""(?i)^ir [a-z]+ designation$""), N278 &lt;&gt; """&amp;"""), 1, 2))), """"), ""NO_MATCH"")"),"")</f>
        <v/>
      </c>
      <c r="AS278" s="11"/>
      <c r="AT278" s="15"/>
      <c r="AU278" s="11"/>
      <c r="AV278" s="11"/>
      <c r="AW278" s="15"/>
      <c r="AX278" s="15"/>
      <c r="AY278" s="15"/>
      <c r="AZ278" s="11"/>
      <c r="BA278" s="15"/>
      <c r="BB278" s="11"/>
      <c r="BC278" s="11"/>
      <c r="BD278" s="15"/>
      <c r="BE278" s="11"/>
      <c r="BF278" s="11"/>
      <c r="BG278" s="15"/>
      <c r="BH278" s="15"/>
      <c r="BI278" s="15"/>
      <c r="BJ278" s="11"/>
      <c r="BK278" s="15"/>
      <c r="BL278" s="11"/>
      <c r="BM278" s="11"/>
      <c r="BN278" s="15"/>
      <c r="BO278" s="11"/>
      <c r="BP278" s="11"/>
      <c r="BQ278" s="15"/>
      <c r="BR278" s="15"/>
      <c r="BS278" s="15"/>
      <c r="BT278" s="11"/>
      <c r="BU278" s="15"/>
      <c r="BV278" s="11"/>
      <c r="BW278" s="11"/>
      <c r="BX278" s="15"/>
      <c r="BY278" s="11"/>
      <c r="BZ278" s="11"/>
      <c r="CA278" s="15"/>
      <c r="CB278" s="11"/>
      <c r="CC278" s="15"/>
      <c r="CD278" s="11"/>
      <c r="CE278" s="15"/>
      <c r="CF278" s="11"/>
      <c r="CG278" s="11"/>
      <c r="CH278" s="15"/>
      <c r="CI278" s="11"/>
      <c r="CJ278" s="11"/>
      <c r="CK278" s="15"/>
      <c r="CL278" s="11"/>
      <c r="CM278" s="11"/>
      <c r="CN278" s="11"/>
      <c r="CO278" s="11"/>
      <c r="CP278" s="28"/>
      <c r="CQ278" s="28"/>
      <c r="CR278" s="11"/>
      <c r="CS278" s="29"/>
      <c r="CT278" s="11"/>
      <c r="CU278" s="11"/>
      <c r="CV278" s="11"/>
      <c r="CW278" s="11"/>
      <c r="CX278" s="11"/>
      <c r="CY278" s="11"/>
      <c r="CZ278" s="11"/>
      <c r="DA278" s="28"/>
      <c r="DB278" s="28"/>
      <c r="DC278" s="11"/>
      <c r="DD278" s="29"/>
      <c r="DE278" s="11"/>
      <c r="DF278" s="11"/>
      <c r="DG278" s="11"/>
      <c r="DH278" s="11"/>
      <c r="DI278" s="11"/>
      <c r="DJ278" s="11"/>
      <c r="DK278" s="26"/>
      <c r="DL278" s="11"/>
      <c r="DM278" s="29"/>
      <c r="DN278" s="28"/>
      <c r="DO278" s="11"/>
      <c r="DP278" s="11"/>
      <c r="DQ278" s="11"/>
      <c r="DR278" s="29"/>
      <c r="DS278" s="28"/>
      <c r="DT278" s="11"/>
      <c r="DU278" s="26"/>
      <c r="DV278" s="11"/>
      <c r="DW278" s="29"/>
      <c r="DX278" s="28"/>
      <c r="DY278" s="11"/>
      <c r="DZ278" s="26"/>
      <c r="EA278" s="11"/>
      <c r="EB278" s="29"/>
      <c r="EC278" s="28"/>
      <c r="ED278" s="30"/>
      <c r="EE278" s="30" t="str">
        <f ca="1">IFERROR(__xludf.DUMMYFUNCTION("iferror(index(filter('Internal -- Trademark Countries'!E$2:E1000, (AM278 = 'Internal -- Trademark Countries'!B$2:B1000) + (AM278 = 'Internal -- Trademark Countries'!C$2:C1000) + (AM278 = 'Internal -- Trademark Countries'!D$2:D1000)), 1))"),"")</f>
        <v/>
      </c>
      <c r="EF278" s="30" t="e">
        <f ca="1">_xludf.ifs(AM278="", "", COUNTIF('Internal -- Trademark Countries'!B:B,AM278) &gt; 0, "polity_shortest_name", COUNTIF('Internal -- Trademark Countries'!C:C,AM278) &gt; 0, "polity_full_name", COUNTIF('Internal -- Trademark Countries'!D:D,AM278) &gt; 0, "polity_common_name", COUNTIF('Internal -- Trademark Countries'!E:E,AM278) &gt; 0, "shortest_name", COUNTIF('Internal -- Trademark Countries'!A:A,AM278) &gt; 0, "full_name", TRUE, "not a match")</f>
        <v>#NAME?</v>
      </c>
      <c r="EG278" s="30"/>
      <c r="EH278" s="30"/>
      <c r="EI278" s="30"/>
      <c r="EJ278" s="30"/>
      <c r="EK278" s="30" t="str">
        <f t="shared" si="3"/>
        <v/>
      </c>
    </row>
    <row r="279" spans="1:141" ht="16.5">
      <c r="A279" s="11"/>
      <c r="B279" s="11"/>
      <c r="C279" s="11"/>
      <c r="D279" s="11"/>
      <c r="E279" s="11"/>
      <c r="F279" s="11"/>
      <c r="G279" s="11"/>
      <c r="H279" s="11"/>
      <c r="I279" s="11"/>
      <c r="J279" s="11"/>
      <c r="K279" s="27"/>
      <c r="L279" s="11"/>
      <c r="M279" s="11"/>
      <c r="N279" s="11"/>
      <c r="O279" s="11"/>
      <c r="P279" s="15"/>
      <c r="Q279" s="15"/>
      <c r="R279" s="15"/>
      <c r="S279" s="15"/>
      <c r="T279" s="15"/>
      <c r="U279" s="15"/>
      <c r="V279" s="15"/>
      <c r="W279" s="47"/>
      <c r="X279" s="11"/>
      <c r="Y279" s="48"/>
      <c r="Z279" s="11"/>
      <c r="AA279" s="48"/>
      <c r="AB279" s="11"/>
      <c r="AC279" s="48"/>
      <c r="AD279" s="11"/>
      <c r="AE279" s="47"/>
      <c r="AF279" s="11"/>
      <c r="AG279" s="48"/>
      <c r="AH279" s="11"/>
      <c r="AI279" s="48"/>
      <c r="AJ279" s="11"/>
      <c r="AK279" s="48"/>
      <c r="AL279" s="11"/>
      <c r="AM279" s="49"/>
      <c r="AN279" s="49"/>
      <c r="AO279" s="11"/>
      <c r="AP279" s="11"/>
      <c r="AQ279" s="28" t="b">
        <f>IF(COUNTIF(SmartStatus!A$2:A1000, AM279) &gt; 2, TRUE, FALSE)</f>
        <v>0</v>
      </c>
      <c r="AR279" s="29" t="str">
        <f ca="1">IFERROR(__xludf.DUMMYFUNCTION("iferror(if(regexmatch(AO279, ""(?i)^registered""), if(EE279 &lt;&gt; ""polity_shortest_name"", ""CHECK_POLITY"", index(filter(SmartStatus!B$2:B1000, AM279 = SmartStatus!A$2:A1000, not(SmartStatus!C$2:C1000), (isblank(SmartStatus!D$2:D1000)) + ((P279 &lt;&gt; """") * "&amp;"(P279 &lt; SmartStatus!D$2:D1000)), (isblank(SmartStatus!E$2:E1000)) + ((P279 &lt;&gt; """") * (P279 &gt;= SmartStatus!E$2:E1000)), (isblank(SmartStatus!F$2:F1000)) + (((Q279 &lt;&gt; """") * (Q279 &lt; SmartStatus!F$2:F1000)) + ((P279 &lt;&gt; """") * (date(year(P279) + 3, month(P"&amp;"279), day(P279)) &lt; SmartStatus!F$2:F1000))), (isblank(SmartStatus!G$2:G1000)) + (((Q279 &lt;&gt; """") * (Q279 &gt;= SmartStatus!G$2:G1000)) + ((P279 &lt;&gt; """") * (P279 &gt;= SmartStatus!G$2:G1000)))), if(or(regexmatch(B279, ""(?i)^ir [a-z]+ designation$""), N279 &lt;&gt; """&amp;"""), 1, 2))), """"), ""NO_MATCH"")"),"")</f>
        <v/>
      </c>
      <c r="AS279" s="11"/>
      <c r="AT279" s="15"/>
      <c r="AU279" s="11"/>
      <c r="AV279" s="11"/>
      <c r="AW279" s="15"/>
      <c r="AX279" s="15"/>
      <c r="AY279" s="15"/>
      <c r="AZ279" s="11"/>
      <c r="BA279" s="15"/>
      <c r="BB279" s="11"/>
      <c r="BC279" s="11"/>
      <c r="BD279" s="15"/>
      <c r="BE279" s="11"/>
      <c r="BF279" s="11"/>
      <c r="BG279" s="15"/>
      <c r="BH279" s="15"/>
      <c r="BI279" s="15"/>
      <c r="BJ279" s="11"/>
      <c r="BK279" s="15"/>
      <c r="BL279" s="11"/>
      <c r="BM279" s="11"/>
      <c r="BN279" s="15"/>
      <c r="BO279" s="11"/>
      <c r="BP279" s="11"/>
      <c r="BQ279" s="15"/>
      <c r="BR279" s="15"/>
      <c r="BS279" s="15"/>
      <c r="BT279" s="11"/>
      <c r="BU279" s="15"/>
      <c r="BV279" s="11"/>
      <c r="BW279" s="11"/>
      <c r="BX279" s="15"/>
      <c r="BY279" s="11"/>
      <c r="BZ279" s="11"/>
      <c r="CA279" s="15"/>
      <c r="CB279" s="11"/>
      <c r="CC279" s="15"/>
      <c r="CD279" s="11"/>
      <c r="CE279" s="15"/>
      <c r="CF279" s="11"/>
      <c r="CG279" s="11"/>
      <c r="CH279" s="15"/>
      <c r="CI279" s="11"/>
      <c r="CJ279" s="11"/>
      <c r="CK279" s="15"/>
      <c r="CL279" s="11"/>
      <c r="CM279" s="11"/>
      <c r="CN279" s="11"/>
      <c r="CO279" s="11"/>
      <c r="CP279" s="28"/>
      <c r="CQ279" s="28"/>
      <c r="CR279" s="11"/>
      <c r="CS279" s="29"/>
      <c r="CT279" s="11"/>
      <c r="CU279" s="11"/>
      <c r="CV279" s="11"/>
      <c r="CW279" s="11"/>
      <c r="CX279" s="11"/>
      <c r="CY279" s="11"/>
      <c r="CZ279" s="11"/>
      <c r="DA279" s="28"/>
      <c r="DB279" s="28"/>
      <c r="DC279" s="11"/>
      <c r="DD279" s="29"/>
      <c r="DE279" s="11"/>
      <c r="DF279" s="11"/>
      <c r="DG279" s="11"/>
      <c r="DH279" s="11"/>
      <c r="DI279" s="11"/>
      <c r="DJ279" s="11"/>
      <c r="DK279" s="26"/>
      <c r="DL279" s="11"/>
      <c r="DM279" s="29"/>
      <c r="DN279" s="28"/>
      <c r="DO279" s="11"/>
      <c r="DP279" s="11"/>
      <c r="DQ279" s="11"/>
      <c r="DR279" s="29"/>
      <c r="DS279" s="28"/>
      <c r="DT279" s="11"/>
      <c r="DU279" s="26"/>
      <c r="DV279" s="11"/>
      <c r="DW279" s="29"/>
      <c r="DX279" s="28"/>
      <c r="DY279" s="11"/>
      <c r="DZ279" s="26"/>
      <c r="EA279" s="11"/>
      <c r="EB279" s="29"/>
      <c r="EC279" s="28"/>
      <c r="ED279" s="30"/>
      <c r="EE279" s="30" t="str">
        <f ca="1">IFERROR(__xludf.DUMMYFUNCTION("iferror(index(filter('Internal -- Trademark Countries'!E$2:E1000, (AM279 = 'Internal -- Trademark Countries'!B$2:B1000) + (AM279 = 'Internal -- Trademark Countries'!C$2:C1000) + (AM279 = 'Internal -- Trademark Countries'!D$2:D1000)), 1))"),"")</f>
        <v/>
      </c>
      <c r="EF279" s="30" t="e">
        <f ca="1">_xludf.ifs(AM279="", "", COUNTIF('Internal -- Trademark Countries'!B:B,AM279) &gt; 0, "polity_shortest_name", COUNTIF('Internal -- Trademark Countries'!C:C,AM279) &gt; 0, "polity_full_name", COUNTIF('Internal -- Trademark Countries'!D:D,AM279) &gt; 0, "polity_common_name", COUNTIF('Internal -- Trademark Countries'!E:E,AM279) &gt; 0, "shortest_name", COUNTIF('Internal -- Trademark Countries'!A:A,AM279) &gt; 0, "full_name", TRUE, "not a match")</f>
        <v>#NAME?</v>
      </c>
      <c r="EG279" s="30"/>
      <c r="EH279" s="30"/>
      <c r="EI279" s="30"/>
      <c r="EJ279" s="30"/>
      <c r="EK279" s="30" t="str">
        <f t="shared" si="3"/>
        <v/>
      </c>
    </row>
    <row r="280" spans="1:141" ht="16.5">
      <c r="A280" s="11"/>
      <c r="B280" s="11"/>
      <c r="C280" s="11"/>
      <c r="D280" s="11"/>
      <c r="E280" s="11"/>
      <c r="F280" s="11"/>
      <c r="G280" s="11"/>
      <c r="H280" s="11"/>
      <c r="I280" s="11"/>
      <c r="J280" s="11"/>
      <c r="K280" s="27"/>
      <c r="L280" s="11"/>
      <c r="M280" s="11"/>
      <c r="N280" s="11"/>
      <c r="O280" s="11"/>
      <c r="P280" s="15"/>
      <c r="Q280" s="15"/>
      <c r="R280" s="15"/>
      <c r="S280" s="15"/>
      <c r="T280" s="15"/>
      <c r="U280" s="15"/>
      <c r="V280" s="15"/>
      <c r="W280" s="47"/>
      <c r="X280" s="11"/>
      <c r="Y280" s="48"/>
      <c r="Z280" s="11"/>
      <c r="AA280" s="48"/>
      <c r="AB280" s="11"/>
      <c r="AC280" s="48"/>
      <c r="AD280" s="11"/>
      <c r="AE280" s="47"/>
      <c r="AF280" s="11"/>
      <c r="AG280" s="48"/>
      <c r="AH280" s="11"/>
      <c r="AI280" s="48"/>
      <c r="AJ280" s="11"/>
      <c r="AK280" s="48"/>
      <c r="AL280" s="11"/>
      <c r="AM280" s="49"/>
      <c r="AN280" s="49"/>
      <c r="AO280" s="11"/>
      <c r="AP280" s="11"/>
      <c r="AQ280" s="28" t="b">
        <f>IF(COUNTIF(SmartStatus!A$2:A1000, AM280) &gt; 2, TRUE, FALSE)</f>
        <v>0</v>
      </c>
      <c r="AR280" s="29" t="str">
        <f ca="1">IFERROR(__xludf.DUMMYFUNCTION("iferror(if(regexmatch(AO280, ""(?i)^registered""), if(EE280 &lt;&gt; ""polity_shortest_name"", ""CHECK_POLITY"", index(filter(SmartStatus!B$2:B1000, AM280 = SmartStatus!A$2:A1000, not(SmartStatus!C$2:C1000), (isblank(SmartStatus!D$2:D1000)) + ((P280 &lt;&gt; """") * "&amp;"(P280 &lt; SmartStatus!D$2:D1000)), (isblank(SmartStatus!E$2:E1000)) + ((P280 &lt;&gt; """") * (P280 &gt;= SmartStatus!E$2:E1000)), (isblank(SmartStatus!F$2:F1000)) + (((Q280 &lt;&gt; """") * (Q280 &lt; SmartStatus!F$2:F1000)) + ((P280 &lt;&gt; """") * (date(year(P280) + 3, month(P"&amp;"280), day(P280)) &lt; SmartStatus!F$2:F1000))), (isblank(SmartStatus!G$2:G1000)) + (((Q280 &lt;&gt; """") * (Q280 &gt;= SmartStatus!G$2:G1000)) + ((P280 &lt;&gt; """") * (P280 &gt;= SmartStatus!G$2:G1000)))), if(or(regexmatch(B280, ""(?i)^ir [a-z]+ designation$""), N280 &lt;&gt; """&amp;"""), 1, 2))), """"), ""NO_MATCH"")"),"")</f>
        <v/>
      </c>
      <c r="AS280" s="11"/>
      <c r="AT280" s="15"/>
      <c r="AU280" s="11"/>
      <c r="AV280" s="11"/>
      <c r="AW280" s="15"/>
      <c r="AX280" s="15"/>
      <c r="AY280" s="15"/>
      <c r="AZ280" s="11"/>
      <c r="BA280" s="15"/>
      <c r="BB280" s="11"/>
      <c r="BC280" s="11"/>
      <c r="BD280" s="15"/>
      <c r="BE280" s="11"/>
      <c r="BF280" s="11"/>
      <c r="BG280" s="15"/>
      <c r="BH280" s="15"/>
      <c r="BI280" s="15"/>
      <c r="BJ280" s="11"/>
      <c r="BK280" s="15"/>
      <c r="BL280" s="11"/>
      <c r="BM280" s="11"/>
      <c r="BN280" s="15"/>
      <c r="BO280" s="11"/>
      <c r="BP280" s="11"/>
      <c r="BQ280" s="15"/>
      <c r="BR280" s="15"/>
      <c r="BS280" s="15"/>
      <c r="BT280" s="11"/>
      <c r="BU280" s="15"/>
      <c r="BV280" s="11"/>
      <c r="BW280" s="11"/>
      <c r="BX280" s="15"/>
      <c r="BY280" s="11"/>
      <c r="BZ280" s="11"/>
      <c r="CA280" s="15"/>
      <c r="CB280" s="11"/>
      <c r="CC280" s="15"/>
      <c r="CD280" s="11"/>
      <c r="CE280" s="15"/>
      <c r="CF280" s="11"/>
      <c r="CG280" s="11"/>
      <c r="CH280" s="15"/>
      <c r="CI280" s="11"/>
      <c r="CJ280" s="11"/>
      <c r="CK280" s="15"/>
      <c r="CL280" s="11"/>
      <c r="CM280" s="11"/>
      <c r="CN280" s="11"/>
      <c r="CO280" s="11"/>
      <c r="CP280" s="28"/>
      <c r="CQ280" s="28"/>
      <c r="CR280" s="11"/>
      <c r="CS280" s="29"/>
      <c r="CT280" s="11"/>
      <c r="CU280" s="11"/>
      <c r="CV280" s="11"/>
      <c r="CW280" s="11"/>
      <c r="CX280" s="11"/>
      <c r="CY280" s="11"/>
      <c r="CZ280" s="11"/>
      <c r="DA280" s="28"/>
      <c r="DB280" s="28"/>
      <c r="DC280" s="11"/>
      <c r="DD280" s="29"/>
      <c r="DE280" s="11"/>
      <c r="DF280" s="11"/>
      <c r="DG280" s="11"/>
      <c r="DH280" s="11"/>
      <c r="DI280" s="11"/>
      <c r="DJ280" s="11"/>
      <c r="DK280" s="26"/>
      <c r="DL280" s="11"/>
      <c r="DM280" s="29"/>
      <c r="DN280" s="28"/>
      <c r="DO280" s="11"/>
      <c r="DP280" s="11"/>
      <c r="DQ280" s="11"/>
      <c r="DR280" s="29"/>
      <c r="DS280" s="28"/>
      <c r="DT280" s="11"/>
      <c r="DU280" s="26"/>
      <c r="DV280" s="11"/>
      <c r="DW280" s="29"/>
      <c r="DX280" s="28"/>
      <c r="DY280" s="11"/>
      <c r="DZ280" s="26"/>
      <c r="EA280" s="11"/>
      <c r="EB280" s="29"/>
      <c r="EC280" s="28"/>
      <c r="ED280" s="30"/>
      <c r="EE280" s="30" t="str">
        <f ca="1">IFERROR(__xludf.DUMMYFUNCTION("iferror(index(filter('Internal -- Trademark Countries'!E$2:E1000, (AM280 = 'Internal -- Trademark Countries'!B$2:B1000) + (AM280 = 'Internal -- Trademark Countries'!C$2:C1000) + (AM280 = 'Internal -- Trademark Countries'!D$2:D1000)), 1))"),"")</f>
        <v/>
      </c>
      <c r="EF280" s="30" t="e">
        <f ca="1">_xludf.ifs(AM280="", "", COUNTIF('Internal -- Trademark Countries'!B:B,AM280) &gt; 0, "polity_shortest_name", COUNTIF('Internal -- Trademark Countries'!C:C,AM280) &gt; 0, "polity_full_name", COUNTIF('Internal -- Trademark Countries'!D:D,AM280) &gt; 0, "polity_common_name", COUNTIF('Internal -- Trademark Countries'!E:E,AM280) &gt; 0, "shortest_name", COUNTIF('Internal -- Trademark Countries'!A:A,AM280) &gt; 0, "full_name", TRUE, "not a match")</f>
        <v>#NAME?</v>
      </c>
      <c r="EG280" s="30"/>
      <c r="EH280" s="30"/>
      <c r="EI280" s="30"/>
      <c r="EJ280" s="30"/>
      <c r="EK280" s="30" t="str">
        <f t="shared" si="3"/>
        <v/>
      </c>
    </row>
    <row r="281" spans="1:141" ht="16.5">
      <c r="A281" s="11"/>
      <c r="B281" s="11"/>
      <c r="C281" s="11"/>
      <c r="D281" s="11"/>
      <c r="E281" s="11"/>
      <c r="F281" s="11"/>
      <c r="G281" s="11"/>
      <c r="H281" s="11"/>
      <c r="I281" s="11"/>
      <c r="J281" s="11"/>
      <c r="K281" s="27"/>
      <c r="L281" s="11"/>
      <c r="M281" s="11"/>
      <c r="N281" s="11"/>
      <c r="O281" s="11"/>
      <c r="P281" s="15"/>
      <c r="Q281" s="15"/>
      <c r="R281" s="15"/>
      <c r="S281" s="15"/>
      <c r="T281" s="15"/>
      <c r="U281" s="15"/>
      <c r="V281" s="15"/>
      <c r="W281" s="47"/>
      <c r="X281" s="11"/>
      <c r="Y281" s="48"/>
      <c r="Z281" s="11"/>
      <c r="AA281" s="48"/>
      <c r="AB281" s="11"/>
      <c r="AC281" s="48"/>
      <c r="AD281" s="11"/>
      <c r="AE281" s="47"/>
      <c r="AF281" s="11"/>
      <c r="AG281" s="48"/>
      <c r="AH281" s="11"/>
      <c r="AI281" s="48"/>
      <c r="AJ281" s="11"/>
      <c r="AK281" s="48"/>
      <c r="AL281" s="11"/>
      <c r="AM281" s="49"/>
      <c r="AN281" s="49"/>
      <c r="AO281" s="11"/>
      <c r="AP281" s="11"/>
      <c r="AQ281" s="28" t="b">
        <f>IF(COUNTIF(SmartStatus!A$2:A1000, AM281) &gt; 2, TRUE, FALSE)</f>
        <v>0</v>
      </c>
      <c r="AR281" s="29" t="str">
        <f ca="1">IFERROR(__xludf.DUMMYFUNCTION("iferror(if(regexmatch(AO281, ""(?i)^registered""), if(EE281 &lt;&gt; ""polity_shortest_name"", ""CHECK_POLITY"", index(filter(SmartStatus!B$2:B1000, AM281 = SmartStatus!A$2:A1000, not(SmartStatus!C$2:C1000), (isblank(SmartStatus!D$2:D1000)) + ((P281 &lt;&gt; """") * "&amp;"(P281 &lt; SmartStatus!D$2:D1000)), (isblank(SmartStatus!E$2:E1000)) + ((P281 &lt;&gt; """") * (P281 &gt;= SmartStatus!E$2:E1000)), (isblank(SmartStatus!F$2:F1000)) + (((Q281 &lt;&gt; """") * (Q281 &lt; SmartStatus!F$2:F1000)) + ((P281 &lt;&gt; """") * (date(year(P281) + 3, month(P"&amp;"281), day(P281)) &lt; SmartStatus!F$2:F1000))), (isblank(SmartStatus!G$2:G1000)) + (((Q281 &lt;&gt; """") * (Q281 &gt;= SmartStatus!G$2:G1000)) + ((P281 &lt;&gt; """") * (P281 &gt;= SmartStatus!G$2:G1000)))), if(or(regexmatch(B281, ""(?i)^ir [a-z]+ designation$""), N281 &lt;&gt; """&amp;"""), 1, 2))), """"), ""NO_MATCH"")"),"")</f>
        <v/>
      </c>
      <c r="AS281" s="11"/>
      <c r="AT281" s="15"/>
      <c r="AU281" s="11"/>
      <c r="AV281" s="11"/>
      <c r="AW281" s="15"/>
      <c r="AX281" s="15"/>
      <c r="AY281" s="15"/>
      <c r="AZ281" s="11"/>
      <c r="BA281" s="15"/>
      <c r="BB281" s="11"/>
      <c r="BC281" s="11"/>
      <c r="BD281" s="15"/>
      <c r="BE281" s="11"/>
      <c r="BF281" s="11"/>
      <c r="BG281" s="15"/>
      <c r="BH281" s="15"/>
      <c r="BI281" s="15"/>
      <c r="BJ281" s="11"/>
      <c r="BK281" s="15"/>
      <c r="BL281" s="11"/>
      <c r="BM281" s="11"/>
      <c r="BN281" s="15"/>
      <c r="BO281" s="11"/>
      <c r="BP281" s="11"/>
      <c r="BQ281" s="15"/>
      <c r="BR281" s="15"/>
      <c r="BS281" s="15"/>
      <c r="BT281" s="11"/>
      <c r="BU281" s="15"/>
      <c r="BV281" s="11"/>
      <c r="BW281" s="11"/>
      <c r="BX281" s="15"/>
      <c r="BY281" s="11"/>
      <c r="BZ281" s="11"/>
      <c r="CA281" s="15"/>
      <c r="CB281" s="11"/>
      <c r="CC281" s="15"/>
      <c r="CD281" s="11"/>
      <c r="CE281" s="15"/>
      <c r="CF281" s="11"/>
      <c r="CG281" s="11"/>
      <c r="CH281" s="15"/>
      <c r="CI281" s="11"/>
      <c r="CJ281" s="11"/>
      <c r="CK281" s="15"/>
      <c r="CL281" s="11"/>
      <c r="CM281" s="11"/>
      <c r="CN281" s="11"/>
      <c r="CO281" s="11"/>
      <c r="CP281" s="28"/>
      <c r="CQ281" s="28"/>
      <c r="CR281" s="11"/>
      <c r="CS281" s="29"/>
      <c r="CT281" s="11"/>
      <c r="CU281" s="11"/>
      <c r="CV281" s="11"/>
      <c r="CW281" s="11"/>
      <c r="CX281" s="11"/>
      <c r="CY281" s="11"/>
      <c r="CZ281" s="11"/>
      <c r="DA281" s="28"/>
      <c r="DB281" s="28"/>
      <c r="DC281" s="11"/>
      <c r="DD281" s="29"/>
      <c r="DE281" s="11"/>
      <c r="DF281" s="11"/>
      <c r="DG281" s="11"/>
      <c r="DH281" s="11"/>
      <c r="DI281" s="11"/>
      <c r="DJ281" s="11"/>
      <c r="DK281" s="26"/>
      <c r="DL281" s="11"/>
      <c r="DM281" s="29"/>
      <c r="DN281" s="28"/>
      <c r="DO281" s="11"/>
      <c r="DP281" s="11"/>
      <c r="DQ281" s="11"/>
      <c r="DR281" s="29"/>
      <c r="DS281" s="28"/>
      <c r="DT281" s="11"/>
      <c r="DU281" s="26"/>
      <c r="DV281" s="11"/>
      <c r="DW281" s="29"/>
      <c r="DX281" s="28"/>
      <c r="DY281" s="11"/>
      <c r="DZ281" s="26"/>
      <c r="EA281" s="11"/>
      <c r="EB281" s="29"/>
      <c r="EC281" s="28"/>
      <c r="ED281" s="30"/>
      <c r="EE281" s="30" t="str">
        <f ca="1">IFERROR(__xludf.DUMMYFUNCTION("iferror(index(filter('Internal -- Trademark Countries'!E$2:E1000, (AM281 = 'Internal -- Trademark Countries'!B$2:B1000) + (AM281 = 'Internal -- Trademark Countries'!C$2:C1000) + (AM281 = 'Internal -- Trademark Countries'!D$2:D1000)), 1))"),"")</f>
        <v/>
      </c>
      <c r="EF281" s="30" t="e">
        <f ca="1">_xludf.ifs(AM281="", "", COUNTIF('Internal -- Trademark Countries'!B:B,AM281) &gt; 0, "polity_shortest_name", COUNTIF('Internal -- Trademark Countries'!C:C,AM281) &gt; 0, "polity_full_name", COUNTIF('Internal -- Trademark Countries'!D:D,AM281) &gt; 0, "polity_common_name", COUNTIF('Internal -- Trademark Countries'!E:E,AM281) &gt; 0, "shortest_name", COUNTIF('Internal -- Trademark Countries'!A:A,AM281) &gt; 0, "full_name", TRUE, "not a match")</f>
        <v>#NAME?</v>
      </c>
      <c r="EG281" s="30"/>
      <c r="EH281" s="30"/>
      <c r="EI281" s="30"/>
      <c r="EJ281" s="30"/>
      <c r="EK281" s="30" t="str">
        <f t="shared" si="3"/>
        <v/>
      </c>
    </row>
    <row r="282" spans="1:141" ht="16.5">
      <c r="A282" s="11"/>
      <c r="B282" s="11"/>
      <c r="C282" s="11"/>
      <c r="D282" s="11"/>
      <c r="E282" s="11"/>
      <c r="F282" s="11"/>
      <c r="G282" s="11"/>
      <c r="H282" s="11"/>
      <c r="I282" s="11"/>
      <c r="J282" s="11"/>
      <c r="K282" s="27"/>
      <c r="L282" s="11"/>
      <c r="M282" s="11"/>
      <c r="N282" s="11"/>
      <c r="O282" s="11"/>
      <c r="P282" s="15"/>
      <c r="Q282" s="15"/>
      <c r="R282" s="15"/>
      <c r="S282" s="15"/>
      <c r="T282" s="15"/>
      <c r="U282" s="15"/>
      <c r="V282" s="15"/>
      <c r="W282" s="47"/>
      <c r="X282" s="11"/>
      <c r="Y282" s="48"/>
      <c r="Z282" s="11"/>
      <c r="AA282" s="48"/>
      <c r="AB282" s="11"/>
      <c r="AC282" s="48"/>
      <c r="AD282" s="11"/>
      <c r="AE282" s="47"/>
      <c r="AF282" s="11"/>
      <c r="AG282" s="48"/>
      <c r="AH282" s="11"/>
      <c r="AI282" s="48"/>
      <c r="AJ282" s="11"/>
      <c r="AK282" s="48"/>
      <c r="AL282" s="11"/>
      <c r="AM282" s="49"/>
      <c r="AN282" s="49"/>
      <c r="AO282" s="11"/>
      <c r="AP282" s="11"/>
      <c r="AQ282" s="28" t="b">
        <f>IF(COUNTIF(SmartStatus!A$2:A1000, AM282) &gt; 2, TRUE, FALSE)</f>
        <v>0</v>
      </c>
      <c r="AR282" s="29" t="str">
        <f ca="1">IFERROR(__xludf.DUMMYFUNCTION("iferror(if(regexmatch(AO282, ""(?i)^registered""), if(EE282 &lt;&gt; ""polity_shortest_name"", ""CHECK_POLITY"", index(filter(SmartStatus!B$2:B1000, AM282 = SmartStatus!A$2:A1000, not(SmartStatus!C$2:C1000), (isblank(SmartStatus!D$2:D1000)) + ((P282 &lt;&gt; """") * "&amp;"(P282 &lt; SmartStatus!D$2:D1000)), (isblank(SmartStatus!E$2:E1000)) + ((P282 &lt;&gt; """") * (P282 &gt;= SmartStatus!E$2:E1000)), (isblank(SmartStatus!F$2:F1000)) + (((Q282 &lt;&gt; """") * (Q282 &lt; SmartStatus!F$2:F1000)) + ((P282 &lt;&gt; """") * (date(year(P282) + 3, month(P"&amp;"282), day(P282)) &lt; SmartStatus!F$2:F1000))), (isblank(SmartStatus!G$2:G1000)) + (((Q282 &lt;&gt; """") * (Q282 &gt;= SmartStatus!G$2:G1000)) + ((P282 &lt;&gt; """") * (P282 &gt;= SmartStatus!G$2:G1000)))), if(or(regexmatch(B282, ""(?i)^ir [a-z]+ designation$""), N282 &lt;&gt; """&amp;"""), 1, 2))), """"), ""NO_MATCH"")"),"")</f>
        <v/>
      </c>
      <c r="AS282" s="11"/>
      <c r="AT282" s="15"/>
      <c r="AU282" s="11"/>
      <c r="AV282" s="11"/>
      <c r="AW282" s="15"/>
      <c r="AX282" s="15"/>
      <c r="AY282" s="15"/>
      <c r="AZ282" s="11"/>
      <c r="BA282" s="15"/>
      <c r="BB282" s="11"/>
      <c r="BC282" s="11"/>
      <c r="BD282" s="15"/>
      <c r="BE282" s="11"/>
      <c r="BF282" s="11"/>
      <c r="BG282" s="15"/>
      <c r="BH282" s="15"/>
      <c r="BI282" s="15"/>
      <c r="BJ282" s="11"/>
      <c r="BK282" s="15"/>
      <c r="BL282" s="11"/>
      <c r="BM282" s="11"/>
      <c r="BN282" s="15"/>
      <c r="BO282" s="11"/>
      <c r="BP282" s="11"/>
      <c r="BQ282" s="15"/>
      <c r="BR282" s="15"/>
      <c r="BS282" s="15"/>
      <c r="BT282" s="11"/>
      <c r="BU282" s="15"/>
      <c r="BV282" s="11"/>
      <c r="BW282" s="11"/>
      <c r="BX282" s="15"/>
      <c r="BY282" s="11"/>
      <c r="BZ282" s="11"/>
      <c r="CA282" s="15"/>
      <c r="CB282" s="11"/>
      <c r="CC282" s="15"/>
      <c r="CD282" s="11"/>
      <c r="CE282" s="15"/>
      <c r="CF282" s="11"/>
      <c r="CG282" s="11"/>
      <c r="CH282" s="15"/>
      <c r="CI282" s="11"/>
      <c r="CJ282" s="11"/>
      <c r="CK282" s="15"/>
      <c r="CL282" s="11"/>
      <c r="CM282" s="11"/>
      <c r="CN282" s="11"/>
      <c r="CO282" s="11"/>
      <c r="CP282" s="28"/>
      <c r="CQ282" s="28"/>
      <c r="CR282" s="11"/>
      <c r="CS282" s="29"/>
      <c r="CT282" s="11"/>
      <c r="CU282" s="11"/>
      <c r="CV282" s="11"/>
      <c r="CW282" s="11"/>
      <c r="CX282" s="11"/>
      <c r="CY282" s="11"/>
      <c r="CZ282" s="11"/>
      <c r="DA282" s="28"/>
      <c r="DB282" s="28"/>
      <c r="DC282" s="11"/>
      <c r="DD282" s="29"/>
      <c r="DE282" s="11"/>
      <c r="DF282" s="11"/>
      <c r="DG282" s="11"/>
      <c r="DH282" s="11"/>
      <c r="DI282" s="11"/>
      <c r="DJ282" s="11"/>
      <c r="DK282" s="26"/>
      <c r="DL282" s="11"/>
      <c r="DM282" s="29"/>
      <c r="DN282" s="28"/>
      <c r="DO282" s="11"/>
      <c r="DP282" s="11"/>
      <c r="DQ282" s="11"/>
      <c r="DR282" s="29"/>
      <c r="DS282" s="28"/>
      <c r="DT282" s="11"/>
      <c r="DU282" s="26"/>
      <c r="DV282" s="11"/>
      <c r="DW282" s="29"/>
      <c r="DX282" s="28"/>
      <c r="DY282" s="11"/>
      <c r="DZ282" s="26"/>
      <c r="EA282" s="11"/>
      <c r="EB282" s="29"/>
      <c r="EC282" s="28"/>
      <c r="ED282" s="30"/>
      <c r="EE282" s="30" t="str">
        <f ca="1">IFERROR(__xludf.DUMMYFUNCTION("iferror(index(filter('Internal -- Trademark Countries'!E$2:E1000, (AM282 = 'Internal -- Trademark Countries'!B$2:B1000) + (AM282 = 'Internal -- Trademark Countries'!C$2:C1000) + (AM282 = 'Internal -- Trademark Countries'!D$2:D1000)), 1))"),"")</f>
        <v/>
      </c>
      <c r="EF282" s="30" t="e">
        <f ca="1">_xludf.ifs(AM282="", "", COUNTIF('Internal -- Trademark Countries'!B:B,AM282) &gt; 0, "polity_shortest_name", COUNTIF('Internal -- Trademark Countries'!C:C,AM282) &gt; 0, "polity_full_name", COUNTIF('Internal -- Trademark Countries'!D:D,AM282) &gt; 0, "polity_common_name", COUNTIF('Internal -- Trademark Countries'!E:E,AM282) &gt; 0, "shortest_name", COUNTIF('Internal -- Trademark Countries'!A:A,AM282) &gt; 0, "full_name", TRUE, "not a match")</f>
        <v>#NAME?</v>
      </c>
      <c r="EG282" s="30"/>
      <c r="EH282" s="30"/>
      <c r="EI282" s="30"/>
      <c r="EJ282" s="30"/>
      <c r="EK282" s="30" t="str">
        <f t="shared" si="3"/>
        <v/>
      </c>
    </row>
    <row r="283" spans="1:141" ht="16.5">
      <c r="A283" s="11"/>
      <c r="B283" s="11"/>
      <c r="C283" s="11"/>
      <c r="D283" s="11"/>
      <c r="E283" s="11"/>
      <c r="F283" s="11"/>
      <c r="G283" s="11"/>
      <c r="H283" s="11"/>
      <c r="I283" s="11"/>
      <c r="J283" s="11"/>
      <c r="K283" s="27"/>
      <c r="L283" s="11"/>
      <c r="M283" s="11"/>
      <c r="N283" s="11"/>
      <c r="O283" s="11"/>
      <c r="P283" s="15"/>
      <c r="Q283" s="15"/>
      <c r="R283" s="15"/>
      <c r="S283" s="15"/>
      <c r="T283" s="15"/>
      <c r="U283" s="15"/>
      <c r="V283" s="15"/>
      <c r="W283" s="47"/>
      <c r="X283" s="11"/>
      <c r="Y283" s="48"/>
      <c r="Z283" s="11"/>
      <c r="AA283" s="48"/>
      <c r="AB283" s="11"/>
      <c r="AC283" s="48"/>
      <c r="AD283" s="11"/>
      <c r="AE283" s="47"/>
      <c r="AF283" s="11"/>
      <c r="AG283" s="48"/>
      <c r="AH283" s="11"/>
      <c r="AI283" s="48"/>
      <c r="AJ283" s="11"/>
      <c r="AK283" s="48"/>
      <c r="AL283" s="11"/>
      <c r="AM283" s="49"/>
      <c r="AN283" s="49"/>
      <c r="AO283" s="11"/>
      <c r="AP283" s="11"/>
      <c r="AQ283" s="28" t="b">
        <f>IF(COUNTIF(SmartStatus!A$2:A1000, AM283) &gt; 2, TRUE, FALSE)</f>
        <v>0</v>
      </c>
      <c r="AR283" s="29" t="str">
        <f ca="1">IFERROR(__xludf.DUMMYFUNCTION("iferror(if(regexmatch(AO283, ""(?i)^registered""), if(EE283 &lt;&gt; ""polity_shortest_name"", ""CHECK_POLITY"", index(filter(SmartStatus!B$2:B1000, AM283 = SmartStatus!A$2:A1000, not(SmartStatus!C$2:C1000), (isblank(SmartStatus!D$2:D1000)) + ((P283 &lt;&gt; """") * "&amp;"(P283 &lt; SmartStatus!D$2:D1000)), (isblank(SmartStatus!E$2:E1000)) + ((P283 &lt;&gt; """") * (P283 &gt;= SmartStatus!E$2:E1000)), (isblank(SmartStatus!F$2:F1000)) + (((Q283 &lt;&gt; """") * (Q283 &lt; SmartStatus!F$2:F1000)) + ((P283 &lt;&gt; """") * (date(year(P283) + 3, month(P"&amp;"283), day(P283)) &lt; SmartStatus!F$2:F1000))), (isblank(SmartStatus!G$2:G1000)) + (((Q283 &lt;&gt; """") * (Q283 &gt;= SmartStatus!G$2:G1000)) + ((P283 &lt;&gt; """") * (P283 &gt;= SmartStatus!G$2:G1000)))), if(or(regexmatch(B283, ""(?i)^ir [a-z]+ designation$""), N283 &lt;&gt; """&amp;"""), 1, 2))), """"), ""NO_MATCH"")"),"")</f>
        <v/>
      </c>
      <c r="AS283" s="11"/>
      <c r="AT283" s="15"/>
      <c r="AU283" s="11"/>
      <c r="AV283" s="11"/>
      <c r="AW283" s="15"/>
      <c r="AX283" s="15"/>
      <c r="AY283" s="15"/>
      <c r="AZ283" s="11"/>
      <c r="BA283" s="15"/>
      <c r="BB283" s="11"/>
      <c r="BC283" s="11"/>
      <c r="BD283" s="15"/>
      <c r="BE283" s="11"/>
      <c r="BF283" s="11"/>
      <c r="BG283" s="15"/>
      <c r="BH283" s="15"/>
      <c r="BI283" s="15"/>
      <c r="BJ283" s="11"/>
      <c r="BK283" s="15"/>
      <c r="BL283" s="11"/>
      <c r="BM283" s="11"/>
      <c r="BN283" s="15"/>
      <c r="BO283" s="11"/>
      <c r="BP283" s="11"/>
      <c r="BQ283" s="15"/>
      <c r="BR283" s="15"/>
      <c r="BS283" s="15"/>
      <c r="BT283" s="11"/>
      <c r="BU283" s="15"/>
      <c r="BV283" s="11"/>
      <c r="BW283" s="11"/>
      <c r="BX283" s="15"/>
      <c r="BY283" s="11"/>
      <c r="BZ283" s="11"/>
      <c r="CA283" s="15"/>
      <c r="CB283" s="11"/>
      <c r="CC283" s="15"/>
      <c r="CD283" s="11"/>
      <c r="CE283" s="15"/>
      <c r="CF283" s="11"/>
      <c r="CG283" s="11"/>
      <c r="CH283" s="15"/>
      <c r="CI283" s="11"/>
      <c r="CJ283" s="11"/>
      <c r="CK283" s="15"/>
      <c r="CL283" s="11"/>
      <c r="CM283" s="11"/>
      <c r="CN283" s="11"/>
      <c r="CO283" s="11"/>
      <c r="CP283" s="28"/>
      <c r="CQ283" s="28"/>
      <c r="CR283" s="11"/>
      <c r="CS283" s="29"/>
      <c r="CT283" s="11"/>
      <c r="CU283" s="11"/>
      <c r="CV283" s="11"/>
      <c r="CW283" s="11"/>
      <c r="CX283" s="11"/>
      <c r="CY283" s="11"/>
      <c r="CZ283" s="11"/>
      <c r="DA283" s="28"/>
      <c r="DB283" s="28"/>
      <c r="DC283" s="11"/>
      <c r="DD283" s="29"/>
      <c r="DE283" s="11"/>
      <c r="DF283" s="11"/>
      <c r="DG283" s="11"/>
      <c r="DH283" s="11"/>
      <c r="DI283" s="11"/>
      <c r="DJ283" s="11"/>
      <c r="DK283" s="26"/>
      <c r="DL283" s="11"/>
      <c r="DM283" s="29"/>
      <c r="DN283" s="28"/>
      <c r="DO283" s="11"/>
      <c r="DP283" s="11"/>
      <c r="DQ283" s="11"/>
      <c r="DR283" s="29"/>
      <c r="DS283" s="28"/>
      <c r="DT283" s="11"/>
      <c r="DU283" s="26"/>
      <c r="DV283" s="11"/>
      <c r="DW283" s="29"/>
      <c r="DX283" s="28"/>
      <c r="DY283" s="11"/>
      <c r="DZ283" s="26"/>
      <c r="EA283" s="11"/>
      <c r="EB283" s="29"/>
      <c r="EC283" s="28"/>
      <c r="ED283" s="30"/>
      <c r="EE283" s="30" t="str">
        <f ca="1">IFERROR(__xludf.DUMMYFUNCTION("iferror(index(filter('Internal -- Trademark Countries'!E$2:E1000, (AM283 = 'Internal -- Trademark Countries'!B$2:B1000) + (AM283 = 'Internal -- Trademark Countries'!C$2:C1000) + (AM283 = 'Internal -- Trademark Countries'!D$2:D1000)), 1))"),"")</f>
        <v/>
      </c>
      <c r="EF283" s="30" t="e">
        <f ca="1">_xludf.ifs(AM283="", "", COUNTIF('Internal -- Trademark Countries'!B:B,AM283) &gt; 0, "polity_shortest_name", COUNTIF('Internal -- Trademark Countries'!C:C,AM283) &gt; 0, "polity_full_name", COUNTIF('Internal -- Trademark Countries'!D:D,AM283) &gt; 0, "polity_common_name", COUNTIF('Internal -- Trademark Countries'!E:E,AM283) &gt; 0, "shortest_name", COUNTIF('Internal -- Trademark Countries'!A:A,AM283) &gt; 0, "full_name", TRUE, "not a match")</f>
        <v>#NAME?</v>
      </c>
      <c r="EG283" s="30"/>
      <c r="EH283" s="30"/>
      <c r="EI283" s="30"/>
      <c r="EJ283" s="30"/>
      <c r="EK283" s="30" t="str">
        <f t="shared" si="3"/>
        <v/>
      </c>
    </row>
    <row r="284" spans="1:141" ht="16.5">
      <c r="A284" s="11"/>
      <c r="B284" s="11"/>
      <c r="C284" s="11"/>
      <c r="D284" s="11"/>
      <c r="E284" s="11"/>
      <c r="F284" s="11"/>
      <c r="G284" s="11"/>
      <c r="H284" s="11"/>
      <c r="I284" s="11"/>
      <c r="J284" s="11"/>
      <c r="K284" s="27"/>
      <c r="L284" s="11"/>
      <c r="M284" s="11"/>
      <c r="N284" s="11"/>
      <c r="O284" s="11"/>
      <c r="P284" s="15"/>
      <c r="Q284" s="15"/>
      <c r="R284" s="15"/>
      <c r="S284" s="15"/>
      <c r="T284" s="15"/>
      <c r="U284" s="15"/>
      <c r="V284" s="15"/>
      <c r="W284" s="47"/>
      <c r="X284" s="11"/>
      <c r="Y284" s="48"/>
      <c r="Z284" s="11"/>
      <c r="AA284" s="48"/>
      <c r="AB284" s="11"/>
      <c r="AC284" s="48"/>
      <c r="AD284" s="11"/>
      <c r="AE284" s="47"/>
      <c r="AF284" s="11"/>
      <c r="AG284" s="48"/>
      <c r="AH284" s="11"/>
      <c r="AI284" s="48"/>
      <c r="AJ284" s="11"/>
      <c r="AK284" s="48"/>
      <c r="AL284" s="11"/>
      <c r="AM284" s="49"/>
      <c r="AN284" s="49"/>
      <c r="AO284" s="11"/>
      <c r="AP284" s="11"/>
      <c r="AQ284" s="28" t="b">
        <f>IF(COUNTIF(SmartStatus!A$2:A1000, AM284) &gt; 2, TRUE, FALSE)</f>
        <v>0</v>
      </c>
      <c r="AR284" s="29" t="str">
        <f ca="1">IFERROR(__xludf.DUMMYFUNCTION("iferror(if(regexmatch(AO284, ""(?i)^registered""), if(EE284 &lt;&gt; ""polity_shortest_name"", ""CHECK_POLITY"", index(filter(SmartStatus!B$2:B1000, AM284 = SmartStatus!A$2:A1000, not(SmartStatus!C$2:C1000), (isblank(SmartStatus!D$2:D1000)) + ((P284 &lt;&gt; """") * "&amp;"(P284 &lt; SmartStatus!D$2:D1000)), (isblank(SmartStatus!E$2:E1000)) + ((P284 &lt;&gt; """") * (P284 &gt;= SmartStatus!E$2:E1000)), (isblank(SmartStatus!F$2:F1000)) + (((Q284 &lt;&gt; """") * (Q284 &lt; SmartStatus!F$2:F1000)) + ((P284 &lt;&gt; """") * (date(year(P284) + 3, month(P"&amp;"284), day(P284)) &lt; SmartStatus!F$2:F1000))), (isblank(SmartStatus!G$2:G1000)) + (((Q284 &lt;&gt; """") * (Q284 &gt;= SmartStatus!G$2:G1000)) + ((P284 &lt;&gt; """") * (P284 &gt;= SmartStatus!G$2:G1000)))), if(or(regexmatch(B284, ""(?i)^ir [a-z]+ designation$""), N284 &lt;&gt; """&amp;"""), 1, 2))), """"), ""NO_MATCH"")"),"")</f>
        <v/>
      </c>
      <c r="AS284" s="11"/>
      <c r="AT284" s="15"/>
      <c r="AU284" s="11"/>
      <c r="AV284" s="11"/>
      <c r="AW284" s="15"/>
      <c r="AX284" s="15"/>
      <c r="AY284" s="15"/>
      <c r="AZ284" s="11"/>
      <c r="BA284" s="15"/>
      <c r="BB284" s="11"/>
      <c r="BC284" s="11"/>
      <c r="BD284" s="15"/>
      <c r="BE284" s="11"/>
      <c r="BF284" s="11"/>
      <c r="BG284" s="15"/>
      <c r="BH284" s="15"/>
      <c r="BI284" s="15"/>
      <c r="BJ284" s="11"/>
      <c r="BK284" s="15"/>
      <c r="BL284" s="11"/>
      <c r="BM284" s="11"/>
      <c r="BN284" s="15"/>
      <c r="BO284" s="11"/>
      <c r="BP284" s="11"/>
      <c r="BQ284" s="15"/>
      <c r="BR284" s="15"/>
      <c r="BS284" s="15"/>
      <c r="BT284" s="11"/>
      <c r="BU284" s="15"/>
      <c r="BV284" s="11"/>
      <c r="BW284" s="11"/>
      <c r="BX284" s="15"/>
      <c r="BY284" s="11"/>
      <c r="BZ284" s="11"/>
      <c r="CA284" s="15"/>
      <c r="CB284" s="11"/>
      <c r="CC284" s="15"/>
      <c r="CD284" s="11"/>
      <c r="CE284" s="15"/>
      <c r="CF284" s="11"/>
      <c r="CG284" s="11"/>
      <c r="CH284" s="15"/>
      <c r="CI284" s="11"/>
      <c r="CJ284" s="11"/>
      <c r="CK284" s="15"/>
      <c r="CL284" s="11"/>
      <c r="CM284" s="11"/>
      <c r="CN284" s="11"/>
      <c r="CO284" s="11"/>
      <c r="CP284" s="28"/>
      <c r="CQ284" s="28"/>
      <c r="CR284" s="11"/>
      <c r="CS284" s="29"/>
      <c r="CT284" s="11"/>
      <c r="CU284" s="11"/>
      <c r="CV284" s="11"/>
      <c r="CW284" s="11"/>
      <c r="CX284" s="11"/>
      <c r="CY284" s="11"/>
      <c r="CZ284" s="11"/>
      <c r="DA284" s="28"/>
      <c r="DB284" s="28"/>
      <c r="DC284" s="11"/>
      <c r="DD284" s="29"/>
      <c r="DE284" s="11"/>
      <c r="DF284" s="11"/>
      <c r="DG284" s="11"/>
      <c r="DH284" s="11"/>
      <c r="DI284" s="11"/>
      <c r="DJ284" s="11"/>
      <c r="DK284" s="26"/>
      <c r="DL284" s="11"/>
      <c r="DM284" s="29"/>
      <c r="DN284" s="28"/>
      <c r="DO284" s="11"/>
      <c r="DP284" s="11"/>
      <c r="DQ284" s="11"/>
      <c r="DR284" s="29"/>
      <c r="DS284" s="28"/>
      <c r="DT284" s="11"/>
      <c r="DU284" s="26"/>
      <c r="DV284" s="11"/>
      <c r="DW284" s="29"/>
      <c r="DX284" s="28"/>
      <c r="DY284" s="11"/>
      <c r="DZ284" s="26"/>
      <c r="EA284" s="11"/>
      <c r="EB284" s="29"/>
      <c r="EC284" s="28"/>
      <c r="ED284" s="30"/>
      <c r="EE284" s="30" t="str">
        <f ca="1">IFERROR(__xludf.DUMMYFUNCTION("iferror(index(filter('Internal -- Trademark Countries'!E$2:E1000, (AM284 = 'Internal -- Trademark Countries'!B$2:B1000) + (AM284 = 'Internal -- Trademark Countries'!C$2:C1000) + (AM284 = 'Internal -- Trademark Countries'!D$2:D1000)), 1))"),"")</f>
        <v/>
      </c>
      <c r="EF284" s="30" t="e">
        <f ca="1">_xludf.ifs(AM284="", "", COUNTIF('Internal -- Trademark Countries'!B:B,AM284) &gt; 0, "polity_shortest_name", COUNTIF('Internal -- Trademark Countries'!C:C,AM284) &gt; 0, "polity_full_name", COUNTIF('Internal -- Trademark Countries'!D:D,AM284) &gt; 0, "polity_common_name", COUNTIF('Internal -- Trademark Countries'!E:E,AM284) &gt; 0, "shortest_name", COUNTIF('Internal -- Trademark Countries'!A:A,AM284) &gt; 0, "full_name", TRUE, "not a match")</f>
        <v>#NAME?</v>
      </c>
      <c r="EG284" s="30"/>
      <c r="EH284" s="30"/>
      <c r="EI284" s="30"/>
      <c r="EJ284" s="30"/>
      <c r="EK284" s="30" t="str">
        <f t="shared" si="3"/>
        <v/>
      </c>
    </row>
    <row r="285" spans="1:141" ht="16.5">
      <c r="A285" s="11"/>
      <c r="B285" s="11"/>
      <c r="C285" s="11"/>
      <c r="D285" s="11"/>
      <c r="E285" s="11"/>
      <c r="F285" s="11"/>
      <c r="G285" s="11"/>
      <c r="H285" s="11"/>
      <c r="I285" s="11"/>
      <c r="J285" s="11"/>
      <c r="K285" s="27"/>
      <c r="L285" s="11"/>
      <c r="M285" s="11"/>
      <c r="N285" s="11"/>
      <c r="O285" s="11"/>
      <c r="P285" s="15"/>
      <c r="Q285" s="15"/>
      <c r="R285" s="15"/>
      <c r="S285" s="15"/>
      <c r="T285" s="15"/>
      <c r="U285" s="15"/>
      <c r="V285" s="15"/>
      <c r="W285" s="47"/>
      <c r="X285" s="11"/>
      <c r="Y285" s="48"/>
      <c r="Z285" s="11"/>
      <c r="AA285" s="48"/>
      <c r="AB285" s="11"/>
      <c r="AC285" s="48"/>
      <c r="AD285" s="11"/>
      <c r="AE285" s="47"/>
      <c r="AF285" s="11"/>
      <c r="AG285" s="48"/>
      <c r="AH285" s="11"/>
      <c r="AI285" s="48"/>
      <c r="AJ285" s="11"/>
      <c r="AK285" s="48"/>
      <c r="AL285" s="11"/>
      <c r="AM285" s="49"/>
      <c r="AN285" s="49"/>
      <c r="AO285" s="11"/>
      <c r="AP285" s="11"/>
      <c r="AQ285" s="28" t="b">
        <f>IF(COUNTIF(SmartStatus!A$2:A1000, AM285) &gt; 2, TRUE, FALSE)</f>
        <v>0</v>
      </c>
      <c r="AR285" s="29" t="str">
        <f ca="1">IFERROR(__xludf.DUMMYFUNCTION("iferror(if(regexmatch(AO285, ""(?i)^registered""), if(EE285 &lt;&gt; ""polity_shortest_name"", ""CHECK_POLITY"", index(filter(SmartStatus!B$2:B1000, AM285 = SmartStatus!A$2:A1000, not(SmartStatus!C$2:C1000), (isblank(SmartStatus!D$2:D1000)) + ((P285 &lt;&gt; """") * "&amp;"(P285 &lt; SmartStatus!D$2:D1000)), (isblank(SmartStatus!E$2:E1000)) + ((P285 &lt;&gt; """") * (P285 &gt;= SmartStatus!E$2:E1000)), (isblank(SmartStatus!F$2:F1000)) + (((Q285 &lt;&gt; """") * (Q285 &lt; SmartStatus!F$2:F1000)) + ((P285 &lt;&gt; """") * (date(year(P285) + 3, month(P"&amp;"285), day(P285)) &lt; SmartStatus!F$2:F1000))), (isblank(SmartStatus!G$2:G1000)) + (((Q285 &lt;&gt; """") * (Q285 &gt;= SmartStatus!G$2:G1000)) + ((P285 &lt;&gt; """") * (P285 &gt;= SmartStatus!G$2:G1000)))), if(or(regexmatch(B285, ""(?i)^ir [a-z]+ designation$""), N285 &lt;&gt; """&amp;"""), 1, 2))), """"), ""NO_MATCH"")"),"")</f>
        <v/>
      </c>
      <c r="AS285" s="11"/>
      <c r="AT285" s="15"/>
      <c r="AU285" s="11"/>
      <c r="AV285" s="11"/>
      <c r="AW285" s="15"/>
      <c r="AX285" s="15"/>
      <c r="AY285" s="15"/>
      <c r="AZ285" s="11"/>
      <c r="BA285" s="15"/>
      <c r="BB285" s="11"/>
      <c r="BC285" s="11"/>
      <c r="BD285" s="15"/>
      <c r="BE285" s="11"/>
      <c r="BF285" s="11"/>
      <c r="BG285" s="15"/>
      <c r="BH285" s="15"/>
      <c r="BI285" s="15"/>
      <c r="BJ285" s="11"/>
      <c r="BK285" s="15"/>
      <c r="BL285" s="11"/>
      <c r="BM285" s="11"/>
      <c r="BN285" s="15"/>
      <c r="BO285" s="11"/>
      <c r="BP285" s="11"/>
      <c r="BQ285" s="15"/>
      <c r="BR285" s="15"/>
      <c r="BS285" s="15"/>
      <c r="BT285" s="11"/>
      <c r="BU285" s="15"/>
      <c r="BV285" s="11"/>
      <c r="BW285" s="11"/>
      <c r="BX285" s="15"/>
      <c r="BY285" s="11"/>
      <c r="BZ285" s="11"/>
      <c r="CA285" s="15"/>
      <c r="CB285" s="11"/>
      <c r="CC285" s="15"/>
      <c r="CD285" s="11"/>
      <c r="CE285" s="15"/>
      <c r="CF285" s="11"/>
      <c r="CG285" s="11"/>
      <c r="CH285" s="15"/>
      <c r="CI285" s="11"/>
      <c r="CJ285" s="11"/>
      <c r="CK285" s="15"/>
      <c r="CL285" s="11"/>
      <c r="CM285" s="11"/>
      <c r="CN285" s="11"/>
      <c r="CO285" s="11"/>
      <c r="CP285" s="28"/>
      <c r="CQ285" s="28"/>
      <c r="CR285" s="11"/>
      <c r="CS285" s="29"/>
      <c r="CT285" s="11"/>
      <c r="CU285" s="11"/>
      <c r="CV285" s="11"/>
      <c r="CW285" s="11"/>
      <c r="CX285" s="11"/>
      <c r="CY285" s="11"/>
      <c r="CZ285" s="11"/>
      <c r="DA285" s="28"/>
      <c r="DB285" s="28"/>
      <c r="DC285" s="11"/>
      <c r="DD285" s="29"/>
      <c r="DE285" s="11"/>
      <c r="DF285" s="11"/>
      <c r="DG285" s="11"/>
      <c r="DH285" s="11"/>
      <c r="DI285" s="11"/>
      <c r="DJ285" s="11"/>
      <c r="DK285" s="26"/>
      <c r="DL285" s="11"/>
      <c r="DM285" s="29"/>
      <c r="DN285" s="28"/>
      <c r="DO285" s="11"/>
      <c r="DP285" s="11"/>
      <c r="DQ285" s="11"/>
      <c r="DR285" s="29"/>
      <c r="DS285" s="28"/>
      <c r="DT285" s="11"/>
      <c r="DU285" s="26"/>
      <c r="DV285" s="11"/>
      <c r="DW285" s="29"/>
      <c r="DX285" s="28"/>
      <c r="DY285" s="11"/>
      <c r="DZ285" s="26"/>
      <c r="EA285" s="11"/>
      <c r="EB285" s="29"/>
      <c r="EC285" s="28"/>
      <c r="ED285" s="30"/>
      <c r="EE285" s="30" t="str">
        <f ca="1">IFERROR(__xludf.DUMMYFUNCTION("iferror(index(filter('Internal -- Trademark Countries'!E$2:E1000, (AM285 = 'Internal -- Trademark Countries'!B$2:B1000) + (AM285 = 'Internal -- Trademark Countries'!C$2:C1000) + (AM285 = 'Internal -- Trademark Countries'!D$2:D1000)), 1))"),"")</f>
        <v/>
      </c>
      <c r="EF285" s="30" t="e">
        <f ca="1">_xludf.ifs(AM285="", "", COUNTIF('Internal -- Trademark Countries'!B:B,AM285) &gt; 0, "polity_shortest_name", COUNTIF('Internal -- Trademark Countries'!C:C,AM285) &gt; 0, "polity_full_name", COUNTIF('Internal -- Trademark Countries'!D:D,AM285) &gt; 0, "polity_common_name", COUNTIF('Internal -- Trademark Countries'!E:E,AM285) &gt; 0, "shortest_name", COUNTIF('Internal -- Trademark Countries'!A:A,AM285) &gt; 0, "full_name", TRUE, "not a match")</f>
        <v>#NAME?</v>
      </c>
      <c r="EG285" s="30"/>
      <c r="EH285" s="30"/>
      <c r="EI285" s="30"/>
      <c r="EJ285" s="30"/>
      <c r="EK285" s="30" t="str">
        <f t="shared" si="3"/>
        <v/>
      </c>
    </row>
    <row r="286" spans="1:141" ht="16.5">
      <c r="A286" s="11"/>
      <c r="B286" s="11"/>
      <c r="C286" s="11"/>
      <c r="D286" s="11"/>
      <c r="E286" s="11"/>
      <c r="F286" s="11"/>
      <c r="G286" s="11"/>
      <c r="H286" s="11"/>
      <c r="I286" s="11"/>
      <c r="J286" s="11"/>
      <c r="K286" s="27"/>
      <c r="L286" s="11"/>
      <c r="M286" s="11"/>
      <c r="N286" s="11"/>
      <c r="O286" s="11"/>
      <c r="P286" s="15"/>
      <c r="Q286" s="15"/>
      <c r="R286" s="15"/>
      <c r="S286" s="15"/>
      <c r="T286" s="15"/>
      <c r="U286" s="15"/>
      <c r="V286" s="15"/>
      <c r="W286" s="47"/>
      <c r="X286" s="11"/>
      <c r="Y286" s="48"/>
      <c r="Z286" s="11"/>
      <c r="AA286" s="48"/>
      <c r="AB286" s="11"/>
      <c r="AC286" s="48"/>
      <c r="AD286" s="11"/>
      <c r="AE286" s="47"/>
      <c r="AF286" s="11"/>
      <c r="AG286" s="48"/>
      <c r="AH286" s="11"/>
      <c r="AI286" s="48"/>
      <c r="AJ286" s="11"/>
      <c r="AK286" s="48"/>
      <c r="AL286" s="11"/>
      <c r="AM286" s="49"/>
      <c r="AN286" s="49"/>
      <c r="AO286" s="11"/>
      <c r="AP286" s="11"/>
      <c r="AQ286" s="28" t="b">
        <f>IF(COUNTIF(SmartStatus!A$2:A1000, AM286) &gt; 2, TRUE, FALSE)</f>
        <v>0</v>
      </c>
      <c r="AR286" s="29" t="str">
        <f ca="1">IFERROR(__xludf.DUMMYFUNCTION("iferror(if(regexmatch(AO286, ""(?i)^registered""), if(EE286 &lt;&gt; ""polity_shortest_name"", ""CHECK_POLITY"", index(filter(SmartStatus!B$2:B1000, AM286 = SmartStatus!A$2:A1000, not(SmartStatus!C$2:C1000), (isblank(SmartStatus!D$2:D1000)) + ((P286 &lt;&gt; """") * "&amp;"(P286 &lt; SmartStatus!D$2:D1000)), (isblank(SmartStatus!E$2:E1000)) + ((P286 &lt;&gt; """") * (P286 &gt;= SmartStatus!E$2:E1000)), (isblank(SmartStatus!F$2:F1000)) + (((Q286 &lt;&gt; """") * (Q286 &lt; SmartStatus!F$2:F1000)) + ((P286 &lt;&gt; """") * (date(year(P286) + 3, month(P"&amp;"286), day(P286)) &lt; SmartStatus!F$2:F1000))), (isblank(SmartStatus!G$2:G1000)) + (((Q286 &lt;&gt; """") * (Q286 &gt;= SmartStatus!G$2:G1000)) + ((P286 &lt;&gt; """") * (P286 &gt;= SmartStatus!G$2:G1000)))), if(or(regexmatch(B286, ""(?i)^ir [a-z]+ designation$""), N286 &lt;&gt; """&amp;"""), 1, 2))), """"), ""NO_MATCH"")"),"")</f>
        <v/>
      </c>
      <c r="AS286" s="11"/>
      <c r="AT286" s="15"/>
      <c r="AU286" s="11"/>
      <c r="AV286" s="11"/>
      <c r="AW286" s="15"/>
      <c r="AX286" s="15"/>
      <c r="AY286" s="15"/>
      <c r="AZ286" s="11"/>
      <c r="BA286" s="15"/>
      <c r="BB286" s="11"/>
      <c r="BC286" s="11"/>
      <c r="BD286" s="15"/>
      <c r="BE286" s="11"/>
      <c r="BF286" s="11"/>
      <c r="BG286" s="15"/>
      <c r="BH286" s="15"/>
      <c r="BI286" s="15"/>
      <c r="BJ286" s="11"/>
      <c r="BK286" s="15"/>
      <c r="BL286" s="11"/>
      <c r="BM286" s="11"/>
      <c r="BN286" s="15"/>
      <c r="BO286" s="11"/>
      <c r="BP286" s="11"/>
      <c r="BQ286" s="15"/>
      <c r="BR286" s="15"/>
      <c r="BS286" s="15"/>
      <c r="BT286" s="11"/>
      <c r="BU286" s="15"/>
      <c r="BV286" s="11"/>
      <c r="BW286" s="11"/>
      <c r="BX286" s="15"/>
      <c r="BY286" s="11"/>
      <c r="BZ286" s="11"/>
      <c r="CA286" s="15"/>
      <c r="CB286" s="11"/>
      <c r="CC286" s="15"/>
      <c r="CD286" s="11"/>
      <c r="CE286" s="15"/>
      <c r="CF286" s="11"/>
      <c r="CG286" s="11"/>
      <c r="CH286" s="15"/>
      <c r="CI286" s="11"/>
      <c r="CJ286" s="11"/>
      <c r="CK286" s="15"/>
      <c r="CL286" s="11"/>
      <c r="CM286" s="11"/>
      <c r="CN286" s="11"/>
      <c r="CO286" s="11"/>
      <c r="CP286" s="28"/>
      <c r="CQ286" s="28"/>
      <c r="CR286" s="11"/>
      <c r="CS286" s="29"/>
      <c r="CT286" s="11"/>
      <c r="CU286" s="11"/>
      <c r="CV286" s="11"/>
      <c r="CW286" s="11"/>
      <c r="CX286" s="11"/>
      <c r="CY286" s="11"/>
      <c r="CZ286" s="11"/>
      <c r="DA286" s="28"/>
      <c r="DB286" s="28"/>
      <c r="DC286" s="11"/>
      <c r="DD286" s="29"/>
      <c r="DE286" s="11"/>
      <c r="DF286" s="11"/>
      <c r="DG286" s="11"/>
      <c r="DH286" s="11"/>
      <c r="DI286" s="11"/>
      <c r="DJ286" s="11"/>
      <c r="DK286" s="26"/>
      <c r="DL286" s="11"/>
      <c r="DM286" s="29"/>
      <c r="DN286" s="28"/>
      <c r="DO286" s="11"/>
      <c r="DP286" s="11"/>
      <c r="DQ286" s="11"/>
      <c r="DR286" s="29"/>
      <c r="DS286" s="28"/>
      <c r="DT286" s="11"/>
      <c r="DU286" s="26"/>
      <c r="DV286" s="11"/>
      <c r="DW286" s="29"/>
      <c r="DX286" s="28"/>
      <c r="DY286" s="11"/>
      <c r="DZ286" s="26"/>
      <c r="EA286" s="11"/>
      <c r="EB286" s="29"/>
      <c r="EC286" s="28"/>
      <c r="ED286" s="30"/>
      <c r="EE286" s="30" t="str">
        <f ca="1">IFERROR(__xludf.DUMMYFUNCTION("iferror(index(filter('Internal -- Trademark Countries'!E$2:E1000, (AM286 = 'Internal -- Trademark Countries'!B$2:B1000) + (AM286 = 'Internal -- Trademark Countries'!C$2:C1000) + (AM286 = 'Internal -- Trademark Countries'!D$2:D1000)), 1))"),"")</f>
        <v/>
      </c>
      <c r="EF286" s="30" t="e">
        <f ca="1">_xludf.ifs(AM286="", "", COUNTIF('Internal -- Trademark Countries'!B:B,AM286) &gt; 0, "polity_shortest_name", COUNTIF('Internal -- Trademark Countries'!C:C,AM286) &gt; 0, "polity_full_name", COUNTIF('Internal -- Trademark Countries'!D:D,AM286) &gt; 0, "polity_common_name", COUNTIF('Internal -- Trademark Countries'!E:E,AM286) &gt; 0, "shortest_name", COUNTIF('Internal -- Trademark Countries'!A:A,AM286) &gt; 0, "full_name", TRUE, "not a match")</f>
        <v>#NAME?</v>
      </c>
      <c r="EG286" s="30"/>
      <c r="EH286" s="30"/>
      <c r="EI286" s="30"/>
      <c r="EJ286" s="30"/>
      <c r="EK286" s="30" t="str">
        <f t="shared" si="3"/>
        <v/>
      </c>
    </row>
    <row r="287" spans="1:141" ht="16.5">
      <c r="A287" s="11"/>
      <c r="B287" s="11"/>
      <c r="C287" s="11"/>
      <c r="D287" s="11"/>
      <c r="E287" s="11"/>
      <c r="F287" s="11"/>
      <c r="G287" s="11"/>
      <c r="H287" s="11"/>
      <c r="I287" s="11"/>
      <c r="J287" s="11"/>
      <c r="K287" s="27"/>
      <c r="L287" s="11"/>
      <c r="M287" s="11"/>
      <c r="N287" s="11"/>
      <c r="O287" s="11"/>
      <c r="P287" s="15"/>
      <c r="Q287" s="15"/>
      <c r="R287" s="15"/>
      <c r="S287" s="15"/>
      <c r="T287" s="15"/>
      <c r="U287" s="15"/>
      <c r="V287" s="15"/>
      <c r="W287" s="47"/>
      <c r="X287" s="11"/>
      <c r="Y287" s="48"/>
      <c r="Z287" s="11"/>
      <c r="AA287" s="48"/>
      <c r="AB287" s="11"/>
      <c r="AC287" s="48"/>
      <c r="AD287" s="11"/>
      <c r="AE287" s="47"/>
      <c r="AF287" s="11"/>
      <c r="AG287" s="48"/>
      <c r="AH287" s="11"/>
      <c r="AI287" s="48"/>
      <c r="AJ287" s="11"/>
      <c r="AK287" s="48"/>
      <c r="AL287" s="11"/>
      <c r="AM287" s="49"/>
      <c r="AN287" s="49"/>
      <c r="AO287" s="11"/>
      <c r="AP287" s="11"/>
      <c r="AQ287" s="28" t="b">
        <f>IF(COUNTIF(SmartStatus!A$2:A1000, AM287) &gt; 2, TRUE, FALSE)</f>
        <v>0</v>
      </c>
      <c r="AR287" s="29" t="str">
        <f ca="1">IFERROR(__xludf.DUMMYFUNCTION("iferror(if(regexmatch(AO287, ""(?i)^registered""), if(EE287 &lt;&gt; ""polity_shortest_name"", ""CHECK_POLITY"", index(filter(SmartStatus!B$2:B1000, AM287 = SmartStatus!A$2:A1000, not(SmartStatus!C$2:C1000), (isblank(SmartStatus!D$2:D1000)) + ((P287 &lt;&gt; """") * "&amp;"(P287 &lt; SmartStatus!D$2:D1000)), (isblank(SmartStatus!E$2:E1000)) + ((P287 &lt;&gt; """") * (P287 &gt;= SmartStatus!E$2:E1000)), (isblank(SmartStatus!F$2:F1000)) + (((Q287 &lt;&gt; """") * (Q287 &lt; SmartStatus!F$2:F1000)) + ((P287 &lt;&gt; """") * (date(year(P287) + 3, month(P"&amp;"287), day(P287)) &lt; SmartStatus!F$2:F1000))), (isblank(SmartStatus!G$2:G1000)) + (((Q287 &lt;&gt; """") * (Q287 &gt;= SmartStatus!G$2:G1000)) + ((P287 &lt;&gt; """") * (P287 &gt;= SmartStatus!G$2:G1000)))), if(or(regexmatch(B287, ""(?i)^ir [a-z]+ designation$""), N287 &lt;&gt; """&amp;"""), 1, 2))), """"), ""NO_MATCH"")"),"")</f>
        <v/>
      </c>
      <c r="AS287" s="11"/>
      <c r="AT287" s="15"/>
      <c r="AU287" s="11"/>
      <c r="AV287" s="11"/>
      <c r="AW287" s="15"/>
      <c r="AX287" s="15"/>
      <c r="AY287" s="15"/>
      <c r="AZ287" s="11"/>
      <c r="BA287" s="15"/>
      <c r="BB287" s="11"/>
      <c r="BC287" s="11"/>
      <c r="BD287" s="15"/>
      <c r="BE287" s="11"/>
      <c r="BF287" s="11"/>
      <c r="BG287" s="15"/>
      <c r="BH287" s="15"/>
      <c r="BI287" s="15"/>
      <c r="BJ287" s="11"/>
      <c r="BK287" s="15"/>
      <c r="BL287" s="11"/>
      <c r="BM287" s="11"/>
      <c r="BN287" s="15"/>
      <c r="BO287" s="11"/>
      <c r="BP287" s="11"/>
      <c r="BQ287" s="15"/>
      <c r="BR287" s="15"/>
      <c r="BS287" s="15"/>
      <c r="BT287" s="11"/>
      <c r="BU287" s="15"/>
      <c r="BV287" s="11"/>
      <c r="BW287" s="11"/>
      <c r="BX287" s="15"/>
      <c r="BY287" s="11"/>
      <c r="BZ287" s="11"/>
      <c r="CA287" s="15"/>
      <c r="CB287" s="11"/>
      <c r="CC287" s="15"/>
      <c r="CD287" s="11"/>
      <c r="CE287" s="15"/>
      <c r="CF287" s="11"/>
      <c r="CG287" s="11"/>
      <c r="CH287" s="15"/>
      <c r="CI287" s="11"/>
      <c r="CJ287" s="11"/>
      <c r="CK287" s="15"/>
      <c r="CL287" s="11"/>
      <c r="CM287" s="11"/>
      <c r="CN287" s="11"/>
      <c r="CO287" s="11"/>
      <c r="CP287" s="28"/>
      <c r="CQ287" s="28"/>
      <c r="CR287" s="11"/>
      <c r="CS287" s="29"/>
      <c r="CT287" s="11"/>
      <c r="CU287" s="11"/>
      <c r="CV287" s="11"/>
      <c r="CW287" s="11"/>
      <c r="CX287" s="11"/>
      <c r="CY287" s="11"/>
      <c r="CZ287" s="11"/>
      <c r="DA287" s="28"/>
      <c r="DB287" s="28"/>
      <c r="DC287" s="11"/>
      <c r="DD287" s="29"/>
      <c r="DE287" s="11"/>
      <c r="DF287" s="11"/>
      <c r="DG287" s="11"/>
      <c r="DH287" s="11"/>
      <c r="DI287" s="11"/>
      <c r="DJ287" s="11"/>
      <c r="DK287" s="26"/>
      <c r="DL287" s="11"/>
      <c r="DM287" s="29"/>
      <c r="DN287" s="28"/>
      <c r="DO287" s="11"/>
      <c r="DP287" s="11"/>
      <c r="DQ287" s="11"/>
      <c r="DR287" s="29"/>
      <c r="DS287" s="28"/>
      <c r="DT287" s="11"/>
      <c r="DU287" s="26"/>
      <c r="DV287" s="11"/>
      <c r="DW287" s="29"/>
      <c r="DX287" s="28"/>
      <c r="DY287" s="11"/>
      <c r="DZ287" s="26"/>
      <c r="EA287" s="11"/>
      <c r="EB287" s="29"/>
      <c r="EC287" s="28"/>
      <c r="ED287" s="30"/>
      <c r="EE287" s="30" t="str">
        <f ca="1">IFERROR(__xludf.DUMMYFUNCTION("iferror(index(filter('Internal -- Trademark Countries'!E$2:E1000, (AM287 = 'Internal -- Trademark Countries'!B$2:B1000) + (AM287 = 'Internal -- Trademark Countries'!C$2:C1000) + (AM287 = 'Internal -- Trademark Countries'!D$2:D1000)), 1))"),"")</f>
        <v/>
      </c>
      <c r="EF287" s="30" t="e">
        <f ca="1">_xludf.ifs(AM287="", "", COUNTIF('Internal -- Trademark Countries'!B:B,AM287) &gt; 0, "polity_shortest_name", COUNTIF('Internal -- Trademark Countries'!C:C,AM287) &gt; 0, "polity_full_name", COUNTIF('Internal -- Trademark Countries'!D:D,AM287) &gt; 0, "polity_common_name", COUNTIF('Internal -- Trademark Countries'!E:E,AM287) &gt; 0, "shortest_name", COUNTIF('Internal -- Trademark Countries'!A:A,AM287) &gt; 0, "full_name", TRUE, "not a match")</f>
        <v>#NAME?</v>
      </c>
      <c r="EG287" s="30"/>
      <c r="EH287" s="30"/>
      <c r="EI287" s="30"/>
      <c r="EJ287" s="30"/>
      <c r="EK287" s="30" t="str">
        <f t="shared" si="3"/>
        <v/>
      </c>
    </row>
    <row r="288" spans="1:141" ht="16.5">
      <c r="A288" s="11"/>
      <c r="B288" s="11"/>
      <c r="C288" s="11"/>
      <c r="D288" s="11"/>
      <c r="E288" s="11"/>
      <c r="F288" s="11"/>
      <c r="G288" s="11"/>
      <c r="H288" s="11"/>
      <c r="I288" s="11"/>
      <c r="J288" s="11"/>
      <c r="K288" s="27"/>
      <c r="L288" s="11"/>
      <c r="M288" s="11"/>
      <c r="N288" s="11"/>
      <c r="O288" s="11"/>
      <c r="P288" s="15"/>
      <c r="Q288" s="15"/>
      <c r="R288" s="15"/>
      <c r="S288" s="15"/>
      <c r="T288" s="15"/>
      <c r="U288" s="15"/>
      <c r="V288" s="15"/>
      <c r="W288" s="47"/>
      <c r="X288" s="11"/>
      <c r="Y288" s="48"/>
      <c r="Z288" s="11"/>
      <c r="AA288" s="48"/>
      <c r="AB288" s="11"/>
      <c r="AC288" s="48"/>
      <c r="AD288" s="11"/>
      <c r="AE288" s="47"/>
      <c r="AF288" s="11"/>
      <c r="AG288" s="48"/>
      <c r="AH288" s="11"/>
      <c r="AI288" s="48"/>
      <c r="AJ288" s="11"/>
      <c r="AK288" s="48"/>
      <c r="AL288" s="11"/>
      <c r="AM288" s="49"/>
      <c r="AN288" s="49"/>
      <c r="AO288" s="11"/>
      <c r="AP288" s="11"/>
      <c r="AQ288" s="28" t="b">
        <f>IF(COUNTIF(SmartStatus!A$2:A1000, AM288) &gt; 2, TRUE, FALSE)</f>
        <v>0</v>
      </c>
      <c r="AR288" s="29" t="str">
        <f ca="1">IFERROR(__xludf.DUMMYFUNCTION("iferror(if(regexmatch(AO288, ""(?i)^registered""), if(EE288 &lt;&gt; ""polity_shortest_name"", ""CHECK_POLITY"", index(filter(SmartStatus!B$2:B1000, AM288 = SmartStatus!A$2:A1000, not(SmartStatus!C$2:C1000), (isblank(SmartStatus!D$2:D1000)) + ((P288 &lt;&gt; """") * "&amp;"(P288 &lt; SmartStatus!D$2:D1000)), (isblank(SmartStatus!E$2:E1000)) + ((P288 &lt;&gt; """") * (P288 &gt;= SmartStatus!E$2:E1000)), (isblank(SmartStatus!F$2:F1000)) + (((Q288 &lt;&gt; """") * (Q288 &lt; SmartStatus!F$2:F1000)) + ((P288 &lt;&gt; """") * (date(year(P288) + 3, month(P"&amp;"288), day(P288)) &lt; SmartStatus!F$2:F1000))), (isblank(SmartStatus!G$2:G1000)) + (((Q288 &lt;&gt; """") * (Q288 &gt;= SmartStatus!G$2:G1000)) + ((P288 &lt;&gt; """") * (P288 &gt;= SmartStatus!G$2:G1000)))), if(or(regexmatch(B288, ""(?i)^ir [a-z]+ designation$""), N288 &lt;&gt; """&amp;"""), 1, 2))), """"), ""NO_MATCH"")"),"")</f>
        <v/>
      </c>
      <c r="AS288" s="11"/>
      <c r="AT288" s="15"/>
      <c r="AU288" s="11"/>
      <c r="AV288" s="11"/>
      <c r="AW288" s="15"/>
      <c r="AX288" s="15"/>
      <c r="AY288" s="15"/>
      <c r="AZ288" s="11"/>
      <c r="BA288" s="15"/>
      <c r="BB288" s="11"/>
      <c r="BC288" s="11"/>
      <c r="BD288" s="15"/>
      <c r="BE288" s="11"/>
      <c r="BF288" s="11"/>
      <c r="BG288" s="15"/>
      <c r="BH288" s="15"/>
      <c r="BI288" s="15"/>
      <c r="BJ288" s="11"/>
      <c r="BK288" s="15"/>
      <c r="BL288" s="11"/>
      <c r="BM288" s="11"/>
      <c r="BN288" s="15"/>
      <c r="BO288" s="11"/>
      <c r="BP288" s="11"/>
      <c r="BQ288" s="15"/>
      <c r="BR288" s="15"/>
      <c r="BS288" s="15"/>
      <c r="BT288" s="11"/>
      <c r="BU288" s="15"/>
      <c r="BV288" s="11"/>
      <c r="BW288" s="11"/>
      <c r="BX288" s="15"/>
      <c r="BY288" s="11"/>
      <c r="BZ288" s="11"/>
      <c r="CA288" s="15"/>
      <c r="CB288" s="11"/>
      <c r="CC288" s="15"/>
      <c r="CD288" s="11"/>
      <c r="CE288" s="15"/>
      <c r="CF288" s="11"/>
      <c r="CG288" s="11"/>
      <c r="CH288" s="15"/>
      <c r="CI288" s="11"/>
      <c r="CJ288" s="11"/>
      <c r="CK288" s="15"/>
      <c r="CL288" s="11"/>
      <c r="CM288" s="11"/>
      <c r="CN288" s="11"/>
      <c r="CO288" s="11"/>
      <c r="CP288" s="28"/>
      <c r="CQ288" s="28"/>
      <c r="CR288" s="11"/>
      <c r="CS288" s="29"/>
      <c r="CT288" s="11"/>
      <c r="CU288" s="11"/>
      <c r="CV288" s="11"/>
      <c r="CW288" s="11"/>
      <c r="CX288" s="11"/>
      <c r="CY288" s="11"/>
      <c r="CZ288" s="11"/>
      <c r="DA288" s="28"/>
      <c r="DB288" s="28"/>
      <c r="DC288" s="11"/>
      <c r="DD288" s="29"/>
      <c r="DE288" s="11"/>
      <c r="DF288" s="11"/>
      <c r="DG288" s="11"/>
      <c r="DH288" s="11"/>
      <c r="DI288" s="11"/>
      <c r="DJ288" s="11"/>
      <c r="DK288" s="26"/>
      <c r="DL288" s="11"/>
      <c r="DM288" s="29"/>
      <c r="DN288" s="28"/>
      <c r="DO288" s="11"/>
      <c r="DP288" s="11"/>
      <c r="DQ288" s="11"/>
      <c r="DR288" s="29"/>
      <c r="DS288" s="28"/>
      <c r="DT288" s="11"/>
      <c r="DU288" s="26"/>
      <c r="DV288" s="11"/>
      <c r="DW288" s="29"/>
      <c r="DX288" s="28"/>
      <c r="DY288" s="11"/>
      <c r="DZ288" s="26"/>
      <c r="EA288" s="11"/>
      <c r="EB288" s="29"/>
      <c r="EC288" s="28"/>
      <c r="ED288" s="30"/>
      <c r="EE288" s="30" t="str">
        <f ca="1">IFERROR(__xludf.DUMMYFUNCTION("iferror(index(filter('Internal -- Trademark Countries'!E$2:E1000, (AM288 = 'Internal -- Trademark Countries'!B$2:B1000) + (AM288 = 'Internal -- Trademark Countries'!C$2:C1000) + (AM288 = 'Internal -- Trademark Countries'!D$2:D1000)), 1))"),"")</f>
        <v/>
      </c>
      <c r="EF288" s="30" t="e">
        <f ca="1">_xludf.ifs(AM288="", "", COUNTIF('Internal -- Trademark Countries'!B:B,AM288) &gt; 0, "polity_shortest_name", COUNTIF('Internal -- Trademark Countries'!C:C,AM288) &gt; 0, "polity_full_name", COUNTIF('Internal -- Trademark Countries'!D:D,AM288) &gt; 0, "polity_common_name", COUNTIF('Internal -- Trademark Countries'!E:E,AM288) &gt; 0, "shortest_name", COUNTIF('Internal -- Trademark Countries'!A:A,AM288) &gt; 0, "full_name", TRUE, "not a match")</f>
        <v>#NAME?</v>
      </c>
      <c r="EG288" s="30"/>
      <c r="EH288" s="30"/>
      <c r="EI288" s="30"/>
      <c r="EJ288" s="30"/>
      <c r="EK288" s="30" t="str">
        <f t="shared" si="3"/>
        <v/>
      </c>
    </row>
    <row r="289" spans="1:141" ht="16.5">
      <c r="A289" s="11"/>
      <c r="B289" s="11"/>
      <c r="C289" s="11"/>
      <c r="D289" s="11"/>
      <c r="E289" s="11"/>
      <c r="F289" s="11"/>
      <c r="G289" s="11"/>
      <c r="H289" s="11"/>
      <c r="I289" s="11"/>
      <c r="J289" s="11"/>
      <c r="K289" s="27"/>
      <c r="L289" s="11"/>
      <c r="M289" s="11"/>
      <c r="N289" s="11"/>
      <c r="O289" s="11"/>
      <c r="P289" s="15"/>
      <c r="Q289" s="15"/>
      <c r="R289" s="15"/>
      <c r="S289" s="15"/>
      <c r="T289" s="15"/>
      <c r="U289" s="15"/>
      <c r="V289" s="15"/>
      <c r="W289" s="47"/>
      <c r="X289" s="11"/>
      <c r="Y289" s="48"/>
      <c r="Z289" s="11"/>
      <c r="AA289" s="48"/>
      <c r="AB289" s="11"/>
      <c r="AC289" s="48"/>
      <c r="AD289" s="11"/>
      <c r="AE289" s="47"/>
      <c r="AF289" s="11"/>
      <c r="AG289" s="48"/>
      <c r="AH289" s="11"/>
      <c r="AI289" s="48"/>
      <c r="AJ289" s="11"/>
      <c r="AK289" s="48"/>
      <c r="AL289" s="11"/>
      <c r="AM289" s="49"/>
      <c r="AN289" s="49"/>
      <c r="AO289" s="11"/>
      <c r="AP289" s="11"/>
      <c r="AQ289" s="28" t="b">
        <f>IF(COUNTIF(SmartStatus!A$2:A1000, AM289) &gt; 2, TRUE, FALSE)</f>
        <v>0</v>
      </c>
      <c r="AR289" s="29" t="str">
        <f ca="1">IFERROR(__xludf.DUMMYFUNCTION("iferror(if(regexmatch(AO289, ""(?i)^registered""), if(EE289 &lt;&gt; ""polity_shortest_name"", ""CHECK_POLITY"", index(filter(SmartStatus!B$2:B1000, AM289 = SmartStatus!A$2:A1000, not(SmartStatus!C$2:C1000), (isblank(SmartStatus!D$2:D1000)) + ((P289 &lt;&gt; """") * "&amp;"(P289 &lt; SmartStatus!D$2:D1000)), (isblank(SmartStatus!E$2:E1000)) + ((P289 &lt;&gt; """") * (P289 &gt;= SmartStatus!E$2:E1000)), (isblank(SmartStatus!F$2:F1000)) + (((Q289 &lt;&gt; """") * (Q289 &lt; SmartStatus!F$2:F1000)) + ((P289 &lt;&gt; """") * (date(year(P289) + 3, month(P"&amp;"289), day(P289)) &lt; SmartStatus!F$2:F1000))), (isblank(SmartStatus!G$2:G1000)) + (((Q289 &lt;&gt; """") * (Q289 &gt;= SmartStatus!G$2:G1000)) + ((P289 &lt;&gt; """") * (P289 &gt;= SmartStatus!G$2:G1000)))), if(or(regexmatch(B289, ""(?i)^ir [a-z]+ designation$""), N289 &lt;&gt; """&amp;"""), 1, 2))), """"), ""NO_MATCH"")"),"")</f>
        <v/>
      </c>
      <c r="AS289" s="11"/>
      <c r="AT289" s="15"/>
      <c r="AU289" s="11"/>
      <c r="AV289" s="11"/>
      <c r="AW289" s="15"/>
      <c r="AX289" s="15"/>
      <c r="AY289" s="15"/>
      <c r="AZ289" s="11"/>
      <c r="BA289" s="15"/>
      <c r="BB289" s="11"/>
      <c r="BC289" s="11"/>
      <c r="BD289" s="15"/>
      <c r="BE289" s="11"/>
      <c r="BF289" s="11"/>
      <c r="BG289" s="15"/>
      <c r="BH289" s="15"/>
      <c r="BI289" s="15"/>
      <c r="BJ289" s="11"/>
      <c r="BK289" s="15"/>
      <c r="BL289" s="11"/>
      <c r="BM289" s="11"/>
      <c r="BN289" s="15"/>
      <c r="BO289" s="11"/>
      <c r="BP289" s="11"/>
      <c r="BQ289" s="15"/>
      <c r="BR289" s="15"/>
      <c r="BS289" s="15"/>
      <c r="BT289" s="11"/>
      <c r="BU289" s="15"/>
      <c r="BV289" s="11"/>
      <c r="BW289" s="11"/>
      <c r="BX289" s="15"/>
      <c r="BY289" s="11"/>
      <c r="BZ289" s="11"/>
      <c r="CA289" s="15"/>
      <c r="CB289" s="11"/>
      <c r="CC289" s="15"/>
      <c r="CD289" s="11"/>
      <c r="CE289" s="15"/>
      <c r="CF289" s="11"/>
      <c r="CG289" s="11"/>
      <c r="CH289" s="15"/>
      <c r="CI289" s="11"/>
      <c r="CJ289" s="11"/>
      <c r="CK289" s="15"/>
      <c r="CL289" s="11"/>
      <c r="CM289" s="11"/>
      <c r="CN289" s="11"/>
      <c r="CO289" s="11"/>
      <c r="CP289" s="28"/>
      <c r="CQ289" s="28"/>
      <c r="CR289" s="11"/>
      <c r="CS289" s="29"/>
      <c r="CT289" s="11"/>
      <c r="CU289" s="11"/>
      <c r="CV289" s="11"/>
      <c r="CW289" s="11"/>
      <c r="CX289" s="11"/>
      <c r="CY289" s="11"/>
      <c r="CZ289" s="11"/>
      <c r="DA289" s="28"/>
      <c r="DB289" s="28"/>
      <c r="DC289" s="11"/>
      <c r="DD289" s="29"/>
      <c r="DE289" s="11"/>
      <c r="DF289" s="11"/>
      <c r="DG289" s="11"/>
      <c r="DH289" s="11"/>
      <c r="DI289" s="11"/>
      <c r="DJ289" s="11"/>
      <c r="DK289" s="26"/>
      <c r="DL289" s="11"/>
      <c r="DM289" s="29"/>
      <c r="DN289" s="28"/>
      <c r="DO289" s="11"/>
      <c r="DP289" s="11"/>
      <c r="DQ289" s="11"/>
      <c r="DR289" s="29"/>
      <c r="DS289" s="28"/>
      <c r="DT289" s="11"/>
      <c r="DU289" s="26"/>
      <c r="DV289" s="11"/>
      <c r="DW289" s="29"/>
      <c r="DX289" s="28"/>
      <c r="DY289" s="11"/>
      <c r="DZ289" s="26"/>
      <c r="EA289" s="11"/>
      <c r="EB289" s="29"/>
      <c r="EC289" s="28"/>
      <c r="ED289" s="30"/>
      <c r="EE289" s="30" t="str">
        <f ca="1">IFERROR(__xludf.DUMMYFUNCTION("iferror(index(filter('Internal -- Trademark Countries'!E$2:E1000, (AM289 = 'Internal -- Trademark Countries'!B$2:B1000) + (AM289 = 'Internal -- Trademark Countries'!C$2:C1000) + (AM289 = 'Internal -- Trademark Countries'!D$2:D1000)), 1))"),"")</f>
        <v/>
      </c>
      <c r="EF289" s="30" t="e">
        <f ca="1">_xludf.ifs(AM289="", "", COUNTIF('Internal -- Trademark Countries'!B:B,AM289) &gt; 0, "polity_shortest_name", COUNTIF('Internal -- Trademark Countries'!C:C,AM289) &gt; 0, "polity_full_name", COUNTIF('Internal -- Trademark Countries'!D:D,AM289) &gt; 0, "polity_common_name", COUNTIF('Internal -- Trademark Countries'!E:E,AM289) &gt; 0, "shortest_name", COUNTIF('Internal -- Trademark Countries'!A:A,AM289) &gt; 0, "full_name", TRUE, "not a match")</f>
        <v>#NAME?</v>
      </c>
      <c r="EG289" s="30"/>
      <c r="EH289" s="30"/>
      <c r="EI289" s="30"/>
      <c r="EJ289" s="30"/>
      <c r="EK289" s="30" t="str">
        <f t="shared" si="3"/>
        <v/>
      </c>
    </row>
    <row r="290" spans="1:141" ht="16.5">
      <c r="A290" s="11"/>
      <c r="B290" s="11"/>
      <c r="C290" s="11"/>
      <c r="D290" s="11"/>
      <c r="E290" s="11"/>
      <c r="F290" s="11"/>
      <c r="G290" s="11"/>
      <c r="H290" s="11"/>
      <c r="I290" s="11"/>
      <c r="J290" s="11"/>
      <c r="K290" s="27"/>
      <c r="L290" s="11"/>
      <c r="M290" s="11"/>
      <c r="N290" s="11"/>
      <c r="O290" s="11"/>
      <c r="P290" s="15"/>
      <c r="Q290" s="15"/>
      <c r="R290" s="15"/>
      <c r="S290" s="15"/>
      <c r="T290" s="15"/>
      <c r="U290" s="15"/>
      <c r="V290" s="15"/>
      <c r="W290" s="47"/>
      <c r="X290" s="11"/>
      <c r="Y290" s="48"/>
      <c r="Z290" s="11"/>
      <c r="AA290" s="48"/>
      <c r="AB290" s="11"/>
      <c r="AC290" s="48"/>
      <c r="AD290" s="11"/>
      <c r="AE290" s="47"/>
      <c r="AF290" s="11"/>
      <c r="AG290" s="48"/>
      <c r="AH290" s="11"/>
      <c r="AI290" s="48"/>
      <c r="AJ290" s="11"/>
      <c r="AK290" s="48"/>
      <c r="AL290" s="11"/>
      <c r="AM290" s="49"/>
      <c r="AN290" s="49"/>
      <c r="AO290" s="11"/>
      <c r="AP290" s="11"/>
      <c r="AQ290" s="28" t="b">
        <f>IF(COUNTIF(SmartStatus!A$2:A1000, AM290) &gt; 2, TRUE, FALSE)</f>
        <v>0</v>
      </c>
      <c r="AR290" s="29" t="str">
        <f ca="1">IFERROR(__xludf.DUMMYFUNCTION("iferror(if(regexmatch(AO290, ""(?i)^registered""), if(EE290 &lt;&gt; ""polity_shortest_name"", ""CHECK_POLITY"", index(filter(SmartStatus!B$2:B1000, AM290 = SmartStatus!A$2:A1000, not(SmartStatus!C$2:C1000), (isblank(SmartStatus!D$2:D1000)) + ((P290 &lt;&gt; """") * "&amp;"(P290 &lt; SmartStatus!D$2:D1000)), (isblank(SmartStatus!E$2:E1000)) + ((P290 &lt;&gt; """") * (P290 &gt;= SmartStatus!E$2:E1000)), (isblank(SmartStatus!F$2:F1000)) + (((Q290 &lt;&gt; """") * (Q290 &lt; SmartStatus!F$2:F1000)) + ((P290 &lt;&gt; """") * (date(year(P290) + 3, month(P"&amp;"290), day(P290)) &lt; SmartStatus!F$2:F1000))), (isblank(SmartStatus!G$2:G1000)) + (((Q290 &lt;&gt; """") * (Q290 &gt;= SmartStatus!G$2:G1000)) + ((P290 &lt;&gt; """") * (P290 &gt;= SmartStatus!G$2:G1000)))), if(or(regexmatch(B290, ""(?i)^ir [a-z]+ designation$""), N290 &lt;&gt; """&amp;"""), 1, 2))), """"), ""NO_MATCH"")"),"")</f>
        <v/>
      </c>
      <c r="AS290" s="11"/>
      <c r="AT290" s="15"/>
      <c r="AU290" s="11"/>
      <c r="AV290" s="11"/>
      <c r="AW290" s="15"/>
      <c r="AX290" s="15"/>
      <c r="AY290" s="15"/>
      <c r="AZ290" s="11"/>
      <c r="BA290" s="15"/>
      <c r="BB290" s="11"/>
      <c r="BC290" s="11"/>
      <c r="BD290" s="15"/>
      <c r="BE290" s="11"/>
      <c r="BF290" s="11"/>
      <c r="BG290" s="15"/>
      <c r="BH290" s="15"/>
      <c r="BI290" s="15"/>
      <c r="BJ290" s="11"/>
      <c r="BK290" s="15"/>
      <c r="BL290" s="11"/>
      <c r="BM290" s="11"/>
      <c r="BN290" s="15"/>
      <c r="BO290" s="11"/>
      <c r="BP290" s="11"/>
      <c r="BQ290" s="15"/>
      <c r="BR290" s="15"/>
      <c r="BS290" s="15"/>
      <c r="BT290" s="11"/>
      <c r="BU290" s="15"/>
      <c r="BV290" s="11"/>
      <c r="BW290" s="11"/>
      <c r="BX290" s="15"/>
      <c r="BY290" s="11"/>
      <c r="BZ290" s="11"/>
      <c r="CA290" s="15"/>
      <c r="CB290" s="11"/>
      <c r="CC290" s="15"/>
      <c r="CD290" s="11"/>
      <c r="CE290" s="15"/>
      <c r="CF290" s="11"/>
      <c r="CG290" s="11"/>
      <c r="CH290" s="15"/>
      <c r="CI290" s="11"/>
      <c r="CJ290" s="11"/>
      <c r="CK290" s="15"/>
      <c r="CL290" s="11"/>
      <c r="CM290" s="11"/>
      <c r="CN290" s="11"/>
      <c r="CO290" s="11"/>
      <c r="CP290" s="28"/>
      <c r="CQ290" s="28"/>
      <c r="CR290" s="11"/>
      <c r="CS290" s="29"/>
      <c r="CT290" s="11"/>
      <c r="CU290" s="11"/>
      <c r="CV290" s="11"/>
      <c r="CW290" s="11"/>
      <c r="CX290" s="11"/>
      <c r="CY290" s="11"/>
      <c r="CZ290" s="11"/>
      <c r="DA290" s="28"/>
      <c r="DB290" s="28"/>
      <c r="DC290" s="11"/>
      <c r="DD290" s="29"/>
      <c r="DE290" s="11"/>
      <c r="DF290" s="11"/>
      <c r="DG290" s="11"/>
      <c r="DH290" s="11"/>
      <c r="DI290" s="11"/>
      <c r="DJ290" s="11"/>
      <c r="DK290" s="26"/>
      <c r="DL290" s="11"/>
      <c r="DM290" s="29"/>
      <c r="DN290" s="28"/>
      <c r="DO290" s="11"/>
      <c r="DP290" s="11"/>
      <c r="DQ290" s="11"/>
      <c r="DR290" s="29"/>
      <c r="DS290" s="28"/>
      <c r="DT290" s="11"/>
      <c r="DU290" s="26"/>
      <c r="DV290" s="11"/>
      <c r="DW290" s="29"/>
      <c r="DX290" s="28"/>
      <c r="DY290" s="11"/>
      <c r="DZ290" s="26"/>
      <c r="EA290" s="11"/>
      <c r="EB290" s="29"/>
      <c r="EC290" s="28"/>
      <c r="ED290" s="30"/>
      <c r="EE290" s="30" t="str">
        <f ca="1">IFERROR(__xludf.DUMMYFUNCTION("iferror(index(filter('Internal -- Trademark Countries'!E$2:E1000, (AM290 = 'Internal -- Trademark Countries'!B$2:B1000) + (AM290 = 'Internal -- Trademark Countries'!C$2:C1000) + (AM290 = 'Internal -- Trademark Countries'!D$2:D1000)), 1))"),"")</f>
        <v/>
      </c>
      <c r="EF290" s="30" t="e">
        <f ca="1">_xludf.ifs(AM290="", "", COUNTIF('Internal -- Trademark Countries'!B:B,AM290) &gt; 0, "polity_shortest_name", COUNTIF('Internal -- Trademark Countries'!C:C,AM290) &gt; 0, "polity_full_name", COUNTIF('Internal -- Trademark Countries'!D:D,AM290) &gt; 0, "polity_common_name", COUNTIF('Internal -- Trademark Countries'!E:E,AM290) &gt; 0, "shortest_name", COUNTIF('Internal -- Trademark Countries'!A:A,AM290) &gt; 0, "full_name", TRUE, "not a match")</f>
        <v>#NAME?</v>
      </c>
      <c r="EG290" s="30"/>
      <c r="EH290" s="30"/>
      <c r="EI290" s="30"/>
      <c r="EJ290" s="30"/>
      <c r="EK290" s="30" t="str">
        <f t="shared" si="3"/>
        <v/>
      </c>
    </row>
    <row r="291" spans="1:141" ht="16.5">
      <c r="A291" s="11"/>
      <c r="B291" s="11"/>
      <c r="C291" s="11"/>
      <c r="D291" s="11"/>
      <c r="E291" s="11"/>
      <c r="F291" s="11"/>
      <c r="G291" s="11"/>
      <c r="H291" s="11"/>
      <c r="I291" s="11"/>
      <c r="J291" s="11"/>
      <c r="K291" s="27"/>
      <c r="L291" s="11"/>
      <c r="M291" s="11"/>
      <c r="N291" s="11"/>
      <c r="O291" s="11"/>
      <c r="P291" s="15"/>
      <c r="Q291" s="15"/>
      <c r="R291" s="15"/>
      <c r="S291" s="15"/>
      <c r="T291" s="15"/>
      <c r="U291" s="15"/>
      <c r="V291" s="15"/>
      <c r="W291" s="47"/>
      <c r="X291" s="11"/>
      <c r="Y291" s="48"/>
      <c r="Z291" s="11"/>
      <c r="AA291" s="48"/>
      <c r="AB291" s="11"/>
      <c r="AC291" s="48"/>
      <c r="AD291" s="11"/>
      <c r="AE291" s="47"/>
      <c r="AF291" s="11"/>
      <c r="AG291" s="48"/>
      <c r="AH291" s="11"/>
      <c r="AI291" s="48"/>
      <c r="AJ291" s="11"/>
      <c r="AK291" s="48"/>
      <c r="AL291" s="11"/>
      <c r="AM291" s="49"/>
      <c r="AN291" s="49"/>
      <c r="AO291" s="11"/>
      <c r="AP291" s="11"/>
      <c r="AQ291" s="28" t="b">
        <f>IF(COUNTIF(SmartStatus!A$2:A1000, AM291) &gt; 2, TRUE, FALSE)</f>
        <v>0</v>
      </c>
      <c r="AR291" s="29" t="str">
        <f ca="1">IFERROR(__xludf.DUMMYFUNCTION("iferror(if(regexmatch(AO291, ""(?i)^registered""), if(EE291 &lt;&gt; ""polity_shortest_name"", ""CHECK_POLITY"", index(filter(SmartStatus!B$2:B1000, AM291 = SmartStatus!A$2:A1000, not(SmartStatus!C$2:C1000), (isblank(SmartStatus!D$2:D1000)) + ((P291 &lt;&gt; """") * "&amp;"(P291 &lt; SmartStatus!D$2:D1000)), (isblank(SmartStatus!E$2:E1000)) + ((P291 &lt;&gt; """") * (P291 &gt;= SmartStatus!E$2:E1000)), (isblank(SmartStatus!F$2:F1000)) + (((Q291 &lt;&gt; """") * (Q291 &lt; SmartStatus!F$2:F1000)) + ((P291 &lt;&gt; """") * (date(year(P291) + 3, month(P"&amp;"291), day(P291)) &lt; SmartStatus!F$2:F1000))), (isblank(SmartStatus!G$2:G1000)) + (((Q291 &lt;&gt; """") * (Q291 &gt;= SmartStatus!G$2:G1000)) + ((P291 &lt;&gt; """") * (P291 &gt;= SmartStatus!G$2:G1000)))), if(or(regexmatch(B291, ""(?i)^ir [a-z]+ designation$""), N291 &lt;&gt; """&amp;"""), 1, 2))), """"), ""NO_MATCH"")"),"")</f>
        <v/>
      </c>
      <c r="AS291" s="11"/>
      <c r="AT291" s="15"/>
      <c r="AU291" s="11"/>
      <c r="AV291" s="11"/>
      <c r="AW291" s="15"/>
      <c r="AX291" s="15"/>
      <c r="AY291" s="15"/>
      <c r="AZ291" s="11"/>
      <c r="BA291" s="15"/>
      <c r="BB291" s="11"/>
      <c r="BC291" s="11"/>
      <c r="BD291" s="15"/>
      <c r="BE291" s="11"/>
      <c r="BF291" s="11"/>
      <c r="BG291" s="15"/>
      <c r="BH291" s="15"/>
      <c r="BI291" s="15"/>
      <c r="BJ291" s="11"/>
      <c r="BK291" s="15"/>
      <c r="BL291" s="11"/>
      <c r="BM291" s="11"/>
      <c r="BN291" s="15"/>
      <c r="BO291" s="11"/>
      <c r="BP291" s="11"/>
      <c r="BQ291" s="15"/>
      <c r="BR291" s="15"/>
      <c r="BS291" s="15"/>
      <c r="BT291" s="11"/>
      <c r="BU291" s="15"/>
      <c r="BV291" s="11"/>
      <c r="BW291" s="11"/>
      <c r="BX291" s="15"/>
      <c r="BY291" s="11"/>
      <c r="BZ291" s="11"/>
      <c r="CA291" s="15"/>
      <c r="CB291" s="11"/>
      <c r="CC291" s="15"/>
      <c r="CD291" s="11"/>
      <c r="CE291" s="15"/>
      <c r="CF291" s="11"/>
      <c r="CG291" s="11"/>
      <c r="CH291" s="15"/>
      <c r="CI291" s="11"/>
      <c r="CJ291" s="11"/>
      <c r="CK291" s="15"/>
      <c r="CL291" s="11"/>
      <c r="CM291" s="11"/>
      <c r="CN291" s="11"/>
      <c r="CO291" s="11"/>
      <c r="CP291" s="28"/>
      <c r="CQ291" s="28"/>
      <c r="CR291" s="11"/>
      <c r="CS291" s="29"/>
      <c r="CT291" s="11"/>
      <c r="CU291" s="11"/>
      <c r="CV291" s="11"/>
      <c r="CW291" s="11"/>
      <c r="CX291" s="11"/>
      <c r="CY291" s="11"/>
      <c r="CZ291" s="11"/>
      <c r="DA291" s="28"/>
      <c r="DB291" s="28"/>
      <c r="DC291" s="11"/>
      <c r="DD291" s="29"/>
      <c r="DE291" s="11"/>
      <c r="DF291" s="11"/>
      <c r="DG291" s="11"/>
      <c r="DH291" s="11"/>
      <c r="DI291" s="11"/>
      <c r="DJ291" s="11"/>
      <c r="DK291" s="26"/>
      <c r="DL291" s="11"/>
      <c r="DM291" s="29"/>
      <c r="DN291" s="28"/>
      <c r="DO291" s="11"/>
      <c r="DP291" s="11"/>
      <c r="DQ291" s="11"/>
      <c r="DR291" s="29"/>
      <c r="DS291" s="28"/>
      <c r="DT291" s="11"/>
      <c r="DU291" s="26"/>
      <c r="DV291" s="11"/>
      <c r="DW291" s="29"/>
      <c r="DX291" s="28"/>
      <c r="DY291" s="11"/>
      <c r="DZ291" s="26"/>
      <c r="EA291" s="11"/>
      <c r="EB291" s="29"/>
      <c r="EC291" s="28"/>
      <c r="ED291" s="30"/>
      <c r="EE291" s="30" t="str">
        <f ca="1">IFERROR(__xludf.DUMMYFUNCTION("iferror(index(filter('Internal -- Trademark Countries'!E$2:E1000, (AM291 = 'Internal -- Trademark Countries'!B$2:B1000) + (AM291 = 'Internal -- Trademark Countries'!C$2:C1000) + (AM291 = 'Internal -- Trademark Countries'!D$2:D1000)), 1))"),"")</f>
        <v/>
      </c>
      <c r="EF291" s="30" t="e">
        <f ca="1">_xludf.ifs(AM291="", "", COUNTIF('Internal -- Trademark Countries'!B:B,AM291) &gt; 0, "polity_shortest_name", COUNTIF('Internal -- Trademark Countries'!C:C,AM291) &gt; 0, "polity_full_name", COUNTIF('Internal -- Trademark Countries'!D:D,AM291) &gt; 0, "polity_common_name", COUNTIF('Internal -- Trademark Countries'!E:E,AM291) &gt; 0, "shortest_name", COUNTIF('Internal -- Trademark Countries'!A:A,AM291) &gt; 0, "full_name", TRUE, "not a match")</f>
        <v>#NAME?</v>
      </c>
      <c r="EG291" s="30"/>
      <c r="EH291" s="30"/>
      <c r="EI291" s="30"/>
      <c r="EJ291" s="30"/>
      <c r="EK291" s="30" t="str">
        <f t="shared" si="3"/>
        <v/>
      </c>
    </row>
    <row r="292" spans="1:141" ht="16.5">
      <c r="A292" s="11"/>
      <c r="B292" s="11"/>
      <c r="C292" s="11"/>
      <c r="D292" s="11"/>
      <c r="E292" s="11"/>
      <c r="F292" s="11"/>
      <c r="G292" s="11"/>
      <c r="H292" s="11"/>
      <c r="I292" s="11"/>
      <c r="J292" s="11"/>
      <c r="K292" s="27"/>
      <c r="L292" s="11"/>
      <c r="M292" s="11"/>
      <c r="N292" s="11"/>
      <c r="O292" s="11"/>
      <c r="P292" s="15"/>
      <c r="Q292" s="15"/>
      <c r="R292" s="15"/>
      <c r="S292" s="15"/>
      <c r="T292" s="15"/>
      <c r="U292" s="15"/>
      <c r="V292" s="15"/>
      <c r="W292" s="47"/>
      <c r="X292" s="11"/>
      <c r="Y292" s="48"/>
      <c r="Z292" s="11"/>
      <c r="AA292" s="48"/>
      <c r="AB292" s="11"/>
      <c r="AC292" s="48"/>
      <c r="AD292" s="11"/>
      <c r="AE292" s="47"/>
      <c r="AF292" s="11"/>
      <c r="AG292" s="48"/>
      <c r="AH292" s="11"/>
      <c r="AI292" s="48"/>
      <c r="AJ292" s="11"/>
      <c r="AK292" s="48"/>
      <c r="AL292" s="11"/>
      <c r="AM292" s="49"/>
      <c r="AN292" s="49"/>
      <c r="AO292" s="11"/>
      <c r="AP292" s="11"/>
      <c r="AQ292" s="28" t="b">
        <f>IF(COUNTIF(SmartStatus!A$2:A1000, AM292) &gt; 2, TRUE, FALSE)</f>
        <v>0</v>
      </c>
      <c r="AR292" s="29" t="str">
        <f ca="1">IFERROR(__xludf.DUMMYFUNCTION("iferror(if(regexmatch(AO292, ""(?i)^registered""), if(EE292 &lt;&gt; ""polity_shortest_name"", ""CHECK_POLITY"", index(filter(SmartStatus!B$2:B1000, AM292 = SmartStatus!A$2:A1000, not(SmartStatus!C$2:C1000), (isblank(SmartStatus!D$2:D1000)) + ((P292 &lt;&gt; """") * "&amp;"(P292 &lt; SmartStatus!D$2:D1000)), (isblank(SmartStatus!E$2:E1000)) + ((P292 &lt;&gt; """") * (P292 &gt;= SmartStatus!E$2:E1000)), (isblank(SmartStatus!F$2:F1000)) + (((Q292 &lt;&gt; """") * (Q292 &lt; SmartStatus!F$2:F1000)) + ((P292 &lt;&gt; """") * (date(year(P292) + 3, month(P"&amp;"292), day(P292)) &lt; SmartStatus!F$2:F1000))), (isblank(SmartStatus!G$2:G1000)) + (((Q292 &lt;&gt; """") * (Q292 &gt;= SmartStatus!G$2:G1000)) + ((P292 &lt;&gt; """") * (P292 &gt;= SmartStatus!G$2:G1000)))), if(or(regexmatch(B292, ""(?i)^ir [a-z]+ designation$""), N292 &lt;&gt; """&amp;"""), 1, 2))), """"), ""NO_MATCH"")"),"")</f>
        <v/>
      </c>
      <c r="AS292" s="11"/>
      <c r="AT292" s="15"/>
      <c r="AU292" s="11"/>
      <c r="AV292" s="11"/>
      <c r="AW292" s="15"/>
      <c r="AX292" s="15"/>
      <c r="AY292" s="15"/>
      <c r="AZ292" s="11"/>
      <c r="BA292" s="15"/>
      <c r="BB292" s="11"/>
      <c r="BC292" s="11"/>
      <c r="BD292" s="15"/>
      <c r="BE292" s="11"/>
      <c r="BF292" s="11"/>
      <c r="BG292" s="15"/>
      <c r="BH292" s="15"/>
      <c r="BI292" s="15"/>
      <c r="BJ292" s="11"/>
      <c r="BK292" s="15"/>
      <c r="BL292" s="11"/>
      <c r="BM292" s="11"/>
      <c r="BN292" s="15"/>
      <c r="BO292" s="11"/>
      <c r="BP292" s="11"/>
      <c r="BQ292" s="15"/>
      <c r="BR292" s="15"/>
      <c r="BS292" s="15"/>
      <c r="BT292" s="11"/>
      <c r="BU292" s="15"/>
      <c r="BV292" s="11"/>
      <c r="BW292" s="11"/>
      <c r="BX292" s="15"/>
      <c r="BY292" s="11"/>
      <c r="BZ292" s="11"/>
      <c r="CA292" s="15"/>
      <c r="CB292" s="11"/>
      <c r="CC292" s="15"/>
      <c r="CD292" s="11"/>
      <c r="CE292" s="15"/>
      <c r="CF292" s="11"/>
      <c r="CG292" s="11"/>
      <c r="CH292" s="15"/>
      <c r="CI292" s="11"/>
      <c r="CJ292" s="11"/>
      <c r="CK292" s="15"/>
      <c r="CL292" s="11"/>
      <c r="CM292" s="11"/>
      <c r="CN292" s="11"/>
      <c r="CO292" s="11"/>
      <c r="CP292" s="28"/>
      <c r="CQ292" s="28"/>
      <c r="CR292" s="11"/>
      <c r="CS292" s="29"/>
      <c r="CT292" s="11"/>
      <c r="CU292" s="11"/>
      <c r="CV292" s="11"/>
      <c r="CW292" s="11"/>
      <c r="CX292" s="11"/>
      <c r="CY292" s="11"/>
      <c r="CZ292" s="11"/>
      <c r="DA292" s="28"/>
      <c r="DB292" s="28"/>
      <c r="DC292" s="11"/>
      <c r="DD292" s="29"/>
      <c r="DE292" s="11"/>
      <c r="DF292" s="11"/>
      <c r="DG292" s="11"/>
      <c r="DH292" s="11"/>
      <c r="DI292" s="11"/>
      <c r="DJ292" s="11"/>
      <c r="DK292" s="26"/>
      <c r="DL292" s="11"/>
      <c r="DM292" s="29"/>
      <c r="DN292" s="28"/>
      <c r="DO292" s="11"/>
      <c r="DP292" s="11"/>
      <c r="DQ292" s="11"/>
      <c r="DR292" s="29"/>
      <c r="DS292" s="28"/>
      <c r="DT292" s="11"/>
      <c r="DU292" s="26"/>
      <c r="DV292" s="11"/>
      <c r="DW292" s="29"/>
      <c r="DX292" s="28"/>
      <c r="DY292" s="11"/>
      <c r="DZ292" s="26"/>
      <c r="EA292" s="11"/>
      <c r="EB292" s="29"/>
      <c r="EC292" s="28"/>
      <c r="ED292" s="30"/>
      <c r="EE292" s="30" t="str">
        <f ca="1">IFERROR(__xludf.DUMMYFUNCTION("iferror(index(filter('Internal -- Trademark Countries'!E$2:E1000, (AM292 = 'Internal -- Trademark Countries'!B$2:B1000) + (AM292 = 'Internal -- Trademark Countries'!C$2:C1000) + (AM292 = 'Internal -- Trademark Countries'!D$2:D1000)), 1))"),"")</f>
        <v/>
      </c>
      <c r="EF292" s="30" t="e">
        <f ca="1">_xludf.ifs(AM292="", "", COUNTIF('Internal -- Trademark Countries'!B:B,AM292) &gt; 0, "polity_shortest_name", COUNTIF('Internal -- Trademark Countries'!C:C,AM292) &gt; 0, "polity_full_name", COUNTIF('Internal -- Trademark Countries'!D:D,AM292) &gt; 0, "polity_common_name", COUNTIF('Internal -- Trademark Countries'!E:E,AM292) &gt; 0, "shortest_name", COUNTIF('Internal -- Trademark Countries'!A:A,AM292) &gt; 0, "full_name", TRUE, "not a match")</f>
        <v>#NAME?</v>
      </c>
      <c r="EG292" s="30"/>
      <c r="EH292" s="30"/>
      <c r="EI292" s="30"/>
      <c r="EJ292" s="30"/>
      <c r="EK292" s="30" t="str">
        <f t="shared" si="3"/>
        <v/>
      </c>
    </row>
    <row r="293" spans="1:141" ht="16.5">
      <c r="A293" s="11"/>
      <c r="B293" s="11"/>
      <c r="C293" s="11"/>
      <c r="D293" s="11"/>
      <c r="E293" s="11"/>
      <c r="F293" s="11"/>
      <c r="G293" s="11"/>
      <c r="H293" s="11"/>
      <c r="I293" s="11"/>
      <c r="J293" s="11"/>
      <c r="K293" s="27"/>
      <c r="L293" s="11"/>
      <c r="M293" s="11"/>
      <c r="N293" s="11"/>
      <c r="O293" s="11"/>
      <c r="P293" s="15"/>
      <c r="Q293" s="15"/>
      <c r="R293" s="15"/>
      <c r="S293" s="15"/>
      <c r="T293" s="15"/>
      <c r="U293" s="15"/>
      <c r="V293" s="15"/>
      <c r="W293" s="47"/>
      <c r="X293" s="11"/>
      <c r="Y293" s="48"/>
      <c r="Z293" s="11"/>
      <c r="AA293" s="48"/>
      <c r="AB293" s="11"/>
      <c r="AC293" s="48"/>
      <c r="AD293" s="11"/>
      <c r="AE293" s="47"/>
      <c r="AF293" s="11"/>
      <c r="AG293" s="48"/>
      <c r="AH293" s="11"/>
      <c r="AI293" s="48"/>
      <c r="AJ293" s="11"/>
      <c r="AK293" s="48"/>
      <c r="AL293" s="11"/>
      <c r="AM293" s="49"/>
      <c r="AN293" s="49"/>
      <c r="AO293" s="11"/>
      <c r="AP293" s="11"/>
      <c r="AQ293" s="28" t="b">
        <f>IF(COUNTIF(SmartStatus!A$2:A1000, AM293) &gt; 2, TRUE, FALSE)</f>
        <v>0</v>
      </c>
      <c r="AR293" s="29" t="str">
        <f ca="1">IFERROR(__xludf.DUMMYFUNCTION("iferror(if(regexmatch(AO293, ""(?i)^registered""), if(EE293 &lt;&gt; ""polity_shortest_name"", ""CHECK_POLITY"", index(filter(SmartStatus!B$2:B1000, AM293 = SmartStatus!A$2:A1000, not(SmartStatus!C$2:C1000), (isblank(SmartStatus!D$2:D1000)) + ((P293 &lt;&gt; """") * "&amp;"(P293 &lt; SmartStatus!D$2:D1000)), (isblank(SmartStatus!E$2:E1000)) + ((P293 &lt;&gt; """") * (P293 &gt;= SmartStatus!E$2:E1000)), (isblank(SmartStatus!F$2:F1000)) + (((Q293 &lt;&gt; """") * (Q293 &lt; SmartStatus!F$2:F1000)) + ((P293 &lt;&gt; """") * (date(year(P293) + 3, month(P"&amp;"293), day(P293)) &lt; SmartStatus!F$2:F1000))), (isblank(SmartStatus!G$2:G1000)) + (((Q293 &lt;&gt; """") * (Q293 &gt;= SmartStatus!G$2:G1000)) + ((P293 &lt;&gt; """") * (P293 &gt;= SmartStatus!G$2:G1000)))), if(or(regexmatch(B293, ""(?i)^ir [a-z]+ designation$""), N293 &lt;&gt; """&amp;"""), 1, 2))), """"), ""NO_MATCH"")"),"")</f>
        <v/>
      </c>
      <c r="AS293" s="11"/>
      <c r="AT293" s="15"/>
      <c r="AU293" s="11"/>
      <c r="AV293" s="11"/>
      <c r="AW293" s="15"/>
      <c r="AX293" s="15"/>
      <c r="AY293" s="15"/>
      <c r="AZ293" s="11"/>
      <c r="BA293" s="15"/>
      <c r="BB293" s="11"/>
      <c r="BC293" s="11"/>
      <c r="BD293" s="15"/>
      <c r="BE293" s="11"/>
      <c r="BF293" s="11"/>
      <c r="BG293" s="15"/>
      <c r="BH293" s="15"/>
      <c r="BI293" s="15"/>
      <c r="BJ293" s="11"/>
      <c r="BK293" s="15"/>
      <c r="BL293" s="11"/>
      <c r="BM293" s="11"/>
      <c r="BN293" s="15"/>
      <c r="BO293" s="11"/>
      <c r="BP293" s="11"/>
      <c r="BQ293" s="15"/>
      <c r="BR293" s="15"/>
      <c r="BS293" s="15"/>
      <c r="BT293" s="11"/>
      <c r="BU293" s="15"/>
      <c r="BV293" s="11"/>
      <c r="BW293" s="11"/>
      <c r="BX293" s="15"/>
      <c r="BY293" s="11"/>
      <c r="BZ293" s="11"/>
      <c r="CA293" s="15"/>
      <c r="CB293" s="11"/>
      <c r="CC293" s="15"/>
      <c r="CD293" s="11"/>
      <c r="CE293" s="15"/>
      <c r="CF293" s="11"/>
      <c r="CG293" s="11"/>
      <c r="CH293" s="15"/>
      <c r="CI293" s="11"/>
      <c r="CJ293" s="11"/>
      <c r="CK293" s="15"/>
      <c r="CL293" s="11"/>
      <c r="CM293" s="11"/>
      <c r="CN293" s="11"/>
      <c r="CO293" s="11"/>
      <c r="CP293" s="28"/>
      <c r="CQ293" s="28"/>
      <c r="CR293" s="11"/>
      <c r="CS293" s="29"/>
      <c r="CT293" s="11"/>
      <c r="CU293" s="11"/>
      <c r="CV293" s="11"/>
      <c r="CW293" s="11"/>
      <c r="CX293" s="11"/>
      <c r="CY293" s="11"/>
      <c r="CZ293" s="11"/>
      <c r="DA293" s="28"/>
      <c r="DB293" s="28"/>
      <c r="DC293" s="11"/>
      <c r="DD293" s="29"/>
      <c r="DE293" s="11"/>
      <c r="DF293" s="11"/>
      <c r="DG293" s="11"/>
      <c r="DH293" s="11"/>
      <c r="DI293" s="11"/>
      <c r="DJ293" s="11"/>
      <c r="DK293" s="26"/>
      <c r="DL293" s="11"/>
      <c r="DM293" s="29"/>
      <c r="DN293" s="28"/>
      <c r="DO293" s="11"/>
      <c r="DP293" s="11"/>
      <c r="DQ293" s="11"/>
      <c r="DR293" s="29"/>
      <c r="DS293" s="28"/>
      <c r="DT293" s="11"/>
      <c r="DU293" s="26"/>
      <c r="DV293" s="11"/>
      <c r="DW293" s="29"/>
      <c r="DX293" s="28"/>
      <c r="DY293" s="11"/>
      <c r="DZ293" s="26"/>
      <c r="EA293" s="11"/>
      <c r="EB293" s="29"/>
      <c r="EC293" s="28"/>
      <c r="ED293" s="30"/>
      <c r="EE293" s="30" t="str">
        <f ca="1">IFERROR(__xludf.DUMMYFUNCTION("iferror(index(filter('Internal -- Trademark Countries'!E$2:E1000, (AM293 = 'Internal -- Trademark Countries'!B$2:B1000) + (AM293 = 'Internal -- Trademark Countries'!C$2:C1000) + (AM293 = 'Internal -- Trademark Countries'!D$2:D1000)), 1))"),"")</f>
        <v/>
      </c>
      <c r="EF293" s="30" t="e">
        <f ca="1">_xludf.ifs(AM293="", "", COUNTIF('Internal -- Trademark Countries'!B:B,AM293) &gt; 0, "polity_shortest_name", COUNTIF('Internal -- Trademark Countries'!C:C,AM293) &gt; 0, "polity_full_name", COUNTIF('Internal -- Trademark Countries'!D:D,AM293) &gt; 0, "polity_common_name", COUNTIF('Internal -- Trademark Countries'!E:E,AM293) &gt; 0, "shortest_name", COUNTIF('Internal -- Trademark Countries'!A:A,AM293) &gt; 0, "full_name", TRUE, "not a match")</f>
        <v>#NAME?</v>
      </c>
      <c r="EG293" s="30"/>
      <c r="EH293" s="30"/>
      <c r="EI293" s="30"/>
      <c r="EJ293" s="30"/>
      <c r="EK293" s="30" t="str">
        <f t="shared" si="3"/>
        <v/>
      </c>
    </row>
    <row r="294" spans="1:141" ht="16.5">
      <c r="A294" s="11"/>
      <c r="B294" s="11"/>
      <c r="C294" s="11"/>
      <c r="D294" s="11"/>
      <c r="E294" s="11"/>
      <c r="F294" s="11"/>
      <c r="G294" s="11"/>
      <c r="H294" s="11"/>
      <c r="I294" s="11"/>
      <c r="J294" s="11"/>
      <c r="K294" s="27"/>
      <c r="L294" s="11"/>
      <c r="M294" s="11"/>
      <c r="N294" s="11"/>
      <c r="O294" s="11"/>
      <c r="P294" s="15"/>
      <c r="Q294" s="15"/>
      <c r="R294" s="15"/>
      <c r="S294" s="15"/>
      <c r="T294" s="15"/>
      <c r="U294" s="15"/>
      <c r="V294" s="15"/>
      <c r="W294" s="47"/>
      <c r="X294" s="11"/>
      <c r="Y294" s="48"/>
      <c r="Z294" s="11"/>
      <c r="AA294" s="48"/>
      <c r="AB294" s="11"/>
      <c r="AC294" s="48"/>
      <c r="AD294" s="11"/>
      <c r="AE294" s="47"/>
      <c r="AF294" s="11"/>
      <c r="AG294" s="48"/>
      <c r="AH294" s="11"/>
      <c r="AI294" s="48"/>
      <c r="AJ294" s="11"/>
      <c r="AK294" s="48"/>
      <c r="AL294" s="11"/>
      <c r="AM294" s="49"/>
      <c r="AN294" s="49"/>
      <c r="AO294" s="11"/>
      <c r="AP294" s="11"/>
      <c r="AQ294" s="28" t="b">
        <f>IF(COUNTIF(SmartStatus!A$2:A1000, AM294) &gt; 2, TRUE, FALSE)</f>
        <v>0</v>
      </c>
      <c r="AR294" s="29" t="str">
        <f ca="1">IFERROR(__xludf.DUMMYFUNCTION("iferror(if(regexmatch(AO294, ""(?i)^registered""), if(EE294 &lt;&gt; ""polity_shortest_name"", ""CHECK_POLITY"", index(filter(SmartStatus!B$2:B1000, AM294 = SmartStatus!A$2:A1000, not(SmartStatus!C$2:C1000), (isblank(SmartStatus!D$2:D1000)) + ((P294 &lt;&gt; """") * "&amp;"(P294 &lt; SmartStatus!D$2:D1000)), (isblank(SmartStatus!E$2:E1000)) + ((P294 &lt;&gt; """") * (P294 &gt;= SmartStatus!E$2:E1000)), (isblank(SmartStatus!F$2:F1000)) + (((Q294 &lt;&gt; """") * (Q294 &lt; SmartStatus!F$2:F1000)) + ((P294 &lt;&gt; """") * (date(year(P294) + 3, month(P"&amp;"294), day(P294)) &lt; SmartStatus!F$2:F1000))), (isblank(SmartStatus!G$2:G1000)) + (((Q294 &lt;&gt; """") * (Q294 &gt;= SmartStatus!G$2:G1000)) + ((P294 &lt;&gt; """") * (P294 &gt;= SmartStatus!G$2:G1000)))), if(or(regexmatch(B294, ""(?i)^ir [a-z]+ designation$""), N294 &lt;&gt; """&amp;"""), 1, 2))), """"), ""NO_MATCH"")"),"")</f>
        <v/>
      </c>
      <c r="AS294" s="11"/>
      <c r="AT294" s="15"/>
      <c r="AU294" s="11"/>
      <c r="AV294" s="11"/>
      <c r="AW294" s="15"/>
      <c r="AX294" s="15"/>
      <c r="AY294" s="15"/>
      <c r="AZ294" s="11"/>
      <c r="BA294" s="15"/>
      <c r="BB294" s="11"/>
      <c r="BC294" s="11"/>
      <c r="BD294" s="15"/>
      <c r="BE294" s="11"/>
      <c r="BF294" s="11"/>
      <c r="BG294" s="15"/>
      <c r="BH294" s="15"/>
      <c r="BI294" s="15"/>
      <c r="BJ294" s="11"/>
      <c r="BK294" s="15"/>
      <c r="BL294" s="11"/>
      <c r="BM294" s="11"/>
      <c r="BN294" s="15"/>
      <c r="BO294" s="11"/>
      <c r="BP294" s="11"/>
      <c r="BQ294" s="15"/>
      <c r="BR294" s="15"/>
      <c r="BS294" s="15"/>
      <c r="BT294" s="11"/>
      <c r="BU294" s="15"/>
      <c r="BV294" s="11"/>
      <c r="BW294" s="11"/>
      <c r="BX294" s="15"/>
      <c r="BY294" s="11"/>
      <c r="BZ294" s="11"/>
      <c r="CA294" s="15"/>
      <c r="CB294" s="11"/>
      <c r="CC294" s="15"/>
      <c r="CD294" s="11"/>
      <c r="CE294" s="15"/>
      <c r="CF294" s="11"/>
      <c r="CG294" s="11"/>
      <c r="CH294" s="15"/>
      <c r="CI294" s="11"/>
      <c r="CJ294" s="11"/>
      <c r="CK294" s="15"/>
      <c r="CL294" s="11"/>
      <c r="CM294" s="11"/>
      <c r="CN294" s="11"/>
      <c r="CO294" s="11"/>
      <c r="CP294" s="28"/>
      <c r="CQ294" s="28"/>
      <c r="CR294" s="11"/>
      <c r="CS294" s="29"/>
      <c r="CT294" s="11"/>
      <c r="CU294" s="11"/>
      <c r="CV294" s="11"/>
      <c r="CW294" s="11"/>
      <c r="CX294" s="11"/>
      <c r="CY294" s="11"/>
      <c r="CZ294" s="11"/>
      <c r="DA294" s="28"/>
      <c r="DB294" s="28"/>
      <c r="DC294" s="11"/>
      <c r="DD294" s="29"/>
      <c r="DE294" s="11"/>
      <c r="DF294" s="11"/>
      <c r="DG294" s="11"/>
      <c r="DH294" s="11"/>
      <c r="DI294" s="11"/>
      <c r="DJ294" s="11"/>
      <c r="DK294" s="26"/>
      <c r="DL294" s="11"/>
      <c r="DM294" s="29"/>
      <c r="DN294" s="28"/>
      <c r="DO294" s="11"/>
      <c r="DP294" s="11"/>
      <c r="DQ294" s="11"/>
      <c r="DR294" s="29"/>
      <c r="DS294" s="28"/>
      <c r="DT294" s="11"/>
      <c r="DU294" s="26"/>
      <c r="DV294" s="11"/>
      <c r="DW294" s="29"/>
      <c r="DX294" s="28"/>
      <c r="DY294" s="11"/>
      <c r="DZ294" s="26"/>
      <c r="EA294" s="11"/>
      <c r="EB294" s="29"/>
      <c r="EC294" s="28"/>
      <c r="ED294" s="30"/>
      <c r="EE294" s="30" t="str">
        <f ca="1">IFERROR(__xludf.DUMMYFUNCTION("iferror(index(filter('Internal -- Trademark Countries'!E$2:E1000, (AM294 = 'Internal -- Trademark Countries'!B$2:B1000) + (AM294 = 'Internal -- Trademark Countries'!C$2:C1000) + (AM294 = 'Internal -- Trademark Countries'!D$2:D1000)), 1))"),"")</f>
        <v/>
      </c>
      <c r="EF294" s="30" t="e">
        <f ca="1">_xludf.ifs(AM294="", "", COUNTIF('Internal -- Trademark Countries'!B:B,AM294) &gt; 0, "polity_shortest_name", COUNTIF('Internal -- Trademark Countries'!C:C,AM294) &gt; 0, "polity_full_name", COUNTIF('Internal -- Trademark Countries'!D:D,AM294) &gt; 0, "polity_common_name", COUNTIF('Internal -- Trademark Countries'!E:E,AM294) &gt; 0, "shortest_name", COUNTIF('Internal -- Trademark Countries'!A:A,AM294) &gt; 0, "full_name", TRUE, "not a match")</f>
        <v>#NAME?</v>
      </c>
      <c r="EG294" s="30"/>
      <c r="EH294" s="30"/>
      <c r="EI294" s="30"/>
      <c r="EJ294" s="30"/>
      <c r="EK294" s="30" t="str">
        <f t="shared" si="3"/>
        <v/>
      </c>
    </row>
    <row r="295" spans="1:141" ht="16.5">
      <c r="A295" s="11"/>
      <c r="B295" s="11"/>
      <c r="C295" s="11"/>
      <c r="D295" s="11"/>
      <c r="E295" s="11"/>
      <c r="F295" s="11"/>
      <c r="G295" s="11"/>
      <c r="H295" s="11"/>
      <c r="I295" s="11"/>
      <c r="J295" s="11"/>
      <c r="K295" s="27"/>
      <c r="L295" s="11"/>
      <c r="M295" s="11"/>
      <c r="N295" s="11"/>
      <c r="O295" s="11"/>
      <c r="P295" s="15"/>
      <c r="Q295" s="15"/>
      <c r="R295" s="15"/>
      <c r="S295" s="15"/>
      <c r="T295" s="15"/>
      <c r="U295" s="15"/>
      <c r="V295" s="15"/>
      <c r="W295" s="47"/>
      <c r="X295" s="11"/>
      <c r="Y295" s="48"/>
      <c r="Z295" s="11"/>
      <c r="AA295" s="48"/>
      <c r="AB295" s="11"/>
      <c r="AC295" s="48"/>
      <c r="AD295" s="11"/>
      <c r="AE295" s="47"/>
      <c r="AF295" s="11"/>
      <c r="AG295" s="48"/>
      <c r="AH295" s="11"/>
      <c r="AI295" s="48"/>
      <c r="AJ295" s="11"/>
      <c r="AK295" s="48"/>
      <c r="AL295" s="11"/>
      <c r="AM295" s="49"/>
      <c r="AN295" s="49"/>
      <c r="AO295" s="11"/>
      <c r="AP295" s="11"/>
      <c r="AQ295" s="28" t="b">
        <f>IF(COUNTIF(SmartStatus!A$2:A1000, AM295) &gt; 2, TRUE, FALSE)</f>
        <v>0</v>
      </c>
      <c r="AR295" s="29" t="str">
        <f ca="1">IFERROR(__xludf.DUMMYFUNCTION("iferror(if(regexmatch(AO295, ""(?i)^registered""), if(EE295 &lt;&gt; ""polity_shortest_name"", ""CHECK_POLITY"", index(filter(SmartStatus!B$2:B1000, AM295 = SmartStatus!A$2:A1000, not(SmartStatus!C$2:C1000), (isblank(SmartStatus!D$2:D1000)) + ((P295 &lt;&gt; """") * "&amp;"(P295 &lt; SmartStatus!D$2:D1000)), (isblank(SmartStatus!E$2:E1000)) + ((P295 &lt;&gt; """") * (P295 &gt;= SmartStatus!E$2:E1000)), (isblank(SmartStatus!F$2:F1000)) + (((Q295 &lt;&gt; """") * (Q295 &lt; SmartStatus!F$2:F1000)) + ((P295 &lt;&gt; """") * (date(year(P295) + 3, month(P"&amp;"295), day(P295)) &lt; SmartStatus!F$2:F1000))), (isblank(SmartStatus!G$2:G1000)) + (((Q295 &lt;&gt; """") * (Q295 &gt;= SmartStatus!G$2:G1000)) + ((P295 &lt;&gt; """") * (P295 &gt;= SmartStatus!G$2:G1000)))), if(or(regexmatch(B295, ""(?i)^ir [a-z]+ designation$""), N295 &lt;&gt; """&amp;"""), 1, 2))), """"), ""NO_MATCH"")"),"")</f>
        <v/>
      </c>
      <c r="AS295" s="11"/>
      <c r="AT295" s="15"/>
      <c r="AU295" s="11"/>
      <c r="AV295" s="11"/>
      <c r="AW295" s="15"/>
      <c r="AX295" s="15"/>
      <c r="AY295" s="15"/>
      <c r="AZ295" s="11"/>
      <c r="BA295" s="15"/>
      <c r="BB295" s="11"/>
      <c r="BC295" s="11"/>
      <c r="BD295" s="15"/>
      <c r="BE295" s="11"/>
      <c r="BF295" s="11"/>
      <c r="BG295" s="15"/>
      <c r="BH295" s="15"/>
      <c r="BI295" s="15"/>
      <c r="BJ295" s="11"/>
      <c r="BK295" s="15"/>
      <c r="BL295" s="11"/>
      <c r="BM295" s="11"/>
      <c r="BN295" s="15"/>
      <c r="BO295" s="11"/>
      <c r="BP295" s="11"/>
      <c r="BQ295" s="15"/>
      <c r="BR295" s="15"/>
      <c r="BS295" s="15"/>
      <c r="BT295" s="11"/>
      <c r="BU295" s="15"/>
      <c r="BV295" s="11"/>
      <c r="BW295" s="11"/>
      <c r="BX295" s="15"/>
      <c r="BY295" s="11"/>
      <c r="BZ295" s="11"/>
      <c r="CA295" s="15"/>
      <c r="CB295" s="11"/>
      <c r="CC295" s="15"/>
      <c r="CD295" s="11"/>
      <c r="CE295" s="15"/>
      <c r="CF295" s="11"/>
      <c r="CG295" s="11"/>
      <c r="CH295" s="15"/>
      <c r="CI295" s="11"/>
      <c r="CJ295" s="11"/>
      <c r="CK295" s="15"/>
      <c r="CL295" s="11"/>
      <c r="CM295" s="11"/>
      <c r="CN295" s="11"/>
      <c r="CO295" s="11"/>
      <c r="CP295" s="28"/>
      <c r="CQ295" s="28"/>
      <c r="CR295" s="11"/>
      <c r="CS295" s="29"/>
      <c r="CT295" s="11"/>
      <c r="CU295" s="11"/>
      <c r="CV295" s="11"/>
      <c r="CW295" s="11"/>
      <c r="CX295" s="11"/>
      <c r="CY295" s="11"/>
      <c r="CZ295" s="11"/>
      <c r="DA295" s="28"/>
      <c r="DB295" s="28"/>
      <c r="DC295" s="11"/>
      <c r="DD295" s="29"/>
      <c r="DE295" s="11"/>
      <c r="DF295" s="11"/>
      <c r="DG295" s="11"/>
      <c r="DH295" s="11"/>
      <c r="DI295" s="11"/>
      <c r="DJ295" s="11"/>
      <c r="DK295" s="26"/>
      <c r="DL295" s="11"/>
      <c r="DM295" s="29"/>
      <c r="DN295" s="28"/>
      <c r="DO295" s="11"/>
      <c r="DP295" s="11"/>
      <c r="DQ295" s="11"/>
      <c r="DR295" s="29"/>
      <c r="DS295" s="28"/>
      <c r="DT295" s="11"/>
      <c r="DU295" s="26"/>
      <c r="DV295" s="11"/>
      <c r="DW295" s="29"/>
      <c r="DX295" s="28"/>
      <c r="DY295" s="11"/>
      <c r="DZ295" s="26"/>
      <c r="EA295" s="11"/>
      <c r="EB295" s="29"/>
      <c r="EC295" s="28"/>
      <c r="ED295" s="30"/>
      <c r="EE295" s="30" t="str">
        <f ca="1">IFERROR(__xludf.DUMMYFUNCTION("iferror(index(filter('Internal -- Trademark Countries'!E$2:E1000, (AM295 = 'Internal -- Trademark Countries'!B$2:B1000) + (AM295 = 'Internal -- Trademark Countries'!C$2:C1000) + (AM295 = 'Internal -- Trademark Countries'!D$2:D1000)), 1))"),"")</f>
        <v/>
      </c>
      <c r="EF295" s="30" t="e">
        <f ca="1">_xludf.ifs(AM295="", "", COUNTIF('Internal -- Trademark Countries'!B:B,AM295) &gt; 0, "polity_shortest_name", COUNTIF('Internal -- Trademark Countries'!C:C,AM295) &gt; 0, "polity_full_name", COUNTIF('Internal -- Trademark Countries'!D:D,AM295) &gt; 0, "polity_common_name", COUNTIF('Internal -- Trademark Countries'!E:E,AM295) &gt; 0, "shortest_name", COUNTIF('Internal -- Trademark Countries'!A:A,AM295) &gt; 0, "full_name", TRUE, "not a match")</f>
        <v>#NAME?</v>
      </c>
      <c r="EG295" s="30"/>
      <c r="EH295" s="30"/>
      <c r="EI295" s="30"/>
      <c r="EJ295" s="30"/>
      <c r="EK295" s="30" t="str">
        <f t="shared" si="3"/>
        <v/>
      </c>
    </row>
    <row r="296" spans="1:141" ht="16.5">
      <c r="A296" s="11"/>
      <c r="B296" s="11"/>
      <c r="C296" s="11"/>
      <c r="D296" s="11"/>
      <c r="E296" s="11"/>
      <c r="F296" s="11"/>
      <c r="G296" s="11"/>
      <c r="H296" s="11"/>
      <c r="I296" s="11"/>
      <c r="J296" s="11"/>
      <c r="K296" s="27"/>
      <c r="L296" s="11"/>
      <c r="M296" s="11"/>
      <c r="N296" s="11"/>
      <c r="O296" s="11"/>
      <c r="P296" s="15"/>
      <c r="Q296" s="15"/>
      <c r="R296" s="15"/>
      <c r="S296" s="15"/>
      <c r="T296" s="15"/>
      <c r="U296" s="15"/>
      <c r="V296" s="15"/>
      <c r="W296" s="47"/>
      <c r="X296" s="11"/>
      <c r="Y296" s="48"/>
      <c r="Z296" s="11"/>
      <c r="AA296" s="48"/>
      <c r="AB296" s="11"/>
      <c r="AC296" s="48"/>
      <c r="AD296" s="11"/>
      <c r="AE296" s="47"/>
      <c r="AF296" s="11"/>
      <c r="AG296" s="48"/>
      <c r="AH296" s="11"/>
      <c r="AI296" s="48"/>
      <c r="AJ296" s="11"/>
      <c r="AK296" s="48"/>
      <c r="AL296" s="11"/>
      <c r="AM296" s="49"/>
      <c r="AN296" s="49"/>
      <c r="AO296" s="11"/>
      <c r="AP296" s="11"/>
      <c r="AQ296" s="28" t="b">
        <f>IF(COUNTIF(SmartStatus!A$2:A1000, AM296) &gt; 2, TRUE, FALSE)</f>
        <v>0</v>
      </c>
      <c r="AR296" s="29" t="str">
        <f ca="1">IFERROR(__xludf.DUMMYFUNCTION("iferror(if(regexmatch(AO296, ""(?i)^registered""), if(EE296 &lt;&gt; ""polity_shortest_name"", ""CHECK_POLITY"", index(filter(SmartStatus!B$2:B1000, AM296 = SmartStatus!A$2:A1000, not(SmartStatus!C$2:C1000), (isblank(SmartStatus!D$2:D1000)) + ((P296 &lt;&gt; """") * "&amp;"(P296 &lt; SmartStatus!D$2:D1000)), (isblank(SmartStatus!E$2:E1000)) + ((P296 &lt;&gt; """") * (P296 &gt;= SmartStatus!E$2:E1000)), (isblank(SmartStatus!F$2:F1000)) + (((Q296 &lt;&gt; """") * (Q296 &lt; SmartStatus!F$2:F1000)) + ((P296 &lt;&gt; """") * (date(year(P296) + 3, month(P"&amp;"296), day(P296)) &lt; SmartStatus!F$2:F1000))), (isblank(SmartStatus!G$2:G1000)) + (((Q296 &lt;&gt; """") * (Q296 &gt;= SmartStatus!G$2:G1000)) + ((P296 &lt;&gt; """") * (P296 &gt;= SmartStatus!G$2:G1000)))), if(or(regexmatch(B296, ""(?i)^ir [a-z]+ designation$""), N296 &lt;&gt; """&amp;"""), 1, 2))), """"), ""NO_MATCH"")"),"")</f>
        <v/>
      </c>
      <c r="AS296" s="11"/>
      <c r="AT296" s="15"/>
      <c r="AU296" s="11"/>
      <c r="AV296" s="11"/>
      <c r="AW296" s="15"/>
      <c r="AX296" s="15"/>
      <c r="AY296" s="15"/>
      <c r="AZ296" s="11"/>
      <c r="BA296" s="15"/>
      <c r="BB296" s="11"/>
      <c r="BC296" s="11"/>
      <c r="BD296" s="15"/>
      <c r="BE296" s="11"/>
      <c r="BF296" s="11"/>
      <c r="BG296" s="15"/>
      <c r="BH296" s="15"/>
      <c r="BI296" s="15"/>
      <c r="BJ296" s="11"/>
      <c r="BK296" s="15"/>
      <c r="BL296" s="11"/>
      <c r="BM296" s="11"/>
      <c r="BN296" s="15"/>
      <c r="BO296" s="11"/>
      <c r="BP296" s="11"/>
      <c r="BQ296" s="15"/>
      <c r="BR296" s="15"/>
      <c r="BS296" s="15"/>
      <c r="BT296" s="11"/>
      <c r="BU296" s="15"/>
      <c r="BV296" s="11"/>
      <c r="BW296" s="11"/>
      <c r="BX296" s="15"/>
      <c r="BY296" s="11"/>
      <c r="BZ296" s="11"/>
      <c r="CA296" s="15"/>
      <c r="CB296" s="11"/>
      <c r="CC296" s="15"/>
      <c r="CD296" s="11"/>
      <c r="CE296" s="15"/>
      <c r="CF296" s="11"/>
      <c r="CG296" s="11"/>
      <c r="CH296" s="15"/>
      <c r="CI296" s="11"/>
      <c r="CJ296" s="11"/>
      <c r="CK296" s="15"/>
      <c r="CL296" s="11"/>
      <c r="CM296" s="11"/>
      <c r="CN296" s="11"/>
      <c r="CO296" s="11"/>
      <c r="CP296" s="28"/>
      <c r="CQ296" s="28"/>
      <c r="CR296" s="11"/>
      <c r="CS296" s="29"/>
      <c r="CT296" s="11"/>
      <c r="CU296" s="11"/>
      <c r="CV296" s="11"/>
      <c r="CW296" s="11"/>
      <c r="CX296" s="11"/>
      <c r="CY296" s="11"/>
      <c r="CZ296" s="11"/>
      <c r="DA296" s="28"/>
      <c r="DB296" s="28"/>
      <c r="DC296" s="11"/>
      <c r="DD296" s="29"/>
      <c r="DE296" s="11"/>
      <c r="DF296" s="11"/>
      <c r="DG296" s="11"/>
      <c r="DH296" s="11"/>
      <c r="DI296" s="11"/>
      <c r="DJ296" s="11"/>
      <c r="DK296" s="26"/>
      <c r="DL296" s="11"/>
      <c r="DM296" s="29"/>
      <c r="DN296" s="28"/>
      <c r="DO296" s="11"/>
      <c r="DP296" s="11"/>
      <c r="DQ296" s="11"/>
      <c r="DR296" s="29"/>
      <c r="DS296" s="28"/>
      <c r="DT296" s="11"/>
      <c r="DU296" s="26"/>
      <c r="DV296" s="11"/>
      <c r="DW296" s="29"/>
      <c r="DX296" s="28"/>
      <c r="DY296" s="11"/>
      <c r="DZ296" s="26"/>
      <c r="EA296" s="11"/>
      <c r="EB296" s="29"/>
      <c r="EC296" s="28"/>
      <c r="ED296" s="30"/>
      <c r="EE296" s="30" t="str">
        <f ca="1">IFERROR(__xludf.DUMMYFUNCTION("iferror(index(filter('Internal -- Trademark Countries'!E$2:E1000, (AM296 = 'Internal -- Trademark Countries'!B$2:B1000) + (AM296 = 'Internal -- Trademark Countries'!C$2:C1000) + (AM296 = 'Internal -- Trademark Countries'!D$2:D1000)), 1))"),"")</f>
        <v/>
      </c>
      <c r="EF296" s="30" t="e">
        <f ca="1">_xludf.ifs(AM296="", "", COUNTIF('Internal -- Trademark Countries'!B:B,AM296) &gt; 0, "polity_shortest_name", COUNTIF('Internal -- Trademark Countries'!C:C,AM296) &gt; 0, "polity_full_name", COUNTIF('Internal -- Trademark Countries'!D:D,AM296) &gt; 0, "polity_common_name", COUNTIF('Internal -- Trademark Countries'!E:E,AM296) &gt; 0, "shortest_name", COUNTIF('Internal -- Trademark Countries'!A:A,AM296) &gt; 0, "full_name", TRUE, "not a match")</f>
        <v>#NAME?</v>
      </c>
      <c r="EG296" s="30"/>
      <c r="EH296" s="30"/>
      <c r="EI296" s="30"/>
      <c r="EJ296" s="30"/>
      <c r="EK296" s="30" t="str">
        <f t="shared" si="3"/>
        <v/>
      </c>
    </row>
    <row r="297" spans="1:141" ht="16.5">
      <c r="A297" s="11"/>
      <c r="B297" s="11"/>
      <c r="C297" s="11"/>
      <c r="D297" s="11"/>
      <c r="E297" s="11"/>
      <c r="F297" s="11"/>
      <c r="G297" s="11"/>
      <c r="H297" s="11"/>
      <c r="I297" s="11"/>
      <c r="J297" s="11"/>
      <c r="K297" s="27"/>
      <c r="L297" s="11"/>
      <c r="M297" s="11"/>
      <c r="N297" s="11"/>
      <c r="O297" s="11"/>
      <c r="P297" s="15"/>
      <c r="Q297" s="15"/>
      <c r="R297" s="15"/>
      <c r="S297" s="15"/>
      <c r="T297" s="15"/>
      <c r="U297" s="15"/>
      <c r="V297" s="15"/>
      <c r="W297" s="47"/>
      <c r="X297" s="11"/>
      <c r="Y297" s="48"/>
      <c r="Z297" s="11"/>
      <c r="AA297" s="48"/>
      <c r="AB297" s="11"/>
      <c r="AC297" s="48"/>
      <c r="AD297" s="11"/>
      <c r="AE297" s="47"/>
      <c r="AF297" s="11"/>
      <c r="AG297" s="48"/>
      <c r="AH297" s="11"/>
      <c r="AI297" s="48"/>
      <c r="AJ297" s="11"/>
      <c r="AK297" s="48"/>
      <c r="AL297" s="11"/>
      <c r="AM297" s="49"/>
      <c r="AN297" s="49"/>
      <c r="AO297" s="11"/>
      <c r="AP297" s="11"/>
      <c r="AQ297" s="28" t="b">
        <f>IF(COUNTIF(SmartStatus!A$2:A1000, AM297) &gt; 2, TRUE, FALSE)</f>
        <v>0</v>
      </c>
      <c r="AR297" s="29" t="str">
        <f ca="1">IFERROR(__xludf.DUMMYFUNCTION("iferror(if(regexmatch(AO297, ""(?i)^registered""), if(EE297 &lt;&gt; ""polity_shortest_name"", ""CHECK_POLITY"", index(filter(SmartStatus!B$2:B1000, AM297 = SmartStatus!A$2:A1000, not(SmartStatus!C$2:C1000), (isblank(SmartStatus!D$2:D1000)) + ((P297 &lt;&gt; """") * "&amp;"(P297 &lt; SmartStatus!D$2:D1000)), (isblank(SmartStatus!E$2:E1000)) + ((P297 &lt;&gt; """") * (P297 &gt;= SmartStatus!E$2:E1000)), (isblank(SmartStatus!F$2:F1000)) + (((Q297 &lt;&gt; """") * (Q297 &lt; SmartStatus!F$2:F1000)) + ((P297 &lt;&gt; """") * (date(year(P297) + 3, month(P"&amp;"297), day(P297)) &lt; SmartStatus!F$2:F1000))), (isblank(SmartStatus!G$2:G1000)) + (((Q297 &lt;&gt; """") * (Q297 &gt;= SmartStatus!G$2:G1000)) + ((P297 &lt;&gt; """") * (P297 &gt;= SmartStatus!G$2:G1000)))), if(or(regexmatch(B297, ""(?i)^ir [a-z]+ designation$""), N297 &lt;&gt; """&amp;"""), 1, 2))), """"), ""NO_MATCH"")"),"")</f>
        <v/>
      </c>
      <c r="AS297" s="11"/>
      <c r="AT297" s="15"/>
      <c r="AU297" s="11"/>
      <c r="AV297" s="11"/>
      <c r="AW297" s="15"/>
      <c r="AX297" s="15"/>
      <c r="AY297" s="15"/>
      <c r="AZ297" s="11"/>
      <c r="BA297" s="15"/>
      <c r="BB297" s="11"/>
      <c r="BC297" s="11"/>
      <c r="BD297" s="15"/>
      <c r="BE297" s="11"/>
      <c r="BF297" s="11"/>
      <c r="BG297" s="15"/>
      <c r="BH297" s="15"/>
      <c r="BI297" s="15"/>
      <c r="BJ297" s="11"/>
      <c r="BK297" s="15"/>
      <c r="BL297" s="11"/>
      <c r="BM297" s="11"/>
      <c r="BN297" s="15"/>
      <c r="BO297" s="11"/>
      <c r="BP297" s="11"/>
      <c r="BQ297" s="15"/>
      <c r="BR297" s="15"/>
      <c r="BS297" s="15"/>
      <c r="BT297" s="11"/>
      <c r="BU297" s="15"/>
      <c r="BV297" s="11"/>
      <c r="BW297" s="11"/>
      <c r="BX297" s="15"/>
      <c r="BY297" s="11"/>
      <c r="BZ297" s="11"/>
      <c r="CA297" s="15"/>
      <c r="CB297" s="11"/>
      <c r="CC297" s="15"/>
      <c r="CD297" s="11"/>
      <c r="CE297" s="15"/>
      <c r="CF297" s="11"/>
      <c r="CG297" s="11"/>
      <c r="CH297" s="15"/>
      <c r="CI297" s="11"/>
      <c r="CJ297" s="11"/>
      <c r="CK297" s="15"/>
      <c r="CL297" s="11"/>
      <c r="CM297" s="11"/>
      <c r="CN297" s="11"/>
      <c r="CO297" s="11"/>
      <c r="CP297" s="28"/>
      <c r="CQ297" s="28"/>
      <c r="CR297" s="11"/>
      <c r="CS297" s="29"/>
      <c r="CT297" s="11"/>
      <c r="CU297" s="11"/>
      <c r="CV297" s="11"/>
      <c r="CW297" s="11"/>
      <c r="CX297" s="11"/>
      <c r="CY297" s="11"/>
      <c r="CZ297" s="11"/>
      <c r="DA297" s="28"/>
      <c r="DB297" s="28"/>
      <c r="DC297" s="11"/>
      <c r="DD297" s="29"/>
      <c r="DE297" s="11"/>
      <c r="DF297" s="11"/>
      <c r="DG297" s="11"/>
      <c r="DH297" s="11"/>
      <c r="DI297" s="11"/>
      <c r="DJ297" s="11"/>
      <c r="DK297" s="26"/>
      <c r="DL297" s="11"/>
      <c r="DM297" s="29"/>
      <c r="DN297" s="28"/>
      <c r="DO297" s="11"/>
      <c r="DP297" s="11"/>
      <c r="DQ297" s="11"/>
      <c r="DR297" s="29"/>
      <c r="DS297" s="28"/>
      <c r="DT297" s="11"/>
      <c r="DU297" s="26"/>
      <c r="DV297" s="11"/>
      <c r="DW297" s="29"/>
      <c r="DX297" s="28"/>
      <c r="DY297" s="11"/>
      <c r="DZ297" s="26"/>
      <c r="EA297" s="11"/>
      <c r="EB297" s="29"/>
      <c r="EC297" s="28"/>
      <c r="ED297" s="30"/>
      <c r="EE297" s="30" t="str">
        <f ca="1">IFERROR(__xludf.DUMMYFUNCTION("iferror(index(filter('Internal -- Trademark Countries'!E$2:E1000, (AM297 = 'Internal -- Trademark Countries'!B$2:B1000) + (AM297 = 'Internal -- Trademark Countries'!C$2:C1000) + (AM297 = 'Internal -- Trademark Countries'!D$2:D1000)), 1))"),"")</f>
        <v/>
      </c>
      <c r="EF297" s="30" t="e">
        <f ca="1">_xludf.ifs(AM297="", "", COUNTIF('Internal -- Trademark Countries'!B:B,AM297) &gt; 0, "polity_shortest_name", COUNTIF('Internal -- Trademark Countries'!C:C,AM297) &gt; 0, "polity_full_name", COUNTIF('Internal -- Trademark Countries'!D:D,AM297) &gt; 0, "polity_common_name", COUNTIF('Internal -- Trademark Countries'!E:E,AM297) &gt; 0, "shortest_name", COUNTIF('Internal -- Trademark Countries'!A:A,AM297) &gt; 0, "full_name", TRUE, "not a match")</f>
        <v>#NAME?</v>
      </c>
      <c r="EG297" s="30"/>
      <c r="EH297" s="30"/>
      <c r="EI297" s="30"/>
      <c r="EJ297" s="30"/>
      <c r="EK297" s="30" t="str">
        <f t="shared" si="3"/>
        <v/>
      </c>
    </row>
    <row r="298" spans="1:141" ht="16.5">
      <c r="A298" s="11"/>
      <c r="B298" s="11"/>
      <c r="C298" s="11"/>
      <c r="D298" s="11"/>
      <c r="E298" s="11"/>
      <c r="F298" s="11"/>
      <c r="G298" s="11"/>
      <c r="H298" s="11"/>
      <c r="I298" s="11"/>
      <c r="J298" s="11"/>
      <c r="K298" s="27"/>
      <c r="L298" s="11"/>
      <c r="M298" s="11"/>
      <c r="N298" s="11"/>
      <c r="O298" s="11"/>
      <c r="P298" s="15"/>
      <c r="Q298" s="15"/>
      <c r="R298" s="15"/>
      <c r="S298" s="15"/>
      <c r="T298" s="15"/>
      <c r="U298" s="15"/>
      <c r="V298" s="15"/>
      <c r="W298" s="47"/>
      <c r="X298" s="11"/>
      <c r="Y298" s="48"/>
      <c r="Z298" s="11"/>
      <c r="AA298" s="48"/>
      <c r="AB298" s="11"/>
      <c r="AC298" s="48"/>
      <c r="AD298" s="11"/>
      <c r="AE298" s="47"/>
      <c r="AF298" s="11"/>
      <c r="AG298" s="48"/>
      <c r="AH298" s="11"/>
      <c r="AI298" s="48"/>
      <c r="AJ298" s="11"/>
      <c r="AK298" s="48"/>
      <c r="AL298" s="11"/>
      <c r="AM298" s="49"/>
      <c r="AN298" s="49"/>
      <c r="AO298" s="11"/>
      <c r="AP298" s="11"/>
      <c r="AQ298" s="28" t="b">
        <f>IF(COUNTIF(SmartStatus!A$2:A1000, AM298) &gt; 2, TRUE, FALSE)</f>
        <v>0</v>
      </c>
      <c r="AR298" s="29" t="str">
        <f ca="1">IFERROR(__xludf.DUMMYFUNCTION("iferror(if(regexmatch(AO298, ""(?i)^registered""), if(EE298 &lt;&gt; ""polity_shortest_name"", ""CHECK_POLITY"", index(filter(SmartStatus!B$2:B1000, AM298 = SmartStatus!A$2:A1000, not(SmartStatus!C$2:C1000), (isblank(SmartStatus!D$2:D1000)) + ((P298 &lt;&gt; """") * "&amp;"(P298 &lt; SmartStatus!D$2:D1000)), (isblank(SmartStatus!E$2:E1000)) + ((P298 &lt;&gt; """") * (P298 &gt;= SmartStatus!E$2:E1000)), (isblank(SmartStatus!F$2:F1000)) + (((Q298 &lt;&gt; """") * (Q298 &lt; SmartStatus!F$2:F1000)) + ((P298 &lt;&gt; """") * (date(year(P298) + 3, month(P"&amp;"298), day(P298)) &lt; SmartStatus!F$2:F1000))), (isblank(SmartStatus!G$2:G1000)) + (((Q298 &lt;&gt; """") * (Q298 &gt;= SmartStatus!G$2:G1000)) + ((P298 &lt;&gt; """") * (P298 &gt;= SmartStatus!G$2:G1000)))), if(or(regexmatch(B298, ""(?i)^ir [a-z]+ designation$""), N298 &lt;&gt; """&amp;"""), 1, 2))), """"), ""NO_MATCH"")"),"")</f>
        <v/>
      </c>
      <c r="AS298" s="11"/>
      <c r="AT298" s="15"/>
      <c r="AU298" s="11"/>
      <c r="AV298" s="11"/>
      <c r="AW298" s="15"/>
      <c r="AX298" s="15"/>
      <c r="AY298" s="15"/>
      <c r="AZ298" s="11"/>
      <c r="BA298" s="15"/>
      <c r="BB298" s="11"/>
      <c r="BC298" s="11"/>
      <c r="BD298" s="15"/>
      <c r="BE298" s="11"/>
      <c r="BF298" s="11"/>
      <c r="BG298" s="15"/>
      <c r="BH298" s="15"/>
      <c r="BI298" s="15"/>
      <c r="BJ298" s="11"/>
      <c r="BK298" s="15"/>
      <c r="BL298" s="11"/>
      <c r="BM298" s="11"/>
      <c r="BN298" s="15"/>
      <c r="BO298" s="11"/>
      <c r="BP298" s="11"/>
      <c r="BQ298" s="15"/>
      <c r="BR298" s="15"/>
      <c r="BS298" s="15"/>
      <c r="BT298" s="11"/>
      <c r="BU298" s="15"/>
      <c r="BV298" s="11"/>
      <c r="BW298" s="11"/>
      <c r="BX298" s="15"/>
      <c r="BY298" s="11"/>
      <c r="BZ298" s="11"/>
      <c r="CA298" s="15"/>
      <c r="CB298" s="11"/>
      <c r="CC298" s="15"/>
      <c r="CD298" s="11"/>
      <c r="CE298" s="15"/>
      <c r="CF298" s="11"/>
      <c r="CG298" s="11"/>
      <c r="CH298" s="15"/>
      <c r="CI298" s="11"/>
      <c r="CJ298" s="11"/>
      <c r="CK298" s="15"/>
      <c r="CL298" s="11"/>
      <c r="CM298" s="11"/>
      <c r="CN298" s="11"/>
      <c r="CO298" s="11"/>
      <c r="CP298" s="28"/>
      <c r="CQ298" s="28"/>
      <c r="CR298" s="11"/>
      <c r="CS298" s="29"/>
      <c r="CT298" s="11"/>
      <c r="CU298" s="11"/>
      <c r="CV298" s="11"/>
      <c r="CW298" s="11"/>
      <c r="CX298" s="11"/>
      <c r="CY298" s="11"/>
      <c r="CZ298" s="11"/>
      <c r="DA298" s="28"/>
      <c r="DB298" s="28"/>
      <c r="DC298" s="11"/>
      <c r="DD298" s="29"/>
      <c r="DE298" s="11"/>
      <c r="DF298" s="11"/>
      <c r="DG298" s="11"/>
      <c r="DH298" s="11"/>
      <c r="DI298" s="11"/>
      <c r="DJ298" s="11"/>
      <c r="DK298" s="26"/>
      <c r="DL298" s="11"/>
      <c r="DM298" s="29"/>
      <c r="DN298" s="28"/>
      <c r="DO298" s="11"/>
      <c r="DP298" s="11"/>
      <c r="DQ298" s="11"/>
      <c r="DR298" s="29"/>
      <c r="DS298" s="28"/>
      <c r="DT298" s="11"/>
      <c r="DU298" s="26"/>
      <c r="DV298" s="11"/>
      <c r="DW298" s="29"/>
      <c r="DX298" s="28"/>
      <c r="DY298" s="11"/>
      <c r="DZ298" s="26"/>
      <c r="EA298" s="11"/>
      <c r="EB298" s="29"/>
      <c r="EC298" s="28"/>
      <c r="ED298" s="30"/>
      <c r="EE298" s="30" t="str">
        <f ca="1">IFERROR(__xludf.DUMMYFUNCTION("iferror(index(filter('Internal -- Trademark Countries'!E$2:E1000, (AM298 = 'Internal -- Trademark Countries'!B$2:B1000) + (AM298 = 'Internal -- Trademark Countries'!C$2:C1000) + (AM298 = 'Internal -- Trademark Countries'!D$2:D1000)), 1))"),"")</f>
        <v/>
      </c>
      <c r="EF298" s="30" t="e">
        <f ca="1">_xludf.ifs(AM298="", "", COUNTIF('Internal -- Trademark Countries'!B:B,AM298) &gt; 0, "polity_shortest_name", COUNTIF('Internal -- Trademark Countries'!C:C,AM298) &gt; 0, "polity_full_name", COUNTIF('Internal -- Trademark Countries'!D:D,AM298) &gt; 0, "polity_common_name", COUNTIF('Internal -- Trademark Countries'!E:E,AM298) &gt; 0, "shortest_name", COUNTIF('Internal -- Trademark Countries'!A:A,AM298) &gt; 0, "full_name", TRUE, "not a match")</f>
        <v>#NAME?</v>
      </c>
      <c r="EG298" s="30"/>
      <c r="EH298" s="30"/>
      <c r="EI298" s="30"/>
      <c r="EJ298" s="30"/>
      <c r="EK298" s="30" t="str">
        <f t="shared" si="3"/>
        <v/>
      </c>
    </row>
    <row r="299" spans="1:141" ht="16.5">
      <c r="A299" s="11"/>
      <c r="B299" s="11"/>
      <c r="C299" s="11"/>
      <c r="D299" s="11"/>
      <c r="E299" s="11"/>
      <c r="F299" s="11"/>
      <c r="G299" s="11"/>
      <c r="H299" s="11"/>
      <c r="I299" s="11"/>
      <c r="J299" s="11"/>
      <c r="K299" s="27"/>
      <c r="L299" s="11"/>
      <c r="M299" s="11"/>
      <c r="N299" s="11"/>
      <c r="O299" s="11"/>
      <c r="P299" s="15"/>
      <c r="Q299" s="15"/>
      <c r="R299" s="15"/>
      <c r="S299" s="15"/>
      <c r="T299" s="15"/>
      <c r="U299" s="15"/>
      <c r="V299" s="15"/>
      <c r="W299" s="47"/>
      <c r="X299" s="11"/>
      <c r="Y299" s="48"/>
      <c r="Z299" s="11"/>
      <c r="AA299" s="48"/>
      <c r="AB299" s="11"/>
      <c r="AC299" s="48"/>
      <c r="AD299" s="11"/>
      <c r="AE299" s="47"/>
      <c r="AF299" s="11"/>
      <c r="AG299" s="48"/>
      <c r="AH299" s="11"/>
      <c r="AI299" s="48"/>
      <c r="AJ299" s="11"/>
      <c r="AK299" s="48"/>
      <c r="AL299" s="11"/>
      <c r="AM299" s="49"/>
      <c r="AN299" s="49"/>
      <c r="AO299" s="11"/>
      <c r="AP299" s="11"/>
      <c r="AQ299" s="28" t="b">
        <f>IF(COUNTIF(SmartStatus!A$2:A1000, AM299) &gt; 2, TRUE, FALSE)</f>
        <v>0</v>
      </c>
      <c r="AR299" s="29" t="str">
        <f ca="1">IFERROR(__xludf.DUMMYFUNCTION("iferror(if(regexmatch(AO299, ""(?i)^registered""), if(EE299 &lt;&gt; ""polity_shortest_name"", ""CHECK_POLITY"", index(filter(SmartStatus!B$2:B1000, AM299 = SmartStatus!A$2:A1000, not(SmartStatus!C$2:C1000), (isblank(SmartStatus!D$2:D1000)) + ((P299 &lt;&gt; """") * "&amp;"(P299 &lt; SmartStatus!D$2:D1000)), (isblank(SmartStatus!E$2:E1000)) + ((P299 &lt;&gt; """") * (P299 &gt;= SmartStatus!E$2:E1000)), (isblank(SmartStatus!F$2:F1000)) + (((Q299 &lt;&gt; """") * (Q299 &lt; SmartStatus!F$2:F1000)) + ((P299 &lt;&gt; """") * (date(year(P299) + 3, month(P"&amp;"299), day(P299)) &lt; SmartStatus!F$2:F1000))), (isblank(SmartStatus!G$2:G1000)) + (((Q299 &lt;&gt; """") * (Q299 &gt;= SmartStatus!G$2:G1000)) + ((P299 &lt;&gt; """") * (P299 &gt;= SmartStatus!G$2:G1000)))), if(or(regexmatch(B299, ""(?i)^ir [a-z]+ designation$""), N299 &lt;&gt; """&amp;"""), 1, 2))), """"), ""NO_MATCH"")"),"")</f>
        <v/>
      </c>
      <c r="AS299" s="11"/>
      <c r="AT299" s="15"/>
      <c r="AU299" s="11"/>
      <c r="AV299" s="11"/>
      <c r="AW299" s="15"/>
      <c r="AX299" s="15"/>
      <c r="AY299" s="15"/>
      <c r="AZ299" s="11"/>
      <c r="BA299" s="15"/>
      <c r="BB299" s="11"/>
      <c r="BC299" s="11"/>
      <c r="BD299" s="15"/>
      <c r="BE299" s="11"/>
      <c r="BF299" s="11"/>
      <c r="BG299" s="15"/>
      <c r="BH299" s="15"/>
      <c r="BI299" s="15"/>
      <c r="BJ299" s="11"/>
      <c r="BK299" s="15"/>
      <c r="BL299" s="11"/>
      <c r="BM299" s="11"/>
      <c r="BN299" s="15"/>
      <c r="BO299" s="11"/>
      <c r="BP299" s="11"/>
      <c r="BQ299" s="15"/>
      <c r="BR299" s="15"/>
      <c r="BS299" s="15"/>
      <c r="BT299" s="11"/>
      <c r="BU299" s="15"/>
      <c r="BV299" s="11"/>
      <c r="BW299" s="11"/>
      <c r="BX299" s="15"/>
      <c r="BY299" s="11"/>
      <c r="BZ299" s="11"/>
      <c r="CA299" s="15"/>
      <c r="CB299" s="11"/>
      <c r="CC299" s="15"/>
      <c r="CD299" s="11"/>
      <c r="CE299" s="15"/>
      <c r="CF299" s="11"/>
      <c r="CG299" s="11"/>
      <c r="CH299" s="15"/>
      <c r="CI299" s="11"/>
      <c r="CJ299" s="11"/>
      <c r="CK299" s="15"/>
      <c r="CL299" s="11"/>
      <c r="CM299" s="11"/>
      <c r="CN299" s="11"/>
      <c r="CO299" s="11"/>
      <c r="CP299" s="28"/>
      <c r="CQ299" s="28"/>
      <c r="CR299" s="11"/>
      <c r="CS299" s="29"/>
      <c r="CT299" s="11"/>
      <c r="CU299" s="11"/>
      <c r="CV299" s="11"/>
      <c r="CW299" s="11"/>
      <c r="CX299" s="11"/>
      <c r="CY299" s="11"/>
      <c r="CZ299" s="11"/>
      <c r="DA299" s="28"/>
      <c r="DB299" s="28"/>
      <c r="DC299" s="11"/>
      <c r="DD299" s="29"/>
      <c r="DE299" s="11"/>
      <c r="DF299" s="11"/>
      <c r="DG299" s="11"/>
      <c r="DH299" s="11"/>
      <c r="DI299" s="11"/>
      <c r="DJ299" s="11"/>
      <c r="DK299" s="26"/>
      <c r="DL299" s="11"/>
      <c r="DM299" s="29"/>
      <c r="DN299" s="28"/>
      <c r="DO299" s="11"/>
      <c r="DP299" s="11"/>
      <c r="DQ299" s="11"/>
      <c r="DR299" s="29"/>
      <c r="DS299" s="28"/>
      <c r="DT299" s="11"/>
      <c r="DU299" s="26"/>
      <c r="DV299" s="11"/>
      <c r="DW299" s="29"/>
      <c r="DX299" s="28"/>
      <c r="DY299" s="11"/>
      <c r="DZ299" s="26"/>
      <c r="EA299" s="11"/>
      <c r="EB299" s="29"/>
      <c r="EC299" s="28"/>
      <c r="ED299" s="30"/>
      <c r="EE299" s="30" t="str">
        <f ca="1">IFERROR(__xludf.DUMMYFUNCTION("iferror(index(filter('Internal -- Trademark Countries'!E$2:E1000, (AM299 = 'Internal -- Trademark Countries'!B$2:B1000) + (AM299 = 'Internal -- Trademark Countries'!C$2:C1000) + (AM299 = 'Internal -- Trademark Countries'!D$2:D1000)), 1))"),"")</f>
        <v/>
      </c>
      <c r="EF299" s="30" t="e">
        <f ca="1">_xludf.ifs(AM299="", "", COUNTIF('Internal -- Trademark Countries'!B:B,AM299) &gt; 0, "polity_shortest_name", COUNTIF('Internal -- Trademark Countries'!C:C,AM299) &gt; 0, "polity_full_name", COUNTIF('Internal -- Trademark Countries'!D:D,AM299) &gt; 0, "polity_common_name", COUNTIF('Internal -- Trademark Countries'!E:E,AM299) &gt; 0, "shortest_name", COUNTIF('Internal -- Trademark Countries'!A:A,AM299) &gt; 0, "full_name", TRUE, "not a match")</f>
        <v>#NAME?</v>
      </c>
      <c r="EG299" s="30"/>
      <c r="EH299" s="30"/>
      <c r="EI299" s="30"/>
      <c r="EJ299" s="30"/>
      <c r="EK299" s="30" t="str">
        <f t="shared" si="3"/>
        <v/>
      </c>
    </row>
    <row r="300" spans="1:141" ht="16.5">
      <c r="A300" s="11"/>
      <c r="B300" s="11"/>
      <c r="C300" s="11"/>
      <c r="D300" s="11"/>
      <c r="E300" s="11"/>
      <c r="F300" s="11"/>
      <c r="G300" s="11"/>
      <c r="H300" s="11"/>
      <c r="I300" s="11"/>
      <c r="J300" s="11"/>
      <c r="K300" s="27"/>
      <c r="L300" s="11"/>
      <c r="M300" s="11"/>
      <c r="N300" s="11"/>
      <c r="O300" s="11"/>
      <c r="P300" s="15"/>
      <c r="Q300" s="15"/>
      <c r="R300" s="15"/>
      <c r="S300" s="15"/>
      <c r="T300" s="15"/>
      <c r="U300" s="15"/>
      <c r="V300" s="15"/>
      <c r="W300" s="47"/>
      <c r="X300" s="11"/>
      <c r="Y300" s="48"/>
      <c r="Z300" s="11"/>
      <c r="AA300" s="48"/>
      <c r="AB300" s="11"/>
      <c r="AC300" s="48"/>
      <c r="AD300" s="11"/>
      <c r="AE300" s="47"/>
      <c r="AF300" s="11"/>
      <c r="AG300" s="48"/>
      <c r="AH300" s="11"/>
      <c r="AI300" s="48"/>
      <c r="AJ300" s="11"/>
      <c r="AK300" s="48"/>
      <c r="AL300" s="11"/>
      <c r="AM300" s="49"/>
      <c r="AN300" s="49"/>
      <c r="AO300" s="11"/>
      <c r="AP300" s="11"/>
      <c r="AQ300" s="28" t="b">
        <f>IF(COUNTIF(SmartStatus!A$2:A1000, AM300) &gt; 2, TRUE, FALSE)</f>
        <v>0</v>
      </c>
      <c r="AR300" s="29" t="str">
        <f ca="1">IFERROR(__xludf.DUMMYFUNCTION("iferror(if(regexmatch(AO300, ""(?i)^registered""), if(EE300 &lt;&gt; ""polity_shortest_name"", ""CHECK_POLITY"", index(filter(SmartStatus!B$2:B1000, AM300 = SmartStatus!A$2:A1000, not(SmartStatus!C$2:C1000), (isblank(SmartStatus!D$2:D1000)) + ((P300 &lt;&gt; """") * "&amp;"(P300 &lt; SmartStatus!D$2:D1000)), (isblank(SmartStatus!E$2:E1000)) + ((P300 &lt;&gt; """") * (P300 &gt;= SmartStatus!E$2:E1000)), (isblank(SmartStatus!F$2:F1000)) + (((Q300 &lt;&gt; """") * (Q300 &lt; SmartStatus!F$2:F1000)) + ((P300 &lt;&gt; """") * (date(year(P300) + 3, month(P"&amp;"300), day(P300)) &lt; SmartStatus!F$2:F1000))), (isblank(SmartStatus!G$2:G1000)) + (((Q300 &lt;&gt; """") * (Q300 &gt;= SmartStatus!G$2:G1000)) + ((P300 &lt;&gt; """") * (P300 &gt;= SmartStatus!G$2:G1000)))), if(or(regexmatch(B300, ""(?i)^ir [a-z]+ designation$""), N300 &lt;&gt; """&amp;"""), 1, 2))), """"), ""NO_MATCH"")"),"")</f>
        <v/>
      </c>
      <c r="AS300" s="11"/>
      <c r="AT300" s="15"/>
      <c r="AU300" s="11"/>
      <c r="AV300" s="11"/>
      <c r="AW300" s="15"/>
      <c r="AX300" s="15"/>
      <c r="AY300" s="15"/>
      <c r="AZ300" s="11"/>
      <c r="BA300" s="15"/>
      <c r="BB300" s="11"/>
      <c r="BC300" s="11"/>
      <c r="BD300" s="15"/>
      <c r="BE300" s="11"/>
      <c r="BF300" s="11"/>
      <c r="BG300" s="15"/>
      <c r="BH300" s="15"/>
      <c r="BI300" s="15"/>
      <c r="BJ300" s="11"/>
      <c r="BK300" s="15"/>
      <c r="BL300" s="11"/>
      <c r="BM300" s="11"/>
      <c r="BN300" s="15"/>
      <c r="BO300" s="11"/>
      <c r="BP300" s="11"/>
      <c r="BQ300" s="15"/>
      <c r="BR300" s="15"/>
      <c r="BS300" s="15"/>
      <c r="BT300" s="11"/>
      <c r="BU300" s="15"/>
      <c r="BV300" s="11"/>
      <c r="BW300" s="11"/>
      <c r="BX300" s="15"/>
      <c r="BY300" s="11"/>
      <c r="BZ300" s="11"/>
      <c r="CA300" s="15"/>
      <c r="CB300" s="11"/>
      <c r="CC300" s="15"/>
      <c r="CD300" s="11"/>
      <c r="CE300" s="15"/>
      <c r="CF300" s="11"/>
      <c r="CG300" s="11"/>
      <c r="CH300" s="15"/>
      <c r="CI300" s="11"/>
      <c r="CJ300" s="11"/>
      <c r="CK300" s="15"/>
      <c r="CL300" s="11"/>
      <c r="CM300" s="11"/>
      <c r="CN300" s="11"/>
      <c r="CO300" s="11"/>
      <c r="CP300" s="28"/>
      <c r="CQ300" s="28"/>
      <c r="CR300" s="11"/>
      <c r="CS300" s="29"/>
      <c r="CT300" s="11"/>
      <c r="CU300" s="11"/>
      <c r="CV300" s="11"/>
      <c r="CW300" s="11"/>
      <c r="CX300" s="11"/>
      <c r="CY300" s="11"/>
      <c r="CZ300" s="11"/>
      <c r="DA300" s="28"/>
      <c r="DB300" s="28"/>
      <c r="DC300" s="11"/>
      <c r="DD300" s="29"/>
      <c r="DE300" s="11"/>
      <c r="DF300" s="11"/>
      <c r="DG300" s="11"/>
      <c r="DH300" s="11"/>
      <c r="DI300" s="11"/>
      <c r="DJ300" s="11"/>
      <c r="DK300" s="26"/>
      <c r="DL300" s="11"/>
      <c r="DM300" s="29"/>
      <c r="DN300" s="28"/>
      <c r="DO300" s="11"/>
      <c r="DP300" s="11"/>
      <c r="DQ300" s="11"/>
      <c r="DR300" s="29"/>
      <c r="DS300" s="28"/>
      <c r="DT300" s="11"/>
      <c r="DU300" s="26"/>
      <c r="DV300" s="11"/>
      <c r="DW300" s="29"/>
      <c r="DX300" s="28"/>
      <c r="DY300" s="11"/>
      <c r="DZ300" s="26"/>
      <c r="EA300" s="11"/>
      <c r="EB300" s="29"/>
      <c r="EC300" s="28"/>
      <c r="ED300" s="30"/>
      <c r="EE300" s="30" t="str">
        <f ca="1">IFERROR(__xludf.DUMMYFUNCTION("iferror(index(filter('Internal -- Trademark Countries'!E$2:E1000, (AM300 = 'Internal -- Trademark Countries'!B$2:B1000) + (AM300 = 'Internal -- Trademark Countries'!C$2:C1000) + (AM300 = 'Internal -- Trademark Countries'!D$2:D1000)), 1))"),"")</f>
        <v/>
      </c>
      <c r="EF300" s="30" t="e">
        <f ca="1">_xludf.ifs(AM300="", "", COUNTIF('Internal -- Trademark Countries'!B:B,AM300) &gt; 0, "polity_shortest_name", COUNTIF('Internal -- Trademark Countries'!C:C,AM300) &gt; 0, "polity_full_name", COUNTIF('Internal -- Trademark Countries'!D:D,AM300) &gt; 0, "polity_common_name", COUNTIF('Internal -- Trademark Countries'!E:E,AM300) &gt; 0, "shortest_name", COUNTIF('Internal -- Trademark Countries'!A:A,AM300) &gt; 0, "full_name", TRUE, "not a match")</f>
        <v>#NAME?</v>
      </c>
      <c r="EG300" s="30"/>
      <c r="EH300" s="30"/>
      <c r="EI300" s="30"/>
      <c r="EJ300" s="30"/>
      <c r="EK300" s="30" t="str">
        <f t="shared" si="3"/>
        <v/>
      </c>
    </row>
    <row r="301" spans="1:141" ht="16.5">
      <c r="A301" s="11"/>
      <c r="B301" s="11"/>
      <c r="C301" s="11"/>
      <c r="D301" s="11"/>
      <c r="E301" s="11"/>
      <c r="F301" s="11"/>
      <c r="G301" s="11"/>
      <c r="H301" s="11"/>
      <c r="I301" s="11"/>
      <c r="J301" s="11"/>
      <c r="K301" s="27"/>
      <c r="L301" s="11"/>
      <c r="M301" s="11"/>
      <c r="N301" s="11"/>
      <c r="O301" s="11"/>
      <c r="P301" s="15"/>
      <c r="Q301" s="15"/>
      <c r="R301" s="15"/>
      <c r="S301" s="15"/>
      <c r="T301" s="15"/>
      <c r="U301" s="15"/>
      <c r="V301" s="15"/>
      <c r="W301" s="47"/>
      <c r="X301" s="11"/>
      <c r="Y301" s="48"/>
      <c r="Z301" s="11"/>
      <c r="AA301" s="48"/>
      <c r="AB301" s="11"/>
      <c r="AC301" s="48"/>
      <c r="AD301" s="11"/>
      <c r="AE301" s="47"/>
      <c r="AF301" s="11"/>
      <c r="AG301" s="48"/>
      <c r="AH301" s="11"/>
      <c r="AI301" s="48"/>
      <c r="AJ301" s="11"/>
      <c r="AK301" s="48"/>
      <c r="AL301" s="11"/>
      <c r="AM301" s="49"/>
      <c r="AN301" s="49"/>
      <c r="AO301" s="11"/>
      <c r="AP301" s="11"/>
      <c r="AQ301" s="28" t="b">
        <f>IF(COUNTIF(SmartStatus!A$2:A1000, AM301) &gt; 2, TRUE, FALSE)</f>
        <v>0</v>
      </c>
      <c r="AR301" s="29" t="str">
        <f ca="1">IFERROR(__xludf.DUMMYFUNCTION("iferror(if(regexmatch(AO301, ""(?i)^registered""), if(EE301 &lt;&gt; ""polity_shortest_name"", ""CHECK_POLITY"", index(filter(SmartStatus!B$2:B1000, AM301 = SmartStatus!A$2:A1000, not(SmartStatus!C$2:C1000), (isblank(SmartStatus!D$2:D1000)) + ((P301 &lt;&gt; """") * "&amp;"(P301 &lt; SmartStatus!D$2:D1000)), (isblank(SmartStatus!E$2:E1000)) + ((P301 &lt;&gt; """") * (P301 &gt;= SmartStatus!E$2:E1000)), (isblank(SmartStatus!F$2:F1000)) + (((Q301 &lt;&gt; """") * (Q301 &lt; SmartStatus!F$2:F1000)) + ((P301 &lt;&gt; """") * (date(year(P301) + 3, month(P"&amp;"301), day(P301)) &lt; SmartStatus!F$2:F1000))), (isblank(SmartStatus!G$2:G1000)) + (((Q301 &lt;&gt; """") * (Q301 &gt;= SmartStatus!G$2:G1000)) + ((P301 &lt;&gt; """") * (P301 &gt;= SmartStatus!G$2:G1000)))), if(or(regexmatch(B301, ""(?i)^ir [a-z]+ designation$""), N301 &lt;&gt; """&amp;"""), 1, 2))), """"), ""NO_MATCH"")"),"")</f>
        <v/>
      </c>
      <c r="AS301" s="11"/>
      <c r="AT301" s="15"/>
      <c r="AU301" s="11"/>
      <c r="AV301" s="11"/>
      <c r="AW301" s="15"/>
      <c r="AX301" s="15"/>
      <c r="AY301" s="15"/>
      <c r="AZ301" s="11"/>
      <c r="BA301" s="15"/>
      <c r="BB301" s="11"/>
      <c r="BC301" s="11"/>
      <c r="BD301" s="15"/>
      <c r="BE301" s="11"/>
      <c r="BF301" s="11"/>
      <c r="BG301" s="15"/>
      <c r="BH301" s="15"/>
      <c r="BI301" s="15"/>
      <c r="BJ301" s="11"/>
      <c r="BK301" s="15"/>
      <c r="BL301" s="11"/>
      <c r="BM301" s="11"/>
      <c r="BN301" s="15"/>
      <c r="BO301" s="11"/>
      <c r="BP301" s="11"/>
      <c r="BQ301" s="15"/>
      <c r="BR301" s="15"/>
      <c r="BS301" s="15"/>
      <c r="BT301" s="11"/>
      <c r="BU301" s="15"/>
      <c r="BV301" s="11"/>
      <c r="BW301" s="11"/>
      <c r="BX301" s="15"/>
      <c r="BY301" s="11"/>
      <c r="BZ301" s="11"/>
      <c r="CA301" s="15"/>
      <c r="CB301" s="11"/>
      <c r="CC301" s="15"/>
      <c r="CD301" s="11"/>
      <c r="CE301" s="15"/>
      <c r="CF301" s="11"/>
      <c r="CG301" s="11"/>
      <c r="CH301" s="15"/>
      <c r="CI301" s="11"/>
      <c r="CJ301" s="11"/>
      <c r="CK301" s="15"/>
      <c r="CL301" s="11"/>
      <c r="CM301" s="11"/>
      <c r="CN301" s="11"/>
      <c r="CO301" s="11"/>
      <c r="CP301" s="28"/>
      <c r="CQ301" s="28"/>
      <c r="CR301" s="11"/>
      <c r="CS301" s="29"/>
      <c r="CT301" s="11"/>
      <c r="CU301" s="11"/>
      <c r="CV301" s="11"/>
      <c r="CW301" s="11"/>
      <c r="CX301" s="11"/>
      <c r="CY301" s="11"/>
      <c r="CZ301" s="11"/>
      <c r="DA301" s="28"/>
      <c r="DB301" s="28"/>
      <c r="DC301" s="11"/>
      <c r="DD301" s="29"/>
      <c r="DE301" s="11"/>
      <c r="DF301" s="11"/>
      <c r="DG301" s="11"/>
      <c r="DH301" s="11"/>
      <c r="DI301" s="11"/>
      <c r="DJ301" s="11"/>
      <c r="DK301" s="26"/>
      <c r="DL301" s="11"/>
      <c r="DM301" s="29"/>
      <c r="DN301" s="28"/>
      <c r="DO301" s="11"/>
      <c r="DP301" s="11"/>
      <c r="DQ301" s="11"/>
      <c r="DR301" s="29"/>
      <c r="DS301" s="28"/>
      <c r="DT301" s="11"/>
      <c r="DU301" s="26"/>
      <c r="DV301" s="11"/>
      <c r="DW301" s="29"/>
      <c r="DX301" s="28"/>
      <c r="DY301" s="11"/>
      <c r="DZ301" s="26"/>
      <c r="EA301" s="11"/>
      <c r="EB301" s="29"/>
      <c r="EC301" s="28"/>
      <c r="ED301" s="30"/>
      <c r="EE301" s="30" t="str">
        <f ca="1">IFERROR(__xludf.DUMMYFUNCTION("iferror(index(filter('Internal -- Trademark Countries'!E$2:E1000, (AM301 = 'Internal -- Trademark Countries'!B$2:B1000) + (AM301 = 'Internal -- Trademark Countries'!C$2:C1000) + (AM301 = 'Internal -- Trademark Countries'!D$2:D1000)), 1))"),"")</f>
        <v/>
      </c>
      <c r="EF301" s="30" t="e">
        <f ca="1">_xludf.ifs(AM301="", "", COUNTIF('Internal -- Trademark Countries'!B:B,AM301) &gt; 0, "polity_shortest_name", COUNTIF('Internal -- Trademark Countries'!C:C,AM301) &gt; 0, "polity_full_name", COUNTIF('Internal -- Trademark Countries'!D:D,AM301) &gt; 0, "polity_common_name", COUNTIF('Internal -- Trademark Countries'!E:E,AM301) &gt; 0, "shortest_name", COUNTIF('Internal -- Trademark Countries'!A:A,AM301) &gt; 0, "full_name", TRUE, "not a match")</f>
        <v>#NAME?</v>
      </c>
      <c r="EG301" s="30"/>
      <c r="EH301" s="30"/>
      <c r="EI301" s="30"/>
      <c r="EJ301" s="30"/>
      <c r="EK301" s="30" t="str">
        <f t="shared" si="3"/>
        <v/>
      </c>
    </row>
    <row r="302" spans="1:141" ht="16.5">
      <c r="A302" s="11"/>
      <c r="B302" s="11"/>
      <c r="C302" s="11"/>
      <c r="D302" s="11"/>
      <c r="E302" s="11"/>
      <c r="F302" s="11"/>
      <c r="G302" s="11"/>
      <c r="H302" s="11"/>
      <c r="I302" s="11"/>
      <c r="J302" s="11"/>
      <c r="K302" s="27"/>
      <c r="L302" s="11"/>
      <c r="M302" s="11"/>
      <c r="N302" s="11"/>
      <c r="O302" s="11"/>
      <c r="P302" s="15"/>
      <c r="Q302" s="15"/>
      <c r="R302" s="15"/>
      <c r="S302" s="15"/>
      <c r="T302" s="15"/>
      <c r="U302" s="15"/>
      <c r="V302" s="15"/>
      <c r="W302" s="47"/>
      <c r="X302" s="11"/>
      <c r="Y302" s="48"/>
      <c r="Z302" s="11"/>
      <c r="AA302" s="48"/>
      <c r="AB302" s="11"/>
      <c r="AC302" s="48"/>
      <c r="AD302" s="11"/>
      <c r="AE302" s="47"/>
      <c r="AF302" s="11"/>
      <c r="AG302" s="48"/>
      <c r="AH302" s="11"/>
      <c r="AI302" s="48"/>
      <c r="AJ302" s="11"/>
      <c r="AK302" s="48"/>
      <c r="AL302" s="11"/>
      <c r="AM302" s="49"/>
      <c r="AN302" s="49"/>
      <c r="AO302" s="11"/>
      <c r="AP302" s="11"/>
      <c r="AQ302" s="28" t="b">
        <f>IF(COUNTIF(SmartStatus!A$2:A1000, AM302) &gt; 2, TRUE, FALSE)</f>
        <v>0</v>
      </c>
      <c r="AR302" s="29" t="str">
        <f ca="1">IFERROR(__xludf.DUMMYFUNCTION("iferror(if(regexmatch(AO302, ""(?i)^registered""), if(EE302 &lt;&gt; ""polity_shortest_name"", ""CHECK_POLITY"", index(filter(SmartStatus!B$2:B1000, AM302 = SmartStatus!A$2:A1000, not(SmartStatus!C$2:C1000), (isblank(SmartStatus!D$2:D1000)) + ((P302 &lt;&gt; """") * "&amp;"(P302 &lt; SmartStatus!D$2:D1000)), (isblank(SmartStatus!E$2:E1000)) + ((P302 &lt;&gt; """") * (P302 &gt;= SmartStatus!E$2:E1000)), (isblank(SmartStatus!F$2:F1000)) + (((Q302 &lt;&gt; """") * (Q302 &lt; SmartStatus!F$2:F1000)) + ((P302 &lt;&gt; """") * (date(year(P302) + 3, month(P"&amp;"302), day(P302)) &lt; SmartStatus!F$2:F1000))), (isblank(SmartStatus!G$2:G1000)) + (((Q302 &lt;&gt; """") * (Q302 &gt;= SmartStatus!G$2:G1000)) + ((P302 &lt;&gt; """") * (P302 &gt;= SmartStatus!G$2:G1000)))), if(or(regexmatch(B302, ""(?i)^ir [a-z]+ designation$""), N302 &lt;&gt; """&amp;"""), 1, 2))), """"), ""NO_MATCH"")"),"")</f>
        <v/>
      </c>
      <c r="AS302" s="11"/>
      <c r="AT302" s="15"/>
      <c r="AU302" s="11"/>
      <c r="AV302" s="11"/>
      <c r="AW302" s="15"/>
      <c r="AX302" s="15"/>
      <c r="AY302" s="15"/>
      <c r="AZ302" s="11"/>
      <c r="BA302" s="15"/>
      <c r="BB302" s="11"/>
      <c r="BC302" s="11"/>
      <c r="BD302" s="15"/>
      <c r="BE302" s="11"/>
      <c r="BF302" s="11"/>
      <c r="BG302" s="15"/>
      <c r="BH302" s="15"/>
      <c r="BI302" s="15"/>
      <c r="BJ302" s="11"/>
      <c r="BK302" s="15"/>
      <c r="BL302" s="11"/>
      <c r="BM302" s="11"/>
      <c r="BN302" s="15"/>
      <c r="BO302" s="11"/>
      <c r="BP302" s="11"/>
      <c r="BQ302" s="15"/>
      <c r="BR302" s="15"/>
      <c r="BS302" s="15"/>
      <c r="BT302" s="11"/>
      <c r="BU302" s="15"/>
      <c r="BV302" s="11"/>
      <c r="BW302" s="11"/>
      <c r="BX302" s="15"/>
      <c r="BY302" s="11"/>
      <c r="BZ302" s="11"/>
      <c r="CA302" s="15"/>
      <c r="CB302" s="11"/>
      <c r="CC302" s="15"/>
      <c r="CD302" s="11"/>
      <c r="CE302" s="15"/>
      <c r="CF302" s="11"/>
      <c r="CG302" s="11"/>
      <c r="CH302" s="15"/>
      <c r="CI302" s="11"/>
      <c r="CJ302" s="11"/>
      <c r="CK302" s="15"/>
      <c r="CL302" s="11"/>
      <c r="CM302" s="11"/>
      <c r="CN302" s="11"/>
      <c r="CO302" s="11"/>
      <c r="CP302" s="28"/>
      <c r="CQ302" s="28"/>
      <c r="CR302" s="11"/>
      <c r="CS302" s="29"/>
      <c r="CT302" s="11"/>
      <c r="CU302" s="11"/>
      <c r="CV302" s="11"/>
      <c r="CW302" s="11"/>
      <c r="CX302" s="11"/>
      <c r="CY302" s="11"/>
      <c r="CZ302" s="11"/>
      <c r="DA302" s="28"/>
      <c r="DB302" s="28"/>
      <c r="DC302" s="11"/>
      <c r="DD302" s="29"/>
      <c r="DE302" s="11"/>
      <c r="DF302" s="11"/>
      <c r="DG302" s="11"/>
      <c r="DH302" s="11"/>
      <c r="DI302" s="11"/>
      <c r="DJ302" s="11"/>
      <c r="DK302" s="26"/>
      <c r="DL302" s="11"/>
      <c r="DM302" s="29"/>
      <c r="DN302" s="28"/>
      <c r="DO302" s="11"/>
      <c r="DP302" s="11"/>
      <c r="DQ302" s="11"/>
      <c r="DR302" s="29"/>
      <c r="DS302" s="28"/>
      <c r="DT302" s="11"/>
      <c r="DU302" s="26"/>
      <c r="DV302" s="11"/>
      <c r="DW302" s="29"/>
      <c r="DX302" s="28"/>
      <c r="DY302" s="11"/>
      <c r="DZ302" s="26"/>
      <c r="EA302" s="11"/>
      <c r="EB302" s="29"/>
      <c r="EC302" s="28"/>
      <c r="ED302" s="30"/>
      <c r="EE302" s="30" t="str">
        <f ca="1">IFERROR(__xludf.DUMMYFUNCTION("iferror(index(filter('Internal -- Trademark Countries'!E$2:E1000, (AM302 = 'Internal -- Trademark Countries'!B$2:B1000) + (AM302 = 'Internal -- Trademark Countries'!C$2:C1000) + (AM302 = 'Internal -- Trademark Countries'!D$2:D1000)), 1))"),"")</f>
        <v/>
      </c>
      <c r="EF302" s="30" t="e">
        <f ca="1">_xludf.ifs(AM302="", "", COUNTIF('Internal -- Trademark Countries'!B:B,AM302) &gt; 0, "polity_shortest_name", COUNTIF('Internal -- Trademark Countries'!C:C,AM302) &gt; 0, "polity_full_name", COUNTIF('Internal -- Trademark Countries'!D:D,AM302) &gt; 0, "polity_common_name", COUNTIF('Internal -- Trademark Countries'!E:E,AM302) &gt; 0, "shortest_name", COUNTIF('Internal -- Trademark Countries'!A:A,AM302) &gt; 0, "full_name", TRUE, "not a match")</f>
        <v>#NAME?</v>
      </c>
      <c r="EG302" s="30"/>
      <c r="EH302" s="30"/>
      <c r="EI302" s="30"/>
      <c r="EJ302" s="30"/>
      <c r="EK302" s="30" t="str">
        <f t="shared" si="3"/>
        <v/>
      </c>
    </row>
    <row r="303" spans="1:141" ht="16.5">
      <c r="A303" s="11"/>
      <c r="B303" s="11"/>
      <c r="C303" s="11"/>
      <c r="D303" s="11"/>
      <c r="E303" s="11"/>
      <c r="F303" s="11"/>
      <c r="G303" s="11"/>
      <c r="H303" s="11"/>
      <c r="I303" s="11"/>
      <c r="J303" s="11"/>
      <c r="K303" s="27"/>
      <c r="L303" s="11"/>
      <c r="M303" s="11"/>
      <c r="N303" s="11"/>
      <c r="O303" s="11"/>
      <c r="P303" s="15"/>
      <c r="Q303" s="15"/>
      <c r="R303" s="15"/>
      <c r="S303" s="15"/>
      <c r="T303" s="15"/>
      <c r="U303" s="15"/>
      <c r="V303" s="15"/>
      <c r="W303" s="47"/>
      <c r="X303" s="11"/>
      <c r="Y303" s="48"/>
      <c r="Z303" s="11"/>
      <c r="AA303" s="48"/>
      <c r="AB303" s="11"/>
      <c r="AC303" s="48"/>
      <c r="AD303" s="11"/>
      <c r="AE303" s="47"/>
      <c r="AF303" s="11"/>
      <c r="AG303" s="48"/>
      <c r="AH303" s="11"/>
      <c r="AI303" s="48"/>
      <c r="AJ303" s="11"/>
      <c r="AK303" s="48"/>
      <c r="AL303" s="11"/>
      <c r="AM303" s="49"/>
      <c r="AN303" s="49"/>
      <c r="AO303" s="11"/>
      <c r="AP303" s="11"/>
      <c r="AQ303" s="28" t="b">
        <f>IF(COUNTIF(SmartStatus!A$2:A1000, AM303) &gt; 2, TRUE, FALSE)</f>
        <v>0</v>
      </c>
      <c r="AR303" s="29" t="str">
        <f ca="1">IFERROR(__xludf.DUMMYFUNCTION("iferror(if(regexmatch(AO303, ""(?i)^registered""), if(EE303 &lt;&gt; ""polity_shortest_name"", ""CHECK_POLITY"", index(filter(SmartStatus!B$2:B1000, AM303 = SmartStatus!A$2:A1000, not(SmartStatus!C$2:C1000), (isblank(SmartStatus!D$2:D1000)) + ((P303 &lt;&gt; """") * "&amp;"(P303 &lt; SmartStatus!D$2:D1000)), (isblank(SmartStatus!E$2:E1000)) + ((P303 &lt;&gt; """") * (P303 &gt;= SmartStatus!E$2:E1000)), (isblank(SmartStatus!F$2:F1000)) + (((Q303 &lt;&gt; """") * (Q303 &lt; SmartStatus!F$2:F1000)) + ((P303 &lt;&gt; """") * (date(year(P303) + 3, month(P"&amp;"303), day(P303)) &lt; SmartStatus!F$2:F1000))), (isblank(SmartStatus!G$2:G1000)) + (((Q303 &lt;&gt; """") * (Q303 &gt;= SmartStatus!G$2:G1000)) + ((P303 &lt;&gt; """") * (P303 &gt;= SmartStatus!G$2:G1000)))), if(or(regexmatch(B303, ""(?i)^ir [a-z]+ designation$""), N303 &lt;&gt; """&amp;"""), 1, 2))), """"), ""NO_MATCH"")"),"")</f>
        <v/>
      </c>
      <c r="AS303" s="11"/>
      <c r="AT303" s="15"/>
      <c r="AU303" s="11"/>
      <c r="AV303" s="11"/>
      <c r="AW303" s="15"/>
      <c r="AX303" s="15"/>
      <c r="AY303" s="15"/>
      <c r="AZ303" s="11"/>
      <c r="BA303" s="15"/>
      <c r="BB303" s="11"/>
      <c r="BC303" s="11"/>
      <c r="BD303" s="15"/>
      <c r="BE303" s="11"/>
      <c r="BF303" s="11"/>
      <c r="BG303" s="15"/>
      <c r="BH303" s="15"/>
      <c r="BI303" s="15"/>
      <c r="BJ303" s="11"/>
      <c r="BK303" s="15"/>
      <c r="BL303" s="11"/>
      <c r="BM303" s="11"/>
      <c r="BN303" s="15"/>
      <c r="BO303" s="11"/>
      <c r="BP303" s="11"/>
      <c r="BQ303" s="15"/>
      <c r="BR303" s="15"/>
      <c r="BS303" s="15"/>
      <c r="BT303" s="11"/>
      <c r="BU303" s="15"/>
      <c r="BV303" s="11"/>
      <c r="BW303" s="11"/>
      <c r="BX303" s="15"/>
      <c r="BY303" s="11"/>
      <c r="BZ303" s="11"/>
      <c r="CA303" s="15"/>
      <c r="CB303" s="11"/>
      <c r="CC303" s="15"/>
      <c r="CD303" s="11"/>
      <c r="CE303" s="15"/>
      <c r="CF303" s="11"/>
      <c r="CG303" s="11"/>
      <c r="CH303" s="15"/>
      <c r="CI303" s="11"/>
      <c r="CJ303" s="11"/>
      <c r="CK303" s="15"/>
      <c r="CL303" s="11"/>
      <c r="CM303" s="11"/>
      <c r="CN303" s="11"/>
      <c r="CO303" s="11"/>
      <c r="CP303" s="28"/>
      <c r="CQ303" s="28"/>
      <c r="CR303" s="11"/>
      <c r="CS303" s="29"/>
      <c r="CT303" s="11"/>
      <c r="CU303" s="11"/>
      <c r="CV303" s="11"/>
      <c r="CW303" s="11"/>
      <c r="CX303" s="11"/>
      <c r="CY303" s="11"/>
      <c r="CZ303" s="11"/>
      <c r="DA303" s="28"/>
      <c r="DB303" s="28"/>
      <c r="DC303" s="11"/>
      <c r="DD303" s="29"/>
      <c r="DE303" s="11"/>
      <c r="DF303" s="11"/>
      <c r="DG303" s="11"/>
      <c r="DH303" s="11"/>
      <c r="DI303" s="11"/>
      <c r="DJ303" s="11"/>
      <c r="DK303" s="26"/>
      <c r="DL303" s="11"/>
      <c r="DM303" s="29"/>
      <c r="DN303" s="28"/>
      <c r="DO303" s="11"/>
      <c r="DP303" s="11"/>
      <c r="DQ303" s="11"/>
      <c r="DR303" s="29"/>
      <c r="DS303" s="28"/>
      <c r="DT303" s="11"/>
      <c r="DU303" s="26"/>
      <c r="DV303" s="11"/>
      <c r="DW303" s="29"/>
      <c r="DX303" s="28"/>
      <c r="DY303" s="11"/>
      <c r="DZ303" s="26"/>
      <c r="EA303" s="11"/>
      <c r="EB303" s="29"/>
      <c r="EC303" s="28"/>
      <c r="ED303" s="30"/>
      <c r="EE303" s="30" t="str">
        <f ca="1">IFERROR(__xludf.DUMMYFUNCTION("iferror(index(filter('Internal -- Trademark Countries'!E$2:E1000, (AM303 = 'Internal -- Trademark Countries'!B$2:B1000) + (AM303 = 'Internal -- Trademark Countries'!C$2:C1000) + (AM303 = 'Internal -- Trademark Countries'!D$2:D1000)), 1))"),"")</f>
        <v/>
      </c>
      <c r="EF303" s="30" t="e">
        <f ca="1">_xludf.ifs(AM303="", "", COUNTIF('Internal -- Trademark Countries'!B:B,AM303) &gt; 0, "polity_shortest_name", COUNTIF('Internal -- Trademark Countries'!C:C,AM303) &gt; 0, "polity_full_name", COUNTIF('Internal -- Trademark Countries'!D:D,AM303) &gt; 0, "polity_common_name", COUNTIF('Internal -- Trademark Countries'!E:E,AM303) &gt; 0, "shortest_name", COUNTIF('Internal -- Trademark Countries'!A:A,AM303) &gt; 0, "full_name", TRUE, "not a match")</f>
        <v>#NAME?</v>
      </c>
      <c r="EG303" s="30"/>
      <c r="EH303" s="30"/>
      <c r="EI303" s="30"/>
      <c r="EJ303" s="30"/>
      <c r="EK303" s="30" t="str">
        <f t="shared" si="3"/>
        <v/>
      </c>
    </row>
    <row r="304" spans="1:141" ht="16.5">
      <c r="A304" s="11"/>
      <c r="B304" s="11"/>
      <c r="C304" s="11"/>
      <c r="D304" s="11"/>
      <c r="E304" s="11"/>
      <c r="F304" s="11"/>
      <c r="G304" s="11"/>
      <c r="H304" s="11"/>
      <c r="I304" s="11"/>
      <c r="J304" s="11"/>
      <c r="K304" s="27"/>
      <c r="L304" s="11"/>
      <c r="M304" s="11"/>
      <c r="N304" s="11"/>
      <c r="O304" s="11"/>
      <c r="P304" s="15"/>
      <c r="Q304" s="15"/>
      <c r="R304" s="15"/>
      <c r="S304" s="15"/>
      <c r="T304" s="15"/>
      <c r="U304" s="15"/>
      <c r="V304" s="15"/>
      <c r="W304" s="47"/>
      <c r="X304" s="11"/>
      <c r="Y304" s="48"/>
      <c r="Z304" s="11"/>
      <c r="AA304" s="48"/>
      <c r="AB304" s="11"/>
      <c r="AC304" s="48"/>
      <c r="AD304" s="11"/>
      <c r="AE304" s="47"/>
      <c r="AF304" s="11"/>
      <c r="AG304" s="48"/>
      <c r="AH304" s="11"/>
      <c r="AI304" s="48"/>
      <c r="AJ304" s="11"/>
      <c r="AK304" s="48"/>
      <c r="AL304" s="11"/>
      <c r="AM304" s="49"/>
      <c r="AN304" s="49"/>
      <c r="AO304" s="11"/>
      <c r="AP304" s="11"/>
      <c r="AQ304" s="28" t="b">
        <f>IF(COUNTIF(SmartStatus!A$2:A1000, AM304) &gt; 2, TRUE, FALSE)</f>
        <v>0</v>
      </c>
      <c r="AR304" s="29" t="str">
        <f ca="1">IFERROR(__xludf.DUMMYFUNCTION("iferror(if(regexmatch(AO304, ""(?i)^registered""), if(EE304 &lt;&gt; ""polity_shortest_name"", ""CHECK_POLITY"", index(filter(SmartStatus!B$2:B1000, AM304 = SmartStatus!A$2:A1000, not(SmartStatus!C$2:C1000), (isblank(SmartStatus!D$2:D1000)) + ((P304 &lt;&gt; """") * "&amp;"(P304 &lt; SmartStatus!D$2:D1000)), (isblank(SmartStatus!E$2:E1000)) + ((P304 &lt;&gt; """") * (P304 &gt;= SmartStatus!E$2:E1000)), (isblank(SmartStatus!F$2:F1000)) + (((Q304 &lt;&gt; """") * (Q304 &lt; SmartStatus!F$2:F1000)) + ((P304 &lt;&gt; """") * (date(year(P304) + 3, month(P"&amp;"304), day(P304)) &lt; SmartStatus!F$2:F1000))), (isblank(SmartStatus!G$2:G1000)) + (((Q304 &lt;&gt; """") * (Q304 &gt;= SmartStatus!G$2:G1000)) + ((P304 &lt;&gt; """") * (P304 &gt;= SmartStatus!G$2:G1000)))), if(or(regexmatch(B304, ""(?i)^ir [a-z]+ designation$""), N304 &lt;&gt; """&amp;"""), 1, 2))), """"), ""NO_MATCH"")"),"")</f>
        <v/>
      </c>
      <c r="AS304" s="11"/>
      <c r="AT304" s="15"/>
      <c r="AU304" s="11"/>
      <c r="AV304" s="11"/>
      <c r="AW304" s="15"/>
      <c r="AX304" s="15"/>
      <c r="AY304" s="15"/>
      <c r="AZ304" s="11"/>
      <c r="BA304" s="15"/>
      <c r="BB304" s="11"/>
      <c r="BC304" s="11"/>
      <c r="BD304" s="15"/>
      <c r="BE304" s="11"/>
      <c r="BF304" s="11"/>
      <c r="BG304" s="15"/>
      <c r="BH304" s="15"/>
      <c r="BI304" s="15"/>
      <c r="BJ304" s="11"/>
      <c r="BK304" s="15"/>
      <c r="BL304" s="11"/>
      <c r="BM304" s="11"/>
      <c r="BN304" s="15"/>
      <c r="BO304" s="11"/>
      <c r="BP304" s="11"/>
      <c r="BQ304" s="15"/>
      <c r="BR304" s="15"/>
      <c r="BS304" s="15"/>
      <c r="BT304" s="11"/>
      <c r="BU304" s="15"/>
      <c r="BV304" s="11"/>
      <c r="BW304" s="11"/>
      <c r="BX304" s="15"/>
      <c r="BY304" s="11"/>
      <c r="BZ304" s="11"/>
      <c r="CA304" s="15"/>
      <c r="CB304" s="11"/>
      <c r="CC304" s="15"/>
      <c r="CD304" s="11"/>
      <c r="CE304" s="15"/>
      <c r="CF304" s="11"/>
      <c r="CG304" s="11"/>
      <c r="CH304" s="15"/>
      <c r="CI304" s="11"/>
      <c r="CJ304" s="11"/>
      <c r="CK304" s="15"/>
      <c r="CL304" s="11"/>
      <c r="CM304" s="11"/>
      <c r="CN304" s="11"/>
      <c r="CO304" s="11"/>
      <c r="CP304" s="28"/>
      <c r="CQ304" s="28"/>
      <c r="CR304" s="11"/>
      <c r="CS304" s="29"/>
      <c r="CT304" s="11"/>
      <c r="CU304" s="11"/>
      <c r="CV304" s="11"/>
      <c r="CW304" s="11"/>
      <c r="CX304" s="11"/>
      <c r="CY304" s="11"/>
      <c r="CZ304" s="11"/>
      <c r="DA304" s="28"/>
      <c r="DB304" s="28"/>
      <c r="DC304" s="11"/>
      <c r="DD304" s="29"/>
      <c r="DE304" s="11"/>
      <c r="DF304" s="11"/>
      <c r="DG304" s="11"/>
      <c r="DH304" s="11"/>
      <c r="DI304" s="11"/>
      <c r="DJ304" s="11"/>
      <c r="DK304" s="26"/>
      <c r="DL304" s="11"/>
      <c r="DM304" s="29"/>
      <c r="DN304" s="28"/>
      <c r="DO304" s="11"/>
      <c r="DP304" s="11"/>
      <c r="DQ304" s="11"/>
      <c r="DR304" s="29"/>
      <c r="DS304" s="28"/>
      <c r="DT304" s="11"/>
      <c r="DU304" s="26"/>
      <c r="DV304" s="11"/>
      <c r="DW304" s="29"/>
      <c r="DX304" s="28"/>
      <c r="DY304" s="11"/>
      <c r="DZ304" s="26"/>
      <c r="EA304" s="11"/>
      <c r="EB304" s="29"/>
      <c r="EC304" s="28"/>
      <c r="ED304" s="30"/>
      <c r="EE304" s="30" t="str">
        <f ca="1">IFERROR(__xludf.DUMMYFUNCTION("iferror(index(filter('Internal -- Trademark Countries'!E$2:E1000, (AM304 = 'Internal -- Trademark Countries'!B$2:B1000) + (AM304 = 'Internal -- Trademark Countries'!C$2:C1000) + (AM304 = 'Internal -- Trademark Countries'!D$2:D1000)), 1))"),"")</f>
        <v/>
      </c>
      <c r="EF304" s="30" t="e">
        <f ca="1">_xludf.ifs(AM304="", "", COUNTIF('Internal -- Trademark Countries'!B:B,AM304) &gt; 0, "polity_shortest_name", COUNTIF('Internal -- Trademark Countries'!C:C,AM304) &gt; 0, "polity_full_name", COUNTIF('Internal -- Trademark Countries'!D:D,AM304) &gt; 0, "polity_common_name", COUNTIF('Internal -- Trademark Countries'!E:E,AM304) &gt; 0, "shortest_name", COUNTIF('Internal -- Trademark Countries'!A:A,AM304) &gt; 0, "full_name", TRUE, "not a match")</f>
        <v>#NAME?</v>
      </c>
      <c r="EG304" s="30"/>
      <c r="EH304" s="30"/>
      <c r="EI304" s="30"/>
      <c r="EJ304" s="30"/>
      <c r="EK304" s="30" t="str">
        <f t="shared" si="3"/>
        <v/>
      </c>
    </row>
    <row r="305" spans="1:141" ht="16.5">
      <c r="A305" s="11"/>
      <c r="B305" s="11"/>
      <c r="C305" s="11"/>
      <c r="D305" s="11"/>
      <c r="E305" s="11"/>
      <c r="F305" s="11"/>
      <c r="G305" s="11"/>
      <c r="H305" s="11"/>
      <c r="I305" s="11"/>
      <c r="J305" s="11"/>
      <c r="K305" s="27"/>
      <c r="L305" s="11"/>
      <c r="M305" s="11"/>
      <c r="N305" s="11"/>
      <c r="O305" s="11"/>
      <c r="P305" s="15"/>
      <c r="Q305" s="15"/>
      <c r="R305" s="15"/>
      <c r="S305" s="15"/>
      <c r="T305" s="15"/>
      <c r="U305" s="15"/>
      <c r="V305" s="15"/>
      <c r="W305" s="47"/>
      <c r="X305" s="11"/>
      <c r="Y305" s="48"/>
      <c r="Z305" s="11"/>
      <c r="AA305" s="48"/>
      <c r="AB305" s="11"/>
      <c r="AC305" s="48"/>
      <c r="AD305" s="11"/>
      <c r="AE305" s="47"/>
      <c r="AF305" s="11"/>
      <c r="AG305" s="48"/>
      <c r="AH305" s="11"/>
      <c r="AI305" s="48"/>
      <c r="AJ305" s="11"/>
      <c r="AK305" s="48"/>
      <c r="AL305" s="11"/>
      <c r="AM305" s="49"/>
      <c r="AN305" s="49"/>
      <c r="AO305" s="11"/>
      <c r="AP305" s="11"/>
      <c r="AQ305" s="28" t="b">
        <f>IF(COUNTIF(SmartStatus!A$2:A1000, AM305) &gt; 2, TRUE, FALSE)</f>
        <v>0</v>
      </c>
      <c r="AR305" s="29" t="str">
        <f ca="1">IFERROR(__xludf.DUMMYFUNCTION("iferror(if(regexmatch(AO305, ""(?i)^registered""), if(EE305 &lt;&gt; ""polity_shortest_name"", ""CHECK_POLITY"", index(filter(SmartStatus!B$2:B1000, AM305 = SmartStatus!A$2:A1000, not(SmartStatus!C$2:C1000), (isblank(SmartStatus!D$2:D1000)) + ((P305 &lt;&gt; """") * "&amp;"(P305 &lt; SmartStatus!D$2:D1000)), (isblank(SmartStatus!E$2:E1000)) + ((P305 &lt;&gt; """") * (P305 &gt;= SmartStatus!E$2:E1000)), (isblank(SmartStatus!F$2:F1000)) + (((Q305 &lt;&gt; """") * (Q305 &lt; SmartStatus!F$2:F1000)) + ((P305 &lt;&gt; """") * (date(year(P305) + 3, month(P"&amp;"305), day(P305)) &lt; SmartStatus!F$2:F1000))), (isblank(SmartStatus!G$2:G1000)) + (((Q305 &lt;&gt; """") * (Q305 &gt;= SmartStatus!G$2:G1000)) + ((P305 &lt;&gt; """") * (P305 &gt;= SmartStatus!G$2:G1000)))), if(or(regexmatch(B305, ""(?i)^ir [a-z]+ designation$""), N305 &lt;&gt; """&amp;"""), 1, 2))), """"), ""NO_MATCH"")"),"")</f>
        <v/>
      </c>
      <c r="AS305" s="11"/>
      <c r="AT305" s="15"/>
      <c r="AU305" s="11"/>
      <c r="AV305" s="11"/>
      <c r="AW305" s="15"/>
      <c r="AX305" s="15"/>
      <c r="AY305" s="15"/>
      <c r="AZ305" s="11"/>
      <c r="BA305" s="15"/>
      <c r="BB305" s="11"/>
      <c r="BC305" s="11"/>
      <c r="BD305" s="15"/>
      <c r="BE305" s="11"/>
      <c r="BF305" s="11"/>
      <c r="BG305" s="15"/>
      <c r="BH305" s="15"/>
      <c r="BI305" s="15"/>
      <c r="BJ305" s="11"/>
      <c r="BK305" s="15"/>
      <c r="BL305" s="11"/>
      <c r="BM305" s="11"/>
      <c r="BN305" s="15"/>
      <c r="BO305" s="11"/>
      <c r="BP305" s="11"/>
      <c r="BQ305" s="15"/>
      <c r="BR305" s="15"/>
      <c r="BS305" s="15"/>
      <c r="BT305" s="11"/>
      <c r="BU305" s="15"/>
      <c r="BV305" s="11"/>
      <c r="BW305" s="11"/>
      <c r="BX305" s="15"/>
      <c r="BY305" s="11"/>
      <c r="BZ305" s="11"/>
      <c r="CA305" s="15"/>
      <c r="CB305" s="11"/>
      <c r="CC305" s="15"/>
      <c r="CD305" s="11"/>
      <c r="CE305" s="15"/>
      <c r="CF305" s="11"/>
      <c r="CG305" s="11"/>
      <c r="CH305" s="15"/>
      <c r="CI305" s="11"/>
      <c r="CJ305" s="11"/>
      <c r="CK305" s="15"/>
      <c r="CL305" s="11"/>
      <c r="CM305" s="11"/>
      <c r="CN305" s="11"/>
      <c r="CO305" s="11"/>
      <c r="CP305" s="28"/>
      <c r="CQ305" s="28"/>
      <c r="CR305" s="11"/>
      <c r="CS305" s="29"/>
      <c r="CT305" s="11"/>
      <c r="CU305" s="11"/>
      <c r="CV305" s="11"/>
      <c r="CW305" s="11"/>
      <c r="CX305" s="11"/>
      <c r="CY305" s="11"/>
      <c r="CZ305" s="11"/>
      <c r="DA305" s="28"/>
      <c r="DB305" s="28"/>
      <c r="DC305" s="11"/>
      <c r="DD305" s="29"/>
      <c r="DE305" s="11"/>
      <c r="DF305" s="11"/>
      <c r="DG305" s="11"/>
      <c r="DH305" s="11"/>
      <c r="DI305" s="11"/>
      <c r="DJ305" s="11"/>
      <c r="DK305" s="26"/>
      <c r="DL305" s="11"/>
      <c r="DM305" s="29"/>
      <c r="DN305" s="28"/>
      <c r="DO305" s="11"/>
      <c r="DP305" s="11"/>
      <c r="DQ305" s="11"/>
      <c r="DR305" s="29"/>
      <c r="DS305" s="28"/>
      <c r="DT305" s="11"/>
      <c r="DU305" s="26"/>
      <c r="DV305" s="11"/>
      <c r="DW305" s="29"/>
      <c r="DX305" s="28"/>
      <c r="DY305" s="11"/>
      <c r="DZ305" s="26"/>
      <c r="EA305" s="11"/>
      <c r="EB305" s="29"/>
      <c r="EC305" s="28"/>
      <c r="ED305" s="30"/>
      <c r="EE305" s="30" t="str">
        <f ca="1">IFERROR(__xludf.DUMMYFUNCTION("iferror(index(filter('Internal -- Trademark Countries'!E$2:E1000, (AM305 = 'Internal -- Trademark Countries'!B$2:B1000) + (AM305 = 'Internal -- Trademark Countries'!C$2:C1000) + (AM305 = 'Internal -- Trademark Countries'!D$2:D1000)), 1))"),"")</f>
        <v/>
      </c>
      <c r="EF305" s="30" t="e">
        <f ca="1">_xludf.ifs(AM305="", "", COUNTIF('Internal -- Trademark Countries'!B:B,AM305) &gt; 0, "polity_shortest_name", COUNTIF('Internal -- Trademark Countries'!C:C,AM305) &gt; 0, "polity_full_name", COUNTIF('Internal -- Trademark Countries'!D:D,AM305) &gt; 0, "polity_common_name", COUNTIF('Internal -- Trademark Countries'!E:E,AM305) &gt; 0, "shortest_name", COUNTIF('Internal -- Trademark Countries'!A:A,AM305) &gt; 0, "full_name", TRUE, "not a match")</f>
        <v>#NAME?</v>
      </c>
      <c r="EG305" s="30"/>
      <c r="EH305" s="30"/>
      <c r="EI305" s="30"/>
      <c r="EJ305" s="30"/>
      <c r="EK305" s="30" t="str">
        <f t="shared" si="3"/>
        <v/>
      </c>
    </row>
    <row r="306" spans="1:141" ht="16.5">
      <c r="A306" s="11"/>
      <c r="B306" s="11"/>
      <c r="C306" s="11"/>
      <c r="D306" s="11"/>
      <c r="E306" s="11"/>
      <c r="F306" s="11"/>
      <c r="G306" s="11"/>
      <c r="H306" s="11"/>
      <c r="I306" s="11"/>
      <c r="J306" s="11"/>
      <c r="K306" s="27"/>
      <c r="L306" s="11"/>
      <c r="M306" s="11"/>
      <c r="N306" s="11"/>
      <c r="O306" s="11"/>
      <c r="P306" s="15"/>
      <c r="Q306" s="15"/>
      <c r="R306" s="15"/>
      <c r="S306" s="15"/>
      <c r="T306" s="15"/>
      <c r="U306" s="15"/>
      <c r="V306" s="15"/>
      <c r="W306" s="47"/>
      <c r="X306" s="11"/>
      <c r="Y306" s="48"/>
      <c r="Z306" s="11"/>
      <c r="AA306" s="48"/>
      <c r="AB306" s="11"/>
      <c r="AC306" s="48"/>
      <c r="AD306" s="11"/>
      <c r="AE306" s="47"/>
      <c r="AF306" s="11"/>
      <c r="AG306" s="48"/>
      <c r="AH306" s="11"/>
      <c r="AI306" s="48"/>
      <c r="AJ306" s="11"/>
      <c r="AK306" s="48"/>
      <c r="AL306" s="11"/>
      <c r="AM306" s="49"/>
      <c r="AN306" s="49"/>
      <c r="AO306" s="11"/>
      <c r="AP306" s="11"/>
      <c r="AQ306" s="28" t="b">
        <f>IF(COUNTIF(SmartStatus!A$2:A1000, AM306) &gt; 2, TRUE, FALSE)</f>
        <v>0</v>
      </c>
      <c r="AR306" s="29" t="str">
        <f ca="1">IFERROR(__xludf.DUMMYFUNCTION("iferror(if(regexmatch(AO306, ""(?i)^registered""), if(EE306 &lt;&gt; ""polity_shortest_name"", ""CHECK_POLITY"", index(filter(SmartStatus!B$2:B1000, AM306 = SmartStatus!A$2:A1000, not(SmartStatus!C$2:C1000), (isblank(SmartStatus!D$2:D1000)) + ((P306 &lt;&gt; """") * "&amp;"(P306 &lt; SmartStatus!D$2:D1000)), (isblank(SmartStatus!E$2:E1000)) + ((P306 &lt;&gt; """") * (P306 &gt;= SmartStatus!E$2:E1000)), (isblank(SmartStatus!F$2:F1000)) + (((Q306 &lt;&gt; """") * (Q306 &lt; SmartStatus!F$2:F1000)) + ((P306 &lt;&gt; """") * (date(year(P306) + 3, month(P"&amp;"306), day(P306)) &lt; SmartStatus!F$2:F1000))), (isblank(SmartStatus!G$2:G1000)) + (((Q306 &lt;&gt; """") * (Q306 &gt;= SmartStatus!G$2:G1000)) + ((P306 &lt;&gt; """") * (P306 &gt;= SmartStatus!G$2:G1000)))), if(or(regexmatch(B306, ""(?i)^ir [a-z]+ designation$""), N306 &lt;&gt; """&amp;"""), 1, 2))), """"), ""NO_MATCH"")"),"")</f>
        <v/>
      </c>
      <c r="AS306" s="11"/>
      <c r="AT306" s="15"/>
      <c r="AU306" s="11"/>
      <c r="AV306" s="11"/>
      <c r="AW306" s="15"/>
      <c r="AX306" s="15"/>
      <c r="AY306" s="15"/>
      <c r="AZ306" s="11"/>
      <c r="BA306" s="15"/>
      <c r="BB306" s="11"/>
      <c r="BC306" s="11"/>
      <c r="BD306" s="15"/>
      <c r="BE306" s="11"/>
      <c r="BF306" s="11"/>
      <c r="BG306" s="15"/>
      <c r="BH306" s="15"/>
      <c r="BI306" s="15"/>
      <c r="BJ306" s="11"/>
      <c r="BK306" s="15"/>
      <c r="BL306" s="11"/>
      <c r="BM306" s="11"/>
      <c r="BN306" s="15"/>
      <c r="BO306" s="11"/>
      <c r="BP306" s="11"/>
      <c r="BQ306" s="15"/>
      <c r="BR306" s="15"/>
      <c r="BS306" s="15"/>
      <c r="BT306" s="11"/>
      <c r="BU306" s="15"/>
      <c r="BV306" s="11"/>
      <c r="BW306" s="11"/>
      <c r="BX306" s="15"/>
      <c r="BY306" s="11"/>
      <c r="BZ306" s="11"/>
      <c r="CA306" s="15"/>
      <c r="CB306" s="11"/>
      <c r="CC306" s="15"/>
      <c r="CD306" s="11"/>
      <c r="CE306" s="15"/>
      <c r="CF306" s="11"/>
      <c r="CG306" s="11"/>
      <c r="CH306" s="15"/>
      <c r="CI306" s="11"/>
      <c r="CJ306" s="11"/>
      <c r="CK306" s="15"/>
      <c r="CL306" s="11"/>
      <c r="CM306" s="11"/>
      <c r="CN306" s="11"/>
      <c r="CO306" s="11"/>
      <c r="CP306" s="28"/>
      <c r="CQ306" s="28"/>
      <c r="CR306" s="11"/>
      <c r="CS306" s="29"/>
      <c r="CT306" s="11"/>
      <c r="CU306" s="11"/>
      <c r="CV306" s="11"/>
      <c r="CW306" s="11"/>
      <c r="CX306" s="11"/>
      <c r="CY306" s="11"/>
      <c r="CZ306" s="11"/>
      <c r="DA306" s="28"/>
      <c r="DB306" s="28"/>
      <c r="DC306" s="11"/>
      <c r="DD306" s="29"/>
      <c r="DE306" s="11"/>
      <c r="DF306" s="11"/>
      <c r="DG306" s="11"/>
      <c r="DH306" s="11"/>
      <c r="DI306" s="11"/>
      <c r="DJ306" s="11"/>
      <c r="DK306" s="26"/>
      <c r="DL306" s="11"/>
      <c r="DM306" s="29"/>
      <c r="DN306" s="28"/>
      <c r="DO306" s="11"/>
      <c r="DP306" s="11"/>
      <c r="DQ306" s="11"/>
      <c r="DR306" s="29"/>
      <c r="DS306" s="28"/>
      <c r="DT306" s="11"/>
      <c r="DU306" s="26"/>
      <c r="DV306" s="11"/>
      <c r="DW306" s="29"/>
      <c r="DX306" s="28"/>
      <c r="DY306" s="11"/>
      <c r="DZ306" s="26"/>
      <c r="EA306" s="11"/>
      <c r="EB306" s="29"/>
      <c r="EC306" s="28"/>
      <c r="ED306" s="30"/>
      <c r="EE306" s="30" t="str">
        <f ca="1">IFERROR(__xludf.DUMMYFUNCTION("iferror(index(filter('Internal -- Trademark Countries'!E$2:E1000, (AM306 = 'Internal -- Trademark Countries'!B$2:B1000) + (AM306 = 'Internal -- Trademark Countries'!C$2:C1000) + (AM306 = 'Internal -- Trademark Countries'!D$2:D1000)), 1))"),"")</f>
        <v/>
      </c>
      <c r="EF306" s="30" t="e">
        <f ca="1">_xludf.ifs(AM306="", "", COUNTIF('Internal -- Trademark Countries'!B:B,AM306) &gt; 0, "polity_shortest_name", COUNTIF('Internal -- Trademark Countries'!C:C,AM306) &gt; 0, "polity_full_name", COUNTIF('Internal -- Trademark Countries'!D:D,AM306) &gt; 0, "polity_common_name", COUNTIF('Internal -- Trademark Countries'!E:E,AM306) &gt; 0, "shortest_name", COUNTIF('Internal -- Trademark Countries'!A:A,AM306) &gt; 0, "full_name", TRUE, "not a match")</f>
        <v>#NAME?</v>
      </c>
      <c r="EG306" s="30"/>
      <c r="EH306" s="30"/>
      <c r="EI306" s="30"/>
      <c r="EJ306" s="30"/>
      <c r="EK306" s="30" t="str">
        <f t="shared" si="3"/>
        <v/>
      </c>
    </row>
    <row r="307" spans="1:141" ht="16.5">
      <c r="A307" s="11"/>
      <c r="B307" s="11"/>
      <c r="C307" s="11"/>
      <c r="D307" s="11"/>
      <c r="E307" s="11"/>
      <c r="F307" s="11"/>
      <c r="G307" s="11"/>
      <c r="H307" s="11"/>
      <c r="I307" s="11"/>
      <c r="J307" s="11"/>
      <c r="K307" s="27"/>
      <c r="L307" s="11"/>
      <c r="M307" s="11"/>
      <c r="N307" s="11"/>
      <c r="O307" s="11"/>
      <c r="P307" s="15"/>
      <c r="Q307" s="15"/>
      <c r="R307" s="15"/>
      <c r="S307" s="15"/>
      <c r="T307" s="15"/>
      <c r="U307" s="15"/>
      <c r="V307" s="15"/>
      <c r="W307" s="47"/>
      <c r="X307" s="11"/>
      <c r="Y307" s="48"/>
      <c r="Z307" s="11"/>
      <c r="AA307" s="48"/>
      <c r="AB307" s="11"/>
      <c r="AC307" s="48"/>
      <c r="AD307" s="11"/>
      <c r="AE307" s="47"/>
      <c r="AF307" s="11"/>
      <c r="AG307" s="48"/>
      <c r="AH307" s="11"/>
      <c r="AI307" s="48"/>
      <c r="AJ307" s="11"/>
      <c r="AK307" s="48"/>
      <c r="AL307" s="11"/>
      <c r="AM307" s="49"/>
      <c r="AN307" s="49"/>
      <c r="AO307" s="11"/>
      <c r="AP307" s="11"/>
      <c r="AQ307" s="28" t="b">
        <f>IF(COUNTIF(SmartStatus!A$2:A1000, AM307) &gt; 2, TRUE, FALSE)</f>
        <v>0</v>
      </c>
      <c r="AR307" s="29" t="str">
        <f ca="1">IFERROR(__xludf.DUMMYFUNCTION("iferror(if(regexmatch(AO307, ""(?i)^registered""), if(EE307 &lt;&gt; ""polity_shortest_name"", ""CHECK_POLITY"", index(filter(SmartStatus!B$2:B1000, AM307 = SmartStatus!A$2:A1000, not(SmartStatus!C$2:C1000), (isblank(SmartStatus!D$2:D1000)) + ((P307 &lt;&gt; """") * "&amp;"(P307 &lt; SmartStatus!D$2:D1000)), (isblank(SmartStatus!E$2:E1000)) + ((P307 &lt;&gt; """") * (P307 &gt;= SmartStatus!E$2:E1000)), (isblank(SmartStatus!F$2:F1000)) + (((Q307 &lt;&gt; """") * (Q307 &lt; SmartStatus!F$2:F1000)) + ((P307 &lt;&gt; """") * (date(year(P307) + 3, month(P"&amp;"307), day(P307)) &lt; SmartStatus!F$2:F1000))), (isblank(SmartStatus!G$2:G1000)) + (((Q307 &lt;&gt; """") * (Q307 &gt;= SmartStatus!G$2:G1000)) + ((P307 &lt;&gt; """") * (P307 &gt;= SmartStatus!G$2:G1000)))), if(or(regexmatch(B307, ""(?i)^ir [a-z]+ designation$""), N307 &lt;&gt; """&amp;"""), 1, 2))), """"), ""NO_MATCH"")"),"")</f>
        <v/>
      </c>
      <c r="AS307" s="11"/>
      <c r="AT307" s="15"/>
      <c r="AU307" s="11"/>
      <c r="AV307" s="11"/>
      <c r="AW307" s="15"/>
      <c r="AX307" s="15"/>
      <c r="AY307" s="15"/>
      <c r="AZ307" s="11"/>
      <c r="BA307" s="15"/>
      <c r="BB307" s="11"/>
      <c r="BC307" s="11"/>
      <c r="BD307" s="15"/>
      <c r="BE307" s="11"/>
      <c r="BF307" s="11"/>
      <c r="BG307" s="15"/>
      <c r="BH307" s="15"/>
      <c r="BI307" s="15"/>
      <c r="BJ307" s="11"/>
      <c r="BK307" s="15"/>
      <c r="BL307" s="11"/>
      <c r="BM307" s="11"/>
      <c r="BN307" s="15"/>
      <c r="BO307" s="11"/>
      <c r="BP307" s="11"/>
      <c r="BQ307" s="15"/>
      <c r="BR307" s="15"/>
      <c r="BS307" s="15"/>
      <c r="BT307" s="11"/>
      <c r="BU307" s="15"/>
      <c r="BV307" s="11"/>
      <c r="BW307" s="11"/>
      <c r="BX307" s="15"/>
      <c r="BY307" s="11"/>
      <c r="BZ307" s="11"/>
      <c r="CA307" s="15"/>
      <c r="CB307" s="11"/>
      <c r="CC307" s="15"/>
      <c r="CD307" s="11"/>
      <c r="CE307" s="15"/>
      <c r="CF307" s="11"/>
      <c r="CG307" s="11"/>
      <c r="CH307" s="15"/>
      <c r="CI307" s="11"/>
      <c r="CJ307" s="11"/>
      <c r="CK307" s="15"/>
      <c r="CL307" s="11"/>
      <c r="CM307" s="11"/>
      <c r="CN307" s="11"/>
      <c r="CO307" s="11"/>
      <c r="CP307" s="28"/>
      <c r="CQ307" s="28"/>
      <c r="CR307" s="11"/>
      <c r="CS307" s="29"/>
      <c r="CT307" s="11"/>
      <c r="CU307" s="11"/>
      <c r="CV307" s="11"/>
      <c r="CW307" s="11"/>
      <c r="CX307" s="11"/>
      <c r="CY307" s="11"/>
      <c r="CZ307" s="11"/>
      <c r="DA307" s="28"/>
      <c r="DB307" s="28"/>
      <c r="DC307" s="11"/>
      <c r="DD307" s="29"/>
      <c r="DE307" s="11"/>
      <c r="DF307" s="11"/>
      <c r="DG307" s="11"/>
      <c r="DH307" s="11"/>
      <c r="DI307" s="11"/>
      <c r="DJ307" s="11"/>
      <c r="DK307" s="26"/>
      <c r="DL307" s="11"/>
      <c r="DM307" s="29"/>
      <c r="DN307" s="28"/>
      <c r="DO307" s="11"/>
      <c r="DP307" s="11"/>
      <c r="DQ307" s="11"/>
      <c r="DR307" s="29"/>
      <c r="DS307" s="28"/>
      <c r="DT307" s="11"/>
      <c r="DU307" s="26"/>
      <c r="DV307" s="11"/>
      <c r="DW307" s="29"/>
      <c r="DX307" s="28"/>
      <c r="DY307" s="11"/>
      <c r="DZ307" s="26"/>
      <c r="EA307" s="11"/>
      <c r="EB307" s="29"/>
      <c r="EC307" s="28"/>
      <c r="ED307" s="30"/>
      <c r="EE307" s="30" t="str">
        <f ca="1">IFERROR(__xludf.DUMMYFUNCTION("iferror(index(filter('Internal -- Trademark Countries'!E$2:E1000, (AM307 = 'Internal -- Trademark Countries'!B$2:B1000) + (AM307 = 'Internal -- Trademark Countries'!C$2:C1000) + (AM307 = 'Internal -- Trademark Countries'!D$2:D1000)), 1))"),"")</f>
        <v/>
      </c>
      <c r="EF307" s="30" t="e">
        <f ca="1">_xludf.ifs(AM307="", "", COUNTIF('Internal -- Trademark Countries'!B:B,AM307) &gt; 0, "polity_shortest_name", COUNTIF('Internal -- Trademark Countries'!C:C,AM307) &gt; 0, "polity_full_name", COUNTIF('Internal -- Trademark Countries'!D:D,AM307) &gt; 0, "polity_common_name", COUNTIF('Internal -- Trademark Countries'!E:E,AM307) &gt; 0, "shortest_name", COUNTIF('Internal -- Trademark Countries'!A:A,AM307) &gt; 0, "full_name", TRUE, "not a match")</f>
        <v>#NAME?</v>
      </c>
      <c r="EG307" s="30"/>
      <c r="EH307" s="30"/>
      <c r="EI307" s="30"/>
      <c r="EJ307" s="30"/>
      <c r="EK307" s="30" t="str">
        <f t="shared" si="3"/>
        <v/>
      </c>
    </row>
    <row r="308" spans="1:141" ht="16.5">
      <c r="A308" s="11"/>
      <c r="B308" s="11"/>
      <c r="C308" s="11"/>
      <c r="D308" s="11"/>
      <c r="E308" s="11"/>
      <c r="F308" s="11"/>
      <c r="G308" s="11"/>
      <c r="H308" s="11"/>
      <c r="I308" s="11"/>
      <c r="J308" s="11"/>
      <c r="K308" s="27"/>
      <c r="L308" s="11"/>
      <c r="M308" s="11"/>
      <c r="N308" s="11"/>
      <c r="O308" s="11"/>
      <c r="P308" s="15"/>
      <c r="Q308" s="15"/>
      <c r="R308" s="15"/>
      <c r="S308" s="15"/>
      <c r="T308" s="15"/>
      <c r="U308" s="15"/>
      <c r="V308" s="15"/>
      <c r="W308" s="47"/>
      <c r="X308" s="11"/>
      <c r="Y308" s="48"/>
      <c r="Z308" s="11"/>
      <c r="AA308" s="48"/>
      <c r="AB308" s="11"/>
      <c r="AC308" s="48"/>
      <c r="AD308" s="11"/>
      <c r="AE308" s="47"/>
      <c r="AF308" s="11"/>
      <c r="AG308" s="48"/>
      <c r="AH308" s="11"/>
      <c r="AI308" s="48"/>
      <c r="AJ308" s="11"/>
      <c r="AK308" s="48"/>
      <c r="AL308" s="11"/>
      <c r="AM308" s="49"/>
      <c r="AN308" s="49"/>
      <c r="AO308" s="11"/>
      <c r="AP308" s="11"/>
      <c r="AQ308" s="28" t="b">
        <f>IF(COUNTIF(SmartStatus!A$2:A1000, AM308) &gt; 2, TRUE, FALSE)</f>
        <v>0</v>
      </c>
      <c r="AR308" s="29" t="str">
        <f ca="1">IFERROR(__xludf.DUMMYFUNCTION("iferror(if(regexmatch(AO308, ""(?i)^registered""), if(EE308 &lt;&gt; ""polity_shortest_name"", ""CHECK_POLITY"", index(filter(SmartStatus!B$2:B1000, AM308 = SmartStatus!A$2:A1000, not(SmartStatus!C$2:C1000), (isblank(SmartStatus!D$2:D1000)) + ((P308 &lt;&gt; """") * "&amp;"(P308 &lt; SmartStatus!D$2:D1000)), (isblank(SmartStatus!E$2:E1000)) + ((P308 &lt;&gt; """") * (P308 &gt;= SmartStatus!E$2:E1000)), (isblank(SmartStatus!F$2:F1000)) + (((Q308 &lt;&gt; """") * (Q308 &lt; SmartStatus!F$2:F1000)) + ((P308 &lt;&gt; """") * (date(year(P308) + 3, month(P"&amp;"308), day(P308)) &lt; SmartStatus!F$2:F1000))), (isblank(SmartStatus!G$2:G1000)) + (((Q308 &lt;&gt; """") * (Q308 &gt;= SmartStatus!G$2:G1000)) + ((P308 &lt;&gt; """") * (P308 &gt;= SmartStatus!G$2:G1000)))), if(or(regexmatch(B308, ""(?i)^ir [a-z]+ designation$""), N308 &lt;&gt; """&amp;"""), 1, 2))), """"), ""NO_MATCH"")"),"")</f>
        <v/>
      </c>
      <c r="AS308" s="11"/>
      <c r="AT308" s="15"/>
      <c r="AU308" s="11"/>
      <c r="AV308" s="11"/>
      <c r="AW308" s="15"/>
      <c r="AX308" s="15"/>
      <c r="AY308" s="15"/>
      <c r="AZ308" s="11"/>
      <c r="BA308" s="15"/>
      <c r="BB308" s="11"/>
      <c r="BC308" s="11"/>
      <c r="BD308" s="15"/>
      <c r="BE308" s="11"/>
      <c r="BF308" s="11"/>
      <c r="BG308" s="15"/>
      <c r="BH308" s="15"/>
      <c r="BI308" s="15"/>
      <c r="BJ308" s="11"/>
      <c r="BK308" s="15"/>
      <c r="BL308" s="11"/>
      <c r="BM308" s="11"/>
      <c r="BN308" s="15"/>
      <c r="BO308" s="11"/>
      <c r="BP308" s="11"/>
      <c r="BQ308" s="15"/>
      <c r="BR308" s="15"/>
      <c r="BS308" s="15"/>
      <c r="BT308" s="11"/>
      <c r="BU308" s="15"/>
      <c r="BV308" s="11"/>
      <c r="BW308" s="11"/>
      <c r="BX308" s="15"/>
      <c r="BY308" s="11"/>
      <c r="BZ308" s="11"/>
      <c r="CA308" s="15"/>
      <c r="CB308" s="11"/>
      <c r="CC308" s="15"/>
      <c r="CD308" s="11"/>
      <c r="CE308" s="15"/>
      <c r="CF308" s="11"/>
      <c r="CG308" s="11"/>
      <c r="CH308" s="15"/>
      <c r="CI308" s="11"/>
      <c r="CJ308" s="11"/>
      <c r="CK308" s="15"/>
      <c r="CL308" s="11"/>
      <c r="CM308" s="11"/>
      <c r="CN308" s="11"/>
      <c r="CO308" s="11"/>
      <c r="CP308" s="28"/>
      <c r="CQ308" s="28"/>
      <c r="CR308" s="11"/>
      <c r="CS308" s="29"/>
      <c r="CT308" s="11"/>
      <c r="CU308" s="11"/>
      <c r="CV308" s="11"/>
      <c r="CW308" s="11"/>
      <c r="CX308" s="11"/>
      <c r="CY308" s="11"/>
      <c r="CZ308" s="11"/>
      <c r="DA308" s="28"/>
      <c r="DB308" s="28"/>
      <c r="DC308" s="11"/>
      <c r="DD308" s="29"/>
      <c r="DE308" s="11"/>
      <c r="DF308" s="11"/>
      <c r="DG308" s="11"/>
      <c r="DH308" s="11"/>
      <c r="DI308" s="11"/>
      <c r="DJ308" s="11"/>
      <c r="DK308" s="26"/>
      <c r="DL308" s="11"/>
      <c r="DM308" s="29"/>
      <c r="DN308" s="28"/>
      <c r="DO308" s="11"/>
      <c r="DP308" s="11"/>
      <c r="DQ308" s="11"/>
      <c r="DR308" s="29"/>
      <c r="DS308" s="28"/>
      <c r="DT308" s="11"/>
      <c r="DU308" s="26"/>
      <c r="DV308" s="11"/>
      <c r="DW308" s="29"/>
      <c r="DX308" s="28"/>
      <c r="DY308" s="11"/>
      <c r="DZ308" s="26"/>
      <c r="EA308" s="11"/>
      <c r="EB308" s="29"/>
      <c r="EC308" s="28"/>
      <c r="ED308" s="30"/>
      <c r="EE308" s="30" t="str">
        <f ca="1">IFERROR(__xludf.DUMMYFUNCTION("iferror(index(filter('Internal -- Trademark Countries'!E$2:E1000, (AM308 = 'Internal -- Trademark Countries'!B$2:B1000) + (AM308 = 'Internal -- Trademark Countries'!C$2:C1000) + (AM308 = 'Internal -- Trademark Countries'!D$2:D1000)), 1))"),"")</f>
        <v/>
      </c>
      <c r="EF308" s="30" t="e">
        <f ca="1">_xludf.ifs(AM308="", "", COUNTIF('Internal -- Trademark Countries'!B:B,AM308) &gt; 0, "polity_shortest_name", COUNTIF('Internal -- Trademark Countries'!C:C,AM308) &gt; 0, "polity_full_name", COUNTIF('Internal -- Trademark Countries'!D:D,AM308) &gt; 0, "polity_common_name", COUNTIF('Internal -- Trademark Countries'!E:E,AM308) &gt; 0, "shortest_name", COUNTIF('Internal -- Trademark Countries'!A:A,AM308) &gt; 0, "full_name", TRUE, "not a match")</f>
        <v>#NAME?</v>
      </c>
      <c r="EG308" s="30"/>
      <c r="EH308" s="30"/>
      <c r="EI308" s="30"/>
      <c r="EJ308" s="30"/>
      <c r="EK308" s="30" t="str">
        <f t="shared" si="3"/>
        <v/>
      </c>
    </row>
    <row r="309" spans="1:141" ht="16.5">
      <c r="A309" s="11"/>
      <c r="B309" s="11"/>
      <c r="C309" s="11"/>
      <c r="D309" s="11"/>
      <c r="E309" s="11"/>
      <c r="F309" s="11"/>
      <c r="G309" s="11"/>
      <c r="H309" s="11"/>
      <c r="I309" s="11"/>
      <c r="J309" s="11"/>
      <c r="K309" s="27"/>
      <c r="L309" s="11"/>
      <c r="M309" s="11"/>
      <c r="N309" s="11"/>
      <c r="O309" s="11"/>
      <c r="P309" s="15"/>
      <c r="Q309" s="15"/>
      <c r="R309" s="15"/>
      <c r="S309" s="15"/>
      <c r="T309" s="15"/>
      <c r="U309" s="15"/>
      <c r="V309" s="15"/>
      <c r="W309" s="47"/>
      <c r="X309" s="11"/>
      <c r="Y309" s="48"/>
      <c r="Z309" s="11"/>
      <c r="AA309" s="48"/>
      <c r="AB309" s="11"/>
      <c r="AC309" s="48"/>
      <c r="AD309" s="11"/>
      <c r="AE309" s="47"/>
      <c r="AF309" s="11"/>
      <c r="AG309" s="48"/>
      <c r="AH309" s="11"/>
      <c r="AI309" s="48"/>
      <c r="AJ309" s="11"/>
      <c r="AK309" s="48"/>
      <c r="AL309" s="11"/>
      <c r="AM309" s="49"/>
      <c r="AN309" s="49"/>
      <c r="AO309" s="11"/>
      <c r="AP309" s="11"/>
      <c r="AQ309" s="28" t="b">
        <f>IF(COUNTIF(SmartStatus!A$2:A1000, AM309) &gt; 2, TRUE, FALSE)</f>
        <v>0</v>
      </c>
      <c r="AR309" s="29" t="str">
        <f ca="1">IFERROR(__xludf.DUMMYFUNCTION("iferror(if(regexmatch(AO309, ""(?i)^registered""), if(EE309 &lt;&gt; ""polity_shortest_name"", ""CHECK_POLITY"", index(filter(SmartStatus!B$2:B1000, AM309 = SmartStatus!A$2:A1000, not(SmartStatus!C$2:C1000), (isblank(SmartStatus!D$2:D1000)) + ((P309 &lt;&gt; """") * "&amp;"(P309 &lt; SmartStatus!D$2:D1000)), (isblank(SmartStatus!E$2:E1000)) + ((P309 &lt;&gt; """") * (P309 &gt;= SmartStatus!E$2:E1000)), (isblank(SmartStatus!F$2:F1000)) + (((Q309 &lt;&gt; """") * (Q309 &lt; SmartStatus!F$2:F1000)) + ((P309 &lt;&gt; """") * (date(year(P309) + 3, month(P"&amp;"309), day(P309)) &lt; SmartStatus!F$2:F1000))), (isblank(SmartStatus!G$2:G1000)) + (((Q309 &lt;&gt; """") * (Q309 &gt;= SmartStatus!G$2:G1000)) + ((P309 &lt;&gt; """") * (P309 &gt;= SmartStatus!G$2:G1000)))), if(or(regexmatch(B309, ""(?i)^ir [a-z]+ designation$""), N309 &lt;&gt; """&amp;"""), 1, 2))), """"), ""NO_MATCH"")"),"")</f>
        <v/>
      </c>
      <c r="AS309" s="11"/>
      <c r="AT309" s="15"/>
      <c r="AU309" s="11"/>
      <c r="AV309" s="11"/>
      <c r="AW309" s="15"/>
      <c r="AX309" s="15"/>
      <c r="AY309" s="15"/>
      <c r="AZ309" s="11"/>
      <c r="BA309" s="15"/>
      <c r="BB309" s="11"/>
      <c r="BC309" s="11"/>
      <c r="BD309" s="15"/>
      <c r="BE309" s="11"/>
      <c r="BF309" s="11"/>
      <c r="BG309" s="15"/>
      <c r="BH309" s="15"/>
      <c r="BI309" s="15"/>
      <c r="BJ309" s="11"/>
      <c r="BK309" s="15"/>
      <c r="BL309" s="11"/>
      <c r="BM309" s="11"/>
      <c r="BN309" s="15"/>
      <c r="BO309" s="11"/>
      <c r="BP309" s="11"/>
      <c r="BQ309" s="15"/>
      <c r="BR309" s="15"/>
      <c r="BS309" s="15"/>
      <c r="BT309" s="11"/>
      <c r="BU309" s="15"/>
      <c r="BV309" s="11"/>
      <c r="BW309" s="11"/>
      <c r="BX309" s="15"/>
      <c r="BY309" s="11"/>
      <c r="BZ309" s="11"/>
      <c r="CA309" s="15"/>
      <c r="CB309" s="11"/>
      <c r="CC309" s="15"/>
      <c r="CD309" s="11"/>
      <c r="CE309" s="15"/>
      <c r="CF309" s="11"/>
      <c r="CG309" s="11"/>
      <c r="CH309" s="15"/>
      <c r="CI309" s="11"/>
      <c r="CJ309" s="11"/>
      <c r="CK309" s="15"/>
      <c r="CL309" s="11"/>
      <c r="CM309" s="11"/>
      <c r="CN309" s="11"/>
      <c r="CO309" s="11"/>
      <c r="CP309" s="28"/>
      <c r="CQ309" s="28"/>
      <c r="CR309" s="11"/>
      <c r="CS309" s="29"/>
      <c r="CT309" s="11"/>
      <c r="CU309" s="11"/>
      <c r="CV309" s="11"/>
      <c r="CW309" s="11"/>
      <c r="CX309" s="11"/>
      <c r="CY309" s="11"/>
      <c r="CZ309" s="11"/>
      <c r="DA309" s="28"/>
      <c r="DB309" s="28"/>
      <c r="DC309" s="11"/>
      <c r="DD309" s="29"/>
      <c r="DE309" s="11"/>
      <c r="DF309" s="11"/>
      <c r="DG309" s="11"/>
      <c r="DH309" s="11"/>
      <c r="DI309" s="11"/>
      <c r="DJ309" s="11"/>
      <c r="DK309" s="26"/>
      <c r="DL309" s="11"/>
      <c r="DM309" s="29"/>
      <c r="DN309" s="28"/>
      <c r="DO309" s="11"/>
      <c r="DP309" s="11"/>
      <c r="DQ309" s="11"/>
      <c r="DR309" s="29"/>
      <c r="DS309" s="28"/>
      <c r="DT309" s="11"/>
      <c r="DU309" s="26"/>
      <c r="DV309" s="11"/>
      <c r="DW309" s="29"/>
      <c r="DX309" s="28"/>
      <c r="DY309" s="11"/>
      <c r="DZ309" s="26"/>
      <c r="EA309" s="11"/>
      <c r="EB309" s="29"/>
      <c r="EC309" s="28"/>
      <c r="ED309" s="30"/>
      <c r="EE309" s="30" t="str">
        <f ca="1">IFERROR(__xludf.DUMMYFUNCTION("iferror(index(filter('Internal -- Trademark Countries'!E$2:E1000, (AM309 = 'Internal -- Trademark Countries'!B$2:B1000) + (AM309 = 'Internal -- Trademark Countries'!C$2:C1000) + (AM309 = 'Internal -- Trademark Countries'!D$2:D1000)), 1))"),"")</f>
        <v/>
      </c>
      <c r="EF309" s="30" t="e">
        <f ca="1">_xludf.ifs(AM309="", "", COUNTIF('Internal -- Trademark Countries'!B:B,AM309) &gt; 0, "polity_shortest_name", COUNTIF('Internal -- Trademark Countries'!C:C,AM309) &gt; 0, "polity_full_name", COUNTIF('Internal -- Trademark Countries'!D:D,AM309) &gt; 0, "polity_common_name", COUNTIF('Internal -- Trademark Countries'!E:E,AM309) &gt; 0, "shortest_name", COUNTIF('Internal -- Trademark Countries'!A:A,AM309) &gt; 0, "full_name", TRUE, "not a match")</f>
        <v>#NAME?</v>
      </c>
      <c r="EG309" s="30"/>
      <c r="EH309" s="30"/>
      <c r="EI309" s="30"/>
      <c r="EJ309" s="30"/>
      <c r="EK309" s="30" t="str">
        <f t="shared" si="3"/>
        <v/>
      </c>
    </row>
    <row r="310" spans="1:141" ht="16.5">
      <c r="A310" s="11"/>
      <c r="B310" s="11"/>
      <c r="C310" s="11"/>
      <c r="D310" s="11"/>
      <c r="E310" s="11"/>
      <c r="F310" s="11"/>
      <c r="G310" s="11"/>
      <c r="H310" s="11"/>
      <c r="I310" s="11"/>
      <c r="J310" s="11"/>
      <c r="K310" s="27"/>
      <c r="L310" s="11"/>
      <c r="M310" s="11"/>
      <c r="N310" s="11"/>
      <c r="O310" s="11"/>
      <c r="P310" s="15"/>
      <c r="Q310" s="15"/>
      <c r="R310" s="15"/>
      <c r="S310" s="15"/>
      <c r="T310" s="15"/>
      <c r="U310" s="15"/>
      <c r="V310" s="15"/>
      <c r="W310" s="47"/>
      <c r="X310" s="11"/>
      <c r="Y310" s="48"/>
      <c r="Z310" s="11"/>
      <c r="AA310" s="48"/>
      <c r="AB310" s="11"/>
      <c r="AC310" s="48"/>
      <c r="AD310" s="11"/>
      <c r="AE310" s="47"/>
      <c r="AF310" s="11"/>
      <c r="AG310" s="48"/>
      <c r="AH310" s="11"/>
      <c r="AI310" s="48"/>
      <c r="AJ310" s="11"/>
      <c r="AK310" s="48"/>
      <c r="AL310" s="11"/>
      <c r="AM310" s="49"/>
      <c r="AN310" s="49"/>
      <c r="AO310" s="11"/>
      <c r="AP310" s="11"/>
      <c r="AQ310" s="28" t="b">
        <f>IF(COUNTIF(SmartStatus!A$2:A1000, AM310) &gt; 2, TRUE, FALSE)</f>
        <v>0</v>
      </c>
      <c r="AR310" s="29" t="str">
        <f ca="1">IFERROR(__xludf.DUMMYFUNCTION("iferror(if(regexmatch(AO310, ""(?i)^registered""), if(EE310 &lt;&gt; ""polity_shortest_name"", ""CHECK_POLITY"", index(filter(SmartStatus!B$2:B1000, AM310 = SmartStatus!A$2:A1000, not(SmartStatus!C$2:C1000), (isblank(SmartStatus!D$2:D1000)) + ((P310 &lt;&gt; """") * "&amp;"(P310 &lt; SmartStatus!D$2:D1000)), (isblank(SmartStatus!E$2:E1000)) + ((P310 &lt;&gt; """") * (P310 &gt;= SmartStatus!E$2:E1000)), (isblank(SmartStatus!F$2:F1000)) + (((Q310 &lt;&gt; """") * (Q310 &lt; SmartStatus!F$2:F1000)) + ((P310 &lt;&gt; """") * (date(year(P310) + 3, month(P"&amp;"310), day(P310)) &lt; SmartStatus!F$2:F1000))), (isblank(SmartStatus!G$2:G1000)) + (((Q310 &lt;&gt; """") * (Q310 &gt;= SmartStatus!G$2:G1000)) + ((P310 &lt;&gt; """") * (P310 &gt;= SmartStatus!G$2:G1000)))), if(or(regexmatch(B310, ""(?i)^ir [a-z]+ designation$""), N310 &lt;&gt; """&amp;"""), 1, 2))), """"), ""NO_MATCH"")"),"")</f>
        <v/>
      </c>
      <c r="AS310" s="11"/>
      <c r="AT310" s="15"/>
      <c r="AU310" s="11"/>
      <c r="AV310" s="11"/>
      <c r="AW310" s="15"/>
      <c r="AX310" s="15"/>
      <c r="AY310" s="15"/>
      <c r="AZ310" s="11"/>
      <c r="BA310" s="15"/>
      <c r="BB310" s="11"/>
      <c r="BC310" s="11"/>
      <c r="BD310" s="15"/>
      <c r="BE310" s="11"/>
      <c r="BF310" s="11"/>
      <c r="BG310" s="15"/>
      <c r="BH310" s="15"/>
      <c r="BI310" s="15"/>
      <c r="BJ310" s="11"/>
      <c r="BK310" s="15"/>
      <c r="BL310" s="11"/>
      <c r="BM310" s="11"/>
      <c r="BN310" s="15"/>
      <c r="BO310" s="11"/>
      <c r="BP310" s="11"/>
      <c r="BQ310" s="15"/>
      <c r="BR310" s="15"/>
      <c r="BS310" s="15"/>
      <c r="BT310" s="11"/>
      <c r="BU310" s="15"/>
      <c r="BV310" s="11"/>
      <c r="BW310" s="11"/>
      <c r="BX310" s="15"/>
      <c r="BY310" s="11"/>
      <c r="BZ310" s="11"/>
      <c r="CA310" s="15"/>
      <c r="CB310" s="11"/>
      <c r="CC310" s="15"/>
      <c r="CD310" s="11"/>
      <c r="CE310" s="15"/>
      <c r="CF310" s="11"/>
      <c r="CG310" s="11"/>
      <c r="CH310" s="15"/>
      <c r="CI310" s="11"/>
      <c r="CJ310" s="11"/>
      <c r="CK310" s="15"/>
      <c r="CL310" s="11"/>
      <c r="CM310" s="11"/>
      <c r="CN310" s="11"/>
      <c r="CO310" s="11"/>
      <c r="CP310" s="28"/>
      <c r="CQ310" s="28"/>
      <c r="CR310" s="11"/>
      <c r="CS310" s="29"/>
      <c r="CT310" s="11"/>
      <c r="CU310" s="11"/>
      <c r="CV310" s="11"/>
      <c r="CW310" s="11"/>
      <c r="CX310" s="11"/>
      <c r="CY310" s="11"/>
      <c r="CZ310" s="11"/>
      <c r="DA310" s="28"/>
      <c r="DB310" s="28"/>
      <c r="DC310" s="11"/>
      <c r="DD310" s="29"/>
      <c r="DE310" s="11"/>
      <c r="DF310" s="11"/>
      <c r="DG310" s="11"/>
      <c r="DH310" s="11"/>
      <c r="DI310" s="11"/>
      <c r="DJ310" s="11"/>
      <c r="DK310" s="26"/>
      <c r="DL310" s="11"/>
      <c r="DM310" s="29"/>
      <c r="DN310" s="28"/>
      <c r="DO310" s="11"/>
      <c r="DP310" s="11"/>
      <c r="DQ310" s="11"/>
      <c r="DR310" s="29"/>
      <c r="DS310" s="28"/>
      <c r="DT310" s="11"/>
      <c r="DU310" s="26"/>
      <c r="DV310" s="11"/>
      <c r="DW310" s="29"/>
      <c r="DX310" s="28"/>
      <c r="DY310" s="11"/>
      <c r="DZ310" s="26"/>
      <c r="EA310" s="11"/>
      <c r="EB310" s="29"/>
      <c r="EC310" s="28"/>
      <c r="ED310" s="30"/>
      <c r="EE310" s="30" t="str">
        <f ca="1">IFERROR(__xludf.DUMMYFUNCTION("iferror(index(filter('Internal -- Trademark Countries'!E$2:E1000, (AM310 = 'Internal -- Trademark Countries'!B$2:B1000) + (AM310 = 'Internal -- Trademark Countries'!C$2:C1000) + (AM310 = 'Internal -- Trademark Countries'!D$2:D1000)), 1))"),"")</f>
        <v/>
      </c>
      <c r="EF310" s="30" t="e">
        <f ca="1">_xludf.ifs(AM310="", "", COUNTIF('Internal -- Trademark Countries'!B:B,AM310) &gt; 0, "polity_shortest_name", COUNTIF('Internal -- Trademark Countries'!C:C,AM310) &gt; 0, "polity_full_name", COUNTIF('Internal -- Trademark Countries'!D:D,AM310) &gt; 0, "polity_common_name", COUNTIF('Internal -- Trademark Countries'!E:E,AM310) &gt; 0, "shortest_name", COUNTIF('Internal -- Trademark Countries'!A:A,AM310) &gt; 0, "full_name", TRUE, "not a match")</f>
        <v>#NAME?</v>
      </c>
      <c r="EG310" s="30"/>
      <c r="EH310" s="30"/>
      <c r="EI310" s="30"/>
      <c r="EJ310" s="30"/>
      <c r="EK310" s="30" t="str">
        <f t="shared" si="3"/>
        <v/>
      </c>
    </row>
    <row r="311" spans="1:141" ht="16.5">
      <c r="A311" s="11"/>
      <c r="B311" s="11"/>
      <c r="C311" s="11"/>
      <c r="D311" s="11"/>
      <c r="E311" s="11"/>
      <c r="F311" s="11"/>
      <c r="G311" s="11"/>
      <c r="H311" s="11"/>
      <c r="I311" s="11"/>
      <c r="J311" s="11"/>
      <c r="K311" s="27"/>
      <c r="L311" s="11"/>
      <c r="M311" s="11"/>
      <c r="N311" s="11"/>
      <c r="O311" s="11"/>
      <c r="P311" s="15"/>
      <c r="Q311" s="15"/>
      <c r="R311" s="15"/>
      <c r="S311" s="15"/>
      <c r="T311" s="15"/>
      <c r="U311" s="15"/>
      <c r="V311" s="15"/>
      <c r="W311" s="47"/>
      <c r="X311" s="11"/>
      <c r="Y311" s="48"/>
      <c r="Z311" s="11"/>
      <c r="AA311" s="48"/>
      <c r="AB311" s="11"/>
      <c r="AC311" s="48"/>
      <c r="AD311" s="11"/>
      <c r="AE311" s="47"/>
      <c r="AF311" s="11"/>
      <c r="AG311" s="48"/>
      <c r="AH311" s="11"/>
      <c r="AI311" s="48"/>
      <c r="AJ311" s="11"/>
      <c r="AK311" s="48"/>
      <c r="AL311" s="11"/>
      <c r="AM311" s="49"/>
      <c r="AN311" s="49"/>
      <c r="AO311" s="11"/>
      <c r="AP311" s="11"/>
      <c r="AQ311" s="28" t="b">
        <f>IF(COUNTIF(SmartStatus!A$2:A1000, AM311) &gt; 2, TRUE, FALSE)</f>
        <v>0</v>
      </c>
      <c r="AR311" s="29" t="str">
        <f ca="1">IFERROR(__xludf.DUMMYFUNCTION("iferror(if(regexmatch(AO311, ""(?i)^registered""), if(EE311 &lt;&gt; ""polity_shortest_name"", ""CHECK_POLITY"", index(filter(SmartStatus!B$2:B1000, AM311 = SmartStatus!A$2:A1000, not(SmartStatus!C$2:C1000), (isblank(SmartStatus!D$2:D1000)) + ((P311 &lt;&gt; """") * "&amp;"(P311 &lt; SmartStatus!D$2:D1000)), (isblank(SmartStatus!E$2:E1000)) + ((P311 &lt;&gt; """") * (P311 &gt;= SmartStatus!E$2:E1000)), (isblank(SmartStatus!F$2:F1000)) + (((Q311 &lt;&gt; """") * (Q311 &lt; SmartStatus!F$2:F1000)) + ((P311 &lt;&gt; """") * (date(year(P311) + 3, month(P"&amp;"311), day(P311)) &lt; SmartStatus!F$2:F1000))), (isblank(SmartStatus!G$2:G1000)) + (((Q311 &lt;&gt; """") * (Q311 &gt;= SmartStatus!G$2:G1000)) + ((P311 &lt;&gt; """") * (P311 &gt;= SmartStatus!G$2:G1000)))), if(or(regexmatch(B311, ""(?i)^ir [a-z]+ designation$""), N311 &lt;&gt; """&amp;"""), 1, 2))), """"), ""NO_MATCH"")"),"")</f>
        <v/>
      </c>
      <c r="AS311" s="11"/>
      <c r="AT311" s="15"/>
      <c r="AU311" s="11"/>
      <c r="AV311" s="11"/>
      <c r="AW311" s="15"/>
      <c r="AX311" s="15"/>
      <c r="AY311" s="15"/>
      <c r="AZ311" s="11"/>
      <c r="BA311" s="15"/>
      <c r="BB311" s="11"/>
      <c r="BC311" s="11"/>
      <c r="BD311" s="15"/>
      <c r="BE311" s="11"/>
      <c r="BF311" s="11"/>
      <c r="BG311" s="15"/>
      <c r="BH311" s="15"/>
      <c r="BI311" s="15"/>
      <c r="BJ311" s="11"/>
      <c r="BK311" s="15"/>
      <c r="BL311" s="11"/>
      <c r="BM311" s="11"/>
      <c r="BN311" s="15"/>
      <c r="BO311" s="11"/>
      <c r="BP311" s="11"/>
      <c r="BQ311" s="15"/>
      <c r="BR311" s="15"/>
      <c r="BS311" s="15"/>
      <c r="BT311" s="11"/>
      <c r="BU311" s="15"/>
      <c r="BV311" s="11"/>
      <c r="BW311" s="11"/>
      <c r="BX311" s="15"/>
      <c r="BY311" s="11"/>
      <c r="BZ311" s="11"/>
      <c r="CA311" s="15"/>
      <c r="CB311" s="11"/>
      <c r="CC311" s="15"/>
      <c r="CD311" s="11"/>
      <c r="CE311" s="15"/>
      <c r="CF311" s="11"/>
      <c r="CG311" s="11"/>
      <c r="CH311" s="15"/>
      <c r="CI311" s="11"/>
      <c r="CJ311" s="11"/>
      <c r="CK311" s="15"/>
      <c r="CL311" s="11"/>
      <c r="CM311" s="11"/>
      <c r="CN311" s="11"/>
      <c r="CO311" s="11"/>
      <c r="CP311" s="28"/>
      <c r="CQ311" s="28"/>
      <c r="CR311" s="11"/>
      <c r="CS311" s="29"/>
      <c r="CT311" s="11"/>
      <c r="CU311" s="11"/>
      <c r="CV311" s="11"/>
      <c r="CW311" s="11"/>
      <c r="CX311" s="11"/>
      <c r="CY311" s="11"/>
      <c r="CZ311" s="11"/>
      <c r="DA311" s="28"/>
      <c r="DB311" s="28"/>
      <c r="DC311" s="11"/>
      <c r="DD311" s="29"/>
      <c r="DE311" s="11"/>
      <c r="DF311" s="11"/>
      <c r="DG311" s="11"/>
      <c r="DH311" s="11"/>
      <c r="DI311" s="11"/>
      <c r="DJ311" s="11"/>
      <c r="DK311" s="26"/>
      <c r="DL311" s="11"/>
      <c r="DM311" s="29"/>
      <c r="DN311" s="28"/>
      <c r="DO311" s="11"/>
      <c r="DP311" s="11"/>
      <c r="DQ311" s="11"/>
      <c r="DR311" s="29"/>
      <c r="DS311" s="28"/>
      <c r="DT311" s="11"/>
      <c r="DU311" s="26"/>
      <c r="DV311" s="11"/>
      <c r="DW311" s="29"/>
      <c r="DX311" s="28"/>
      <c r="DY311" s="11"/>
      <c r="DZ311" s="26"/>
      <c r="EA311" s="11"/>
      <c r="EB311" s="29"/>
      <c r="EC311" s="28"/>
      <c r="ED311" s="30"/>
      <c r="EE311" s="30" t="str">
        <f ca="1">IFERROR(__xludf.DUMMYFUNCTION("iferror(index(filter('Internal -- Trademark Countries'!E$2:E1000, (AM311 = 'Internal -- Trademark Countries'!B$2:B1000) + (AM311 = 'Internal -- Trademark Countries'!C$2:C1000) + (AM311 = 'Internal -- Trademark Countries'!D$2:D1000)), 1))"),"")</f>
        <v/>
      </c>
      <c r="EF311" s="30" t="e">
        <f ca="1">_xludf.ifs(AM311="", "", COUNTIF('Internal -- Trademark Countries'!B:B,AM311) &gt; 0, "polity_shortest_name", COUNTIF('Internal -- Trademark Countries'!C:C,AM311) &gt; 0, "polity_full_name", COUNTIF('Internal -- Trademark Countries'!D:D,AM311) &gt; 0, "polity_common_name", COUNTIF('Internal -- Trademark Countries'!E:E,AM311) &gt; 0, "shortest_name", COUNTIF('Internal -- Trademark Countries'!A:A,AM311) &gt; 0, "full_name", TRUE, "not a match")</f>
        <v>#NAME?</v>
      </c>
      <c r="EG311" s="30"/>
      <c r="EH311" s="30"/>
      <c r="EI311" s="30"/>
      <c r="EJ311" s="30"/>
      <c r="EK311" s="30" t="str">
        <f t="shared" si="3"/>
        <v/>
      </c>
    </row>
    <row r="312" spans="1:141" ht="16.5">
      <c r="A312" s="11"/>
      <c r="B312" s="11"/>
      <c r="C312" s="11"/>
      <c r="D312" s="11"/>
      <c r="E312" s="11"/>
      <c r="F312" s="11"/>
      <c r="G312" s="11"/>
      <c r="H312" s="11"/>
      <c r="I312" s="11"/>
      <c r="J312" s="11"/>
      <c r="K312" s="27"/>
      <c r="L312" s="11"/>
      <c r="M312" s="11"/>
      <c r="N312" s="11"/>
      <c r="O312" s="11"/>
      <c r="P312" s="15"/>
      <c r="Q312" s="15"/>
      <c r="R312" s="15"/>
      <c r="S312" s="15"/>
      <c r="T312" s="15"/>
      <c r="U312" s="15"/>
      <c r="V312" s="15"/>
      <c r="W312" s="47"/>
      <c r="X312" s="11"/>
      <c r="Y312" s="48"/>
      <c r="Z312" s="11"/>
      <c r="AA312" s="48"/>
      <c r="AB312" s="11"/>
      <c r="AC312" s="48"/>
      <c r="AD312" s="11"/>
      <c r="AE312" s="47"/>
      <c r="AF312" s="11"/>
      <c r="AG312" s="48"/>
      <c r="AH312" s="11"/>
      <c r="AI312" s="48"/>
      <c r="AJ312" s="11"/>
      <c r="AK312" s="48"/>
      <c r="AL312" s="11"/>
      <c r="AM312" s="49"/>
      <c r="AN312" s="49"/>
      <c r="AO312" s="11"/>
      <c r="AP312" s="11"/>
      <c r="AQ312" s="28" t="b">
        <f>IF(COUNTIF(SmartStatus!A$2:A1000, AM312) &gt; 2, TRUE, FALSE)</f>
        <v>0</v>
      </c>
      <c r="AR312" s="29" t="str">
        <f ca="1">IFERROR(__xludf.DUMMYFUNCTION("iferror(if(regexmatch(AO312, ""(?i)^registered""), if(EE312 &lt;&gt; ""polity_shortest_name"", ""CHECK_POLITY"", index(filter(SmartStatus!B$2:B1000, AM312 = SmartStatus!A$2:A1000, not(SmartStatus!C$2:C1000), (isblank(SmartStatus!D$2:D1000)) + ((P312 &lt;&gt; """") * "&amp;"(P312 &lt; SmartStatus!D$2:D1000)), (isblank(SmartStatus!E$2:E1000)) + ((P312 &lt;&gt; """") * (P312 &gt;= SmartStatus!E$2:E1000)), (isblank(SmartStatus!F$2:F1000)) + (((Q312 &lt;&gt; """") * (Q312 &lt; SmartStatus!F$2:F1000)) + ((P312 &lt;&gt; """") * (date(year(P312) + 3, month(P"&amp;"312), day(P312)) &lt; SmartStatus!F$2:F1000))), (isblank(SmartStatus!G$2:G1000)) + (((Q312 &lt;&gt; """") * (Q312 &gt;= SmartStatus!G$2:G1000)) + ((P312 &lt;&gt; """") * (P312 &gt;= SmartStatus!G$2:G1000)))), if(or(regexmatch(B312, ""(?i)^ir [a-z]+ designation$""), N312 &lt;&gt; """&amp;"""), 1, 2))), """"), ""NO_MATCH"")"),"")</f>
        <v/>
      </c>
      <c r="AS312" s="11"/>
      <c r="AT312" s="15"/>
      <c r="AU312" s="11"/>
      <c r="AV312" s="11"/>
      <c r="AW312" s="15"/>
      <c r="AX312" s="15"/>
      <c r="AY312" s="15"/>
      <c r="AZ312" s="11"/>
      <c r="BA312" s="15"/>
      <c r="BB312" s="11"/>
      <c r="BC312" s="11"/>
      <c r="BD312" s="15"/>
      <c r="BE312" s="11"/>
      <c r="BF312" s="11"/>
      <c r="BG312" s="15"/>
      <c r="BH312" s="15"/>
      <c r="BI312" s="15"/>
      <c r="BJ312" s="11"/>
      <c r="BK312" s="15"/>
      <c r="BL312" s="11"/>
      <c r="BM312" s="11"/>
      <c r="BN312" s="15"/>
      <c r="BO312" s="11"/>
      <c r="BP312" s="11"/>
      <c r="BQ312" s="15"/>
      <c r="BR312" s="15"/>
      <c r="BS312" s="15"/>
      <c r="BT312" s="11"/>
      <c r="BU312" s="15"/>
      <c r="BV312" s="11"/>
      <c r="BW312" s="11"/>
      <c r="BX312" s="15"/>
      <c r="BY312" s="11"/>
      <c r="BZ312" s="11"/>
      <c r="CA312" s="15"/>
      <c r="CB312" s="11"/>
      <c r="CC312" s="15"/>
      <c r="CD312" s="11"/>
      <c r="CE312" s="15"/>
      <c r="CF312" s="11"/>
      <c r="CG312" s="11"/>
      <c r="CH312" s="15"/>
      <c r="CI312" s="11"/>
      <c r="CJ312" s="11"/>
      <c r="CK312" s="15"/>
      <c r="CL312" s="11"/>
      <c r="CM312" s="11"/>
      <c r="CN312" s="11"/>
      <c r="CO312" s="11"/>
      <c r="CP312" s="28"/>
      <c r="CQ312" s="28"/>
      <c r="CR312" s="11"/>
      <c r="CS312" s="29"/>
      <c r="CT312" s="11"/>
      <c r="CU312" s="11"/>
      <c r="CV312" s="11"/>
      <c r="CW312" s="11"/>
      <c r="CX312" s="11"/>
      <c r="CY312" s="11"/>
      <c r="CZ312" s="11"/>
      <c r="DA312" s="28"/>
      <c r="DB312" s="28"/>
      <c r="DC312" s="11"/>
      <c r="DD312" s="29"/>
      <c r="DE312" s="11"/>
      <c r="DF312" s="11"/>
      <c r="DG312" s="11"/>
      <c r="DH312" s="11"/>
      <c r="DI312" s="11"/>
      <c r="DJ312" s="11"/>
      <c r="DK312" s="26"/>
      <c r="DL312" s="11"/>
      <c r="DM312" s="29"/>
      <c r="DN312" s="28"/>
      <c r="DO312" s="11"/>
      <c r="DP312" s="11"/>
      <c r="DQ312" s="11"/>
      <c r="DR312" s="29"/>
      <c r="DS312" s="28"/>
      <c r="DT312" s="11"/>
      <c r="DU312" s="26"/>
      <c r="DV312" s="11"/>
      <c r="DW312" s="29"/>
      <c r="DX312" s="28"/>
      <c r="DY312" s="11"/>
      <c r="DZ312" s="26"/>
      <c r="EA312" s="11"/>
      <c r="EB312" s="29"/>
      <c r="EC312" s="28"/>
      <c r="ED312" s="30"/>
      <c r="EE312" s="30" t="str">
        <f ca="1">IFERROR(__xludf.DUMMYFUNCTION("iferror(index(filter('Internal -- Trademark Countries'!E$2:E1000, (AM312 = 'Internal -- Trademark Countries'!B$2:B1000) + (AM312 = 'Internal -- Trademark Countries'!C$2:C1000) + (AM312 = 'Internal -- Trademark Countries'!D$2:D1000)), 1))"),"")</f>
        <v/>
      </c>
      <c r="EF312" s="30" t="e">
        <f ca="1">_xludf.ifs(AM312="", "", COUNTIF('Internal -- Trademark Countries'!B:B,AM312) &gt; 0, "polity_shortest_name", COUNTIF('Internal -- Trademark Countries'!C:C,AM312) &gt; 0, "polity_full_name", COUNTIF('Internal -- Trademark Countries'!D:D,AM312) &gt; 0, "polity_common_name", COUNTIF('Internal -- Trademark Countries'!E:E,AM312) &gt; 0, "shortest_name", COUNTIF('Internal -- Trademark Countries'!A:A,AM312) &gt; 0, "full_name", TRUE, "not a match")</f>
        <v>#NAME?</v>
      </c>
      <c r="EG312" s="30"/>
      <c r="EH312" s="30"/>
      <c r="EI312" s="30"/>
      <c r="EJ312" s="30"/>
      <c r="EK312" s="30" t="str">
        <f t="shared" si="3"/>
        <v/>
      </c>
    </row>
    <row r="313" spans="1:141" ht="16.5">
      <c r="A313" s="11"/>
      <c r="B313" s="11"/>
      <c r="C313" s="11"/>
      <c r="D313" s="11"/>
      <c r="E313" s="11"/>
      <c r="F313" s="11"/>
      <c r="G313" s="11"/>
      <c r="H313" s="11"/>
      <c r="I313" s="11"/>
      <c r="J313" s="11"/>
      <c r="K313" s="27"/>
      <c r="L313" s="11"/>
      <c r="M313" s="11"/>
      <c r="N313" s="11"/>
      <c r="O313" s="11"/>
      <c r="P313" s="15"/>
      <c r="Q313" s="15"/>
      <c r="R313" s="15"/>
      <c r="S313" s="15"/>
      <c r="T313" s="15"/>
      <c r="U313" s="15"/>
      <c r="V313" s="15"/>
      <c r="W313" s="47"/>
      <c r="X313" s="11"/>
      <c r="Y313" s="48"/>
      <c r="Z313" s="11"/>
      <c r="AA313" s="48"/>
      <c r="AB313" s="11"/>
      <c r="AC313" s="48"/>
      <c r="AD313" s="11"/>
      <c r="AE313" s="47"/>
      <c r="AF313" s="11"/>
      <c r="AG313" s="48"/>
      <c r="AH313" s="11"/>
      <c r="AI313" s="48"/>
      <c r="AJ313" s="11"/>
      <c r="AK313" s="48"/>
      <c r="AL313" s="11"/>
      <c r="AM313" s="49"/>
      <c r="AN313" s="49"/>
      <c r="AO313" s="11"/>
      <c r="AP313" s="11"/>
      <c r="AQ313" s="28" t="b">
        <f>IF(COUNTIF(SmartStatus!A$2:A1000, AM313) &gt; 2, TRUE, FALSE)</f>
        <v>0</v>
      </c>
      <c r="AR313" s="29" t="str">
        <f ca="1">IFERROR(__xludf.DUMMYFUNCTION("iferror(if(regexmatch(AO313, ""(?i)^registered""), if(EE313 &lt;&gt; ""polity_shortest_name"", ""CHECK_POLITY"", index(filter(SmartStatus!B$2:B1000, AM313 = SmartStatus!A$2:A1000, not(SmartStatus!C$2:C1000), (isblank(SmartStatus!D$2:D1000)) + ((P313 &lt;&gt; """") * "&amp;"(P313 &lt; SmartStatus!D$2:D1000)), (isblank(SmartStatus!E$2:E1000)) + ((P313 &lt;&gt; """") * (P313 &gt;= SmartStatus!E$2:E1000)), (isblank(SmartStatus!F$2:F1000)) + (((Q313 &lt;&gt; """") * (Q313 &lt; SmartStatus!F$2:F1000)) + ((P313 &lt;&gt; """") * (date(year(P313) + 3, month(P"&amp;"313), day(P313)) &lt; SmartStatus!F$2:F1000))), (isblank(SmartStatus!G$2:G1000)) + (((Q313 &lt;&gt; """") * (Q313 &gt;= SmartStatus!G$2:G1000)) + ((P313 &lt;&gt; """") * (P313 &gt;= SmartStatus!G$2:G1000)))), if(or(regexmatch(B313, ""(?i)^ir [a-z]+ designation$""), N313 &lt;&gt; """&amp;"""), 1, 2))), """"), ""NO_MATCH"")"),"")</f>
        <v/>
      </c>
      <c r="AS313" s="11"/>
      <c r="AT313" s="15"/>
      <c r="AU313" s="11"/>
      <c r="AV313" s="11"/>
      <c r="AW313" s="15"/>
      <c r="AX313" s="15"/>
      <c r="AY313" s="15"/>
      <c r="AZ313" s="11"/>
      <c r="BA313" s="15"/>
      <c r="BB313" s="11"/>
      <c r="BC313" s="11"/>
      <c r="BD313" s="15"/>
      <c r="BE313" s="11"/>
      <c r="BF313" s="11"/>
      <c r="BG313" s="15"/>
      <c r="BH313" s="15"/>
      <c r="BI313" s="15"/>
      <c r="BJ313" s="11"/>
      <c r="BK313" s="15"/>
      <c r="BL313" s="11"/>
      <c r="BM313" s="11"/>
      <c r="BN313" s="15"/>
      <c r="BO313" s="11"/>
      <c r="BP313" s="11"/>
      <c r="BQ313" s="15"/>
      <c r="BR313" s="15"/>
      <c r="BS313" s="15"/>
      <c r="BT313" s="11"/>
      <c r="BU313" s="15"/>
      <c r="BV313" s="11"/>
      <c r="BW313" s="11"/>
      <c r="BX313" s="15"/>
      <c r="BY313" s="11"/>
      <c r="BZ313" s="11"/>
      <c r="CA313" s="15"/>
      <c r="CB313" s="11"/>
      <c r="CC313" s="15"/>
      <c r="CD313" s="11"/>
      <c r="CE313" s="15"/>
      <c r="CF313" s="11"/>
      <c r="CG313" s="11"/>
      <c r="CH313" s="15"/>
      <c r="CI313" s="11"/>
      <c r="CJ313" s="11"/>
      <c r="CK313" s="15"/>
      <c r="CL313" s="11"/>
      <c r="CM313" s="11"/>
      <c r="CN313" s="11"/>
      <c r="CO313" s="11"/>
      <c r="CP313" s="28"/>
      <c r="CQ313" s="28"/>
      <c r="CR313" s="11"/>
      <c r="CS313" s="29"/>
      <c r="CT313" s="11"/>
      <c r="CU313" s="11"/>
      <c r="CV313" s="11"/>
      <c r="CW313" s="11"/>
      <c r="CX313" s="11"/>
      <c r="CY313" s="11"/>
      <c r="CZ313" s="11"/>
      <c r="DA313" s="28"/>
      <c r="DB313" s="28"/>
      <c r="DC313" s="11"/>
      <c r="DD313" s="29"/>
      <c r="DE313" s="11"/>
      <c r="DF313" s="11"/>
      <c r="DG313" s="11"/>
      <c r="DH313" s="11"/>
      <c r="DI313" s="11"/>
      <c r="DJ313" s="11"/>
      <c r="DK313" s="26"/>
      <c r="DL313" s="11"/>
      <c r="DM313" s="29"/>
      <c r="DN313" s="28"/>
      <c r="DO313" s="11"/>
      <c r="DP313" s="11"/>
      <c r="DQ313" s="11"/>
      <c r="DR313" s="29"/>
      <c r="DS313" s="28"/>
      <c r="DT313" s="11"/>
      <c r="DU313" s="26"/>
      <c r="DV313" s="11"/>
      <c r="DW313" s="29"/>
      <c r="DX313" s="28"/>
      <c r="DY313" s="11"/>
      <c r="DZ313" s="26"/>
      <c r="EA313" s="11"/>
      <c r="EB313" s="29"/>
      <c r="EC313" s="28"/>
      <c r="ED313" s="30"/>
      <c r="EE313" s="30" t="str">
        <f ca="1">IFERROR(__xludf.DUMMYFUNCTION("iferror(index(filter('Internal -- Trademark Countries'!E$2:E1000, (AM313 = 'Internal -- Trademark Countries'!B$2:B1000) + (AM313 = 'Internal -- Trademark Countries'!C$2:C1000) + (AM313 = 'Internal -- Trademark Countries'!D$2:D1000)), 1))"),"")</f>
        <v/>
      </c>
      <c r="EF313" s="30" t="e">
        <f ca="1">_xludf.ifs(AM313="", "", COUNTIF('Internal -- Trademark Countries'!B:B,AM313) &gt; 0, "polity_shortest_name", COUNTIF('Internal -- Trademark Countries'!C:C,AM313) &gt; 0, "polity_full_name", COUNTIF('Internal -- Trademark Countries'!D:D,AM313) &gt; 0, "polity_common_name", COUNTIF('Internal -- Trademark Countries'!E:E,AM313) &gt; 0, "shortest_name", COUNTIF('Internal -- Trademark Countries'!A:A,AM313) &gt; 0, "full_name", TRUE, "not a match")</f>
        <v>#NAME?</v>
      </c>
      <c r="EG313" s="30"/>
      <c r="EH313" s="30"/>
      <c r="EI313" s="30"/>
      <c r="EJ313" s="30"/>
      <c r="EK313" s="30" t="str">
        <f t="shared" si="3"/>
        <v/>
      </c>
    </row>
    <row r="314" spans="1:141" ht="16.5">
      <c r="A314" s="11"/>
      <c r="B314" s="11"/>
      <c r="C314" s="11"/>
      <c r="D314" s="11"/>
      <c r="E314" s="11"/>
      <c r="F314" s="11"/>
      <c r="G314" s="11"/>
      <c r="H314" s="11"/>
      <c r="I314" s="11"/>
      <c r="J314" s="11"/>
      <c r="K314" s="27"/>
      <c r="L314" s="11"/>
      <c r="M314" s="11"/>
      <c r="N314" s="11"/>
      <c r="O314" s="11"/>
      <c r="P314" s="15"/>
      <c r="Q314" s="15"/>
      <c r="R314" s="15"/>
      <c r="S314" s="15"/>
      <c r="T314" s="15"/>
      <c r="U314" s="15"/>
      <c r="V314" s="15"/>
      <c r="W314" s="47"/>
      <c r="X314" s="11"/>
      <c r="Y314" s="48"/>
      <c r="Z314" s="11"/>
      <c r="AA314" s="48"/>
      <c r="AB314" s="11"/>
      <c r="AC314" s="48"/>
      <c r="AD314" s="11"/>
      <c r="AE314" s="47"/>
      <c r="AF314" s="11"/>
      <c r="AG314" s="48"/>
      <c r="AH314" s="11"/>
      <c r="AI314" s="48"/>
      <c r="AJ314" s="11"/>
      <c r="AK314" s="48"/>
      <c r="AL314" s="11"/>
      <c r="AM314" s="49"/>
      <c r="AN314" s="49"/>
      <c r="AO314" s="11"/>
      <c r="AP314" s="11"/>
      <c r="AQ314" s="28" t="b">
        <f>IF(COUNTIF(SmartStatus!A$2:A1000, AM314) &gt; 2, TRUE, FALSE)</f>
        <v>0</v>
      </c>
      <c r="AR314" s="29" t="str">
        <f ca="1">IFERROR(__xludf.DUMMYFUNCTION("iferror(if(regexmatch(AO314, ""(?i)^registered""), if(EE314 &lt;&gt; ""polity_shortest_name"", ""CHECK_POLITY"", index(filter(SmartStatus!B$2:B1000, AM314 = SmartStatus!A$2:A1000, not(SmartStatus!C$2:C1000), (isblank(SmartStatus!D$2:D1000)) + ((P314 &lt;&gt; """") * "&amp;"(P314 &lt; SmartStatus!D$2:D1000)), (isblank(SmartStatus!E$2:E1000)) + ((P314 &lt;&gt; """") * (P314 &gt;= SmartStatus!E$2:E1000)), (isblank(SmartStatus!F$2:F1000)) + (((Q314 &lt;&gt; """") * (Q314 &lt; SmartStatus!F$2:F1000)) + ((P314 &lt;&gt; """") * (date(year(P314) + 3, month(P"&amp;"314), day(P314)) &lt; SmartStatus!F$2:F1000))), (isblank(SmartStatus!G$2:G1000)) + (((Q314 &lt;&gt; """") * (Q314 &gt;= SmartStatus!G$2:G1000)) + ((P314 &lt;&gt; """") * (P314 &gt;= SmartStatus!G$2:G1000)))), if(or(regexmatch(B314, ""(?i)^ir [a-z]+ designation$""), N314 &lt;&gt; """&amp;"""), 1, 2))), """"), ""NO_MATCH"")"),"")</f>
        <v/>
      </c>
      <c r="AS314" s="11"/>
      <c r="AT314" s="15"/>
      <c r="AU314" s="11"/>
      <c r="AV314" s="11"/>
      <c r="AW314" s="15"/>
      <c r="AX314" s="15"/>
      <c r="AY314" s="15"/>
      <c r="AZ314" s="11"/>
      <c r="BA314" s="15"/>
      <c r="BB314" s="11"/>
      <c r="BC314" s="11"/>
      <c r="BD314" s="15"/>
      <c r="BE314" s="11"/>
      <c r="BF314" s="11"/>
      <c r="BG314" s="15"/>
      <c r="BH314" s="15"/>
      <c r="BI314" s="15"/>
      <c r="BJ314" s="11"/>
      <c r="BK314" s="15"/>
      <c r="BL314" s="11"/>
      <c r="BM314" s="11"/>
      <c r="BN314" s="15"/>
      <c r="BO314" s="11"/>
      <c r="BP314" s="11"/>
      <c r="BQ314" s="15"/>
      <c r="BR314" s="15"/>
      <c r="BS314" s="15"/>
      <c r="BT314" s="11"/>
      <c r="BU314" s="15"/>
      <c r="BV314" s="11"/>
      <c r="BW314" s="11"/>
      <c r="BX314" s="15"/>
      <c r="BY314" s="11"/>
      <c r="BZ314" s="11"/>
      <c r="CA314" s="15"/>
      <c r="CB314" s="11"/>
      <c r="CC314" s="15"/>
      <c r="CD314" s="11"/>
      <c r="CE314" s="15"/>
      <c r="CF314" s="11"/>
      <c r="CG314" s="11"/>
      <c r="CH314" s="15"/>
      <c r="CI314" s="11"/>
      <c r="CJ314" s="11"/>
      <c r="CK314" s="15"/>
      <c r="CL314" s="11"/>
      <c r="CM314" s="11"/>
      <c r="CN314" s="11"/>
      <c r="CO314" s="11"/>
      <c r="CP314" s="28"/>
      <c r="CQ314" s="28"/>
      <c r="CR314" s="11"/>
      <c r="CS314" s="29"/>
      <c r="CT314" s="11"/>
      <c r="CU314" s="11"/>
      <c r="CV314" s="11"/>
      <c r="CW314" s="11"/>
      <c r="CX314" s="11"/>
      <c r="CY314" s="11"/>
      <c r="CZ314" s="11"/>
      <c r="DA314" s="28"/>
      <c r="DB314" s="28"/>
      <c r="DC314" s="11"/>
      <c r="DD314" s="29"/>
      <c r="DE314" s="11"/>
      <c r="DF314" s="11"/>
      <c r="DG314" s="11"/>
      <c r="DH314" s="11"/>
      <c r="DI314" s="11"/>
      <c r="DJ314" s="11"/>
      <c r="DK314" s="26"/>
      <c r="DL314" s="11"/>
      <c r="DM314" s="29"/>
      <c r="DN314" s="28"/>
      <c r="DO314" s="11"/>
      <c r="DP314" s="11"/>
      <c r="DQ314" s="11"/>
      <c r="DR314" s="29"/>
      <c r="DS314" s="28"/>
      <c r="DT314" s="11"/>
      <c r="DU314" s="26"/>
      <c r="DV314" s="11"/>
      <c r="DW314" s="29"/>
      <c r="DX314" s="28"/>
      <c r="DY314" s="11"/>
      <c r="DZ314" s="26"/>
      <c r="EA314" s="11"/>
      <c r="EB314" s="29"/>
      <c r="EC314" s="28"/>
      <c r="ED314" s="30"/>
      <c r="EE314" s="30" t="str">
        <f ca="1">IFERROR(__xludf.DUMMYFUNCTION("iferror(index(filter('Internal -- Trademark Countries'!E$2:E1000, (AM314 = 'Internal -- Trademark Countries'!B$2:B1000) + (AM314 = 'Internal -- Trademark Countries'!C$2:C1000) + (AM314 = 'Internal -- Trademark Countries'!D$2:D1000)), 1))"),"")</f>
        <v/>
      </c>
      <c r="EF314" s="30" t="e">
        <f ca="1">_xludf.ifs(AM314="", "", COUNTIF('Internal -- Trademark Countries'!B:B,AM314) &gt; 0, "polity_shortest_name", COUNTIF('Internal -- Trademark Countries'!C:C,AM314) &gt; 0, "polity_full_name", COUNTIF('Internal -- Trademark Countries'!D:D,AM314) &gt; 0, "polity_common_name", COUNTIF('Internal -- Trademark Countries'!E:E,AM314) &gt; 0, "shortest_name", COUNTIF('Internal -- Trademark Countries'!A:A,AM314) &gt; 0, "full_name", TRUE, "not a match")</f>
        <v>#NAME?</v>
      </c>
      <c r="EG314" s="30"/>
      <c r="EH314" s="30"/>
      <c r="EI314" s="30"/>
      <c r="EJ314" s="30"/>
      <c r="EK314" s="30" t="str">
        <f t="shared" si="3"/>
        <v/>
      </c>
    </row>
    <row r="315" spans="1:141" ht="16.5">
      <c r="A315" s="11"/>
      <c r="B315" s="11"/>
      <c r="C315" s="11"/>
      <c r="D315" s="11"/>
      <c r="E315" s="11"/>
      <c r="F315" s="11"/>
      <c r="G315" s="11"/>
      <c r="H315" s="11"/>
      <c r="I315" s="11"/>
      <c r="J315" s="11"/>
      <c r="K315" s="27"/>
      <c r="L315" s="11"/>
      <c r="M315" s="11"/>
      <c r="N315" s="11"/>
      <c r="O315" s="11"/>
      <c r="P315" s="15"/>
      <c r="Q315" s="15"/>
      <c r="R315" s="15"/>
      <c r="S315" s="15"/>
      <c r="T315" s="15"/>
      <c r="U315" s="15"/>
      <c r="V315" s="15"/>
      <c r="W315" s="47"/>
      <c r="X315" s="11"/>
      <c r="Y315" s="48"/>
      <c r="Z315" s="11"/>
      <c r="AA315" s="48"/>
      <c r="AB315" s="11"/>
      <c r="AC315" s="48"/>
      <c r="AD315" s="11"/>
      <c r="AE315" s="47"/>
      <c r="AF315" s="11"/>
      <c r="AG315" s="48"/>
      <c r="AH315" s="11"/>
      <c r="AI315" s="48"/>
      <c r="AJ315" s="11"/>
      <c r="AK315" s="48"/>
      <c r="AL315" s="11"/>
      <c r="AM315" s="49"/>
      <c r="AN315" s="49"/>
      <c r="AO315" s="11"/>
      <c r="AP315" s="11"/>
      <c r="AQ315" s="28" t="b">
        <f>IF(COUNTIF(SmartStatus!A$2:A1000, AM315) &gt; 2, TRUE, FALSE)</f>
        <v>0</v>
      </c>
      <c r="AR315" s="29" t="str">
        <f ca="1">IFERROR(__xludf.DUMMYFUNCTION("iferror(if(regexmatch(AO315, ""(?i)^registered""), if(EE315 &lt;&gt; ""polity_shortest_name"", ""CHECK_POLITY"", index(filter(SmartStatus!B$2:B1000, AM315 = SmartStatus!A$2:A1000, not(SmartStatus!C$2:C1000), (isblank(SmartStatus!D$2:D1000)) + ((P315 &lt;&gt; """") * "&amp;"(P315 &lt; SmartStatus!D$2:D1000)), (isblank(SmartStatus!E$2:E1000)) + ((P315 &lt;&gt; """") * (P315 &gt;= SmartStatus!E$2:E1000)), (isblank(SmartStatus!F$2:F1000)) + (((Q315 &lt;&gt; """") * (Q315 &lt; SmartStatus!F$2:F1000)) + ((P315 &lt;&gt; """") * (date(year(P315) + 3, month(P"&amp;"315), day(P315)) &lt; SmartStatus!F$2:F1000))), (isblank(SmartStatus!G$2:G1000)) + (((Q315 &lt;&gt; """") * (Q315 &gt;= SmartStatus!G$2:G1000)) + ((P315 &lt;&gt; """") * (P315 &gt;= SmartStatus!G$2:G1000)))), if(or(regexmatch(B315, ""(?i)^ir [a-z]+ designation$""), N315 &lt;&gt; """&amp;"""), 1, 2))), """"), ""NO_MATCH"")"),"")</f>
        <v/>
      </c>
      <c r="AS315" s="11"/>
      <c r="AT315" s="15"/>
      <c r="AU315" s="11"/>
      <c r="AV315" s="11"/>
      <c r="AW315" s="15"/>
      <c r="AX315" s="15"/>
      <c r="AY315" s="15"/>
      <c r="AZ315" s="11"/>
      <c r="BA315" s="15"/>
      <c r="BB315" s="11"/>
      <c r="BC315" s="11"/>
      <c r="BD315" s="15"/>
      <c r="BE315" s="11"/>
      <c r="BF315" s="11"/>
      <c r="BG315" s="15"/>
      <c r="BH315" s="15"/>
      <c r="BI315" s="15"/>
      <c r="BJ315" s="11"/>
      <c r="BK315" s="15"/>
      <c r="BL315" s="11"/>
      <c r="BM315" s="11"/>
      <c r="BN315" s="15"/>
      <c r="BO315" s="11"/>
      <c r="BP315" s="11"/>
      <c r="BQ315" s="15"/>
      <c r="BR315" s="15"/>
      <c r="BS315" s="15"/>
      <c r="BT315" s="11"/>
      <c r="BU315" s="15"/>
      <c r="BV315" s="11"/>
      <c r="BW315" s="11"/>
      <c r="BX315" s="15"/>
      <c r="BY315" s="11"/>
      <c r="BZ315" s="11"/>
      <c r="CA315" s="15"/>
      <c r="CB315" s="11"/>
      <c r="CC315" s="15"/>
      <c r="CD315" s="11"/>
      <c r="CE315" s="15"/>
      <c r="CF315" s="11"/>
      <c r="CG315" s="11"/>
      <c r="CH315" s="15"/>
      <c r="CI315" s="11"/>
      <c r="CJ315" s="11"/>
      <c r="CK315" s="15"/>
      <c r="CL315" s="11"/>
      <c r="CM315" s="11"/>
      <c r="CN315" s="11"/>
      <c r="CO315" s="11"/>
      <c r="CP315" s="28"/>
      <c r="CQ315" s="28"/>
      <c r="CR315" s="11"/>
      <c r="CS315" s="29"/>
      <c r="CT315" s="11"/>
      <c r="CU315" s="11"/>
      <c r="CV315" s="11"/>
      <c r="CW315" s="11"/>
      <c r="CX315" s="11"/>
      <c r="CY315" s="11"/>
      <c r="CZ315" s="11"/>
      <c r="DA315" s="28"/>
      <c r="DB315" s="28"/>
      <c r="DC315" s="11"/>
      <c r="DD315" s="29"/>
      <c r="DE315" s="11"/>
      <c r="DF315" s="11"/>
      <c r="DG315" s="11"/>
      <c r="DH315" s="11"/>
      <c r="DI315" s="11"/>
      <c r="DJ315" s="11"/>
      <c r="DK315" s="26"/>
      <c r="DL315" s="11"/>
      <c r="DM315" s="29"/>
      <c r="DN315" s="28"/>
      <c r="DO315" s="11"/>
      <c r="DP315" s="11"/>
      <c r="DQ315" s="11"/>
      <c r="DR315" s="29"/>
      <c r="DS315" s="28"/>
      <c r="DT315" s="11"/>
      <c r="DU315" s="26"/>
      <c r="DV315" s="11"/>
      <c r="DW315" s="29"/>
      <c r="DX315" s="28"/>
      <c r="DY315" s="11"/>
      <c r="DZ315" s="26"/>
      <c r="EA315" s="11"/>
      <c r="EB315" s="29"/>
      <c r="EC315" s="28"/>
      <c r="ED315" s="30"/>
      <c r="EE315" s="30" t="str">
        <f ca="1">IFERROR(__xludf.DUMMYFUNCTION("iferror(index(filter('Internal -- Trademark Countries'!E$2:E1000, (AM315 = 'Internal -- Trademark Countries'!B$2:B1000) + (AM315 = 'Internal -- Trademark Countries'!C$2:C1000) + (AM315 = 'Internal -- Trademark Countries'!D$2:D1000)), 1))"),"")</f>
        <v/>
      </c>
      <c r="EF315" s="30" t="e">
        <f ca="1">_xludf.ifs(AM315="", "", COUNTIF('Internal -- Trademark Countries'!B:B,AM315) &gt; 0, "polity_shortest_name", COUNTIF('Internal -- Trademark Countries'!C:C,AM315) &gt; 0, "polity_full_name", COUNTIF('Internal -- Trademark Countries'!D:D,AM315) &gt; 0, "polity_common_name", COUNTIF('Internal -- Trademark Countries'!E:E,AM315) &gt; 0, "shortest_name", COUNTIF('Internal -- Trademark Countries'!A:A,AM315) &gt; 0, "full_name", TRUE, "not a match")</f>
        <v>#NAME?</v>
      </c>
      <c r="EG315" s="30"/>
      <c r="EH315" s="30"/>
      <c r="EI315" s="30"/>
      <c r="EJ315" s="30"/>
      <c r="EK315" s="30" t="str">
        <f t="shared" si="3"/>
        <v/>
      </c>
    </row>
    <row r="316" spans="1:141" ht="16.5">
      <c r="A316" s="11"/>
      <c r="B316" s="11"/>
      <c r="C316" s="11"/>
      <c r="D316" s="11"/>
      <c r="E316" s="11"/>
      <c r="F316" s="11"/>
      <c r="G316" s="11"/>
      <c r="H316" s="11"/>
      <c r="I316" s="11"/>
      <c r="J316" s="11"/>
      <c r="K316" s="27"/>
      <c r="L316" s="11"/>
      <c r="M316" s="11"/>
      <c r="N316" s="11"/>
      <c r="O316" s="11"/>
      <c r="P316" s="15"/>
      <c r="Q316" s="15"/>
      <c r="R316" s="15"/>
      <c r="S316" s="15"/>
      <c r="T316" s="15"/>
      <c r="U316" s="15"/>
      <c r="V316" s="15"/>
      <c r="W316" s="47"/>
      <c r="X316" s="11"/>
      <c r="Y316" s="48"/>
      <c r="Z316" s="11"/>
      <c r="AA316" s="48"/>
      <c r="AB316" s="11"/>
      <c r="AC316" s="48"/>
      <c r="AD316" s="11"/>
      <c r="AE316" s="47"/>
      <c r="AF316" s="11"/>
      <c r="AG316" s="48"/>
      <c r="AH316" s="11"/>
      <c r="AI316" s="48"/>
      <c r="AJ316" s="11"/>
      <c r="AK316" s="48"/>
      <c r="AL316" s="11"/>
      <c r="AM316" s="49"/>
      <c r="AN316" s="49"/>
      <c r="AO316" s="11"/>
      <c r="AP316" s="11"/>
      <c r="AQ316" s="28" t="b">
        <f>IF(COUNTIF(SmartStatus!A$2:A1000, AM316) &gt; 2, TRUE, FALSE)</f>
        <v>0</v>
      </c>
      <c r="AR316" s="29" t="str">
        <f ca="1">IFERROR(__xludf.DUMMYFUNCTION("iferror(if(regexmatch(AO316, ""(?i)^registered""), if(EE316 &lt;&gt; ""polity_shortest_name"", ""CHECK_POLITY"", index(filter(SmartStatus!B$2:B1000, AM316 = SmartStatus!A$2:A1000, not(SmartStatus!C$2:C1000), (isblank(SmartStatus!D$2:D1000)) + ((P316 &lt;&gt; """") * "&amp;"(P316 &lt; SmartStatus!D$2:D1000)), (isblank(SmartStatus!E$2:E1000)) + ((P316 &lt;&gt; """") * (P316 &gt;= SmartStatus!E$2:E1000)), (isblank(SmartStatus!F$2:F1000)) + (((Q316 &lt;&gt; """") * (Q316 &lt; SmartStatus!F$2:F1000)) + ((P316 &lt;&gt; """") * (date(year(P316) + 3, month(P"&amp;"316), day(P316)) &lt; SmartStatus!F$2:F1000))), (isblank(SmartStatus!G$2:G1000)) + (((Q316 &lt;&gt; """") * (Q316 &gt;= SmartStatus!G$2:G1000)) + ((P316 &lt;&gt; """") * (P316 &gt;= SmartStatus!G$2:G1000)))), if(or(regexmatch(B316, ""(?i)^ir [a-z]+ designation$""), N316 &lt;&gt; """&amp;"""), 1, 2))), """"), ""NO_MATCH"")"),"")</f>
        <v/>
      </c>
      <c r="AS316" s="11"/>
      <c r="AT316" s="15"/>
      <c r="AU316" s="11"/>
      <c r="AV316" s="11"/>
      <c r="AW316" s="15"/>
      <c r="AX316" s="15"/>
      <c r="AY316" s="15"/>
      <c r="AZ316" s="11"/>
      <c r="BA316" s="15"/>
      <c r="BB316" s="11"/>
      <c r="BC316" s="11"/>
      <c r="BD316" s="15"/>
      <c r="BE316" s="11"/>
      <c r="BF316" s="11"/>
      <c r="BG316" s="15"/>
      <c r="BH316" s="15"/>
      <c r="BI316" s="15"/>
      <c r="BJ316" s="11"/>
      <c r="BK316" s="15"/>
      <c r="BL316" s="11"/>
      <c r="BM316" s="11"/>
      <c r="BN316" s="15"/>
      <c r="BO316" s="11"/>
      <c r="BP316" s="11"/>
      <c r="BQ316" s="15"/>
      <c r="BR316" s="15"/>
      <c r="BS316" s="15"/>
      <c r="BT316" s="11"/>
      <c r="BU316" s="15"/>
      <c r="BV316" s="11"/>
      <c r="BW316" s="11"/>
      <c r="BX316" s="15"/>
      <c r="BY316" s="11"/>
      <c r="BZ316" s="11"/>
      <c r="CA316" s="15"/>
      <c r="CB316" s="11"/>
      <c r="CC316" s="15"/>
      <c r="CD316" s="11"/>
      <c r="CE316" s="15"/>
      <c r="CF316" s="11"/>
      <c r="CG316" s="11"/>
      <c r="CH316" s="15"/>
      <c r="CI316" s="11"/>
      <c r="CJ316" s="11"/>
      <c r="CK316" s="15"/>
      <c r="CL316" s="11"/>
      <c r="CM316" s="11"/>
      <c r="CN316" s="11"/>
      <c r="CO316" s="11"/>
      <c r="CP316" s="28"/>
      <c r="CQ316" s="28"/>
      <c r="CR316" s="11"/>
      <c r="CS316" s="29"/>
      <c r="CT316" s="11"/>
      <c r="CU316" s="11"/>
      <c r="CV316" s="11"/>
      <c r="CW316" s="11"/>
      <c r="CX316" s="11"/>
      <c r="CY316" s="11"/>
      <c r="CZ316" s="11"/>
      <c r="DA316" s="28"/>
      <c r="DB316" s="28"/>
      <c r="DC316" s="11"/>
      <c r="DD316" s="29"/>
      <c r="DE316" s="11"/>
      <c r="DF316" s="11"/>
      <c r="DG316" s="11"/>
      <c r="DH316" s="11"/>
      <c r="DI316" s="11"/>
      <c r="DJ316" s="11"/>
      <c r="DK316" s="26"/>
      <c r="DL316" s="11"/>
      <c r="DM316" s="29"/>
      <c r="DN316" s="28"/>
      <c r="DO316" s="11"/>
      <c r="DP316" s="11"/>
      <c r="DQ316" s="11"/>
      <c r="DR316" s="29"/>
      <c r="DS316" s="28"/>
      <c r="DT316" s="11"/>
      <c r="DU316" s="26"/>
      <c r="DV316" s="11"/>
      <c r="DW316" s="29"/>
      <c r="DX316" s="28"/>
      <c r="DY316" s="11"/>
      <c r="DZ316" s="26"/>
      <c r="EA316" s="11"/>
      <c r="EB316" s="29"/>
      <c r="EC316" s="28"/>
      <c r="ED316" s="30"/>
      <c r="EE316" s="30" t="str">
        <f ca="1">IFERROR(__xludf.DUMMYFUNCTION("iferror(index(filter('Internal -- Trademark Countries'!E$2:E1000, (AM316 = 'Internal -- Trademark Countries'!B$2:B1000) + (AM316 = 'Internal -- Trademark Countries'!C$2:C1000) + (AM316 = 'Internal -- Trademark Countries'!D$2:D1000)), 1))"),"")</f>
        <v/>
      </c>
      <c r="EF316" s="30" t="e">
        <f ca="1">_xludf.ifs(AM316="", "", COUNTIF('Internal -- Trademark Countries'!B:B,AM316) &gt; 0, "polity_shortest_name", COUNTIF('Internal -- Trademark Countries'!C:C,AM316) &gt; 0, "polity_full_name", COUNTIF('Internal -- Trademark Countries'!D:D,AM316) &gt; 0, "polity_common_name", COUNTIF('Internal -- Trademark Countries'!E:E,AM316) &gt; 0, "shortest_name", COUNTIF('Internal -- Trademark Countries'!A:A,AM316) &gt; 0, "full_name", TRUE, "not a match")</f>
        <v>#NAME?</v>
      </c>
      <c r="EG316" s="30"/>
      <c r="EH316" s="30"/>
      <c r="EI316" s="30"/>
      <c r="EJ316" s="30"/>
      <c r="EK316" s="30" t="str">
        <f t="shared" si="3"/>
        <v/>
      </c>
    </row>
    <row r="317" spans="1:141" ht="16.5">
      <c r="A317" s="11"/>
      <c r="B317" s="11"/>
      <c r="C317" s="11"/>
      <c r="D317" s="11"/>
      <c r="E317" s="11"/>
      <c r="F317" s="11"/>
      <c r="G317" s="11"/>
      <c r="H317" s="11"/>
      <c r="I317" s="11"/>
      <c r="J317" s="11"/>
      <c r="K317" s="27"/>
      <c r="L317" s="11"/>
      <c r="M317" s="11"/>
      <c r="N317" s="11"/>
      <c r="O317" s="11"/>
      <c r="P317" s="15"/>
      <c r="Q317" s="15"/>
      <c r="R317" s="15"/>
      <c r="S317" s="15"/>
      <c r="T317" s="15"/>
      <c r="U317" s="15"/>
      <c r="V317" s="15"/>
      <c r="W317" s="47"/>
      <c r="X317" s="11"/>
      <c r="Y317" s="48"/>
      <c r="Z317" s="11"/>
      <c r="AA317" s="48"/>
      <c r="AB317" s="11"/>
      <c r="AC317" s="48"/>
      <c r="AD317" s="11"/>
      <c r="AE317" s="47"/>
      <c r="AF317" s="11"/>
      <c r="AG317" s="48"/>
      <c r="AH317" s="11"/>
      <c r="AI317" s="48"/>
      <c r="AJ317" s="11"/>
      <c r="AK317" s="48"/>
      <c r="AL317" s="11"/>
      <c r="AM317" s="49"/>
      <c r="AN317" s="49"/>
      <c r="AO317" s="11"/>
      <c r="AP317" s="11"/>
      <c r="AQ317" s="28" t="b">
        <f>IF(COUNTIF(SmartStatus!A$2:A1000, AM317) &gt; 2, TRUE, FALSE)</f>
        <v>0</v>
      </c>
      <c r="AR317" s="29" t="str">
        <f ca="1">IFERROR(__xludf.DUMMYFUNCTION("iferror(if(regexmatch(AO317, ""(?i)^registered""), if(EE317 &lt;&gt; ""polity_shortest_name"", ""CHECK_POLITY"", index(filter(SmartStatus!B$2:B1000, AM317 = SmartStatus!A$2:A1000, not(SmartStatus!C$2:C1000), (isblank(SmartStatus!D$2:D1000)) + ((P317 &lt;&gt; """") * "&amp;"(P317 &lt; SmartStatus!D$2:D1000)), (isblank(SmartStatus!E$2:E1000)) + ((P317 &lt;&gt; """") * (P317 &gt;= SmartStatus!E$2:E1000)), (isblank(SmartStatus!F$2:F1000)) + (((Q317 &lt;&gt; """") * (Q317 &lt; SmartStatus!F$2:F1000)) + ((P317 &lt;&gt; """") * (date(year(P317) + 3, month(P"&amp;"317), day(P317)) &lt; SmartStatus!F$2:F1000))), (isblank(SmartStatus!G$2:G1000)) + (((Q317 &lt;&gt; """") * (Q317 &gt;= SmartStatus!G$2:G1000)) + ((P317 &lt;&gt; """") * (P317 &gt;= SmartStatus!G$2:G1000)))), if(or(regexmatch(B317, ""(?i)^ir [a-z]+ designation$""), N317 &lt;&gt; """&amp;"""), 1, 2))), """"), ""NO_MATCH"")"),"")</f>
        <v/>
      </c>
      <c r="AS317" s="11"/>
      <c r="AT317" s="15"/>
      <c r="AU317" s="11"/>
      <c r="AV317" s="11"/>
      <c r="AW317" s="15"/>
      <c r="AX317" s="15"/>
      <c r="AY317" s="15"/>
      <c r="AZ317" s="11"/>
      <c r="BA317" s="15"/>
      <c r="BB317" s="11"/>
      <c r="BC317" s="11"/>
      <c r="BD317" s="15"/>
      <c r="BE317" s="11"/>
      <c r="BF317" s="11"/>
      <c r="BG317" s="15"/>
      <c r="BH317" s="15"/>
      <c r="BI317" s="15"/>
      <c r="BJ317" s="11"/>
      <c r="BK317" s="15"/>
      <c r="BL317" s="11"/>
      <c r="BM317" s="11"/>
      <c r="BN317" s="15"/>
      <c r="BO317" s="11"/>
      <c r="BP317" s="11"/>
      <c r="BQ317" s="15"/>
      <c r="BR317" s="15"/>
      <c r="BS317" s="15"/>
      <c r="BT317" s="11"/>
      <c r="BU317" s="15"/>
      <c r="BV317" s="11"/>
      <c r="BW317" s="11"/>
      <c r="BX317" s="15"/>
      <c r="BY317" s="11"/>
      <c r="BZ317" s="11"/>
      <c r="CA317" s="15"/>
      <c r="CB317" s="11"/>
      <c r="CC317" s="15"/>
      <c r="CD317" s="11"/>
      <c r="CE317" s="15"/>
      <c r="CF317" s="11"/>
      <c r="CG317" s="11"/>
      <c r="CH317" s="15"/>
      <c r="CI317" s="11"/>
      <c r="CJ317" s="11"/>
      <c r="CK317" s="15"/>
      <c r="CL317" s="11"/>
      <c r="CM317" s="11"/>
      <c r="CN317" s="11"/>
      <c r="CO317" s="11"/>
      <c r="CP317" s="28"/>
      <c r="CQ317" s="28"/>
      <c r="CR317" s="11"/>
      <c r="CS317" s="29"/>
      <c r="CT317" s="11"/>
      <c r="CU317" s="11"/>
      <c r="CV317" s="11"/>
      <c r="CW317" s="11"/>
      <c r="CX317" s="11"/>
      <c r="CY317" s="11"/>
      <c r="CZ317" s="11"/>
      <c r="DA317" s="28"/>
      <c r="DB317" s="28"/>
      <c r="DC317" s="11"/>
      <c r="DD317" s="29"/>
      <c r="DE317" s="11"/>
      <c r="DF317" s="11"/>
      <c r="DG317" s="11"/>
      <c r="DH317" s="11"/>
      <c r="DI317" s="11"/>
      <c r="DJ317" s="11"/>
      <c r="DK317" s="26"/>
      <c r="DL317" s="11"/>
      <c r="DM317" s="29"/>
      <c r="DN317" s="28"/>
      <c r="DO317" s="11"/>
      <c r="DP317" s="11"/>
      <c r="DQ317" s="11"/>
      <c r="DR317" s="29"/>
      <c r="DS317" s="28"/>
      <c r="DT317" s="11"/>
      <c r="DU317" s="26"/>
      <c r="DV317" s="11"/>
      <c r="DW317" s="29"/>
      <c r="DX317" s="28"/>
      <c r="DY317" s="11"/>
      <c r="DZ317" s="26"/>
      <c r="EA317" s="11"/>
      <c r="EB317" s="29"/>
      <c r="EC317" s="28"/>
      <c r="ED317" s="30"/>
      <c r="EE317" s="30" t="str">
        <f ca="1">IFERROR(__xludf.DUMMYFUNCTION("iferror(index(filter('Internal -- Trademark Countries'!E$2:E1000, (AM317 = 'Internal -- Trademark Countries'!B$2:B1000) + (AM317 = 'Internal -- Trademark Countries'!C$2:C1000) + (AM317 = 'Internal -- Trademark Countries'!D$2:D1000)), 1))"),"")</f>
        <v/>
      </c>
      <c r="EF317" s="30" t="e">
        <f ca="1">_xludf.ifs(AM317="", "", COUNTIF('Internal -- Trademark Countries'!B:B,AM317) &gt; 0, "polity_shortest_name", COUNTIF('Internal -- Trademark Countries'!C:C,AM317) &gt; 0, "polity_full_name", COUNTIF('Internal -- Trademark Countries'!D:D,AM317) &gt; 0, "polity_common_name", COUNTIF('Internal -- Trademark Countries'!E:E,AM317) &gt; 0, "shortest_name", COUNTIF('Internal -- Trademark Countries'!A:A,AM317) &gt; 0, "full_name", TRUE, "not a match")</f>
        <v>#NAME?</v>
      </c>
      <c r="EG317" s="30"/>
      <c r="EH317" s="30"/>
      <c r="EI317" s="30"/>
      <c r="EJ317" s="30"/>
      <c r="EK317" s="30" t="str">
        <f t="shared" si="3"/>
        <v/>
      </c>
    </row>
    <row r="318" spans="1:141" ht="16.5">
      <c r="A318" s="11"/>
      <c r="B318" s="11"/>
      <c r="C318" s="11"/>
      <c r="D318" s="11"/>
      <c r="E318" s="11"/>
      <c r="F318" s="11"/>
      <c r="G318" s="11"/>
      <c r="H318" s="11"/>
      <c r="I318" s="11"/>
      <c r="J318" s="11"/>
      <c r="K318" s="27"/>
      <c r="L318" s="11"/>
      <c r="M318" s="11"/>
      <c r="N318" s="11"/>
      <c r="O318" s="11"/>
      <c r="P318" s="15"/>
      <c r="Q318" s="15"/>
      <c r="R318" s="15"/>
      <c r="S318" s="15"/>
      <c r="T318" s="15"/>
      <c r="U318" s="15"/>
      <c r="V318" s="15"/>
      <c r="W318" s="47"/>
      <c r="X318" s="11"/>
      <c r="Y318" s="48"/>
      <c r="Z318" s="11"/>
      <c r="AA318" s="48"/>
      <c r="AB318" s="11"/>
      <c r="AC318" s="48"/>
      <c r="AD318" s="11"/>
      <c r="AE318" s="47"/>
      <c r="AF318" s="11"/>
      <c r="AG318" s="48"/>
      <c r="AH318" s="11"/>
      <c r="AI318" s="48"/>
      <c r="AJ318" s="11"/>
      <c r="AK318" s="48"/>
      <c r="AL318" s="11"/>
      <c r="AM318" s="49"/>
      <c r="AN318" s="49"/>
      <c r="AO318" s="11"/>
      <c r="AP318" s="11"/>
      <c r="AQ318" s="28" t="b">
        <f>IF(COUNTIF(SmartStatus!A$2:A1000, AM318) &gt; 2, TRUE, FALSE)</f>
        <v>0</v>
      </c>
      <c r="AR318" s="29" t="str">
        <f ca="1">IFERROR(__xludf.DUMMYFUNCTION("iferror(if(regexmatch(AO318, ""(?i)^registered""), if(EE318 &lt;&gt; ""polity_shortest_name"", ""CHECK_POLITY"", index(filter(SmartStatus!B$2:B1000, AM318 = SmartStatus!A$2:A1000, not(SmartStatus!C$2:C1000), (isblank(SmartStatus!D$2:D1000)) + ((P318 &lt;&gt; """") * "&amp;"(P318 &lt; SmartStatus!D$2:D1000)), (isblank(SmartStatus!E$2:E1000)) + ((P318 &lt;&gt; """") * (P318 &gt;= SmartStatus!E$2:E1000)), (isblank(SmartStatus!F$2:F1000)) + (((Q318 &lt;&gt; """") * (Q318 &lt; SmartStatus!F$2:F1000)) + ((P318 &lt;&gt; """") * (date(year(P318) + 3, month(P"&amp;"318), day(P318)) &lt; SmartStatus!F$2:F1000))), (isblank(SmartStatus!G$2:G1000)) + (((Q318 &lt;&gt; """") * (Q318 &gt;= SmartStatus!G$2:G1000)) + ((P318 &lt;&gt; """") * (P318 &gt;= SmartStatus!G$2:G1000)))), if(or(regexmatch(B318, ""(?i)^ir [a-z]+ designation$""), N318 &lt;&gt; """&amp;"""), 1, 2))), """"), ""NO_MATCH"")"),"")</f>
        <v/>
      </c>
      <c r="AS318" s="11"/>
      <c r="AT318" s="15"/>
      <c r="AU318" s="11"/>
      <c r="AV318" s="11"/>
      <c r="AW318" s="15"/>
      <c r="AX318" s="15"/>
      <c r="AY318" s="15"/>
      <c r="AZ318" s="11"/>
      <c r="BA318" s="15"/>
      <c r="BB318" s="11"/>
      <c r="BC318" s="11"/>
      <c r="BD318" s="15"/>
      <c r="BE318" s="11"/>
      <c r="BF318" s="11"/>
      <c r="BG318" s="15"/>
      <c r="BH318" s="15"/>
      <c r="BI318" s="15"/>
      <c r="BJ318" s="11"/>
      <c r="BK318" s="15"/>
      <c r="BL318" s="11"/>
      <c r="BM318" s="11"/>
      <c r="BN318" s="15"/>
      <c r="BO318" s="11"/>
      <c r="BP318" s="11"/>
      <c r="BQ318" s="15"/>
      <c r="BR318" s="15"/>
      <c r="BS318" s="15"/>
      <c r="BT318" s="11"/>
      <c r="BU318" s="15"/>
      <c r="BV318" s="11"/>
      <c r="BW318" s="11"/>
      <c r="BX318" s="15"/>
      <c r="BY318" s="11"/>
      <c r="BZ318" s="11"/>
      <c r="CA318" s="15"/>
      <c r="CB318" s="11"/>
      <c r="CC318" s="15"/>
      <c r="CD318" s="11"/>
      <c r="CE318" s="15"/>
      <c r="CF318" s="11"/>
      <c r="CG318" s="11"/>
      <c r="CH318" s="15"/>
      <c r="CI318" s="11"/>
      <c r="CJ318" s="11"/>
      <c r="CK318" s="15"/>
      <c r="CL318" s="11"/>
      <c r="CM318" s="11"/>
      <c r="CN318" s="11"/>
      <c r="CO318" s="11"/>
      <c r="CP318" s="28"/>
      <c r="CQ318" s="28"/>
      <c r="CR318" s="11"/>
      <c r="CS318" s="29"/>
      <c r="CT318" s="11"/>
      <c r="CU318" s="11"/>
      <c r="CV318" s="11"/>
      <c r="CW318" s="11"/>
      <c r="CX318" s="11"/>
      <c r="CY318" s="11"/>
      <c r="CZ318" s="11"/>
      <c r="DA318" s="28"/>
      <c r="DB318" s="28"/>
      <c r="DC318" s="11"/>
      <c r="DD318" s="29"/>
      <c r="DE318" s="11"/>
      <c r="DF318" s="11"/>
      <c r="DG318" s="11"/>
      <c r="DH318" s="11"/>
      <c r="DI318" s="11"/>
      <c r="DJ318" s="11"/>
      <c r="DK318" s="26"/>
      <c r="DL318" s="11"/>
      <c r="DM318" s="29"/>
      <c r="DN318" s="28"/>
      <c r="DO318" s="11"/>
      <c r="DP318" s="11"/>
      <c r="DQ318" s="11"/>
      <c r="DR318" s="29"/>
      <c r="DS318" s="28"/>
      <c r="DT318" s="11"/>
      <c r="DU318" s="26"/>
      <c r="DV318" s="11"/>
      <c r="DW318" s="29"/>
      <c r="DX318" s="28"/>
      <c r="DY318" s="11"/>
      <c r="DZ318" s="26"/>
      <c r="EA318" s="11"/>
      <c r="EB318" s="29"/>
      <c r="EC318" s="28"/>
      <c r="ED318" s="30"/>
      <c r="EE318" s="30" t="str">
        <f ca="1">IFERROR(__xludf.DUMMYFUNCTION("iferror(index(filter('Internal -- Trademark Countries'!E$2:E1000, (AM318 = 'Internal -- Trademark Countries'!B$2:B1000) + (AM318 = 'Internal -- Trademark Countries'!C$2:C1000) + (AM318 = 'Internal -- Trademark Countries'!D$2:D1000)), 1))"),"")</f>
        <v/>
      </c>
      <c r="EF318" s="30" t="e">
        <f ca="1">_xludf.ifs(AM318="", "", COUNTIF('Internal -- Trademark Countries'!B:B,AM318) &gt; 0, "polity_shortest_name", COUNTIF('Internal -- Trademark Countries'!C:C,AM318) &gt; 0, "polity_full_name", COUNTIF('Internal -- Trademark Countries'!D:D,AM318) &gt; 0, "polity_common_name", COUNTIF('Internal -- Trademark Countries'!E:E,AM318) &gt; 0, "shortest_name", COUNTIF('Internal -- Trademark Countries'!A:A,AM318) &gt; 0, "full_name", TRUE, "not a match")</f>
        <v>#NAME?</v>
      </c>
      <c r="EG318" s="30"/>
      <c r="EH318" s="30"/>
      <c r="EI318" s="30"/>
      <c r="EJ318" s="30"/>
      <c r="EK318" s="30" t="str">
        <f t="shared" si="3"/>
        <v/>
      </c>
    </row>
    <row r="319" spans="1:141" ht="16.5">
      <c r="A319" s="11"/>
      <c r="B319" s="11"/>
      <c r="C319" s="11"/>
      <c r="D319" s="11"/>
      <c r="E319" s="11"/>
      <c r="F319" s="11"/>
      <c r="G319" s="11"/>
      <c r="H319" s="11"/>
      <c r="I319" s="11"/>
      <c r="J319" s="11"/>
      <c r="K319" s="27"/>
      <c r="L319" s="11"/>
      <c r="M319" s="11"/>
      <c r="N319" s="11"/>
      <c r="O319" s="11"/>
      <c r="P319" s="15"/>
      <c r="Q319" s="15"/>
      <c r="R319" s="15"/>
      <c r="S319" s="15"/>
      <c r="T319" s="15"/>
      <c r="U319" s="15"/>
      <c r="V319" s="15"/>
      <c r="W319" s="47"/>
      <c r="X319" s="11"/>
      <c r="Y319" s="48"/>
      <c r="Z319" s="11"/>
      <c r="AA319" s="48"/>
      <c r="AB319" s="11"/>
      <c r="AC319" s="48"/>
      <c r="AD319" s="11"/>
      <c r="AE319" s="47"/>
      <c r="AF319" s="11"/>
      <c r="AG319" s="48"/>
      <c r="AH319" s="11"/>
      <c r="AI319" s="48"/>
      <c r="AJ319" s="11"/>
      <c r="AK319" s="48"/>
      <c r="AL319" s="11"/>
      <c r="AM319" s="49"/>
      <c r="AN319" s="49"/>
      <c r="AO319" s="11"/>
      <c r="AP319" s="11"/>
      <c r="AQ319" s="28" t="b">
        <f>IF(COUNTIF(SmartStatus!A$2:A1000, AM319) &gt; 2, TRUE, FALSE)</f>
        <v>0</v>
      </c>
      <c r="AR319" s="29" t="str">
        <f ca="1">IFERROR(__xludf.DUMMYFUNCTION("iferror(if(regexmatch(AO319, ""(?i)^registered""), if(EE319 &lt;&gt; ""polity_shortest_name"", ""CHECK_POLITY"", index(filter(SmartStatus!B$2:B1000, AM319 = SmartStatus!A$2:A1000, not(SmartStatus!C$2:C1000), (isblank(SmartStatus!D$2:D1000)) + ((P319 &lt;&gt; """") * "&amp;"(P319 &lt; SmartStatus!D$2:D1000)), (isblank(SmartStatus!E$2:E1000)) + ((P319 &lt;&gt; """") * (P319 &gt;= SmartStatus!E$2:E1000)), (isblank(SmartStatus!F$2:F1000)) + (((Q319 &lt;&gt; """") * (Q319 &lt; SmartStatus!F$2:F1000)) + ((P319 &lt;&gt; """") * (date(year(P319) + 3, month(P"&amp;"319), day(P319)) &lt; SmartStatus!F$2:F1000))), (isblank(SmartStatus!G$2:G1000)) + (((Q319 &lt;&gt; """") * (Q319 &gt;= SmartStatus!G$2:G1000)) + ((P319 &lt;&gt; """") * (P319 &gt;= SmartStatus!G$2:G1000)))), if(or(regexmatch(B319, ""(?i)^ir [a-z]+ designation$""), N319 &lt;&gt; """&amp;"""), 1, 2))), """"), ""NO_MATCH"")"),"")</f>
        <v/>
      </c>
      <c r="AS319" s="11"/>
      <c r="AT319" s="15"/>
      <c r="AU319" s="11"/>
      <c r="AV319" s="11"/>
      <c r="AW319" s="15"/>
      <c r="AX319" s="15"/>
      <c r="AY319" s="15"/>
      <c r="AZ319" s="11"/>
      <c r="BA319" s="15"/>
      <c r="BB319" s="11"/>
      <c r="BC319" s="11"/>
      <c r="BD319" s="15"/>
      <c r="BE319" s="11"/>
      <c r="BF319" s="11"/>
      <c r="BG319" s="15"/>
      <c r="BH319" s="15"/>
      <c r="BI319" s="15"/>
      <c r="BJ319" s="11"/>
      <c r="BK319" s="15"/>
      <c r="BL319" s="11"/>
      <c r="BM319" s="11"/>
      <c r="BN319" s="15"/>
      <c r="BO319" s="11"/>
      <c r="BP319" s="11"/>
      <c r="BQ319" s="15"/>
      <c r="BR319" s="15"/>
      <c r="BS319" s="15"/>
      <c r="BT319" s="11"/>
      <c r="BU319" s="15"/>
      <c r="BV319" s="11"/>
      <c r="BW319" s="11"/>
      <c r="BX319" s="15"/>
      <c r="BY319" s="11"/>
      <c r="BZ319" s="11"/>
      <c r="CA319" s="15"/>
      <c r="CB319" s="11"/>
      <c r="CC319" s="15"/>
      <c r="CD319" s="11"/>
      <c r="CE319" s="15"/>
      <c r="CF319" s="11"/>
      <c r="CG319" s="11"/>
      <c r="CH319" s="15"/>
      <c r="CI319" s="11"/>
      <c r="CJ319" s="11"/>
      <c r="CK319" s="15"/>
      <c r="CL319" s="11"/>
      <c r="CM319" s="11"/>
      <c r="CN319" s="11"/>
      <c r="CO319" s="11"/>
      <c r="CP319" s="28"/>
      <c r="CQ319" s="28"/>
      <c r="CR319" s="11"/>
      <c r="CS319" s="29"/>
      <c r="CT319" s="11"/>
      <c r="CU319" s="11"/>
      <c r="CV319" s="11"/>
      <c r="CW319" s="11"/>
      <c r="CX319" s="11"/>
      <c r="CY319" s="11"/>
      <c r="CZ319" s="11"/>
      <c r="DA319" s="28"/>
      <c r="DB319" s="28"/>
      <c r="DC319" s="11"/>
      <c r="DD319" s="29"/>
      <c r="DE319" s="11"/>
      <c r="DF319" s="11"/>
      <c r="DG319" s="11"/>
      <c r="DH319" s="11"/>
      <c r="DI319" s="11"/>
      <c r="DJ319" s="11"/>
      <c r="DK319" s="26"/>
      <c r="DL319" s="11"/>
      <c r="DM319" s="29"/>
      <c r="DN319" s="28"/>
      <c r="DO319" s="11"/>
      <c r="DP319" s="11"/>
      <c r="DQ319" s="11"/>
      <c r="DR319" s="29"/>
      <c r="DS319" s="28"/>
      <c r="DT319" s="11"/>
      <c r="DU319" s="26"/>
      <c r="DV319" s="11"/>
      <c r="DW319" s="29"/>
      <c r="DX319" s="28"/>
      <c r="DY319" s="11"/>
      <c r="DZ319" s="26"/>
      <c r="EA319" s="11"/>
      <c r="EB319" s="29"/>
      <c r="EC319" s="28"/>
      <c r="ED319" s="30"/>
      <c r="EE319" s="30" t="str">
        <f ca="1">IFERROR(__xludf.DUMMYFUNCTION("iferror(index(filter('Internal -- Trademark Countries'!E$2:E1000, (AM319 = 'Internal -- Trademark Countries'!B$2:B1000) + (AM319 = 'Internal -- Trademark Countries'!C$2:C1000) + (AM319 = 'Internal -- Trademark Countries'!D$2:D1000)), 1))"),"")</f>
        <v/>
      </c>
      <c r="EF319" s="30" t="e">
        <f ca="1">_xludf.ifs(AM319="", "", COUNTIF('Internal -- Trademark Countries'!B:B,AM319) &gt; 0, "polity_shortest_name", COUNTIF('Internal -- Trademark Countries'!C:C,AM319) &gt; 0, "polity_full_name", COUNTIF('Internal -- Trademark Countries'!D:D,AM319) &gt; 0, "polity_common_name", COUNTIF('Internal -- Trademark Countries'!E:E,AM319) &gt; 0, "shortest_name", COUNTIF('Internal -- Trademark Countries'!A:A,AM319) &gt; 0, "full_name", TRUE, "not a match")</f>
        <v>#NAME?</v>
      </c>
      <c r="EG319" s="30"/>
      <c r="EH319" s="30"/>
      <c r="EI319" s="30"/>
      <c r="EJ319" s="30"/>
      <c r="EK319" s="30" t="str">
        <f t="shared" si="3"/>
        <v/>
      </c>
    </row>
    <row r="320" spans="1:141" ht="16.5">
      <c r="A320" s="11"/>
      <c r="B320" s="11"/>
      <c r="C320" s="11"/>
      <c r="D320" s="11"/>
      <c r="E320" s="11"/>
      <c r="F320" s="11"/>
      <c r="G320" s="11"/>
      <c r="H320" s="11"/>
      <c r="I320" s="11"/>
      <c r="J320" s="11"/>
      <c r="K320" s="27"/>
      <c r="L320" s="11"/>
      <c r="M320" s="11"/>
      <c r="N320" s="11"/>
      <c r="O320" s="11"/>
      <c r="P320" s="15"/>
      <c r="Q320" s="15"/>
      <c r="R320" s="15"/>
      <c r="S320" s="15"/>
      <c r="T320" s="15"/>
      <c r="U320" s="15"/>
      <c r="V320" s="15"/>
      <c r="W320" s="47"/>
      <c r="X320" s="11"/>
      <c r="Y320" s="48"/>
      <c r="Z320" s="11"/>
      <c r="AA320" s="48"/>
      <c r="AB320" s="11"/>
      <c r="AC320" s="48"/>
      <c r="AD320" s="11"/>
      <c r="AE320" s="47"/>
      <c r="AF320" s="11"/>
      <c r="AG320" s="48"/>
      <c r="AH320" s="11"/>
      <c r="AI320" s="48"/>
      <c r="AJ320" s="11"/>
      <c r="AK320" s="48"/>
      <c r="AL320" s="11"/>
      <c r="AM320" s="49"/>
      <c r="AN320" s="49"/>
      <c r="AO320" s="11"/>
      <c r="AP320" s="11"/>
      <c r="AQ320" s="28" t="b">
        <f>IF(COUNTIF(SmartStatus!A$2:A1000, AM320) &gt; 2, TRUE, FALSE)</f>
        <v>0</v>
      </c>
      <c r="AR320" s="29" t="str">
        <f ca="1">IFERROR(__xludf.DUMMYFUNCTION("iferror(if(regexmatch(AO320, ""(?i)^registered""), if(EE320 &lt;&gt; ""polity_shortest_name"", ""CHECK_POLITY"", index(filter(SmartStatus!B$2:B1000, AM320 = SmartStatus!A$2:A1000, not(SmartStatus!C$2:C1000), (isblank(SmartStatus!D$2:D1000)) + ((P320 &lt;&gt; """") * "&amp;"(P320 &lt; SmartStatus!D$2:D1000)), (isblank(SmartStatus!E$2:E1000)) + ((P320 &lt;&gt; """") * (P320 &gt;= SmartStatus!E$2:E1000)), (isblank(SmartStatus!F$2:F1000)) + (((Q320 &lt;&gt; """") * (Q320 &lt; SmartStatus!F$2:F1000)) + ((P320 &lt;&gt; """") * (date(year(P320) + 3, month(P"&amp;"320), day(P320)) &lt; SmartStatus!F$2:F1000))), (isblank(SmartStatus!G$2:G1000)) + (((Q320 &lt;&gt; """") * (Q320 &gt;= SmartStatus!G$2:G1000)) + ((P320 &lt;&gt; """") * (P320 &gt;= SmartStatus!G$2:G1000)))), if(or(regexmatch(B320, ""(?i)^ir [a-z]+ designation$""), N320 &lt;&gt; """&amp;"""), 1, 2))), """"), ""NO_MATCH"")"),"")</f>
        <v/>
      </c>
      <c r="AS320" s="11"/>
      <c r="AT320" s="15"/>
      <c r="AU320" s="11"/>
      <c r="AV320" s="11"/>
      <c r="AW320" s="15"/>
      <c r="AX320" s="15"/>
      <c r="AY320" s="15"/>
      <c r="AZ320" s="11"/>
      <c r="BA320" s="15"/>
      <c r="BB320" s="11"/>
      <c r="BC320" s="11"/>
      <c r="BD320" s="15"/>
      <c r="BE320" s="11"/>
      <c r="BF320" s="11"/>
      <c r="BG320" s="15"/>
      <c r="BH320" s="15"/>
      <c r="BI320" s="15"/>
      <c r="BJ320" s="11"/>
      <c r="BK320" s="15"/>
      <c r="BL320" s="11"/>
      <c r="BM320" s="11"/>
      <c r="BN320" s="15"/>
      <c r="BO320" s="11"/>
      <c r="BP320" s="11"/>
      <c r="BQ320" s="15"/>
      <c r="BR320" s="15"/>
      <c r="BS320" s="15"/>
      <c r="BT320" s="11"/>
      <c r="BU320" s="15"/>
      <c r="BV320" s="11"/>
      <c r="BW320" s="11"/>
      <c r="BX320" s="15"/>
      <c r="BY320" s="11"/>
      <c r="BZ320" s="11"/>
      <c r="CA320" s="15"/>
      <c r="CB320" s="11"/>
      <c r="CC320" s="15"/>
      <c r="CD320" s="11"/>
      <c r="CE320" s="15"/>
      <c r="CF320" s="11"/>
      <c r="CG320" s="11"/>
      <c r="CH320" s="15"/>
      <c r="CI320" s="11"/>
      <c r="CJ320" s="11"/>
      <c r="CK320" s="15"/>
      <c r="CL320" s="11"/>
      <c r="CM320" s="11"/>
      <c r="CN320" s="11"/>
      <c r="CO320" s="11"/>
      <c r="CP320" s="28"/>
      <c r="CQ320" s="28"/>
      <c r="CR320" s="11"/>
      <c r="CS320" s="29"/>
      <c r="CT320" s="11"/>
      <c r="CU320" s="11"/>
      <c r="CV320" s="11"/>
      <c r="CW320" s="11"/>
      <c r="CX320" s="11"/>
      <c r="CY320" s="11"/>
      <c r="CZ320" s="11"/>
      <c r="DA320" s="28"/>
      <c r="DB320" s="28"/>
      <c r="DC320" s="11"/>
      <c r="DD320" s="29"/>
      <c r="DE320" s="11"/>
      <c r="DF320" s="11"/>
      <c r="DG320" s="11"/>
      <c r="DH320" s="11"/>
      <c r="DI320" s="11"/>
      <c r="DJ320" s="11"/>
      <c r="DK320" s="26"/>
      <c r="DL320" s="11"/>
      <c r="DM320" s="29"/>
      <c r="DN320" s="28"/>
      <c r="DO320" s="11"/>
      <c r="DP320" s="11"/>
      <c r="DQ320" s="11"/>
      <c r="DR320" s="29"/>
      <c r="DS320" s="28"/>
      <c r="DT320" s="11"/>
      <c r="DU320" s="26"/>
      <c r="DV320" s="11"/>
      <c r="DW320" s="29"/>
      <c r="DX320" s="28"/>
      <c r="DY320" s="11"/>
      <c r="DZ320" s="26"/>
      <c r="EA320" s="11"/>
      <c r="EB320" s="29"/>
      <c r="EC320" s="28"/>
      <c r="ED320" s="30"/>
      <c r="EE320" s="30" t="str">
        <f ca="1">IFERROR(__xludf.DUMMYFUNCTION("iferror(index(filter('Internal -- Trademark Countries'!E$2:E1000, (AM320 = 'Internal -- Trademark Countries'!B$2:B1000) + (AM320 = 'Internal -- Trademark Countries'!C$2:C1000) + (AM320 = 'Internal -- Trademark Countries'!D$2:D1000)), 1))"),"")</f>
        <v/>
      </c>
      <c r="EF320" s="30" t="e">
        <f ca="1">_xludf.ifs(AM320="", "", COUNTIF('Internal -- Trademark Countries'!B:B,AM320) &gt; 0, "polity_shortest_name", COUNTIF('Internal -- Trademark Countries'!C:C,AM320) &gt; 0, "polity_full_name", COUNTIF('Internal -- Trademark Countries'!D:D,AM320) &gt; 0, "polity_common_name", COUNTIF('Internal -- Trademark Countries'!E:E,AM320) &gt; 0, "shortest_name", COUNTIF('Internal -- Trademark Countries'!A:A,AM320) &gt; 0, "full_name", TRUE, "not a match")</f>
        <v>#NAME?</v>
      </c>
      <c r="EG320" s="30"/>
      <c r="EH320" s="30"/>
      <c r="EI320" s="30"/>
      <c r="EJ320" s="30"/>
      <c r="EK320" s="30" t="str">
        <f t="shared" si="3"/>
        <v/>
      </c>
    </row>
    <row r="321" spans="1:141" ht="16.5">
      <c r="A321" s="11"/>
      <c r="B321" s="11"/>
      <c r="C321" s="11"/>
      <c r="D321" s="11"/>
      <c r="E321" s="11"/>
      <c r="F321" s="11"/>
      <c r="G321" s="11"/>
      <c r="H321" s="11"/>
      <c r="I321" s="11"/>
      <c r="J321" s="11"/>
      <c r="K321" s="27"/>
      <c r="L321" s="11"/>
      <c r="M321" s="11"/>
      <c r="N321" s="11"/>
      <c r="O321" s="11"/>
      <c r="P321" s="15"/>
      <c r="Q321" s="15"/>
      <c r="R321" s="15"/>
      <c r="S321" s="15"/>
      <c r="T321" s="15"/>
      <c r="U321" s="15"/>
      <c r="V321" s="15"/>
      <c r="W321" s="47"/>
      <c r="X321" s="11"/>
      <c r="Y321" s="48"/>
      <c r="Z321" s="11"/>
      <c r="AA321" s="48"/>
      <c r="AB321" s="11"/>
      <c r="AC321" s="48"/>
      <c r="AD321" s="11"/>
      <c r="AE321" s="47"/>
      <c r="AF321" s="11"/>
      <c r="AG321" s="48"/>
      <c r="AH321" s="11"/>
      <c r="AI321" s="48"/>
      <c r="AJ321" s="11"/>
      <c r="AK321" s="48"/>
      <c r="AL321" s="11"/>
      <c r="AM321" s="49"/>
      <c r="AN321" s="49"/>
      <c r="AO321" s="11"/>
      <c r="AP321" s="11"/>
      <c r="AQ321" s="28" t="b">
        <f>IF(COUNTIF(SmartStatus!A$2:A1000, AM321) &gt; 2, TRUE, FALSE)</f>
        <v>0</v>
      </c>
      <c r="AR321" s="29" t="str">
        <f ca="1">IFERROR(__xludf.DUMMYFUNCTION("iferror(if(regexmatch(AO321, ""(?i)^registered""), if(EE321 &lt;&gt; ""polity_shortest_name"", ""CHECK_POLITY"", index(filter(SmartStatus!B$2:B1000, AM321 = SmartStatus!A$2:A1000, not(SmartStatus!C$2:C1000), (isblank(SmartStatus!D$2:D1000)) + ((P321 &lt;&gt; """") * "&amp;"(P321 &lt; SmartStatus!D$2:D1000)), (isblank(SmartStatus!E$2:E1000)) + ((P321 &lt;&gt; """") * (P321 &gt;= SmartStatus!E$2:E1000)), (isblank(SmartStatus!F$2:F1000)) + (((Q321 &lt;&gt; """") * (Q321 &lt; SmartStatus!F$2:F1000)) + ((P321 &lt;&gt; """") * (date(year(P321) + 3, month(P"&amp;"321), day(P321)) &lt; SmartStatus!F$2:F1000))), (isblank(SmartStatus!G$2:G1000)) + (((Q321 &lt;&gt; """") * (Q321 &gt;= SmartStatus!G$2:G1000)) + ((P321 &lt;&gt; """") * (P321 &gt;= SmartStatus!G$2:G1000)))), if(or(regexmatch(B321, ""(?i)^ir [a-z]+ designation$""), N321 &lt;&gt; """&amp;"""), 1, 2))), """"), ""NO_MATCH"")"),"")</f>
        <v/>
      </c>
      <c r="AS321" s="11"/>
      <c r="AT321" s="15"/>
      <c r="AU321" s="11"/>
      <c r="AV321" s="11"/>
      <c r="AW321" s="15"/>
      <c r="AX321" s="15"/>
      <c r="AY321" s="15"/>
      <c r="AZ321" s="11"/>
      <c r="BA321" s="15"/>
      <c r="BB321" s="11"/>
      <c r="BC321" s="11"/>
      <c r="BD321" s="15"/>
      <c r="BE321" s="11"/>
      <c r="BF321" s="11"/>
      <c r="BG321" s="15"/>
      <c r="BH321" s="15"/>
      <c r="BI321" s="15"/>
      <c r="BJ321" s="11"/>
      <c r="BK321" s="15"/>
      <c r="BL321" s="11"/>
      <c r="BM321" s="11"/>
      <c r="BN321" s="15"/>
      <c r="BO321" s="11"/>
      <c r="BP321" s="11"/>
      <c r="BQ321" s="15"/>
      <c r="BR321" s="15"/>
      <c r="BS321" s="15"/>
      <c r="BT321" s="11"/>
      <c r="BU321" s="15"/>
      <c r="BV321" s="11"/>
      <c r="BW321" s="11"/>
      <c r="BX321" s="15"/>
      <c r="BY321" s="11"/>
      <c r="BZ321" s="11"/>
      <c r="CA321" s="15"/>
      <c r="CB321" s="11"/>
      <c r="CC321" s="15"/>
      <c r="CD321" s="11"/>
      <c r="CE321" s="15"/>
      <c r="CF321" s="11"/>
      <c r="CG321" s="11"/>
      <c r="CH321" s="15"/>
      <c r="CI321" s="11"/>
      <c r="CJ321" s="11"/>
      <c r="CK321" s="15"/>
      <c r="CL321" s="11"/>
      <c r="CM321" s="11"/>
      <c r="CN321" s="11"/>
      <c r="CO321" s="11"/>
      <c r="CP321" s="28"/>
      <c r="CQ321" s="28"/>
      <c r="CR321" s="11"/>
      <c r="CS321" s="29"/>
      <c r="CT321" s="11"/>
      <c r="CU321" s="11"/>
      <c r="CV321" s="11"/>
      <c r="CW321" s="11"/>
      <c r="CX321" s="11"/>
      <c r="CY321" s="11"/>
      <c r="CZ321" s="11"/>
      <c r="DA321" s="28"/>
      <c r="DB321" s="28"/>
      <c r="DC321" s="11"/>
      <c r="DD321" s="29"/>
      <c r="DE321" s="11"/>
      <c r="DF321" s="11"/>
      <c r="DG321" s="11"/>
      <c r="DH321" s="11"/>
      <c r="DI321" s="11"/>
      <c r="DJ321" s="11"/>
      <c r="DK321" s="26"/>
      <c r="DL321" s="11"/>
      <c r="DM321" s="29"/>
      <c r="DN321" s="28"/>
      <c r="DO321" s="11"/>
      <c r="DP321" s="11"/>
      <c r="DQ321" s="11"/>
      <c r="DR321" s="29"/>
      <c r="DS321" s="28"/>
      <c r="DT321" s="11"/>
      <c r="DU321" s="26"/>
      <c r="DV321" s="11"/>
      <c r="DW321" s="29"/>
      <c r="DX321" s="28"/>
      <c r="DY321" s="11"/>
      <c r="DZ321" s="26"/>
      <c r="EA321" s="11"/>
      <c r="EB321" s="29"/>
      <c r="EC321" s="28"/>
      <c r="ED321" s="30"/>
      <c r="EE321" s="30" t="str">
        <f ca="1">IFERROR(__xludf.DUMMYFUNCTION("iferror(index(filter('Internal -- Trademark Countries'!E$2:E1000, (AM321 = 'Internal -- Trademark Countries'!B$2:B1000) + (AM321 = 'Internal -- Trademark Countries'!C$2:C1000) + (AM321 = 'Internal -- Trademark Countries'!D$2:D1000)), 1))"),"")</f>
        <v/>
      </c>
      <c r="EF321" s="30" t="e">
        <f ca="1">_xludf.ifs(AM321="", "", COUNTIF('Internal -- Trademark Countries'!B:B,AM321) &gt; 0, "polity_shortest_name", COUNTIF('Internal -- Trademark Countries'!C:C,AM321) &gt; 0, "polity_full_name", COUNTIF('Internal -- Trademark Countries'!D:D,AM321) &gt; 0, "polity_common_name", COUNTIF('Internal -- Trademark Countries'!E:E,AM321) &gt; 0, "shortest_name", COUNTIF('Internal -- Trademark Countries'!A:A,AM321) &gt; 0, "full_name", TRUE, "not a match")</f>
        <v>#NAME?</v>
      </c>
      <c r="EG321" s="30"/>
      <c r="EH321" s="30"/>
      <c r="EI321" s="30"/>
      <c r="EJ321" s="30"/>
      <c r="EK321" s="30" t="str">
        <f t="shared" si="3"/>
        <v/>
      </c>
    </row>
    <row r="322" spans="1:141" ht="16.5">
      <c r="A322" s="11"/>
      <c r="B322" s="11"/>
      <c r="C322" s="11"/>
      <c r="D322" s="11"/>
      <c r="E322" s="11"/>
      <c r="F322" s="11"/>
      <c r="G322" s="11"/>
      <c r="H322" s="11"/>
      <c r="I322" s="11"/>
      <c r="J322" s="11"/>
      <c r="K322" s="27"/>
      <c r="L322" s="11"/>
      <c r="M322" s="11"/>
      <c r="N322" s="11"/>
      <c r="O322" s="11"/>
      <c r="P322" s="15"/>
      <c r="Q322" s="15"/>
      <c r="R322" s="15"/>
      <c r="S322" s="15"/>
      <c r="T322" s="15"/>
      <c r="U322" s="15"/>
      <c r="V322" s="15"/>
      <c r="W322" s="47"/>
      <c r="X322" s="11"/>
      <c r="Y322" s="48"/>
      <c r="Z322" s="11"/>
      <c r="AA322" s="48"/>
      <c r="AB322" s="11"/>
      <c r="AC322" s="48"/>
      <c r="AD322" s="11"/>
      <c r="AE322" s="47"/>
      <c r="AF322" s="11"/>
      <c r="AG322" s="48"/>
      <c r="AH322" s="11"/>
      <c r="AI322" s="48"/>
      <c r="AJ322" s="11"/>
      <c r="AK322" s="48"/>
      <c r="AL322" s="11"/>
      <c r="AM322" s="49"/>
      <c r="AN322" s="49"/>
      <c r="AO322" s="11"/>
      <c r="AP322" s="11"/>
      <c r="AQ322" s="28" t="b">
        <f>IF(COUNTIF(SmartStatus!A$2:A1000, AM322) &gt; 2, TRUE, FALSE)</f>
        <v>0</v>
      </c>
      <c r="AR322" s="29" t="str">
        <f ca="1">IFERROR(__xludf.DUMMYFUNCTION("iferror(if(regexmatch(AO322, ""(?i)^registered""), if(EE322 &lt;&gt; ""polity_shortest_name"", ""CHECK_POLITY"", index(filter(SmartStatus!B$2:B1000, AM322 = SmartStatus!A$2:A1000, not(SmartStatus!C$2:C1000), (isblank(SmartStatus!D$2:D1000)) + ((P322 &lt;&gt; """") * "&amp;"(P322 &lt; SmartStatus!D$2:D1000)), (isblank(SmartStatus!E$2:E1000)) + ((P322 &lt;&gt; """") * (P322 &gt;= SmartStatus!E$2:E1000)), (isblank(SmartStatus!F$2:F1000)) + (((Q322 &lt;&gt; """") * (Q322 &lt; SmartStatus!F$2:F1000)) + ((P322 &lt;&gt; """") * (date(year(P322) + 3, month(P"&amp;"322), day(P322)) &lt; SmartStatus!F$2:F1000))), (isblank(SmartStatus!G$2:G1000)) + (((Q322 &lt;&gt; """") * (Q322 &gt;= SmartStatus!G$2:G1000)) + ((P322 &lt;&gt; """") * (P322 &gt;= SmartStatus!G$2:G1000)))), if(or(regexmatch(B322, ""(?i)^ir [a-z]+ designation$""), N322 &lt;&gt; """&amp;"""), 1, 2))), """"), ""NO_MATCH"")"),"")</f>
        <v/>
      </c>
      <c r="AS322" s="11"/>
      <c r="AT322" s="15"/>
      <c r="AU322" s="11"/>
      <c r="AV322" s="11"/>
      <c r="AW322" s="15"/>
      <c r="AX322" s="15"/>
      <c r="AY322" s="15"/>
      <c r="AZ322" s="11"/>
      <c r="BA322" s="15"/>
      <c r="BB322" s="11"/>
      <c r="BC322" s="11"/>
      <c r="BD322" s="15"/>
      <c r="BE322" s="11"/>
      <c r="BF322" s="11"/>
      <c r="BG322" s="15"/>
      <c r="BH322" s="15"/>
      <c r="BI322" s="15"/>
      <c r="BJ322" s="11"/>
      <c r="BK322" s="15"/>
      <c r="BL322" s="11"/>
      <c r="BM322" s="11"/>
      <c r="BN322" s="15"/>
      <c r="BO322" s="11"/>
      <c r="BP322" s="11"/>
      <c r="BQ322" s="15"/>
      <c r="BR322" s="15"/>
      <c r="BS322" s="15"/>
      <c r="BT322" s="11"/>
      <c r="BU322" s="15"/>
      <c r="BV322" s="11"/>
      <c r="BW322" s="11"/>
      <c r="BX322" s="15"/>
      <c r="BY322" s="11"/>
      <c r="BZ322" s="11"/>
      <c r="CA322" s="15"/>
      <c r="CB322" s="11"/>
      <c r="CC322" s="15"/>
      <c r="CD322" s="11"/>
      <c r="CE322" s="15"/>
      <c r="CF322" s="11"/>
      <c r="CG322" s="11"/>
      <c r="CH322" s="15"/>
      <c r="CI322" s="11"/>
      <c r="CJ322" s="11"/>
      <c r="CK322" s="15"/>
      <c r="CL322" s="11"/>
      <c r="CM322" s="11"/>
      <c r="CN322" s="11"/>
      <c r="CO322" s="11"/>
      <c r="CP322" s="28"/>
      <c r="CQ322" s="28"/>
      <c r="CR322" s="11"/>
      <c r="CS322" s="29"/>
      <c r="CT322" s="11"/>
      <c r="CU322" s="11"/>
      <c r="CV322" s="11"/>
      <c r="CW322" s="11"/>
      <c r="CX322" s="11"/>
      <c r="CY322" s="11"/>
      <c r="CZ322" s="11"/>
      <c r="DA322" s="28"/>
      <c r="DB322" s="28"/>
      <c r="DC322" s="11"/>
      <c r="DD322" s="29"/>
      <c r="DE322" s="11"/>
      <c r="DF322" s="11"/>
      <c r="DG322" s="11"/>
      <c r="DH322" s="11"/>
      <c r="DI322" s="11"/>
      <c r="DJ322" s="11"/>
      <c r="DK322" s="26"/>
      <c r="DL322" s="11"/>
      <c r="DM322" s="29"/>
      <c r="DN322" s="28"/>
      <c r="DO322" s="11"/>
      <c r="DP322" s="11"/>
      <c r="DQ322" s="11"/>
      <c r="DR322" s="29"/>
      <c r="DS322" s="28"/>
      <c r="DT322" s="11"/>
      <c r="DU322" s="26"/>
      <c r="DV322" s="11"/>
      <c r="DW322" s="29"/>
      <c r="DX322" s="28"/>
      <c r="DY322" s="11"/>
      <c r="DZ322" s="26"/>
      <c r="EA322" s="11"/>
      <c r="EB322" s="29"/>
      <c r="EC322" s="28"/>
      <c r="ED322" s="30"/>
      <c r="EE322" s="30" t="str">
        <f ca="1">IFERROR(__xludf.DUMMYFUNCTION("iferror(index(filter('Internal -- Trademark Countries'!E$2:E1000, (AM322 = 'Internal -- Trademark Countries'!B$2:B1000) + (AM322 = 'Internal -- Trademark Countries'!C$2:C1000) + (AM322 = 'Internal -- Trademark Countries'!D$2:D1000)), 1))"),"")</f>
        <v/>
      </c>
      <c r="EF322" s="30" t="e">
        <f ca="1">_xludf.ifs(AM322="", "", COUNTIF('Internal -- Trademark Countries'!B:B,AM322) &gt; 0, "polity_shortest_name", COUNTIF('Internal -- Trademark Countries'!C:C,AM322) &gt; 0, "polity_full_name", COUNTIF('Internal -- Trademark Countries'!D:D,AM322) &gt; 0, "polity_common_name", COUNTIF('Internal -- Trademark Countries'!E:E,AM322) &gt; 0, "shortest_name", COUNTIF('Internal -- Trademark Countries'!A:A,AM322) &gt; 0, "full_name", TRUE, "not a match")</f>
        <v>#NAME?</v>
      </c>
      <c r="EG322" s="30"/>
      <c r="EH322" s="30"/>
      <c r="EI322" s="30"/>
      <c r="EJ322" s="30"/>
      <c r="EK322" s="30" t="str">
        <f t="shared" si="3"/>
        <v/>
      </c>
    </row>
    <row r="323" spans="1:141" ht="16.5">
      <c r="A323" s="11"/>
      <c r="B323" s="11"/>
      <c r="C323" s="11"/>
      <c r="D323" s="11"/>
      <c r="E323" s="11"/>
      <c r="F323" s="11"/>
      <c r="G323" s="11"/>
      <c r="H323" s="11"/>
      <c r="I323" s="11"/>
      <c r="J323" s="11"/>
      <c r="K323" s="27"/>
      <c r="L323" s="11"/>
      <c r="M323" s="11"/>
      <c r="N323" s="11"/>
      <c r="O323" s="11"/>
      <c r="P323" s="15"/>
      <c r="Q323" s="15"/>
      <c r="R323" s="15"/>
      <c r="S323" s="15"/>
      <c r="T323" s="15"/>
      <c r="U323" s="15"/>
      <c r="V323" s="15"/>
      <c r="W323" s="47"/>
      <c r="X323" s="11"/>
      <c r="Y323" s="48"/>
      <c r="Z323" s="11"/>
      <c r="AA323" s="48"/>
      <c r="AB323" s="11"/>
      <c r="AC323" s="48"/>
      <c r="AD323" s="11"/>
      <c r="AE323" s="47"/>
      <c r="AF323" s="11"/>
      <c r="AG323" s="48"/>
      <c r="AH323" s="11"/>
      <c r="AI323" s="48"/>
      <c r="AJ323" s="11"/>
      <c r="AK323" s="48"/>
      <c r="AL323" s="11"/>
      <c r="AM323" s="49"/>
      <c r="AN323" s="49"/>
      <c r="AO323" s="11"/>
      <c r="AP323" s="11"/>
      <c r="AQ323" s="28" t="b">
        <f>IF(COUNTIF(SmartStatus!A$2:A1000, AM323) &gt; 2, TRUE, FALSE)</f>
        <v>0</v>
      </c>
      <c r="AR323" s="29" t="str">
        <f ca="1">IFERROR(__xludf.DUMMYFUNCTION("iferror(if(regexmatch(AO323, ""(?i)^registered""), if(EE323 &lt;&gt; ""polity_shortest_name"", ""CHECK_POLITY"", index(filter(SmartStatus!B$2:B1000, AM323 = SmartStatus!A$2:A1000, not(SmartStatus!C$2:C1000), (isblank(SmartStatus!D$2:D1000)) + ((P323 &lt;&gt; """") * "&amp;"(P323 &lt; SmartStatus!D$2:D1000)), (isblank(SmartStatus!E$2:E1000)) + ((P323 &lt;&gt; """") * (P323 &gt;= SmartStatus!E$2:E1000)), (isblank(SmartStatus!F$2:F1000)) + (((Q323 &lt;&gt; """") * (Q323 &lt; SmartStatus!F$2:F1000)) + ((P323 &lt;&gt; """") * (date(year(P323) + 3, month(P"&amp;"323), day(P323)) &lt; SmartStatus!F$2:F1000))), (isblank(SmartStatus!G$2:G1000)) + (((Q323 &lt;&gt; """") * (Q323 &gt;= SmartStatus!G$2:G1000)) + ((P323 &lt;&gt; """") * (P323 &gt;= SmartStatus!G$2:G1000)))), if(or(regexmatch(B323, ""(?i)^ir [a-z]+ designation$""), N323 &lt;&gt; """&amp;"""), 1, 2))), """"), ""NO_MATCH"")"),"")</f>
        <v/>
      </c>
      <c r="AS323" s="11"/>
      <c r="AT323" s="15"/>
      <c r="AU323" s="11"/>
      <c r="AV323" s="11"/>
      <c r="AW323" s="15"/>
      <c r="AX323" s="15"/>
      <c r="AY323" s="15"/>
      <c r="AZ323" s="11"/>
      <c r="BA323" s="15"/>
      <c r="BB323" s="11"/>
      <c r="BC323" s="11"/>
      <c r="BD323" s="15"/>
      <c r="BE323" s="11"/>
      <c r="BF323" s="11"/>
      <c r="BG323" s="15"/>
      <c r="BH323" s="15"/>
      <c r="BI323" s="15"/>
      <c r="BJ323" s="11"/>
      <c r="BK323" s="15"/>
      <c r="BL323" s="11"/>
      <c r="BM323" s="11"/>
      <c r="BN323" s="15"/>
      <c r="BO323" s="11"/>
      <c r="BP323" s="11"/>
      <c r="BQ323" s="15"/>
      <c r="BR323" s="15"/>
      <c r="BS323" s="15"/>
      <c r="BT323" s="11"/>
      <c r="BU323" s="15"/>
      <c r="BV323" s="11"/>
      <c r="BW323" s="11"/>
      <c r="BX323" s="15"/>
      <c r="BY323" s="11"/>
      <c r="BZ323" s="11"/>
      <c r="CA323" s="15"/>
      <c r="CB323" s="11"/>
      <c r="CC323" s="15"/>
      <c r="CD323" s="11"/>
      <c r="CE323" s="15"/>
      <c r="CF323" s="11"/>
      <c r="CG323" s="11"/>
      <c r="CH323" s="15"/>
      <c r="CI323" s="11"/>
      <c r="CJ323" s="11"/>
      <c r="CK323" s="15"/>
      <c r="CL323" s="11"/>
      <c r="CM323" s="11"/>
      <c r="CN323" s="11"/>
      <c r="CO323" s="11"/>
      <c r="CP323" s="28"/>
      <c r="CQ323" s="28"/>
      <c r="CR323" s="11"/>
      <c r="CS323" s="29"/>
      <c r="CT323" s="11"/>
      <c r="CU323" s="11"/>
      <c r="CV323" s="11"/>
      <c r="CW323" s="11"/>
      <c r="CX323" s="11"/>
      <c r="CY323" s="11"/>
      <c r="CZ323" s="11"/>
      <c r="DA323" s="28"/>
      <c r="DB323" s="28"/>
      <c r="DC323" s="11"/>
      <c r="DD323" s="29"/>
      <c r="DE323" s="11"/>
      <c r="DF323" s="11"/>
      <c r="DG323" s="11"/>
      <c r="DH323" s="11"/>
      <c r="DI323" s="11"/>
      <c r="DJ323" s="11"/>
      <c r="DK323" s="26"/>
      <c r="DL323" s="11"/>
      <c r="DM323" s="29"/>
      <c r="DN323" s="28"/>
      <c r="DO323" s="11"/>
      <c r="DP323" s="11"/>
      <c r="DQ323" s="11"/>
      <c r="DR323" s="29"/>
      <c r="DS323" s="28"/>
      <c r="DT323" s="11"/>
      <c r="DU323" s="26"/>
      <c r="DV323" s="11"/>
      <c r="DW323" s="29"/>
      <c r="DX323" s="28"/>
      <c r="DY323" s="11"/>
      <c r="DZ323" s="26"/>
      <c r="EA323" s="11"/>
      <c r="EB323" s="29"/>
      <c r="EC323" s="28"/>
      <c r="ED323" s="30"/>
      <c r="EE323" s="30" t="str">
        <f ca="1">IFERROR(__xludf.DUMMYFUNCTION("iferror(index(filter('Internal -- Trademark Countries'!E$2:E1000, (AM323 = 'Internal -- Trademark Countries'!B$2:B1000) + (AM323 = 'Internal -- Trademark Countries'!C$2:C1000) + (AM323 = 'Internal -- Trademark Countries'!D$2:D1000)), 1))"),"")</f>
        <v/>
      </c>
      <c r="EF323" s="30" t="e">
        <f ca="1">_xludf.ifs(AM323="", "", COUNTIF('Internal -- Trademark Countries'!B:B,AM323) &gt; 0, "polity_shortest_name", COUNTIF('Internal -- Trademark Countries'!C:C,AM323) &gt; 0, "polity_full_name", COUNTIF('Internal -- Trademark Countries'!D:D,AM323) &gt; 0, "polity_common_name", COUNTIF('Internal -- Trademark Countries'!E:E,AM323) &gt; 0, "shortest_name", COUNTIF('Internal -- Trademark Countries'!A:A,AM323) &gt; 0, "full_name", TRUE, "not a match")</f>
        <v>#NAME?</v>
      </c>
      <c r="EG323" s="30"/>
      <c r="EH323" s="30"/>
      <c r="EI323" s="30"/>
      <c r="EJ323" s="30"/>
      <c r="EK323" s="30" t="str">
        <f t="shared" si="3"/>
        <v/>
      </c>
    </row>
    <row r="324" spans="1:141" ht="16.5">
      <c r="A324" s="11"/>
      <c r="B324" s="11"/>
      <c r="C324" s="11"/>
      <c r="D324" s="11"/>
      <c r="E324" s="11"/>
      <c r="F324" s="11"/>
      <c r="G324" s="11"/>
      <c r="H324" s="11"/>
      <c r="I324" s="11"/>
      <c r="J324" s="11"/>
      <c r="K324" s="27"/>
      <c r="L324" s="11"/>
      <c r="M324" s="11"/>
      <c r="N324" s="11"/>
      <c r="O324" s="11"/>
      <c r="P324" s="15"/>
      <c r="Q324" s="15"/>
      <c r="R324" s="15"/>
      <c r="S324" s="15"/>
      <c r="T324" s="15"/>
      <c r="U324" s="15"/>
      <c r="V324" s="15"/>
      <c r="W324" s="47"/>
      <c r="X324" s="11"/>
      <c r="Y324" s="48"/>
      <c r="Z324" s="11"/>
      <c r="AA324" s="48"/>
      <c r="AB324" s="11"/>
      <c r="AC324" s="48"/>
      <c r="AD324" s="11"/>
      <c r="AE324" s="47"/>
      <c r="AF324" s="11"/>
      <c r="AG324" s="48"/>
      <c r="AH324" s="11"/>
      <c r="AI324" s="48"/>
      <c r="AJ324" s="11"/>
      <c r="AK324" s="48"/>
      <c r="AL324" s="11"/>
      <c r="AM324" s="49"/>
      <c r="AN324" s="49"/>
      <c r="AO324" s="11"/>
      <c r="AP324" s="11"/>
      <c r="AQ324" s="28" t="b">
        <f>IF(COUNTIF(SmartStatus!A$2:A1000, AM324) &gt; 2, TRUE, FALSE)</f>
        <v>0</v>
      </c>
      <c r="AR324" s="29" t="str">
        <f ca="1">IFERROR(__xludf.DUMMYFUNCTION("iferror(if(regexmatch(AO324, ""(?i)^registered""), if(EE324 &lt;&gt; ""polity_shortest_name"", ""CHECK_POLITY"", index(filter(SmartStatus!B$2:B1000, AM324 = SmartStatus!A$2:A1000, not(SmartStatus!C$2:C1000), (isblank(SmartStatus!D$2:D1000)) + ((P324 &lt;&gt; """") * "&amp;"(P324 &lt; SmartStatus!D$2:D1000)), (isblank(SmartStatus!E$2:E1000)) + ((P324 &lt;&gt; """") * (P324 &gt;= SmartStatus!E$2:E1000)), (isblank(SmartStatus!F$2:F1000)) + (((Q324 &lt;&gt; """") * (Q324 &lt; SmartStatus!F$2:F1000)) + ((P324 &lt;&gt; """") * (date(year(P324) + 3, month(P"&amp;"324), day(P324)) &lt; SmartStatus!F$2:F1000))), (isblank(SmartStatus!G$2:G1000)) + (((Q324 &lt;&gt; """") * (Q324 &gt;= SmartStatus!G$2:G1000)) + ((P324 &lt;&gt; """") * (P324 &gt;= SmartStatus!G$2:G1000)))), if(or(regexmatch(B324, ""(?i)^ir [a-z]+ designation$""), N324 &lt;&gt; """&amp;"""), 1, 2))), """"), ""NO_MATCH"")"),"")</f>
        <v/>
      </c>
      <c r="AS324" s="11"/>
      <c r="AT324" s="15"/>
      <c r="AU324" s="11"/>
      <c r="AV324" s="11"/>
      <c r="AW324" s="15"/>
      <c r="AX324" s="15"/>
      <c r="AY324" s="15"/>
      <c r="AZ324" s="11"/>
      <c r="BA324" s="15"/>
      <c r="BB324" s="11"/>
      <c r="BC324" s="11"/>
      <c r="BD324" s="15"/>
      <c r="BE324" s="11"/>
      <c r="BF324" s="11"/>
      <c r="BG324" s="15"/>
      <c r="BH324" s="15"/>
      <c r="BI324" s="15"/>
      <c r="BJ324" s="11"/>
      <c r="BK324" s="15"/>
      <c r="BL324" s="11"/>
      <c r="BM324" s="11"/>
      <c r="BN324" s="15"/>
      <c r="BO324" s="11"/>
      <c r="BP324" s="11"/>
      <c r="BQ324" s="15"/>
      <c r="BR324" s="15"/>
      <c r="BS324" s="15"/>
      <c r="BT324" s="11"/>
      <c r="BU324" s="15"/>
      <c r="BV324" s="11"/>
      <c r="BW324" s="11"/>
      <c r="BX324" s="15"/>
      <c r="BY324" s="11"/>
      <c r="BZ324" s="11"/>
      <c r="CA324" s="15"/>
      <c r="CB324" s="11"/>
      <c r="CC324" s="15"/>
      <c r="CD324" s="11"/>
      <c r="CE324" s="15"/>
      <c r="CF324" s="11"/>
      <c r="CG324" s="11"/>
      <c r="CH324" s="15"/>
      <c r="CI324" s="11"/>
      <c r="CJ324" s="11"/>
      <c r="CK324" s="15"/>
      <c r="CL324" s="11"/>
      <c r="CM324" s="11"/>
      <c r="CN324" s="11"/>
      <c r="CO324" s="11"/>
      <c r="CP324" s="28"/>
      <c r="CQ324" s="28"/>
      <c r="CR324" s="11"/>
      <c r="CS324" s="29"/>
      <c r="CT324" s="11"/>
      <c r="CU324" s="11"/>
      <c r="CV324" s="11"/>
      <c r="CW324" s="11"/>
      <c r="CX324" s="11"/>
      <c r="CY324" s="11"/>
      <c r="CZ324" s="11"/>
      <c r="DA324" s="28"/>
      <c r="DB324" s="28"/>
      <c r="DC324" s="11"/>
      <c r="DD324" s="29"/>
      <c r="DE324" s="11"/>
      <c r="DF324" s="11"/>
      <c r="DG324" s="11"/>
      <c r="DH324" s="11"/>
      <c r="DI324" s="11"/>
      <c r="DJ324" s="11"/>
      <c r="DK324" s="26"/>
      <c r="DL324" s="11"/>
      <c r="DM324" s="29"/>
      <c r="DN324" s="28"/>
      <c r="DO324" s="11"/>
      <c r="DP324" s="11"/>
      <c r="DQ324" s="11"/>
      <c r="DR324" s="29"/>
      <c r="DS324" s="28"/>
      <c r="DT324" s="11"/>
      <c r="DU324" s="26"/>
      <c r="DV324" s="11"/>
      <c r="DW324" s="29"/>
      <c r="DX324" s="28"/>
      <c r="DY324" s="11"/>
      <c r="DZ324" s="26"/>
      <c r="EA324" s="11"/>
      <c r="EB324" s="29"/>
      <c r="EC324" s="28"/>
      <c r="ED324" s="30"/>
      <c r="EE324" s="30" t="str">
        <f ca="1">IFERROR(__xludf.DUMMYFUNCTION("iferror(index(filter('Internal -- Trademark Countries'!E$2:E1000, (AM324 = 'Internal -- Trademark Countries'!B$2:B1000) + (AM324 = 'Internal -- Trademark Countries'!C$2:C1000) + (AM324 = 'Internal -- Trademark Countries'!D$2:D1000)), 1))"),"")</f>
        <v/>
      </c>
      <c r="EF324" s="30" t="e">
        <f ca="1">_xludf.ifs(AM324="", "", COUNTIF('Internal -- Trademark Countries'!B:B,AM324) &gt; 0, "polity_shortest_name", COUNTIF('Internal -- Trademark Countries'!C:C,AM324) &gt; 0, "polity_full_name", COUNTIF('Internal -- Trademark Countries'!D:D,AM324) &gt; 0, "polity_common_name", COUNTIF('Internal -- Trademark Countries'!E:E,AM324) &gt; 0, "shortest_name", COUNTIF('Internal -- Trademark Countries'!A:A,AM324) &gt; 0, "full_name", TRUE, "not a match")</f>
        <v>#NAME?</v>
      </c>
      <c r="EG324" s="30"/>
      <c r="EH324" s="30"/>
      <c r="EI324" s="30"/>
      <c r="EJ324" s="30"/>
      <c r="EK324" s="30" t="str">
        <f t="shared" si="3"/>
        <v/>
      </c>
    </row>
    <row r="325" spans="1:141" ht="16.5">
      <c r="A325" s="11"/>
      <c r="B325" s="11"/>
      <c r="C325" s="11"/>
      <c r="D325" s="11"/>
      <c r="E325" s="11"/>
      <c r="F325" s="11"/>
      <c r="G325" s="11"/>
      <c r="H325" s="11"/>
      <c r="I325" s="11"/>
      <c r="J325" s="11"/>
      <c r="K325" s="27"/>
      <c r="L325" s="11"/>
      <c r="M325" s="11"/>
      <c r="N325" s="11"/>
      <c r="O325" s="11"/>
      <c r="P325" s="15"/>
      <c r="Q325" s="15"/>
      <c r="R325" s="15"/>
      <c r="S325" s="15"/>
      <c r="T325" s="15"/>
      <c r="U325" s="15"/>
      <c r="V325" s="15"/>
      <c r="W325" s="47"/>
      <c r="X325" s="11"/>
      <c r="Y325" s="48"/>
      <c r="Z325" s="11"/>
      <c r="AA325" s="48"/>
      <c r="AB325" s="11"/>
      <c r="AC325" s="48"/>
      <c r="AD325" s="11"/>
      <c r="AE325" s="47"/>
      <c r="AF325" s="11"/>
      <c r="AG325" s="48"/>
      <c r="AH325" s="11"/>
      <c r="AI325" s="48"/>
      <c r="AJ325" s="11"/>
      <c r="AK325" s="48"/>
      <c r="AL325" s="11"/>
      <c r="AM325" s="49"/>
      <c r="AN325" s="49"/>
      <c r="AO325" s="11"/>
      <c r="AP325" s="11"/>
      <c r="AQ325" s="28" t="b">
        <f>IF(COUNTIF(SmartStatus!A$2:A1000, AM325) &gt; 2, TRUE, FALSE)</f>
        <v>0</v>
      </c>
      <c r="AR325" s="29" t="str">
        <f ca="1">IFERROR(__xludf.DUMMYFUNCTION("iferror(if(regexmatch(AO325, ""(?i)^registered""), if(EE325 &lt;&gt; ""polity_shortest_name"", ""CHECK_POLITY"", index(filter(SmartStatus!B$2:B1000, AM325 = SmartStatus!A$2:A1000, not(SmartStatus!C$2:C1000), (isblank(SmartStatus!D$2:D1000)) + ((P325 &lt;&gt; """") * "&amp;"(P325 &lt; SmartStatus!D$2:D1000)), (isblank(SmartStatus!E$2:E1000)) + ((P325 &lt;&gt; """") * (P325 &gt;= SmartStatus!E$2:E1000)), (isblank(SmartStatus!F$2:F1000)) + (((Q325 &lt;&gt; """") * (Q325 &lt; SmartStatus!F$2:F1000)) + ((P325 &lt;&gt; """") * (date(year(P325) + 3, month(P"&amp;"325), day(P325)) &lt; SmartStatus!F$2:F1000))), (isblank(SmartStatus!G$2:G1000)) + (((Q325 &lt;&gt; """") * (Q325 &gt;= SmartStatus!G$2:G1000)) + ((P325 &lt;&gt; """") * (P325 &gt;= SmartStatus!G$2:G1000)))), if(or(regexmatch(B325, ""(?i)^ir [a-z]+ designation$""), N325 &lt;&gt; """&amp;"""), 1, 2))), """"), ""NO_MATCH"")"),"")</f>
        <v/>
      </c>
      <c r="AS325" s="11"/>
      <c r="AT325" s="15"/>
      <c r="AU325" s="11"/>
      <c r="AV325" s="11"/>
      <c r="AW325" s="15"/>
      <c r="AX325" s="15"/>
      <c r="AY325" s="15"/>
      <c r="AZ325" s="11"/>
      <c r="BA325" s="15"/>
      <c r="BB325" s="11"/>
      <c r="BC325" s="11"/>
      <c r="BD325" s="15"/>
      <c r="BE325" s="11"/>
      <c r="BF325" s="11"/>
      <c r="BG325" s="15"/>
      <c r="BH325" s="15"/>
      <c r="BI325" s="15"/>
      <c r="BJ325" s="11"/>
      <c r="BK325" s="15"/>
      <c r="BL325" s="11"/>
      <c r="BM325" s="11"/>
      <c r="BN325" s="15"/>
      <c r="BO325" s="11"/>
      <c r="BP325" s="11"/>
      <c r="BQ325" s="15"/>
      <c r="BR325" s="15"/>
      <c r="BS325" s="15"/>
      <c r="BT325" s="11"/>
      <c r="BU325" s="15"/>
      <c r="BV325" s="11"/>
      <c r="BW325" s="11"/>
      <c r="BX325" s="15"/>
      <c r="BY325" s="11"/>
      <c r="BZ325" s="11"/>
      <c r="CA325" s="15"/>
      <c r="CB325" s="11"/>
      <c r="CC325" s="15"/>
      <c r="CD325" s="11"/>
      <c r="CE325" s="15"/>
      <c r="CF325" s="11"/>
      <c r="CG325" s="11"/>
      <c r="CH325" s="15"/>
      <c r="CI325" s="11"/>
      <c r="CJ325" s="11"/>
      <c r="CK325" s="15"/>
      <c r="CL325" s="11"/>
      <c r="CM325" s="11"/>
      <c r="CN325" s="11"/>
      <c r="CO325" s="11"/>
      <c r="CP325" s="28"/>
      <c r="CQ325" s="28"/>
      <c r="CR325" s="11"/>
      <c r="CS325" s="29"/>
      <c r="CT325" s="11"/>
      <c r="CU325" s="11"/>
      <c r="CV325" s="11"/>
      <c r="CW325" s="11"/>
      <c r="CX325" s="11"/>
      <c r="CY325" s="11"/>
      <c r="CZ325" s="11"/>
      <c r="DA325" s="28"/>
      <c r="DB325" s="28"/>
      <c r="DC325" s="11"/>
      <c r="DD325" s="29"/>
      <c r="DE325" s="11"/>
      <c r="DF325" s="11"/>
      <c r="DG325" s="11"/>
      <c r="DH325" s="11"/>
      <c r="DI325" s="11"/>
      <c r="DJ325" s="11"/>
      <c r="DK325" s="26"/>
      <c r="DL325" s="11"/>
      <c r="DM325" s="29"/>
      <c r="DN325" s="28"/>
      <c r="DO325" s="11"/>
      <c r="DP325" s="11"/>
      <c r="DQ325" s="11"/>
      <c r="DR325" s="29"/>
      <c r="DS325" s="28"/>
      <c r="DT325" s="11"/>
      <c r="DU325" s="26"/>
      <c r="DV325" s="11"/>
      <c r="DW325" s="29"/>
      <c r="DX325" s="28"/>
      <c r="DY325" s="11"/>
      <c r="DZ325" s="26"/>
      <c r="EA325" s="11"/>
      <c r="EB325" s="29"/>
      <c r="EC325" s="28"/>
      <c r="ED325" s="30"/>
      <c r="EE325" s="30" t="str">
        <f ca="1">IFERROR(__xludf.DUMMYFUNCTION("iferror(index(filter('Internal -- Trademark Countries'!E$2:E1000, (AM325 = 'Internal -- Trademark Countries'!B$2:B1000) + (AM325 = 'Internal -- Trademark Countries'!C$2:C1000) + (AM325 = 'Internal -- Trademark Countries'!D$2:D1000)), 1))"),"")</f>
        <v/>
      </c>
      <c r="EF325" s="30" t="e">
        <f ca="1">_xludf.ifs(AM325="", "", COUNTIF('Internal -- Trademark Countries'!B:B,AM325) &gt; 0, "polity_shortest_name", COUNTIF('Internal -- Trademark Countries'!C:C,AM325) &gt; 0, "polity_full_name", COUNTIF('Internal -- Trademark Countries'!D:D,AM325) &gt; 0, "polity_common_name", COUNTIF('Internal -- Trademark Countries'!E:E,AM325) &gt; 0, "shortest_name", COUNTIF('Internal -- Trademark Countries'!A:A,AM325) &gt; 0, "full_name", TRUE, "not a match")</f>
        <v>#NAME?</v>
      </c>
      <c r="EG325" s="30"/>
      <c r="EH325" s="30"/>
      <c r="EI325" s="30"/>
      <c r="EJ325" s="30"/>
      <c r="EK325" s="30" t="str">
        <f t="shared" si="3"/>
        <v/>
      </c>
    </row>
    <row r="326" spans="1:141" ht="16.5">
      <c r="A326" s="11"/>
      <c r="B326" s="11"/>
      <c r="C326" s="11"/>
      <c r="D326" s="11"/>
      <c r="E326" s="11"/>
      <c r="F326" s="11"/>
      <c r="G326" s="11"/>
      <c r="H326" s="11"/>
      <c r="I326" s="11"/>
      <c r="J326" s="11"/>
      <c r="K326" s="27"/>
      <c r="L326" s="11"/>
      <c r="M326" s="11"/>
      <c r="N326" s="11"/>
      <c r="O326" s="11"/>
      <c r="P326" s="15"/>
      <c r="Q326" s="15"/>
      <c r="R326" s="15"/>
      <c r="S326" s="15"/>
      <c r="T326" s="15"/>
      <c r="U326" s="15"/>
      <c r="V326" s="15"/>
      <c r="W326" s="47"/>
      <c r="X326" s="11"/>
      <c r="Y326" s="48"/>
      <c r="Z326" s="11"/>
      <c r="AA326" s="48"/>
      <c r="AB326" s="11"/>
      <c r="AC326" s="48"/>
      <c r="AD326" s="11"/>
      <c r="AE326" s="47"/>
      <c r="AF326" s="11"/>
      <c r="AG326" s="48"/>
      <c r="AH326" s="11"/>
      <c r="AI326" s="48"/>
      <c r="AJ326" s="11"/>
      <c r="AK326" s="48"/>
      <c r="AL326" s="11"/>
      <c r="AM326" s="49"/>
      <c r="AN326" s="49"/>
      <c r="AO326" s="11"/>
      <c r="AP326" s="11"/>
      <c r="AQ326" s="28" t="b">
        <f>IF(COUNTIF(SmartStatus!A$2:A1000, AM326) &gt; 2, TRUE, FALSE)</f>
        <v>0</v>
      </c>
      <c r="AR326" s="29" t="str">
        <f ca="1">IFERROR(__xludf.DUMMYFUNCTION("iferror(if(regexmatch(AO326, ""(?i)^registered""), if(EE326 &lt;&gt; ""polity_shortest_name"", ""CHECK_POLITY"", index(filter(SmartStatus!B$2:B1000, AM326 = SmartStatus!A$2:A1000, not(SmartStatus!C$2:C1000), (isblank(SmartStatus!D$2:D1000)) + ((P326 &lt;&gt; """") * "&amp;"(P326 &lt; SmartStatus!D$2:D1000)), (isblank(SmartStatus!E$2:E1000)) + ((P326 &lt;&gt; """") * (P326 &gt;= SmartStatus!E$2:E1000)), (isblank(SmartStatus!F$2:F1000)) + (((Q326 &lt;&gt; """") * (Q326 &lt; SmartStatus!F$2:F1000)) + ((P326 &lt;&gt; """") * (date(year(P326) + 3, month(P"&amp;"326), day(P326)) &lt; SmartStatus!F$2:F1000))), (isblank(SmartStatus!G$2:G1000)) + (((Q326 &lt;&gt; """") * (Q326 &gt;= SmartStatus!G$2:G1000)) + ((P326 &lt;&gt; """") * (P326 &gt;= SmartStatus!G$2:G1000)))), if(or(regexmatch(B326, ""(?i)^ir [a-z]+ designation$""), N326 &lt;&gt; """&amp;"""), 1, 2))), """"), ""NO_MATCH"")"),"")</f>
        <v/>
      </c>
      <c r="AS326" s="11"/>
      <c r="AT326" s="15"/>
      <c r="AU326" s="11"/>
      <c r="AV326" s="11"/>
      <c r="AW326" s="15"/>
      <c r="AX326" s="15"/>
      <c r="AY326" s="15"/>
      <c r="AZ326" s="11"/>
      <c r="BA326" s="15"/>
      <c r="BB326" s="11"/>
      <c r="BC326" s="11"/>
      <c r="BD326" s="15"/>
      <c r="BE326" s="11"/>
      <c r="BF326" s="11"/>
      <c r="BG326" s="15"/>
      <c r="BH326" s="15"/>
      <c r="BI326" s="15"/>
      <c r="BJ326" s="11"/>
      <c r="BK326" s="15"/>
      <c r="BL326" s="11"/>
      <c r="BM326" s="11"/>
      <c r="BN326" s="15"/>
      <c r="BO326" s="11"/>
      <c r="BP326" s="11"/>
      <c r="BQ326" s="15"/>
      <c r="BR326" s="15"/>
      <c r="BS326" s="15"/>
      <c r="BT326" s="11"/>
      <c r="BU326" s="15"/>
      <c r="BV326" s="11"/>
      <c r="BW326" s="11"/>
      <c r="BX326" s="15"/>
      <c r="BY326" s="11"/>
      <c r="BZ326" s="11"/>
      <c r="CA326" s="15"/>
      <c r="CB326" s="11"/>
      <c r="CC326" s="15"/>
      <c r="CD326" s="11"/>
      <c r="CE326" s="15"/>
      <c r="CF326" s="11"/>
      <c r="CG326" s="11"/>
      <c r="CH326" s="15"/>
      <c r="CI326" s="11"/>
      <c r="CJ326" s="11"/>
      <c r="CK326" s="15"/>
      <c r="CL326" s="11"/>
      <c r="CM326" s="11"/>
      <c r="CN326" s="11"/>
      <c r="CO326" s="11"/>
      <c r="CP326" s="28"/>
      <c r="CQ326" s="28"/>
      <c r="CR326" s="11"/>
      <c r="CS326" s="29"/>
      <c r="CT326" s="11"/>
      <c r="CU326" s="11"/>
      <c r="CV326" s="11"/>
      <c r="CW326" s="11"/>
      <c r="CX326" s="11"/>
      <c r="CY326" s="11"/>
      <c r="CZ326" s="11"/>
      <c r="DA326" s="28"/>
      <c r="DB326" s="28"/>
      <c r="DC326" s="11"/>
      <c r="DD326" s="29"/>
      <c r="DE326" s="11"/>
      <c r="DF326" s="11"/>
      <c r="DG326" s="11"/>
      <c r="DH326" s="11"/>
      <c r="DI326" s="11"/>
      <c r="DJ326" s="11"/>
      <c r="DK326" s="26"/>
      <c r="DL326" s="11"/>
      <c r="DM326" s="29"/>
      <c r="DN326" s="28"/>
      <c r="DO326" s="11"/>
      <c r="DP326" s="11"/>
      <c r="DQ326" s="11"/>
      <c r="DR326" s="29"/>
      <c r="DS326" s="28"/>
      <c r="DT326" s="11"/>
      <c r="DU326" s="26"/>
      <c r="DV326" s="11"/>
      <c r="DW326" s="29"/>
      <c r="DX326" s="28"/>
      <c r="DY326" s="11"/>
      <c r="DZ326" s="26"/>
      <c r="EA326" s="11"/>
      <c r="EB326" s="29"/>
      <c r="EC326" s="28"/>
      <c r="ED326" s="30"/>
      <c r="EE326" s="30" t="str">
        <f ca="1">IFERROR(__xludf.DUMMYFUNCTION("iferror(index(filter('Internal -- Trademark Countries'!E$2:E1000, (AM326 = 'Internal -- Trademark Countries'!B$2:B1000) + (AM326 = 'Internal -- Trademark Countries'!C$2:C1000) + (AM326 = 'Internal -- Trademark Countries'!D$2:D1000)), 1))"),"")</f>
        <v/>
      </c>
      <c r="EF326" s="30" t="e">
        <f ca="1">_xludf.ifs(AM326="", "", COUNTIF('Internal -- Trademark Countries'!B:B,AM326) &gt; 0, "polity_shortest_name", COUNTIF('Internal -- Trademark Countries'!C:C,AM326) &gt; 0, "polity_full_name", COUNTIF('Internal -- Trademark Countries'!D:D,AM326) &gt; 0, "polity_common_name", COUNTIF('Internal -- Trademark Countries'!E:E,AM326) &gt; 0, "shortest_name", COUNTIF('Internal -- Trademark Countries'!A:A,AM326) &gt; 0, "full_name", TRUE, "not a match")</f>
        <v>#NAME?</v>
      </c>
      <c r="EG326" s="30"/>
      <c r="EH326" s="30"/>
      <c r="EI326" s="30"/>
      <c r="EJ326" s="30"/>
      <c r="EK326" s="30" t="str">
        <f t="shared" si="3"/>
        <v/>
      </c>
    </row>
    <row r="327" spans="1:141" ht="16.5">
      <c r="A327" s="11"/>
      <c r="B327" s="11"/>
      <c r="C327" s="11"/>
      <c r="D327" s="11"/>
      <c r="E327" s="11"/>
      <c r="F327" s="11"/>
      <c r="G327" s="11"/>
      <c r="H327" s="11"/>
      <c r="I327" s="11"/>
      <c r="J327" s="11"/>
      <c r="K327" s="27"/>
      <c r="L327" s="11"/>
      <c r="M327" s="11"/>
      <c r="N327" s="11"/>
      <c r="O327" s="11"/>
      <c r="P327" s="15"/>
      <c r="Q327" s="15"/>
      <c r="R327" s="15"/>
      <c r="S327" s="15"/>
      <c r="T327" s="15"/>
      <c r="U327" s="15"/>
      <c r="V327" s="15"/>
      <c r="W327" s="47"/>
      <c r="X327" s="11"/>
      <c r="Y327" s="48"/>
      <c r="Z327" s="11"/>
      <c r="AA327" s="48"/>
      <c r="AB327" s="11"/>
      <c r="AC327" s="48"/>
      <c r="AD327" s="11"/>
      <c r="AE327" s="47"/>
      <c r="AF327" s="11"/>
      <c r="AG327" s="48"/>
      <c r="AH327" s="11"/>
      <c r="AI327" s="48"/>
      <c r="AJ327" s="11"/>
      <c r="AK327" s="48"/>
      <c r="AL327" s="11"/>
      <c r="AM327" s="49"/>
      <c r="AN327" s="49"/>
      <c r="AO327" s="11"/>
      <c r="AP327" s="11"/>
      <c r="AQ327" s="28" t="b">
        <f>IF(COUNTIF(SmartStatus!A$2:A1000, AM327) &gt; 2, TRUE, FALSE)</f>
        <v>0</v>
      </c>
      <c r="AR327" s="29" t="str">
        <f ca="1">IFERROR(__xludf.DUMMYFUNCTION("iferror(if(regexmatch(AO327, ""(?i)^registered""), if(EE327 &lt;&gt; ""polity_shortest_name"", ""CHECK_POLITY"", index(filter(SmartStatus!B$2:B1000, AM327 = SmartStatus!A$2:A1000, not(SmartStatus!C$2:C1000), (isblank(SmartStatus!D$2:D1000)) + ((P327 &lt;&gt; """") * "&amp;"(P327 &lt; SmartStatus!D$2:D1000)), (isblank(SmartStatus!E$2:E1000)) + ((P327 &lt;&gt; """") * (P327 &gt;= SmartStatus!E$2:E1000)), (isblank(SmartStatus!F$2:F1000)) + (((Q327 &lt;&gt; """") * (Q327 &lt; SmartStatus!F$2:F1000)) + ((P327 &lt;&gt; """") * (date(year(P327) + 3, month(P"&amp;"327), day(P327)) &lt; SmartStatus!F$2:F1000))), (isblank(SmartStatus!G$2:G1000)) + (((Q327 &lt;&gt; """") * (Q327 &gt;= SmartStatus!G$2:G1000)) + ((P327 &lt;&gt; """") * (P327 &gt;= SmartStatus!G$2:G1000)))), if(or(regexmatch(B327, ""(?i)^ir [a-z]+ designation$""), N327 &lt;&gt; """&amp;"""), 1, 2))), """"), ""NO_MATCH"")"),"")</f>
        <v/>
      </c>
      <c r="AS327" s="11"/>
      <c r="AT327" s="15"/>
      <c r="AU327" s="11"/>
      <c r="AV327" s="11"/>
      <c r="AW327" s="15"/>
      <c r="AX327" s="15"/>
      <c r="AY327" s="15"/>
      <c r="AZ327" s="11"/>
      <c r="BA327" s="15"/>
      <c r="BB327" s="11"/>
      <c r="BC327" s="11"/>
      <c r="BD327" s="15"/>
      <c r="BE327" s="11"/>
      <c r="BF327" s="11"/>
      <c r="BG327" s="15"/>
      <c r="BH327" s="15"/>
      <c r="BI327" s="15"/>
      <c r="BJ327" s="11"/>
      <c r="BK327" s="15"/>
      <c r="BL327" s="11"/>
      <c r="BM327" s="11"/>
      <c r="BN327" s="15"/>
      <c r="BO327" s="11"/>
      <c r="BP327" s="11"/>
      <c r="BQ327" s="15"/>
      <c r="BR327" s="15"/>
      <c r="BS327" s="15"/>
      <c r="BT327" s="11"/>
      <c r="BU327" s="15"/>
      <c r="BV327" s="11"/>
      <c r="BW327" s="11"/>
      <c r="BX327" s="15"/>
      <c r="BY327" s="11"/>
      <c r="BZ327" s="11"/>
      <c r="CA327" s="15"/>
      <c r="CB327" s="11"/>
      <c r="CC327" s="15"/>
      <c r="CD327" s="11"/>
      <c r="CE327" s="15"/>
      <c r="CF327" s="11"/>
      <c r="CG327" s="11"/>
      <c r="CH327" s="15"/>
      <c r="CI327" s="11"/>
      <c r="CJ327" s="11"/>
      <c r="CK327" s="15"/>
      <c r="CL327" s="11"/>
      <c r="CM327" s="11"/>
      <c r="CN327" s="11"/>
      <c r="CO327" s="11"/>
      <c r="CP327" s="28"/>
      <c r="CQ327" s="28"/>
      <c r="CR327" s="11"/>
      <c r="CS327" s="29"/>
      <c r="CT327" s="11"/>
      <c r="CU327" s="11"/>
      <c r="CV327" s="11"/>
      <c r="CW327" s="11"/>
      <c r="CX327" s="11"/>
      <c r="CY327" s="11"/>
      <c r="CZ327" s="11"/>
      <c r="DA327" s="28"/>
      <c r="DB327" s="28"/>
      <c r="DC327" s="11"/>
      <c r="DD327" s="29"/>
      <c r="DE327" s="11"/>
      <c r="DF327" s="11"/>
      <c r="DG327" s="11"/>
      <c r="DH327" s="11"/>
      <c r="DI327" s="11"/>
      <c r="DJ327" s="11"/>
      <c r="DK327" s="26"/>
      <c r="DL327" s="11"/>
      <c r="DM327" s="29"/>
      <c r="DN327" s="28"/>
      <c r="DO327" s="11"/>
      <c r="DP327" s="11"/>
      <c r="DQ327" s="11"/>
      <c r="DR327" s="29"/>
      <c r="DS327" s="28"/>
      <c r="DT327" s="11"/>
      <c r="DU327" s="26"/>
      <c r="DV327" s="11"/>
      <c r="DW327" s="29"/>
      <c r="DX327" s="28"/>
      <c r="DY327" s="11"/>
      <c r="DZ327" s="26"/>
      <c r="EA327" s="11"/>
      <c r="EB327" s="29"/>
      <c r="EC327" s="28"/>
      <c r="ED327" s="30"/>
      <c r="EE327" s="30" t="str">
        <f ca="1">IFERROR(__xludf.DUMMYFUNCTION("iferror(index(filter('Internal -- Trademark Countries'!E$2:E1000, (AM327 = 'Internal -- Trademark Countries'!B$2:B1000) + (AM327 = 'Internal -- Trademark Countries'!C$2:C1000) + (AM327 = 'Internal -- Trademark Countries'!D$2:D1000)), 1))"),"")</f>
        <v/>
      </c>
      <c r="EF327" s="30" t="e">
        <f ca="1">_xludf.ifs(AM327="", "", COUNTIF('Internal -- Trademark Countries'!B:B,AM327) &gt; 0, "polity_shortest_name", COUNTIF('Internal -- Trademark Countries'!C:C,AM327) &gt; 0, "polity_full_name", COUNTIF('Internal -- Trademark Countries'!D:D,AM327) &gt; 0, "polity_common_name", COUNTIF('Internal -- Trademark Countries'!E:E,AM327) &gt; 0, "shortest_name", COUNTIF('Internal -- Trademark Countries'!A:A,AM327) &gt; 0, "full_name", TRUE, "not a match")</f>
        <v>#NAME?</v>
      </c>
      <c r="EG327" s="30"/>
      <c r="EH327" s="30"/>
      <c r="EI327" s="30"/>
      <c r="EJ327" s="30"/>
      <c r="EK327" s="30" t="str">
        <f t="shared" si="3"/>
        <v/>
      </c>
    </row>
    <row r="328" spans="1:141" ht="16.5">
      <c r="A328" s="11"/>
      <c r="B328" s="11"/>
      <c r="C328" s="11"/>
      <c r="D328" s="11"/>
      <c r="E328" s="11"/>
      <c r="F328" s="11"/>
      <c r="G328" s="11"/>
      <c r="H328" s="11"/>
      <c r="I328" s="11"/>
      <c r="J328" s="11"/>
      <c r="K328" s="27"/>
      <c r="L328" s="11"/>
      <c r="M328" s="11"/>
      <c r="N328" s="11"/>
      <c r="O328" s="11"/>
      <c r="P328" s="15"/>
      <c r="Q328" s="15"/>
      <c r="R328" s="15"/>
      <c r="S328" s="15"/>
      <c r="T328" s="15"/>
      <c r="U328" s="15"/>
      <c r="V328" s="15"/>
      <c r="W328" s="47"/>
      <c r="X328" s="11"/>
      <c r="Y328" s="48"/>
      <c r="Z328" s="11"/>
      <c r="AA328" s="48"/>
      <c r="AB328" s="11"/>
      <c r="AC328" s="48"/>
      <c r="AD328" s="11"/>
      <c r="AE328" s="47"/>
      <c r="AF328" s="11"/>
      <c r="AG328" s="48"/>
      <c r="AH328" s="11"/>
      <c r="AI328" s="48"/>
      <c r="AJ328" s="11"/>
      <c r="AK328" s="48"/>
      <c r="AL328" s="11"/>
      <c r="AM328" s="49"/>
      <c r="AN328" s="49"/>
      <c r="AO328" s="11"/>
      <c r="AP328" s="11"/>
      <c r="AQ328" s="28" t="b">
        <f>IF(COUNTIF(SmartStatus!A$2:A1000, AM328) &gt; 2, TRUE, FALSE)</f>
        <v>0</v>
      </c>
      <c r="AR328" s="29" t="str">
        <f ca="1">IFERROR(__xludf.DUMMYFUNCTION("iferror(if(regexmatch(AO328, ""(?i)^registered""), if(EE328 &lt;&gt; ""polity_shortest_name"", ""CHECK_POLITY"", index(filter(SmartStatus!B$2:B1000, AM328 = SmartStatus!A$2:A1000, not(SmartStatus!C$2:C1000), (isblank(SmartStatus!D$2:D1000)) + ((P328 &lt;&gt; """") * "&amp;"(P328 &lt; SmartStatus!D$2:D1000)), (isblank(SmartStatus!E$2:E1000)) + ((P328 &lt;&gt; """") * (P328 &gt;= SmartStatus!E$2:E1000)), (isblank(SmartStatus!F$2:F1000)) + (((Q328 &lt;&gt; """") * (Q328 &lt; SmartStatus!F$2:F1000)) + ((P328 &lt;&gt; """") * (date(year(P328) + 3, month(P"&amp;"328), day(P328)) &lt; SmartStatus!F$2:F1000))), (isblank(SmartStatus!G$2:G1000)) + (((Q328 &lt;&gt; """") * (Q328 &gt;= SmartStatus!G$2:G1000)) + ((P328 &lt;&gt; """") * (P328 &gt;= SmartStatus!G$2:G1000)))), if(or(regexmatch(B328, ""(?i)^ir [a-z]+ designation$""), N328 &lt;&gt; """&amp;"""), 1, 2))), """"), ""NO_MATCH"")"),"")</f>
        <v/>
      </c>
      <c r="AS328" s="11"/>
      <c r="AT328" s="15"/>
      <c r="AU328" s="11"/>
      <c r="AV328" s="11"/>
      <c r="AW328" s="15"/>
      <c r="AX328" s="15"/>
      <c r="AY328" s="15"/>
      <c r="AZ328" s="11"/>
      <c r="BA328" s="15"/>
      <c r="BB328" s="11"/>
      <c r="BC328" s="11"/>
      <c r="BD328" s="15"/>
      <c r="BE328" s="11"/>
      <c r="BF328" s="11"/>
      <c r="BG328" s="15"/>
      <c r="BH328" s="15"/>
      <c r="BI328" s="15"/>
      <c r="BJ328" s="11"/>
      <c r="BK328" s="15"/>
      <c r="BL328" s="11"/>
      <c r="BM328" s="11"/>
      <c r="BN328" s="15"/>
      <c r="BO328" s="11"/>
      <c r="BP328" s="11"/>
      <c r="BQ328" s="15"/>
      <c r="BR328" s="15"/>
      <c r="BS328" s="15"/>
      <c r="BT328" s="11"/>
      <c r="BU328" s="15"/>
      <c r="BV328" s="11"/>
      <c r="BW328" s="11"/>
      <c r="BX328" s="15"/>
      <c r="BY328" s="11"/>
      <c r="BZ328" s="11"/>
      <c r="CA328" s="15"/>
      <c r="CB328" s="11"/>
      <c r="CC328" s="15"/>
      <c r="CD328" s="11"/>
      <c r="CE328" s="15"/>
      <c r="CF328" s="11"/>
      <c r="CG328" s="11"/>
      <c r="CH328" s="15"/>
      <c r="CI328" s="11"/>
      <c r="CJ328" s="11"/>
      <c r="CK328" s="15"/>
      <c r="CL328" s="11"/>
      <c r="CM328" s="11"/>
      <c r="CN328" s="11"/>
      <c r="CO328" s="11"/>
      <c r="CP328" s="28"/>
      <c r="CQ328" s="28"/>
      <c r="CR328" s="11"/>
      <c r="CS328" s="29"/>
      <c r="CT328" s="11"/>
      <c r="CU328" s="11"/>
      <c r="CV328" s="11"/>
      <c r="CW328" s="11"/>
      <c r="CX328" s="11"/>
      <c r="CY328" s="11"/>
      <c r="CZ328" s="11"/>
      <c r="DA328" s="28"/>
      <c r="DB328" s="28"/>
      <c r="DC328" s="11"/>
      <c r="DD328" s="29"/>
      <c r="DE328" s="11"/>
      <c r="DF328" s="11"/>
      <c r="DG328" s="11"/>
      <c r="DH328" s="11"/>
      <c r="DI328" s="11"/>
      <c r="DJ328" s="11"/>
      <c r="DK328" s="26"/>
      <c r="DL328" s="11"/>
      <c r="DM328" s="29"/>
      <c r="DN328" s="28"/>
      <c r="DO328" s="11"/>
      <c r="DP328" s="11"/>
      <c r="DQ328" s="11"/>
      <c r="DR328" s="29"/>
      <c r="DS328" s="28"/>
      <c r="DT328" s="11"/>
      <c r="DU328" s="26"/>
      <c r="DV328" s="11"/>
      <c r="DW328" s="29"/>
      <c r="DX328" s="28"/>
      <c r="DY328" s="11"/>
      <c r="DZ328" s="26"/>
      <c r="EA328" s="11"/>
      <c r="EB328" s="29"/>
      <c r="EC328" s="28"/>
      <c r="ED328" s="30"/>
      <c r="EE328" s="30" t="str">
        <f ca="1">IFERROR(__xludf.DUMMYFUNCTION("iferror(index(filter('Internal -- Trademark Countries'!E$2:E1000, (AM328 = 'Internal -- Trademark Countries'!B$2:B1000) + (AM328 = 'Internal -- Trademark Countries'!C$2:C1000) + (AM328 = 'Internal -- Trademark Countries'!D$2:D1000)), 1))"),"")</f>
        <v/>
      </c>
      <c r="EF328" s="30" t="e">
        <f ca="1">_xludf.ifs(AM328="", "", COUNTIF('Internal -- Trademark Countries'!B:B,AM328) &gt; 0, "polity_shortest_name", COUNTIF('Internal -- Trademark Countries'!C:C,AM328) &gt; 0, "polity_full_name", COUNTIF('Internal -- Trademark Countries'!D:D,AM328) &gt; 0, "polity_common_name", COUNTIF('Internal -- Trademark Countries'!E:E,AM328) &gt; 0, "shortest_name", COUNTIF('Internal -- Trademark Countries'!A:A,AM328) &gt; 0, "full_name", TRUE, "not a match")</f>
        <v>#NAME?</v>
      </c>
      <c r="EG328" s="30"/>
      <c r="EH328" s="30"/>
      <c r="EI328" s="30"/>
      <c r="EJ328" s="30"/>
      <c r="EK328" s="30" t="str">
        <f t="shared" si="3"/>
        <v/>
      </c>
    </row>
    <row r="329" spans="1:141" ht="16.5">
      <c r="A329" s="11"/>
      <c r="B329" s="11"/>
      <c r="C329" s="11"/>
      <c r="D329" s="11"/>
      <c r="E329" s="11"/>
      <c r="F329" s="11"/>
      <c r="G329" s="11"/>
      <c r="H329" s="11"/>
      <c r="I329" s="11"/>
      <c r="J329" s="11"/>
      <c r="K329" s="27"/>
      <c r="L329" s="11"/>
      <c r="M329" s="11"/>
      <c r="N329" s="11"/>
      <c r="O329" s="11"/>
      <c r="P329" s="15"/>
      <c r="Q329" s="15"/>
      <c r="R329" s="15"/>
      <c r="S329" s="15"/>
      <c r="T329" s="15"/>
      <c r="U329" s="15"/>
      <c r="V329" s="15"/>
      <c r="W329" s="47"/>
      <c r="X329" s="11"/>
      <c r="Y329" s="48"/>
      <c r="Z329" s="11"/>
      <c r="AA329" s="48"/>
      <c r="AB329" s="11"/>
      <c r="AC329" s="48"/>
      <c r="AD329" s="11"/>
      <c r="AE329" s="47"/>
      <c r="AF329" s="11"/>
      <c r="AG329" s="48"/>
      <c r="AH329" s="11"/>
      <c r="AI329" s="48"/>
      <c r="AJ329" s="11"/>
      <c r="AK329" s="48"/>
      <c r="AL329" s="11"/>
      <c r="AM329" s="49"/>
      <c r="AN329" s="49"/>
      <c r="AO329" s="11"/>
      <c r="AP329" s="11"/>
      <c r="AQ329" s="28" t="b">
        <f>IF(COUNTIF(SmartStatus!A$2:A1000, AM329) &gt; 2, TRUE, FALSE)</f>
        <v>0</v>
      </c>
      <c r="AR329" s="29" t="str">
        <f ca="1">IFERROR(__xludf.DUMMYFUNCTION("iferror(if(regexmatch(AO329, ""(?i)^registered""), if(EE329 &lt;&gt; ""polity_shortest_name"", ""CHECK_POLITY"", index(filter(SmartStatus!B$2:B1000, AM329 = SmartStatus!A$2:A1000, not(SmartStatus!C$2:C1000), (isblank(SmartStatus!D$2:D1000)) + ((P329 &lt;&gt; """") * "&amp;"(P329 &lt; SmartStatus!D$2:D1000)), (isblank(SmartStatus!E$2:E1000)) + ((P329 &lt;&gt; """") * (P329 &gt;= SmartStatus!E$2:E1000)), (isblank(SmartStatus!F$2:F1000)) + (((Q329 &lt;&gt; """") * (Q329 &lt; SmartStatus!F$2:F1000)) + ((P329 &lt;&gt; """") * (date(year(P329) + 3, month(P"&amp;"329), day(P329)) &lt; SmartStatus!F$2:F1000))), (isblank(SmartStatus!G$2:G1000)) + (((Q329 &lt;&gt; """") * (Q329 &gt;= SmartStatus!G$2:G1000)) + ((P329 &lt;&gt; """") * (P329 &gt;= SmartStatus!G$2:G1000)))), if(or(regexmatch(B329, ""(?i)^ir [a-z]+ designation$""), N329 &lt;&gt; """&amp;"""), 1, 2))), """"), ""NO_MATCH"")"),"")</f>
        <v/>
      </c>
      <c r="AS329" s="11"/>
      <c r="AT329" s="15"/>
      <c r="AU329" s="11"/>
      <c r="AV329" s="11"/>
      <c r="AW329" s="15"/>
      <c r="AX329" s="15"/>
      <c r="AY329" s="15"/>
      <c r="AZ329" s="11"/>
      <c r="BA329" s="15"/>
      <c r="BB329" s="11"/>
      <c r="BC329" s="11"/>
      <c r="BD329" s="15"/>
      <c r="BE329" s="11"/>
      <c r="BF329" s="11"/>
      <c r="BG329" s="15"/>
      <c r="BH329" s="15"/>
      <c r="BI329" s="15"/>
      <c r="BJ329" s="11"/>
      <c r="BK329" s="15"/>
      <c r="BL329" s="11"/>
      <c r="BM329" s="11"/>
      <c r="BN329" s="15"/>
      <c r="BO329" s="11"/>
      <c r="BP329" s="11"/>
      <c r="BQ329" s="15"/>
      <c r="BR329" s="15"/>
      <c r="BS329" s="15"/>
      <c r="BT329" s="11"/>
      <c r="BU329" s="15"/>
      <c r="BV329" s="11"/>
      <c r="BW329" s="11"/>
      <c r="BX329" s="15"/>
      <c r="BY329" s="11"/>
      <c r="BZ329" s="11"/>
      <c r="CA329" s="15"/>
      <c r="CB329" s="11"/>
      <c r="CC329" s="15"/>
      <c r="CD329" s="11"/>
      <c r="CE329" s="15"/>
      <c r="CF329" s="11"/>
      <c r="CG329" s="11"/>
      <c r="CH329" s="15"/>
      <c r="CI329" s="11"/>
      <c r="CJ329" s="11"/>
      <c r="CK329" s="15"/>
      <c r="CL329" s="11"/>
      <c r="CM329" s="11"/>
      <c r="CN329" s="11"/>
      <c r="CO329" s="11"/>
      <c r="CP329" s="28"/>
      <c r="CQ329" s="28"/>
      <c r="CR329" s="11"/>
      <c r="CS329" s="29"/>
      <c r="CT329" s="11"/>
      <c r="CU329" s="11"/>
      <c r="CV329" s="11"/>
      <c r="CW329" s="11"/>
      <c r="CX329" s="11"/>
      <c r="CY329" s="11"/>
      <c r="CZ329" s="11"/>
      <c r="DA329" s="28"/>
      <c r="DB329" s="28"/>
      <c r="DC329" s="11"/>
      <c r="DD329" s="29"/>
      <c r="DE329" s="11"/>
      <c r="DF329" s="11"/>
      <c r="DG329" s="11"/>
      <c r="DH329" s="11"/>
      <c r="DI329" s="11"/>
      <c r="DJ329" s="11"/>
      <c r="DK329" s="26"/>
      <c r="DL329" s="11"/>
      <c r="DM329" s="29"/>
      <c r="DN329" s="28"/>
      <c r="DO329" s="11"/>
      <c r="DP329" s="11"/>
      <c r="DQ329" s="11"/>
      <c r="DR329" s="29"/>
      <c r="DS329" s="28"/>
      <c r="DT329" s="11"/>
      <c r="DU329" s="26"/>
      <c r="DV329" s="11"/>
      <c r="DW329" s="29"/>
      <c r="DX329" s="28"/>
      <c r="DY329" s="11"/>
      <c r="DZ329" s="26"/>
      <c r="EA329" s="11"/>
      <c r="EB329" s="29"/>
      <c r="EC329" s="28"/>
      <c r="ED329" s="30"/>
      <c r="EE329" s="30" t="str">
        <f ca="1">IFERROR(__xludf.DUMMYFUNCTION("iferror(index(filter('Internal -- Trademark Countries'!E$2:E1000, (AM329 = 'Internal -- Trademark Countries'!B$2:B1000) + (AM329 = 'Internal -- Trademark Countries'!C$2:C1000) + (AM329 = 'Internal -- Trademark Countries'!D$2:D1000)), 1))"),"")</f>
        <v/>
      </c>
      <c r="EF329" s="30" t="e">
        <f ca="1">_xludf.ifs(AM329="", "", COUNTIF('Internal -- Trademark Countries'!B:B,AM329) &gt; 0, "polity_shortest_name", COUNTIF('Internal -- Trademark Countries'!C:C,AM329) &gt; 0, "polity_full_name", COUNTIF('Internal -- Trademark Countries'!D:D,AM329) &gt; 0, "polity_common_name", COUNTIF('Internal -- Trademark Countries'!E:E,AM329) &gt; 0, "shortest_name", COUNTIF('Internal -- Trademark Countries'!A:A,AM329) &gt; 0, "full_name", TRUE, "not a match")</f>
        <v>#NAME?</v>
      </c>
      <c r="EG329" s="30"/>
      <c r="EH329" s="30"/>
      <c r="EI329" s="30"/>
      <c r="EJ329" s="30"/>
      <c r="EK329" s="30" t="str">
        <f t="shared" si="3"/>
        <v/>
      </c>
    </row>
    <row r="330" spans="1:141" ht="16.5">
      <c r="A330" s="11"/>
      <c r="B330" s="11"/>
      <c r="C330" s="11"/>
      <c r="D330" s="11"/>
      <c r="E330" s="11"/>
      <c r="F330" s="11"/>
      <c r="G330" s="11"/>
      <c r="H330" s="11"/>
      <c r="I330" s="11"/>
      <c r="J330" s="11"/>
      <c r="K330" s="27"/>
      <c r="L330" s="11"/>
      <c r="M330" s="11"/>
      <c r="N330" s="11"/>
      <c r="O330" s="11"/>
      <c r="P330" s="15"/>
      <c r="Q330" s="15"/>
      <c r="R330" s="15"/>
      <c r="S330" s="15"/>
      <c r="T330" s="15"/>
      <c r="U330" s="15"/>
      <c r="V330" s="15"/>
      <c r="W330" s="47"/>
      <c r="X330" s="11"/>
      <c r="Y330" s="48"/>
      <c r="Z330" s="11"/>
      <c r="AA330" s="48"/>
      <c r="AB330" s="11"/>
      <c r="AC330" s="48"/>
      <c r="AD330" s="11"/>
      <c r="AE330" s="47"/>
      <c r="AF330" s="11"/>
      <c r="AG330" s="48"/>
      <c r="AH330" s="11"/>
      <c r="AI330" s="48"/>
      <c r="AJ330" s="11"/>
      <c r="AK330" s="48"/>
      <c r="AL330" s="11"/>
      <c r="AM330" s="49"/>
      <c r="AN330" s="49"/>
      <c r="AO330" s="11"/>
      <c r="AP330" s="11"/>
      <c r="AQ330" s="28" t="b">
        <f>IF(COUNTIF(SmartStatus!A$2:A1000, AM330) &gt; 2, TRUE, FALSE)</f>
        <v>0</v>
      </c>
      <c r="AR330" s="29" t="str">
        <f ca="1">IFERROR(__xludf.DUMMYFUNCTION("iferror(if(regexmatch(AO330, ""(?i)^registered""), if(EE330 &lt;&gt; ""polity_shortest_name"", ""CHECK_POLITY"", index(filter(SmartStatus!B$2:B1000, AM330 = SmartStatus!A$2:A1000, not(SmartStatus!C$2:C1000), (isblank(SmartStatus!D$2:D1000)) + ((P330 &lt;&gt; """") * "&amp;"(P330 &lt; SmartStatus!D$2:D1000)), (isblank(SmartStatus!E$2:E1000)) + ((P330 &lt;&gt; """") * (P330 &gt;= SmartStatus!E$2:E1000)), (isblank(SmartStatus!F$2:F1000)) + (((Q330 &lt;&gt; """") * (Q330 &lt; SmartStatus!F$2:F1000)) + ((P330 &lt;&gt; """") * (date(year(P330) + 3, month(P"&amp;"330), day(P330)) &lt; SmartStatus!F$2:F1000))), (isblank(SmartStatus!G$2:G1000)) + (((Q330 &lt;&gt; """") * (Q330 &gt;= SmartStatus!G$2:G1000)) + ((P330 &lt;&gt; """") * (P330 &gt;= SmartStatus!G$2:G1000)))), if(or(regexmatch(B330, ""(?i)^ir [a-z]+ designation$""), N330 &lt;&gt; """&amp;"""), 1, 2))), """"), ""NO_MATCH"")"),"")</f>
        <v/>
      </c>
      <c r="AS330" s="11"/>
      <c r="AT330" s="15"/>
      <c r="AU330" s="11"/>
      <c r="AV330" s="11"/>
      <c r="AW330" s="15"/>
      <c r="AX330" s="15"/>
      <c r="AY330" s="15"/>
      <c r="AZ330" s="11"/>
      <c r="BA330" s="15"/>
      <c r="BB330" s="11"/>
      <c r="BC330" s="11"/>
      <c r="BD330" s="15"/>
      <c r="BE330" s="11"/>
      <c r="BF330" s="11"/>
      <c r="BG330" s="15"/>
      <c r="BH330" s="15"/>
      <c r="BI330" s="15"/>
      <c r="BJ330" s="11"/>
      <c r="BK330" s="15"/>
      <c r="BL330" s="11"/>
      <c r="BM330" s="11"/>
      <c r="BN330" s="15"/>
      <c r="BO330" s="11"/>
      <c r="BP330" s="11"/>
      <c r="BQ330" s="15"/>
      <c r="BR330" s="15"/>
      <c r="BS330" s="15"/>
      <c r="BT330" s="11"/>
      <c r="BU330" s="15"/>
      <c r="BV330" s="11"/>
      <c r="BW330" s="11"/>
      <c r="BX330" s="15"/>
      <c r="BY330" s="11"/>
      <c r="BZ330" s="11"/>
      <c r="CA330" s="15"/>
      <c r="CB330" s="11"/>
      <c r="CC330" s="15"/>
      <c r="CD330" s="11"/>
      <c r="CE330" s="15"/>
      <c r="CF330" s="11"/>
      <c r="CG330" s="11"/>
      <c r="CH330" s="15"/>
      <c r="CI330" s="11"/>
      <c r="CJ330" s="11"/>
      <c r="CK330" s="15"/>
      <c r="CL330" s="11"/>
      <c r="CM330" s="11"/>
      <c r="CN330" s="11"/>
      <c r="CO330" s="11"/>
      <c r="CP330" s="28"/>
      <c r="CQ330" s="28"/>
      <c r="CR330" s="11"/>
      <c r="CS330" s="29"/>
      <c r="CT330" s="11"/>
      <c r="CU330" s="11"/>
      <c r="CV330" s="11"/>
      <c r="CW330" s="11"/>
      <c r="CX330" s="11"/>
      <c r="CY330" s="11"/>
      <c r="CZ330" s="11"/>
      <c r="DA330" s="28"/>
      <c r="DB330" s="28"/>
      <c r="DC330" s="11"/>
      <c r="DD330" s="29"/>
      <c r="DE330" s="11"/>
      <c r="DF330" s="11"/>
      <c r="DG330" s="11"/>
      <c r="DH330" s="11"/>
      <c r="DI330" s="11"/>
      <c r="DJ330" s="11"/>
      <c r="DK330" s="26"/>
      <c r="DL330" s="11"/>
      <c r="DM330" s="29"/>
      <c r="DN330" s="28"/>
      <c r="DO330" s="11"/>
      <c r="DP330" s="11"/>
      <c r="DQ330" s="11"/>
      <c r="DR330" s="29"/>
      <c r="DS330" s="28"/>
      <c r="DT330" s="11"/>
      <c r="DU330" s="26"/>
      <c r="DV330" s="11"/>
      <c r="DW330" s="29"/>
      <c r="DX330" s="28"/>
      <c r="DY330" s="11"/>
      <c r="DZ330" s="26"/>
      <c r="EA330" s="11"/>
      <c r="EB330" s="29"/>
      <c r="EC330" s="28"/>
      <c r="ED330" s="30"/>
      <c r="EE330" s="30" t="str">
        <f ca="1">IFERROR(__xludf.DUMMYFUNCTION("iferror(index(filter('Internal -- Trademark Countries'!E$2:E1000, (AM330 = 'Internal -- Trademark Countries'!B$2:B1000) + (AM330 = 'Internal -- Trademark Countries'!C$2:C1000) + (AM330 = 'Internal -- Trademark Countries'!D$2:D1000)), 1))"),"")</f>
        <v/>
      </c>
      <c r="EF330" s="30" t="e">
        <f ca="1">_xludf.ifs(AM330="", "", COUNTIF('Internal -- Trademark Countries'!B:B,AM330) &gt; 0, "polity_shortest_name", COUNTIF('Internal -- Trademark Countries'!C:C,AM330) &gt; 0, "polity_full_name", COUNTIF('Internal -- Trademark Countries'!D:D,AM330) &gt; 0, "polity_common_name", COUNTIF('Internal -- Trademark Countries'!E:E,AM330) &gt; 0, "shortest_name", COUNTIF('Internal -- Trademark Countries'!A:A,AM330) &gt; 0, "full_name", TRUE, "not a match")</f>
        <v>#NAME?</v>
      </c>
      <c r="EG330" s="30"/>
      <c r="EH330" s="30"/>
      <c r="EI330" s="30"/>
      <c r="EJ330" s="30"/>
      <c r="EK330" s="30" t="str">
        <f t="shared" si="3"/>
        <v/>
      </c>
    </row>
    <row r="331" spans="1:141" ht="16.5">
      <c r="A331" s="11"/>
      <c r="B331" s="11"/>
      <c r="C331" s="11"/>
      <c r="D331" s="11"/>
      <c r="E331" s="11"/>
      <c r="F331" s="11"/>
      <c r="G331" s="11"/>
      <c r="H331" s="11"/>
      <c r="I331" s="11"/>
      <c r="J331" s="11"/>
      <c r="K331" s="27"/>
      <c r="L331" s="11"/>
      <c r="M331" s="11"/>
      <c r="N331" s="11"/>
      <c r="O331" s="11"/>
      <c r="P331" s="15"/>
      <c r="Q331" s="15"/>
      <c r="R331" s="15"/>
      <c r="S331" s="15"/>
      <c r="T331" s="15"/>
      <c r="U331" s="15"/>
      <c r="V331" s="15"/>
      <c r="W331" s="47"/>
      <c r="X331" s="11"/>
      <c r="Y331" s="48"/>
      <c r="Z331" s="11"/>
      <c r="AA331" s="48"/>
      <c r="AB331" s="11"/>
      <c r="AC331" s="48"/>
      <c r="AD331" s="11"/>
      <c r="AE331" s="47"/>
      <c r="AF331" s="11"/>
      <c r="AG331" s="48"/>
      <c r="AH331" s="11"/>
      <c r="AI331" s="48"/>
      <c r="AJ331" s="11"/>
      <c r="AK331" s="48"/>
      <c r="AL331" s="11"/>
      <c r="AM331" s="49"/>
      <c r="AN331" s="49"/>
      <c r="AO331" s="11"/>
      <c r="AP331" s="11"/>
      <c r="AQ331" s="28" t="b">
        <f>IF(COUNTIF(SmartStatus!A$2:A1000, AM331) &gt; 2, TRUE, FALSE)</f>
        <v>0</v>
      </c>
      <c r="AR331" s="29" t="str">
        <f ca="1">IFERROR(__xludf.DUMMYFUNCTION("iferror(if(regexmatch(AO331, ""(?i)^registered""), if(EE331 &lt;&gt; ""polity_shortest_name"", ""CHECK_POLITY"", index(filter(SmartStatus!B$2:B1000, AM331 = SmartStatus!A$2:A1000, not(SmartStatus!C$2:C1000), (isblank(SmartStatus!D$2:D1000)) + ((P331 &lt;&gt; """") * "&amp;"(P331 &lt; SmartStatus!D$2:D1000)), (isblank(SmartStatus!E$2:E1000)) + ((P331 &lt;&gt; """") * (P331 &gt;= SmartStatus!E$2:E1000)), (isblank(SmartStatus!F$2:F1000)) + (((Q331 &lt;&gt; """") * (Q331 &lt; SmartStatus!F$2:F1000)) + ((P331 &lt;&gt; """") * (date(year(P331) + 3, month(P"&amp;"331), day(P331)) &lt; SmartStatus!F$2:F1000))), (isblank(SmartStatus!G$2:G1000)) + (((Q331 &lt;&gt; """") * (Q331 &gt;= SmartStatus!G$2:G1000)) + ((P331 &lt;&gt; """") * (P331 &gt;= SmartStatus!G$2:G1000)))), if(or(regexmatch(B331, ""(?i)^ir [a-z]+ designation$""), N331 &lt;&gt; """&amp;"""), 1, 2))), """"), ""NO_MATCH"")"),"")</f>
        <v/>
      </c>
      <c r="AS331" s="11"/>
      <c r="AT331" s="15"/>
      <c r="AU331" s="11"/>
      <c r="AV331" s="11"/>
      <c r="AW331" s="15"/>
      <c r="AX331" s="15"/>
      <c r="AY331" s="15"/>
      <c r="AZ331" s="11"/>
      <c r="BA331" s="15"/>
      <c r="BB331" s="11"/>
      <c r="BC331" s="11"/>
      <c r="BD331" s="15"/>
      <c r="BE331" s="11"/>
      <c r="BF331" s="11"/>
      <c r="BG331" s="15"/>
      <c r="BH331" s="15"/>
      <c r="BI331" s="15"/>
      <c r="BJ331" s="11"/>
      <c r="BK331" s="15"/>
      <c r="BL331" s="11"/>
      <c r="BM331" s="11"/>
      <c r="BN331" s="15"/>
      <c r="BO331" s="11"/>
      <c r="BP331" s="11"/>
      <c r="BQ331" s="15"/>
      <c r="BR331" s="15"/>
      <c r="BS331" s="15"/>
      <c r="BT331" s="11"/>
      <c r="BU331" s="15"/>
      <c r="BV331" s="11"/>
      <c r="BW331" s="11"/>
      <c r="BX331" s="15"/>
      <c r="BY331" s="11"/>
      <c r="BZ331" s="11"/>
      <c r="CA331" s="15"/>
      <c r="CB331" s="11"/>
      <c r="CC331" s="15"/>
      <c r="CD331" s="11"/>
      <c r="CE331" s="15"/>
      <c r="CF331" s="11"/>
      <c r="CG331" s="11"/>
      <c r="CH331" s="15"/>
      <c r="CI331" s="11"/>
      <c r="CJ331" s="11"/>
      <c r="CK331" s="15"/>
      <c r="CL331" s="11"/>
      <c r="CM331" s="11"/>
      <c r="CN331" s="11"/>
      <c r="CO331" s="11"/>
      <c r="CP331" s="28"/>
      <c r="CQ331" s="28"/>
      <c r="CR331" s="11"/>
      <c r="CS331" s="29"/>
      <c r="CT331" s="11"/>
      <c r="CU331" s="11"/>
      <c r="CV331" s="11"/>
      <c r="CW331" s="11"/>
      <c r="CX331" s="11"/>
      <c r="CY331" s="11"/>
      <c r="CZ331" s="11"/>
      <c r="DA331" s="28"/>
      <c r="DB331" s="28"/>
      <c r="DC331" s="11"/>
      <c r="DD331" s="29"/>
      <c r="DE331" s="11"/>
      <c r="DF331" s="11"/>
      <c r="DG331" s="11"/>
      <c r="DH331" s="11"/>
      <c r="DI331" s="11"/>
      <c r="DJ331" s="11"/>
      <c r="DK331" s="26"/>
      <c r="DL331" s="11"/>
      <c r="DM331" s="29"/>
      <c r="DN331" s="28"/>
      <c r="DO331" s="11"/>
      <c r="DP331" s="11"/>
      <c r="DQ331" s="11"/>
      <c r="DR331" s="29"/>
      <c r="DS331" s="28"/>
      <c r="DT331" s="11"/>
      <c r="DU331" s="26"/>
      <c r="DV331" s="11"/>
      <c r="DW331" s="29"/>
      <c r="DX331" s="28"/>
      <c r="DY331" s="11"/>
      <c r="DZ331" s="26"/>
      <c r="EA331" s="11"/>
      <c r="EB331" s="29"/>
      <c r="EC331" s="28"/>
      <c r="ED331" s="30"/>
      <c r="EE331" s="30" t="str">
        <f ca="1">IFERROR(__xludf.DUMMYFUNCTION("iferror(index(filter('Internal -- Trademark Countries'!E$2:E1000, (AM331 = 'Internal -- Trademark Countries'!B$2:B1000) + (AM331 = 'Internal -- Trademark Countries'!C$2:C1000) + (AM331 = 'Internal -- Trademark Countries'!D$2:D1000)), 1))"),"")</f>
        <v/>
      </c>
      <c r="EF331" s="30" t="e">
        <f ca="1">_xludf.ifs(AM331="", "", COUNTIF('Internal -- Trademark Countries'!B:B,AM331) &gt; 0, "polity_shortest_name", COUNTIF('Internal -- Trademark Countries'!C:C,AM331) &gt; 0, "polity_full_name", COUNTIF('Internal -- Trademark Countries'!D:D,AM331) &gt; 0, "polity_common_name", COUNTIF('Internal -- Trademark Countries'!E:E,AM331) &gt; 0, "shortest_name", COUNTIF('Internal -- Trademark Countries'!A:A,AM331) &gt; 0, "full_name", TRUE, "not a match")</f>
        <v>#NAME?</v>
      </c>
      <c r="EG331" s="30"/>
      <c r="EH331" s="30"/>
      <c r="EI331" s="30"/>
      <c r="EJ331" s="30"/>
      <c r="EK331" s="30" t="str">
        <f t="shared" si="3"/>
        <v/>
      </c>
    </row>
    <row r="332" spans="1:141" ht="16.5">
      <c r="A332" s="11"/>
      <c r="B332" s="11"/>
      <c r="C332" s="11"/>
      <c r="D332" s="11"/>
      <c r="E332" s="11"/>
      <c r="F332" s="11"/>
      <c r="G332" s="11"/>
      <c r="H332" s="11"/>
      <c r="I332" s="11"/>
      <c r="J332" s="11"/>
      <c r="K332" s="27"/>
      <c r="L332" s="11"/>
      <c r="M332" s="11"/>
      <c r="N332" s="11"/>
      <c r="O332" s="11"/>
      <c r="P332" s="15"/>
      <c r="Q332" s="15"/>
      <c r="R332" s="15"/>
      <c r="S332" s="15"/>
      <c r="T332" s="15"/>
      <c r="U332" s="15"/>
      <c r="V332" s="15"/>
      <c r="W332" s="47"/>
      <c r="X332" s="11"/>
      <c r="Y332" s="48"/>
      <c r="Z332" s="11"/>
      <c r="AA332" s="48"/>
      <c r="AB332" s="11"/>
      <c r="AC332" s="48"/>
      <c r="AD332" s="11"/>
      <c r="AE332" s="47"/>
      <c r="AF332" s="11"/>
      <c r="AG332" s="48"/>
      <c r="AH332" s="11"/>
      <c r="AI332" s="48"/>
      <c r="AJ332" s="11"/>
      <c r="AK332" s="48"/>
      <c r="AL332" s="11"/>
      <c r="AM332" s="49"/>
      <c r="AN332" s="49"/>
      <c r="AO332" s="11"/>
      <c r="AP332" s="11"/>
      <c r="AQ332" s="28" t="b">
        <f>IF(COUNTIF(SmartStatus!A$2:A1000, AM332) &gt; 2, TRUE, FALSE)</f>
        <v>0</v>
      </c>
      <c r="AR332" s="29" t="str">
        <f ca="1">IFERROR(__xludf.DUMMYFUNCTION("iferror(if(regexmatch(AO332, ""(?i)^registered""), if(EE332 &lt;&gt; ""polity_shortest_name"", ""CHECK_POLITY"", index(filter(SmartStatus!B$2:B1000, AM332 = SmartStatus!A$2:A1000, not(SmartStatus!C$2:C1000), (isblank(SmartStatus!D$2:D1000)) + ((P332 &lt;&gt; """") * "&amp;"(P332 &lt; SmartStatus!D$2:D1000)), (isblank(SmartStatus!E$2:E1000)) + ((P332 &lt;&gt; """") * (P332 &gt;= SmartStatus!E$2:E1000)), (isblank(SmartStatus!F$2:F1000)) + (((Q332 &lt;&gt; """") * (Q332 &lt; SmartStatus!F$2:F1000)) + ((P332 &lt;&gt; """") * (date(year(P332) + 3, month(P"&amp;"332), day(P332)) &lt; SmartStatus!F$2:F1000))), (isblank(SmartStatus!G$2:G1000)) + (((Q332 &lt;&gt; """") * (Q332 &gt;= SmartStatus!G$2:G1000)) + ((P332 &lt;&gt; """") * (P332 &gt;= SmartStatus!G$2:G1000)))), if(or(regexmatch(B332, ""(?i)^ir [a-z]+ designation$""), N332 &lt;&gt; """&amp;"""), 1, 2))), """"), ""NO_MATCH"")"),"")</f>
        <v/>
      </c>
      <c r="AS332" s="11"/>
      <c r="AT332" s="15"/>
      <c r="AU332" s="11"/>
      <c r="AV332" s="11"/>
      <c r="AW332" s="15"/>
      <c r="AX332" s="15"/>
      <c r="AY332" s="15"/>
      <c r="AZ332" s="11"/>
      <c r="BA332" s="15"/>
      <c r="BB332" s="11"/>
      <c r="BC332" s="11"/>
      <c r="BD332" s="15"/>
      <c r="BE332" s="11"/>
      <c r="BF332" s="11"/>
      <c r="BG332" s="15"/>
      <c r="BH332" s="15"/>
      <c r="BI332" s="15"/>
      <c r="BJ332" s="11"/>
      <c r="BK332" s="15"/>
      <c r="BL332" s="11"/>
      <c r="BM332" s="11"/>
      <c r="BN332" s="15"/>
      <c r="BO332" s="11"/>
      <c r="BP332" s="11"/>
      <c r="BQ332" s="15"/>
      <c r="BR332" s="15"/>
      <c r="BS332" s="15"/>
      <c r="BT332" s="11"/>
      <c r="BU332" s="15"/>
      <c r="BV332" s="11"/>
      <c r="BW332" s="11"/>
      <c r="BX332" s="15"/>
      <c r="BY332" s="11"/>
      <c r="BZ332" s="11"/>
      <c r="CA332" s="15"/>
      <c r="CB332" s="11"/>
      <c r="CC332" s="15"/>
      <c r="CD332" s="11"/>
      <c r="CE332" s="15"/>
      <c r="CF332" s="11"/>
      <c r="CG332" s="11"/>
      <c r="CH332" s="15"/>
      <c r="CI332" s="11"/>
      <c r="CJ332" s="11"/>
      <c r="CK332" s="15"/>
      <c r="CL332" s="11"/>
      <c r="CM332" s="11"/>
      <c r="CN332" s="11"/>
      <c r="CO332" s="11"/>
      <c r="CP332" s="28"/>
      <c r="CQ332" s="28"/>
      <c r="CR332" s="11"/>
      <c r="CS332" s="29"/>
      <c r="CT332" s="11"/>
      <c r="CU332" s="11"/>
      <c r="CV332" s="11"/>
      <c r="CW332" s="11"/>
      <c r="CX332" s="11"/>
      <c r="CY332" s="11"/>
      <c r="CZ332" s="11"/>
      <c r="DA332" s="28"/>
      <c r="DB332" s="28"/>
      <c r="DC332" s="11"/>
      <c r="DD332" s="29"/>
      <c r="DE332" s="11"/>
      <c r="DF332" s="11"/>
      <c r="DG332" s="11"/>
      <c r="DH332" s="11"/>
      <c r="DI332" s="11"/>
      <c r="DJ332" s="11"/>
      <c r="DK332" s="26"/>
      <c r="DL332" s="11"/>
      <c r="DM332" s="29"/>
      <c r="DN332" s="28"/>
      <c r="DO332" s="11"/>
      <c r="DP332" s="11"/>
      <c r="DQ332" s="11"/>
      <c r="DR332" s="29"/>
      <c r="DS332" s="28"/>
      <c r="DT332" s="11"/>
      <c r="DU332" s="26"/>
      <c r="DV332" s="11"/>
      <c r="DW332" s="29"/>
      <c r="DX332" s="28"/>
      <c r="DY332" s="11"/>
      <c r="DZ332" s="26"/>
      <c r="EA332" s="11"/>
      <c r="EB332" s="29"/>
      <c r="EC332" s="28"/>
      <c r="ED332" s="30"/>
      <c r="EE332" s="30" t="str">
        <f ca="1">IFERROR(__xludf.DUMMYFUNCTION("iferror(index(filter('Internal -- Trademark Countries'!E$2:E1000, (AM332 = 'Internal -- Trademark Countries'!B$2:B1000) + (AM332 = 'Internal -- Trademark Countries'!C$2:C1000) + (AM332 = 'Internal -- Trademark Countries'!D$2:D1000)), 1))"),"")</f>
        <v/>
      </c>
      <c r="EF332" s="30" t="e">
        <f ca="1">_xludf.ifs(AM332="", "", COUNTIF('Internal -- Trademark Countries'!B:B,AM332) &gt; 0, "polity_shortest_name", COUNTIF('Internal -- Trademark Countries'!C:C,AM332) &gt; 0, "polity_full_name", COUNTIF('Internal -- Trademark Countries'!D:D,AM332) &gt; 0, "polity_common_name", COUNTIF('Internal -- Trademark Countries'!E:E,AM332) &gt; 0, "shortest_name", COUNTIF('Internal -- Trademark Countries'!A:A,AM332) &gt; 0, "full_name", TRUE, "not a match")</f>
        <v>#NAME?</v>
      </c>
      <c r="EG332" s="30"/>
      <c r="EH332" s="30"/>
      <c r="EI332" s="30"/>
      <c r="EJ332" s="30"/>
      <c r="EK332" s="30" t="str">
        <f t="shared" si="3"/>
        <v/>
      </c>
    </row>
    <row r="333" spans="1:141" ht="16.5">
      <c r="A333" s="11"/>
      <c r="B333" s="11"/>
      <c r="C333" s="11"/>
      <c r="D333" s="11"/>
      <c r="E333" s="11"/>
      <c r="F333" s="11"/>
      <c r="G333" s="11"/>
      <c r="H333" s="11"/>
      <c r="I333" s="11"/>
      <c r="J333" s="11"/>
      <c r="K333" s="27"/>
      <c r="L333" s="11"/>
      <c r="M333" s="11"/>
      <c r="N333" s="11"/>
      <c r="O333" s="11"/>
      <c r="P333" s="15"/>
      <c r="Q333" s="15"/>
      <c r="R333" s="15"/>
      <c r="S333" s="15"/>
      <c r="T333" s="15"/>
      <c r="U333" s="15"/>
      <c r="V333" s="15"/>
      <c r="W333" s="47"/>
      <c r="X333" s="11"/>
      <c r="Y333" s="48"/>
      <c r="Z333" s="11"/>
      <c r="AA333" s="48"/>
      <c r="AB333" s="11"/>
      <c r="AC333" s="48"/>
      <c r="AD333" s="11"/>
      <c r="AE333" s="47"/>
      <c r="AF333" s="11"/>
      <c r="AG333" s="48"/>
      <c r="AH333" s="11"/>
      <c r="AI333" s="48"/>
      <c r="AJ333" s="11"/>
      <c r="AK333" s="48"/>
      <c r="AL333" s="11"/>
      <c r="AM333" s="49"/>
      <c r="AN333" s="49"/>
      <c r="AO333" s="11"/>
      <c r="AP333" s="11"/>
      <c r="AQ333" s="28" t="b">
        <f>IF(COUNTIF(SmartStatus!A$2:A1000, AM333) &gt; 2, TRUE, FALSE)</f>
        <v>0</v>
      </c>
      <c r="AR333" s="29" t="str">
        <f ca="1">IFERROR(__xludf.DUMMYFUNCTION("iferror(if(regexmatch(AO333, ""(?i)^registered""), if(EE333 &lt;&gt; ""polity_shortest_name"", ""CHECK_POLITY"", index(filter(SmartStatus!B$2:B1000, AM333 = SmartStatus!A$2:A1000, not(SmartStatus!C$2:C1000), (isblank(SmartStatus!D$2:D1000)) + ((P333 &lt;&gt; """") * "&amp;"(P333 &lt; SmartStatus!D$2:D1000)), (isblank(SmartStatus!E$2:E1000)) + ((P333 &lt;&gt; """") * (P333 &gt;= SmartStatus!E$2:E1000)), (isblank(SmartStatus!F$2:F1000)) + (((Q333 &lt;&gt; """") * (Q333 &lt; SmartStatus!F$2:F1000)) + ((P333 &lt;&gt; """") * (date(year(P333) + 3, month(P"&amp;"333), day(P333)) &lt; SmartStatus!F$2:F1000))), (isblank(SmartStatus!G$2:G1000)) + (((Q333 &lt;&gt; """") * (Q333 &gt;= SmartStatus!G$2:G1000)) + ((P333 &lt;&gt; """") * (P333 &gt;= SmartStatus!G$2:G1000)))), if(or(regexmatch(B333, ""(?i)^ir [a-z]+ designation$""), N333 &lt;&gt; """&amp;"""), 1, 2))), """"), ""NO_MATCH"")"),"")</f>
        <v/>
      </c>
      <c r="AS333" s="11"/>
      <c r="AT333" s="15"/>
      <c r="AU333" s="11"/>
      <c r="AV333" s="11"/>
      <c r="AW333" s="15"/>
      <c r="AX333" s="15"/>
      <c r="AY333" s="15"/>
      <c r="AZ333" s="11"/>
      <c r="BA333" s="15"/>
      <c r="BB333" s="11"/>
      <c r="BC333" s="11"/>
      <c r="BD333" s="15"/>
      <c r="BE333" s="11"/>
      <c r="BF333" s="11"/>
      <c r="BG333" s="15"/>
      <c r="BH333" s="15"/>
      <c r="BI333" s="15"/>
      <c r="BJ333" s="11"/>
      <c r="BK333" s="15"/>
      <c r="BL333" s="11"/>
      <c r="BM333" s="11"/>
      <c r="BN333" s="15"/>
      <c r="BO333" s="11"/>
      <c r="BP333" s="11"/>
      <c r="BQ333" s="15"/>
      <c r="BR333" s="15"/>
      <c r="BS333" s="15"/>
      <c r="BT333" s="11"/>
      <c r="BU333" s="15"/>
      <c r="BV333" s="11"/>
      <c r="BW333" s="11"/>
      <c r="BX333" s="15"/>
      <c r="BY333" s="11"/>
      <c r="BZ333" s="11"/>
      <c r="CA333" s="15"/>
      <c r="CB333" s="11"/>
      <c r="CC333" s="15"/>
      <c r="CD333" s="11"/>
      <c r="CE333" s="15"/>
      <c r="CF333" s="11"/>
      <c r="CG333" s="11"/>
      <c r="CH333" s="15"/>
      <c r="CI333" s="11"/>
      <c r="CJ333" s="11"/>
      <c r="CK333" s="15"/>
      <c r="CL333" s="11"/>
      <c r="CM333" s="11"/>
      <c r="CN333" s="11"/>
      <c r="CO333" s="11"/>
      <c r="CP333" s="28"/>
      <c r="CQ333" s="28"/>
      <c r="CR333" s="11"/>
      <c r="CS333" s="29"/>
      <c r="CT333" s="11"/>
      <c r="CU333" s="11"/>
      <c r="CV333" s="11"/>
      <c r="CW333" s="11"/>
      <c r="CX333" s="11"/>
      <c r="CY333" s="11"/>
      <c r="CZ333" s="11"/>
      <c r="DA333" s="28"/>
      <c r="DB333" s="28"/>
      <c r="DC333" s="11"/>
      <c r="DD333" s="29"/>
      <c r="DE333" s="11"/>
      <c r="DF333" s="11"/>
      <c r="DG333" s="11"/>
      <c r="DH333" s="11"/>
      <c r="DI333" s="11"/>
      <c r="DJ333" s="11"/>
      <c r="DK333" s="26"/>
      <c r="DL333" s="11"/>
      <c r="DM333" s="29"/>
      <c r="DN333" s="28"/>
      <c r="DO333" s="11"/>
      <c r="DP333" s="11"/>
      <c r="DQ333" s="11"/>
      <c r="DR333" s="29"/>
      <c r="DS333" s="28"/>
      <c r="DT333" s="11"/>
      <c r="DU333" s="26"/>
      <c r="DV333" s="11"/>
      <c r="DW333" s="29"/>
      <c r="DX333" s="28"/>
      <c r="DY333" s="11"/>
      <c r="DZ333" s="26"/>
      <c r="EA333" s="11"/>
      <c r="EB333" s="29"/>
      <c r="EC333" s="28"/>
      <c r="ED333" s="30"/>
      <c r="EE333" s="30" t="str">
        <f ca="1">IFERROR(__xludf.DUMMYFUNCTION("iferror(index(filter('Internal -- Trademark Countries'!E$2:E1000, (AM333 = 'Internal -- Trademark Countries'!B$2:B1000) + (AM333 = 'Internal -- Trademark Countries'!C$2:C1000) + (AM333 = 'Internal -- Trademark Countries'!D$2:D1000)), 1))"),"")</f>
        <v/>
      </c>
      <c r="EF333" s="30" t="e">
        <f ca="1">_xludf.ifs(AM333="", "", COUNTIF('Internal -- Trademark Countries'!B:B,AM333) &gt; 0, "polity_shortest_name", COUNTIF('Internal -- Trademark Countries'!C:C,AM333) &gt; 0, "polity_full_name", COUNTIF('Internal -- Trademark Countries'!D:D,AM333) &gt; 0, "polity_common_name", COUNTIF('Internal -- Trademark Countries'!E:E,AM333) &gt; 0, "shortest_name", COUNTIF('Internal -- Trademark Countries'!A:A,AM333) &gt; 0, "full_name", TRUE, "not a match")</f>
        <v>#NAME?</v>
      </c>
      <c r="EG333" s="30"/>
      <c r="EH333" s="30"/>
      <c r="EI333" s="30"/>
      <c r="EJ333" s="30"/>
      <c r="EK333" s="30" t="str">
        <f t="shared" si="3"/>
        <v/>
      </c>
    </row>
    <row r="334" spans="1:141" ht="16.5">
      <c r="A334" s="11"/>
      <c r="B334" s="11"/>
      <c r="C334" s="11"/>
      <c r="D334" s="11"/>
      <c r="E334" s="11"/>
      <c r="F334" s="11"/>
      <c r="G334" s="11"/>
      <c r="H334" s="11"/>
      <c r="I334" s="11"/>
      <c r="J334" s="11"/>
      <c r="K334" s="27"/>
      <c r="L334" s="11"/>
      <c r="M334" s="11"/>
      <c r="N334" s="11"/>
      <c r="O334" s="11"/>
      <c r="P334" s="15"/>
      <c r="Q334" s="15"/>
      <c r="R334" s="15"/>
      <c r="S334" s="15"/>
      <c r="T334" s="15"/>
      <c r="U334" s="15"/>
      <c r="V334" s="15"/>
      <c r="W334" s="47"/>
      <c r="X334" s="11"/>
      <c r="Y334" s="48"/>
      <c r="Z334" s="11"/>
      <c r="AA334" s="48"/>
      <c r="AB334" s="11"/>
      <c r="AC334" s="48"/>
      <c r="AD334" s="11"/>
      <c r="AE334" s="47"/>
      <c r="AF334" s="11"/>
      <c r="AG334" s="48"/>
      <c r="AH334" s="11"/>
      <c r="AI334" s="48"/>
      <c r="AJ334" s="11"/>
      <c r="AK334" s="48"/>
      <c r="AL334" s="11"/>
      <c r="AM334" s="49"/>
      <c r="AN334" s="49"/>
      <c r="AO334" s="11"/>
      <c r="AP334" s="11"/>
      <c r="AQ334" s="28" t="b">
        <f>IF(COUNTIF(SmartStatus!A$2:A1000, AM334) &gt; 2, TRUE, FALSE)</f>
        <v>0</v>
      </c>
      <c r="AR334" s="29" t="str">
        <f ca="1">IFERROR(__xludf.DUMMYFUNCTION("iferror(if(regexmatch(AO334, ""(?i)^registered""), if(EE334 &lt;&gt; ""polity_shortest_name"", ""CHECK_POLITY"", index(filter(SmartStatus!B$2:B1000, AM334 = SmartStatus!A$2:A1000, not(SmartStatus!C$2:C1000), (isblank(SmartStatus!D$2:D1000)) + ((P334 &lt;&gt; """") * "&amp;"(P334 &lt; SmartStatus!D$2:D1000)), (isblank(SmartStatus!E$2:E1000)) + ((P334 &lt;&gt; """") * (P334 &gt;= SmartStatus!E$2:E1000)), (isblank(SmartStatus!F$2:F1000)) + (((Q334 &lt;&gt; """") * (Q334 &lt; SmartStatus!F$2:F1000)) + ((P334 &lt;&gt; """") * (date(year(P334) + 3, month(P"&amp;"334), day(P334)) &lt; SmartStatus!F$2:F1000))), (isblank(SmartStatus!G$2:G1000)) + (((Q334 &lt;&gt; """") * (Q334 &gt;= SmartStatus!G$2:G1000)) + ((P334 &lt;&gt; """") * (P334 &gt;= SmartStatus!G$2:G1000)))), if(or(regexmatch(B334, ""(?i)^ir [a-z]+ designation$""), N334 &lt;&gt; """&amp;"""), 1, 2))), """"), ""NO_MATCH"")"),"")</f>
        <v/>
      </c>
      <c r="AS334" s="11"/>
      <c r="AT334" s="15"/>
      <c r="AU334" s="11"/>
      <c r="AV334" s="11"/>
      <c r="AW334" s="15"/>
      <c r="AX334" s="15"/>
      <c r="AY334" s="15"/>
      <c r="AZ334" s="11"/>
      <c r="BA334" s="15"/>
      <c r="BB334" s="11"/>
      <c r="BC334" s="11"/>
      <c r="BD334" s="15"/>
      <c r="BE334" s="11"/>
      <c r="BF334" s="11"/>
      <c r="BG334" s="15"/>
      <c r="BH334" s="15"/>
      <c r="BI334" s="15"/>
      <c r="BJ334" s="11"/>
      <c r="BK334" s="15"/>
      <c r="BL334" s="11"/>
      <c r="BM334" s="11"/>
      <c r="BN334" s="15"/>
      <c r="BO334" s="11"/>
      <c r="BP334" s="11"/>
      <c r="BQ334" s="15"/>
      <c r="BR334" s="15"/>
      <c r="BS334" s="15"/>
      <c r="BT334" s="11"/>
      <c r="BU334" s="15"/>
      <c r="BV334" s="11"/>
      <c r="BW334" s="11"/>
      <c r="BX334" s="15"/>
      <c r="BY334" s="11"/>
      <c r="BZ334" s="11"/>
      <c r="CA334" s="15"/>
      <c r="CB334" s="11"/>
      <c r="CC334" s="15"/>
      <c r="CD334" s="11"/>
      <c r="CE334" s="15"/>
      <c r="CF334" s="11"/>
      <c r="CG334" s="11"/>
      <c r="CH334" s="15"/>
      <c r="CI334" s="11"/>
      <c r="CJ334" s="11"/>
      <c r="CK334" s="15"/>
      <c r="CL334" s="11"/>
      <c r="CM334" s="11"/>
      <c r="CN334" s="11"/>
      <c r="CO334" s="11"/>
      <c r="CP334" s="28"/>
      <c r="CQ334" s="28"/>
      <c r="CR334" s="11"/>
      <c r="CS334" s="29"/>
      <c r="CT334" s="11"/>
      <c r="CU334" s="11"/>
      <c r="CV334" s="11"/>
      <c r="CW334" s="11"/>
      <c r="CX334" s="11"/>
      <c r="CY334" s="11"/>
      <c r="CZ334" s="11"/>
      <c r="DA334" s="28"/>
      <c r="DB334" s="28"/>
      <c r="DC334" s="11"/>
      <c r="DD334" s="29"/>
      <c r="DE334" s="11"/>
      <c r="DF334" s="11"/>
      <c r="DG334" s="11"/>
      <c r="DH334" s="11"/>
      <c r="DI334" s="11"/>
      <c r="DJ334" s="11"/>
      <c r="DK334" s="26"/>
      <c r="DL334" s="11"/>
      <c r="DM334" s="29"/>
      <c r="DN334" s="28"/>
      <c r="DO334" s="11"/>
      <c r="DP334" s="11"/>
      <c r="DQ334" s="11"/>
      <c r="DR334" s="29"/>
      <c r="DS334" s="28"/>
      <c r="DT334" s="11"/>
      <c r="DU334" s="26"/>
      <c r="DV334" s="11"/>
      <c r="DW334" s="29"/>
      <c r="DX334" s="28"/>
      <c r="DY334" s="11"/>
      <c r="DZ334" s="26"/>
      <c r="EA334" s="11"/>
      <c r="EB334" s="29"/>
      <c r="EC334" s="28"/>
      <c r="ED334" s="30"/>
      <c r="EE334" s="30" t="str">
        <f ca="1">IFERROR(__xludf.DUMMYFUNCTION("iferror(index(filter('Internal -- Trademark Countries'!E$2:E1000, (AM334 = 'Internal -- Trademark Countries'!B$2:B1000) + (AM334 = 'Internal -- Trademark Countries'!C$2:C1000) + (AM334 = 'Internal -- Trademark Countries'!D$2:D1000)), 1))"),"")</f>
        <v/>
      </c>
      <c r="EF334" s="30" t="e">
        <f ca="1">_xludf.ifs(AM334="", "", COUNTIF('Internal -- Trademark Countries'!B:B,AM334) &gt; 0, "polity_shortest_name", COUNTIF('Internal -- Trademark Countries'!C:C,AM334) &gt; 0, "polity_full_name", COUNTIF('Internal -- Trademark Countries'!D:D,AM334) &gt; 0, "polity_common_name", COUNTIF('Internal -- Trademark Countries'!E:E,AM334) &gt; 0, "shortest_name", COUNTIF('Internal -- Trademark Countries'!A:A,AM334) &gt; 0, "full_name", TRUE, "not a match")</f>
        <v>#NAME?</v>
      </c>
      <c r="EG334" s="30"/>
      <c r="EH334" s="30"/>
      <c r="EI334" s="30"/>
      <c r="EJ334" s="30"/>
      <c r="EK334" s="30" t="str">
        <f t="shared" si="3"/>
        <v/>
      </c>
    </row>
    <row r="335" spans="1:141" ht="16.5">
      <c r="A335" s="11"/>
      <c r="B335" s="11"/>
      <c r="C335" s="11"/>
      <c r="D335" s="11"/>
      <c r="E335" s="11"/>
      <c r="F335" s="11"/>
      <c r="G335" s="11"/>
      <c r="H335" s="11"/>
      <c r="I335" s="11"/>
      <c r="J335" s="11"/>
      <c r="K335" s="27"/>
      <c r="L335" s="11"/>
      <c r="M335" s="11"/>
      <c r="N335" s="11"/>
      <c r="O335" s="11"/>
      <c r="P335" s="15"/>
      <c r="Q335" s="15"/>
      <c r="R335" s="15"/>
      <c r="S335" s="15"/>
      <c r="T335" s="15"/>
      <c r="U335" s="15"/>
      <c r="V335" s="15"/>
      <c r="W335" s="47"/>
      <c r="X335" s="11"/>
      <c r="Y335" s="48"/>
      <c r="Z335" s="11"/>
      <c r="AA335" s="48"/>
      <c r="AB335" s="11"/>
      <c r="AC335" s="48"/>
      <c r="AD335" s="11"/>
      <c r="AE335" s="47"/>
      <c r="AF335" s="11"/>
      <c r="AG335" s="48"/>
      <c r="AH335" s="11"/>
      <c r="AI335" s="48"/>
      <c r="AJ335" s="11"/>
      <c r="AK335" s="48"/>
      <c r="AL335" s="11"/>
      <c r="AM335" s="49"/>
      <c r="AN335" s="49"/>
      <c r="AO335" s="11"/>
      <c r="AP335" s="11"/>
      <c r="AQ335" s="28" t="b">
        <f>IF(COUNTIF(SmartStatus!A$2:A1000, AM335) &gt; 2, TRUE, FALSE)</f>
        <v>0</v>
      </c>
      <c r="AR335" s="29" t="str">
        <f ca="1">IFERROR(__xludf.DUMMYFUNCTION("iferror(if(regexmatch(AO335, ""(?i)^registered""), if(EE335 &lt;&gt; ""polity_shortest_name"", ""CHECK_POLITY"", index(filter(SmartStatus!B$2:B1000, AM335 = SmartStatus!A$2:A1000, not(SmartStatus!C$2:C1000), (isblank(SmartStatus!D$2:D1000)) + ((P335 &lt;&gt; """") * "&amp;"(P335 &lt; SmartStatus!D$2:D1000)), (isblank(SmartStatus!E$2:E1000)) + ((P335 &lt;&gt; """") * (P335 &gt;= SmartStatus!E$2:E1000)), (isblank(SmartStatus!F$2:F1000)) + (((Q335 &lt;&gt; """") * (Q335 &lt; SmartStatus!F$2:F1000)) + ((P335 &lt;&gt; """") * (date(year(P335) + 3, month(P"&amp;"335), day(P335)) &lt; SmartStatus!F$2:F1000))), (isblank(SmartStatus!G$2:G1000)) + (((Q335 &lt;&gt; """") * (Q335 &gt;= SmartStatus!G$2:G1000)) + ((P335 &lt;&gt; """") * (P335 &gt;= SmartStatus!G$2:G1000)))), if(or(regexmatch(B335, ""(?i)^ir [a-z]+ designation$""), N335 &lt;&gt; """&amp;"""), 1, 2))), """"), ""NO_MATCH"")"),"")</f>
        <v/>
      </c>
      <c r="AS335" s="11"/>
      <c r="AT335" s="15"/>
      <c r="AU335" s="11"/>
      <c r="AV335" s="11"/>
      <c r="AW335" s="15"/>
      <c r="AX335" s="15"/>
      <c r="AY335" s="15"/>
      <c r="AZ335" s="11"/>
      <c r="BA335" s="15"/>
      <c r="BB335" s="11"/>
      <c r="BC335" s="11"/>
      <c r="BD335" s="15"/>
      <c r="BE335" s="11"/>
      <c r="BF335" s="11"/>
      <c r="BG335" s="15"/>
      <c r="BH335" s="15"/>
      <c r="BI335" s="15"/>
      <c r="BJ335" s="11"/>
      <c r="BK335" s="15"/>
      <c r="BL335" s="11"/>
      <c r="BM335" s="11"/>
      <c r="BN335" s="15"/>
      <c r="BO335" s="11"/>
      <c r="BP335" s="11"/>
      <c r="BQ335" s="15"/>
      <c r="BR335" s="15"/>
      <c r="BS335" s="15"/>
      <c r="BT335" s="11"/>
      <c r="BU335" s="15"/>
      <c r="BV335" s="11"/>
      <c r="BW335" s="11"/>
      <c r="BX335" s="15"/>
      <c r="BY335" s="11"/>
      <c r="BZ335" s="11"/>
      <c r="CA335" s="15"/>
      <c r="CB335" s="11"/>
      <c r="CC335" s="15"/>
      <c r="CD335" s="11"/>
      <c r="CE335" s="15"/>
      <c r="CF335" s="11"/>
      <c r="CG335" s="11"/>
      <c r="CH335" s="15"/>
      <c r="CI335" s="11"/>
      <c r="CJ335" s="11"/>
      <c r="CK335" s="15"/>
      <c r="CL335" s="11"/>
      <c r="CM335" s="11"/>
      <c r="CN335" s="11"/>
      <c r="CO335" s="11"/>
      <c r="CP335" s="28"/>
      <c r="CQ335" s="28"/>
      <c r="CR335" s="11"/>
      <c r="CS335" s="29"/>
      <c r="CT335" s="11"/>
      <c r="CU335" s="11"/>
      <c r="CV335" s="11"/>
      <c r="CW335" s="11"/>
      <c r="CX335" s="11"/>
      <c r="CY335" s="11"/>
      <c r="CZ335" s="11"/>
      <c r="DA335" s="28"/>
      <c r="DB335" s="28"/>
      <c r="DC335" s="11"/>
      <c r="DD335" s="29"/>
      <c r="DE335" s="11"/>
      <c r="DF335" s="11"/>
      <c r="DG335" s="11"/>
      <c r="DH335" s="11"/>
      <c r="DI335" s="11"/>
      <c r="DJ335" s="11"/>
      <c r="DK335" s="26"/>
      <c r="DL335" s="11"/>
      <c r="DM335" s="29"/>
      <c r="DN335" s="28"/>
      <c r="DO335" s="11"/>
      <c r="DP335" s="11"/>
      <c r="DQ335" s="11"/>
      <c r="DR335" s="29"/>
      <c r="DS335" s="28"/>
      <c r="DT335" s="11"/>
      <c r="DU335" s="26"/>
      <c r="DV335" s="11"/>
      <c r="DW335" s="29"/>
      <c r="DX335" s="28"/>
      <c r="DY335" s="11"/>
      <c r="DZ335" s="26"/>
      <c r="EA335" s="11"/>
      <c r="EB335" s="29"/>
      <c r="EC335" s="28"/>
      <c r="ED335" s="30"/>
      <c r="EE335" s="30" t="str">
        <f ca="1">IFERROR(__xludf.DUMMYFUNCTION("iferror(index(filter('Internal -- Trademark Countries'!E$2:E1000, (AM335 = 'Internal -- Trademark Countries'!B$2:B1000) + (AM335 = 'Internal -- Trademark Countries'!C$2:C1000) + (AM335 = 'Internal -- Trademark Countries'!D$2:D1000)), 1))"),"")</f>
        <v/>
      </c>
      <c r="EF335" s="30" t="e">
        <f ca="1">_xludf.ifs(AM335="", "", COUNTIF('Internal -- Trademark Countries'!B:B,AM335) &gt; 0, "polity_shortest_name", COUNTIF('Internal -- Trademark Countries'!C:C,AM335) &gt; 0, "polity_full_name", COUNTIF('Internal -- Trademark Countries'!D:D,AM335) &gt; 0, "polity_common_name", COUNTIF('Internal -- Trademark Countries'!E:E,AM335) &gt; 0, "shortest_name", COUNTIF('Internal -- Trademark Countries'!A:A,AM335) &gt; 0, "full_name", TRUE, "not a match")</f>
        <v>#NAME?</v>
      </c>
      <c r="EG335" s="30"/>
      <c r="EH335" s="30"/>
      <c r="EI335" s="30"/>
      <c r="EJ335" s="30"/>
      <c r="EK335" s="30" t="str">
        <f t="shared" si="3"/>
        <v/>
      </c>
    </row>
    <row r="336" spans="1:141" ht="16.5">
      <c r="A336" s="11"/>
      <c r="B336" s="11"/>
      <c r="C336" s="11"/>
      <c r="D336" s="11"/>
      <c r="E336" s="11"/>
      <c r="F336" s="11"/>
      <c r="G336" s="11"/>
      <c r="H336" s="11"/>
      <c r="I336" s="11"/>
      <c r="J336" s="11"/>
      <c r="K336" s="27"/>
      <c r="L336" s="11"/>
      <c r="M336" s="11"/>
      <c r="N336" s="11"/>
      <c r="O336" s="11"/>
      <c r="P336" s="15"/>
      <c r="Q336" s="15"/>
      <c r="R336" s="15"/>
      <c r="S336" s="15"/>
      <c r="T336" s="15"/>
      <c r="U336" s="15"/>
      <c r="V336" s="15"/>
      <c r="W336" s="47"/>
      <c r="X336" s="11"/>
      <c r="Y336" s="48"/>
      <c r="Z336" s="11"/>
      <c r="AA336" s="48"/>
      <c r="AB336" s="11"/>
      <c r="AC336" s="48"/>
      <c r="AD336" s="11"/>
      <c r="AE336" s="47"/>
      <c r="AF336" s="11"/>
      <c r="AG336" s="48"/>
      <c r="AH336" s="11"/>
      <c r="AI336" s="48"/>
      <c r="AJ336" s="11"/>
      <c r="AK336" s="48"/>
      <c r="AL336" s="11"/>
      <c r="AM336" s="49"/>
      <c r="AN336" s="49"/>
      <c r="AO336" s="11"/>
      <c r="AP336" s="11"/>
      <c r="AQ336" s="28" t="b">
        <f>IF(COUNTIF(SmartStatus!A$2:A1000, AM336) &gt; 2, TRUE, FALSE)</f>
        <v>0</v>
      </c>
      <c r="AR336" s="29" t="str">
        <f ca="1">IFERROR(__xludf.DUMMYFUNCTION("iferror(if(regexmatch(AO336, ""(?i)^registered""), if(EE336 &lt;&gt; ""polity_shortest_name"", ""CHECK_POLITY"", index(filter(SmartStatus!B$2:B1000, AM336 = SmartStatus!A$2:A1000, not(SmartStatus!C$2:C1000), (isblank(SmartStatus!D$2:D1000)) + ((P336 &lt;&gt; """") * "&amp;"(P336 &lt; SmartStatus!D$2:D1000)), (isblank(SmartStatus!E$2:E1000)) + ((P336 &lt;&gt; """") * (P336 &gt;= SmartStatus!E$2:E1000)), (isblank(SmartStatus!F$2:F1000)) + (((Q336 &lt;&gt; """") * (Q336 &lt; SmartStatus!F$2:F1000)) + ((P336 &lt;&gt; """") * (date(year(P336) + 3, month(P"&amp;"336), day(P336)) &lt; SmartStatus!F$2:F1000))), (isblank(SmartStatus!G$2:G1000)) + (((Q336 &lt;&gt; """") * (Q336 &gt;= SmartStatus!G$2:G1000)) + ((P336 &lt;&gt; """") * (P336 &gt;= SmartStatus!G$2:G1000)))), if(or(regexmatch(B336, ""(?i)^ir [a-z]+ designation$""), N336 &lt;&gt; """&amp;"""), 1, 2))), """"), ""NO_MATCH"")"),"")</f>
        <v/>
      </c>
      <c r="AS336" s="11"/>
      <c r="AT336" s="15"/>
      <c r="AU336" s="11"/>
      <c r="AV336" s="11"/>
      <c r="AW336" s="15"/>
      <c r="AX336" s="15"/>
      <c r="AY336" s="15"/>
      <c r="AZ336" s="11"/>
      <c r="BA336" s="15"/>
      <c r="BB336" s="11"/>
      <c r="BC336" s="11"/>
      <c r="BD336" s="15"/>
      <c r="BE336" s="11"/>
      <c r="BF336" s="11"/>
      <c r="BG336" s="15"/>
      <c r="BH336" s="15"/>
      <c r="BI336" s="15"/>
      <c r="BJ336" s="11"/>
      <c r="BK336" s="15"/>
      <c r="BL336" s="11"/>
      <c r="BM336" s="11"/>
      <c r="BN336" s="15"/>
      <c r="BO336" s="11"/>
      <c r="BP336" s="11"/>
      <c r="BQ336" s="15"/>
      <c r="BR336" s="15"/>
      <c r="BS336" s="15"/>
      <c r="BT336" s="11"/>
      <c r="BU336" s="15"/>
      <c r="BV336" s="11"/>
      <c r="BW336" s="11"/>
      <c r="BX336" s="15"/>
      <c r="BY336" s="11"/>
      <c r="BZ336" s="11"/>
      <c r="CA336" s="15"/>
      <c r="CB336" s="11"/>
      <c r="CC336" s="15"/>
      <c r="CD336" s="11"/>
      <c r="CE336" s="15"/>
      <c r="CF336" s="11"/>
      <c r="CG336" s="11"/>
      <c r="CH336" s="15"/>
      <c r="CI336" s="11"/>
      <c r="CJ336" s="11"/>
      <c r="CK336" s="15"/>
      <c r="CL336" s="11"/>
      <c r="CM336" s="11"/>
      <c r="CN336" s="11"/>
      <c r="CO336" s="11"/>
      <c r="CP336" s="28"/>
      <c r="CQ336" s="28"/>
      <c r="CR336" s="11"/>
      <c r="CS336" s="29"/>
      <c r="CT336" s="11"/>
      <c r="CU336" s="11"/>
      <c r="CV336" s="11"/>
      <c r="CW336" s="11"/>
      <c r="CX336" s="11"/>
      <c r="CY336" s="11"/>
      <c r="CZ336" s="11"/>
      <c r="DA336" s="28"/>
      <c r="DB336" s="28"/>
      <c r="DC336" s="11"/>
      <c r="DD336" s="29"/>
      <c r="DE336" s="11"/>
      <c r="DF336" s="11"/>
      <c r="DG336" s="11"/>
      <c r="DH336" s="11"/>
      <c r="DI336" s="11"/>
      <c r="DJ336" s="11"/>
      <c r="DK336" s="26"/>
      <c r="DL336" s="11"/>
      <c r="DM336" s="29"/>
      <c r="DN336" s="28"/>
      <c r="DO336" s="11"/>
      <c r="DP336" s="11"/>
      <c r="DQ336" s="11"/>
      <c r="DR336" s="29"/>
      <c r="DS336" s="28"/>
      <c r="DT336" s="11"/>
      <c r="DU336" s="26"/>
      <c r="DV336" s="11"/>
      <c r="DW336" s="29"/>
      <c r="DX336" s="28"/>
      <c r="DY336" s="11"/>
      <c r="DZ336" s="26"/>
      <c r="EA336" s="11"/>
      <c r="EB336" s="29"/>
      <c r="EC336" s="28"/>
      <c r="ED336" s="30"/>
      <c r="EE336" s="30" t="str">
        <f ca="1">IFERROR(__xludf.DUMMYFUNCTION("iferror(index(filter('Internal -- Trademark Countries'!E$2:E1000, (AM336 = 'Internal -- Trademark Countries'!B$2:B1000) + (AM336 = 'Internal -- Trademark Countries'!C$2:C1000) + (AM336 = 'Internal -- Trademark Countries'!D$2:D1000)), 1))"),"")</f>
        <v/>
      </c>
      <c r="EF336" s="30" t="e">
        <f ca="1">_xludf.ifs(AM336="", "", COUNTIF('Internal -- Trademark Countries'!B:B,AM336) &gt; 0, "polity_shortest_name", COUNTIF('Internal -- Trademark Countries'!C:C,AM336) &gt; 0, "polity_full_name", COUNTIF('Internal -- Trademark Countries'!D:D,AM336) &gt; 0, "polity_common_name", COUNTIF('Internal -- Trademark Countries'!E:E,AM336) &gt; 0, "shortest_name", COUNTIF('Internal -- Trademark Countries'!A:A,AM336) &gt; 0, "full_name", TRUE, "not a match")</f>
        <v>#NAME?</v>
      </c>
      <c r="EG336" s="30"/>
      <c r="EH336" s="30"/>
      <c r="EI336" s="30"/>
      <c r="EJ336" s="30"/>
      <c r="EK336" s="30" t="str">
        <f t="shared" si="3"/>
        <v/>
      </c>
    </row>
    <row r="337" spans="1:141" ht="16.5">
      <c r="A337" s="11"/>
      <c r="B337" s="11"/>
      <c r="C337" s="11"/>
      <c r="D337" s="11"/>
      <c r="E337" s="11"/>
      <c r="F337" s="11"/>
      <c r="G337" s="11"/>
      <c r="H337" s="11"/>
      <c r="I337" s="11"/>
      <c r="J337" s="11"/>
      <c r="K337" s="27"/>
      <c r="L337" s="11"/>
      <c r="M337" s="11"/>
      <c r="N337" s="11"/>
      <c r="O337" s="11"/>
      <c r="P337" s="15"/>
      <c r="Q337" s="15"/>
      <c r="R337" s="15"/>
      <c r="S337" s="15"/>
      <c r="T337" s="15"/>
      <c r="U337" s="15"/>
      <c r="V337" s="15"/>
      <c r="W337" s="47"/>
      <c r="X337" s="11"/>
      <c r="Y337" s="48"/>
      <c r="Z337" s="11"/>
      <c r="AA337" s="48"/>
      <c r="AB337" s="11"/>
      <c r="AC337" s="48"/>
      <c r="AD337" s="11"/>
      <c r="AE337" s="47"/>
      <c r="AF337" s="11"/>
      <c r="AG337" s="48"/>
      <c r="AH337" s="11"/>
      <c r="AI337" s="48"/>
      <c r="AJ337" s="11"/>
      <c r="AK337" s="48"/>
      <c r="AL337" s="11"/>
      <c r="AM337" s="49"/>
      <c r="AN337" s="49"/>
      <c r="AO337" s="11"/>
      <c r="AP337" s="11"/>
      <c r="AQ337" s="28" t="b">
        <f>IF(COUNTIF(SmartStatus!A$2:A1000, AM337) &gt; 2, TRUE, FALSE)</f>
        <v>0</v>
      </c>
      <c r="AR337" s="29" t="str">
        <f ca="1">IFERROR(__xludf.DUMMYFUNCTION("iferror(if(regexmatch(AO337, ""(?i)^registered""), if(EE337 &lt;&gt; ""polity_shortest_name"", ""CHECK_POLITY"", index(filter(SmartStatus!B$2:B1000, AM337 = SmartStatus!A$2:A1000, not(SmartStatus!C$2:C1000), (isblank(SmartStatus!D$2:D1000)) + ((P337 &lt;&gt; """") * "&amp;"(P337 &lt; SmartStatus!D$2:D1000)), (isblank(SmartStatus!E$2:E1000)) + ((P337 &lt;&gt; """") * (P337 &gt;= SmartStatus!E$2:E1000)), (isblank(SmartStatus!F$2:F1000)) + (((Q337 &lt;&gt; """") * (Q337 &lt; SmartStatus!F$2:F1000)) + ((P337 &lt;&gt; """") * (date(year(P337) + 3, month(P"&amp;"337), day(P337)) &lt; SmartStatus!F$2:F1000))), (isblank(SmartStatus!G$2:G1000)) + (((Q337 &lt;&gt; """") * (Q337 &gt;= SmartStatus!G$2:G1000)) + ((P337 &lt;&gt; """") * (P337 &gt;= SmartStatus!G$2:G1000)))), if(or(regexmatch(B337, ""(?i)^ir [a-z]+ designation$""), N337 &lt;&gt; """&amp;"""), 1, 2))), """"), ""NO_MATCH"")"),"")</f>
        <v/>
      </c>
      <c r="AS337" s="11"/>
      <c r="AT337" s="15"/>
      <c r="AU337" s="11"/>
      <c r="AV337" s="11"/>
      <c r="AW337" s="15"/>
      <c r="AX337" s="15"/>
      <c r="AY337" s="15"/>
      <c r="AZ337" s="11"/>
      <c r="BA337" s="15"/>
      <c r="BB337" s="11"/>
      <c r="BC337" s="11"/>
      <c r="BD337" s="15"/>
      <c r="BE337" s="11"/>
      <c r="BF337" s="11"/>
      <c r="BG337" s="15"/>
      <c r="BH337" s="15"/>
      <c r="BI337" s="15"/>
      <c r="BJ337" s="11"/>
      <c r="BK337" s="15"/>
      <c r="BL337" s="11"/>
      <c r="BM337" s="11"/>
      <c r="BN337" s="15"/>
      <c r="BO337" s="11"/>
      <c r="BP337" s="11"/>
      <c r="BQ337" s="15"/>
      <c r="BR337" s="15"/>
      <c r="BS337" s="15"/>
      <c r="BT337" s="11"/>
      <c r="BU337" s="15"/>
      <c r="BV337" s="11"/>
      <c r="BW337" s="11"/>
      <c r="BX337" s="15"/>
      <c r="BY337" s="11"/>
      <c r="BZ337" s="11"/>
      <c r="CA337" s="15"/>
      <c r="CB337" s="11"/>
      <c r="CC337" s="15"/>
      <c r="CD337" s="11"/>
      <c r="CE337" s="15"/>
      <c r="CF337" s="11"/>
      <c r="CG337" s="11"/>
      <c r="CH337" s="15"/>
      <c r="CI337" s="11"/>
      <c r="CJ337" s="11"/>
      <c r="CK337" s="15"/>
      <c r="CL337" s="11"/>
      <c r="CM337" s="11"/>
      <c r="CN337" s="11"/>
      <c r="CO337" s="11"/>
      <c r="CP337" s="28"/>
      <c r="CQ337" s="28"/>
      <c r="CR337" s="11"/>
      <c r="CS337" s="29"/>
      <c r="CT337" s="11"/>
      <c r="CU337" s="11"/>
      <c r="CV337" s="11"/>
      <c r="CW337" s="11"/>
      <c r="CX337" s="11"/>
      <c r="CY337" s="11"/>
      <c r="CZ337" s="11"/>
      <c r="DA337" s="28"/>
      <c r="DB337" s="28"/>
      <c r="DC337" s="11"/>
      <c r="DD337" s="29"/>
      <c r="DE337" s="11"/>
      <c r="DF337" s="11"/>
      <c r="DG337" s="11"/>
      <c r="DH337" s="11"/>
      <c r="DI337" s="11"/>
      <c r="DJ337" s="11"/>
      <c r="DK337" s="26"/>
      <c r="DL337" s="11"/>
      <c r="DM337" s="29"/>
      <c r="DN337" s="28"/>
      <c r="DO337" s="11"/>
      <c r="DP337" s="11"/>
      <c r="DQ337" s="11"/>
      <c r="DR337" s="29"/>
      <c r="DS337" s="28"/>
      <c r="DT337" s="11"/>
      <c r="DU337" s="26"/>
      <c r="DV337" s="11"/>
      <c r="DW337" s="29"/>
      <c r="DX337" s="28"/>
      <c r="DY337" s="11"/>
      <c r="DZ337" s="26"/>
      <c r="EA337" s="11"/>
      <c r="EB337" s="29"/>
      <c r="EC337" s="28"/>
      <c r="ED337" s="30"/>
      <c r="EE337" s="30" t="str">
        <f ca="1">IFERROR(__xludf.DUMMYFUNCTION("iferror(index(filter('Internal -- Trademark Countries'!E$2:E1000, (AM337 = 'Internal -- Trademark Countries'!B$2:B1000) + (AM337 = 'Internal -- Trademark Countries'!C$2:C1000) + (AM337 = 'Internal -- Trademark Countries'!D$2:D1000)), 1))"),"")</f>
        <v/>
      </c>
      <c r="EF337" s="30" t="e">
        <f ca="1">_xludf.ifs(AM337="", "", COUNTIF('Internal -- Trademark Countries'!B:B,AM337) &gt; 0, "polity_shortest_name", COUNTIF('Internal -- Trademark Countries'!C:C,AM337) &gt; 0, "polity_full_name", COUNTIF('Internal -- Trademark Countries'!D:D,AM337) &gt; 0, "polity_common_name", COUNTIF('Internal -- Trademark Countries'!E:E,AM337) &gt; 0, "shortest_name", COUNTIF('Internal -- Trademark Countries'!A:A,AM337) &gt; 0, "full_name", TRUE, "not a match")</f>
        <v>#NAME?</v>
      </c>
      <c r="EG337" s="30"/>
      <c r="EH337" s="30"/>
      <c r="EI337" s="30"/>
      <c r="EJ337" s="30"/>
      <c r="EK337" s="30" t="str">
        <f t="shared" si="3"/>
        <v/>
      </c>
    </row>
    <row r="338" spans="1:141" ht="16.5">
      <c r="A338" s="11"/>
      <c r="B338" s="11"/>
      <c r="C338" s="11"/>
      <c r="D338" s="11"/>
      <c r="E338" s="11"/>
      <c r="F338" s="11"/>
      <c r="G338" s="11"/>
      <c r="H338" s="11"/>
      <c r="I338" s="11"/>
      <c r="J338" s="11"/>
      <c r="K338" s="27"/>
      <c r="L338" s="11"/>
      <c r="M338" s="11"/>
      <c r="N338" s="11"/>
      <c r="O338" s="11"/>
      <c r="P338" s="15"/>
      <c r="Q338" s="15"/>
      <c r="R338" s="15"/>
      <c r="S338" s="15"/>
      <c r="T338" s="15"/>
      <c r="U338" s="15"/>
      <c r="V338" s="15"/>
      <c r="W338" s="47"/>
      <c r="X338" s="11"/>
      <c r="Y338" s="48"/>
      <c r="Z338" s="11"/>
      <c r="AA338" s="48"/>
      <c r="AB338" s="11"/>
      <c r="AC338" s="48"/>
      <c r="AD338" s="11"/>
      <c r="AE338" s="47"/>
      <c r="AF338" s="11"/>
      <c r="AG338" s="48"/>
      <c r="AH338" s="11"/>
      <c r="AI338" s="48"/>
      <c r="AJ338" s="11"/>
      <c r="AK338" s="48"/>
      <c r="AL338" s="11"/>
      <c r="AM338" s="49"/>
      <c r="AN338" s="49"/>
      <c r="AO338" s="11"/>
      <c r="AP338" s="11"/>
      <c r="AQ338" s="28" t="b">
        <f>IF(COUNTIF(SmartStatus!A$2:A1000, AM338) &gt; 2, TRUE, FALSE)</f>
        <v>0</v>
      </c>
      <c r="AR338" s="29" t="str">
        <f ca="1">IFERROR(__xludf.DUMMYFUNCTION("iferror(if(regexmatch(AO338, ""(?i)^registered""), if(EE338 &lt;&gt; ""polity_shortest_name"", ""CHECK_POLITY"", index(filter(SmartStatus!B$2:B1000, AM338 = SmartStatus!A$2:A1000, not(SmartStatus!C$2:C1000), (isblank(SmartStatus!D$2:D1000)) + ((P338 &lt;&gt; """") * "&amp;"(P338 &lt; SmartStatus!D$2:D1000)), (isblank(SmartStatus!E$2:E1000)) + ((P338 &lt;&gt; """") * (P338 &gt;= SmartStatus!E$2:E1000)), (isblank(SmartStatus!F$2:F1000)) + (((Q338 &lt;&gt; """") * (Q338 &lt; SmartStatus!F$2:F1000)) + ((P338 &lt;&gt; """") * (date(year(P338) + 3, month(P"&amp;"338), day(P338)) &lt; SmartStatus!F$2:F1000))), (isblank(SmartStatus!G$2:G1000)) + (((Q338 &lt;&gt; """") * (Q338 &gt;= SmartStatus!G$2:G1000)) + ((P338 &lt;&gt; """") * (P338 &gt;= SmartStatus!G$2:G1000)))), if(or(regexmatch(B338, ""(?i)^ir [a-z]+ designation$""), N338 &lt;&gt; """&amp;"""), 1, 2))), """"), ""NO_MATCH"")"),"")</f>
        <v/>
      </c>
      <c r="AS338" s="11"/>
      <c r="AT338" s="15"/>
      <c r="AU338" s="11"/>
      <c r="AV338" s="11"/>
      <c r="AW338" s="15"/>
      <c r="AX338" s="15"/>
      <c r="AY338" s="15"/>
      <c r="AZ338" s="11"/>
      <c r="BA338" s="15"/>
      <c r="BB338" s="11"/>
      <c r="BC338" s="11"/>
      <c r="BD338" s="15"/>
      <c r="BE338" s="11"/>
      <c r="BF338" s="11"/>
      <c r="BG338" s="15"/>
      <c r="BH338" s="15"/>
      <c r="BI338" s="15"/>
      <c r="BJ338" s="11"/>
      <c r="BK338" s="15"/>
      <c r="BL338" s="11"/>
      <c r="BM338" s="11"/>
      <c r="BN338" s="15"/>
      <c r="BO338" s="11"/>
      <c r="BP338" s="11"/>
      <c r="BQ338" s="15"/>
      <c r="BR338" s="15"/>
      <c r="BS338" s="15"/>
      <c r="BT338" s="11"/>
      <c r="BU338" s="15"/>
      <c r="BV338" s="11"/>
      <c r="BW338" s="11"/>
      <c r="BX338" s="15"/>
      <c r="BY338" s="11"/>
      <c r="BZ338" s="11"/>
      <c r="CA338" s="15"/>
      <c r="CB338" s="11"/>
      <c r="CC338" s="15"/>
      <c r="CD338" s="11"/>
      <c r="CE338" s="15"/>
      <c r="CF338" s="11"/>
      <c r="CG338" s="11"/>
      <c r="CH338" s="15"/>
      <c r="CI338" s="11"/>
      <c r="CJ338" s="11"/>
      <c r="CK338" s="15"/>
      <c r="CL338" s="11"/>
      <c r="CM338" s="11"/>
      <c r="CN338" s="11"/>
      <c r="CO338" s="11"/>
      <c r="CP338" s="28"/>
      <c r="CQ338" s="28"/>
      <c r="CR338" s="11"/>
      <c r="CS338" s="29"/>
      <c r="CT338" s="11"/>
      <c r="CU338" s="11"/>
      <c r="CV338" s="11"/>
      <c r="CW338" s="11"/>
      <c r="CX338" s="11"/>
      <c r="CY338" s="11"/>
      <c r="CZ338" s="11"/>
      <c r="DA338" s="28"/>
      <c r="DB338" s="28"/>
      <c r="DC338" s="11"/>
      <c r="DD338" s="29"/>
      <c r="DE338" s="11"/>
      <c r="DF338" s="11"/>
      <c r="DG338" s="11"/>
      <c r="DH338" s="11"/>
      <c r="DI338" s="11"/>
      <c r="DJ338" s="11"/>
      <c r="DK338" s="26"/>
      <c r="DL338" s="11"/>
      <c r="DM338" s="29"/>
      <c r="DN338" s="28"/>
      <c r="DO338" s="11"/>
      <c r="DP338" s="11"/>
      <c r="DQ338" s="11"/>
      <c r="DR338" s="29"/>
      <c r="DS338" s="28"/>
      <c r="DT338" s="11"/>
      <c r="DU338" s="26"/>
      <c r="DV338" s="11"/>
      <c r="DW338" s="29"/>
      <c r="DX338" s="28"/>
      <c r="DY338" s="11"/>
      <c r="DZ338" s="26"/>
      <c r="EA338" s="11"/>
      <c r="EB338" s="29"/>
      <c r="EC338" s="28"/>
      <c r="ED338" s="30"/>
      <c r="EE338" s="30" t="str">
        <f ca="1">IFERROR(__xludf.DUMMYFUNCTION("iferror(index(filter('Internal -- Trademark Countries'!E$2:E1000, (AM338 = 'Internal -- Trademark Countries'!B$2:B1000) + (AM338 = 'Internal -- Trademark Countries'!C$2:C1000) + (AM338 = 'Internal -- Trademark Countries'!D$2:D1000)), 1))"),"")</f>
        <v/>
      </c>
      <c r="EF338" s="30" t="e">
        <f ca="1">_xludf.ifs(AM338="", "", COUNTIF('Internal -- Trademark Countries'!B:B,AM338) &gt; 0, "polity_shortest_name", COUNTIF('Internal -- Trademark Countries'!C:C,AM338) &gt; 0, "polity_full_name", COUNTIF('Internal -- Trademark Countries'!D:D,AM338) &gt; 0, "polity_common_name", COUNTIF('Internal -- Trademark Countries'!E:E,AM338) &gt; 0, "shortest_name", COUNTIF('Internal -- Trademark Countries'!A:A,AM338) &gt; 0, "full_name", TRUE, "not a match")</f>
        <v>#NAME?</v>
      </c>
      <c r="EG338" s="30"/>
      <c r="EH338" s="30"/>
      <c r="EI338" s="30"/>
      <c r="EJ338" s="30"/>
      <c r="EK338" s="30" t="str">
        <f t="shared" si="3"/>
        <v/>
      </c>
    </row>
    <row r="339" spans="1:141" ht="16.5">
      <c r="A339" s="11"/>
      <c r="B339" s="11"/>
      <c r="C339" s="11"/>
      <c r="D339" s="11"/>
      <c r="E339" s="11"/>
      <c r="F339" s="11"/>
      <c r="G339" s="11"/>
      <c r="H339" s="11"/>
      <c r="I339" s="11"/>
      <c r="J339" s="11"/>
      <c r="K339" s="27"/>
      <c r="L339" s="11"/>
      <c r="M339" s="11"/>
      <c r="N339" s="11"/>
      <c r="O339" s="11"/>
      <c r="P339" s="15"/>
      <c r="Q339" s="15"/>
      <c r="R339" s="15"/>
      <c r="S339" s="15"/>
      <c r="T339" s="15"/>
      <c r="U339" s="15"/>
      <c r="V339" s="15"/>
      <c r="W339" s="47"/>
      <c r="X339" s="11"/>
      <c r="Y339" s="48"/>
      <c r="Z339" s="11"/>
      <c r="AA339" s="48"/>
      <c r="AB339" s="11"/>
      <c r="AC339" s="48"/>
      <c r="AD339" s="11"/>
      <c r="AE339" s="47"/>
      <c r="AF339" s="11"/>
      <c r="AG339" s="48"/>
      <c r="AH339" s="11"/>
      <c r="AI339" s="48"/>
      <c r="AJ339" s="11"/>
      <c r="AK339" s="48"/>
      <c r="AL339" s="11"/>
      <c r="AM339" s="49"/>
      <c r="AN339" s="49"/>
      <c r="AO339" s="11"/>
      <c r="AP339" s="11"/>
      <c r="AQ339" s="28" t="b">
        <f>IF(COUNTIF(SmartStatus!A$2:A1000, AM339) &gt; 2, TRUE, FALSE)</f>
        <v>0</v>
      </c>
      <c r="AR339" s="29" t="str">
        <f ca="1">IFERROR(__xludf.DUMMYFUNCTION("iferror(if(regexmatch(AO339, ""(?i)^registered""), if(EE339 &lt;&gt; ""polity_shortest_name"", ""CHECK_POLITY"", index(filter(SmartStatus!B$2:B1000, AM339 = SmartStatus!A$2:A1000, not(SmartStatus!C$2:C1000), (isblank(SmartStatus!D$2:D1000)) + ((P339 &lt;&gt; """") * "&amp;"(P339 &lt; SmartStatus!D$2:D1000)), (isblank(SmartStatus!E$2:E1000)) + ((P339 &lt;&gt; """") * (P339 &gt;= SmartStatus!E$2:E1000)), (isblank(SmartStatus!F$2:F1000)) + (((Q339 &lt;&gt; """") * (Q339 &lt; SmartStatus!F$2:F1000)) + ((P339 &lt;&gt; """") * (date(year(P339) + 3, month(P"&amp;"339), day(P339)) &lt; SmartStatus!F$2:F1000))), (isblank(SmartStatus!G$2:G1000)) + (((Q339 &lt;&gt; """") * (Q339 &gt;= SmartStatus!G$2:G1000)) + ((P339 &lt;&gt; """") * (P339 &gt;= SmartStatus!G$2:G1000)))), if(or(regexmatch(B339, ""(?i)^ir [a-z]+ designation$""), N339 &lt;&gt; """&amp;"""), 1, 2))), """"), ""NO_MATCH"")"),"")</f>
        <v/>
      </c>
      <c r="AS339" s="11"/>
      <c r="AT339" s="15"/>
      <c r="AU339" s="11"/>
      <c r="AV339" s="11"/>
      <c r="AW339" s="15"/>
      <c r="AX339" s="15"/>
      <c r="AY339" s="15"/>
      <c r="AZ339" s="11"/>
      <c r="BA339" s="15"/>
      <c r="BB339" s="11"/>
      <c r="BC339" s="11"/>
      <c r="BD339" s="15"/>
      <c r="BE339" s="11"/>
      <c r="BF339" s="11"/>
      <c r="BG339" s="15"/>
      <c r="BH339" s="15"/>
      <c r="BI339" s="15"/>
      <c r="BJ339" s="11"/>
      <c r="BK339" s="15"/>
      <c r="BL339" s="11"/>
      <c r="BM339" s="11"/>
      <c r="BN339" s="15"/>
      <c r="BO339" s="11"/>
      <c r="BP339" s="11"/>
      <c r="BQ339" s="15"/>
      <c r="BR339" s="15"/>
      <c r="BS339" s="15"/>
      <c r="BT339" s="11"/>
      <c r="BU339" s="15"/>
      <c r="BV339" s="11"/>
      <c r="BW339" s="11"/>
      <c r="BX339" s="15"/>
      <c r="BY339" s="11"/>
      <c r="BZ339" s="11"/>
      <c r="CA339" s="15"/>
      <c r="CB339" s="11"/>
      <c r="CC339" s="15"/>
      <c r="CD339" s="11"/>
      <c r="CE339" s="15"/>
      <c r="CF339" s="11"/>
      <c r="CG339" s="11"/>
      <c r="CH339" s="15"/>
      <c r="CI339" s="11"/>
      <c r="CJ339" s="11"/>
      <c r="CK339" s="15"/>
      <c r="CL339" s="11"/>
      <c r="CM339" s="11"/>
      <c r="CN339" s="11"/>
      <c r="CO339" s="11"/>
      <c r="CP339" s="28"/>
      <c r="CQ339" s="28"/>
      <c r="CR339" s="11"/>
      <c r="CS339" s="29"/>
      <c r="CT339" s="11"/>
      <c r="CU339" s="11"/>
      <c r="CV339" s="11"/>
      <c r="CW339" s="11"/>
      <c r="CX339" s="11"/>
      <c r="CY339" s="11"/>
      <c r="CZ339" s="11"/>
      <c r="DA339" s="28"/>
      <c r="DB339" s="28"/>
      <c r="DC339" s="11"/>
      <c r="DD339" s="29"/>
      <c r="DE339" s="11"/>
      <c r="DF339" s="11"/>
      <c r="DG339" s="11"/>
      <c r="DH339" s="11"/>
      <c r="DI339" s="11"/>
      <c r="DJ339" s="11"/>
      <c r="DK339" s="26"/>
      <c r="DL339" s="11"/>
      <c r="DM339" s="29"/>
      <c r="DN339" s="28"/>
      <c r="DO339" s="11"/>
      <c r="DP339" s="11"/>
      <c r="DQ339" s="11"/>
      <c r="DR339" s="29"/>
      <c r="DS339" s="28"/>
      <c r="DT339" s="11"/>
      <c r="DU339" s="26"/>
      <c r="DV339" s="11"/>
      <c r="DW339" s="29"/>
      <c r="DX339" s="28"/>
      <c r="DY339" s="11"/>
      <c r="DZ339" s="26"/>
      <c r="EA339" s="11"/>
      <c r="EB339" s="29"/>
      <c r="EC339" s="28"/>
      <c r="ED339" s="30"/>
      <c r="EE339" s="30" t="str">
        <f ca="1">IFERROR(__xludf.DUMMYFUNCTION("iferror(index(filter('Internal -- Trademark Countries'!E$2:E1000, (AM339 = 'Internal -- Trademark Countries'!B$2:B1000) + (AM339 = 'Internal -- Trademark Countries'!C$2:C1000) + (AM339 = 'Internal -- Trademark Countries'!D$2:D1000)), 1))"),"")</f>
        <v/>
      </c>
      <c r="EF339" s="30" t="e">
        <f ca="1">_xludf.ifs(AM339="", "", COUNTIF('Internal -- Trademark Countries'!B:B,AM339) &gt; 0, "polity_shortest_name", COUNTIF('Internal -- Trademark Countries'!C:C,AM339) &gt; 0, "polity_full_name", COUNTIF('Internal -- Trademark Countries'!D:D,AM339) &gt; 0, "polity_common_name", COUNTIF('Internal -- Trademark Countries'!E:E,AM339) &gt; 0, "shortest_name", COUNTIF('Internal -- Trademark Countries'!A:A,AM339) &gt; 0, "full_name", TRUE, "not a match")</f>
        <v>#NAME?</v>
      </c>
      <c r="EG339" s="30"/>
      <c r="EH339" s="30"/>
      <c r="EI339" s="30"/>
      <c r="EJ339" s="30"/>
      <c r="EK339" s="30" t="str">
        <f t="shared" si="3"/>
        <v/>
      </c>
    </row>
    <row r="340" spans="1:141" ht="16.5">
      <c r="A340" s="11"/>
      <c r="B340" s="11"/>
      <c r="C340" s="11"/>
      <c r="D340" s="11"/>
      <c r="E340" s="11"/>
      <c r="F340" s="11"/>
      <c r="G340" s="11"/>
      <c r="H340" s="11"/>
      <c r="I340" s="11"/>
      <c r="J340" s="11"/>
      <c r="K340" s="27"/>
      <c r="L340" s="11"/>
      <c r="M340" s="11"/>
      <c r="N340" s="11"/>
      <c r="O340" s="11"/>
      <c r="P340" s="15"/>
      <c r="Q340" s="15"/>
      <c r="R340" s="15"/>
      <c r="S340" s="15"/>
      <c r="T340" s="15"/>
      <c r="U340" s="15"/>
      <c r="V340" s="15"/>
      <c r="W340" s="47"/>
      <c r="X340" s="11"/>
      <c r="Y340" s="48"/>
      <c r="Z340" s="11"/>
      <c r="AA340" s="48"/>
      <c r="AB340" s="11"/>
      <c r="AC340" s="48"/>
      <c r="AD340" s="11"/>
      <c r="AE340" s="47"/>
      <c r="AF340" s="11"/>
      <c r="AG340" s="48"/>
      <c r="AH340" s="11"/>
      <c r="AI340" s="48"/>
      <c r="AJ340" s="11"/>
      <c r="AK340" s="48"/>
      <c r="AL340" s="11"/>
      <c r="AM340" s="49"/>
      <c r="AN340" s="49"/>
      <c r="AO340" s="11"/>
      <c r="AP340" s="11"/>
      <c r="AQ340" s="28" t="b">
        <f>IF(COUNTIF(SmartStatus!A$2:A1000, AM340) &gt; 2, TRUE, FALSE)</f>
        <v>0</v>
      </c>
      <c r="AR340" s="29" t="str">
        <f ca="1">IFERROR(__xludf.DUMMYFUNCTION("iferror(if(regexmatch(AO340, ""(?i)^registered""), if(EE340 &lt;&gt; ""polity_shortest_name"", ""CHECK_POLITY"", index(filter(SmartStatus!B$2:B1000, AM340 = SmartStatus!A$2:A1000, not(SmartStatus!C$2:C1000), (isblank(SmartStatus!D$2:D1000)) + ((P340 &lt;&gt; """") * "&amp;"(P340 &lt; SmartStatus!D$2:D1000)), (isblank(SmartStatus!E$2:E1000)) + ((P340 &lt;&gt; """") * (P340 &gt;= SmartStatus!E$2:E1000)), (isblank(SmartStatus!F$2:F1000)) + (((Q340 &lt;&gt; """") * (Q340 &lt; SmartStatus!F$2:F1000)) + ((P340 &lt;&gt; """") * (date(year(P340) + 3, month(P"&amp;"340), day(P340)) &lt; SmartStatus!F$2:F1000))), (isblank(SmartStatus!G$2:G1000)) + (((Q340 &lt;&gt; """") * (Q340 &gt;= SmartStatus!G$2:G1000)) + ((P340 &lt;&gt; """") * (P340 &gt;= SmartStatus!G$2:G1000)))), if(or(regexmatch(B340, ""(?i)^ir [a-z]+ designation$""), N340 &lt;&gt; """&amp;"""), 1, 2))), """"), ""NO_MATCH"")"),"")</f>
        <v/>
      </c>
      <c r="AS340" s="11"/>
      <c r="AT340" s="15"/>
      <c r="AU340" s="11"/>
      <c r="AV340" s="11"/>
      <c r="AW340" s="15"/>
      <c r="AX340" s="15"/>
      <c r="AY340" s="15"/>
      <c r="AZ340" s="11"/>
      <c r="BA340" s="15"/>
      <c r="BB340" s="11"/>
      <c r="BC340" s="11"/>
      <c r="BD340" s="15"/>
      <c r="BE340" s="11"/>
      <c r="BF340" s="11"/>
      <c r="BG340" s="15"/>
      <c r="BH340" s="15"/>
      <c r="BI340" s="15"/>
      <c r="BJ340" s="11"/>
      <c r="BK340" s="15"/>
      <c r="BL340" s="11"/>
      <c r="BM340" s="11"/>
      <c r="BN340" s="15"/>
      <c r="BO340" s="11"/>
      <c r="BP340" s="11"/>
      <c r="BQ340" s="15"/>
      <c r="BR340" s="15"/>
      <c r="BS340" s="15"/>
      <c r="BT340" s="11"/>
      <c r="BU340" s="15"/>
      <c r="BV340" s="11"/>
      <c r="BW340" s="11"/>
      <c r="BX340" s="15"/>
      <c r="BY340" s="11"/>
      <c r="BZ340" s="11"/>
      <c r="CA340" s="15"/>
      <c r="CB340" s="11"/>
      <c r="CC340" s="15"/>
      <c r="CD340" s="11"/>
      <c r="CE340" s="15"/>
      <c r="CF340" s="11"/>
      <c r="CG340" s="11"/>
      <c r="CH340" s="15"/>
      <c r="CI340" s="11"/>
      <c r="CJ340" s="11"/>
      <c r="CK340" s="15"/>
      <c r="CL340" s="11"/>
      <c r="CM340" s="11"/>
      <c r="CN340" s="11"/>
      <c r="CO340" s="11"/>
      <c r="CP340" s="28"/>
      <c r="CQ340" s="28"/>
      <c r="CR340" s="11"/>
      <c r="CS340" s="29"/>
      <c r="CT340" s="11"/>
      <c r="CU340" s="11"/>
      <c r="CV340" s="11"/>
      <c r="CW340" s="11"/>
      <c r="CX340" s="11"/>
      <c r="CY340" s="11"/>
      <c r="CZ340" s="11"/>
      <c r="DA340" s="28"/>
      <c r="DB340" s="28"/>
      <c r="DC340" s="11"/>
      <c r="DD340" s="29"/>
      <c r="DE340" s="11"/>
      <c r="DF340" s="11"/>
      <c r="DG340" s="11"/>
      <c r="DH340" s="11"/>
      <c r="DI340" s="11"/>
      <c r="DJ340" s="11"/>
      <c r="DK340" s="26"/>
      <c r="DL340" s="11"/>
      <c r="DM340" s="29"/>
      <c r="DN340" s="28"/>
      <c r="DO340" s="11"/>
      <c r="DP340" s="11"/>
      <c r="DQ340" s="11"/>
      <c r="DR340" s="29"/>
      <c r="DS340" s="28"/>
      <c r="DT340" s="11"/>
      <c r="DU340" s="26"/>
      <c r="DV340" s="11"/>
      <c r="DW340" s="29"/>
      <c r="DX340" s="28"/>
      <c r="DY340" s="11"/>
      <c r="DZ340" s="26"/>
      <c r="EA340" s="11"/>
      <c r="EB340" s="29"/>
      <c r="EC340" s="28"/>
      <c r="ED340" s="30"/>
      <c r="EE340" s="30" t="str">
        <f ca="1">IFERROR(__xludf.DUMMYFUNCTION("iferror(index(filter('Internal -- Trademark Countries'!E$2:E1000, (AM340 = 'Internal -- Trademark Countries'!B$2:B1000) + (AM340 = 'Internal -- Trademark Countries'!C$2:C1000) + (AM340 = 'Internal -- Trademark Countries'!D$2:D1000)), 1))"),"")</f>
        <v/>
      </c>
      <c r="EF340" s="30" t="e">
        <f ca="1">_xludf.ifs(AM340="", "", COUNTIF('Internal -- Trademark Countries'!B:B,AM340) &gt; 0, "polity_shortest_name", COUNTIF('Internal -- Trademark Countries'!C:C,AM340) &gt; 0, "polity_full_name", COUNTIF('Internal -- Trademark Countries'!D:D,AM340) &gt; 0, "polity_common_name", COUNTIF('Internal -- Trademark Countries'!E:E,AM340) &gt; 0, "shortest_name", COUNTIF('Internal -- Trademark Countries'!A:A,AM340) &gt; 0, "full_name", TRUE, "not a match")</f>
        <v>#NAME?</v>
      </c>
      <c r="EG340" s="30"/>
      <c r="EH340" s="30"/>
      <c r="EI340" s="30"/>
      <c r="EJ340" s="30"/>
      <c r="EK340" s="30" t="str">
        <f t="shared" si="3"/>
        <v/>
      </c>
    </row>
    <row r="341" spans="1:141" ht="16.5">
      <c r="A341" s="11"/>
      <c r="B341" s="11"/>
      <c r="C341" s="11"/>
      <c r="D341" s="11"/>
      <c r="E341" s="11"/>
      <c r="F341" s="11"/>
      <c r="G341" s="11"/>
      <c r="H341" s="11"/>
      <c r="I341" s="11"/>
      <c r="J341" s="11"/>
      <c r="K341" s="27"/>
      <c r="L341" s="11"/>
      <c r="M341" s="11"/>
      <c r="N341" s="11"/>
      <c r="O341" s="11"/>
      <c r="P341" s="15"/>
      <c r="Q341" s="15"/>
      <c r="R341" s="15"/>
      <c r="S341" s="15"/>
      <c r="T341" s="15"/>
      <c r="U341" s="15"/>
      <c r="V341" s="15"/>
      <c r="W341" s="47"/>
      <c r="X341" s="11"/>
      <c r="Y341" s="48"/>
      <c r="Z341" s="11"/>
      <c r="AA341" s="48"/>
      <c r="AB341" s="11"/>
      <c r="AC341" s="48"/>
      <c r="AD341" s="11"/>
      <c r="AE341" s="47"/>
      <c r="AF341" s="11"/>
      <c r="AG341" s="48"/>
      <c r="AH341" s="11"/>
      <c r="AI341" s="48"/>
      <c r="AJ341" s="11"/>
      <c r="AK341" s="48"/>
      <c r="AL341" s="11"/>
      <c r="AM341" s="49"/>
      <c r="AN341" s="49"/>
      <c r="AO341" s="11"/>
      <c r="AP341" s="11"/>
      <c r="AQ341" s="28" t="b">
        <f>IF(COUNTIF(SmartStatus!A$2:A1000, AM341) &gt; 2, TRUE, FALSE)</f>
        <v>0</v>
      </c>
      <c r="AR341" s="29" t="str">
        <f ca="1">IFERROR(__xludf.DUMMYFUNCTION("iferror(if(regexmatch(AO341, ""(?i)^registered""), if(EE341 &lt;&gt; ""polity_shortest_name"", ""CHECK_POLITY"", index(filter(SmartStatus!B$2:B1000, AM341 = SmartStatus!A$2:A1000, not(SmartStatus!C$2:C1000), (isblank(SmartStatus!D$2:D1000)) + ((P341 &lt;&gt; """") * "&amp;"(P341 &lt; SmartStatus!D$2:D1000)), (isblank(SmartStatus!E$2:E1000)) + ((P341 &lt;&gt; """") * (P341 &gt;= SmartStatus!E$2:E1000)), (isblank(SmartStatus!F$2:F1000)) + (((Q341 &lt;&gt; """") * (Q341 &lt; SmartStatus!F$2:F1000)) + ((P341 &lt;&gt; """") * (date(year(P341) + 3, month(P"&amp;"341), day(P341)) &lt; SmartStatus!F$2:F1000))), (isblank(SmartStatus!G$2:G1000)) + (((Q341 &lt;&gt; """") * (Q341 &gt;= SmartStatus!G$2:G1000)) + ((P341 &lt;&gt; """") * (P341 &gt;= SmartStatus!G$2:G1000)))), if(or(regexmatch(B341, ""(?i)^ir [a-z]+ designation$""), N341 &lt;&gt; """&amp;"""), 1, 2))), """"), ""NO_MATCH"")"),"")</f>
        <v/>
      </c>
      <c r="AS341" s="11"/>
      <c r="AT341" s="15"/>
      <c r="AU341" s="11"/>
      <c r="AV341" s="11"/>
      <c r="AW341" s="15"/>
      <c r="AX341" s="15"/>
      <c r="AY341" s="15"/>
      <c r="AZ341" s="11"/>
      <c r="BA341" s="15"/>
      <c r="BB341" s="11"/>
      <c r="BC341" s="11"/>
      <c r="BD341" s="15"/>
      <c r="BE341" s="11"/>
      <c r="BF341" s="11"/>
      <c r="BG341" s="15"/>
      <c r="BH341" s="15"/>
      <c r="BI341" s="15"/>
      <c r="BJ341" s="11"/>
      <c r="BK341" s="15"/>
      <c r="BL341" s="11"/>
      <c r="BM341" s="11"/>
      <c r="BN341" s="15"/>
      <c r="BO341" s="11"/>
      <c r="BP341" s="11"/>
      <c r="BQ341" s="15"/>
      <c r="BR341" s="15"/>
      <c r="BS341" s="15"/>
      <c r="BT341" s="11"/>
      <c r="BU341" s="15"/>
      <c r="BV341" s="11"/>
      <c r="BW341" s="11"/>
      <c r="BX341" s="15"/>
      <c r="BY341" s="11"/>
      <c r="BZ341" s="11"/>
      <c r="CA341" s="15"/>
      <c r="CB341" s="11"/>
      <c r="CC341" s="15"/>
      <c r="CD341" s="11"/>
      <c r="CE341" s="15"/>
      <c r="CF341" s="11"/>
      <c r="CG341" s="11"/>
      <c r="CH341" s="15"/>
      <c r="CI341" s="11"/>
      <c r="CJ341" s="11"/>
      <c r="CK341" s="15"/>
      <c r="CL341" s="11"/>
      <c r="CM341" s="11"/>
      <c r="CN341" s="11"/>
      <c r="CO341" s="11"/>
      <c r="CP341" s="28"/>
      <c r="CQ341" s="28"/>
      <c r="CR341" s="11"/>
      <c r="CS341" s="29"/>
      <c r="CT341" s="11"/>
      <c r="CU341" s="11"/>
      <c r="CV341" s="11"/>
      <c r="CW341" s="11"/>
      <c r="CX341" s="11"/>
      <c r="CY341" s="11"/>
      <c r="CZ341" s="11"/>
      <c r="DA341" s="28"/>
      <c r="DB341" s="28"/>
      <c r="DC341" s="11"/>
      <c r="DD341" s="29"/>
      <c r="DE341" s="11"/>
      <c r="DF341" s="11"/>
      <c r="DG341" s="11"/>
      <c r="DH341" s="11"/>
      <c r="DI341" s="11"/>
      <c r="DJ341" s="11"/>
      <c r="DK341" s="26"/>
      <c r="DL341" s="11"/>
      <c r="DM341" s="29"/>
      <c r="DN341" s="28"/>
      <c r="DO341" s="11"/>
      <c r="DP341" s="11"/>
      <c r="DQ341" s="11"/>
      <c r="DR341" s="29"/>
      <c r="DS341" s="28"/>
      <c r="DT341" s="11"/>
      <c r="DU341" s="26"/>
      <c r="DV341" s="11"/>
      <c r="DW341" s="29"/>
      <c r="DX341" s="28"/>
      <c r="DY341" s="11"/>
      <c r="DZ341" s="26"/>
      <c r="EA341" s="11"/>
      <c r="EB341" s="29"/>
      <c r="EC341" s="28"/>
      <c r="ED341" s="30"/>
      <c r="EE341" s="30" t="str">
        <f ca="1">IFERROR(__xludf.DUMMYFUNCTION("iferror(index(filter('Internal -- Trademark Countries'!E$2:E1000, (AM341 = 'Internal -- Trademark Countries'!B$2:B1000) + (AM341 = 'Internal -- Trademark Countries'!C$2:C1000) + (AM341 = 'Internal -- Trademark Countries'!D$2:D1000)), 1))"),"")</f>
        <v/>
      </c>
      <c r="EF341" s="30" t="e">
        <f ca="1">_xludf.ifs(AM341="", "", COUNTIF('Internal -- Trademark Countries'!B:B,AM341) &gt; 0, "polity_shortest_name", COUNTIF('Internal -- Trademark Countries'!C:C,AM341) &gt; 0, "polity_full_name", COUNTIF('Internal -- Trademark Countries'!D:D,AM341) &gt; 0, "polity_common_name", COUNTIF('Internal -- Trademark Countries'!E:E,AM341) &gt; 0, "shortest_name", COUNTIF('Internal -- Trademark Countries'!A:A,AM341) &gt; 0, "full_name", TRUE, "not a match")</f>
        <v>#NAME?</v>
      </c>
      <c r="EG341" s="30"/>
      <c r="EH341" s="30"/>
      <c r="EI341" s="30"/>
      <c r="EJ341" s="30"/>
      <c r="EK341" s="30" t="str">
        <f t="shared" si="3"/>
        <v/>
      </c>
    </row>
    <row r="342" spans="1:141" ht="16.5">
      <c r="A342" s="11"/>
      <c r="B342" s="11"/>
      <c r="C342" s="11"/>
      <c r="D342" s="11"/>
      <c r="E342" s="11"/>
      <c r="F342" s="11"/>
      <c r="G342" s="11"/>
      <c r="H342" s="11"/>
      <c r="I342" s="11"/>
      <c r="J342" s="11"/>
      <c r="K342" s="27"/>
      <c r="L342" s="11"/>
      <c r="M342" s="11"/>
      <c r="N342" s="11"/>
      <c r="O342" s="11"/>
      <c r="P342" s="15"/>
      <c r="Q342" s="15"/>
      <c r="R342" s="15"/>
      <c r="S342" s="15"/>
      <c r="T342" s="15"/>
      <c r="U342" s="15"/>
      <c r="V342" s="15"/>
      <c r="W342" s="47"/>
      <c r="X342" s="11"/>
      <c r="Y342" s="48"/>
      <c r="Z342" s="11"/>
      <c r="AA342" s="48"/>
      <c r="AB342" s="11"/>
      <c r="AC342" s="48"/>
      <c r="AD342" s="11"/>
      <c r="AE342" s="47"/>
      <c r="AF342" s="11"/>
      <c r="AG342" s="48"/>
      <c r="AH342" s="11"/>
      <c r="AI342" s="48"/>
      <c r="AJ342" s="11"/>
      <c r="AK342" s="48"/>
      <c r="AL342" s="11"/>
      <c r="AM342" s="49"/>
      <c r="AN342" s="49"/>
      <c r="AO342" s="11"/>
      <c r="AP342" s="11"/>
      <c r="AQ342" s="28" t="b">
        <f>IF(COUNTIF(SmartStatus!A$2:A1000, AM342) &gt; 2, TRUE, FALSE)</f>
        <v>0</v>
      </c>
      <c r="AR342" s="29" t="str">
        <f ca="1">IFERROR(__xludf.DUMMYFUNCTION("iferror(if(regexmatch(AO342, ""(?i)^registered""), if(EE342 &lt;&gt; ""polity_shortest_name"", ""CHECK_POLITY"", index(filter(SmartStatus!B$2:B1000, AM342 = SmartStatus!A$2:A1000, not(SmartStatus!C$2:C1000), (isblank(SmartStatus!D$2:D1000)) + ((P342 &lt;&gt; """") * "&amp;"(P342 &lt; SmartStatus!D$2:D1000)), (isblank(SmartStatus!E$2:E1000)) + ((P342 &lt;&gt; """") * (P342 &gt;= SmartStatus!E$2:E1000)), (isblank(SmartStatus!F$2:F1000)) + (((Q342 &lt;&gt; """") * (Q342 &lt; SmartStatus!F$2:F1000)) + ((P342 &lt;&gt; """") * (date(year(P342) + 3, month(P"&amp;"342), day(P342)) &lt; SmartStatus!F$2:F1000))), (isblank(SmartStatus!G$2:G1000)) + (((Q342 &lt;&gt; """") * (Q342 &gt;= SmartStatus!G$2:G1000)) + ((P342 &lt;&gt; """") * (P342 &gt;= SmartStatus!G$2:G1000)))), if(or(regexmatch(B342, ""(?i)^ir [a-z]+ designation$""), N342 &lt;&gt; """&amp;"""), 1, 2))), """"), ""NO_MATCH"")"),"")</f>
        <v/>
      </c>
      <c r="AS342" s="11"/>
      <c r="AT342" s="15"/>
      <c r="AU342" s="11"/>
      <c r="AV342" s="11"/>
      <c r="AW342" s="15"/>
      <c r="AX342" s="15"/>
      <c r="AY342" s="15"/>
      <c r="AZ342" s="11"/>
      <c r="BA342" s="15"/>
      <c r="BB342" s="11"/>
      <c r="BC342" s="11"/>
      <c r="BD342" s="15"/>
      <c r="BE342" s="11"/>
      <c r="BF342" s="11"/>
      <c r="BG342" s="15"/>
      <c r="BH342" s="15"/>
      <c r="BI342" s="15"/>
      <c r="BJ342" s="11"/>
      <c r="BK342" s="15"/>
      <c r="BL342" s="11"/>
      <c r="BM342" s="11"/>
      <c r="BN342" s="15"/>
      <c r="BO342" s="11"/>
      <c r="BP342" s="11"/>
      <c r="BQ342" s="15"/>
      <c r="BR342" s="15"/>
      <c r="BS342" s="15"/>
      <c r="BT342" s="11"/>
      <c r="BU342" s="15"/>
      <c r="BV342" s="11"/>
      <c r="BW342" s="11"/>
      <c r="BX342" s="15"/>
      <c r="BY342" s="11"/>
      <c r="BZ342" s="11"/>
      <c r="CA342" s="15"/>
      <c r="CB342" s="11"/>
      <c r="CC342" s="15"/>
      <c r="CD342" s="11"/>
      <c r="CE342" s="15"/>
      <c r="CF342" s="11"/>
      <c r="CG342" s="11"/>
      <c r="CH342" s="15"/>
      <c r="CI342" s="11"/>
      <c r="CJ342" s="11"/>
      <c r="CK342" s="15"/>
      <c r="CL342" s="11"/>
      <c r="CM342" s="11"/>
      <c r="CN342" s="11"/>
      <c r="CO342" s="11"/>
      <c r="CP342" s="28"/>
      <c r="CQ342" s="28"/>
      <c r="CR342" s="11"/>
      <c r="CS342" s="29"/>
      <c r="CT342" s="11"/>
      <c r="CU342" s="11"/>
      <c r="CV342" s="11"/>
      <c r="CW342" s="11"/>
      <c r="CX342" s="11"/>
      <c r="CY342" s="11"/>
      <c r="CZ342" s="11"/>
      <c r="DA342" s="28"/>
      <c r="DB342" s="28"/>
      <c r="DC342" s="11"/>
      <c r="DD342" s="29"/>
      <c r="DE342" s="11"/>
      <c r="DF342" s="11"/>
      <c r="DG342" s="11"/>
      <c r="DH342" s="11"/>
      <c r="DI342" s="11"/>
      <c r="DJ342" s="11"/>
      <c r="DK342" s="26"/>
      <c r="DL342" s="11"/>
      <c r="DM342" s="29"/>
      <c r="DN342" s="28"/>
      <c r="DO342" s="11"/>
      <c r="DP342" s="11"/>
      <c r="DQ342" s="11"/>
      <c r="DR342" s="29"/>
      <c r="DS342" s="28"/>
      <c r="DT342" s="11"/>
      <c r="DU342" s="26"/>
      <c r="DV342" s="11"/>
      <c r="DW342" s="29"/>
      <c r="DX342" s="28"/>
      <c r="DY342" s="11"/>
      <c r="DZ342" s="26"/>
      <c r="EA342" s="11"/>
      <c r="EB342" s="29"/>
      <c r="EC342" s="28"/>
      <c r="ED342" s="30"/>
      <c r="EE342" s="30" t="str">
        <f ca="1">IFERROR(__xludf.DUMMYFUNCTION("iferror(index(filter('Internal -- Trademark Countries'!E$2:E1000, (AM342 = 'Internal -- Trademark Countries'!B$2:B1000) + (AM342 = 'Internal -- Trademark Countries'!C$2:C1000) + (AM342 = 'Internal -- Trademark Countries'!D$2:D1000)), 1))"),"")</f>
        <v/>
      </c>
      <c r="EF342" s="30" t="e">
        <f ca="1">_xludf.ifs(AM342="", "", COUNTIF('Internal -- Trademark Countries'!B:B,AM342) &gt; 0, "polity_shortest_name", COUNTIF('Internal -- Trademark Countries'!C:C,AM342) &gt; 0, "polity_full_name", COUNTIF('Internal -- Trademark Countries'!D:D,AM342) &gt; 0, "polity_common_name", COUNTIF('Internal -- Trademark Countries'!E:E,AM342) &gt; 0, "shortest_name", COUNTIF('Internal -- Trademark Countries'!A:A,AM342) &gt; 0, "full_name", TRUE, "not a match")</f>
        <v>#NAME?</v>
      </c>
      <c r="EG342" s="30"/>
      <c r="EH342" s="30"/>
      <c r="EI342" s="30"/>
      <c r="EJ342" s="30"/>
      <c r="EK342" s="30" t="str">
        <f t="shared" si="3"/>
        <v/>
      </c>
    </row>
    <row r="343" spans="1:141" ht="16.5">
      <c r="A343" s="11"/>
      <c r="B343" s="11"/>
      <c r="C343" s="11"/>
      <c r="D343" s="11"/>
      <c r="E343" s="11"/>
      <c r="F343" s="11"/>
      <c r="G343" s="11"/>
      <c r="H343" s="11"/>
      <c r="I343" s="11"/>
      <c r="J343" s="11"/>
      <c r="K343" s="27"/>
      <c r="L343" s="11"/>
      <c r="M343" s="11"/>
      <c r="N343" s="11"/>
      <c r="O343" s="11"/>
      <c r="P343" s="15"/>
      <c r="Q343" s="15"/>
      <c r="R343" s="15"/>
      <c r="S343" s="15"/>
      <c r="T343" s="15"/>
      <c r="U343" s="15"/>
      <c r="V343" s="15"/>
      <c r="W343" s="47"/>
      <c r="X343" s="11"/>
      <c r="Y343" s="48"/>
      <c r="Z343" s="11"/>
      <c r="AA343" s="48"/>
      <c r="AB343" s="11"/>
      <c r="AC343" s="48"/>
      <c r="AD343" s="11"/>
      <c r="AE343" s="47"/>
      <c r="AF343" s="11"/>
      <c r="AG343" s="48"/>
      <c r="AH343" s="11"/>
      <c r="AI343" s="48"/>
      <c r="AJ343" s="11"/>
      <c r="AK343" s="48"/>
      <c r="AL343" s="11"/>
      <c r="AM343" s="49"/>
      <c r="AN343" s="49"/>
      <c r="AO343" s="11"/>
      <c r="AP343" s="11"/>
      <c r="AQ343" s="28" t="b">
        <f>IF(COUNTIF(SmartStatus!A$2:A1000, AM343) &gt; 2, TRUE, FALSE)</f>
        <v>0</v>
      </c>
      <c r="AR343" s="29" t="str">
        <f ca="1">IFERROR(__xludf.DUMMYFUNCTION("iferror(if(regexmatch(AO343, ""(?i)^registered""), if(EE343 &lt;&gt; ""polity_shortest_name"", ""CHECK_POLITY"", index(filter(SmartStatus!B$2:B1000, AM343 = SmartStatus!A$2:A1000, not(SmartStatus!C$2:C1000), (isblank(SmartStatus!D$2:D1000)) + ((P343 &lt;&gt; """") * "&amp;"(P343 &lt; SmartStatus!D$2:D1000)), (isblank(SmartStatus!E$2:E1000)) + ((P343 &lt;&gt; """") * (P343 &gt;= SmartStatus!E$2:E1000)), (isblank(SmartStatus!F$2:F1000)) + (((Q343 &lt;&gt; """") * (Q343 &lt; SmartStatus!F$2:F1000)) + ((P343 &lt;&gt; """") * (date(year(P343) + 3, month(P"&amp;"343), day(P343)) &lt; SmartStatus!F$2:F1000))), (isblank(SmartStatus!G$2:G1000)) + (((Q343 &lt;&gt; """") * (Q343 &gt;= SmartStatus!G$2:G1000)) + ((P343 &lt;&gt; """") * (P343 &gt;= SmartStatus!G$2:G1000)))), if(or(regexmatch(B343, ""(?i)^ir [a-z]+ designation$""), N343 &lt;&gt; """&amp;"""), 1, 2))), """"), ""NO_MATCH"")"),"")</f>
        <v/>
      </c>
      <c r="AS343" s="11"/>
      <c r="AT343" s="15"/>
      <c r="AU343" s="11"/>
      <c r="AV343" s="11"/>
      <c r="AW343" s="15"/>
      <c r="AX343" s="15"/>
      <c r="AY343" s="15"/>
      <c r="AZ343" s="11"/>
      <c r="BA343" s="15"/>
      <c r="BB343" s="11"/>
      <c r="BC343" s="11"/>
      <c r="BD343" s="15"/>
      <c r="BE343" s="11"/>
      <c r="BF343" s="11"/>
      <c r="BG343" s="15"/>
      <c r="BH343" s="15"/>
      <c r="BI343" s="15"/>
      <c r="BJ343" s="11"/>
      <c r="BK343" s="15"/>
      <c r="BL343" s="11"/>
      <c r="BM343" s="11"/>
      <c r="BN343" s="15"/>
      <c r="BO343" s="11"/>
      <c r="BP343" s="11"/>
      <c r="BQ343" s="15"/>
      <c r="BR343" s="15"/>
      <c r="BS343" s="15"/>
      <c r="BT343" s="11"/>
      <c r="BU343" s="15"/>
      <c r="BV343" s="11"/>
      <c r="BW343" s="11"/>
      <c r="BX343" s="15"/>
      <c r="BY343" s="11"/>
      <c r="BZ343" s="11"/>
      <c r="CA343" s="15"/>
      <c r="CB343" s="11"/>
      <c r="CC343" s="15"/>
      <c r="CD343" s="11"/>
      <c r="CE343" s="15"/>
      <c r="CF343" s="11"/>
      <c r="CG343" s="11"/>
      <c r="CH343" s="15"/>
      <c r="CI343" s="11"/>
      <c r="CJ343" s="11"/>
      <c r="CK343" s="15"/>
      <c r="CL343" s="11"/>
      <c r="CM343" s="11"/>
      <c r="CN343" s="11"/>
      <c r="CO343" s="11"/>
      <c r="CP343" s="28"/>
      <c r="CQ343" s="28"/>
      <c r="CR343" s="11"/>
      <c r="CS343" s="29"/>
      <c r="CT343" s="11"/>
      <c r="CU343" s="11"/>
      <c r="CV343" s="11"/>
      <c r="CW343" s="11"/>
      <c r="CX343" s="11"/>
      <c r="CY343" s="11"/>
      <c r="CZ343" s="11"/>
      <c r="DA343" s="28"/>
      <c r="DB343" s="28"/>
      <c r="DC343" s="11"/>
      <c r="DD343" s="29"/>
      <c r="DE343" s="11"/>
      <c r="DF343" s="11"/>
      <c r="DG343" s="11"/>
      <c r="DH343" s="11"/>
      <c r="DI343" s="11"/>
      <c r="DJ343" s="11"/>
      <c r="DK343" s="26"/>
      <c r="DL343" s="11"/>
      <c r="DM343" s="29"/>
      <c r="DN343" s="28"/>
      <c r="DO343" s="11"/>
      <c r="DP343" s="11"/>
      <c r="DQ343" s="11"/>
      <c r="DR343" s="29"/>
      <c r="DS343" s="28"/>
      <c r="DT343" s="11"/>
      <c r="DU343" s="26"/>
      <c r="DV343" s="11"/>
      <c r="DW343" s="29"/>
      <c r="DX343" s="28"/>
      <c r="DY343" s="11"/>
      <c r="DZ343" s="26"/>
      <c r="EA343" s="11"/>
      <c r="EB343" s="29"/>
      <c r="EC343" s="28"/>
      <c r="ED343" s="30"/>
      <c r="EE343" s="30" t="str">
        <f ca="1">IFERROR(__xludf.DUMMYFUNCTION("iferror(index(filter('Internal -- Trademark Countries'!E$2:E1000, (AM343 = 'Internal -- Trademark Countries'!B$2:B1000) + (AM343 = 'Internal -- Trademark Countries'!C$2:C1000) + (AM343 = 'Internal -- Trademark Countries'!D$2:D1000)), 1))"),"")</f>
        <v/>
      </c>
      <c r="EF343" s="30" t="e">
        <f ca="1">_xludf.ifs(AM343="", "", COUNTIF('Internal -- Trademark Countries'!B:B,AM343) &gt; 0, "polity_shortest_name", COUNTIF('Internal -- Trademark Countries'!C:C,AM343) &gt; 0, "polity_full_name", COUNTIF('Internal -- Trademark Countries'!D:D,AM343) &gt; 0, "polity_common_name", COUNTIF('Internal -- Trademark Countries'!E:E,AM343) &gt; 0, "shortest_name", COUNTIF('Internal -- Trademark Countries'!A:A,AM343) &gt; 0, "full_name", TRUE, "not a match")</f>
        <v>#NAME?</v>
      </c>
      <c r="EG343" s="30"/>
      <c r="EH343" s="30"/>
      <c r="EI343" s="30"/>
      <c r="EJ343" s="30"/>
      <c r="EK343" s="30" t="str">
        <f t="shared" si="3"/>
        <v/>
      </c>
    </row>
    <row r="344" spans="1:141" ht="16.5">
      <c r="A344" s="11"/>
      <c r="B344" s="11"/>
      <c r="C344" s="11"/>
      <c r="D344" s="11"/>
      <c r="E344" s="11"/>
      <c r="F344" s="11"/>
      <c r="G344" s="11"/>
      <c r="H344" s="11"/>
      <c r="I344" s="11"/>
      <c r="J344" s="11"/>
      <c r="K344" s="27"/>
      <c r="L344" s="11"/>
      <c r="M344" s="11"/>
      <c r="N344" s="11"/>
      <c r="O344" s="11"/>
      <c r="P344" s="15"/>
      <c r="Q344" s="15"/>
      <c r="R344" s="15"/>
      <c r="S344" s="15"/>
      <c r="T344" s="15"/>
      <c r="U344" s="15"/>
      <c r="V344" s="15"/>
      <c r="W344" s="47"/>
      <c r="X344" s="11"/>
      <c r="Y344" s="48"/>
      <c r="Z344" s="11"/>
      <c r="AA344" s="48"/>
      <c r="AB344" s="11"/>
      <c r="AC344" s="48"/>
      <c r="AD344" s="11"/>
      <c r="AE344" s="47"/>
      <c r="AF344" s="11"/>
      <c r="AG344" s="48"/>
      <c r="AH344" s="11"/>
      <c r="AI344" s="48"/>
      <c r="AJ344" s="11"/>
      <c r="AK344" s="48"/>
      <c r="AL344" s="11"/>
      <c r="AM344" s="49"/>
      <c r="AN344" s="49"/>
      <c r="AO344" s="11"/>
      <c r="AP344" s="11"/>
      <c r="AQ344" s="28" t="b">
        <f>IF(COUNTIF(SmartStatus!A$2:A1000, AM344) &gt; 2, TRUE, FALSE)</f>
        <v>0</v>
      </c>
      <c r="AR344" s="29" t="str">
        <f ca="1">IFERROR(__xludf.DUMMYFUNCTION("iferror(if(regexmatch(AO344, ""(?i)^registered""), if(EE344 &lt;&gt; ""polity_shortest_name"", ""CHECK_POLITY"", index(filter(SmartStatus!B$2:B1000, AM344 = SmartStatus!A$2:A1000, not(SmartStatus!C$2:C1000), (isblank(SmartStatus!D$2:D1000)) + ((P344 &lt;&gt; """") * "&amp;"(P344 &lt; SmartStatus!D$2:D1000)), (isblank(SmartStatus!E$2:E1000)) + ((P344 &lt;&gt; """") * (P344 &gt;= SmartStatus!E$2:E1000)), (isblank(SmartStatus!F$2:F1000)) + (((Q344 &lt;&gt; """") * (Q344 &lt; SmartStatus!F$2:F1000)) + ((P344 &lt;&gt; """") * (date(year(P344) + 3, month(P"&amp;"344), day(P344)) &lt; SmartStatus!F$2:F1000))), (isblank(SmartStatus!G$2:G1000)) + (((Q344 &lt;&gt; """") * (Q344 &gt;= SmartStatus!G$2:G1000)) + ((P344 &lt;&gt; """") * (P344 &gt;= SmartStatus!G$2:G1000)))), if(or(regexmatch(B344, ""(?i)^ir [a-z]+ designation$""), N344 &lt;&gt; """&amp;"""), 1, 2))), """"), ""NO_MATCH"")"),"")</f>
        <v/>
      </c>
      <c r="AS344" s="11"/>
      <c r="AT344" s="15"/>
      <c r="AU344" s="11"/>
      <c r="AV344" s="11"/>
      <c r="AW344" s="15"/>
      <c r="AX344" s="15"/>
      <c r="AY344" s="15"/>
      <c r="AZ344" s="11"/>
      <c r="BA344" s="15"/>
      <c r="BB344" s="11"/>
      <c r="BC344" s="11"/>
      <c r="BD344" s="15"/>
      <c r="BE344" s="11"/>
      <c r="BF344" s="11"/>
      <c r="BG344" s="15"/>
      <c r="BH344" s="15"/>
      <c r="BI344" s="15"/>
      <c r="BJ344" s="11"/>
      <c r="BK344" s="15"/>
      <c r="BL344" s="11"/>
      <c r="BM344" s="11"/>
      <c r="BN344" s="15"/>
      <c r="BO344" s="11"/>
      <c r="BP344" s="11"/>
      <c r="BQ344" s="15"/>
      <c r="BR344" s="15"/>
      <c r="BS344" s="15"/>
      <c r="BT344" s="11"/>
      <c r="BU344" s="15"/>
      <c r="BV344" s="11"/>
      <c r="BW344" s="11"/>
      <c r="BX344" s="15"/>
      <c r="BY344" s="11"/>
      <c r="BZ344" s="11"/>
      <c r="CA344" s="15"/>
      <c r="CB344" s="11"/>
      <c r="CC344" s="15"/>
      <c r="CD344" s="11"/>
      <c r="CE344" s="15"/>
      <c r="CF344" s="11"/>
      <c r="CG344" s="11"/>
      <c r="CH344" s="15"/>
      <c r="CI344" s="11"/>
      <c r="CJ344" s="11"/>
      <c r="CK344" s="15"/>
      <c r="CL344" s="11"/>
      <c r="CM344" s="11"/>
      <c r="CN344" s="11"/>
      <c r="CO344" s="11"/>
      <c r="CP344" s="28"/>
      <c r="CQ344" s="28"/>
      <c r="CR344" s="11"/>
      <c r="CS344" s="29"/>
      <c r="CT344" s="11"/>
      <c r="CU344" s="11"/>
      <c r="CV344" s="11"/>
      <c r="CW344" s="11"/>
      <c r="CX344" s="11"/>
      <c r="CY344" s="11"/>
      <c r="CZ344" s="11"/>
      <c r="DA344" s="28"/>
      <c r="DB344" s="28"/>
      <c r="DC344" s="11"/>
      <c r="DD344" s="29"/>
      <c r="DE344" s="11"/>
      <c r="DF344" s="11"/>
      <c r="DG344" s="11"/>
      <c r="DH344" s="11"/>
      <c r="DI344" s="11"/>
      <c r="DJ344" s="11"/>
      <c r="DK344" s="26"/>
      <c r="DL344" s="11"/>
      <c r="DM344" s="29"/>
      <c r="DN344" s="28"/>
      <c r="DO344" s="11"/>
      <c r="DP344" s="11"/>
      <c r="DQ344" s="11"/>
      <c r="DR344" s="29"/>
      <c r="DS344" s="28"/>
      <c r="DT344" s="11"/>
      <c r="DU344" s="26"/>
      <c r="DV344" s="11"/>
      <c r="DW344" s="29"/>
      <c r="DX344" s="28"/>
      <c r="DY344" s="11"/>
      <c r="DZ344" s="26"/>
      <c r="EA344" s="11"/>
      <c r="EB344" s="29"/>
      <c r="EC344" s="28"/>
      <c r="ED344" s="30"/>
      <c r="EE344" s="30" t="str">
        <f ca="1">IFERROR(__xludf.DUMMYFUNCTION("iferror(index(filter('Internal -- Trademark Countries'!E$2:E1000, (AM344 = 'Internal -- Trademark Countries'!B$2:B1000) + (AM344 = 'Internal -- Trademark Countries'!C$2:C1000) + (AM344 = 'Internal -- Trademark Countries'!D$2:D1000)), 1))"),"")</f>
        <v/>
      </c>
      <c r="EF344" s="30" t="e">
        <f ca="1">_xludf.ifs(AM344="", "", COUNTIF('Internal -- Trademark Countries'!B:B,AM344) &gt; 0, "polity_shortest_name", COUNTIF('Internal -- Trademark Countries'!C:C,AM344) &gt; 0, "polity_full_name", COUNTIF('Internal -- Trademark Countries'!D:D,AM344) &gt; 0, "polity_common_name", COUNTIF('Internal -- Trademark Countries'!E:E,AM344) &gt; 0, "shortest_name", COUNTIF('Internal -- Trademark Countries'!A:A,AM344) &gt; 0, "full_name", TRUE, "not a match")</f>
        <v>#NAME?</v>
      </c>
      <c r="EG344" s="30"/>
      <c r="EH344" s="30"/>
      <c r="EI344" s="30"/>
      <c r="EJ344" s="30"/>
      <c r="EK344" s="30" t="str">
        <f t="shared" si="3"/>
        <v/>
      </c>
    </row>
    <row r="345" spans="1:141" ht="16.5">
      <c r="A345" s="11"/>
      <c r="B345" s="11"/>
      <c r="C345" s="11"/>
      <c r="D345" s="11"/>
      <c r="E345" s="11"/>
      <c r="F345" s="11"/>
      <c r="G345" s="11"/>
      <c r="H345" s="11"/>
      <c r="I345" s="11"/>
      <c r="J345" s="11"/>
      <c r="K345" s="27"/>
      <c r="L345" s="11"/>
      <c r="M345" s="11"/>
      <c r="N345" s="11"/>
      <c r="O345" s="11"/>
      <c r="P345" s="15"/>
      <c r="Q345" s="15"/>
      <c r="R345" s="15"/>
      <c r="S345" s="15"/>
      <c r="T345" s="15"/>
      <c r="U345" s="15"/>
      <c r="V345" s="15"/>
      <c r="W345" s="47"/>
      <c r="X345" s="11"/>
      <c r="Y345" s="48"/>
      <c r="Z345" s="11"/>
      <c r="AA345" s="48"/>
      <c r="AB345" s="11"/>
      <c r="AC345" s="48"/>
      <c r="AD345" s="11"/>
      <c r="AE345" s="47"/>
      <c r="AF345" s="11"/>
      <c r="AG345" s="48"/>
      <c r="AH345" s="11"/>
      <c r="AI345" s="48"/>
      <c r="AJ345" s="11"/>
      <c r="AK345" s="48"/>
      <c r="AL345" s="11"/>
      <c r="AM345" s="49"/>
      <c r="AN345" s="49"/>
      <c r="AO345" s="11"/>
      <c r="AP345" s="11"/>
      <c r="AQ345" s="28" t="b">
        <f>IF(COUNTIF(SmartStatus!A$2:A1000, AM345) &gt; 2, TRUE, FALSE)</f>
        <v>0</v>
      </c>
      <c r="AR345" s="29" t="str">
        <f ca="1">IFERROR(__xludf.DUMMYFUNCTION("iferror(if(regexmatch(AO345, ""(?i)^registered""), if(EE345 &lt;&gt; ""polity_shortest_name"", ""CHECK_POLITY"", index(filter(SmartStatus!B$2:B1000, AM345 = SmartStatus!A$2:A1000, not(SmartStatus!C$2:C1000), (isblank(SmartStatus!D$2:D1000)) + ((P345 &lt;&gt; """") * "&amp;"(P345 &lt; SmartStatus!D$2:D1000)), (isblank(SmartStatus!E$2:E1000)) + ((P345 &lt;&gt; """") * (P345 &gt;= SmartStatus!E$2:E1000)), (isblank(SmartStatus!F$2:F1000)) + (((Q345 &lt;&gt; """") * (Q345 &lt; SmartStatus!F$2:F1000)) + ((P345 &lt;&gt; """") * (date(year(P345) + 3, month(P"&amp;"345), day(P345)) &lt; SmartStatus!F$2:F1000))), (isblank(SmartStatus!G$2:G1000)) + (((Q345 &lt;&gt; """") * (Q345 &gt;= SmartStatus!G$2:G1000)) + ((P345 &lt;&gt; """") * (P345 &gt;= SmartStatus!G$2:G1000)))), if(or(regexmatch(B345, ""(?i)^ir [a-z]+ designation$""), N345 &lt;&gt; """&amp;"""), 1, 2))), """"), ""NO_MATCH"")"),"")</f>
        <v/>
      </c>
      <c r="AS345" s="11"/>
      <c r="AT345" s="15"/>
      <c r="AU345" s="11"/>
      <c r="AV345" s="11"/>
      <c r="AW345" s="15"/>
      <c r="AX345" s="15"/>
      <c r="AY345" s="15"/>
      <c r="AZ345" s="11"/>
      <c r="BA345" s="15"/>
      <c r="BB345" s="11"/>
      <c r="BC345" s="11"/>
      <c r="BD345" s="15"/>
      <c r="BE345" s="11"/>
      <c r="BF345" s="11"/>
      <c r="BG345" s="15"/>
      <c r="BH345" s="15"/>
      <c r="BI345" s="15"/>
      <c r="BJ345" s="11"/>
      <c r="BK345" s="15"/>
      <c r="BL345" s="11"/>
      <c r="BM345" s="11"/>
      <c r="BN345" s="15"/>
      <c r="BO345" s="11"/>
      <c r="BP345" s="11"/>
      <c r="BQ345" s="15"/>
      <c r="BR345" s="15"/>
      <c r="BS345" s="15"/>
      <c r="BT345" s="11"/>
      <c r="BU345" s="15"/>
      <c r="BV345" s="11"/>
      <c r="BW345" s="11"/>
      <c r="BX345" s="15"/>
      <c r="BY345" s="11"/>
      <c r="BZ345" s="11"/>
      <c r="CA345" s="15"/>
      <c r="CB345" s="11"/>
      <c r="CC345" s="15"/>
      <c r="CD345" s="11"/>
      <c r="CE345" s="15"/>
      <c r="CF345" s="11"/>
      <c r="CG345" s="11"/>
      <c r="CH345" s="15"/>
      <c r="CI345" s="11"/>
      <c r="CJ345" s="11"/>
      <c r="CK345" s="15"/>
      <c r="CL345" s="11"/>
      <c r="CM345" s="11"/>
      <c r="CN345" s="11"/>
      <c r="CO345" s="11"/>
      <c r="CP345" s="28"/>
      <c r="CQ345" s="28"/>
      <c r="CR345" s="11"/>
      <c r="CS345" s="29"/>
      <c r="CT345" s="11"/>
      <c r="CU345" s="11"/>
      <c r="CV345" s="11"/>
      <c r="CW345" s="11"/>
      <c r="CX345" s="11"/>
      <c r="CY345" s="11"/>
      <c r="CZ345" s="11"/>
      <c r="DA345" s="28"/>
      <c r="DB345" s="28"/>
      <c r="DC345" s="11"/>
      <c r="DD345" s="29"/>
      <c r="DE345" s="11"/>
      <c r="DF345" s="11"/>
      <c r="DG345" s="11"/>
      <c r="DH345" s="11"/>
      <c r="DI345" s="11"/>
      <c r="DJ345" s="11"/>
      <c r="DK345" s="26"/>
      <c r="DL345" s="11"/>
      <c r="DM345" s="29"/>
      <c r="DN345" s="28"/>
      <c r="DO345" s="11"/>
      <c r="DP345" s="11"/>
      <c r="DQ345" s="11"/>
      <c r="DR345" s="29"/>
      <c r="DS345" s="28"/>
      <c r="DT345" s="11"/>
      <c r="DU345" s="26"/>
      <c r="DV345" s="11"/>
      <c r="DW345" s="29"/>
      <c r="DX345" s="28"/>
      <c r="DY345" s="11"/>
      <c r="DZ345" s="26"/>
      <c r="EA345" s="11"/>
      <c r="EB345" s="29"/>
      <c r="EC345" s="28"/>
      <c r="ED345" s="30"/>
      <c r="EE345" s="30" t="str">
        <f ca="1">IFERROR(__xludf.DUMMYFUNCTION("iferror(index(filter('Internal -- Trademark Countries'!E$2:E1000, (AM345 = 'Internal -- Trademark Countries'!B$2:B1000) + (AM345 = 'Internal -- Trademark Countries'!C$2:C1000) + (AM345 = 'Internal -- Trademark Countries'!D$2:D1000)), 1))"),"")</f>
        <v/>
      </c>
      <c r="EF345" s="30" t="e">
        <f ca="1">_xludf.ifs(AM345="", "", COUNTIF('Internal -- Trademark Countries'!B:B,AM345) &gt; 0, "polity_shortest_name", COUNTIF('Internal -- Trademark Countries'!C:C,AM345) &gt; 0, "polity_full_name", COUNTIF('Internal -- Trademark Countries'!D:D,AM345) &gt; 0, "polity_common_name", COUNTIF('Internal -- Trademark Countries'!E:E,AM345) &gt; 0, "shortest_name", COUNTIF('Internal -- Trademark Countries'!A:A,AM345) &gt; 0, "full_name", TRUE, "not a match")</f>
        <v>#NAME?</v>
      </c>
      <c r="EG345" s="30"/>
      <c r="EH345" s="30"/>
      <c r="EI345" s="30"/>
      <c r="EJ345" s="30"/>
      <c r="EK345" s="30" t="str">
        <f t="shared" si="3"/>
        <v/>
      </c>
    </row>
    <row r="346" spans="1:141" ht="16.5">
      <c r="A346" s="11"/>
      <c r="B346" s="11"/>
      <c r="C346" s="11"/>
      <c r="D346" s="11"/>
      <c r="E346" s="11"/>
      <c r="F346" s="11"/>
      <c r="G346" s="11"/>
      <c r="H346" s="11"/>
      <c r="I346" s="11"/>
      <c r="J346" s="11"/>
      <c r="K346" s="27"/>
      <c r="L346" s="11"/>
      <c r="M346" s="11"/>
      <c r="N346" s="11"/>
      <c r="O346" s="11"/>
      <c r="P346" s="15"/>
      <c r="Q346" s="15"/>
      <c r="R346" s="15"/>
      <c r="S346" s="15"/>
      <c r="T346" s="15"/>
      <c r="U346" s="15"/>
      <c r="V346" s="15"/>
      <c r="W346" s="47"/>
      <c r="X346" s="11"/>
      <c r="Y346" s="48"/>
      <c r="Z346" s="11"/>
      <c r="AA346" s="48"/>
      <c r="AB346" s="11"/>
      <c r="AC346" s="48"/>
      <c r="AD346" s="11"/>
      <c r="AE346" s="47"/>
      <c r="AF346" s="11"/>
      <c r="AG346" s="48"/>
      <c r="AH346" s="11"/>
      <c r="AI346" s="48"/>
      <c r="AJ346" s="11"/>
      <c r="AK346" s="48"/>
      <c r="AL346" s="11"/>
      <c r="AM346" s="49"/>
      <c r="AN346" s="49"/>
      <c r="AO346" s="11"/>
      <c r="AP346" s="11"/>
      <c r="AQ346" s="28" t="b">
        <f>IF(COUNTIF(SmartStatus!A$2:A1000, AM346) &gt; 2, TRUE, FALSE)</f>
        <v>0</v>
      </c>
      <c r="AR346" s="29" t="str">
        <f ca="1">IFERROR(__xludf.DUMMYFUNCTION("iferror(if(regexmatch(AO346, ""(?i)^registered""), if(EE346 &lt;&gt; ""polity_shortest_name"", ""CHECK_POLITY"", index(filter(SmartStatus!B$2:B1000, AM346 = SmartStatus!A$2:A1000, not(SmartStatus!C$2:C1000), (isblank(SmartStatus!D$2:D1000)) + ((P346 &lt;&gt; """") * "&amp;"(P346 &lt; SmartStatus!D$2:D1000)), (isblank(SmartStatus!E$2:E1000)) + ((P346 &lt;&gt; """") * (P346 &gt;= SmartStatus!E$2:E1000)), (isblank(SmartStatus!F$2:F1000)) + (((Q346 &lt;&gt; """") * (Q346 &lt; SmartStatus!F$2:F1000)) + ((P346 &lt;&gt; """") * (date(year(P346) + 3, month(P"&amp;"346), day(P346)) &lt; SmartStatus!F$2:F1000))), (isblank(SmartStatus!G$2:G1000)) + (((Q346 &lt;&gt; """") * (Q346 &gt;= SmartStatus!G$2:G1000)) + ((P346 &lt;&gt; """") * (P346 &gt;= SmartStatus!G$2:G1000)))), if(or(regexmatch(B346, ""(?i)^ir [a-z]+ designation$""), N346 &lt;&gt; """&amp;"""), 1, 2))), """"), ""NO_MATCH"")"),"")</f>
        <v/>
      </c>
      <c r="AS346" s="11"/>
      <c r="AT346" s="15"/>
      <c r="AU346" s="11"/>
      <c r="AV346" s="11"/>
      <c r="AW346" s="15"/>
      <c r="AX346" s="15"/>
      <c r="AY346" s="15"/>
      <c r="AZ346" s="11"/>
      <c r="BA346" s="15"/>
      <c r="BB346" s="11"/>
      <c r="BC346" s="11"/>
      <c r="BD346" s="15"/>
      <c r="BE346" s="11"/>
      <c r="BF346" s="11"/>
      <c r="BG346" s="15"/>
      <c r="BH346" s="15"/>
      <c r="BI346" s="15"/>
      <c r="BJ346" s="11"/>
      <c r="BK346" s="15"/>
      <c r="BL346" s="11"/>
      <c r="BM346" s="11"/>
      <c r="BN346" s="15"/>
      <c r="BO346" s="11"/>
      <c r="BP346" s="11"/>
      <c r="BQ346" s="15"/>
      <c r="BR346" s="15"/>
      <c r="BS346" s="15"/>
      <c r="BT346" s="11"/>
      <c r="BU346" s="15"/>
      <c r="BV346" s="11"/>
      <c r="BW346" s="11"/>
      <c r="BX346" s="15"/>
      <c r="BY346" s="11"/>
      <c r="BZ346" s="11"/>
      <c r="CA346" s="15"/>
      <c r="CB346" s="11"/>
      <c r="CC346" s="15"/>
      <c r="CD346" s="11"/>
      <c r="CE346" s="15"/>
      <c r="CF346" s="11"/>
      <c r="CG346" s="11"/>
      <c r="CH346" s="15"/>
      <c r="CI346" s="11"/>
      <c r="CJ346" s="11"/>
      <c r="CK346" s="15"/>
      <c r="CL346" s="11"/>
      <c r="CM346" s="11"/>
      <c r="CN346" s="11"/>
      <c r="CO346" s="11"/>
      <c r="CP346" s="28"/>
      <c r="CQ346" s="28"/>
      <c r="CR346" s="11"/>
      <c r="CS346" s="29"/>
      <c r="CT346" s="11"/>
      <c r="CU346" s="11"/>
      <c r="CV346" s="11"/>
      <c r="CW346" s="11"/>
      <c r="CX346" s="11"/>
      <c r="CY346" s="11"/>
      <c r="CZ346" s="11"/>
      <c r="DA346" s="28"/>
      <c r="DB346" s="28"/>
      <c r="DC346" s="11"/>
      <c r="DD346" s="29"/>
      <c r="DE346" s="11"/>
      <c r="DF346" s="11"/>
      <c r="DG346" s="11"/>
      <c r="DH346" s="11"/>
      <c r="DI346" s="11"/>
      <c r="DJ346" s="11"/>
      <c r="DK346" s="26"/>
      <c r="DL346" s="11"/>
      <c r="DM346" s="29"/>
      <c r="DN346" s="28"/>
      <c r="DO346" s="11"/>
      <c r="DP346" s="11"/>
      <c r="DQ346" s="11"/>
      <c r="DR346" s="29"/>
      <c r="DS346" s="28"/>
      <c r="DT346" s="11"/>
      <c r="DU346" s="26"/>
      <c r="DV346" s="11"/>
      <c r="DW346" s="29"/>
      <c r="DX346" s="28"/>
      <c r="DY346" s="11"/>
      <c r="DZ346" s="26"/>
      <c r="EA346" s="11"/>
      <c r="EB346" s="29"/>
      <c r="EC346" s="28"/>
      <c r="ED346" s="30"/>
      <c r="EE346" s="30" t="str">
        <f ca="1">IFERROR(__xludf.DUMMYFUNCTION("iferror(index(filter('Internal -- Trademark Countries'!E$2:E1000, (AM346 = 'Internal -- Trademark Countries'!B$2:B1000) + (AM346 = 'Internal -- Trademark Countries'!C$2:C1000) + (AM346 = 'Internal -- Trademark Countries'!D$2:D1000)), 1))"),"")</f>
        <v/>
      </c>
      <c r="EF346" s="30" t="e">
        <f ca="1">_xludf.ifs(AM346="", "", COUNTIF('Internal -- Trademark Countries'!B:B,AM346) &gt; 0, "polity_shortest_name", COUNTIF('Internal -- Trademark Countries'!C:C,AM346) &gt; 0, "polity_full_name", COUNTIF('Internal -- Trademark Countries'!D:D,AM346) &gt; 0, "polity_common_name", COUNTIF('Internal -- Trademark Countries'!E:E,AM346) &gt; 0, "shortest_name", COUNTIF('Internal -- Trademark Countries'!A:A,AM346) &gt; 0, "full_name", TRUE, "not a match")</f>
        <v>#NAME?</v>
      </c>
      <c r="EG346" s="30"/>
      <c r="EH346" s="30"/>
      <c r="EI346" s="30"/>
      <c r="EJ346" s="30"/>
      <c r="EK346" s="30" t="str">
        <f t="shared" si="3"/>
        <v/>
      </c>
    </row>
    <row r="347" spans="1:141" ht="16.5">
      <c r="A347" s="11"/>
      <c r="B347" s="11"/>
      <c r="C347" s="11"/>
      <c r="D347" s="11"/>
      <c r="E347" s="11"/>
      <c r="F347" s="11"/>
      <c r="G347" s="11"/>
      <c r="H347" s="11"/>
      <c r="I347" s="11"/>
      <c r="J347" s="11"/>
      <c r="K347" s="27"/>
      <c r="L347" s="11"/>
      <c r="M347" s="11"/>
      <c r="N347" s="11"/>
      <c r="O347" s="11"/>
      <c r="P347" s="15"/>
      <c r="Q347" s="15"/>
      <c r="R347" s="15"/>
      <c r="S347" s="15"/>
      <c r="T347" s="15"/>
      <c r="U347" s="15"/>
      <c r="V347" s="15"/>
      <c r="W347" s="47"/>
      <c r="X347" s="11"/>
      <c r="Y347" s="48"/>
      <c r="Z347" s="11"/>
      <c r="AA347" s="48"/>
      <c r="AB347" s="11"/>
      <c r="AC347" s="48"/>
      <c r="AD347" s="11"/>
      <c r="AE347" s="47"/>
      <c r="AF347" s="11"/>
      <c r="AG347" s="48"/>
      <c r="AH347" s="11"/>
      <c r="AI347" s="48"/>
      <c r="AJ347" s="11"/>
      <c r="AK347" s="48"/>
      <c r="AL347" s="11"/>
      <c r="AM347" s="49"/>
      <c r="AN347" s="49"/>
      <c r="AO347" s="11"/>
      <c r="AP347" s="11"/>
      <c r="AQ347" s="28" t="b">
        <f>IF(COUNTIF(SmartStatus!A$2:A1000, AM347) &gt; 2, TRUE, FALSE)</f>
        <v>0</v>
      </c>
      <c r="AR347" s="29" t="str">
        <f ca="1">IFERROR(__xludf.DUMMYFUNCTION("iferror(if(regexmatch(AO347, ""(?i)^registered""), if(EE347 &lt;&gt; ""polity_shortest_name"", ""CHECK_POLITY"", index(filter(SmartStatus!B$2:B1000, AM347 = SmartStatus!A$2:A1000, not(SmartStatus!C$2:C1000), (isblank(SmartStatus!D$2:D1000)) + ((P347 &lt;&gt; """") * "&amp;"(P347 &lt; SmartStatus!D$2:D1000)), (isblank(SmartStatus!E$2:E1000)) + ((P347 &lt;&gt; """") * (P347 &gt;= SmartStatus!E$2:E1000)), (isblank(SmartStatus!F$2:F1000)) + (((Q347 &lt;&gt; """") * (Q347 &lt; SmartStatus!F$2:F1000)) + ((P347 &lt;&gt; """") * (date(year(P347) + 3, month(P"&amp;"347), day(P347)) &lt; SmartStatus!F$2:F1000))), (isblank(SmartStatus!G$2:G1000)) + (((Q347 &lt;&gt; """") * (Q347 &gt;= SmartStatus!G$2:G1000)) + ((P347 &lt;&gt; """") * (P347 &gt;= SmartStatus!G$2:G1000)))), if(or(regexmatch(B347, ""(?i)^ir [a-z]+ designation$""), N347 &lt;&gt; """&amp;"""), 1, 2))), """"), ""NO_MATCH"")"),"")</f>
        <v/>
      </c>
      <c r="AS347" s="11"/>
      <c r="AT347" s="15"/>
      <c r="AU347" s="11"/>
      <c r="AV347" s="11"/>
      <c r="AW347" s="15"/>
      <c r="AX347" s="15"/>
      <c r="AY347" s="15"/>
      <c r="AZ347" s="11"/>
      <c r="BA347" s="15"/>
      <c r="BB347" s="11"/>
      <c r="BC347" s="11"/>
      <c r="BD347" s="15"/>
      <c r="BE347" s="11"/>
      <c r="BF347" s="11"/>
      <c r="BG347" s="15"/>
      <c r="BH347" s="15"/>
      <c r="BI347" s="15"/>
      <c r="BJ347" s="11"/>
      <c r="BK347" s="15"/>
      <c r="BL347" s="11"/>
      <c r="BM347" s="11"/>
      <c r="BN347" s="15"/>
      <c r="BO347" s="11"/>
      <c r="BP347" s="11"/>
      <c r="BQ347" s="15"/>
      <c r="BR347" s="15"/>
      <c r="BS347" s="15"/>
      <c r="BT347" s="11"/>
      <c r="BU347" s="15"/>
      <c r="BV347" s="11"/>
      <c r="BW347" s="11"/>
      <c r="BX347" s="15"/>
      <c r="BY347" s="11"/>
      <c r="BZ347" s="11"/>
      <c r="CA347" s="15"/>
      <c r="CB347" s="11"/>
      <c r="CC347" s="15"/>
      <c r="CD347" s="11"/>
      <c r="CE347" s="15"/>
      <c r="CF347" s="11"/>
      <c r="CG347" s="11"/>
      <c r="CH347" s="15"/>
      <c r="CI347" s="11"/>
      <c r="CJ347" s="11"/>
      <c r="CK347" s="15"/>
      <c r="CL347" s="11"/>
      <c r="CM347" s="11"/>
      <c r="CN347" s="11"/>
      <c r="CO347" s="11"/>
      <c r="CP347" s="28"/>
      <c r="CQ347" s="28"/>
      <c r="CR347" s="11"/>
      <c r="CS347" s="29"/>
      <c r="CT347" s="11"/>
      <c r="CU347" s="11"/>
      <c r="CV347" s="11"/>
      <c r="CW347" s="11"/>
      <c r="CX347" s="11"/>
      <c r="CY347" s="11"/>
      <c r="CZ347" s="11"/>
      <c r="DA347" s="28"/>
      <c r="DB347" s="28"/>
      <c r="DC347" s="11"/>
      <c r="DD347" s="29"/>
      <c r="DE347" s="11"/>
      <c r="DF347" s="11"/>
      <c r="DG347" s="11"/>
      <c r="DH347" s="11"/>
      <c r="DI347" s="11"/>
      <c r="DJ347" s="11"/>
      <c r="DK347" s="26"/>
      <c r="DL347" s="11"/>
      <c r="DM347" s="29"/>
      <c r="DN347" s="28"/>
      <c r="DO347" s="11"/>
      <c r="DP347" s="11"/>
      <c r="DQ347" s="11"/>
      <c r="DR347" s="29"/>
      <c r="DS347" s="28"/>
      <c r="DT347" s="11"/>
      <c r="DU347" s="26"/>
      <c r="DV347" s="11"/>
      <c r="DW347" s="29"/>
      <c r="DX347" s="28"/>
      <c r="DY347" s="11"/>
      <c r="DZ347" s="26"/>
      <c r="EA347" s="11"/>
      <c r="EB347" s="29"/>
      <c r="EC347" s="28"/>
      <c r="ED347" s="30"/>
      <c r="EE347" s="30" t="str">
        <f ca="1">IFERROR(__xludf.DUMMYFUNCTION("iferror(index(filter('Internal -- Trademark Countries'!E$2:E1000, (AM347 = 'Internal -- Trademark Countries'!B$2:B1000) + (AM347 = 'Internal -- Trademark Countries'!C$2:C1000) + (AM347 = 'Internal -- Trademark Countries'!D$2:D1000)), 1))"),"")</f>
        <v/>
      </c>
      <c r="EF347" s="30" t="e">
        <f ca="1">_xludf.ifs(AM347="", "", COUNTIF('Internal -- Trademark Countries'!B:B,AM347) &gt; 0, "polity_shortest_name", COUNTIF('Internal -- Trademark Countries'!C:C,AM347) &gt; 0, "polity_full_name", COUNTIF('Internal -- Trademark Countries'!D:D,AM347) &gt; 0, "polity_common_name", COUNTIF('Internal -- Trademark Countries'!E:E,AM347) &gt; 0, "shortest_name", COUNTIF('Internal -- Trademark Countries'!A:A,AM347) &gt; 0, "full_name", TRUE, "not a match")</f>
        <v>#NAME?</v>
      </c>
      <c r="EG347" s="30"/>
      <c r="EH347" s="30"/>
      <c r="EI347" s="30"/>
      <c r="EJ347" s="30"/>
      <c r="EK347" s="30" t="str">
        <f t="shared" si="3"/>
        <v/>
      </c>
    </row>
    <row r="348" spans="1:141" ht="16.5">
      <c r="A348" s="11"/>
      <c r="B348" s="11"/>
      <c r="C348" s="11"/>
      <c r="D348" s="11"/>
      <c r="E348" s="11"/>
      <c r="F348" s="11"/>
      <c r="G348" s="11"/>
      <c r="H348" s="11"/>
      <c r="I348" s="11"/>
      <c r="J348" s="11"/>
      <c r="K348" s="27"/>
      <c r="L348" s="11"/>
      <c r="M348" s="11"/>
      <c r="N348" s="11"/>
      <c r="O348" s="11"/>
      <c r="P348" s="15"/>
      <c r="Q348" s="15"/>
      <c r="R348" s="15"/>
      <c r="S348" s="15"/>
      <c r="T348" s="15"/>
      <c r="U348" s="15"/>
      <c r="V348" s="15"/>
      <c r="W348" s="47"/>
      <c r="X348" s="11"/>
      <c r="Y348" s="48"/>
      <c r="Z348" s="11"/>
      <c r="AA348" s="48"/>
      <c r="AB348" s="11"/>
      <c r="AC348" s="48"/>
      <c r="AD348" s="11"/>
      <c r="AE348" s="47"/>
      <c r="AF348" s="11"/>
      <c r="AG348" s="48"/>
      <c r="AH348" s="11"/>
      <c r="AI348" s="48"/>
      <c r="AJ348" s="11"/>
      <c r="AK348" s="48"/>
      <c r="AL348" s="11"/>
      <c r="AM348" s="49"/>
      <c r="AN348" s="49"/>
      <c r="AO348" s="11"/>
      <c r="AP348" s="11"/>
      <c r="AQ348" s="28" t="b">
        <f>IF(COUNTIF(SmartStatus!A$2:A1000, AM348) &gt; 2, TRUE, FALSE)</f>
        <v>0</v>
      </c>
      <c r="AR348" s="29" t="str">
        <f ca="1">IFERROR(__xludf.DUMMYFUNCTION("iferror(if(regexmatch(AO348, ""(?i)^registered""), if(EE348 &lt;&gt; ""polity_shortest_name"", ""CHECK_POLITY"", index(filter(SmartStatus!B$2:B1000, AM348 = SmartStatus!A$2:A1000, not(SmartStatus!C$2:C1000), (isblank(SmartStatus!D$2:D1000)) + ((P348 &lt;&gt; """") * "&amp;"(P348 &lt; SmartStatus!D$2:D1000)), (isblank(SmartStatus!E$2:E1000)) + ((P348 &lt;&gt; """") * (P348 &gt;= SmartStatus!E$2:E1000)), (isblank(SmartStatus!F$2:F1000)) + (((Q348 &lt;&gt; """") * (Q348 &lt; SmartStatus!F$2:F1000)) + ((P348 &lt;&gt; """") * (date(year(P348) + 3, month(P"&amp;"348), day(P348)) &lt; SmartStatus!F$2:F1000))), (isblank(SmartStatus!G$2:G1000)) + (((Q348 &lt;&gt; """") * (Q348 &gt;= SmartStatus!G$2:G1000)) + ((P348 &lt;&gt; """") * (P348 &gt;= SmartStatus!G$2:G1000)))), if(or(regexmatch(B348, ""(?i)^ir [a-z]+ designation$""), N348 &lt;&gt; """&amp;"""), 1, 2))), """"), ""NO_MATCH"")"),"")</f>
        <v/>
      </c>
      <c r="AS348" s="11"/>
      <c r="AT348" s="15"/>
      <c r="AU348" s="11"/>
      <c r="AV348" s="11"/>
      <c r="AW348" s="15"/>
      <c r="AX348" s="15"/>
      <c r="AY348" s="15"/>
      <c r="AZ348" s="11"/>
      <c r="BA348" s="15"/>
      <c r="BB348" s="11"/>
      <c r="BC348" s="11"/>
      <c r="BD348" s="15"/>
      <c r="BE348" s="11"/>
      <c r="BF348" s="11"/>
      <c r="BG348" s="15"/>
      <c r="BH348" s="15"/>
      <c r="BI348" s="15"/>
      <c r="BJ348" s="11"/>
      <c r="BK348" s="15"/>
      <c r="BL348" s="11"/>
      <c r="BM348" s="11"/>
      <c r="BN348" s="15"/>
      <c r="BO348" s="11"/>
      <c r="BP348" s="11"/>
      <c r="BQ348" s="15"/>
      <c r="BR348" s="15"/>
      <c r="BS348" s="15"/>
      <c r="BT348" s="11"/>
      <c r="BU348" s="15"/>
      <c r="BV348" s="11"/>
      <c r="BW348" s="11"/>
      <c r="BX348" s="15"/>
      <c r="BY348" s="11"/>
      <c r="BZ348" s="11"/>
      <c r="CA348" s="15"/>
      <c r="CB348" s="11"/>
      <c r="CC348" s="15"/>
      <c r="CD348" s="11"/>
      <c r="CE348" s="15"/>
      <c r="CF348" s="11"/>
      <c r="CG348" s="11"/>
      <c r="CH348" s="15"/>
      <c r="CI348" s="11"/>
      <c r="CJ348" s="11"/>
      <c r="CK348" s="15"/>
      <c r="CL348" s="11"/>
      <c r="CM348" s="11"/>
      <c r="CN348" s="11"/>
      <c r="CO348" s="11"/>
      <c r="CP348" s="28"/>
      <c r="CQ348" s="28"/>
      <c r="CR348" s="11"/>
      <c r="CS348" s="29"/>
      <c r="CT348" s="11"/>
      <c r="CU348" s="11"/>
      <c r="CV348" s="11"/>
      <c r="CW348" s="11"/>
      <c r="CX348" s="11"/>
      <c r="CY348" s="11"/>
      <c r="CZ348" s="11"/>
      <c r="DA348" s="28"/>
      <c r="DB348" s="28"/>
      <c r="DC348" s="11"/>
      <c r="DD348" s="29"/>
      <c r="DE348" s="11"/>
      <c r="DF348" s="11"/>
      <c r="DG348" s="11"/>
      <c r="DH348" s="11"/>
      <c r="DI348" s="11"/>
      <c r="DJ348" s="11"/>
      <c r="DK348" s="26"/>
      <c r="DL348" s="11"/>
      <c r="DM348" s="29"/>
      <c r="DN348" s="28"/>
      <c r="DO348" s="11"/>
      <c r="DP348" s="11"/>
      <c r="DQ348" s="11"/>
      <c r="DR348" s="29"/>
      <c r="DS348" s="28"/>
      <c r="DT348" s="11"/>
      <c r="DU348" s="26"/>
      <c r="DV348" s="11"/>
      <c r="DW348" s="29"/>
      <c r="DX348" s="28"/>
      <c r="DY348" s="11"/>
      <c r="DZ348" s="26"/>
      <c r="EA348" s="11"/>
      <c r="EB348" s="29"/>
      <c r="EC348" s="28"/>
      <c r="ED348" s="30"/>
      <c r="EE348" s="30" t="str">
        <f ca="1">IFERROR(__xludf.DUMMYFUNCTION("iferror(index(filter('Internal -- Trademark Countries'!E$2:E1000, (AM348 = 'Internal -- Trademark Countries'!B$2:B1000) + (AM348 = 'Internal -- Trademark Countries'!C$2:C1000) + (AM348 = 'Internal -- Trademark Countries'!D$2:D1000)), 1))"),"")</f>
        <v/>
      </c>
      <c r="EF348" s="30" t="e">
        <f ca="1">_xludf.ifs(AM348="", "", COUNTIF('Internal -- Trademark Countries'!B:B,AM348) &gt; 0, "polity_shortest_name", COUNTIF('Internal -- Trademark Countries'!C:C,AM348) &gt; 0, "polity_full_name", COUNTIF('Internal -- Trademark Countries'!D:D,AM348) &gt; 0, "polity_common_name", COUNTIF('Internal -- Trademark Countries'!E:E,AM348) &gt; 0, "shortest_name", COUNTIF('Internal -- Trademark Countries'!A:A,AM348) &gt; 0, "full_name", TRUE, "not a match")</f>
        <v>#NAME?</v>
      </c>
      <c r="EG348" s="30"/>
      <c r="EH348" s="30"/>
      <c r="EI348" s="30"/>
      <c r="EJ348" s="30"/>
      <c r="EK348" s="30" t="str">
        <f t="shared" si="3"/>
        <v/>
      </c>
    </row>
    <row r="349" spans="1:141" ht="16.5">
      <c r="A349" s="11"/>
      <c r="B349" s="11"/>
      <c r="C349" s="11"/>
      <c r="D349" s="11"/>
      <c r="E349" s="11"/>
      <c r="F349" s="11"/>
      <c r="G349" s="11"/>
      <c r="H349" s="11"/>
      <c r="I349" s="11"/>
      <c r="J349" s="11"/>
      <c r="K349" s="27"/>
      <c r="L349" s="11"/>
      <c r="M349" s="11"/>
      <c r="N349" s="11"/>
      <c r="O349" s="11"/>
      <c r="P349" s="15"/>
      <c r="Q349" s="15"/>
      <c r="R349" s="15"/>
      <c r="S349" s="15"/>
      <c r="T349" s="15"/>
      <c r="U349" s="15"/>
      <c r="V349" s="15"/>
      <c r="W349" s="47"/>
      <c r="X349" s="11"/>
      <c r="Y349" s="48"/>
      <c r="Z349" s="11"/>
      <c r="AA349" s="48"/>
      <c r="AB349" s="11"/>
      <c r="AC349" s="48"/>
      <c r="AD349" s="11"/>
      <c r="AE349" s="47"/>
      <c r="AF349" s="11"/>
      <c r="AG349" s="48"/>
      <c r="AH349" s="11"/>
      <c r="AI349" s="48"/>
      <c r="AJ349" s="11"/>
      <c r="AK349" s="48"/>
      <c r="AL349" s="11"/>
      <c r="AM349" s="49"/>
      <c r="AN349" s="49"/>
      <c r="AO349" s="11"/>
      <c r="AP349" s="11"/>
      <c r="AQ349" s="28" t="b">
        <f>IF(COUNTIF(SmartStatus!A$2:A1000, AM349) &gt; 2, TRUE, FALSE)</f>
        <v>0</v>
      </c>
      <c r="AR349" s="29" t="str">
        <f ca="1">IFERROR(__xludf.DUMMYFUNCTION("iferror(if(regexmatch(AO349, ""(?i)^registered""), if(EE349 &lt;&gt; ""polity_shortest_name"", ""CHECK_POLITY"", index(filter(SmartStatus!B$2:B1000, AM349 = SmartStatus!A$2:A1000, not(SmartStatus!C$2:C1000), (isblank(SmartStatus!D$2:D1000)) + ((P349 &lt;&gt; """") * "&amp;"(P349 &lt; SmartStatus!D$2:D1000)), (isblank(SmartStatus!E$2:E1000)) + ((P349 &lt;&gt; """") * (P349 &gt;= SmartStatus!E$2:E1000)), (isblank(SmartStatus!F$2:F1000)) + (((Q349 &lt;&gt; """") * (Q349 &lt; SmartStatus!F$2:F1000)) + ((P349 &lt;&gt; """") * (date(year(P349) + 3, month(P"&amp;"349), day(P349)) &lt; SmartStatus!F$2:F1000))), (isblank(SmartStatus!G$2:G1000)) + (((Q349 &lt;&gt; """") * (Q349 &gt;= SmartStatus!G$2:G1000)) + ((P349 &lt;&gt; """") * (P349 &gt;= SmartStatus!G$2:G1000)))), if(or(regexmatch(B349, ""(?i)^ir [a-z]+ designation$""), N349 &lt;&gt; """&amp;"""), 1, 2))), """"), ""NO_MATCH"")"),"")</f>
        <v/>
      </c>
      <c r="AS349" s="11"/>
      <c r="AT349" s="15"/>
      <c r="AU349" s="11"/>
      <c r="AV349" s="11"/>
      <c r="AW349" s="15"/>
      <c r="AX349" s="15"/>
      <c r="AY349" s="15"/>
      <c r="AZ349" s="11"/>
      <c r="BA349" s="15"/>
      <c r="BB349" s="11"/>
      <c r="BC349" s="11"/>
      <c r="BD349" s="15"/>
      <c r="BE349" s="11"/>
      <c r="BF349" s="11"/>
      <c r="BG349" s="15"/>
      <c r="BH349" s="15"/>
      <c r="BI349" s="15"/>
      <c r="BJ349" s="11"/>
      <c r="BK349" s="15"/>
      <c r="BL349" s="11"/>
      <c r="BM349" s="11"/>
      <c r="BN349" s="15"/>
      <c r="BO349" s="11"/>
      <c r="BP349" s="11"/>
      <c r="BQ349" s="15"/>
      <c r="BR349" s="15"/>
      <c r="BS349" s="15"/>
      <c r="BT349" s="11"/>
      <c r="BU349" s="15"/>
      <c r="BV349" s="11"/>
      <c r="BW349" s="11"/>
      <c r="BX349" s="15"/>
      <c r="BY349" s="11"/>
      <c r="BZ349" s="11"/>
      <c r="CA349" s="15"/>
      <c r="CB349" s="11"/>
      <c r="CC349" s="15"/>
      <c r="CD349" s="11"/>
      <c r="CE349" s="15"/>
      <c r="CF349" s="11"/>
      <c r="CG349" s="11"/>
      <c r="CH349" s="15"/>
      <c r="CI349" s="11"/>
      <c r="CJ349" s="11"/>
      <c r="CK349" s="15"/>
      <c r="CL349" s="11"/>
      <c r="CM349" s="11"/>
      <c r="CN349" s="11"/>
      <c r="CO349" s="11"/>
      <c r="CP349" s="28"/>
      <c r="CQ349" s="28"/>
      <c r="CR349" s="11"/>
      <c r="CS349" s="29"/>
      <c r="CT349" s="11"/>
      <c r="CU349" s="11"/>
      <c r="CV349" s="11"/>
      <c r="CW349" s="11"/>
      <c r="CX349" s="11"/>
      <c r="CY349" s="11"/>
      <c r="CZ349" s="11"/>
      <c r="DA349" s="28"/>
      <c r="DB349" s="28"/>
      <c r="DC349" s="11"/>
      <c r="DD349" s="29"/>
      <c r="DE349" s="11"/>
      <c r="DF349" s="11"/>
      <c r="DG349" s="11"/>
      <c r="DH349" s="11"/>
      <c r="DI349" s="11"/>
      <c r="DJ349" s="11"/>
      <c r="DK349" s="26"/>
      <c r="DL349" s="11"/>
      <c r="DM349" s="29"/>
      <c r="DN349" s="28"/>
      <c r="DO349" s="11"/>
      <c r="DP349" s="11"/>
      <c r="DQ349" s="11"/>
      <c r="DR349" s="29"/>
      <c r="DS349" s="28"/>
      <c r="DT349" s="11"/>
      <c r="DU349" s="26"/>
      <c r="DV349" s="11"/>
      <c r="DW349" s="29"/>
      <c r="DX349" s="28"/>
      <c r="DY349" s="11"/>
      <c r="DZ349" s="26"/>
      <c r="EA349" s="11"/>
      <c r="EB349" s="29"/>
      <c r="EC349" s="28"/>
      <c r="ED349" s="30"/>
      <c r="EE349" s="30" t="str">
        <f ca="1">IFERROR(__xludf.DUMMYFUNCTION("iferror(index(filter('Internal -- Trademark Countries'!E$2:E1000, (AM349 = 'Internal -- Trademark Countries'!B$2:B1000) + (AM349 = 'Internal -- Trademark Countries'!C$2:C1000) + (AM349 = 'Internal -- Trademark Countries'!D$2:D1000)), 1))"),"")</f>
        <v/>
      </c>
      <c r="EF349" s="30" t="e">
        <f ca="1">_xludf.ifs(AM349="", "", COUNTIF('Internal -- Trademark Countries'!B:B,AM349) &gt; 0, "polity_shortest_name", COUNTIF('Internal -- Trademark Countries'!C:C,AM349) &gt; 0, "polity_full_name", COUNTIF('Internal -- Trademark Countries'!D:D,AM349) &gt; 0, "polity_common_name", COUNTIF('Internal -- Trademark Countries'!E:E,AM349) &gt; 0, "shortest_name", COUNTIF('Internal -- Trademark Countries'!A:A,AM349) &gt; 0, "full_name", TRUE, "not a match")</f>
        <v>#NAME?</v>
      </c>
      <c r="EG349" s="30"/>
      <c r="EH349" s="30"/>
      <c r="EI349" s="30"/>
      <c r="EJ349" s="30"/>
      <c r="EK349" s="30" t="str">
        <f t="shared" si="3"/>
        <v/>
      </c>
    </row>
    <row r="350" spans="1:141" ht="16.5">
      <c r="A350" s="11"/>
      <c r="B350" s="11"/>
      <c r="C350" s="11"/>
      <c r="D350" s="11"/>
      <c r="E350" s="11"/>
      <c r="F350" s="11"/>
      <c r="G350" s="11"/>
      <c r="H350" s="11"/>
      <c r="I350" s="11"/>
      <c r="J350" s="11"/>
      <c r="K350" s="27"/>
      <c r="L350" s="11"/>
      <c r="M350" s="11"/>
      <c r="N350" s="11"/>
      <c r="O350" s="11"/>
      <c r="P350" s="15"/>
      <c r="Q350" s="15"/>
      <c r="R350" s="15"/>
      <c r="S350" s="15"/>
      <c r="T350" s="15"/>
      <c r="U350" s="15"/>
      <c r="V350" s="15"/>
      <c r="W350" s="47"/>
      <c r="X350" s="11"/>
      <c r="Y350" s="48"/>
      <c r="Z350" s="11"/>
      <c r="AA350" s="48"/>
      <c r="AB350" s="11"/>
      <c r="AC350" s="48"/>
      <c r="AD350" s="11"/>
      <c r="AE350" s="47"/>
      <c r="AF350" s="11"/>
      <c r="AG350" s="48"/>
      <c r="AH350" s="11"/>
      <c r="AI350" s="48"/>
      <c r="AJ350" s="11"/>
      <c r="AK350" s="48"/>
      <c r="AL350" s="11"/>
      <c r="AM350" s="49"/>
      <c r="AN350" s="49"/>
      <c r="AO350" s="11"/>
      <c r="AP350" s="11"/>
      <c r="AQ350" s="28" t="b">
        <f>IF(COUNTIF(SmartStatus!A$2:A1000, AM350) &gt; 2, TRUE, FALSE)</f>
        <v>0</v>
      </c>
      <c r="AR350" s="29" t="str">
        <f ca="1">IFERROR(__xludf.DUMMYFUNCTION("iferror(if(regexmatch(AO350, ""(?i)^registered""), if(EE350 &lt;&gt; ""polity_shortest_name"", ""CHECK_POLITY"", index(filter(SmartStatus!B$2:B1000, AM350 = SmartStatus!A$2:A1000, not(SmartStatus!C$2:C1000), (isblank(SmartStatus!D$2:D1000)) + ((P350 &lt;&gt; """") * "&amp;"(P350 &lt; SmartStatus!D$2:D1000)), (isblank(SmartStatus!E$2:E1000)) + ((P350 &lt;&gt; """") * (P350 &gt;= SmartStatus!E$2:E1000)), (isblank(SmartStatus!F$2:F1000)) + (((Q350 &lt;&gt; """") * (Q350 &lt; SmartStatus!F$2:F1000)) + ((P350 &lt;&gt; """") * (date(year(P350) + 3, month(P"&amp;"350), day(P350)) &lt; SmartStatus!F$2:F1000))), (isblank(SmartStatus!G$2:G1000)) + (((Q350 &lt;&gt; """") * (Q350 &gt;= SmartStatus!G$2:G1000)) + ((P350 &lt;&gt; """") * (P350 &gt;= SmartStatus!G$2:G1000)))), if(or(regexmatch(B350, ""(?i)^ir [a-z]+ designation$""), N350 &lt;&gt; """&amp;"""), 1, 2))), """"), ""NO_MATCH"")"),"")</f>
        <v/>
      </c>
      <c r="AS350" s="11"/>
      <c r="AT350" s="15"/>
      <c r="AU350" s="11"/>
      <c r="AV350" s="11"/>
      <c r="AW350" s="15"/>
      <c r="AX350" s="15"/>
      <c r="AY350" s="15"/>
      <c r="AZ350" s="11"/>
      <c r="BA350" s="15"/>
      <c r="BB350" s="11"/>
      <c r="BC350" s="11"/>
      <c r="BD350" s="15"/>
      <c r="BE350" s="11"/>
      <c r="BF350" s="11"/>
      <c r="BG350" s="15"/>
      <c r="BH350" s="15"/>
      <c r="BI350" s="15"/>
      <c r="BJ350" s="11"/>
      <c r="BK350" s="15"/>
      <c r="BL350" s="11"/>
      <c r="BM350" s="11"/>
      <c r="BN350" s="15"/>
      <c r="BO350" s="11"/>
      <c r="BP350" s="11"/>
      <c r="BQ350" s="15"/>
      <c r="BR350" s="15"/>
      <c r="BS350" s="15"/>
      <c r="BT350" s="11"/>
      <c r="BU350" s="15"/>
      <c r="BV350" s="11"/>
      <c r="BW350" s="11"/>
      <c r="BX350" s="15"/>
      <c r="BY350" s="11"/>
      <c r="BZ350" s="11"/>
      <c r="CA350" s="15"/>
      <c r="CB350" s="11"/>
      <c r="CC350" s="15"/>
      <c r="CD350" s="11"/>
      <c r="CE350" s="15"/>
      <c r="CF350" s="11"/>
      <c r="CG350" s="11"/>
      <c r="CH350" s="15"/>
      <c r="CI350" s="11"/>
      <c r="CJ350" s="11"/>
      <c r="CK350" s="15"/>
      <c r="CL350" s="11"/>
      <c r="CM350" s="11"/>
      <c r="CN350" s="11"/>
      <c r="CO350" s="11"/>
      <c r="CP350" s="28"/>
      <c r="CQ350" s="28"/>
      <c r="CR350" s="11"/>
      <c r="CS350" s="29"/>
      <c r="CT350" s="11"/>
      <c r="CU350" s="11"/>
      <c r="CV350" s="11"/>
      <c r="CW350" s="11"/>
      <c r="CX350" s="11"/>
      <c r="CY350" s="11"/>
      <c r="CZ350" s="11"/>
      <c r="DA350" s="28"/>
      <c r="DB350" s="28"/>
      <c r="DC350" s="11"/>
      <c r="DD350" s="29"/>
      <c r="DE350" s="11"/>
      <c r="DF350" s="11"/>
      <c r="DG350" s="11"/>
      <c r="DH350" s="11"/>
      <c r="DI350" s="11"/>
      <c r="DJ350" s="11"/>
      <c r="DK350" s="26"/>
      <c r="DL350" s="11"/>
      <c r="DM350" s="29"/>
      <c r="DN350" s="28"/>
      <c r="DO350" s="11"/>
      <c r="DP350" s="11"/>
      <c r="DQ350" s="11"/>
      <c r="DR350" s="29"/>
      <c r="DS350" s="28"/>
      <c r="DT350" s="11"/>
      <c r="DU350" s="26"/>
      <c r="DV350" s="11"/>
      <c r="DW350" s="29"/>
      <c r="DX350" s="28"/>
      <c r="DY350" s="11"/>
      <c r="DZ350" s="26"/>
      <c r="EA350" s="11"/>
      <c r="EB350" s="29"/>
      <c r="EC350" s="28"/>
      <c r="ED350" s="30"/>
      <c r="EE350" s="30" t="str">
        <f ca="1">IFERROR(__xludf.DUMMYFUNCTION("iferror(index(filter('Internal -- Trademark Countries'!E$2:E1000, (AM350 = 'Internal -- Trademark Countries'!B$2:B1000) + (AM350 = 'Internal -- Trademark Countries'!C$2:C1000) + (AM350 = 'Internal -- Trademark Countries'!D$2:D1000)), 1))"),"")</f>
        <v/>
      </c>
      <c r="EF350" s="30" t="e">
        <f ca="1">_xludf.ifs(AM350="", "", COUNTIF('Internal -- Trademark Countries'!B:B,AM350) &gt; 0, "polity_shortest_name", COUNTIF('Internal -- Trademark Countries'!C:C,AM350) &gt; 0, "polity_full_name", COUNTIF('Internal -- Trademark Countries'!D:D,AM350) &gt; 0, "polity_common_name", COUNTIF('Internal -- Trademark Countries'!E:E,AM350) &gt; 0, "shortest_name", COUNTIF('Internal -- Trademark Countries'!A:A,AM350) &gt; 0, "full_name", TRUE, "not a match")</f>
        <v>#NAME?</v>
      </c>
      <c r="EG350" s="30"/>
      <c r="EH350" s="30"/>
      <c r="EI350" s="30"/>
      <c r="EJ350" s="30"/>
      <c r="EK350" s="30" t="str">
        <f t="shared" si="3"/>
        <v/>
      </c>
    </row>
    <row r="351" spans="1:141" ht="16.5">
      <c r="A351" s="11"/>
      <c r="B351" s="11"/>
      <c r="C351" s="11"/>
      <c r="D351" s="11"/>
      <c r="E351" s="11"/>
      <c r="F351" s="11"/>
      <c r="G351" s="11"/>
      <c r="H351" s="11"/>
      <c r="I351" s="11"/>
      <c r="J351" s="11"/>
      <c r="K351" s="27"/>
      <c r="L351" s="11"/>
      <c r="M351" s="11"/>
      <c r="N351" s="11"/>
      <c r="O351" s="11"/>
      <c r="P351" s="15"/>
      <c r="Q351" s="15"/>
      <c r="R351" s="15"/>
      <c r="S351" s="15"/>
      <c r="T351" s="15"/>
      <c r="U351" s="15"/>
      <c r="V351" s="15"/>
      <c r="W351" s="47"/>
      <c r="X351" s="11"/>
      <c r="Y351" s="48"/>
      <c r="Z351" s="11"/>
      <c r="AA351" s="48"/>
      <c r="AB351" s="11"/>
      <c r="AC351" s="48"/>
      <c r="AD351" s="11"/>
      <c r="AE351" s="47"/>
      <c r="AF351" s="11"/>
      <c r="AG351" s="48"/>
      <c r="AH351" s="11"/>
      <c r="AI351" s="48"/>
      <c r="AJ351" s="11"/>
      <c r="AK351" s="48"/>
      <c r="AL351" s="11"/>
      <c r="AM351" s="49"/>
      <c r="AN351" s="49"/>
      <c r="AO351" s="11"/>
      <c r="AP351" s="11"/>
      <c r="AQ351" s="28" t="b">
        <f>IF(COUNTIF(SmartStatus!A$2:A1000, AM351) &gt; 2, TRUE, FALSE)</f>
        <v>0</v>
      </c>
      <c r="AR351" s="29" t="str">
        <f ca="1">IFERROR(__xludf.DUMMYFUNCTION("iferror(if(regexmatch(AO351, ""(?i)^registered""), if(EE351 &lt;&gt; ""polity_shortest_name"", ""CHECK_POLITY"", index(filter(SmartStatus!B$2:B1000, AM351 = SmartStatus!A$2:A1000, not(SmartStatus!C$2:C1000), (isblank(SmartStatus!D$2:D1000)) + ((P351 &lt;&gt; """") * "&amp;"(P351 &lt; SmartStatus!D$2:D1000)), (isblank(SmartStatus!E$2:E1000)) + ((P351 &lt;&gt; """") * (P351 &gt;= SmartStatus!E$2:E1000)), (isblank(SmartStatus!F$2:F1000)) + (((Q351 &lt;&gt; """") * (Q351 &lt; SmartStatus!F$2:F1000)) + ((P351 &lt;&gt; """") * (date(year(P351) + 3, month(P"&amp;"351), day(P351)) &lt; SmartStatus!F$2:F1000))), (isblank(SmartStatus!G$2:G1000)) + (((Q351 &lt;&gt; """") * (Q351 &gt;= SmartStatus!G$2:G1000)) + ((P351 &lt;&gt; """") * (P351 &gt;= SmartStatus!G$2:G1000)))), if(or(regexmatch(B351, ""(?i)^ir [a-z]+ designation$""), N351 &lt;&gt; """&amp;"""), 1, 2))), """"), ""NO_MATCH"")"),"")</f>
        <v/>
      </c>
      <c r="AS351" s="11"/>
      <c r="AT351" s="15"/>
      <c r="AU351" s="11"/>
      <c r="AV351" s="11"/>
      <c r="AW351" s="15"/>
      <c r="AX351" s="15"/>
      <c r="AY351" s="15"/>
      <c r="AZ351" s="11"/>
      <c r="BA351" s="15"/>
      <c r="BB351" s="11"/>
      <c r="BC351" s="11"/>
      <c r="BD351" s="15"/>
      <c r="BE351" s="11"/>
      <c r="BF351" s="11"/>
      <c r="BG351" s="15"/>
      <c r="BH351" s="15"/>
      <c r="BI351" s="15"/>
      <c r="BJ351" s="11"/>
      <c r="BK351" s="15"/>
      <c r="BL351" s="11"/>
      <c r="BM351" s="11"/>
      <c r="BN351" s="15"/>
      <c r="BO351" s="11"/>
      <c r="BP351" s="11"/>
      <c r="BQ351" s="15"/>
      <c r="BR351" s="15"/>
      <c r="BS351" s="15"/>
      <c r="BT351" s="11"/>
      <c r="BU351" s="15"/>
      <c r="BV351" s="11"/>
      <c r="BW351" s="11"/>
      <c r="BX351" s="15"/>
      <c r="BY351" s="11"/>
      <c r="BZ351" s="11"/>
      <c r="CA351" s="15"/>
      <c r="CB351" s="11"/>
      <c r="CC351" s="15"/>
      <c r="CD351" s="11"/>
      <c r="CE351" s="15"/>
      <c r="CF351" s="11"/>
      <c r="CG351" s="11"/>
      <c r="CH351" s="15"/>
      <c r="CI351" s="11"/>
      <c r="CJ351" s="11"/>
      <c r="CK351" s="15"/>
      <c r="CL351" s="11"/>
      <c r="CM351" s="11"/>
      <c r="CN351" s="11"/>
      <c r="CO351" s="11"/>
      <c r="CP351" s="28"/>
      <c r="CQ351" s="28"/>
      <c r="CR351" s="11"/>
      <c r="CS351" s="29"/>
      <c r="CT351" s="11"/>
      <c r="CU351" s="11"/>
      <c r="CV351" s="11"/>
      <c r="CW351" s="11"/>
      <c r="CX351" s="11"/>
      <c r="CY351" s="11"/>
      <c r="CZ351" s="11"/>
      <c r="DA351" s="28"/>
      <c r="DB351" s="28"/>
      <c r="DC351" s="11"/>
      <c r="DD351" s="29"/>
      <c r="DE351" s="11"/>
      <c r="DF351" s="11"/>
      <c r="DG351" s="11"/>
      <c r="DH351" s="11"/>
      <c r="DI351" s="11"/>
      <c r="DJ351" s="11"/>
      <c r="DK351" s="26"/>
      <c r="DL351" s="11"/>
      <c r="DM351" s="29"/>
      <c r="DN351" s="28"/>
      <c r="DO351" s="11"/>
      <c r="DP351" s="11"/>
      <c r="DQ351" s="11"/>
      <c r="DR351" s="29"/>
      <c r="DS351" s="28"/>
      <c r="DT351" s="11"/>
      <c r="DU351" s="26"/>
      <c r="DV351" s="11"/>
      <c r="DW351" s="29"/>
      <c r="DX351" s="28"/>
      <c r="DY351" s="11"/>
      <c r="DZ351" s="26"/>
      <c r="EA351" s="11"/>
      <c r="EB351" s="29"/>
      <c r="EC351" s="28"/>
      <c r="ED351" s="30"/>
      <c r="EE351" s="30" t="str">
        <f ca="1">IFERROR(__xludf.DUMMYFUNCTION("iferror(index(filter('Internal -- Trademark Countries'!E$2:E1000, (AM351 = 'Internal -- Trademark Countries'!B$2:B1000) + (AM351 = 'Internal -- Trademark Countries'!C$2:C1000) + (AM351 = 'Internal -- Trademark Countries'!D$2:D1000)), 1))"),"")</f>
        <v/>
      </c>
      <c r="EF351" s="30" t="e">
        <f ca="1">_xludf.ifs(AM351="", "", COUNTIF('Internal -- Trademark Countries'!B:B,AM351) &gt; 0, "polity_shortest_name", COUNTIF('Internal -- Trademark Countries'!C:C,AM351) &gt; 0, "polity_full_name", COUNTIF('Internal -- Trademark Countries'!D:D,AM351) &gt; 0, "polity_common_name", COUNTIF('Internal -- Trademark Countries'!E:E,AM351) &gt; 0, "shortest_name", COUNTIF('Internal -- Trademark Countries'!A:A,AM351) &gt; 0, "full_name", TRUE, "not a match")</f>
        <v>#NAME?</v>
      </c>
      <c r="EG351" s="30"/>
      <c r="EH351" s="30"/>
      <c r="EI351" s="30"/>
      <c r="EJ351" s="30"/>
      <c r="EK351" s="30" t="str">
        <f t="shared" si="3"/>
        <v/>
      </c>
    </row>
    <row r="352" spans="1:141" ht="16.5">
      <c r="A352" s="11"/>
      <c r="B352" s="11"/>
      <c r="C352" s="11"/>
      <c r="D352" s="11"/>
      <c r="E352" s="11"/>
      <c r="F352" s="11"/>
      <c r="G352" s="11"/>
      <c r="H352" s="11"/>
      <c r="I352" s="11"/>
      <c r="J352" s="11"/>
      <c r="K352" s="27"/>
      <c r="L352" s="11"/>
      <c r="M352" s="11"/>
      <c r="N352" s="11"/>
      <c r="O352" s="11"/>
      <c r="P352" s="15"/>
      <c r="Q352" s="15"/>
      <c r="R352" s="15"/>
      <c r="S352" s="15"/>
      <c r="T352" s="15"/>
      <c r="U352" s="15"/>
      <c r="V352" s="15"/>
      <c r="W352" s="47"/>
      <c r="X352" s="11"/>
      <c r="Y352" s="48"/>
      <c r="Z352" s="11"/>
      <c r="AA352" s="48"/>
      <c r="AB352" s="11"/>
      <c r="AC352" s="48"/>
      <c r="AD352" s="11"/>
      <c r="AE352" s="47"/>
      <c r="AF352" s="11"/>
      <c r="AG352" s="48"/>
      <c r="AH352" s="11"/>
      <c r="AI352" s="48"/>
      <c r="AJ352" s="11"/>
      <c r="AK352" s="48"/>
      <c r="AL352" s="11"/>
      <c r="AM352" s="49"/>
      <c r="AN352" s="49"/>
      <c r="AO352" s="11"/>
      <c r="AP352" s="11"/>
      <c r="AQ352" s="28" t="b">
        <f>IF(COUNTIF(SmartStatus!A$2:A1000, AM352) &gt; 2, TRUE, FALSE)</f>
        <v>0</v>
      </c>
      <c r="AR352" s="29" t="str">
        <f ca="1">IFERROR(__xludf.DUMMYFUNCTION("iferror(if(regexmatch(AO352, ""(?i)^registered""), if(EE352 &lt;&gt; ""polity_shortest_name"", ""CHECK_POLITY"", index(filter(SmartStatus!B$2:B1000, AM352 = SmartStatus!A$2:A1000, not(SmartStatus!C$2:C1000), (isblank(SmartStatus!D$2:D1000)) + ((P352 &lt;&gt; """") * "&amp;"(P352 &lt; SmartStatus!D$2:D1000)), (isblank(SmartStatus!E$2:E1000)) + ((P352 &lt;&gt; """") * (P352 &gt;= SmartStatus!E$2:E1000)), (isblank(SmartStatus!F$2:F1000)) + (((Q352 &lt;&gt; """") * (Q352 &lt; SmartStatus!F$2:F1000)) + ((P352 &lt;&gt; """") * (date(year(P352) + 3, month(P"&amp;"352), day(P352)) &lt; SmartStatus!F$2:F1000))), (isblank(SmartStatus!G$2:G1000)) + (((Q352 &lt;&gt; """") * (Q352 &gt;= SmartStatus!G$2:G1000)) + ((P352 &lt;&gt; """") * (P352 &gt;= SmartStatus!G$2:G1000)))), if(or(regexmatch(B352, ""(?i)^ir [a-z]+ designation$""), N352 &lt;&gt; """&amp;"""), 1, 2))), """"), ""NO_MATCH"")"),"")</f>
        <v/>
      </c>
      <c r="AS352" s="11"/>
      <c r="AT352" s="15"/>
      <c r="AU352" s="11"/>
      <c r="AV352" s="11"/>
      <c r="AW352" s="15"/>
      <c r="AX352" s="15"/>
      <c r="AY352" s="15"/>
      <c r="AZ352" s="11"/>
      <c r="BA352" s="15"/>
      <c r="BB352" s="11"/>
      <c r="BC352" s="11"/>
      <c r="BD352" s="15"/>
      <c r="BE352" s="11"/>
      <c r="BF352" s="11"/>
      <c r="BG352" s="15"/>
      <c r="BH352" s="15"/>
      <c r="BI352" s="15"/>
      <c r="BJ352" s="11"/>
      <c r="BK352" s="15"/>
      <c r="BL352" s="11"/>
      <c r="BM352" s="11"/>
      <c r="BN352" s="15"/>
      <c r="BO352" s="11"/>
      <c r="BP352" s="11"/>
      <c r="BQ352" s="15"/>
      <c r="BR352" s="15"/>
      <c r="BS352" s="15"/>
      <c r="BT352" s="11"/>
      <c r="BU352" s="15"/>
      <c r="BV352" s="11"/>
      <c r="BW352" s="11"/>
      <c r="BX352" s="15"/>
      <c r="BY352" s="11"/>
      <c r="BZ352" s="11"/>
      <c r="CA352" s="15"/>
      <c r="CB352" s="11"/>
      <c r="CC352" s="15"/>
      <c r="CD352" s="11"/>
      <c r="CE352" s="15"/>
      <c r="CF352" s="11"/>
      <c r="CG352" s="11"/>
      <c r="CH352" s="15"/>
      <c r="CI352" s="11"/>
      <c r="CJ352" s="11"/>
      <c r="CK352" s="15"/>
      <c r="CL352" s="11"/>
      <c r="CM352" s="11"/>
      <c r="CN352" s="11"/>
      <c r="CO352" s="11"/>
      <c r="CP352" s="28"/>
      <c r="CQ352" s="28"/>
      <c r="CR352" s="11"/>
      <c r="CS352" s="29"/>
      <c r="CT352" s="11"/>
      <c r="CU352" s="11"/>
      <c r="CV352" s="11"/>
      <c r="CW352" s="11"/>
      <c r="CX352" s="11"/>
      <c r="CY352" s="11"/>
      <c r="CZ352" s="11"/>
      <c r="DA352" s="28"/>
      <c r="DB352" s="28"/>
      <c r="DC352" s="11"/>
      <c r="DD352" s="29"/>
      <c r="DE352" s="11"/>
      <c r="DF352" s="11"/>
      <c r="DG352" s="11"/>
      <c r="DH352" s="11"/>
      <c r="DI352" s="11"/>
      <c r="DJ352" s="11"/>
      <c r="DK352" s="26"/>
      <c r="DL352" s="11"/>
      <c r="DM352" s="29"/>
      <c r="DN352" s="28"/>
      <c r="DO352" s="11"/>
      <c r="DP352" s="11"/>
      <c r="DQ352" s="11"/>
      <c r="DR352" s="29"/>
      <c r="DS352" s="28"/>
      <c r="DT352" s="11"/>
      <c r="DU352" s="26"/>
      <c r="DV352" s="11"/>
      <c r="DW352" s="29"/>
      <c r="DX352" s="28"/>
      <c r="DY352" s="11"/>
      <c r="DZ352" s="26"/>
      <c r="EA352" s="11"/>
      <c r="EB352" s="29"/>
      <c r="EC352" s="28"/>
      <c r="ED352" s="30"/>
      <c r="EE352" s="30" t="str">
        <f ca="1">IFERROR(__xludf.DUMMYFUNCTION("iferror(index(filter('Internal -- Trademark Countries'!E$2:E1000, (AM352 = 'Internal -- Trademark Countries'!B$2:B1000) + (AM352 = 'Internal -- Trademark Countries'!C$2:C1000) + (AM352 = 'Internal -- Trademark Countries'!D$2:D1000)), 1))"),"")</f>
        <v/>
      </c>
      <c r="EF352" s="30" t="e">
        <f ca="1">_xludf.ifs(AM352="", "", COUNTIF('Internal -- Trademark Countries'!B:B,AM352) &gt; 0, "polity_shortest_name", COUNTIF('Internal -- Trademark Countries'!C:C,AM352) &gt; 0, "polity_full_name", COUNTIF('Internal -- Trademark Countries'!D:D,AM352) &gt; 0, "polity_common_name", COUNTIF('Internal -- Trademark Countries'!E:E,AM352) &gt; 0, "shortest_name", COUNTIF('Internal -- Trademark Countries'!A:A,AM352) &gt; 0, "full_name", TRUE, "not a match")</f>
        <v>#NAME?</v>
      </c>
      <c r="EG352" s="30"/>
      <c r="EH352" s="30"/>
      <c r="EI352" s="30"/>
      <c r="EJ352" s="30"/>
      <c r="EK352" s="30" t="str">
        <f t="shared" si="3"/>
        <v/>
      </c>
    </row>
    <row r="353" spans="1:141" ht="16.5">
      <c r="A353" s="11"/>
      <c r="B353" s="11"/>
      <c r="C353" s="11"/>
      <c r="D353" s="11"/>
      <c r="E353" s="11"/>
      <c r="F353" s="11"/>
      <c r="G353" s="11"/>
      <c r="H353" s="11"/>
      <c r="I353" s="11"/>
      <c r="J353" s="11"/>
      <c r="K353" s="27"/>
      <c r="L353" s="11"/>
      <c r="M353" s="11"/>
      <c r="N353" s="11"/>
      <c r="O353" s="11"/>
      <c r="P353" s="15"/>
      <c r="Q353" s="15"/>
      <c r="R353" s="15"/>
      <c r="S353" s="15"/>
      <c r="T353" s="15"/>
      <c r="U353" s="15"/>
      <c r="V353" s="15"/>
      <c r="W353" s="47"/>
      <c r="X353" s="11"/>
      <c r="Y353" s="48"/>
      <c r="Z353" s="11"/>
      <c r="AA353" s="48"/>
      <c r="AB353" s="11"/>
      <c r="AC353" s="48"/>
      <c r="AD353" s="11"/>
      <c r="AE353" s="47"/>
      <c r="AF353" s="11"/>
      <c r="AG353" s="48"/>
      <c r="AH353" s="11"/>
      <c r="AI353" s="48"/>
      <c r="AJ353" s="11"/>
      <c r="AK353" s="48"/>
      <c r="AL353" s="11"/>
      <c r="AM353" s="49"/>
      <c r="AN353" s="49"/>
      <c r="AO353" s="11"/>
      <c r="AP353" s="11"/>
      <c r="AQ353" s="28" t="b">
        <f>IF(COUNTIF(SmartStatus!A$2:A1000, AM353) &gt; 2, TRUE, FALSE)</f>
        <v>0</v>
      </c>
      <c r="AR353" s="29" t="str">
        <f ca="1">IFERROR(__xludf.DUMMYFUNCTION("iferror(if(regexmatch(AO353, ""(?i)^registered""), if(EE353 &lt;&gt; ""polity_shortest_name"", ""CHECK_POLITY"", index(filter(SmartStatus!B$2:B1000, AM353 = SmartStatus!A$2:A1000, not(SmartStatus!C$2:C1000), (isblank(SmartStatus!D$2:D1000)) + ((P353 &lt;&gt; """") * "&amp;"(P353 &lt; SmartStatus!D$2:D1000)), (isblank(SmartStatus!E$2:E1000)) + ((P353 &lt;&gt; """") * (P353 &gt;= SmartStatus!E$2:E1000)), (isblank(SmartStatus!F$2:F1000)) + (((Q353 &lt;&gt; """") * (Q353 &lt; SmartStatus!F$2:F1000)) + ((P353 &lt;&gt; """") * (date(year(P353) + 3, month(P"&amp;"353), day(P353)) &lt; SmartStatus!F$2:F1000))), (isblank(SmartStatus!G$2:G1000)) + (((Q353 &lt;&gt; """") * (Q353 &gt;= SmartStatus!G$2:G1000)) + ((P353 &lt;&gt; """") * (P353 &gt;= SmartStatus!G$2:G1000)))), if(or(regexmatch(B353, ""(?i)^ir [a-z]+ designation$""), N353 &lt;&gt; """&amp;"""), 1, 2))), """"), ""NO_MATCH"")"),"")</f>
        <v/>
      </c>
      <c r="AS353" s="11"/>
      <c r="AT353" s="15"/>
      <c r="AU353" s="11"/>
      <c r="AV353" s="11"/>
      <c r="AW353" s="15"/>
      <c r="AX353" s="15"/>
      <c r="AY353" s="15"/>
      <c r="AZ353" s="11"/>
      <c r="BA353" s="15"/>
      <c r="BB353" s="11"/>
      <c r="BC353" s="11"/>
      <c r="BD353" s="15"/>
      <c r="BE353" s="11"/>
      <c r="BF353" s="11"/>
      <c r="BG353" s="15"/>
      <c r="BH353" s="15"/>
      <c r="BI353" s="15"/>
      <c r="BJ353" s="11"/>
      <c r="BK353" s="15"/>
      <c r="BL353" s="11"/>
      <c r="BM353" s="11"/>
      <c r="BN353" s="15"/>
      <c r="BO353" s="11"/>
      <c r="BP353" s="11"/>
      <c r="BQ353" s="15"/>
      <c r="BR353" s="15"/>
      <c r="BS353" s="15"/>
      <c r="BT353" s="11"/>
      <c r="BU353" s="15"/>
      <c r="BV353" s="11"/>
      <c r="BW353" s="11"/>
      <c r="BX353" s="15"/>
      <c r="BY353" s="11"/>
      <c r="BZ353" s="11"/>
      <c r="CA353" s="15"/>
      <c r="CB353" s="11"/>
      <c r="CC353" s="15"/>
      <c r="CD353" s="11"/>
      <c r="CE353" s="15"/>
      <c r="CF353" s="11"/>
      <c r="CG353" s="11"/>
      <c r="CH353" s="15"/>
      <c r="CI353" s="11"/>
      <c r="CJ353" s="11"/>
      <c r="CK353" s="15"/>
      <c r="CL353" s="11"/>
      <c r="CM353" s="11"/>
      <c r="CN353" s="11"/>
      <c r="CO353" s="11"/>
      <c r="CP353" s="28"/>
      <c r="CQ353" s="28"/>
      <c r="CR353" s="11"/>
      <c r="CS353" s="29"/>
      <c r="CT353" s="11"/>
      <c r="CU353" s="11"/>
      <c r="CV353" s="11"/>
      <c r="CW353" s="11"/>
      <c r="CX353" s="11"/>
      <c r="CY353" s="11"/>
      <c r="CZ353" s="11"/>
      <c r="DA353" s="28"/>
      <c r="DB353" s="28"/>
      <c r="DC353" s="11"/>
      <c r="DD353" s="29"/>
      <c r="DE353" s="11"/>
      <c r="DF353" s="11"/>
      <c r="DG353" s="11"/>
      <c r="DH353" s="11"/>
      <c r="DI353" s="11"/>
      <c r="DJ353" s="11"/>
      <c r="DK353" s="26"/>
      <c r="DL353" s="11"/>
      <c r="DM353" s="29"/>
      <c r="DN353" s="28"/>
      <c r="DO353" s="11"/>
      <c r="DP353" s="11"/>
      <c r="DQ353" s="11"/>
      <c r="DR353" s="29"/>
      <c r="DS353" s="28"/>
      <c r="DT353" s="11"/>
      <c r="DU353" s="26"/>
      <c r="DV353" s="11"/>
      <c r="DW353" s="29"/>
      <c r="DX353" s="28"/>
      <c r="DY353" s="11"/>
      <c r="DZ353" s="26"/>
      <c r="EA353" s="11"/>
      <c r="EB353" s="29"/>
      <c r="EC353" s="28"/>
      <c r="ED353" s="30"/>
      <c r="EE353" s="30" t="str">
        <f ca="1">IFERROR(__xludf.DUMMYFUNCTION("iferror(index(filter('Internal -- Trademark Countries'!E$2:E1000, (AM353 = 'Internal -- Trademark Countries'!B$2:B1000) + (AM353 = 'Internal -- Trademark Countries'!C$2:C1000) + (AM353 = 'Internal -- Trademark Countries'!D$2:D1000)), 1))"),"")</f>
        <v/>
      </c>
      <c r="EF353" s="30" t="e">
        <f ca="1">_xludf.ifs(AM353="", "", COUNTIF('Internal -- Trademark Countries'!B:B,AM353) &gt; 0, "polity_shortest_name", COUNTIF('Internal -- Trademark Countries'!C:C,AM353) &gt; 0, "polity_full_name", COUNTIF('Internal -- Trademark Countries'!D:D,AM353) &gt; 0, "polity_common_name", COUNTIF('Internal -- Trademark Countries'!E:E,AM353) &gt; 0, "shortest_name", COUNTIF('Internal -- Trademark Countries'!A:A,AM353) &gt; 0, "full_name", TRUE, "not a match")</f>
        <v>#NAME?</v>
      </c>
      <c r="EG353" s="30"/>
      <c r="EH353" s="30"/>
      <c r="EI353" s="30"/>
      <c r="EJ353" s="30"/>
      <c r="EK353" s="30" t="str">
        <f t="shared" si="3"/>
        <v/>
      </c>
    </row>
    <row r="354" spans="1:141" ht="16.5">
      <c r="A354" s="11"/>
      <c r="B354" s="11"/>
      <c r="C354" s="11"/>
      <c r="D354" s="11"/>
      <c r="E354" s="11"/>
      <c r="F354" s="11"/>
      <c r="G354" s="11"/>
      <c r="H354" s="11"/>
      <c r="I354" s="11"/>
      <c r="J354" s="11"/>
      <c r="K354" s="27"/>
      <c r="L354" s="11"/>
      <c r="M354" s="11"/>
      <c r="N354" s="11"/>
      <c r="O354" s="11"/>
      <c r="P354" s="15"/>
      <c r="Q354" s="15"/>
      <c r="R354" s="15"/>
      <c r="S354" s="15"/>
      <c r="T354" s="15"/>
      <c r="U354" s="15"/>
      <c r="V354" s="15"/>
      <c r="W354" s="47"/>
      <c r="X354" s="11"/>
      <c r="Y354" s="48"/>
      <c r="Z354" s="11"/>
      <c r="AA354" s="48"/>
      <c r="AB354" s="11"/>
      <c r="AC354" s="48"/>
      <c r="AD354" s="11"/>
      <c r="AE354" s="47"/>
      <c r="AF354" s="11"/>
      <c r="AG354" s="48"/>
      <c r="AH354" s="11"/>
      <c r="AI354" s="48"/>
      <c r="AJ354" s="11"/>
      <c r="AK354" s="48"/>
      <c r="AL354" s="11"/>
      <c r="AM354" s="49"/>
      <c r="AN354" s="49"/>
      <c r="AO354" s="11"/>
      <c r="AP354" s="11"/>
      <c r="AQ354" s="28" t="b">
        <f>IF(COUNTIF(SmartStatus!A$2:A1000, AM354) &gt; 2, TRUE, FALSE)</f>
        <v>0</v>
      </c>
      <c r="AR354" s="29" t="str">
        <f ca="1">IFERROR(__xludf.DUMMYFUNCTION("iferror(if(regexmatch(AO354, ""(?i)^registered""), if(EE354 &lt;&gt; ""polity_shortest_name"", ""CHECK_POLITY"", index(filter(SmartStatus!B$2:B1000, AM354 = SmartStatus!A$2:A1000, not(SmartStatus!C$2:C1000), (isblank(SmartStatus!D$2:D1000)) + ((P354 &lt;&gt; """") * "&amp;"(P354 &lt; SmartStatus!D$2:D1000)), (isblank(SmartStatus!E$2:E1000)) + ((P354 &lt;&gt; """") * (P354 &gt;= SmartStatus!E$2:E1000)), (isblank(SmartStatus!F$2:F1000)) + (((Q354 &lt;&gt; """") * (Q354 &lt; SmartStatus!F$2:F1000)) + ((P354 &lt;&gt; """") * (date(year(P354) + 3, month(P"&amp;"354), day(P354)) &lt; SmartStatus!F$2:F1000))), (isblank(SmartStatus!G$2:G1000)) + (((Q354 &lt;&gt; """") * (Q354 &gt;= SmartStatus!G$2:G1000)) + ((P354 &lt;&gt; """") * (P354 &gt;= SmartStatus!G$2:G1000)))), if(or(regexmatch(B354, ""(?i)^ir [a-z]+ designation$""), N354 &lt;&gt; """&amp;"""), 1, 2))), """"), ""NO_MATCH"")"),"")</f>
        <v/>
      </c>
      <c r="AS354" s="11"/>
      <c r="AT354" s="15"/>
      <c r="AU354" s="11"/>
      <c r="AV354" s="11"/>
      <c r="AW354" s="15"/>
      <c r="AX354" s="15"/>
      <c r="AY354" s="15"/>
      <c r="AZ354" s="11"/>
      <c r="BA354" s="15"/>
      <c r="BB354" s="11"/>
      <c r="BC354" s="11"/>
      <c r="BD354" s="15"/>
      <c r="BE354" s="11"/>
      <c r="BF354" s="11"/>
      <c r="BG354" s="15"/>
      <c r="BH354" s="15"/>
      <c r="BI354" s="15"/>
      <c r="BJ354" s="11"/>
      <c r="BK354" s="15"/>
      <c r="BL354" s="11"/>
      <c r="BM354" s="11"/>
      <c r="BN354" s="15"/>
      <c r="BO354" s="11"/>
      <c r="BP354" s="11"/>
      <c r="BQ354" s="15"/>
      <c r="BR354" s="15"/>
      <c r="BS354" s="15"/>
      <c r="BT354" s="11"/>
      <c r="BU354" s="15"/>
      <c r="BV354" s="11"/>
      <c r="BW354" s="11"/>
      <c r="BX354" s="15"/>
      <c r="BY354" s="11"/>
      <c r="BZ354" s="11"/>
      <c r="CA354" s="15"/>
      <c r="CB354" s="11"/>
      <c r="CC354" s="15"/>
      <c r="CD354" s="11"/>
      <c r="CE354" s="15"/>
      <c r="CF354" s="11"/>
      <c r="CG354" s="11"/>
      <c r="CH354" s="15"/>
      <c r="CI354" s="11"/>
      <c r="CJ354" s="11"/>
      <c r="CK354" s="15"/>
      <c r="CL354" s="11"/>
      <c r="CM354" s="11"/>
      <c r="CN354" s="11"/>
      <c r="CO354" s="11"/>
      <c r="CP354" s="28"/>
      <c r="CQ354" s="28"/>
      <c r="CR354" s="11"/>
      <c r="CS354" s="29"/>
      <c r="CT354" s="11"/>
      <c r="CU354" s="11"/>
      <c r="CV354" s="11"/>
      <c r="CW354" s="11"/>
      <c r="CX354" s="11"/>
      <c r="CY354" s="11"/>
      <c r="CZ354" s="11"/>
      <c r="DA354" s="28"/>
      <c r="DB354" s="28"/>
      <c r="DC354" s="11"/>
      <c r="DD354" s="29"/>
      <c r="DE354" s="11"/>
      <c r="DF354" s="11"/>
      <c r="DG354" s="11"/>
      <c r="DH354" s="11"/>
      <c r="DI354" s="11"/>
      <c r="DJ354" s="11"/>
      <c r="DK354" s="26"/>
      <c r="DL354" s="11"/>
      <c r="DM354" s="29"/>
      <c r="DN354" s="28"/>
      <c r="DO354" s="11"/>
      <c r="DP354" s="11"/>
      <c r="DQ354" s="11"/>
      <c r="DR354" s="29"/>
      <c r="DS354" s="28"/>
      <c r="DT354" s="11"/>
      <c r="DU354" s="26"/>
      <c r="DV354" s="11"/>
      <c r="DW354" s="29"/>
      <c r="DX354" s="28"/>
      <c r="DY354" s="11"/>
      <c r="DZ354" s="26"/>
      <c r="EA354" s="11"/>
      <c r="EB354" s="29"/>
      <c r="EC354" s="28"/>
      <c r="ED354" s="30"/>
      <c r="EE354" s="30" t="str">
        <f ca="1">IFERROR(__xludf.DUMMYFUNCTION("iferror(index(filter('Internal -- Trademark Countries'!E$2:E1000, (AM354 = 'Internal -- Trademark Countries'!B$2:B1000) + (AM354 = 'Internal -- Trademark Countries'!C$2:C1000) + (AM354 = 'Internal -- Trademark Countries'!D$2:D1000)), 1))"),"")</f>
        <v/>
      </c>
      <c r="EF354" s="30" t="e">
        <f ca="1">_xludf.ifs(AM354="", "", COUNTIF('Internal -- Trademark Countries'!B:B,AM354) &gt; 0, "polity_shortest_name", COUNTIF('Internal -- Trademark Countries'!C:C,AM354) &gt; 0, "polity_full_name", COUNTIF('Internal -- Trademark Countries'!D:D,AM354) &gt; 0, "polity_common_name", COUNTIF('Internal -- Trademark Countries'!E:E,AM354) &gt; 0, "shortest_name", COUNTIF('Internal -- Trademark Countries'!A:A,AM354) &gt; 0, "full_name", TRUE, "not a match")</f>
        <v>#NAME?</v>
      </c>
      <c r="EG354" s="30"/>
      <c r="EH354" s="30"/>
      <c r="EI354" s="30"/>
      <c r="EJ354" s="30"/>
      <c r="EK354" s="30" t="str">
        <f t="shared" si="3"/>
        <v/>
      </c>
    </row>
    <row r="355" spans="1:141" ht="16.5">
      <c r="A355" s="11"/>
      <c r="B355" s="11"/>
      <c r="C355" s="11"/>
      <c r="D355" s="11"/>
      <c r="E355" s="11"/>
      <c r="F355" s="11"/>
      <c r="G355" s="11"/>
      <c r="H355" s="11"/>
      <c r="I355" s="11"/>
      <c r="J355" s="11"/>
      <c r="K355" s="27"/>
      <c r="L355" s="11"/>
      <c r="M355" s="11"/>
      <c r="N355" s="11"/>
      <c r="O355" s="11"/>
      <c r="P355" s="15"/>
      <c r="Q355" s="15"/>
      <c r="R355" s="15"/>
      <c r="S355" s="15"/>
      <c r="T355" s="15"/>
      <c r="U355" s="15"/>
      <c r="V355" s="15"/>
      <c r="W355" s="47"/>
      <c r="X355" s="11"/>
      <c r="Y355" s="48"/>
      <c r="Z355" s="11"/>
      <c r="AA355" s="48"/>
      <c r="AB355" s="11"/>
      <c r="AC355" s="48"/>
      <c r="AD355" s="11"/>
      <c r="AE355" s="47"/>
      <c r="AF355" s="11"/>
      <c r="AG355" s="48"/>
      <c r="AH355" s="11"/>
      <c r="AI355" s="48"/>
      <c r="AJ355" s="11"/>
      <c r="AK355" s="48"/>
      <c r="AL355" s="11"/>
      <c r="AM355" s="49"/>
      <c r="AN355" s="49"/>
      <c r="AO355" s="11"/>
      <c r="AP355" s="11"/>
      <c r="AQ355" s="28" t="b">
        <f>IF(COUNTIF(SmartStatus!A$2:A1000, AM355) &gt; 2, TRUE, FALSE)</f>
        <v>0</v>
      </c>
      <c r="AR355" s="29" t="str">
        <f ca="1">IFERROR(__xludf.DUMMYFUNCTION("iferror(if(regexmatch(AO355, ""(?i)^registered""), if(EE355 &lt;&gt; ""polity_shortest_name"", ""CHECK_POLITY"", index(filter(SmartStatus!B$2:B1000, AM355 = SmartStatus!A$2:A1000, not(SmartStatus!C$2:C1000), (isblank(SmartStatus!D$2:D1000)) + ((P355 &lt;&gt; """") * "&amp;"(P355 &lt; SmartStatus!D$2:D1000)), (isblank(SmartStatus!E$2:E1000)) + ((P355 &lt;&gt; """") * (P355 &gt;= SmartStatus!E$2:E1000)), (isblank(SmartStatus!F$2:F1000)) + (((Q355 &lt;&gt; """") * (Q355 &lt; SmartStatus!F$2:F1000)) + ((P355 &lt;&gt; """") * (date(year(P355) + 3, month(P"&amp;"355), day(P355)) &lt; SmartStatus!F$2:F1000))), (isblank(SmartStatus!G$2:G1000)) + (((Q355 &lt;&gt; """") * (Q355 &gt;= SmartStatus!G$2:G1000)) + ((P355 &lt;&gt; """") * (P355 &gt;= SmartStatus!G$2:G1000)))), if(or(regexmatch(B355, ""(?i)^ir [a-z]+ designation$""), N355 &lt;&gt; """&amp;"""), 1, 2))), """"), ""NO_MATCH"")"),"")</f>
        <v/>
      </c>
      <c r="AS355" s="11"/>
      <c r="AT355" s="15"/>
      <c r="AU355" s="11"/>
      <c r="AV355" s="11"/>
      <c r="AW355" s="15"/>
      <c r="AX355" s="15"/>
      <c r="AY355" s="15"/>
      <c r="AZ355" s="11"/>
      <c r="BA355" s="15"/>
      <c r="BB355" s="11"/>
      <c r="BC355" s="11"/>
      <c r="BD355" s="15"/>
      <c r="BE355" s="11"/>
      <c r="BF355" s="11"/>
      <c r="BG355" s="15"/>
      <c r="BH355" s="15"/>
      <c r="BI355" s="15"/>
      <c r="BJ355" s="11"/>
      <c r="BK355" s="15"/>
      <c r="BL355" s="11"/>
      <c r="BM355" s="11"/>
      <c r="BN355" s="15"/>
      <c r="BO355" s="11"/>
      <c r="BP355" s="11"/>
      <c r="BQ355" s="15"/>
      <c r="BR355" s="15"/>
      <c r="BS355" s="15"/>
      <c r="BT355" s="11"/>
      <c r="BU355" s="15"/>
      <c r="BV355" s="11"/>
      <c r="BW355" s="11"/>
      <c r="BX355" s="15"/>
      <c r="BY355" s="11"/>
      <c r="BZ355" s="11"/>
      <c r="CA355" s="15"/>
      <c r="CB355" s="11"/>
      <c r="CC355" s="15"/>
      <c r="CD355" s="11"/>
      <c r="CE355" s="15"/>
      <c r="CF355" s="11"/>
      <c r="CG355" s="11"/>
      <c r="CH355" s="15"/>
      <c r="CI355" s="11"/>
      <c r="CJ355" s="11"/>
      <c r="CK355" s="15"/>
      <c r="CL355" s="11"/>
      <c r="CM355" s="11"/>
      <c r="CN355" s="11"/>
      <c r="CO355" s="11"/>
      <c r="CP355" s="28"/>
      <c r="CQ355" s="28"/>
      <c r="CR355" s="11"/>
      <c r="CS355" s="29"/>
      <c r="CT355" s="11"/>
      <c r="CU355" s="11"/>
      <c r="CV355" s="11"/>
      <c r="CW355" s="11"/>
      <c r="CX355" s="11"/>
      <c r="CY355" s="11"/>
      <c r="CZ355" s="11"/>
      <c r="DA355" s="28"/>
      <c r="DB355" s="28"/>
      <c r="DC355" s="11"/>
      <c r="DD355" s="29"/>
      <c r="DE355" s="11"/>
      <c r="DF355" s="11"/>
      <c r="DG355" s="11"/>
      <c r="DH355" s="11"/>
      <c r="DI355" s="11"/>
      <c r="DJ355" s="11"/>
      <c r="DK355" s="26"/>
      <c r="DL355" s="11"/>
      <c r="DM355" s="29"/>
      <c r="DN355" s="28"/>
      <c r="DO355" s="11"/>
      <c r="DP355" s="11"/>
      <c r="DQ355" s="11"/>
      <c r="DR355" s="29"/>
      <c r="DS355" s="28"/>
      <c r="DT355" s="11"/>
      <c r="DU355" s="26"/>
      <c r="DV355" s="11"/>
      <c r="DW355" s="29"/>
      <c r="DX355" s="28"/>
      <c r="DY355" s="11"/>
      <c r="DZ355" s="26"/>
      <c r="EA355" s="11"/>
      <c r="EB355" s="29"/>
      <c r="EC355" s="28"/>
      <c r="ED355" s="30"/>
      <c r="EE355" s="30" t="str">
        <f ca="1">IFERROR(__xludf.DUMMYFUNCTION("iferror(index(filter('Internal -- Trademark Countries'!E$2:E1000, (AM355 = 'Internal -- Trademark Countries'!B$2:B1000) + (AM355 = 'Internal -- Trademark Countries'!C$2:C1000) + (AM355 = 'Internal -- Trademark Countries'!D$2:D1000)), 1))"),"")</f>
        <v/>
      </c>
      <c r="EF355" s="30" t="e">
        <f ca="1">_xludf.ifs(AM355="", "", COUNTIF('Internal -- Trademark Countries'!B:B,AM355) &gt; 0, "polity_shortest_name", COUNTIF('Internal -- Trademark Countries'!C:C,AM355) &gt; 0, "polity_full_name", COUNTIF('Internal -- Trademark Countries'!D:D,AM355) &gt; 0, "polity_common_name", COUNTIF('Internal -- Trademark Countries'!E:E,AM355) &gt; 0, "shortest_name", COUNTIF('Internal -- Trademark Countries'!A:A,AM355) &gt; 0, "full_name", TRUE, "not a match")</f>
        <v>#NAME?</v>
      </c>
      <c r="EG355" s="30"/>
      <c r="EH355" s="30"/>
      <c r="EI355" s="30"/>
      <c r="EJ355" s="30"/>
      <c r="EK355" s="30" t="str">
        <f t="shared" si="3"/>
        <v/>
      </c>
    </row>
    <row r="356" spans="1:141" ht="16.5">
      <c r="A356" s="11"/>
      <c r="B356" s="11"/>
      <c r="C356" s="11"/>
      <c r="D356" s="11"/>
      <c r="E356" s="11"/>
      <c r="F356" s="11"/>
      <c r="G356" s="11"/>
      <c r="H356" s="11"/>
      <c r="I356" s="11"/>
      <c r="J356" s="11"/>
      <c r="K356" s="27"/>
      <c r="L356" s="11"/>
      <c r="M356" s="11"/>
      <c r="N356" s="11"/>
      <c r="O356" s="11"/>
      <c r="P356" s="15"/>
      <c r="Q356" s="15"/>
      <c r="R356" s="15"/>
      <c r="S356" s="15"/>
      <c r="T356" s="15"/>
      <c r="U356" s="15"/>
      <c r="V356" s="15"/>
      <c r="W356" s="47"/>
      <c r="X356" s="11"/>
      <c r="Y356" s="48"/>
      <c r="Z356" s="11"/>
      <c r="AA356" s="48"/>
      <c r="AB356" s="11"/>
      <c r="AC356" s="48"/>
      <c r="AD356" s="11"/>
      <c r="AE356" s="47"/>
      <c r="AF356" s="11"/>
      <c r="AG356" s="48"/>
      <c r="AH356" s="11"/>
      <c r="AI356" s="48"/>
      <c r="AJ356" s="11"/>
      <c r="AK356" s="48"/>
      <c r="AL356" s="11"/>
      <c r="AM356" s="49"/>
      <c r="AN356" s="49"/>
      <c r="AO356" s="11"/>
      <c r="AP356" s="11"/>
      <c r="AQ356" s="28" t="b">
        <f>IF(COUNTIF(SmartStatus!A$2:A1000, AM356) &gt; 2, TRUE, FALSE)</f>
        <v>0</v>
      </c>
      <c r="AR356" s="29" t="str">
        <f ca="1">IFERROR(__xludf.DUMMYFUNCTION("iferror(if(regexmatch(AO356, ""(?i)^registered""), if(EE356 &lt;&gt; ""polity_shortest_name"", ""CHECK_POLITY"", index(filter(SmartStatus!B$2:B1000, AM356 = SmartStatus!A$2:A1000, not(SmartStatus!C$2:C1000), (isblank(SmartStatus!D$2:D1000)) + ((P356 &lt;&gt; """") * "&amp;"(P356 &lt; SmartStatus!D$2:D1000)), (isblank(SmartStatus!E$2:E1000)) + ((P356 &lt;&gt; """") * (P356 &gt;= SmartStatus!E$2:E1000)), (isblank(SmartStatus!F$2:F1000)) + (((Q356 &lt;&gt; """") * (Q356 &lt; SmartStatus!F$2:F1000)) + ((P356 &lt;&gt; """") * (date(year(P356) + 3, month(P"&amp;"356), day(P356)) &lt; SmartStatus!F$2:F1000))), (isblank(SmartStatus!G$2:G1000)) + (((Q356 &lt;&gt; """") * (Q356 &gt;= SmartStatus!G$2:G1000)) + ((P356 &lt;&gt; """") * (P356 &gt;= SmartStatus!G$2:G1000)))), if(or(regexmatch(B356, ""(?i)^ir [a-z]+ designation$""), N356 &lt;&gt; """&amp;"""), 1, 2))), """"), ""NO_MATCH"")"),"")</f>
        <v/>
      </c>
      <c r="AS356" s="11"/>
      <c r="AT356" s="15"/>
      <c r="AU356" s="11"/>
      <c r="AV356" s="11"/>
      <c r="AW356" s="15"/>
      <c r="AX356" s="15"/>
      <c r="AY356" s="15"/>
      <c r="AZ356" s="11"/>
      <c r="BA356" s="15"/>
      <c r="BB356" s="11"/>
      <c r="BC356" s="11"/>
      <c r="BD356" s="15"/>
      <c r="BE356" s="11"/>
      <c r="BF356" s="11"/>
      <c r="BG356" s="15"/>
      <c r="BH356" s="15"/>
      <c r="BI356" s="15"/>
      <c r="BJ356" s="11"/>
      <c r="BK356" s="15"/>
      <c r="BL356" s="11"/>
      <c r="BM356" s="11"/>
      <c r="BN356" s="15"/>
      <c r="BO356" s="11"/>
      <c r="BP356" s="11"/>
      <c r="BQ356" s="15"/>
      <c r="BR356" s="15"/>
      <c r="BS356" s="15"/>
      <c r="BT356" s="11"/>
      <c r="BU356" s="15"/>
      <c r="BV356" s="11"/>
      <c r="BW356" s="11"/>
      <c r="BX356" s="15"/>
      <c r="BY356" s="11"/>
      <c r="BZ356" s="11"/>
      <c r="CA356" s="15"/>
      <c r="CB356" s="11"/>
      <c r="CC356" s="15"/>
      <c r="CD356" s="11"/>
      <c r="CE356" s="15"/>
      <c r="CF356" s="11"/>
      <c r="CG356" s="11"/>
      <c r="CH356" s="15"/>
      <c r="CI356" s="11"/>
      <c r="CJ356" s="11"/>
      <c r="CK356" s="15"/>
      <c r="CL356" s="11"/>
      <c r="CM356" s="11"/>
      <c r="CN356" s="11"/>
      <c r="CO356" s="11"/>
      <c r="CP356" s="28"/>
      <c r="CQ356" s="28"/>
      <c r="CR356" s="11"/>
      <c r="CS356" s="29"/>
      <c r="CT356" s="11"/>
      <c r="CU356" s="11"/>
      <c r="CV356" s="11"/>
      <c r="CW356" s="11"/>
      <c r="CX356" s="11"/>
      <c r="CY356" s="11"/>
      <c r="CZ356" s="11"/>
      <c r="DA356" s="28"/>
      <c r="DB356" s="28"/>
      <c r="DC356" s="11"/>
      <c r="DD356" s="29"/>
      <c r="DE356" s="11"/>
      <c r="DF356" s="11"/>
      <c r="DG356" s="11"/>
      <c r="DH356" s="11"/>
      <c r="DI356" s="11"/>
      <c r="DJ356" s="11"/>
      <c r="DK356" s="26"/>
      <c r="DL356" s="11"/>
      <c r="DM356" s="29"/>
      <c r="DN356" s="28"/>
      <c r="DO356" s="11"/>
      <c r="DP356" s="11"/>
      <c r="DQ356" s="11"/>
      <c r="DR356" s="29"/>
      <c r="DS356" s="28"/>
      <c r="DT356" s="11"/>
      <c r="DU356" s="26"/>
      <c r="DV356" s="11"/>
      <c r="DW356" s="29"/>
      <c r="DX356" s="28"/>
      <c r="DY356" s="11"/>
      <c r="DZ356" s="26"/>
      <c r="EA356" s="11"/>
      <c r="EB356" s="29"/>
      <c r="EC356" s="28"/>
      <c r="ED356" s="30"/>
      <c r="EE356" s="30" t="str">
        <f ca="1">IFERROR(__xludf.DUMMYFUNCTION("iferror(index(filter('Internal -- Trademark Countries'!E$2:E1000, (AM356 = 'Internal -- Trademark Countries'!B$2:B1000) + (AM356 = 'Internal -- Trademark Countries'!C$2:C1000) + (AM356 = 'Internal -- Trademark Countries'!D$2:D1000)), 1))"),"")</f>
        <v/>
      </c>
      <c r="EF356" s="30" t="e">
        <f ca="1">_xludf.ifs(AM356="", "", COUNTIF('Internal -- Trademark Countries'!B:B,AM356) &gt; 0, "polity_shortest_name", COUNTIF('Internal -- Trademark Countries'!C:C,AM356) &gt; 0, "polity_full_name", COUNTIF('Internal -- Trademark Countries'!D:D,AM356) &gt; 0, "polity_common_name", COUNTIF('Internal -- Trademark Countries'!E:E,AM356) &gt; 0, "shortest_name", COUNTIF('Internal -- Trademark Countries'!A:A,AM356) &gt; 0, "full_name", TRUE, "not a match")</f>
        <v>#NAME?</v>
      </c>
      <c r="EG356" s="30"/>
      <c r="EH356" s="30"/>
      <c r="EI356" s="30"/>
      <c r="EJ356" s="30"/>
      <c r="EK356" s="30" t="str">
        <f t="shared" si="3"/>
        <v/>
      </c>
    </row>
    <row r="357" spans="1:141" ht="16.5">
      <c r="A357" s="11"/>
      <c r="B357" s="11"/>
      <c r="C357" s="11"/>
      <c r="D357" s="11"/>
      <c r="E357" s="11"/>
      <c r="F357" s="11"/>
      <c r="G357" s="11"/>
      <c r="H357" s="11"/>
      <c r="I357" s="11"/>
      <c r="J357" s="11"/>
      <c r="K357" s="27"/>
      <c r="L357" s="11"/>
      <c r="M357" s="11"/>
      <c r="N357" s="11"/>
      <c r="O357" s="11"/>
      <c r="P357" s="15"/>
      <c r="Q357" s="15"/>
      <c r="R357" s="15"/>
      <c r="S357" s="15"/>
      <c r="T357" s="15"/>
      <c r="U357" s="15"/>
      <c r="V357" s="15"/>
      <c r="W357" s="47"/>
      <c r="X357" s="11"/>
      <c r="Y357" s="48"/>
      <c r="Z357" s="11"/>
      <c r="AA357" s="48"/>
      <c r="AB357" s="11"/>
      <c r="AC357" s="48"/>
      <c r="AD357" s="11"/>
      <c r="AE357" s="47"/>
      <c r="AF357" s="11"/>
      <c r="AG357" s="48"/>
      <c r="AH357" s="11"/>
      <c r="AI357" s="48"/>
      <c r="AJ357" s="11"/>
      <c r="AK357" s="48"/>
      <c r="AL357" s="11"/>
      <c r="AM357" s="49"/>
      <c r="AN357" s="49"/>
      <c r="AO357" s="11"/>
      <c r="AP357" s="11"/>
      <c r="AQ357" s="28" t="b">
        <f>IF(COUNTIF(SmartStatus!A$2:A1000, AM357) &gt; 2, TRUE, FALSE)</f>
        <v>0</v>
      </c>
      <c r="AR357" s="29" t="str">
        <f ca="1">IFERROR(__xludf.DUMMYFUNCTION("iferror(if(regexmatch(AO357, ""(?i)^registered""), if(EE357 &lt;&gt; ""polity_shortest_name"", ""CHECK_POLITY"", index(filter(SmartStatus!B$2:B1000, AM357 = SmartStatus!A$2:A1000, not(SmartStatus!C$2:C1000), (isblank(SmartStatus!D$2:D1000)) + ((P357 &lt;&gt; """") * "&amp;"(P357 &lt; SmartStatus!D$2:D1000)), (isblank(SmartStatus!E$2:E1000)) + ((P357 &lt;&gt; """") * (P357 &gt;= SmartStatus!E$2:E1000)), (isblank(SmartStatus!F$2:F1000)) + (((Q357 &lt;&gt; """") * (Q357 &lt; SmartStatus!F$2:F1000)) + ((P357 &lt;&gt; """") * (date(year(P357) + 3, month(P"&amp;"357), day(P357)) &lt; SmartStatus!F$2:F1000))), (isblank(SmartStatus!G$2:G1000)) + (((Q357 &lt;&gt; """") * (Q357 &gt;= SmartStatus!G$2:G1000)) + ((P357 &lt;&gt; """") * (P357 &gt;= SmartStatus!G$2:G1000)))), if(or(regexmatch(B357, ""(?i)^ir [a-z]+ designation$""), N357 &lt;&gt; """&amp;"""), 1, 2))), """"), ""NO_MATCH"")"),"")</f>
        <v/>
      </c>
      <c r="AS357" s="11"/>
      <c r="AT357" s="15"/>
      <c r="AU357" s="11"/>
      <c r="AV357" s="11"/>
      <c r="AW357" s="15"/>
      <c r="AX357" s="15"/>
      <c r="AY357" s="15"/>
      <c r="AZ357" s="11"/>
      <c r="BA357" s="15"/>
      <c r="BB357" s="11"/>
      <c r="BC357" s="11"/>
      <c r="BD357" s="15"/>
      <c r="BE357" s="11"/>
      <c r="BF357" s="11"/>
      <c r="BG357" s="15"/>
      <c r="BH357" s="15"/>
      <c r="BI357" s="15"/>
      <c r="BJ357" s="11"/>
      <c r="BK357" s="15"/>
      <c r="BL357" s="11"/>
      <c r="BM357" s="11"/>
      <c r="BN357" s="15"/>
      <c r="BO357" s="11"/>
      <c r="BP357" s="11"/>
      <c r="BQ357" s="15"/>
      <c r="BR357" s="15"/>
      <c r="BS357" s="15"/>
      <c r="BT357" s="11"/>
      <c r="BU357" s="15"/>
      <c r="BV357" s="11"/>
      <c r="BW357" s="11"/>
      <c r="BX357" s="15"/>
      <c r="BY357" s="11"/>
      <c r="BZ357" s="11"/>
      <c r="CA357" s="15"/>
      <c r="CB357" s="11"/>
      <c r="CC357" s="15"/>
      <c r="CD357" s="11"/>
      <c r="CE357" s="15"/>
      <c r="CF357" s="11"/>
      <c r="CG357" s="11"/>
      <c r="CH357" s="15"/>
      <c r="CI357" s="11"/>
      <c r="CJ357" s="11"/>
      <c r="CK357" s="15"/>
      <c r="CL357" s="11"/>
      <c r="CM357" s="11"/>
      <c r="CN357" s="11"/>
      <c r="CO357" s="11"/>
      <c r="CP357" s="28"/>
      <c r="CQ357" s="28"/>
      <c r="CR357" s="11"/>
      <c r="CS357" s="29"/>
      <c r="CT357" s="11"/>
      <c r="CU357" s="11"/>
      <c r="CV357" s="11"/>
      <c r="CW357" s="11"/>
      <c r="CX357" s="11"/>
      <c r="CY357" s="11"/>
      <c r="CZ357" s="11"/>
      <c r="DA357" s="28"/>
      <c r="DB357" s="28"/>
      <c r="DC357" s="11"/>
      <c r="DD357" s="29"/>
      <c r="DE357" s="11"/>
      <c r="DF357" s="11"/>
      <c r="DG357" s="11"/>
      <c r="DH357" s="11"/>
      <c r="DI357" s="11"/>
      <c r="DJ357" s="11"/>
      <c r="DK357" s="26"/>
      <c r="DL357" s="11"/>
      <c r="DM357" s="29"/>
      <c r="DN357" s="28"/>
      <c r="DO357" s="11"/>
      <c r="DP357" s="11"/>
      <c r="DQ357" s="11"/>
      <c r="DR357" s="29"/>
      <c r="DS357" s="28"/>
      <c r="DT357" s="11"/>
      <c r="DU357" s="26"/>
      <c r="DV357" s="11"/>
      <c r="DW357" s="29"/>
      <c r="DX357" s="28"/>
      <c r="DY357" s="11"/>
      <c r="DZ357" s="26"/>
      <c r="EA357" s="11"/>
      <c r="EB357" s="29"/>
      <c r="EC357" s="28"/>
      <c r="ED357" s="30"/>
      <c r="EE357" s="30" t="str">
        <f ca="1">IFERROR(__xludf.DUMMYFUNCTION("iferror(index(filter('Internal -- Trademark Countries'!E$2:E1000, (AM357 = 'Internal -- Trademark Countries'!B$2:B1000) + (AM357 = 'Internal -- Trademark Countries'!C$2:C1000) + (AM357 = 'Internal -- Trademark Countries'!D$2:D1000)), 1))"),"")</f>
        <v/>
      </c>
      <c r="EF357" s="30" t="e">
        <f ca="1">_xludf.ifs(AM357="", "", COUNTIF('Internal -- Trademark Countries'!B:B,AM357) &gt; 0, "polity_shortest_name", COUNTIF('Internal -- Trademark Countries'!C:C,AM357) &gt; 0, "polity_full_name", COUNTIF('Internal -- Trademark Countries'!D:D,AM357) &gt; 0, "polity_common_name", COUNTIF('Internal -- Trademark Countries'!E:E,AM357) &gt; 0, "shortest_name", COUNTIF('Internal -- Trademark Countries'!A:A,AM357) &gt; 0, "full_name", TRUE, "not a match")</f>
        <v>#NAME?</v>
      </c>
      <c r="EG357" s="30"/>
      <c r="EH357" s="30"/>
      <c r="EI357" s="30"/>
      <c r="EJ357" s="30"/>
      <c r="EK357" s="30" t="str">
        <f t="shared" si="3"/>
        <v/>
      </c>
    </row>
    <row r="358" spans="1:141" ht="16.5">
      <c r="A358" s="11"/>
      <c r="B358" s="11"/>
      <c r="C358" s="11"/>
      <c r="D358" s="11"/>
      <c r="E358" s="11"/>
      <c r="F358" s="11"/>
      <c r="G358" s="11"/>
      <c r="H358" s="11"/>
      <c r="I358" s="11"/>
      <c r="J358" s="11"/>
      <c r="K358" s="27"/>
      <c r="L358" s="11"/>
      <c r="M358" s="11"/>
      <c r="N358" s="11"/>
      <c r="O358" s="11"/>
      <c r="P358" s="15"/>
      <c r="Q358" s="15"/>
      <c r="R358" s="15"/>
      <c r="S358" s="15"/>
      <c r="T358" s="15"/>
      <c r="U358" s="15"/>
      <c r="V358" s="15"/>
      <c r="W358" s="47"/>
      <c r="X358" s="11"/>
      <c r="Y358" s="48"/>
      <c r="Z358" s="11"/>
      <c r="AA358" s="48"/>
      <c r="AB358" s="11"/>
      <c r="AC358" s="48"/>
      <c r="AD358" s="11"/>
      <c r="AE358" s="47"/>
      <c r="AF358" s="11"/>
      <c r="AG358" s="48"/>
      <c r="AH358" s="11"/>
      <c r="AI358" s="48"/>
      <c r="AJ358" s="11"/>
      <c r="AK358" s="48"/>
      <c r="AL358" s="11"/>
      <c r="AM358" s="49"/>
      <c r="AN358" s="49"/>
      <c r="AO358" s="11"/>
      <c r="AP358" s="11"/>
      <c r="AQ358" s="28" t="b">
        <f>IF(COUNTIF(SmartStatus!A$2:A1000, AM358) &gt; 2, TRUE, FALSE)</f>
        <v>0</v>
      </c>
      <c r="AR358" s="29" t="str">
        <f ca="1">IFERROR(__xludf.DUMMYFUNCTION("iferror(if(regexmatch(AO358, ""(?i)^registered""), if(EE358 &lt;&gt; ""polity_shortest_name"", ""CHECK_POLITY"", index(filter(SmartStatus!B$2:B1000, AM358 = SmartStatus!A$2:A1000, not(SmartStatus!C$2:C1000), (isblank(SmartStatus!D$2:D1000)) + ((P358 &lt;&gt; """") * "&amp;"(P358 &lt; SmartStatus!D$2:D1000)), (isblank(SmartStatus!E$2:E1000)) + ((P358 &lt;&gt; """") * (P358 &gt;= SmartStatus!E$2:E1000)), (isblank(SmartStatus!F$2:F1000)) + (((Q358 &lt;&gt; """") * (Q358 &lt; SmartStatus!F$2:F1000)) + ((P358 &lt;&gt; """") * (date(year(P358) + 3, month(P"&amp;"358), day(P358)) &lt; SmartStatus!F$2:F1000))), (isblank(SmartStatus!G$2:G1000)) + (((Q358 &lt;&gt; """") * (Q358 &gt;= SmartStatus!G$2:G1000)) + ((P358 &lt;&gt; """") * (P358 &gt;= SmartStatus!G$2:G1000)))), if(or(regexmatch(B358, ""(?i)^ir [a-z]+ designation$""), N358 &lt;&gt; """&amp;"""), 1, 2))), """"), ""NO_MATCH"")"),"")</f>
        <v/>
      </c>
      <c r="AS358" s="11"/>
      <c r="AT358" s="15"/>
      <c r="AU358" s="11"/>
      <c r="AV358" s="11"/>
      <c r="AW358" s="15"/>
      <c r="AX358" s="15"/>
      <c r="AY358" s="15"/>
      <c r="AZ358" s="11"/>
      <c r="BA358" s="15"/>
      <c r="BB358" s="11"/>
      <c r="BC358" s="11"/>
      <c r="BD358" s="15"/>
      <c r="BE358" s="11"/>
      <c r="BF358" s="11"/>
      <c r="BG358" s="15"/>
      <c r="BH358" s="15"/>
      <c r="BI358" s="15"/>
      <c r="BJ358" s="11"/>
      <c r="BK358" s="15"/>
      <c r="BL358" s="11"/>
      <c r="BM358" s="11"/>
      <c r="BN358" s="15"/>
      <c r="BO358" s="11"/>
      <c r="BP358" s="11"/>
      <c r="BQ358" s="15"/>
      <c r="BR358" s="15"/>
      <c r="BS358" s="15"/>
      <c r="BT358" s="11"/>
      <c r="BU358" s="15"/>
      <c r="BV358" s="11"/>
      <c r="BW358" s="11"/>
      <c r="BX358" s="15"/>
      <c r="BY358" s="11"/>
      <c r="BZ358" s="11"/>
      <c r="CA358" s="15"/>
      <c r="CB358" s="11"/>
      <c r="CC358" s="15"/>
      <c r="CD358" s="11"/>
      <c r="CE358" s="15"/>
      <c r="CF358" s="11"/>
      <c r="CG358" s="11"/>
      <c r="CH358" s="15"/>
      <c r="CI358" s="11"/>
      <c r="CJ358" s="11"/>
      <c r="CK358" s="15"/>
      <c r="CL358" s="11"/>
      <c r="CM358" s="11"/>
      <c r="CN358" s="11"/>
      <c r="CO358" s="11"/>
      <c r="CP358" s="28"/>
      <c r="CQ358" s="28"/>
      <c r="CR358" s="11"/>
      <c r="CS358" s="29"/>
      <c r="CT358" s="11"/>
      <c r="CU358" s="11"/>
      <c r="CV358" s="11"/>
      <c r="CW358" s="11"/>
      <c r="CX358" s="11"/>
      <c r="CY358" s="11"/>
      <c r="CZ358" s="11"/>
      <c r="DA358" s="28"/>
      <c r="DB358" s="28"/>
      <c r="DC358" s="11"/>
      <c r="DD358" s="29"/>
      <c r="DE358" s="11"/>
      <c r="DF358" s="11"/>
      <c r="DG358" s="11"/>
      <c r="DH358" s="11"/>
      <c r="DI358" s="11"/>
      <c r="DJ358" s="11"/>
      <c r="DK358" s="26"/>
      <c r="DL358" s="11"/>
      <c r="DM358" s="29"/>
      <c r="DN358" s="28"/>
      <c r="DO358" s="11"/>
      <c r="DP358" s="11"/>
      <c r="DQ358" s="11"/>
      <c r="DR358" s="29"/>
      <c r="DS358" s="28"/>
      <c r="DT358" s="11"/>
      <c r="DU358" s="26"/>
      <c r="DV358" s="11"/>
      <c r="DW358" s="29"/>
      <c r="DX358" s="28"/>
      <c r="DY358" s="11"/>
      <c r="DZ358" s="26"/>
      <c r="EA358" s="11"/>
      <c r="EB358" s="29"/>
      <c r="EC358" s="28"/>
      <c r="ED358" s="30"/>
      <c r="EE358" s="30" t="str">
        <f ca="1">IFERROR(__xludf.DUMMYFUNCTION("iferror(index(filter('Internal -- Trademark Countries'!E$2:E1000, (AM358 = 'Internal -- Trademark Countries'!B$2:B1000) + (AM358 = 'Internal -- Trademark Countries'!C$2:C1000) + (AM358 = 'Internal -- Trademark Countries'!D$2:D1000)), 1))"),"")</f>
        <v/>
      </c>
      <c r="EF358" s="30" t="e">
        <f ca="1">_xludf.ifs(AM358="", "", COUNTIF('Internal -- Trademark Countries'!B:B,AM358) &gt; 0, "polity_shortest_name", COUNTIF('Internal -- Trademark Countries'!C:C,AM358) &gt; 0, "polity_full_name", COUNTIF('Internal -- Trademark Countries'!D:D,AM358) &gt; 0, "polity_common_name", COUNTIF('Internal -- Trademark Countries'!E:E,AM358) &gt; 0, "shortest_name", COUNTIF('Internal -- Trademark Countries'!A:A,AM358) &gt; 0, "full_name", TRUE, "not a match")</f>
        <v>#NAME?</v>
      </c>
      <c r="EG358" s="30"/>
      <c r="EH358" s="30"/>
      <c r="EI358" s="30"/>
      <c r="EJ358" s="30"/>
      <c r="EK358" s="30" t="str">
        <f t="shared" si="3"/>
        <v/>
      </c>
    </row>
    <row r="359" spans="1:141" ht="16.5">
      <c r="A359" s="11"/>
      <c r="B359" s="11"/>
      <c r="C359" s="11"/>
      <c r="D359" s="11"/>
      <c r="E359" s="11"/>
      <c r="F359" s="11"/>
      <c r="G359" s="11"/>
      <c r="H359" s="11"/>
      <c r="I359" s="11"/>
      <c r="J359" s="11"/>
      <c r="K359" s="27"/>
      <c r="L359" s="11"/>
      <c r="M359" s="11"/>
      <c r="N359" s="11"/>
      <c r="O359" s="11"/>
      <c r="P359" s="15"/>
      <c r="Q359" s="15"/>
      <c r="R359" s="15"/>
      <c r="S359" s="15"/>
      <c r="T359" s="15"/>
      <c r="U359" s="15"/>
      <c r="V359" s="15"/>
      <c r="W359" s="47"/>
      <c r="X359" s="11"/>
      <c r="Y359" s="48"/>
      <c r="Z359" s="11"/>
      <c r="AA359" s="48"/>
      <c r="AB359" s="11"/>
      <c r="AC359" s="48"/>
      <c r="AD359" s="11"/>
      <c r="AE359" s="47"/>
      <c r="AF359" s="11"/>
      <c r="AG359" s="48"/>
      <c r="AH359" s="11"/>
      <c r="AI359" s="48"/>
      <c r="AJ359" s="11"/>
      <c r="AK359" s="48"/>
      <c r="AL359" s="11"/>
      <c r="AM359" s="49"/>
      <c r="AN359" s="49"/>
      <c r="AO359" s="11"/>
      <c r="AP359" s="11"/>
      <c r="AQ359" s="28" t="b">
        <f>IF(COUNTIF(SmartStatus!A$2:A1000, AM359) &gt; 2, TRUE, FALSE)</f>
        <v>0</v>
      </c>
      <c r="AR359" s="29" t="str">
        <f ca="1">IFERROR(__xludf.DUMMYFUNCTION("iferror(if(regexmatch(AO359, ""(?i)^registered""), if(EE359 &lt;&gt; ""polity_shortest_name"", ""CHECK_POLITY"", index(filter(SmartStatus!B$2:B1000, AM359 = SmartStatus!A$2:A1000, not(SmartStatus!C$2:C1000), (isblank(SmartStatus!D$2:D1000)) + ((P359 &lt;&gt; """") * "&amp;"(P359 &lt; SmartStatus!D$2:D1000)), (isblank(SmartStatus!E$2:E1000)) + ((P359 &lt;&gt; """") * (P359 &gt;= SmartStatus!E$2:E1000)), (isblank(SmartStatus!F$2:F1000)) + (((Q359 &lt;&gt; """") * (Q359 &lt; SmartStatus!F$2:F1000)) + ((P359 &lt;&gt; """") * (date(year(P359) + 3, month(P"&amp;"359), day(P359)) &lt; SmartStatus!F$2:F1000))), (isblank(SmartStatus!G$2:G1000)) + (((Q359 &lt;&gt; """") * (Q359 &gt;= SmartStatus!G$2:G1000)) + ((P359 &lt;&gt; """") * (P359 &gt;= SmartStatus!G$2:G1000)))), if(or(regexmatch(B359, ""(?i)^ir [a-z]+ designation$""), N359 &lt;&gt; """&amp;"""), 1, 2))), """"), ""NO_MATCH"")"),"")</f>
        <v/>
      </c>
      <c r="AS359" s="11"/>
      <c r="AT359" s="15"/>
      <c r="AU359" s="11"/>
      <c r="AV359" s="11"/>
      <c r="AW359" s="15"/>
      <c r="AX359" s="15"/>
      <c r="AY359" s="15"/>
      <c r="AZ359" s="11"/>
      <c r="BA359" s="15"/>
      <c r="BB359" s="11"/>
      <c r="BC359" s="11"/>
      <c r="BD359" s="15"/>
      <c r="BE359" s="11"/>
      <c r="BF359" s="11"/>
      <c r="BG359" s="15"/>
      <c r="BH359" s="15"/>
      <c r="BI359" s="15"/>
      <c r="BJ359" s="11"/>
      <c r="BK359" s="15"/>
      <c r="BL359" s="11"/>
      <c r="BM359" s="11"/>
      <c r="BN359" s="15"/>
      <c r="BO359" s="11"/>
      <c r="BP359" s="11"/>
      <c r="BQ359" s="15"/>
      <c r="BR359" s="15"/>
      <c r="BS359" s="15"/>
      <c r="BT359" s="11"/>
      <c r="BU359" s="15"/>
      <c r="BV359" s="11"/>
      <c r="BW359" s="11"/>
      <c r="BX359" s="15"/>
      <c r="BY359" s="11"/>
      <c r="BZ359" s="11"/>
      <c r="CA359" s="15"/>
      <c r="CB359" s="11"/>
      <c r="CC359" s="15"/>
      <c r="CD359" s="11"/>
      <c r="CE359" s="15"/>
      <c r="CF359" s="11"/>
      <c r="CG359" s="11"/>
      <c r="CH359" s="15"/>
      <c r="CI359" s="11"/>
      <c r="CJ359" s="11"/>
      <c r="CK359" s="15"/>
      <c r="CL359" s="11"/>
      <c r="CM359" s="11"/>
      <c r="CN359" s="11"/>
      <c r="CO359" s="11"/>
      <c r="CP359" s="28"/>
      <c r="CQ359" s="28"/>
      <c r="CR359" s="11"/>
      <c r="CS359" s="29"/>
      <c r="CT359" s="11"/>
      <c r="CU359" s="11"/>
      <c r="CV359" s="11"/>
      <c r="CW359" s="11"/>
      <c r="CX359" s="11"/>
      <c r="CY359" s="11"/>
      <c r="CZ359" s="11"/>
      <c r="DA359" s="28"/>
      <c r="DB359" s="28"/>
      <c r="DC359" s="11"/>
      <c r="DD359" s="29"/>
      <c r="DE359" s="11"/>
      <c r="DF359" s="11"/>
      <c r="DG359" s="11"/>
      <c r="DH359" s="11"/>
      <c r="DI359" s="11"/>
      <c r="DJ359" s="11"/>
      <c r="DK359" s="26"/>
      <c r="DL359" s="11"/>
      <c r="DM359" s="29"/>
      <c r="DN359" s="28"/>
      <c r="DO359" s="11"/>
      <c r="DP359" s="11"/>
      <c r="DQ359" s="11"/>
      <c r="DR359" s="29"/>
      <c r="DS359" s="28"/>
      <c r="DT359" s="11"/>
      <c r="DU359" s="26"/>
      <c r="DV359" s="11"/>
      <c r="DW359" s="29"/>
      <c r="DX359" s="28"/>
      <c r="DY359" s="11"/>
      <c r="DZ359" s="26"/>
      <c r="EA359" s="11"/>
      <c r="EB359" s="29"/>
      <c r="EC359" s="28"/>
      <c r="ED359" s="30"/>
      <c r="EE359" s="30" t="str">
        <f ca="1">IFERROR(__xludf.DUMMYFUNCTION("iferror(index(filter('Internal -- Trademark Countries'!E$2:E1000, (AM359 = 'Internal -- Trademark Countries'!B$2:B1000) + (AM359 = 'Internal -- Trademark Countries'!C$2:C1000) + (AM359 = 'Internal -- Trademark Countries'!D$2:D1000)), 1))"),"")</f>
        <v/>
      </c>
      <c r="EF359" s="30" t="e">
        <f ca="1">_xludf.ifs(AM359="", "", COUNTIF('Internal -- Trademark Countries'!B:B,AM359) &gt; 0, "polity_shortest_name", COUNTIF('Internal -- Trademark Countries'!C:C,AM359) &gt; 0, "polity_full_name", COUNTIF('Internal -- Trademark Countries'!D:D,AM359) &gt; 0, "polity_common_name", COUNTIF('Internal -- Trademark Countries'!E:E,AM359) &gt; 0, "shortest_name", COUNTIF('Internal -- Trademark Countries'!A:A,AM359) &gt; 0, "full_name", TRUE, "not a match")</f>
        <v>#NAME?</v>
      </c>
      <c r="EG359" s="30"/>
      <c r="EH359" s="30"/>
      <c r="EI359" s="30"/>
      <c r="EJ359" s="30"/>
      <c r="EK359" s="30" t="str">
        <f t="shared" si="3"/>
        <v/>
      </c>
    </row>
    <row r="360" spans="1:141" ht="16.5">
      <c r="A360" s="11"/>
      <c r="B360" s="11"/>
      <c r="C360" s="11"/>
      <c r="D360" s="11"/>
      <c r="E360" s="11"/>
      <c r="F360" s="11"/>
      <c r="G360" s="11"/>
      <c r="H360" s="11"/>
      <c r="I360" s="11"/>
      <c r="J360" s="11"/>
      <c r="K360" s="27"/>
      <c r="L360" s="11"/>
      <c r="M360" s="11"/>
      <c r="N360" s="11"/>
      <c r="O360" s="11"/>
      <c r="P360" s="15"/>
      <c r="Q360" s="15"/>
      <c r="R360" s="15"/>
      <c r="S360" s="15"/>
      <c r="T360" s="15"/>
      <c r="U360" s="15"/>
      <c r="V360" s="15"/>
      <c r="W360" s="47"/>
      <c r="X360" s="11"/>
      <c r="Y360" s="48"/>
      <c r="Z360" s="11"/>
      <c r="AA360" s="48"/>
      <c r="AB360" s="11"/>
      <c r="AC360" s="48"/>
      <c r="AD360" s="11"/>
      <c r="AE360" s="47"/>
      <c r="AF360" s="11"/>
      <c r="AG360" s="48"/>
      <c r="AH360" s="11"/>
      <c r="AI360" s="48"/>
      <c r="AJ360" s="11"/>
      <c r="AK360" s="48"/>
      <c r="AL360" s="11"/>
      <c r="AM360" s="49"/>
      <c r="AN360" s="49"/>
      <c r="AO360" s="11"/>
      <c r="AP360" s="11"/>
      <c r="AQ360" s="28" t="b">
        <f>IF(COUNTIF(SmartStatus!A$2:A1000, AM360) &gt; 2, TRUE, FALSE)</f>
        <v>0</v>
      </c>
      <c r="AR360" s="29" t="str">
        <f ca="1">IFERROR(__xludf.DUMMYFUNCTION("iferror(if(regexmatch(AO360, ""(?i)^registered""), if(EE360 &lt;&gt; ""polity_shortest_name"", ""CHECK_POLITY"", index(filter(SmartStatus!B$2:B1000, AM360 = SmartStatus!A$2:A1000, not(SmartStatus!C$2:C1000), (isblank(SmartStatus!D$2:D1000)) + ((P360 &lt;&gt; """") * "&amp;"(P360 &lt; SmartStatus!D$2:D1000)), (isblank(SmartStatus!E$2:E1000)) + ((P360 &lt;&gt; """") * (P360 &gt;= SmartStatus!E$2:E1000)), (isblank(SmartStatus!F$2:F1000)) + (((Q360 &lt;&gt; """") * (Q360 &lt; SmartStatus!F$2:F1000)) + ((P360 &lt;&gt; """") * (date(year(P360) + 3, month(P"&amp;"360), day(P360)) &lt; SmartStatus!F$2:F1000))), (isblank(SmartStatus!G$2:G1000)) + (((Q360 &lt;&gt; """") * (Q360 &gt;= SmartStatus!G$2:G1000)) + ((P360 &lt;&gt; """") * (P360 &gt;= SmartStatus!G$2:G1000)))), if(or(regexmatch(B360, ""(?i)^ir [a-z]+ designation$""), N360 &lt;&gt; """&amp;"""), 1, 2))), """"), ""NO_MATCH"")"),"")</f>
        <v/>
      </c>
      <c r="AS360" s="11"/>
      <c r="AT360" s="15"/>
      <c r="AU360" s="11"/>
      <c r="AV360" s="11"/>
      <c r="AW360" s="15"/>
      <c r="AX360" s="15"/>
      <c r="AY360" s="15"/>
      <c r="AZ360" s="11"/>
      <c r="BA360" s="15"/>
      <c r="BB360" s="11"/>
      <c r="BC360" s="11"/>
      <c r="BD360" s="15"/>
      <c r="BE360" s="11"/>
      <c r="BF360" s="11"/>
      <c r="BG360" s="15"/>
      <c r="BH360" s="15"/>
      <c r="BI360" s="15"/>
      <c r="BJ360" s="11"/>
      <c r="BK360" s="15"/>
      <c r="BL360" s="11"/>
      <c r="BM360" s="11"/>
      <c r="BN360" s="15"/>
      <c r="BO360" s="11"/>
      <c r="BP360" s="11"/>
      <c r="BQ360" s="15"/>
      <c r="BR360" s="15"/>
      <c r="BS360" s="15"/>
      <c r="BT360" s="11"/>
      <c r="BU360" s="15"/>
      <c r="BV360" s="11"/>
      <c r="BW360" s="11"/>
      <c r="BX360" s="15"/>
      <c r="BY360" s="11"/>
      <c r="BZ360" s="11"/>
      <c r="CA360" s="15"/>
      <c r="CB360" s="11"/>
      <c r="CC360" s="15"/>
      <c r="CD360" s="11"/>
      <c r="CE360" s="15"/>
      <c r="CF360" s="11"/>
      <c r="CG360" s="11"/>
      <c r="CH360" s="15"/>
      <c r="CI360" s="11"/>
      <c r="CJ360" s="11"/>
      <c r="CK360" s="15"/>
      <c r="CL360" s="11"/>
      <c r="CM360" s="11"/>
      <c r="CN360" s="11"/>
      <c r="CO360" s="11"/>
      <c r="CP360" s="28"/>
      <c r="CQ360" s="28"/>
      <c r="CR360" s="11"/>
      <c r="CS360" s="29"/>
      <c r="CT360" s="11"/>
      <c r="CU360" s="11"/>
      <c r="CV360" s="11"/>
      <c r="CW360" s="11"/>
      <c r="CX360" s="11"/>
      <c r="CY360" s="11"/>
      <c r="CZ360" s="11"/>
      <c r="DA360" s="28"/>
      <c r="DB360" s="28"/>
      <c r="DC360" s="11"/>
      <c r="DD360" s="29"/>
      <c r="DE360" s="11"/>
      <c r="DF360" s="11"/>
      <c r="DG360" s="11"/>
      <c r="DH360" s="11"/>
      <c r="DI360" s="11"/>
      <c r="DJ360" s="11"/>
      <c r="DK360" s="26"/>
      <c r="DL360" s="11"/>
      <c r="DM360" s="29"/>
      <c r="DN360" s="28"/>
      <c r="DO360" s="11"/>
      <c r="DP360" s="11"/>
      <c r="DQ360" s="11"/>
      <c r="DR360" s="29"/>
      <c r="DS360" s="28"/>
      <c r="DT360" s="11"/>
      <c r="DU360" s="26"/>
      <c r="DV360" s="11"/>
      <c r="DW360" s="29"/>
      <c r="DX360" s="28"/>
      <c r="DY360" s="11"/>
      <c r="DZ360" s="26"/>
      <c r="EA360" s="11"/>
      <c r="EB360" s="29"/>
      <c r="EC360" s="28"/>
      <c r="ED360" s="30"/>
      <c r="EE360" s="30" t="str">
        <f ca="1">IFERROR(__xludf.DUMMYFUNCTION("iferror(index(filter('Internal -- Trademark Countries'!E$2:E1000, (AM360 = 'Internal -- Trademark Countries'!B$2:B1000) + (AM360 = 'Internal -- Trademark Countries'!C$2:C1000) + (AM360 = 'Internal -- Trademark Countries'!D$2:D1000)), 1))"),"")</f>
        <v/>
      </c>
      <c r="EF360" s="30" t="e">
        <f ca="1">_xludf.ifs(AM360="", "", COUNTIF('Internal -- Trademark Countries'!B:B,AM360) &gt; 0, "polity_shortest_name", COUNTIF('Internal -- Trademark Countries'!C:C,AM360) &gt; 0, "polity_full_name", COUNTIF('Internal -- Trademark Countries'!D:D,AM360) &gt; 0, "polity_common_name", COUNTIF('Internal -- Trademark Countries'!E:E,AM360) &gt; 0, "shortest_name", COUNTIF('Internal -- Trademark Countries'!A:A,AM360) &gt; 0, "full_name", TRUE, "not a match")</f>
        <v>#NAME?</v>
      </c>
      <c r="EG360" s="30"/>
      <c r="EH360" s="30"/>
      <c r="EI360" s="30"/>
      <c r="EJ360" s="30"/>
      <c r="EK360" s="30" t="str">
        <f t="shared" si="3"/>
        <v/>
      </c>
    </row>
    <row r="361" spans="1:141" ht="16.5">
      <c r="A361" s="11"/>
      <c r="B361" s="11"/>
      <c r="C361" s="11"/>
      <c r="D361" s="11"/>
      <c r="E361" s="11"/>
      <c r="F361" s="11"/>
      <c r="G361" s="11"/>
      <c r="H361" s="11"/>
      <c r="I361" s="11"/>
      <c r="J361" s="11"/>
      <c r="K361" s="27"/>
      <c r="L361" s="11"/>
      <c r="M361" s="11"/>
      <c r="N361" s="11"/>
      <c r="O361" s="11"/>
      <c r="P361" s="15"/>
      <c r="Q361" s="15"/>
      <c r="R361" s="15"/>
      <c r="S361" s="15"/>
      <c r="T361" s="15"/>
      <c r="U361" s="15"/>
      <c r="V361" s="15"/>
      <c r="W361" s="47"/>
      <c r="X361" s="11"/>
      <c r="Y361" s="48"/>
      <c r="Z361" s="11"/>
      <c r="AA361" s="48"/>
      <c r="AB361" s="11"/>
      <c r="AC361" s="48"/>
      <c r="AD361" s="11"/>
      <c r="AE361" s="47"/>
      <c r="AF361" s="11"/>
      <c r="AG361" s="48"/>
      <c r="AH361" s="11"/>
      <c r="AI361" s="48"/>
      <c r="AJ361" s="11"/>
      <c r="AK361" s="48"/>
      <c r="AL361" s="11"/>
      <c r="AM361" s="49"/>
      <c r="AN361" s="49"/>
      <c r="AO361" s="11"/>
      <c r="AP361" s="11"/>
      <c r="AQ361" s="28" t="b">
        <f>IF(COUNTIF(SmartStatus!A$2:A1000, AM361) &gt; 2, TRUE, FALSE)</f>
        <v>0</v>
      </c>
      <c r="AR361" s="29" t="str">
        <f ca="1">IFERROR(__xludf.DUMMYFUNCTION("iferror(if(regexmatch(AO361, ""(?i)^registered""), if(EE361 &lt;&gt; ""polity_shortest_name"", ""CHECK_POLITY"", index(filter(SmartStatus!B$2:B1000, AM361 = SmartStatus!A$2:A1000, not(SmartStatus!C$2:C1000), (isblank(SmartStatus!D$2:D1000)) + ((P361 &lt;&gt; """") * "&amp;"(P361 &lt; SmartStatus!D$2:D1000)), (isblank(SmartStatus!E$2:E1000)) + ((P361 &lt;&gt; """") * (P361 &gt;= SmartStatus!E$2:E1000)), (isblank(SmartStatus!F$2:F1000)) + (((Q361 &lt;&gt; """") * (Q361 &lt; SmartStatus!F$2:F1000)) + ((P361 &lt;&gt; """") * (date(year(P361) + 3, month(P"&amp;"361), day(P361)) &lt; SmartStatus!F$2:F1000))), (isblank(SmartStatus!G$2:G1000)) + (((Q361 &lt;&gt; """") * (Q361 &gt;= SmartStatus!G$2:G1000)) + ((P361 &lt;&gt; """") * (P361 &gt;= SmartStatus!G$2:G1000)))), if(or(regexmatch(B361, ""(?i)^ir [a-z]+ designation$""), N361 &lt;&gt; """&amp;"""), 1, 2))), """"), ""NO_MATCH"")"),"")</f>
        <v/>
      </c>
      <c r="AS361" s="11"/>
      <c r="AT361" s="15"/>
      <c r="AU361" s="11"/>
      <c r="AV361" s="11"/>
      <c r="AW361" s="15"/>
      <c r="AX361" s="15"/>
      <c r="AY361" s="15"/>
      <c r="AZ361" s="11"/>
      <c r="BA361" s="15"/>
      <c r="BB361" s="11"/>
      <c r="BC361" s="11"/>
      <c r="BD361" s="15"/>
      <c r="BE361" s="11"/>
      <c r="BF361" s="11"/>
      <c r="BG361" s="15"/>
      <c r="BH361" s="15"/>
      <c r="BI361" s="15"/>
      <c r="BJ361" s="11"/>
      <c r="BK361" s="15"/>
      <c r="BL361" s="11"/>
      <c r="BM361" s="11"/>
      <c r="BN361" s="15"/>
      <c r="BO361" s="11"/>
      <c r="BP361" s="11"/>
      <c r="BQ361" s="15"/>
      <c r="BR361" s="15"/>
      <c r="BS361" s="15"/>
      <c r="BT361" s="11"/>
      <c r="BU361" s="15"/>
      <c r="BV361" s="11"/>
      <c r="BW361" s="11"/>
      <c r="BX361" s="15"/>
      <c r="BY361" s="11"/>
      <c r="BZ361" s="11"/>
      <c r="CA361" s="15"/>
      <c r="CB361" s="11"/>
      <c r="CC361" s="15"/>
      <c r="CD361" s="11"/>
      <c r="CE361" s="15"/>
      <c r="CF361" s="11"/>
      <c r="CG361" s="11"/>
      <c r="CH361" s="15"/>
      <c r="CI361" s="11"/>
      <c r="CJ361" s="11"/>
      <c r="CK361" s="15"/>
      <c r="CL361" s="11"/>
      <c r="CM361" s="11"/>
      <c r="CN361" s="11"/>
      <c r="CO361" s="11"/>
      <c r="CP361" s="28"/>
      <c r="CQ361" s="28"/>
      <c r="CR361" s="11"/>
      <c r="CS361" s="29"/>
      <c r="CT361" s="11"/>
      <c r="CU361" s="11"/>
      <c r="CV361" s="11"/>
      <c r="CW361" s="11"/>
      <c r="CX361" s="11"/>
      <c r="CY361" s="11"/>
      <c r="CZ361" s="11"/>
      <c r="DA361" s="28"/>
      <c r="DB361" s="28"/>
      <c r="DC361" s="11"/>
      <c r="DD361" s="29"/>
      <c r="DE361" s="11"/>
      <c r="DF361" s="11"/>
      <c r="DG361" s="11"/>
      <c r="DH361" s="11"/>
      <c r="DI361" s="11"/>
      <c r="DJ361" s="11"/>
      <c r="DK361" s="26"/>
      <c r="DL361" s="11"/>
      <c r="DM361" s="29"/>
      <c r="DN361" s="28"/>
      <c r="DO361" s="11"/>
      <c r="DP361" s="11"/>
      <c r="DQ361" s="11"/>
      <c r="DR361" s="29"/>
      <c r="DS361" s="28"/>
      <c r="DT361" s="11"/>
      <c r="DU361" s="26"/>
      <c r="DV361" s="11"/>
      <c r="DW361" s="29"/>
      <c r="DX361" s="28"/>
      <c r="DY361" s="11"/>
      <c r="DZ361" s="26"/>
      <c r="EA361" s="11"/>
      <c r="EB361" s="29"/>
      <c r="EC361" s="28"/>
      <c r="ED361" s="30"/>
      <c r="EE361" s="30" t="str">
        <f ca="1">IFERROR(__xludf.DUMMYFUNCTION("iferror(index(filter('Internal -- Trademark Countries'!E$2:E1000, (AM361 = 'Internal -- Trademark Countries'!B$2:B1000) + (AM361 = 'Internal -- Trademark Countries'!C$2:C1000) + (AM361 = 'Internal -- Trademark Countries'!D$2:D1000)), 1))"),"")</f>
        <v/>
      </c>
      <c r="EF361" s="30" t="e">
        <f ca="1">_xludf.ifs(AM361="", "", COUNTIF('Internal -- Trademark Countries'!B:B,AM361) &gt; 0, "polity_shortest_name", COUNTIF('Internal -- Trademark Countries'!C:C,AM361) &gt; 0, "polity_full_name", COUNTIF('Internal -- Trademark Countries'!D:D,AM361) &gt; 0, "polity_common_name", COUNTIF('Internal -- Trademark Countries'!E:E,AM361) &gt; 0, "shortest_name", COUNTIF('Internal -- Trademark Countries'!A:A,AM361) &gt; 0, "full_name", TRUE, "not a match")</f>
        <v>#NAME?</v>
      </c>
      <c r="EG361" s="30"/>
      <c r="EH361" s="30"/>
      <c r="EI361" s="30"/>
      <c r="EJ361" s="30"/>
      <c r="EK361" s="30" t="str">
        <f t="shared" si="3"/>
        <v/>
      </c>
    </row>
    <row r="362" spans="1:141" ht="16.5">
      <c r="A362" s="11"/>
      <c r="B362" s="11"/>
      <c r="C362" s="11"/>
      <c r="D362" s="11"/>
      <c r="E362" s="11"/>
      <c r="F362" s="11"/>
      <c r="G362" s="11"/>
      <c r="H362" s="11"/>
      <c r="I362" s="11"/>
      <c r="J362" s="11"/>
      <c r="K362" s="27"/>
      <c r="L362" s="11"/>
      <c r="M362" s="11"/>
      <c r="N362" s="11"/>
      <c r="O362" s="11"/>
      <c r="P362" s="15"/>
      <c r="Q362" s="15"/>
      <c r="R362" s="15"/>
      <c r="S362" s="15"/>
      <c r="T362" s="15"/>
      <c r="U362" s="15"/>
      <c r="V362" s="15"/>
      <c r="W362" s="47"/>
      <c r="X362" s="11"/>
      <c r="Y362" s="48"/>
      <c r="Z362" s="11"/>
      <c r="AA362" s="48"/>
      <c r="AB362" s="11"/>
      <c r="AC362" s="48"/>
      <c r="AD362" s="11"/>
      <c r="AE362" s="47"/>
      <c r="AF362" s="11"/>
      <c r="AG362" s="48"/>
      <c r="AH362" s="11"/>
      <c r="AI362" s="48"/>
      <c r="AJ362" s="11"/>
      <c r="AK362" s="48"/>
      <c r="AL362" s="11"/>
      <c r="AM362" s="49"/>
      <c r="AN362" s="49"/>
      <c r="AO362" s="11"/>
      <c r="AP362" s="11"/>
      <c r="AQ362" s="28" t="b">
        <f>IF(COUNTIF(SmartStatus!A$2:A1000, AM362) &gt; 2, TRUE, FALSE)</f>
        <v>0</v>
      </c>
      <c r="AR362" s="29" t="str">
        <f ca="1">IFERROR(__xludf.DUMMYFUNCTION("iferror(if(regexmatch(AO362, ""(?i)^registered""), if(EE362 &lt;&gt; ""polity_shortest_name"", ""CHECK_POLITY"", index(filter(SmartStatus!B$2:B1000, AM362 = SmartStatus!A$2:A1000, not(SmartStatus!C$2:C1000), (isblank(SmartStatus!D$2:D1000)) + ((P362 &lt;&gt; """") * "&amp;"(P362 &lt; SmartStatus!D$2:D1000)), (isblank(SmartStatus!E$2:E1000)) + ((P362 &lt;&gt; """") * (P362 &gt;= SmartStatus!E$2:E1000)), (isblank(SmartStatus!F$2:F1000)) + (((Q362 &lt;&gt; """") * (Q362 &lt; SmartStatus!F$2:F1000)) + ((P362 &lt;&gt; """") * (date(year(P362) + 3, month(P"&amp;"362), day(P362)) &lt; SmartStatus!F$2:F1000))), (isblank(SmartStatus!G$2:G1000)) + (((Q362 &lt;&gt; """") * (Q362 &gt;= SmartStatus!G$2:G1000)) + ((P362 &lt;&gt; """") * (P362 &gt;= SmartStatus!G$2:G1000)))), if(or(regexmatch(B362, ""(?i)^ir [a-z]+ designation$""), N362 &lt;&gt; """&amp;"""), 1, 2))), """"), ""NO_MATCH"")"),"")</f>
        <v/>
      </c>
      <c r="AS362" s="11"/>
      <c r="AT362" s="15"/>
      <c r="AU362" s="11"/>
      <c r="AV362" s="11"/>
      <c r="AW362" s="15"/>
      <c r="AX362" s="15"/>
      <c r="AY362" s="15"/>
      <c r="AZ362" s="11"/>
      <c r="BA362" s="15"/>
      <c r="BB362" s="11"/>
      <c r="BC362" s="11"/>
      <c r="BD362" s="15"/>
      <c r="BE362" s="11"/>
      <c r="BF362" s="11"/>
      <c r="BG362" s="15"/>
      <c r="BH362" s="15"/>
      <c r="BI362" s="15"/>
      <c r="BJ362" s="11"/>
      <c r="BK362" s="15"/>
      <c r="BL362" s="11"/>
      <c r="BM362" s="11"/>
      <c r="BN362" s="15"/>
      <c r="BO362" s="11"/>
      <c r="BP362" s="11"/>
      <c r="BQ362" s="15"/>
      <c r="BR362" s="15"/>
      <c r="BS362" s="15"/>
      <c r="BT362" s="11"/>
      <c r="BU362" s="15"/>
      <c r="BV362" s="11"/>
      <c r="BW362" s="11"/>
      <c r="BX362" s="15"/>
      <c r="BY362" s="11"/>
      <c r="BZ362" s="11"/>
      <c r="CA362" s="15"/>
      <c r="CB362" s="11"/>
      <c r="CC362" s="15"/>
      <c r="CD362" s="11"/>
      <c r="CE362" s="15"/>
      <c r="CF362" s="11"/>
      <c r="CG362" s="11"/>
      <c r="CH362" s="15"/>
      <c r="CI362" s="11"/>
      <c r="CJ362" s="11"/>
      <c r="CK362" s="15"/>
      <c r="CL362" s="11"/>
      <c r="CM362" s="11"/>
      <c r="CN362" s="11"/>
      <c r="CO362" s="11"/>
      <c r="CP362" s="28"/>
      <c r="CQ362" s="28"/>
      <c r="CR362" s="11"/>
      <c r="CS362" s="29"/>
      <c r="CT362" s="11"/>
      <c r="CU362" s="11"/>
      <c r="CV362" s="11"/>
      <c r="CW362" s="11"/>
      <c r="CX362" s="11"/>
      <c r="CY362" s="11"/>
      <c r="CZ362" s="11"/>
      <c r="DA362" s="28"/>
      <c r="DB362" s="28"/>
      <c r="DC362" s="11"/>
      <c r="DD362" s="29"/>
      <c r="DE362" s="11"/>
      <c r="DF362" s="11"/>
      <c r="DG362" s="11"/>
      <c r="DH362" s="11"/>
      <c r="DI362" s="11"/>
      <c r="DJ362" s="11"/>
      <c r="DK362" s="26"/>
      <c r="DL362" s="11"/>
      <c r="DM362" s="29"/>
      <c r="DN362" s="28"/>
      <c r="DO362" s="11"/>
      <c r="DP362" s="11"/>
      <c r="DQ362" s="11"/>
      <c r="DR362" s="29"/>
      <c r="DS362" s="28"/>
      <c r="DT362" s="11"/>
      <c r="DU362" s="26"/>
      <c r="DV362" s="11"/>
      <c r="DW362" s="29"/>
      <c r="DX362" s="28"/>
      <c r="DY362" s="11"/>
      <c r="DZ362" s="26"/>
      <c r="EA362" s="11"/>
      <c r="EB362" s="29"/>
      <c r="EC362" s="28"/>
      <c r="ED362" s="30"/>
      <c r="EE362" s="30" t="str">
        <f ca="1">IFERROR(__xludf.DUMMYFUNCTION("iferror(index(filter('Internal -- Trademark Countries'!E$2:E1000, (AM362 = 'Internal -- Trademark Countries'!B$2:B1000) + (AM362 = 'Internal -- Trademark Countries'!C$2:C1000) + (AM362 = 'Internal -- Trademark Countries'!D$2:D1000)), 1))"),"")</f>
        <v/>
      </c>
      <c r="EF362" s="30" t="e">
        <f ca="1">_xludf.ifs(AM362="", "", COUNTIF('Internal -- Trademark Countries'!B:B,AM362) &gt; 0, "polity_shortest_name", COUNTIF('Internal -- Trademark Countries'!C:C,AM362) &gt; 0, "polity_full_name", COUNTIF('Internal -- Trademark Countries'!D:D,AM362) &gt; 0, "polity_common_name", COUNTIF('Internal -- Trademark Countries'!E:E,AM362) &gt; 0, "shortest_name", COUNTIF('Internal -- Trademark Countries'!A:A,AM362) &gt; 0, "full_name", TRUE, "not a match")</f>
        <v>#NAME?</v>
      </c>
      <c r="EG362" s="30"/>
      <c r="EH362" s="30"/>
      <c r="EI362" s="30"/>
      <c r="EJ362" s="30"/>
      <c r="EK362" s="30" t="str">
        <f t="shared" si="3"/>
        <v/>
      </c>
    </row>
    <row r="363" spans="1:141" ht="16.5">
      <c r="A363" s="11"/>
      <c r="B363" s="11"/>
      <c r="C363" s="11"/>
      <c r="D363" s="11"/>
      <c r="E363" s="11"/>
      <c r="F363" s="11"/>
      <c r="G363" s="11"/>
      <c r="H363" s="11"/>
      <c r="I363" s="11"/>
      <c r="J363" s="11"/>
      <c r="K363" s="27"/>
      <c r="L363" s="11"/>
      <c r="M363" s="11"/>
      <c r="N363" s="11"/>
      <c r="O363" s="11"/>
      <c r="P363" s="15"/>
      <c r="Q363" s="15"/>
      <c r="R363" s="15"/>
      <c r="S363" s="15"/>
      <c r="T363" s="15"/>
      <c r="U363" s="15"/>
      <c r="V363" s="15"/>
      <c r="W363" s="47"/>
      <c r="X363" s="11"/>
      <c r="Y363" s="48"/>
      <c r="Z363" s="11"/>
      <c r="AA363" s="48"/>
      <c r="AB363" s="11"/>
      <c r="AC363" s="48"/>
      <c r="AD363" s="11"/>
      <c r="AE363" s="47"/>
      <c r="AF363" s="11"/>
      <c r="AG363" s="48"/>
      <c r="AH363" s="11"/>
      <c r="AI363" s="48"/>
      <c r="AJ363" s="11"/>
      <c r="AK363" s="48"/>
      <c r="AL363" s="11"/>
      <c r="AM363" s="49"/>
      <c r="AN363" s="49"/>
      <c r="AO363" s="11"/>
      <c r="AP363" s="11"/>
      <c r="AQ363" s="28" t="b">
        <f>IF(COUNTIF(SmartStatus!A$2:A1000, AM363) &gt; 2, TRUE, FALSE)</f>
        <v>0</v>
      </c>
      <c r="AR363" s="29" t="str">
        <f ca="1">IFERROR(__xludf.DUMMYFUNCTION("iferror(if(regexmatch(AO363, ""(?i)^registered""), if(EE363 &lt;&gt; ""polity_shortest_name"", ""CHECK_POLITY"", index(filter(SmartStatus!B$2:B1000, AM363 = SmartStatus!A$2:A1000, not(SmartStatus!C$2:C1000), (isblank(SmartStatus!D$2:D1000)) + ((P363 &lt;&gt; """") * "&amp;"(P363 &lt; SmartStatus!D$2:D1000)), (isblank(SmartStatus!E$2:E1000)) + ((P363 &lt;&gt; """") * (P363 &gt;= SmartStatus!E$2:E1000)), (isblank(SmartStatus!F$2:F1000)) + (((Q363 &lt;&gt; """") * (Q363 &lt; SmartStatus!F$2:F1000)) + ((P363 &lt;&gt; """") * (date(year(P363) + 3, month(P"&amp;"363), day(P363)) &lt; SmartStatus!F$2:F1000))), (isblank(SmartStatus!G$2:G1000)) + (((Q363 &lt;&gt; """") * (Q363 &gt;= SmartStatus!G$2:G1000)) + ((P363 &lt;&gt; """") * (P363 &gt;= SmartStatus!G$2:G1000)))), if(or(regexmatch(B363, ""(?i)^ir [a-z]+ designation$""), N363 &lt;&gt; """&amp;"""), 1, 2))), """"), ""NO_MATCH"")"),"")</f>
        <v/>
      </c>
      <c r="AS363" s="11"/>
      <c r="AT363" s="15"/>
      <c r="AU363" s="11"/>
      <c r="AV363" s="11"/>
      <c r="AW363" s="15"/>
      <c r="AX363" s="15"/>
      <c r="AY363" s="15"/>
      <c r="AZ363" s="11"/>
      <c r="BA363" s="15"/>
      <c r="BB363" s="11"/>
      <c r="BC363" s="11"/>
      <c r="BD363" s="15"/>
      <c r="BE363" s="11"/>
      <c r="BF363" s="11"/>
      <c r="BG363" s="15"/>
      <c r="BH363" s="15"/>
      <c r="BI363" s="15"/>
      <c r="BJ363" s="11"/>
      <c r="BK363" s="15"/>
      <c r="BL363" s="11"/>
      <c r="BM363" s="11"/>
      <c r="BN363" s="15"/>
      <c r="BO363" s="11"/>
      <c r="BP363" s="11"/>
      <c r="BQ363" s="15"/>
      <c r="BR363" s="15"/>
      <c r="BS363" s="15"/>
      <c r="BT363" s="11"/>
      <c r="BU363" s="15"/>
      <c r="BV363" s="11"/>
      <c r="BW363" s="11"/>
      <c r="BX363" s="15"/>
      <c r="BY363" s="11"/>
      <c r="BZ363" s="11"/>
      <c r="CA363" s="15"/>
      <c r="CB363" s="11"/>
      <c r="CC363" s="15"/>
      <c r="CD363" s="11"/>
      <c r="CE363" s="15"/>
      <c r="CF363" s="11"/>
      <c r="CG363" s="11"/>
      <c r="CH363" s="15"/>
      <c r="CI363" s="11"/>
      <c r="CJ363" s="11"/>
      <c r="CK363" s="15"/>
      <c r="CL363" s="11"/>
      <c r="CM363" s="11"/>
      <c r="CN363" s="11"/>
      <c r="CO363" s="11"/>
      <c r="CP363" s="28"/>
      <c r="CQ363" s="28"/>
      <c r="CR363" s="11"/>
      <c r="CS363" s="29"/>
      <c r="CT363" s="11"/>
      <c r="CU363" s="11"/>
      <c r="CV363" s="11"/>
      <c r="CW363" s="11"/>
      <c r="CX363" s="11"/>
      <c r="CY363" s="11"/>
      <c r="CZ363" s="11"/>
      <c r="DA363" s="28"/>
      <c r="DB363" s="28"/>
      <c r="DC363" s="11"/>
      <c r="DD363" s="29"/>
      <c r="DE363" s="11"/>
      <c r="DF363" s="11"/>
      <c r="DG363" s="11"/>
      <c r="DH363" s="11"/>
      <c r="DI363" s="11"/>
      <c r="DJ363" s="11"/>
      <c r="DK363" s="26"/>
      <c r="DL363" s="11"/>
      <c r="DM363" s="29"/>
      <c r="DN363" s="28"/>
      <c r="DO363" s="11"/>
      <c r="DP363" s="11"/>
      <c r="DQ363" s="11"/>
      <c r="DR363" s="29"/>
      <c r="DS363" s="28"/>
      <c r="DT363" s="11"/>
      <c r="DU363" s="26"/>
      <c r="DV363" s="11"/>
      <c r="DW363" s="29"/>
      <c r="DX363" s="28"/>
      <c r="DY363" s="11"/>
      <c r="DZ363" s="26"/>
      <c r="EA363" s="11"/>
      <c r="EB363" s="29"/>
      <c r="EC363" s="28"/>
      <c r="ED363" s="30"/>
      <c r="EE363" s="30" t="str">
        <f ca="1">IFERROR(__xludf.DUMMYFUNCTION("iferror(index(filter('Internal -- Trademark Countries'!E$2:E1000, (AM363 = 'Internal -- Trademark Countries'!B$2:B1000) + (AM363 = 'Internal -- Trademark Countries'!C$2:C1000) + (AM363 = 'Internal -- Trademark Countries'!D$2:D1000)), 1))"),"")</f>
        <v/>
      </c>
      <c r="EF363" s="30" t="e">
        <f ca="1">_xludf.ifs(AM363="", "", COUNTIF('Internal -- Trademark Countries'!B:B,AM363) &gt; 0, "polity_shortest_name", COUNTIF('Internal -- Trademark Countries'!C:C,AM363) &gt; 0, "polity_full_name", COUNTIF('Internal -- Trademark Countries'!D:D,AM363) &gt; 0, "polity_common_name", COUNTIF('Internal -- Trademark Countries'!E:E,AM363) &gt; 0, "shortest_name", COUNTIF('Internal -- Trademark Countries'!A:A,AM363) &gt; 0, "full_name", TRUE, "not a match")</f>
        <v>#NAME?</v>
      </c>
      <c r="EG363" s="30"/>
      <c r="EH363" s="30"/>
      <c r="EI363" s="30"/>
      <c r="EJ363" s="30"/>
      <c r="EK363" s="30" t="str">
        <f t="shared" si="3"/>
        <v/>
      </c>
    </row>
    <row r="364" spans="1:141" ht="16.5">
      <c r="A364" s="11"/>
      <c r="B364" s="11"/>
      <c r="C364" s="11"/>
      <c r="D364" s="11"/>
      <c r="E364" s="11"/>
      <c r="F364" s="11"/>
      <c r="G364" s="11"/>
      <c r="H364" s="11"/>
      <c r="I364" s="11"/>
      <c r="J364" s="11"/>
      <c r="K364" s="27"/>
      <c r="L364" s="11"/>
      <c r="M364" s="11"/>
      <c r="N364" s="11"/>
      <c r="O364" s="11"/>
      <c r="P364" s="15"/>
      <c r="Q364" s="15"/>
      <c r="R364" s="15"/>
      <c r="S364" s="15"/>
      <c r="T364" s="15"/>
      <c r="U364" s="15"/>
      <c r="V364" s="15"/>
      <c r="W364" s="47"/>
      <c r="X364" s="11"/>
      <c r="Y364" s="48"/>
      <c r="Z364" s="11"/>
      <c r="AA364" s="48"/>
      <c r="AB364" s="11"/>
      <c r="AC364" s="48"/>
      <c r="AD364" s="11"/>
      <c r="AE364" s="47"/>
      <c r="AF364" s="11"/>
      <c r="AG364" s="48"/>
      <c r="AH364" s="11"/>
      <c r="AI364" s="48"/>
      <c r="AJ364" s="11"/>
      <c r="AK364" s="48"/>
      <c r="AL364" s="11"/>
      <c r="AM364" s="49"/>
      <c r="AN364" s="49"/>
      <c r="AO364" s="11"/>
      <c r="AP364" s="11"/>
      <c r="AQ364" s="28" t="b">
        <f>IF(COUNTIF(SmartStatus!A$2:A1000, AM364) &gt; 2, TRUE, FALSE)</f>
        <v>0</v>
      </c>
      <c r="AR364" s="29" t="str">
        <f ca="1">IFERROR(__xludf.DUMMYFUNCTION("iferror(if(regexmatch(AO364, ""(?i)^registered""), if(EE364 &lt;&gt; ""polity_shortest_name"", ""CHECK_POLITY"", index(filter(SmartStatus!B$2:B1000, AM364 = SmartStatus!A$2:A1000, not(SmartStatus!C$2:C1000), (isblank(SmartStatus!D$2:D1000)) + ((P364 &lt;&gt; """") * "&amp;"(P364 &lt; SmartStatus!D$2:D1000)), (isblank(SmartStatus!E$2:E1000)) + ((P364 &lt;&gt; """") * (P364 &gt;= SmartStatus!E$2:E1000)), (isblank(SmartStatus!F$2:F1000)) + (((Q364 &lt;&gt; """") * (Q364 &lt; SmartStatus!F$2:F1000)) + ((P364 &lt;&gt; """") * (date(year(P364) + 3, month(P"&amp;"364), day(P364)) &lt; SmartStatus!F$2:F1000))), (isblank(SmartStatus!G$2:G1000)) + (((Q364 &lt;&gt; """") * (Q364 &gt;= SmartStatus!G$2:G1000)) + ((P364 &lt;&gt; """") * (P364 &gt;= SmartStatus!G$2:G1000)))), if(or(regexmatch(B364, ""(?i)^ir [a-z]+ designation$""), N364 &lt;&gt; """&amp;"""), 1, 2))), """"), ""NO_MATCH"")"),"")</f>
        <v/>
      </c>
      <c r="AS364" s="11"/>
      <c r="AT364" s="15"/>
      <c r="AU364" s="11"/>
      <c r="AV364" s="11"/>
      <c r="AW364" s="15"/>
      <c r="AX364" s="15"/>
      <c r="AY364" s="15"/>
      <c r="AZ364" s="11"/>
      <c r="BA364" s="15"/>
      <c r="BB364" s="11"/>
      <c r="BC364" s="11"/>
      <c r="BD364" s="15"/>
      <c r="BE364" s="11"/>
      <c r="BF364" s="11"/>
      <c r="BG364" s="15"/>
      <c r="BH364" s="15"/>
      <c r="BI364" s="15"/>
      <c r="BJ364" s="11"/>
      <c r="BK364" s="15"/>
      <c r="BL364" s="11"/>
      <c r="BM364" s="11"/>
      <c r="BN364" s="15"/>
      <c r="BO364" s="11"/>
      <c r="BP364" s="11"/>
      <c r="BQ364" s="15"/>
      <c r="BR364" s="15"/>
      <c r="BS364" s="15"/>
      <c r="BT364" s="11"/>
      <c r="BU364" s="15"/>
      <c r="BV364" s="11"/>
      <c r="BW364" s="11"/>
      <c r="BX364" s="15"/>
      <c r="BY364" s="11"/>
      <c r="BZ364" s="11"/>
      <c r="CA364" s="15"/>
      <c r="CB364" s="11"/>
      <c r="CC364" s="15"/>
      <c r="CD364" s="11"/>
      <c r="CE364" s="15"/>
      <c r="CF364" s="11"/>
      <c r="CG364" s="11"/>
      <c r="CH364" s="15"/>
      <c r="CI364" s="11"/>
      <c r="CJ364" s="11"/>
      <c r="CK364" s="15"/>
      <c r="CL364" s="11"/>
      <c r="CM364" s="11"/>
      <c r="CN364" s="11"/>
      <c r="CO364" s="11"/>
      <c r="CP364" s="28"/>
      <c r="CQ364" s="28"/>
      <c r="CR364" s="11"/>
      <c r="CS364" s="29"/>
      <c r="CT364" s="11"/>
      <c r="CU364" s="11"/>
      <c r="CV364" s="11"/>
      <c r="CW364" s="11"/>
      <c r="CX364" s="11"/>
      <c r="CY364" s="11"/>
      <c r="CZ364" s="11"/>
      <c r="DA364" s="28"/>
      <c r="DB364" s="28"/>
      <c r="DC364" s="11"/>
      <c r="DD364" s="29"/>
      <c r="DE364" s="11"/>
      <c r="DF364" s="11"/>
      <c r="DG364" s="11"/>
      <c r="DH364" s="11"/>
      <c r="DI364" s="11"/>
      <c r="DJ364" s="11"/>
      <c r="DK364" s="26"/>
      <c r="DL364" s="11"/>
      <c r="DM364" s="29"/>
      <c r="DN364" s="28"/>
      <c r="DO364" s="11"/>
      <c r="DP364" s="11"/>
      <c r="DQ364" s="11"/>
      <c r="DR364" s="29"/>
      <c r="DS364" s="28"/>
      <c r="DT364" s="11"/>
      <c r="DU364" s="26"/>
      <c r="DV364" s="11"/>
      <c r="DW364" s="29"/>
      <c r="DX364" s="28"/>
      <c r="DY364" s="11"/>
      <c r="DZ364" s="26"/>
      <c r="EA364" s="11"/>
      <c r="EB364" s="29"/>
      <c r="EC364" s="28"/>
      <c r="ED364" s="30"/>
      <c r="EE364" s="30" t="str">
        <f ca="1">IFERROR(__xludf.DUMMYFUNCTION("iferror(index(filter('Internal -- Trademark Countries'!E$2:E1000, (AM364 = 'Internal -- Trademark Countries'!B$2:B1000) + (AM364 = 'Internal -- Trademark Countries'!C$2:C1000) + (AM364 = 'Internal -- Trademark Countries'!D$2:D1000)), 1))"),"")</f>
        <v/>
      </c>
      <c r="EF364" s="30" t="e">
        <f ca="1">_xludf.ifs(AM364="", "", COUNTIF('Internal -- Trademark Countries'!B:B,AM364) &gt; 0, "polity_shortest_name", COUNTIF('Internal -- Trademark Countries'!C:C,AM364) &gt; 0, "polity_full_name", COUNTIF('Internal -- Trademark Countries'!D:D,AM364) &gt; 0, "polity_common_name", COUNTIF('Internal -- Trademark Countries'!E:E,AM364) &gt; 0, "shortest_name", COUNTIF('Internal -- Trademark Countries'!A:A,AM364) &gt; 0, "full_name", TRUE, "not a match")</f>
        <v>#NAME?</v>
      </c>
      <c r="EG364" s="30"/>
      <c r="EH364" s="30"/>
      <c r="EI364" s="30"/>
      <c r="EJ364" s="30"/>
      <c r="EK364" s="30" t="str">
        <f t="shared" si="3"/>
        <v/>
      </c>
    </row>
    <row r="365" spans="1:141" ht="16.5">
      <c r="A365" s="11"/>
      <c r="B365" s="11"/>
      <c r="C365" s="11"/>
      <c r="D365" s="11"/>
      <c r="E365" s="11"/>
      <c r="F365" s="11"/>
      <c r="G365" s="11"/>
      <c r="H365" s="11"/>
      <c r="I365" s="11"/>
      <c r="J365" s="11"/>
      <c r="K365" s="27"/>
      <c r="L365" s="11"/>
      <c r="M365" s="11"/>
      <c r="N365" s="11"/>
      <c r="O365" s="11"/>
      <c r="P365" s="15"/>
      <c r="Q365" s="15"/>
      <c r="R365" s="15"/>
      <c r="S365" s="15"/>
      <c r="T365" s="15"/>
      <c r="U365" s="15"/>
      <c r="V365" s="15"/>
      <c r="W365" s="47"/>
      <c r="X365" s="11"/>
      <c r="Y365" s="48"/>
      <c r="Z365" s="11"/>
      <c r="AA365" s="48"/>
      <c r="AB365" s="11"/>
      <c r="AC365" s="48"/>
      <c r="AD365" s="11"/>
      <c r="AE365" s="47"/>
      <c r="AF365" s="11"/>
      <c r="AG365" s="48"/>
      <c r="AH365" s="11"/>
      <c r="AI365" s="48"/>
      <c r="AJ365" s="11"/>
      <c r="AK365" s="48"/>
      <c r="AL365" s="11"/>
      <c r="AM365" s="49"/>
      <c r="AN365" s="49"/>
      <c r="AO365" s="11"/>
      <c r="AP365" s="11"/>
      <c r="AQ365" s="28" t="b">
        <f>IF(COUNTIF(SmartStatus!A$2:A1000, AM365) &gt; 2, TRUE, FALSE)</f>
        <v>0</v>
      </c>
      <c r="AR365" s="29" t="str">
        <f ca="1">IFERROR(__xludf.DUMMYFUNCTION("iferror(if(regexmatch(AO365, ""(?i)^registered""), if(EE365 &lt;&gt; ""polity_shortest_name"", ""CHECK_POLITY"", index(filter(SmartStatus!B$2:B1000, AM365 = SmartStatus!A$2:A1000, not(SmartStatus!C$2:C1000), (isblank(SmartStatus!D$2:D1000)) + ((P365 &lt;&gt; """") * "&amp;"(P365 &lt; SmartStatus!D$2:D1000)), (isblank(SmartStatus!E$2:E1000)) + ((P365 &lt;&gt; """") * (P365 &gt;= SmartStatus!E$2:E1000)), (isblank(SmartStatus!F$2:F1000)) + (((Q365 &lt;&gt; """") * (Q365 &lt; SmartStatus!F$2:F1000)) + ((P365 &lt;&gt; """") * (date(year(P365) + 3, month(P"&amp;"365), day(P365)) &lt; SmartStatus!F$2:F1000))), (isblank(SmartStatus!G$2:G1000)) + (((Q365 &lt;&gt; """") * (Q365 &gt;= SmartStatus!G$2:G1000)) + ((P365 &lt;&gt; """") * (P365 &gt;= SmartStatus!G$2:G1000)))), if(or(regexmatch(B365, ""(?i)^ir [a-z]+ designation$""), N365 &lt;&gt; """&amp;"""), 1, 2))), """"), ""NO_MATCH"")"),"")</f>
        <v/>
      </c>
      <c r="AS365" s="11"/>
      <c r="AT365" s="15"/>
      <c r="AU365" s="11"/>
      <c r="AV365" s="11"/>
      <c r="AW365" s="15"/>
      <c r="AX365" s="15"/>
      <c r="AY365" s="15"/>
      <c r="AZ365" s="11"/>
      <c r="BA365" s="15"/>
      <c r="BB365" s="11"/>
      <c r="BC365" s="11"/>
      <c r="BD365" s="15"/>
      <c r="BE365" s="11"/>
      <c r="BF365" s="11"/>
      <c r="BG365" s="15"/>
      <c r="BH365" s="15"/>
      <c r="BI365" s="15"/>
      <c r="BJ365" s="11"/>
      <c r="BK365" s="15"/>
      <c r="BL365" s="11"/>
      <c r="BM365" s="11"/>
      <c r="BN365" s="15"/>
      <c r="BO365" s="11"/>
      <c r="BP365" s="11"/>
      <c r="BQ365" s="15"/>
      <c r="BR365" s="15"/>
      <c r="BS365" s="15"/>
      <c r="BT365" s="11"/>
      <c r="BU365" s="15"/>
      <c r="BV365" s="11"/>
      <c r="BW365" s="11"/>
      <c r="BX365" s="15"/>
      <c r="BY365" s="11"/>
      <c r="BZ365" s="11"/>
      <c r="CA365" s="15"/>
      <c r="CB365" s="11"/>
      <c r="CC365" s="15"/>
      <c r="CD365" s="11"/>
      <c r="CE365" s="15"/>
      <c r="CF365" s="11"/>
      <c r="CG365" s="11"/>
      <c r="CH365" s="15"/>
      <c r="CI365" s="11"/>
      <c r="CJ365" s="11"/>
      <c r="CK365" s="15"/>
      <c r="CL365" s="11"/>
      <c r="CM365" s="11"/>
      <c r="CN365" s="11"/>
      <c r="CO365" s="11"/>
      <c r="CP365" s="28"/>
      <c r="CQ365" s="28"/>
      <c r="CR365" s="11"/>
      <c r="CS365" s="29"/>
      <c r="CT365" s="11"/>
      <c r="CU365" s="11"/>
      <c r="CV365" s="11"/>
      <c r="CW365" s="11"/>
      <c r="CX365" s="11"/>
      <c r="CY365" s="11"/>
      <c r="CZ365" s="11"/>
      <c r="DA365" s="28"/>
      <c r="DB365" s="28"/>
      <c r="DC365" s="11"/>
      <c r="DD365" s="29"/>
      <c r="DE365" s="11"/>
      <c r="DF365" s="11"/>
      <c r="DG365" s="11"/>
      <c r="DH365" s="11"/>
      <c r="DI365" s="11"/>
      <c r="DJ365" s="11"/>
      <c r="DK365" s="26"/>
      <c r="DL365" s="11"/>
      <c r="DM365" s="29"/>
      <c r="DN365" s="28"/>
      <c r="DO365" s="11"/>
      <c r="DP365" s="11"/>
      <c r="DQ365" s="11"/>
      <c r="DR365" s="29"/>
      <c r="DS365" s="28"/>
      <c r="DT365" s="11"/>
      <c r="DU365" s="26"/>
      <c r="DV365" s="11"/>
      <c r="DW365" s="29"/>
      <c r="DX365" s="28"/>
      <c r="DY365" s="11"/>
      <c r="DZ365" s="26"/>
      <c r="EA365" s="11"/>
      <c r="EB365" s="29"/>
      <c r="EC365" s="28"/>
      <c r="ED365" s="30"/>
      <c r="EE365" s="30" t="str">
        <f ca="1">IFERROR(__xludf.DUMMYFUNCTION("iferror(index(filter('Internal -- Trademark Countries'!E$2:E1000, (AM365 = 'Internal -- Trademark Countries'!B$2:B1000) + (AM365 = 'Internal -- Trademark Countries'!C$2:C1000) + (AM365 = 'Internal -- Trademark Countries'!D$2:D1000)), 1))"),"")</f>
        <v/>
      </c>
      <c r="EF365" s="30" t="e">
        <f ca="1">_xludf.ifs(AM365="", "", COUNTIF('Internal -- Trademark Countries'!B:B,AM365) &gt; 0, "polity_shortest_name", COUNTIF('Internal -- Trademark Countries'!C:C,AM365) &gt; 0, "polity_full_name", COUNTIF('Internal -- Trademark Countries'!D:D,AM365) &gt; 0, "polity_common_name", COUNTIF('Internal -- Trademark Countries'!E:E,AM365) &gt; 0, "shortest_name", COUNTIF('Internal -- Trademark Countries'!A:A,AM365) &gt; 0, "full_name", TRUE, "not a match")</f>
        <v>#NAME?</v>
      </c>
      <c r="EG365" s="30"/>
      <c r="EH365" s="30"/>
      <c r="EI365" s="30"/>
      <c r="EJ365" s="30"/>
      <c r="EK365" s="30" t="str">
        <f t="shared" si="3"/>
        <v/>
      </c>
    </row>
    <row r="366" spans="1:141" ht="16.5">
      <c r="A366" s="11"/>
      <c r="B366" s="11"/>
      <c r="C366" s="11"/>
      <c r="D366" s="11"/>
      <c r="E366" s="11"/>
      <c r="F366" s="11"/>
      <c r="G366" s="11"/>
      <c r="H366" s="11"/>
      <c r="I366" s="11"/>
      <c r="J366" s="11"/>
      <c r="K366" s="27"/>
      <c r="L366" s="11"/>
      <c r="M366" s="11"/>
      <c r="N366" s="11"/>
      <c r="O366" s="11"/>
      <c r="P366" s="15"/>
      <c r="Q366" s="15"/>
      <c r="R366" s="15"/>
      <c r="S366" s="15"/>
      <c r="T366" s="15"/>
      <c r="U366" s="15"/>
      <c r="V366" s="15"/>
      <c r="W366" s="47"/>
      <c r="X366" s="11"/>
      <c r="Y366" s="48"/>
      <c r="Z366" s="11"/>
      <c r="AA366" s="48"/>
      <c r="AB366" s="11"/>
      <c r="AC366" s="48"/>
      <c r="AD366" s="11"/>
      <c r="AE366" s="47"/>
      <c r="AF366" s="11"/>
      <c r="AG366" s="48"/>
      <c r="AH366" s="11"/>
      <c r="AI366" s="48"/>
      <c r="AJ366" s="11"/>
      <c r="AK366" s="48"/>
      <c r="AL366" s="11"/>
      <c r="AM366" s="49"/>
      <c r="AN366" s="49"/>
      <c r="AO366" s="11"/>
      <c r="AP366" s="11"/>
      <c r="AQ366" s="28" t="b">
        <f>IF(COUNTIF(SmartStatus!A$2:A1000, AM366) &gt; 2, TRUE, FALSE)</f>
        <v>0</v>
      </c>
      <c r="AR366" s="29" t="str">
        <f ca="1">IFERROR(__xludf.DUMMYFUNCTION("iferror(if(regexmatch(AO366, ""(?i)^registered""), if(EE366 &lt;&gt; ""polity_shortest_name"", ""CHECK_POLITY"", index(filter(SmartStatus!B$2:B1000, AM366 = SmartStatus!A$2:A1000, not(SmartStatus!C$2:C1000), (isblank(SmartStatus!D$2:D1000)) + ((P366 &lt;&gt; """") * "&amp;"(P366 &lt; SmartStatus!D$2:D1000)), (isblank(SmartStatus!E$2:E1000)) + ((P366 &lt;&gt; """") * (P366 &gt;= SmartStatus!E$2:E1000)), (isblank(SmartStatus!F$2:F1000)) + (((Q366 &lt;&gt; """") * (Q366 &lt; SmartStatus!F$2:F1000)) + ((P366 &lt;&gt; """") * (date(year(P366) + 3, month(P"&amp;"366), day(P366)) &lt; SmartStatus!F$2:F1000))), (isblank(SmartStatus!G$2:G1000)) + (((Q366 &lt;&gt; """") * (Q366 &gt;= SmartStatus!G$2:G1000)) + ((P366 &lt;&gt; """") * (P366 &gt;= SmartStatus!G$2:G1000)))), if(or(regexmatch(B366, ""(?i)^ir [a-z]+ designation$""), N366 &lt;&gt; """&amp;"""), 1, 2))), """"), ""NO_MATCH"")"),"")</f>
        <v/>
      </c>
      <c r="AS366" s="11"/>
      <c r="AT366" s="15"/>
      <c r="AU366" s="11"/>
      <c r="AV366" s="11"/>
      <c r="AW366" s="15"/>
      <c r="AX366" s="15"/>
      <c r="AY366" s="15"/>
      <c r="AZ366" s="11"/>
      <c r="BA366" s="15"/>
      <c r="BB366" s="11"/>
      <c r="BC366" s="11"/>
      <c r="BD366" s="15"/>
      <c r="BE366" s="11"/>
      <c r="BF366" s="11"/>
      <c r="BG366" s="15"/>
      <c r="BH366" s="15"/>
      <c r="BI366" s="15"/>
      <c r="BJ366" s="11"/>
      <c r="BK366" s="15"/>
      <c r="BL366" s="11"/>
      <c r="BM366" s="11"/>
      <c r="BN366" s="15"/>
      <c r="BO366" s="11"/>
      <c r="BP366" s="11"/>
      <c r="BQ366" s="15"/>
      <c r="BR366" s="15"/>
      <c r="BS366" s="15"/>
      <c r="BT366" s="11"/>
      <c r="BU366" s="15"/>
      <c r="BV366" s="11"/>
      <c r="BW366" s="11"/>
      <c r="BX366" s="15"/>
      <c r="BY366" s="11"/>
      <c r="BZ366" s="11"/>
      <c r="CA366" s="15"/>
      <c r="CB366" s="11"/>
      <c r="CC366" s="15"/>
      <c r="CD366" s="11"/>
      <c r="CE366" s="15"/>
      <c r="CF366" s="11"/>
      <c r="CG366" s="11"/>
      <c r="CH366" s="15"/>
      <c r="CI366" s="11"/>
      <c r="CJ366" s="11"/>
      <c r="CK366" s="15"/>
      <c r="CL366" s="11"/>
      <c r="CM366" s="11"/>
      <c r="CN366" s="11"/>
      <c r="CO366" s="11"/>
      <c r="CP366" s="28"/>
      <c r="CQ366" s="28"/>
      <c r="CR366" s="11"/>
      <c r="CS366" s="29"/>
      <c r="CT366" s="11"/>
      <c r="CU366" s="11"/>
      <c r="CV366" s="11"/>
      <c r="CW366" s="11"/>
      <c r="CX366" s="11"/>
      <c r="CY366" s="11"/>
      <c r="CZ366" s="11"/>
      <c r="DA366" s="28"/>
      <c r="DB366" s="28"/>
      <c r="DC366" s="11"/>
      <c r="DD366" s="29"/>
      <c r="DE366" s="11"/>
      <c r="DF366" s="11"/>
      <c r="DG366" s="11"/>
      <c r="DH366" s="11"/>
      <c r="DI366" s="11"/>
      <c r="DJ366" s="11"/>
      <c r="DK366" s="26"/>
      <c r="DL366" s="11"/>
      <c r="DM366" s="29"/>
      <c r="DN366" s="28"/>
      <c r="DO366" s="11"/>
      <c r="DP366" s="11"/>
      <c r="DQ366" s="11"/>
      <c r="DR366" s="29"/>
      <c r="DS366" s="28"/>
      <c r="DT366" s="11"/>
      <c r="DU366" s="26"/>
      <c r="DV366" s="11"/>
      <c r="DW366" s="29"/>
      <c r="DX366" s="28"/>
      <c r="DY366" s="11"/>
      <c r="DZ366" s="26"/>
      <c r="EA366" s="11"/>
      <c r="EB366" s="29"/>
      <c r="EC366" s="28"/>
      <c r="ED366" s="30"/>
      <c r="EE366" s="30" t="str">
        <f ca="1">IFERROR(__xludf.DUMMYFUNCTION("iferror(index(filter('Internal -- Trademark Countries'!E$2:E1000, (AM366 = 'Internal -- Trademark Countries'!B$2:B1000) + (AM366 = 'Internal -- Trademark Countries'!C$2:C1000) + (AM366 = 'Internal -- Trademark Countries'!D$2:D1000)), 1))"),"")</f>
        <v/>
      </c>
      <c r="EF366" s="30" t="e">
        <f ca="1">_xludf.ifs(AM366="", "", COUNTIF('Internal -- Trademark Countries'!B:B,AM366) &gt; 0, "polity_shortest_name", COUNTIF('Internal -- Trademark Countries'!C:C,AM366) &gt; 0, "polity_full_name", COUNTIF('Internal -- Trademark Countries'!D:D,AM366) &gt; 0, "polity_common_name", COUNTIF('Internal -- Trademark Countries'!E:E,AM366) &gt; 0, "shortest_name", COUNTIF('Internal -- Trademark Countries'!A:A,AM366) &gt; 0, "full_name", TRUE, "not a match")</f>
        <v>#NAME?</v>
      </c>
      <c r="EG366" s="30"/>
      <c r="EH366" s="30"/>
      <c r="EI366" s="30"/>
      <c r="EJ366" s="30"/>
      <c r="EK366" s="30" t="str">
        <f t="shared" si="3"/>
        <v/>
      </c>
    </row>
    <row r="367" spans="1:141" ht="16.5">
      <c r="A367" s="11"/>
      <c r="B367" s="11"/>
      <c r="C367" s="11"/>
      <c r="D367" s="11"/>
      <c r="E367" s="11"/>
      <c r="F367" s="11"/>
      <c r="G367" s="11"/>
      <c r="H367" s="11"/>
      <c r="I367" s="11"/>
      <c r="J367" s="11"/>
      <c r="K367" s="27"/>
      <c r="L367" s="11"/>
      <c r="M367" s="11"/>
      <c r="N367" s="11"/>
      <c r="O367" s="11"/>
      <c r="P367" s="15"/>
      <c r="Q367" s="15"/>
      <c r="R367" s="15"/>
      <c r="S367" s="15"/>
      <c r="T367" s="15"/>
      <c r="U367" s="15"/>
      <c r="V367" s="15"/>
      <c r="W367" s="47"/>
      <c r="X367" s="11"/>
      <c r="Y367" s="48"/>
      <c r="Z367" s="11"/>
      <c r="AA367" s="48"/>
      <c r="AB367" s="11"/>
      <c r="AC367" s="48"/>
      <c r="AD367" s="11"/>
      <c r="AE367" s="47"/>
      <c r="AF367" s="11"/>
      <c r="AG367" s="48"/>
      <c r="AH367" s="11"/>
      <c r="AI367" s="48"/>
      <c r="AJ367" s="11"/>
      <c r="AK367" s="48"/>
      <c r="AL367" s="11"/>
      <c r="AM367" s="49"/>
      <c r="AN367" s="49"/>
      <c r="AO367" s="11"/>
      <c r="AP367" s="11"/>
      <c r="AQ367" s="28" t="b">
        <f>IF(COUNTIF(SmartStatus!A$2:A1000, AM367) &gt; 2, TRUE, FALSE)</f>
        <v>0</v>
      </c>
      <c r="AR367" s="29" t="str">
        <f ca="1">IFERROR(__xludf.DUMMYFUNCTION("iferror(if(regexmatch(AO367, ""(?i)^registered""), if(EE367 &lt;&gt; ""polity_shortest_name"", ""CHECK_POLITY"", index(filter(SmartStatus!B$2:B1000, AM367 = SmartStatus!A$2:A1000, not(SmartStatus!C$2:C1000), (isblank(SmartStatus!D$2:D1000)) + ((P367 &lt;&gt; """") * "&amp;"(P367 &lt; SmartStatus!D$2:D1000)), (isblank(SmartStatus!E$2:E1000)) + ((P367 &lt;&gt; """") * (P367 &gt;= SmartStatus!E$2:E1000)), (isblank(SmartStatus!F$2:F1000)) + (((Q367 &lt;&gt; """") * (Q367 &lt; SmartStatus!F$2:F1000)) + ((P367 &lt;&gt; """") * (date(year(P367) + 3, month(P"&amp;"367), day(P367)) &lt; SmartStatus!F$2:F1000))), (isblank(SmartStatus!G$2:G1000)) + (((Q367 &lt;&gt; """") * (Q367 &gt;= SmartStatus!G$2:G1000)) + ((P367 &lt;&gt; """") * (P367 &gt;= SmartStatus!G$2:G1000)))), if(or(regexmatch(B367, ""(?i)^ir [a-z]+ designation$""), N367 &lt;&gt; """&amp;"""), 1, 2))), """"), ""NO_MATCH"")"),"")</f>
        <v/>
      </c>
      <c r="AS367" s="11"/>
      <c r="AT367" s="15"/>
      <c r="AU367" s="11"/>
      <c r="AV367" s="11"/>
      <c r="AW367" s="15"/>
      <c r="AX367" s="15"/>
      <c r="AY367" s="15"/>
      <c r="AZ367" s="11"/>
      <c r="BA367" s="15"/>
      <c r="BB367" s="11"/>
      <c r="BC367" s="11"/>
      <c r="BD367" s="15"/>
      <c r="BE367" s="11"/>
      <c r="BF367" s="11"/>
      <c r="BG367" s="15"/>
      <c r="BH367" s="15"/>
      <c r="BI367" s="15"/>
      <c r="BJ367" s="11"/>
      <c r="BK367" s="15"/>
      <c r="BL367" s="11"/>
      <c r="BM367" s="11"/>
      <c r="BN367" s="15"/>
      <c r="BO367" s="11"/>
      <c r="BP367" s="11"/>
      <c r="BQ367" s="15"/>
      <c r="BR367" s="15"/>
      <c r="BS367" s="15"/>
      <c r="BT367" s="11"/>
      <c r="BU367" s="15"/>
      <c r="BV367" s="11"/>
      <c r="BW367" s="11"/>
      <c r="BX367" s="15"/>
      <c r="BY367" s="11"/>
      <c r="BZ367" s="11"/>
      <c r="CA367" s="15"/>
      <c r="CB367" s="11"/>
      <c r="CC367" s="15"/>
      <c r="CD367" s="11"/>
      <c r="CE367" s="15"/>
      <c r="CF367" s="11"/>
      <c r="CG367" s="11"/>
      <c r="CH367" s="15"/>
      <c r="CI367" s="11"/>
      <c r="CJ367" s="11"/>
      <c r="CK367" s="15"/>
      <c r="CL367" s="11"/>
      <c r="CM367" s="11"/>
      <c r="CN367" s="11"/>
      <c r="CO367" s="11"/>
      <c r="CP367" s="28"/>
      <c r="CQ367" s="28"/>
      <c r="CR367" s="11"/>
      <c r="CS367" s="29"/>
      <c r="CT367" s="11"/>
      <c r="CU367" s="11"/>
      <c r="CV367" s="11"/>
      <c r="CW367" s="11"/>
      <c r="CX367" s="11"/>
      <c r="CY367" s="11"/>
      <c r="CZ367" s="11"/>
      <c r="DA367" s="28"/>
      <c r="DB367" s="28"/>
      <c r="DC367" s="11"/>
      <c r="DD367" s="29"/>
      <c r="DE367" s="11"/>
      <c r="DF367" s="11"/>
      <c r="DG367" s="11"/>
      <c r="DH367" s="11"/>
      <c r="DI367" s="11"/>
      <c r="DJ367" s="11"/>
      <c r="DK367" s="26"/>
      <c r="DL367" s="11"/>
      <c r="DM367" s="29"/>
      <c r="DN367" s="28"/>
      <c r="DO367" s="11"/>
      <c r="DP367" s="11"/>
      <c r="DQ367" s="11"/>
      <c r="DR367" s="29"/>
      <c r="DS367" s="28"/>
      <c r="DT367" s="11"/>
      <c r="DU367" s="26"/>
      <c r="DV367" s="11"/>
      <c r="DW367" s="29"/>
      <c r="DX367" s="28"/>
      <c r="DY367" s="11"/>
      <c r="DZ367" s="26"/>
      <c r="EA367" s="11"/>
      <c r="EB367" s="29"/>
      <c r="EC367" s="28"/>
      <c r="ED367" s="30"/>
      <c r="EE367" s="30" t="str">
        <f ca="1">IFERROR(__xludf.DUMMYFUNCTION("iferror(index(filter('Internal -- Trademark Countries'!E$2:E1000, (AM367 = 'Internal -- Trademark Countries'!B$2:B1000) + (AM367 = 'Internal -- Trademark Countries'!C$2:C1000) + (AM367 = 'Internal -- Trademark Countries'!D$2:D1000)), 1))"),"")</f>
        <v/>
      </c>
      <c r="EF367" s="30" t="e">
        <f ca="1">_xludf.ifs(AM367="", "", COUNTIF('Internal -- Trademark Countries'!B:B,AM367) &gt; 0, "polity_shortest_name", COUNTIF('Internal -- Trademark Countries'!C:C,AM367) &gt; 0, "polity_full_name", COUNTIF('Internal -- Trademark Countries'!D:D,AM367) &gt; 0, "polity_common_name", COUNTIF('Internal -- Trademark Countries'!E:E,AM367) &gt; 0, "shortest_name", COUNTIF('Internal -- Trademark Countries'!A:A,AM367) &gt; 0, "full_name", TRUE, "not a match")</f>
        <v>#NAME?</v>
      </c>
      <c r="EG367" s="30"/>
      <c r="EH367" s="30"/>
      <c r="EI367" s="30"/>
      <c r="EJ367" s="30"/>
      <c r="EK367" s="30" t="str">
        <f t="shared" si="3"/>
        <v/>
      </c>
    </row>
    <row r="368" spans="1:141" ht="16.5">
      <c r="A368" s="11"/>
      <c r="B368" s="11"/>
      <c r="C368" s="11"/>
      <c r="D368" s="11"/>
      <c r="E368" s="11"/>
      <c r="F368" s="11"/>
      <c r="G368" s="11"/>
      <c r="H368" s="11"/>
      <c r="I368" s="11"/>
      <c r="J368" s="11"/>
      <c r="K368" s="27"/>
      <c r="L368" s="11"/>
      <c r="M368" s="11"/>
      <c r="N368" s="11"/>
      <c r="O368" s="11"/>
      <c r="P368" s="15"/>
      <c r="Q368" s="15"/>
      <c r="R368" s="15"/>
      <c r="S368" s="15"/>
      <c r="T368" s="15"/>
      <c r="U368" s="15"/>
      <c r="V368" s="15"/>
      <c r="W368" s="47"/>
      <c r="X368" s="11"/>
      <c r="Y368" s="48"/>
      <c r="Z368" s="11"/>
      <c r="AA368" s="48"/>
      <c r="AB368" s="11"/>
      <c r="AC368" s="48"/>
      <c r="AD368" s="11"/>
      <c r="AE368" s="47"/>
      <c r="AF368" s="11"/>
      <c r="AG368" s="48"/>
      <c r="AH368" s="11"/>
      <c r="AI368" s="48"/>
      <c r="AJ368" s="11"/>
      <c r="AK368" s="48"/>
      <c r="AL368" s="11"/>
      <c r="AM368" s="49"/>
      <c r="AN368" s="49"/>
      <c r="AO368" s="11"/>
      <c r="AP368" s="11"/>
      <c r="AQ368" s="28" t="b">
        <f>IF(COUNTIF(SmartStatus!A$2:A1000, AM368) &gt; 2, TRUE, FALSE)</f>
        <v>0</v>
      </c>
      <c r="AR368" s="29" t="str">
        <f ca="1">IFERROR(__xludf.DUMMYFUNCTION("iferror(if(regexmatch(AO368, ""(?i)^registered""), if(EE368 &lt;&gt; ""polity_shortest_name"", ""CHECK_POLITY"", index(filter(SmartStatus!B$2:B1000, AM368 = SmartStatus!A$2:A1000, not(SmartStatus!C$2:C1000), (isblank(SmartStatus!D$2:D1000)) + ((P368 &lt;&gt; """") * "&amp;"(P368 &lt; SmartStatus!D$2:D1000)), (isblank(SmartStatus!E$2:E1000)) + ((P368 &lt;&gt; """") * (P368 &gt;= SmartStatus!E$2:E1000)), (isblank(SmartStatus!F$2:F1000)) + (((Q368 &lt;&gt; """") * (Q368 &lt; SmartStatus!F$2:F1000)) + ((P368 &lt;&gt; """") * (date(year(P368) + 3, month(P"&amp;"368), day(P368)) &lt; SmartStatus!F$2:F1000))), (isblank(SmartStatus!G$2:G1000)) + (((Q368 &lt;&gt; """") * (Q368 &gt;= SmartStatus!G$2:G1000)) + ((P368 &lt;&gt; """") * (P368 &gt;= SmartStatus!G$2:G1000)))), if(or(regexmatch(B368, ""(?i)^ir [a-z]+ designation$""), N368 &lt;&gt; """&amp;"""), 1, 2))), """"), ""NO_MATCH"")"),"")</f>
        <v/>
      </c>
      <c r="AS368" s="11"/>
      <c r="AT368" s="15"/>
      <c r="AU368" s="11"/>
      <c r="AV368" s="11"/>
      <c r="AW368" s="15"/>
      <c r="AX368" s="15"/>
      <c r="AY368" s="15"/>
      <c r="AZ368" s="11"/>
      <c r="BA368" s="15"/>
      <c r="BB368" s="11"/>
      <c r="BC368" s="11"/>
      <c r="BD368" s="15"/>
      <c r="BE368" s="11"/>
      <c r="BF368" s="11"/>
      <c r="BG368" s="15"/>
      <c r="BH368" s="15"/>
      <c r="BI368" s="15"/>
      <c r="BJ368" s="11"/>
      <c r="BK368" s="15"/>
      <c r="BL368" s="11"/>
      <c r="BM368" s="11"/>
      <c r="BN368" s="15"/>
      <c r="BO368" s="11"/>
      <c r="BP368" s="11"/>
      <c r="BQ368" s="15"/>
      <c r="BR368" s="15"/>
      <c r="BS368" s="15"/>
      <c r="BT368" s="11"/>
      <c r="BU368" s="15"/>
      <c r="BV368" s="11"/>
      <c r="BW368" s="11"/>
      <c r="BX368" s="15"/>
      <c r="BY368" s="11"/>
      <c r="BZ368" s="11"/>
      <c r="CA368" s="15"/>
      <c r="CB368" s="11"/>
      <c r="CC368" s="15"/>
      <c r="CD368" s="11"/>
      <c r="CE368" s="15"/>
      <c r="CF368" s="11"/>
      <c r="CG368" s="11"/>
      <c r="CH368" s="15"/>
      <c r="CI368" s="11"/>
      <c r="CJ368" s="11"/>
      <c r="CK368" s="15"/>
      <c r="CL368" s="11"/>
      <c r="CM368" s="11"/>
      <c r="CN368" s="11"/>
      <c r="CO368" s="11"/>
      <c r="CP368" s="28"/>
      <c r="CQ368" s="28"/>
      <c r="CR368" s="11"/>
      <c r="CS368" s="29"/>
      <c r="CT368" s="11"/>
      <c r="CU368" s="11"/>
      <c r="CV368" s="11"/>
      <c r="CW368" s="11"/>
      <c r="CX368" s="11"/>
      <c r="CY368" s="11"/>
      <c r="CZ368" s="11"/>
      <c r="DA368" s="28"/>
      <c r="DB368" s="28"/>
      <c r="DC368" s="11"/>
      <c r="DD368" s="29"/>
      <c r="DE368" s="11"/>
      <c r="DF368" s="11"/>
      <c r="DG368" s="11"/>
      <c r="DH368" s="11"/>
      <c r="DI368" s="11"/>
      <c r="DJ368" s="11"/>
      <c r="DK368" s="26"/>
      <c r="DL368" s="11"/>
      <c r="DM368" s="29"/>
      <c r="DN368" s="28"/>
      <c r="DO368" s="11"/>
      <c r="DP368" s="11"/>
      <c r="DQ368" s="11"/>
      <c r="DR368" s="29"/>
      <c r="DS368" s="28"/>
      <c r="DT368" s="11"/>
      <c r="DU368" s="26"/>
      <c r="DV368" s="11"/>
      <c r="DW368" s="29"/>
      <c r="DX368" s="28"/>
      <c r="DY368" s="11"/>
      <c r="DZ368" s="26"/>
      <c r="EA368" s="11"/>
      <c r="EB368" s="29"/>
      <c r="EC368" s="28"/>
      <c r="ED368" s="30"/>
      <c r="EE368" s="30" t="str">
        <f ca="1">IFERROR(__xludf.DUMMYFUNCTION("iferror(index(filter('Internal -- Trademark Countries'!E$2:E1000, (AM368 = 'Internal -- Trademark Countries'!B$2:B1000) + (AM368 = 'Internal -- Trademark Countries'!C$2:C1000) + (AM368 = 'Internal -- Trademark Countries'!D$2:D1000)), 1))"),"")</f>
        <v/>
      </c>
      <c r="EF368" s="30" t="e">
        <f ca="1">_xludf.ifs(AM368="", "", COUNTIF('Internal -- Trademark Countries'!B:B,AM368) &gt; 0, "polity_shortest_name", COUNTIF('Internal -- Trademark Countries'!C:C,AM368) &gt; 0, "polity_full_name", COUNTIF('Internal -- Trademark Countries'!D:D,AM368) &gt; 0, "polity_common_name", COUNTIF('Internal -- Trademark Countries'!E:E,AM368) &gt; 0, "shortest_name", COUNTIF('Internal -- Trademark Countries'!A:A,AM368) &gt; 0, "full_name", TRUE, "not a match")</f>
        <v>#NAME?</v>
      </c>
      <c r="EG368" s="30"/>
      <c r="EH368" s="30"/>
      <c r="EI368" s="30"/>
      <c r="EJ368" s="30"/>
      <c r="EK368" s="30" t="str">
        <f t="shared" si="3"/>
        <v/>
      </c>
    </row>
    <row r="369" spans="1:141" ht="16.5">
      <c r="A369" s="11"/>
      <c r="B369" s="11"/>
      <c r="C369" s="11"/>
      <c r="D369" s="11"/>
      <c r="E369" s="11"/>
      <c r="F369" s="11"/>
      <c r="G369" s="11"/>
      <c r="H369" s="11"/>
      <c r="I369" s="11"/>
      <c r="J369" s="11"/>
      <c r="K369" s="27"/>
      <c r="L369" s="11"/>
      <c r="M369" s="11"/>
      <c r="N369" s="11"/>
      <c r="O369" s="11"/>
      <c r="P369" s="15"/>
      <c r="Q369" s="15"/>
      <c r="R369" s="15"/>
      <c r="S369" s="15"/>
      <c r="T369" s="15"/>
      <c r="U369" s="15"/>
      <c r="V369" s="15"/>
      <c r="W369" s="47"/>
      <c r="X369" s="11"/>
      <c r="Y369" s="48"/>
      <c r="Z369" s="11"/>
      <c r="AA369" s="48"/>
      <c r="AB369" s="11"/>
      <c r="AC369" s="48"/>
      <c r="AD369" s="11"/>
      <c r="AE369" s="47"/>
      <c r="AF369" s="11"/>
      <c r="AG369" s="48"/>
      <c r="AH369" s="11"/>
      <c r="AI369" s="48"/>
      <c r="AJ369" s="11"/>
      <c r="AK369" s="48"/>
      <c r="AL369" s="11"/>
      <c r="AM369" s="49"/>
      <c r="AN369" s="49"/>
      <c r="AO369" s="11"/>
      <c r="AP369" s="11"/>
      <c r="AQ369" s="28" t="b">
        <f>IF(COUNTIF(SmartStatus!A$2:A1000, AM369) &gt; 2, TRUE, FALSE)</f>
        <v>0</v>
      </c>
      <c r="AR369" s="29" t="str">
        <f ca="1">IFERROR(__xludf.DUMMYFUNCTION("iferror(if(regexmatch(AO369, ""(?i)^registered""), if(EE369 &lt;&gt; ""polity_shortest_name"", ""CHECK_POLITY"", index(filter(SmartStatus!B$2:B1000, AM369 = SmartStatus!A$2:A1000, not(SmartStatus!C$2:C1000), (isblank(SmartStatus!D$2:D1000)) + ((P369 &lt;&gt; """") * "&amp;"(P369 &lt; SmartStatus!D$2:D1000)), (isblank(SmartStatus!E$2:E1000)) + ((P369 &lt;&gt; """") * (P369 &gt;= SmartStatus!E$2:E1000)), (isblank(SmartStatus!F$2:F1000)) + (((Q369 &lt;&gt; """") * (Q369 &lt; SmartStatus!F$2:F1000)) + ((P369 &lt;&gt; """") * (date(year(P369) + 3, month(P"&amp;"369), day(P369)) &lt; SmartStatus!F$2:F1000))), (isblank(SmartStatus!G$2:G1000)) + (((Q369 &lt;&gt; """") * (Q369 &gt;= SmartStatus!G$2:G1000)) + ((P369 &lt;&gt; """") * (P369 &gt;= SmartStatus!G$2:G1000)))), if(or(regexmatch(B369, ""(?i)^ir [a-z]+ designation$""), N369 &lt;&gt; """&amp;"""), 1, 2))), """"), ""NO_MATCH"")"),"")</f>
        <v/>
      </c>
      <c r="AS369" s="11"/>
      <c r="AT369" s="15"/>
      <c r="AU369" s="11"/>
      <c r="AV369" s="11"/>
      <c r="AW369" s="15"/>
      <c r="AX369" s="15"/>
      <c r="AY369" s="15"/>
      <c r="AZ369" s="11"/>
      <c r="BA369" s="15"/>
      <c r="BB369" s="11"/>
      <c r="BC369" s="11"/>
      <c r="BD369" s="15"/>
      <c r="BE369" s="11"/>
      <c r="BF369" s="11"/>
      <c r="BG369" s="15"/>
      <c r="BH369" s="15"/>
      <c r="BI369" s="15"/>
      <c r="BJ369" s="11"/>
      <c r="BK369" s="15"/>
      <c r="BL369" s="11"/>
      <c r="BM369" s="11"/>
      <c r="BN369" s="15"/>
      <c r="BO369" s="11"/>
      <c r="BP369" s="11"/>
      <c r="BQ369" s="15"/>
      <c r="BR369" s="15"/>
      <c r="BS369" s="15"/>
      <c r="BT369" s="11"/>
      <c r="BU369" s="15"/>
      <c r="BV369" s="11"/>
      <c r="BW369" s="11"/>
      <c r="BX369" s="15"/>
      <c r="BY369" s="11"/>
      <c r="BZ369" s="11"/>
      <c r="CA369" s="15"/>
      <c r="CB369" s="11"/>
      <c r="CC369" s="15"/>
      <c r="CD369" s="11"/>
      <c r="CE369" s="15"/>
      <c r="CF369" s="11"/>
      <c r="CG369" s="11"/>
      <c r="CH369" s="15"/>
      <c r="CI369" s="11"/>
      <c r="CJ369" s="11"/>
      <c r="CK369" s="15"/>
      <c r="CL369" s="11"/>
      <c r="CM369" s="11"/>
      <c r="CN369" s="11"/>
      <c r="CO369" s="11"/>
      <c r="CP369" s="28"/>
      <c r="CQ369" s="28"/>
      <c r="CR369" s="11"/>
      <c r="CS369" s="29"/>
      <c r="CT369" s="11"/>
      <c r="CU369" s="11"/>
      <c r="CV369" s="11"/>
      <c r="CW369" s="11"/>
      <c r="CX369" s="11"/>
      <c r="CY369" s="11"/>
      <c r="CZ369" s="11"/>
      <c r="DA369" s="28"/>
      <c r="DB369" s="28"/>
      <c r="DC369" s="11"/>
      <c r="DD369" s="29"/>
      <c r="DE369" s="11"/>
      <c r="DF369" s="11"/>
      <c r="DG369" s="11"/>
      <c r="DH369" s="11"/>
      <c r="DI369" s="11"/>
      <c r="DJ369" s="11"/>
      <c r="DK369" s="26"/>
      <c r="DL369" s="11"/>
      <c r="DM369" s="29"/>
      <c r="DN369" s="28"/>
      <c r="DO369" s="11"/>
      <c r="DP369" s="11"/>
      <c r="DQ369" s="11"/>
      <c r="DR369" s="29"/>
      <c r="DS369" s="28"/>
      <c r="DT369" s="11"/>
      <c r="DU369" s="26"/>
      <c r="DV369" s="11"/>
      <c r="DW369" s="29"/>
      <c r="DX369" s="28"/>
      <c r="DY369" s="11"/>
      <c r="DZ369" s="26"/>
      <c r="EA369" s="11"/>
      <c r="EB369" s="29"/>
      <c r="EC369" s="28"/>
      <c r="ED369" s="30"/>
      <c r="EE369" s="30" t="str">
        <f ca="1">IFERROR(__xludf.DUMMYFUNCTION("iferror(index(filter('Internal -- Trademark Countries'!E$2:E1000, (AM369 = 'Internal -- Trademark Countries'!B$2:B1000) + (AM369 = 'Internal -- Trademark Countries'!C$2:C1000) + (AM369 = 'Internal -- Trademark Countries'!D$2:D1000)), 1))"),"")</f>
        <v/>
      </c>
      <c r="EF369" s="30" t="e">
        <f ca="1">_xludf.ifs(AM369="", "", COUNTIF('Internal -- Trademark Countries'!B:B,AM369) &gt; 0, "polity_shortest_name", COUNTIF('Internal -- Trademark Countries'!C:C,AM369) &gt; 0, "polity_full_name", COUNTIF('Internal -- Trademark Countries'!D:D,AM369) &gt; 0, "polity_common_name", COUNTIF('Internal -- Trademark Countries'!E:E,AM369) &gt; 0, "shortest_name", COUNTIF('Internal -- Trademark Countries'!A:A,AM369) &gt; 0, "full_name", TRUE, "not a match")</f>
        <v>#NAME?</v>
      </c>
      <c r="EG369" s="30"/>
      <c r="EH369" s="30"/>
      <c r="EI369" s="30"/>
      <c r="EJ369" s="30"/>
      <c r="EK369" s="30" t="str">
        <f t="shared" si="3"/>
        <v/>
      </c>
    </row>
    <row r="370" spans="1:141" ht="16.5">
      <c r="A370" s="11"/>
      <c r="B370" s="11"/>
      <c r="C370" s="11"/>
      <c r="D370" s="11"/>
      <c r="E370" s="11"/>
      <c r="F370" s="11"/>
      <c r="G370" s="11"/>
      <c r="H370" s="11"/>
      <c r="I370" s="11"/>
      <c r="J370" s="11"/>
      <c r="K370" s="27"/>
      <c r="L370" s="11"/>
      <c r="M370" s="11"/>
      <c r="N370" s="11"/>
      <c r="O370" s="11"/>
      <c r="P370" s="15"/>
      <c r="Q370" s="15"/>
      <c r="R370" s="15"/>
      <c r="S370" s="15"/>
      <c r="T370" s="15"/>
      <c r="U370" s="15"/>
      <c r="V370" s="15"/>
      <c r="W370" s="47"/>
      <c r="X370" s="11"/>
      <c r="Y370" s="48"/>
      <c r="Z370" s="11"/>
      <c r="AA370" s="48"/>
      <c r="AB370" s="11"/>
      <c r="AC370" s="48"/>
      <c r="AD370" s="11"/>
      <c r="AE370" s="47"/>
      <c r="AF370" s="11"/>
      <c r="AG370" s="48"/>
      <c r="AH370" s="11"/>
      <c r="AI370" s="48"/>
      <c r="AJ370" s="11"/>
      <c r="AK370" s="48"/>
      <c r="AL370" s="11"/>
      <c r="AM370" s="49"/>
      <c r="AN370" s="49"/>
      <c r="AO370" s="11"/>
      <c r="AP370" s="11"/>
      <c r="AQ370" s="28" t="b">
        <f>IF(COUNTIF(SmartStatus!A$2:A1000, AM370) &gt; 2, TRUE, FALSE)</f>
        <v>0</v>
      </c>
      <c r="AR370" s="29" t="str">
        <f ca="1">IFERROR(__xludf.DUMMYFUNCTION("iferror(if(regexmatch(AO370, ""(?i)^registered""), if(EE370 &lt;&gt; ""polity_shortest_name"", ""CHECK_POLITY"", index(filter(SmartStatus!B$2:B1000, AM370 = SmartStatus!A$2:A1000, not(SmartStatus!C$2:C1000), (isblank(SmartStatus!D$2:D1000)) + ((P370 &lt;&gt; """") * "&amp;"(P370 &lt; SmartStatus!D$2:D1000)), (isblank(SmartStatus!E$2:E1000)) + ((P370 &lt;&gt; """") * (P370 &gt;= SmartStatus!E$2:E1000)), (isblank(SmartStatus!F$2:F1000)) + (((Q370 &lt;&gt; """") * (Q370 &lt; SmartStatus!F$2:F1000)) + ((P370 &lt;&gt; """") * (date(year(P370) + 3, month(P"&amp;"370), day(P370)) &lt; SmartStatus!F$2:F1000))), (isblank(SmartStatus!G$2:G1000)) + (((Q370 &lt;&gt; """") * (Q370 &gt;= SmartStatus!G$2:G1000)) + ((P370 &lt;&gt; """") * (P370 &gt;= SmartStatus!G$2:G1000)))), if(or(regexmatch(B370, ""(?i)^ir [a-z]+ designation$""), N370 &lt;&gt; """&amp;"""), 1, 2))), """"), ""NO_MATCH"")"),"")</f>
        <v/>
      </c>
      <c r="AS370" s="11"/>
      <c r="AT370" s="15"/>
      <c r="AU370" s="11"/>
      <c r="AV370" s="11"/>
      <c r="AW370" s="15"/>
      <c r="AX370" s="15"/>
      <c r="AY370" s="15"/>
      <c r="AZ370" s="11"/>
      <c r="BA370" s="15"/>
      <c r="BB370" s="11"/>
      <c r="BC370" s="11"/>
      <c r="BD370" s="15"/>
      <c r="BE370" s="11"/>
      <c r="BF370" s="11"/>
      <c r="BG370" s="15"/>
      <c r="BH370" s="15"/>
      <c r="BI370" s="15"/>
      <c r="BJ370" s="11"/>
      <c r="BK370" s="15"/>
      <c r="BL370" s="11"/>
      <c r="BM370" s="11"/>
      <c r="BN370" s="15"/>
      <c r="BO370" s="11"/>
      <c r="BP370" s="11"/>
      <c r="BQ370" s="15"/>
      <c r="BR370" s="15"/>
      <c r="BS370" s="15"/>
      <c r="BT370" s="11"/>
      <c r="BU370" s="15"/>
      <c r="BV370" s="11"/>
      <c r="BW370" s="11"/>
      <c r="BX370" s="15"/>
      <c r="BY370" s="11"/>
      <c r="BZ370" s="11"/>
      <c r="CA370" s="15"/>
      <c r="CB370" s="11"/>
      <c r="CC370" s="15"/>
      <c r="CD370" s="11"/>
      <c r="CE370" s="15"/>
      <c r="CF370" s="11"/>
      <c r="CG370" s="11"/>
      <c r="CH370" s="15"/>
      <c r="CI370" s="11"/>
      <c r="CJ370" s="11"/>
      <c r="CK370" s="15"/>
      <c r="CL370" s="11"/>
      <c r="CM370" s="11"/>
      <c r="CN370" s="11"/>
      <c r="CO370" s="11"/>
      <c r="CP370" s="28"/>
      <c r="CQ370" s="28"/>
      <c r="CR370" s="11"/>
      <c r="CS370" s="29"/>
      <c r="CT370" s="11"/>
      <c r="CU370" s="11"/>
      <c r="CV370" s="11"/>
      <c r="CW370" s="11"/>
      <c r="CX370" s="11"/>
      <c r="CY370" s="11"/>
      <c r="CZ370" s="11"/>
      <c r="DA370" s="28"/>
      <c r="DB370" s="28"/>
      <c r="DC370" s="11"/>
      <c r="DD370" s="29"/>
      <c r="DE370" s="11"/>
      <c r="DF370" s="11"/>
      <c r="DG370" s="11"/>
      <c r="DH370" s="11"/>
      <c r="DI370" s="11"/>
      <c r="DJ370" s="11"/>
      <c r="DK370" s="26"/>
      <c r="DL370" s="11"/>
      <c r="DM370" s="29"/>
      <c r="DN370" s="28"/>
      <c r="DO370" s="11"/>
      <c r="DP370" s="11"/>
      <c r="DQ370" s="11"/>
      <c r="DR370" s="29"/>
      <c r="DS370" s="28"/>
      <c r="DT370" s="11"/>
      <c r="DU370" s="26"/>
      <c r="DV370" s="11"/>
      <c r="DW370" s="29"/>
      <c r="DX370" s="28"/>
      <c r="DY370" s="11"/>
      <c r="DZ370" s="26"/>
      <c r="EA370" s="11"/>
      <c r="EB370" s="29"/>
      <c r="EC370" s="28"/>
      <c r="ED370" s="30"/>
      <c r="EE370" s="30" t="str">
        <f ca="1">IFERROR(__xludf.DUMMYFUNCTION("iferror(index(filter('Internal -- Trademark Countries'!E$2:E1000, (AM370 = 'Internal -- Trademark Countries'!B$2:B1000) + (AM370 = 'Internal -- Trademark Countries'!C$2:C1000) + (AM370 = 'Internal -- Trademark Countries'!D$2:D1000)), 1))"),"")</f>
        <v/>
      </c>
      <c r="EF370" s="30" t="e">
        <f ca="1">_xludf.ifs(AM370="", "", COUNTIF('Internal -- Trademark Countries'!B:B,AM370) &gt; 0, "polity_shortest_name", COUNTIF('Internal -- Trademark Countries'!C:C,AM370) &gt; 0, "polity_full_name", COUNTIF('Internal -- Trademark Countries'!D:D,AM370) &gt; 0, "polity_common_name", COUNTIF('Internal -- Trademark Countries'!E:E,AM370) &gt; 0, "shortest_name", COUNTIF('Internal -- Trademark Countries'!A:A,AM370) &gt; 0, "full_name", TRUE, "not a match")</f>
        <v>#NAME?</v>
      </c>
      <c r="EG370" s="30"/>
      <c r="EH370" s="30"/>
      <c r="EI370" s="30"/>
      <c r="EJ370" s="30"/>
      <c r="EK370" s="30" t="str">
        <f t="shared" si="3"/>
        <v/>
      </c>
    </row>
    <row r="371" spans="1:141" ht="16.5">
      <c r="A371" s="11"/>
      <c r="B371" s="11"/>
      <c r="C371" s="11"/>
      <c r="D371" s="11"/>
      <c r="E371" s="11"/>
      <c r="F371" s="11"/>
      <c r="G371" s="11"/>
      <c r="H371" s="11"/>
      <c r="I371" s="11"/>
      <c r="J371" s="11"/>
      <c r="K371" s="27"/>
      <c r="L371" s="11"/>
      <c r="M371" s="11"/>
      <c r="N371" s="11"/>
      <c r="O371" s="11"/>
      <c r="P371" s="15"/>
      <c r="Q371" s="15"/>
      <c r="R371" s="15"/>
      <c r="S371" s="15"/>
      <c r="T371" s="15"/>
      <c r="U371" s="15"/>
      <c r="V371" s="15"/>
      <c r="W371" s="47"/>
      <c r="X371" s="11"/>
      <c r="Y371" s="48"/>
      <c r="Z371" s="11"/>
      <c r="AA371" s="48"/>
      <c r="AB371" s="11"/>
      <c r="AC371" s="48"/>
      <c r="AD371" s="11"/>
      <c r="AE371" s="47"/>
      <c r="AF371" s="11"/>
      <c r="AG371" s="48"/>
      <c r="AH371" s="11"/>
      <c r="AI371" s="48"/>
      <c r="AJ371" s="11"/>
      <c r="AK371" s="48"/>
      <c r="AL371" s="11"/>
      <c r="AM371" s="49"/>
      <c r="AN371" s="49"/>
      <c r="AO371" s="11"/>
      <c r="AP371" s="11"/>
      <c r="AQ371" s="28" t="b">
        <f>IF(COUNTIF(SmartStatus!A$2:A1000, AM371) &gt; 2, TRUE, FALSE)</f>
        <v>0</v>
      </c>
      <c r="AR371" s="29" t="str">
        <f ca="1">IFERROR(__xludf.DUMMYFUNCTION("iferror(if(regexmatch(AO371, ""(?i)^registered""), if(EE371 &lt;&gt; ""polity_shortest_name"", ""CHECK_POLITY"", index(filter(SmartStatus!B$2:B1000, AM371 = SmartStatus!A$2:A1000, not(SmartStatus!C$2:C1000), (isblank(SmartStatus!D$2:D1000)) + ((P371 &lt;&gt; """") * "&amp;"(P371 &lt; SmartStatus!D$2:D1000)), (isblank(SmartStatus!E$2:E1000)) + ((P371 &lt;&gt; """") * (P371 &gt;= SmartStatus!E$2:E1000)), (isblank(SmartStatus!F$2:F1000)) + (((Q371 &lt;&gt; """") * (Q371 &lt; SmartStatus!F$2:F1000)) + ((P371 &lt;&gt; """") * (date(year(P371) + 3, month(P"&amp;"371), day(P371)) &lt; SmartStatus!F$2:F1000))), (isblank(SmartStatus!G$2:G1000)) + (((Q371 &lt;&gt; """") * (Q371 &gt;= SmartStatus!G$2:G1000)) + ((P371 &lt;&gt; """") * (P371 &gt;= SmartStatus!G$2:G1000)))), if(or(regexmatch(B371, ""(?i)^ir [a-z]+ designation$""), N371 &lt;&gt; """&amp;"""), 1, 2))), """"), ""NO_MATCH"")"),"")</f>
        <v/>
      </c>
      <c r="AS371" s="11"/>
      <c r="AT371" s="15"/>
      <c r="AU371" s="11"/>
      <c r="AV371" s="11"/>
      <c r="AW371" s="15"/>
      <c r="AX371" s="15"/>
      <c r="AY371" s="15"/>
      <c r="AZ371" s="11"/>
      <c r="BA371" s="15"/>
      <c r="BB371" s="11"/>
      <c r="BC371" s="11"/>
      <c r="BD371" s="15"/>
      <c r="BE371" s="11"/>
      <c r="BF371" s="11"/>
      <c r="BG371" s="15"/>
      <c r="BH371" s="15"/>
      <c r="BI371" s="15"/>
      <c r="BJ371" s="11"/>
      <c r="BK371" s="15"/>
      <c r="BL371" s="11"/>
      <c r="BM371" s="11"/>
      <c r="BN371" s="15"/>
      <c r="BO371" s="11"/>
      <c r="BP371" s="11"/>
      <c r="BQ371" s="15"/>
      <c r="BR371" s="15"/>
      <c r="BS371" s="15"/>
      <c r="BT371" s="11"/>
      <c r="BU371" s="15"/>
      <c r="BV371" s="11"/>
      <c r="BW371" s="11"/>
      <c r="BX371" s="15"/>
      <c r="BY371" s="11"/>
      <c r="BZ371" s="11"/>
      <c r="CA371" s="15"/>
      <c r="CB371" s="11"/>
      <c r="CC371" s="15"/>
      <c r="CD371" s="11"/>
      <c r="CE371" s="15"/>
      <c r="CF371" s="11"/>
      <c r="CG371" s="11"/>
      <c r="CH371" s="15"/>
      <c r="CI371" s="11"/>
      <c r="CJ371" s="11"/>
      <c r="CK371" s="15"/>
      <c r="CL371" s="11"/>
      <c r="CM371" s="11"/>
      <c r="CN371" s="11"/>
      <c r="CO371" s="11"/>
      <c r="CP371" s="28"/>
      <c r="CQ371" s="28"/>
      <c r="CR371" s="11"/>
      <c r="CS371" s="29"/>
      <c r="CT371" s="11"/>
      <c r="CU371" s="11"/>
      <c r="CV371" s="11"/>
      <c r="CW371" s="11"/>
      <c r="CX371" s="11"/>
      <c r="CY371" s="11"/>
      <c r="CZ371" s="11"/>
      <c r="DA371" s="28"/>
      <c r="DB371" s="28"/>
      <c r="DC371" s="11"/>
      <c r="DD371" s="29"/>
      <c r="DE371" s="11"/>
      <c r="DF371" s="11"/>
      <c r="DG371" s="11"/>
      <c r="DH371" s="11"/>
      <c r="DI371" s="11"/>
      <c r="DJ371" s="11"/>
      <c r="DK371" s="26"/>
      <c r="DL371" s="11"/>
      <c r="DM371" s="29"/>
      <c r="DN371" s="28"/>
      <c r="DO371" s="11"/>
      <c r="DP371" s="11"/>
      <c r="DQ371" s="11"/>
      <c r="DR371" s="29"/>
      <c r="DS371" s="28"/>
      <c r="DT371" s="11"/>
      <c r="DU371" s="26"/>
      <c r="DV371" s="11"/>
      <c r="DW371" s="29"/>
      <c r="DX371" s="28"/>
      <c r="DY371" s="11"/>
      <c r="DZ371" s="26"/>
      <c r="EA371" s="11"/>
      <c r="EB371" s="29"/>
      <c r="EC371" s="28"/>
      <c r="ED371" s="30"/>
      <c r="EE371" s="30" t="str">
        <f ca="1">IFERROR(__xludf.DUMMYFUNCTION("iferror(index(filter('Internal -- Trademark Countries'!E$2:E1000, (AM371 = 'Internal -- Trademark Countries'!B$2:B1000) + (AM371 = 'Internal -- Trademark Countries'!C$2:C1000) + (AM371 = 'Internal -- Trademark Countries'!D$2:D1000)), 1))"),"")</f>
        <v/>
      </c>
      <c r="EF371" s="30" t="e">
        <f ca="1">_xludf.ifs(AM371="", "", COUNTIF('Internal -- Trademark Countries'!B:B,AM371) &gt; 0, "polity_shortest_name", COUNTIF('Internal -- Trademark Countries'!C:C,AM371) &gt; 0, "polity_full_name", COUNTIF('Internal -- Trademark Countries'!D:D,AM371) &gt; 0, "polity_common_name", COUNTIF('Internal -- Trademark Countries'!E:E,AM371) &gt; 0, "shortest_name", COUNTIF('Internal -- Trademark Countries'!A:A,AM371) &gt; 0, "full_name", TRUE, "not a match")</f>
        <v>#NAME?</v>
      </c>
      <c r="EG371" s="30"/>
      <c r="EH371" s="30"/>
      <c r="EI371" s="30"/>
      <c r="EJ371" s="30"/>
      <c r="EK371" s="30" t="str">
        <f t="shared" si="3"/>
        <v/>
      </c>
    </row>
    <row r="372" spans="1:141" ht="16.5">
      <c r="A372" s="11"/>
      <c r="B372" s="11"/>
      <c r="C372" s="11"/>
      <c r="D372" s="11"/>
      <c r="E372" s="11"/>
      <c r="F372" s="11"/>
      <c r="G372" s="11"/>
      <c r="H372" s="11"/>
      <c r="I372" s="11"/>
      <c r="J372" s="11"/>
      <c r="K372" s="27"/>
      <c r="L372" s="11"/>
      <c r="M372" s="11"/>
      <c r="N372" s="11"/>
      <c r="O372" s="11"/>
      <c r="P372" s="15"/>
      <c r="Q372" s="15"/>
      <c r="R372" s="15"/>
      <c r="S372" s="15"/>
      <c r="T372" s="15"/>
      <c r="U372" s="15"/>
      <c r="V372" s="15"/>
      <c r="W372" s="47"/>
      <c r="X372" s="11"/>
      <c r="Y372" s="48"/>
      <c r="Z372" s="11"/>
      <c r="AA372" s="48"/>
      <c r="AB372" s="11"/>
      <c r="AC372" s="48"/>
      <c r="AD372" s="11"/>
      <c r="AE372" s="47"/>
      <c r="AF372" s="11"/>
      <c r="AG372" s="48"/>
      <c r="AH372" s="11"/>
      <c r="AI372" s="48"/>
      <c r="AJ372" s="11"/>
      <c r="AK372" s="48"/>
      <c r="AL372" s="11"/>
      <c r="AM372" s="49"/>
      <c r="AN372" s="49"/>
      <c r="AO372" s="11"/>
      <c r="AP372" s="11"/>
      <c r="AQ372" s="28" t="b">
        <f>IF(COUNTIF(SmartStatus!A$2:A1000, AM372) &gt; 2, TRUE, FALSE)</f>
        <v>0</v>
      </c>
      <c r="AR372" s="29" t="str">
        <f ca="1">IFERROR(__xludf.DUMMYFUNCTION("iferror(if(regexmatch(AO372, ""(?i)^registered""), if(EE372 &lt;&gt; ""polity_shortest_name"", ""CHECK_POLITY"", index(filter(SmartStatus!B$2:B1000, AM372 = SmartStatus!A$2:A1000, not(SmartStatus!C$2:C1000), (isblank(SmartStatus!D$2:D1000)) + ((P372 &lt;&gt; """") * "&amp;"(P372 &lt; SmartStatus!D$2:D1000)), (isblank(SmartStatus!E$2:E1000)) + ((P372 &lt;&gt; """") * (P372 &gt;= SmartStatus!E$2:E1000)), (isblank(SmartStatus!F$2:F1000)) + (((Q372 &lt;&gt; """") * (Q372 &lt; SmartStatus!F$2:F1000)) + ((P372 &lt;&gt; """") * (date(year(P372) + 3, month(P"&amp;"372), day(P372)) &lt; SmartStatus!F$2:F1000))), (isblank(SmartStatus!G$2:G1000)) + (((Q372 &lt;&gt; """") * (Q372 &gt;= SmartStatus!G$2:G1000)) + ((P372 &lt;&gt; """") * (P372 &gt;= SmartStatus!G$2:G1000)))), if(or(regexmatch(B372, ""(?i)^ir [a-z]+ designation$""), N372 &lt;&gt; """&amp;"""), 1, 2))), """"), ""NO_MATCH"")"),"")</f>
        <v/>
      </c>
      <c r="AS372" s="11"/>
      <c r="AT372" s="15"/>
      <c r="AU372" s="11"/>
      <c r="AV372" s="11"/>
      <c r="AW372" s="15"/>
      <c r="AX372" s="15"/>
      <c r="AY372" s="15"/>
      <c r="AZ372" s="11"/>
      <c r="BA372" s="15"/>
      <c r="BB372" s="11"/>
      <c r="BC372" s="11"/>
      <c r="BD372" s="15"/>
      <c r="BE372" s="11"/>
      <c r="BF372" s="11"/>
      <c r="BG372" s="15"/>
      <c r="BH372" s="15"/>
      <c r="BI372" s="15"/>
      <c r="BJ372" s="11"/>
      <c r="BK372" s="15"/>
      <c r="BL372" s="11"/>
      <c r="BM372" s="11"/>
      <c r="BN372" s="15"/>
      <c r="BO372" s="11"/>
      <c r="BP372" s="11"/>
      <c r="BQ372" s="15"/>
      <c r="BR372" s="15"/>
      <c r="BS372" s="15"/>
      <c r="BT372" s="11"/>
      <c r="BU372" s="15"/>
      <c r="BV372" s="11"/>
      <c r="BW372" s="11"/>
      <c r="BX372" s="15"/>
      <c r="BY372" s="11"/>
      <c r="BZ372" s="11"/>
      <c r="CA372" s="15"/>
      <c r="CB372" s="11"/>
      <c r="CC372" s="15"/>
      <c r="CD372" s="11"/>
      <c r="CE372" s="15"/>
      <c r="CF372" s="11"/>
      <c r="CG372" s="11"/>
      <c r="CH372" s="15"/>
      <c r="CI372" s="11"/>
      <c r="CJ372" s="11"/>
      <c r="CK372" s="15"/>
      <c r="CL372" s="11"/>
      <c r="CM372" s="11"/>
      <c r="CN372" s="11"/>
      <c r="CO372" s="11"/>
      <c r="CP372" s="28"/>
      <c r="CQ372" s="28"/>
      <c r="CR372" s="11"/>
      <c r="CS372" s="29"/>
      <c r="CT372" s="11"/>
      <c r="CU372" s="11"/>
      <c r="CV372" s="11"/>
      <c r="CW372" s="11"/>
      <c r="CX372" s="11"/>
      <c r="CY372" s="11"/>
      <c r="CZ372" s="11"/>
      <c r="DA372" s="28"/>
      <c r="DB372" s="28"/>
      <c r="DC372" s="11"/>
      <c r="DD372" s="29"/>
      <c r="DE372" s="11"/>
      <c r="DF372" s="11"/>
      <c r="DG372" s="11"/>
      <c r="DH372" s="11"/>
      <c r="DI372" s="11"/>
      <c r="DJ372" s="11"/>
      <c r="DK372" s="26"/>
      <c r="DL372" s="11"/>
      <c r="DM372" s="29"/>
      <c r="DN372" s="28"/>
      <c r="DO372" s="11"/>
      <c r="DP372" s="11"/>
      <c r="DQ372" s="11"/>
      <c r="DR372" s="29"/>
      <c r="DS372" s="28"/>
      <c r="DT372" s="11"/>
      <c r="DU372" s="26"/>
      <c r="DV372" s="11"/>
      <c r="DW372" s="29"/>
      <c r="DX372" s="28"/>
      <c r="DY372" s="11"/>
      <c r="DZ372" s="26"/>
      <c r="EA372" s="11"/>
      <c r="EB372" s="29"/>
      <c r="EC372" s="28"/>
      <c r="ED372" s="30"/>
      <c r="EE372" s="30" t="str">
        <f ca="1">IFERROR(__xludf.DUMMYFUNCTION("iferror(index(filter('Internal -- Trademark Countries'!E$2:E1000, (AM372 = 'Internal -- Trademark Countries'!B$2:B1000) + (AM372 = 'Internal -- Trademark Countries'!C$2:C1000) + (AM372 = 'Internal -- Trademark Countries'!D$2:D1000)), 1))"),"")</f>
        <v/>
      </c>
      <c r="EF372" s="30" t="e">
        <f ca="1">_xludf.ifs(AM372="", "", COUNTIF('Internal -- Trademark Countries'!B:B,AM372) &gt; 0, "polity_shortest_name", COUNTIF('Internal -- Trademark Countries'!C:C,AM372) &gt; 0, "polity_full_name", COUNTIF('Internal -- Trademark Countries'!D:D,AM372) &gt; 0, "polity_common_name", COUNTIF('Internal -- Trademark Countries'!E:E,AM372) &gt; 0, "shortest_name", COUNTIF('Internal -- Trademark Countries'!A:A,AM372) &gt; 0, "full_name", TRUE, "not a match")</f>
        <v>#NAME?</v>
      </c>
      <c r="EG372" s="30"/>
      <c r="EH372" s="30"/>
      <c r="EI372" s="30"/>
      <c r="EJ372" s="30"/>
      <c r="EK372" s="30" t="str">
        <f t="shared" si="3"/>
        <v/>
      </c>
    </row>
    <row r="373" spans="1:141" ht="16.5">
      <c r="A373" s="11"/>
      <c r="B373" s="11"/>
      <c r="C373" s="11"/>
      <c r="D373" s="11"/>
      <c r="E373" s="11"/>
      <c r="F373" s="11"/>
      <c r="G373" s="11"/>
      <c r="H373" s="11"/>
      <c r="I373" s="11"/>
      <c r="J373" s="11"/>
      <c r="K373" s="27"/>
      <c r="L373" s="11"/>
      <c r="M373" s="11"/>
      <c r="N373" s="11"/>
      <c r="O373" s="11"/>
      <c r="P373" s="15"/>
      <c r="Q373" s="15"/>
      <c r="R373" s="15"/>
      <c r="S373" s="15"/>
      <c r="T373" s="15"/>
      <c r="U373" s="15"/>
      <c r="V373" s="15"/>
      <c r="W373" s="47"/>
      <c r="X373" s="11"/>
      <c r="Y373" s="48"/>
      <c r="Z373" s="11"/>
      <c r="AA373" s="48"/>
      <c r="AB373" s="11"/>
      <c r="AC373" s="48"/>
      <c r="AD373" s="11"/>
      <c r="AE373" s="47"/>
      <c r="AF373" s="11"/>
      <c r="AG373" s="48"/>
      <c r="AH373" s="11"/>
      <c r="AI373" s="48"/>
      <c r="AJ373" s="11"/>
      <c r="AK373" s="48"/>
      <c r="AL373" s="11"/>
      <c r="AM373" s="49"/>
      <c r="AN373" s="49"/>
      <c r="AO373" s="11"/>
      <c r="AP373" s="11"/>
      <c r="AQ373" s="28" t="b">
        <f>IF(COUNTIF(SmartStatus!A$2:A1000, AM373) &gt; 2, TRUE, FALSE)</f>
        <v>0</v>
      </c>
      <c r="AR373" s="29" t="str">
        <f ca="1">IFERROR(__xludf.DUMMYFUNCTION("iferror(if(regexmatch(AO373, ""(?i)^registered""), if(EE373 &lt;&gt; ""polity_shortest_name"", ""CHECK_POLITY"", index(filter(SmartStatus!B$2:B1000, AM373 = SmartStatus!A$2:A1000, not(SmartStatus!C$2:C1000), (isblank(SmartStatus!D$2:D1000)) + ((P373 &lt;&gt; """") * "&amp;"(P373 &lt; SmartStatus!D$2:D1000)), (isblank(SmartStatus!E$2:E1000)) + ((P373 &lt;&gt; """") * (P373 &gt;= SmartStatus!E$2:E1000)), (isblank(SmartStatus!F$2:F1000)) + (((Q373 &lt;&gt; """") * (Q373 &lt; SmartStatus!F$2:F1000)) + ((P373 &lt;&gt; """") * (date(year(P373) + 3, month(P"&amp;"373), day(P373)) &lt; SmartStatus!F$2:F1000))), (isblank(SmartStatus!G$2:G1000)) + (((Q373 &lt;&gt; """") * (Q373 &gt;= SmartStatus!G$2:G1000)) + ((P373 &lt;&gt; """") * (P373 &gt;= SmartStatus!G$2:G1000)))), if(or(regexmatch(B373, ""(?i)^ir [a-z]+ designation$""), N373 &lt;&gt; """&amp;"""), 1, 2))), """"), ""NO_MATCH"")"),"")</f>
        <v/>
      </c>
      <c r="AS373" s="11"/>
      <c r="AT373" s="15"/>
      <c r="AU373" s="11"/>
      <c r="AV373" s="11"/>
      <c r="AW373" s="15"/>
      <c r="AX373" s="15"/>
      <c r="AY373" s="15"/>
      <c r="AZ373" s="11"/>
      <c r="BA373" s="15"/>
      <c r="BB373" s="11"/>
      <c r="BC373" s="11"/>
      <c r="BD373" s="15"/>
      <c r="BE373" s="11"/>
      <c r="BF373" s="11"/>
      <c r="BG373" s="15"/>
      <c r="BH373" s="15"/>
      <c r="BI373" s="15"/>
      <c r="BJ373" s="11"/>
      <c r="BK373" s="15"/>
      <c r="BL373" s="11"/>
      <c r="BM373" s="11"/>
      <c r="BN373" s="15"/>
      <c r="BO373" s="11"/>
      <c r="BP373" s="11"/>
      <c r="BQ373" s="15"/>
      <c r="BR373" s="15"/>
      <c r="BS373" s="15"/>
      <c r="BT373" s="11"/>
      <c r="BU373" s="15"/>
      <c r="BV373" s="11"/>
      <c r="BW373" s="11"/>
      <c r="BX373" s="15"/>
      <c r="BY373" s="11"/>
      <c r="BZ373" s="11"/>
      <c r="CA373" s="15"/>
      <c r="CB373" s="11"/>
      <c r="CC373" s="15"/>
      <c r="CD373" s="11"/>
      <c r="CE373" s="15"/>
      <c r="CF373" s="11"/>
      <c r="CG373" s="11"/>
      <c r="CH373" s="15"/>
      <c r="CI373" s="11"/>
      <c r="CJ373" s="11"/>
      <c r="CK373" s="15"/>
      <c r="CL373" s="11"/>
      <c r="CM373" s="11"/>
      <c r="CN373" s="11"/>
      <c r="CO373" s="11"/>
      <c r="CP373" s="28"/>
      <c r="CQ373" s="28"/>
      <c r="CR373" s="11"/>
      <c r="CS373" s="29"/>
      <c r="CT373" s="11"/>
      <c r="CU373" s="11"/>
      <c r="CV373" s="11"/>
      <c r="CW373" s="11"/>
      <c r="CX373" s="11"/>
      <c r="CY373" s="11"/>
      <c r="CZ373" s="11"/>
      <c r="DA373" s="28"/>
      <c r="DB373" s="28"/>
      <c r="DC373" s="11"/>
      <c r="DD373" s="29"/>
      <c r="DE373" s="11"/>
      <c r="DF373" s="11"/>
      <c r="DG373" s="11"/>
      <c r="DH373" s="11"/>
      <c r="DI373" s="11"/>
      <c r="DJ373" s="11"/>
      <c r="DK373" s="26"/>
      <c r="DL373" s="11"/>
      <c r="DM373" s="29"/>
      <c r="DN373" s="28"/>
      <c r="DO373" s="11"/>
      <c r="DP373" s="11"/>
      <c r="DQ373" s="11"/>
      <c r="DR373" s="29"/>
      <c r="DS373" s="28"/>
      <c r="DT373" s="11"/>
      <c r="DU373" s="26"/>
      <c r="DV373" s="11"/>
      <c r="DW373" s="29"/>
      <c r="DX373" s="28"/>
      <c r="DY373" s="11"/>
      <c r="DZ373" s="26"/>
      <c r="EA373" s="11"/>
      <c r="EB373" s="29"/>
      <c r="EC373" s="28"/>
      <c r="ED373" s="30"/>
      <c r="EE373" s="30" t="str">
        <f ca="1">IFERROR(__xludf.DUMMYFUNCTION("iferror(index(filter('Internal -- Trademark Countries'!E$2:E1000, (AM373 = 'Internal -- Trademark Countries'!B$2:B1000) + (AM373 = 'Internal -- Trademark Countries'!C$2:C1000) + (AM373 = 'Internal -- Trademark Countries'!D$2:D1000)), 1))"),"")</f>
        <v/>
      </c>
      <c r="EF373" s="30" t="e">
        <f ca="1">_xludf.ifs(AM373="", "", COUNTIF('Internal -- Trademark Countries'!B:B,AM373) &gt; 0, "polity_shortest_name", COUNTIF('Internal -- Trademark Countries'!C:C,AM373) &gt; 0, "polity_full_name", COUNTIF('Internal -- Trademark Countries'!D:D,AM373) &gt; 0, "polity_common_name", COUNTIF('Internal -- Trademark Countries'!E:E,AM373) &gt; 0, "shortest_name", COUNTIF('Internal -- Trademark Countries'!A:A,AM373) &gt; 0, "full_name", TRUE, "not a match")</f>
        <v>#NAME?</v>
      </c>
      <c r="EG373" s="30"/>
      <c r="EH373" s="30"/>
      <c r="EI373" s="30"/>
      <c r="EJ373" s="30"/>
      <c r="EK373" s="30" t="str">
        <f t="shared" si="3"/>
        <v/>
      </c>
    </row>
    <row r="374" spans="1:141" ht="16.5">
      <c r="A374" s="11"/>
      <c r="B374" s="11"/>
      <c r="C374" s="11"/>
      <c r="D374" s="11"/>
      <c r="E374" s="11"/>
      <c r="F374" s="11"/>
      <c r="G374" s="11"/>
      <c r="H374" s="11"/>
      <c r="I374" s="11"/>
      <c r="J374" s="11"/>
      <c r="K374" s="27"/>
      <c r="L374" s="11"/>
      <c r="M374" s="11"/>
      <c r="N374" s="11"/>
      <c r="O374" s="11"/>
      <c r="P374" s="15"/>
      <c r="Q374" s="15"/>
      <c r="R374" s="15"/>
      <c r="S374" s="15"/>
      <c r="T374" s="15"/>
      <c r="U374" s="15"/>
      <c r="V374" s="15"/>
      <c r="W374" s="47"/>
      <c r="X374" s="11"/>
      <c r="Y374" s="48"/>
      <c r="Z374" s="11"/>
      <c r="AA374" s="48"/>
      <c r="AB374" s="11"/>
      <c r="AC374" s="48"/>
      <c r="AD374" s="11"/>
      <c r="AE374" s="47"/>
      <c r="AF374" s="11"/>
      <c r="AG374" s="48"/>
      <c r="AH374" s="11"/>
      <c r="AI374" s="48"/>
      <c r="AJ374" s="11"/>
      <c r="AK374" s="48"/>
      <c r="AL374" s="11"/>
      <c r="AM374" s="49"/>
      <c r="AN374" s="49"/>
      <c r="AO374" s="11"/>
      <c r="AP374" s="11"/>
      <c r="AQ374" s="28" t="b">
        <f>IF(COUNTIF(SmartStatus!A$2:A1000, AM374) &gt; 2, TRUE, FALSE)</f>
        <v>0</v>
      </c>
      <c r="AR374" s="29" t="str">
        <f ca="1">IFERROR(__xludf.DUMMYFUNCTION("iferror(if(regexmatch(AO374, ""(?i)^registered""), if(EE374 &lt;&gt; ""polity_shortest_name"", ""CHECK_POLITY"", index(filter(SmartStatus!B$2:B1000, AM374 = SmartStatus!A$2:A1000, not(SmartStatus!C$2:C1000), (isblank(SmartStatus!D$2:D1000)) + ((P374 &lt;&gt; """") * "&amp;"(P374 &lt; SmartStatus!D$2:D1000)), (isblank(SmartStatus!E$2:E1000)) + ((P374 &lt;&gt; """") * (P374 &gt;= SmartStatus!E$2:E1000)), (isblank(SmartStatus!F$2:F1000)) + (((Q374 &lt;&gt; """") * (Q374 &lt; SmartStatus!F$2:F1000)) + ((P374 &lt;&gt; """") * (date(year(P374) + 3, month(P"&amp;"374), day(P374)) &lt; SmartStatus!F$2:F1000))), (isblank(SmartStatus!G$2:G1000)) + (((Q374 &lt;&gt; """") * (Q374 &gt;= SmartStatus!G$2:G1000)) + ((P374 &lt;&gt; """") * (P374 &gt;= SmartStatus!G$2:G1000)))), if(or(regexmatch(B374, ""(?i)^ir [a-z]+ designation$""), N374 &lt;&gt; """&amp;"""), 1, 2))), """"), ""NO_MATCH"")"),"")</f>
        <v/>
      </c>
      <c r="AS374" s="11"/>
      <c r="AT374" s="15"/>
      <c r="AU374" s="11"/>
      <c r="AV374" s="11"/>
      <c r="AW374" s="15"/>
      <c r="AX374" s="15"/>
      <c r="AY374" s="15"/>
      <c r="AZ374" s="11"/>
      <c r="BA374" s="15"/>
      <c r="BB374" s="11"/>
      <c r="BC374" s="11"/>
      <c r="BD374" s="15"/>
      <c r="BE374" s="11"/>
      <c r="BF374" s="11"/>
      <c r="BG374" s="15"/>
      <c r="BH374" s="15"/>
      <c r="BI374" s="15"/>
      <c r="BJ374" s="11"/>
      <c r="BK374" s="15"/>
      <c r="BL374" s="11"/>
      <c r="BM374" s="11"/>
      <c r="BN374" s="15"/>
      <c r="BO374" s="11"/>
      <c r="BP374" s="11"/>
      <c r="BQ374" s="15"/>
      <c r="BR374" s="15"/>
      <c r="BS374" s="15"/>
      <c r="BT374" s="11"/>
      <c r="BU374" s="15"/>
      <c r="BV374" s="11"/>
      <c r="BW374" s="11"/>
      <c r="BX374" s="15"/>
      <c r="BY374" s="11"/>
      <c r="BZ374" s="11"/>
      <c r="CA374" s="15"/>
      <c r="CB374" s="11"/>
      <c r="CC374" s="15"/>
      <c r="CD374" s="11"/>
      <c r="CE374" s="15"/>
      <c r="CF374" s="11"/>
      <c r="CG374" s="11"/>
      <c r="CH374" s="15"/>
      <c r="CI374" s="11"/>
      <c r="CJ374" s="11"/>
      <c r="CK374" s="15"/>
      <c r="CL374" s="11"/>
      <c r="CM374" s="11"/>
      <c r="CN374" s="11"/>
      <c r="CO374" s="11"/>
      <c r="CP374" s="28"/>
      <c r="CQ374" s="28"/>
      <c r="CR374" s="11"/>
      <c r="CS374" s="29"/>
      <c r="CT374" s="11"/>
      <c r="CU374" s="11"/>
      <c r="CV374" s="11"/>
      <c r="CW374" s="11"/>
      <c r="CX374" s="11"/>
      <c r="CY374" s="11"/>
      <c r="CZ374" s="11"/>
      <c r="DA374" s="28"/>
      <c r="DB374" s="28"/>
      <c r="DC374" s="11"/>
      <c r="DD374" s="29"/>
      <c r="DE374" s="11"/>
      <c r="DF374" s="11"/>
      <c r="DG374" s="11"/>
      <c r="DH374" s="11"/>
      <c r="DI374" s="11"/>
      <c r="DJ374" s="11"/>
      <c r="DK374" s="26"/>
      <c r="DL374" s="11"/>
      <c r="DM374" s="29"/>
      <c r="DN374" s="28"/>
      <c r="DO374" s="11"/>
      <c r="DP374" s="11"/>
      <c r="DQ374" s="11"/>
      <c r="DR374" s="29"/>
      <c r="DS374" s="28"/>
      <c r="DT374" s="11"/>
      <c r="DU374" s="26"/>
      <c r="DV374" s="11"/>
      <c r="DW374" s="29"/>
      <c r="DX374" s="28"/>
      <c r="DY374" s="11"/>
      <c r="DZ374" s="26"/>
      <c r="EA374" s="11"/>
      <c r="EB374" s="29"/>
      <c r="EC374" s="28"/>
      <c r="ED374" s="30"/>
      <c r="EE374" s="30" t="str">
        <f ca="1">IFERROR(__xludf.DUMMYFUNCTION("iferror(index(filter('Internal -- Trademark Countries'!E$2:E1000, (AM374 = 'Internal -- Trademark Countries'!B$2:B1000) + (AM374 = 'Internal -- Trademark Countries'!C$2:C1000) + (AM374 = 'Internal -- Trademark Countries'!D$2:D1000)), 1))"),"")</f>
        <v/>
      </c>
      <c r="EF374" s="30" t="e">
        <f ca="1">_xludf.ifs(AM374="", "", COUNTIF('Internal -- Trademark Countries'!B:B,AM374) &gt; 0, "polity_shortest_name", COUNTIF('Internal -- Trademark Countries'!C:C,AM374) &gt; 0, "polity_full_name", COUNTIF('Internal -- Trademark Countries'!D:D,AM374) &gt; 0, "polity_common_name", COUNTIF('Internal -- Trademark Countries'!E:E,AM374) &gt; 0, "shortest_name", COUNTIF('Internal -- Trademark Countries'!A:A,AM374) &gt; 0, "full_name", TRUE, "not a match")</f>
        <v>#NAME?</v>
      </c>
      <c r="EG374" s="30"/>
      <c r="EH374" s="30"/>
      <c r="EI374" s="30"/>
      <c r="EJ374" s="30"/>
      <c r="EK374" s="30" t="str">
        <f t="shared" si="3"/>
        <v/>
      </c>
    </row>
    <row r="375" spans="1:141" ht="16.5">
      <c r="A375" s="11"/>
      <c r="B375" s="11"/>
      <c r="C375" s="11"/>
      <c r="D375" s="11"/>
      <c r="E375" s="11"/>
      <c r="F375" s="11"/>
      <c r="G375" s="11"/>
      <c r="H375" s="11"/>
      <c r="I375" s="11"/>
      <c r="J375" s="11"/>
      <c r="K375" s="27"/>
      <c r="L375" s="11"/>
      <c r="M375" s="11"/>
      <c r="N375" s="11"/>
      <c r="O375" s="11"/>
      <c r="P375" s="15"/>
      <c r="Q375" s="15"/>
      <c r="R375" s="15"/>
      <c r="S375" s="15"/>
      <c r="T375" s="15"/>
      <c r="U375" s="15"/>
      <c r="V375" s="15"/>
      <c r="W375" s="47"/>
      <c r="X375" s="11"/>
      <c r="Y375" s="48"/>
      <c r="Z375" s="11"/>
      <c r="AA375" s="48"/>
      <c r="AB375" s="11"/>
      <c r="AC375" s="48"/>
      <c r="AD375" s="11"/>
      <c r="AE375" s="47"/>
      <c r="AF375" s="11"/>
      <c r="AG375" s="48"/>
      <c r="AH375" s="11"/>
      <c r="AI375" s="48"/>
      <c r="AJ375" s="11"/>
      <c r="AK375" s="48"/>
      <c r="AL375" s="11"/>
      <c r="AM375" s="49"/>
      <c r="AN375" s="49"/>
      <c r="AO375" s="11"/>
      <c r="AP375" s="11"/>
      <c r="AQ375" s="28" t="b">
        <f>IF(COUNTIF(SmartStatus!A$2:A1000, AM375) &gt; 2, TRUE, FALSE)</f>
        <v>0</v>
      </c>
      <c r="AR375" s="29" t="str">
        <f ca="1">IFERROR(__xludf.DUMMYFUNCTION("iferror(if(regexmatch(AO375, ""(?i)^registered""), if(EE375 &lt;&gt; ""polity_shortest_name"", ""CHECK_POLITY"", index(filter(SmartStatus!B$2:B1000, AM375 = SmartStatus!A$2:A1000, not(SmartStatus!C$2:C1000), (isblank(SmartStatus!D$2:D1000)) + ((P375 &lt;&gt; """") * "&amp;"(P375 &lt; SmartStatus!D$2:D1000)), (isblank(SmartStatus!E$2:E1000)) + ((P375 &lt;&gt; """") * (P375 &gt;= SmartStatus!E$2:E1000)), (isblank(SmartStatus!F$2:F1000)) + (((Q375 &lt;&gt; """") * (Q375 &lt; SmartStatus!F$2:F1000)) + ((P375 &lt;&gt; """") * (date(year(P375) + 3, month(P"&amp;"375), day(P375)) &lt; SmartStatus!F$2:F1000))), (isblank(SmartStatus!G$2:G1000)) + (((Q375 &lt;&gt; """") * (Q375 &gt;= SmartStatus!G$2:G1000)) + ((P375 &lt;&gt; """") * (P375 &gt;= SmartStatus!G$2:G1000)))), if(or(regexmatch(B375, ""(?i)^ir [a-z]+ designation$""), N375 &lt;&gt; """&amp;"""), 1, 2))), """"), ""NO_MATCH"")"),"")</f>
        <v/>
      </c>
      <c r="AS375" s="11"/>
      <c r="AT375" s="15"/>
      <c r="AU375" s="11"/>
      <c r="AV375" s="11"/>
      <c r="AW375" s="15"/>
      <c r="AX375" s="15"/>
      <c r="AY375" s="15"/>
      <c r="AZ375" s="11"/>
      <c r="BA375" s="15"/>
      <c r="BB375" s="11"/>
      <c r="BC375" s="11"/>
      <c r="BD375" s="15"/>
      <c r="BE375" s="11"/>
      <c r="BF375" s="11"/>
      <c r="BG375" s="15"/>
      <c r="BH375" s="15"/>
      <c r="BI375" s="15"/>
      <c r="BJ375" s="11"/>
      <c r="BK375" s="15"/>
      <c r="BL375" s="11"/>
      <c r="BM375" s="11"/>
      <c r="BN375" s="15"/>
      <c r="BO375" s="11"/>
      <c r="BP375" s="11"/>
      <c r="BQ375" s="15"/>
      <c r="BR375" s="15"/>
      <c r="BS375" s="15"/>
      <c r="BT375" s="11"/>
      <c r="BU375" s="15"/>
      <c r="BV375" s="11"/>
      <c r="BW375" s="11"/>
      <c r="BX375" s="15"/>
      <c r="BY375" s="11"/>
      <c r="BZ375" s="11"/>
      <c r="CA375" s="15"/>
      <c r="CB375" s="11"/>
      <c r="CC375" s="15"/>
      <c r="CD375" s="11"/>
      <c r="CE375" s="15"/>
      <c r="CF375" s="11"/>
      <c r="CG375" s="11"/>
      <c r="CH375" s="15"/>
      <c r="CI375" s="11"/>
      <c r="CJ375" s="11"/>
      <c r="CK375" s="15"/>
      <c r="CL375" s="11"/>
      <c r="CM375" s="11"/>
      <c r="CN375" s="11"/>
      <c r="CO375" s="11"/>
      <c r="CP375" s="28"/>
      <c r="CQ375" s="28"/>
      <c r="CR375" s="11"/>
      <c r="CS375" s="29"/>
      <c r="CT375" s="11"/>
      <c r="CU375" s="11"/>
      <c r="CV375" s="11"/>
      <c r="CW375" s="11"/>
      <c r="CX375" s="11"/>
      <c r="CY375" s="11"/>
      <c r="CZ375" s="11"/>
      <c r="DA375" s="28"/>
      <c r="DB375" s="28"/>
      <c r="DC375" s="11"/>
      <c r="DD375" s="29"/>
      <c r="DE375" s="11"/>
      <c r="DF375" s="11"/>
      <c r="DG375" s="11"/>
      <c r="DH375" s="11"/>
      <c r="DI375" s="11"/>
      <c r="DJ375" s="11"/>
      <c r="DK375" s="26"/>
      <c r="DL375" s="11"/>
      <c r="DM375" s="29"/>
      <c r="DN375" s="28"/>
      <c r="DO375" s="11"/>
      <c r="DP375" s="11"/>
      <c r="DQ375" s="11"/>
      <c r="DR375" s="29"/>
      <c r="DS375" s="28"/>
      <c r="DT375" s="11"/>
      <c r="DU375" s="26"/>
      <c r="DV375" s="11"/>
      <c r="DW375" s="29"/>
      <c r="DX375" s="28"/>
      <c r="DY375" s="11"/>
      <c r="DZ375" s="26"/>
      <c r="EA375" s="11"/>
      <c r="EB375" s="29"/>
      <c r="EC375" s="28"/>
      <c r="ED375" s="30"/>
      <c r="EE375" s="30" t="str">
        <f ca="1">IFERROR(__xludf.DUMMYFUNCTION("iferror(index(filter('Internal -- Trademark Countries'!E$2:E1000, (AM375 = 'Internal -- Trademark Countries'!B$2:B1000) + (AM375 = 'Internal -- Trademark Countries'!C$2:C1000) + (AM375 = 'Internal -- Trademark Countries'!D$2:D1000)), 1))"),"")</f>
        <v/>
      </c>
      <c r="EF375" s="30" t="e">
        <f ca="1">_xludf.ifs(AM375="", "", COUNTIF('Internal -- Trademark Countries'!B:B,AM375) &gt; 0, "polity_shortest_name", COUNTIF('Internal -- Trademark Countries'!C:C,AM375) &gt; 0, "polity_full_name", COUNTIF('Internal -- Trademark Countries'!D:D,AM375) &gt; 0, "polity_common_name", COUNTIF('Internal -- Trademark Countries'!E:E,AM375) &gt; 0, "shortest_name", COUNTIF('Internal -- Trademark Countries'!A:A,AM375) &gt; 0, "full_name", TRUE, "not a match")</f>
        <v>#NAME?</v>
      </c>
      <c r="EG375" s="30"/>
      <c r="EH375" s="30"/>
      <c r="EI375" s="30"/>
      <c r="EJ375" s="30"/>
      <c r="EK375" s="30" t="str">
        <f t="shared" si="3"/>
        <v/>
      </c>
    </row>
    <row r="376" spans="1:141" ht="16.5">
      <c r="A376" s="11"/>
      <c r="B376" s="11"/>
      <c r="C376" s="11"/>
      <c r="D376" s="11"/>
      <c r="E376" s="11"/>
      <c r="F376" s="11"/>
      <c r="G376" s="11"/>
      <c r="H376" s="11"/>
      <c r="I376" s="11"/>
      <c r="J376" s="11"/>
      <c r="K376" s="27"/>
      <c r="L376" s="11"/>
      <c r="M376" s="11"/>
      <c r="N376" s="11"/>
      <c r="O376" s="11"/>
      <c r="P376" s="15"/>
      <c r="Q376" s="15"/>
      <c r="R376" s="15"/>
      <c r="S376" s="15"/>
      <c r="T376" s="15"/>
      <c r="U376" s="15"/>
      <c r="V376" s="15"/>
      <c r="W376" s="47"/>
      <c r="X376" s="11"/>
      <c r="Y376" s="48"/>
      <c r="Z376" s="11"/>
      <c r="AA376" s="48"/>
      <c r="AB376" s="11"/>
      <c r="AC376" s="48"/>
      <c r="AD376" s="11"/>
      <c r="AE376" s="47"/>
      <c r="AF376" s="11"/>
      <c r="AG376" s="48"/>
      <c r="AH376" s="11"/>
      <c r="AI376" s="48"/>
      <c r="AJ376" s="11"/>
      <c r="AK376" s="48"/>
      <c r="AL376" s="11"/>
      <c r="AM376" s="49"/>
      <c r="AN376" s="49"/>
      <c r="AO376" s="11"/>
      <c r="AP376" s="11"/>
      <c r="AQ376" s="28" t="b">
        <f>IF(COUNTIF(SmartStatus!A$2:A1000, AM376) &gt; 2, TRUE, FALSE)</f>
        <v>0</v>
      </c>
      <c r="AR376" s="29" t="str">
        <f ca="1">IFERROR(__xludf.DUMMYFUNCTION("iferror(if(regexmatch(AO376, ""(?i)^registered""), if(EE376 &lt;&gt; ""polity_shortest_name"", ""CHECK_POLITY"", index(filter(SmartStatus!B$2:B1000, AM376 = SmartStatus!A$2:A1000, not(SmartStatus!C$2:C1000), (isblank(SmartStatus!D$2:D1000)) + ((P376 &lt;&gt; """") * "&amp;"(P376 &lt; SmartStatus!D$2:D1000)), (isblank(SmartStatus!E$2:E1000)) + ((P376 &lt;&gt; """") * (P376 &gt;= SmartStatus!E$2:E1000)), (isblank(SmartStatus!F$2:F1000)) + (((Q376 &lt;&gt; """") * (Q376 &lt; SmartStatus!F$2:F1000)) + ((P376 &lt;&gt; """") * (date(year(P376) + 3, month(P"&amp;"376), day(P376)) &lt; SmartStatus!F$2:F1000))), (isblank(SmartStatus!G$2:G1000)) + (((Q376 &lt;&gt; """") * (Q376 &gt;= SmartStatus!G$2:G1000)) + ((P376 &lt;&gt; """") * (P376 &gt;= SmartStatus!G$2:G1000)))), if(or(regexmatch(B376, ""(?i)^ir [a-z]+ designation$""), N376 &lt;&gt; """&amp;"""), 1, 2))), """"), ""NO_MATCH"")"),"")</f>
        <v/>
      </c>
      <c r="AS376" s="11"/>
      <c r="AT376" s="15"/>
      <c r="AU376" s="11"/>
      <c r="AV376" s="11"/>
      <c r="AW376" s="15"/>
      <c r="AX376" s="15"/>
      <c r="AY376" s="15"/>
      <c r="AZ376" s="11"/>
      <c r="BA376" s="15"/>
      <c r="BB376" s="11"/>
      <c r="BC376" s="11"/>
      <c r="BD376" s="15"/>
      <c r="BE376" s="11"/>
      <c r="BF376" s="11"/>
      <c r="BG376" s="15"/>
      <c r="BH376" s="15"/>
      <c r="BI376" s="15"/>
      <c r="BJ376" s="11"/>
      <c r="BK376" s="15"/>
      <c r="BL376" s="11"/>
      <c r="BM376" s="11"/>
      <c r="BN376" s="15"/>
      <c r="BO376" s="11"/>
      <c r="BP376" s="11"/>
      <c r="BQ376" s="15"/>
      <c r="BR376" s="15"/>
      <c r="BS376" s="15"/>
      <c r="BT376" s="11"/>
      <c r="BU376" s="15"/>
      <c r="BV376" s="11"/>
      <c r="BW376" s="11"/>
      <c r="BX376" s="15"/>
      <c r="BY376" s="11"/>
      <c r="BZ376" s="11"/>
      <c r="CA376" s="15"/>
      <c r="CB376" s="11"/>
      <c r="CC376" s="15"/>
      <c r="CD376" s="11"/>
      <c r="CE376" s="15"/>
      <c r="CF376" s="11"/>
      <c r="CG376" s="11"/>
      <c r="CH376" s="15"/>
      <c r="CI376" s="11"/>
      <c r="CJ376" s="11"/>
      <c r="CK376" s="15"/>
      <c r="CL376" s="11"/>
      <c r="CM376" s="11"/>
      <c r="CN376" s="11"/>
      <c r="CO376" s="11"/>
      <c r="CP376" s="28"/>
      <c r="CQ376" s="28"/>
      <c r="CR376" s="11"/>
      <c r="CS376" s="29"/>
      <c r="CT376" s="11"/>
      <c r="CU376" s="11"/>
      <c r="CV376" s="11"/>
      <c r="CW376" s="11"/>
      <c r="CX376" s="11"/>
      <c r="CY376" s="11"/>
      <c r="CZ376" s="11"/>
      <c r="DA376" s="28"/>
      <c r="DB376" s="28"/>
      <c r="DC376" s="11"/>
      <c r="DD376" s="29"/>
      <c r="DE376" s="11"/>
      <c r="DF376" s="11"/>
      <c r="DG376" s="11"/>
      <c r="DH376" s="11"/>
      <c r="DI376" s="11"/>
      <c r="DJ376" s="11"/>
      <c r="DK376" s="26"/>
      <c r="DL376" s="11"/>
      <c r="DM376" s="29"/>
      <c r="DN376" s="28"/>
      <c r="DO376" s="11"/>
      <c r="DP376" s="11"/>
      <c r="DQ376" s="11"/>
      <c r="DR376" s="29"/>
      <c r="DS376" s="28"/>
      <c r="DT376" s="11"/>
      <c r="DU376" s="26"/>
      <c r="DV376" s="11"/>
      <c r="DW376" s="29"/>
      <c r="DX376" s="28"/>
      <c r="DY376" s="11"/>
      <c r="DZ376" s="26"/>
      <c r="EA376" s="11"/>
      <c r="EB376" s="29"/>
      <c r="EC376" s="28"/>
      <c r="ED376" s="30"/>
      <c r="EE376" s="30" t="str">
        <f ca="1">IFERROR(__xludf.DUMMYFUNCTION("iferror(index(filter('Internal -- Trademark Countries'!E$2:E1000, (AM376 = 'Internal -- Trademark Countries'!B$2:B1000) + (AM376 = 'Internal -- Trademark Countries'!C$2:C1000) + (AM376 = 'Internal -- Trademark Countries'!D$2:D1000)), 1))"),"")</f>
        <v/>
      </c>
      <c r="EF376" s="30" t="e">
        <f ca="1">_xludf.ifs(AM376="", "", COUNTIF('Internal -- Trademark Countries'!B:B,AM376) &gt; 0, "polity_shortest_name", COUNTIF('Internal -- Trademark Countries'!C:C,AM376) &gt; 0, "polity_full_name", COUNTIF('Internal -- Trademark Countries'!D:D,AM376) &gt; 0, "polity_common_name", COUNTIF('Internal -- Trademark Countries'!E:E,AM376) &gt; 0, "shortest_name", COUNTIF('Internal -- Trademark Countries'!A:A,AM376) &gt; 0, "full_name", TRUE, "not a match")</f>
        <v>#NAME?</v>
      </c>
      <c r="EG376" s="30"/>
      <c r="EH376" s="30"/>
      <c r="EI376" s="30"/>
      <c r="EJ376" s="30"/>
      <c r="EK376" s="30" t="str">
        <f t="shared" si="3"/>
        <v/>
      </c>
    </row>
    <row r="377" spans="1:141" ht="16.5">
      <c r="A377" s="11"/>
      <c r="B377" s="11"/>
      <c r="C377" s="11"/>
      <c r="D377" s="11"/>
      <c r="E377" s="11"/>
      <c r="F377" s="11"/>
      <c r="G377" s="11"/>
      <c r="H377" s="11"/>
      <c r="I377" s="11"/>
      <c r="J377" s="11"/>
      <c r="K377" s="27"/>
      <c r="L377" s="11"/>
      <c r="M377" s="11"/>
      <c r="N377" s="11"/>
      <c r="O377" s="11"/>
      <c r="P377" s="15"/>
      <c r="Q377" s="15"/>
      <c r="R377" s="15"/>
      <c r="S377" s="15"/>
      <c r="T377" s="15"/>
      <c r="U377" s="15"/>
      <c r="V377" s="15"/>
      <c r="W377" s="47"/>
      <c r="X377" s="11"/>
      <c r="Y377" s="48"/>
      <c r="Z377" s="11"/>
      <c r="AA377" s="48"/>
      <c r="AB377" s="11"/>
      <c r="AC377" s="48"/>
      <c r="AD377" s="11"/>
      <c r="AE377" s="47"/>
      <c r="AF377" s="11"/>
      <c r="AG377" s="48"/>
      <c r="AH377" s="11"/>
      <c r="AI377" s="48"/>
      <c r="AJ377" s="11"/>
      <c r="AK377" s="48"/>
      <c r="AL377" s="11"/>
      <c r="AM377" s="49"/>
      <c r="AN377" s="49"/>
      <c r="AO377" s="11"/>
      <c r="AP377" s="11"/>
      <c r="AQ377" s="28" t="b">
        <f>IF(COUNTIF(SmartStatus!A$2:A1000, AM377) &gt; 2, TRUE, FALSE)</f>
        <v>0</v>
      </c>
      <c r="AR377" s="29" t="str">
        <f ca="1">IFERROR(__xludf.DUMMYFUNCTION("iferror(if(regexmatch(AO377, ""(?i)^registered""), if(EE377 &lt;&gt; ""polity_shortest_name"", ""CHECK_POLITY"", index(filter(SmartStatus!B$2:B1000, AM377 = SmartStatus!A$2:A1000, not(SmartStatus!C$2:C1000), (isblank(SmartStatus!D$2:D1000)) + ((P377 &lt;&gt; """") * "&amp;"(P377 &lt; SmartStatus!D$2:D1000)), (isblank(SmartStatus!E$2:E1000)) + ((P377 &lt;&gt; """") * (P377 &gt;= SmartStatus!E$2:E1000)), (isblank(SmartStatus!F$2:F1000)) + (((Q377 &lt;&gt; """") * (Q377 &lt; SmartStatus!F$2:F1000)) + ((P377 &lt;&gt; """") * (date(year(P377) + 3, month(P"&amp;"377), day(P377)) &lt; SmartStatus!F$2:F1000))), (isblank(SmartStatus!G$2:G1000)) + (((Q377 &lt;&gt; """") * (Q377 &gt;= SmartStatus!G$2:G1000)) + ((P377 &lt;&gt; """") * (P377 &gt;= SmartStatus!G$2:G1000)))), if(or(regexmatch(B377, ""(?i)^ir [a-z]+ designation$""), N377 &lt;&gt; """&amp;"""), 1, 2))), """"), ""NO_MATCH"")"),"")</f>
        <v/>
      </c>
      <c r="AS377" s="11"/>
      <c r="AT377" s="15"/>
      <c r="AU377" s="11"/>
      <c r="AV377" s="11"/>
      <c r="AW377" s="15"/>
      <c r="AX377" s="15"/>
      <c r="AY377" s="15"/>
      <c r="AZ377" s="11"/>
      <c r="BA377" s="15"/>
      <c r="BB377" s="11"/>
      <c r="BC377" s="11"/>
      <c r="BD377" s="15"/>
      <c r="BE377" s="11"/>
      <c r="BF377" s="11"/>
      <c r="BG377" s="15"/>
      <c r="BH377" s="15"/>
      <c r="BI377" s="15"/>
      <c r="BJ377" s="11"/>
      <c r="BK377" s="15"/>
      <c r="BL377" s="11"/>
      <c r="BM377" s="11"/>
      <c r="BN377" s="15"/>
      <c r="BO377" s="11"/>
      <c r="BP377" s="11"/>
      <c r="BQ377" s="15"/>
      <c r="BR377" s="15"/>
      <c r="BS377" s="15"/>
      <c r="BT377" s="11"/>
      <c r="BU377" s="15"/>
      <c r="BV377" s="11"/>
      <c r="BW377" s="11"/>
      <c r="BX377" s="15"/>
      <c r="BY377" s="11"/>
      <c r="BZ377" s="11"/>
      <c r="CA377" s="15"/>
      <c r="CB377" s="11"/>
      <c r="CC377" s="15"/>
      <c r="CD377" s="11"/>
      <c r="CE377" s="15"/>
      <c r="CF377" s="11"/>
      <c r="CG377" s="11"/>
      <c r="CH377" s="15"/>
      <c r="CI377" s="11"/>
      <c r="CJ377" s="11"/>
      <c r="CK377" s="15"/>
      <c r="CL377" s="11"/>
      <c r="CM377" s="11"/>
      <c r="CN377" s="11"/>
      <c r="CO377" s="11"/>
      <c r="CP377" s="28"/>
      <c r="CQ377" s="28"/>
      <c r="CR377" s="11"/>
      <c r="CS377" s="29"/>
      <c r="CT377" s="11"/>
      <c r="CU377" s="11"/>
      <c r="CV377" s="11"/>
      <c r="CW377" s="11"/>
      <c r="CX377" s="11"/>
      <c r="CY377" s="11"/>
      <c r="CZ377" s="11"/>
      <c r="DA377" s="28"/>
      <c r="DB377" s="28"/>
      <c r="DC377" s="11"/>
      <c r="DD377" s="29"/>
      <c r="DE377" s="11"/>
      <c r="DF377" s="11"/>
      <c r="DG377" s="11"/>
      <c r="DH377" s="11"/>
      <c r="DI377" s="11"/>
      <c r="DJ377" s="11"/>
      <c r="DK377" s="26"/>
      <c r="DL377" s="11"/>
      <c r="DM377" s="29"/>
      <c r="DN377" s="28"/>
      <c r="DO377" s="11"/>
      <c r="DP377" s="11"/>
      <c r="DQ377" s="11"/>
      <c r="DR377" s="29"/>
      <c r="DS377" s="28"/>
      <c r="DT377" s="11"/>
      <c r="DU377" s="26"/>
      <c r="DV377" s="11"/>
      <c r="DW377" s="29"/>
      <c r="DX377" s="28"/>
      <c r="DY377" s="11"/>
      <c r="DZ377" s="26"/>
      <c r="EA377" s="11"/>
      <c r="EB377" s="29"/>
      <c r="EC377" s="28"/>
      <c r="ED377" s="30"/>
      <c r="EE377" s="30" t="str">
        <f ca="1">IFERROR(__xludf.DUMMYFUNCTION("iferror(index(filter('Internal -- Trademark Countries'!E$2:E1000, (AM377 = 'Internal -- Trademark Countries'!B$2:B1000) + (AM377 = 'Internal -- Trademark Countries'!C$2:C1000) + (AM377 = 'Internal -- Trademark Countries'!D$2:D1000)), 1))"),"")</f>
        <v/>
      </c>
      <c r="EF377" s="30" t="e">
        <f ca="1">_xludf.ifs(AM377="", "", COUNTIF('Internal -- Trademark Countries'!B:B,AM377) &gt; 0, "polity_shortest_name", COUNTIF('Internal -- Trademark Countries'!C:C,AM377) &gt; 0, "polity_full_name", COUNTIF('Internal -- Trademark Countries'!D:D,AM377) &gt; 0, "polity_common_name", COUNTIF('Internal -- Trademark Countries'!E:E,AM377) &gt; 0, "shortest_name", COUNTIF('Internal -- Trademark Countries'!A:A,AM377) &gt; 0, "full_name", TRUE, "not a match")</f>
        <v>#NAME?</v>
      </c>
      <c r="EG377" s="30"/>
      <c r="EH377" s="30"/>
      <c r="EI377" s="30"/>
      <c r="EJ377" s="30"/>
      <c r="EK377" s="30" t="str">
        <f t="shared" si="3"/>
        <v/>
      </c>
    </row>
    <row r="378" spans="1:141" ht="16.5">
      <c r="A378" s="11"/>
      <c r="B378" s="11"/>
      <c r="C378" s="11"/>
      <c r="D378" s="11"/>
      <c r="E378" s="11"/>
      <c r="F378" s="11"/>
      <c r="G378" s="11"/>
      <c r="H378" s="11"/>
      <c r="I378" s="11"/>
      <c r="J378" s="11"/>
      <c r="K378" s="27"/>
      <c r="L378" s="11"/>
      <c r="M378" s="11"/>
      <c r="N378" s="11"/>
      <c r="O378" s="11"/>
      <c r="P378" s="15"/>
      <c r="Q378" s="15"/>
      <c r="R378" s="15"/>
      <c r="S378" s="15"/>
      <c r="T378" s="15"/>
      <c r="U378" s="15"/>
      <c r="V378" s="15"/>
      <c r="W378" s="47"/>
      <c r="X378" s="11"/>
      <c r="Y378" s="48"/>
      <c r="Z378" s="11"/>
      <c r="AA378" s="48"/>
      <c r="AB378" s="11"/>
      <c r="AC378" s="48"/>
      <c r="AD378" s="11"/>
      <c r="AE378" s="47"/>
      <c r="AF378" s="11"/>
      <c r="AG378" s="48"/>
      <c r="AH378" s="11"/>
      <c r="AI378" s="48"/>
      <c r="AJ378" s="11"/>
      <c r="AK378" s="48"/>
      <c r="AL378" s="11"/>
      <c r="AM378" s="49"/>
      <c r="AN378" s="49"/>
      <c r="AO378" s="11"/>
      <c r="AP378" s="11"/>
      <c r="AQ378" s="28" t="b">
        <f>IF(COUNTIF(SmartStatus!A$2:A1000, AM378) &gt; 2, TRUE, FALSE)</f>
        <v>0</v>
      </c>
      <c r="AR378" s="29" t="str">
        <f ca="1">IFERROR(__xludf.DUMMYFUNCTION("iferror(if(regexmatch(AO378, ""(?i)^registered""), if(EE378 &lt;&gt; ""polity_shortest_name"", ""CHECK_POLITY"", index(filter(SmartStatus!B$2:B1000, AM378 = SmartStatus!A$2:A1000, not(SmartStatus!C$2:C1000), (isblank(SmartStatus!D$2:D1000)) + ((P378 &lt;&gt; """") * "&amp;"(P378 &lt; SmartStatus!D$2:D1000)), (isblank(SmartStatus!E$2:E1000)) + ((P378 &lt;&gt; """") * (P378 &gt;= SmartStatus!E$2:E1000)), (isblank(SmartStatus!F$2:F1000)) + (((Q378 &lt;&gt; """") * (Q378 &lt; SmartStatus!F$2:F1000)) + ((P378 &lt;&gt; """") * (date(year(P378) + 3, month(P"&amp;"378), day(P378)) &lt; SmartStatus!F$2:F1000))), (isblank(SmartStatus!G$2:G1000)) + (((Q378 &lt;&gt; """") * (Q378 &gt;= SmartStatus!G$2:G1000)) + ((P378 &lt;&gt; """") * (P378 &gt;= SmartStatus!G$2:G1000)))), if(or(regexmatch(B378, ""(?i)^ir [a-z]+ designation$""), N378 &lt;&gt; """&amp;"""), 1, 2))), """"), ""NO_MATCH"")"),"")</f>
        <v/>
      </c>
      <c r="AS378" s="11"/>
      <c r="AT378" s="15"/>
      <c r="AU378" s="11"/>
      <c r="AV378" s="11"/>
      <c r="AW378" s="15"/>
      <c r="AX378" s="15"/>
      <c r="AY378" s="15"/>
      <c r="AZ378" s="11"/>
      <c r="BA378" s="15"/>
      <c r="BB378" s="11"/>
      <c r="BC378" s="11"/>
      <c r="BD378" s="15"/>
      <c r="BE378" s="11"/>
      <c r="BF378" s="11"/>
      <c r="BG378" s="15"/>
      <c r="BH378" s="15"/>
      <c r="BI378" s="15"/>
      <c r="BJ378" s="11"/>
      <c r="BK378" s="15"/>
      <c r="BL378" s="11"/>
      <c r="BM378" s="11"/>
      <c r="BN378" s="15"/>
      <c r="BO378" s="11"/>
      <c r="BP378" s="11"/>
      <c r="BQ378" s="15"/>
      <c r="BR378" s="15"/>
      <c r="BS378" s="15"/>
      <c r="BT378" s="11"/>
      <c r="BU378" s="15"/>
      <c r="BV378" s="11"/>
      <c r="BW378" s="11"/>
      <c r="BX378" s="15"/>
      <c r="BY378" s="11"/>
      <c r="BZ378" s="11"/>
      <c r="CA378" s="15"/>
      <c r="CB378" s="11"/>
      <c r="CC378" s="15"/>
      <c r="CD378" s="11"/>
      <c r="CE378" s="15"/>
      <c r="CF378" s="11"/>
      <c r="CG378" s="11"/>
      <c r="CH378" s="15"/>
      <c r="CI378" s="11"/>
      <c r="CJ378" s="11"/>
      <c r="CK378" s="15"/>
      <c r="CL378" s="11"/>
      <c r="CM378" s="11"/>
      <c r="CN378" s="11"/>
      <c r="CO378" s="11"/>
      <c r="CP378" s="28"/>
      <c r="CQ378" s="28"/>
      <c r="CR378" s="11"/>
      <c r="CS378" s="29"/>
      <c r="CT378" s="11"/>
      <c r="CU378" s="11"/>
      <c r="CV378" s="11"/>
      <c r="CW378" s="11"/>
      <c r="CX378" s="11"/>
      <c r="CY378" s="11"/>
      <c r="CZ378" s="11"/>
      <c r="DA378" s="28"/>
      <c r="DB378" s="28"/>
      <c r="DC378" s="11"/>
      <c r="DD378" s="29"/>
      <c r="DE378" s="11"/>
      <c r="DF378" s="11"/>
      <c r="DG378" s="11"/>
      <c r="DH378" s="11"/>
      <c r="DI378" s="11"/>
      <c r="DJ378" s="11"/>
      <c r="DK378" s="26"/>
      <c r="DL378" s="11"/>
      <c r="DM378" s="29"/>
      <c r="DN378" s="28"/>
      <c r="DO378" s="11"/>
      <c r="DP378" s="11"/>
      <c r="DQ378" s="11"/>
      <c r="DR378" s="29"/>
      <c r="DS378" s="28"/>
      <c r="DT378" s="11"/>
      <c r="DU378" s="26"/>
      <c r="DV378" s="11"/>
      <c r="DW378" s="29"/>
      <c r="DX378" s="28"/>
      <c r="DY378" s="11"/>
      <c r="DZ378" s="26"/>
      <c r="EA378" s="11"/>
      <c r="EB378" s="29"/>
      <c r="EC378" s="28"/>
      <c r="ED378" s="30"/>
      <c r="EE378" s="30" t="str">
        <f ca="1">IFERROR(__xludf.DUMMYFUNCTION("iferror(index(filter('Internal -- Trademark Countries'!E$2:E1000, (AM378 = 'Internal -- Trademark Countries'!B$2:B1000) + (AM378 = 'Internal -- Trademark Countries'!C$2:C1000) + (AM378 = 'Internal -- Trademark Countries'!D$2:D1000)), 1))"),"")</f>
        <v/>
      </c>
      <c r="EF378" s="30" t="e">
        <f ca="1">_xludf.ifs(AM378="", "", COUNTIF('Internal -- Trademark Countries'!B:B,AM378) &gt; 0, "polity_shortest_name", COUNTIF('Internal -- Trademark Countries'!C:C,AM378) &gt; 0, "polity_full_name", COUNTIF('Internal -- Trademark Countries'!D:D,AM378) &gt; 0, "polity_common_name", COUNTIF('Internal -- Trademark Countries'!E:E,AM378) &gt; 0, "shortest_name", COUNTIF('Internal -- Trademark Countries'!A:A,AM378) &gt; 0, "full_name", TRUE, "not a match")</f>
        <v>#NAME?</v>
      </c>
      <c r="EG378" s="30"/>
      <c r="EH378" s="30"/>
      <c r="EI378" s="30"/>
      <c r="EJ378" s="30"/>
      <c r="EK378" s="30" t="str">
        <f t="shared" si="3"/>
        <v/>
      </c>
    </row>
    <row r="379" spans="1:141" ht="16.5">
      <c r="A379" s="11"/>
      <c r="B379" s="11"/>
      <c r="C379" s="11"/>
      <c r="D379" s="11"/>
      <c r="E379" s="11"/>
      <c r="F379" s="11"/>
      <c r="G379" s="11"/>
      <c r="H379" s="11"/>
      <c r="I379" s="11"/>
      <c r="J379" s="11"/>
      <c r="K379" s="27"/>
      <c r="L379" s="11"/>
      <c r="M379" s="11"/>
      <c r="N379" s="11"/>
      <c r="O379" s="11"/>
      <c r="P379" s="15"/>
      <c r="Q379" s="15"/>
      <c r="R379" s="15"/>
      <c r="S379" s="15"/>
      <c r="T379" s="15"/>
      <c r="U379" s="15"/>
      <c r="V379" s="15"/>
      <c r="W379" s="47"/>
      <c r="X379" s="11"/>
      <c r="Y379" s="48"/>
      <c r="Z379" s="11"/>
      <c r="AA379" s="48"/>
      <c r="AB379" s="11"/>
      <c r="AC379" s="48"/>
      <c r="AD379" s="11"/>
      <c r="AE379" s="47"/>
      <c r="AF379" s="11"/>
      <c r="AG379" s="48"/>
      <c r="AH379" s="11"/>
      <c r="AI379" s="48"/>
      <c r="AJ379" s="11"/>
      <c r="AK379" s="48"/>
      <c r="AL379" s="11"/>
      <c r="AM379" s="49"/>
      <c r="AN379" s="49"/>
      <c r="AO379" s="11"/>
      <c r="AP379" s="11"/>
      <c r="AQ379" s="28" t="b">
        <f>IF(COUNTIF(SmartStatus!A$2:A1000, AM379) &gt; 2, TRUE, FALSE)</f>
        <v>0</v>
      </c>
      <c r="AR379" s="29" t="str">
        <f ca="1">IFERROR(__xludf.DUMMYFUNCTION("iferror(if(regexmatch(AO379, ""(?i)^registered""), if(EE379 &lt;&gt; ""polity_shortest_name"", ""CHECK_POLITY"", index(filter(SmartStatus!B$2:B1000, AM379 = SmartStatus!A$2:A1000, not(SmartStatus!C$2:C1000), (isblank(SmartStatus!D$2:D1000)) + ((P379 &lt;&gt; """") * "&amp;"(P379 &lt; SmartStatus!D$2:D1000)), (isblank(SmartStatus!E$2:E1000)) + ((P379 &lt;&gt; """") * (P379 &gt;= SmartStatus!E$2:E1000)), (isblank(SmartStatus!F$2:F1000)) + (((Q379 &lt;&gt; """") * (Q379 &lt; SmartStatus!F$2:F1000)) + ((P379 &lt;&gt; """") * (date(year(P379) + 3, month(P"&amp;"379), day(P379)) &lt; SmartStatus!F$2:F1000))), (isblank(SmartStatus!G$2:G1000)) + (((Q379 &lt;&gt; """") * (Q379 &gt;= SmartStatus!G$2:G1000)) + ((P379 &lt;&gt; """") * (P379 &gt;= SmartStatus!G$2:G1000)))), if(or(regexmatch(B379, ""(?i)^ir [a-z]+ designation$""), N379 &lt;&gt; """&amp;"""), 1, 2))), """"), ""NO_MATCH"")"),"")</f>
        <v/>
      </c>
      <c r="AS379" s="11"/>
      <c r="AT379" s="15"/>
      <c r="AU379" s="11"/>
      <c r="AV379" s="11"/>
      <c r="AW379" s="15"/>
      <c r="AX379" s="15"/>
      <c r="AY379" s="15"/>
      <c r="AZ379" s="11"/>
      <c r="BA379" s="15"/>
      <c r="BB379" s="11"/>
      <c r="BC379" s="11"/>
      <c r="BD379" s="15"/>
      <c r="BE379" s="11"/>
      <c r="BF379" s="11"/>
      <c r="BG379" s="15"/>
      <c r="BH379" s="15"/>
      <c r="BI379" s="15"/>
      <c r="BJ379" s="11"/>
      <c r="BK379" s="15"/>
      <c r="BL379" s="11"/>
      <c r="BM379" s="11"/>
      <c r="BN379" s="15"/>
      <c r="BO379" s="11"/>
      <c r="BP379" s="11"/>
      <c r="BQ379" s="15"/>
      <c r="BR379" s="15"/>
      <c r="BS379" s="15"/>
      <c r="BT379" s="11"/>
      <c r="BU379" s="15"/>
      <c r="BV379" s="11"/>
      <c r="BW379" s="11"/>
      <c r="BX379" s="15"/>
      <c r="BY379" s="11"/>
      <c r="BZ379" s="11"/>
      <c r="CA379" s="15"/>
      <c r="CB379" s="11"/>
      <c r="CC379" s="15"/>
      <c r="CD379" s="11"/>
      <c r="CE379" s="15"/>
      <c r="CF379" s="11"/>
      <c r="CG379" s="11"/>
      <c r="CH379" s="15"/>
      <c r="CI379" s="11"/>
      <c r="CJ379" s="11"/>
      <c r="CK379" s="15"/>
      <c r="CL379" s="11"/>
      <c r="CM379" s="11"/>
      <c r="CN379" s="11"/>
      <c r="CO379" s="11"/>
      <c r="CP379" s="28"/>
      <c r="CQ379" s="28"/>
      <c r="CR379" s="11"/>
      <c r="CS379" s="29"/>
      <c r="CT379" s="11"/>
      <c r="CU379" s="11"/>
      <c r="CV379" s="11"/>
      <c r="CW379" s="11"/>
      <c r="CX379" s="11"/>
      <c r="CY379" s="11"/>
      <c r="CZ379" s="11"/>
      <c r="DA379" s="28"/>
      <c r="DB379" s="28"/>
      <c r="DC379" s="11"/>
      <c r="DD379" s="29"/>
      <c r="DE379" s="11"/>
      <c r="DF379" s="11"/>
      <c r="DG379" s="11"/>
      <c r="DH379" s="11"/>
      <c r="DI379" s="11"/>
      <c r="DJ379" s="11"/>
      <c r="DK379" s="26"/>
      <c r="DL379" s="11"/>
      <c r="DM379" s="29"/>
      <c r="DN379" s="28"/>
      <c r="DO379" s="11"/>
      <c r="DP379" s="11"/>
      <c r="DQ379" s="11"/>
      <c r="DR379" s="29"/>
      <c r="DS379" s="28"/>
      <c r="DT379" s="11"/>
      <c r="DU379" s="26"/>
      <c r="DV379" s="11"/>
      <c r="DW379" s="29"/>
      <c r="DX379" s="28"/>
      <c r="DY379" s="11"/>
      <c r="DZ379" s="26"/>
      <c r="EA379" s="11"/>
      <c r="EB379" s="29"/>
      <c r="EC379" s="28"/>
      <c r="ED379" s="30"/>
      <c r="EE379" s="30" t="str">
        <f ca="1">IFERROR(__xludf.DUMMYFUNCTION("iferror(index(filter('Internal -- Trademark Countries'!E$2:E1000, (AM379 = 'Internal -- Trademark Countries'!B$2:B1000) + (AM379 = 'Internal -- Trademark Countries'!C$2:C1000) + (AM379 = 'Internal -- Trademark Countries'!D$2:D1000)), 1))"),"")</f>
        <v/>
      </c>
      <c r="EF379" s="30" t="e">
        <f ca="1">_xludf.ifs(AM379="", "", COUNTIF('Internal -- Trademark Countries'!B:B,AM379) &gt; 0, "polity_shortest_name", COUNTIF('Internal -- Trademark Countries'!C:C,AM379) &gt; 0, "polity_full_name", COUNTIF('Internal -- Trademark Countries'!D:D,AM379) &gt; 0, "polity_common_name", COUNTIF('Internal -- Trademark Countries'!E:E,AM379) &gt; 0, "shortest_name", COUNTIF('Internal -- Trademark Countries'!A:A,AM379) &gt; 0, "full_name", TRUE, "not a match")</f>
        <v>#NAME?</v>
      </c>
      <c r="EG379" s="30"/>
      <c r="EH379" s="30"/>
      <c r="EI379" s="30"/>
      <c r="EJ379" s="30"/>
      <c r="EK379" s="30" t="str">
        <f t="shared" si="3"/>
        <v/>
      </c>
    </row>
    <row r="380" spans="1:141" ht="16.5">
      <c r="A380" s="11"/>
      <c r="B380" s="11"/>
      <c r="C380" s="11"/>
      <c r="D380" s="11"/>
      <c r="E380" s="11"/>
      <c r="F380" s="11"/>
      <c r="G380" s="11"/>
      <c r="H380" s="11"/>
      <c r="I380" s="11"/>
      <c r="J380" s="11"/>
      <c r="K380" s="27"/>
      <c r="L380" s="11"/>
      <c r="M380" s="11"/>
      <c r="N380" s="11"/>
      <c r="O380" s="11"/>
      <c r="P380" s="15"/>
      <c r="Q380" s="15"/>
      <c r="R380" s="15"/>
      <c r="S380" s="15"/>
      <c r="T380" s="15"/>
      <c r="U380" s="15"/>
      <c r="V380" s="15"/>
      <c r="W380" s="47"/>
      <c r="X380" s="11"/>
      <c r="Y380" s="48"/>
      <c r="Z380" s="11"/>
      <c r="AA380" s="48"/>
      <c r="AB380" s="11"/>
      <c r="AC380" s="48"/>
      <c r="AD380" s="11"/>
      <c r="AE380" s="47"/>
      <c r="AF380" s="11"/>
      <c r="AG380" s="48"/>
      <c r="AH380" s="11"/>
      <c r="AI380" s="48"/>
      <c r="AJ380" s="11"/>
      <c r="AK380" s="48"/>
      <c r="AL380" s="11"/>
      <c r="AM380" s="49"/>
      <c r="AN380" s="49"/>
      <c r="AO380" s="11"/>
      <c r="AP380" s="11"/>
      <c r="AQ380" s="28" t="b">
        <f>IF(COUNTIF(SmartStatus!A$2:A1000, AM380) &gt; 2, TRUE, FALSE)</f>
        <v>0</v>
      </c>
      <c r="AR380" s="29" t="str">
        <f ca="1">IFERROR(__xludf.DUMMYFUNCTION("iferror(if(regexmatch(AO380, ""(?i)^registered""), if(EE380 &lt;&gt; ""polity_shortest_name"", ""CHECK_POLITY"", index(filter(SmartStatus!B$2:B1000, AM380 = SmartStatus!A$2:A1000, not(SmartStatus!C$2:C1000), (isblank(SmartStatus!D$2:D1000)) + ((P380 &lt;&gt; """") * "&amp;"(P380 &lt; SmartStatus!D$2:D1000)), (isblank(SmartStatus!E$2:E1000)) + ((P380 &lt;&gt; """") * (P380 &gt;= SmartStatus!E$2:E1000)), (isblank(SmartStatus!F$2:F1000)) + (((Q380 &lt;&gt; """") * (Q380 &lt; SmartStatus!F$2:F1000)) + ((P380 &lt;&gt; """") * (date(year(P380) + 3, month(P"&amp;"380), day(P380)) &lt; SmartStatus!F$2:F1000))), (isblank(SmartStatus!G$2:G1000)) + (((Q380 &lt;&gt; """") * (Q380 &gt;= SmartStatus!G$2:G1000)) + ((P380 &lt;&gt; """") * (P380 &gt;= SmartStatus!G$2:G1000)))), if(or(regexmatch(B380, ""(?i)^ir [a-z]+ designation$""), N380 &lt;&gt; """&amp;"""), 1, 2))), """"), ""NO_MATCH"")"),"")</f>
        <v/>
      </c>
      <c r="AS380" s="11"/>
      <c r="AT380" s="15"/>
      <c r="AU380" s="11"/>
      <c r="AV380" s="11"/>
      <c r="AW380" s="15"/>
      <c r="AX380" s="15"/>
      <c r="AY380" s="15"/>
      <c r="AZ380" s="11"/>
      <c r="BA380" s="15"/>
      <c r="BB380" s="11"/>
      <c r="BC380" s="11"/>
      <c r="BD380" s="15"/>
      <c r="BE380" s="11"/>
      <c r="BF380" s="11"/>
      <c r="BG380" s="15"/>
      <c r="BH380" s="15"/>
      <c r="BI380" s="15"/>
      <c r="BJ380" s="11"/>
      <c r="BK380" s="15"/>
      <c r="BL380" s="11"/>
      <c r="BM380" s="11"/>
      <c r="BN380" s="15"/>
      <c r="BO380" s="11"/>
      <c r="BP380" s="11"/>
      <c r="BQ380" s="15"/>
      <c r="BR380" s="15"/>
      <c r="BS380" s="15"/>
      <c r="BT380" s="11"/>
      <c r="BU380" s="15"/>
      <c r="BV380" s="11"/>
      <c r="BW380" s="11"/>
      <c r="BX380" s="15"/>
      <c r="BY380" s="11"/>
      <c r="BZ380" s="11"/>
      <c r="CA380" s="15"/>
      <c r="CB380" s="11"/>
      <c r="CC380" s="15"/>
      <c r="CD380" s="11"/>
      <c r="CE380" s="15"/>
      <c r="CF380" s="11"/>
      <c r="CG380" s="11"/>
      <c r="CH380" s="15"/>
      <c r="CI380" s="11"/>
      <c r="CJ380" s="11"/>
      <c r="CK380" s="15"/>
      <c r="CL380" s="11"/>
      <c r="CM380" s="11"/>
      <c r="CN380" s="11"/>
      <c r="CO380" s="11"/>
      <c r="CP380" s="28"/>
      <c r="CQ380" s="28"/>
      <c r="CR380" s="11"/>
      <c r="CS380" s="29"/>
      <c r="CT380" s="11"/>
      <c r="CU380" s="11"/>
      <c r="CV380" s="11"/>
      <c r="CW380" s="11"/>
      <c r="CX380" s="11"/>
      <c r="CY380" s="11"/>
      <c r="CZ380" s="11"/>
      <c r="DA380" s="28"/>
      <c r="DB380" s="28"/>
      <c r="DC380" s="11"/>
      <c r="DD380" s="29"/>
      <c r="DE380" s="11"/>
      <c r="DF380" s="11"/>
      <c r="DG380" s="11"/>
      <c r="DH380" s="11"/>
      <c r="DI380" s="11"/>
      <c r="DJ380" s="11"/>
      <c r="DK380" s="26"/>
      <c r="DL380" s="11"/>
      <c r="DM380" s="29"/>
      <c r="DN380" s="28"/>
      <c r="DO380" s="11"/>
      <c r="DP380" s="11"/>
      <c r="DQ380" s="11"/>
      <c r="DR380" s="29"/>
      <c r="DS380" s="28"/>
      <c r="DT380" s="11"/>
      <c r="DU380" s="26"/>
      <c r="DV380" s="11"/>
      <c r="DW380" s="29"/>
      <c r="DX380" s="28"/>
      <c r="DY380" s="11"/>
      <c r="DZ380" s="26"/>
      <c r="EA380" s="11"/>
      <c r="EB380" s="29"/>
      <c r="EC380" s="28"/>
      <c r="ED380" s="30"/>
      <c r="EE380" s="30" t="str">
        <f ca="1">IFERROR(__xludf.DUMMYFUNCTION("iferror(index(filter('Internal -- Trademark Countries'!E$2:E1000, (AM380 = 'Internal -- Trademark Countries'!B$2:B1000) + (AM380 = 'Internal -- Trademark Countries'!C$2:C1000) + (AM380 = 'Internal -- Trademark Countries'!D$2:D1000)), 1))"),"")</f>
        <v/>
      </c>
      <c r="EF380" s="30" t="e">
        <f ca="1">_xludf.ifs(AM380="", "", COUNTIF('Internal -- Trademark Countries'!B:B,AM380) &gt; 0, "polity_shortest_name", COUNTIF('Internal -- Trademark Countries'!C:C,AM380) &gt; 0, "polity_full_name", COUNTIF('Internal -- Trademark Countries'!D:D,AM380) &gt; 0, "polity_common_name", COUNTIF('Internal -- Trademark Countries'!E:E,AM380) &gt; 0, "shortest_name", COUNTIF('Internal -- Trademark Countries'!A:A,AM380) &gt; 0, "full_name", TRUE, "not a match")</f>
        <v>#NAME?</v>
      </c>
      <c r="EG380" s="30"/>
      <c r="EH380" s="30"/>
      <c r="EI380" s="30"/>
      <c r="EJ380" s="30"/>
      <c r="EK380" s="30" t="str">
        <f t="shared" si="3"/>
        <v/>
      </c>
    </row>
    <row r="381" spans="1:141" ht="16.5">
      <c r="A381" s="11"/>
      <c r="B381" s="11"/>
      <c r="C381" s="11"/>
      <c r="D381" s="11"/>
      <c r="E381" s="11"/>
      <c r="F381" s="11"/>
      <c r="G381" s="11"/>
      <c r="H381" s="11"/>
      <c r="I381" s="11"/>
      <c r="J381" s="11"/>
      <c r="K381" s="27"/>
      <c r="L381" s="11"/>
      <c r="M381" s="11"/>
      <c r="N381" s="11"/>
      <c r="O381" s="11"/>
      <c r="P381" s="15"/>
      <c r="Q381" s="15"/>
      <c r="R381" s="15"/>
      <c r="S381" s="15"/>
      <c r="T381" s="15"/>
      <c r="U381" s="15"/>
      <c r="V381" s="15"/>
      <c r="W381" s="47"/>
      <c r="X381" s="11"/>
      <c r="Y381" s="48"/>
      <c r="Z381" s="11"/>
      <c r="AA381" s="48"/>
      <c r="AB381" s="11"/>
      <c r="AC381" s="48"/>
      <c r="AD381" s="11"/>
      <c r="AE381" s="47"/>
      <c r="AF381" s="11"/>
      <c r="AG381" s="48"/>
      <c r="AH381" s="11"/>
      <c r="AI381" s="48"/>
      <c r="AJ381" s="11"/>
      <c r="AK381" s="48"/>
      <c r="AL381" s="11"/>
      <c r="AM381" s="49"/>
      <c r="AN381" s="49"/>
      <c r="AO381" s="11"/>
      <c r="AP381" s="11"/>
      <c r="AQ381" s="28" t="b">
        <f>IF(COUNTIF(SmartStatus!A$2:A1000, AM381) &gt; 2, TRUE, FALSE)</f>
        <v>0</v>
      </c>
      <c r="AR381" s="29" t="str">
        <f ca="1">IFERROR(__xludf.DUMMYFUNCTION("iferror(if(regexmatch(AO381, ""(?i)^registered""), if(EE381 &lt;&gt; ""polity_shortest_name"", ""CHECK_POLITY"", index(filter(SmartStatus!B$2:B1000, AM381 = SmartStatus!A$2:A1000, not(SmartStatus!C$2:C1000), (isblank(SmartStatus!D$2:D1000)) + ((P381 &lt;&gt; """") * "&amp;"(P381 &lt; SmartStatus!D$2:D1000)), (isblank(SmartStatus!E$2:E1000)) + ((P381 &lt;&gt; """") * (P381 &gt;= SmartStatus!E$2:E1000)), (isblank(SmartStatus!F$2:F1000)) + (((Q381 &lt;&gt; """") * (Q381 &lt; SmartStatus!F$2:F1000)) + ((P381 &lt;&gt; """") * (date(year(P381) + 3, month(P"&amp;"381), day(P381)) &lt; SmartStatus!F$2:F1000))), (isblank(SmartStatus!G$2:G1000)) + (((Q381 &lt;&gt; """") * (Q381 &gt;= SmartStatus!G$2:G1000)) + ((P381 &lt;&gt; """") * (P381 &gt;= SmartStatus!G$2:G1000)))), if(or(regexmatch(B381, ""(?i)^ir [a-z]+ designation$""), N381 &lt;&gt; """&amp;"""), 1, 2))), """"), ""NO_MATCH"")"),"")</f>
        <v/>
      </c>
      <c r="AS381" s="11"/>
      <c r="AT381" s="15"/>
      <c r="AU381" s="11"/>
      <c r="AV381" s="11"/>
      <c r="AW381" s="15"/>
      <c r="AX381" s="15"/>
      <c r="AY381" s="15"/>
      <c r="AZ381" s="11"/>
      <c r="BA381" s="15"/>
      <c r="BB381" s="11"/>
      <c r="BC381" s="11"/>
      <c r="BD381" s="15"/>
      <c r="BE381" s="11"/>
      <c r="BF381" s="11"/>
      <c r="BG381" s="15"/>
      <c r="BH381" s="15"/>
      <c r="BI381" s="15"/>
      <c r="BJ381" s="11"/>
      <c r="BK381" s="15"/>
      <c r="BL381" s="11"/>
      <c r="BM381" s="11"/>
      <c r="BN381" s="15"/>
      <c r="BO381" s="11"/>
      <c r="BP381" s="11"/>
      <c r="BQ381" s="15"/>
      <c r="BR381" s="15"/>
      <c r="BS381" s="15"/>
      <c r="BT381" s="11"/>
      <c r="BU381" s="15"/>
      <c r="BV381" s="11"/>
      <c r="BW381" s="11"/>
      <c r="BX381" s="15"/>
      <c r="BY381" s="11"/>
      <c r="BZ381" s="11"/>
      <c r="CA381" s="15"/>
      <c r="CB381" s="11"/>
      <c r="CC381" s="15"/>
      <c r="CD381" s="11"/>
      <c r="CE381" s="15"/>
      <c r="CF381" s="11"/>
      <c r="CG381" s="11"/>
      <c r="CH381" s="15"/>
      <c r="CI381" s="11"/>
      <c r="CJ381" s="11"/>
      <c r="CK381" s="15"/>
      <c r="CL381" s="11"/>
      <c r="CM381" s="11"/>
      <c r="CN381" s="11"/>
      <c r="CO381" s="11"/>
      <c r="CP381" s="28"/>
      <c r="CQ381" s="28"/>
      <c r="CR381" s="11"/>
      <c r="CS381" s="29"/>
      <c r="CT381" s="11"/>
      <c r="CU381" s="11"/>
      <c r="CV381" s="11"/>
      <c r="CW381" s="11"/>
      <c r="CX381" s="11"/>
      <c r="CY381" s="11"/>
      <c r="CZ381" s="11"/>
      <c r="DA381" s="28"/>
      <c r="DB381" s="28"/>
      <c r="DC381" s="11"/>
      <c r="DD381" s="29"/>
      <c r="DE381" s="11"/>
      <c r="DF381" s="11"/>
      <c r="DG381" s="11"/>
      <c r="DH381" s="11"/>
      <c r="DI381" s="11"/>
      <c r="DJ381" s="11"/>
      <c r="DK381" s="26"/>
      <c r="DL381" s="11"/>
      <c r="DM381" s="29"/>
      <c r="DN381" s="28"/>
      <c r="DO381" s="11"/>
      <c r="DP381" s="11"/>
      <c r="DQ381" s="11"/>
      <c r="DR381" s="29"/>
      <c r="DS381" s="28"/>
      <c r="DT381" s="11"/>
      <c r="DU381" s="26"/>
      <c r="DV381" s="11"/>
      <c r="DW381" s="29"/>
      <c r="DX381" s="28"/>
      <c r="DY381" s="11"/>
      <c r="DZ381" s="26"/>
      <c r="EA381" s="11"/>
      <c r="EB381" s="29"/>
      <c r="EC381" s="28"/>
      <c r="ED381" s="30"/>
      <c r="EE381" s="30" t="str">
        <f ca="1">IFERROR(__xludf.DUMMYFUNCTION("iferror(index(filter('Internal -- Trademark Countries'!E$2:E1000, (AM381 = 'Internal -- Trademark Countries'!B$2:B1000) + (AM381 = 'Internal -- Trademark Countries'!C$2:C1000) + (AM381 = 'Internal -- Trademark Countries'!D$2:D1000)), 1))"),"")</f>
        <v/>
      </c>
      <c r="EF381" s="30" t="e">
        <f ca="1">_xludf.ifs(AM381="", "", COUNTIF('Internal -- Trademark Countries'!B:B,AM381) &gt; 0, "polity_shortest_name", COUNTIF('Internal -- Trademark Countries'!C:C,AM381) &gt; 0, "polity_full_name", COUNTIF('Internal -- Trademark Countries'!D:D,AM381) &gt; 0, "polity_common_name", COUNTIF('Internal -- Trademark Countries'!E:E,AM381) &gt; 0, "shortest_name", COUNTIF('Internal -- Trademark Countries'!A:A,AM381) &gt; 0, "full_name", TRUE, "not a match")</f>
        <v>#NAME?</v>
      </c>
      <c r="EG381" s="30"/>
      <c r="EH381" s="30"/>
      <c r="EI381" s="30"/>
      <c r="EJ381" s="30"/>
      <c r="EK381" s="30" t="str">
        <f t="shared" si="3"/>
        <v/>
      </c>
    </row>
    <row r="382" spans="1:141" ht="16.5">
      <c r="A382" s="11"/>
      <c r="B382" s="11"/>
      <c r="C382" s="11"/>
      <c r="D382" s="11"/>
      <c r="E382" s="11"/>
      <c r="F382" s="11"/>
      <c r="G382" s="11"/>
      <c r="H382" s="11"/>
      <c r="I382" s="11"/>
      <c r="J382" s="11"/>
      <c r="K382" s="27"/>
      <c r="L382" s="11"/>
      <c r="M382" s="11"/>
      <c r="N382" s="11"/>
      <c r="O382" s="11"/>
      <c r="P382" s="15"/>
      <c r="Q382" s="15"/>
      <c r="R382" s="15"/>
      <c r="S382" s="15"/>
      <c r="T382" s="15"/>
      <c r="U382" s="15"/>
      <c r="V382" s="15"/>
      <c r="W382" s="47"/>
      <c r="X382" s="11"/>
      <c r="Y382" s="48"/>
      <c r="Z382" s="11"/>
      <c r="AA382" s="48"/>
      <c r="AB382" s="11"/>
      <c r="AC382" s="48"/>
      <c r="AD382" s="11"/>
      <c r="AE382" s="47"/>
      <c r="AF382" s="11"/>
      <c r="AG382" s="48"/>
      <c r="AH382" s="11"/>
      <c r="AI382" s="48"/>
      <c r="AJ382" s="11"/>
      <c r="AK382" s="48"/>
      <c r="AL382" s="11"/>
      <c r="AM382" s="49"/>
      <c r="AN382" s="49"/>
      <c r="AO382" s="11"/>
      <c r="AP382" s="11"/>
      <c r="AQ382" s="28" t="b">
        <f>IF(COUNTIF(SmartStatus!A$2:A1000, AM382) &gt; 2, TRUE, FALSE)</f>
        <v>0</v>
      </c>
      <c r="AR382" s="29" t="str">
        <f ca="1">IFERROR(__xludf.DUMMYFUNCTION("iferror(if(regexmatch(AO382, ""(?i)^registered""), if(EE382 &lt;&gt; ""polity_shortest_name"", ""CHECK_POLITY"", index(filter(SmartStatus!B$2:B1000, AM382 = SmartStatus!A$2:A1000, not(SmartStatus!C$2:C1000), (isblank(SmartStatus!D$2:D1000)) + ((P382 &lt;&gt; """") * "&amp;"(P382 &lt; SmartStatus!D$2:D1000)), (isblank(SmartStatus!E$2:E1000)) + ((P382 &lt;&gt; """") * (P382 &gt;= SmartStatus!E$2:E1000)), (isblank(SmartStatus!F$2:F1000)) + (((Q382 &lt;&gt; """") * (Q382 &lt; SmartStatus!F$2:F1000)) + ((P382 &lt;&gt; """") * (date(year(P382) + 3, month(P"&amp;"382), day(P382)) &lt; SmartStatus!F$2:F1000))), (isblank(SmartStatus!G$2:G1000)) + (((Q382 &lt;&gt; """") * (Q382 &gt;= SmartStatus!G$2:G1000)) + ((P382 &lt;&gt; """") * (P382 &gt;= SmartStatus!G$2:G1000)))), if(or(regexmatch(B382, ""(?i)^ir [a-z]+ designation$""), N382 &lt;&gt; """&amp;"""), 1, 2))), """"), ""NO_MATCH"")"),"")</f>
        <v/>
      </c>
      <c r="AS382" s="11"/>
      <c r="AT382" s="15"/>
      <c r="AU382" s="11"/>
      <c r="AV382" s="11"/>
      <c r="AW382" s="15"/>
      <c r="AX382" s="15"/>
      <c r="AY382" s="15"/>
      <c r="AZ382" s="11"/>
      <c r="BA382" s="15"/>
      <c r="BB382" s="11"/>
      <c r="BC382" s="11"/>
      <c r="BD382" s="15"/>
      <c r="BE382" s="11"/>
      <c r="BF382" s="11"/>
      <c r="BG382" s="15"/>
      <c r="BH382" s="15"/>
      <c r="BI382" s="15"/>
      <c r="BJ382" s="11"/>
      <c r="BK382" s="15"/>
      <c r="BL382" s="11"/>
      <c r="BM382" s="11"/>
      <c r="BN382" s="15"/>
      <c r="BO382" s="11"/>
      <c r="BP382" s="11"/>
      <c r="BQ382" s="15"/>
      <c r="BR382" s="15"/>
      <c r="BS382" s="15"/>
      <c r="BT382" s="11"/>
      <c r="BU382" s="15"/>
      <c r="BV382" s="11"/>
      <c r="BW382" s="11"/>
      <c r="BX382" s="15"/>
      <c r="BY382" s="11"/>
      <c r="BZ382" s="11"/>
      <c r="CA382" s="15"/>
      <c r="CB382" s="11"/>
      <c r="CC382" s="15"/>
      <c r="CD382" s="11"/>
      <c r="CE382" s="15"/>
      <c r="CF382" s="11"/>
      <c r="CG382" s="11"/>
      <c r="CH382" s="15"/>
      <c r="CI382" s="11"/>
      <c r="CJ382" s="11"/>
      <c r="CK382" s="15"/>
      <c r="CL382" s="11"/>
      <c r="CM382" s="11"/>
      <c r="CN382" s="11"/>
      <c r="CO382" s="11"/>
      <c r="CP382" s="28"/>
      <c r="CQ382" s="28"/>
      <c r="CR382" s="11"/>
      <c r="CS382" s="29"/>
      <c r="CT382" s="11"/>
      <c r="CU382" s="11"/>
      <c r="CV382" s="11"/>
      <c r="CW382" s="11"/>
      <c r="CX382" s="11"/>
      <c r="CY382" s="11"/>
      <c r="CZ382" s="11"/>
      <c r="DA382" s="28"/>
      <c r="DB382" s="28"/>
      <c r="DC382" s="11"/>
      <c r="DD382" s="29"/>
      <c r="DE382" s="11"/>
      <c r="DF382" s="11"/>
      <c r="DG382" s="11"/>
      <c r="DH382" s="11"/>
      <c r="DI382" s="11"/>
      <c r="DJ382" s="11"/>
      <c r="DK382" s="26"/>
      <c r="DL382" s="11"/>
      <c r="DM382" s="29"/>
      <c r="DN382" s="28"/>
      <c r="DO382" s="11"/>
      <c r="DP382" s="11"/>
      <c r="DQ382" s="11"/>
      <c r="DR382" s="29"/>
      <c r="DS382" s="28"/>
      <c r="DT382" s="11"/>
      <c r="DU382" s="26"/>
      <c r="DV382" s="11"/>
      <c r="DW382" s="29"/>
      <c r="DX382" s="28"/>
      <c r="DY382" s="11"/>
      <c r="DZ382" s="26"/>
      <c r="EA382" s="11"/>
      <c r="EB382" s="29"/>
      <c r="EC382" s="28"/>
      <c r="ED382" s="30"/>
      <c r="EE382" s="30" t="str">
        <f ca="1">IFERROR(__xludf.DUMMYFUNCTION("iferror(index(filter('Internal -- Trademark Countries'!E$2:E1000, (AM382 = 'Internal -- Trademark Countries'!B$2:B1000) + (AM382 = 'Internal -- Trademark Countries'!C$2:C1000) + (AM382 = 'Internal -- Trademark Countries'!D$2:D1000)), 1))"),"")</f>
        <v/>
      </c>
      <c r="EF382" s="30" t="e">
        <f ca="1">_xludf.ifs(AM382="", "", COUNTIF('Internal -- Trademark Countries'!B:B,AM382) &gt; 0, "polity_shortest_name", COUNTIF('Internal -- Trademark Countries'!C:C,AM382) &gt; 0, "polity_full_name", COUNTIF('Internal -- Trademark Countries'!D:D,AM382) &gt; 0, "polity_common_name", COUNTIF('Internal -- Trademark Countries'!E:E,AM382) &gt; 0, "shortest_name", COUNTIF('Internal -- Trademark Countries'!A:A,AM382) &gt; 0, "full_name", TRUE, "not a match")</f>
        <v>#NAME?</v>
      </c>
      <c r="EG382" s="30"/>
      <c r="EH382" s="30"/>
      <c r="EI382" s="30"/>
      <c r="EJ382" s="30"/>
      <c r="EK382" s="30" t="str">
        <f t="shared" si="3"/>
        <v/>
      </c>
    </row>
    <row r="383" spans="1:141" ht="16.5">
      <c r="A383" s="11"/>
      <c r="B383" s="11"/>
      <c r="C383" s="11"/>
      <c r="D383" s="11"/>
      <c r="E383" s="11"/>
      <c r="F383" s="11"/>
      <c r="G383" s="11"/>
      <c r="H383" s="11"/>
      <c r="I383" s="11"/>
      <c r="J383" s="11"/>
      <c r="K383" s="27"/>
      <c r="L383" s="11"/>
      <c r="M383" s="11"/>
      <c r="N383" s="11"/>
      <c r="O383" s="11"/>
      <c r="P383" s="15"/>
      <c r="Q383" s="15"/>
      <c r="R383" s="15"/>
      <c r="S383" s="15"/>
      <c r="T383" s="15"/>
      <c r="U383" s="15"/>
      <c r="V383" s="15"/>
      <c r="W383" s="47"/>
      <c r="X383" s="11"/>
      <c r="Y383" s="48"/>
      <c r="Z383" s="11"/>
      <c r="AA383" s="48"/>
      <c r="AB383" s="11"/>
      <c r="AC383" s="48"/>
      <c r="AD383" s="11"/>
      <c r="AE383" s="47"/>
      <c r="AF383" s="11"/>
      <c r="AG383" s="48"/>
      <c r="AH383" s="11"/>
      <c r="AI383" s="48"/>
      <c r="AJ383" s="11"/>
      <c r="AK383" s="48"/>
      <c r="AL383" s="11"/>
      <c r="AM383" s="49"/>
      <c r="AN383" s="49"/>
      <c r="AO383" s="11"/>
      <c r="AP383" s="11"/>
      <c r="AQ383" s="28" t="b">
        <f>IF(COUNTIF(SmartStatus!A$2:A1000, AM383) &gt; 2, TRUE, FALSE)</f>
        <v>0</v>
      </c>
      <c r="AR383" s="29" t="str">
        <f ca="1">IFERROR(__xludf.DUMMYFUNCTION("iferror(if(regexmatch(AO383, ""(?i)^registered""), if(EE383 &lt;&gt; ""polity_shortest_name"", ""CHECK_POLITY"", index(filter(SmartStatus!B$2:B1000, AM383 = SmartStatus!A$2:A1000, not(SmartStatus!C$2:C1000), (isblank(SmartStatus!D$2:D1000)) + ((P383 &lt;&gt; """") * "&amp;"(P383 &lt; SmartStatus!D$2:D1000)), (isblank(SmartStatus!E$2:E1000)) + ((P383 &lt;&gt; """") * (P383 &gt;= SmartStatus!E$2:E1000)), (isblank(SmartStatus!F$2:F1000)) + (((Q383 &lt;&gt; """") * (Q383 &lt; SmartStatus!F$2:F1000)) + ((P383 &lt;&gt; """") * (date(year(P383) + 3, month(P"&amp;"383), day(P383)) &lt; SmartStatus!F$2:F1000))), (isblank(SmartStatus!G$2:G1000)) + (((Q383 &lt;&gt; """") * (Q383 &gt;= SmartStatus!G$2:G1000)) + ((P383 &lt;&gt; """") * (P383 &gt;= SmartStatus!G$2:G1000)))), if(or(regexmatch(B383, ""(?i)^ir [a-z]+ designation$""), N383 &lt;&gt; """&amp;"""), 1, 2))), """"), ""NO_MATCH"")"),"")</f>
        <v/>
      </c>
      <c r="AS383" s="11"/>
      <c r="AT383" s="15"/>
      <c r="AU383" s="11"/>
      <c r="AV383" s="11"/>
      <c r="AW383" s="15"/>
      <c r="AX383" s="15"/>
      <c r="AY383" s="15"/>
      <c r="AZ383" s="11"/>
      <c r="BA383" s="15"/>
      <c r="BB383" s="11"/>
      <c r="BC383" s="11"/>
      <c r="BD383" s="15"/>
      <c r="BE383" s="11"/>
      <c r="BF383" s="11"/>
      <c r="BG383" s="15"/>
      <c r="BH383" s="15"/>
      <c r="BI383" s="15"/>
      <c r="BJ383" s="11"/>
      <c r="BK383" s="15"/>
      <c r="BL383" s="11"/>
      <c r="BM383" s="11"/>
      <c r="BN383" s="15"/>
      <c r="BO383" s="11"/>
      <c r="BP383" s="11"/>
      <c r="BQ383" s="15"/>
      <c r="BR383" s="15"/>
      <c r="BS383" s="15"/>
      <c r="BT383" s="11"/>
      <c r="BU383" s="15"/>
      <c r="BV383" s="11"/>
      <c r="BW383" s="11"/>
      <c r="BX383" s="15"/>
      <c r="BY383" s="11"/>
      <c r="BZ383" s="11"/>
      <c r="CA383" s="15"/>
      <c r="CB383" s="11"/>
      <c r="CC383" s="15"/>
      <c r="CD383" s="11"/>
      <c r="CE383" s="15"/>
      <c r="CF383" s="11"/>
      <c r="CG383" s="11"/>
      <c r="CH383" s="15"/>
      <c r="CI383" s="11"/>
      <c r="CJ383" s="11"/>
      <c r="CK383" s="15"/>
      <c r="CL383" s="11"/>
      <c r="CM383" s="11"/>
      <c r="CN383" s="11"/>
      <c r="CO383" s="11"/>
      <c r="CP383" s="28"/>
      <c r="CQ383" s="28"/>
      <c r="CR383" s="11"/>
      <c r="CS383" s="29"/>
      <c r="CT383" s="11"/>
      <c r="CU383" s="11"/>
      <c r="CV383" s="11"/>
      <c r="CW383" s="11"/>
      <c r="CX383" s="11"/>
      <c r="CY383" s="11"/>
      <c r="CZ383" s="11"/>
      <c r="DA383" s="28"/>
      <c r="DB383" s="28"/>
      <c r="DC383" s="11"/>
      <c r="DD383" s="29"/>
      <c r="DE383" s="11"/>
      <c r="DF383" s="11"/>
      <c r="DG383" s="11"/>
      <c r="DH383" s="11"/>
      <c r="DI383" s="11"/>
      <c r="DJ383" s="11"/>
      <c r="DK383" s="26"/>
      <c r="DL383" s="11"/>
      <c r="DM383" s="29"/>
      <c r="DN383" s="28"/>
      <c r="DO383" s="11"/>
      <c r="DP383" s="11"/>
      <c r="DQ383" s="11"/>
      <c r="DR383" s="29"/>
      <c r="DS383" s="28"/>
      <c r="DT383" s="11"/>
      <c r="DU383" s="26"/>
      <c r="DV383" s="11"/>
      <c r="DW383" s="29"/>
      <c r="DX383" s="28"/>
      <c r="DY383" s="11"/>
      <c r="DZ383" s="26"/>
      <c r="EA383" s="11"/>
      <c r="EB383" s="29"/>
      <c r="EC383" s="28"/>
      <c r="ED383" s="30"/>
      <c r="EE383" s="30" t="str">
        <f ca="1">IFERROR(__xludf.DUMMYFUNCTION("iferror(index(filter('Internal -- Trademark Countries'!E$2:E1000, (AM383 = 'Internal -- Trademark Countries'!B$2:B1000) + (AM383 = 'Internal -- Trademark Countries'!C$2:C1000) + (AM383 = 'Internal -- Trademark Countries'!D$2:D1000)), 1))"),"")</f>
        <v/>
      </c>
      <c r="EF383" s="30" t="e">
        <f ca="1">_xludf.ifs(AM383="", "", COUNTIF('Internal -- Trademark Countries'!B:B,AM383) &gt; 0, "polity_shortest_name", COUNTIF('Internal -- Trademark Countries'!C:C,AM383) &gt; 0, "polity_full_name", COUNTIF('Internal -- Trademark Countries'!D:D,AM383) &gt; 0, "polity_common_name", COUNTIF('Internal -- Trademark Countries'!E:E,AM383) &gt; 0, "shortest_name", COUNTIF('Internal -- Trademark Countries'!A:A,AM383) &gt; 0, "full_name", TRUE, "not a match")</f>
        <v>#NAME?</v>
      </c>
      <c r="EG383" s="30"/>
      <c r="EH383" s="30"/>
      <c r="EI383" s="30"/>
      <c r="EJ383" s="30"/>
      <c r="EK383" s="30" t="str">
        <f t="shared" si="3"/>
        <v/>
      </c>
    </row>
    <row r="384" spans="1:141" ht="16.5">
      <c r="A384" s="11"/>
      <c r="B384" s="11"/>
      <c r="C384" s="11"/>
      <c r="D384" s="11"/>
      <c r="E384" s="11"/>
      <c r="F384" s="11"/>
      <c r="G384" s="11"/>
      <c r="H384" s="11"/>
      <c r="I384" s="11"/>
      <c r="J384" s="11"/>
      <c r="K384" s="27"/>
      <c r="L384" s="11"/>
      <c r="M384" s="11"/>
      <c r="N384" s="11"/>
      <c r="O384" s="11"/>
      <c r="P384" s="15"/>
      <c r="Q384" s="15"/>
      <c r="R384" s="15"/>
      <c r="S384" s="15"/>
      <c r="T384" s="15"/>
      <c r="U384" s="15"/>
      <c r="V384" s="15"/>
      <c r="W384" s="47"/>
      <c r="X384" s="11"/>
      <c r="Y384" s="48"/>
      <c r="Z384" s="11"/>
      <c r="AA384" s="48"/>
      <c r="AB384" s="11"/>
      <c r="AC384" s="48"/>
      <c r="AD384" s="11"/>
      <c r="AE384" s="47"/>
      <c r="AF384" s="11"/>
      <c r="AG384" s="48"/>
      <c r="AH384" s="11"/>
      <c r="AI384" s="48"/>
      <c r="AJ384" s="11"/>
      <c r="AK384" s="48"/>
      <c r="AL384" s="11"/>
      <c r="AM384" s="49"/>
      <c r="AN384" s="49"/>
      <c r="AO384" s="11"/>
      <c r="AP384" s="11"/>
      <c r="AQ384" s="28" t="b">
        <f>IF(COUNTIF(SmartStatus!A$2:A1000, AM384) &gt; 2, TRUE, FALSE)</f>
        <v>0</v>
      </c>
      <c r="AR384" s="29" t="str">
        <f ca="1">IFERROR(__xludf.DUMMYFUNCTION("iferror(if(regexmatch(AO384, ""(?i)^registered""), if(EE384 &lt;&gt; ""polity_shortest_name"", ""CHECK_POLITY"", index(filter(SmartStatus!B$2:B1000, AM384 = SmartStatus!A$2:A1000, not(SmartStatus!C$2:C1000), (isblank(SmartStatus!D$2:D1000)) + ((P384 &lt;&gt; """") * "&amp;"(P384 &lt; SmartStatus!D$2:D1000)), (isblank(SmartStatus!E$2:E1000)) + ((P384 &lt;&gt; """") * (P384 &gt;= SmartStatus!E$2:E1000)), (isblank(SmartStatus!F$2:F1000)) + (((Q384 &lt;&gt; """") * (Q384 &lt; SmartStatus!F$2:F1000)) + ((P384 &lt;&gt; """") * (date(year(P384) + 3, month(P"&amp;"384), day(P384)) &lt; SmartStatus!F$2:F1000))), (isblank(SmartStatus!G$2:G1000)) + (((Q384 &lt;&gt; """") * (Q384 &gt;= SmartStatus!G$2:G1000)) + ((P384 &lt;&gt; """") * (P384 &gt;= SmartStatus!G$2:G1000)))), if(or(regexmatch(B384, ""(?i)^ir [a-z]+ designation$""), N384 &lt;&gt; """&amp;"""), 1, 2))), """"), ""NO_MATCH"")"),"")</f>
        <v/>
      </c>
      <c r="AS384" s="11"/>
      <c r="AT384" s="15"/>
      <c r="AU384" s="11"/>
      <c r="AV384" s="11"/>
      <c r="AW384" s="15"/>
      <c r="AX384" s="15"/>
      <c r="AY384" s="15"/>
      <c r="AZ384" s="11"/>
      <c r="BA384" s="15"/>
      <c r="BB384" s="11"/>
      <c r="BC384" s="11"/>
      <c r="BD384" s="15"/>
      <c r="BE384" s="11"/>
      <c r="BF384" s="11"/>
      <c r="BG384" s="15"/>
      <c r="BH384" s="15"/>
      <c r="BI384" s="15"/>
      <c r="BJ384" s="11"/>
      <c r="BK384" s="15"/>
      <c r="BL384" s="11"/>
      <c r="BM384" s="11"/>
      <c r="BN384" s="15"/>
      <c r="BO384" s="11"/>
      <c r="BP384" s="11"/>
      <c r="BQ384" s="15"/>
      <c r="BR384" s="15"/>
      <c r="BS384" s="15"/>
      <c r="BT384" s="11"/>
      <c r="BU384" s="15"/>
      <c r="BV384" s="11"/>
      <c r="BW384" s="11"/>
      <c r="BX384" s="15"/>
      <c r="BY384" s="11"/>
      <c r="BZ384" s="11"/>
      <c r="CA384" s="15"/>
      <c r="CB384" s="11"/>
      <c r="CC384" s="15"/>
      <c r="CD384" s="11"/>
      <c r="CE384" s="15"/>
      <c r="CF384" s="11"/>
      <c r="CG384" s="11"/>
      <c r="CH384" s="15"/>
      <c r="CI384" s="11"/>
      <c r="CJ384" s="11"/>
      <c r="CK384" s="15"/>
      <c r="CL384" s="11"/>
      <c r="CM384" s="11"/>
      <c r="CN384" s="11"/>
      <c r="CO384" s="11"/>
      <c r="CP384" s="28"/>
      <c r="CQ384" s="28"/>
      <c r="CR384" s="11"/>
      <c r="CS384" s="29"/>
      <c r="CT384" s="11"/>
      <c r="CU384" s="11"/>
      <c r="CV384" s="11"/>
      <c r="CW384" s="11"/>
      <c r="CX384" s="11"/>
      <c r="CY384" s="11"/>
      <c r="CZ384" s="11"/>
      <c r="DA384" s="28"/>
      <c r="DB384" s="28"/>
      <c r="DC384" s="11"/>
      <c r="DD384" s="29"/>
      <c r="DE384" s="11"/>
      <c r="DF384" s="11"/>
      <c r="DG384" s="11"/>
      <c r="DH384" s="11"/>
      <c r="DI384" s="11"/>
      <c r="DJ384" s="11"/>
      <c r="DK384" s="26"/>
      <c r="DL384" s="11"/>
      <c r="DM384" s="29"/>
      <c r="DN384" s="28"/>
      <c r="DO384" s="11"/>
      <c r="DP384" s="11"/>
      <c r="DQ384" s="11"/>
      <c r="DR384" s="29"/>
      <c r="DS384" s="28"/>
      <c r="DT384" s="11"/>
      <c r="DU384" s="26"/>
      <c r="DV384" s="11"/>
      <c r="DW384" s="29"/>
      <c r="DX384" s="28"/>
      <c r="DY384" s="11"/>
      <c r="DZ384" s="26"/>
      <c r="EA384" s="11"/>
      <c r="EB384" s="29"/>
      <c r="EC384" s="28"/>
      <c r="ED384" s="30"/>
      <c r="EE384" s="30" t="str">
        <f ca="1">IFERROR(__xludf.DUMMYFUNCTION("iferror(index(filter('Internal -- Trademark Countries'!E$2:E1000, (AM384 = 'Internal -- Trademark Countries'!B$2:B1000) + (AM384 = 'Internal -- Trademark Countries'!C$2:C1000) + (AM384 = 'Internal -- Trademark Countries'!D$2:D1000)), 1))"),"")</f>
        <v/>
      </c>
      <c r="EF384" s="30" t="e">
        <f ca="1">_xludf.ifs(AM384="", "", COUNTIF('Internal -- Trademark Countries'!B:B,AM384) &gt; 0, "polity_shortest_name", COUNTIF('Internal -- Trademark Countries'!C:C,AM384) &gt; 0, "polity_full_name", COUNTIF('Internal -- Trademark Countries'!D:D,AM384) &gt; 0, "polity_common_name", COUNTIF('Internal -- Trademark Countries'!E:E,AM384) &gt; 0, "shortest_name", COUNTIF('Internal -- Trademark Countries'!A:A,AM384) &gt; 0, "full_name", TRUE, "not a match")</f>
        <v>#NAME?</v>
      </c>
      <c r="EG384" s="30"/>
      <c r="EH384" s="30"/>
      <c r="EI384" s="30"/>
      <c r="EJ384" s="30"/>
      <c r="EK384" s="30" t="str">
        <f t="shared" si="3"/>
        <v/>
      </c>
    </row>
    <row r="385" spans="1:141" ht="16.5">
      <c r="A385" s="11"/>
      <c r="B385" s="11"/>
      <c r="C385" s="11"/>
      <c r="D385" s="11"/>
      <c r="E385" s="11"/>
      <c r="F385" s="11"/>
      <c r="G385" s="11"/>
      <c r="H385" s="11"/>
      <c r="I385" s="11"/>
      <c r="J385" s="11"/>
      <c r="K385" s="27"/>
      <c r="L385" s="11"/>
      <c r="M385" s="11"/>
      <c r="N385" s="11"/>
      <c r="O385" s="11"/>
      <c r="P385" s="15"/>
      <c r="Q385" s="15"/>
      <c r="R385" s="15"/>
      <c r="S385" s="15"/>
      <c r="T385" s="15"/>
      <c r="U385" s="15"/>
      <c r="V385" s="15"/>
      <c r="W385" s="47"/>
      <c r="X385" s="11"/>
      <c r="Y385" s="48"/>
      <c r="Z385" s="11"/>
      <c r="AA385" s="48"/>
      <c r="AB385" s="11"/>
      <c r="AC385" s="48"/>
      <c r="AD385" s="11"/>
      <c r="AE385" s="47"/>
      <c r="AF385" s="11"/>
      <c r="AG385" s="48"/>
      <c r="AH385" s="11"/>
      <c r="AI385" s="48"/>
      <c r="AJ385" s="11"/>
      <c r="AK385" s="48"/>
      <c r="AL385" s="11"/>
      <c r="AM385" s="49"/>
      <c r="AN385" s="49"/>
      <c r="AO385" s="11"/>
      <c r="AP385" s="11"/>
      <c r="AQ385" s="28" t="b">
        <f>IF(COUNTIF(SmartStatus!A$2:A1000, AM385) &gt; 2, TRUE, FALSE)</f>
        <v>0</v>
      </c>
      <c r="AR385" s="29" t="str">
        <f ca="1">IFERROR(__xludf.DUMMYFUNCTION("iferror(if(regexmatch(AO385, ""(?i)^registered""), if(EE385 &lt;&gt; ""polity_shortest_name"", ""CHECK_POLITY"", index(filter(SmartStatus!B$2:B1000, AM385 = SmartStatus!A$2:A1000, not(SmartStatus!C$2:C1000), (isblank(SmartStatus!D$2:D1000)) + ((P385 &lt;&gt; """") * "&amp;"(P385 &lt; SmartStatus!D$2:D1000)), (isblank(SmartStatus!E$2:E1000)) + ((P385 &lt;&gt; """") * (P385 &gt;= SmartStatus!E$2:E1000)), (isblank(SmartStatus!F$2:F1000)) + (((Q385 &lt;&gt; """") * (Q385 &lt; SmartStatus!F$2:F1000)) + ((P385 &lt;&gt; """") * (date(year(P385) + 3, month(P"&amp;"385), day(P385)) &lt; SmartStatus!F$2:F1000))), (isblank(SmartStatus!G$2:G1000)) + (((Q385 &lt;&gt; """") * (Q385 &gt;= SmartStatus!G$2:G1000)) + ((P385 &lt;&gt; """") * (P385 &gt;= SmartStatus!G$2:G1000)))), if(or(regexmatch(B385, ""(?i)^ir [a-z]+ designation$""), N385 &lt;&gt; """&amp;"""), 1, 2))), """"), ""NO_MATCH"")"),"")</f>
        <v/>
      </c>
      <c r="AS385" s="11"/>
      <c r="AT385" s="15"/>
      <c r="AU385" s="11"/>
      <c r="AV385" s="11"/>
      <c r="AW385" s="15"/>
      <c r="AX385" s="15"/>
      <c r="AY385" s="15"/>
      <c r="AZ385" s="11"/>
      <c r="BA385" s="15"/>
      <c r="BB385" s="11"/>
      <c r="BC385" s="11"/>
      <c r="BD385" s="15"/>
      <c r="BE385" s="11"/>
      <c r="BF385" s="11"/>
      <c r="BG385" s="15"/>
      <c r="BH385" s="15"/>
      <c r="BI385" s="15"/>
      <c r="BJ385" s="11"/>
      <c r="BK385" s="15"/>
      <c r="BL385" s="11"/>
      <c r="BM385" s="11"/>
      <c r="BN385" s="15"/>
      <c r="BO385" s="11"/>
      <c r="BP385" s="11"/>
      <c r="BQ385" s="15"/>
      <c r="BR385" s="15"/>
      <c r="BS385" s="15"/>
      <c r="BT385" s="11"/>
      <c r="BU385" s="15"/>
      <c r="BV385" s="11"/>
      <c r="BW385" s="11"/>
      <c r="BX385" s="15"/>
      <c r="BY385" s="11"/>
      <c r="BZ385" s="11"/>
      <c r="CA385" s="15"/>
      <c r="CB385" s="11"/>
      <c r="CC385" s="15"/>
      <c r="CD385" s="11"/>
      <c r="CE385" s="15"/>
      <c r="CF385" s="11"/>
      <c r="CG385" s="11"/>
      <c r="CH385" s="15"/>
      <c r="CI385" s="11"/>
      <c r="CJ385" s="11"/>
      <c r="CK385" s="15"/>
      <c r="CL385" s="11"/>
      <c r="CM385" s="11"/>
      <c r="CN385" s="11"/>
      <c r="CO385" s="11"/>
      <c r="CP385" s="28"/>
      <c r="CQ385" s="28"/>
      <c r="CR385" s="11"/>
      <c r="CS385" s="29"/>
      <c r="CT385" s="11"/>
      <c r="CU385" s="11"/>
      <c r="CV385" s="11"/>
      <c r="CW385" s="11"/>
      <c r="CX385" s="11"/>
      <c r="CY385" s="11"/>
      <c r="CZ385" s="11"/>
      <c r="DA385" s="28"/>
      <c r="DB385" s="28"/>
      <c r="DC385" s="11"/>
      <c r="DD385" s="29"/>
      <c r="DE385" s="11"/>
      <c r="DF385" s="11"/>
      <c r="DG385" s="11"/>
      <c r="DH385" s="11"/>
      <c r="DI385" s="11"/>
      <c r="DJ385" s="11"/>
      <c r="DK385" s="26"/>
      <c r="DL385" s="11"/>
      <c r="DM385" s="29"/>
      <c r="DN385" s="28"/>
      <c r="DO385" s="11"/>
      <c r="DP385" s="11"/>
      <c r="DQ385" s="11"/>
      <c r="DR385" s="29"/>
      <c r="DS385" s="28"/>
      <c r="DT385" s="11"/>
      <c r="DU385" s="26"/>
      <c r="DV385" s="11"/>
      <c r="DW385" s="29"/>
      <c r="DX385" s="28"/>
      <c r="DY385" s="11"/>
      <c r="DZ385" s="26"/>
      <c r="EA385" s="11"/>
      <c r="EB385" s="29"/>
      <c r="EC385" s="28"/>
      <c r="ED385" s="30"/>
      <c r="EE385" s="30" t="str">
        <f ca="1">IFERROR(__xludf.DUMMYFUNCTION("iferror(index(filter('Internal -- Trademark Countries'!E$2:E1000, (AM385 = 'Internal -- Trademark Countries'!B$2:B1000) + (AM385 = 'Internal -- Trademark Countries'!C$2:C1000) + (AM385 = 'Internal -- Trademark Countries'!D$2:D1000)), 1))"),"")</f>
        <v/>
      </c>
      <c r="EF385" s="30" t="e">
        <f ca="1">_xludf.ifs(AM385="", "", COUNTIF('Internal -- Trademark Countries'!B:B,AM385) &gt; 0, "polity_shortest_name", COUNTIF('Internal -- Trademark Countries'!C:C,AM385) &gt; 0, "polity_full_name", COUNTIF('Internal -- Trademark Countries'!D:D,AM385) &gt; 0, "polity_common_name", COUNTIF('Internal -- Trademark Countries'!E:E,AM385) &gt; 0, "shortest_name", COUNTIF('Internal -- Trademark Countries'!A:A,AM385) &gt; 0, "full_name", TRUE, "not a match")</f>
        <v>#NAME?</v>
      </c>
      <c r="EG385" s="30"/>
      <c r="EH385" s="30"/>
      <c r="EI385" s="30"/>
      <c r="EJ385" s="30"/>
      <c r="EK385" s="30" t="str">
        <f t="shared" si="3"/>
        <v/>
      </c>
    </row>
    <row r="386" spans="1:141" ht="16.5">
      <c r="A386" s="11"/>
      <c r="B386" s="11"/>
      <c r="C386" s="11"/>
      <c r="D386" s="11"/>
      <c r="E386" s="11"/>
      <c r="F386" s="11"/>
      <c r="G386" s="11"/>
      <c r="H386" s="11"/>
      <c r="I386" s="11"/>
      <c r="J386" s="11"/>
      <c r="K386" s="27"/>
      <c r="L386" s="11"/>
      <c r="M386" s="11"/>
      <c r="N386" s="11"/>
      <c r="O386" s="11"/>
      <c r="P386" s="15"/>
      <c r="Q386" s="15"/>
      <c r="R386" s="15"/>
      <c r="S386" s="15"/>
      <c r="T386" s="15"/>
      <c r="U386" s="15"/>
      <c r="V386" s="15"/>
      <c r="W386" s="47"/>
      <c r="X386" s="11"/>
      <c r="Y386" s="48"/>
      <c r="Z386" s="11"/>
      <c r="AA386" s="48"/>
      <c r="AB386" s="11"/>
      <c r="AC386" s="48"/>
      <c r="AD386" s="11"/>
      <c r="AE386" s="47"/>
      <c r="AF386" s="11"/>
      <c r="AG386" s="48"/>
      <c r="AH386" s="11"/>
      <c r="AI386" s="48"/>
      <c r="AJ386" s="11"/>
      <c r="AK386" s="48"/>
      <c r="AL386" s="11"/>
      <c r="AM386" s="49"/>
      <c r="AN386" s="49"/>
      <c r="AO386" s="11"/>
      <c r="AP386" s="11"/>
      <c r="AQ386" s="28" t="b">
        <f>IF(COUNTIF(SmartStatus!A$2:A1000, AM386) &gt; 2, TRUE, FALSE)</f>
        <v>0</v>
      </c>
      <c r="AR386" s="29" t="str">
        <f ca="1">IFERROR(__xludf.DUMMYFUNCTION("iferror(if(regexmatch(AO386, ""(?i)^registered""), if(EE386 &lt;&gt; ""polity_shortest_name"", ""CHECK_POLITY"", index(filter(SmartStatus!B$2:B1000, AM386 = SmartStatus!A$2:A1000, not(SmartStatus!C$2:C1000), (isblank(SmartStatus!D$2:D1000)) + ((P386 &lt;&gt; """") * "&amp;"(P386 &lt; SmartStatus!D$2:D1000)), (isblank(SmartStatus!E$2:E1000)) + ((P386 &lt;&gt; """") * (P386 &gt;= SmartStatus!E$2:E1000)), (isblank(SmartStatus!F$2:F1000)) + (((Q386 &lt;&gt; """") * (Q386 &lt; SmartStatus!F$2:F1000)) + ((P386 &lt;&gt; """") * (date(year(P386) + 3, month(P"&amp;"386), day(P386)) &lt; SmartStatus!F$2:F1000))), (isblank(SmartStatus!G$2:G1000)) + (((Q386 &lt;&gt; """") * (Q386 &gt;= SmartStatus!G$2:G1000)) + ((P386 &lt;&gt; """") * (P386 &gt;= SmartStatus!G$2:G1000)))), if(or(regexmatch(B386, ""(?i)^ir [a-z]+ designation$""), N386 &lt;&gt; """&amp;"""), 1, 2))), """"), ""NO_MATCH"")"),"")</f>
        <v/>
      </c>
      <c r="AS386" s="11"/>
      <c r="AT386" s="15"/>
      <c r="AU386" s="11"/>
      <c r="AV386" s="11"/>
      <c r="AW386" s="15"/>
      <c r="AX386" s="15"/>
      <c r="AY386" s="15"/>
      <c r="AZ386" s="11"/>
      <c r="BA386" s="15"/>
      <c r="BB386" s="11"/>
      <c r="BC386" s="11"/>
      <c r="BD386" s="15"/>
      <c r="BE386" s="11"/>
      <c r="BF386" s="11"/>
      <c r="BG386" s="15"/>
      <c r="BH386" s="15"/>
      <c r="BI386" s="15"/>
      <c r="BJ386" s="11"/>
      <c r="BK386" s="15"/>
      <c r="BL386" s="11"/>
      <c r="BM386" s="11"/>
      <c r="BN386" s="15"/>
      <c r="BO386" s="11"/>
      <c r="BP386" s="11"/>
      <c r="BQ386" s="15"/>
      <c r="BR386" s="15"/>
      <c r="BS386" s="15"/>
      <c r="BT386" s="11"/>
      <c r="BU386" s="15"/>
      <c r="BV386" s="11"/>
      <c r="BW386" s="11"/>
      <c r="BX386" s="15"/>
      <c r="BY386" s="11"/>
      <c r="BZ386" s="11"/>
      <c r="CA386" s="15"/>
      <c r="CB386" s="11"/>
      <c r="CC386" s="15"/>
      <c r="CD386" s="11"/>
      <c r="CE386" s="15"/>
      <c r="CF386" s="11"/>
      <c r="CG386" s="11"/>
      <c r="CH386" s="15"/>
      <c r="CI386" s="11"/>
      <c r="CJ386" s="11"/>
      <c r="CK386" s="15"/>
      <c r="CL386" s="11"/>
      <c r="CM386" s="11"/>
      <c r="CN386" s="11"/>
      <c r="CO386" s="11"/>
      <c r="CP386" s="28"/>
      <c r="CQ386" s="28"/>
      <c r="CR386" s="11"/>
      <c r="CS386" s="29"/>
      <c r="CT386" s="11"/>
      <c r="CU386" s="11"/>
      <c r="CV386" s="11"/>
      <c r="CW386" s="11"/>
      <c r="CX386" s="11"/>
      <c r="CY386" s="11"/>
      <c r="CZ386" s="11"/>
      <c r="DA386" s="28"/>
      <c r="DB386" s="28"/>
      <c r="DC386" s="11"/>
      <c r="DD386" s="29"/>
      <c r="DE386" s="11"/>
      <c r="DF386" s="11"/>
      <c r="DG386" s="11"/>
      <c r="DH386" s="11"/>
      <c r="DI386" s="11"/>
      <c r="DJ386" s="11"/>
      <c r="DK386" s="26"/>
      <c r="DL386" s="11"/>
      <c r="DM386" s="29"/>
      <c r="DN386" s="28"/>
      <c r="DO386" s="11"/>
      <c r="DP386" s="11"/>
      <c r="DQ386" s="11"/>
      <c r="DR386" s="29"/>
      <c r="DS386" s="28"/>
      <c r="DT386" s="11"/>
      <c r="DU386" s="26"/>
      <c r="DV386" s="11"/>
      <c r="DW386" s="29"/>
      <c r="DX386" s="28"/>
      <c r="DY386" s="11"/>
      <c r="DZ386" s="26"/>
      <c r="EA386" s="11"/>
      <c r="EB386" s="29"/>
      <c r="EC386" s="28"/>
      <c r="ED386" s="30"/>
      <c r="EE386" s="30" t="str">
        <f ca="1">IFERROR(__xludf.DUMMYFUNCTION("iferror(index(filter('Internal -- Trademark Countries'!E$2:E1000, (AM386 = 'Internal -- Trademark Countries'!B$2:B1000) + (AM386 = 'Internal -- Trademark Countries'!C$2:C1000) + (AM386 = 'Internal -- Trademark Countries'!D$2:D1000)), 1))"),"")</f>
        <v/>
      </c>
      <c r="EF386" s="30" t="e">
        <f ca="1">_xludf.ifs(AM386="", "", COUNTIF('Internal -- Trademark Countries'!B:B,AM386) &gt; 0, "polity_shortest_name", COUNTIF('Internal -- Trademark Countries'!C:C,AM386) &gt; 0, "polity_full_name", COUNTIF('Internal -- Trademark Countries'!D:D,AM386) &gt; 0, "polity_common_name", COUNTIF('Internal -- Trademark Countries'!E:E,AM386) &gt; 0, "shortest_name", COUNTIF('Internal -- Trademark Countries'!A:A,AM386) &gt; 0, "full_name", TRUE, "not a match")</f>
        <v>#NAME?</v>
      </c>
      <c r="EG386" s="30"/>
      <c r="EH386" s="30"/>
      <c r="EI386" s="30"/>
      <c r="EJ386" s="30"/>
      <c r="EK386" s="30" t="str">
        <f t="shared" si="3"/>
        <v/>
      </c>
    </row>
    <row r="387" spans="1:141" ht="16.5">
      <c r="A387" s="11"/>
      <c r="B387" s="11"/>
      <c r="C387" s="11"/>
      <c r="D387" s="11"/>
      <c r="E387" s="11"/>
      <c r="F387" s="11"/>
      <c r="G387" s="11"/>
      <c r="H387" s="11"/>
      <c r="I387" s="11"/>
      <c r="J387" s="11"/>
      <c r="K387" s="27"/>
      <c r="L387" s="11"/>
      <c r="M387" s="11"/>
      <c r="N387" s="11"/>
      <c r="O387" s="11"/>
      <c r="P387" s="15"/>
      <c r="Q387" s="15"/>
      <c r="R387" s="15"/>
      <c r="S387" s="15"/>
      <c r="T387" s="15"/>
      <c r="U387" s="15"/>
      <c r="V387" s="15"/>
      <c r="W387" s="47"/>
      <c r="X387" s="11"/>
      <c r="Y387" s="48"/>
      <c r="Z387" s="11"/>
      <c r="AA387" s="48"/>
      <c r="AB387" s="11"/>
      <c r="AC387" s="48"/>
      <c r="AD387" s="11"/>
      <c r="AE387" s="47"/>
      <c r="AF387" s="11"/>
      <c r="AG387" s="48"/>
      <c r="AH387" s="11"/>
      <c r="AI387" s="48"/>
      <c r="AJ387" s="11"/>
      <c r="AK387" s="48"/>
      <c r="AL387" s="11"/>
      <c r="AM387" s="49"/>
      <c r="AN387" s="49"/>
      <c r="AO387" s="11"/>
      <c r="AP387" s="11"/>
      <c r="AQ387" s="28" t="b">
        <f>IF(COUNTIF(SmartStatus!A$2:A1000, AM387) &gt; 2, TRUE, FALSE)</f>
        <v>0</v>
      </c>
      <c r="AR387" s="29" t="str">
        <f ca="1">IFERROR(__xludf.DUMMYFUNCTION("iferror(if(regexmatch(AO387, ""(?i)^registered""), if(EE387 &lt;&gt; ""polity_shortest_name"", ""CHECK_POLITY"", index(filter(SmartStatus!B$2:B1000, AM387 = SmartStatus!A$2:A1000, not(SmartStatus!C$2:C1000), (isblank(SmartStatus!D$2:D1000)) + ((P387 &lt;&gt; """") * "&amp;"(P387 &lt; SmartStatus!D$2:D1000)), (isblank(SmartStatus!E$2:E1000)) + ((P387 &lt;&gt; """") * (P387 &gt;= SmartStatus!E$2:E1000)), (isblank(SmartStatus!F$2:F1000)) + (((Q387 &lt;&gt; """") * (Q387 &lt; SmartStatus!F$2:F1000)) + ((P387 &lt;&gt; """") * (date(year(P387) + 3, month(P"&amp;"387), day(P387)) &lt; SmartStatus!F$2:F1000))), (isblank(SmartStatus!G$2:G1000)) + (((Q387 &lt;&gt; """") * (Q387 &gt;= SmartStatus!G$2:G1000)) + ((P387 &lt;&gt; """") * (P387 &gt;= SmartStatus!G$2:G1000)))), if(or(regexmatch(B387, ""(?i)^ir [a-z]+ designation$""), N387 &lt;&gt; """&amp;"""), 1, 2))), """"), ""NO_MATCH"")"),"")</f>
        <v/>
      </c>
      <c r="AS387" s="11"/>
      <c r="AT387" s="15"/>
      <c r="AU387" s="11"/>
      <c r="AV387" s="11"/>
      <c r="AW387" s="15"/>
      <c r="AX387" s="15"/>
      <c r="AY387" s="15"/>
      <c r="AZ387" s="11"/>
      <c r="BA387" s="15"/>
      <c r="BB387" s="11"/>
      <c r="BC387" s="11"/>
      <c r="BD387" s="15"/>
      <c r="BE387" s="11"/>
      <c r="BF387" s="11"/>
      <c r="BG387" s="15"/>
      <c r="BH387" s="15"/>
      <c r="BI387" s="15"/>
      <c r="BJ387" s="11"/>
      <c r="BK387" s="15"/>
      <c r="BL387" s="11"/>
      <c r="BM387" s="11"/>
      <c r="BN387" s="15"/>
      <c r="BO387" s="11"/>
      <c r="BP387" s="11"/>
      <c r="BQ387" s="15"/>
      <c r="BR387" s="15"/>
      <c r="BS387" s="15"/>
      <c r="BT387" s="11"/>
      <c r="BU387" s="15"/>
      <c r="BV387" s="11"/>
      <c r="BW387" s="11"/>
      <c r="BX387" s="15"/>
      <c r="BY387" s="11"/>
      <c r="BZ387" s="11"/>
      <c r="CA387" s="15"/>
      <c r="CB387" s="11"/>
      <c r="CC387" s="15"/>
      <c r="CD387" s="11"/>
      <c r="CE387" s="15"/>
      <c r="CF387" s="11"/>
      <c r="CG387" s="11"/>
      <c r="CH387" s="15"/>
      <c r="CI387" s="11"/>
      <c r="CJ387" s="11"/>
      <c r="CK387" s="15"/>
      <c r="CL387" s="11"/>
      <c r="CM387" s="11"/>
      <c r="CN387" s="11"/>
      <c r="CO387" s="11"/>
      <c r="CP387" s="28"/>
      <c r="CQ387" s="28"/>
      <c r="CR387" s="11"/>
      <c r="CS387" s="29"/>
      <c r="CT387" s="11"/>
      <c r="CU387" s="11"/>
      <c r="CV387" s="11"/>
      <c r="CW387" s="11"/>
      <c r="CX387" s="11"/>
      <c r="CY387" s="11"/>
      <c r="CZ387" s="11"/>
      <c r="DA387" s="28"/>
      <c r="DB387" s="28"/>
      <c r="DC387" s="11"/>
      <c r="DD387" s="29"/>
      <c r="DE387" s="11"/>
      <c r="DF387" s="11"/>
      <c r="DG387" s="11"/>
      <c r="DH387" s="11"/>
      <c r="DI387" s="11"/>
      <c r="DJ387" s="11"/>
      <c r="DK387" s="26"/>
      <c r="DL387" s="11"/>
      <c r="DM387" s="29"/>
      <c r="DN387" s="28"/>
      <c r="DO387" s="11"/>
      <c r="DP387" s="11"/>
      <c r="DQ387" s="11"/>
      <c r="DR387" s="29"/>
      <c r="DS387" s="28"/>
      <c r="DT387" s="11"/>
      <c r="DU387" s="26"/>
      <c r="DV387" s="11"/>
      <c r="DW387" s="29"/>
      <c r="DX387" s="28"/>
      <c r="DY387" s="11"/>
      <c r="DZ387" s="26"/>
      <c r="EA387" s="11"/>
      <c r="EB387" s="29"/>
      <c r="EC387" s="28"/>
      <c r="ED387" s="30"/>
      <c r="EE387" s="30" t="str">
        <f ca="1">IFERROR(__xludf.DUMMYFUNCTION("iferror(index(filter('Internal -- Trademark Countries'!E$2:E1000, (AM387 = 'Internal -- Trademark Countries'!B$2:B1000) + (AM387 = 'Internal -- Trademark Countries'!C$2:C1000) + (AM387 = 'Internal -- Trademark Countries'!D$2:D1000)), 1))"),"")</f>
        <v/>
      </c>
      <c r="EF387" s="30" t="e">
        <f ca="1">_xludf.ifs(AM387="", "", COUNTIF('Internal -- Trademark Countries'!B:B,AM387) &gt; 0, "polity_shortest_name", COUNTIF('Internal -- Trademark Countries'!C:C,AM387) &gt; 0, "polity_full_name", COUNTIF('Internal -- Trademark Countries'!D:D,AM387) &gt; 0, "polity_common_name", COUNTIF('Internal -- Trademark Countries'!E:E,AM387) &gt; 0, "shortest_name", COUNTIF('Internal -- Trademark Countries'!A:A,AM387) &gt; 0, "full_name", TRUE, "not a match")</f>
        <v>#NAME?</v>
      </c>
      <c r="EG387" s="30"/>
      <c r="EH387" s="30"/>
      <c r="EI387" s="30"/>
      <c r="EJ387" s="30"/>
      <c r="EK387" s="30" t="str">
        <f t="shared" si="3"/>
        <v/>
      </c>
    </row>
    <row r="388" spans="1:141" ht="16.5">
      <c r="A388" s="11"/>
      <c r="B388" s="11"/>
      <c r="C388" s="11"/>
      <c r="D388" s="11"/>
      <c r="E388" s="11"/>
      <c r="F388" s="11"/>
      <c r="G388" s="11"/>
      <c r="H388" s="11"/>
      <c r="I388" s="11"/>
      <c r="J388" s="11"/>
      <c r="K388" s="27"/>
      <c r="L388" s="11"/>
      <c r="M388" s="11"/>
      <c r="N388" s="11"/>
      <c r="O388" s="11"/>
      <c r="P388" s="15"/>
      <c r="Q388" s="15"/>
      <c r="R388" s="15"/>
      <c r="S388" s="15"/>
      <c r="T388" s="15"/>
      <c r="U388" s="15"/>
      <c r="V388" s="15"/>
      <c r="W388" s="47"/>
      <c r="X388" s="11"/>
      <c r="Y388" s="48"/>
      <c r="Z388" s="11"/>
      <c r="AA388" s="48"/>
      <c r="AB388" s="11"/>
      <c r="AC388" s="48"/>
      <c r="AD388" s="11"/>
      <c r="AE388" s="47"/>
      <c r="AF388" s="11"/>
      <c r="AG388" s="48"/>
      <c r="AH388" s="11"/>
      <c r="AI388" s="48"/>
      <c r="AJ388" s="11"/>
      <c r="AK388" s="48"/>
      <c r="AL388" s="11"/>
      <c r="AM388" s="49"/>
      <c r="AN388" s="49"/>
      <c r="AO388" s="11"/>
      <c r="AP388" s="11"/>
      <c r="AQ388" s="28" t="b">
        <f>IF(COUNTIF(SmartStatus!A$2:A1000, AM388) &gt; 2, TRUE, FALSE)</f>
        <v>0</v>
      </c>
      <c r="AR388" s="29" t="str">
        <f ca="1">IFERROR(__xludf.DUMMYFUNCTION("iferror(if(regexmatch(AO388, ""(?i)^registered""), if(EE388 &lt;&gt; ""polity_shortest_name"", ""CHECK_POLITY"", index(filter(SmartStatus!B$2:B1000, AM388 = SmartStatus!A$2:A1000, not(SmartStatus!C$2:C1000), (isblank(SmartStatus!D$2:D1000)) + ((P388 &lt;&gt; """") * "&amp;"(P388 &lt; SmartStatus!D$2:D1000)), (isblank(SmartStatus!E$2:E1000)) + ((P388 &lt;&gt; """") * (P388 &gt;= SmartStatus!E$2:E1000)), (isblank(SmartStatus!F$2:F1000)) + (((Q388 &lt;&gt; """") * (Q388 &lt; SmartStatus!F$2:F1000)) + ((P388 &lt;&gt; """") * (date(year(P388) + 3, month(P"&amp;"388), day(P388)) &lt; SmartStatus!F$2:F1000))), (isblank(SmartStatus!G$2:G1000)) + (((Q388 &lt;&gt; """") * (Q388 &gt;= SmartStatus!G$2:G1000)) + ((P388 &lt;&gt; """") * (P388 &gt;= SmartStatus!G$2:G1000)))), if(or(regexmatch(B388, ""(?i)^ir [a-z]+ designation$""), N388 &lt;&gt; """&amp;"""), 1, 2))), """"), ""NO_MATCH"")"),"")</f>
        <v/>
      </c>
      <c r="AS388" s="11"/>
      <c r="AT388" s="15"/>
      <c r="AU388" s="11"/>
      <c r="AV388" s="11"/>
      <c r="AW388" s="15"/>
      <c r="AX388" s="15"/>
      <c r="AY388" s="15"/>
      <c r="AZ388" s="11"/>
      <c r="BA388" s="15"/>
      <c r="BB388" s="11"/>
      <c r="BC388" s="11"/>
      <c r="BD388" s="15"/>
      <c r="BE388" s="11"/>
      <c r="BF388" s="11"/>
      <c r="BG388" s="15"/>
      <c r="BH388" s="15"/>
      <c r="BI388" s="15"/>
      <c r="BJ388" s="11"/>
      <c r="BK388" s="15"/>
      <c r="BL388" s="11"/>
      <c r="BM388" s="11"/>
      <c r="BN388" s="15"/>
      <c r="BO388" s="11"/>
      <c r="BP388" s="11"/>
      <c r="BQ388" s="15"/>
      <c r="BR388" s="15"/>
      <c r="BS388" s="15"/>
      <c r="BT388" s="11"/>
      <c r="BU388" s="15"/>
      <c r="BV388" s="11"/>
      <c r="BW388" s="11"/>
      <c r="BX388" s="15"/>
      <c r="BY388" s="11"/>
      <c r="BZ388" s="11"/>
      <c r="CA388" s="15"/>
      <c r="CB388" s="11"/>
      <c r="CC388" s="15"/>
      <c r="CD388" s="11"/>
      <c r="CE388" s="15"/>
      <c r="CF388" s="11"/>
      <c r="CG388" s="11"/>
      <c r="CH388" s="15"/>
      <c r="CI388" s="11"/>
      <c r="CJ388" s="11"/>
      <c r="CK388" s="15"/>
      <c r="CL388" s="11"/>
      <c r="CM388" s="11"/>
      <c r="CN388" s="11"/>
      <c r="CO388" s="11"/>
      <c r="CP388" s="28"/>
      <c r="CQ388" s="28"/>
      <c r="CR388" s="11"/>
      <c r="CS388" s="29"/>
      <c r="CT388" s="11"/>
      <c r="CU388" s="11"/>
      <c r="CV388" s="11"/>
      <c r="CW388" s="11"/>
      <c r="CX388" s="11"/>
      <c r="CY388" s="11"/>
      <c r="CZ388" s="11"/>
      <c r="DA388" s="28"/>
      <c r="DB388" s="28"/>
      <c r="DC388" s="11"/>
      <c r="DD388" s="29"/>
      <c r="DE388" s="11"/>
      <c r="DF388" s="11"/>
      <c r="DG388" s="11"/>
      <c r="DH388" s="11"/>
      <c r="DI388" s="11"/>
      <c r="DJ388" s="11"/>
      <c r="DK388" s="26"/>
      <c r="DL388" s="11"/>
      <c r="DM388" s="29"/>
      <c r="DN388" s="28"/>
      <c r="DO388" s="11"/>
      <c r="DP388" s="11"/>
      <c r="DQ388" s="11"/>
      <c r="DR388" s="29"/>
      <c r="DS388" s="28"/>
      <c r="DT388" s="11"/>
      <c r="DU388" s="26"/>
      <c r="DV388" s="11"/>
      <c r="DW388" s="29"/>
      <c r="DX388" s="28"/>
      <c r="DY388" s="11"/>
      <c r="DZ388" s="26"/>
      <c r="EA388" s="11"/>
      <c r="EB388" s="29"/>
      <c r="EC388" s="28"/>
      <c r="ED388" s="30"/>
      <c r="EE388" s="30" t="str">
        <f ca="1">IFERROR(__xludf.DUMMYFUNCTION("iferror(index(filter('Internal -- Trademark Countries'!E$2:E1000, (AM388 = 'Internal -- Trademark Countries'!B$2:B1000) + (AM388 = 'Internal -- Trademark Countries'!C$2:C1000) + (AM388 = 'Internal -- Trademark Countries'!D$2:D1000)), 1))"),"")</f>
        <v/>
      </c>
      <c r="EF388" s="30" t="e">
        <f ca="1">_xludf.ifs(AM388="", "", COUNTIF('Internal -- Trademark Countries'!B:B,AM388) &gt; 0, "polity_shortest_name", COUNTIF('Internal -- Trademark Countries'!C:C,AM388) &gt; 0, "polity_full_name", COUNTIF('Internal -- Trademark Countries'!D:D,AM388) &gt; 0, "polity_common_name", COUNTIF('Internal -- Trademark Countries'!E:E,AM388) &gt; 0, "shortest_name", COUNTIF('Internal -- Trademark Countries'!A:A,AM388) &gt; 0, "full_name", TRUE, "not a match")</f>
        <v>#NAME?</v>
      </c>
      <c r="EG388" s="30"/>
      <c r="EH388" s="30"/>
      <c r="EI388" s="30"/>
      <c r="EJ388" s="30"/>
      <c r="EK388" s="30" t="str">
        <f t="shared" si="3"/>
        <v/>
      </c>
    </row>
    <row r="389" spans="1:141" ht="16.5">
      <c r="A389" s="11"/>
      <c r="B389" s="11"/>
      <c r="C389" s="11"/>
      <c r="D389" s="11"/>
      <c r="E389" s="11"/>
      <c r="F389" s="11"/>
      <c r="G389" s="11"/>
      <c r="H389" s="11"/>
      <c r="I389" s="11"/>
      <c r="J389" s="11"/>
      <c r="K389" s="27"/>
      <c r="L389" s="11"/>
      <c r="M389" s="11"/>
      <c r="N389" s="11"/>
      <c r="O389" s="11"/>
      <c r="P389" s="15"/>
      <c r="Q389" s="15"/>
      <c r="R389" s="15"/>
      <c r="S389" s="15"/>
      <c r="T389" s="15"/>
      <c r="U389" s="15"/>
      <c r="V389" s="15"/>
      <c r="W389" s="47"/>
      <c r="X389" s="11"/>
      <c r="Y389" s="48"/>
      <c r="Z389" s="11"/>
      <c r="AA389" s="48"/>
      <c r="AB389" s="11"/>
      <c r="AC389" s="48"/>
      <c r="AD389" s="11"/>
      <c r="AE389" s="47"/>
      <c r="AF389" s="11"/>
      <c r="AG389" s="48"/>
      <c r="AH389" s="11"/>
      <c r="AI389" s="48"/>
      <c r="AJ389" s="11"/>
      <c r="AK389" s="48"/>
      <c r="AL389" s="11"/>
      <c r="AM389" s="49"/>
      <c r="AN389" s="49"/>
      <c r="AO389" s="11"/>
      <c r="AP389" s="11"/>
      <c r="AQ389" s="28" t="b">
        <f>IF(COUNTIF(SmartStatus!A$2:A1000, AM389) &gt; 2, TRUE, FALSE)</f>
        <v>0</v>
      </c>
      <c r="AR389" s="29" t="str">
        <f ca="1">IFERROR(__xludf.DUMMYFUNCTION("iferror(if(regexmatch(AO389, ""(?i)^registered""), if(EE389 &lt;&gt; ""polity_shortest_name"", ""CHECK_POLITY"", index(filter(SmartStatus!B$2:B1000, AM389 = SmartStatus!A$2:A1000, not(SmartStatus!C$2:C1000), (isblank(SmartStatus!D$2:D1000)) + ((P389 &lt;&gt; """") * "&amp;"(P389 &lt; SmartStatus!D$2:D1000)), (isblank(SmartStatus!E$2:E1000)) + ((P389 &lt;&gt; """") * (P389 &gt;= SmartStatus!E$2:E1000)), (isblank(SmartStatus!F$2:F1000)) + (((Q389 &lt;&gt; """") * (Q389 &lt; SmartStatus!F$2:F1000)) + ((P389 &lt;&gt; """") * (date(year(P389) + 3, month(P"&amp;"389), day(P389)) &lt; SmartStatus!F$2:F1000))), (isblank(SmartStatus!G$2:G1000)) + (((Q389 &lt;&gt; """") * (Q389 &gt;= SmartStatus!G$2:G1000)) + ((P389 &lt;&gt; """") * (P389 &gt;= SmartStatus!G$2:G1000)))), if(or(regexmatch(B389, ""(?i)^ir [a-z]+ designation$""), N389 &lt;&gt; """&amp;"""), 1, 2))), """"), ""NO_MATCH"")"),"")</f>
        <v/>
      </c>
      <c r="AS389" s="11"/>
      <c r="AT389" s="15"/>
      <c r="AU389" s="11"/>
      <c r="AV389" s="11"/>
      <c r="AW389" s="15"/>
      <c r="AX389" s="15"/>
      <c r="AY389" s="15"/>
      <c r="AZ389" s="11"/>
      <c r="BA389" s="15"/>
      <c r="BB389" s="11"/>
      <c r="BC389" s="11"/>
      <c r="BD389" s="15"/>
      <c r="BE389" s="11"/>
      <c r="BF389" s="11"/>
      <c r="BG389" s="15"/>
      <c r="BH389" s="15"/>
      <c r="BI389" s="15"/>
      <c r="BJ389" s="11"/>
      <c r="BK389" s="15"/>
      <c r="BL389" s="11"/>
      <c r="BM389" s="11"/>
      <c r="BN389" s="15"/>
      <c r="BO389" s="11"/>
      <c r="BP389" s="11"/>
      <c r="BQ389" s="15"/>
      <c r="BR389" s="15"/>
      <c r="BS389" s="15"/>
      <c r="BT389" s="11"/>
      <c r="BU389" s="15"/>
      <c r="BV389" s="11"/>
      <c r="BW389" s="11"/>
      <c r="BX389" s="15"/>
      <c r="BY389" s="11"/>
      <c r="BZ389" s="11"/>
      <c r="CA389" s="15"/>
      <c r="CB389" s="11"/>
      <c r="CC389" s="15"/>
      <c r="CD389" s="11"/>
      <c r="CE389" s="15"/>
      <c r="CF389" s="11"/>
      <c r="CG389" s="11"/>
      <c r="CH389" s="15"/>
      <c r="CI389" s="11"/>
      <c r="CJ389" s="11"/>
      <c r="CK389" s="15"/>
      <c r="CL389" s="11"/>
      <c r="CM389" s="11"/>
      <c r="CN389" s="11"/>
      <c r="CO389" s="11"/>
      <c r="CP389" s="28"/>
      <c r="CQ389" s="28"/>
      <c r="CR389" s="11"/>
      <c r="CS389" s="29"/>
      <c r="CT389" s="11"/>
      <c r="CU389" s="11"/>
      <c r="CV389" s="11"/>
      <c r="CW389" s="11"/>
      <c r="CX389" s="11"/>
      <c r="CY389" s="11"/>
      <c r="CZ389" s="11"/>
      <c r="DA389" s="28"/>
      <c r="DB389" s="28"/>
      <c r="DC389" s="11"/>
      <c r="DD389" s="29"/>
      <c r="DE389" s="11"/>
      <c r="DF389" s="11"/>
      <c r="DG389" s="11"/>
      <c r="DH389" s="11"/>
      <c r="DI389" s="11"/>
      <c r="DJ389" s="11"/>
      <c r="DK389" s="26"/>
      <c r="DL389" s="11"/>
      <c r="DM389" s="29"/>
      <c r="DN389" s="28"/>
      <c r="DO389" s="11"/>
      <c r="DP389" s="11"/>
      <c r="DQ389" s="11"/>
      <c r="DR389" s="29"/>
      <c r="DS389" s="28"/>
      <c r="DT389" s="11"/>
      <c r="DU389" s="26"/>
      <c r="DV389" s="11"/>
      <c r="DW389" s="29"/>
      <c r="DX389" s="28"/>
      <c r="DY389" s="11"/>
      <c r="DZ389" s="26"/>
      <c r="EA389" s="11"/>
      <c r="EB389" s="29"/>
      <c r="EC389" s="28"/>
      <c r="ED389" s="30"/>
      <c r="EE389" s="30" t="str">
        <f ca="1">IFERROR(__xludf.DUMMYFUNCTION("iferror(index(filter('Internal -- Trademark Countries'!E$2:E1000, (AM389 = 'Internal -- Trademark Countries'!B$2:B1000) + (AM389 = 'Internal -- Trademark Countries'!C$2:C1000) + (AM389 = 'Internal -- Trademark Countries'!D$2:D1000)), 1))"),"")</f>
        <v/>
      </c>
      <c r="EF389" s="30" t="e">
        <f ca="1">_xludf.ifs(AM389="", "", COUNTIF('Internal -- Trademark Countries'!B:B,AM389) &gt; 0, "polity_shortest_name", COUNTIF('Internal -- Trademark Countries'!C:C,AM389) &gt; 0, "polity_full_name", COUNTIF('Internal -- Trademark Countries'!D:D,AM389) &gt; 0, "polity_common_name", COUNTIF('Internal -- Trademark Countries'!E:E,AM389) &gt; 0, "shortest_name", COUNTIF('Internal -- Trademark Countries'!A:A,AM389) &gt; 0, "full_name", TRUE, "not a match")</f>
        <v>#NAME?</v>
      </c>
      <c r="EG389" s="30"/>
      <c r="EH389" s="30"/>
      <c r="EI389" s="30"/>
      <c r="EJ389" s="30"/>
      <c r="EK389" s="30" t="str">
        <f t="shared" si="3"/>
        <v/>
      </c>
    </row>
    <row r="390" spans="1:141" ht="16.5">
      <c r="A390" s="11"/>
      <c r="B390" s="11"/>
      <c r="C390" s="11"/>
      <c r="D390" s="11"/>
      <c r="E390" s="11"/>
      <c r="F390" s="11"/>
      <c r="G390" s="11"/>
      <c r="H390" s="11"/>
      <c r="I390" s="11"/>
      <c r="J390" s="11"/>
      <c r="K390" s="27"/>
      <c r="L390" s="11"/>
      <c r="M390" s="11"/>
      <c r="N390" s="11"/>
      <c r="O390" s="11"/>
      <c r="P390" s="15"/>
      <c r="Q390" s="15"/>
      <c r="R390" s="15"/>
      <c r="S390" s="15"/>
      <c r="T390" s="15"/>
      <c r="U390" s="15"/>
      <c r="V390" s="15"/>
      <c r="W390" s="47"/>
      <c r="X390" s="11"/>
      <c r="Y390" s="48"/>
      <c r="Z390" s="11"/>
      <c r="AA390" s="48"/>
      <c r="AB390" s="11"/>
      <c r="AC390" s="48"/>
      <c r="AD390" s="11"/>
      <c r="AE390" s="47"/>
      <c r="AF390" s="11"/>
      <c r="AG390" s="48"/>
      <c r="AH390" s="11"/>
      <c r="AI390" s="48"/>
      <c r="AJ390" s="11"/>
      <c r="AK390" s="48"/>
      <c r="AL390" s="11"/>
      <c r="AM390" s="49"/>
      <c r="AN390" s="49"/>
      <c r="AO390" s="11"/>
      <c r="AP390" s="11"/>
      <c r="AQ390" s="28" t="b">
        <f>IF(COUNTIF(SmartStatus!A$2:A1000, AM390) &gt; 2, TRUE, FALSE)</f>
        <v>0</v>
      </c>
      <c r="AR390" s="29" t="str">
        <f ca="1">IFERROR(__xludf.DUMMYFUNCTION("iferror(if(regexmatch(AO390, ""(?i)^registered""), if(EE390 &lt;&gt; ""polity_shortest_name"", ""CHECK_POLITY"", index(filter(SmartStatus!B$2:B1000, AM390 = SmartStatus!A$2:A1000, not(SmartStatus!C$2:C1000), (isblank(SmartStatus!D$2:D1000)) + ((P390 &lt;&gt; """") * "&amp;"(P390 &lt; SmartStatus!D$2:D1000)), (isblank(SmartStatus!E$2:E1000)) + ((P390 &lt;&gt; """") * (P390 &gt;= SmartStatus!E$2:E1000)), (isblank(SmartStatus!F$2:F1000)) + (((Q390 &lt;&gt; """") * (Q390 &lt; SmartStatus!F$2:F1000)) + ((P390 &lt;&gt; """") * (date(year(P390) + 3, month(P"&amp;"390), day(P390)) &lt; SmartStatus!F$2:F1000))), (isblank(SmartStatus!G$2:G1000)) + (((Q390 &lt;&gt; """") * (Q390 &gt;= SmartStatus!G$2:G1000)) + ((P390 &lt;&gt; """") * (P390 &gt;= SmartStatus!G$2:G1000)))), if(or(regexmatch(B390, ""(?i)^ir [a-z]+ designation$""), N390 &lt;&gt; """&amp;"""), 1, 2))), """"), ""NO_MATCH"")"),"")</f>
        <v/>
      </c>
      <c r="AS390" s="11"/>
      <c r="AT390" s="15"/>
      <c r="AU390" s="11"/>
      <c r="AV390" s="11"/>
      <c r="AW390" s="15"/>
      <c r="AX390" s="15"/>
      <c r="AY390" s="15"/>
      <c r="AZ390" s="11"/>
      <c r="BA390" s="15"/>
      <c r="BB390" s="11"/>
      <c r="BC390" s="11"/>
      <c r="BD390" s="15"/>
      <c r="BE390" s="11"/>
      <c r="BF390" s="11"/>
      <c r="BG390" s="15"/>
      <c r="BH390" s="15"/>
      <c r="BI390" s="15"/>
      <c r="BJ390" s="11"/>
      <c r="BK390" s="15"/>
      <c r="BL390" s="11"/>
      <c r="BM390" s="11"/>
      <c r="BN390" s="15"/>
      <c r="BO390" s="11"/>
      <c r="BP390" s="11"/>
      <c r="BQ390" s="15"/>
      <c r="BR390" s="15"/>
      <c r="BS390" s="15"/>
      <c r="BT390" s="11"/>
      <c r="BU390" s="15"/>
      <c r="BV390" s="11"/>
      <c r="BW390" s="11"/>
      <c r="BX390" s="15"/>
      <c r="BY390" s="11"/>
      <c r="BZ390" s="11"/>
      <c r="CA390" s="15"/>
      <c r="CB390" s="11"/>
      <c r="CC390" s="15"/>
      <c r="CD390" s="11"/>
      <c r="CE390" s="15"/>
      <c r="CF390" s="11"/>
      <c r="CG390" s="11"/>
      <c r="CH390" s="15"/>
      <c r="CI390" s="11"/>
      <c r="CJ390" s="11"/>
      <c r="CK390" s="15"/>
      <c r="CL390" s="11"/>
      <c r="CM390" s="11"/>
      <c r="CN390" s="11"/>
      <c r="CO390" s="11"/>
      <c r="CP390" s="28"/>
      <c r="CQ390" s="28"/>
      <c r="CR390" s="11"/>
      <c r="CS390" s="29"/>
      <c r="CT390" s="11"/>
      <c r="CU390" s="11"/>
      <c r="CV390" s="11"/>
      <c r="CW390" s="11"/>
      <c r="CX390" s="11"/>
      <c r="CY390" s="11"/>
      <c r="CZ390" s="11"/>
      <c r="DA390" s="28"/>
      <c r="DB390" s="28"/>
      <c r="DC390" s="11"/>
      <c r="DD390" s="29"/>
      <c r="DE390" s="11"/>
      <c r="DF390" s="11"/>
      <c r="DG390" s="11"/>
      <c r="DH390" s="11"/>
      <c r="DI390" s="11"/>
      <c r="DJ390" s="11"/>
      <c r="DK390" s="26"/>
      <c r="DL390" s="11"/>
      <c r="DM390" s="29"/>
      <c r="DN390" s="28"/>
      <c r="DO390" s="11"/>
      <c r="DP390" s="11"/>
      <c r="DQ390" s="11"/>
      <c r="DR390" s="29"/>
      <c r="DS390" s="28"/>
      <c r="DT390" s="11"/>
      <c r="DU390" s="26"/>
      <c r="DV390" s="11"/>
      <c r="DW390" s="29"/>
      <c r="DX390" s="28"/>
      <c r="DY390" s="11"/>
      <c r="DZ390" s="26"/>
      <c r="EA390" s="11"/>
      <c r="EB390" s="29"/>
      <c r="EC390" s="28"/>
      <c r="ED390" s="30"/>
      <c r="EE390" s="30" t="str">
        <f ca="1">IFERROR(__xludf.DUMMYFUNCTION("iferror(index(filter('Internal -- Trademark Countries'!E$2:E1000, (AM390 = 'Internal -- Trademark Countries'!B$2:B1000) + (AM390 = 'Internal -- Trademark Countries'!C$2:C1000) + (AM390 = 'Internal -- Trademark Countries'!D$2:D1000)), 1))"),"")</f>
        <v/>
      </c>
      <c r="EF390" s="30" t="e">
        <f ca="1">_xludf.ifs(AM390="", "", COUNTIF('Internal -- Trademark Countries'!B:B,AM390) &gt; 0, "polity_shortest_name", COUNTIF('Internal -- Trademark Countries'!C:C,AM390) &gt; 0, "polity_full_name", COUNTIF('Internal -- Trademark Countries'!D:D,AM390) &gt; 0, "polity_common_name", COUNTIF('Internal -- Trademark Countries'!E:E,AM390) &gt; 0, "shortest_name", COUNTIF('Internal -- Trademark Countries'!A:A,AM390) &gt; 0, "full_name", TRUE, "not a match")</f>
        <v>#NAME?</v>
      </c>
      <c r="EG390" s="30"/>
      <c r="EH390" s="30"/>
      <c r="EI390" s="30"/>
      <c r="EJ390" s="30"/>
      <c r="EK390" s="30" t="str">
        <f t="shared" si="3"/>
        <v/>
      </c>
    </row>
    <row r="391" spans="1:141" ht="16.5">
      <c r="A391" s="11"/>
      <c r="B391" s="11"/>
      <c r="C391" s="11"/>
      <c r="D391" s="11"/>
      <c r="E391" s="11"/>
      <c r="F391" s="11"/>
      <c r="G391" s="11"/>
      <c r="H391" s="11"/>
      <c r="I391" s="11"/>
      <c r="J391" s="11"/>
      <c r="K391" s="27"/>
      <c r="L391" s="11"/>
      <c r="M391" s="11"/>
      <c r="N391" s="11"/>
      <c r="O391" s="11"/>
      <c r="P391" s="15"/>
      <c r="Q391" s="15"/>
      <c r="R391" s="15"/>
      <c r="S391" s="15"/>
      <c r="T391" s="15"/>
      <c r="U391" s="15"/>
      <c r="V391" s="15"/>
      <c r="W391" s="47"/>
      <c r="X391" s="11"/>
      <c r="Y391" s="48"/>
      <c r="Z391" s="11"/>
      <c r="AA391" s="48"/>
      <c r="AB391" s="11"/>
      <c r="AC391" s="48"/>
      <c r="AD391" s="11"/>
      <c r="AE391" s="47"/>
      <c r="AF391" s="11"/>
      <c r="AG391" s="48"/>
      <c r="AH391" s="11"/>
      <c r="AI391" s="48"/>
      <c r="AJ391" s="11"/>
      <c r="AK391" s="48"/>
      <c r="AL391" s="11"/>
      <c r="AM391" s="49"/>
      <c r="AN391" s="49"/>
      <c r="AO391" s="11"/>
      <c r="AP391" s="11"/>
      <c r="AQ391" s="28" t="b">
        <f>IF(COUNTIF(SmartStatus!A$2:A1000, AM391) &gt; 2, TRUE, FALSE)</f>
        <v>0</v>
      </c>
      <c r="AR391" s="29" t="str">
        <f ca="1">IFERROR(__xludf.DUMMYFUNCTION("iferror(if(regexmatch(AO391, ""(?i)^registered""), if(EE391 &lt;&gt; ""polity_shortest_name"", ""CHECK_POLITY"", index(filter(SmartStatus!B$2:B1000, AM391 = SmartStatus!A$2:A1000, not(SmartStatus!C$2:C1000), (isblank(SmartStatus!D$2:D1000)) + ((P391 &lt;&gt; """") * "&amp;"(P391 &lt; SmartStatus!D$2:D1000)), (isblank(SmartStatus!E$2:E1000)) + ((P391 &lt;&gt; """") * (P391 &gt;= SmartStatus!E$2:E1000)), (isblank(SmartStatus!F$2:F1000)) + (((Q391 &lt;&gt; """") * (Q391 &lt; SmartStatus!F$2:F1000)) + ((P391 &lt;&gt; """") * (date(year(P391) + 3, month(P"&amp;"391), day(P391)) &lt; SmartStatus!F$2:F1000))), (isblank(SmartStatus!G$2:G1000)) + (((Q391 &lt;&gt; """") * (Q391 &gt;= SmartStatus!G$2:G1000)) + ((P391 &lt;&gt; """") * (P391 &gt;= SmartStatus!G$2:G1000)))), if(or(regexmatch(B391, ""(?i)^ir [a-z]+ designation$""), N391 &lt;&gt; """&amp;"""), 1, 2))), """"), ""NO_MATCH"")"),"")</f>
        <v/>
      </c>
      <c r="AS391" s="11"/>
      <c r="AT391" s="15"/>
      <c r="AU391" s="11"/>
      <c r="AV391" s="11"/>
      <c r="AW391" s="15"/>
      <c r="AX391" s="15"/>
      <c r="AY391" s="15"/>
      <c r="AZ391" s="11"/>
      <c r="BA391" s="15"/>
      <c r="BB391" s="11"/>
      <c r="BC391" s="11"/>
      <c r="BD391" s="15"/>
      <c r="BE391" s="11"/>
      <c r="BF391" s="11"/>
      <c r="BG391" s="15"/>
      <c r="BH391" s="15"/>
      <c r="BI391" s="15"/>
      <c r="BJ391" s="11"/>
      <c r="BK391" s="15"/>
      <c r="BL391" s="11"/>
      <c r="BM391" s="11"/>
      <c r="BN391" s="15"/>
      <c r="BO391" s="11"/>
      <c r="BP391" s="11"/>
      <c r="BQ391" s="15"/>
      <c r="BR391" s="15"/>
      <c r="BS391" s="15"/>
      <c r="BT391" s="11"/>
      <c r="BU391" s="15"/>
      <c r="BV391" s="11"/>
      <c r="BW391" s="11"/>
      <c r="BX391" s="15"/>
      <c r="BY391" s="11"/>
      <c r="BZ391" s="11"/>
      <c r="CA391" s="15"/>
      <c r="CB391" s="11"/>
      <c r="CC391" s="15"/>
      <c r="CD391" s="11"/>
      <c r="CE391" s="15"/>
      <c r="CF391" s="11"/>
      <c r="CG391" s="11"/>
      <c r="CH391" s="15"/>
      <c r="CI391" s="11"/>
      <c r="CJ391" s="11"/>
      <c r="CK391" s="15"/>
      <c r="CL391" s="11"/>
      <c r="CM391" s="11"/>
      <c r="CN391" s="11"/>
      <c r="CO391" s="11"/>
      <c r="CP391" s="28"/>
      <c r="CQ391" s="28"/>
      <c r="CR391" s="11"/>
      <c r="CS391" s="29"/>
      <c r="CT391" s="11"/>
      <c r="CU391" s="11"/>
      <c r="CV391" s="11"/>
      <c r="CW391" s="11"/>
      <c r="CX391" s="11"/>
      <c r="CY391" s="11"/>
      <c r="CZ391" s="11"/>
      <c r="DA391" s="28"/>
      <c r="DB391" s="28"/>
      <c r="DC391" s="11"/>
      <c r="DD391" s="29"/>
      <c r="DE391" s="11"/>
      <c r="DF391" s="11"/>
      <c r="DG391" s="11"/>
      <c r="DH391" s="11"/>
      <c r="DI391" s="11"/>
      <c r="DJ391" s="11"/>
      <c r="DK391" s="26"/>
      <c r="DL391" s="11"/>
      <c r="DM391" s="29"/>
      <c r="DN391" s="28"/>
      <c r="DO391" s="11"/>
      <c r="DP391" s="11"/>
      <c r="DQ391" s="11"/>
      <c r="DR391" s="29"/>
      <c r="DS391" s="28"/>
      <c r="DT391" s="11"/>
      <c r="DU391" s="26"/>
      <c r="DV391" s="11"/>
      <c r="DW391" s="29"/>
      <c r="DX391" s="28"/>
      <c r="DY391" s="11"/>
      <c r="DZ391" s="26"/>
      <c r="EA391" s="11"/>
      <c r="EB391" s="29"/>
      <c r="EC391" s="28"/>
      <c r="ED391" s="30"/>
      <c r="EE391" s="30" t="str">
        <f ca="1">IFERROR(__xludf.DUMMYFUNCTION("iferror(index(filter('Internal -- Trademark Countries'!E$2:E1000, (AM391 = 'Internal -- Trademark Countries'!B$2:B1000) + (AM391 = 'Internal -- Trademark Countries'!C$2:C1000) + (AM391 = 'Internal -- Trademark Countries'!D$2:D1000)), 1))"),"")</f>
        <v/>
      </c>
      <c r="EF391" s="30" t="e">
        <f ca="1">_xludf.ifs(AM391="", "", COUNTIF('Internal -- Trademark Countries'!B:B,AM391) &gt; 0, "polity_shortest_name", COUNTIF('Internal -- Trademark Countries'!C:C,AM391) &gt; 0, "polity_full_name", COUNTIF('Internal -- Trademark Countries'!D:D,AM391) &gt; 0, "polity_common_name", COUNTIF('Internal -- Trademark Countries'!E:E,AM391) &gt; 0, "shortest_name", COUNTIF('Internal -- Trademark Countries'!A:A,AM391) &gt; 0, "full_name", TRUE, "not a match")</f>
        <v>#NAME?</v>
      </c>
      <c r="EG391" s="30"/>
      <c r="EH391" s="30"/>
      <c r="EI391" s="30"/>
      <c r="EJ391" s="30"/>
      <c r="EK391" s="30" t="str">
        <f t="shared" si="3"/>
        <v/>
      </c>
    </row>
    <row r="392" spans="1:141" ht="16.5">
      <c r="A392" s="11"/>
      <c r="B392" s="11"/>
      <c r="C392" s="11"/>
      <c r="D392" s="11"/>
      <c r="E392" s="11"/>
      <c r="F392" s="11"/>
      <c r="G392" s="11"/>
      <c r="H392" s="11"/>
      <c r="I392" s="11"/>
      <c r="J392" s="11"/>
      <c r="K392" s="27"/>
      <c r="L392" s="11"/>
      <c r="M392" s="11"/>
      <c r="N392" s="11"/>
      <c r="O392" s="11"/>
      <c r="P392" s="15"/>
      <c r="Q392" s="15"/>
      <c r="R392" s="15"/>
      <c r="S392" s="15"/>
      <c r="T392" s="15"/>
      <c r="U392" s="15"/>
      <c r="V392" s="15"/>
      <c r="W392" s="47"/>
      <c r="X392" s="11"/>
      <c r="Y392" s="48"/>
      <c r="Z392" s="11"/>
      <c r="AA392" s="48"/>
      <c r="AB392" s="11"/>
      <c r="AC392" s="48"/>
      <c r="AD392" s="11"/>
      <c r="AE392" s="47"/>
      <c r="AF392" s="11"/>
      <c r="AG392" s="48"/>
      <c r="AH392" s="11"/>
      <c r="AI392" s="48"/>
      <c r="AJ392" s="11"/>
      <c r="AK392" s="48"/>
      <c r="AL392" s="11"/>
      <c r="AM392" s="49"/>
      <c r="AN392" s="49"/>
      <c r="AO392" s="11"/>
      <c r="AP392" s="11"/>
      <c r="AQ392" s="28" t="b">
        <f>IF(COUNTIF(SmartStatus!A$2:A1000, AM392) &gt; 2, TRUE, FALSE)</f>
        <v>0</v>
      </c>
      <c r="AR392" s="29" t="str">
        <f ca="1">IFERROR(__xludf.DUMMYFUNCTION("iferror(if(regexmatch(AO392, ""(?i)^registered""), if(EE392 &lt;&gt; ""polity_shortest_name"", ""CHECK_POLITY"", index(filter(SmartStatus!B$2:B1000, AM392 = SmartStatus!A$2:A1000, not(SmartStatus!C$2:C1000), (isblank(SmartStatus!D$2:D1000)) + ((P392 &lt;&gt; """") * "&amp;"(P392 &lt; SmartStatus!D$2:D1000)), (isblank(SmartStatus!E$2:E1000)) + ((P392 &lt;&gt; """") * (P392 &gt;= SmartStatus!E$2:E1000)), (isblank(SmartStatus!F$2:F1000)) + (((Q392 &lt;&gt; """") * (Q392 &lt; SmartStatus!F$2:F1000)) + ((P392 &lt;&gt; """") * (date(year(P392) + 3, month(P"&amp;"392), day(P392)) &lt; SmartStatus!F$2:F1000))), (isblank(SmartStatus!G$2:G1000)) + (((Q392 &lt;&gt; """") * (Q392 &gt;= SmartStatus!G$2:G1000)) + ((P392 &lt;&gt; """") * (P392 &gt;= SmartStatus!G$2:G1000)))), if(or(regexmatch(B392, ""(?i)^ir [a-z]+ designation$""), N392 &lt;&gt; """&amp;"""), 1, 2))), """"), ""NO_MATCH"")"),"")</f>
        <v/>
      </c>
      <c r="AS392" s="11"/>
      <c r="AT392" s="15"/>
      <c r="AU392" s="11"/>
      <c r="AV392" s="11"/>
      <c r="AW392" s="15"/>
      <c r="AX392" s="15"/>
      <c r="AY392" s="15"/>
      <c r="AZ392" s="11"/>
      <c r="BA392" s="15"/>
      <c r="BB392" s="11"/>
      <c r="BC392" s="11"/>
      <c r="BD392" s="15"/>
      <c r="BE392" s="11"/>
      <c r="BF392" s="11"/>
      <c r="BG392" s="15"/>
      <c r="BH392" s="15"/>
      <c r="BI392" s="15"/>
      <c r="BJ392" s="11"/>
      <c r="BK392" s="15"/>
      <c r="BL392" s="11"/>
      <c r="BM392" s="11"/>
      <c r="BN392" s="15"/>
      <c r="BO392" s="11"/>
      <c r="BP392" s="11"/>
      <c r="BQ392" s="15"/>
      <c r="BR392" s="15"/>
      <c r="BS392" s="15"/>
      <c r="BT392" s="11"/>
      <c r="BU392" s="15"/>
      <c r="BV392" s="11"/>
      <c r="BW392" s="11"/>
      <c r="BX392" s="15"/>
      <c r="BY392" s="11"/>
      <c r="BZ392" s="11"/>
      <c r="CA392" s="15"/>
      <c r="CB392" s="11"/>
      <c r="CC392" s="15"/>
      <c r="CD392" s="11"/>
      <c r="CE392" s="15"/>
      <c r="CF392" s="11"/>
      <c r="CG392" s="11"/>
      <c r="CH392" s="15"/>
      <c r="CI392" s="11"/>
      <c r="CJ392" s="11"/>
      <c r="CK392" s="15"/>
      <c r="CL392" s="11"/>
      <c r="CM392" s="11"/>
      <c r="CN392" s="11"/>
      <c r="CO392" s="11"/>
      <c r="CP392" s="28"/>
      <c r="CQ392" s="28"/>
      <c r="CR392" s="11"/>
      <c r="CS392" s="29"/>
      <c r="CT392" s="11"/>
      <c r="CU392" s="11"/>
      <c r="CV392" s="11"/>
      <c r="CW392" s="11"/>
      <c r="CX392" s="11"/>
      <c r="CY392" s="11"/>
      <c r="CZ392" s="11"/>
      <c r="DA392" s="28"/>
      <c r="DB392" s="28"/>
      <c r="DC392" s="11"/>
      <c r="DD392" s="29"/>
      <c r="DE392" s="11"/>
      <c r="DF392" s="11"/>
      <c r="DG392" s="11"/>
      <c r="DH392" s="11"/>
      <c r="DI392" s="11"/>
      <c r="DJ392" s="11"/>
      <c r="DK392" s="26"/>
      <c r="DL392" s="11"/>
      <c r="DM392" s="29"/>
      <c r="DN392" s="28"/>
      <c r="DO392" s="11"/>
      <c r="DP392" s="11"/>
      <c r="DQ392" s="11"/>
      <c r="DR392" s="29"/>
      <c r="DS392" s="28"/>
      <c r="DT392" s="11"/>
      <c r="DU392" s="26"/>
      <c r="DV392" s="11"/>
      <c r="DW392" s="29"/>
      <c r="DX392" s="28"/>
      <c r="DY392" s="11"/>
      <c r="DZ392" s="26"/>
      <c r="EA392" s="11"/>
      <c r="EB392" s="29"/>
      <c r="EC392" s="28"/>
      <c r="ED392" s="30"/>
      <c r="EE392" s="30" t="str">
        <f ca="1">IFERROR(__xludf.DUMMYFUNCTION("iferror(index(filter('Internal -- Trademark Countries'!E$2:E1000, (AM392 = 'Internal -- Trademark Countries'!B$2:B1000) + (AM392 = 'Internal -- Trademark Countries'!C$2:C1000) + (AM392 = 'Internal -- Trademark Countries'!D$2:D1000)), 1))"),"")</f>
        <v/>
      </c>
      <c r="EF392" s="30" t="e">
        <f ca="1">_xludf.ifs(AM392="", "", COUNTIF('Internal -- Trademark Countries'!B:B,AM392) &gt; 0, "polity_shortest_name", COUNTIF('Internal -- Trademark Countries'!C:C,AM392) &gt; 0, "polity_full_name", COUNTIF('Internal -- Trademark Countries'!D:D,AM392) &gt; 0, "polity_common_name", COUNTIF('Internal -- Trademark Countries'!E:E,AM392) &gt; 0, "shortest_name", COUNTIF('Internal -- Trademark Countries'!A:A,AM392) &gt; 0, "full_name", TRUE, "not a match")</f>
        <v>#NAME?</v>
      </c>
      <c r="EG392" s="30"/>
      <c r="EH392" s="30"/>
      <c r="EI392" s="30"/>
      <c r="EJ392" s="30"/>
      <c r="EK392" s="30" t="str">
        <f t="shared" si="3"/>
        <v/>
      </c>
    </row>
    <row r="393" spans="1:141" ht="16.5">
      <c r="A393" s="11"/>
      <c r="B393" s="11"/>
      <c r="C393" s="11"/>
      <c r="D393" s="11"/>
      <c r="E393" s="11"/>
      <c r="F393" s="11"/>
      <c r="G393" s="11"/>
      <c r="H393" s="11"/>
      <c r="I393" s="11"/>
      <c r="J393" s="11"/>
      <c r="K393" s="27"/>
      <c r="L393" s="11"/>
      <c r="M393" s="11"/>
      <c r="N393" s="11"/>
      <c r="O393" s="11"/>
      <c r="P393" s="15"/>
      <c r="Q393" s="15"/>
      <c r="R393" s="15"/>
      <c r="S393" s="15"/>
      <c r="T393" s="15"/>
      <c r="U393" s="15"/>
      <c r="V393" s="15"/>
      <c r="W393" s="47"/>
      <c r="X393" s="11"/>
      <c r="Y393" s="48"/>
      <c r="Z393" s="11"/>
      <c r="AA393" s="48"/>
      <c r="AB393" s="11"/>
      <c r="AC393" s="48"/>
      <c r="AD393" s="11"/>
      <c r="AE393" s="47"/>
      <c r="AF393" s="11"/>
      <c r="AG393" s="48"/>
      <c r="AH393" s="11"/>
      <c r="AI393" s="48"/>
      <c r="AJ393" s="11"/>
      <c r="AK393" s="48"/>
      <c r="AL393" s="11"/>
      <c r="AM393" s="49"/>
      <c r="AN393" s="49"/>
      <c r="AO393" s="11"/>
      <c r="AP393" s="11"/>
      <c r="AQ393" s="28" t="b">
        <f>IF(COUNTIF(SmartStatus!A$2:A1000, AM393) &gt; 2, TRUE, FALSE)</f>
        <v>0</v>
      </c>
      <c r="AR393" s="29" t="str">
        <f ca="1">IFERROR(__xludf.DUMMYFUNCTION("iferror(if(regexmatch(AO393, ""(?i)^registered""), if(EE393 &lt;&gt; ""polity_shortest_name"", ""CHECK_POLITY"", index(filter(SmartStatus!B$2:B1000, AM393 = SmartStatus!A$2:A1000, not(SmartStatus!C$2:C1000), (isblank(SmartStatus!D$2:D1000)) + ((P393 &lt;&gt; """") * "&amp;"(P393 &lt; SmartStatus!D$2:D1000)), (isblank(SmartStatus!E$2:E1000)) + ((P393 &lt;&gt; """") * (P393 &gt;= SmartStatus!E$2:E1000)), (isblank(SmartStatus!F$2:F1000)) + (((Q393 &lt;&gt; """") * (Q393 &lt; SmartStatus!F$2:F1000)) + ((P393 &lt;&gt; """") * (date(year(P393) + 3, month(P"&amp;"393), day(P393)) &lt; SmartStatus!F$2:F1000))), (isblank(SmartStatus!G$2:G1000)) + (((Q393 &lt;&gt; """") * (Q393 &gt;= SmartStatus!G$2:G1000)) + ((P393 &lt;&gt; """") * (P393 &gt;= SmartStatus!G$2:G1000)))), if(or(regexmatch(B393, ""(?i)^ir [a-z]+ designation$""), N393 &lt;&gt; """&amp;"""), 1, 2))), """"), ""NO_MATCH"")"),"")</f>
        <v/>
      </c>
      <c r="AS393" s="11"/>
      <c r="AT393" s="15"/>
      <c r="AU393" s="11"/>
      <c r="AV393" s="11"/>
      <c r="AW393" s="15"/>
      <c r="AX393" s="15"/>
      <c r="AY393" s="15"/>
      <c r="AZ393" s="11"/>
      <c r="BA393" s="15"/>
      <c r="BB393" s="11"/>
      <c r="BC393" s="11"/>
      <c r="BD393" s="15"/>
      <c r="BE393" s="11"/>
      <c r="BF393" s="11"/>
      <c r="BG393" s="15"/>
      <c r="BH393" s="15"/>
      <c r="BI393" s="15"/>
      <c r="BJ393" s="11"/>
      <c r="BK393" s="15"/>
      <c r="BL393" s="11"/>
      <c r="BM393" s="11"/>
      <c r="BN393" s="15"/>
      <c r="BO393" s="11"/>
      <c r="BP393" s="11"/>
      <c r="BQ393" s="15"/>
      <c r="BR393" s="15"/>
      <c r="BS393" s="15"/>
      <c r="BT393" s="11"/>
      <c r="BU393" s="15"/>
      <c r="BV393" s="11"/>
      <c r="BW393" s="11"/>
      <c r="BX393" s="15"/>
      <c r="BY393" s="11"/>
      <c r="BZ393" s="11"/>
      <c r="CA393" s="15"/>
      <c r="CB393" s="11"/>
      <c r="CC393" s="15"/>
      <c r="CD393" s="11"/>
      <c r="CE393" s="15"/>
      <c r="CF393" s="11"/>
      <c r="CG393" s="11"/>
      <c r="CH393" s="15"/>
      <c r="CI393" s="11"/>
      <c r="CJ393" s="11"/>
      <c r="CK393" s="15"/>
      <c r="CL393" s="11"/>
      <c r="CM393" s="11"/>
      <c r="CN393" s="11"/>
      <c r="CO393" s="11"/>
      <c r="CP393" s="28"/>
      <c r="CQ393" s="28"/>
      <c r="CR393" s="11"/>
      <c r="CS393" s="29"/>
      <c r="CT393" s="11"/>
      <c r="CU393" s="11"/>
      <c r="CV393" s="11"/>
      <c r="CW393" s="11"/>
      <c r="CX393" s="11"/>
      <c r="CY393" s="11"/>
      <c r="CZ393" s="11"/>
      <c r="DA393" s="28"/>
      <c r="DB393" s="28"/>
      <c r="DC393" s="11"/>
      <c r="DD393" s="29"/>
      <c r="DE393" s="11"/>
      <c r="DF393" s="11"/>
      <c r="DG393" s="11"/>
      <c r="DH393" s="11"/>
      <c r="DI393" s="11"/>
      <c r="DJ393" s="11"/>
      <c r="DK393" s="26"/>
      <c r="DL393" s="11"/>
      <c r="DM393" s="29"/>
      <c r="DN393" s="28"/>
      <c r="DO393" s="11"/>
      <c r="DP393" s="11"/>
      <c r="DQ393" s="11"/>
      <c r="DR393" s="29"/>
      <c r="DS393" s="28"/>
      <c r="DT393" s="11"/>
      <c r="DU393" s="26"/>
      <c r="DV393" s="11"/>
      <c r="DW393" s="29"/>
      <c r="DX393" s="28"/>
      <c r="DY393" s="11"/>
      <c r="DZ393" s="26"/>
      <c r="EA393" s="11"/>
      <c r="EB393" s="29"/>
      <c r="EC393" s="28"/>
      <c r="ED393" s="30"/>
      <c r="EE393" s="30" t="str">
        <f ca="1">IFERROR(__xludf.DUMMYFUNCTION("iferror(index(filter('Internal -- Trademark Countries'!E$2:E1000, (AM393 = 'Internal -- Trademark Countries'!B$2:B1000) + (AM393 = 'Internal -- Trademark Countries'!C$2:C1000) + (AM393 = 'Internal -- Trademark Countries'!D$2:D1000)), 1))"),"")</f>
        <v/>
      </c>
      <c r="EF393" s="30" t="e">
        <f ca="1">_xludf.ifs(AM393="", "", COUNTIF('Internal -- Trademark Countries'!B:B,AM393) &gt; 0, "polity_shortest_name", COUNTIF('Internal -- Trademark Countries'!C:C,AM393) &gt; 0, "polity_full_name", COUNTIF('Internal -- Trademark Countries'!D:D,AM393) &gt; 0, "polity_common_name", COUNTIF('Internal -- Trademark Countries'!E:E,AM393) &gt; 0, "shortest_name", COUNTIF('Internal -- Trademark Countries'!A:A,AM393) &gt; 0, "full_name", TRUE, "not a match")</f>
        <v>#NAME?</v>
      </c>
      <c r="EG393" s="30"/>
      <c r="EH393" s="30"/>
      <c r="EI393" s="30"/>
      <c r="EJ393" s="30"/>
      <c r="EK393" s="30" t="str">
        <f t="shared" si="3"/>
        <v/>
      </c>
    </row>
    <row r="394" spans="1:141" ht="16.5">
      <c r="A394" s="11"/>
      <c r="B394" s="11"/>
      <c r="C394" s="11"/>
      <c r="D394" s="11"/>
      <c r="E394" s="11"/>
      <c r="F394" s="11"/>
      <c r="G394" s="11"/>
      <c r="H394" s="11"/>
      <c r="I394" s="11"/>
      <c r="J394" s="11"/>
      <c r="K394" s="27"/>
      <c r="L394" s="11"/>
      <c r="M394" s="11"/>
      <c r="N394" s="11"/>
      <c r="O394" s="11"/>
      <c r="P394" s="15"/>
      <c r="Q394" s="15"/>
      <c r="R394" s="15"/>
      <c r="S394" s="15"/>
      <c r="T394" s="15"/>
      <c r="U394" s="15"/>
      <c r="V394" s="15"/>
      <c r="W394" s="47"/>
      <c r="X394" s="11"/>
      <c r="Y394" s="48"/>
      <c r="Z394" s="11"/>
      <c r="AA394" s="48"/>
      <c r="AB394" s="11"/>
      <c r="AC394" s="48"/>
      <c r="AD394" s="11"/>
      <c r="AE394" s="47"/>
      <c r="AF394" s="11"/>
      <c r="AG394" s="48"/>
      <c r="AH394" s="11"/>
      <c r="AI394" s="48"/>
      <c r="AJ394" s="11"/>
      <c r="AK394" s="48"/>
      <c r="AL394" s="11"/>
      <c r="AM394" s="49"/>
      <c r="AN394" s="49"/>
      <c r="AO394" s="11"/>
      <c r="AP394" s="11"/>
      <c r="AQ394" s="28" t="b">
        <f>IF(COUNTIF(SmartStatus!A$2:A1000, AM394) &gt; 2, TRUE, FALSE)</f>
        <v>0</v>
      </c>
      <c r="AR394" s="29" t="str">
        <f ca="1">IFERROR(__xludf.DUMMYFUNCTION("iferror(if(regexmatch(AO394, ""(?i)^registered""), if(EE394 &lt;&gt; ""polity_shortest_name"", ""CHECK_POLITY"", index(filter(SmartStatus!B$2:B1000, AM394 = SmartStatus!A$2:A1000, not(SmartStatus!C$2:C1000), (isblank(SmartStatus!D$2:D1000)) + ((P394 &lt;&gt; """") * "&amp;"(P394 &lt; SmartStatus!D$2:D1000)), (isblank(SmartStatus!E$2:E1000)) + ((P394 &lt;&gt; """") * (P394 &gt;= SmartStatus!E$2:E1000)), (isblank(SmartStatus!F$2:F1000)) + (((Q394 &lt;&gt; """") * (Q394 &lt; SmartStatus!F$2:F1000)) + ((P394 &lt;&gt; """") * (date(year(P394) + 3, month(P"&amp;"394), day(P394)) &lt; SmartStatus!F$2:F1000))), (isblank(SmartStatus!G$2:G1000)) + (((Q394 &lt;&gt; """") * (Q394 &gt;= SmartStatus!G$2:G1000)) + ((P394 &lt;&gt; """") * (P394 &gt;= SmartStatus!G$2:G1000)))), if(or(regexmatch(B394, ""(?i)^ir [a-z]+ designation$""), N394 &lt;&gt; """&amp;"""), 1, 2))), """"), ""NO_MATCH"")"),"")</f>
        <v/>
      </c>
      <c r="AS394" s="11"/>
      <c r="AT394" s="15"/>
      <c r="AU394" s="11"/>
      <c r="AV394" s="11"/>
      <c r="AW394" s="15"/>
      <c r="AX394" s="15"/>
      <c r="AY394" s="15"/>
      <c r="AZ394" s="11"/>
      <c r="BA394" s="15"/>
      <c r="BB394" s="11"/>
      <c r="BC394" s="11"/>
      <c r="BD394" s="15"/>
      <c r="BE394" s="11"/>
      <c r="BF394" s="11"/>
      <c r="BG394" s="15"/>
      <c r="BH394" s="15"/>
      <c r="BI394" s="15"/>
      <c r="BJ394" s="11"/>
      <c r="BK394" s="15"/>
      <c r="BL394" s="11"/>
      <c r="BM394" s="11"/>
      <c r="BN394" s="15"/>
      <c r="BO394" s="11"/>
      <c r="BP394" s="11"/>
      <c r="BQ394" s="15"/>
      <c r="BR394" s="15"/>
      <c r="BS394" s="15"/>
      <c r="BT394" s="11"/>
      <c r="BU394" s="15"/>
      <c r="BV394" s="11"/>
      <c r="BW394" s="11"/>
      <c r="BX394" s="15"/>
      <c r="BY394" s="11"/>
      <c r="BZ394" s="11"/>
      <c r="CA394" s="15"/>
      <c r="CB394" s="11"/>
      <c r="CC394" s="15"/>
      <c r="CD394" s="11"/>
      <c r="CE394" s="15"/>
      <c r="CF394" s="11"/>
      <c r="CG394" s="11"/>
      <c r="CH394" s="15"/>
      <c r="CI394" s="11"/>
      <c r="CJ394" s="11"/>
      <c r="CK394" s="15"/>
      <c r="CL394" s="11"/>
      <c r="CM394" s="11"/>
      <c r="CN394" s="11"/>
      <c r="CO394" s="11"/>
      <c r="CP394" s="28"/>
      <c r="CQ394" s="28"/>
      <c r="CR394" s="11"/>
      <c r="CS394" s="29"/>
      <c r="CT394" s="11"/>
      <c r="CU394" s="11"/>
      <c r="CV394" s="11"/>
      <c r="CW394" s="11"/>
      <c r="CX394" s="11"/>
      <c r="CY394" s="11"/>
      <c r="CZ394" s="11"/>
      <c r="DA394" s="28"/>
      <c r="DB394" s="28"/>
      <c r="DC394" s="11"/>
      <c r="DD394" s="29"/>
      <c r="DE394" s="11"/>
      <c r="DF394" s="11"/>
      <c r="DG394" s="11"/>
      <c r="DH394" s="11"/>
      <c r="DI394" s="11"/>
      <c r="DJ394" s="11"/>
      <c r="DK394" s="26"/>
      <c r="DL394" s="11"/>
      <c r="DM394" s="29"/>
      <c r="DN394" s="28"/>
      <c r="DO394" s="11"/>
      <c r="DP394" s="11"/>
      <c r="DQ394" s="11"/>
      <c r="DR394" s="29"/>
      <c r="DS394" s="28"/>
      <c r="DT394" s="11"/>
      <c r="DU394" s="26"/>
      <c r="DV394" s="11"/>
      <c r="DW394" s="29"/>
      <c r="DX394" s="28"/>
      <c r="DY394" s="11"/>
      <c r="DZ394" s="26"/>
      <c r="EA394" s="11"/>
      <c r="EB394" s="29"/>
      <c r="EC394" s="28"/>
      <c r="ED394" s="30"/>
      <c r="EE394" s="30" t="str">
        <f ca="1">IFERROR(__xludf.DUMMYFUNCTION("iferror(index(filter('Internal -- Trademark Countries'!E$2:E1000, (AM394 = 'Internal -- Trademark Countries'!B$2:B1000) + (AM394 = 'Internal -- Trademark Countries'!C$2:C1000) + (AM394 = 'Internal -- Trademark Countries'!D$2:D1000)), 1))"),"")</f>
        <v/>
      </c>
      <c r="EF394" s="30" t="e">
        <f ca="1">_xludf.ifs(AM394="", "", COUNTIF('Internal -- Trademark Countries'!B:B,AM394) &gt; 0, "polity_shortest_name", COUNTIF('Internal -- Trademark Countries'!C:C,AM394) &gt; 0, "polity_full_name", COUNTIF('Internal -- Trademark Countries'!D:D,AM394) &gt; 0, "polity_common_name", COUNTIF('Internal -- Trademark Countries'!E:E,AM394) &gt; 0, "shortest_name", COUNTIF('Internal -- Trademark Countries'!A:A,AM394) &gt; 0, "full_name", TRUE, "not a match")</f>
        <v>#NAME?</v>
      </c>
      <c r="EG394" s="30"/>
      <c r="EH394" s="30"/>
      <c r="EI394" s="30"/>
      <c r="EJ394" s="30"/>
      <c r="EK394" s="30" t="str">
        <f t="shared" si="3"/>
        <v/>
      </c>
    </row>
    <row r="395" spans="1:141" ht="16.5">
      <c r="A395" s="11"/>
      <c r="B395" s="11"/>
      <c r="C395" s="11"/>
      <c r="D395" s="11"/>
      <c r="E395" s="11"/>
      <c r="F395" s="11"/>
      <c r="G395" s="11"/>
      <c r="H395" s="11"/>
      <c r="I395" s="11"/>
      <c r="J395" s="11"/>
      <c r="K395" s="27"/>
      <c r="L395" s="11"/>
      <c r="M395" s="11"/>
      <c r="N395" s="11"/>
      <c r="O395" s="11"/>
      <c r="P395" s="15"/>
      <c r="Q395" s="15"/>
      <c r="R395" s="15"/>
      <c r="S395" s="15"/>
      <c r="T395" s="15"/>
      <c r="U395" s="15"/>
      <c r="V395" s="15"/>
      <c r="W395" s="47"/>
      <c r="X395" s="11"/>
      <c r="Y395" s="48"/>
      <c r="Z395" s="11"/>
      <c r="AA395" s="48"/>
      <c r="AB395" s="11"/>
      <c r="AC395" s="48"/>
      <c r="AD395" s="11"/>
      <c r="AE395" s="47"/>
      <c r="AF395" s="11"/>
      <c r="AG395" s="48"/>
      <c r="AH395" s="11"/>
      <c r="AI395" s="48"/>
      <c r="AJ395" s="11"/>
      <c r="AK395" s="48"/>
      <c r="AL395" s="11"/>
      <c r="AM395" s="49"/>
      <c r="AN395" s="49"/>
      <c r="AO395" s="11"/>
      <c r="AP395" s="11"/>
      <c r="AQ395" s="28" t="b">
        <f>IF(COUNTIF(SmartStatus!A$2:A1000, AM395) &gt; 2, TRUE, FALSE)</f>
        <v>0</v>
      </c>
      <c r="AR395" s="29" t="str">
        <f ca="1">IFERROR(__xludf.DUMMYFUNCTION("iferror(if(regexmatch(AO395, ""(?i)^registered""), if(EE395 &lt;&gt; ""polity_shortest_name"", ""CHECK_POLITY"", index(filter(SmartStatus!B$2:B1000, AM395 = SmartStatus!A$2:A1000, not(SmartStatus!C$2:C1000), (isblank(SmartStatus!D$2:D1000)) + ((P395 &lt;&gt; """") * "&amp;"(P395 &lt; SmartStatus!D$2:D1000)), (isblank(SmartStatus!E$2:E1000)) + ((P395 &lt;&gt; """") * (P395 &gt;= SmartStatus!E$2:E1000)), (isblank(SmartStatus!F$2:F1000)) + (((Q395 &lt;&gt; """") * (Q395 &lt; SmartStatus!F$2:F1000)) + ((P395 &lt;&gt; """") * (date(year(P395) + 3, month(P"&amp;"395), day(P395)) &lt; SmartStatus!F$2:F1000))), (isblank(SmartStatus!G$2:G1000)) + (((Q395 &lt;&gt; """") * (Q395 &gt;= SmartStatus!G$2:G1000)) + ((P395 &lt;&gt; """") * (P395 &gt;= SmartStatus!G$2:G1000)))), if(or(regexmatch(B395, ""(?i)^ir [a-z]+ designation$""), N395 &lt;&gt; """&amp;"""), 1, 2))), """"), ""NO_MATCH"")"),"")</f>
        <v/>
      </c>
      <c r="AS395" s="11"/>
      <c r="AT395" s="15"/>
      <c r="AU395" s="11"/>
      <c r="AV395" s="11"/>
      <c r="AW395" s="15"/>
      <c r="AX395" s="15"/>
      <c r="AY395" s="15"/>
      <c r="AZ395" s="11"/>
      <c r="BA395" s="15"/>
      <c r="BB395" s="11"/>
      <c r="BC395" s="11"/>
      <c r="BD395" s="15"/>
      <c r="BE395" s="11"/>
      <c r="BF395" s="11"/>
      <c r="BG395" s="15"/>
      <c r="BH395" s="15"/>
      <c r="BI395" s="15"/>
      <c r="BJ395" s="11"/>
      <c r="BK395" s="15"/>
      <c r="BL395" s="11"/>
      <c r="BM395" s="11"/>
      <c r="BN395" s="15"/>
      <c r="BO395" s="11"/>
      <c r="BP395" s="11"/>
      <c r="BQ395" s="15"/>
      <c r="BR395" s="15"/>
      <c r="BS395" s="15"/>
      <c r="BT395" s="11"/>
      <c r="BU395" s="15"/>
      <c r="BV395" s="11"/>
      <c r="BW395" s="11"/>
      <c r="BX395" s="15"/>
      <c r="BY395" s="11"/>
      <c r="BZ395" s="11"/>
      <c r="CA395" s="15"/>
      <c r="CB395" s="11"/>
      <c r="CC395" s="15"/>
      <c r="CD395" s="11"/>
      <c r="CE395" s="15"/>
      <c r="CF395" s="11"/>
      <c r="CG395" s="11"/>
      <c r="CH395" s="15"/>
      <c r="CI395" s="11"/>
      <c r="CJ395" s="11"/>
      <c r="CK395" s="15"/>
      <c r="CL395" s="11"/>
      <c r="CM395" s="11"/>
      <c r="CN395" s="11"/>
      <c r="CO395" s="11"/>
      <c r="CP395" s="28"/>
      <c r="CQ395" s="28"/>
      <c r="CR395" s="11"/>
      <c r="CS395" s="29"/>
      <c r="CT395" s="11"/>
      <c r="CU395" s="11"/>
      <c r="CV395" s="11"/>
      <c r="CW395" s="11"/>
      <c r="CX395" s="11"/>
      <c r="CY395" s="11"/>
      <c r="CZ395" s="11"/>
      <c r="DA395" s="28"/>
      <c r="DB395" s="28"/>
      <c r="DC395" s="11"/>
      <c r="DD395" s="29"/>
      <c r="DE395" s="11"/>
      <c r="DF395" s="11"/>
      <c r="DG395" s="11"/>
      <c r="DH395" s="11"/>
      <c r="DI395" s="11"/>
      <c r="DJ395" s="11"/>
      <c r="DK395" s="26"/>
      <c r="DL395" s="11"/>
      <c r="DM395" s="29"/>
      <c r="DN395" s="28"/>
      <c r="DO395" s="11"/>
      <c r="DP395" s="11"/>
      <c r="DQ395" s="11"/>
      <c r="DR395" s="29"/>
      <c r="DS395" s="28"/>
      <c r="DT395" s="11"/>
      <c r="DU395" s="26"/>
      <c r="DV395" s="11"/>
      <c r="DW395" s="29"/>
      <c r="DX395" s="28"/>
      <c r="DY395" s="11"/>
      <c r="DZ395" s="26"/>
      <c r="EA395" s="11"/>
      <c r="EB395" s="29"/>
      <c r="EC395" s="28"/>
      <c r="ED395" s="30"/>
      <c r="EE395" s="30" t="str">
        <f ca="1">IFERROR(__xludf.DUMMYFUNCTION("iferror(index(filter('Internal -- Trademark Countries'!E$2:E1000, (AM395 = 'Internal -- Trademark Countries'!B$2:B1000) + (AM395 = 'Internal -- Trademark Countries'!C$2:C1000) + (AM395 = 'Internal -- Trademark Countries'!D$2:D1000)), 1))"),"")</f>
        <v/>
      </c>
      <c r="EF395" s="30" t="e">
        <f ca="1">_xludf.ifs(AM395="", "", COUNTIF('Internal -- Trademark Countries'!B:B,AM395) &gt; 0, "polity_shortest_name", COUNTIF('Internal -- Trademark Countries'!C:C,AM395) &gt; 0, "polity_full_name", COUNTIF('Internal -- Trademark Countries'!D:D,AM395) &gt; 0, "polity_common_name", COUNTIF('Internal -- Trademark Countries'!E:E,AM395) &gt; 0, "shortest_name", COUNTIF('Internal -- Trademark Countries'!A:A,AM395) &gt; 0, "full_name", TRUE, "not a match")</f>
        <v>#NAME?</v>
      </c>
      <c r="EG395" s="30"/>
      <c r="EH395" s="30"/>
      <c r="EI395" s="30"/>
      <c r="EJ395" s="30"/>
      <c r="EK395" s="30" t="str">
        <f t="shared" si="3"/>
        <v/>
      </c>
    </row>
    <row r="396" spans="1:141" ht="16.5">
      <c r="A396" s="11"/>
      <c r="B396" s="11"/>
      <c r="C396" s="11"/>
      <c r="D396" s="11"/>
      <c r="E396" s="11"/>
      <c r="F396" s="11"/>
      <c r="G396" s="11"/>
      <c r="H396" s="11"/>
      <c r="I396" s="11"/>
      <c r="J396" s="11"/>
      <c r="K396" s="27"/>
      <c r="L396" s="11"/>
      <c r="M396" s="11"/>
      <c r="N396" s="11"/>
      <c r="O396" s="11"/>
      <c r="P396" s="15"/>
      <c r="Q396" s="15"/>
      <c r="R396" s="15"/>
      <c r="S396" s="15"/>
      <c r="T396" s="15"/>
      <c r="U396" s="15"/>
      <c r="V396" s="15"/>
      <c r="W396" s="47"/>
      <c r="X396" s="11"/>
      <c r="Y396" s="48"/>
      <c r="Z396" s="11"/>
      <c r="AA396" s="48"/>
      <c r="AB396" s="11"/>
      <c r="AC396" s="48"/>
      <c r="AD396" s="11"/>
      <c r="AE396" s="47"/>
      <c r="AF396" s="11"/>
      <c r="AG396" s="48"/>
      <c r="AH396" s="11"/>
      <c r="AI396" s="48"/>
      <c r="AJ396" s="11"/>
      <c r="AK396" s="48"/>
      <c r="AL396" s="11"/>
      <c r="AM396" s="49"/>
      <c r="AN396" s="49"/>
      <c r="AO396" s="11"/>
      <c r="AP396" s="11"/>
      <c r="AQ396" s="28" t="b">
        <f>IF(COUNTIF(SmartStatus!A$2:A1000, AM396) &gt; 2, TRUE, FALSE)</f>
        <v>0</v>
      </c>
      <c r="AR396" s="29" t="str">
        <f ca="1">IFERROR(__xludf.DUMMYFUNCTION("iferror(if(regexmatch(AO396, ""(?i)^registered""), if(EE396 &lt;&gt; ""polity_shortest_name"", ""CHECK_POLITY"", index(filter(SmartStatus!B$2:B1000, AM396 = SmartStatus!A$2:A1000, not(SmartStatus!C$2:C1000), (isblank(SmartStatus!D$2:D1000)) + ((P396 &lt;&gt; """") * "&amp;"(P396 &lt; SmartStatus!D$2:D1000)), (isblank(SmartStatus!E$2:E1000)) + ((P396 &lt;&gt; """") * (P396 &gt;= SmartStatus!E$2:E1000)), (isblank(SmartStatus!F$2:F1000)) + (((Q396 &lt;&gt; """") * (Q396 &lt; SmartStatus!F$2:F1000)) + ((P396 &lt;&gt; """") * (date(year(P396) + 3, month(P"&amp;"396), day(P396)) &lt; SmartStatus!F$2:F1000))), (isblank(SmartStatus!G$2:G1000)) + (((Q396 &lt;&gt; """") * (Q396 &gt;= SmartStatus!G$2:G1000)) + ((P396 &lt;&gt; """") * (P396 &gt;= SmartStatus!G$2:G1000)))), if(or(regexmatch(B396, ""(?i)^ir [a-z]+ designation$""), N396 &lt;&gt; """&amp;"""), 1, 2))), """"), ""NO_MATCH"")"),"")</f>
        <v/>
      </c>
      <c r="AS396" s="11"/>
      <c r="AT396" s="15"/>
      <c r="AU396" s="11"/>
      <c r="AV396" s="11"/>
      <c r="AW396" s="15"/>
      <c r="AX396" s="15"/>
      <c r="AY396" s="15"/>
      <c r="AZ396" s="11"/>
      <c r="BA396" s="15"/>
      <c r="BB396" s="11"/>
      <c r="BC396" s="11"/>
      <c r="BD396" s="15"/>
      <c r="BE396" s="11"/>
      <c r="BF396" s="11"/>
      <c r="BG396" s="15"/>
      <c r="BH396" s="15"/>
      <c r="BI396" s="15"/>
      <c r="BJ396" s="11"/>
      <c r="BK396" s="15"/>
      <c r="BL396" s="11"/>
      <c r="BM396" s="11"/>
      <c r="BN396" s="15"/>
      <c r="BO396" s="11"/>
      <c r="BP396" s="11"/>
      <c r="BQ396" s="15"/>
      <c r="BR396" s="15"/>
      <c r="BS396" s="15"/>
      <c r="BT396" s="11"/>
      <c r="BU396" s="15"/>
      <c r="BV396" s="11"/>
      <c r="BW396" s="11"/>
      <c r="BX396" s="15"/>
      <c r="BY396" s="11"/>
      <c r="BZ396" s="11"/>
      <c r="CA396" s="15"/>
      <c r="CB396" s="11"/>
      <c r="CC396" s="15"/>
      <c r="CD396" s="11"/>
      <c r="CE396" s="15"/>
      <c r="CF396" s="11"/>
      <c r="CG396" s="11"/>
      <c r="CH396" s="15"/>
      <c r="CI396" s="11"/>
      <c r="CJ396" s="11"/>
      <c r="CK396" s="15"/>
      <c r="CL396" s="11"/>
      <c r="CM396" s="11"/>
      <c r="CN396" s="11"/>
      <c r="CO396" s="11"/>
      <c r="CP396" s="28"/>
      <c r="CQ396" s="28"/>
      <c r="CR396" s="11"/>
      <c r="CS396" s="29"/>
      <c r="CT396" s="11"/>
      <c r="CU396" s="11"/>
      <c r="CV396" s="11"/>
      <c r="CW396" s="11"/>
      <c r="CX396" s="11"/>
      <c r="CY396" s="11"/>
      <c r="CZ396" s="11"/>
      <c r="DA396" s="28"/>
      <c r="DB396" s="28"/>
      <c r="DC396" s="11"/>
      <c r="DD396" s="29"/>
      <c r="DE396" s="11"/>
      <c r="DF396" s="11"/>
      <c r="DG396" s="11"/>
      <c r="DH396" s="11"/>
      <c r="DI396" s="11"/>
      <c r="DJ396" s="11"/>
      <c r="DK396" s="26"/>
      <c r="DL396" s="11"/>
      <c r="DM396" s="29"/>
      <c r="DN396" s="28"/>
      <c r="DO396" s="11"/>
      <c r="DP396" s="11"/>
      <c r="DQ396" s="11"/>
      <c r="DR396" s="29"/>
      <c r="DS396" s="28"/>
      <c r="DT396" s="11"/>
      <c r="DU396" s="26"/>
      <c r="DV396" s="11"/>
      <c r="DW396" s="29"/>
      <c r="DX396" s="28"/>
      <c r="DY396" s="11"/>
      <c r="DZ396" s="26"/>
      <c r="EA396" s="11"/>
      <c r="EB396" s="29"/>
      <c r="EC396" s="28"/>
      <c r="ED396" s="30"/>
      <c r="EE396" s="30" t="str">
        <f ca="1">IFERROR(__xludf.DUMMYFUNCTION("iferror(index(filter('Internal -- Trademark Countries'!E$2:E1000, (AM396 = 'Internal -- Trademark Countries'!B$2:B1000) + (AM396 = 'Internal -- Trademark Countries'!C$2:C1000) + (AM396 = 'Internal -- Trademark Countries'!D$2:D1000)), 1))"),"")</f>
        <v/>
      </c>
      <c r="EF396" s="30" t="e">
        <f ca="1">_xludf.ifs(AM396="", "", COUNTIF('Internal -- Trademark Countries'!B:B,AM396) &gt; 0, "polity_shortest_name", COUNTIF('Internal -- Trademark Countries'!C:C,AM396) &gt; 0, "polity_full_name", COUNTIF('Internal -- Trademark Countries'!D:D,AM396) &gt; 0, "polity_common_name", COUNTIF('Internal -- Trademark Countries'!E:E,AM396) &gt; 0, "shortest_name", COUNTIF('Internal -- Trademark Countries'!A:A,AM396) &gt; 0, "full_name", TRUE, "not a match")</f>
        <v>#NAME?</v>
      </c>
      <c r="EG396" s="30"/>
      <c r="EH396" s="30"/>
      <c r="EI396" s="30"/>
      <c r="EJ396" s="30"/>
      <c r="EK396" s="30" t="str">
        <f t="shared" si="3"/>
        <v/>
      </c>
    </row>
    <row r="397" spans="1:141" ht="16.5">
      <c r="A397" s="11"/>
      <c r="B397" s="11"/>
      <c r="C397" s="11"/>
      <c r="D397" s="11"/>
      <c r="E397" s="11"/>
      <c r="F397" s="11"/>
      <c r="G397" s="11"/>
      <c r="H397" s="11"/>
      <c r="I397" s="11"/>
      <c r="J397" s="11"/>
      <c r="K397" s="27"/>
      <c r="L397" s="11"/>
      <c r="M397" s="11"/>
      <c r="N397" s="11"/>
      <c r="O397" s="11"/>
      <c r="P397" s="15"/>
      <c r="Q397" s="15"/>
      <c r="R397" s="15"/>
      <c r="S397" s="15"/>
      <c r="T397" s="15"/>
      <c r="U397" s="15"/>
      <c r="V397" s="15"/>
      <c r="W397" s="47"/>
      <c r="X397" s="11"/>
      <c r="Y397" s="48"/>
      <c r="Z397" s="11"/>
      <c r="AA397" s="48"/>
      <c r="AB397" s="11"/>
      <c r="AC397" s="48"/>
      <c r="AD397" s="11"/>
      <c r="AE397" s="47"/>
      <c r="AF397" s="11"/>
      <c r="AG397" s="48"/>
      <c r="AH397" s="11"/>
      <c r="AI397" s="48"/>
      <c r="AJ397" s="11"/>
      <c r="AK397" s="48"/>
      <c r="AL397" s="11"/>
      <c r="AM397" s="49"/>
      <c r="AN397" s="49"/>
      <c r="AO397" s="11"/>
      <c r="AP397" s="11"/>
      <c r="AQ397" s="28" t="b">
        <f>IF(COUNTIF(SmartStatus!A$2:A1000, AM397) &gt; 2, TRUE, FALSE)</f>
        <v>0</v>
      </c>
      <c r="AR397" s="29" t="str">
        <f ca="1">IFERROR(__xludf.DUMMYFUNCTION("iferror(if(regexmatch(AO397, ""(?i)^registered""), if(EE397 &lt;&gt; ""polity_shortest_name"", ""CHECK_POLITY"", index(filter(SmartStatus!B$2:B1000, AM397 = SmartStatus!A$2:A1000, not(SmartStatus!C$2:C1000), (isblank(SmartStatus!D$2:D1000)) + ((P397 &lt;&gt; """") * "&amp;"(P397 &lt; SmartStatus!D$2:D1000)), (isblank(SmartStatus!E$2:E1000)) + ((P397 &lt;&gt; """") * (P397 &gt;= SmartStatus!E$2:E1000)), (isblank(SmartStatus!F$2:F1000)) + (((Q397 &lt;&gt; """") * (Q397 &lt; SmartStatus!F$2:F1000)) + ((P397 &lt;&gt; """") * (date(year(P397) + 3, month(P"&amp;"397), day(P397)) &lt; SmartStatus!F$2:F1000))), (isblank(SmartStatus!G$2:G1000)) + (((Q397 &lt;&gt; """") * (Q397 &gt;= SmartStatus!G$2:G1000)) + ((P397 &lt;&gt; """") * (P397 &gt;= SmartStatus!G$2:G1000)))), if(or(regexmatch(B397, ""(?i)^ir [a-z]+ designation$""), N397 &lt;&gt; """&amp;"""), 1, 2))), """"), ""NO_MATCH"")"),"")</f>
        <v/>
      </c>
      <c r="AS397" s="11"/>
      <c r="AT397" s="15"/>
      <c r="AU397" s="11"/>
      <c r="AV397" s="11"/>
      <c r="AW397" s="15"/>
      <c r="AX397" s="15"/>
      <c r="AY397" s="15"/>
      <c r="AZ397" s="11"/>
      <c r="BA397" s="15"/>
      <c r="BB397" s="11"/>
      <c r="BC397" s="11"/>
      <c r="BD397" s="15"/>
      <c r="BE397" s="11"/>
      <c r="BF397" s="11"/>
      <c r="BG397" s="15"/>
      <c r="BH397" s="15"/>
      <c r="BI397" s="15"/>
      <c r="BJ397" s="11"/>
      <c r="BK397" s="15"/>
      <c r="BL397" s="11"/>
      <c r="BM397" s="11"/>
      <c r="BN397" s="15"/>
      <c r="BO397" s="11"/>
      <c r="BP397" s="11"/>
      <c r="BQ397" s="15"/>
      <c r="BR397" s="15"/>
      <c r="BS397" s="15"/>
      <c r="BT397" s="11"/>
      <c r="BU397" s="15"/>
      <c r="BV397" s="11"/>
      <c r="BW397" s="11"/>
      <c r="BX397" s="15"/>
      <c r="BY397" s="11"/>
      <c r="BZ397" s="11"/>
      <c r="CA397" s="15"/>
      <c r="CB397" s="11"/>
      <c r="CC397" s="15"/>
      <c r="CD397" s="11"/>
      <c r="CE397" s="15"/>
      <c r="CF397" s="11"/>
      <c r="CG397" s="11"/>
      <c r="CH397" s="15"/>
      <c r="CI397" s="11"/>
      <c r="CJ397" s="11"/>
      <c r="CK397" s="15"/>
      <c r="CL397" s="11"/>
      <c r="CM397" s="11"/>
      <c r="CN397" s="11"/>
      <c r="CO397" s="11"/>
      <c r="CP397" s="28"/>
      <c r="CQ397" s="28"/>
      <c r="CR397" s="11"/>
      <c r="CS397" s="29"/>
      <c r="CT397" s="11"/>
      <c r="CU397" s="11"/>
      <c r="CV397" s="11"/>
      <c r="CW397" s="11"/>
      <c r="CX397" s="11"/>
      <c r="CY397" s="11"/>
      <c r="CZ397" s="11"/>
      <c r="DA397" s="28"/>
      <c r="DB397" s="28"/>
      <c r="DC397" s="11"/>
      <c r="DD397" s="29"/>
      <c r="DE397" s="11"/>
      <c r="DF397" s="11"/>
      <c r="DG397" s="11"/>
      <c r="DH397" s="11"/>
      <c r="DI397" s="11"/>
      <c r="DJ397" s="11"/>
      <c r="DK397" s="26"/>
      <c r="DL397" s="11"/>
      <c r="DM397" s="29"/>
      <c r="DN397" s="28"/>
      <c r="DO397" s="11"/>
      <c r="DP397" s="11"/>
      <c r="DQ397" s="11"/>
      <c r="DR397" s="29"/>
      <c r="DS397" s="28"/>
      <c r="DT397" s="11"/>
      <c r="DU397" s="26"/>
      <c r="DV397" s="11"/>
      <c r="DW397" s="29"/>
      <c r="DX397" s="28"/>
      <c r="DY397" s="11"/>
      <c r="DZ397" s="26"/>
      <c r="EA397" s="11"/>
      <c r="EB397" s="29"/>
      <c r="EC397" s="28"/>
      <c r="ED397" s="30"/>
      <c r="EE397" s="30" t="str">
        <f ca="1">IFERROR(__xludf.DUMMYFUNCTION("iferror(index(filter('Internal -- Trademark Countries'!E$2:E1000, (AM397 = 'Internal -- Trademark Countries'!B$2:B1000) + (AM397 = 'Internal -- Trademark Countries'!C$2:C1000) + (AM397 = 'Internal -- Trademark Countries'!D$2:D1000)), 1))"),"")</f>
        <v/>
      </c>
      <c r="EF397" s="30" t="e">
        <f ca="1">_xludf.ifs(AM397="", "", COUNTIF('Internal -- Trademark Countries'!B:B,AM397) &gt; 0, "polity_shortest_name", COUNTIF('Internal -- Trademark Countries'!C:C,AM397) &gt; 0, "polity_full_name", COUNTIF('Internal -- Trademark Countries'!D:D,AM397) &gt; 0, "polity_common_name", COUNTIF('Internal -- Trademark Countries'!E:E,AM397) &gt; 0, "shortest_name", COUNTIF('Internal -- Trademark Countries'!A:A,AM397) &gt; 0, "full_name", TRUE, "not a match")</f>
        <v>#NAME?</v>
      </c>
      <c r="EG397" s="30"/>
      <c r="EH397" s="30"/>
      <c r="EI397" s="30"/>
      <c r="EJ397" s="30"/>
      <c r="EK397" s="30" t="str">
        <f t="shared" si="3"/>
        <v/>
      </c>
    </row>
    <row r="398" spans="1:141" ht="16.5">
      <c r="A398" s="11"/>
      <c r="B398" s="11"/>
      <c r="C398" s="11"/>
      <c r="D398" s="11"/>
      <c r="E398" s="11"/>
      <c r="F398" s="11"/>
      <c r="G398" s="11"/>
      <c r="H398" s="11"/>
      <c r="I398" s="11"/>
      <c r="J398" s="11"/>
      <c r="K398" s="27"/>
      <c r="L398" s="11"/>
      <c r="M398" s="11"/>
      <c r="N398" s="11"/>
      <c r="O398" s="11"/>
      <c r="P398" s="15"/>
      <c r="Q398" s="15"/>
      <c r="R398" s="15"/>
      <c r="S398" s="15"/>
      <c r="T398" s="15"/>
      <c r="U398" s="15"/>
      <c r="V398" s="15"/>
      <c r="W398" s="47"/>
      <c r="X398" s="11"/>
      <c r="Y398" s="48"/>
      <c r="Z398" s="11"/>
      <c r="AA398" s="48"/>
      <c r="AB398" s="11"/>
      <c r="AC398" s="48"/>
      <c r="AD398" s="11"/>
      <c r="AE398" s="47"/>
      <c r="AF398" s="11"/>
      <c r="AG398" s="48"/>
      <c r="AH398" s="11"/>
      <c r="AI398" s="48"/>
      <c r="AJ398" s="11"/>
      <c r="AK398" s="48"/>
      <c r="AL398" s="11"/>
      <c r="AM398" s="49"/>
      <c r="AN398" s="49"/>
      <c r="AO398" s="11"/>
      <c r="AP398" s="11"/>
      <c r="AQ398" s="28" t="b">
        <f>IF(COUNTIF(SmartStatus!A$2:A1000, AM398) &gt; 2, TRUE, FALSE)</f>
        <v>0</v>
      </c>
      <c r="AR398" s="29" t="str">
        <f ca="1">IFERROR(__xludf.DUMMYFUNCTION("iferror(if(regexmatch(AO398, ""(?i)^registered""), if(EE398 &lt;&gt; ""polity_shortest_name"", ""CHECK_POLITY"", index(filter(SmartStatus!B$2:B1000, AM398 = SmartStatus!A$2:A1000, not(SmartStatus!C$2:C1000), (isblank(SmartStatus!D$2:D1000)) + ((P398 &lt;&gt; """") * "&amp;"(P398 &lt; SmartStatus!D$2:D1000)), (isblank(SmartStatus!E$2:E1000)) + ((P398 &lt;&gt; """") * (P398 &gt;= SmartStatus!E$2:E1000)), (isblank(SmartStatus!F$2:F1000)) + (((Q398 &lt;&gt; """") * (Q398 &lt; SmartStatus!F$2:F1000)) + ((P398 &lt;&gt; """") * (date(year(P398) + 3, month(P"&amp;"398), day(P398)) &lt; SmartStatus!F$2:F1000))), (isblank(SmartStatus!G$2:G1000)) + (((Q398 &lt;&gt; """") * (Q398 &gt;= SmartStatus!G$2:G1000)) + ((P398 &lt;&gt; """") * (P398 &gt;= SmartStatus!G$2:G1000)))), if(or(regexmatch(B398, ""(?i)^ir [a-z]+ designation$""), N398 &lt;&gt; """&amp;"""), 1, 2))), """"), ""NO_MATCH"")"),"")</f>
        <v/>
      </c>
      <c r="AS398" s="11"/>
      <c r="AT398" s="15"/>
      <c r="AU398" s="11"/>
      <c r="AV398" s="11"/>
      <c r="AW398" s="15"/>
      <c r="AX398" s="15"/>
      <c r="AY398" s="15"/>
      <c r="AZ398" s="11"/>
      <c r="BA398" s="15"/>
      <c r="BB398" s="11"/>
      <c r="BC398" s="11"/>
      <c r="BD398" s="15"/>
      <c r="BE398" s="11"/>
      <c r="BF398" s="11"/>
      <c r="BG398" s="15"/>
      <c r="BH398" s="15"/>
      <c r="BI398" s="15"/>
      <c r="BJ398" s="11"/>
      <c r="BK398" s="15"/>
      <c r="BL398" s="11"/>
      <c r="BM398" s="11"/>
      <c r="BN398" s="15"/>
      <c r="BO398" s="11"/>
      <c r="BP398" s="11"/>
      <c r="BQ398" s="15"/>
      <c r="BR398" s="15"/>
      <c r="BS398" s="15"/>
      <c r="BT398" s="11"/>
      <c r="BU398" s="15"/>
      <c r="BV398" s="11"/>
      <c r="BW398" s="11"/>
      <c r="BX398" s="15"/>
      <c r="BY398" s="11"/>
      <c r="BZ398" s="11"/>
      <c r="CA398" s="15"/>
      <c r="CB398" s="11"/>
      <c r="CC398" s="15"/>
      <c r="CD398" s="11"/>
      <c r="CE398" s="15"/>
      <c r="CF398" s="11"/>
      <c r="CG398" s="11"/>
      <c r="CH398" s="15"/>
      <c r="CI398" s="11"/>
      <c r="CJ398" s="11"/>
      <c r="CK398" s="15"/>
      <c r="CL398" s="11"/>
      <c r="CM398" s="11"/>
      <c r="CN398" s="11"/>
      <c r="CO398" s="11"/>
      <c r="CP398" s="28"/>
      <c r="CQ398" s="28"/>
      <c r="CR398" s="11"/>
      <c r="CS398" s="29"/>
      <c r="CT398" s="11"/>
      <c r="CU398" s="11"/>
      <c r="CV398" s="11"/>
      <c r="CW398" s="11"/>
      <c r="CX398" s="11"/>
      <c r="CY398" s="11"/>
      <c r="CZ398" s="11"/>
      <c r="DA398" s="28"/>
      <c r="DB398" s="28"/>
      <c r="DC398" s="11"/>
      <c r="DD398" s="29"/>
      <c r="DE398" s="11"/>
      <c r="DF398" s="11"/>
      <c r="DG398" s="11"/>
      <c r="DH398" s="11"/>
      <c r="DI398" s="11"/>
      <c r="DJ398" s="11"/>
      <c r="DK398" s="26"/>
      <c r="DL398" s="11"/>
      <c r="DM398" s="29"/>
      <c r="DN398" s="28"/>
      <c r="DO398" s="11"/>
      <c r="DP398" s="11"/>
      <c r="DQ398" s="11"/>
      <c r="DR398" s="29"/>
      <c r="DS398" s="28"/>
      <c r="DT398" s="11"/>
      <c r="DU398" s="26"/>
      <c r="DV398" s="11"/>
      <c r="DW398" s="29"/>
      <c r="DX398" s="28"/>
      <c r="DY398" s="11"/>
      <c r="DZ398" s="26"/>
      <c r="EA398" s="11"/>
      <c r="EB398" s="29"/>
      <c r="EC398" s="28"/>
      <c r="ED398" s="30"/>
      <c r="EE398" s="30" t="str">
        <f ca="1">IFERROR(__xludf.DUMMYFUNCTION("iferror(index(filter('Internal -- Trademark Countries'!E$2:E1000, (AM398 = 'Internal -- Trademark Countries'!B$2:B1000) + (AM398 = 'Internal -- Trademark Countries'!C$2:C1000) + (AM398 = 'Internal -- Trademark Countries'!D$2:D1000)), 1))"),"")</f>
        <v/>
      </c>
      <c r="EF398" s="30" t="e">
        <f ca="1">_xludf.ifs(AM398="", "", COUNTIF('Internal -- Trademark Countries'!B:B,AM398) &gt; 0, "polity_shortest_name", COUNTIF('Internal -- Trademark Countries'!C:C,AM398) &gt; 0, "polity_full_name", COUNTIF('Internal -- Trademark Countries'!D:D,AM398) &gt; 0, "polity_common_name", COUNTIF('Internal -- Trademark Countries'!E:E,AM398) &gt; 0, "shortest_name", COUNTIF('Internal -- Trademark Countries'!A:A,AM398) &gt; 0, "full_name", TRUE, "not a match")</f>
        <v>#NAME?</v>
      </c>
      <c r="EG398" s="30"/>
      <c r="EH398" s="30"/>
      <c r="EI398" s="30"/>
      <c r="EJ398" s="30"/>
      <c r="EK398" s="30" t="str">
        <f t="shared" si="3"/>
        <v/>
      </c>
    </row>
    <row r="399" spans="1:141" ht="16.5">
      <c r="A399" s="11"/>
      <c r="B399" s="11"/>
      <c r="C399" s="11"/>
      <c r="D399" s="11"/>
      <c r="E399" s="11"/>
      <c r="F399" s="11"/>
      <c r="G399" s="11"/>
      <c r="H399" s="11"/>
      <c r="I399" s="11"/>
      <c r="J399" s="11"/>
      <c r="K399" s="27"/>
      <c r="L399" s="11"/>
      <c r="M399" s="11"/>
      <c r="N399" s="11"/>
      <c r="O399" s="11"/>
      <c r="P399" s="15"/>
      <c r="Q399" s="15"/>
      <c r="R399" s="15"/>
      <c r="S399" s="15"/>
      <c r="T399" s="15"/>
      <c r="U399" s="15"/>
      <c r="V399" s="15"/>
      <c r="W399" s="47"/>
      <c r="X399" s="11"/>
      <c r="Y399" s="48"/>
      <c r="Z399" s="11"/>
      <c r="AA399" s="48"/>
      <c r="AB399" s="11"/>
      <c r="AC399" s="48"/>
      <c r="AD399" s="11"/>
      <c r="AE399" s="47"/>
      <c r="AF399" s="11"/>
      <c r="AG399" s="48"/>
      <c r="AH399" s="11"/>
      <c r="AI399" s="48"/>
      <c r="AJ399" s="11"/>
      <c r="AK399" s="48"/>
      <c r="AL399" s="11"/>
      <c r="AM399" s="49"/>
      <c r="AN399" s="49"/>
      <c r="AO399" s="11"/>
      <c r="AP399" s="11"/>
      <c r="AQ399" s="28" t="b">
        <f>IF(COUNTIF(SmartStatus!A$2:A1000, AM399) &gt; 2, TRUE, FALSE)</f>
        <v>0</v>
      </c>
      <c r="AR399" s="29" t="str">
        <f ca="1">IFERROR(__xludf.DUMMYFUNCTION("iferror(if(regexmatch(AO399, ""(?i)^registered""), if(EE399 &lt;&gt; ""polity_shortest_name"", ""CHECK_POLITY"", index(filter(SmartStatus!B$2:B1000, AM399 = SmartStatus!A$2:A1000, not(SmartStatus!C$2:C1000), (isblank(SmartStatus!D$2:D1000)) + ((P399 &lt;&gt; """") * "&amp;"(P399 &lt; SmartStatus!D$2:D1000)), (isblank(SmartStatus!E$2:E1000)) + ((P399 &lt;&gt; """") * (P399 &gt;= SmartStatus!E$2:E1000)), (isblank(SmartStatus!F$2:F1000)) + (((Q399 &lt;&gt; """") * (Q399 &lt; SmartStatus!F$2:F1000)) + ((P399 &lt;&gt; """") * (date(year(P399) + 3, month(P"&amp;"399), day(P399)) &lt; SmartStatus!F$2:F1000))), (isblank(SmartStatus!G$2:G1000)) + (((Q399 &lt;&gt; """") * (Q399 &gt;= SmartStatus!G$2:G1000)) + ((P399 &lt;&gt; """") * (P399 &gt;= SmartStatus!G$2:G1000)))), if(or(regexmatch(B399, ""(?i)^ir [a-z]+ designation$""), N399 &lt;&gt; """&amp;"""), 1, 2))), """"), ""NO_MATCH"")"),"")</f>
        <v/>
      </c>
      <c r="AS399" s="11"/>
      <c r="AT399" s="15"/>
      <c r="AU399" s="11"/>
      <c r="AV399" s="11"/>
      <c r="AW399" s="15"/>
      <c r="AX399" s="15"/>
      <c r="AY399" s="15"/>
      <c r="AZ399" s="11"/>
      <c r="BA399" s="15"/>
      <c r="BB399" s="11"/>
      <c r="BC399" s="11"/>
      <c r="BD399" s="15"/>
      <c r="BE399" s="11"/>
      <c r="BF399" s="11"/>
      <c r="BG399" s="15"/>
      <c r="BH399" s="15"/>
      <c r="BI399" s="15"/>
      <c r="BJ399" s="11"/>
      <c r="BK399" s="15"/>
      <c r="BL399" s="11"/>
      <c r="BM399" s="11"/>
      <c r="BN399" s="15"/>
      <c r="BO399" s="11"/>
      <c r="BP399" s="11"/>
      <c r="BQ399" s="15"/>
      <c r="BR399" s="15"/>
      <c r="BS399" s="15"/>
      <c r="BT399" s="11"/>
      <c r="BU399" s="15"/>
      <c r="BV399" s="11"/>
      <c r="BW399" s="11"/>
      <c r="BX399" s="15"/>
      <c r="BY399" s="11"/>
      <c r="BZ399" s="11"/>
      <c r="CA399" s="15"/>
      <c r="CB399" s="11"/>
      <c r="CC399" s="15"/>
      <c r="CD399" s="11"/>
      <c r="CE399" s="15"/>
      <c r="CF399" s="11"/>
      <c r="CG399" s="11"/>
      <c r="CH399" s="15"/>
      <c r="CI399" s="11"/>
      <c r="CJ399" s="11"/>
      <c r="CK399" s="15"/>
      <c r="CL399" s="11"/>
      <c r="CM399" s="11"/>
      <c r="CN399" s="11"/>
      <c r="CO399" s="11"/>
      <c r="CP399" s="28"/>
      <c r="CQ399" s="28"/>
      <c r="CR399" s="11"/>
      <c r="CS399" s="29"/>
      <c r="CT399" s="11"/>
      <c r="CU399" s="11"/>
      <c r="CV399" s="11"/>
      <c r="CW399" s="11"/>
      <c r="CX399" s="11"/>
      <c r="CY399" s="11"/>
      <c r="CZ399" s="11"/>
      <c r="DA399" s="28"/>
      <c r="DB399" s="28"/>
      <c r="DC399" s="11"/>
      <c r="DD399" s="29"/>
      <c r="DE399" s="11"/>
      <c r="DF399" s="11"/>
      <c r="DG399" s="11"/>
      <c r="DH399" s="11"/>
      <c r="DI399" s="11"/>
      <c r="DJ399" s="11"/>
      <c r="DK399" s="26"/>
      <c r="DL399" s="11"/>
      <c r="DM399" s="29"/>
      <c r="DN399" s="28"/>
      <c r="DO399" s="11"/>
      <c r="DP399" s="11"/>
      <c r="DQ399" s="11"/>
      <c r="DR399" s="29"/>
      <c r="DS399" s="28"/>
      <c r="DT399" s="11"/>
      <c r="DU399" s="26"/>
      <c r="DV399" s="11"/>
      <c r="DW399" s="29"/>
      <c r="DX399" s="28"/>
      <c r="DY399" s="11"/>
      <c r="DZ399" s="26"/>
      <c r="EA399" s="11"/>
      <c r="EB399" s="29"/>
      <c r="EC399" s="28"/>
      <c r="ED399" s="30"/>
      <c r="EE399" s="30" t="str">
        <f ca="1">IFERROR(__xludf.DUMMYFUNCTION("iferror(index(filter('Internal -- Trademark Countries'!E$2:E1000, (AM399 = 'Internal -- Trademark Countries'!B$2:B1000) + (AM399 = 'Internal -- Trademark Countries'!C$2:C1000) + (AM399 = 'Internal -- Trademark Countries'!D$2:D1000)), 1))"),"")</f>
        <v/>
      </c>
      <c r="EF399" s="30" t="e">
        <f ca="1">_xludf.ifs(AM399="", "", COUNTIF('Internal -- Trademark Countries'!B:B,AM399) &gt; 0, "polity_shortest_name", COUNTIF('Internal -- Trademark Countries'!C:C,AM399) &gt; 0, "polity_full_name", COUNTIF('Internal -- Trademark Countries'!D:D,AM399) &gt; 0, "polity_common_name", COUNTIF('Internal -- Trademark Countries'!E:E,AM399) &gt; 0, "shortest_name", COUNTIF('Internal -- Trademark Countries'!A:A,AM399) &gt; 0, "full_name", TRUE, "not a match")</f>
        <v>#NAME?</v>
      </c>
      <c r="EG399" s="30"/>
      <c r="EH399" s="30"/>
      <c r="EI399" s="30"/>
      <c r="EJ399" s="30"/>
      <c r="EK399" s="30" t="str">
        <f t="shared" si="3"/>
        <v/>
      </c>
    </row>
    <row r="400" spans="1:141" ht="16.5">
      <c r="A400" s="11"/>
      <c r="B400" s="11"/>
      <c r="C400" s="11"/>
      <c r="D400" s="11"/>
      <c r="E400" s="11"/>
      <c r="F400" s="11"/>
      <c r="G400" s="11"/>
      <c r="H400" s="11"/>
      <c r="I400" s="11"/>
      <c r="J400" s="11"/>
      <c r="K400" s="27"/>
      <c r="L400" s="11"/>
      <c r="M400" s="11"/>
      <c r="N400" s="11"/>
      <c r="O400" s="11"/>
      <c r="P400" s="15"/>
      <c r="Q400" s="15"/>
      <c r="R400" s="15"/>
      <c r="S400" s="15"/>
      <c r="T400" s="15"/>
      <c r="U400" s="15"/>
      <c r="V400" s="15"/>
      <c r="W400" s="47"/>
      <c r="X400" s="11"/>
      <c r="Y400" s="48"/>
      <c r="Z400" s="11"/>
      <c r="AA400" s="48"/>
      <c r="AB400" s="11"/>
      <c r="AC400" s="48"/>
      <c r="AD400" s="11"/>
      <c r="AE400" s="47"/>
      <c r="AF400" s="11"/>
      <c r="AG400" s="48"/>
      <c r="AH400" s="11"/>
      <c r="AI400" s="48"/>
      <c r="AJ400" s="11"/>
      <c r="AK400" s="48"/>
      <c r="AL400" s="11"/>
      <c r="AM400" s="49"/>
      <c r="AN400" s="49"/>
      <c r="AO400" s="11"/>
      <c r="AP400" s="11"/>
      <c r="AQ400" s="28" t="b">
        <f>IF(COUNTIF(SmartStatus!A$2:A1000, AM400) &gt; 2, TRUE, FALSE)</f>
        <v>0</v>
      </c>
      <c r="AR400" s="29" t="str">
        <f ca="1">IFERROR(__xludf.DUMMYFUNCTION("iferror(if(regexmatch(AO400, ""(?i)^registered""), if(EE400 &lt;&gt; ""polity_shortest_name"", ""CHECK_POLITY"", index(filter(SmartStatus!B$2:B1000, AM400 = SmartStatus!A$2:A1000, not(SmartStatus!C$2:C1000), (isblank(SmartStatus!D$2:D1000)) + ((P400 &lt;&gt; """") * "&amp;"(P400 &lt; SmartStatus!D$2:D1000)), (isblank(SmartStatus!E$2:E1000)) + ((P400 &lt;&gt; """") * (P400 &gt;= SmartStatus!E$2:E1000)), (isblank(SmartStatus!F$2:F1000)) + (((Q400 &lt;&gt; """") * (Q400 &lt; SmartStatus!F$2:F1000)) + ((P400 &lt;&gt; """") * (date(year(P400) + 3, month(P"&amp;"400), day(P400)) &lt; SmartStatus!F$2:F1000))), (isblank(SmartStatus!G$2:G1000)) + (((Q400 &lt;&gt; """") * (Q400 &gt;= SmartStatus!G$2:G1000)) + ((P400 &lt;&gt; """") * (P400 &gt;= SmartStatus!G$2:G1000)))), if(or(regexmatch(B400, ""(?i)^ir [a-z]+ designation$""), N400 &lt;&gt; """&amp;"""), 1, 2))), """"), ""NO_MATCH"")"),"")</f>
        <v/>
      </c>
      <c r="AS400" s="11"/>
      <c r="AT400" s="15"/>
      <c r="AU400" s="11"/>
      <c r="AV400" s="11"/>
      <c r="AW400" s="15"/>
      <c r="AX400" s="15"/>
      <c r="AY400" s="15"/>
      <c r="AZ400" s="11"/>
      <c r="BA400" s="15"/>
      <c r="BB400" s="11"/>
      <c r="BC400" s="11"/>
      <c r="BD400" s="15"/>
      <c r="BE400" s="11"/>
      <c r="BF400" s="11"/>
      <c r="BG400" s="15"/>
      <c r="BH400" s="15"/>
      <c r="BI400" s="15"/>
      <c r="BJ400" s="11"/>
      <c r="BK400" s="15"/>
      <c r="BL400" s="11"/>
      <c r="BM400" s="11"/>
      <c r="BN400" s="15"/>
      <c r="BO400" s="11"/>
      <c r="BP400" s="11"/>
      <c r="BQ400" s="15"/>
      <c r="BR400" s="15"/>
      <c r="BS400" s="15"/>
      <c r="BT400" s="11"/>
      <c r="BU400" s="15"/>
      <c r="BV400" s="11"/>
      <c r="BW400" s="11"/>
      <c r="BX400" s="15"/>
      <c r="BY400" s="11"/>
      <c r="BZ400" s="11"/>
      <c r="CA400" s="15"/>
      <c r="CB400" s="11"/>
      <c r="CC400" s="15"/>
      <c r="CD400" s="11"/>
      <c r="CE400" s="15"/>
      <c r="CF400" s="11"/>
      <c r="CG400" s="11"/>
      <c r="CH400" s="15"/>
      <c r="CI400" s="11"/>
      <c r="CJ400" s="11"/>
      <c r="CK400" s="15"/>
      <c r="CL400" s="11"/>
      <c r="CM400" s="11"/>
      <c r="CN400" s="11"/>
      <c r="CO400" s="11"/>
      <c r="CP400" s="28"/>
      <c r="CQ400" s="28"/>
      <c r="CR400" s="11"/>
      <c r="CS400" s="29"/>
      <c r="CT400" s="11"/>
      <c r="CU400" s="11"/>
      <c r="CV400" s="11"/>
      <c r="CW400" s="11"/>
      <c r="CX400" s="11"/>
      <c r="CY400" s="11"/>
      <c r="CZ400" s="11"/>
      <c r="DA400" s="28"/>
      <c r="DB400" s="28"/>
      <c r="DC400" s="11"/>
      <c r="DD400" s="29"/>
      <c r="DE400" s="11"/>
      <c r="DF400" s="11"/>
      <c r="DG400" s="11"/>
      <c r="DH400" s="11"/>
      <c r="DI400" s="11"/>
      <c r="DJ400" s="11"/>
      <c r="DK400" s="26"/>
      <c r="DL400" s="11"/>
      <c r="DM400" s="29"/>
      <c r="DN400" s="28"/>
      <c r="DO400" s="11"/>
      <c r="DP400" s="11"/>
      <c r="DQ400" s="11"/>
      <c r="DR400" s="29"/>
      <c r="DS400" s="28"/>
      <c r="DT400" s="11"/>
      <c r="DU400" s="26"/>
      <c r="DV400" s="11"/>
      <c r="DW400" s="29"/>
      <c r="DX400" s="28"/>
      <c r="DY400" s="11"/>
      <c r="DZ400" s="26"/>
      <c r="EA400" s="11"/>
      <c r="EB400" s="29"/>
      <c r="EC400" s="28"/>
      <c r="ED400" s="30"/>
      <c r="EE400" s="30" t="str">
        <f ca="1">IFERROR(__xludf.DUMMYFUNCTION("iferror(index(filter('Internal -- Trademark Countries'!E$2:E1000, (AM400 = 'Internal -- Trademark Countries'!B$2:B1000) + (AM400 = 'Internal -- Trademark Countries'!C$2:C1000) + (AM400 = 'Internal -- Trademark Countries'!D$2:D1000)), 1))"),"")</f>
        <v/>
      </c>
      <c r="EF400" s="30" t="e">
        <f ca="1">_xludf.ifs(AM400="", "", COUNTIF('Internal -- Trademark Countries'!B:B,AM400) &gt; 0, "polity_shortest_name", COUNTIF('Internal -- Trademark Countries'!C:C,AM400) &gt; 0, "polity_full_name", COUNTIF('Internal -- Trademark Countries'!D:D,AM400) &gt; 0, "polity_common_name", COUNTIF('Internal -- Trademark Countries'!E:E,AM400) &gt; 0, "shortest_name", COUNTIF('Internal -- Trademark Countries'!A:A,AM400) &gt; 0, "full_name", TRUE, "not a match")</f>
        <v>#NAME?</v>
      </c>
      <c r="EG400" s="30"/>
      <c r="EH400" s="30"/>
      <c r="EI400" s="30"/>
      <c r="EJ400" s="30"/>
      <c r="EK400" s="30" t="str">
        <f t="shared" si="3"/>
        <v/>
      </c>
    </row>
    <row r="401" spans="1:141" ht="16.5">
      <c r="A401" s="11"/>
      <c r="B401" s="11"/>
      <c r="C401" s="11"/>
      <c r="D401" s="11"/>
      <c r="E401" s="11"/>
      <c r="F401" s="11"/>
      <c r="G401" s="11"/>
      <c r="H401" s="11"/>
      <c r="I401" s="11"/>
      <c r="J401" s="11"/>
      <c r="K401" s="27"/>
      <c r="L401" s="11"/>
      <c r="M401" s="11"/>
      <c r="N401" s="11"/>
      <c r="O401" s="11"/>
      <c r="P401" s="15"/>
      <c r="Q401" s="15"/>
      <c r="R401" s="15"/>
      <c r="S401" s="15"/>
      <c r="T401" s="15"/>
      <c r="U401" s="15"/>
      <c r="V401" s="15"/>
      <c r="W401" s="47"/>
      <c r="X401" s="11"/>
      <c r="Y401" s="48"/>
      <c r="Z401" s="11"/>
      <c r="AA401" s="48"/>
      <c r="AB401" s="11"/>
      <c r="AC401" s="48"/>
      <c r="AD401" s="11"/>
      <c r="AE401" s="47"/>
      <c r="AF401" s="11"/>
      <c r="AG401" s="48"/>
      <c r="AH401" s="11"/>
      <c r="AI401" s="48"/>
      <c r="AJ401" s="11"/>
      <c r="AK401" s="48"/>
      <c r="AL401" s="11"/>
      <c r="AM401" s="49"/>
      <c r="AN401" s="49"/>
      <c r="AO401" s="11"/>
      <c r="AP401" s="11"/>
      <c r="AQ401" s="28" t="b">
        <f>IF(COUNTIF(SmartStatus!A$2:A1000, AM401) &gt; 2, TRUE, FALSE)</f>
        <v>0</v>
      </c>
      <c r="AR401" s="29" t="str">
        <f ca="1">IFERROR(__xludf.DUMMYFUNCTION("iferror(if(regexmatch(AO401, ""(?i)^registered""), if(EE401 &lt;&gt; ""polity_shortest_name"", ""CHECK_POLITY"", index(filter(SmartStatus!B$2:B1000, AM401 = SmartStatus!A$2:A1000, not(SmartStatus!C$2:C1000), (isblank(SmartStatus!D$2:D1000)) + ((P401 &lt;&gt; """") * "&amp;"(P401 &lt; SmartStatus!D$2:D1000)), (isblank(SmartStatus!E$2:E1000)) + ((P401 &lt;&gt; """") * (P401 &gt;= SmartStatus!E$2:E1000)), (isblank(SmartStatus!F$2:F1000)) + (((Q401 &lt;&gt; """") * (Q401 &lt; SmartStatus!F$2:F1000)) + ((P401 &lt;&gt; """") * (date(year(P401) + 3, month(P"&amp;"401), day(P401)) &lt; SmartStatus!F$2:F1000))), (isblank(SmartStatus!G$2:G1000)) + (((Q401 &lt;&gt; """") * (Q401 &gt;= SmartStatus!G$2:G1000)) + ((P401 &lt;&gt; """") * (P401 &gt;= SmartStatus!G$2:G1000)))), if(or(regexmatch(B401, ""(?i)^ir [a-z]+ designation$""), N401 &lt;&gt; """&amp;"""), 1, 2))), """"), ""NO_MATCH"")"),"")</f>
        <v/>
      </c>
      <c r="AS401" s="11"/>
      <c r="AT401" s="15"/>
      <c r="AU401" s="11"/>
      <c r="AV401" s="11"/>
      <c r="AW401" s="15"/>
      <c r="AX401" s="15"/>
      <c r="AY401" s="15"/>
      <c r="AZ401" s="11"/>
      <c r="BA401" s="15"/>
      <c r="BB401" s="11"/>
      <c r="BC401" s="11"/>
      <c r="BD401" s="15"/>
      <c r="BE401" s="11"/>
      <c r="BF401" s="11"/>
      <c r="BG401" s="15"/>
      <c r="BH401" s="15"/>
      <c r="BI401" s="15"/>
      <c r="BJ401" s="11"/>
      <c r="BK401" s="15"/>
      <c r="BL401" s="11"/>
      <c r="BM401" s="11"/>
      <c r="BN401" s="15"/>
      <c r="BO401" s="11"/>
      <c r="BP401" s="11"/>
      <c r="BQ401" s="15"/>
      <c r="BR401" s="15"/>
      <c r="BS401" s="15"/>
      <c r="BT401" s="11"/>
      <c r="BU401" s="15"/>
      <c r="BV401" s="11"/>
      <c r="BW401" s="11"/>
      <c r="BX401" s="15"/>
      <c r="BY401" s="11"/>
      <c r="BZ401" s="11"/>
      <c r="CA401" s="15"/>
      <c r="CB401" s="11"/>
      <c r="CC401" s="15"/>
      <c r="CD401" s="11"/>
      <c r="CE401" s="15"/>
      <c r="CF401" s="11"/>
      <c r="CG401" s="11"/>
      <c r="CH401" s="15"/>
      <c r="CI401" s="11"/>
      <c r="CJ401" s="11"/>
      <c r="CK401" s="15"/>
      <c r="CL401" s="11"/>
      <c r="CM401" s="11"/>
      <c r="CN401" s="11"/>
      <c r="CO401" s="11"/>
      <c r="CP401" s="28"/>
      <c r="CQ401" s="28"/>
      <c r="CR401" s="11"/>
      <c r="CS401" s="29"/>
      <c r="CT401" s="11"/>
      <c r="CU401" s="11"/>
      <c r="CV401" s="11"/>
      <c r="CW401" s="11"/>
      <c r="CX401" s="11"/>
      <c r="CY401" s="11"/>
      <c r="CZ401" s="11"/>
      <c r="DA401" s="28"/>
      <c r="DB401" s="28"/>
      <c r="DC401" s="11"/>
      <c r="DD401" s="29"/>
      <c r="DE401" s="11"/>
      <c r="DF401" s="11"/>
      <c r="DG401" s="11"/>
      <c r="DH401" s="11"/>
      <c r="DI401" s="11"/>
      <c r="DJ401" s="11"/>
      <c r="DK401" s="26"/>
      <c r="DL401" s="11"/>
      <c r="DM401" s="29"/>
      <c r="DN401" s="28"/>
      <c r="DO401" s="11"/>
      <c r="DP401" s="11"/>
      <c r="DQ401" s="11"/>
      <c r="DR401" s="29"/>
      <c r="DS401" s="28"/>
      <c r="DT401" s="11"/>
      <c r="DU401" s="26"/>
      <c r="DV401" s="11"/>
      <c r="DW401" s="29"/>
      <c r="DX401" s="28"/>
      <c r="DY401" s="11"/>
      <c r="DZ401" s="26"/>
      <c r="EA401" s="11"/>
      <c r="EB401" s="29"/>
      <c r="EC401" s="28"/>
      <c r="ED401" s="30"/>
      <c r="EE401" s="30" t="str">
        <f ca="1">IFERROR(__xludf.DUMMYFUNCTION("iferror(index(filter('Internal -- Trademark Countries'!E$2:E1000, (AM401 = 'Internal -- Trademark Countries'!B$2:B1000) + (AM401 = 'Internal -- Trademark Countries'!C$2:C1000) + (AM401 = 'Internal -- Trademark Countries'!D$2:D1000)), 1))"),"")</f>
        <v/>
      </c>
      <c r="EF401" s="30" t="e">
        <f ca="1">_xludf.ifs(AM401="", "", COUNTIF('Internal -- Trademark Countries'!B:B,AM401) &gt; 0, "polity_shortest_name", COUNTIF('Internal -- Trademark Countries'!C:C,AM401) &gt; 0, "polity_full_name", COUNTIF('Internal -- Trademark Countries'!D:D,AM401) &gt; 0, "polity_common_name", COUNTIF('Internal -- Trademark Countries'!E:E,AM401) &gt; 0, "shortest_name", COUNTIF('Internal -- Trademark Countries'!A:A,AM401) &gt; 0, "full_name", TRUE, "not a match")</f>
        <v>#NAME?</v>
      </c>
      <c r="EG401" s="30"/>
      <c r="EH401" s="30"/>
      <c r="EI401" s="30"/>
      <c r="EJ401" s="30"/>
      <c r="EK401" s="30" t="str">
        <f t="shared" si="3"/>
        <v/>
      </c>
    </row>
    <row r="402" spans="1:141" ht="16.5">
      <c r="A402" s="11"/>
      <c r="B402" s="11"/>
      <c r="C402" s="11"/>
      <c r="D402" s="11"/>
      <c r="E402" s="11"/>
      <c r="F402" s="11"/>
      <c r="G402" s="11"/>
      <c r="H402" s="11"/>
      <c r="I402" s="11"/>
      <c r="J402" s="11"/>
      <c r="K402" s="27"/>
      <c r="L402" s="11"/>
      <c r="M402" s="11"/>
      <c r="N402" s="11"/>
      <c r="O402" s="11"/>
      <c r="P402" s="15"/>
      <c r="Q402" s="15"/>
      <c r="R402" s="15"/>
      <c r="S402" s="15"/>
      <c r="T402" s="15"/>
      <c r="U402" s="15"/>
      <c r="V402" s="15"/>
      <c r="W402" s="47"/>
      <c r="X402" s="11"/>
      <c r="Y402" s="48"/>
      <c r="Z402" s="11"/>
      <c r="AA402" s="48"/>
      <c r="AB402" s="11"/>
      <c r="AC402" s="48"/>
      <c r="AD402" s="11"/>
      <c r="AE402" s="47"/>
      <c r="AF402" s="11"/>
      <c r="AG402" s="48"/>
      <c r="AH402" s="11"/>
      <c r="AI402" s="48"/>
      <c r="AJ402" s="11"/>
      <c r="AK402" s="48"/>
      <c r="AL402" s="11"/>
      <c r="AM402" s="49"/>
      <c r="AN402" s="49"/>
      <c r="AO402" s="11"/>
      <c r="AP402" s="11"/>
      <c r="AQ402" s="28" t="b">
        <f>IF(COUNTIF(SmartStatus!A$2:A1000, AM402) &gt; 2, TRUE, FALSE)</f>
        <v>0</v>
      </c>
      <c r="AR402" s="29" t="str">
        <f ca="1">IFERROR(__xludf.DUMMYFUNCTION("iferror(if(regexmatch(AO402, ""(?i)^registered""), if(EE402 &lt;&gt; ""polity_shortest_name"", ""CHECK_POLITY"", index(filter(SmartStatus!B$2:B1000, AM402 = SmartStatus!A$2:A1000, not(SmartStatus!C$2:C1000), (isblank(SmartStatus!D$2:D1000)) + ((P402 &lt;&gt; """") * "&amp;"(P402 &lt; SmartStatus!D$2:D1000)), (isblank(SmartStatus!E$2:E1000)) + ((P402 &lt;&gt; """") * (P402 &gt;= SmartStatus!E$2:E1000)), (isblank(SmartStatus!F$2:F1000)) + (((Q402 &lt;&gt; """") * (Q402 &lt; SmartStatus!F$2:F1000)) + ((P402 &lt;&gt; """") * (date(year(P402) + 3, month(P"&amp;"402), day(P402)) &lt; SmartStatus!F$2:F1000))), (isblank(SmartStatus!G$2:G1000)) + (((Q402 &lt;&gt; """") * (Q402 &gt;= SmartStatus!G$2:G1000)) + ((P402 &lt;&gt; """") * (P402 &gt;= SmartStatus!G$2:G1000)))), if(or(regexmatch(B402, ""(?i)^ir [a-z]+ designation$""), N402 &lt;&gt; """&amp;"""), 1, 2))), """"), ""NO_MATCH"")"),"")</f>
        <v/>
      </c>
      <c r="AS402" s="11"/>
      <c r="AT402" s="15"/>
      <c r="AU402" s="11"/>
      <c r="AV402" s="11"/>
      <c r="AW402" s="15"/>
      <c r="AX402" s="15"/>
      <c r="AY402" s="15"/>
      <c r="AZ402" s="11"/>
      <c r="BA402" s="15"/>
      <c r="BB402" s="11"/>
      <c r="BC402" s="11"/>
      <c r="BD402" s="15"/>
      <c r="BE402" s="11"/>
      <c r="BF402" s="11"/>
      <c r="BG402" s="15"/>
      <c r="BH402" s="15"/>
      <c r="BI402" s="15"/>
      <c r="BJ402" s="11"/>
      <c r="BK402" s="15"/>
      <c r="BL402" s="11"/>
      <c r="BM402" s="11"/>
      <c r="BN402" s="15"/>
      <c r="BO402" s="11"/>
      <c r="BP402" s="11"/>
      <c r="BQ402" s="15"/>
      <c r="BR402" s="15"/>
      <c r="BS402" s="15"/>
      <c r="BT402" s="11"/>
      <c r="BU402" s="15"/>
      <c r="BV402" s="11"/>
      <c r="BW402" s="11"/>
      <c r="BX402" s="15"/>
      <c r="BY402" s="11"/>
      <c r="BZ402" s="11"/>
      <c r="CA402" s="15"/>
      <c r="CB402" s="11"/>
      <c r="CC402" s="15"/>
      <c r="CD402" s="11"/>
      <c r="CE402" s="15"/>
      <c r="CF402" s="11"/>
      <c r="CG402" s="11"/>
      <c r="CH402" s="15"/>
      <c r="CI402" s="11"/>
      <c r="CJ402" s="11"/>
      <c r="CK402" s="15"/>
      <c r="CL402" s="11"/>
      <c r="CM402" s="11"/>
      <c r="CN402" s="11"/>
      <c r="CO402" s="11"/>
      <c r="CP402" s="28"/>
      <c r="CQ402" s="28"/>
      <c r="CR402" s="11"/>
      <c r="CS402" s="29"/>
      <c r="CT402" s="11"/>
      <c r="CU402" s="11"/>
      <c r="CV402" s="11"/>
      <c r="CW402" s="11"/>
      <c r="CX402" s="11"/>
      <c r="CY402" s="11"/>
      <c r="CZ402" s="11"/>
      <c r="DA402" s="28"/>
      <c r="DB402" s="28"/>
      <c r="DC402" s="11"/>
      <c r="DD402" s="29"/>
      <c r="DE402" s="11"/>
      <c r="DF402" s="11"/>
      <c r="DG402" s="11"/>
      <c r="DH402" s="11"/>
      <c r="DI402" s="11"/>
      <c r="DJ402" s="11"/>
      <c r="DK402" s="26"/>
      <c r="DL402" s="11"/>
      <c r="DM402" s="29"/>
      <c r="DN402" s="28"/>
      <c r="DO402" s="11"/>
      <c r="DP402" s="11"/>
      <c r="DQ402" s="11"/>
      <c r="DR402" s="29"/>
      <c r="DS402" s="28"/>
      <c r="DT402" s="11"/>
      <c r="DU402" s="26"/>
      <c r="DV402" s="11"/>
      <c r="DW402" s="29"/>
      <c r="DX402" s="28"/>
      <c r="DY402" s="11"/>
      <c r="DZ402" s="26"/>
      <c r="EA402" s="11"/>
      <c r="EB402" s="29"/>
      <c r="EC402" s="28"/>
      <c r="ED402" s="30"/>
      <c r="EE402" s="30" t="str">
        <f ca="1">IFERROR(__xludf.DUMMYFUNCTION("iferror(index(filter('Internal -- Trademark Countries'!E$2:E1000, (AM402 = 'Internal -- Trademark Countries'!B$2:B1000) + (AM402 = 'Internal -- Trademark Countries'!C$2:C1000) + (AM402 = 'Internal -- Trademark Countries'!D$2:D1000)), 1))"),"")</f>
        <v/>
      </c>
      <c r="EF402" s="30" t="e">
        <f ca="1">_xludf.ifs(AM402="", "", COUNTIF('Internal -- Trademark Countries'!B:B,AM402) &gt; 0, "polity_shortest_name", COUNTIF('Internal -- Trademark Countries'!C:C,AM402) &gt; 0, "polity_full_name", COUNTIF('Internal -- Trademark Countries'!D:D,AM402) &gt; 0, "polity_common_name", COUNTIF('Internal -- Trademark Countries'!E:E,AM402) &gt; 0, "shortest_name", COUNTIF('Internal -- Trademark Countries'!A:A,AM402) &gt; 0, "full_name", TRUE, "not a match")</f>
        <v>#NAME?</v>
      </c>
      <c r="EG402" s="30"/>
      <c r="EH402" s="30"/>
      <c r="EI402" s="30"/>
      <c r="EJ402" s="30"/>
      <c r="EK402" s="30" t="str">
        <f t="shared" si="3"/>
        <v/>
      </c>
    </row>
    <row r="403" spans="1:141" ht="16.5">
      <c r="A403" s="11"/>
      <c r="B403" s="11"/>
      <c r="C403" s="11"/>
      <c r="D403" s="11"/>
      <c r="E403" s="11"/>
      <c r="F403" s="11"/>
      <c r="G403" s="11"/>
      <c r="H403" s="11"/>
      <c r="I403" s="11"/>
      <c r="J403" s="11"/>
      <c r="K403" s="27"/>
      <c r="L403" s="11"/>
      <c r="M403" s="11"/>
      <c r="N403" s="11"/>
      <c r="O403" s="11"/>
      <c r="P403" s="15"/>
      <c r="Q403" s="15"/>
      <c r="R403" s="15"/>
      <c r="S403" s="15"/>
      <c r="T403" s="15"/>
      <c r="U403" s="15"/>
      <c r="V403" s="15"/>
      <c r="W403" s="47"/>
      <c r="X403" s="11"/>
      <c r="Y403" s="48"/>
      <c r="Z403" s="11"/>
      <c r="AA403" s="48"/>
      <c r="AB403" s="11"/>
      <c r="AC403" s="48"/>
      <c r="AD403" s="11"/>
      <c r="AE403" s="47"/>
      <c r="AF403" s="11"/>
      <c r="AG403" s="48"/>
      <c r="AH403" s="11"/>
      <c r="AI403" s="48"/>
      <c r="AJ403" s="11"/>
      <c r="AK403" s="48"/>
      <c r="AL403" s="11"/>
      <c r="AM403" s="49"/>
      <c r="AN403" s="49"/>
      <c r="AO403" s="11"/>
      <c r="AP403" s="11"/>
      <c r="AQ403" s="28" t="b">
        <f>IF(COUNTIF(SmartStatus!A$2:A1000, AM403) &gt; 2, TRUE, FALSE)</f>
        <v>0</v>
      </c>
      <c r="AR403" s="29" t="str">
        <f ca="1">IFERROR(__xludf.DUMMYFUNCTION("iferror(if(regexmatch(AO403, ""(?i)^registered""), if(EE403 &lt;&gt; ""polity_shortest_name"", ""CHECK_POLITY"", index(filter(SmartStatus!B$2:B1000, AM403 = SmartStatus!A$2:A1000, not(SmartStatus!C$2:C1000), (isblank(SmartStatus!D$2:D1000)) + ((P403 &lt;&gt; """") * "&amp;"(P403 &lt; SmartStatus!D$2:D1000)), (isblank(SmartStatus!E$2:E1000)) + ((P403 &lt;&gt; """") * (P403 &gt;= SmartStatus!E$2:E1000)), (isblank(SmartStatus!F$2:F1000)) + (((Q403 &lt;&gt; """") * (Q403 &lt; SmartStatus!F$2:F1000)) + ((P403 &lt;&gt; """") * (date(year(P403) + 3, month(P"&amp;"403), day(P403)) &lt; SmartStatus!F$2:F1000))), (isblank(SmartStatus!G$2:G1000)) + (((Q403 &lt;&gt; """") * (Q403 &gt;= SmartStatus!G$2:G1000)) + ((P403 &lt;&gt; """") * (P403 &gt;= SmartStatus!G$2:G1000)))), if(or(regexmatch(B403, ""(?i)^ir [a-z]+ designation$""), N403 &lt;&gt; """&amp;"""), 1, 2))), """"), ""NO_MATCH"")"),"")</f>
        <v/>
      </c>
      <c r="AS403" s="11"/>
      <c r="AT403" s="15"/>
      <c r="AU403" s="11"/>
      <c r="AV403" s="11"/>
      <c r="AW403" s="15"/>
      <c r="AX403" s="15"/>
      <c r="AY403" s="15"/>
      <c r="AZ403" s="11"/>
      <c r="BA403" s="15"/>
      <c r="BB403" s="11"/>
      <c r="BC403" s="11"/>
      <c r="BD403" s="15"/>
      <c r="BE403" s="11"/>
      <c r="BF403" s="11"/>
      <c r="BG403" s="15"/>
      <c r="BH403" s="15"/>
      <c r="BI403" s="15"/>
      <c r="BJ403" s="11"/>
      <c r="BK403" s="15"/>
      <c r="BL403" s="11"/>
      <c r="BM403" s="11"/>
      <c r="BN403" s="15"/>
      <c r="BO403" s="11"/>
      <c r="BP403" s="11"/>
      <c r="BQ403" s="15"/>
      <c r="BR403" s="15"/>
      <c r="BS403" s="15"/>
      <c r="BT403" s="11"/>
      <c r="BU403" s="15"/>
      <c r="BV403" s="11"/>
      <c r="BW403" s="11"/>
      <c r="BX403" s="15"/>
      <c r="BY403" s="11"/>
      <c r="BZ403" s="11"/>
      <c r="CA403" s="15"/>
      <c r="CB403" s="11"/>
      <c r="CC403" s="15"/>
      <c r="CD403" s="11"/>
      <c r="CE403" s="15"/>
      <c r="CF403" s="11"/>
      <c r="CG403" s="11"/>
      <c r="CH403" s="15"/>
      <c r="CI403" s="11"/>
      <c r="CJ403" s="11"/>
      <c r="CK403" s="15"/>
      <c r="CL403" s="11"/>
      <c r="CM403" s="11"/>
      <c r="CN403" s="11"/>
      <c r="CO403" s="11"/>
      <c r="CP403" s="28"/>
      <c r="CQ403" s="28"/>
      <c r="CR403" s="11"/>
      <c r="CS403" s="29"/>
      <c r="CT403" s="11"/>
      <c r="CU403" s="11"/>
      <c r="CV403" s="11"/>
      <c r="CW403" s="11"/>
      <c r="CX403" s="11"/>
      <c r="CY403" s="11"/>
      <c r="CZ403" s="11"/>
      <c r="DA403" s="28"/>
      <c r="DB403" s="28"/>
      <c r="DC403" s="11"/>
      <c r="DD403" s="29"/>
      <c r="DE403" s="11"/>
      <c r="DF403" s="11"/>
      <c r="DG403" s="11"/>
      <c r="DH403" s="11"/>
      <c r="DI403" s="11"/>
      <c r="DJ403" s="11"/>
      <c r="DK403" s="26"/>
      <c r="DL403" s="11"/>
      <c r="DM403" s="29"/>
      <c r="DN403" s="28"/>
      <c r="DO403" s="11"/>
      <c r="DP403" s="11"/>
      <c r="DQ403" s="11"/>
      <c r="DR403" s="29"/>
      <c r="DS403" s="28"/>
      <c r="DT403" s="11"/>
      <c r="DU403" s="26"/>
      <c r="DV403" s="11"/>
      <c r="DW403" s="29"/>
      <c r="DX403" s="28"/>
      <c r="DY403" s="11"/>
      <c r="DZ403" s="26"/>
      <c r="EA403" s="11"/>
      <c r="EB403" s="29"/>
      <c r="EC403" s="28"/>
      <c r="ED403" s="30"/>
      <c r="EE403" s="30" t="str">
        <f ca="1">IFERROR(__xludf.DUMMYFUNCTION("iferror(index(filter('Internal -- Trademark Countries'!E$2:E1000, (AM403 = 'Internal -- Trademark Countries'!B$2:B1000) + (AM403 = 'Internal -- Trademark Countries'!C$2:C1000) + (AM403 = 'Internal -- Trademark Countries'!D$2:D1000)), 1))"),"")</f>
        <v/>
      </c>
      <c r="EF403" s="30" t="e">
        <f ca="1">_xludf.ifs(AM403="", "", COUNTIF('Internal -- Trademark Countries'!B:B,AM403) &gt; 0, "polity_shortest_name", COUNTIF('Internal -- Trademark Countries'!C:C,AM403) &gt; 0, "polity_full_name", COUNTIF('Internal -- Trademark Countries'!D:D,AM403) &gt; 0, "polity_common_name", COUNTIF('Internal -- Trademark Countries'!E:E,AM403) &gt; 0, "shortest_name", COUNTIF('Internal -- Trademark Countries'!A:A,AM403) &gt; 0, "full_name", TRUE, "not a match")</f>
        <v>#NAME?</v>
      </c>
      <c r="EG403" s="30"/>
      <c r="EH403" s="30"/>
      <c r="EI403" s="30"/>
      <c r="EJ403" s="30"/>
      <c r="EK403" s="30" t="str">
        <f t="shared" si="3"/>
        <v/>
      </c>
    </row>
    <row r="404" spans="1:141" ht="16.5">
      <c r="A404" s="11"/>
      <c r="B404" s="11"/>
      <c r="C404" s="11"/>
      <c r="D404" s="11"/>
      <c r="E404" s="11"/>
      <c r="F404" s="11"/>
      <c r="G404" s="11"/>
      <c r="H404" s="11"/>
      <c r="I404" s="11"/>
      <c r="J404" s="11"/>
      <c r="K404" s="27"/>
      <c r="L404" s="11"/>
      <c r="M404" s="11"/>
      <c r="N404" s="11"/>
      <c r="O404" s="11"/>
      <c r="P404" s="15"/>
      <c r="Q404" s="15"/>
      <c r="R404" s="15"/>
      <c r="S404" s="15"/>
      <c r="T404" s="15"/>
      <c r="U404" s="15"/>
      <c r="V404" s="15"/>
      <c r="W404" s="47"/>
      <c r="X404" s="11"/>
      <c r="Y404" s="48"/>
      <c r="Z404" s="11"/>
      <c r="AA404" s="48"/>
      <c r="AB404" s="11"/>
      <c r="AC404" s="48"/>
      <c r="AD404" s="11"/>
      <c r="AE404" s="47"/>
      <c r="AF404" s="11"/>
      <c r="AG404" s="48"/>
      <c r="AH404" s="11"/>
      <c r="AI404" s="48"/>
      <c r="AJ404" s="11"/>
      <c r="AK404" s="48"/>
      <c r="AL404" s="11"/>
      <c r="AM404" s="49"/>
      <c r="AN404" s="49"/>
      <c r="AO404" s="11"/>
      <c r="AP404" s="11"/>
      <c r="AQ404" s="28" t="b">
        <f>IF(COUNTIF(SmartStatus!A$2:A1000, AM404) &gt; 2, TRUE, FALSE)</f>
        <v>0</v>
      </c>
      <c r="AR404" s="29" t="str">
        <f ca="1">IFERROR(__xludf.DUMMYFUNCTION("iferror(if(regexmatch(AO404, ""(?i)^registered""), if(EE404 &lt;&gt; ""polity_shortest_name"", ""CHECK_POLITY"", index(filter(SmartStatus!B$2:B1000, AM404 = SmartStatus!A$2:A1000, not(SmartStatus!C$2:C1000), (isblank(SmartStatus!D$2:D1000)) + ((P404 &lt;&gt; """") * "&amp;"(P404 &lt; SmartStatus!D$2:D1000)), (isblank(SmartStatus!E$2:E1000)) + ((P404 &lt;&gt; """") * (P404 &gt;= SmartStatus!E$2:E1000)), (isblank(SmartStatus!F$2:F1000)) + (((Q404 &lt;&gt; """") * (Q404 &lt; SmartStatus!F$2:F1000)) + ((P404 &lt;&gt; """") * (date(year(P404) + 3, month(P"&amp;"404), day(P404)) &lt; SmartStatus!F$2:F1000))), (isblank(SmartStatus!G$2:G1000)) + (((Q404 &lt;&gt; """") * (Q404 &gt;= SmartStatus!G$2:G1000)) + ((P404 &lt;&gt; """") * (P404 &gt;= SmartStatus!G$2:G1000)))), if(or(regexmatch(B404, ""(?i)^ir [a-z]+ designation$""), N404 &lt;&gt; """&amp;"""), 1, 2))), """"), ""NO_MATCH"")"),"")</f>
        <v/>
      </c>
      <c r="AS404" s="11"/>
      <c r="AT404" s="15"/>
      <c r="AU404" s="11"/>
      <c r="AV404" s="11"/>
      <c r="AW404" s="15"/>
      <c r="AX404" s="15"/>
      <c r="AY404" s="15"/>
      <c r="AZ404" s="11"/>
      <c r="BA404" s="15"/>
      <c r="BB404" s="11"/>
      <c r="BC404" s="11"/>
      <c r="BD404" s="15"/>
      <c r="BE404" s="11"/>
      <c r="BF404" s="11"/>
      <c r="BG404" s="15"/>
      <c r="BH404" s="15"/>
      <c r="BI404" s="15"/>
      <c r="BJ404" s="11"/>
      <c r="BK404" s="15"/>
      <c r="BL404" s="11"/>
      <c r="BM404" s="11"/>
      <c r="BN404" s="15"/>
      <c r="BO404" s="11"/>
      <c r="BP404" s="11"/>
      <c r="BQ404" s="15"/>
      <c r="BR404" s="15"/>
      <c r="BS404" s="15"/>
      <c r="BT404" s="11"/>
      <c r="BU404" s="15"/>
      <c r="BV404" s="11"/>
      <c r="BW404" s="11"/>
      <c r="BX404" s="15"/>
      <c r="BY404" s="11"/>
      <c r="BZ404" s="11"/>
      <c r="CA404" s="15"/>
      <c r="CB404" s="11"/>
      <c r="CC404" s="15"/>
      <c r="CD404" s="11"/>
      <c r="CE404" s="15"/>
      <c r="CF404" s="11"/>
      <c r="CG404" s="11"/>
      <c r="CH404" s="15"/>
      <c r="CI404" s="11"/>
      <c r="CJ404" s="11"/>
      <c r="CK404" s="15"/>
      <c r="CL404" s="11"/>
      <c r="CM404" s="11"/>
      <c r="CN404" s="11"/>
      <c r="CO404" s="11"/>
      <c r="CP404" s="28"/>
      <c r="CQ404" s="28"/>
      <c r="CR404" s="11"/>
      <c r="CS404" s="29"/>
      <c r="CT404" s="11"/>
      <c r="CU404" s="11"/>
      <c r="CV404" s="11"/>
      <c r="CW404" s="11"/>
      <c r="CX404" s="11"/>
      <c r="CY404" s="11"/>
      <c r="CZ404" s="11"/>
      <c r="DA404" s="28"/>
      <c r="DB404" s="28"/>
      <c r="DC404" s="11"/>
      <c r="DD404" s="29"/>
      <c r="DE404" s="11"/>
      <c r="DF404" s="11"/>
      <c r="DG404" s="11"/>
      <c r="DH404" s="11"/>
      <c r="DI404" s="11"/>
      <c r="DJ404" s="11"/>
      <c r="DK404" s="26"/>
      <c r="DL404" s="11"/>
      <c r="DM404" s="29"/>
      <c r="DN404" s="28"/>
      <c r="DO404" s="11"/>
      <c r="DP404" s="11"/>
      <c r="DQ404" s="11"/>
      <c r="DR404" s="29"/>
      <c r="DS404" s="28"/>
      <c r="DT404" s="11"/>
      <c r="DU404" s="26"/>
      <c r="DV404" s="11"/>
      <c r="DW404" s="29"/>
      <c r="DX404" s="28"/>
      <c r="DY404" s="11"/>
      <c r="DZ404" s="26"/>
      <c r="EA404" s="11"/>
      <c r="EB404" s="29"/>
      <c r="EC404" s="28"/>
      <c r="ED404" s="30"/>
      <c r="EE404" s="30" t="str">
        <f ca="1">IFERROR(__xludf.DUMMYFUNCTION("iferror(index(filter('Internal -- Trademark Countries'!E$2:E1000, (AM404 = 'Internal -- Trademark Countries'!B$2:B1000) + (AM404 = 'Internal -- Trademark Countries'!C$2:C1000) + (AM404 = 'Internal -- Trademark Countries'!D$2:D1000)), 1))"),"")</f>
        <v/>
      </c>
      <c r="EF404" s="30" t="e">
        <f ca="1">_xludf.ifs(AM404="", "", COUNTIF('Internal -- Trademark Countries'!B:B,AM404) &gt; 0, "polity_shortest_name", COUNTIF('Internal -- Trademark Countries'!C:C,AM404) &gt; 0, "polity_full_name", COUNTIF('Internal -- Trademark Countries'!D:D,AM404) &gt; 0, "polity_common_name", COUNTIF('Internal -- Trademark Countries'!E:E,AM404) &gt; 0, "shortest_name", COUNTIF('Internal -- Trademark Countries'!A:A,AM404) &gt; 0, "full_name", TRUE, "not a match")</f>
        <v>#NAME?</v>
      </c>
      <c r="EG404" s="30"/>
      <c r="EH404" s="30"/>
      <c r="EI404" s="30"/>
      <c r="EJ404" s="30"/>
      <c r="EK404" s="30" t="str">
        <f t="shared" si="3"/>
        <v/>
      </c>
    </row>
    <row r="405" spans="1:141" ht="16.5">
      <c r="A405" s="11"/>
      <c r="B405" s="11"/>
      <c r="C405" s="11"/>
      <c r="D405" s="11"/>
      <c r="E405" s="11"/>
      <c r="F405" s="11"/>
      <c r="G405" s="11"/>
      <c r="H405" s="11"/>
      <c r="I405" s="11"/>
      <c r="J405" s="11"/>
      <c r="K405" s="27"/>
      <c r="L405" s="11"/>
      <c r="M405" s="11"/>
      <c r="N405" s="11"/>
      <c r="O405" s="11"/>
      <c r="P405" s="15"/>
      <c r="Q405" s="15"/>
      <c r="R405" s="15"/>
      <c r="S405" s="15"/>
      <c r="T405" s="15"/>
      <c r="U405" s="15"/>
      <c r="V405" s="15"/>
      <c r="W405" s="47"/>
      <c r="X405" s="11"/>
      <c r="Y405" s="48"/>
      <c r="Z405" s="11"/>
      <c r="AA405" s="48"/>
      <c r="AB405" s="11"/>
      <c r="AC405" s="48"/>
      <c r="AD405" s="11"/>
      <c r="AE405" s="47"/>
      <c r="AF405" s="11"/>
      <c r="AG405" s="48"/>
      <c r="AH405" s="11"/>
      <c r="AI405" s="48"/>
      <c r="AJ405" s="11"/>
      <c r="AK405" s="48"/>
      <c r="AL405" s="11"/>
      <c r="AM405" s="49"/>
      <c r="AN405" s="49"/>
      <c r="AO405" s="11"/>
      <c r="AP405" s="11"/>
      <c r="AQ405" s="28" t="b">
        <f>IF(COUNTIF(SmartStatus!A$2:A1000, AM405) &gt; 2, TRUE, FALSE)</f>
        <v>0</v>
      </c>
      <c r="AR405" s="29" t="str">
        <f ca="1">IFERROR(__xludf.DUMMYFUNCTION("iferror(if(regexmatch(AO405, ""(?i)^registered""), if(EE405 &lt;&gt; ""polity_shortest_name"", ""CHECK_POLITY"", index(filter(SmartStatus!B$2:B1000, AM405 = SmartStatus!A$2:A1000, not(SmartStatus!C$2:C1000), (isblank(SmartStatus!D$2:D1000)) + ((P405 &lt;&gt; """") * "&amp;"(P405 &lt; SmartStatus!D$2:D1000)), (isblank(SmartStatus!E$2:E1000)) + ((P405 &lt;&gt; """") * (P405 &gt;= SmartStatus!E$2:E1000)), (isblank(SmartStatus!F$2:F1000)) + (((Q405 &lt;&gt; """") * (Q405 &lt; SmartStatus!F$2:F1000)) + ((P405 &lt;&gt; """") * (date(year(P405) + 3, month(P"&amp;"405), day(P405)) &lt; SmartStatus!F$2:F1000))), (isblank(SmartStatus!G$2:G1000)) + (((Q405 &lt;&gt; """") * (Q405 &gt;= SmartStatus!G$2:G1000)) + ((P405 &lt;&gt; """") * (P405 &gt;= SmartStatus!G$2:G1000)))), if(or(regexmatch(B405, ""(?i)^ir [a-z]+ designation$""), N405 &lt;&gt; """&amp;"""), 1, 2))), """"), ""NO_MATCH"")"),"")</f>
        <v/>
      </c>
      <c r="AS405" s="11"/>
      <c r="AT405" s="15"/>
      <c r="AU405" s="11"/>
      <c r="AV405" s="11"/>
      <c r="AW405" s="15"/>
      <c r="AX405" s="15"/>
      <c r="AY405" s="15"/>
      <c r="AZ405" s="11"/>
      <c r="BA405" s="15"/>
      <c r="BB405" s="11"/>
      <c r="BC405" s="11"/>
      <c r="BD405" s="15"/>
      <c r="BE405" s="11"/>
      <c r="BF405" s="11"/>
      <c r="BG405" s="15"/>
      <c r="BH405" s="15"/>
      <c r="BI405" s="15"/>
      <c r="BJ405" s="11"/>
      <c r="BK405" s="15"/>
      <c r="BL405" s="11"/>
      <c r="BM405" s="11"/>
      <c r="BN405" s="15"/>
      <c r="BO405" s="11"/>
      <c r="BP405" s="11"/>
      <c r="BQ405" s="15"/>
      <c r="BR405" s="15"/>
      <c r="BS405" s="15"/>
      <c r="BT405" s="11"/>
      <c r="BU405" s="15"/>
      <c r="BV405" s="11"/>
      <c r="BW405" s="11"/>
      <c r="BX405" s="15"/>
      <c r="BY405" s="11"/>
      <c r="BZ405" s="11"/>
      <c r="CA405" s="15"/>
      <c r="CB405" s="11"/>
      <c r="CC405" s="15"/>
      <c r="CD405" s="11"/>
      <c r="CE405" s="15"/>
      <c r="CF405" s="11"/>
      <c r="CG405" s="11"/>
      <c r="CH405" s="15"/>
      <c r="CI405" s="11"/>
      <c r="CJ405" s="11"/>
      <c r="CK405" s="15"/>
      <c r="CL405" s="11"/>
      <c r="CM405" s="11"/>
      <c r="CN405" s="11"/>
      <c r="CO405" s="11"/>
      <c r="CP405" s="28"/>
      <c r="CQ405" s="28"/>
      <c r="CR405" s="11"/>
      <c r="CS405" s="29"/>
      <c r="CT405" s="11"/>
      <c r="CU405" s="11"/>
      <c r="CV405" s="11"/>
      <c r="CW405" s="11"/>
      <c r="CX405" s="11"/>
      <c r="CY405" s="11"/>
      <c r="CZ405" s="11"/>
      <c r="DA405" s="28"/>
      <c r="DB405" s="28"/>
      <c r="DC405" s="11"/>
      <c r="DD405" s="29"/>
      <c r="DE405" s="11"/>
      <c r="DF405" s="11"/>
      <c r="DG405" s="11"/>
      <c r="DH405" s="11"/>
      <c r="DI405" s="11"/>
      <c r="DJ405" s="11"/>
      <c r="DK405" s="26"/>
      <c r="DL405" s="11"/>
      <c r="DM405" s="29"/>
      <c r="DN405" s="28"/>
      <c r="DO405" s="11"/>
      <c r="DP405" s="11"/>
      <c r="DQ405" s="11"/>
      <c r="DR405" s="29"/>
      <c r="DS405" s="28"/>
      <c r="DT405" s="11"/>
      <c r="DU405" s="26"/>
      <c r="DV405" s="11"/>
      <c r="DW405" s="29"/>
      <c r="DX405" s="28"/>
      <c r="DY405" s="11"/>
      <c r="DZ405" s="26"/>
      <c r="EA405" s="11"/>
      <c r="EB405" s="29"/>
      <c r="EC405" s="28"/>
      <c r="ED405" s="30"/>
      <c r="EE405" s="30" t="str">
        <f ca="1">IFERROR(__xludf.DUMMYFUNCTION("iferror(index(filter('Internal -- Trademark Countries'!E$2:E1000, (AM405 = 'Internal -- Trademark Countries'!B$2:B1000) + (AM405 = 'Internal -- Trademark Countries'!C$2:C1000) + (AM405 = 'Internal -- Trademark Countries'!D$2:D1000)), 1))"),"")</f>
        <v/>
      </c>
      <c r="EF405" s="30" t="e">
        <f ca="1">_xludf.ifs(AM405="", "", COUNTIF('Internal -- Trademark Countries'!B:B,AM405) &gt; 0, "polity_shortest_name", COUNTIF('Internal -- Trademark Countries'!C:C,AM405) &gt; 0, "polity_full_name", COUNTIF('Internal -- Trademark Countries'!D:D,AM405) &gt; 0, "polity_common_name", COUNTIF('Internal -- Trademark Countries'!E:E,AM405) &gt; 0, "shortest_name", COUNTIF('Internal -- Trademark Countries'!A:A,AM405) &gt; 0, "full_name", TRUE, "not a match")</f>
        <v>#NAME?</v>
      </c>
      <c r="EG405" s="30"/>
      <c r="EH405" s="30"/>
      <c r="EI405" s="30"/>
      <c r="EJ405" s="30"/>
      <c r="EK405" s="30" t="str">
        <f t="shared" si="3"/>
        <v/>
      </c>
    </row>
    <row r="406" spans="1:141" ht="16.5">
      <c r="A406" s="11"/>
      <c r="B406" s="11"/>
      <c r="C406" s="11"/>
      <c r="D406" s="11"/>
      <c r="E406" s="11"/>
      <c r="F406" s="11"/>
      <c r="G406" s="11"/>
      <c r="H406" s="11"/>
      <c r="I406" s="11"/>
      <c r="J406" s="11"/>
      <c r="K406" s="27"/>
      <c r="L406" s="11"/>
      <c r="M406" s="11"/>
      <c r="N406" s="11"/>
      <c r="O406" s="11"/>
      <c r="P406" s="15"/>
      <c r="Q406" s="15"/>
      <c r="R406" s="15"/>
      <c r="S406" s="15"/>
      <c r="T406" s="15"/>
      <c r="U406" s="15"/>
      <c r="V406" s="15"/>
      <c r="W406" s="47"/>
      <c r="X406" s="11"/>
      <c r="Y406" s="48"/>
      <c r="Z406" s="11"/>
      <c r="AA406" s="48"/>
      <c r="AB406" s="11"/>
      <c r="AC406" s="48"/>
      <c r="AD406" s="11"/>
      <c r="AE406" s="47"/>
      <c r="AF406" s="11"/>
      <c r="AG406" s="48"/>
      <c r="AH406" s="11"/>
      <c r="AI406" s="48"/>
      <c r="AJ406" s="11"/>
      <c r="AK406" s="48"/>
      <c r="AL406" s="11"/>
      <c r="AM406" s="49"/>
      <c r="AN406" s="49"/>
      <c r="AO406" s="11"/>
      <c r="AP406" s="11"/>
      <c r="AQ406" s="28" t="b">
        <f>IF(COUNTIF(SmartStatus!A$2:A1000, AM406) &gt; 2, TRUE, FALSE)</f>
        <v>0</v>
      </c>
      <c r="AR406" s="29" t="str">
        <f ca="1">IFERROR(__xludf.DUMMYFUNCTION("iferror(if(regexmatch(AO406, ""(?i)^registered""), if(EE406 &lt;&gt; ""polity_shortest_name"", ""CHECK_POLITY"", index(filter(SmartStatus!B$2:B1000, AM406 = SmartStatus!A$2:A1000, not(SmartStatus!C$2:C1000), (isblank(SmartStatus!D$2:D1000)) + ((P406 &lt;&gt; """") * "&amp;"(P406 &lt; SmartStatus!D$2:D1000)), (isblank(SmartStatus!E$2:E1000)) + ((P406 &lt;&gt; """") * (P406 &gt;= SmartStatus!E$2:E1000)), (isblank(SmartStatus!F$2:F1000)) + (((Q406 &lt;&gt; """") * (Q406 &lt; SmartStatus!F$2:F1000)) + ((P406 &lt;&gt; """") * (date(year(P406) + 3, month(P"&amp;"406), day(P406)) &lt; SmartStatus!F$2:F1000))), (isblank(SmartStatus!G$2:G1000)) + (((Q406 &lt;&gt; """") * (Q406 &gt;= SmartStatus!G$2:G1000)) + ((P406 &lt;&gt; """") * (P406 &gt;= SmartStatus!G$2:G1000)))), if(or(regexmatch(B406, ""(?i)^ir [a-z]+ designation$""), N406 &lt;&gt; """&amp;"""), 1, 2))), """"), ""NO_MATCH"")"),"")</f>
        <v/>
      </c>
      <c r="AS406" s="11"/>
      <c r="AT406" s="15"/>
      <c r="AU406" s="11"/>
      <c r="AV406" s="11"/>
      <c r="AW406" s="15"/>
      <c r="AX406" s="15"/>
      <c r="AY406" s="15"/>
      <c r="AZ406" s="11"/>
      <c r="BA406" s="15"/>
      <c r="BB406" s="11"/>
      <c r="BC406" s="11"/>
      <c r="BD406" s="15"/>
      <c r="BE406" s="11"/>
      <c r="BF406" s="11"/>
      <c r="BG406" s="15"/>
      <c r="BH406" s="15"/>
      <c r="BI406" s="15"/>
      <c r="BJ406" s="11"/>
      <c r="BK406" s="15"/>
      <c r="BL406" s="11"/>
      <c r="BM406" s="11"/>
      <c r="BN406" s="15"/>
      <c r="BO406" s="11"/>
      <c r="BP406" s="11"/>
      <c r="BQ406" s="15"/>
      <c r="BR406" s="15"/>
      <c r="BS406" s="15"/>
      <c r="BT406" s="11"/>
      <c r="BU406" s="15"/>
      <c r="BV406" s="11"/>
      <c r="BW406" s="11"/>
      <c r="BX406" s="15"/>
      <c r="BY406" s="11"/>
      <c r="BZ406" s="11"/>
      <c r="CA406" s="15"/>
      <c r="CB406" s="11"/>
      <c r="CC406" s="15"/>
      <c r="CD406" s="11"/>
      <c r="CE406" s="15"/>
      <c r="CF406" s="11"/>
      <c r="CG406" s="11"/>
      <c r="CH406" s="15"/>
      <c r="CI406" s="11"/>
      <c r="CJ406" s="11"/>
      <c r="CK406" s="15"/>
      <c r="CL406" s="11"/>
      <c r="CM406" s="11"/>
      <c r="CN406" s="11"/>
      <c r="CO406" s="11"/>
      <c r="CP406" s="28"/>
      <c r="CQ406" s="28"/>
      <c r="CR406" s="11"/>
      <c r="CS406" s="29"/>
      <c r="CT406" s="11"/>
      <c r="CU406" s="11"/>
      <c r="CV406" s="11"/>
      <c r="CW406" s="11"/>
      <c r="CX406" s="11"/>
      <c r="CY406" s="11"/>
      <c r="CZ406" s="11"/>
      <c r="DA406" s="28"/>
      <c r="DB406" s="28"/>
      <c r="DC406" s="11"/>
      <c r="DD406" s="29"/>
      <c r="DE406" s="11"/>
      <c r="DF406" s="11"/>
      <c r="DG406" s="11"/>
      <c r="DH406" s="11"/>
      <c r="DI406" s="11"/>
      <c r="DJ406" s="11"/>
      <c r="DK406" s="26"/>
      <c r="DL406" s="11"/>
      <c r="DM406" s="29"/>
      <c r="DN406" s="28"/>
      <c r="DO406" s="11"/>
      <c r="DP406" s="11"/>
      <c r="DQ406" s="11"/>
      <c r="DR406" s="29"/>
      <c r="DS406" s="28"/>
      <c r="DT406" s="11"/>
      <c r="DU406" s="26"/>
      <c r="DV406" s="11"/>
      <c r="DW406" s="29"/>
      <c r="DX406" s="28"/>
      <c r="DY406" s="11"/>
      <c r="DZ406" s="26"/>
      <c r="EA406" s="11"/>
      <c r="EB406" s="29"/>
      <c r="EC406" s="28"/>
      <c r="ED406" s="30"/>
      <c r="EE406" s="30" t="str">
        <f ca="1">IFERROR(__xludf.DUMMYFUNCTION("iferror(index(filter('Internal -- Trademark Countries'!E$2:E1000, (AM406 = 'Internal -- Trademark Countries'!B$2:B1000) + (AM406 = 'Internal -- Trademark Countries'!C$2:C1000) + (AM406 = 'Internal -- Trademark Countries'!D$2:D1000)), 1))"),"")</f>
        <v/>
      </c>
      <c r="EF406" s="30" t="e">
        <f ca="1">_xludf.ifs(AM406="", "", COUNTIF('Internal -- Trademark Countries'!B:B,AM406) &gt; 0, "polity_shortest_name", COUNTIF('Internal -- Trademark Countries'!C:C,AM406) &gt; 0, "polity_full_name", COUNTIF('Internal -- Trademark Countries'!D:D,AM406) &gt; 0, "polity_common_name", COUNTIF('Internal -- Trademark Countries'!E:E,AM406) &gt; 0, "shortest_name", COUNTIF('Internal -- Trademark Countries'!A:A,AM406) &gt; 0, "full_name", TRUE, "not a match")</f>
        <v>#NAME?</v>
      </c>
      <c r="EG406" s="30"/>
      <c r="EH406" s="30"/>
      <c r="EI406" s="30"/>
      <c r="EJ406" s="30"/>
      <c r="EK406" s="30" t="str">
        <f t="shared" si="3"/>
        <v/>
      </c>
    </row>
    <row r="407" spans="1:141" ht="16.5">
      <c r="A407" s="11"/>
      <c r="B407" s="11"/>
      <c r="C407" s="11"/>
      <c r="D407" s="11"/>
      <c r="E407" s="11"/>
      <c r="F407" s="11"/>
      <c r="G407" s="11"/>
      <c r="H407" s="11"/>
      <c r="I407" s="11"/>
      <c r="J407" s="11"/>
      <c r="K407" s="27"/>
      <c r="L407" s="11"/>
      <c r="M407" s="11"/>
      <c r="N407" s="11"/>
      <c r="O407" s="11"/>
      <c r="P407" s="15"/>
      <c r="Q407" s="15"/>
      <c r="R407" s="15"/>
      <c r="S407" s="15"/>
      <c r="T407" s="15"/>
      <c r="U407" s="15"/>
      <c r="V407" s="15"/>
      <c r="W407" s="47"/>
      <c r="X407" s="11"/>
      <c r="Y407" s="48"/>
      <c r="Z407" s="11"/>
      <c r="AA407" s="48"/>
      <c r="AB407" s="11"/>
      <c r="AC407" s="48"/>
      <c r="AD407" s="11"/>
      <c r="AE407" s="47"/>
      <c r="AF407" s="11"/>
      <c r="AG407" s="48"/>
      <c r="AH407" s="11"/>
      <c r="AI407" s="48"/>
      <c r="AJ407" s="11"/>
      <c r="AK407" s="48"/>
      <c r="AL407" s="11"/>
      <c r="AM407" s="49"/>
      <c r="AN407" s="49"/>
      <c r="AO407" s="11"/>
      <c r="AP407" s="11"/>
      <c r="AQ407" s="28" t="b">
        <f>IF(COUNTIF(SmartStatus!A$2:A1000, AM407) &gt; 2, TRUE, FALSE)</f>
        <v>0</v>
      </c>
      <c r="AR407" s="29" t="str">
        <f ca="1">IFERROR(__xludf.DUMMYFUNCTION("iferror(if(regexmatch(AO407, ""(?i)^registered""), if(EE407 &lt;&gt; ""polity_shortest_name"", ""CHECK_POLITY"", index(filter(SmartStatus!B$2:B1000, AM407 = SmartStatus!A$2:A1000, not(SmartStatus!C$2:C1000), (isblank(SmartStatus!D$2:D1000)) + ((P407 &lt;&gt; """") * "&amp;"(P407 &lt; SmartStatus!D$2:D1000)), (isblank(SmartStatus!E$2:E1000)) + ((P407 &lt;&gt; """") * (P407 &gt;= SmartStatus!E$2:E1000)), (isblank(SmartStatus!F$2:F1000)) + (((Q407 &lt;&gt; """") * (Q407 &lt; SmartStatus!F$2:F1000)) + ((P407 &lt;&gt; """") * (date(year(P407) + 3, month(P"&amp;"407), day(P407)) &lt; SmartStatus!F$2:F1000))), (isblank(SmartStatus!G$2:G1000)) + (((Q407 &lt;&gt; """") * (Q407 &gt;= SmartStatus!G$2:G1000)) + ((P407 &lt;&gt; """") * (P407 &gt;= SmartStatus!G$2:G1000)))), if(or(regexmatch(B407, ""(?i)^ir [a-z]+ designation$""), N407 &lt;&gt; """&amp;"""), 1, 2))), """"), ""NO_MATCH"")"),"")</f>
        <v/>
      </c>
      <c r="AS407" s="11"/>
      <c r="AT407" s="15"/>
      <c r="AU407" s="11"/>
      <c r="AV407" s="11"/>
      <c r="AW407" s="15"/>
      <c r="AX407" s="15"/>
      <c r="AY407" s="15"/>
      <c r="AZ407" s="11"/>
      <c r="BA407" s="15"/>
      <c r="BB407" s="11"/>
      <c r="BC407" s="11"/>
      <c r="BD407" s="15"/>
      <c r="BE407" s="11"/>
      <c r="BF407" s="11"/>
      <c r="BG407" s="15"/>
      <c r="BH407" s="15"/>
      <c r="BI407" s="15"/>
      <c r="BJ407" s="11"/>
      <c r="BK407" s="15"/>
      <c r="BL407" s="11"/>
      <c r="BM407" s="11"/>
      <c r="BN407" s="15"/>
      <c r="BO407" s="11"/>
      <c r="BP407" s="11"/>
      <c r="BQ407" s="15"/>
      <c r="BR407" s="15"/>
      <c r="BS407" s="15"/>
      <c r="BT407" s="11"/>
      <c r="BU407" s="15"/>
      <c r="BV407" s="11"/>
      <c r="BW407" s="11"/>
      <c r="BX407" s="15"/>
      <c r="BY407" s="11"/>
      <c r="BZ407" s="11"/>
      <c r="CA407" s="15"/>
      <c r="CB407" s="11"/>
      <c r="CC407" s="15"/>
      <c r="CD407" s="11"/>
      <c r="CE407" s="15"/>
      <c r="CF407" s="11"/>
      <c r="CG407" s="11"/>
      <c r="CH407" s="15"/>
      <c r="CI407" s="11"/>
      <c r="CJ407" s="11"/>
      <c r="CK407" s="15"/>
      <c r="CL407" s="11"/>
      <c r="CM407" s="11"/>
      <c r="CN407" s="11"/>
      <c r="CO407" s="11"/>
      <c r="CP407" s="28"/>
      <c r="CQ407" s="28"/>
      <c r="CR407" s="11"/>
      <c r="CS407" s="29"/>
      <c r="CT407" s="11"/>
      <c r="CU407" s="11"/>
      <c r="CV407" s="11"/>
      <c r="CW407" s="11"/>
      <c r="CX407" s="11"/>
      <c r="CY407" s="11"/>
      <c r="CZ407" s="11"/>
      <c r="DA407" s="28"/>
      <c r="DB407" s="28"/>
      <c r="DC407" s="11"/>
      <c r="DD407" s="29"/>
      <c r="DE407" s="11"/>
      <c r="DF407" s="11"/>
      <c r="DG407" s="11"/>
      <c r="DH407" s="11"/>
      <c r="DI407" s="11"/>
      <c r="DJ407" s="11"/>
      <c r="DK407" s="26"/>
      <c r="DL407" s="11"/>
      <c r="DM407" s="29"/>
      <c r="DN407" s="28"/>
      <c r="DO407" s="11"/>
      <c r="DP407" s="11"/>
      <c r="DQ407" s="11"/>
      <c r="DR407" s="29"/>
      <c r="DS407" s="28"/>
      <c r="DT407" s="11"/>
      <c r="DU407" s="26"/>
      <c r="DV407" s="11"/>
      <c r="DW407" s="29"/>
      <c r="DX407" s="28"/>
      <c r="DY407" s="11"/>
      <c r="DZ407" s="26"/>
      <c r="EA407" s="11"/>
      <c r="EB407" s="29"/>
      <c r="EC407" s="28"/>
      <c r="ED407" s="30"/>
      <c r="EE407" s="30" t="str">
        <f ca="1">IFERROR(__xludf.DUMMYFUNCTION("iferror(index(filter('Internal -- Trademark Countries'!E$2:E1000, (AM407 = 'Internal -- Trademark Countries'!B$2:B1000) + (AM407 = 'Internal -- Trademark Countries'!C$2:C1000) + (AM407 = 'Internal -- Trademark Countries'!D$2:D1000)), 1))"),"")</f>
        <v/>
      </c>
      <c r="EF407" s="30" t="e">
        <f ca="1">_xludf.ifs(AM407="", "", COUNTIF('Internal -- Trademark Countries'!B:B,AM407) &gt; 0, "polity_shortest_name", COUNTIF('Internal -- Trademark Countries'!C:C,AM407) &gt; 0, "polity_full_name", COUNTIF('Internal -- Trademark Countries'!D:D,AM407) &gt; 0, "polity_common_name", COUNTIF('Internal -- Trademark Countries'!E:E,AM407) &gt; 0, "shortest_name", COUNTIF('Internal -- Trademark Countries'!A:A,AM407) &gt; 0, "full_name", TRUE, "not a match")</f>
        <v>#NAME?</v>
      </c>
      <c r="EG407" s="30"/>
      <c r="EH407" s="30"/>
      <c r="EI407" s="30"/>
      <c r="EJ407" s="30"/>
      <c r="EK407" s="30" t="str">
        <f t="shared" si="3"/>
        <v/>
      </c>
    </row>
    <row r="408" spans="1:141" ht="16.5">
      <c r="A408" s="11"/>
      <c r="B408" s="11"/>
      <c r="C408" s="11"/>
      <c r="D408" s="11"/>
      <c r="E408" s="11"/>
      <c r="F408" s="11"/>
      <c r="G408" s="11"/>
      <c r="H408" s="11"/>
      <c r="I408" s="11"/>
      <c r="J408" s="11"/>
      <c r="K408" s="27"/>
      <c r="L408" s="11"/>
      <c r="M408" s="11"/>
      <c r="N408" s="11"/>
      <c r="O408" s="11"/>
      <c r="P408" s="15"/>
      <c r="Q408" s="15"/>
      <c r="R408" s="15"/>
      <c r="S408" s="15"/>
      <c r="T408" s="15"/>
      <c r="U408" s="15"/>
      <c r="V408" s="15"/>
      <c r="W408" s="47"/>
      <c r="X408" s="11"/>
      <c r="Y408" s="48"/>
      <c r="Z408" s="11"/>
      <c r="AA408" s="48"/>
      <c r="AB408" s="11"/>
      <c r="AC408" s="48"/>
      <c r="AD408" s="11"/>
      <c r="AE408" s="47"/>
      <c r="AF408" s="11"/>
      <c r="AG408" s="48"/>
      <c r="AH408" s="11"/>
      <c r="AI408" s="48"/>
      <c r="AJ408" s="11"/>
      <c r="AK408" s="48"/>
      <c r="AL408" s="11"/>
      <c r="AM408" s="49"/>
      <c r="AN408" s="49"/>
      <c r="AO408" s="11"/>
      <c r="AP408" s="11"/>
      <c r="AQ408" s="28" t="b">
        <f>IF(COUNTIF(SmartStatus!A$2:A1000, AM408) &gt; 2, TRUE, FALSE)</f>
        <v>0</v>
      </c>
      <c r="AR408" s="29" t="str">
        <f ca="1">IFERROR(__xludf.DUMMYFUNCTION("iferror(if(regexmatch(AO408, ""(?i)^registered""), if(EE408 &lt;&gt; ""polity_shortest_name"", ""CHECK_POLITY"", index(filter(SmartStatus!B$2:B1000, AM408 = SmartStatus!A$2:A1000, not(SmartStatus!C$2:C1000), (isblank(SmartStatus!D$2:D1000)) + ((P408 &lt;&gt; """") * "&amp;"(P408 &lt; SmartStatus!D$2:D1000)), (isblank(SmartStatus!E$2:E1000)) + ((P408 &lt;&gt; """") * (P408 &gt;= SmartStatus!E$2:E1000)), (isblank(SmartStatus!F$2:F1000)) + (((Q408 &lt;&gt; """") * (Q408 &lt; SmartStatus!F$2:F1000)) + ((P408 &lt;&gt; """") * (date(year(P408) + 3, month(P"&amp;"408), day(P408)) &lt; SmartStatus!F$2:F1000))), (isblank(SmartStatus!G$2:G1000)) + (((Q408 &lt;&gt; """") * (Q408 &gt;= SmartStatus!G$2:G1000)) + ((P408 &lt;&gt; """") * (P408 &gt;= SmartStatus!G$2:G1000)))), if(or(regexmatch(B408, ""(?i)^ir [a-z]+ designation$""), N408 &lt;&gt; """&amp;"""), 1, 2))), """"), ""NO_MATCH"")"),"")</f>
        <v/>
      </c>
      <c r="AS408" s="11"/>
      <c r="AT408" s="15"/>
      <c r="AU408" s="11"/>
      <c r="AV408" s="11"/>
      <c r="AW408" s="15"/>
      <c r="AX408" s="15"/>
      <c r="AY408" s="15"/>
      <c r="AZ408" s="11"/>
      <c r="BA408" s="15"/>
      <c r="BB408" s="11"/>
      <c r="BC408" s="11"/>
      <c r="BD408" s="15"/>
      <c r="BE408" s="11"/>
      <c r="BF408" s="11"/>
      <c r="BG408" s="15"/>
      <c r="BH408" s="15"/>
      <c r="BI408" s="15"/>
      <c r="BJ408" s="11"/>
      <c r="BK408" s="15"/>
      <c r="BL408" s="11"/>
      <c r="BM408" s="11"/>
      <c r="BN408" s="15"/>
      <c r="BO408" s="11"/>
      <c r="BP408" s="11"/>
      <c r="BQ408" s="15"/>
      <c r="BR408" s="15"/>
      <c r="BS408" s="15"/>
      <c r="BT408" s="11"/>
      <c r="BU408" s="15"/>
      <c r="BV408" s="11"/>
      <c r="BW408" s="11"/>
      <c r="BX408" s="15"/>
      <c r="BY408" s="11"/>
      <c r="BZ408" s="11"/>
      <c r="CA408" s="15"/>
      <c r="CB408" s="11"/>
      <c r="CC408" s="15"/>
      <c r="CD408" s="11"/>
      <c r="CE408" s="15"/>
      <c r="CF408" s="11"/>
      <c r="CG408" s="11"/>
      <c r="CH408" s="15"/>
      <c r="CI408" s="11"/>
      <c r="CJ408" s="11"/>
      <c r="CK408" s="15"/>
      <c r="CL408" s="11"/>
      <c r="CM408" s="11"/>
      <c r="CN408" s="11"/>
      <c r="CO408" s="11"/>
      <c r="CP408" s="28"/>
      <c r="CQ408" s="28"/>
      <c r="CR408" s="11"/>
      <c r="CS408" s="29"/>
      <c r="CT408" s="11"/>
      <c r="CU408" s="11"/>
      <c r="CV408" s="11"/>
      <c r="CW408" s="11"/>
      <c r="CX408" s="11"/>
      <c r="CY408" s="11"/>
      <c r="CZ408" s="11"/>
      <c r="DA408" s="28"/>
      <c r="DB408" s="28"/>
      <c r="DC408" s="11"/>
      <c r="DD408" s="29"/>
      <c r="DE408" s="11"/>
      <c r="DF408" s="11"/>
      <c r="DG408" s="11"/>
      <c r="DH408" s="11"/>
      <c r="DI408" s="11"/>
      <c r="DJ408" s="11"/>
      <c r="DK408" s="26"/>
      <c r="DL408" s="11"/>
      <c r="DM408" s="29"/>
      <c r="DN408" s="28"/>
      <c r="DO408" s="11"/>
      <c r="DP408" s="11"/>
      <c r="DQ408" s="11"/>
      <c r="DR408" s="29"/>
      <c r="DS408" s="28"/>
      <c r="DT408" s="11"/>
      <c r="DU408" s="26"/>
      <c r="DV408" s="11"/>
      <c r="DW408" s="29"/>
      <c r="DX408" s="28"/>
      <c r="DY408" s="11"/>
      <c r="DZ408" s="26"/>
      <c r="EA408" s="11"/>
      <c r="EB408" s="29"/>
      <c r="EC408" s="28"/>
      <c r="ED408" s="30"/>
      <c r="EE408" s="30" t="str">
        <f ca="1">IFERROR(__xludf.DUMMYFUNCTION("iferror(index(filter('Internal -- Trademark Countries'!E$2:E1000, (AM408 = 'Internal -- Trademark Countries'!B$2:B1000) + (AM408 = 'Internal -- Trademark Countries'!C$2:C1000) + (AM408 = 'Internal -- Trademark Countries'!D$2:D1000)), 1))"),"")</f>
        <v/>
      </c>
      <c r="EF408" s="30" t="e">
        <f ca="1">_xludf.ifs(AM408="", "", COUNTIF('Internal -- Trademark Countries'!B:B,AM408) &gt; 0, "polity_shortest_name", COUNTIF('Internal -- Trademark Countries'!C:C,AM408) &gt; 0, "polity_full_name", COUNTIF('Internal -- Trademark Countries'!D:D,AM408) &gt; 0, "polity_common_name", COUNTIF('Internal -- Trademark Countries'!E:E,AM408) &gt; 0, "shortest_name", COUNTIF('Internal -- Trademark Countries'!A:A,AM408) &gt; 0, "full_name", TRUE, "not a match")</f>
        <v>#NAME?</v>
      </c>
      <c r="EG408" s="30"/>
      <c r="EH408" s="30"/>
      <c r="EI408" s="30"/>
      <c r="EJ408" s="30"/>
      <c r="EK408" s="30" t="str">
        <f t="shared" si="3"/>
        <v/>
      </c>
    </row>
    <row r="409" spans="1:141" ht="16.5">
      <c r="A409" s="11"/>
      <c r="B409" s="11"/>
      <c r="C409" s="11"/>
      <c r="D409" s="11"/>
      <c r="E409" s="11"/>
      <c r="F409" s="11"/>
      <c r="G409" s="11"/>
      <c r="H409" s="11"/>
      <c r="I409" s="11"/>
      <c r="J409" s="11"/>
      <c r="K409" s="27"/>
      <c r="L409" s="11"/>
      <c r="M409" s="11"/>
      <c r="N409" s="11"/>
      <c r="O409" s="11"/>
      <c r="P409" s="15"/>
      <c r="Q409" s="15"/>
      <c r="R409" s="15"/>
      <c r="S409" s="15"/>
      <c r="T409" s="15"/>
      <c r="U409" s="15"/>
      <c r="V409" s="15"/>
      <c r="W409" s="47"/>
      <c r="X409" s="11"/>
      <c r="Y409" s="48"/>
      <c r="Z409" s="11"/>
      <c r="AA409" s="48"/>
      <c r="AB409" s="11"/>
      <c r="AC409" s="48"/>
      <c r="AD409" s="11"/>
      <c r="AE409" s="47"/>
      <c r="AF409" s="11"/>
      <c r="AG409" s="48"/>
      <c r="AH409" s="11"/>
      <c r="AI409" s="48"/>
      <c r="AJ409" s="11"/>
      <c r="AK409" s="48"/>
      <c r="AL409" s="11"/>
      <c r="AM409" s="49"/>
      <c r="AN409" s="49"/>
      <c r="AO409" s="11"/>
      <c r="AP409" s="11"/>
      <c r="AQ409" s="28" t="b">
        <f>IF(COUNTIF(SmartStatus!A$2:A1000, AM409) &gt; 2, TRUE, FALSE)</f>
        <v>0</v>
      </c>
      <c r="AR409" s="29" t="str">
        <f ca="1">IFERROR(__xludf.DUMMYFUNCTION("iferror(if(regexmatch(AO409, ""(?i)^registered""), if(EE409 &lt;&gt; ""polity_shortest_name"", ""CHECK_POLITY"", index(filter(SmartStatus!B$2:B1000, AM409 = SmartStatus!A$2:A1000, not(SmartStatus!C$2:C1000), (isblank(SmartStatus!D$2:D1000)) + ((P409 &lt;&gt; """") * "&amp;"(P409 &lt; SmartStatus!D$2:D1000)), (isblank(SmartStatus!E$2:E1000)) + ((P409 &lt;&gt; """") * (P409 &gt;= SmartStatus!E$2:E1000)), (isblank(SmartStatus!F$2:F1000)) + (((Q409 &lt;&gt; """") * (Q409 &lt; SmartStatus!F$2:F1000)) + ((P409 &lt;&gt; """") * (date(year(P409) + 3, month(P"&amp;"409), day(P409)) &lt; SmartStatus!F$2:F1000))), (isblank(SmartStatus!G$2:G1000)) + (((Q409 &lt;&gt; """") * (Q409 &gt;= SmartStatus!G$2:G1000)) + ((P409 &lt;&gt; """") * (P409 &gt;= SmartStatus!G$2:G1000)))), if(or(regexmatch(B409, ""(?i)^ir [a-z]+ designation$""), N409 &lt;&gt; """&amp;"""), 1, 2))), """"), ""NO_MATCH"")"),"")</f>
        <v/>
      </c>
      <c r="AS409" s="11"/>
      <c r="AT409" s="15"/>
      <c r="AU409" s="11"/>
      <c r="AV409" s="11"/>
      <c r="AW409" s="15"/>
      <c r="AX409" s="15"/>
      <c r="AY409" s="15"/>
      <c r="AZ409" s="11"/>
      <c r="BA409" s="15"/>
      <c r="BB409" s="11"/>
      <c r="BC409" s="11"/>
      <c r="BD409" s="15"/>
      <c r="BE409" s="11"/>
      <c r="BF409" s="11"/>
      <c r="BG409" s="15"/>
      <c r="BH409" s="15"/>
      <c r="BI409" s="15"/>
      <c r="BJ409" s="11"/>
      <c r="BK409" s="15"/>
      <c r="BL409" s="11"/>
      <c r="BM409" s="11"/>
      <c r="BN409" s="15"/>
      <c r="BO409" s="11"/>
      <c r="BP409" s="11"/>
      <c r="BQ409" s="15"/>
      <c r="BR409" s="15"/>
      <c r="BS409" s="15"/>
      <c r="BT409" s="11"/>
      <c r="BU409" s="15"/>
      <c r="BV409" s="11"/>
      <c r="BW409" s="11"/>
      <c r="BX409" s="15"/>
      <c r="BY409" s="11"/>
      <c r="BZ409" s="11"/>
      <c r="CA409" s="15"/>
      <c r="CB409" s="11"/>
      <c r="CC409" s="15"/>
      <c r="CD409" s="11"/>
      <c r="CE409" s="15"/>
      <c r="CF409" s="11"/>
      <c r="CG409" s="11"/>
      <c r="CH409" s="15"/>
      <c r="CI409" s="11"/>
      <c r="CJ409" s="11"/>
      <c r="CK409" s="15"/>
      <c r="CL409" s="11"/>
      <c r="CM409" s="11"/>
      <c r="CN409" s="11"/>
      <c r="CO409" s="11"/>
      <c r="CP409" s="28"/>
      <c r="CQ409" s="28"/>
      <c r="CR409" s="11"/>
      <c r="CS409" s="29"/>
      <c r="CT409" s="11"/>
      <c r="CU409" s="11"/>
      <c r="CV409" s="11"/>
      <c r="CW409" s="11"/>
      <c r="CX409" s="11"/>
      <c r="CY409" s="11"/>
      <c r="CZ409" s="11"/>
      <c r="DA409" s="28"/>
      <c r="DB409" s="28"/>
      <c r="DC409" s="11"/>
      <c r="DD409" s="29"/>
      <c r="DE409" s="11"/>
      <c r="DF409" s="11"/>
      <c r="DG409" s="11"/>
      <c r="DH409" s="11"/>
      <c r="DI409" s="11"/>
      <c r="DJ409" s="11"/>
      <c r="DK409" s="26"/>
      <c r="DL409" s="11"/>
      <c r="DM409" s="29"/>
      <c r="DN409" s="28"/>
      <c r="DO409" s="11"/>
      <c r="DP409" s="11"/>
      <c r="DQ409" s="11"/>
      <c r="DR409" s="29"/>
      <c r="DS409" s="28"/>
      <c r="DT409" s="11"/>
      <c r="DU409" s="26"/>
      <c r="DV409" s="11"/>
      <c r="DW409" s="29"/>
      <c r="DX409" s="28"/>
      <c r="DY409" s="11"/>
      <c r="DZ409" s="26"/>
      <c r="EA409" s="11"/>
      <c r="EB409" s="29"/>
      <c r="EC409" s="28"/>
      <c r="ED409" s="30"/>
      <c r="EE409" s="30" t="str">
        <f ca="1">IFERROR(__xludf.DUMMYFUNCTION("iferror(index(filter('Internal -- Trademark Countries'!E$2:E1000, (AM409 = 'Internal -- Trademark Countries'!B$2:B1000) + (AM409 = 'Internal -- Trademark Countries'!C$2:C1000) + (AM409 = 'Internal -- Trademark Countries'!D$2:D1000)), 1))"),"")</f>
        <v/>
      </c>
      <c r="EF409" s="30" t="e">
        <f ca="1">_xludf.ifs(AM409="", "", COUNTIF('Internal -- Trademark Countries'!B:B,AM409) &gt; 0, "polity_shortest_name", COUNTIF('Internal -- Trademark Countries'!C:C,AM409) &gt; 0, "polity_full_name", COUNTIF('Internal -- Trademark Countries'!D:D,AM409) &gt; 0, "polity_common_name", COUNTIF('Internal -- Trademark Countries'!E:E,AM409) &gt; 0, "shortest_name", COUNTIF('Internal -- Trademark Countries'!A:A,AM409) &gt; 0, "full_name", TRUE, "not a match")</f>
        <v>#NAME?</v>
      </c>
      <c r="EG409" s="30"/>
      <c r="EH409" s="30"/>
      <c r="EI409" s="30"/>
      <c r="EJ409" s="30"/>
      <c r="EK409" s="30" t="str">
        <f t="shared" si="3"/>
        <v/>
      </c>
    </row>
    <row r="410" spans="1:141" ht="16.5">
      <c r="A410" s="11"/>
      <c r="B410" s="11"/>
      <c r="C410" s="11"/>
      <c r="D410" s="11"/>
      <c r="E410" s="11"/>
      <c r="F410" s="11"/>
      <c r="G410" s="11"/>
      <c r="H410" s="11"/>
      <c r="I410" s="11"/>
      <c r="J410" s="11"/>
      <c r="K410" s="27"/>
      <c r="L410" s="11"/>
      <c r="M410" s="11"/>
      <c r="N410" s="11"/>
      <c r="O410" s="11"/>
      <c r="P410" s="15"/>
      <c r="Q410" s="15"/>
      <c r="R410" s="15"/>
      <c r="S410" s="15"/>
      <c r="T410" s="15"/>
      <c r="U410" s="15"/>
      <c r="V410" s="15"/>
      <c r="W410" s="47"/>
      <c r="X410" s="11"/>
      <c r="Y410" s="48"/>
      <c r="Z410" s="11"/>
      <c r="AA410" s="48"/>
      <c r="AB410" s="11"/>
      <c r="AC410" s="48"/>
      <c r="AD410" s="11"/>
      <c r="AE410" s="47"/>
      <c r="AF410" s="11"/>
      <c r="AG410" s="48"/>
      <c r="AH410" s="11"/>
      <c r="AI410" s="48"/>
      <c r="AJ410" s="11"/>
      <c r="AK410" s="48"/>
      <c r="AL410" s="11"/>
      <c r="AM410" s="49"/>
      <c r="AN410" s="49"/>
      <c r="AO410" s="11"/>
      <c r="AP410" s="11"/>
      <c r="AQ410" s="28" t="b">
        <f>IF(COUNTIF(SmartStatus!A$2:A1000, AM410) &gt; 2, TRUE, FALSE)</f>
        <v>0</v>
      </c>
      <c r="AR410" s="29" t="str">
        <f ca="1">IFERROR(__xludf.DUMMYFUNCTION("iferror(if(regexmatch(AO410, ""(?i)^registered""), if(EE410 &lt;&gt; ""polity_shortest_name"", ""CHECK_POLITY"", index(filter(SmartStatus!B$2:B1000, AM410 = SmartStatus!A$2:A1000, not(SmartStatus!C$2:C1000), (isblank(SmartStatus!D$2:D1000)) + ((P410 &lt;&gt; """") * "&amp;"(P410 &lt; SmartStatus!D$2:D1000)), (isblank(SmartStatus!E$2:E1000)) + ((P410 &lt;&gt; """") * (P410 &gt;= SmartStatus!E$2:E1000)), (isblank(SmartStatus!F$2:F1000)) + (((Q410 &lt;&gt; """") * (Q410 &lt; SmartStatus!F$2:F1000)) + ((P410 &lt;&gt; """") * (date(year(P410) + 3, month(P"&amp;"410), day(P410)) &lt; SmartStatus!F$2:F1000))), (isblank(SmartStatus!G$2:G1000)) + (((Q410 &lt;&gt; """") * (Q410 &gt;= SmartStatus!G$2:G1000)) + ((P410 &lt;&gt; """") * (P410 &gt;= SmartStatus!G$2:G1000)))), if(or(regexmatch(B410, ""(?i)^ir [a-z]+ designation$""), N410 &lt;&gt; """&amp;"""), 1, 2))), """"), ""NO_MATCH"")"),"")</f>
        <v/>
      </c>
      <c r="AS410" s="11"/>
      <c r="AT410" s="15"/>
      <c r="AU410" s="11"/>
      <c r="AV410" s="11"/>
      <c r="AW410" s="15"/>
      <c r="AX410" s="15"/>
      <c r="AY410" s="15"/>
      <c r="AZ410" s="11"/>
      <c r="BA410" s="15"/>
      <c r="BB410" s="11"/>
      <c r="BC410" s="11"/>
      <c r="BD410" s="15"/>
      <c r="BE410" s="11"/>
      <c r="BF410" s="11"/>
      <c r="BG410" s="15"/>
      <c r="BH410" s="15"/>
      <c r="BI410" s="15"/>
      <c r="BJ410" s="11"/>
      <c r="BK410" s="15"/>
      <c r="BL410" s="11"/>
      <c r="BM410" s="11"/>
      <c r="BN410" s="15"/>
      <c r="BO410" s="11"/>
      <c r="BP410" s="11"/>
      <c r="BQ410" s="15"/>
      <c r="BR410" s="15"/>
      <c r="BS410" s="15"/>
      <c r="BT410" s="11"/>
      <c r="BU410" s="15"/>
      <c r="BV410" s="11"/>
      <c r="BW410" s="11"/>
      <c r="BX410" s="15"/>
      <c r="BY410" s="11"/>
      <c r="BZ410" s="11"/>
      <c r="CA410" s="15"/>
      <c r="CB410" s="11"/>
      <c r="CC410" s="15"/>
      <c r="CD410" s="11"/>
      <c r="CE410" s="15"/>
      <c r="CF410" s="11"/>
      <c r="CG410" s="11"/>
      <c r="CH410" s="15"/>
      <c r="CI410" s="11"/>
      <c r="CJ410" s="11"/>
      <c r="CK410" s="15"/>
      <c r="CL410" s="11"/>
      <c r="CM410" s="11"/>
      <c r="CN410" s="11"/>
      <c r="CO410" s="11"/>
      <c r="CP410" s="28"/>
      <c r="CQ410" s="28"/>
      <c r="CR410" s="11"/>
      <c r="CS410" s="29"/>
      <c r="CT410" s="11"/>
      <c r="CU410" s="11"/>
      <c r="CV410" s="11"/>
      <c r="CW410" s="11"/>
      <c r="CX410" s="11"/>
      <c r="CY410" s="11"/>
      <c r="CZ410" s="11"/>
      <c r="DA410" s="28"/>
      <c r="DB410" s="28"/>
      <c r="DC410" s="11"/>
      <c r="DD410" s="29"/>
      <c r="DE410" s="11"/>
      <c r="DF410" s="11"/>
      <c r="DG410" s="11"/>
      <c r="DH410" s="11"/>
      <c r="DI410" s="11"/>
      <c r="DJ410" s="11"/>
      <c r="DK410" s="26"/>
      <c r="DL410" s="11"/>
      <c r="DM410" s="29"/>
      <c r="DN410" s="28"/>
      <c r="DO410" s="11"/>
      <c r="DP410" s="11"/>
      <c r="DQ410" s="11"/>
      <c r="DR410" s="29"/>
      <c r="DS410" s="28"/>
      <c r="DT410" s="11"/>
      <c r="DU410" s="26"/>
      <c r="DV410" s="11"/>
      <c r="DW410" s="29"/>
      <c r="DX410" s="28"/>
      <c r="DY410" s="11"/>
      <c r="DZ410" s="26"/>
      <c r="EA410" s="11"/>
      <c r="EB410" s="29"/>
      <c r="EC410" s="28"/>
      <c r="ED410" s="30"/>
      <c r="EE410" s="30" t="str">
        <f ca="1">IFERROR(__xludf.DUMMYFUNCTION("iferror(index(filter('Internal -- Trademark Countries'!E$2:E1000, (AM410 = 'Internal -- Trademark Countries'!B$2:B1000) + (AM410 = 'Internal -- Trademark Countries'!C$2:C1000) + (AM410 = 'Internal -- Trademark Countries'!D$2:D1000)), 1))"),"")</f>
        <v/>
      </c>
      <c r="EF410" s="30" t="e">
        <f ca="1">_xludf.ifs(AM410="", "", COUNTIF('Internal -- Trademark Countries'!B:B,AM410) &gt; 0, "polity_shortest_name", COUNTIF('Internal -- Trademark Countries'!C:C,AM410) &gt; 0, "polity_full_name", COUNTIF('Internal -- Trademark Countries'!D:D,AM410) &gt; 0, "polity_common_name", COUNTIF('Internal -- Trademark Countries'!E:E,AM410) &gt; 0, "shortest_name", COUNTIF('Internal -- Trademark Countries'!A:A,AM410) &gt; 0, "full_name", TRUE, "not a match")</f>
        <v>#NAME?</v>
      </c>
      <c r="EG410" s="30"/>
      <c r="EH410" s="30"/>
      <c r="EI410" s="30"/>
      <c r="EJ410" s="30"/>
      <c r="EK410" s="30" t="str">
        <f t="shared" si="3"/>
        <v/>
      </c>
    </row>
    <row r="411" spans="1:141" ht="16.5">
      <c r="A411" s="11"/>
      <c r="B411" s="11"/>
      <c r="C411" s="11"/>
      <c r="D411" s="11"/>
      <c r="E411" s="11"/>
      <c r="F411" s="11"/>
      <c r="G411" s="11"/>
      <c r="H411" s="11"/>
      <c r="I411" s="11"/>
      <c r="J411" s="11"/>
      <c r="K411" s="27"/>
      <c r="L411" s="11"/>
      <c r="M411" s="11"/>
      <c r="N411" s="11"/>
      <c r="O411" s="11"/>
      <c r="P411" s="15"/>
      <c r="Q411" s="15"/>
      <c r="R411" s="15"/>
      <c r="S411" s="15"/>
      <c r="T411" s="15"/>
      <c r="U411" s="15"/>
      <c r="V411" s="15"/>
      <c r="W411" s="47"/>
      <c r="X411" s="11"/>
      <c r="Y411" s="48"/>
      <c r="Z411" s="11"/>
      <c r="AA411" s="48"/>
      <c r="AB411" s="11"/>
      <c r="AC411" s="48"/>
      <c r="AD411" s="11"/>
      <c r="AE411" s="47"/>
      <c r="AF411" s="11"/>
      <c r="AG411" s="48"/>
      <c r="AH411" s="11"/>
      <c r="AI411" s="48"/>
      <c r="AJ411" s="11"/>
      <c r="AK411" s="48"/>
      <c r="AL411" s="11"/>
      <c r="AM411" s="49"/>
      <c r="AN411" s="49"/>
      <c r="AO411" s="11"/>
      <c r="AP411" s="11"/>
      <c r="AQ411" s="28" t="b">
        <f>IF(COUNTIF(SmartStatus!A$2:A1000, AM411) &gt; 2, TRUE, FALSE)</f>
        <v>0</v>
      </c>
      <c r="AR411" s="29" t="str">
        <f ca="1">IFERROR(__xludf.DUMMYFUNCTION("iferror(if(regexmatch(AO411, ""(?i)^registered""), if(EE411 &lt;&gt; ""polity_shortest_name"", ""CHECK_POLITY"", index(filter(SmartStatus!B$2:B1000, AM411 = SmartStatus!A$2:A1000, not(SmartStatus!C$2:C1000), (isblank(SmartStatus!D$2:D1000)) + ((P411 &lt;&gt; """") * "&amp;"(P411 &lt; SmartStatus!D$2:D1000)), (isblank(SmartStatus!E$2:E1000)) + ((P411 &lt;&gt; """") * (P411 &gt;= SmartStatus!E$2:E1000)), (isblank(SmartStatus!F$2:F1000)) + (((Q411 &lt;&gt; """") * (Q411 &lt; SmartStatus!F$2:F1000)) + ((P411 &lt;&gt; """") * (date(year(P411) + 3, month(P"&amp;"411), day(P411)) &lt; SmartStatus!F$2:F1000))), (isblank(SmartStatus!G$2:G1000)) + (((Q411 &lt;&gt; """") * (Q411 &gt;= SmartStatus!G$2:G1000)) + ((P411 &lt;&gt; """") * (P411 &gt;= SmartStatus!G$2:G1000)))), if(or(regexmatch(B411, ""(?i)^ir [a-z]+ designation$""), N411 &lt;&gt; """&amp;"""), 1, 2))), """"), ""NO_MATCH"")"),"")</f>
        <v/>
      </c>
      <c r="AS411" s="11"/>
      <c r="AT411" s="15"/>
      <c r="AU411" s="11"/>
      <c r="AV411" s="11"/>
      <c r="AW411" s="15"/>
      <c r="AX411" s="15"/>
      <c r="AY411" s="15"/>
      <c r="AZ411" s="11"/>
      <c r="BA411" s="15"/>
      <c r="BB411" s="11"/>
      <c r="BC411" s="11"/>
      <c r="BD411" s="15"/>
      <c r="BE411" s="11"/>
      <c r="BF411" s="11"/>
      <c r="BG411" s="15"/>
      <c r="BH411" s="15"/>
      <c r="BI411" s="15"/>
      <c r="BJ411" s="11"/>
      <c r="BK411" s="15"/>
      <c r="BL411" s="11"/>
      <c r="BM411" s="11"/>
      <c r="BN411" s="15"/>
      <c r="BO411" s="11"/>
      <c r="BP411" s="11"/>
      <c r="BQ411" s="15"/>
      <c r="BR411" s="15"/>
      <c r="BS411" s="15"/>
      <c r="BT411" s="11"/>
      <c r="BU411" s="15"/>
      <c r="BV411" s="11"/>
      <c r="BW411" s="11"/>
      <c r="BX411" s="15"/>
      <c r="BY411" s="11"/>
      <c r="BZ411" s="11"/>
      <c r="CA411" s="15"/>
      <c r="CB411" s="11"/>
      <c r="CC411" s="15"/>
      <c r="CD411" s="11"/>
      <c r="CE411" s="15"/>
      <c r="CF411" s="11"/>
      <c r="CG411" s="11"/>
      <c r="CH411" s="15"/>
      <c r="CI411" s="11"/>
      <c r="CJ411" s="11"/>
      <c r="CK411" s="15"/>
      <c r="CL411" s="11"/>
      <c r="CM411" s="11"/>
      <c r="CN411" s="11"/>
      <c r="CO411" s="11"/>
      <c r="CP411" s="28"/>
      <c r="CQ411" s="28"/>
      <c r="CR411" s="11"/>
      <c r="CS411" s="29"/>
      <c r="CT411" s="11"/>
      <c r="CU411" s="11"/>
      <c r="CV411" s="11"/>
      <c r="CW411" s="11"/>
      <c r="CX411" s="11"/>
      <c r="CY411" s="11"/>
      <c r="CZ411" s="11"/>
      <c r="DA411" s="28"/>
      <c r="DB411" s="28"/>
      <c r="DC411" s="11"/>
      <c r="DD411" s="29"/>
      <c r="DE411" s="11"/>
      <c r="DF411" s="11"/>
      <c r="DG411" s="11"/>
      <c r="DH411" s="11"/>
      <c r="DI411" s="11"/>
      <c r="DJ411" s="11"/>
      <c r="DK411" s="26"/>
      <c r="DL411" s="11"/>
      <c r="DM411" s="29"/>
      <c r="DN411" s="28"/>
      <c r="DO411" s="11"/>
      <c r="DP411" s="11"/>
      <c r="DQ411" s="11"/>
      <c r="DR411" s="29"/>
      <c r="DS411" s="28"/>
      <c r="DT411" s="11"/>
      <c r="DU411" s="26"/>
      <c r="DV411" s="11"/>
      <c r="DW411" s="29"/>
      <c r="DX411" s="28"/>
      <c r="DY411" s="11"/>
      <c r="DZ411" s="26"/>
      <c r="EA411" s="11"/>
      <c r="EB411" s="29"/>
      <c r="EC411" s="28"/>
      <c r="ED411" s="30"/>
      <c r="EE411" s="30" t="str">
        <f ca="1">IFERROR(__xludf.DUMMYFUNCTION("iferror(index(filter('Internal -- Trademark Countries'!E$2:E1000, (AM411 = 'Internal -- Trademark Countries'!B$2:B1000) + (AM411 = 'Internal -- Trademark Countries'!C$2:C1000) + (AM411 = 'Internal -- Trademark Countries'!D$2:D1000)), 1))"),"")</f>
        <v/>
      </c>
      <c r="EF411" s="30" t="e">
        <f ca="1">_xludf.ifs(AM411="", "", COUNTIF('Internal -- Trademark Countries'!B:B,AM411) &gt; 0, "polity_shortest_name", COUNTIF('Internal -- Trademark Countries'!C:C,AM411) &gt; 0, "polity_full_name", COUNTIF('Internal -- Trademark Countries'!D:D,AM411) &gt; 0, "polity_common_name", COUNTIF('Internal -- Trademark Countries'!E:E,AM411) &gt; 0, "shortest_name", COUNTIF('Internal -- Trademark Countries'!A:A,AM411) &gt; 0, "full_name", TRUE, "not a match")</f>
        <v>#NAME?</v>
      </c>
      <c r="EG411" s="30"/>
      <c r="EH411" s="30"/>
      <c r="EI411" s="30"/>
      <c r="EJ411" s="30"/>
      <c r="EK411" s="30" t="str">
        <f t="shared" si="3"/>
        <v/>
      </c>
    </row>
    <row r="412" spans="1:141" ht="16.5">
      <c r="A412" s="11"/>
      <c r="B412" s="11"/>
      <c r="C412" s="11"/>
      <c r="D412" s="11"/>
      <c r="E412" s="11"/>
      <c r="F412" s="11"/>
      <c r="G412" s="11"/>
      <c r="H412" s="11"/>
      <c r="I412" s="11"/>
      <c r="J412" s="11"/>
      <c r="K412" s="27"/>
      <c r="L412" s="11"/>
      <c r="M412" s="11"/>
      <c r="N412" s="11"/>
      <c r="O412" s="11"/>
      <c r="P412" s="15"/>
      <c r="Q412" s="15"/>
      <c r="R412" s="15"/>
      <c r="S412" s="15"/>
      <c r="T412" s="15"/>
      <c r="U412" s="15"/>
      <c r="V412" s="15"/>
      <c r="W412" s="47"/>
      <c r="X412" s="11"/>
      <c r="Y412" s="48"/>
      <c r="Z412" s="11"/>
      <c r="AA412" s="48"/>
      <c r="AB412" s="11"/>
      <c r="AC412" s="48"/>
      <c r="AD412" s="11"/>
      <c r="AE412" s="47"/>
      <c r="AF412" s="11"/>
      <c r="AG412" s="48"/>
      <c r="AH412" s="11"/>
      <c r="AI412" s="48"/>
      <c r="AJ412" s="11"/>
      <c r="AK412" s="48"/>
      <c r="AL412" s="11"/>
      <c r="AM412" s="49"/>
      <c r="AN412" s="49"/>
      <c r="AO412" s="11"/>
      <c r="AP412" s="11"/>
      <c r="AQ412" s="28" t="b">
        <f>IF(COUNTIF(SmartStatus!A$2:A1000, AM412) &gt; 2, TRUE, FALSE)</f>
        <v>0</v>
      </c>
      <c r="AR412" s="29" t="str">
        <f ca="1">IFERROR(__xludf.DUMMYFUNCTION("iferror(if(regexmatch(AO412, ""(?i)^registered""), if(EE412 &lt;&gt; ""polity_shortest_name"", ""CHECK_POLITY"", index(filter(SmartStatus!B$2:B1000, AM412 = SmartStatus!A$2:A1000, not(SmartStatus!C$2:C1000), (isblank(SmartStatus!D$2:D1000)) + ((P412 &lt;&gt; """") * "&amp;"(P412 &lt; SmartStatus!D$2:D1000)), (isblank(SmartStatus!E$2:E1000)) + ((P412 &lt;&gt; """") * (P412 &gt;= SmartStatus!E$2:E1000)), (isblank(SmartStatus!F$2:F1000)) + (((Q412 &lt;&gt; """") * (Q412 &lt; SmartStatus!F$2:F1000)) + ((P412 &lt;&gt; """") * (date(year(P412) + 3, month(P"&amp;"412), day(P412)) &lt; SmartStatus!F$2:F1000))), (isblank(SmartStatus!G$2:G1000)) + (((Q412 &lt;&gt; """") * (Q412 &gt;= SmartStatus!G$2:G1000)) + ((P412 &lt;&gt; """") * (P412 &gt;= SmartStatus!G$2:G1000)))), if(or(regexmatch(B412, ""(?i)^ir [a-z]+ designation$""), N412 &lt;&gt; """&amp;"""), 1, 2))), """"), ""NO_MATCH"")"),"")</f>
        <v/>
      </c>
      <c r="AS412" s="11"/>
      <c r="AT412" s="15"/>
      <c r="AU412" s="11"/>
      <c r="AV412" s="11"/>
      <c r="AW412" s="15"/>
      <c r="AX412" s="15"/>
      <c r="AY412" s="15"/>
      <c r="AZ412" s="11"/>
      <c r="BA412" s="15"/>
      <c r="BB412" s="11"/>
      <c r="BC412" s="11"/>
      <c r="BD412" s="15"/>
      <c r="BE412" s="11"/>
      <c r="BF412" s="11"/>
      <c r="BG412" s="15"/>
      <c r="BH412" s="15"/>
      <c r="BI412" s="15"/>
      <c r="BJ412" s="11"/>
      <c r="BK412" s="15"/>
      <c r="BL412" s="11"/>
      <c r="BM412" s="11"/>
      <c r="BN412" s="15"/>
      <c r="BO412" s="11"/>
      <c r="BP412" s="11"/>
      <c r="BQ412" s="15"/>
      <c r="BR412" s="15"/>
      <c r="BS412" s="15"/>
      <c r="BT412" s="11"/>
      <c r="BU412" s="15"/>
      <c r="BV412" s="11"/>
      <c r="BW412" s="11"/>
      <c r="BX412" s="15"/>
      <c r="BY412" s="11"/>
      <c r="BZ412" s="11"/>
      <c r="CA412" s="15"/>
      <c r="CB412" s="11"/>
      <c r="CC412" s="15"/>
      <c r="CD412" s="11"/>
      <c r="CE412" s="15"/>
      <c r="CF412" s="11"/>
      <c r="CG412" s="11"/>
      <c r="CH412" s="15"/>
      <c r="CI412" s="11"/>
      <c r="CJ412" s="11"/>
      <c r="CK412" s="15"/>
      <c r="CL412" s="11"/>
      <c r="CM412" s="11"/>
      <c r="CN412" s="11"/>
      <c r="CO412" s="11"/>
      <c r="CP412" s="28"/>
      <c r="CQ412" s="28"/>
      <c r="CR412" s="11"/>
      <c r="CS412" s="29"/>
      <c r="CT412" s="11"/>
      <c r="CU412" s="11"/>
      <c r="CV412" s="11"/>
      <c r="CW412" s="11"/>
      <c r="CX412" s="11"/>
      <c r="CY412" s="11"/>
      <c r="CZ412" s="11"/>
      <c r="DA412" s="28"/>
      <c r="DB412" s="28"/>
      <c r="DC412" s="11"/>
      <c r="DD412" s="29"/>
      <c r="DE412" s="11"/>
      <c r="DF412" s="11"/>
      <c r="DG412" s="11"/>
      <c r="DH412" s="11"/>
      <c r="DI412" s="11"/>
      <c r="DJ412" s="11"/>
      <c r="DK412" s="26"/>
      <c r="DL412" s="11"/>
      <c r="DM412" s="29"/>
      <c r="DN412" s="28"/>
      <c r="DO412" s="11"/>
      <c r="DP412" s="11"/>
      <c r="DQ412" s="11"/>
      <c r="DR412" s="29"/>
      <c r="DS412" s="28"/>
      <c r="DT412" s="11"/>
      <c r="DU412" s="26"/>
      <c r="DV412" s="11"/>
      <c r="DW412" s="29"/>
      <c r="DX412" s="28"/>
      <c r="DY412" s="11"/>
      <c r="DZ412" s="26"/>
      <c r="EA412" s="11"/>
      <c r="EB412" s="29"/>
      <c r="EC412" s="28"/>
      <c r="ED412" s="30"/>
      <c r="EE412" s="30" t="str">
        <f ca="1">IFERROR(__xludf.DUMMYFUNCTION("iferror(index(filter('Internal -- Trademark Countries'!E$2:E1000, (AM412 = 'Internal -- Trademark Countries'!B$2:B1000) + (AM412 = 'Internal -- Trademark Countries'!C$2:C1000) + (AM412 = 'Internal -- Trademark Countries'!D$2:D1000)), 1))"),"")</f>
        <v/>
      </c>
      <c r="EF412" s="30" t="e">
        <f ca="1">_xludf.ifs(AM412="", "", COUNTIF('Internal -- Trademark Countries'!B:B,AM412) &gt; 0, "polity_shortest_name", COUNTIF('Internal -- Trademark Countries'!C:C,AM412) &gt; 0, "polity_full_name", COUNTIF('Internal -- Trademark Countries'!D:D,AM412) &gt; 0, "polity_common_name", COUNTIF('Internal -- Trademark Countries'!E:E,AM412) &gt; 0, "shortest_name", COUNTIF('Internal -- Trademark Countries'!A:A,AM412) &gt; 0, "full_name", TRUE, "not a match")</f>
        <v>#NAME?</v>
      </c>
      <c r="EG412" s="30"/>
      <c r="EH412" s="30"/>
      <c r="EI412" s="30"/>
      <c r="EJ412" s="30"/>
      <c r="EK412" s="30" t="str">
        <f t="shared" si="3"/>
        <v/>
      </c>
    </row>
    <row r="413" spans="1:141" ht="16.5">
      <c r="A413" s="11"/>
      <c r="B413" s="11"/>
      <c r="C413" s="11"/>
      <c r="D413" s="11"/>
      <c r="E413" s="11"/>
      <c r="F413" s="11"/>
      <c r="G413" s="11"/>
      <c r="H413" s="11"/>
      <c r="I413" s="11"/>
      <c r="J413" s="11"/>
      <c r="K413" s="27"/>
      <c r="L413" s="11"/>
      <c r="M413" s="11"/>
      <c r="N413" s="11"/>
      <c r="O413" s="11"/>
      <c r="P413" s="15"/>
      <c r="Q413" s="15"/>
      <c r="R413" s="15"/>
      <c r="S413" s="15"/>
      <c r="T413" s="15"/>
      <c r="U413" s="15"/>
      <c r="V413" s="15"/>
      <c r="W413" s="47"/>
      <c r="X413" s="11"/>
      <c r="Y413" s="48"/>
      <c r="Z413" s="11"/>
      <c r="AA413" s="48"/>
      <c r="AB413" s="11"/>
      <c r="AC413" s="48"/>
      <c r="AD413" s="11"/>
      <c r="AE413" s="47"/>
      <c r="AF413" s="11"/>
      <c r="AG413" s="48"/>
      <c r="AH413" s="11"/>
      <c r="AI413" s="48"/>
      <c r="AJ413" s="11"/>
      <c r="AK413" s="48"/>
      <c r="AL413" s="11"/>
      <c r="AM413" s="49"/>
      <c r="AN413" s="49"/>
      <c r="AO413" s="11"/>
      <c r="AP413" s="11"/>
      <c r="AQ413" s="28" t="b">
        <f>IF(COUNTIF(SmartStatus!A$2:A1000, AM413) &gt; 2, TRUE, FALSE)</f>
        <v>0</v>
      </c>
      <c r="AR413" s="29" t="str">
        <f ca="1">IFERROR(__xludf.DUMMYFUNCTION("iferror(if(regexmatch(AO413, ""(?i)^registered""), if(EE413 &lt;&gt; ""polity_shortest_name"", ""CHECK_POLITY"", index(filter(SmartStatus!B$2:B1000, AM413 = SmartStatus!A$2:A1000, not(SmartStatus!C$2:C1000), (isblank(SmartStatus!D$2:D1000)) + ((P413 &lt;&gt; """") * "&amp;"(P413 &lt; SmartStatus!D$2:D1000)), (isblank(SmartStatus!E$2:E1000)) + ((P413 &lt;&gt; """") * (P413 &gt;= SmartStatus!E$2:E1000)), (isblank(SmartStatus!F$2:F1000)) + (((Q413 &lt;&gt; """") * (Q413 &lt; SmartStatus!F$2:F1000)) + ((P413 &lt;&gt; """") * (date(year(P413) + 3, month(P"&amp;"413), day(P413)) &lt; SmartStatus!F$2:F1000))), (isblank(SmartStatus!G$2:G1000)) + (((Q413 &lt;&gt; """") * (Q413 &gt;= SmartStatus!G$2:G1000)) + ((P413 &lt;&gt; """") * (P413 &gt;= SmartStatus!G$2:G1000)))), if(or(regexmatch(B413, ""(?i)^ir [a-z]+ designation$""), N413 &lt;&gt; """&amp;"""), 1, 2))), """"), ""NO_MATCH"")"),"")</f>
        <v/>
      </c>
      <c r="AS413" s="11"/>
      <c r="AT413" s="15"/>
      <c r="AU413" s="11"/>
      <c r="AV413" s="11"/>
      <c r="AW413" s="15"/>
      <c r="AX413" s="15"/>
      <c r="AY413" s="15"/>
      <c r="AZ413" s="11"/>
      <c r="BA413" s="15"/>
      <c r="BB413" s="11"/>
      <c r="BC413" s="11"/>
      <c r="BD413" s="15"/>
      <c r="BE413" s="11"/>
      <c r="BF413" s="11"/>
      <c r="BG413" s="15"/>
      <c r="BH413" s="15"/>
      <c r="BI413" s="15"/>
      <c r="BJ413" s="11"/>
      <c r="BK413" s="15"/>
      <c r="BL413" s="11"/>
      <c r="BM413" s="11"/>
      <c r="BN413" s="15"/>
      <c r="BO413" s="11"/>
      <c r="BP413" s="11"/>
      <c r="BQ413" s="15"/>
      <c r="BR413" s="15"/>
      <c r="BS413" s="15"/>
      <c r="BT413" s="11"/>
      <c r="BU413" s="15"/>
      <c r="BV413" s="11"/>
      <c r="BW413" s="11"/>
      <c r="BX413" s="15"/>
      <c r="BY413" s="11"/>
      <c r="BZ413" s="11"/>
      <c r="CA413" s="15"/>
      <c r="CB413" s="11"/>
      <c r="CC413" s="15"/>
      <c r="CD413" s="11"/>
      <c r="CE413" s="15"/>
      <c r="CF413" s="11"/>
      <c r="CG413" s="11"/>
      <c r="CH413" s="15"/>
      <c r="CI413" s="11"/>
      <c r="CJ413" s="11"/>
      <c r="CK413" s="15"/>
      <c r="CL413" s="11"/>
      <c r="CM413" s="11"/>
      <c r="CN413" s="11"/>
      <c r="CO413" s="11"/>
      <c r="CP413" s="28"/>
      <c r="CQ413" s="28"/>
      <c r="CR413" s="11"/>
      <c r="CS413" s="29"/>
      <c r="CT413" s="11"/>
      <c r="CU413" s="11"/>
      <c r="CV413" s="11"/>
      <c r="CW413" s="11"/>
      <c r="CX413" s="11"/>
      <c r="CY413" s="11"/>
      <c r="CZ413" s="11"/>
      <c r="DA413" s="28"/>
      <c r="DB413" s="28"/>
      <c r="DC413" s="11"/>
      <c r="DD413" s="29"/>
      <c r="DE413" s="11"/>
      <c r="DF413" s="11"/>
      <c r="DG413" s="11"/>
      <c r="DH413" s="11"/>
      <c r="DI413" s="11"/>
      <c r="DJ413" s="11"/>
      <c r="DK413" s="26"/>
      <c r="DL413" s="11"/>
      <c r="DM413" s="29"/>
      <c r="DN413" s="28"/>
      <c r="DO413" s="11"/>
      <c r="DP413" s="11"/>
      <c r="DQ413" s="11"/>
      <c r="DR413" s="29"/>
      <c r="DS413" s="28"/>
      <c r="DT413" s="11"/>
      <c r="DU413" s="26"/>
      <c r="DV413" s="11"/>
      <c r="DW413" s="29"/>
      <c r="DX413" s="28"/>
      <c r="DY413" s="11"/>
      <c r="DZ413" s="26"/>
      <c r="EA413" s="11"/>
      <c r="EB413" s="29"/>
      <c r="EC413" s="28"/>
      <c r="ED413" s="30"/>
      <c r="EE413" s="30" t="str">
        <f ca="1">IFERROR(__xludf.DUMMYFUNCTION("iferror(index(filter('Internal -- Trademark Countries'!E$2:E1000, (AM413 = 'Internal -- Trademark Countries'!B$2:B1000) + (AM413 = 'Internal -- Trademark Countries'!C$2:C1000) + (AM413 = 'Internal -- Trademark Countries'!D$2:D1000)), 1))"),"")</f>
        <v/>
      </c>
      <c r="EF413" s="30" t="e">
        <f ca="1">_xludf.ifs(AM413="", "", COUNTIF('Internal -- Trademark Countries'!B:B,AM413) &gt; 0, "polity_shortest_name", COUNTIF('Internal -- Trademark Countries'!C:C,AM413) &gt; 0, "polity_full_name", COUNTIF('Internal -- Trademark Countries'!D:D,AM413) &gt; 0, "polity_common_name", COUNTIF('Internal -- Trademark Countries'!E:E,AM413) &gt; 0, "shortest_name", COUNTIF('Internal -- Trademark Countries'!A:A,AM413) &gt; 0, "full_name", TRUE, "not a match")</f>
        <v>#NAME?</v>
      </c>
      <c r="EG413" s="30"/>
      <c r="EH413" s="30"/>
      <c r="EI413" s="30"/>
      <c r="EJ413" s="30"/>
      <c r="EK413" s="30" t="str">
        <f t="shared" si="3"/>
        <v/>
      </c>
    </row>
    <row r="414" spans="1:141" ht="16.5">
      <c r="A414" s="11"/>
      <c r="B414" s="11"/>
      <c r="C414" s="11"/>
      <c r="D414" s="11"/>
      <c r="E414" s="11"/>
      <c r="F414" s="11"/>
      <c r="G414" s="11"/>
      <c r="H414" s="11"/>
      <c r="I414" s="11"/>
      <c r="J414" s="11"/>
      <c r="K414" s="27"/>
      <c r="L414" s="11"/>
      <c r="M414" s="11"/>
      <c r="N414" s="11"/>
      <c r="O414" s="11"/>
      <c r="P414" s="15"/>
      <c r="Q414" s="15"/>
      <c r="R414" s="15"/>
      <c r="S414" s="15"/>
      <c r="T414" s="15"/>
      <c r="U414" s="15"/>
      <c r="V414" s="15"/>
      <c r="W414" s="47"/>
      <c r="X414" s="11"/>
      <c r="Y414" s="48"/>
      <c r="Z414" s="11"/>
      <c r="AA414" s="48"/>
      <c r="AB414" s="11"/>
      <c r="AC414" s="48"/>
      <c r="AD414" s="11"/>
      <c r="AE414" s="47"/>
      <c r="AF414" s="11"/>
      <c r="AG414" s="48"/>
      <c r="AH414" s="11"/>
      <c r="AI414" s="48"/>
      <c r="AJ414" s="11"/>
      <c r="AK414" s="48"/>
      <c r="AL414" s="11"/>
      <c r="AM414" s="49"/>
      <c r="AN414" s="49"/>
      <c r="AO414" s="11"/>
      <c r="AP414" s="11"/>
      <c r="AQ414" s="28" t="b">
        <f>IF(COUNTIF(SmartStatus!A$2:A1000, AM414) &gt; 2, TRUE, FALSE)</f>
        <v>0</v>
      </c>
      <c r="AR414" s="29" t="str">
        <f ca="1">IFERROR(__xludf.DUMMYFUNCTION("iferror(if(regexmatch(AO414, ""(?i)^registered""), if(EE414 &lt;&gt; ""polity_shortest_name"", ""CHECK_POLITY"", index(filter(SmartStatus!B$2:B1000, AM414 = SmartStatus!A$2:A1000, not(SmartStatus!C$2:C1000), (isblank(SmartStatus!D$2:D1000)) + ((P414 &lt;&gt; """") * "&amp;"(P414 &lt; SmartStatus!D$2:D1000)), (isblank(SmartStatus!E$2:E1000)) + ((P414 &lt;&gt; """") * (P414 &gt;= SmartStatus!E$2:E1000)), (isblank(SmartStatus!F$2:F1000)) + (((Q414 &lt;&gt; """") * (Q414 &lt; SmartStatus!F$2:F1000)) + ((P414 &lt;&gt; """") * (date(year(P414) + 3, month(P"&amp;"414), day(P414)) &lt; SmartStatus!F$2:F1000))), (isblank(SmartStatus!G$2:G1000)) + (((Q414 &lt;&gt; """") * (Q414 &gt;= SmartStatus!G$2:G1000)) + ((P414 &lt;&gt; """") * (P414 &gt;= SmartStatus!G$2:G1000)))), if(or(regexmatch(B414, ""(?i)^ir [a-z]+ designation$""), N414 &lt;&gt; """&amp;"""), 1, 2))), """"), ""NO_MATCH"")"),"")</f>
        <v/>
      </c>
      <c r="AS414" s="11"/>
      <c r="AT414" s="15"/>
      <c r="AU414" s="11"/>
      <c r="AV414" s="11"/>
      <c r="AW414" s="15"/>
      <c r="AX414" s="15"/>
      <c r="AY414" s="15"/>
      <c r="AZ414" s="11"/>
      <c r="BA414" s="15"/>
      <c r="BB414" s="11"/>
      <c r="BC414" s="11"/>
      <c r="BD414" s="15"/>
      <c r="BE414" s="11"/>
      <c r="BF414" s="11"/>
      <c r="BG414" s="15"/>
      <c r="BH414" s="15"/>
      <c r="BI414" s="15"/>
      <c r="BJ414" s="11"/>
      <c r="BK414" s="15"/>
      <c r="BL414" s="11"/>
      <c r="BM414" s="11"/>
      <c r="BN414" s="15"/>
      <c r="BO414" s="11"/>
      <c r="BP414" s="11"/>
      <c r="BQ414" s="15"/>
      <c r="BR414" s="15"/>
      <c r="BS414" s="15"/>
      <c r="BT414" s="11"/>
      <c r="BU414" s="15"/>
      <c r="BV414" s="11"/>
      <c r="BW414" s="11"/>
      <c r="BX414" s="15"/>
      <c r="BY414" s="11"/>
      <c r="BZ414" s="11"/>
      <c r="CA414" s="15"/>
      <c r="CB414" s="11"/>
      <c r="CC414" s="15"/>
      <c r="CD414" s="11"/>
      <c r="CE414" s="15"/>
      <c r="CF414" s="11"/>
      <c r="CG414" s="11"/>
      <c r="CH414" s="15"/>
      <c r="CI414" s="11"/>
      <c r="CJ414" s="11"/>
      <c r="CK414" s="15"/>
      <c r="CL414" s="11"/>
      <c r="CM414" s="11"/>
      <c r="CN414" s="11"/>
      <c r="CO414" s="11"/>
      <c r="CP414" s="28"/>
      <c r="CQ414" s="28"/>
      <c r="CR414" s="11"/>
      <c r="CS414" s="29"/>
      <c r="CT414" s="11"/>
      <c r="CU414" s="11"/>
      <c r="CV414" s="11"/>
      <c r="CW414" s="11"/>
      <c r="CX414" s="11"/>
      <c r="CY414" s="11"/>
      <c r="CZ414" s="11"/>
      <c r="DA414" s="28"/>
      <c r="DB414" s="28"/>
      <c r="DC414" s="11"/>
      <c r="DD414" s="29"/>
      <c r="DE414" s="11"/>
      <c r="DF414" s="11"/>
      <c r="DG414" s="11"/>
      <c r="DH414" s="11"/>
      <c r="DI414" s="11"/>
      <c r="DJ414" s="11"/>
      <c r="DK414" s="26"/>
      <c r="DL414" s="11"/>
      <c r="DM414" s="29"/>
      <c r="DN414" s="28"/>
      <c r="DO414" s="11"/>
      <c r="DP414" s="11"/>
      <c r="DQ414" s="11"/>
      <c r="DR414" s="29"/>
      <c r="DS414" s="28"/>
      <c r="DT414" s="11"/>
      <c r="DU414" s="26"/>
      <c r="DV414" s="11"/>
      <c r="DW414" s="29"/>
      <c r="DX414" s="28"/>
      <c r="DY414" s="11"/>
      <c r="DZ414" s="26"/>
      <c r="EA414" s="11"/>
      <c r="EB414" s="29"/>
      <c r="EC414" s="28"/>
      <c r="ED414" s="30"/>
      <c r="EE414" s="30" t="str">
        <f ca="1">IFERROR(__xludf.DUMMYFUNCTION("iferror(index(filter('Internal -- Trademark Countries'!E$2:E1000, (AM414 = 'Internal -- Trademark Countries'!B$2:B1000) + (AM414 = 'Internal -- Trademark Countries'!C$2:C1000) + (AM414 = 'Internal -- Trademark Countries'!D$2:D1000)), 1))"),"")</f>
        <v/>
      </c>
      <c r="EF414" s="30" t="e">
        <f ca="1">_xludf.ifs(AM414="", "", COUNTIF('Internal -- Trademark Countries'!B:B,AM414) &gt; 0, "polity_shortest_name", COUNTIF('Internal -- Trademark Countries'!C:C,AM414) &gt; 0, "polity_full_name", COUNTIF('Internal -- Trademark Countries'!D:D,AM414) &gt; 0, "polity_common_name", COUNTIF('Internal -- Trademark Countries'!E:E,AM414) &gt; 0, "shortest_name", COUNTIF('Internal -- Trademark Countries'!A:A,AM414) &gt; 0, "full_name", TRUE, "not a match")</f>
        <v>#NAME?</v>
      </c>
      <c r="EG414" s="30"/>
      <c r="EH414" s="30"/>
      <c r="EI414" s="30"/>
      <c r="EJ414" s="30"/>
      <c r="EK414" s="30" t="str">
        <f t="shared" si="3"/>
        <v/>
      </c>
    </row>
    <row r="415" spans="1:141" ht="16.5">
      <c r="A415" s="11"/>
      <c r="B415" s="11"/>
      <c r="C415" s="11"/>
      <c r="D415" s="11"/>
      <c r="E415" s="11"/>
      <c r="F415" s="11"/>
      <c r="G415" s="11"/>
      <c r="H415" s="11"/>
      <c r="I415" s="11"/>
      <c r="J415" s="11"/>
      <c r="K415" s="27"/>
      <c r="L415" s="11"/>
      <c r="M415" s="11"/>
      <c r="N415" s="11"/>
      <c r="O415" s="11"/>
      <c r="P415" s="15"/>
      <c r="Q415" s="15"/>
      <c r="R415" s="15"/>
      <c r="S415" s="15"/>
      <c r="T415" s="15"/>
      <c r="U415" s="15"/>
      <c r="V415" s="15"/>
      <c r="W415" s="47"/>
      <c r="X415" s="11"/>
      <c r="Y415" s="48"/>
      <c r="Z415" s="11"/>
      <c r="AA415" s="48"/>
      <c r="AB415" s="11"/>
      <c r="AC415" s="48"/>
      <c r="AD415" s="11"/>
      <c r="AE415" s="47"/>
      <c r="AF415" s="11"/>
      <c r="AG415" s="48"/>
      <c r="AH415" s="11"/>
      <c r="AI415" s="48"/>
      <c r="AJ415" s="11"/>
      <c r="AK415" s="48"/>
      <c r="AL415" s="11"/>
      <c r="AM415" s="49"/>
      <c r="AN415" s="49"/>
      <c r="AO415" s="11"/>
      <c r="AP415" s="11"/>
      <c r="AQ415" s="28" t="b">
        <f>IF(COUNTIF(SmartStatus!A$2:A1000, AM415) &gt; 2, TRUE, FALSE)</f>
        <v>0</v>
      </c>
      <c r="AR415" s="29" t="str">
        <f ca="1">IFERROR(__xludf.DUMMYFUNCTION("iferror(if(regexmatch(AO415, ""(?i)^registered""), if(EE415 &lt;&gt; ""polity_shortest_name"", ""CHECK_POLITY"", index(filter(SmartStatus!B$2:B1000, AM415 = SmartStatus!A$2:A1000, not(SmartStatus!C$2:C1000), (isblank(SmartStatus!D$2:D1000)) + ((P415 &lt;&gt; """") * "&amp;"(P415 &lt; SmartStatus!D$2:D1000)), (isblank(SmartStatus!E$2:E1000)) + ((P415 &lt;&gt; """") * (P415 &gt;= SmartStatus!E$2:E1000)), (isblank(SmartStatus!F$2:F1000)) + (((Q415 &lt;&gt; """") * (Q415 &lt; SmartStatus!F$2:F1000)) + ((P415 &lt;&gt; """") * (date(year(P415) + 3, month(P"&amp;"415), day(P415)) &lt; SmartStatus!F$2:F1000))), (isblank(SmartStatus!G$2:G1000)) + (((Q415 &lt;&gt; """") * (Q415 &gt;= SmartStatus!G$2:G1000)) + ((P415 &lt;&gt; """") * (P415 &gt;= SmartStatus!G$2:G1000)))), if(or(regexmatch(B415, ""(?i)^ir [a-z]+ designation$""), N415 &lt;&gt; """&amp;"""), 1, 2))), """"), ""NO_MATCH"")"),"")</f>
        <v/>
      </c>
      <c r="AS415" s="11"/>
      <c r="AT415" s="15"/>
      <c r="AU415" s="11"/>
      <c r="AV415" s="11"/>
      <c r="AW415" s="15"/>
      <c r="AX415" s="15"/>
      <c r="AY415" s="15"/>
      <c r="AZ415" s="11"/>
      <c r="BA415" s="15"/>
      <c r="BB415" s="11"/>
      <c r="BC415" s="11"/>
      <c r="BD415" s="15"/>
      <c r="BE415" s="11"/>
      <c r="BF415" s="11"/>
      <c r="BG415" s="15"/>
      <c r="BH415" s="15"/>
      <c r="BI415" s="15"/>
      <c r="BJ415" s="11"/>
      <c r="BK415" s="15"/>
      <c r="BL415" s="11"/>
      <c r="BM415" s="11"/>
      <c r="BN415" s="15"/>
      <c r="BO415" s="11"/>
      <c r="BP415" s="11"/>
      <c r="BQ415" s="15"/>
      <c r="BR415" s="15"/>
      <c r="BS415" s="15"/>
      <c r="BT415" s="11"/>
      <c r="BU415" s="15"/>
      <c r="BV415" s="11"/>
      <c r="BW415" s="11"/>
      <c r="BX415" s="15"/>
      <c r="BY415" s="11"/>
      <c r="BZ415" s="11"/>
      <c r="CA415" s="15"/>
      <c r="CB415" s="11"/>
      <c r="CC415" s="15"/>
      <c r="CD415" s="11"/>
      <c r="CE415" s="15"/>
      <c r="CF415" s="11"/>
      <c r="CG415" s="11"/>
      <c r="CH415" s="15"/>
      <c r="CI415" s="11"/>
      <c r="CJ415" s="11"/>
      <c r="CK415" s="15"/>
      <c r="CL415" s="11"/>
      <c r="CM415" s="11"/>
      <c r="CN415" s="11"/>
      <c r="CO415" s="11"/>
      <c r="CP415" s="28"/>
      <c r="CQ415" s="28"/>
      <c r="CR415" s="11"/>
      <c r="CS415" s="29"/>
      <c r="CT415" s="11"/>
      <c r="CU415" s="11"/>
      <c r="CV415" s="11"/>
      <c r="CW415" s="11"/>
      <c r="CX415" s="11"/>
      <c r="CY415" s="11"/>
      <c r="CZ415" s="11"/>
      <c r="DA415" s="28"/>
      <c r="DB415" s="28"/>
      <c r="DC415" s="11"/>
      <c r="DD415" s="29"/>
      <c r="DE415" s="11"/>
      <c r="DF415" s="11"/>
      <c r="DG415" s="11"/>
      <c r="DH415" s="11"/>
      <c r="DI415" s="11"/>
      <c r="DJ415" s="11"/>
      <c r="DK415" s="26"/>
      <c r="DL415" s="11"/>
      <c r="DM415" s="29"/>
      <c r="DN415" s="28"/>
      <c r="DO415" s="11"/>
      <c r="DP415" s="11"/>
      <c r="DQ415" s="11"/>
      <c r="DR415" s="29"/>
      <c r="DS415" s="28"/>
      <c r="DT415" s="11"/>
      <c r="DU415" s="26"/>
      <c r="DV415" s="11"/>
      <c r="DW415" s="29"/>
      <c r="DX415" s="28"/>
      <c r="DY415" s="11"/>
      <c r="DZ415" s="26"/>
      <c r="EA415" s="11"/>
      <c r="EB415" s="29"/>
      <c r="EC415" s="28"/>
      <c r="ED415" s="30"/>
      <c r="EE415" s="30" t="str">
        <f ca="1">IFERROR(__xludf.DUMMYFUNCTION("iferror(index(filter('Internal -- Trademark Countries'!E$2:E1000, (AM415 = 'Internal -- Trademark Countries'!B$2:B1000) + (AM415 = 'Internal -- Trademark Countries'!C$2:C1000) + (AM415 = 'Internal -- Trademark Countries'!D$2:D1000)), 1))"),"")</f>
        <v/>
      </c>
      <c r="EF415" s="30" t="e">
        <f ca="1">_xludf.ifs(AM415="", "", COUNTIF('Internal -- Trademark Countries'!B:B,AM415) &gt; 0, "polity_shortest_name", COUNTIF('Internal -- Trademark Countries'!C:C,AM415) &gt; 0, "polity_full_name", COUNTIF('Internal -- Trademark Countries'!D:D,AM415) &gt; 0, "polity_common_name", COUNTIF('Internal -- Trademark Countries'!E:E,AM415) &gt; 0, "shortest_name", COUNTIF('Internal -- Trademark Countries'!A:A,AM415) &gt; 0, "full_name", TRUE, "not a match")</f>
        <v>#NAME?</v>
      </c>
      <c r="EG415" s="30"/>
      <c r="EH415" s="30"/>
      <c r="EI415" s="30"/>
      <c r="EJ415" s="30"/>
      <c r="EK415" s="30" t="str">
        <f t="shared" si="3"/>
        <v/>
      </c>
    </row>
    <row r="416" spans="1:141" ht="16.5">
      <c r="A416" s="11"/>
      <c r="B416" s="11"/>
      <c r="C416" s="11"/>
      <c r="D416" s="11"/>
      <c r="E416" s="11"/>
      <c r="F416" s="11"/>
      <c r="G416" s="11"/>
      <c r="H416" s="11"/>
      <c r="I416" s="11"/>
      <c r="J416" s="11"/>
      <c r="K416" s="27"/>
      <c r="L416" s="11"/>
      <c r="M416" s="11"/>
      <c r="N416" s="11"/>
      <c r="O416" s="11"/>
      <c r="P416" s="15"/>
      <c r="Q416" s="15"/>
      <c r="R416" s="15"/>
      <c r="S416" s="15"/>
      <c r="T416" s="15"/>
      <c r="U416" s="15"/>
      <c r="V416" s="15"/>
      <c r="W416" s="47"/>
      <c r="X416" s="11"/>
      <c r="Y416" s="48"/>
      <c r="Z416" s="11"/>
      <c r="AA416" s="48"/>
      <c r="AB416" s="11"/>
      <c r="AC416" s="48"/>
      <c r="AD416" s="11"/>
      <c r="AE416" s="47"/>
      <c r="AF416" s="11"/>
      <c r="AG416" s="48"/>
      <c r="AH416" s="11"/>
      <c r="AI416" s="48"/>
      <c r="AJ416" s="11"/>
      <c r="AK416" s="48"/>
      <c r="AL416" s="11"/>
      <c r="AM416" s="49"/>
      <c r="AN416" s="49"/>
      <c r="AO416" s="11"/>
      <c r="AP416" s="11"/>
      <c r="AQ416" s="28" t="b">
        <f>IF(COUNTIF(SmartStatus!A$2:A1000, AM416) &gt; 2, TRUE, FALSE)</f>
        <v>0</v>
      </c>
      <c r="AR416" s="29" t="str">
        <f ca="1">IFERROR(__xludf.DUMMYFUNCTION("iferror(if(regexmatch(AO416, ""(?i)^registered""), if(EE416 &lt;&gt; ""polity_shortest_name"", ""CHECK_POLITY"", index(filter(SmartStatus!B$2:B1000, AM416 = SmartStatus!A$2:A1000, not(SmartStatus!C$2:C1000), (isblank(SmartStatus!D$2:D1000)) + ((P416 &lt;&gt; """") * "&amp;"(P416 &lt; SmartStatus!D$2:D1000)), (isblank(SmartStatus!E$2:E1000)) + ((P416 &lt;&gt; """") * (P416 &gt;= SmartStatus!E$2:E1000)), (isblank(SmartStatus!F$2:F1000)) + (((Q416 &lt;&gt; """") * (Q416 &lt; SmartStatus!F$2:F1000)) + ((P416 &lt;&gt; """") * (date(year(P416) + 3, month(P"&amp;"416), day(P416)) &lt; SmartStatus!F$2:F1000))), (isblank(SmartStatus!G$2:G1000)) + (((Q416 &lt;&gt; """") * (Q416 &gt;= SmartStatus!G$2:G1000)) + ((P416 &lt;&gt; """") * (P416 &gt;= SmartStatus!G$2:G1000)))), if(or(regexmatch(B416, ""(?i)^ir [a-z]+ designation$""), N416 &lt;&gt; """&amp;"""), 1, 2))), """"), ""NO_MATCH"")"),"")</f>
        <v/>
      </c>
      <c r="AS416" s="11"/>
      <c r="AT416" s="15"/>
      <c r="AU416" s="11"/>
      <c r="AV416" s="11"/>
      <c r="AW416" s="15"/>
      <c r="AX416" s="15"/>
      <c r="AY416" s="15"/>
      <c r="AZ416" s="11"/>
      <c r="BA416" s="15"/>
      <c r="BB416" s="11"/>
      <c r="BC416" s="11"/>
      <c r="BD416" s="15"/>
      <c r="BE416" s="11"/>
      <c r="BF416" s="11"/>
      <c r="BG416" s="15"/>
      <c r="BH416" s="15"/>
      <c r="BI416" s="15"/>
      <c r="BJ416" s="11"/>
      <c r="BK416" s="15"/>
      <c r="BL416" s="11"/>
      <c r="BM416" s="11"/>
      <c r="BN416" s="15"/>
      <c r="BO416" s="11"/>
      <c r="BP416" s="11"/>
      <c r="BQ416" s="15"/>
      <c r="BR416" s="15"/>
      <c r="BS416" s="15"/>
      <c r="BT416" s="11"/>
      <c r="BU416" s="15"/>
      <c r="BV416" s="11"/>
      <c r="BW416" s="11"/>
      <c r="BX416" s="15"/>
      <c r="BY416" s="11"/>
      <c r="BZ416" s="11"/>
      <c r="CA416" s="15"/>
      <c r="CB416" s="11"/>
      <c r="CC416" s="15"/>
      <c r="CD416" s="11"/>
      <c r="CE416" s="15"/>
      <c r="CF416" s="11"/>
      <c r="CG416" s="11"/>
      <c r="CH416" s="15"/>
      <c r="CI416" s="11"/>
      <c r="CJ416" s="11"/>
      <c r="CK416" s="15"/>
      <c r="CL416" s="11"/>
      <c r="CM416" s="11"/>
      <c r="CN416" s="11"/>
      <c r="CO416" s="11"/>
      <c r="CP416" s="28"/>
      <c r="CQ416" s="28"/>
      <c r="CR416" s="11"/>
      <c r="CS416" s="29"/>
      <c r="CT416" s="11"/>
      <c r="CU416" s="11"/>
      <c r="CV416" s="11"/>
      <c r="CW416" s="11"/>
      <c r="CX416" s="11"/>
      <c r="CY416" s="11"/>
      <c r="CZ416" s="11"/>
      <c r="DA416" s="28"/>
      <c r="DB416" s="28"/>
      <c r="DC416" s="11"/>
      <c r="DD416" s="29"/>
      <c r="DE416" s="11"/>
      <c r="DF416" s="11"/>
      <c r="DG416" s="11"/>
      <c r="DH416" s="11"/>
      <c r="DI416" s="11"/>
      <c r="DJ416" s="11"/>
      <c r="DK416" s="26"/>
      <c r="DL416" s="11"/>
      <c r="DM416" s="29"/>
      <c r="DN416" s="28"/>
      <c r="DO416" s="11"/>
      <c r="DP416" s="11"/>
      <c r="DQ416" s="11"/>
      <c r="DR416" s="29"/>
      <c r="DS416" s="28"/>
      <c r="DT416" s="11"/>
      <c r="DU416" s="26"/>
      <c r="DV416" s="11"/>
      <c r="DW416" s="29"/>
      <c r="DX416" s="28"/>
      <c r="DY416" s="11"/>
      <c r="DZ416" s="26"/>
      <c r="EA416" s="11"/>
      <c r="EB416" s="29"/>
      <c r="EC416" s="28"/>
      <c r="ED416" s="30"/>
      <c r="EE416" s="30" t="str">
        <f ca="1">IFERROR(__xludf.DUMMYFUNCTION("iferror(index(filter('Internal -- Trademark Countries'!E$2:E1000, (AM416 = 'Internal -- Trademark Countries'!B$2:B1000) + (AM416 = 'Internal -- Trademark Countries'!C$2:C1000) + (AM416 = 'Internal -- Trademark Countries'!D$2:D1000)), 1))"),"")</f>
        <v/>
      </c>
      <c r="EF416" s="30" t="e">
        <f ca="1">_xludf.ifs(AM416="", "", COUNTIF('Internal -- Trademark Countries'!B:B,AM416) &gt; 0, "polity_shortest_name", COUNTIF('Internal -- Trademark Countries'!C:C,AM416) &gt; 0, "polity_full_name", COUNTIF('Internal -- Trademark Countries'!D:D,AM416) &gt; 0, "polity_common_name", COUNTIF('Internal -- Trademark Countries'!E:E,AM416) &gt; 0, "shortest_name", COUNTIF('Internal -- Trademark Countries'!A:A,AM416) &gt; 0, "full_name", TRUE, "not a match")</f>
        <v>#NAME?</v>
      </c>
      <c r="EG416" s="30"/>
      <c r="EH416" s="30"/>
      <c r="EI416" s="30"/>
      <c r="EJ416" s="30"/>
      <c r="EK416" s="30" t="str">
        <f t="shared" si="3"/>
        <v/>
      </c>
    </row>
    <row r="417" spans="1:141" ht="16.5">
      <c r="A417" s="11"/>
      <c r="B417" s="11"/>
      <c r="C417" s="11"/>
      <c r="D417" s="11"/>
      <c r="E417" s="11"/>
      <c r="F417" s="11"/>
      <c r="G417" s="11"/>
      <c r="H417" s="11"/>
      <c r="I417" s="11"/>
      <c r="J417" s="11"/>
      <c r="K417" s="27"/>
      <c r="L417" s="11"/>
      <c r="M417" s="11"/>
      <c r="N417" s="11"/>
      <c r="O417" s="11"/>
      <c r="P417" s="15"/>
      <c r="Q417" s="15"/>
      <c r="R417" s="15"/>
      <c r="S417" s="15"/>
      <c r="T417" s="15"/>
      <c r="U417" s="15"/>
      <c r="V417" s="15"/>
      <c r="W417" s="47"/>
      <c r="X417" s="11"/>
      <c r="Y417" s="48"/>
      <c r="Z417" s="11"/>
      <c r="AA417" s="48"/>
      <c r="AB417" s="11"/>
      <c r="AC417" s="48"/>
      <c r="AD417" s="11"/>
      <c r="AE417" s="47"/>
      <c r="AF417" s="11"/>
      <c r="AG417" s="48"/>
      <c r="AH417" s="11"/>
      <c r="AI417" s="48"/>
      <c r="AJ417" s="11"/>
      <c r="AK417" s="48"/>
      <c r="AL417" s="11"/>
      <c r="AM417" s="49"/>
      <c r="AN417" s="49"/>
      <c r="AO417" s="11"/>
      <c r="AP417" s="11"/>
      <c r="AQ417" s="28" t="b">
        <f>IF(COUNTIF(SmartStatus!A$2:A1000, AM417) &gt; 2, TRUE, FALSE)</f>
        <v>0</v>
      </c>
      <c r="AR417" s="29" t="str">
        <f ca="1">IFERROR(__xludf.DUMMYFUNCTION("iferror(if(regexmatch(AO417, ""(?i)^registered""), if(EE417 &lt;&gt; ""polity_shortest_name"", ""CHECK_POLITY"", index(filter(SmartStatus!B$2:B1000, AM417 = SmartStatus!A$2:A1000, not(SmartStatus!C$2:C1000), (isblank(SmartStatus!D$2:D1000)) + ((P417 &lt;&gt; """") * "&amp;"(P417 &lt; SmartStatus!D$2:D1000)), (isblank(SmartStatus!E$2:E1000)) + ((P417 &lt;&gt; """") * (P417 &gt;= SmartStatus!E$2:E1000)), (isblank(SmartStatus!F$2:F1000)) + (((Q417 &lt;&gt; """") * (Q417 &lt; SmartStatus!F$2:F1000)) + ((P417 &lt;&gt; """") * (date(year(P417) + 3, month(P"&amp;"417), day(P417)) &lt; SmartStatus!F$2:F1000))), (isblank(SmartStatus!G$2:G1000)) + (((Q417 &lt;&gt; """") * (Q417 &gt;= SmartStatus!G$2:G1000)) + ((P417 &lt;&gt; """") * (P417 &gt;= SmartStatus!G$2:G1000)))), if(or(regexmatch(B417, ""(?i)^ir [a-z]+ designation$""), N417 &lt;&gt; """&amp;"""), 1, 2))), """"), ""NO_MATCH"")"),"")</f>
        <v/>
      </c>
      <c r="AS417" s="11"/>
      <c r="AT417" s="15"/>
      <c r="AU417" s="11"/>
      <c r="AV417" s="11"/>
      <c r="AW417" s="15"/>
      <c r="AX417" s="15"/>
      <c r="AY417" s="15"/>
      <c r="AZ417" s="11"/>
      <c r="BA417" s="15"/>
      <c r="BB417" s="11"/>
      <c r="BC417" s="11"/>
      <c r="BD417" s="15"/>
      <c r="BE417" s="11"/>
      <c r="BF417" s="11"/>
      <c r="BG417" s="15"/>
      <c r="BH417" s="15"/>
      <c r="BI417" s="15"/>
      <c r="BJ417" s="11"/>
      <c r="BK417" s="15"/>
      <c r="BL417" s="11"/>
      <c r="BM417" s="11"/>
      <c r="BN417" s="15"/>
      <c r="BO417" s="11"/>
      <c r="BP417" s="11"/>
      <c r="BQ417" s="15"/>
      <c r="BR417" s="15"/>
      <c r="BS417" s="15"/>
      <c r="BT417" s="11"/>
      <c r="BU417" s="15"/>
      <c r="BV417" s="11"/>
      <c r="BW417" s="11"/>
      <c r="BX417" s="15"/>
      <c r="BY417" s="11"/>
      <c r="BZ417" s="11"/>
      <c r="CA417" s="15"/>
      <c r="CB417" s="11"/>
      <c r="CC417" s="15"/>
      <c r="CD417" s="11"/>
      <c r="CE417" s="15"/>
      <c r="CF417" s="11"/>
      <c r="CG417" s="11"/>
      <c r="CH417" s="15"/>
      <c r="CI417" s="11"/>
      <c r="CJ417" s="11"/>
      <c r="CK417" s="15"/>
      <c r="CL417" s="11"/>
      <c r="CM417" s="11"/>
      <c r="CN417" s="11"/>
      <c r="CO417" s="11"/>
      <c r="CP417" s="28"/>
      <c r="CQ417" s="28"/>
      <c r="CR417" s="11"/>
      <c r="CS417" s="29"/>
      <c r="CT417" s="11"/>
      <c r="CU417" s="11"/>
      <c r="CV417" s="11"/>
      <c r="CW417" s="11"/>
      <c r="CX417" s="11"/>
      <c r="CY417" s="11"/>
      <c r="CZ417" s="11"/>
      <c r="DA417" s="28"/>
      <c r="DB417" s="28"/>
      <c r="DC417" s="11"/>
      <c r="DD417" s="29"/>
      <c r="DE417" s="11"/>
      <c r="DF417" s="11"/>
      <c r="DG417" s="11"/>
      <c r="DH417" s="11"/>
      <c r="DI417" s="11"/>
      <c r="DJ417" s="11"/>
      <c r="DK417" s="26"/>
      <c r="DL417" s="11"/>
      <c r="DM417" s="29"/>
      <c r="DN417" s="28"/>
      <c r="DO417" s="11"/>
      <c r="DP417" s="11"/>
      <c r="DQ417" s="11"/>
      <c r="DR417" s="29"/>
      <c r="DS417" s="28"/>
      <c r="DT417" s="11"/>
      <c r="DU417" s="26"/>
      <c r="DV417" s="11"/>
      <c r="DW417" s="29"/>
      <c r="DX417" s="28"/>
      <c r="DY417" s="11"/>
      <c r="DZ417" s="26"/>
      <c r="EA417" s="11"/>
      <c r="EB417" s="29"/>
      <c r="EC417" s="28"/>
      <c r="ED417" s="30"/>
      <c r="EE417" s="30" t="str">
        <f ca="1">IFERROR(__xludf.DUMMYFUNCTION("iferror(index(filter('Internal -- Trademark Countries'!E$2:E1000, (AM417 = 'Internal -- Trademark Countries'!B$2:B1000) + (AM417 = 'Internal -- Trademark Countries'!C$2:C1000) + (AM417 = 'Internal -- Trademark Countries'!D$2:D1000)), 1))"),"")</f>
        <v/>
      </c>
      <c r="EF417" s="30" t="e">
        <f ca="1">_xludf.ifs(AM417="", "", COUNTIF('Internal -- Trademark Countries'!B:B,AM417) &gt; 0, "polity_shortest_name", COUNTIF('Internal -- Trademark Countries'!C:C,AM417) &gt; 0, "polity_full_name", COUNTIF('Internal -- Trademark Countries'!D:D,AM417) &gt; 0, "polity_common_name", COUNTIF('Internal -- Trademark Countries'!E:E,AM417) &gt; 0, "shortest_name", COUNTIF('Internal -- Trademark Countries'!A:A,AM417) &gt; 0, "full_name", TRUE, "not a match")</f>
        <v>#NAME?</v>
      </c>
      <c r="EG417" s="30"/>
      <c r="EH417" s="30"/>
      <c r="EI417" s="30"/>
      <c r="EJ417" s="30"/>
      <c r="EK417" s="30" t="str">
        <f t="shared" si="3"/>
        <v/>
      </c>
    </row>
    <row r="418" spans="1:141" ht="16.5">
      <c r="A418" s="11"/>
      <c r="B418" s="11"/>
      <c r="C418" s="11"/>
      <c r="D418" s="11"/>
      <c r="E418" s="11"/>
      <c r="F418" s="11"/>
      <c r="G418" s="11"/>
      <c r="H418" s="11"/>
      <c r="I418" s="11"/>
      <c r="J418" s="11"/>
      <c r="K418" s="27"/>
      <c r="L418" s="11"/>
      <c r="M418" s="11"/>
      <c r="N418" s="11"/>
      <c r="O418" s="11"/>
      <c r="P418" s="15"/>
      <c r="Q418" s="15"/>
      <c r="R418" s="15"/>
      <c r="S418" s="15"/>
      <c r="T418" s="15"/>
      <c r="U418" s="15"/>
      <c r="V418" s="15"/>
      <c r="W418" s="47"/>
      <c r="X418" s="11"/>
      <c r="Y418" s="48"/>
      <c r="Z418" s="11"/>
      <c r="AA418" s="48"/>
      <c r="AB418" s="11"/>
      <c r="AC418" s="48"/>
      <c r="AD418" s="11"/>
      <c r="AE418" s="47"/>
      <c r="AF418" s="11"/>
      <c r="AG418" s="48"/>
      <c r="AH418" s="11"/>
      <c r="AI418" s="48"/>
      <c r="AJ418" s="11"/>
      <c r="AK418" s="48"/>
      <c r="AL418" s="11"/>
      <c r="AM418" s="49"/>
      <c r="AN418" s="49"/>
      <c r="AO418" s="11"/>
      <c r="AP418" s="11"/>
      <c r="AQ418" s="28" t="b">
        <f>IF(COUNTIF(SmartStatus!A$2:A1000, AM418) &gt; 2, TRUE, FALSE)</f>
        <v>0</v>
      </c>
      <c r="AR418" s="29" t="str">
        <f ca="1">IFERROR(__xludf.DUMMYFUNCTION("iferror(if(regexmatch(AO418, ""(?i)^registered""), if(EE418 &lt;&gt; ""polity_shortest_name"", ""CHECK_POLITY"", index(filter(SmartStatus!B$2:B1000, AM418 = SmartStatus!A$2:A1000, not(SmartStatus!C$2:C1000), (isblank(SmartStatus!D$2:D1000)) + ((P418 &lt;&gt; """") * "&amp;"(P418 &lt; SmartStatus!D$2:D1000)), (isblank(SmartStatus!E$2:E1000)) + ((P418 &lt;&gt; """") * (P418 &gt;= SmartStatus!E$2:E1000)), (isblank(SmartStatus!F$2:F1000)) + (((Q418 &lt;&gt; """") * (Q418 &lt; SmartStatus!F$2:F1000)) + ((P418 &lt;&gt; """") * (date(year(P418) + 3, month(P"&amp;"418), day(P418)) &lt; SmartStatus!F$2:F1000))), (isblank(SmartStatus!G$2:G1000)) + (((Q418 &lt;&gt; """") * (Q418 &gt;= SmartStatus!G$2:G1000)) + ((P418 &lt;&gt; """") * (P418 &gt;= SmartStatus!G$2:G1000)))), if(or(regexmatch(B418, ""(?i)^ir [a-z]+ designation$""), N418 &lt;&gt; """&amp;"""), 1, 2))), """"), ""NO_MATCH"")"),"")</f>
        <v/>
      </c>
      <c r="AS418" s="11"/>
      <c r="AT418" s="15"/>
      <c r="AU418" s="11"/>
      <c r="AV418" s="11"/>
      <c r="AW418" s="15"/>
      <c r="AX418" s="15"/>
      <c r="AY418" s="15"/>
      <c r="AZ418" s="11"/>
      <c r="BA418" s="15"/>
      <c r="BB418" s="11"/>
      <c r="BC418" s="11"/>
      <c r="BD418" s="15"/>
      <c r="BE418" s="11"/>
      <c r="BF418" s="11"/>
      <c r="BG418" s="15"/>
      <c r="BH418" s="15"/>
      <c r="BI418" s="15"/>
      <c r="BJ418" s="11"/>
      <c r="BK418" s="15"/>
      <c r="BL418" s="11"/>
      <c r="BM418" s="11"/>
      <c r="BN418" s="15"/>
      <c r="BO418" s="11"/>
      <c r="BP418" s="11"/>
      <c r="BQ418" s="15"/>
      <c r="BR418" s="15"/>
      <c r="BS418" s="15"/>
      <c r="BT418" s="11"/>
      <c r="BU418" s="15"/>
      <c r="BV418" s="11"/>
      <c r="BW418" s="11"/>
      <c r="BX418" s="15"/>
      <c r="BY418" s="11"/>
      <c r="BZ418" s="11"/>
      <c r="CA418" s="15"/>
      <c r="CB418" s="11"/>
      <c r="CC418" s="15"/>
      <c r="CD418" s="11"/>
      <c r="CE418" s="15"/>
      <c r="CF418" s="11"/>
      <c r="CG418" s="11"/>
      <c r="CH418" s="15"/>
      <c r="CI418" s="11"/>
      <c r="CJ418" s="11"/>
      <c r="CK418" s="15"/>
      <c r="CL418" s="11"/>
      <c r="CM418" s="11"/>
      <c r="CN418" s="11"/>
      <c r="CO418" s="11"/>
      <c r="CP418" s="28"/>
      <c r="CQ418" s="28"/>
      <c r="CR418" s="11"/>
      <c r="CS418" s="29"/>
      <c r="CT418" s="11"/>
      <c r="CU418" s="11"/>
      <c r="CV418" s="11"/>
      <c r="CW418" s="11"/>
      <c r="CX418" s="11"/>
      <c r="CY418" s="11"/>
      <c r="CZ418" s="11"/>
      <c r="DA418" s="28"/>
      <c r="DB418" s="28"/>
      <c r="DC418" s="11"/>
      <c r="DD418" s="29"/>
      <c r="DE418" s="11"/>
      <c r="DF418" s="11"/>
      <c r="DG418" s="11"/>
      <c r="DH418" s="11"/>
      <c r="DI418" s="11"/>
      <c r="DJ418" s="11"/>
      <c r="DK418" s="26"/>
      <c r="DL418" s="11"/>
      <c r="DM418" s="29"/>
      <c r="DN418" s="28"/>
      <c r="DO418" s="11"/>
      <c r="DP418" s="11"/>
      <c r="DQ418" s="11"/>
      <c r="DR418" s="29"/>
      <c r="DS418" s="28"/>
      <c r="DT418" s="11"/>
      <c r="DU418" s="26"/>
      <c r="DV418" s="11"/>
      <c r="DW418" s="29"/>
      <c r="DX418" s="28"/>
      <c r="DY418" s="11"/>
      <c r="DZ418" s="26"/>
      <c r="EA418" s="11"/>
      <c r="EB418" s="29"/>
      <c r="EC418" s="28"/>
      <c r="ED418" s="30"/>
      <c r="EE418" s="30" t="str">
        <f ca="1">IFERROR(__xludf.DUMMYFUNCTION("iferror(index(filter('Internal -- Trademark Countries'!E$2:E1000, (AM418 = 'Internal -- Trademark Countries'!B$2:B1000) + (AM418 = 'Internal -- Trademark Countries'!C$2:C1000) + (AM418 = 'Internal -- Trademark Countries'!D$2:D1000)), 1))"),"")</f>
        <v/>
      </c>
      <c r="EF418" s="30" t="e">
        <f ca="1">_xludf.ifs(AM418="", "", COUNTIF('Internal -- Trademark Countries'!B:B,AM418) &gt; 0, "polity_shortest_name", COUNTIF('Internal -- Trademark Countries'!C:C,AM418) &gt; 0, "polity_full_name", COUNTIF('Internal -- Trademark Countries'!D:D,AM418) &gt; 0, "polity_common_name", COUNTIF('Internal -- Trademark Countries'!E:E,AM418) &gt; 0, "shortest_name", COUNTIF('Internal -- Trademark Countries'!A:A,AM418) &gt; 0, "full_name", TRUE, "not a match")</f>
        <v>#NAME?</v>
      </c>
      <c r="EG418" s="30"/>
      <c r="EH418" s="30"/>
      <c r="EI418" s="30"/>
      <c r="EJ418" s="30"/>
      <c r="EK418" s="30" t="str">
        <f t="shared" si="3"/>
        <v/>
      </c>
    </row>
    <row r="419" spans="1:141" ht="16.5">
      <c r="A419" s="11"/>
      <c r="B419" s="11"/>
      <c r="C419" s="11"/>
      <c r="D419" s="11"/>
      <c r="E419" s="11"/>
      <c r="F419" s="11"/>
      <c r="G419" s="11"/>
      <c r="H419" s="11"/>
      <c r="I419" s="11"/>
      <c r="J419" s="11"/>
      <c r="K419" s="27"/>
      <c r="L419" s="11"/>
      <c r="M419" s="11"/>
      <c r="N419" s="11"/>
      <c r="O419" s="11"/>
      <c r="P419" s="15"/>
      <c r="Q419" s="15"/>
      <c r="R419" s="15"/>
      <c r="S419" s="15"/>
      <c r="T419" s="15"/>
      <c r="U419" s="15"/>
      <c r="V419" s="15"/>
      <c r="W419" s="47"/>
      <c r="X419" s="11"/>
      <c r="Y419" s="48"/>
      <c r="Z419" s="11"/>
      <c r="AA419" s="48"/>
      <c r="AB419" s="11"/>
      <c r="AC419" s="48"/>
      <c r="AD419" s="11"/>
      <c r="AE419" s="47"/>
      <c r="AF419" s="11"/>
      <c r="AG419" s="48"/>
      <c r="AH419" s="11"/>
      <c r="AI419" s="48"/>
      <c r="AJ419" s="11"/>
      <c r="AK419" s="48"/>
      <c r="AL419" s="11"/>
      <c r="AM419" s="49"/>
      <c r="AN419" s="49"/>
      <c r="AO419" s="11"/>
      <c r="AP419" s="11"/>
      <c r="AQ419" s="28" t="b">
        <f>IF(COUNTIF(SmartStatus!A$2:A1000, AM419) &gt; 2, TRUE, FALSE)</f>
        <v>0</v>
      </c>
      <c r="AR419" s="29" t="str">
        <f ca="1">IFERROR(__xludf.DUMMYFUNCTION("iferror(if(regexmatch(AO419, ""(?i)^registered""), if(EE419 &lt;&gt; ""polity_shortest_name"", ""CHECK_POLITY"", index(filter(SmartStatus!B$2:B1000, AM419 = SmartStatus!A$2:A1000, not(SmartStatus!C$2:C1000), (isblank(SmartStatus!D$2:D1000)) + ((P419 &lt;&gt; """") * "&amp;"(P419 &lt; SmartStatus!D$2:D1000)), (isblank(SmartStatus!E$2:E1000)) + ((P419 &lt;&gt; """") * (P419 &gt;= SmartStatus!E$2:E1000)), (isblank(SmartStatus!F$2:F1000)) + (((Q419 &lt;&gt; """") * (Q419 &lt; SmartStatus!F$2:F1000)) + ((P419 &lt;&gt; """") * (date(year(P419) + 3, month(P"&amp;"419), day(P419)) &lt; SmartStatus!F$2:F1000))), (isblank(SmartStatus!G$2:G1000)) + (((Q419 &lt;&gt; """") * (Q419 &gt;= SmartStatus!G$2:G1000)) + ((P419 &lt;&gt; """") * (P419 &gt;= SmartStatus!G$2:G1000)))), if(or(regexmatch(B419, ""(?i)^ir [a-z]+ designation$""), N419 &lt;&gt; """&amp;"""), 1, 2))), """"), ""NO_MATCH"")"),"")</f>
        <v/>
      </c>
      <c r="AS419" s="11"/>
      <c r="AT419" s="15"/>
      <c r="AU419" s="11"/>
      <c r="AV419" s="11"/>
      <c r="AW419" s="15"/>
      <c r="AX419" s="15"/>
      <c r="AY419" s="15"/>
      <c r="AZ419" s="11"/>
      <c r="BA419" s="15"/>
      <c r="BB419" s="11"/>
      <c r="BC419" s="11"/>
      <c r="BD419" s="15"/>
      <c r="BE419" s="11"/>
      <c r="BF419" s="11"/>
      <c r="BG419" s="15"/>
      <c r="BH419" s="15"/>
      <c r="BI419" s="15"/>
      <c r="BJ419" s="11"/>
      <c r="BK419" s="15"/>
      <c r="BL419" s="11"/>
      <c r="BM419" s="11"/>
      <c r="BN419" s="15"/>
      <c r="BO419" s="11"/>
      <c r="BP419" s="11"/>
      <c r="BQ419" s="15"/>
      <c r="BR419" s="15"/>
      <c r="BS419" s="15"/>
      <c r="BT419" s="11"/>
      <c r="BU419" s="15"/>
      <c r="BV419" s="11"/>
      <c r="BW419" s="11"/>
      <c r="BX419" s="15"/>
      <c r="BY419" s="11"/>
      <c r="BZ419" s="11"/>
      <c r="CA419" s="15"/>
      <c r="CB419" s="11"/>
      <c r="CC419" s="15"/>
      <c r="CD419" s="11"/>
      <c r="CE419" s="15"/>
      <c r="CF419" s="11"/>
      <c r="CG419" s="11"/>
      <c r="CH419" s="15"/>
      <c r="CI419" s="11"/>
      <c r="CJ419" s="11"/>
      <c r="CK419" s="15"/>
      <c r="CL419" s="11"/>
      <c r="CM419" s="11"/>
      <c r="CN419" s="11"/>
      <c r="CO419" s="11"/>
      <c r="CP419" s="28"/>
      <c r="CQ419" s="28"/>
      <c r="CR419" s="11"/>
      <c r="CS419" s="29"/>
      <c r="CT419" s="11"/>
      <c r="CU419" s="11"/>
      <c r="CV419" s="11"/>
      <c r="CW419" s="11"/>
      <c r="CX419" s="11"/>
      <c r="CY419" s="11"/>
      <c r="CZ419" s="11"/>
      <c r="DA419" s="28"/>
      <c r="DB419" s="28"/>
      <c r="DC419" s="11"/>
      <c r="DD419" s="29"/>
      <c r="DE419" s="11"/>
      <c r="DF419" s="11"/>
      <c r="DG419" s="11"/>
      <c r="DH419" s="11"/>
      <c r="DI419" s="11"/>
      <c r="DJ419" s="11"/>
      <c r="DK419" s="26"/>
      <c r="DL419" s="11"/>
      <c r="DM419" s="29"/>
      <c r="DN419" s="28"/>
      <c r="DO419" s="11"/>
      <c r="DP419" s="11"/>
      <c r="DQ419" s="11"/>
      <c r="DR419" s="29"/>
      <c r="DS419" s="28"/>
      <c r="DT419" s="11"/>
      <c r="DU419" s="26"/>
      <c r="DV419" s="11"/>
      <c r="DW419" s="29"/>
      <c r="DX419" s="28"/>
      <c r="DY419" s="11"/>
      <c r="DZ419" s="26"/>
      <c r="EA419" s="11"/>
      <c r="EB419" s="29"/>
      <c r="EC419" s="28"/>
      <c r="ED419" s="30"/>
      <c r="EE419" s="30" t="str">
        <f ca="1">IFERROR(__xludf.DUMMYFUNCTION("iferror(index(filter('Internal -- Trademark Countries'!E$2:E1000, (AM419 = 'Internal -- Trademark Countries'!B$2:B1000) + (AM419 = 'Internal -- Trademark Countries'!C$2:C1000) + (AM419 = 'Internal -- Trademark Countries'!D$2:D1000)), 1))"),"")</f>
        <v/>
      </c>
      <c r="EF419" s="30" t="e">
        <f ca="1">_xludf.ifs(AM419="", "", COUNTIF('Internal -- Trademark Countries'!B:B,AM419) &gt; 0, "polity_shortest_name", COUNTIF('Internal -- Trademark Countries'!C:C,AM419) &gt; 0, "polity_full_name", COUNTIF('Internal -- Trademark Countries'!D:D,AM419) &gt; 0, "polity_common_name", COUNTIF('Internal -- Trademark Countries'!E:E,AM419) &gt; 0, "shortest_name", COUNTIF('Internal -- Trademark Countries'!A:A,AM419) &gt; 0, "full_name", TRUE, "not a match")</f>
        <v>#NAME?</v>
      </c>
      <c r="EG419" s="30"/>
      <c r="EH419" s="30"/>
      <c r="EI419" s="30"/>
      <c r="EJ419" s="30"/>
      <c r="EK419" s="30" t="str">
        <f t="shared" si="3"/>
        <v/>
      </c>
    </row>
    <row r="420" spans="1:141" ht="16.5">
      <c r="A420" s="11"/>
      <c r="B420" s="11"/>
      <c r="C420" s="11"/>
      <c r="D420" s="11"/>
      <c r="E420" s="11"/>
      <c r="F420" s="11"/>
      <c r="G420" s="11"/>
      <c r="H420" s="11"/>
      <c r="I420" s="11"/>
      <c r="J420" s="11"/>
      <c r="K420" s="27"/>
      <c r="L420" s="11"/>
      <c r="M420" s="11"/>
      <c r="N420" s="11"/>
      <c r="O420" s="11"/>
      <c r="P420" s="15"/>
      <c r="Q420" s="15"/>
      <c r="R420" s="15"/>
      <c r="S420" s="15"/>
      <c r="T420" s="15"/>
      <c r="U420" s="15"/>
      <c r="V420" s="15"/>
      <c r="W420" s="47"/>
      <c r="X420" s="11"/>
      <c r="Y420" s="48"/>
      <c r="Z420" s="11"/>
      <c r="AA420" s="48"/>
      <c r="AB420" s="11"/>
      <c r="AC420" s="48"/>
      <c r="AD420" s="11"/>
      <c r="AE420" s="47"/>
      <c r="AF420" s="11"/>
      <c r="AG420" s="48"/>
      <c r="AH420" s="11"/>
      <c r="AI420" s="48"/>
      <c r="AJ420" s="11"/>
      <c r="AK420" s="48"/>
      <c r="AL420" s="11"/>
      <c r="AM420" s="49"/>
      <c r="AN420" s="49"/>
      <c r="AO420" s="11"/>
      <c r="AP420" s="11"/>
      <c r="AQ420" s="28" t="b">
        <f>IF(COUNTIF(SmartStatus!A$2:A1000, AM420) &gt; 2, TRUE, FALSE)</f>
        <v>0</v>
      </c>
      <c r="AR420" s="29" t="str">
        <f ca="1">IFERROR(__xludf.DUMMYFUNCTION("iferror(if(regexmatch(AO420, ""(?i)^registered""), if(EE420 &lt;&gt; ""polity_shortest_name"", ""CHECK_POLITY"", index(filter(SmartStatus!B$2:B1000, AM420 = SmartStatus!A$2:A1000, not(SmartStatus!C$2:C1000), (isblank(SmartStatus!D$2:D1000)) + ((P420 &lt;&gt; """") * "&amp;"(P420 &lt; SmartStatus!D$2:D1000)), (isblank(SmartStatus!E$2:E1000)) + ((P420 &lt;&gt; """") * (P420 &gt;= SmartStatus!E$2:E1000)), (isblank(SmartStatus!F$2:F1000)) + (((Q420 &lt;&gt; """") * (Q420 &lt; SmartStatus!F$2:F1000)) + ((P420 &lt;&gt; """") * (date(year(P420) + 3, month(P"&amp;"420), day(P420)) &lt; SmartStatus!F$2:F1000))), (isblank(SmartStatus!G$2:G1000)) + (((Q420 &lt;&gt; """") * (Q420 &gt;= SmartStatus!G$2:G1000)) + ((P420 &lt;&gt; """") * (P420 &gt;= SmartStatus!G$2:G1000)))), if(or(regexmatch(B420, ""(?i)^ir [a-z]+ designation$""), N420 &lt;&gt; """&amp;"""), 1, 2))), """"), ""NO_MATCH"")"),"")</f>
        <v/>
      </c>
      <c r="AS420" s="11"/>
      <c r="AT420" s="15"/>
      <c r="AU420" s="11"/>
      <c r="AV420" s="11"/>
      <c r="AW420" s="15"/>
      <c r="AX420" s="15"/>
      <c r="AY420" s="15"/>
      <c r="AZ420" s="11"/>
      <c r="BA420" s="15"/>
      <c r="BB420" s="11"/>
      <c r="BC420" s="11"/>
      <c r="BD420" s="15"/>
      <c r="BE420" s="11"/>
      <c r="BF420" s="11"/>
      <c r="BG420" s="15"/>
      <c r="BH420" s="15"/>
      <c r="BI420" s="15"/>
      <c r="BJ420" s="11"/>
      <c r="BK420" s="15"/>
      <c r="BL420" s="11"/>
      <c r="BM420" s="11"/>
      <c r="BN420" s="15"/>
      <c r="BO420" s="11"/>
      <c r="BP420" s="11"/>
      <c r="BQ420" s="15"/>
      <c r="BR420" s="15"/>
      <c r="BS420" s="15"/>
      <c r="BT420" s="11"/>
      <c r="BU420" s="15"/>
      <c r="BV420" s="11"/>
      <c r="BW420" s="11"/>
      <c r="BX420" s="15"/>
      <c r="BY420" s="11"/>
      <c r="BZ420" s="11"/>
      <c r="CA420" s="15"/>
      <c r="CB420" s="11"/>
      <c r="CC420" s="15"/>
      <c r="CD420" s="11"/>
      <c r="CE420" s="15"/>
      <c r="CF420" s="11"/>
      <c r="CG420" s="11"/>
      <c r="CH420" s="15"/>
      <c r="CI420" s="11"/>
      <c r="CJ420" s="11"/>
      <c r="CK420" s="15"/>
      <c r="CL420" s="11"/>
      <c r="CM420" s="11"/>
      <c r="CN420" s="11"/>
      <c r="CO420" s="11"/>
      <c r="CP420" s="28"/>
      <c r="CQ420" s="28"/>
      <c r="CR420" s="11"/>
      <c r="CS420" s="29"/>
      <c r="CT420" s="11"/>
      <c r="CU420" s="11"/>
      <c r="CV420" s="11"/>
      <c r="CW420" s="11"/>
      <c r="CX420" s="11"/>
      <c r="CY420" s="11"/>
      <c r="CZ420" s="11"/>
      <c r="DA420" s="28"/>
      <c r="DB420" s="28"/>
      <c r="DC420" s="11"/>
      <c r="DD420" s="29"/>
      <c r="DE420" s="11"/>
      <c r="DF420" s="11"/>
      <c r="DG420" s="11"/>
      <c r="DH420" s="11"/>
      <c r="DI420" s="11"/>
      <c r="DJ420" s="11"/>
      <c r="DK420" s="26"/>
      <c r="DL420" s="11"/>
      <c r="DM420" s="29"/>
      <c r="DN420" s="28"/>
      <c r="DO420" s="11"/>
      <c r="DP420" s="11"/>
      <c r="DQ420" s="11"/>
      <c r="DR420" s="29"/>
      <c r="DS420" s="28"/>
      <c r="DT420" s="11"/>
      <c r="DU420" s="26"/>
      <c r="DV420" s="11"/>
      <c r="DW420" s="29"/>
      <c r="DX420" s="28"/>
      <c r="DY420" s="11"/>
      <c r="DZ420" s="26"/>
      <c r="EA420" s="11"/>
      <c r="EB420" s="29"/>
      <c r="EC420" s="28"/>
      <c r="ED420" s="30"/>
      <c r="EE420" s="30" t="str">
        <f ca="1">IFERROR(__xludf.DUMMYFUNCTION("iferror(index(filter('Internal -- Trademark Countries'!E$2:E1000, (AM420 = 'Internal -- Trademark Countries'!B$2:B1000) + (AM420 = 'Internal -- Trademark Countries'!C$2:C1000) + (AM420 = 'Internal -- Trademark Countries'!D$2:D1000)), 1))"),"")</f>
        <v/>
      </c>
      <c r="EF420" s="30" t="e">
        <f ca="1">_xludf.ifs(AM420="", "", COUNTIF('Internal -- Trademark Countries'!B:B,AM420) &gt; 0, "polity_shortest_name", COUNTIF('Internal -- Trademark Countries'!C:C,AM420) &gt; 0, "polity_full_name", COUNTIF('Internal -- Trademark Countries'!D:D,AM420) &gt; 0, "polity_common_name", COUNTIF('Internal -- Trademark Countries'!E:E,AM420) &gt; 0, "shortest_name", COUNTIF('Internal -- Trademark Countries'!A:A,AM420) &gt; 0, "full_name", TRUE, "not a match")</f>
        <v>#NAME?</v>
      </c>
      <c r="EG420" s="30"/>
      <c r="EH420" s="30"/>
      <c r="EI420" s="30"/>
      <c r="EJ420" s="30"/>
      <c r="EK420" s="30" t="str">
        <f t="shared" si="3"/>
        <v/>
      </c>
    </row>
    <row r="421" spans="1:141" ht="16.5">
      <c r="A421" s="11"/>
      <c r="B421" s="11"/>
      <c r="C421" s="11"/>
      <c r="D421" s="11"/>
      <c r="E421" s="11"/>
      <c r="F421" s="11"/>
      <c r="G421" s="11"/>
      <c r="H421" s="11"/>
      <c r="I421" s="11"/>
      <c r="J421" s="11"/>
      <c r="K421" s="27"/>
      <c r="L421" s="11"/>
      <c r="M421" s="11"/>
      <c r="N421" s="11"/>
      <c r="O421" s="11"/>
      <c r="P421" s="15"/>
      <c r="Q421" s="15"/>
      <c r="R421" s="15"/>
      <c r="S421" s="15"/>
      <c r="T421" s="15"/>
      <c r="U421" s="15"/>
      <c r="V421" s="15"/>
      <c r="W421" s="47"/>
      <c r="X421" s="11"/>
      <c r="Y421" s="48"/>
      <c r="Z421" s="11"/>
      <c r="AA421" s="48"/>
      <c r="AB421" s="11"/>
      <c r="AC421" s="48"/>
      <c r="AD421" s="11"/>
      <c r="AE421" s="47"/>
      <c r="AF421" s="11"/>
      <c r="AG421" s="48"/>
      <c r="AH421" s="11"/>
      <c r="AI421" s="48"/>
      <c r="AJ421" s="11"/>
      <c r="AK421" s="48"/>
      <c r="AL421" s="11"/>
      <c r="AM421" s="49"/>
      <c r="AN421" s="49"/>
      <c r="AO421" s="11"/>
      <c r="AP421" s="11"/>
      <c r="AQ421" s="28" t="b">
        <f>IF(COUNTIF(SmartStatus!A$2:A1000, AM421) &gt; 2, TRUE, FALSE)</f>
        <v>0</v>
      </c>
      <c r="AR421" s="29" t="str">
        <f ca="1">IFERROR(__xludf.DUMMYFUNCTION("iferror(if(regexmatch(AO421, ""(?i)^registered""), if(EE421 &lt;&gt; ""polity_shortest_name"", ""CHECK_POLITY"", index(filter(SmartStatus!B$2:B1000, AM421 = SmartStatus!A$2:A1000, not(SmartStatus!C$2:C1000), (isblank(SmartStatus!D$2:D1000)) + ((P421 &lt;&gt; """") * "&amp;"(P421 &lt; SmartStatus!D$2:D1000)), (isblank(SmartStatus!E$2:E1000)) + ((P421 &lt;&gt; """") * (P421 &gt;= SmartStatus!E$2:E1000)), (isblank(SmartStatus!F$2:F1000)) + (((Q421 &lt;&gt; """") * (Q421 &lt; SmartStatus!F$2:F1000)) + ((P421 &lt;&gt; """") * (date(year(P421) + 3, month(P"&amp;"421), day(P421)) &lt; SmartStatus!F$2:F1000))), (isblank(SmartStatus!G$2:G1000)) + (((Q421 &lt;&gt; """") * (Q421 &gt;= SmartStatus!G$2:G1000)) + ((P421 &lt;&gt; """") * (P421 &gt;= SmartStatus!G$2:G1000)))), if(or(regexmatch(B421, ""(?i)^ir [a-z]+ designation$""), N421 &lt;&gt; """&amp;"""), 1, 2))), """"), ""NO_MATCH"")"),"")</f>
        <v/>
      </c>
      <c r="AS421" s="11"/>
      <c r="AT421" s="15"/>
      <c r="AU421" s="11"/>
      <c r="AV421" s="11"/>
      <c r="AW421" s="15"/>
      <c r="AX421" s="15"/>
      <c r="AY421" s="15"/>
      <c r="AZ421" s="11"/>
      <c r="BA421" s="15"/>
      <c r="BB421" s="11"/>
      <c r="BC421" s="11"/>
      <c r="BD421" s="15"/>
      <c r="BE421" s="11"/>
      <c r="BF421" s="11"/>
      <c r="BG421" s="15"/>
      <c r="BH421" s="15"/>
      <c r="BI421" s="15"/>
      <c r="BJ421" s="11"/>
      <c r="BK421" s="15"/>
      <c r="BL421" s="11"/>
      <c r="BM421" s="11"/>
      <c r="BN421" s="15"/>
      <c r="BO421" s="11"/>
      <c r="BP421" s="11"/>
      <c r="BQ421" s="15"/>
      <c r="BR421" s="15"/>
      <c r="BS421" s="15"/>
      <c r="BT421" s="11"/>
      <c r="BU421" s="15"/>
      <c r="BV421" s="11"/>
      <c r="BW421" s="11"/>
      <c r="BX421" s="15"/>
      <c r="BY421" s="11"/>
      <c r="BZ421" s="11"/>
      <c r="CA421" s="15"/>
      <c r="CB421" s="11"/>
      <c r="CC421" s="15"/>
      <c r="CD421" s="11"/>
      <c r="CE421" s="15"/>
      <c r="CF421" s="11"/>
      <c r="CG421" s="11"/>
      <c r="CH421" s="15"/>
      <c r="CI421" s="11"/>
      <c r="CJ421" s="11"/>
      <c r="CK421" s="15"/>
      <c r="CL421" s="11"/>
      <c r="CM421" s="11"/>
      <c r="CN421" s="11"/>
      <c r="CO421" s="11"/>
      <c r="CP421" s="28"/>
      <c r="CQ421" s="28"/>
      <c r="CR421" s="11"/>
      <c r="CS421" s="29"/>
      <c r="CT421" s="11"/>
      <c r="CU421" s="11"/>
      <c r="CV421" s="11"/>
      <c r="CW421" s="11"/>
      <c r="CX421" s="11"/>
      <c r="CY421" s="11"/>
      <c r="CZ421" s="11"/>
      <c r="DA421" s="28"/>
      <c r="DB421" s="28"/>
      <c r="DC421" s="11"/>
      <c r="DD421" s="29"/>
      <c r="DE421" s="11"/>
      <c r="DF421" s="11"/>
      <c r="DG421" s="11"/>
      <c r="DH421" s="11"/>
      <c r="DI421" s="11"/>
      <c r="DJ421" s="11"/>
      <c r="DK421" s="26"/>
      <c r="DL421" s="11"/>
      <c r="DM421" s="29"/>
      <c r="DN421" s="28"/>
      <c r="DO421" s="11"/>
      <c r="DP421" s="11"/>
      <c r="DQ421" s="11"/>
      <c r="DR421" s="29"/>
      <c r="DS421" s="28"/>
      <c r="DT421" s="11"/>
      <c r="DU421" s="26"/>
      <c r="DV421" s="11"/>
      <c r="DW421" s="29"/>
      <c r="DX421" s="28"/>
      <c r="DY421" s="11"/>
      <c r="DZ421" s="26"/>
      <c r="EA421" s="11"/>
      <c r="EB421" s="29"/>
      <c r="EC421" s="28"/>
      <c r="ED421" s="30"/>
      <c r="EE421" s="30" t="str">
        <f ca="1">IFERROR(__xludf.DUMMYFUNCTION("iferror(index(filter('Internal -- Trademark Countries'!E$2:E1000, (AM421 = 'Internal -- Trademark Countries'!B$2:B1000) + (AM421 = 'Internal -- Trademark Countries'!C$2:C1000) + (AM421 = 'Internal -- Trademark Countries'!D$2:D1000)), 1))"),"")</f>
        <v/>
      </c>
      <c r="EF421" s="30" t="e">
        <f ca="1">_xludf.ifs(AM421="", "", COUNTIF('Internal -- Trademark Countries'!B:B,AM421) &gt; 0, "polity_shortest_name", COUNTIF('Internal -- Trademark Countries'!C:C,AM421) &gt; 0, "polity_full_name", COUNTIF('Internal -- Trademark Countries'!D:D,AM421) &gt; 0, "polity_common_name", COUNTIF('Internal -- Trademark Countries'!E:E,AM421) &gt; 0, "shortest_name", COUNTIF('Internal -- Trademark Countries'!A:A,AM421) &gt; 0, "full_name", TRUE, "not a match")</f>
        <v>#NAME?</v>
      </c>
      <c r="EG421" s="30"/>
      <c r="EH421" s="30"/>
      <c r="EI421" s="30"/>
      <c r="EJ421" s="30"/>
      <c r="EK421" s="30" t="str">
        <f t="shared" si="3"/>
        <v/>
      </c>
    </row>
    <row r="422" spans="1:141" ht="16.5">
      <c r="A422" s="11"/>
      <c r="B422" s="11"/>
      <c r="C422" s="11"/>
      <c r="D422" s="11"/>
      <c r="E422" s="11"/>
      <c r="F422" s="11"/>
      <c r="G422" s="11"/>
      <c r="H422" s="11"/>
      <c r="I422" s="11"/>
      <c r="J422" s="11"/>
      <c r="K422" s="27"/>
      <c r="L422" s="11"/>
      <c r="M422" s="11"/>
      <c r="N422" s="11"/>
      <c r="O422" s="11"/>
      <c r="P422" s="15"/>
      <c r="Q422" s="15"/>
      <c r="R422" s="15"/>
      <c r="S422" s="15"/>
      <c r="T422" s="15"/>
      <c r="U422" s="15"/>
      <c r="V422" s="15"/>
      <c r="W422" s="47"/>
      <c r="X422" s="11"/>
      <c r="Y422" s="48"/>
      <c r="Z422" s="11"/>
      <c r="AA422" s="48"/>
      <c r="AB422" s="11"/>
      <c r="AC422" s="48"/>
      <c r="AD422" s="11"/>
      <c r="AE422" s="47"/>
      <c r="AF422" s="11"/>
      <c r="AG422" s="48"/>
      <c r="AH422" s="11"/>
      <c r="AI422" s="48"/>
      <c r="AJ422" s="11"/>
      <c r="AK422" s="48"/>
      <c r="AL422" s="11"/>
      <c r="AM422" s="49"/>
      <c r="AN422" s="49"/>
      <c r="AO422" s="11"/>
      <c r="AP422" s="11"/>
      <c r="AQ422" s="28" t="b">
        <f>IF(COUNTIF(SmartStatus!A$2:A1000, AM422) &gt; 2, TRUE, FALSE)</f>
        <v>0</v>
      </c>
      <c r="AR422" s="29" t="str">
        <f ca="1">IFERROR(__xludf.DUMMYFUNCTION("iferror(if(regexmatch(AO422, ""(?i)^registered""), if(EE422 &lt;&gt; ""polity_shortest_name"", ""CHECK_POLITY"", index(filter(SmartStatus!B$2:B1000, AM422 = SmartStatus!A$2:A1000, not(SmartStatus!C$2:C1000), (isblank(SmartStatus!D$2:D1000)) + ((P422 &lt;&gt; """") * "&amp;"(P422 &lt; SmartStatus!D$2:D1000)), (isblank(SmartStatus!E$2:E1000)) + ((P422 &lt;&gt; """") * (P422 &gt;= SmartStatus!E$2:E1000)), (isblank(SmartStatus!F$2:F1000)) + (((Q422 &lt;&gt; """") * (Q422 &lt; SmartStatus!F$2:F1000)) + ((P422 &lt;&gt; """") * (date(year(P422) + 3, month(P"&amp;"422), day(P422)) &lt; SmartStatus!F$2:F1000))), (isblank(SmartStatus!G$2:G1000)) + (((Q422 &lt;&gt; """") * (Q422 &gt;= SmartStatus!G$2:G1000)) + ((P422 &lt;&gt; """") * (P422 &gt;= SmartStatus!G$2:G1000)))), if(or(regexmatch(B422, ""(?i)^ir [a-z]+ designation$""), N422 &lt;&gt; """&amp;"""), 1, 2))), """"), ""NO_MATCH"")"),"")</f>
        <v/>
      </c>
      <c r="AS422" s="11"/>
      <c r="AT422" s="15"/>
      <c r="AU422" s="11"/>
      <c r="AV422" s="11"/>
      <c r="AW422" s="15"/>
      <c r="AX422" s="15"/>
      <c r="AY422" s="15"/>
      <c r="AZ422" s="11"/>
      <c r="BA422" s="15"/>
      <c r="BB422" s="11"/>
      <c r="BC422" s="11"/>
      <c r="BD422" s="15"/>
      <c r="BE422" s="11"/>
      <c r="BF422" s="11"/>
      <c r="BG422" s="15"/>
      <c r="BH422" s="15"/>
      <c r="BI422" s="15"/>
      <c r="BJ422" s="11"/>
      <c r="BK422" s="15"/>
      <c r="BL422" s="11"/>
      <c r="BM422" s="11"/>
      <c r="BN422" s="15"/>
      <c r="BO422" s="11"/>
      <c r="BP422" s="11"/>
      <c r="BQ422" s="15"/>
      <c r="BR422" s="15"/>
      <c r="BS422" s="15"/>
      <c r="BT422" s="11"/>
      <c r="BU422" s="15"/>
      <c r="BV422" s="11"/>
      <c r="BW422" s="11"/>
      <c r="BX422" s="15"/>
      <c r="BY422" s="11"/>
      <c r="BZ422" s="11"/>
      <c r="CA422" s="15"/>
      <c r="CB422" s="11"/>
      <c r="CC422" s="15"/>
      <c r="CD422" s="11"/>
      <c r="CE422" s="15"/>
      <c r="CF422" s="11"/>
      <c r="CG422" s="11"/>
      <c r="CH422" s="15"/>
      <c r="CI422" s="11"/>
      <c r="CJ422" s="11"/>
      <c r="CK422" s="15"/>
      <c r="CL422" s="11"/>
      <c r="CM422" s="11"/>
      <c r="CN422" s="11"/>
      <c r="CO422" s="11"/>
      <c r="CP422" s="28"/>
      <c r="CQ422" s="28"/>
      <c r="CR422" s="11"/>
      <c r="CS422" s="29"/>
      <c r="CT422" s="11"/>
      <c r="CU422" s="11"/>
      <c r="CV422" s="11"/>
      <c r="CW422" s="11"/>
      <c r="CX422" s="11"/>
      <c r="CY422" s="11"/>
      <c r="CZ422" s="11"/>
      <c r="DA422" s="28"/>
      <c r="DB422" s="28"/>
      <c r="DC422" s="11"/>
      <c r="DD422" s="29"/>
      <c r="DE422" s="11"/>
      <c r="DF422" s="11"/>
      <c r="DG422" s="11"/>
      <c r="DH422" s="11"/>
      <c r="DI422" s="11"/>
      <c r="DJ422" s="11"/>
      <c r="DK422" s="26"/>
      <c r="DL422" s="11"/>
      <c r="DM422" s="29"/>
      <c r="DN422" s="28"/>
      <c r="DO422" s="11"/>
      <c r="DP422" s="11"/>
      <c r="DQ422" s="11"/>
      <c r="DR422" s="29"/>
      <c r="DS422" s="28"/>
      <c r="DT422" s="11"/>
      <c r="DU422" s="26"/>
      <c r="DV422" s="11"/>
      <c r="DW422" s="29"/>
      <c r="DX422" s="28"/>
      <c r="DY422" s="11"/>
      <c r="DZ422" s="26"/>
      <c r="EA422" s="11"/>
      <c r="EB422" s="29"/>
      <c r="EC422" s="28"/>
      <c r="ED422" s="30"/>
      <c r="EE422" s="30" t="str">
        <f ca="1">IFERROR(__xludf.DUMMYFUNCTION("iferror(index(filter('Internal -- Trademark Countries'!E$2:E1000, (AM422 = 'Internal -- Trademark Countries'!B$2:B1000) + (AM422 = 'Internal -- Trademark Countries'!C$2:C1000) + (AM422 = 'Internal -- Trademark Countries'!D$2:D1000)), 1))"),"")</f>
        <v/>
      </c>
      <c r="EF422" s="30" t="e">
        <f ca="1">_xludf.ifs(AM422="", "", COUNTIF('Internal -- Trademark Countries'!B:B,AM422) &gt; 0, "polity_shortest_name", COUNTIF('Internal -- Trademark Countries'!C:C,AM422) &gt; 0, "polity_full_name", COUNTIF('Internal -- Trademark Countries'!D:D,AM422) &gt; 0, "polity_common_name", COUNTIF('Internal -- Trademark Countries'!E:E,AM422) &gt; 0, "shortest_name", COUNTIF('Internal -- Trademark Countries'!A:A,AM422) &gt; 0, "full_name", TRUE, "not a match")</f>
        <v>#NAME?</v>
      </c>
      <c r="EG422" s="30"/>
      <c r="EH422" s="30"/>
      <c r="EI422" s="30"/>
      <c r="EJ422" s="30"/>
      <c r="EK422" s="30" t="str">
        <f t="shared" si="3"/>
        <v/>
      </c>
    </row>
    <row r="423" spans="1:141" ht="16.5">
      <c r="A423" s="11"/>
      <c r="B423" s="11"/>
      <c r="C423" s="11"/>
      <c r="D423" s="11"/>
      <c r="E423" s="11"/>
      <c r="F423" s="11"/>
      <c r="G423" s="11"/>
      <c r="H423" s="11"/>
      <c r="I423" s="11"/>
      <c r="J423" s="11"/>
      <c r="K423" s="27"/>
      <c r="L423" s="11"/>
      <c r="M423" s="11"/>
      <c r="N423" s="11"/>
      <c r="O423" s="11"/>
      <c r="P423" s="15"/>
      <c r="Q423" s="15"/>
      <c r="R423" s="15"/>
      <c r="S423" s="15"/>
      <c r="T423" s="15"/>
      <c r="U423" s="15"/>
      <c r="V423" s="15"/>
      <c r="W423" s="47"/>
      <c r="X423" s="11"/>
      <c r="Y423" s="48"/>
      <c r="Z423" s="11"/>
      <c r="AA423" s="48"/>
      <c r="AB423" s="11"/>
      <c r="AC423" s="48"/>
      <c r="AD423" s="11"/>
      <c r="AE423" s="47"/>
      <c r="AF423" s="11"/>
      <c r="AG423" s="48"/>
      <c r="AH423" s="11"/>
      <c r="AI423" s="48"/>
      <c r="AJ423" s="11"/>
      <c r="AK423" s="48"/>
      <c r="AL423" s="11"/>
      <c r="AM423" s="49"/>
      <c r="AN423" s="49"/>
      <c r="AO423" s="11"/>
      <c r="AP423" s="11"/>
      <c r="AQ423" s="28" t="b">
        <f>IF(COUNTIF(SmartStatus!A$2:A1000, AM423) &gt; 2, TRUE, FALSE)</f>
        <v>0</v>
      </c>
      <c r="AR423" s="29" t="str">
        <f ca="1">IFERROR(__xludf.DUMMYFUNCTION("iferror(if(regexmatch(AO423, ""(?i)^registered""), if(EE423 &lt;&gt; ""polity_shortest_name"", ""CHECK_POLITY"", index(filter(SmartStatus!B$2:B1000, AM423 = SmartStatus!A$2:A1000, not(SmartStatus!C$2:C1000), (isblank(SmartStatus!D$2:D1000)) + ((P423 &lt;&gt; """") * "&amp;"(P423 &lt; SmartStatus!D$2:D1000)), (isblank(SmartStatus!E$2:E1000)) + ((P423 &lt;&gt; """") * (P423 &gt;= SmartStatus!E$2:E1000)), (isblank(SmartStatus!F$2:F1000)) + (((Q423 &lt;&gt; """") * (Q423 &lt; SmartStatus!F$2:F1000)) + ((P423 &lt;&gt; """") * (date(year(P423) + 3, month(P"&amp;"423), day(P423)) &lt; SmartStatus!F$2:F1000))), (isblank(SmartStatus!G$2:G1000)) + (((Q423 &lt;&gt; """") * (Q423 &gt;= SmartStatus!G$2:G1000)) + ((P423 &lt;&gt; """") * (P423 &gt;= SmartStatus!G$2:G1000)))), if(or(regexmatch(B423, ""(?i)^ir [a-z]+ designation$""), N423 &lt;&gt; """&amp;"""), 1, 2))), """"), ""NO_MATCH"")"),"")</f>
        <v/>
      </c>
      <c r="AS423" s="11"/>
      <c r="AT423" s="15"/>
      <c r="AU423" s="11"/>
      <c r="AV423" s="11"/>
      <c r="AW423" s="15"/>
      <c r="AX423" s="15"/>
      <c r="AY423" s="15"/>
      <c r="AZ423" s="11"/>
      <c r="BA423" s="15"/>
      <c r="BB423" s="11"/>
      <c r="BC423" s="11"/>
      <c r="BD423" s="15"/>
      <c r="BE423" s="11"/>
      <c r="BF423" s="11"/>
      <c r="BG423" s="15"/>
      <c r="BH423" s="15"/>
      <c r="BI423" s="15"/>
      <c r="BJ423" s="11"/>
      <c r="BK423" s="15"/>
      <c r="BL423" s="11"/>
      <c r="BM423" s="11"/>
      <c r="BN423" s="15"/>
      <c r="BO423" s="11"/>
      <c r="BP423" s="11"/>
      <c r="BQ423" s="15"/>
      <c r="BR423" s="15"/>
      <c r="BS423" s="15"/>
      <c r="BT423" s="11"/>
      <c r="BU423" s="15"/>
      <c r="BV423" s="11"/>
      <c r="BW423" s="11"/>
      <c r="BX423" s="15"/>
      <c r="BY423" s="11"/>
      <c r="BZ423" s="11"/>
      <c r="CA423" s="15"/>
      <c r="CB423" s="11"/>
      <c r="CC423" s="15"/>
      <c r="CD423" s="11"/>
      <c r="CE423" s="15"/>
      <c r="CF423" s="11"/>
      <c r="CG423" s="11"/>
      <c r="CH423" s="15"/>
      <c r="CI423" s="11"/>
      <c r="CJ423" s="11"/>
      <c r="CK423" s="15"/>
      <c r="CL423" s="11"/>
      <c r="CM423" s="11"/>
      <c r="CN423" s="11"/>
      <c r="CO423" s="11"/>
      <c r="CP423" s="28"/>
      <c r="CQ423" s="28"/>
      <c r="CR423" s="11"/>
      <c r="CS423" s="29"/>
      <c r="CT423" s="11"/>
      <c r="CU423" s="11"/>
      <c r="CV423" s="11"/>
      <c r="CW423" s="11"/>
      <c r="CX423" s="11"/>
      <c r="CY423" s="11"/>
      <c r="CZ423" s="11"/>
      <c r="DA423" s="28"/>
      <c r="DB423" s="28"/>
      <c r="DC423" s="11"/>
      <c r="DD423" s="29"/>
      <c r="DE423" s="11"/>
      <c r="DF423" s="11"/>
      <c r="DG423" s="11"/>
      <c r="DH423" s="11"/>
      <c r="DI423" s="11"/>
      <c r="DJ423" s="11"/>
      <c r="DK423" s="26"/>
      <c r="DL423" s="11"/>
      <c r="DM423" s="29"/>
      <c r="DN423" s="28"/>
      <c r="DO423" s="11"/>
      <c r="DP423" s="11"/>
      <c r="DQ423" s="11"/>
      <c r="DR423" s="29"/>
      <c r="DS423" s="28"/>
      <c r="DT423" s="11"/>
      <c r="DU423" s="26"/>
      <c r="DV423" s="11"/>
      <c r="DW423" s="29"/>
      <c r="DX423" s="28"/>
      <c r="DY423" s="11"/>
      <c r="DZ423" s="26"/>
      <c r="EA423" s="11"/>
      <c r="EB423" s="29"/>
      <c r="EC423" s="28"/>
      <c r="ED423" s="30"/>
      <c r="EE423" s="30" t="str">
        <f ca="1">IFERROR(__xludf.DUMMYFUNCTION("iferror(index(filter('Internal -- Trademark Countries'!E$2:E1000, (AM423 = 'Internal -- Trademark Countries'!B$2:B1000) + (AM423 = 'Internal -- Trademark Countries'!C$2:C1000) + (AM423 = 'Internal -- Trademark Countries'!D$2:D1000)), 1))"),"")</f>
        <v/>
      </c>
      <c r="EF423" s="30" t="e">
        <f ca="1">_xludf.ifs(AM423="", "", COUNTIF('Internal -- Trademark Countries'!B:B,AM423) &gt; 0, "polity_shortest_name", COUNTIF('Internal -- Trademark Countries'!C:C,AM423) &gt; 0, "polity_full_name", COUNTIF('Internal -- Trademark Countries'!D:D,AM423) &gt; 0, "polity_common_name", COUNTIF('Internal -- Trademark Countries'!E:E,AM423) &gt; 0, "shortest_name", COUNTIF('Internal -- Trademark Countries'!A:A,AM423) &gt; 0, "full_name", TRUE, "not a match")</f>
        <v>#NAME?</v>
      </c>
      <c r="EG423" s="30"/>
      <c r="EH423" s="30"/>
      <c r="EI423" s="30"/>
      <c r="EJ423" s="30"/>
      <c r="EK423" s="30" t="str">
        <f t="shared" si="3"/>
        <v/>
      </c>
    </row>
    <row r="424" spans="1:141" ht="16.5">
      <c r="A424" s="11"/>
      <c r="B424" s="11"/>
      <c r="C424" s="11"/>
      <c r="D424" s="11"/>
      <c r="E424" s="11"/>
      <c r="F424" s="11"/>
      <c r="G424" s="11"/>
      <c r="H424" s="11"/>
      <c r="I424" s="11"/>
      <c r="J424" s="11"/>
      <c r="K424" s="27"/>
      <c r="L424" s="11"/>
      <c r="M424" s="11"/>
      <c r="N424" s="11"/>
      <c r="O424" s="11"/>
      <c r="P424" s="15"/>
      <c r="Q424" s="15"/>
      <c r="R424" s="15"/>
      <c r="S424" s="15"/>
      <c r="T424" s="15"/>
      <c r="U424" s="15"/>
      <c r="V424" s="15"/>
      <c r="W424" s="47"/>
      <c r="X424" s="11"/>
      <c r="Y424" s="48"/>
      <c r="Z424" s="11"/>
      <c r="AA424" s="48"/>
      <c r="AB424" s="11"/>
      <c r="AC424" s="48"/>
      <c r="AD424" s="11"/>
      <c r="AE424" s="47"/>
      <c r="AF424" s="11"/>
      <c r="AG424" s="48"/>
      <c r="AH424" s="11"/>
      <c r="AI424" s="48"/>
      <c r="AJ424" s="11"/>
      <c r="AK424" s="48"/>
      <c r="AL424" s="11"/>
      <c r="AM424" s="49"/>
      <c r="AN424" s="49"/>
      <c r="AO424" s="11"/>
      <c r="AP424" s="11"/>
      <c r="AQ424" s="28" t="b">
        <f>IF(COUNTIF(SmartStatus!A$2:A1000, AM424) &gt; 2, TRUE, FALSE)</f>
        <v>0</v>
      </c>
      <c r="AR424" s="29" t="str">
        <f ca="1">IFERROR(__xludf.DUMMYFUNCTION("iferror(if(regexmatch(AO424, ""(?i)^registered""), if(EE424 &lt;&gt; ""polity_shortest_name"", ""CHECK_POLITY"", index(filter(SmartStatus!B$2:B1000, AM424 = SmartStatus!A$2:A1000, not(SmartStatus!C$2:C1000), (isblank(SmartStatus!D$2:D1000)) + ((P424 &lt;&gt; """") * "&amp;"(P424 &lt; SmartStatus!D$2:D1000)), (isblank(SmartStatus!E$2:E1000)) + ((P424 &lt;&gt; """") * (P424 &gt;= SmartStatus!E$2:E1000)), (isblank(SmartStatus!F$2:F1000)) + (((Q424 &lt;&gt; """") * (Q424 &lt; SmartStatus!F$2:F1000)) + ((P424 &lt;&gt; """") * (date(year(P424) + 3, month(P"&amp;"424), day(P424)) &lt; SmartStatus!F$2:F1000))), (isblank(SmartStatus!G$2:G1000)) + (((Q424 &lt;&gt; """") * (Q424 &gt;= SmartStatus!G$2:G1000)) + ((P424 &lt;&gt; """") * (P424 &gt;= SmartStatus!G$2:G1000)))), if(or(regexmatch(B424, ""(?i)^ir [a-z]+ designation$""), N424 &lt;&gt; """&amp;"""), 1, 2))), """"), ""NO_MATCH"")"),"")</f>
        <v/>
      </c>
      <c r="AS424" s="11"/>
      <c r="AT424" s="15"/>
      <c r="AU424" s="11"/>
      <c r="AV424" s="11"/>
      <c r="AW424" s="15"/>
      <c r="AX424" s="15"/>
      <c r="AY424" s="15"/>
      <c r="AZ424" s="11"/>
      <c r="BA424" s="15"/>
      <c r="BB424" s="11"/>
      <c r="BC424" s="11"/>
      <c r="BD424" s="15"/>
      <c r="BE424" s="11"/>
      <c r="BF424" s="11"/>
      <c r="BG424" s="15"/>
      <c r="BH424" s="15"/>
      <c r="BI424" s="15"/>
      <c r="BJ424" s="11"/>
      <c r="BK424" s="15"/>
      <c r="BL424" s="11"/>
      <c r="BM424" s="11"/>
      <c r="BN424" s="15"/>
      <c r="BO424" s="11"/>
      <c r="BP424" s="11"/>
      <c r="BQ424" s="15"/>
      <c r="BR424" s="15"/>
      <c r="BS424" s="15"/>
      <c r="BT424" s="11"/>
      <c r="BU424" s="15"/>
      <c r="BV424" s="11"/>
      <c r="BW424" s="11"/>
      <c r="BX424" s="15"/>
      <c r="BY424" s="11"/>
      <c r="BZ424" s="11"/>
      <c r="CA424" s="15"/>
      <c r="CB424" s="11"/>
      <c r="CC424" s="15"/>
      <c r="CD424" s="11"/>
      <c r="CE424" s="15"/>
      <c r="CF424" s="11"/>
      <c r="CG424" s="11"/>
      <c r="CH424" s="15"/>
      <c r="CI424" s="11"/>
      <c r="CJ424" s="11"/>
      <c r="CK424" s="15"/>
      <c r="CL424" s="11"/>
      <c r="CM424" s="11"/>
      <c r="CN424" s="11"/>
      <c r="CO424" s="11"/>
      <c r="CP424" s="28"/>
      <c r="CQ424" s="28"/>
      <c r="CR424" s="11"/>
      <c r="CS424" s="29"/>
      <c r="CT424" s="11"/>
      <c r="CU424" s="11"/>
      <c r="CV424" s="11"/>
      <c r="CW424" s="11"/>
      <c r="CX424" s="11"/>
      <c r="CY424" s="11"/>
      <c r="CZ424" s="11"/>
      <c r="DA424" s="28"/>
      <c r="DB424" s="28"/>
      <c r="DC424" s="11"/>
      <c r="DD424" s="29"/>
      <c r="DE424" s="11"/>
      <c r="DF424" s="11"/>
      <c r="DG424" s="11"/>
      <c r="DH424" s="11"/>
      <c r="DI424" s="11"/>
      <c r="DJ424" s="11"/>
      <c r="DK424" s="26"/>
      <c r="DL424" s="11"/>
      <c r="DM424" s="29"/>
      <c r="DN424" s="28"/>
      <c r="DO424" s="11"/>
      <c r="DP424" s="11"/>
      <c r="DQ424" s="11"/>
      <c r="DR424" s="29"/>
      <c r="DS424" s="28"/>
      <c r="DT424" s="11"/>
      <c r="DU424" s="26"/>
      <c r="DV424" s="11"/>
      <c r="DW424" s="29"/>
      <c r="DX424" s="28"/>
      <c r="DY424" s="11"/>
      <c r="DZ424" s="26"/>
      <c r="EA424" s="11"/>
      <c r="EB424" s="29"/>
      <c r="EC424" s="28"/>
      <c r="ED424" s="30"/>
      <c r="EE424" s="30" t="str">
        <f ca="1">IFERROR(__xludf.DUMMYFUNCTION("iferror(index(filter('Internal -- Trademark Countries'!E$2:E1000, (AM424 = 'Internal -- Trademark Countries'!B$2:B1000) + (AM424 = 'Internal -- Trademark Countries'!C$2:C1000) + (AM424 = 'Internal -- Trademark Countries'!D$2:D1000)), 1))"),"")</f>
        <v/>
      </c>
      <c r="EF424" s="30" t="e">
        <f ca="1">_xludf.ifs(AM424="", "", COUNTIF('Internal -- Trademark Countries'!B:B,AM424) &gt; 0, "polity_shortest_name", COUNTIF('Internal -- Trademark Countries'!C:C,AM424) &gt; 0, "polity_full_name", COUNTIF('Internal -- Trademark Countries'!D:D,AM424) &gt; 0, "polity_common_name", COUNTIF('Internal -- Trademark Countries'!E:E,AM424) &gt; 0, "shortest_name", COUNTIF('Internal -- Trademark Countries'!A:A,AM424) &gt; 0, "full_name", TRUE, "not a match")</f>
        <v>#NAME?</v>
      </c>
      <c r="EG424" s="30"/>
      <c r="EH424" s="30"/>
      <c r="EI424" s="30"/>
      <c r="EJ424" s="30"/>
      <c r="EK424" s="30" t="str">
        <f t="shared" si="3"/>
        <v/>
      </c>
    </row>
    <row r="425" spans="1:141" ht="16.5">
      <c r="A425" s="11"/>
      <c r="B425" s="11"/>
      <c r="C425" s="11"/>
      <c r="D425" s="11"/>
      <c r="E425" s="11"/>
      <c r="F425" s="11"/>
      <c r="G425" s="11"/>
      <c r="H425" s="11"/>
      <c r="I425" s="11"/>
      <c r="J425" s="11"/>
      <c r="K425" s="27"/>
      <c r="L425" s="11"/>
      <c r="M425" s="11"/>
      <c r="N425" s="11"/>
      <c r="O425" s="11"/>
      <c r="P425" s="15"/>
      <c r="Q425" s="15"/>
      <c r="R425" s="15"/>
      <c r="S425" s="15"/>
      <c r="T425" s="15"/>
      <c r="U425" s="15"/>
      <c r="V425" s="15"/>
      <c r="W425" s="47"/>
      <c r="X425" s="11"/>
      <c r="Y425" s="48"/>
      <c r="Z425" s="11"/>
      <c r="AA425" s="48"/>
      <c r="AB425" s="11"/>
      <c r="AC425" s="48"/>
      <c r="AD425" s="11"/>
      <c r="AE425" s="47"/>
      <c r="AF425" s="11"/>
      <c r="AG425" s="48"/>
      <c r="AH425" s="11"/>
      <c r="AI425" s="48"/>
      <c r="AJ425" s="11"/>
      <c r="AK425" s="48"/>
      <c r="AL425" s="11"/>
      <c r="AM425" s="49"/>
      <c r="AN425" s="49"/>
      <c r="AO425" s="11"/>
      <c r="AP425" s="11"/>
      <c r="AQ425" s="28" t="b">
        <f>IF(COUNTIF(SmartStatus!A$2:A1000, AM425) &gt; 2, TRUE, FALSE)</f>
        <v>0</v>
      </c>
      <c r="AR425" s="29" t="str">
        <f ca="1">IFERROR(__xludf.DUMMYFUNCTION("iferror(if(regexmatch(AO425, ""(?i)^registered""), if(EE425 &lt;&gt; ""polity_shortest_name"", ""CHECK_POLITY"", index(filter(SmartStatus!B$2:B1000, AM425 = SmartStatus!A$2:A1000, not(SmartStatus!C$2:C1000), (isblank(SmartStatus!D$2:D1000)) + ((P425 &lt;&gt; """") * "&amp;"(P425 &lt; SmartStatus!D$2:D1000)), (isblank(SmartStatus!E$2:E1000)) + ((P425 &lt;&gt; """") * (P425 &gt;= SmartStatus!E$2:E1000)), (isblank(SmartStatus!F$2:F1000)) + (((Q425 &lt;&gt; """") * (Q425 &lt; SmartStatus!F$2:F1000)) + ((P425 &lt;&gt; """") * (date(year(P425) + 3, month(P"&amp;"425), day(P425)) &lt; SmartStatus!F$2:F1000))), (isblank(SmartStatus!G$2:G1000)) + (((Q425 &lt;&gt; """") * (Q425 &gt;= SmartStatus!G$2:G1000)) + ((P425 &lt;&gt; """") * (P425 &gt;= SmartStatus!G$2:G1000)))), if(or(regexmatch(B425, ""(?i)^ir [a-z]+ designation$""), N425 &lt;&gt; """&amp;"""), 1, 2))), """"), ""NO_MATCH"")"),"")</f>
        <v/>
      </c>
      <c r="AS425" s="11"/>
      <c r="AT425" s="15"/>
      <c r="AU425" s="11"/>
      <c r="AV425" s="11"/>
      <c r="AW425" s="15"/>
      <c r="AX425" s="15"/>
      <c r="AY425" s="15"/>
      <c r="AZ425" s="11"/>
      <c r="BA425" s="15"/>
      <c r="BB425" s="11"/>
      <c r="BC425" s="11"/>
      <c r="BD425" s="15"/>
      <c r="BE425" s="11"/>
      <c r="BF425" s="11"/>
      <c r="BG425" s="15"/>
      <c r="BH425" s="15"/>
      <c r="BI425" s="15"/>
      <c r="BJ425" s="11"/>
      <c r="BK425" s="15"/>
      <c r="BL425" s="11"/>
      <c r="BM425" s="11"/>
      <c r="BN425" s="15"/>
      <c r="BO425" s="11"/>
      <c r="BP425" s="11"/>
      <c r="BQ425" s="15"/>
      <c r="BR425" s="15"/>
      <c r="BS425" s="15"/>
      <c r="BT425" s="11"/>
      <c r="BU425" s="15"/>
      <c r="BV425" s="11"/>
      <c r="BW425" s="11"/>
      <c r="BX425" s="15"/>
      <c r="BY425" s="11"/>
      <c r="BZ425" s="11"/>
      <c r="CA425" s="15"/>
      <c r="CB425" s="11"/>
      <c r="CC425" s="15"/>
      <c r="CD425" s="11"/>
      <c r="CE425" s="15"/>
      <c r="CF425" s="11"/>
      <c r="CG425" s="11"/>
      <c r="CH425" s="15"/>
      <c r="CI425" s="11"/>
      <c r="CJ425" s="11"/>
      <c r="CK425" s="15"/>
      <c r="CL425" s="11"/>
      <c r="CM425" s="11"/>
      <c r="CN425" s="11"/>
      <c r="CO425" s="11"/>
      <c r="CP425" s="28"/>
      <c r="CQ425" s="28"/>
      <c r="CR425" s="11"/>
      <c r="CS425" s="29"/>
      <c r="CT425" s="11"/>
      <c r="CU425" s="11"/>
      <c r="CV425" s="11"/>
      <c r="CW425" s="11"/>
      <c r="CX425" s="11"/>
      <c r="CY425" s="11"/>
      <c r="CZ425" s="11"/>
      <c r="DA425" s="28"/>
      <c r="DB425" s="28"/>
      <c r="DC425" s="11"/>
      <c r="DD425" s="29"/>
      <c r="DE425" s="11"/>
      <c r="DF425" s="11"/>
      <c r="DG425" s="11"/>
      <c r="DH425" s="11"/>
      <c r="DI425" s="11"/>
      <c r="DJ425" s="11"/>
      <c r="DK425" s="26"/>
      <c r="DL425" s="11"/>
      <c r="DM425" s="29"/>
      <c r="DN425" s="28"/>
      <c r="DO425" s="11"/>
      <c r="DP425" s="11"/>
      <c r="DQ425" s="11"/>
      <c r="DR425" s="29"/>
      <c r="DS425" s="28"/>
      <c r="DT425" s="11"/>
      <c r="DU425" s="26"/>
      <c r="DV425" s="11"/>
      <c r="DW425" s="29"/>
      <c r="DX425" s="28"/>
      <c r="DY425" s="11"/>
      <c r="DZ425" s="26"/>
      <c r="EA425" s="11"/>
      <c r="EB425" s="29"/>
      <c r="EC425" s="28"/>
      <c r="ED425" s="30"/>
      <c r="EE425" s="30" t="str">
        <f ca="1">IFERROR(__xludf.DUMMYFUNCTION("iferror(index(filter('Internal -- Trademark Countries'!E$2:E1000, (AM425 = 'Internal -- Trademark Countries'!B$2:B1000) + (AM425 = 'Internal -- Trademark Countries'!C$2:C1000) + (AM425 = 'Internal -- Trademark Countries'!D$2:D1000)), 1))"),"")</f>
        <v/>
      </c>
      <c r="EF425" s="30" t="e">
        <f ca="1">_xludf.ifs(AM425="", "", COUNTIF('Internal -- Trademark Countries'!B:B,AM425) &gt; 0, "polity_shortest_name", COUNTIF('Internal -- Trademark Countries'!C:C,AM425) &gt; 0, "polity_full_name", COUNTIF('Internal -- Trademark Countries'!D:D,AM425) &gt; 0, "polity_common_name", COUNTIF('Internal -- Trademark Countries'!E:E,AM425) &gt; 0, "shortest_name", COUNTIF('Internal -- Trademark Countries'!A:A,AM425) &gt; 0, "full_name", TRUE, "not a match")</f>
        <v>#NAME?</v>
      </c>
      <c r="EG425" s="30"/>
      <c r="EH425" s="30"/>
      <c r="EI425" s="30"/>
      <c r="EJ425" s="30"/>
      <c r="EK425" s="30" t="str">
        <f t="shared" si="3"/>
        <v/>
      </c>
    </row>
    <row r="426" spans="1:141" ht="16.5">
      <c r="A426" s="11"/>
      <c r="B426" s="11"/>
      <c r="C426" s="11"/>
      <c r="D426" s="11"/>
      <c r="E426" s="11"/>
      <c r="F426" s="11"/>
      <c r="G426" s="11"/>
      <c r="H426" s="11"/>
      <c r="I426" s="11"/>
      <c r="J426" s="11"/>
      <c r="K426" s="27"/>
      <c r="L426" s="11"/>
      <c r="M426" s="11"/>
      <c r="N426" s="11"/>
      <c r="O426" s="11"/>
      <c r="P426" s="15"/>
      <c r="Q426" s="15"/>
      <c r="R426" s="15"/>
      <c r="S426" s="15"/>
      <c r="T426" s="15"/>
      <c r="U426" s="15"/>
      <c r="V426" s="15"/>
      <c r="W426" s="47"/>
      <c r="X426" s="11"/>
      <c r="Y426" s="48"/>
      <c r="Z426" s="11"/>
      <c r="AA426" s="48"/>
      <c r="AB426" s="11"/>
      <c r="AC426" s="48"/>
      <c r="AD426" s="11"/>
      <c r="AE426" s="47"/>
      <c r="AF426" s="11"/>
      <c r="AG426" s="48"/>
      <c r="AH426" s="11"/>
      <c r="AI426" s="48"/>
      <c r="AJ426" s="11"/>
      <c r="AK426" s="48"/>
      <c r="AL426" s="11"/>
      <c r="AM426" s="49"/>
      <c r="AN426" s="49"/>
      <c r="AO426" s="11"/>
      <c r="AP426" s="11"/>
      <c r="AQ426" s="28" t="b">
        <f>IF(COUNTIF(SmartStatus!A$2:A1000, AM426) &gt; 2, TRUE, FALSE)</f>
        <v>0</v>
      </c>
      <c r="AR426" s="29" t="str">
        <f ca="1">IFERROR(__xludf.DUMMYFUNCTION("iferror(if(regexmatch(AO426, ""(?i)^registered""), if(EE426 &lt;&gt; ""polity_shortest_name"", ""CHECK_POLITY"", index(filter(SmartStatus!B$2:B1000, AM426 = SmartStatus!A$2:A1000, not(SmartStatus!C$2:C1000), (isblank(SmartStatus!D$2:D1000)) + ((P426 &lt;&gt; """") * "&amp;"(P426 &lt; SmartStatus!D$2:D1000)), (isblank(SmartStatus!E$2:E1000)) + ((P426 &lt;&gt; """") * (P426 &gt;= SmartStatus!E$2:E1000)), (isblank(SmartStatus!F$2:F1000)) + (((Q426 &lt;&gt; """") * (Q426 &lt; SmartStatus!F$2:F1000)) + ((P426 &lt;&gt; """") * (date(year(P426) + 3, month(P"&amp;"426), day(P426)) &lt; SmartStatus!F$2:F1000))), (isblank(SmartStatus!G$2:G1000)) + (((Q426 &lt;&gt; """") * (Q426 &gt;= SmartStatus!G$2:G1000)) + ((P426 &lt;&gt; """") * (P426 &gt;= SmartStatus!G$2:G1000)))), if(or(regexmatch(B426, ""(?i)^ir [a-z]+ designation$""), N426 &lt;&gt; """&amp;"""), 1, 2))), """"), ""NO_MATCH"")"),"")</f>
        <v/>
      </c>
      <c r="AS426" s="11"/>
      <c r="AT426" s="15"/>
      <c r="AU426" s="11"/>
      <c r="AV426" s="11"/>
      <c r="AW426" s="15"/>
      <c r="AX426" s="15"/>
      <c r="AY426" s="15"/>
      <c r="AZ426" s="11"/>
      <c r="BA426" s="15"/>
      <c r="BB426" s="11"/>
      <c r="BC426" s="11"/>
      <c r="BD426" s="15"/>
      <c r="BE426" s="11"/>
      <c r="BF426" s="11"/>
      <c r="BG426" s="15"/>
      <c r="BH426" s="15"/>
      <c r="BI426" s="15"/>
      <c r="BJ426" s="11"/>
      <c r="BK426" s="15"/>
      <c r="BL426" s="11"/>
      <c r="BM426" s="11"/>
      <c r="BN426" s="15"/>
      <c r="BO426" s="11"/>
      <c r="BP426" s="11"/>
      <c r="BQ426" s="15"/>
      <c r="BR426" s="15"/>
      <c r="BS426" s="15"/>
      <c r="BT426" s="11"/>
      <c r="BU426" s="15"/>
      <c r="BV426" s="11"/>
      <c r="BW426" s="11"/>
      <c r="BX426" s="15"/>
      <c r="BY426" s="11"/>
      <c r="BZ426" s="11"/>
      <c r="CA426" s="15"/>
      <c r="CB426" s="11"/>
      <c r="CC426" s="15"/>
      <c r="CD426" s="11"/>
      <c r="CE426" s="15"/>
      <c r="CF426" s="11"/>
      <c r="CG426" s="11"/>
      <c r="CH426" s="15"/>
      <c r="CI426" s="11"/>
      <c r="CJ426" s="11"/>
      <c r="CK426" s="15"/>
      <c r="CL426" s="11"/>
      <c r="CM426" s="11"/>
      <c r="CN426" s="11"/>
      <c r="CO426" s="11"/>
      <c r="CP426" s="28"/>
      <c r="CQ426" s="28"/>
      <c r="CR426" s="11"/>
      <c r="CS426" s="29"/>
      <c r="CT426" s="11"/>
      <c r="CU426" s="11"/>
      <c r="CV426" s="11"/>
      <c r="CW426" s="11"/>
      <c r="CX426" s="11"/>
      <c r="CY426" s="11"/>
      <c r="CZ426" s="11"/>
      <c r="DA426" s="28"/>
      <c r="DB426" s="28"/>
      <c r="DC426" s="11"/>
      <c r="DD426" s="29"/>
      <c r="DE426" s="11"/>
      <c r="DF426" s="11"/>
      <c r="DG426" s="11"/>
      <c r="DH426" s="11"/>
      <c r="DI426" s="11"/>
      <c r="DJ426" s="11"/>
      <c r="DK426" s="26"/>
      <c r="DL426" s="11"/>
      <c r="DM426" s="29"/>
      <c r="DN426" s="28"/>
      <c r="DO426" s="11"/>
      <c r="DP426" s="11"/>
      <c r="DQ426" s="11"/>
      <c r="DR426" s="29"/>
      <c r="DS426" s="28"/>
      <c r="DT426" s="11"/>
      <c r="DU426" s="26"/>
      <c r="DV426" s="11"/>
      <c r="DW426" s="29"/>
      <c r="DX426" s="28"/>
      <c r="DY426" s="11"/>
      <c r="DZ426" s="26"/>
      <c r="EA426" s="11"/>
      <c r="EB426" s="29"/>
      <c r="EC426" s="28"/>
      <c r="ED426" s="30"/>
      <c r="EE426" s="30" t="str">
        <f ca="1">IFERROR(__xludf.DUMMYFUNCTION("iferror(index(filter('Internal -- Trademark Countries'!E$2:E1000, (AM426 = 'Internal -- Trademark Countries'!B$2:B1000) + (AM426 = 'Internal -- Trademark Countries'!C$2:C1000) + (AM426 = 'Internal -- Trademark Countries'!D$2:D1000)), 1))"),"")</f>
        <v/>
      </c>
      <c r="EF426" s="30" t="e">
        <f ca="1">_xludf.ifs(AM426="", "", COUNTIF('Internal -- Trademark Countries'!B:B,AM426) &gt; 0, "polity_shortest_name", COUNTIF('Internal -- Trademark Countries'!C:C,AM426) &gt; 0, "polity_full_name", COUNTIF('Internal -- Trademark Countries'!D:D,AM426) &gt; 0, "polity_common_name", COUNTIF('Internal -- Trademark Countries'!E:E,AM426) &gt; 0, "shortest_name", COUNTIF('Internal -- Trademark Countries'!A:A,AM426) &gt; 0, "full_name", TRUE, "not a match")</f>
        <v>#NAME?</v>
      </c>
      <c r="EG426" s="30"/>
      <c r="EH426" s="30"/>
      <c r="EI426" s="30"/>
      <c r="EJ426" s="30"/>
      <c r="EK426" s="30" t="str">
        <f t="shared" si="3"/>
        <v/>
      </c>
    </row>
    <row r="427" spans="1:141" ht="16.5">
      <c r="A427" s="11"/>
      <c r="B427" s="11"/>
      <c r="C427" s="11"/>
      <c r="D427" s="11"/>
      <c r="E427" s="11"/>
      <c r="F427" s="11"/>
      <c r="G427" s="11"/>
      <c r="H427" s="11"/>
      <c r="I427" s="11"/>
      <c r="J427" s="11"/>
      <c r="K427" s="27"/>
      <c r="L427" s="11"/>
      <c r="M427" s="11"/>
      <c r="N427" s="11"/>
      <c r="O427" s="11"/>
      <c r="P427" s="15"/>
      <c r="Q427" s="15"/>
      <c r="R427" s="15"/>
      <c r="S427" s="15"/>
      <c r="T427" s="15"/>
      <c r="U427" s="15"/>
      <c r="V427" s="15"/>
      <c r="W427" s="47"/>
      <c r="X427" s="11"/>
      <c r="Y427" s="48"/>
      <c r="Z427" s="11"/>
      <c r="AA427" s="48"/>
      <c r="AB427" s="11"/>
      <c r="AC427" s="48"/>
      <c r="AD427" s="11"/>
      <c r="AE427" s="47"/>
      <c r="AF427" s="11"/>
      <c r="AG427" s="48"/>
      <c r="AH427" s="11"/>
      <c r="AI427" s="48"/>
      <c r="AJ427" s="11"/>
      <c r="AK427" s="48"/>
      <c r="AL427" s="11"/>
      <c r="AM427" s="49"/>
      <c r="AN427" s="49"/>
      <c r="AO427" s="11"/>
      <c r="AP427" s="11"/>
      <c r="AQ427" s="28" t="b">
        <f>IF(COUNTIF(SmartStatus!A$2:A1000, AM427) &gt; 2, TRUE, FALSE)</f>
        <v>0</v>
      </c>
      <c r="AR427" s="29" t="str">
        <f ca="1">IFERROR(__xludf.DUMMYFUNCTION("iferror(if(regexmatch(AO427, ""(?i)^registered""), if(EE427 &lt;&gt; ""polity_shortest_name"", ""CHECK_POLITY"", index(filter(SmartStatus!B$2:B1000, AM427 = SmartStatus!A$2:A1000, not(SmartStatus!C$2:C1000), (isblank(SmartStatus!D$2:D1000)) + ((P427 &lt;&gt; """") * "&amp;"(P427 &lt; SmartStatus!D$2:D1000)), (isblank(SmartStatus!E$2:E1000)) + ((P427 &lt;&gt; """") * (P427 &gt;= SmartStatus!E$2:E1000)), (isblank(SmartStatus!F$2:F1000)) + (((Q427 &lt;&gt; """") * (Q427 &lt; SmartStatus!F$2:F1000)) + ((P427 &lt;&gt; """") * (date(year(P427) + 3, month(P"&amp;"427), day(P427)) &lt; SmartStatus!F$2:F1000))), (isblank(SmartStatus!G$2:G1000)) + (((Q427 &lt;&gt; """") * (Q427 &gt;= SmartStatus!G$2:G1000)) + ((P427 &lt;&gt; """") * (P427 &gt;= SmartStatus!G$2:G1000)))), if(or(regexmatch(B427, ""(?i)^ir [a-z]+ designation$""), N427 &lt;&gt; """&amp;"""), 1, 2))), """"), ""NO_MATCH"")"),"")</f>
        <v/>
      </c>
      <c r="AS427" s="11"/>
      <c r="AT427" s="15"/>
      <c r="AU427" s="11"/>
      <c r="AV427" s="11"/>
      <c r="AW427" s="15"/>
      <c r="AX427" s="15"/>
      <c r="AY427" s="15"/>
      <c r="AZ427" s="11"/>
      <c r="BA427" s="15"/>
      <c r="BB427" s="11"/>
      <c r="BC427" s="11"/>
      <c r="BD427" s="15"/>
      <c r="BE427" s="11"/>
      <c r="BF427" s="11"/>
      <c r="BG427" s="15"/>
      <c r="BH427" s="15"/>
      <c r="BI427" s="15"/>
      <c r="BJ427" s="11"/>
      <c r="BK427" s="15"/>
      <c r="BL427" s="11"/>
      <c r="BM427" s="11"/>
      <c r="BN427" s="15"/>
      <c r="BO427" s="11"/>
      <c r="BP427" s="11"/>
      <c r="BQ427" s="15"/>
      <c r="BR427" s="15"/>
      <c r="BS427" s="15"/>
      <c r="BT427" s="11"/>
      <c r="BU427" s="15"/>
      <c r="BV427" s="11"/>
      <c r="BW427" s="11"/>
      <c r="BX427" s="15"/>
      <c r="BY427" s="11"/>
      <c r="BZ427" s="11"/>
      <c r="CA427" s="15"/>
      <c r="CB427" s="11"/>
      <c r="CC427" s="15"/>
      <c r="CD427" s="11"/>
      <c r="CE427" s="15"/>
      <c r="CF427" s="11"/>
      <c r="CG427" s="11"/>
      <c r="CH427" s="15"/>
      <c r="CI427" s="11"/>
      <c r="CJ427" s="11"/>
      <c r="CK427" s="15"/>
      <c r="CL427" s="11"/>
      <c r="CM427" s="11"/>
      <c r="CN427" s="11"/>
      <c r="CO427" s="11"/>
      <c r="CP427" s="28"/>
      <c r="CQ427" s="28"/>
      <c r="CR427" s="11"/>
      <c r="CS427" s="29"/>
      <c r="CT427" s="11"/>
      <c r="CU427" s="11"/>
      <c r="CV427" s="11"/>
      <c r="CW427" s="11"/>
      <c r="CX427" s="11"/>
      <c r="CY427" s="11"/>
      <c r="CZ427" s="11"/>
      <c r="DA427" s="28"/>
      <c r="DB427" s="28"/>
      <c r="DC427" s="11"/>
      <c r="DD427" s="29"/>
      <c r="DE427" s="11"/>
      <c r="DF427" s="11"/>
      <c r="DG427" s="11"/>
      <c r="DH427" s="11"/>
      <c r="DI427" s="11"/>
      <c r="DJ427" s="11"/>
      <c r="DK427" s="26"/>
      <c r="DL427" s="11"/>
      <c r="DM427" s="29"/>
      <c r="DN427" s="28"/>
      <c r="DO427" s="11"/>
      <c r="DP427" s="11"/>
      <c r="DQ427" s="11"/>
      <c r="DR427" s="29"/>
      <c r="DS427" s="28"/>
      <c r="DT427" s="11"/>
      <c r="DU427" s="26"/>
      <c r="DV427" s="11"/>
      <c r="DW427" s="29"/>
      <c r="DX427" s="28"/>
      <c r="DY427" s="11"/>
      <c r="DZ427" s="26"/>
      <c r="EA427" s="11"/>
      <c r="EB427" s="29"/>
      <c r="EC427" s="28"/>
      <c r="ED427" s="30"/>
      <c r="EE427" s="30" t="str">
        <f ca="1">IFERROR(__xludf.DUMMYFUNCTION("iferror(index(filter('Internal -- Trademark Countries'!E$2:E1000, (AM427 = 'Internal -- Trademark Countries'!B$2:B1000) + (AM427 = 'Internal -- Trademark Countries'!C$2:C1000) + (AM427 = 'Internal -- Trademark Countries'!D$2:D1000)), 1))"),"")</f>
        <v/>
      </c>
      <c r="EF427" s="30" t="e">
        <f ca="1">_xludf.ifs(AM427="", "", COUNTIF('Internal -- Trademark Countries'!B:B,AM427) &gt; 0, "polity_shortest_name", COUNTIF('Internal -- Trademark Countries'!C:C,AM427) &gt; 0, "polity_full_name", COUNTIF('Internal -- Trademark Countries'!D:D,AM427) &gt; 0, "polity_common_name", COUNTIF('Internal -- Trademark Countries'!E:E,AM427) &gt; 0, "shortest_name", COUNTIF('Internal -- Trademark Countries'!A:A,AM427) &gt; 0, "full_name", TRUE, "not a match")</f>
        <v>#NAME?</v>
      </c>
      <c r="EG427" s="30"/>
      <c r="EH427" s="30"/>
      <c r="EI427" s="30"/>
      <c r="EJ427" s="30"/>
      <c r="EK427" s="30" t="str">
        <f t="shared" si="3"/>
        <v/>
      </c>
    </row>
    <row r="428" spans="1:141" ht="16.5">
      <c r="A428" s="11"/>
      <c r="B428" s="11"/>
      <c r="C428" s="11"/>
      <c r="D428" s="11"/>
      <c r="E428" s="11"/>
      <c r="F428" s="11"/>
      <c r="G428" s="11"/>
      <c r="H428" s="11"/>
      <c r="I428" s="11"/>
      <c r="J428" s="11"/>
      <c r="K428" s="27"/>
      <c r="L428" s="11"/>
      <c r="M428" s="11"/>
      <c r="N428" s="11"/>
      <c r="O428" s="11"/>
      <c r="P428" s="15"/>
      <c r="Q428" s="15"/>
      <c r="R428" s="15"/>
      <c r="S428" s="15"/>
      <c r="T428" s="15"/>
      <c r="U428" s="15"/>
      <c r="V428" s="15"/>
      <c r="W428" s="47"/>
      <c r="X428" s="11"/>
      <c r="Y428" s="48"/>
      <c r="Z428" s="11"/>
      <c r="AA428" s="48"/>
      <c r="AB428" s="11"/>
      <c r="AC428" s="48"/>
      <c r="AD428" s="11"/>
      <c r="AE428" s="47"/>
      <c r="AF428" s="11"/>
      <c r="AG428" s="48"/>
      <c r="AH428" s="11"/>
      <c r="AI428" s="48"/>
      <c r="AJ428" s="11"/>
      <c r="AK428" s="48"/>
      <c r="AL428" s="11"/>
      <c r="AM428" s="49"/>
      <c r="AN428" s="49"/>
      <c r="AO428" s="11"/>
      <c r="AP428" s="11"/>
      <c r="AQ428" s="28" t="b">
        <f>IF(COUNTIF(SmartStatus!A$2:A1000, AM428) &gt; 2, TRUE, FALSE)</f>
        <v>0</v>
      </c>
      <c r="AR428" s="29" t="str">
        <f ca="1">IFERROR(__xludf.DUMMYFUNCTION("iferror(if(regexmatch(AO428, ""(?i)^registered""), if(EE428 &lt;&gt; ""polity_shortest_name"", ""CHECK_POLITY"", index(filter(SmartStatus!B$2:B1000, AM428 = SmartStatus!A$2:A1000, not(SmartStatus!C$2:C1000), (isblank(SmartStatus!D$2:D1000)) + ((P428 &lt;&gt; """") * "&amp;"(P428 &lt; SmartStatus!D$2:D1000)), (isblank(SmartStatus!E$2:E1000)) + ((P428 &lt;&gt; """") * (P428 &gt;= SmartStatus!E$2:E1000)), (isblank(SmartStatus!F$2:F1000)) + (((Q428 &lt;&gt; """") * (Q428 &lt; SmartStatus!F$2:F1000)) + ((P428 &lt;&gt; """") * (date(year(P428) + 3, month(P"&amp;"428), day(P428)) &lt; SmartStatus!F$2:F1000))), (isblank(SmartStatus!G$2:G1000)) + (((Q428 &lt;&gt; """") * (Q428 &gt;= SmartStatus!G$2:G1000)) + ((P428 &lt;&gt; """") * (P428 &gt;= SmartStatus!G$2:G1000)))), if(or(regexmatch(B428, ""(?i)^ir [a-z]+ designation$""), N428 &lt;&gt; """&amp;"""), 1, 2))), """"), ""NO_MATCH"")"),"")</f>
        <v/>
      </c>
      <c r="AS428" s="11"/>
      <c r="AT428" s="15"/>
      <c r="AU428" s="11"/>
      <c r="AV428" s="11"/>
      <c r="AW428" s="15"/>
      <c r="AX428" s="15"/>
      <c r="AY428" s="15"/>
      <c r="AZ428" s="11"/>
      <c r="BA428" s="15"/>
      <c r="BB428" s="11"/>
      <c r="BC428" s="11"/>
      <c r="BD428" s="15"/>
      <c r="BE428" s="11"/>
      <c r="BF428" s="11"/>
      <c r="BG428" s="15"/>
      <c r="BH428" s="15"/>
      <c r="BI428" s="15"/>
      <c r="BJ428" s="11"/>
      <c r="BK428" s="15"/>
      <c r="BL428" s="11"/>
      <c r="BM428" s="11"/>
      <c r="BN428" s="15"/>
      <c r="BO428" s="11"/>
      <c r="BP428" s="11"/>
      <c r="BQ428" s="15"/>
      <c r="BR428" s="15"/>
      <c r="BS428" s="15"/>
      <c r="BT428" s="11"/>
      <c r="BU428" s="15"/>
      <c r="BV428" s="11"/>
      <c r="BW428" s="11"/>
      <c r="BX428" s="15"/>
      <c r="BY428" s="11"/>
      <c r="BZ428" s="11"/>
      <c r="CA428" s="15"/>
      <c r="CB428" s="11"/>
      <c r="CC428" s="15"/>
      <c r="CD428" s="11"/>
      <c r="CE428" s="15"/>
      <c r="CF428" s="11"/>
      <c r="CG428" s="11"/>
      <c r="CH428" s="15"/>
      <c r="CI428" s="11"/>
      <c r="CJ428" s="11"/>
      <c r="CK428" s="15"/>
      <c r="CL428" s="11"/>
      <c r="CM428" s="11"/>
      <c r="CN428" s="11"/>
      <c r="CO428" s="11"/>
      <c r="CP428" s="28"/>
      <c r="CQ428" s="28"/>
      <c r="CR428" s="11"/>
      <c r="CS428" s="29"/>
      <c r="CT428" s="11"/>
      <c r="CU428" s="11"/>
      <c r="CV428" s="11"/>
      <c r="CW428" s="11"/>
      <c r="CX428" s="11"/>
      <c r="CY428" s="11"/>
      <c r="CZ428" s="11"/>
      <c r="DA428" s="28"/>
      <c r="DB428" s="28"/>
      <c r="DC428" s="11"/>
      <c r="DD428" s="29"/>
      <c r="DE428" s="11"/>
      <c r="DF428" s="11"/>
      <c r="DG428" s="11"/>
      <c r="DH428" s="11"/>
      <c r="DI428" s="11"/>
      <c r="DJ428" s="11"/>
      <c r="DK428" s="26"/>
      <c r="DL428" s="11"/>
      <c r="DM428" s="29"/>
      <c r="DN428" s="28"/>
      <c r="DO428" s="11"/>
      <c r="DP428" s="11"/>
      <c r="DQ428" s="11"/>
      <c r="DR428" s="29"/>
      <c r="DS428" s="28"/>
      <c r="DT428" s="11"/>
      <c r="DU428" s="26"/>
      <c r="DV428" s="11"/>
      <c r="DW428" s="29"/>
      <c r="DX428" s="28"/>
      <c r="DY428" s="11"/>
      <c r="DZ428" s="26"/>
      <c r="EA428" s="11"/>
      <c r="EB428" s="29"/>
      <c r="EC428" s="28"/>
      <c r="ED428" s="30"/>
      <c r="EE428" s="30" t="str">
        <f ca="1">IFERROR(__xludf.DUMMYFUNCTION("iferror(index(filter('Internal -- Trademark Countries'!E$2:E1000, (AM428 = 'Internal -- Trademark Countries'!B$2:B1000) + (AM428 = 'Internal -- Trademark Countries'!C$2:C1000) + (AM428 = 'Internal -- Trademark Countries'!D$2:D1000)), 1))"),"")</f>
        <v/>
      </c>
      <c r="EF428" s="30" t="e">
        <f ca="1">_xludf.ifs(AM428="", "", COUNTIF('Internal -- Trademark Countries'!B:B,AM428) &gt; 0, "polity_shortest_name", COUNTIF('Internal -- Trademark Countries'!C:C,AM428) &gt; 0, "polity_full_name", COUNTIF('Internal -- Trademark Countries'!D:D,AM428) &gt; 0, "polity_common_name", COUNTIF('Internal -- Trademark Countries'!E:E,AM428) &gt; 0, "shortest_name", COUNTIF('Internal -- Trademark Countries'!A:A,AM428) &gt; 0, "full_name", TRUE, "not a match")</f>
        <v>#NAME?</v>
      </c>
      <c r="EG428" s="30"/>
      <c r="EH428" s="30"/>
      <c r="EI428" s="30"/>
      <c r="EJ428" s="30"/>
      <c r="EK428" s="30" t="str">
        <f t="shared" si="3"/>
        <v/>
      </c>
    </row>
    <row r="429" spans="1:141" ht="16.5">
      <c r="A429" s="11"/>
      <c r="B429" s="11"/>
      <c r="C429" s="11"/>
      <c r="D429" s="11"/>
      <c r="E429" s="11"/>
      <c r="F429" s="11"/>
      <c r="G429" s="11"/>
      <c r="H429" s="11"/>
      <c r="I429" s="11"/>
      <c r="J429" s="11"/>
      <c r="K429" s="27"/>
      <c r="L429" s="11"/>
      <c r="M429" s="11"/>
      <c r="N429" s="11"/>
      <c r="O429" s="11"/>
      <c r="P429" s="15"/>
      <c r="Q429" s="15"/>
      <c r="R429" s="15"/>
      <c r="S429" s="15"/>
      <c r="T429" s="15"/>
      <c r="U429" s="15"/>
      <c r="V429" s="15"/>
      <c r="W429" s="47"/>
      <c r="X429" s="11"/>
      <c r="Y429" s="48"/>
      <c r="Z429" s="11"/>
      <c r="AA429" s="48"/>
      <c r="AB429" s="11"/>
      <c r="AC429" s="48"/>
      <c r="AD429" s="11"/>
      <c r="AE429" s="47"/>
      <c r="AF429" s="11"/>
      <c r="AG429" s="48"/>
      <c r="AH429" s="11"/>
      <c r="AI429" s="48"/>
      <c r="AJ429" s="11"/>
      <c r="AK429" s="48"/>
      <c r="AL429" s="11"/>
      <c r="AM429" s="49"/>
      <c r="AN429" s="49"/>
      <c r="AO429" s="11"/>
      <c r="AP429" s="11"/>
      <c r="AQ429" s="28" t="b">
        <f>IF(COUNTIF(SmartStatus!A$2:A1000, AM429) &gt; 2, TRUE, FALSE)</f>
        <v>0</v>
      </c>
      <c r="AR429" s="29" t="str">
        <f ca="1">IFERROR(__xludf.DUMMYFUNCTION("iferror(if(regexmatch(AO429, ""(?i)^registered""), if(EE429 &lt;&gt; ""polity_shortest_name"", ""CHECK_POLITY"", index(filter(SmartStatus!B$2:B1000, AM429 = SmartStatus!A$2:A1000, not(SmartStatus!C$2:C1000), (isblank(SmartStatus!D$2:D1000)) + ((P429 &lt;&gt; """") * "&amp;"(P429 &lt; SmartStatus!D$2:D1000)), (isblank(SmartStatus!E$2:E1000)) + ((P429 &lt;&gt; """") * (P429 &gt;= SmartStatus!E$2:E1000)), (isblank(SmartStatus!F$2:F1000)) + (((Q429 &lt;&gt; """") * (Q429 &lt; SmartStatus!F$2:F1000)) + ((P429 &lt;&gt; """") * (date(year(P429) + 3, month(P"&amp;"429), day(P429)) &lt; SmartStatus!F$2:F1000))), (isblank(SmartStatus!G$2:G1000)) + (((Q429 &lt;&gt; """") * (Q429 &gt;= SmartStatus!G$2:G1000)) + ((P429 &lt;&gt; """") * (P429 &gt;= SmartStatus!G$2:G1000)))), if(or(regexmatch(B429, ""(?i)^ir [a-z]+ designation$""), N429 &lt;&gt; """&amp;"""), 1, 2))), """"), ""NO_MATCH"")"),"")</f>
        <v/>
      </c>
      <c r="AS429" s="11"/>
      <c r="AT429" s="15"/>
      <c r="AU429" s="11"/>
      <c r="AV429" s="11"/>
      <c r="AW429" s="15"/>
      <c r="AX429" s="15"/>
      <c r="AY429" s="15"/>
      <c r="AZ429" s="11"/>
      <c r="BA429" s="15"/>
      <c r="BB429" s="11"/>
      <c r="BC429" s="11"/>
      <c r="BD429" s="15"/>
      <c r="BE429" s="11"/>
      <c r="BF429" s="11"/>
      <c r="BG429" s="15"/>
      <c r="BH429" s="15"/>
      <c r="BI429" s="15"/>
      <c r="BJ429" s="11"/>
      <c r="BK429" s="15"/>
      <c r="BL429" s="11"/>
      <c r="BM429" s="11"/>
      <c r="BN429" s="15"/>
      <c r="BO429" s="11"/>
      <c r="BP429" s="11"/>
      <c r="BQ429" s="15"/>
      <c r="BR429" s="15"/>
      <c r="BS429" s="15"/>
      <c r="BT429" s="11"/>
      <c r="BU429" s="15"/>
      <c r="BV429" s="11"/>
      <c r="BW429" s="11"/>
      <c r="BX429" s="15"/>
      <c r="BY429" s="11"/>
      <c r="BZ429" s="11"/>
      <c r="CA429" s="15"/>
      <c r="CB429" s="11"/>
      <c r="CC429" s="15"/>
      <c r="CD429" s="11"/>
      <c r="CE429" s="15"/>
      <c r="CF429" s="11"/>
      <c r="CG429" s="11"/>
      <c r="CH429" s="15"/>
      <c r="CI429" s="11"/>
      <c r="CJ429" s="11"/>
      <c r="CK429" s="15"/>
      <c r="CL429" s="11"/>
      <c r="CM429" s="11"/>
      <c r="CN429" s="11"/>
      <c r="CO429" s="11"/>
      <c r="CP429" s="28"/>
      <c r="CQ429" s="28"/>
      <c r="CR429" s="11"/>
      <c r="CS429" s="29"/>
      <c r="CT429" s="11"/>
      <c r="CU429" s="11"/>
      <c r="CV429" s="11"/>
      <c r="CW429" s="11"/>
      <c r="CX429" s="11"/>
      <c r="CY429" s="11"/>
      <c r="CZ429" s="11"/>
      <c r="DA429" s="28"/>
      <c r="DB429" s="28"/>
      <c r="DC429" s="11"/>
      <c r="DD429" s="29"/>
      <c r="DE429" s="11"/>
      <c r="DF429" s="11"/>
      <c r="DG429" s="11"/>
      <c r="DH429" s="11"/>
      <c r="DI429" s="11"/>
      <c r="DJ429" s="11"/>
      <c r="DK429" s="26"/>
      <c r="DL429" s="11"/>
      <c r="DM429" s="29"/>
      <c r="DN429" s="28"/>
      <c r="DO429" s="11"/>
      <c r="DP429" s="11"/>
      <c r="DQ429" s="11"/>
      <c r="DR429" s="29"/>
      <c r="DS429" s="28"/>
      <c r="DT429" s="11"/>
      <c r="DU429" s="26"/>
      <c r="DV429" s="11"/>
      <c r="DW429" s="29"/>
      <c r="DX429" s="28"/>
      <c r="DY429" s="11"/>
      <c r="DZ429" s="26"/>
      <c r="EA429" s="11"/>
      <c r="EB429" s="29"/>
      <c r="EC429" s="28"/>
      <c r="ED429" s="30"/>
      <c r="EE429" s="30" t="str">
        <f ca="1">IFERROR(__xludf.DUMMYFUNCTION("iferror(index(filter('Internal -- Trademark Countries'!E$2:E1000, (AM429 = 'Internal -- Trademark Countries'!B$2:B1000) + (AM429 = 'Internal -- Trademark Countries'!C$2:C1000) + (AM429 = 'Internal -- Trademark Countries'!D$2:D1000)), 1))"),"")</f>
        <v/>
      </c>
      <c r="EF429" s="30" t="e">
        <f ca="1">_xludf.ifs(AM429="", "", COUNTIF('Internal -- Trademark Countries'!B:B,AM429) &gt; 0, "polity_shortest_name", COUNTIF('Internal -- Trademark Countries'!C:C,AM429) &gt; 0, "polity_full_name", COUNTIF('Internal -- Trademark Countries'!D:D,AM429) &gt; 0, "polity_common_name", COUNTIF('Internal -- Trademark Countries'!E:E,AM429) &gt; 0, "shortest_name", COUNTIF('Internal -- Trademark Countries'!A:A,AM429) &gt; 0, "full_name", TRUE, "not a match")</f>
        <v>#NAME?</v>
      </c>
      <c r="EG429" s="30"/>
      <c r="EH429" s="30"/>
      <c r="EI429" s="30"/>
      <c r="EJ429" s="30"/>
      <c r="EK429" s="30" t="str">
        <f t="shared" si="3"/>
        <v/>
      </c>
    </row>
    <row r="430" spans="1:141" ht="16.5">
      <c r="A430" s="11"/>
      <c r="B430" s="11"/>
      <c r="C430" s="11"/>
      <c r="D430" s="11"/>
      <c r="E430" s="11"/>
      <c r="F430" s="11"/>
      <c r="G430" s="11"/>
      <c r="H430" s="11"/>
      <c r="I430" s="11"/>
      <c r="J430" s="11"/>
      <c r="K430" s="27"/>
      <c r="L430" s="11"/>
      <c r="M430" s="11"/>
      <c r="N430" s="11"/>
      <c r="O430" s="11"/>
      <c r="P430" s="15"/>
      <c r="Q430" s="15"/>
      <c r="R430" s="15"/>
      <c r="S430" s="15"/>
      <c r="T430" s="15"/>
      <c r="U430" s="15"/>
      <c r="V430" s="15"/>
      <c r="W430" s="47"/>
      <c r="X430" s="11"/>
      <c r="Y430" s="48"/>
      <c r="Z430" s="11"/>
      <c r="AA430" s="48"/>
      <c r="AB430" s="11"/>
      <c r="AC430" s="48"/>
      <c r="AD430" s="11"/>
      <c r="AE430" s="47"/>
      <c r="AF430" s="11"/>
      <c r="AG430" s="48"/>
      <c r="AH430" s="11"/>
      <c r="AI430" s="48"/>
      <c r="AJ430" s="11"/>
      <c r="AK430" s="48"/>
      <c r="AL430" s="11"/>
      <c r="AM430" s="49"/>
      <c r="AN430" s="49"/>
      <c r="AO430" s="11"/>
      <c r="AP430" s="11"/>
      <c r="AQ430" s="28" t="b">
        <f>IF(COUNTIF(SmartStatus!A$2:A1000, AM430) &gt; 2, TRUE, FALSE)</f>
        <v>0</v>
      </c>
      <c r="AR430" s="29" t="str">
        <f ca="1">IFERROR(__xludf.DUMMYFUNCTION("iferror(if(regexmatch(AO430, ""(?i)^registered""), if(EE430 &lt;&gt; ""polity_shortest_name"", ""CHECK_POLITY"", index(filter(SmartStatus!B$2:B1000, AM430 = SmartStatus!A$2:A1000, not(SmartStatus!C$2:C1000), (isblank(SmartStatus!D$2:D1000)) + ((P430 &lt;&gt; """") * "&amp;"(P430 &lt; SmartStatus!D$2:D1000)), (isblank(SmartStatus!E$2:E1000)) + ((P430 &lt;&gt; """") * (P430 &gt;= SmartStatus!E$2:E1000)), (isblank(SmartStatus!F$2:F1000)) + (((Q430 &lt;&gt; """") * (Q430 &lt; SmartStatus!F$2:F1000)) + ((P430 &lt;&gt; """") * (date(year(P430) + 3, month(P"&amp;"430), day(P430)) &lt; SmartStatus!F$2:F1000))), (isblank(SmartStatus!G$2:G1000)) + (((Q430 &lt;&gt; """") * (Q430 &gt;= SmartStatus!G$2:G1000)) + ((P430 &lt;&gt; """") * (P430 &gt;= SmartStatus!G$2:G1000)))), if(or(regexmatch(B430, ""(?i)^ir [a-z]+ designation$""), N430 &lt;&gt; """&amp;"""), 1, 2))), """"), ""NO_MATCH"")"),"")</f>
        <v/>
      </c>
      <c r="AS430" s="11"/>
      <c r="AT430" s="15"/>
      <c r="AU430" s="11"/>
      <c r="AV430" s="11"/>
      <c r="AW430" s="15"/>
      <c r="AX430" s="15"/>
      <c r="AY430" s="15"/>
      <c r="AZ430" s="11"/>
      <c r="BA430" s="15"/>
      <c r="BB430" s="11"/>
      <c r="BC430" s="11"/>
      <c r="BD430" s="15"/>
      <c r="BE430" s="11"/>
      <c r="BF430" s="11"/>
      <c r="BG430" s="15"/>
      <c r="BH430" s="15"/>
      <c r="BI430" s="15"/>
      <c r="BJ430" s="11"/>
      <c r="BK430" s="15"/>
      <c r="BL430" s="11"/>
      <c r="BM430" s="11"/>
      <c r="BN430" s="15"/>
      <c r="BO430" s="11"/>
      <c r="BP430" s="11"/>
      <c r="BQ430" s="15"/>
      <c r="BR430" s="15"/>
      <c r="BS430" s="15"/>
      <c r="BT430" s="11"/>
      <c r="BU430" s="15"/>
      <c r="BV430" s="11"/>
      <c r="BW430" s="11"/>
      <c r="BX430" s="15"/>
      <c r="BY430" s="11"/>
      <c r="BZ430" s="11"/>
      <c r="CA430" s="15"/>
      <c r="CB430" s="11"/>
      <c r="CC430" s="15"/>
      <c r="CD430" s="11"/>
      <c r="CE430" s="15"/>
      <c r="CF430" s="11"/>
      <c r="CG430" s="11"/>
      <c r="CH430" s="15"/>
      <c r="CI430" s="11"/>
      <c r="CJ430" s="11"/>
      <c r="CK430" s="15"/>
      <c r="CL430" s="11"/>
      <c r="CM430" s="11"/>
      <c r="CN430" s="11"/>
      <c r="CO430" s="11"/>
      <c r="CP430" s="28"/>
      <c r="CQ430" s="28"/>
      <c r="CR430" s="11"/>
      <c r="CS430" s="29"/>
      <c r="CT430" s="11"/>
      <c r="CU430" s="11"/>
      <c r="CV430" s="11"/>
      <c r="CW430" s="11"/>
      <c r="CX430" s="11"/>
      <c r="CY430" s="11"/>
      <c r="CZ430" s="11"/>
      <c r="DA430" s="28"/>
      <c r="DB430" s="28"/>
      <c r="DC430" s="11"/>
      <c r="DD430" s="29"/>
      <c r="DE430" s="11"/>
      <c r="DF430" s="11"/>
      <c r="DG430" s="11"/>
      <c r="DH430" s="11"/>
      <c r="DI430" s="11"/>
      <c r="DJ430" s="11"/>
      <c r="DK430" s="26"/>
      <c r="DL430" s="11"/>
      <c r="DM430" s="29"/>
      <c r="DN430" s="28"/>
      <c r="DO430" s="11"/>
      <c r="DP430" s="11"/>
      <c r="DQ430" s="11"/>
      <c r="DR430" s="29"/>
      <c r="DS430" s="28"/>
      <c r="DT430" s="11"/>
      <c r="DU430" s="26"/>
      <c r="DV430" s="11"/>
      <c r="DW430" s="29"/>
      <c r="DX430" s="28"/>
      <c r="DY430" s="11"/>
      <c r="DZ430" s="26"/>
      <c r="EA430" s="11"/>
      <c r="EB430" s="29"/>
      <c r="EC430" s="28"/>
      <c r="ED430" s="30"/>
      <c r="EE430" s="30" t="str">
        <f ca="1">IFERROR(__xludf.DUMMYFUNCTION("iferror(index(filter('Internal -- Trademark Countries'!E$2:E1000, (AM430 = 'Internal -- Trademark Countries'!B$2:B1000) + (AM430 = 'Internal -- Trademark Countries'!C$2:C1000) + (AM430 = 'Internal -- Trademark Countries'!D$2:D1000)), 1))"),"")</f>
        <v/>
      </c>
      <c r="EF430" s="30" t="e">
        <f ca="1">_xludf.ifs(AM430="", "", COUNTIF('Internal -- Trademark Countries'!B:B,AM430) &gt; 0, "polity_shortest_name", COUNTIF('Internal -- Trademark Countries'!C:C,AM430) &gt; 0, "polity_full_name", COUNTIF('Internal -- Trademark Countries'!D:D,AM430) &gt; 0, "polity_common_name", COUNTIF('Internal -- Trademark Countries'!E:E,AM430) &gt; 0, "shortest_name", COUNTIF('Internal -- Trademark Countries'!A:A,AM430) &gt; 0, "full_name", TRUE, "not a match")</f>
        <v>#NAME?</v>
      </c>
      <c r="EG430" s="30"/>
      <c r="EH430" s="30"/>
      <c r="EI430" s="30"/>
      <c r="EJ430" s="30"/>
      <c r="EK430" s="30" t="str">
        <f t="shared" si="3"/>
        <v/>
      </c>
    </row>
    <row r="431" spans="1:141" ht="16.5">
      <c r="A431" s="11"/>
      <c r="B431" s="11"/>
      <c r="C431" s="11"/>
      <c r="D431" s="11"/>
      <c r="E431" s="11"/>
      <c r="F431" s="11"/>
      <c r="G431" s="11"/>
      <c r="H431" s="11"/>
      <c r="I431" s="11"/>
      <c r="J431" s="11"/>
      <c r="K431" s="27"/>
      <c r="L431" s="11"/>
      <c r="M431" s="11"/>
      <c r="N431" s="11"/>
      <c r="O431" s="11"/>
      <c r="P431" s="15"/>
      <c r="Q431" s="15"/>
      <c r="R431" s="15"/>
      <c r="S431" s="15"/>
      <c r="T431" s="15"/>
      <c r="U431" s="15"/>
      <c r="V431" s="15"/>
      <c r="W431" s="47"/>
      <c r="X431" s="11"/>
      <c r="Y431" s="48"/>
      <c r="Z431" s="11"/>
      <c r="AA431" s="48"/>
      <c r="AB431" s="11"/>
      <c r="AC431" s="48"/>
      <c r="AD431" s="11"/>
      <c r="AE431" s="47"/>
      <c r="AF431" s="11"/>
      <c r="AG431" s="48"/>
      <c r="AH431" s="11"/>
      <c r="AI431" s="48"/>
      <c r="AJ431" s="11"/>
      <c r="AK431" s="48"/>
      <c r="AL431" s="11"/>
      <c r="AM431" s="49"/>
      <c r="AN431" s="49"/>
      <c r="AO431" s="11"/>
      <c r="AP431" s="11"/>
      <c r="AQ431" s="28" t="b">
        <f>IF(COUNTIF(SmartStatus!A$2:A1000, AM431) &gt; 2, TRUE, FALSE)</f>
        <v>0</v>
      </c>
      <c r="AR431" s="29" t="str">
        <f ca="1">IFERROR(__xludf.DUMMYFUNCTION("iferror(if(regexmatch(AO431, ""(?i)^registered""), if(EE431 &lt;&gt; ""polity_shortest_name"", ""CHECK_POLITY"", index(filter(SmartStatus!B$2:B1000, AM431 = SmartStatus!A$2:A1000, not(SmartStatus!C$2:C1000), (isblank(SmartStatus!D$2:D1000)) + ((P431 &lt;&gt; """") * "&amp;"(P431 &lt; SmartStatus!D$2:D1000)), (isblank(SmartStatus!E$2:E1000)) + ((P431 &lt;&gt; """") * (P431 &gt;= SmartStatus!E$2:E1000)), (isblank(SmartStatus!F$2:F1000)) + (((Q431 &lt;&gt; """") * (Q431 &lt; SmartStatus!F$2:F1000)) + ((P431 &lt;&gt; """") * (date(year(P431) + 3, month(P"&amp;"431), day(P431)) &lt; SmartStatus!F$2:F1000))), (isblank(SmartStatus!G$2:G1000)) + (((Q431 &lt;&gt; """") * (Q431 &gt;= SmartStatus!G$2:G1000)) + ((P431 &lt;&gt; """") * (P431 &gt;= SmartStatus!G$2:G1000)))), if(or(regexmatch(B431, ""(?i)^ir [a-z]+ designation$""), N431 &lt;&gt; """&amp;"""), 1, 2))), """"), ""NO_MATCH"")"),"")</f>
        <v/>
      </c>
      <c r="AS431" s="11"/>
      <c r="AT431" s="15"/>
      <c r="AU431" s="11"/>
      <c r="AV431" s="11"/>
      <c r="AW431" s="15"/>
      <c r="AX431" s="15"/>
      <c r="AY431" s="15"/>
      <c r="AZ431" s="11"/>
      <c r="BA431" s="15"/>
      <c r="BB431" s="11"/>
      <c r="BC431" s="11"/>
      <c r="BD431" s="15"/>
      <c r="BE431" s="11"/>
      <c r="BF431" s="11"/>
      <c r="BG431" s="15"/>
      <c r="BH431" s="15"/>
      <c r="BI431" s="15"/>
      <c r="BJ431" s="11"/>
      <c r="BK431" s="15"/>
      <c r="BL431" s="11"/>
      <c r="BM431" s="11"/>
      <c r="BN431" s="15"/>
      <c r="BO431" s="11"/>
      <c r="BP431" s="11"/>
      <c r="BQ431" s="15"/>
      <c r="BR431" s="15"/>
      <c r="BS431" s="15"/>
      <c r="BT431" s="11"/>
      <c r="BU431" s="15"/>
      <c r="BV431" s="11"/>
      <c r="BW431" s="11"/>
      <c r="BX431" s="15"/>
      <c r="BY431" s="11"/>
      <c r="BZ431" s="11"/>
      <c r="CA431" s="15"/>
      <c r="CB431" s="11"/>
      <c r="CC431" s="15"/>
      <c r="CD431" s="11"/>
      <c r="CE431" s="15"/>
      <c r="CF431" s="11"/>
      <c r="CG431" s="11"/>
      <c r="CH431" s="15"/>
      <c r="CI431" s="11"/>
      <c r="CJ431" s="11"/>
      <c r="CK431" s="15"/>
      <c r="CL431" s="11"/>
      <c r="CM431" s="11"/>
      <c r="CN431" s="11"/>
      <c r="CO431" s="11"/>
      <c r="CP431" s="28"/>
      <c r="CQ431" s="28"/>
      <c r="CR431" s="11"/>
      <c r="CS431" s="29"/>
      <c r="CT431" s="11"/>
      <c r="CU431" s="11"/>
      <c r="CV431" s="11"/>
      <c r="CW431" s="11"/>
      <c r="CX431" s="11"/>
      <c r="CY431" s="11"/>
      <c r="CZ431" s="11"/>
      <c r="DA431" s="28"/>
      <c r="DB431" s="28"/>
      <c r="DC431" s="11"/>
      <c r="DD431" s="29"/>
      <c r="DE431" s="11"/>
      <c r="DF431" s="11"/>
      <c r="DG431" s="11"/>
      <c r="DH431" s="11"/>
      <c r="DI431" s="11"/>
      <c r="DJ431" s="11"/>
      <c r="DK431" s="26"/>
      <c r="DL431" s="11"/>
      <c r="DM431" s="29"/>
      <c r="DN431" s="28"/>
      <c r="DO431" s="11"/>
      <c r="DP431" s="11"/>
      <c r="DQ431" s="11"/>
      <c r="DR431" s="29"/>
      <c r="DS431" s="28"/>
      <c r="DT431" s="11"/>
      <c r="DU431" s="26"/>
      <c r="DV431" s="11"/>
      <c r="DW431" s="29"/>
      <c r="DX431" s="28"/>
      <c r="DY431" s="11"/>
      <c r="DZ431" s="26"/>
      <c r="EA431" s="11"/>
      <c r="EB431" s="29"/>
      <c r="EC431" s="28"/>
      <c r="ED431" s="30"/>
      <c r="EE431" s="30" t="str">
        <f ca="1">IFERROR(__xludf.DUMMYFUNCTION("iferror(index(filter('Internal -- Trademark Countries'!E$2:E1000, (AM431 = 'Internal -- Trademark Countries'!B$2:B1000) + (AM431 = 'Internal -- Trademark Countries'!C$2:C1000) + (AM431 = 'Internal -- Trademark Countries'!D$2:D1000)), 1))"),"")</f>
        <v/>
      </c>
      <c r="EF431" s="30" t="e">
        <f ca="1">_xludf.ifs(AM431="", "", COUNTIF('Internal -- Trademark Countries'!B:B,AM431) &gt; 0, "polity_shortest_name", COUNTIF('Internal -- Trademark Countries'!C:C,AM431) &gt; 0, "polity_full_name", COUNTIF('Internal -- Trademark Countries'!D:D,AM431) &gt; 0, "polity_common_name", COUNTIF('Internal -- Trademark Countries'!E:E,AM431) &gt; 0, "shortest_name", COUNTIF('Internal -- Trademark Countries'!A:A,AM431) &gt; 0, "full_name", TRUE, "not a match")</f>
        <v>#NAME?</v>
      </c>
      <c r="EG431" s="30"/>
      <c r="EH431" s="30"/>
      <c r="EI431" s="30"/>
      <c r="EJ431" s="30"/>
      <c r="EK431" s="30" t="str">
        <f t="shared" si="3"/>
        <v/>
      </c>
    </row>
    <row r="432" spans="1:141" ht="16.5">
      <c r="A432" s="11"/>
      <c r="B432" s="11"/>
      <c r="C432" s="11"/>
      <c r="D432" s="11"/>
      <c r="E432" s="11"/>
      <c r="F432" s="11"/>
      <c r="G432" s="11"/>
      <c r="H432" s="11"/>
      <c r="I432" s="11"/>
      <c r="J432" s="11"/>
      <c r="K432" s="27"/>
      <c r="L432" s="11"/>
      <c r="M432" s="11"/>
      <c r="N432" s="11"/>
      <c r="O432" s="11"/>
      <c r="P432" s="15"/>
      <c r="Q432" s="15"/>
      <c r="R432" s="15"/>
      <c r="S432" s="15"/>
      <c r="T432" s="15"/>
      <c r="U432" s="15"/>
      <c r="V432" s="15"/>
      <c r="W432" s="47"/>
      <c r="X432" s="11"/>
      <c r="Y432" s="48"/>
      <c r="Z432" s="11"/>
      <c r="AA432" s="48"/>
      <c r="AB432" s="11"/>
      <c r="AC432" s="48"/>
      <c r="AD432" s="11"/>
      <c r="AE432" s="47"/>
      <c r="AF432" s="11"/>
      <c r="AG432" s="48"/>
      <c r="AH432" s="11"/>
      <c r="AI432" s="48"/>
      <c r="AJ432" s="11"/>
      <c r="AK432" s="48"/>
      <c r="AL432" s="11"/>
      <c r="AM432" s="49"/>
      <c r="AN432" s="49"/>
      <c r="AO432" s="11"/>
      <c r="AP432" s="11"/>
      <c r="AQ432" s="28" t="b">
        <f>IF(COUNTIF(SmartStatus!A$2:A1000, AM432) &gt; 2, TRUE, FALSE)</f>
        <v>0</v>
      </c>
      <c r="AR432" s="29" t="str">
        <f ca="1">IFERROR(__xludf.DUMMYFUNCTION("iferror(if(regexmatch(AO432, ""(?i)^registered""), if(EE432 &lt;&gt; ""polity_shortest_name"", ""CHECK_POLITY"", index(filter(SmartStatus!B$2:B1000, AM432 = SmartStatus!A$2:A1000, not(SmartStatus!C$2:C1000), (isblank(SmartStatus!D$2:D1000)) + ((P432 &lt;&gt; """") * "&amp;"(P432 &lt; SmartStatus!D$2:D1000)), (isblank(SmartStatus!E$2:E1000)) + ((P432 &lt;&gt; """") * (P432 &gt;= SmartStatus!E$2:E1000)), (isblank(SmartStatus!F$2:F1000)) + (((Q432 &lt;&gt; """") * (Q432 &lt; SmartStatus!F$2:F1000)) + ((P432 &lt;&gt; """") * (date(year(P432) + 3, month(P"&amp;"432), day(P432)) &lt; SmartStatus!F$2:F1000))), (isblank(SmartStatus!G$2:G1000)) + (((Q432 &lt;&gt; """") * (Q432 &gt;= SmartStatus!G$2:G1000)) + ((P432 &lt;&gt; """") * (P432 &gt;= SmartStatus!G$2:G1000)))), if(or(regexmatch(B432, ""(?i)^ir [a-z]+ designation$""), N432 &lt;&gt; """&amp;"""), 1, 2))), """"), ""NO_MATCH"")"),"")</f>
        <v/>
      </c>
      <c r="AS432" s="11"/>
      <c r="AT432" s="15"/>
      <c r="AU432" s="11"/>
      <c r="AV432" s="11"/>
      <c r="AW432" s="15"/>
      <c r="AX432" s="15"/>
      <c r="AY432" s="15"/>
      <c r="AZ432" s="11"/>
      <c r="BA432" s="15"/>
      <c r="BB432" s="11"/>
      <c r="BC432" s="11"/>
      <c r="BD432" s="15"/>
      <c r="BE432" s="11"/>
      <c r="BF432" s="11"/>
      <c r="BG432" s="15"/>
      <c r="BH432" s="15"/>
      <c r="BI432" s="15"/>
      <c r="BJ432" s="11"/>
      <c r="BK432" s="15"/>
      <c r="BL432" s="11"/>
      <c r="BM432" s="11"/>
      <c r="BN432" s="15"/>
      <c r="BO432" s="11"/>
      <c r="BP432" s="11"/>
      <c r="BQ432" s="15"/>
      <c r="BR432" s="15"/>
      <c r="BS432" s="15"/>
      <c r="BT432" s="11"/>
      <c r="BU432" s="15"/>
      <c r="BV432" s="11"/>
      <c r="BW432" s="11"/>
      <c r="BX432" s="15"/>
      <c r="BY432" s="11"/>
      <c r="BZ432" s="11"/>
      <c r="CA432" s="15"/>
      <c r="CB432" s="11"/>
      <c r="CC432" s="15"/>
      <c r="CD432" s="11"/>
      <c r="CE432" s="15"/>
      <c r="CF432" s="11"/>
      <c r="CG432" s="11"/>
      <c r="CH432" s="15"/>
      <c r="CI432" s="11"/>
      <c r="CJ432" s="11"/>
      <c r="CK432" s="15"/>
      <c r="CL432" s="11"/>
      <c r="CM432" s="11"/>
      <c r="CN432" s="11"/>
      <c r="CO432" s="11"/>
      <c r="CP432" s="28"/>
      <c r="CQ432" s="28"/>
      <c r="CR432" s="11"/>
      <c r="CS432" s="29"/>
      <c r="CT432" s="11"/>
      <c r="CU432" s="11"/>
      <c r="CV432" s="11"/>
      <c r="CW432" s="11"/>
      <c r="CX432" s="11"/>
      <c r="CY432" s="11"/>
      <c r="CZ432" s="11"/>
      <c r="DA432" s="28"/>
      <c r="DB432" s="28"/>
      <c r="DC432" s="11"/>
      <c r="DD432" s="29"/>
      <c r="DE432" s="11"/>
      <c r="DF432" s="11"/>
      <c r="DG432" s="11"/>
      <c r="DH432" s="11"/>
      <c r="DI432" s="11"/>
      <c r="DJ432" s="11"/>
      <c r="DK432" s="26"/>
      <c r="DL432" s="11"/>
      <c r="DM432" s="29"/>
      <c r="DN432" s="28"/>
      <c r="DO432" s="11"/>
      <c r="DP432" s="11"/>
      <c r="DQ432" s="11"/>
      <c r="DR432" s="29"/>
      <c r="DS432" s="28"/>
      <c r="DT432" s="11"/>
      <c r="DU432" s="26"/>
      <c r="DV432" s="11"/>
      <c r="DW432" s="29"/>
      <c r="DX432" s="28"/>
      <c r="DY432" s="11"/>
      <c r="DZ432" s="26"/>
      <c r="EA432" s="11"/>
      <c r="EB432" s="29"/>
      <c r="EC432" s="28"/>
      <c r="ED432" s="30"/>
      <c r="EE432" s="30" t="str">
        <f ca="1">IFERROR(__xludf.DUMMYFUNCTION("iferror(index(filter('Internal -- Trademark Countries'!E$2:E1000, (AM432 = 'Internal -- Trademark Countries'!B$2:B1000) + (AM432 = 'Internal -- Trademark Countries'!C$2:C1000) + (AM432 = 'Internal -- Trademark Countries'!D$2:D1000)), 1))"),"")</f>
        <v/>
      </c>
      <c r="EF432" s="30" t="e">
        <f ca="1">_xludf.ifs(AM432="", "", COUNTIF('Internal -- Trademark Countries'!B:B,AM432) &gt; 0, "polity_shortest_name", COUNTIF('Internal -- Trademark Countries'!C:C,AM432) &gt; 0, "polity_full_name", COUNTIF('Internal -- Trademark Countries'!D:D,AM432) &gt; 0, "polity_common_name", COUNTIF('Internal -- Trademark Countries'!E:E,AM432) &gt; 0, "shortest_name", COUNTIF('Internal -- Trademark Countries'!A:A,AM432) &gt; 0, "full_name", TRUE, "not a match")</f>
        <v>#NAME?</v>
      </c>
      <c r="EG432" s="30"/>
      <c r="EH432" s="30"/>
      <c r="EI432" s="30"/>
      <c r="EJ432" s="30"/>
      <c r="EK432" s="30" t="str">
        <f t="shared" si="3"/>
        <v/>
      </c>
    </row>
    <row r="433" spans="1:141" ht="16.5">
      <c r="A433" s="11"/>
      <c r="B433" s="11"/>
      <c r="C433" s="11"/>
      <c r="D433" s="11"/>
      <c r="E433" s="11"/>
      <c r="F433" s="11"/>
      <c r="G433" s="11"/>
      <c r="H433" s="11"/>
      <c r="I433" s="11"/>
      <c r="J433" s="11"/>
      <c r="K433" s="27"/>
      <c r="L433" s="11"/>
      <c r="M433" s="11"/>
      <c r="N433" s="11"/>
      <c r="O433" s="11"/>
      <c r="P433" s="15"/>
      <c r="Q433" s="15"/>
      <c r="R433" s="15"/>
      <c r="S433" s="15"/>
      <c r="T433" s="15"/>
      <c r="U433" s="15"/>
      <c r="V433" s="15"/>
      <c r="W433" s="47"/>
      <c r="X433" s="11"/>
      <c r="Y433" s="48"/>
      <c r="Z433" s="11"/>
      <c r="AA433" s="48"/>
      <c r="AB433" s="11"/>
      <c r="AC433" s="48"/>
      <c r="AD433" s="11"/>
      <c r="AE433" s="47"/>
      <c r="AF433" s="11"/>
      <c r="AG433" s="48"/>
      <c r="AH433" s="11"/>
      <c r="AI433" s="48"/>
      <c r="AJ433" s="11"/>
      <c r="AK433" s="48"/>
      <c r="AL433" s="11"/>
      <c r="AM433" s="49"/>
      <c r="AN433" s="49"/>
      <c r="AO433" s="11"/>
      <c r="AP433" s="11"/>
      <c r="AQ433" s="28" t="b">
        <f>IF(COUNTIF(SmartStatus!A$2:A1000, AM433) &gt; 2, TRUE, FALSE)</f>
        <v>0</v>
      </c>
      <c r="AR433" s="29" t="str">
        <f ca="1">IFERROR(__xludf.DUMMYFUNCTION("iferror(if(regexmatch(AO433, ""(?i)^registered""), if(EE433 &lt;&gt; ""polity_shortest_name"", ""CHECK_POLITY"", index(filter(SmartStatus!B$2:B1000, AM433 = SmartStatus!A$2:A1000, not(SmartStatus!C$2:C1000), (isblank(SmartStatus!D$2:D1000)) + ((P433 &lt;&gt; """") * "&amp;"(P433 &lt; SmartStatus!D$2:D1000)), (isblank(SmartStatus!E$2:E1000)) + ((P433 &lt;&gt; """") * (P433 &gt;= SmartStatus!E$2:E1000)), (isblank(SmartStatus!F$2:F1000)) + (((Q433 &lt;&gt; """") * (Q433 &lt; SmartStatus!F$2:F1000)) + ((P433 &lt;&gt; """") * (date(year(P433) + 3, month(P"&amp;"433), day(P433)) &lt; SmartStatus!F$2:F1000))), (isblank(SmartStatus!G$2:G1000)) + (((Q433 &lt;&gt; """") * (Q433 &gt;= SmartStatus!G$2:G1000)) + ((P433 &lt;&gt; """") * (P433 &gt;= SmartStatus!G$2:G1000)))), if(or(regexmatch(B433, ""(?i)^ir [a-z]+ designation$""), N433 &lt;&gt; """&amp;"""), 1, 2))), """"), ""NO_MATCH"")"),"")</f>
        <v/>
      </c>
      <c r="AS433" s="11"/>
      <c r="AT433" s="15"/>
      <c r="AU433" s="11"/>
      <c r="AV433" s="11"/>
      <c r="AW433" s="15"/>
      <c r="AX433" s="15"/>
      <c r="AY433" s="15"/>
      <c r="AZ433" s="11"/>
      <c r="BA433" s="15"/>
      <c r="BB433" s="11"/>
      <c r="BC433" s="11"/>
      <c r="BD433" s="15"/>
      <c r="BE433" s="11"/>
      <c r="BF433" s="11"/>
      <c r="BG433" s="15"/>
      <c r="BH433" s="15"/>
      <c r="BI433" s="15"/>
      <c r="BJ433" s="11"/>
      <c r="BK433" s="15"/>
      <c r="BL433" s="11"/>
      <c r="BM433" s="11"/>
      <c r="BN433" s="15"/>
      <c r="BO433" s="11"/>
      <c r="BP433" s="11"/>
      <c r="BQ433" s="15"/>
      <c r="BR433" s="15"/>
      <c r="BS433" s="15"/>
      <c r="BT433" s="11"/>
      <c r="BU433" s="15"/>
      <c r="BV433" s="11"/>
      <c r="BW433" s="11"/>
      <c r="BX433" s="15"/>
      <c r="BY433" s="11"/>
      <c r="BZ433" s="11"/>
      <c r="CA433" s="15"/>
      <c r="CB433" s="11"/>
      <c r="CC433" s="15"/>
      <c r="CD433" s="11"/>
      <c r="CE433" s="15"/>
      <c r="CF433" s="11"/>
      <c r="CG433" s="11"/>
      <c r="CH433" s="15"/>
      <c r="CI433" s="11"/>
      <c r="CJ433" s="11"/>
      <c r="CK433" s="15"/>
      <c r="CL433" s="11"/>
      <c r="CM433" s="11"/>
      <c r="CN433" s="11"/>
      <c r="CO433" s="11"/>
      <c r="CP433" s="28"/>
      <c r="CQ433" s="28"/>
      <c r="CR433" s="11"/>
      <c r="CS433" s="29"/>
      <c r="CT433" s="11"/>
      <c r="CU433" s="11"/>
      <c r="CV433" s="11"/>
      <c r="CW433" s="11"/>
      <c r="CX433" s="11"/>
      <c r="CY433" s="11"/>
      <c r="CZ433" s="11"/>
      <c r="DA433" s="28"/>
      <c r="DB433" s="28"/>
      <c r="DC433" s="11"/>
      <c r="DD433" s="29"/>
      <c r="DE433" s="11"/>
      <c r="DF433" s="11"/>
      <c r="DG433" s="11"/>
      <c r="DH433" s="11"/>
      <c r="DI433" s="11"/>
      <c r="DJ433" s="11"/>
      <c r="DK433" s="26"/>
      <c r="DL433" s="11"/>
      <c r="DM433" s="29"/>
      <c r="DN433" s="28"/>
      <c r="DO433" s="11"/>
      <c r="DP433" s="11"/>
      <c r="DQ433" s="11"/>
      <c r="DR433" s="29"/>
      <c r="DS433" s="28"/>
      <c r="DT433" s="11"/>
      <c r="DU433" s="26"/>
      <c r="DV433" s="11"/>
      <c r="DW433" s="29"/>
      <c r="DX433" s="28"/>
      <c r="DY433" s="11"/>
      <c r="DZ433" s="26"/>
      <c r="EA433" s="11"/>
      <c r="EB433" s="29"/>
      <c r="EC433" s="28"/>
      <c r="ED433" s="30"/>
      <c r="EE433" s="30" t="str">
        <f ca="1">IFERROR(__xludf.DUMMYFUNCTION("iferror(index(filter('Internal -- Trademark Countries'!E$2:E1000, (AM433 = 'Internal -- Trademark Countries'!B$2:B1000) + (AM433 = 'Internal -- Trademark Countries'!C$2:C1000) + (AM433 = 'Internal -- Trademark Countries'!D$2:D1000)), 1))"),"")</f>
        <v/>
      </c>
      <c r="EF433" s="30" t="e">
        <f ca="1">_xludf.ifs(AM433="", "", COUNTIF('Internal -- Trademark Countries'!B:B,AM433) &gt; 0, "polity_shortest_name", COUNTIF('Internal -- Trademark Countries'!C:C,AM433) &gt; 0, "polity_full_name", COUNTIF('Internal -- Trademark Countries'!D:D,AM433) &gt; 0, "polity_common_name", COUNTIF('Internal -- Trademark Countries'!E:E,AM433) &gt; 0, "shortest_name", COUNTIF('Internal -- Trademark Countries'!A:A,AM433) &gt; 0, "full_name", TRUE, "not a match")</f>
        <v>#NAME?</v>
      </c>
      <c r="EG433" s="30"/>
      <c r="EH433" s="30"/>
      <c r="EI433" s="30"/>
      <c r="EJ433" s="30"/>
      <c r="EK433" s="30" t="str">
        <f t="shared" si="3"/>
        <v/>
      </c>
    </row>
    <row r="434" spans="1:141" ht="16.5">
      <c r="A434" s="11"/>
      <c r="B434" s="11"/>
      <c r="C434" s="11"/>
      <c r="D434" s="11"/>
      <c r="E434" s="11"/>
      <c r="F434" s="11"/>
      <c r="G434" s="11"/>
      <c r="H434" s="11"/>
      <c r="I434" s="11"/>
      <c r="J434" s="11"/>
      <c r="K434" s="27"/>
      <c r="L434" s="11"/>
      <c r="M434" s="11"/>
      <c r="N434" s="11"/>
      <c r="O434" s="11"/>
      <c r="P434" s="15"/>
      <c r="Q434" s="15"/>
      <c r="R434" s="15"/>
      <c r="S434" s="15"/>
      <c r="T434" s="15"/>
      <c r="U434" s="15"/>
      <c r="V434" s="15"/>
      <c r="W434" s="47"/>
      <c r="X434" s="11"/>
      <c r="Y434" s="48"/>
      <c r="Z434" s="11"/>
      <c r="AA434" s="48"/>
      <c r="AB434" s="11"/>
      <c r="AC434" s="48"/>
      <c r="AD434" s="11"/>
      <c r="AE434" s="47"/>
      <c r="AF434" s="11"/>
      <c r="AG434" s="48"/>
      <c r="AH434" s="11"/>
      <c r="AI434" s="48"/>
      <c r="AJ434" s="11"/>
      <c r="AK434" s="48"/>
      <c r="AL434" s="11"/>
      <c r="AM434" s="49"/>
      <c r="AN434" s="49"/>
      <c r="AO434" s="11"/>
      <c r="AP434" s="11"/>
      <c r="AQ434" s="28" t="b">
        <f>IF(COUNTIF(SmartStatus!A$2:A1000, AM434) &gt; 2, TRUE, FALSE)</f>
        <v>0</v>
      </c>
      <c r="AR434" s="29" t="str">
        <f ca="1">IFERROR(__xludf.DUMMYFUNCTION("iferror(if(regexmatch(AO434, ""(?i)^registered""), if(EE434 &lt;&gt; ""polity_shortest_name"", ""CHECK_POLITY"", index(filter(SmartStatus!B$2:B1000, AM434 = SmartStatus!A$2:A1000, not(SmartStatus!C$2:C1000), (isblank(SmartStatus!D$2:D1000)) + ((P434 &lt;&gt; """") * "&amp;"(P434 &lt; SmartStatus!D$2:D1000)), (isblank(SmartStatus!E$2:E1000)) + ((P434 &lt;&gt; """") * (P434 &gt;= SmartStatus!E$2:E1000)), (isblank(SmartStatus!F$2:F1000)) + (((Q434 &lt;&gt; """") * (Q434 &lt; SmartStatus!F$2:F1000)) + ((P434 &lt;&gt; """") * (date(year(P434) + 3, month(P"&amp;"434), day(P434)) &lt; SmartStatus!F$2:F1000))), (isblank(SmartStatus!G$2:G1000)) + (((Q434 &lt;&gt; """") * (Q434 &gt;= SmartStatus!G$2:G1000)) + ((P434 &lt;&gt; """") * (P434 &gt;= SmartStatus!G$2:G1000)))), if(or(regexmatch(B434, ""(?i)^ir [a-z]+ designation$""), N434 &lt;&gt; """&amp;"""), 1, 2))), """"), ""NO_MATCH"")"),"")</f>
        <v/>
      </c>
      <c r="AS434" s="11"/>
      <c r="AT434" s="15"/>
      <c r="AU434" s="11"/>
      <c r="AV434" s="11"/>
      <c r="AW434" s="15"/>
      <c r="AX434" s="15"/>
      <c r="AY434" s="15"/>
      <c r="AZ434" s="11"/>
      <c r="BA434" s="15"/>
      <c r="BB434" s="11"/>
      <c r="BC434" s="11"/>
      <c r="BD434" s="15"/>
      <c r="BE434" s="11"/>
      <c r="BF434" s="11"/>
      <c r="BG434" s="15"/>
      <c r="BH434" s="15"/>
      <c r="BI434" s="15"/>
      <c r="BJ434" s="11"/>
      <c r="BK434" s="15"/>
      <c r="BL434" s="11"/>
      <c r="BM434" s="11"/>
      <c r="BN434" s="15"/>
      <c r="BO434" s="11"/>
      <c r="BP434" s="11"/>
      <c r="BQ434" s="15"/>
      <c r="BR434" s="15"/>
      <c r="BS434" s="15"/>
      <c r="BT434" s="11"/>
      <c r="BU434" s="15"/>
      <c r="BV434" s="11"/>
      <c r="BW434" s="11"/>
      <c r="BX434" s="15"/>
      <c r="BY434" s="11"/>
      <c r="BZ434" s="11"/>
      <c r="CA434" s="15"/>
      <c r="CB434" s="11"/>
      <c r="CC434" s="15"/>
      <c r="CD434" s="11"/>
      <c r="CE434" s="15"/>
      <c r="CF434" s="11"/>
      <c r="CG434" s="11"/>
      <c r="CH434" s="15"/>
      <c r="CI434" s="11"/>
      <c r="CJ434" s="11"/>
      <c r="CK434" s="15"/>
      <c r="CL434" s="11"/>
      <c r="CM434" s="11"/>
      <c r="CN434" s="11"/>
      <c r="CO434" s="11"/>
      <c r="CP434" s="28"/>
      <c r="CQ434" s="28"/>
      <c r="CR434" s="11"/>
      <c r="CS434" s="29"/>
      <c r="CT434" s="11"/>
      <c r="CU434" s="11"/>
      <c r="CV434" s="11"/>
      <c r="CW434" s="11"/>
      <c r="CX434" s="11"/>
      <c r="CY434" s="11"/>
      <c r="CZ434" s="11"/>
      <c r="DA434" s="28"/>
      <c r="DB434" s="28"/>
      <c r="DC434" s="11"/>
      <c r="DD434" s="29"/>
      <c r="DE434" s="11"/>
      <c r="DF434" s="11"/>
      <c r="DG434" s="11"/>
      <c r="DH434" s="11"/>
      <c r="DI434" s="11"/>
      <c r="DJ434" s="11"/>
      <c r="DK434" s="26"/>
      <c r="DL434" s="11"/>
      <c r="DM434" s="29"/>
      <c r="DN434" s="28"/>
      <c r="DO434" s="11"/>
      <c r="DP434" s="11"/>
      <c r="DQ434" s="11"/>
      <c r="DR434" s="29"/>
      <c r="DS434" s="28"/>
      <c r="DT434" s="11"/>
      <c r="DU434" s="26"/>
      <c r="DV434" s="11"/>
      <c r="DW434" s="29"/>
      <c r="DX434" s="28"/>
      <c r="DY434" s="11"/>
      <c r="DZ434" s="26"/>
      <c r="EA434" s="11"/>
      <c r="EB434" s="29"/>
      <c r="EC434" s="28"/>
      <c r="ED434" s="30"/>
      <c r="EE434" s="30" t="str">
        <f ca="1">IFERROR(__xludf.DUMMYFUNCTION("iferror(index(filter('Internal -- Trademark Countries'!E$2:E1000, (AM434 = 'Internal -- Trademark Countries'!B$2:B1000) + (AM434 = 'Internal -- Trademark Countries'!C$2:C1000) + (AM434 = 'Internal -- Trademark Countries'!D$2:D1000)), 1))"),"")</f>
        <v/>
      </c>
      <c r="EF434" s="30" t="e">
        <f ca="1">_xludf.ifs(AM434="", "", COUNTIF('Internal -- Trademark Countries'!B:B,AM434) &gt; 0, "polity_shortest_name", COUNTIF('Internal -- Trademark Countries'!C:C,AM434) &gt; 0, "polity_full_name", COUNTIF('Internal -- Trademark Countries'!D:D,AM434) &gt; 0, "polity_common_name", COUNTIF('Internal -- Trademark Countries'!E:E,AM434) &gt; 0, "shortest_name", COUNTIF('Internal -- Trademark Countries'!A:A,AM434) &gt; 0, "full_name", TRUE, "not a match")</f>
        <v>#NAME?</v>
      </c>
      <c r="EG434" s="30"/>
      <c r="EH434" s="30"/>
      <c r="EI434" s="30"/>
      <c r="EJ434" s="30"/>
      <c r="EK434" s="30" t="str">
        <f t="shared" si="3"/>
        <v/>
      </c>
    </row>
    <row r="435" spans="1:141" ht="16.5">
      <c r="A435" s="11"/>
      <c r="B435" s="11"/>
      <c r="C435" s="11"/>
      <c r="D435" s="11"/>
      <c r="E435" s="11"/>
      <c r="F435" s="11"/>
      <c r="G435" s="11"/>
      <c r="H435" s="11"/>
      <c r="I435" s="11"/>
      <c r="J435" s="11"/>
      <c r="K435" s="27"/>
      <c r="L435" s="11"/>
      <c r="M435" s="11"/>
      <c r="N435" s="11"/>
      <c r="O435" s="11"/>
      <c r="P435" s="15"/>
      <c r="Q435" s="15"/>
      <c r="R435" s="15"/>
      <c r="S435" s="15"/>
      <c r="T435" s="15"/>
      <c r="U435" s="15"/>
      <c r="V435" s="15"/>
      <c r="W435" s="47"/>
      <c r="X435" s="11"/>
      <c r="Y435" s="48"/>
      <c r="Z435" s="11"/>
      <c r="AA435" s="48"/>
      <c r="AB435" s="11"/>
      <c r="AC435" s="48"/>
      <c r="AD435" s="11"/>
      <c r="AE435" s="47"/>
      <c r="AF435" s="11"/>
      <c r="AG435" s="48"/>
      <c r="AH435" s="11"/>
      <c r="AI435" s="48"/>
      <c r="AJ435" s="11"/>
      <c r="AK435" s="48"/>
      <c r="AL435" s="11"/>
      <c r="AM435" s="49"/>
      <c r="AN435" s="49"/>
      <c r="AO435" s="11"/>
      <c r="AP435" s="11"/>
      <c r="AQ435" s="28" t="b">
        <f>IF(COUNTIF(SmartStatus!A$2:A1000, AM435) &gt; 2, TRUE, FALSE)</f>
        <v>0</v>
      </c>
      <c r="AR435" s="29" t="str">
        <f ca="1">IFERROR(__xludf.DUMMYFUNCTION("iferror(if(regexmatch(AO435, ""(?i)^registered""), if(EE435 &lt;&gt; ""polity_shortest_name"", ""CHECK_POLITY"", index(filter(SmartStatus!B$2:B1000, AM435 = SmartStatus!A$2:A1000, not(SmartStatus!C$2:C1000), (isblank(SmartStatus!D$2:D1000)) + ((P435 &lt;&gt; """") * "&amp;"(P435 &lt; SmartStatus!D$2:D1000)), (isblank(SmartStatus!E$2:E1000)) + ((P435 &lt;&gt; """") * (P435 &gt;= SmartStatus!E$2:E1000)), (isblank(SmartStatus!F$2:F1000)) + (((Q435 &lt;&gt; """") * (Q435 &lt; SmartStatus!F$2:F1000)) + ((P435 &lt;&gt; """") * (date(year(P435) + 3, month(P"&amp;"435), day(P435)) &lt; SmartStatus!F$2:F1000))), (isblank(SmartStatus!G$2:G1000)) + (((Q435 &lt;&gt; """") * (Q435 &gt;= SmartStatus!G$2:G1000)) + ((P435 &lt;&gt; """") * (P435 &gt;= SmartStatus!G$2:G1000)))), if(or(regexmatch(B435, ""(?i)^ir [a-z]+ designation$""), N435 &lt;&gt; """&amp;"""), 1, 2))), """"), ""NO_MATCH"")"),"")</f>
        <v/>
      </c>
      <c r="AS435" s="11"/>
      <c r="AT435" s="15"/>
      <c r="AU435" s="11"/>
      <c r="AV435" s="11"/>
      <c r="AW435" s="15"/>
      <c r="AX435" s="15"/>
      <c r="AY435" s="15"/>
      <c r="AZ435" s="11"/>
      <c r="BA435" s="15"/>
      <c r="BB435" s="11"/>
      <c r="BC435" s="11"/>
      <c r="BD435" s="15"/>
      <c r="BE435" s="11"/>
      <c r="BF435" s="11"/>
      <c r="BG435" s="15"/>
      <c r="BH435" s="15"/>
      <c r="BI435" s="15"/>
      <c r="BJ435" s="11"/>
      <c r="BK435" s="15"/>
      <c r="BL435" s="11"/>
      <c r="BM435" s="11"/>
      <c r="BN435" s="15"/>
      <c r="BO435" s="11"/>
      <c r="BP435" s="11"/>
      <c r="BQ435" s="15"/>
      <c r="BR435" s="15"/>
      <c r="BS435" s="15"/>
      <c r="BT435" s="11"/>
      <c r="BU435" s="15"/>
      <c r="BV435" s="11"/>
      <c r="BW435" s="11"/>
      <c r="BX435" s="15"/>
      <c r="BY435" s="11"/>
      <c r="BZ435" s="11"/>
      <c r="CA435" s="15"/>
      <c r="CB435" s="11"/>
      <c r="CC435" s="15"/>
      <c r="CD435" s="11"/>
      <c r="CE435" s="15"/>
      <c r="CF435" s="11"/>
      <c r="CG435" s="11"/>
      <c r="CH435" s="15"/>
      <c r="CI435" s="11"/>
      <c r="CJ435" s="11"/>
      <c r="CK435" s="15"/>
      <c r="CL435" s="11"/>
      <c r="CM435" s="11"/>
      <c r="CN435" s="11"/>
      <c r="CO435" s="11"/>
      <c r="CP435" s="28"/>
      <c r="CQ435" s="28"/>
      <c r="CR435" s="11"/>
      <c r="CS435" s="29"/>
      <c r="CT435" s="11"/>
      <c r="CU435" s="11"/>
      <c r="CV435" s="11"/>
      <c r="CW435" s="11"/>
      <c r="CX435" s="11"/>
      <c r="CY435" s="11"/>
      <c r="CZ435" s="11"/>
      <c r="DA435" s="28"/>
      <c r="DB435" s="28"/>
      <c r="DC435" s="11"/>
      <c r="DD435" s="29"/>
      <c r="DE435" s="11"/>
      <c r="DF435" s="11"/>
      <c r="DG435" s="11"/>
      <c r="DH435" s="11"/>
      <c r="DI435" s="11"/>
      <c r="DJ435" s="11"/>
      <c r="DK435" s="26"/>
      <c r="DL435" s="11"/>
      <c r="DM435" s="29"/>
      <c r="DN435" s="28"/>
      <c r="DO435" s="11"/>
      <c r="DP435" s="11"/>
      <c r="DQ435" s="11"/>
      <c r="DR435" s="29"/>
      <c r="DS435" s="28"/>
      <c r="DT435" s="11"/>
      <c r="DU435" s="26"/>
      <c r="DV435" s="11"/>
      <c r="DW435" s="29"/>
      <c r="DX435" s="28"/>
      <c r="DY435" s="11"/>
      <c r="DZ435" s="26"/>
      <c r="EA435" s="11"/>
      <c r="EB435" s="29"/>
      <c r="EC435" s="28"/>
      <c r="ED435" s="30"/>
      <c r="EE435" s="30" t="str">
        <f ca="1">IFERROR(__xludf.DUMMYFUNCTION("iferror(index(filter('Internal -- Trademark Countries'!E$2:E1000, (AM435 = 'Internal -- Trademark Countries'!B$2:B1000) + (AM435 = 'Internal -- Trademark Countries'!C$2:C1000) + (AM435 = 'Internal -- Trademark Countries'!D$2:D1000)), 1))"),"")</f>
        <v/>
      </c>
      <c r="EF435" s="30" t="e">
        <f ca="1">_xludf.ifs(AM435="", "", COUNTIF('Internal -- Trademark Countries'!B:B,AM435) &gt; 0, "polity_shortest_name", COUNTIF('Internal -- Trademark Countries'!C:C,AM435) &gt; 0, "polity_full_name", COUNTIF('Internal -- Trademark Countries'!D:D,AM435) &gt; 0, "polity_common_name", COUNTIF('Internal -- Trademark Countries'!E:E,AM435) &gt; 0, "shortest_name", COUNTIF('Internal -- Trademark Countries'!A:A,AM435) &gt; 0, "full_name", TRUE, "not a match")</f>
        <v>#NAME?</v>
      </c>
      <c r="EG435" s="30"/>
      <c r="EH435" s="30"/>
      <c r="EI435" s="30"/>
      <c r="EJ435" s="30"/>
      <c r="EK435" s="30" t="str">
        <f t="shared" si="3"/>
        <v/>
      </c>
    </row>
    <row r="436" spans="1:141" ht="16.5">
      <c r="A436" s="11"/>
      <c r="B436" s="11"/>
      <c r="C436" s="11"/>
      <c r="D436" s="11"/>
      <c r="E436" s="11"/>
      <c r="F436" s="11"/>
      <c r="G436" s="11"/>
      <c r="H436" s="11"/>
      <c r="I436" s="11"/>
      <c r="J436" s="11"/>
      <c r="K436" s="27"/>
      <c r="L436" s="11"/>
      <c r="M436" s="11"/>
      <c r="N436" s="11"/>
      <c r="O436" s="11"/>
      <c r="P436" s="15"/>
      <c r="Q436" s="15"/>
      <c r="R436" s="15"/>
      <c r="S436" s="15"/>
      <c r="T436" s="15"/>
      <c r="U436" s="15"/>
      <c r="V436" s="15"/>
      <c r="W436" s="47"/>
      <c r="X436" s="11"/>
      <c r="Y436" s="48"/>
      <c r="Z436" s="11"/>
      <c r="AA436" s="48"/>
      <c r="AB436" s="11"/>
      <c r="AC436" s="48"/>
      <c r="AD436" s="11"/>
      <c r="AE436" s="47"/>
      <c r="AF436" s="11"/>
      <c r="AG436" s="48"/>
      <c r="AH436" s="11"/>
      <c r="AI436" s="48"/>
      <c r="AJ436" s="11"/>
      <c r="AK436" s="48"/>
      <c r="AL436" s="11"/>
      <c r="AM436" s="49"/>
      <c r="AN436" s="49"/>
      <c r="AO436" s="11"/>
      <c r="AP436" s="11"/>
      <c r="AQ436" s="28" t="b">
        <f>IF(COUNTIF(SmartStatus!A$2:A1000, AM436) &gt; 2, TRUE, FALSE)</f>
        <v>0</v>
      </c>
      <c r="AR436" s="29" t="str">
        <f ca="1">IFERROR(__xludf.DUMMYFUNCTION("iferror(if(regexmatch(AO436, ""(?i)^registered""), if(EE436 &lt;&gt; ""polity_shortest_name"", ""CHECK_POLITY"", index(filter(SmartStatus!B$2:B1000, AM436 = SmartStatus!A$2:A1000, not(SmartStatus!C$2:C1000), (isblank(SmartStatus!D$2:D1000)) + ((P436 &lt;&gt; """") * "&amp;"(P436 &lt; SmartStatus!D$2:D1000)), (isblank(SmartStatus!E$2:E1000)) + ((P436 &lt;&gt; """") * (P436 &gt;= SmartStatus!E$2:E1000)), (isblank(SmartStatus!F$2:F1000)) + (((Q436 &lt;&gt; """") * (Q436 &lt; SmartStatus!F$2:F1000)) + ((P436 &lt;&gt; """") * (date(year(P436) + 3, month(P"&amp;"436), day(P436)) &lt; SmartStatus!F$2:F1000))), (isblank(SmartStatus!G$2:G1000)) + (((Q436 &lt;&gt; """") * (Q436 &gt;= SmartStatus!G$2:G1000)) + ((P436 &lt;&gt; """") * (P436 &gt;= SmartStatus!G$2:G1000)))), if(or(regexmatch(B436, ""(?i)^ir [a-z]+ designation$""), N436 &lt;&gt; """&amp;"""), 1, 2))), """"), ""NO_MATCH"")"),"")</f>
        <v/>
      </c>
      <c r="AS436" s="11"/>
      <c r="AT436" s="15"/>
      <c r="AU436" s="11"/>
      <c r="AV436" s="11"/>
      <c r="AW436" s="15"/>
      <c r="AX436" s="15"/>
      <c r="AY436" s="15"/>
      <c r="AZ436" s="11"/>
      <c r="BA436" s="15"/>
      <c r="BB436" s="11"/>
      <c r="BC436" s="11"/>
      <c r="BD436" s="15"/>
      <c r="BE436" s="11"/>
      <c r="BF436" s="11"/>
      <c r="BG436" s="15"/>
      <c r="BH436" s="15"/>
      <c r="BI436" s="15"/>
      <c r="BJ436" s="11"/>
      <c r="BK436" s="15"/>
      <c r="BL436" s="11"/>
      <c r="BM436" s="11"/>
      <c r="BN436" s="15"/>
      <c r="BO436" s="11"/>
      <c r="BP436" s="11"/>
      <c r="BQ436" s="15"/>
      <c r="BR436" s="15"/>
      <c r="BS436" s="15"/>
      <c r="BT436" s="11"/>
      <c r="BU436" s="15"/>
      <c r="BV436" s="11"/>
      <c r="BW436" s="11"/>
      <c r="BX436" s="15"/>
      <c r="BY436" s="11"/>
      <c r="BZ436" s="11"/>
      <c r="CA436" s="15"/>
      <c r="CB436" s="11"/>
      <c r="CC436" s="15"/>
      <c r="CD436" s="11"/>
      <c r="CE436" s="15"/>
      <c r="CF436" s="11"/>
      <c r="CG436" s="11"/>
      <c r="CH436" s="15"/>
      <c r="CI436" s="11"/>
      <c r="CJ436" s="11"/>
      <c r="CK436" s="15"/>
      <c r="CL436" s="11"/>
      <c r="CM436" s="11"/>
      <c r="CN436" s="11"/>
      <c r="CO436" s="11"/>
      <c r="CP436" s="28"/>
      <c r="CQ436" s="28"/>
      <c r="CR436" s="11"/>
      <c r="CS436" s="29"/>
      <c r="CT436" s="11"/>
      <c r="CU436" s="11"/>
      <c r="CV436" s="11"/>
      <c r="CW436" s="11"/>
      <c r="CX436" s="11"/>
      <c r="CY436" s="11"/>
      <c r="CZ436" s="11"/>
      <c r="DA436" s="28"/>
      <c r="DB436" s="28"/>
      <c r="DC436" s="11"/>
      <c r="DD436" s="29"/>
      <c r="DE436" s="11"/>
      <c r="DF436" s="11"/>
      <c r="DG436" s="11"/>
      <c r="DH436" s="11"/>
      <c r="DI436" s="11"/>
      <c r="DJ436" s="11"/>
      <c r="DK436" s="26"/>
      <c r="DL436" s="11"/>
      <c r="DM436" s="29"/>
      <c r="DN436" s="28"/>
      <c r="DO436" s="11"/>
      <c r="DP436" s="11"/>
      <c r="DQ436" s="11"/>
      <c r="DR436" s="29"/>
      <c r="DS436" s="28"/>
      <c r="DT436" s="11"/>
      <c r="DU436" s="26"/>
      <c r="DV436" s="11"/>
      <c r="DW436" s="29"/>
      <c r="DX436" s="28"/>
      <c r="DY436" s="11"/>
      <c r="DZ436" s="26"/>
      <c r="EA436" s="11"/>
      <c r="EB436" s="29"/>
      <c r="EC436" s="28"/>
      <c r="ED436" s="30"/>
      <c r="EE436" s="30" t="str">
        <f ca="1">IFERROR(__xludf.DUMMYFUNCTION("iferror(index(filter('Internal -- Trademark Countries'!E$2:E1000, (AM436 = 'Internal -- Trademark Countries'!B$2:B1000) + (AM436 = 'Internal -- Trademark Countries'!C$2:C1000) + (AM436 = 'Internal -- Trademark Countries'!D$2:D1000)), 1))"),"")</f>
        <v/>
      </c>
      <c r="EF436" s="30" t="e">
        <f ca="1">_xludf.ifs(AM436="", "", COUNTIF('Internal -- Trademark Countries'!B:B,AM436) &gt; 0, "polity_shortest_name", COUNTIF('Internal -- Trademark Countries'!C:C,AM436) &gt; 0, "polity_full_name", COUNTIF('Internal -- Trademark Countries'!D:D,AM436) &gt; 0, "polity_common_name", COUNTIF('Internal -- Trademark Countries'!E:E,AM436) &gt; 0, "shortest_name", COUNTIF('Internal -- Trademark Countries'!A:A,AM436) &gt; 0, "full_name", TRUE, "not a match")</f>
        <v>#NAME?</v>
      </c>
      <c r="EG436" s="30"/>
      <c r="EH436" s="30"/>
      <c r="EI436" s="30"/>
      <c r="EJ436" s="30"/>
      <c r="EK436" s="30" t="str">
        <f t="shared" si="3"/>
        <v/>
      </c>
    </row>
    <row r="437" spans="1:141" ht="16.5">
      <c r="A437" s="11"/>
      <c r="B437" s="11"/>
      <c r="C437" s="11"/>
      <c r="D437" s="11"/>
      <c r="E437" s="11"/>
      <c r="F437" s="11"/>
      <c r="G437" s="11"/>
      <c r="H437" s="11"/>
      <c r="I437" s="11"/>
      <c r="J437" s="11"/>
      <c r="K437" s="27"/>
      <c r="L437" s="11"/>
      <c r="M437" s="11"/>
      <c r="N437" s="11"/>
      <c r="O437" s="11"/>
      <c r="P437" s="15"/>
      <c r="Q437" s="15"/>
      <c r="R437" s="15"/>
      <c r="S437" s="15"/>
      <c r="T437" s="15"/>
      <c r="U437" s="15"/>
      <c r="V437" s="15"/>
      <c r="W437" s="47"/>
      <c r="X437" s="11"/>
      <c r="Y437" s="48"/>
      <c r="Z437" s="11"/>
      <c r="AA437" s="48"/>
      <c r="AB437" s="11"/>
      <c r="AC437" s="48"/>
      <c r="AD437" s="11"/>
      <c r="AE437" s="47"/>
      <c r="AF437" s="11"/>
      <c r="AG437" s="48"/>
      <c r="AH437" s="11"/>
      <c r="AI437" s="48"/>
      <c r="AJ437" s="11"/>
      <c r="AK437" s="48"/>
      <c r="AL437" s="11"/>
      <c r="AM437" s="49"/>
      <c r="AN437" s="49"/>
      <c r="AO437" s="11"/>
      <c r="AP437" s="11"/>
      <c r="AQ437" s="28" t="b">
        <f>IF(COUNTIF(SmartStatus!A$2:A1000, AM437) &gt; 2, TRUE, FALSE)</f>
        <v>0</v>
      </c>
      <c r="AR437" s="29" t="str">
        <f ca="1">IFERROR(__xludf.DUMMYFUNCTION("iferror(if(regexmatch(AO437, ""(?i)^registered""), if(EE437 &lt;&gt; ""polity_shortest_name"", ""CHECK_POLITY"", index(filter(SmartStatus!B$2:B1000, AM437 = SmartStatus!A$2:A1000, not(SmartStatus!C$2:C1000), (isblank(SmartStatus!D$2:D1000)) + ((P437 &lt;&gt; """") * "&amp;"(P437 &lt; SmartStatus!D$2:D1000)), (isblank(SmartStatus!E$2:E1000)) + ((P437 &lt;&gt; """") * (P437 &gt;= SmartStatus!E$2:E1000)), (isblank(SmartStatus!F$2:F1000)) + (((Q437 &lt;&gt; """") * (Q437 &lt; SmartStatus!F$2:F1000)) + ((P437 &lt;&gt; """") * (date(year(P437) + 3, month(P"&amp;"437), day(P437)) &lt; SmartStatus!F$2:F1000))), (isblank(SmartStatus!G$2:G1000)) + (((Q437 &lt;&gt; """") * (Q437 &gt;= SmartStatus!G$2:G1000)) + ((P437 &lt;&gt; """") * (P437 &gt;= SmartStatus!G$2:G1000)))), if(or(regexmatch(B437, ""(?i)^ir [a-z]+ designation$""), N437 &lt;&gt; """&amp;"""), 1, 2))), """"), ""NO_MATCH"")"),"")</f>
        <v/>
      </c>
      <c r="AS437" s="11"/>
      <c r="AT437" s="15"/>
      <c r="AU437" s="11"/>
      <c r="AV437" s="11"/>
      <c r="AW437" s="15"/>
      <c r="AX437" s="15"/>
      <c r="AY437" s="15"/>
      <c r="AZ437" s="11"/>
      <c r="BA437" s="15"/>
      <c r="BB437" s="11"/>
      <c r="BC437" s="11"/>
      <c r="BD437" s="15"/>
      <c r="BE437" s="11"/>
      <c r="BF437" s="11"/>
      <c r="BG437" s="15"/>
      <c r="BH437" s="15"/>
      <c r="BI437" s="15"/>
      <c r="BJ437" s="11"/>
      <c r="BK437" s="15"/>
      <c r="BL437" s="11"/>
      <c r="BM437" s="11"/>
      <c r="BN437" s="15"/>
      <c r="BO437" s="11"/>
      <c r="BP437" s="11"/>
      <c r="BQ437" s="15"/>
      <c r="BR437" s="15"/>
      <c r="BS437" s="15"/>
      <c r="BT437" s="11"/>
      <c r="BU437" s="15"/>
      <c r="BV437" s="11"/>
      <c r="BW437" s="11"/>
      <c r="BX437" s="15"/>
      <c r="BY437" s="11"/>
      <c r="BZ437" s="11"/>
      <c r="CA437" s="15"/>
      <c r="CB437" s="11"/>
      <c r="CC437" s="15"/>
      <c r="CD437" s="11"/>
      <c r="CE437" s="15"/>
      <c r="CF437" s="11"/>
      <c r="CG437" s="11"/>
      <c r="CH437" s="15"/>
      <c r="CI437" s="11"/>
      <c r="CJ437" s="11"/>
      <c r="CK437" s="15"/>
      <c r="CL437" s="11"/>
      <c r="CM437" s="11"/>
      <c r="CN437" s="11"/>
      <c r="CO437" s="11"/>
      <c r="CP437" s="28"/>
      <c r="CQ437" s="28"/>
      <c r="CR437" s="11"/>
      <c r="CS437" s="29"/>
      <c r="CT437" s="11"/>
      <c r="CU437" s="11"/>
      <c r="CV437" s="11"/>
      <c r="CW437" s="11"/>
      <c r="CX437" s="11"/>
      <c r="CY437" s="11"/>
      <c r="CZ437" s="11"/>
      <c r="DA437" s="28"/>
      <c r="DB437" s="28"/>
      <c r="DC437" s="11"/>
      <c r="DD437" s="29"/>
      <c r="DE437" s="11"/>
      <c r="DF437" s="11"/>
      <c r="DG437" s="11"/>
      <c r="DH437" s="11"/>
      <c r="DI437" s="11"/>
      <c r="DJ437" s="11"/>
      <c r="DK437" s="26"/>
      <c r="DL437" s="11"/>
      <c r="DM437" s="29"/>
      <c r="DN437" s="28"/>
      <c r="DO437" s="11"/>
      <c r="DP437" s="11"/>
      <c r="DQ437" s="11"/>
      <c r="DR437" s="29"/>
      <c r="DS437" s="28"/>
      <c r="DT437" s="11"/>
      <c r="DU437" s="26"/>
      <c r="DV437" s="11"/>
      <c r="DW437" s="29"/>
      <c r="DX437" s="28"/>
      <c r="DY437" s="11"/>
      <c r="DZ437" s="26"/>
      <c r="EA437" s="11"/>
      <c r="EB437" s="29"/>
      <c r="EC437" s="28"/>
      <c r="ED437" s="30"/>
      <c r="EE437" s="30" t="str">
        <f ca="1">IFERROR(__xludf.DUMMYFUNCTION("iferror(index(filter('Internal -- Trademark Countries'!E$2:E1000, (AM437 = 'Internal -- Trademark Countries'!B$2:B1000) + (AM437 = 'Internal -- Trademark Countries'!C$2:C1000) + (AM437 = 'Internal -- Trademark Countries'!D$2:D1000)), 1))"),"")</f>
        <v/>
      </c>
      <c r="EF437" s="30" t="e">
        <f ca="1">_xludf.ifs(AM437="", "", COUNTIF('Internal -- Trademark Countries'!B:B,AM437) &gt; 0, "polity_shortest_name", COUNTIF('Internal -- Trademark Countries'!C:C,AM437) &gt; 0, "polity_full_name", COUNTIF('Internal -- Trademark Countries'!D:D,AM437) &gt; 0, "polity_common_name", COUNTIF('Internal -- Trademark Countries'!E:E,AM437) &gt; 0, "shortest_name", COUNTIF('Internal -- Trademark Countries'!A:A,AM437) &gt; 0, "full_name", TRUE, "not a match")</f>
        <v>#NAME?</v>
      </c>
      <c r="EG437" s="30"/>
      <c r="EH437" s="30"/>
      <c r="EI437" s="30"/>
      <c r="EJ437" s="30"/>
      <c r="EK437" s="30" t="str">
        <f t="shared" si="3"/>
        <v/>
      </c>
    </row>
    <row r="438" spans="1:141" ht="16.5">
      <c r="A438" s="11"/>
      <c r="B438" s="11"/>
      <c r="C438" s="11"/>
      <c r="D438" s="11"/>
      <c r="E438" s="11"/>
      <c r="F438" s="11"/>
      <c r="G438" s="11"/>
      <c r="H438" s="11"/>
      <c r="I438" s="11"/>
      <c r="J438" s="11"/>
      <c r="K438" s="27"/>
      <c r="L438" s="11"/>
      <c r="M438" s="11"/>
      <c r="N438" s="11"/>
      <c r="O438" s="11"/>
      <c r="P438" s="15"/>
      <c r="Q438" s="15"/>
      <c r="R438" s="15"/>
      <c r="S438" s="15"/>
      <c r="T438" s="15"/>
      <c r="U438" s="15"/>
      <c r="V438" s="15"/>
      <c r="W438" s="47"/>
      <c r="X438" s="11"/>
      <c r="Y438" s="48"/>
      <c r="Z438" s="11"/>
      <c r="AA438" s="48"/>
      <c r="AB438" s="11"/>
      <c r="AC438" s="48"/>
      <c r="AD438" s="11"/>
      <c r="AE438" s="47"/>
      <c r="AF438" s="11"/>
      <c r="AG438" s="48"/>
      <c r="AH438" s="11"/>
      <c r="AI438" s="48"/>
      <c r="AJ438" s="11"/>
      <c r="AK438" s="48"/>
      <c r="AL438" s="11"/>
      <c r="AM438" s="49"/>
      <c r="AN438" s="49"/>
      <c r="AO438" s="11"/>
      <c r="AP438" s="11"/>
      <c r="AQ438" s="28" t="b">
        <f>IF(COUNTIF(SmartStatus!A$2:A1000, AM438) &gt; 2, TRUE, FALSE)</f>
        <v>0</v>
      </c>
      <c r="AR438" s="29" t="str">
        <f ca="1">IFERROR(__xludf.DUMMYFUNCTION("iferror(if(regexmatch(AO438, ""(?i)^registered""), if(EE438 &lt;&gt; ""polity_shortest_name"", ""CHECK_POLITY"", index(filter(SmartStatus!B$2:B1000, AM438 = SmartStatus!A$2:A1000, not(SmartStatus!C$2:C1000), (isblank(SmartStatus!D$2:D1000)) + ((P438 &lt;&gt; """") * "&amp;"(P438 &lt; SmartStatus!D$2:D1000)), (isblank(SmartStatus!E$2:E1000)) + ((P438 &lt;&gt; """") * (P438 &gt;= SmartStatus!E$2:E1000)), (isblank(SmartStatus!F$2:F1000)) + (((Q438 &lt;&gt; """") * (Q438 &lt; SmartStatus!F$2:F1000)) + ((P438 &lt;&gt; """") * (date(year(P438) + 3, month(P"&amp;"438), day(P438)) &lt; SmartStatus!F$2:F1000))), (isblank(SmartStatus!G$2:G1000)) + (((Q438 &lt;&gt; """") * (Q438 &gt;= SmartStatus!G$2:G1000)) + ((P438 &lt;&gt; """") * (P438 &gt;= SmartStatus!G$2:G1000)))), if(or(regexmatch(B438, ""(?i)^ir [a-z]+ designation$""), N438 &lt;&gt; """&amp;"""), 1, 2))), """"), ""NO_MATCH"")"),"")</f>
        <v/>
      </c>
      <c r="AS438" s="11"/>
      <c r="AT438" s="15"/>
      <c r="AU438" s="11"/>
      <c r="AV438" s="11"/>
      <c r="AW438" s="15"/>
      <c r="AX438" s="15"/>
      <c r="AY438" s="15"/>
      <c r="AZ438" s="11"/>
      <c r="BA438" s="15"/>
      <c r="BB438" s="11"/>
      <c r="BC438" s="11"/>
      <c r="BD438" s="15"/>
      <c r="BE438" s="11"/>
      <c r="BF438" s="11"/>
      <c r="BG438" s="15"/>
      <c r="BH438" s="15"/>
      <c r="BI438" s="15"/>
      <c r="BJ438" s="11"/>
      <c r="BK438" s="15"/>
      <c r="BL438" s="11"/>
      <c r="BM438" s="11"/>
      <c r="BN438" s="15"/>
      <c r="BO438" s="11"/>
      <c r="BP438" s="11"/>
      <c r="BQ438" s="15"/>
      <c r="BR438" s="15"/>
      <c r="BS438" s="15"/>
      <c r="BT438" s="11"/>
      <c r="BU438" s="15"/>
      <c r="BV438" s="11"/>
      <c r="BW438" s="11"/>
      <c r="BX438" s="15"/>
      <c r="BY438" s="11"/>
      <c r="BZ438" s="11"/>
      <c r="CA438" s="15"/>
      <c r="CB438" s="11"/>
      <c r="CC438" s="15"/>
      <c r="CD438" s="11"/>
      <c r="CE438" s="15"/>
      <c r="CF438" s="11"/>
      <c r="CG438" s="11"/>
      <c r="CH438" s="15"/>
      <c r="CI438" s="11"/>
      <c r="CJ438" s="11"/>
      <c r="CK438" s="15"/>
      <c r="CL438" s="11"/>
      <c r="CM438" s="11"/>
      <c r="CN438" s="11"/>
      <c r="CO438" s="11"/>
      <c r="CP438" s="28"/>
      <c r="CQ438" s="28"/>
      <c r="CR438" s="11"/>
      <c r="CS438" s="29"/>
      <c r="CT438" s="11"/>
      <c r="CU438" s="11"/>
      <c r="CV438" s="11"/>
      <c r="CW438" s="11"/>
      <c r="CX438" s="11"/>
      <c r="CY438" s="11"/>
      <c r="CZ438" s="11"/>
      <c r="DA438" s="28"/>
      <c r="DB438" s="28"/>
      <c r="DC438" s="11"/>
      <c r="DD438" s="29"/>
      <c r="DE438" s="11"/>
      <c r="DF438" s="11"/>
      <c r="DG438" s="11"/>
      <c r="DH438" s="11"/>
      <c r="DI438" s="11"/>
      <c r="DJ438" s="11"/>
      <c r="DK438" s="26"/>
      <c r="DL438" s="11"/>
      <c r="DM438" s="29"/>
      <c r="DN438" s="28"/>
      <c r="DO438" s="11"/>
      <c r="DP438" s="11"/>
      <c r="DQ438" s="11"/>
      <c r="DR438" s="29"/>
      <c r="DS438" s="28"/>
      <c r="DT438" s="11"/>
      <c r="DU438" s="26"/>
      <c r="DV438" s="11"/>
      <c r="DW438" s="29"/>
      <c r="DX438" s="28"/>
      <c r="DY438" s="11"/>
      <c r="DZ438" s="26"/>
      <c r="EA438" s="11"/>
      <c r="EB438" s="29"/>
      <c r="EC438" s="28"/>
      <c r="ED438" s="30"/>
      <c r="EE438" s="30" t="str">
        <f ca="1">IFERROR(__xludf.DUMMYFUNCTION("iferror(index(filter('Internal -- Trademark Countries'!E$2:E1000, (AM438 = 'Internal -- Trademark Countries'!B$2:B1000) + (AM438 = 'Internal -- Trademark Countries'!C$2:C1000) + (AM438 = 'Internal -- Trademark Countries'!D$2:D1000)), 1))"),"")</f>
        <v/>
      </c>
      <c r="EF438" s="30" t="e">
        <f ca="1">_xludf.ifs(AM438="", "", COUNTIF('Internal -- Trademark Countries'!B:B,AM438) &gt; 0, "polity_shortest_name", COUNTIF('Internal -- Trademark Countries'!C:C,AM438) &gt; 0, "polity_full_name", COUNTIF('Internal -- Trademark Countries'!D:D,AM438) &gt; 0, "polity_common_name", COUNTIF('Internal -- Trademark Countries'!E:E,AM438) &gt; 0, "shortest_name", COUNTIF('Internal -- Trademark Countries'!A:A,AM438) &gt; 0, "full_name", TRUE, "not a match")</f>
        <v>#NAME?</v>
      </c>
      <c r="EG438" s="30"/>
      <c r="EH438" s="30"/>
      <c r="EI438" s="30"/>
      <c r="EJ438" s="30"/>
      <c r="EK438" s="30" t="str">
        <f t="shared" si="3"/>
        <v/>
      </c>
    </row>
    <row r="439" spans="1:141" ht="16.5">
      <c r="A439" s="11"/>
      <c r="B439" s="11"/>
      <c r="C439" s="11"/>
      <c r="D439" s="11"/>
      <c r="E439" s="11"/>
      <c r="F439" s="11"/>
      <c r="G439" s="11"/>
      <c r="H439" s="11"/>
      <c r="I439" s="11"/>
      <c r="J439" s="11"/>
      <c r="K439" s="27"/>
      <c r="L439" s="11"/>
      <c r="M439" s="11"/>
      <c r="N439" s="11"/>
      <c r="O439" s="11"/>
      <c r="P439" s="15"/>
      <c r="Q439" s="15"/>
      <c r="R439" s="15"/>
      <c r="S439" s="15"/>
      <c r="T439" s="15"/>
      <c r="U439" s="15"/>
      <c r="V439" s="15"/>
      <c r="W439" s="47"/>
      <c r="X439" s="11"/>
      <c r="Y439" s="48"/>
      <c r="Z439" s="11"/>
      <c r="AA439" s="48"/>
      <c r="AB439" s="11"/>
      <c r="AC439" s="48"/>
      <c r="AD439" s="11"/>
      <c r="AE439" s="47"/>
      <c r="AF439" s="11"/>
      <c r="AG439" s="48"/>
      <c r="AH439" s="11"/>
      <c r="AI439" s="48"/>
      <c r="AJ439" s="11"/>
      <c r="AK439" s="48"/>
      <c r="AL439" s="11"/>
      <c r="AM439" s="49"/>
      <c r="AN439" s="49"/>
      <c r="AO439" s="11"/>
      <c r="AP439" s="11"/>
      <c r="AQ439" s="28" t="b">
        <f>IF(COUNTIF(SmartStatus!A$2:A1000, AM439) &gt; 2, TRUE, FALSE)</f>
        <v>0</v>
      </c>
      <c r="AR439" s="29" t="str">
        <f ca="1">IFERROR(__xludf.DUMMYFUNCTION("iferror(if(regexmatch(AO439, ""(?i)^registered""), if(EE439 &lt;&gt; ""polity_shortest_name"", ""CHECK_POLITY"", index(filter(SmartStatus!B$2:B1000, AM439 = SmartStatus!A$2:A1000, not(SmartStatus!C$2:C1000), (isblank(SmartStatus!D$2:D1000)) + ((P439 &lt;&gt; """") * "&amp;"(P439 &lt; SmartStatus!D$2:D1000)), (isblank(SmartStatus!E$2:E1000)) + ((P439 &lt;&gt; """") * (P439 &gt;= SmartStatus!E$2:E1000)), (isblank(SmartStatus!F$2:F1000)) + (((Q439 &lt;&gt; """") * (Q439 &lt; SmartStatus!F$2:F1000)) + ((P439 &lt;&gt; """") * (date(year(P439) + 3, month(P"&amp;"439), day(P439)) &lt; SmartStatus!F$2:F1000))), (isblank(SmartStatus!G$2:G1000)) + (((Q439 &lt;&gt; """") * (Q439 &gt;= SmartStatus!G$2:G1000)) + ((P439 &lt;&gt; """") * (P439 &gt;= SmartStatus!G$2:G1000)))), if(or(regexmatch(B439, ""(?i)^ir [a-z]+ designation$""), N439 &lt;&gt; """&amp;"""), 1, 2))), """"), ""NO_MATCH"")"),"")</f>
        <v/>
      </c>
      <c r="AS439" s="11"/>
      <c r="AT439" s="15"/>
      <c r="AU439" s="11"/>
      <c r="AV439" s="11"/>
      <c r="AW439" s="15"/>
      <c r="AX439" s="15"/>
      <c r="AY439" s="15"/>
      <c r="AZ439" s="11"/>
      <c r="BA439" s="15"/>
      <c r="BB439" s="11"/>
      <c r="BC439" s="11"/>
      <c r="BD439" s="15"/>
      <c r="BE439" s="11"/>
      <c r="BF439" s="11"/>
      <c r="BG439" s="15"/>
      <c r="BH439" s="15"/>
      <c r="BI439" s="15"/>
      <c r="BJ439" s="11"/>
      <c r="BK439" s="15"/>
      <c r="BL439" s="11"/>
      <c r="BM439" s="11"/>
      <c r="BN439" s="15"/>
      <c r="BO439" s="11"/>
      <c r="BP439" s="11"/>
      <c r="BQ439" s="15"/>
      <c r="BR439" s="15"/>
      <c r="BS439" s="15"/>
      <c r="BT439" s="11"/>
      <c r="BU439" s="15"/>
      <c r="BV439" s="11"/>
      <c r="BW439" s="11"/>
      <c r="BX439" s="15"/>
      <c r="BY439" s="11"/>
      <c r="BZ439" s="11"/>
      <c r="CA439" s="15"/>
      <c r="CB439" s="11"/>
      <c r="CC439" s="15"/>
      <c r="CD439" s="11"/>
      <c r="CE439" s="15"/>
      <c r="CF439" s="11"/>
      <c r="CG439" s="11"/>
      <c r="CH439" s="15"/>
      <c r="CI439" s="11"/>
      <c r="CJ439" s="11"/>
      <c r="CK439" s="15"/>
      <c r="CL439" s="11"/>
      <c r="CM439" s="11"/>
      <c r="CN439" s="11"/>
      <c r="CO439" s="11"/>
      <c r="CP439" s="28"/>
      <c r="CQ439" s="28"/>
      <c r="CR439" s="11"/>
      <c r="CS439" s="29"/>
      <c r="CT439" s="11"/>
      <c r="CU439" s="11"/>
      <c r="CV439" s="11"/>
      <c r="CW439" s="11"/>
      <c r="CX439" s="11"/>
      <c r="CY439" s="11"/>
      <c r="CZ439" s="11"/>
      <c r="DA439" s="28"/>
      <c r="DB439" s="28"/>
      <c r="DC439" s="11"/>
      <c r="DD439" s="29"/>
      <c r="DE439" s="11"/>
      <c r="DF439" s="11"/>
      <c r="DG439" s="11"/>
      <c r="DH439" s="11"/>
      <c r="DI439" s="11"/>
      <c r="DJ439" s="11"/>
      <c r="DK439" s="26"/>
      <c r="DL439" s="11"/>
      <c r="DM439" s="29"/>
      <c r="DN439" s="28"/>
      <c r="DO439" s="11"/>
      <c r="DP439" s="11"/>
      <c r="DQ439" s="11"/>
      <c r="DR439" s="29"/>
      <c r="DS439" s="28"/>
      <c r="DT439" s="11"/>
      <c r="DU439" s="26"/>
      <c r="DV439" s="11"/>
      <c r="DW439" s="29"/>
      <c r="DX439" s="28"/>
      <c r="DY439" s="11"/>
      <c r="DZ439" s="26"/>
      <c r="EA439" s="11"/>
      <c r="EB439" s="29"/>
      <c r="EC439" s="28"/>
      <c r="ED439" s="30"/>
      <c r="EE439" s="30" t="str">
        <f ca="1">IFERROR(__xludf.DUMMYFUNCTION("iferror(index(filter('Internal -- Trademark Countries'!E$2:E1000, (AM439 = 'Internal -- Trademark Countries'!B$2:B1000) + (AM439 = 'Internal -- Trademark Countries'!C$2:C1000) + (AM439 = 'Internal -- Trademark Countries'!D$2:D1000)), 1))"),"")</f>
        <v/>
      </c>
      <c r="EF439" s="30" t="e">
        <f ca="1">_xludf.ifs(AM439="", "", COUNTIF('Internal -- Trademark Countries'!B:B,AM439) &gt; 0, "polity_shortest_name", COUNTIF('Internal -- Trademark Countries'!C:C,AM439) &gt; 0, "polity_full_name", COUNTIF('Internal -- Trademark Countries'!D:D,AM439) &gt; 0, "polity_common_name", COUNTIF('Internal -- Trademark Countries'!E:E,AM439) &gt; 0, "shortest_name", COUNTIF('Internal -- Trademark Countries'!A:A,AM439) &gt; 0, "full_name", TRUE, "not a match")</f>
        <v>#NAME?</v>
      </c>
      <c r="EG439" s="30"/>
      <c r="EH439" s="30"/>
      <c r="EI439" s="30"/>
      <c r="EJ439" s="30"/>
      <c r="EK439" s="30" t="str">
        <f t="shared" si="3"/>
        <v/>
      </c>
    </row>
    <row r="440" spans="1:141" ht="16.5">
      <c r="A440" s="11"/>
      <c r="B440" s="11"/>
      <c r="C440" s="11"/>
      <c r="D440" s="11"/>
      <c r="E440" s="11"/>
      <c r="F440" s="11"/>
      <c r="G440" s="11"/>
      <c r="H440" s="11"/>
      <c r="I440" s="11"/>
      <c r="J440" s="11"/>
      <c r="K440" s="27"/>
      <c r="L440" s="11"/>
      <c r="M440" s="11"/>
      <c r="N440" s="11"/>
      <c r="O440" s="11"/>
      <c r="P440" s="15"/>
      <c r="Q440" s="15"/>
      <c r="R440" s="15"/>
      <c r="S440" s="15"/>
      <c r="T440" s="15"/>
      <c r="U440" s="15"/>
      <c r="V440" s="15"/>
      <c r="W440" s="47"/>
      <c r="X440" s="11"/>
      <c r="Y440" s="48"/>
      <c r="Z440" s="11"/>
      <c r="AA440" s="48"/>
      <c r="AB440" s="11"/>
      <c r="AC440" s="48"/>
      <c r="AD440" s="11"/>
      <c r="AE440" s="47"/>
      <c r="AF440" s="11"/>
      <c r="AG440" s="48"/>
      <c r="AH440" s="11"/>
      <c r="AI440" s="48"/>
      <c r="AJ440" s="11"/>
      <c r="AK440" s="48"/>
      <c r="AL440" s="11"/>
      <c r="AM440" s="49"/>
      <c r="AN440" s="49"/>
      <c r="AO440" s="11"/>
      <c r="AP440" s="11"/>
      <c r="AQ440" s="28" t="b">
        <f>IF(COUNTIF(SmartStatus!A$2:A1000, AM440) &gt; 2, TRUE, FALSE)</f>
        <v>0</v>
      </c>
      <c r="AR440" s="29" t="str">
        <f ca="1">IFERROR(__xludf.DUMMYFUNCTION("iferror(if(regexmatch(AO440, ""(?i)^registered""), if(EE440 &lt;&gt; ""polity_shortest_name"", ""CHECK_POLITY"", index(filter(SmartStatus!B$2:B1000, AM440 = SmartStatus!A$2:A1000, not(SmartStatus!C$2:C1000), (isblank(SmartStatus!D$2:D1000)) + ((P440 &lt;&gt; """") * "&amp;"(P440 &lt; SmartStatus!D$2:D1000)), (isblank(SmartStatus!E$2:E1000)) + ((P440 &lt;&gt; """") * (P440 &gt;= SmartStatus!E$2:E1000)), (isblank(SmartStatus!F$2:F1000)) + (((Q440 &lt;&gt; """") * (Q440 &lt; SmartStatus!F$2:F1000)) + ((P440 &lt;&gt; """") * (date(year(P440) + 3, month(P"&amp;"440), day(P440)) &lt; SmartStatus!F$2:F1000))), (isblank(SmartStatus!G$2:G1000)) + (((Q440 &lt;&gt; """") * (Q440 &gt;= SmartStatus!G$2:G1000)) + ((P440 &lt;&gt; """") * (P440 &gt;= SmartStatus!G$2:G1000)))), if(or(regexmatch(B440, ""(?i)^ir [a-z]+ designation$""), N440 &lt;&gt; """&amp;"""), 1, 2))), """"), ""NO_MATCH"")"),"")</f>
        <v/>
      </c>
      <c r="AS440" s="11"/>
      <c r="AT440" s="15"/>
      <c r="AU440" s="11"/>
      <c r="AV440" s="11"/>
      <c r="AW440" s="15"/>
      <c r="AX440" s="15"/>
      <c r="AY440" s="15"/>
      <c r="AZ440" s="11"/>
      <c r="BA440" s="15"/>
      <c r="BB440" s="11"/>
      <c r="BC440" s="11"/>
      <c r="BD440" s="15"/>
      <c r="BE440" s="11"/>
      <c r="BF440" s="11"/>
      <c r="BG440" s="15"/>
      <c r="BH440" s="15"/>
      <c r="BI440" s="15"/>
      <c r="BJ440" s="11"/>
      <c r="BK440" s="15"/>
      <c r="BL440" s="11"/>
      <c r="BM440" s="11"/>
      <c r="BN440" s="15"/>
      <c r="BO440" s="11"/>
      <c r="BP440" s="11"/>
      <c r="BQ440" s="15"/>
      <c r="BR440" s="15"/>
      <c r="BS440" s="15"/>
      <c r="BT440" s="11"/>
      <c r="BU440" s="15"/>
      <c r="BV440" s="11"/>
      <c r="BW440" s="11"/>
      <c r="BX440" s="15"/>
      <c r="BY440" s="11"/>
      <c r="BZ440" s="11"/>
      <c r="CA440" s="15"/>
      <c r="CB440" s="11"/>
      <c r="CC440" s="15"/>
      <c r="CD440" s="11"/>
      <c r="CE440" s="15"/>
      <c r="CF440" s="11"/>
      <c r="CG440" s="11"/>
      <c r="CH440" s="15"/>
      <c r="CI440" s="11"/>
      <c r="CJ440" s="11"/>
      <c r="CK440" s="15"/>
      <c r="CL440" s="11"/>
      <c r="CM440" s="11"/>
      <c r="CN440" s="11"/>
      <c r="CO440" s="11"/>
      <c r="CP440" s="28"/>
      <c r="CQ440" s="28"/>
      <c r="CR440" s="11"/>
      <c r="CS440" s="29"/>
      <c r="CT440" s="11"/>
      <c r="CU440" s="11"/>
      <c r="CV440" s="11"/>
      <c r="CW440" s="11"/>
      <c r="CX440" s="11"/>
      <c r="CY440" s="11"/>
      <c r="CZ440" s="11"/>
      <c r="DA440" s="28"/>
      <c r="DB440" s="28"/>
      <c r="DC440" s="11"/>
      <c r="DD440" s="29"/>
      <c r="DE440" s="11"/>
      <c r="DF440" s="11"/>
      <c r="DG440" s="11"/>
      <c r="DH440" s="11"/>
      <c r="DI440" s="11"/>
      <c r="DJ440" s="11"/>
      <c r="DK440" s="26"/>
      <c r="DL440" s="11"/>
      <c r="DM440" s="29"/>
      <c r="DN440" s="28"/>
      <c r="DO440" s="11"/>
      <c r="DP440" s="11"/>
      <c r="DQ440" s="11"/>
      <c r="DR440" s="29"/>
      <c r="DS440" s="28"/>
      <c r="DT440" s="11"/>
      <c r="DU440" s="26"/>
      <c r="DV440" s="11"/>
      <c r="DW440" s="29"/>
      <c r="DX440" s="28"/>
      <c r="DY440" s="11"/>
      <c r="DZ440" s="26"/>
      <c r="EA440" s="11"/>
      <c r="EB440" s="29"/>
      <c r="EC440" s="28"/>
      <c r="ED440" s="30"/>
      <c r="EE440" s="30" t="str">
        <f ca="1">IFERROR(__xludf.DUMMYFUNCTION("iferror(index(filter('Internal -- Trademark Countries'!E$2:E1000, (AM440 = 'Internal -- Trademark Countries'!B$2:B1000) + (AM440 = 'Internal -- Trademark Countries'!C$2:C1000) + (AM440 = 'Internal -- Trademark Countries'!D$2:D1000)), 1))"),"")</f>
        <v/>
      </c>
      <c r="EF440" s="30" t="e">
        <f ca="1">_xludf.ifs(AM440="", "", COUNTIF('Internal -- Trademark Countries'!B:B,AM440) &gt; 0, "polity_shortest_name", COUNTIF('Internal -- Trademark Countries'!C:C,AM440) &gt; 0, "polity_full_name", COUNTIF('Internal -- Trademark Countries'!D:D,AM440) &gt; 0, "polity_common_name", COUNTIF('Internal -- Trademark Countries'!E:E,AM440) &gt; 0, "shortest_name", COUNTIF('Internal -- Trademark Countries'!A:A,AM440) &gt; 0, "full_name", TRUE, "not a match")</f>
        <v>#NAME?</v>
      </c>
      <c r="EG440" s="30"/>
      <c r="EH440" s="30"/>
      <c r="EI440" s="30"/>
      <c r="EJ440" s="30"/>
      <c r="EK440" s="30" t="str">
        <f t="shared" si="3"/>
        <v/>
      </c>
    </row>
    <row r="441" spans="1:141" ht="16.5">
      <c r="A441" s="11"/>
      <c r="B441" s="11"/>
      <c r="C441" s="11"/>
      <c r="D441" s="11"/>
      <c r="E441" s="11"/>
      <c r="F441" s="11"/>
      <c r="G441" s="11"/>
      <c r="H441" s="11"/>
      <c r="I441" s="11"/>
      <c r="J441" s="11"/>
      <c r="K441" s="27"/>
      <c r="L441" s="11"/>
      <c r="M441" s="11"/>
      <c r="N441" s="11"/>
      <c r="O441" s="11"/>
      <c r="P441" s="15"/>
      <c r="Q441" s="15"/>
      <c r="R441" s="15"/>
      <c r="S441" s="15"/>
      <c r="T441" s="15"/>
      <c r="U441" s="15"/>
      <c r="V441" s="15"/>
      <c r="W441" s="47"/>
      <c r="X441" s="11"/>
      <c r="Y441" s="48"/>
      <c r="Z441" s="11"/>
      <c r="AA441" s="48"/>
      <c r="AB441" s="11"/>
      <c r="AC441" s="48"/>
      <c r="AD441" s="11"/>
      <c r="AE441" s="47"/>
      <c r="AF441" s="11"/>
      <c r="AG441" s="48"/>
      <c r="AH441" s="11"/>
      <c r="AI441" s="48"/>
      <c r="AJ441" s="11"/>
      <c r="AK441" s="48"/>
      <c r="AL441" s="11"/>
      <c r="AM441" s="49"/>
      <c r="AN441" s="49"/>
      <c r="AO441" s="11"/>
      <c r="AP441" s="11"/>
      <c r="AQ441" s="28" t="b">
        <f>IF(COUNTIF(SmartStatus!A$2:A1000, AM441) &gt; 2, TRUE, FALSE)</f>
        <v>0</v>
      </c>
      <c r="AR441" s="29" t="str">
        <f ca="1">IFERROR(__xludf.DUMMYFUNCTION("iferror(if(regexmatch(AO441, ""(?i)^registered""), if(EE441 &lt;&gt; ""polity_shortest_name"", ""CHECK_POLITY"", index(filter(SmartStatus!B$2:B1000, AM441 = SmartStatus!A$2:A1000, not(SmartStatus!C$2:C1000), (isblank(SmartStatus!D$2:D1000)) + ((P441 &lt;&gt; """") * "&amp;"(P441 &lt; SmartStatus!D$2:D1000)), (isblank(SmartStatus!E$2:E1000)) + ((P441 &lt;&gt; """") * (P441 &gt;= SmartStatus!E$2:E1000)), (isblank(SmartStatus!F$2:F1000)) + (((Q441 &lt;&gt; """") * (Q441 &lt; SmartStatus!F$2:F1000)) + ((P441 &lt;&gt; """") * (date(year(P441) + 3, month(P"&amp;"441), day(P441)) &lt; SmartStatus!F$2:F1000))), (isblank(SmartStatus!G$2:G1000)) + (((Q441 &lt;&gt; """") * (Q441 &gt;= SmartStatus!G$2:G1000)) + ((P441 &lt;&gt; """") * (P441 &gt;= SmartStatus!G$2:G1000)))), if(or(regexmatch(B441, ""(?i)^ir [a-z]+ designation$""), N441 &lt;&gt; """&amp;"""), 1, 2))), """"), ""NO_MATCH"")"),"")</f>
        <v/>
      </c>
      <c r="AS441" s="11"/>
      <c r="AT441" s="15"/>
      <c r="AU441" s="11"/>
      <c r="AV441" s="11"/>
      <c r="AW441" s="15"/>
      <c r="AX441" s="15"/>
      <c r="AY441" s="15"/>
      <c r="AZ441" s="11"/>
      <c r="BA441" s="15"/>
      <c r="BB441" s="11"/>
      <c r="BC441" s="11"/>
      <c r="BD441" s="15"/>
      <c r="BE441" s="11"/>
      <c r="BF441" s="11"/>
      <c r="BG441" s="15"/>
      <c r="BH441" s="15"/>
      <c r="BI441" s="15"/>
      <c r="BJ441" s="11"/>
      <c r="BK441" s="15"/>
      <c r="BL441" s="11"/>
      <c r="BM441" s="11"/>
      <c r="BN441" s="15"/>
      <c r="BO441" s="11"/>
      <c r="BP441" s="11"/>
      <c r="BQ441" s="15"/>
      <c r="BR441" s="15"/>
      <c r="BS441" s="15"/>
      <c r="BT441" s="11"/>
      <c r="BU441" s="15"/>
      <c r="BV441" s="11"/>
      <c r="BW441" s="11"/>
      <c r="BX441" s="15"/>
      <c r="BY441" s="11"/>
      <c r="BZ441" s="11"/>
      <c r="CA441" s="15"/>
      <c r="CB441" s="11"/>
      <c r="CC441" s="15"/>
      <c r="CD441" s="11"/>
      <c r="CE441" s="15"/>
      <c r="CF441" s="11"/>
      <c r="CG441" s="11"/>
      <c r="CH441" s="15"/>
      <c r="CI441" s="11"/>
      <c r="CJ441" s="11"/>
      <c r="CK441" s="15"/>
      <c r="CL441" s="11"/>
      <c r="CM441" s="11"/>
      <c r="CN441" s="11"/>
      <c r="CO441" s="11"/>
      <c r="CP441" s="28"/>
      <c r="CQ441" s="28"/>
      <c r="CR441" s="11"/>
      <c r="CS441" s="29"/>
      <c r="CT441" s="11"/>
      <c r="CU441" s="11"/>
      <c r="CV441" s="11"/>
      <c r="CW441" s="11"/>
      <c r="CX441" s="11"/>
      <c r="CY441" s="11"/>
      <c r="CZ441" s="11"/>
      <c r="DA441" s="28"/>
      <c r="DB441" s="28"/>
      <c r="DC441" s="11"/>
      <c r="DD441" s="29"/>
      <c r="DE441" s="11"/>
      <c r="DF441" s="11"/>
      <c r="DG441" s="11"/>
      <c r="DH441" s="11"/>
      <c r="DI441" s="11"/>
      <c r="DJ441" s="11"/>
      <c r="DK441" s="26"/>
      <c r="DL441" s="11"/>
      <c r="DM441" s="29"/>
      <c r="DN441" s="28"/>
      <c r="DO441" s="11"/>
      <c r="DP441" s="11"/>
      <c r="DQ441" s="11"/>
      <c r="DR441" s="29"/>
      <c r="DS441" s="28"/>
      <c r="DT441" s="11"/>
      <c r="DU441" s="26"/>
      <c r="DV441" s="11"/>
      <c r="DW441" s="29"/>
      <c r="DX441" s="28"/>
      <c r="DY441" s="11"/>
      <c r="DZ441" s="26"/>
      <c r="EA441" s="11"/>
      <c r="EB441" s="29"/>
      <c r="EC441" s="28"/>
      <c r="ED441" s="30"/>
      <c r="EE441" s="30" t="str">
        <f ca="1">IFERROR(__xludf.DUMMYFUNCTION("iferror(index(filter('Internal -- Trademark Countries'!E$2:E1000, (AM441 = 'Internal -- Trademark Countries'!B$2:B1000) + (AM441 = 'Internal -- Trademark Countries'!C$2:C1000) + (AM441 = 'Internal -- Trademark Countries'!D$2:D1000)), 1))"),"")</f>
        <v/>
      </c>
      <c r="EF441" s="30" t="e">
        <f ca="1">_xludf.ifs(AM441="", "", COUNTIF('Internal -- Trademark Countries'!B:B,AM441) &gt; 0, "polity_shortest_name", COUNTIF('Internal -- Trademark Countries'!C:C,AM441) &gt; 0, "polity_full_name", COUNTIF('Internal -- Trademark Countries'!D:D,AM441) &gt; 0, "polity_common_name", COUNTIF('Internal -- Trademark Countries'!E:E,AM441) &gt; 0, "shortest_name", COUNTIF('Internal -- Trademark Countries'!A:A,AM441) &gt; 0, "full_name", TRUE, "not a match")</f>
        <v>#NAME?</v>
      </c>
      <c r="EG441" s="30"/>
      <c r="EH441" s="30"/>
      <c r="EI441" s="30"/>
      <c r="EJ441" s="30"/>
      <c r="EK441" s="30" t="str">
        <f t="shared" si="3"/>
        <v/>
      </c>
    </row>
    <row r="442" spans="1:141" ht="16.5">
      <c r="A442" s="11"/>
      <c r="B442" s="11"/>
      <c r="C442" s="11"/>
      <c r="D442" s="11"/>
      <c r="E442" s="11"/>
      <c r="F442" s="11"/>
      <c r="G442" s="11"/>
      <c r="H442" s="11"/>
      <c r="I442" s="11"/>
      <c r="J442" s="11"/>
      <c r="K442" s="27"/>
      <c r="L442" s="11"/>
      <c r="M442" s="11"/>
      <c r="N442" s="11"/>
      <c r="O442" s="11"/>
      <c r="P442" s="15"/>
      <c r="Q442" s="15"/>
      <c r="R442" s="15"/>
      <c r="S442" s="15"/>
      <c r="T442" s="15"/>
      <c r="U442" s="15"/>
      <c r="V442" s="15"/>
      <c r="W442" s="47"/>
      <c r="X442" s="11"/>
      <c r="Y442" s="48"/>
      <c r="Z442" s="11"/>
      <c r="AA442" s="48"/>
      <c r="AB442" s="11"/>
      <c r="AC442" s="48"/>
      <c r="AD442" s="11"/>
      <c r="AE442" s="47"/>
      <c r="AF442" s="11"/>
      <c r="AG442" s="48"/>
      <c r="AH442" s="11"/>
      <c r="AI442" s="48"/>
      <c r="AJ442" s="11"/>
      <c r="AK442" s="48"/>
      <c r="AL442" s="11"/>
      <c r="AM442" s="49"/>
      <c r="AN442" s="49"/>
      <c r="AO442" s="11"/>
      <c r="AP442" s="11"/>
      <c r="AQ442" s="28" t="b">
        <f>IF(COUNTIF(SmartStatus!A$2:A1000, AM442) &gt; 2, TRUE, FALSE)</f>
        <v>0</v>
      </c>
      <c r="AR442" s="29" t="str">
        <f ca="1">IFERROR(__xludf.DUMMYFUNCTION("iferror(if(regexmatch(AO442, ""(?i)^registered""), if(EE442 &lt;&gt; ""polity_shortest_name"", ""CHECK_POLITY"", index(filter(SmartStatus!B$2:B1000, AM442 = SmartStatus!A$2:A1000, not(SmartStatus!C$2:C1000), (isblank(SmartStatus!D$2:D1000)) + ((P442 &lt;&gt; """") * "&amp;"(P442 &lt; SmartStatus!D$2:D1000)), (isblank(SmartStatus!E$2:E1000)) + ((P442 &lt;&gt; """") * (P442 &gt;= SmartStatus!E$2:E1000)), (isblank(SmartStatus!F$2:F1000)) + (((Q442 &lt;&gt; """") * (Q442 &lt; SmartStatus!F$2:F1000)) + ((P442 &lt;&gt; """") * (date(year(P442) + 3, month(P"&amp;"442), day(P442)) &lt; SmartStatus!F$2:F1000))), (isblank(SmartStatus!G$2:G1000)) + (((Q442 &lt;&gt; """") * (Q442 &gt;= SmartStatus!G$2:G1000)) + ((P442 &lt;&gt; """") * (P442 &gt;= SmartStatus!G$2:G1000)))), if(or(regexmatch(B442, ""(?i)^ir [a-z]+ designation$""), N442 &lt;&gt; """&amp;"""), 1, 2))), """"), ""NO_MATCH"")"),"")</f>
        <v/>
      </c>
      <c r="AS442" s="11"/>
      <c r="AT442" s="15"/>
      <c r="AU442" s="11"/>
      <c r="AV442" s="11"/>
      <c r="AW442" s="15"/>
      <c r="AX442" s="15"/>
      <c r="AY442" s="15"/>
      <c r="AZ442" s="11"/>
      <c r="BA442" s="15"/>
      <c r="BB442" s="11"/>
      <c r="BC442" s="11"/>
      <c r="BD442" s="15"/>
      <c r="BE442" s="11"/>
      <c r="BF442" s="11"/>
      <c r="BG442" s="15"/>
      <c r="BH442" s="15"/>
      <c r="BI442" s="15"/>
      <c r="BJ442" s="11"/>
      <c r="BK442" s="15"/>
      <c r="BL442" s="11"/>
      <c r="BM442" s="11"/>
      <c r="BN442" s="15"/>
      <c r="BO442" s="11"/>
      <c r="BP442" s="11"/>
      <c r="BQ442" s="15"/>
      <c r="BR442" s="15"/>
      <c r="BS442" s="15"/>
      <c r="BT442" s="11"/>
      <c r="BU442" s="15"/>
      <c r="BV442" s="11"/>
      <c r="BW442" s="11"/>
      <c r="BX442" s="15"/>
      <c r="BY442" s="11"/>
      <c r="BZ442" s="11"/>
      <c r="CA442" s="15"/>
      <c r="CB442" s="11"/>
      <c r="CC442" s="15"/>
      <c r="CD442" s="11"/>
      <c r="CE442" s="15"/>
      <c r="CF442" s="11"/>
      <c r="CG442" s="11"/>
      <c r="CH442" s="15"/>
      <c r="CI442" s="11"/>
      <c r="CJ442" s="11"/>
      <c r="CK442" s="15"/>
      <c r="CL442" s="11"/>
      <c r="CM442" s="11"/>
      <c r="CN442" s="11"/>
      <c r="CO442" s="11"/>
      <c r="CP442" s="28"/>
      <c r="CQ442" s="28"/>
      <c r="CR442" s="11"/>
      <c r="CS442" s="29"/>
      <c r="CT442" s="11"/>
      <c r="CU442" s="11"/>
      <c r="CV442" s="11"/>
      <c r="CW442" s="11"/>
      <c r="CX442" s="11"/>
      <c r="CY442" s="11"/>
      <c r="CZ442" s="11"/>
      <c r="DA442" s="28"/>
      <c r="DB442" s="28"/>
      <c r="DC442" s="11"/>
      <c r="DD442" s="29"/>
      <c r="DE442" s="11"/>
      <c r="DF442" s="11"/>
      <c r="DG442" s="11"/>
      <c r="DH442" s="11"/>
      <c r="DI442" s="11"/>
      <c r="DJ442" s="11"/>
      <c r="DK442" s="26"/>
      <c r="DL442" s="11"/>
      <c r="DM442" s="29"/>
      <c r="DN442" s="28"/>
      <c r="DO442" s="11"/>
      <c r="DP442" s="11"/>
      <c r="DQ442" s="11"/>
      <c r="DR442" s="29"/>
      <c r="DS442" s="28"/>
      <c r="DT442" s="11"/>
      <c r="DU442" s="26"/>
      <c r="DV442" s="11"/>
      <c r="DW442" s="29"/>
      <c r="DX442" s="28"/>
      <c r="DY442" s="11"/>
      <c r="DZ442" s="26"/>
      <c r="EA442" s="11"/>
      <c r="EB442" s="29"/>
      <c r="EC442" s="28"/>
      <c r="ED442" s="30"/>
      <c r="EE442" s="30" t="str">
        <f ca="1">IFERROR(__xludf.DUMMYFUNCTION("iferror(index(filter('Internal -- Trademark Countries'!E$2:E1000, (AM442 = 'Internal -- Trademark Countries'!B$2:B1000) + (AM442 = 'Internal -- Trademark Countries'!C$2:C1000) + (AM442 = 'Internal -- Trademark Countries'!D$2:D1000)), 1))"),"")</f>
        <v/>
      </c>
      <c r="EF442" s="30" t="e">
        <f ca="1">_xludf.ifs(AM442="", "", COUNTIF('Internal -- Trademark Countries'!B:B,AM442) &gt; 0, "polity_shortest_name", COUNTIF('Internal -- Trademark Countries'!C:C,AM442) &gt; 0, "polity_full_name", COUNTIF('Internal -- Trademark Countries'!D:D,AM442) &gt; 0, "polity_common_name", COUNTIF('Internal -- Trademark Countries'!E:E,AM442) &gt; 0, "shortest_name", COUNTIF('Internal -- Trademark Countries'!A:A,AM442) &gt; 0, "full_name", TRUE, "not a match")</f>
        <v>#NAME?</v>
      </c>
      <c r="EG442" s="30"/>
      <c r="EH442" s="30"/>
      <c r="EI442" s="30"/>
      <c r="EJ442" s="30"/>
      <c r="EK442" s="30" t="str">
        <f t="shared" si="3"/>
        <v/>
      </c>
    </row>
    <row r="443" spans="1:141" ht="16.5">
      <c r="A443" s="11"/>
      <c r="B443" s="11"/>
      <c r="C443" s="11"/>
      <c r="D443" s="11"/>
      <c r="E443" s="11"/>
      <c r="F443" s="11"/>
      <c r="G443" s="11"/>
      <c r="H443" s="11"/>
      <c r="I443" s="11"/>
      <c r="J443" s="11"/>
      <c r="K443" s="27"/>
      <c r="L443" s="11"/>
      <c r="M443" s="11"/>
      <c r="N443" s="11"/>
      <c r="O443" s="11"/>
      <c r="P443" s="15"/>
      <c r="Q443" s="15"/>
      <c r="R443" s="15"/>
      <c r="S443" s="15"/>
      <c r="T443" s="15"/>
      <c r="U443" s="15"/>
      <c r="V443" s="15"/>
      <c r="W443" s="47"/>
      <c r="X443" s="11"/>
      <c r="Y443" s="48"/>
      <c r="Z443" s="11"/>
      <c r="AA443" s="48"/>
      <c r="AB443" s="11"/>
      <c r="AC443" s="48"/>
      <c r="AD443" s="11"/>
      <c r="AE443" s="47"/>
      <c r="AF443" s="11"/>
      <c r="AG443" s="48"/>
      <c r="AH443" s="11"/>
      <c r="AI443" s="48"/>
      <c r="AJ443" s="11"/>
      <c r="AK443" s="48"/>
      <c r="AL443" s="11"/>
      <c r="AM443" s="49"/>
      <c r="AN443" s="49"/>
      <c r="AO443" s="11"/>
      <c r="AP443" s="11"/>
      <c r="AQ443" s="28" t="b">
        <f>IF(COUNTIF(SmartStatus!A$2:A1000, AM443) &gt; 2, TRUE, FALSE)</f>
        <v>0</v>
      </c>
      <c r="AR443" s="29" t="str">
        <f ca="1">IFERROR(__xludf.DUMMYFUNCTION("iferror(if(regexmatch(AO443, ""(?i)^registered""), if(EE443 &lt;&gt; ""polity_shortest_name"", ""CHECK_POLITY"", index(filter(SmartStatus!B$2:B1000, AM443 = SmartStatus!A$2:A1000, not(SmartStatus!C$2:C1000), (isblank(SmartStatus!D$2:D1000)) + ((P443 &lt;&gt; """") * "&amp;"(P443 &lt; SmartStatus!D$2:D1000)), (isblank(SmartStatus!E$2:E1000)) + ((P443 &lt;&gt; """") * (P443 &gt;= SmartStatus!E$2:E1000)), (isblank(SmartStatus!F$2:F1000)) + (((Q443 &lt;&gt; """") * (Q443 &lt; SmartStatus!F$2:F1000)) + ((P443 &lt;&gt; """") * (date(year(P443) + 3, month(P"&amp;"443), day(P443)) &lt; SmartStatus!F$2:F1000))), (isblank(SmartStatus!G$2:G1000)) + (((Q443 &lt;&gt; """") * (Q443 &gt;= SmartStatus!G$2:G1000)) + ((P443 &lt;&gt; """") * (P443 &gt;= SmartStatus!G$2:G1000)))), if(or(regexmatch(B443, ""(?i)^ir [a-z]+ designation$""), N443 &lt;&gt; """&amp;"""), 1, 2))), """"), ""NO_MATCH"")"),"")</f>
        <v/>
      </c>
      <c r="AS443" s="11"/>
      <c r="AT443" s="15"/>
      <c r="AU443" s="11"/>
      <c r="AV443" s="11"/>
      <c r="AW443" s="15"/>
      <c r="AX443" s="15"/>
      <c r="AY443" s="15"/>
      <c r="AZ443" s="11"/>
      <c r="BA443" s="15"/>
      <c r="BB443" s="11"/>
      <c r="BC443" s="11"/>
      <c r="BD443" s="15"/>
      <c r="BE443" s="11"/>
      <c r="BF443" s="11"/>
      <c r="BG443" s="15"/>
      <c r="BH443" s="15"/>
      <c r="BI443" s="15"/>
      <c r="BJ443" s="11"/>
      <c r="BK443" s="15"/>
      <c r="BL443" s="11"/>
      <c r="BM443" s="11"/>
      <c r="BN443" s="15"/>
      <c r="BO443" s="11"/>
      <c r="BP443" s="11"/>
      <c r="BQ443" s="15"/>
      <c r="BR443" s="15"/>
      <c r="BS443" s="15"/>
      <c r="BT443" s="11"/>
      <c r="BU443" s="15"/>
      <c r="BV443" s="11"/>
      <c r="BW443" s="11"/>
      <c r="BX443" s="15"/>
      <c r="BY443" s="11"/>
      <c r="BZ443" s="11"/>
      <c r="CA443" s="15"/>
      <c r="CB443" s="11"/>
      <c r="CC443" s="15"/>
      <c r="CD443" s="11"/>
      <c r="CE443" s="15"/>
      <c r="CF443" s="11"/>
      <c r="CG443" s="11"/>
      <c r="CH443" s="15"/>
      <c r="CI443" s="11"/>
      <c r="CJ443" s="11"/>
      <c r="CK443" s="15"/>
      <c r="CL443" s="11"/>
      <c r="CM443" s="11"/>
      <c r="CN443" s="11"/>
      <c r="CO443" s="11"/>
      <c r="CP443" s="28"/>
      <c r="CQ443" s="28"/>
      <c r="CR443" s="11"/>
      <c r="CS443" s="29"/>
      <c r="CT443" s="11"/>
      <c r="CU443" s="11"/>
      <c r="CV443" s="11"/>
      <c r="CW443" s="11"/>
      <c r="CX443" s="11"/>
      <c r="CY443" s="11"/>
      <c r="CZ443" s="11"/>
      <c r="DA443" s="28"/>
      <c r="DB443" s="28"/>
      <c r="DC443" s="11"/>
      <c r="DD443" s="29"/>
      <c r="DE443" s="11"/>
      <c r="DF443" s="11"/>
      <c r="DG443" s="11"/>
      <c r="DH443" s="11"/>
      <c r="DI443" s="11"/>
      <c r="DJ443" s="11"/>
      <c r="DK443" s="26"/>
      <c r="DL443" s="11"/>
      <c r="DM443" s="29"/>
      <c r="DN443" s="28"/>
      <c r="DO443" s="11"/>
      <c r="DP443" s="11"/>
      <c r="DQ443" s="11"/>
      <c r="DR443" s="29"/>
      <c r="DS443" s="28"/>
      <c r="DT443" s="11"/>
      <c r="DU443" s="26"/>
      <c r="DV443" s="11"/>
      <c r="DW443" s="29"/>
      <c r="DX443" s="28"/>
      <c r="DY443" s="11"/>
      <c r="DZ443" s="26"/>
      <c r="EA443" s="11"/>
      <c r="EB443" s="29"/>
      <c r="EC443" s="28"/>
      <c r="ED443" s="30"/>
      <c r="EE443" s="30" t="str">
        <f ca="1">IFERROR(__xludf.DUMMYFUNCTION("iferror(index(filter('Internal -- Trademark Countries'!E$2:E1000, (AM443 = 'Internal -- Trademark Countries'!B$2:B1000) + (AM443 = 'Internal -- Trademark Countries'!C$2:C1000) + (AM443 = 'Internal -- Trademark Countries'!D$2:D1000)), 1))"),"")</f>
        <v/>
      </c>
      <c r="EF443" s="30" t="e">
        <f ca="1">_xludf.ifs(AM443="", "", COUNTIF('Internal -- Trademark Countries'!B:B,AM443) &gt; 0, "polity_shortest_name", COUNTIF('Internal -- Trademark Countries'!C:C,AM443) &gt; 0, "polity_full_name", COUNTIF('Internal -- Trademark Countries'!D:D,AM443) &gt; 0, "polity_common_name", COUNTIF('Internal -- Trademark Countries'!E:E,AM443) &gt; 0, "shortest_name", COUNTIF('Internal -- Trademark Countries'!A:A,AM443) &gt; 0, "full_name", TRUE, "not a match")</f>
        <v>#NAME?</v>
      </c>
      <c r="EG443" s="30"/>
      <c r="EH443" s="30"/>
      <c r="EI443" s="30"/>
      <c r="EJ443" s="30"/>
      <c r="EK443" s="30" t="str">
        <f t="shared" si="3"/>
        <v/>
      </c>
    </row>
    <row r="444" spans="1:141" ht="16.5">
      <c r="A444" s="11"/>
      <c r="B444" s="11"/>
      <c r="C444" s="11"/>
      <c r="D444" s="11"/>
      <c r="E444" s="11"/>
      <c r="F444" s="11"/>
      <c r="G444" s="11"/>
      <c r="H444" s="11"/>
      <c r="I444" s="11"/>
      <c r="J444" s="11"/>
      <c r="K444" s="27"/>
      <c r="L444" s="11"/>
      <c r="M444" s="11"/>
      <c r="N444" s="11"/>
      <c r="O444" s="11"/>
      <c r="P444" s="15"/>
      <c r="Q444" s="15"/>
      <c r="R444" s="15"/>
      <c r="S444" s="15"/>
      <c r="T444" s="15"/>
      <c r="U444" s="15"/>
      <c r="V444" s="15"/>
      <c r="W444" s="47"/>
      <c r="X444" s="11"/>
      <c r="Y444" s="48"/>
      <c r="Z444" s="11"/>
      <c r="AA444" s="48"/>
      <c r="AB444" s="11"/>
      <c r="AC444" s="48"/>
      <c r="AD444" s="11"/>
      <c r="AE444" s="47"/>
      <c r="AF444" s="11"/>
      <c r="AG444" s="48"/>
      <c r="AH444" s="11"/>
      <c r="AI444" s="48"/>
      <c r="AJ444" s="11"/>
      <c r="AK444" s="48"/>
      <c r="AL444" s="11"/>
      <c r="AM444" s="49"/>
      <c r="AN444" s="49"/>
      <c r="AO444" s="11"/>
      <c r="AP444" s="11"/>
      <c r="AQ444" s="28" t="b">
        <f>IF(COUNTIF(SmartStatus!A$2:A1000, AM444) &gt; 2, TRUE, FALSE)</f>
        <v>0</v>
      </c>
      <c r="AR444" s="29" t="str">
        <f ca="1">IFERROR(__xludf.DUMMYFUNCTION("iferror(if(regexmatch(AO444, ""(?i)^registered""), if(EE444 &lt;&gt; ""polity_shortest_name"", ""CHECK_POLITY"", index(filter(SmartStatus!B$2:B1000, AM444 = SmartStatus!A$2:A1000, not(SmartStatus!C$2:C1000), (isblank(SmartStatus!D$2:D1000)) + ((P444 &lt;&gt; """") * "&amp;"(P444 &lt; SmartStatus!D$2:D1000)), (isblank(SmartStatus!E$2:E1000)) + ((P444 &lt;&gt; """") * (P444 &gt;= SmartStatus!E$2:E1000)), (isblank(SmartStatus!F$2:F1000)) + (((Q444 &lt;&gt; """") * (Q444 &lt; SmartStatus!F$2:F1000)) + ((P444 &lt;&gt; """") * (date(year(P444) + 3, month(P"&amp;"444), day(P444)) &lt; SmartStatus!F$2:F1000))), (isblank(SmartStatus!G$2:G1000)) + (((Q444 &lt;&gt; """") * (Q444 &gt;= SmartStatus!G$2:G1000)) + ((P444 &lt;&gt; """") * (P444 &gt;= SmartStatus!G$2:G1000)))), if(or(regexmatch(B444, ""(?i)^ir [a-z]+ designation$""), N444 &lt;&gt; """&amp;"""), 1, 2))), """"), ""NO_MATCH"")"),"")</f>
        <v/>
      </c>
      <c r="AS444" s="11"/>
      <c r="AT444" s="15"/>
      <c r="AU444" s="11"/>
      <c r="AV444" s="11"/>
      <c r="AW444" s="15"/>
      <c r="AX444" s="15"/>
      <c r="AY444" s="15"/>
      <c r="AZ444" s="11"/>
      <c r="BA444" s="15"/>
      <c r="BB444" s="11"/>
      <c r="BC444" s="11"/>
      <c r="BD444" s="15"/>
      <c r="BE444" s="11"/>
      <c r="BF444" s="11"/>
      <c r="BG444" s="15"/>
      <c r="BH444" s="15"/>
      <c r="BI444" s="15"/>
      <c r="BJ444" s="11"/>
      <c r="BK444" s="15"/>
      <c r="BL444" s="11"/>
      <c r="BM444" s="11"/>
      <c r="BN444" s="15"/>
      <c r="BO444" s="11"/>
      <c r="BP444" s="11"/>
      <c r="BQ444" s="15"/>
      <c r="BR444" s="15"/>
      <c r="BS444" s="15"/>
      <c r="BT444" s="11"/>
      <c r="BU444" s="15"/>
      <c r="BV444" s="11"/>
      <c r="BW444" s="11"/>
      <c r="BX444" s="15"/>
      <c r="BY444" s="11"/>
      <c r="BZ444" s="11"/>
      <c r="CA444" s="15"/>
      <c r="CB444" s="11"/>
      <c r="CC444" s="15"/>
      <c r="CD444" s="11"/>
      <c r="CE444" s="15"/>
      <c r="CF444" s="11"/>
      <c r="CG444" s="11"/>
      <c r="CH444" s="15"/>
      <c r="CI444" s="11"/>
      <c r="CJ444" s="11"/>
      <c r="CK444" s="15"/>
      <c r="CL444" s="11"/>
      <c r="CM444" s="11"/>
      <c r="CN444" s="11"/>
      <c r="CO444" s="11"/>
      <c r="CP444" s="28"/>
      <c r="CQ444" s="28"/>
      <c r="CR444" s="11"/>
      <c r="CS444" s="29"/>
      <c r="CT444" s="11"/>
      <c r="CU444" s="11"/>
      <c r="CV444" s="11"/>
      <c r="CW444" s="11"/>
      <c r="CX444" s="11"/>
      <c r="CY444" s="11"/>
      <c r="CZ444" s="11"/>
      <c r="DA444" s="28"/>
      <c r="DB444" s="28"/>
      <c r="DC444" s="11"/>
      <c r="DD444" s="29"/>
      <c r="DE444" s="11"/>
      <c r="DF444" s="11"/>
      <c r="DG444" s="11"/>
      <c r="DH444" s="11"/>
      <c r="DI444" s="11"/>
      <c r="DJ444" s="11"/>
      <c r="DK444" s="26"/>
      <c r="DL444" s="11"/>
      <c r="DM444" s="29"/>
      <c r="DN444" s="28"/>
      <c r="DO444" s="11"/>
      <c r="DP444" s="11"/>
      <c r="DQ444" s="11"/>
      <c r="DR444" s="29"/>
      <c r="DS444" s="28"/>
      <c r="DT444" s="11"/>
      <c r="DU444" s="26"/>
      <c r="DV444" s="11"/>
      <c r="DW444" s="29"/>
      <c r="DX444" s="28"/>
      <c r="DY444" s="11"/>
      <c r="DZ444" s="26"/>
      <c r="EA444" s="11"/>
      <c r="EB444" s="29"/>
      <c r="EC444" s="28"/>
      <c r="ED444" s="30"/>
      <c r="EE444" s="30" t="str">
        <f ca="1">IFERROR(__xludf.DUMMYFUNCTION("iferror(index(filter('Internal -- Trademark Countries'!E$2:E1000, (AM444 = 'Internal -- Trademark Countries'!B$2:B1000) + (AM444 = 'Internal -- Trademark Countries'!C$2:C1000) + (AM444 = 'Internal -- Trademark Countries'!D$2:D1000)), 1))"),"")</f>
        <v/>
      </c>
      <c r="EF444" s="30" t="e">
        <f ca="1">_xludf.ifs(AM444="", "", COUNTIF('Internal -- Trademark Countries'!B:B,AM444) &gt; 0, "polity_shortest_name", COUNTIF('Internal -- Trademark Countries'!C:C,AM444) &gt; 0, "polity_full_name", COUNTIF('Internal -- Trademark Countries'!D:D,AM444) &gt; 0, "polity_common_name", COUNTIF('Internal -- Trademark Countries'!E:E,AM444) &gt; 0, "shortest_name", COUNTIF('Internal -- Trademark Countries'!A:A,AM444) &gt; 0, "full_name", TRUE, "not a match")</f>
        <v>#NAME?</v>
      </c>
      <c r="EG444" s="30"/>
      <c r="EH444" s="30"/>
      <c r="EI444" s="30"/>
      <c r="EJ444" s="30"/>
      <c r="EK444" s="30" t="str">
        <f t="shared" si="3"/>
        <v/>
      </c>
    </row>
    <row r="445" spans="1:141" ht="16.5">
      <c r="A445" s="11"/>
      <c r="B445" s="11"/>
      <c r="C445" s="11"/>
      <c r="D445" s="11"/>
      <c r="E445" s="11"/>
      <c r="F445" s="11"/>
      <c r="G445" s="11"/>
      <c r="H445" s="11"/>
      <c r="I445" s="11"/>
      <c r="J445" s="11"/>
      <c r="K445" s="27"/>
      <c r="L445" s="11"/>
      <c r="M445" s="11"/>
      <c r="N445" s="11"/>
      <c r="O445" s="11"/>
      <c r="P445" s="15"/>
      <c r="Q445" s="15"/>
      <c r="R445" s="15"/>
      <c r="S445" s="15"/>
      <c r="T445" s="15"/>
      <c r="U445" s="15"/>
      <c r="V445" s="15"/>
      <c r="W445" s="47"/>
      <c r="X445" s="11"/>
      <c r="Y445" s="48"/>
      <c r="Z445" s="11"/>
      <c r="AA445" s="48"/>
      <c r="AB445" s="11"/>
      <c r="AC445" s="48"/>
      <c r="AD445" s="11"/>
      <c r="AE445" s="47"/>
      <c r="AF445" s="11"/>
      <c r="AG445" s="48"/>
      <c r="AH445" s="11"/>
      <c r="AI445" s="48"/>
      <c r="AJ445" s="11"/>
      <c r="AK445" s="48"/>
      <c r="AL445" s="11"/>
      <c r="AM445" s="49"/>
      <c r="AN445" s="49"/>
      <c r="AO445" s="11"/>
      <c r="AP445" s="11"/>
      <c r="AQ445" s="28" t="b">
        <f>IF(COUNTIF(SmartStatus!A$2:A1000, AM445) &gt; 2, TRUE, FALSE)</f>
        <v>0</v>
      </c>
      <c r="AR445" s="29" t="str">
        <f ca="1">IFERROR(__xludf.DUMMYFUNCTION("iferror(if(regexmatch(AO445, ""(?i)^registered""), if(EE445 &lt;&gt; ""polity_shortest_name"", ""CHECK_POLITY"", index(filter(SmartStatus!B$2:B1000, AM445 = SmartStatus!A$2:A1000, not(SmartStatus!C$2:C1000), (isblank(SmartStatus!D$2:D1000)) + ((P445 &lt;&gt; """") * "&amp;"(P445 &lt; SmartStatus!D$2:D1000)), (isblank(SmartStatus!E$2:E1000)) + ((P445 &lt;&gt; """") * (P445 &gt;= SmartStatus!E$2:E1000)), (isblank(SmartStatus!F$2:F1000)) + (((Q445 &lt;&gt; """") * (Q445 &lt; SmartStatus!F$2:F1000)) + ((P445 &lt;&gt; """") * (date(year(P445) + 3, month(P"&amp;"445), day(P445)) &lt; SmartStatus!F$2:F1000))), (isblank(SmartStatus!G$2:G1000)) + (((Q445 &lt;&gt; """") * (Q445 &gt;= SmartStatus!G$2:G1000)) + ((P445 &lt;&gt; """") * (P445 &gt;= SmartStatus!G$2:G1000)))), if(or(regexmatch(B445, ""(?i)^ir [a-z]+ designation$""), N445 &lt;&gt; """&amp;"""), 1, 2))), """"), ""NO_MATCH"")"),"")</f>
        <v/>
      </c>
      <c r="AS445" s="11"/>
      <c r="AT445" s="15"/>
      <c r="AU445" s="11"/>
      <c r="AV445" s="11"/>
      <c r="AW445" s="15"/>
      <c r="AX445" s="15"/>
      <c r="AY445" s="15"/>
      <c r="AZ445" s="11"/>
      <c r="BA445" s="15"/>
      <c r="BB445" s="11"/>
      <c r="BC445" s="11"/>
      <c r="BD445" s="15"/>
      <c r="BE445" s="11"/>
      <c r="BF445" s="11"/>
      <c r="BG445" s="15"/>
      <c r="BH445" s="15"/>
      <c r="BI445" s="15"/>
      <c r="BJ445" s="11"/>
      <c r="BK445" s="15"/>
      <c r="BL445" s="11"/>
      <c r="BM445" s="11"/>
      <c r="BN445" s="15"/>
      <c r="BO445" s="11"/>
      <c r="BP445" s="11"/>
      <c r="BQ445" s="15"/>
      <c r="BR445" s="15"/>
      <c r="BS445" s="15"/>
      <c r="BT445" s="11"/>
      <c r="BU445" s="15"/>
      <c r="BV445" s="11"/>
      <c r="BW445" s="11"/>
      <c r="BX445" s="15"/>
      <c r="BY445" s="11"/>
      <c r="BZ445" s="11"/>
      <c r="CA445" s="15"/>
      <c r="CB445" s="11"/>
      <c r="CC445" s="15"/>
      <c r="CD445" s="11"/>
      <c r="CE445" s="15"/>
      <c r="CF445" s="11"/>
      <c r="CG445" s="11"/>
      <c r="CH445" s="15"/>
      <c r="CI445" s="11"/>
      <c r="CJ445" s="11"/>
      <c r="CK445" s="15"/>
      <c r="CL445" s="11"/>
      <c r="CM445" s="11"/>
      <c r="CN445" s="11"/>
      <c r="CO445" s="11"/>
      <c r="CP445" s="28"/>
      <c r="CQ445" s="28"/>
      <c r="CR445" s="11"/>
      <c r="CS445" s="29"/>
      <c r="CT445" s="11"/>
      <c r="CU445" s="11"/>
      <c r="CV445" s="11"/>
      <c r="CW445" s="11"/>
      <c r="CX445" s="11"/>
      <c r="CY445" s="11"/>
      <c r="CZ445" s="11"/>
      <c r="DA445" s="28"/>
      <c r="DB445" s="28"/>
      <c r="DC445" s="11"/>
      <c r="DD445" s="29"/>
      <c r="DE445" s="11"/>
      <c r="DF445" s="11"/>
      <c r="DG445" s="11"/>
      <c r="DH445" s="11"/>
      <c r="DI445" s="11"/>
      <c r="DJ445" s="11"/>
      <c r="DK445" s="26"/>
      <c r="DL445" s="11"/>
      <c r="DM445" s="29"/>
      <c r="DN445" s="28"/>
      <c r="DO445" s="11"/>
      <c r="DP445" s="11"/>
      <c r="DQ445" s="11"/>
      <c r="DR445" s="29"/>
      <c r="DS445" s="28"/>
      <c r="DT445" s="11"/>
      <c r="DU445" s="26"/>
      <c r="DV445" s="11"/>
      <c r="DW445" s="29"/>
      <c r="DX445" s="28"/>
      <c r="DY445" s="11"/>
      <c r="DZ445" s="26"/>
      <c r="EA445" s="11"/>
      <c r="EB445" s="29"/>
      <c r="EC445" s="28"/>
      <c r="ED445" s="30"/>
      <c r="EE445" s="30" t="str">
        <f ca="1">IFERROR(__xludf.DUMMYFUNCTION("iferror(index(filter('Internal -- Trademark Countries'!E$2:E1000, (AM445 = 'Internal -- Trademark Countries'!B$2:B1000) + (AM445 = 'Internal -- Trademark Countries'!C$2:C1000) + (AM445 = 'Internal -- Trademark Countries'!D$2:D1000)), 1))"),"")</f>
        <v/>
      </c>
      <c r="EF445" s="30" t="e">
        <f ca="1">_xludf.ifs(AM445="", "", COUNTIF('Internal -- Trademark Countries'!B:B,AM445) &gt; 0, "polity_shortest_name", COUNTIF('Internal -- Trademark Countries'!C:C,AM445) &gt; 0, "polity_full_name", COUNTIF('Internal -- Trademark Countries'!D:D,AM445) &gt; 0, "polity_common_name", COUNTIF('Internal -- Trademark Countries'!E:E,AM445) &gt; 0, "shortest_name", COUNTIF('Internal -- Trademark Countries'!A:A,AM445) &gt; 0, "full_name", TRUE, "not a match")</f>
        <v>#NAME?</v>
      </c>
      <c r="EG445" s="30"/>
      <c r="EH445" s="30"/>
      <c r="EI445" s="30"/>
      <c r="EJ445" s="30"/>
      <c r="EK445" s="30" t="str">
        <f t="shared" si="3"/>
        <v/>
      </c>
    </row>
    <row r="446" spans="1:141" ht="16.5">
      <c r="A446" s="11"/>
      <c r="B446" s="11"/>
      <c r="C446" s="11"/>
      <c r="D446" s="11"/>
      <c r="E446" s="11"/>
      <c r="F446" s="11"/>
      <c r="G446" s="11"/>
      <c r="H446" s="11"/>
      <c r="I446" s="11"/>
      <c r="J446" s="11"/>
      <c r="K446" s="27"/>
      <c r="L446" s="11"/>
      <c r="M446" s="11"/>
      <c r="N446" s="11"/>
      <c r="O446" s="11"/>
      <c r="P446" s="15"/>
      <c r="Q446" s="15"/>
      <c r="R446" s="15"/>
      <c r="S446" s="15"/>
      <c r="T446" s="15"/>
      <c r="U446" s="15"/>
      <c r="V446" s="15"/>
      <c r="W446" s="47"/>
      <c r="X446" s="11"/>
      <c r="Y446" s="48"/>
      <c r="Z446" s="11"/>
      <c r="AA446" s="48"/>
      <c r="AB446" s="11"/>
      <c r="AC446" s="48"/>
      <c r="AD446" s="11"/>
      <c r="AE446" s="47"/>
      <c r="AF446" s="11"/>
      <c r="AG446" s="48"/>
      <c r="AH446" s="11"/>
      <c r="AI446" s="48"/>
      <c r="AJ446" s="11"/>
      <c r="AK446" s="48"/>
      <c r="AL446" s="11"/>
      <c r="AM446" s="49"/>
      <c r="AN446" s="49"/>
      <c r="AO446" s="11"/>
      <c r="AP446" s="11"/>
      <c r="AQ446" s="28" t="b">
        <f>IF(COUNTIF(SmartStatus!A$2:A1000, AM446) &gt; 2, TRUE, FALSE)</f>
        <v>0</v>
      </c>
      <c r="AR446" s="29" t="str">
        <f ca="1">IFERROR(__xludf.DUMMYFUNCTION("iferror(if(regexmatch(AO446, ""(?i)^registered""), if(EE446 &lt;&gt; ""polity_shortest_name"", ""CHECK_POLITY"", index(filter(SmartStatus!B$2:B1000, AM446 = SmartStatus!A$2:A1000, not(SmartStatus!C$2:C1000), (isblank(SmartStatus!D$2:D1000)) + ((P446 &lt;&gt; """") * "&amp;"(P446 &lt; SmartStatus!D$2:D1000)), (isblank(SmartStatus!E$2:E1000)) + ((P446 &lt;&gt; """") * (P446 &gt;= SmartStatus!E$2:E1000)), (isblank(SmartStatus!F$2:F1000)) + (((Q446 &lt;&gt; """") * (Q446 &lt; SmartStatus!F$2:F1000)) + ((P446 &lt;&gt; """") * (date(year(P446) + 3, month(P"&amp;"446), day(P446)) &lt; SmartStatus!F$2:F1000))), (isblank(SmartStatus!G$2:G1000)) + (((Q446 &lt;&gt; """") * (Q446 &gt;= SmartStatus!G$2:G1000)) + ((P446 &lt;&gt; """") * (P446 &gt;= SmartStatus!G$2:G1000)))), if(or(regexmatch(B446, ""(?i)^ir [a-z]+ designation$""), N446 &lt;&gt; """&amp;"""), 1, 2))), """"), ""NO_MATCH"")"),"")</f>
        <v/>
      </c>
      <c r="AS446" s="11"/>
      <c r="AT446" s="15"/>
      <c r="AU446" s="11"/>
      <c r="AV446" s="11"/>
      <c r="AW446" s="15"/>
      <c r="AX446" s="15"/>
      <c r="AY446" s="15"/>
      <c r="AZ446" s="11"/>
      <c r="BA446" s="15"/>
      <c r="BB446" s="11"/>
      <c r="BC446" s="11"/>
      <c r="BD446" s="15"/>
      <c r="BE446" s="11"/>
      <c r="BF446" s="11"/>
      <c r="BG446" s="15"/>
      <c r="BH446" s="15"/>
      <c r="BI446" s="15"/>
      <c r="BJ446" s="11"/>
      <c r="BK446" s="15"/>
      <c r="BL446" s="11"/>
      <c r="BM446" s="11"/>
      <c r="BN446" s="15"/>
      <c r="BO446" s="11"/>
      <c r="BP446" s="11"/>
      <c r="BQ446" s="15"/>
      <c r="BR446" s="15"/>
      <c r="BS446" s="15"/>
      <c r="BT446" s="11"/>
      <c r="BU446" s="15"/>
      <c r="BV446" s="11"/>
      <c r="BW446" s="11"/>
      <c r="BX446" s="15"/>
      <c r="BY446" s="11"/>
      <c r="BZ446" s="11"/>
      <c r="CA446" s="15"/>
      <c r="CB446" s="11"/>
      <c r="CC446" s="15"/>
      <c r="CD446" s="11"/>
      <c r="CE446" s="15"/>
      <c r="CF446" s="11"/>
      <c r="CG446" s="11"/>
      <c r="CH446" s="15"/>
      <c r="CI446" s="11"/>
      <c r="CJ446" s="11"/>
      <c r="CK446" s="15"/>
      <c r="CL446" s="11"/>
      <c r="CM446" s="11"/>
      <c r="CN446" s="11"/>
      <c r="CO446" s="11"/>
      <c r="CP446" s="28"/>
      <c r="CQ446" s="28"/>
      <c r="CR446" s="11"/>
      <c r="CS446" s="29"/>
      <c r="CT446" s="11"/>
      <c r="CU446" s="11"/>
      <c r="CV446" s="11"/>
      <c r="CW446" s="11"/>
      <c r="CX446" s="11"/>
      <c r="CY446" s="11"/>
      <c r="CZ446" s="11"/>
      <c r="DA446" s="28"/>
      <c r="DB446" s="28"/>
      <c r="DC446" s="11"/>
      <c r="DD446" s="29"/>
      <c r="DE446" s="11"/>
      <c r="DF446" s="11"/>
      <c r="DG446" s="11"/>
      <c r="DH446" s="11"/>
      <c r="DI446" s="11"/>
      <c r="DJ446" s="11"/>
      <c r="DK446" s="26"/>
      <c r="DL446" s="11"/>
      <c r="DM446" s="29"/>
      <c r="DN446" s="28"/>
      <c r="DO446" s="11"/>
      <c r="DP446" s="11"/>
      <c r="DQ446" s="11"/>
      <c r="DR446" s="29"/>
      <c r="DS446" s="28"/>
      <c r="DT446" s="11"/>
      <c r="DU446" s="26"/>
      <c r="DV446" s="11"/>
      <c r="DW446" s="29"/>
      <c r="DX446" s="28"/>
      <c r="DY446" s="11"/>
      <c r="DZ446" s="26"/>
      <c r="EA446" s="11"/>
      <c r="EB446" s="29"/>
      <c r="EC446" s="28"/>
      <c r="ED446" s="30"/>
      <c r="EE446" s="30" t="str">
        <f ca="1">IFERROR(__xludf.DUMMYFUNCTION("iferror(index(filter('Internal -- Trademark Countries'!E$2:E1000, (AM446 = 'Internal -- Trademark Countries'!B$2:B1000) + (AM446 = 'Internal -- Trademark Countries'!C$2:C1000) + (AM446 = 'Internal -- Trademark Countries'!D$2:D1000)), 1))"),"")</f>
        <v/>
      </c>
      <c r="EF446" s="30" t="e">
        <f ca="1">_xludf.ifs(AM446="", "", COUNTIF('Internal -- Trademark Countries'!B:B,AM446) &gt; 0, "polity_shortest_name", COUNTIF('Internal -- Trademark Countries'!C:C,AM446) &gt; 0, "polity_full_name", COUNTIF('Internal -- Trademark Countries'!D:D,AM446) &gt; 0, "polity_common_name", COUNTIF('Internal -- Trademark Countries'!E:E,AM446) &gt; 0, "shortest_name", COUNTIF('Internal -- Trademark Countries'!A:A,AM446) &gt; 0, "full_name", TRUE, "not a match")</f>
        <v>#NAME?</v>
      </c>
      <c r="EG446" s="30"/>
      <c r="EH446" s="30"/>
      <c r="EI446" s="30"/>
      <c r="EJ446" s="30"/>
      <c r="EK446" s="30" t="str">
        <f t="shared" si="3"/>
        <v/>
      </c>
    </row>
    <row r="447" spans="1:141" ht="16.5">
      <c r="A447" s="11"/>
      <c r="B447" s="11"/>
      <c r="C447" s="11"/>
      <c r="D447" s="11"/>
      <c r="E447" s="11"/>
      <c r="F447" s="11"/>
      <c r="G447" s="11"/>
      <c r="H447" s="11"/>
      <c r="I447" s="11"/>
      <c r="J447" s="11"/>
      <c r="K447" s="27"/>
      <c r="L447" s="11"/>
      <c r="M447" s="11"/>
      <c r="N447" s="11"/>
      <c r="O447" s="11"/>
      <c r="P447" s="15"/>
      <c r="Q447" s="15"/>
      <c r="R447" s="15"/>
      <c r="S447" s="15"/>
      <c r="T447" s="15"/>
      <c r="U447" s="15"/>
      <c r="V447" s="15"/>
      <c r="W447" s="47"/>
      <c r="X447" s="11"/>
      <c r="Y447" s="48"/>
      <c r="Z447" s="11"/>
      <c r="AA447" s="48"/>
      <c r="AB447" s="11"/>
      <c r="AC447" s="48"/>
      <c r="AD447" s="11"/>
      <c r="AE447" s="47"/>
      <c r="AF447" s="11"/>
      <c r="AG447" s="48"/>
      <c r="AH447" s="11"/>
      <c r="AI447" s="48"/>
      <c r="AJ447" s="11"/>
      <c r="AK447" s="48"/>
      <c r="AL447" s="11"/>
      <c r="AM447" s="49"/>
      <c r="AN447" s="49"/>
      <c r="AO447" s="11"/>
      <c r="AP447" s="11"/>
      <c r="AQ447" s="28" t="b">
        <f>IF(COUNTIF(SmartStatus!A$2:A1000, AM447) &gt; 2, TRUE, FALSE)</f>
        <v>0</v>
      </c>
      <c r="AR447" s="29" t="str">
        <f ca="1">IFERROR(__xludf.DUMMYFUNCTION("iferror(if(regexmatch(AO447, ""(?i)^registered""), if(EE447 &lt;&gt; ""polity_shortest_name"", ""CHECK_POLITY"", index(filter(SmartStatus!B$2:B1000, AM447 = SmartStatus!A$2:A1000, not(SmartStatus!C$2:C1000), (isblank(SmartStatus!D$2:D1000)) + ((P447 &lt;&gt; """") * "&amp;"(P447 &lt; SmartStatus!D$2:D1000)), (isblank(SmartStatus!E$2:E1000)) + ((P447 &lt;&gt; """") * (P447 &gt;= SmartStatus!E$2:E1000)), (isblank(SmartStatus!F$2:F1000)) + (((Q447 &lt;&gt; """") * (Q447 &lt; SmartStatus!F$2:F1000)) + ((P447 &lt;&gt; """") * (date(year(P447) + 3, month(P"&amp;"447), day(P447)) &lt; SmartStatus!F$2:F1000))), (isblank(SmartStatus!G$2:G1000)) + (((Q447 &lt;&gt; """") * (Q447 &gt;= SmartStatus!G$2:G1000)) + ((P447 &lt;&gt; """") * (P447 &gt;= SmartStatus!G$2:G1000)))), if(or(regexmatch(B447, ""(?i)^ir [a-z]+ designation$""), N447 &lt;&gt; """&amp;"""), 1, 2))), """"), ""NO_MATCH"")"),"")</f>
        <v/>
      </c>
      <c r="AS447" s="11"/>
      <c r="AT447" s="15"/>
      <c r="AU447" s="11"/>
      <c r="AV447" s="11"/>
      <c r="AW447" s="15"/>
      <c r="AX447" s="15"/>
      <c r="AY447" s="15"/>
      <c r="AZ447" s="11"/>
      <c r="BA447" s="15"/>
      <c r="BB447" s="11"/>
      <c r="BC447" s="11"/>
      <c r="BD447" s="15"/>
      <c r="BE447" s="11"/>
      <c r="BF447" s="11"/>
      <c r="BG447" s="15"/>
      <c r="BH447" s="15"/>
      <c r="BI447" s="15"/>
      <c r="BJ447" s="11"/>
      <c r="BK447" s="15"/>
      <c r="BL447" s="11"/>
      <c r="BM447" s="11"/>
      <c r="BN447" s="15"/>
      <c r="BO447" s="11"/>
      <c r="BP447" s="11"/>
      <c r="BQ447" s="15"/>
      <c r="BR447" s="15"/>
      <c r="BS447" s="15"/>
      <c r="BT447" s="11"/>
      <c r="BU447" s="15"/>
      <c r="BV447" s="11"/>
      <c r="BW447" s="11"/>
      <c r="BX447" s="15"/>
      <c r="BY447" s="11"/>
      <c r="BZ447" s="11"/>
      <c r="CA447" s="15"/>
      <c r="CB447" s="11"/>
      <c r="CC447" s="15"/>
      <c r="CD447" s="11"/>
      <c r="CE447" s="15"/>
      <c r="CF447" s="11"/>
      <c r="CG447" s="11"/>
      <c r="CH447" s="15"/>
      <c r="CI447" s="11"/>
      <c r="CJ447" s="11"/>
      <c r="CK447" s="15"/>
      <c r="CL447" s="11"/>
      <c r="CM447" s="11"/>
      <c r="CN447" s="11"/>
      <c r="CO447" s="11"/>
      <c r="CP447" s="28"/>
      <c r="CQ447" s="28"/>
      <c r="CR447" s="11"/>
      <c r="CS447" s="29"/>
      <c r="CT447" s="11"/>
      <c r="CU447" s="11"/>
      <c r="CV447" s="11"/>
      <c r="CW447" s="11"/>
      <c r="CX447" s="11"/>
      <c r="CY447" s="11"/>
      <c r="CZ447" s="11"/>
      <c r="DA447" s="28"/>
      <c r="DB447" s="28"/>
      <c r="DC447" s="11"/>
      <c r="DD447" s="29"/>
      <c r="DE447" s="11"/>
      <c r="DF447" s="11"/>
      <c r="DG447" s="11"/>
      <c r="DH447" s="11"/>
      <c r="DI447" s="11"/>
      <c r="DJ447" s="11"/>
      <c r="DK447" s="26"/>
      <c r="DL447" s="11"/>
      <c r="DM447" s="29"/>
      <c r="DN447" s="28"/>
      <c r="DO447" s="11"/>
      <c r="DP447" s="11"/>
      <c r="DQ447" s="11"/>
      <c r="DR447" s="29"/>
      <c r="DS447" s="28"/>
      <c r="DT447" s="11"/>
      <c r="DU447" s="26"/>
      <c r="DV447" s="11"/>
      <c r="DW447" s="29"/>
      <c r="DX447" s="28"/>
      <c r="DY447" s="11"/>
      <c r="DZ447" s="26"/>
      <c r="EA447" s="11"/>
      <c r="EB447" s="29"/>
      <c r="EC447" s="28"/>
      <c r="ED447" s="30"/>
      <c r="EE447" s="30" t="str">
        <f ca="1">IFERROR(__xludf.DUMMYFUNCTION("iferror(index(filter('Internal -- Trademark Countries'!E$2:E1000, (AM447 = 'Internal -- Trademark Countries'!B$2:B1000) + (AM447 = 'Internal -- Trademark Countries'!C$2:C1000) + (AM447 = 'Internal -- Trademark Countries'!D$2:D1000)), 1))"),"")</f>
        <v/>
      </c>
      <c r="EF447" s="30" t="e">
        <f ca="1">_xludf.ifs(AM447="", "", COUNTIF('Internal -- Trademark Countries'!B:B,AM447) &gt; 0, "polity_shortest_name", COUNTIF('Internal -- Trademark Countries'!C:C,AM447) &gt; 0, "polity_full_name", COUNTIF('Internal -- Trademark Countries'!D:D,AM447) &gt; 0, "polity_common_name", COUNTIF('Internal -- Trademark Countries'!E:E,AM447) &gt; 0, "shortest_name", COUNTIF('Internal -- Trademark Countries'!A:A,AM447) &gt; 0, "full_name", TRUE, "not a match")</f>
        <v>#NAME?</v>
      </c>
      <c r="EG447" s="30"/>
      <c r="EH447" s="30"/>
      <c r="EI447" s="30"/>
      <c r="EJ447" s="30"/>
      <c r="EK447" s="30" t="str">
        <f t="shared" si="3"/>
        <v/>
      </c>
    </row>
    <row r="448" spans="1:141" ht="16.5">
      <c r="A448" s="11"/>
      <c r="B448" s="11"/>
      <c r="C448" s="11"/>
      <c r="D448" s="11"/>
      <c r="E448" s="11"/>
      <c r="F448" s="11"/>
      <c r="G448" s="11"/>
      <c r="H448" s="11"/>
      <c r="I448" s="11"/>
      <c r="J448" s="11"/>
      <c r="K448" s="27"/>
      <c r="L448" s="11"/>
      <c r="M448" s="11"/>
      <c r="N448" s="11"/>
      <c r="O448" s="11"/>
      <c r="P448" s="15"/>
      <c r="Q448" s="15"/>
      <c r="R448" s="15"/>
      <c r="S448" s="15"/>
      <c r="T448" s="15"/>
      <c r="U448" s="15"/>
      <c r="V448" s="15"/>
      <c r="W448" s="47"/>
      <c r="X448" s="11"/>
      <c r="Y448" s="48"/>
      <c r="Z448" s="11"/>
      <c r="AA448" s="48"/>
      <c r="AB448" s="11"/>
      <c r="AC448" s="48"/>
      <c r="AD448" s="11"/>
      <c r="AE448" s="47"/>
      <c r="AF448" s="11"/>
      <c r="AG448" s="48"/>
      <c r="AH448" s="11"/>
      <c r="AI448" s="48"/>
      <c r="AJ448" s="11"/>
      <c r="AK448" s="48"/>
      <c r="AL448" s="11"/>
      <c r="AM448" s="49"/>
      <c r="AN448" s="49"/>
      <c r="AO448" s="11"/>
      <c r="AP448" s="11"/>
      <c r="AQ448" s="28" t="b">
        <f>IF(COUNTIF(SmartStatus!A$2:A1000, AM448) &gt; 2, TRUE, FALSE)</f>
        <v>0</v>
      </c>
      <c r="AR448" s="29" t="str">
        <f ca="1">IFERROR(__xludf.DUMMYFUNCTION("iferror(if(regexmatch(AO448, ""(?i)^registered""), if(EE448 &lt;&gt; ""polity_shortest_name"", ""CHECK_POLITY"", index(filter(SmartStatus!B$2:B1000, AM448 = SmartStatus!A$2:A1000, not(SmartStatus!C$2:C1000), (isblank(SmartStatus!D$2:D1000)) + ((P448 &lt;&gt; """") * "&amp;"(P448 &lt; SmartStatus!D$2:D1000)), (isblank(SmartStatus!E$2:E1000)) + ((P448 &lt;&gt; """") * (P448 &gt;= SmartStatus!E$2:E1000)), (isblank(SmartStatus!F$2:F1000)) + (((Q448 &lt;&gt; """") * (Q448 &lt; SmartStatus!F$2:F1000)) + ((P448 &lt;&gt; """") * (date(year(P448) + 3, month(P"&amp;"448), day(P448)) &lt; SmartStatus!F$2:F1000))), (isblank(SmartStatus!G$2:G1000)) + (((Q448 &lt;&gt; """") * (Q448 &gt;= SmartStatus!G$2:G1000)) + ((P448 &lt;&gt; """") * (P448 &gt;= SmartStatus!G$2:G1000)))), if(or(regexmatch(B448, ""(?i)^ir [a-z]+ designation$""), N448 &lt;&gt; """&amp;"""), 1, 2))), """"), ""NO_MATCH"")"),"")</f>
        <v/>
      </c>
      <c r="AS448" s="11"/>
      <c r="AT448" s="15"/>
      <c r="AU448" s="11"/>
      <c r="AV448" s="11"/>
      <c r="AW448" s="15"/>
      <c r="AX448" s="15"/>
      <c r="AY448" s="15"/>
      <c r="AZ448" s="11"/>
      <c r="BA448" s="15"/>
      <c r="BB448" s="11"/>
      <c r="BC448" s="11"/>
      <c r="BD448" s="15"/>
      <c r="BE448" s="11"/>
      <c r="BF448" s="11"/>
      <c r="BG448" s="15"/>
      <c r="BH448" s="15"/>
      <c r="BI448" s="15"/>
      <c r="BJ448" s="11"/>
      <c r="BK448" s="15"/>
      <c r="BL448" s="11"/>
      <c r="BM448" s="11"/>
      <c r="BN448" s="15"/>
      <c r="BO448" s="11"/>
      <c r="BP448" s="11"/>
      <c r="BQ448" s="15"/>
      <c r="BR448" s="15"/>
      <c r="BS448" s="15"/>
      <c r="BT448" s="11"/>
      <c r="BU448" s="15"/>
      <c r="BV448" s="11"/>
      <c r="BW448" s="11"/>
      <c r="BX448" s="15"/>
      <c r="BY448" s="11"/>
      <c r="BZ448" s="11"/>
      <c r="CA448" s="15"/>
      <c r="CB448" s="11"/>
      <c r="CC448" s="15"/>
      <c r="CD448" s="11"/>
      <c r="CE448" s="15"/>
      <c r="CF448" s="11"/>
      <c r="CG448" s="11"/>
      <c r="CH448" s="15"/>
      <c r="CI448" s="11"/>
      <c r="CJ448" s="11"/>
      <c r="CK448" s="15"/>
      <c r="CL448" s="11"/>
      <c r="CM448" s="11"/>
      <c r="CN448" s="11"/>
      <c r="CO448" s="11"/>
      <c r="CP448" s="28"/>
      <c r="CQ448" s="28"/>
      <c r="CR448" s="11"/>
      <c r="CS448" s="29"/>
      <c r="CT448" s="11"/>
      <c r="CU448" s="11"/>
      <c r="CV448" s="11"/>
      <c r="CW448" s="11"/>
      <c r="CX448" s="11"/>
      <c r="CY448" s="11"/>
      <c r="CZ448" s="11"/>
      <c r="DA448" s="28"/>
      <c r="DB448" s="28"/>
      <c r="DC448" s="11"/>
      <c r="DD448" s="29"/>
      <c r="DE448" s="11"/>
      <c r="DF448" s="11"/>
      <c r="DG448" s="11"/>
      <c r="DH448" s="11"/>
      <c r="DI448" s="11"/>
      <c r="DJ448" s="11"/>
      <c r="DK448" s="26"/>
      <c r="DL448" s="11"/>
      <c r="DM448" s="29"/>
      <c r="DN448" s="28"/>
      <c r="DO448" s="11"/>
      <c r="DP448" s="11"/>
      <c r="DQ448" s="11"/>
      <c r="DR448" s="29"/>
      <c r="DS448" s="28"/>
      <c r="DT448" s="11"/>
      <c r="DU448" s="26"/>
      <c r="DV448" s="11"/>
      <c r="DW448" s="29"/>
      <c r="DX448" s="28"/>
      <c r="DY448" s="11"/>
      <c r="DZ448" s="26"/>
      <c r="EA448" s="11"/>
      <c r="EB448" s="29"/>
      <c r="EC448" s="28"/>
      <c r="ED448" s="30"/>
      <c r="EE448" s="30" t="str">
        <f ca="1">IFERROR(__xludf.DUMMYFUNCTION("iferror(index(filter('Internal -- Trademark Countries'!E$2:E1000, (AM448 = 'Internal -- Trademark Countries'!B$2:B1000) + (AM448 = 'Internal -- Trademark Countries'!C$2:C1000) + (AM448 = 'Internal -- Trademark Countries'!D$2:D1000)), 1))"),"")</f>
        <v/>
      </c>
      <c r="EF448" s="30" t="e">
        <f ca="1">_xludf.ifs(AM448="", "", COUNTIF('Internal -- Trademark Countries'!B:B,AM448) &gt; 0, "polity_shortest_name", COUNTIF('Internal -- Trademark Countries'!C:C,AM448) &gt; 0, "polity_full_name", COUNTIF('Internal -- Trademark Countries'!D:D,AM448) &gt; 0, "polity_common_name", COUNTIF('Internal -- Trademark Countries'!E:E,AM448) &gt; 0, "shortest_name", COUNTIF('Internal -- Trademark Countries'!A:A,AM448) &gt; 0, "full_name", TRUE, "not a match")</f>
        <v>#NAME?</v>
      </c>
      <c r="EG448" s="30"/>
      <c r="EH448" s="30"/>
      <c r="EI448" s="30"/>
      <c r="EJ448" s="30"/>
      <c r="EK448" s="30" t="str">
        <f t="shared" si="3"/>
        <v/>
      </c>
    </row>
    <row r="449" spans="1:141" ht="16.5">
      <c r="A449" s="11"/>
      <c r="B449" s="11"/>
      <c r="C449" s="11"/>
      <c r="D449" s="11"/>
      <c r="E449" s="11"/>
      <c r="F449" s="11"/>
      <c r="G449" s="11"/>
      <c r="H449" s="11"/>
      <c r="I449" s="11"/>
      <c r="J449" s="11"/>
      <c r="K449" s="27"/>
      <c r="L449" s="11"/>
      <c r="M449" s="11"/>
      <c r="N449" s="11"/>
      <c r="O449" s="11"/>
      <c r="P449" s="15"/>
      <c r="Q449" s="15"/>
      <c r="R449" s="15"/>
      <c r="S449" s="15"/>
      <c r="T449" s="15"/>
      <c r="U449" s="15"/>
      <c r="V449" s="15"/>
      <c r="W449" s="47"/>
      <c r="X449" s="11"/>
      <c r="Y449" s="48"/>
      <c r="Z449" s="11"/>
      <c r="AA449" s="48"/>
      <c r="AB449" s="11"/>
      <c r="AC449" s="48"/>
      <c r="AD449" s="11"/>
      <c r="AE449" s="47"/>
      <c r="AF449" s="11"/>
      <c r="AG449" s="48"/>
      <c r="AH449" s="11"/>
      <c r="AI449" s="48"/>
      <c r="AJ449" s="11"/>
      <c r="AK449" s="48"/>
      <c r="AL449" s="11"/>
      <c r="AM449" s="49"/>
      <c r="AN449" s="49"/>
      <c r="AO449" s="11"/>
      <c r="AP449" s="11"/>
      <c r="AQ449" s="28" t="b">
        <f>IF(COUNTIF(SmartStatus!A$2:A1000, AM449) &gt; 2, TRUE, FALSE)</f>
        <v>0</v>
      </c>
      <c r="AR449" s="29" t="str">
        <f ca="1">IFERROR(__xludf.DUMMYFUNCTION("iferror(if(regexmatch(AO449, ""(?i)^registered""), if(EE449 &lt;&gt; ""polity_shortest_name"", ""CHECK_POLITY"", index(filter(SmartStatus!B$2:B1000, AM449 = SmartStatus!A$2:A1000, not(SmartStatus!C$2:C1000), (isblank(SmartStatus!D$2:D1000)) + ((P449 &lt;&gt; """") * "&amp;"(P449 &lt; SmartStatus!D$2:D1000)), (isblank(SmartStatus!E$2:E1000)) + ((P449 &lt;&gt; """") * (P449 &gt;= SmartStatus!E$2:E1000)), (isblank(SmartStatus!F$2:F1000)) + (((Q449 &lt;&gt; """") * (Q449 &lt; SmartStatus!F$2:F1000)) + ((P449 &lt;&gt; """") * (date(year(P449) + 3, month(P"&amp;"449), day(P449)) &lt; SmartStatus!F$2:F1000))), (isblank(SmartStatus!G$2:G1000)) + (((Q449 &lt;&gt; """") * (Q449 &gt;= SmartStatus!G$2:G1000)) + ((P449 &lt;&gt; """") * (P449 &gt;= SmartStatus!G$2:G1000)))), if(or(regexmatch(B449, ""(?i)^ir [a-z]+ designation$""), N449 &lt;&gt; """&amp;"""), 1, 2))), """"), ""NO_MATCH"")"),"")</f>
        <v/>
      </c>
      <c r="AS449" s="11"/>
      <c r="AT449" s="15"/>
      <c r="AU449" s="11"/>
      <c r="AV449" s="11"/>
      <c r="AW449" s="15"/>
      <c r="AX449" s="15"/>
      <c r="AY449" s="15"/>
      <c r="AZ449" s="11"/>
      <c r="BA449" s="15"/>
      <c r="BB449" s="11"/>
      <c r="BC449" s="11"/>
      <c r="BD449" s="15"/>
      <c r="BE449" s="11"/>
      <c r="BF449" s="11"/>
      <c r="BG449" s="15"/>
      <c r="BH449" s="15"/>
      <c r="BI449" s="15"/>
      <c r="BJ449" s="11"/>
      <c r="BK449" s="15"/>
      <c r="BL449" s="11"/>
      <c r="BM449" s="11"/>
      <c r="BN449" s="15"/>
      <c r="BO449" s="11"/>
      <c r="BP449" s="11"/>
      <c r="BQ449" s="15"/>
      <c r="BR449" s="15"/>
      <c r="BS449" s="15"/>
      <c r="BT449" s="11"/>
      <c r="BU449" s="15"/>
      <c r="BV449" s="11"/>
      <c r="BW449" s="11"/>
      <c r="BX449" s="15"/>
      <c r="BY449" s="11"/>
      <c r="BZ449" s="11"/>
      <c r="CA449" s="15"/>
      <c r="CB449" s="11"/>
      <c r="CC449" s="15"/>
      <c r="CD449" s="11"/>
      <c r="CE449" s="15"/>
      <c r="CF449" s="11"/>
      <c r="CG449" s="11"/>
      <c r="CH449" s="15"/>
      <c r="CI449" s="11"/>
      <c r="CJ449" s="11"/>
      <c r="CK449" s="15"/>
      <c r="CL449" s="11"/>
      <c r="CM449" s="11"/>
      <c r="CN449" s="11"/>
      <c r="CO449" s="11"/>
      <c r="CP449" s="28"/>
      <c r="CQ449" s="28"/>
      <c r="CR449" s="11"/>
      <c r="CS449" s="29"/>
      <c r="CT449" s="11"/>
      <c r="CU449" s="11"/>
      <c r="CV449" s="11"/>
      <c r="CW449" s="11"/>
      <c r="CX449" s="11"/>
      <c r="CY449" s="11"/>
      <c r="CZ449" s="11"/>
      <c r="DA449" s="28"/>
      <c r="DB449" s="28"/>
      <c r="DC449" s="11"/>
      <c r="DD449" s="29"/>
      <c r="DE449" s="11"/>
      <c r="DF449" s="11"/>
      <c r="DG449" s="11"/>
      <c r="DH449" s="11"/>
      <c r="DI449" s="11"/>
      <c r="DJ449" s="11"/>
      <c r="DK449" s="26"/>
      <c r="DL449" s="11"/>
      <c r="DM449" s="29"/>
      <c r="DN449" s="28"/>
      <c r="DO449" s="11"/>
      <c r="DP449" s="11"/>
      <c r="DQ449" s="11"/>
      <c r="DR449" s="29"/>
      <c r="DS449" s="28"/>
      <c r="DT449" s="11"/>
      <c r="DU449" s="26"/>
      <c r="DV449" s="11"/>
      <c r="DW449" s="29"/>
      <c r="DX449" s="28"/>
      <c r="DY449" s="11"/>
      <c r="DZ449" s="26"/>
      <c r="EA449" s="11"/>
      <c r="EB449" s="29"/>
      <c r="EC449" s="28"/>
      <c r="ED449" s="30"/>
      <c r="EE449" s="30" t="str">
        <f ca="1">IFERROR(__xludf.DUMMYFUNCTION("iferror(index(filter('Internal -- Trademark Countries'!E$2:E1000, (AM449 = 'Internal -- Trademark Countries'!B$2:B1000) + (AM449 = 'Internal -- Trademark Countries'!C$2:C1000) + (AM449 = 'Internal -- Trademark Countries'!D$2:D1000)), 1))"),"")</f>
        <v/>
      </c>
      <c r="EF449" s="30" t="e">
        <f ca="1">_xludf.ifs(AM449="", "", COUNTIF('Internal -- Trademark Countries'!B:B,AM449) &gt; 0, "polity_shortest_name", COUNTIF('Internal -- Trademark Countries'!C:C,AM449) &gt; 0, "polity_full_name", COUNTIF('Internal -- Trademark Countries'!D:D,AM449) &gt; 0, "polity_common_name", COUNTIF('Internal -- Trademark Countries'!E:E,AM449) &gt; 0, "shortest_name", COUNTIF('Internal -- Trademark Countries'!A:A,AM449) &gt; 0, "full_name", TRUE, "not a match")</f>
        <v>#NAME?</v>
      </c>
      <c r="EG449" s="30"/>
      <c r="EH449" s="30"/>
      <c r="EI449" s="30"/>
      <c r="EJ449" s="30"/>
      <c r="EK449" s="30" t="str">
        <f t="shared" si="3"/>
        <v/>
      </c>
    </row>
    <row r="450" spans="1:141" ht="16.5">
      <c r="A450" s="11"/>
      <c r="B450" s="11"/>
      <c r="C450" s="11"/>
      <c r="D450" s="11"/>
      <c r="E450" s="11"/>
      <c r="F450" s="11"/>
      <c r="G450" s="11"/>
      <c r="H450" s="11"/>
      <c r="I450" s="11"/>
      <c r="J450" s="11"/>
      <c r="K450" s="27"/>
      <c r="L450" s="11"/>
      <c r="M450" s="11"/>
      <c r="N450" s="11"/>
      <c r="O450" s="11"/>
      <c r="P450" s="15"/>
      <c r="Q450" s="15"/>
      <c r="R450" s="15"/>
      <c r="S450" s="15"/>
      <c r="T450" s="15"/>
      <c r="U450" s="15"/>
      <c r="V450" s="15"/>
      <c r="W450" s="47"/>
      <c r="X450" s="11"/>
      <c r="Y450" s="48"/>
      <c r="Z450" s="11"/>
      <c r="AA450" s="48"/>
      <c r="AB450" s="11"/>
      <c r="AC450" s="48"/>
      <c r="AD450" s="11"/>
      <c r="AE450" s="47"/>
      <c r="AF450" s="11"/>
      <c r="AG450" s="48"/>
      <c r="AH450" s="11"/>
      <c r="AI450" s="48"/>
      <c r="AJ450" s="11"/>
      <c r="AK450" s="48"/>
      <c r="AL450" s="11"/>
      <c r="AM450" s="49"/>
      <c r="AN450" s="49"/>
      <c r="AO450" s="11"/>
      <c r="AP450" s="11"/>
      <c r="AQ450" s="28" t="b">
        <f>IF(COUNTIF(SmartStatus!A$2:A1000, AM450) &gt; 2, TRUE, FALSE)</f>
        <v>0</v>
      </c>
      <c r="AR450" s="29" t="str">
        <f ca="1">IFERROR(__xludf.DUMMYFUNCTION("iferror(if(regexmatch(AO450, ""(?i)^registered""), if(EE450 &lt;&gt; ""polity_shortest_name"", ""CHECK_POLITY"", index(filter(SmartStatus!B$2:B1000, AM450 = SmartStatus!A$2:A1000, not(SmartStatus!C$2:C1000), (isblank(SmartStatus!D$2:D1000)) + ((P450 &lt;&gt; """") * "&amp;"(P450 &lt; SmartStatus!D$2:D1000)), (isblank(SmartStatus!E$2:E1000)) + ((P450 &lt;&gt; """") * (P450 &gt;= SmartStatus!E$2:E1000)), (isblank(SmartStatus!F$2:F1000)) + (((Q450 &lt;&gt; """") * (Q450 &lt; SmartStatus!F$2:F1000)) + ((P450 &lt;&gt; """") * (date(year(P450) + 3, month(P"&amp;"450), day(P450)) &lt; SmartStatus!F$2:F1000))), (isblank(SmartStatus!G$2:G1000)) + (((Q450 &lt;&gt; """") * (Q450 &gt;= SmartStatus!G$2:G1000)) + ((P450 &lt;&gt; """") * (P450 &gt;= SmartStatus!G$2:G1000)))), if(or(regexmatch(B450, ""(?i)^ir [a-z]+ designation$""), N450 &lt;&gt; """&amp;"""), 1, 2))), """"), ""NO_MATCH"")"),"")</f>
        <v/>
      </c>
      <c r="AS450" s="11"/>
      <c r="AT450" s="15"/>
      <c r="AU450" s="11"/>
      <c r="AV450" s="11"/>
      <c r="AW450" s="15"/>
      <c r="AX450" s="15"/>
      <c r="AY450" s="15"/>
      <c r="AZ450" s="11"/>
      <c r="BA450" s="15"/>
      <c r="BB450" s="11"/>
      <c r="BC450" s="11"/>
      <c r="BD450" s="15"/>
      <c r="BE450" s="11"/>
      <c r="BF450" s="11"/>
      <c r="BG450" s="15"/>
      <c r="BH450" s="15"/>
      <c r="BI450" s="15"/>
      <c r="BJ450" s="11"/>
      <c r="BK450" s="15"/>
      <c r="BL450" s="11"/>
      <c r="BM450" s="11"/>
      <c r="BN450" s="15"/>
      <c r="BO450" s="11"/>
      <c r="BP450" s="11"/>
      <c r="BQ450" s="15"/>
      <c r="BR450" s="15"/>
      <c r="BS450" s="15"/>
      <c r="BT450" s="11"/>
      <c r="BU450" s="15"/>
      <c r="BV450" s="11"/>
      <c r="BW450" s="11"/>
      <c r="BX450" s="15"/>
      <c r="BY450" s="11"/>
      <c r="BZ450" s="11"/>
      <c r="CA450" s="15"/>
      <c r="CB450" s="11"/>
      <c r="CC450" s="15"/>
      <c r="CD450" s="11"/>
      <c r="CE450" s="15"/>
      <c r="CF450" s="11"/>
      <c r="CG450" s="11"/>
      <c r="CH450" s="15"/>
      <c r="CI450" s="11"/>
      <c r="CJ450" s="11"/>
      <c r="CK450" s="15"/>
      <c r="CL450" s="11"/>
      <c r="CM450" s="11"/>
      <c r="CN450" s="11"/>
      <c r="CO450" s="11"/>
      <c r="CP450" s="28"/>
      <c r="CQ450" s="28"/>
      <c r="CR450" s="11"/>
      <c r="CS450" s="29"/>
      <c r="CT450" s="11"/>
      <c r="CU450" s="11"/>
      <c r="CV450" s="11"/>
      <c r="CW450" s="11"/>
      <c r="CX450" s="11"/>
      <c r="CY450" s="11"/>
      <c r="CZ450" s="11"/>
      <c r="DA450" s="28"/>
      <c r="DB450" s="28"/>
      <c r="DC450" s="11"/>
      <c r="DD450" s="29"/>
      <c r="DE450" s="11"/>
      <c r="DF450" s="11"/>
      <c r="DG450" s="11"/>
      <c r="DH450" s="11"/>
      <c r="DI450" s="11"/>
      <c r="DJ450" s="11"/>
      <c r="DK450" s="26"/>
      <c r="DL450" s="11"/>
      <c r="DM450" s="29"/>
      <c r="DN450" s="28"/>
      <c r="DO450" s="11"/>
      <c r="DP450" s="11"/>
      <c r="DQ450" s="11"/>
      <c r="DR450" s="29"/>
      <c r="DS450" s="28"/>
      <c r="DT450" s="11"/>
      <c r="DU450" s="26"/>
      <c r="DV450" s="11"/>
      <c r="DW450" s="29"/>
      <c r="DX450" s="28"/>
      <c r="DY450" s="11"/>
      <c r="DZ450" s="26"/>
      <c r="EA450" s="11"/>
      <c r="EB450" s="29"/>
      <c r="EC450" s="28"/>
      <c r="ED450" s="30"/>
      <c r="EE450" s="30" t="str">
        <f ca="1">IFERROR(__xludf.DUMMYFUNCTION("iferror(index(filter('Internal -- Trademark Countries'!E$2:E1000, (AM450 = 'Internal -- Trademark Countries'!B$2:B1000) + (AM450 = 'Internal -- Trademark Countries'!C$2:C1000) + (AM450 = 'Internal -- Trademark Countries'!D$2:D1000)), 1))"),"")</f>
        <v/>
      </c>
      <c r="EF450" s="30" t="e">
        <f ca="1">_xludf.ifs(AM450="", "", COUNTIF('Internal -- Trademark Countries'!B:B,AM450) &gt; 0, "polity_shortest_name", COUNTIF('Internal -- Trademark Countries'!C:C,AM450) &gt; 0, "polity_full_name", COUNTIF('Internal -- Trademark Countries'!D:D,AM450) &gt; 0, "polity_common_name", COUNTIF('Internal -- Trademark Countries'!E:E,AM450) &gt; 0, "shortest_name", COUNTIF('Internal -- Trademark Countries'!A:A,AM450) &gt; 0, "full_name", TRUE, "not a match")</f>
        <v>#NAME?</v>
      </c>
      <c r="EG450" s="30"/>
      <c r="EH450" s="30"/>
      <c r="EI450" s="30"/>
      <c r="EJ450" s="30"/>
      <c r="EK450" s="30" t="str">
        <f t="shared" si="3"/>
        <v/>
      </c>
    </row>
    <row r="451" spans="1:141" ht="16.5">
      <c r="A451" s="11"/>
      <c r="B451" s="11"/>
      <c r="C451" s="11"/>
      <c r="D451" s="11"/>
      <c r="E451" s="11"/>
      <c r="F451" s="11"/>
      <c r="G451" s="11"/>
      <c r="H451" s="11"/>
      <c r="I451" s="11"/>
      <c r="J451" s="11"/>
      <c r="K451" s="27"/>
      <c r="L451" s="11"/>
      <c r="M451" s="11"/>
      <c r="N451" s="11"/>
      <c r="O451" s="11"/>
      <c r="P451" s="15"/>
      <c r="Q451" s="15"/>
      <c r="R451" s="15"/>
      <c r="S451" s="15"/>
      <c r="T451" s="15"/>
      <c r="U451" s="15"/>
      <c r="V451" s="15"/>
      <c r="W451" s="47"/>
      <c r="X451" s="11"/>
      <c r="Y451" s="48"/>
      <c r="Z451" s="11"/>
      <c r="AA451" s="48"/>
      <c r="AB451" s="11"/>
      <c r="AC451" s="48"/>
      <c r="AD451" s="11"/>
      <c r="AE451" s="47"/>
      <c r="AF451" s="11"/>
      <c r="AG451" s="48"/>
      <c r="AH451" s="11"/>
      <c r="AI451" s="48"/>
      <c r="AJ451" s="11"/>
      <c r="AK451" s="48"/>
      <c r="AL451" s="11"/>
      <c r="AM451" s="49"/>
      <c r="AN451" s="49"/>
      <c r="AO451" s="11"/>
      <c r="AP451" s="11"/>
      <c r="AQ451" s="28" t="b">
        <f>IF(COUNTIF(SmartStatus!A$2:A1000, AM451) &gt; 2, TRUE, FALSE)</f>
        <v>0</v>
      </c>
      <c r="AR451" s="29" t="str">
        <f ca="1">IFERROR(__xludf.DUMMYFUNCTION("iferror(if(regexmatch(AO451, ""(?i)^registered""), if(EE451 &lt;&gt; ""polity_shortest_name"", ""CHECK_POLITY"", index(filter(SmartStatus!B$2:B1000, AM451 = SmartStatus!A$2:A1000, not(SmartStatus!C$2:C1000), (isblank(SmartStatus!D$2:D1000)) + ((P451 &lt;&gt; """") * "&amp;"(P451 &lt; SmartStatus!D$2:D1000)), (isblank(SmartStatus!E$2:E1000)) + ((P451 &lt;&gt; """") * (P451 &gt;= SmartStatus!E$2:E1000)), (isblank(SmartStatus!F$2:F1000)) + (((Q451 &lt;&gt; """") * (Q451 &lt; SmartStatus!F$2:F1000)) + ((P451 &lt;&gt; """") * (date(year(P451) + 3, month(P"&amp;"451), day(P451)) &lt; SmartStatus!F$2:F1000))), (isblank(SmartStatus!G$2:G1000)) + (((Q451 &lt;&gt; """") * (Q451 &gt;= SmartStatus!G$2:G1000)) + ((P451 &lt;&gt; """") * (P451 &gt;= SmartStatus!G$2:G1000)))), if(or(regexmatch(B451, ""(?i)^ir [a-z]+ designation$""), N451 &lt;&gt; """&amp;"""), 1, 2))), """"), ""NO_MATCH"")"),"")</f>
        <v/>
      </c>
      <c r="AS451" s="11"/>
      <c r="AT451" s="15"/>
      <c r="AU451" s="11"/>
      <c r="AV451" s="11"/>
      <c r="AW451" s="15"/>
      <c r="AX451" s="15"/>
      <c r="AY451" s="15"/>
      <c r="AZ451" s="11"/>
      <c r="BA451" s="15"/>
      <c r="BB451" s="11"/>
      <c r="BC451" s="11"/>
      <c r="BD451" s="15"/>
      <c r="BE451" s="11"/>
      <c r="BF451" s="11"/>
      <c r="BG451" s="15"/>
      <c r="BH451" s="15"/>
      <c r="BI451" s="15"/>
      <c r="BJ451" s="11"/>
      <c r="BK451" s="15"/>
      <c r="BL451" s="11"/>
      <c r="BM451" s="11"/>
      <c r="BN451" s="15"/>
      <c r="BO451" s="11"/>
      <c r="BP451" s="11"/>
      <c r="BQ451" s="15"/>
      <c r="BR451" s="15"/>
      <c r="BS451" s="15"/>
      <c r="BT451" s="11"/>
      <c r="BU451" s="15"/>
      <c r="BV451" s="11"/>
      <c r="BW451" s="11"/>
      <c r="BX451" s="15"/>
      <c r="BY451" s="11"/>
      <c r="BZ451" s="11"/>
      <c r="CA451" s="15"/>
      <c r="CB451" s="11"/>
      <c r="CC451" s="15"/>
      <c r="CD451" s="11"/>
      <c r="CE451" s="15"/>
      <c r="CF451" s="11"/>
      <c r="CG451" s="11"/>
      <c r="CH451" s="15"/>
      <c r="CI451" s="11"/>
      <c r="CJ451" s="11"/>
      <c r="CK451" s="15"/>
      <c r="CL451" s="11"/>
      <c r="CM451" s="11"/>
      <c r="CN451" s="11"/>
      <c r="CO451" s="11"/>
      <c r="CP451" s="28"/>
      <c r="CQ451" s="28"/>
      <c r="CR451" s="11"/>
      <c r="CS451" s="29"/>
      <c r="CT451" s="11"/>
      <c r="CU451" s="11"/>
      <c r="CV451" s="11"/>
      <c r="CW451" s="11"/>
      <c r="CX451" s="11"/>
      <c r="CY451" s="11"/>
      <c r="CZ451" s="11"/>
      <c r="DA451" s="28"/>
      <c r="DB451" s="28"/>
      <c r="DC451" s="11"/>
      <c r="DD451" s="29"/>
      <c r="DE451" s="11"/>
      <c r="DF451" s="11"/>
      <c r="DG451" s="11"/>
      <c r="DH451" s="11"/>
      <c r="DI451" s="11"/>
      <c r="DJ451" s="11"/>
      <c r="DK451" s="26"/>
      <c r="DL451" s="11"/>
      <c r="DM451" s="29"/>
      <c r="DN451" s="28"/>
      <c r="DO451" s="11"/>
      <c r="DP451" s="11"/>
      <c r="DQ451" s="11"/>
      <c r="DR451" s="29"/>
      <c r="DS451" s="28"/>
      <c r="DT451" s="11"/>
      <c r="DU451" s="26"/>
      <c r="DV451" s="11"/>
      <c r="DW451" s="29"/>
      <c r="DX451" s="28"/>
      <c r="DY451" s="11"/>
      <c r="DZ451" s="26"/>
      <c r="EA451" s="11"/>
      <c r="EB451" s="29"/>
      <c r="EC451" s="28"/>
      <c r="ED451" s="30"/>
      <c r="EE451" s="30" t="str">
        <f ca="1">IFERROR(__xludf.DUMMYFUNCTION("iferror(index(filter('Internal -- Trademark Countries'!E$2:E1000, (AM451 = 'Internal -- Trademark Countries'!B$2:B1000) + (AM451 = 'Internal -- Trademark Countries'!C$2:C1000) + (AM451 = 'Internal -- Trademark Countries'!D$2:D1000)), 1))"),"")</f>
        <v/>
      </c>
      <c r="EF451" s="30" t="e">
        <f ca="1">_xludf.ifs(AM451="", "", COUNTIF('Internal -- Trademark Countries'!B:B,AM451) &gt; 0, "polity_shortest_name", COUNTIF('Internal -- Trademark Countries'!C:C,AM451) &gt; 0, "polity_full_name", COUNTIF('Internal -- Trademark Countries'!D:D,AM451) &gt; 0, "polity_common_name", COUNTIF('Internal -- Trademark Countries'!E:E,AM451) &gt; 0, "shortest_name", COUNTIF('Internal -- Trademark Countries'!A:A,AM451) &gt; 0, "full_name", TRUE, "not a match")</f>
        <v>#NAME?</v>
      </c>
      <c r="EG451" s="30"/>
      <c r="EH451" s="30"/>
      <c r="EI451" s="30"/>
      <c r="EJ451" s="30"/>
      <c r="EK451" s="30" t="str">
        <f t="shared" si="3"/>
        <v/>
      </c>
    </row>
    <row r="452" spans="1:141" ht="16.5">
      <c r="A452" s="11"/>
      <c r="B452" s="11"/>
      <c r="C452" s="11"/>
      <c r="D452" s="11"/>
      <c r="E452" s="11"/>
      <c r="F452" s="11"/>
      <c r="G452" s="11"/>
      <c r="H452" s="11"/>
      <c r="I452" s="11"/>
      <c r="J452" s="11"/>
      <c r="K452" s="27"/>
      <c r="L452" s="11"/>
      <c r="M452" s="11"/>
      <c r="N452" s="11"/>
      <c r="O452" s="11"/>
      <c r="P452" s="15"/>
      <c r="Q452" s="15"/>
      <c r="R452" s="15"/>
      <c r="S452" s="15"/>
      <c r="T452" s="15"/>
      <c r="U452" s="15"/>
      <c r="V452" s="15"/>
      <c r="W452" s="47"/>
      <c r="X452" s="11"/>
      <c r="Y452" s="48"/>
      <c r="Z452" s="11"/>
      <c r="AA452" s="48"/>
      <c r="AB452" s="11"/>
      <c r="AC452" s="48"/>
      <c r="AD452" s="11"/>
      <c r="AE452" s="47"/>
      <c r="AF452" s="11"/>
      <c r="AG452" s="48"/>
      <c r="AH452" s="11"/>
      <c r="AI452" s="48"/>
      <c r="AJ452" s="11"/>
      <c r="AK452" s="48"/>
      <c r="AL452" s="11"/>
      <c r="AM452" s="49"/>
      <c r="AN452" s="49"/>
      <c r="AO452" s="11"/>
      <c r="AP452" s="11"/>
      <c r="AQ452" s="28" t="b">
        <f>IF(COUNTIF(SmartStatus!A$2:A1000, AM452) &gt; 2, TRUE, FALSE)</f>
        <v>0</v>
      </c>
      <c r="AR452" s="29" t="str">
        <f ca="1">IFERROR(__xludf.DUMMYFUNCTION("iferror(if(regexmatch(AO452, ""(?i)^registered""), if(EE452 &lt;&gt; ""polity_shortest_name"", ""CHECK_POLITY"", index(filter(SmartStatus!B$2:B1000, AM452 = SmartStatus!A$2:A1000, not(SmartStatus!C$2:C1000), (isblank(SmartStatus!D$2:D1000)) + ((P452 &lt;&gt; """") * "&amp;"(P452 &lt; SmartStatus!D$2:D1000)), (isblank(SmartStatus!E$2:E1000)) + ((P452 &lt;&gt; """") * (P452 &gt;= SmartStatus!E$2:E1000)), (isblank(SmartStatus!F$2:F1000)) + (((Q452 &lt;&gt; """") * (Q452 &lt; SmartStatus!F$2:F1000)) + ((P452 &lt;&gt; """") * (date(year(P452) + 3, month(P"&amp;"452), day(P452)) &lt; SmartStatus!F$2:F1000))), (isblank(SmartStatus!G$2:G1000)) + (((Q452 &lt;&gt; """") * (Q452 &gt;= SmartStatus!G$2:G1000)) + ((P452 &lt;&gt; """") * (P452 &gt;= SmartStatus!G$2:G1000)))), if(or(regexmatch(B452, ""(?i)^ir [a-z]+ designation$""), N452 &lt;&gt; """&amp;"""), 1, 2))), """"), ""NO_MATCH"")"),"")</f>
        <v/>
      </c>
      <c r="AS452" s="11"/>
      <c r="AT452" s="15"/>
      <c r="AU452" s="11"/>
      <c r="AV452" s="11"/>
      <c r="AW452" s="15"/>
      <c r="AX452" s="15"/>
      <c r="AY452" s="15"/>
      <c r="AZ452" s="11"/>
      <c r="BA452" s="15"/>
      <c r="BB452" s="11"/>
      <c r="BC452" s="11"/>
      <c r="BD452" s="15"/>
      <c r="BE452" s="11"/>
      <c r="BF452" s="11"/>
      <c r="BG452" s="15"/>
      <c r="BH452" s="15"/>
      <c r="BI452" s="15"/>
      <c r="BJ452" s="11"/>
      <c r="BK452" s="15"/>
      <c r="BL452" s="11"/>
      <c r="BM452" s="11"/>
      <c r="BN452" s="15"/>
      <c r="BO452" s="11"/>
      <c r="BP452" s="11"/>
      <c r="BQ452" s="15"/>
      <c r="BR452" s="15"/>
      <c r="BS452" s="15"/>
      <c r="BT452" s="11"/>
      <c r="BU452" s="15"/>
      <c r="BV452" s="11"/>
      <c r="BW452" s="11"/>
      <c r="BX452" s="15"/>
      <c r="BY452" s="11"/>
      <c r="BZ452" s="11"/>
      <c r="CA452" s="15"/>
      <c r="CB452" s="11"/>
      <c r="CC452" s="15"/>
      <c r="CD452" s="11"/>
      <c r="CE452" s="15"/>
      <c r="CF452" s="11"/>
      <c r="CG452" s="11"/>
      <c r="CH452" s="15"/>
      <c r="CI452" s="11"/>
      <c r="CJ452" s="11"/>
      <c r="CK452" s="15"/>
      <c r="CL452" s="11"/>
      <c r="CM452" s="11"/>
      <c r="CN452" s="11"/>
      <c r="CO452" s="11"/>
      <c r="CP452" s="28"/>
      <c r="CQ452" s="28"/>
      <c r="CR452" s="11"/>
      <c r="CS452" s="29"/>
      <c r="CT452" s="11"/>
      <c r="CU452" s="11"/>
      <c r="CV452" s="11"/>
      <c r="CW452" s="11"/>
      <c r="CX452" s="11"/>
      <c r="CY452" s="11"/>
      <c r="CZ452" s="11"/>
      <c r="DA452" s="28"/>
      <c r="DB452" s="28"/>
      <c r="DC452" s="11"/>
      <c r="DD452" s="29"/>
      <c r="DE452" s="11"/>
      <c r="DF452" s="11"/>
      <c r="DG452" s="11"/>
      <c r="DH452" s="11"/>
      <c r="DI452" s="11"/>
      <c r="DJ452" s="11"/>
      <c r="DK452" s="26"/>
      <c r="DL452" s="11"/>
      <c r="DM452" s="29"/>
      <c r="DN452" s="28"/>
      <c r="DO452" s="11"/>
      <c r="DP452" s="11"/>
      <c r="DQ452" s="11"/>
      <c r="DR452" s="29"/>
      <c r="DS452" s="28"/>
      <c r="DT452" s="11"/>
      <c r="DU452" s="26"/>
      <c r="DV452" s="11"/>
      <c r="DW452" s="29"/>
      <c r="DX452" s="28"/>
      <c r="DY452" s="11"/>
      <c r="DZ452" s="26"/>
      <c r="EA452" s="11"/>
      <c r="EB452" s="29"/>
      <c r="EC452" s="28"/>
      <c r="ED452" s="30"/>
      <c r="EE452" s="30" t="str">
        <f ca="1">IFERROR(__xludf.DUMMYFUNCTION("iferror(index(filter('Internal -- Trademark Countries'!E$2:E1000, (AM452 = 'Internal -- Trademark Countries'!B$2:B1000) + (AM452 = 'Internal -- Trademark Countries'!C$2:C1000) + (AM452 = 'Internal -- Trademark Countries'!D$2:D1000)), 1))"),"")</f>
        <v/>
      </c>
      <c r="EF452" s="30" t="e">
        <f ca="1">_xludf.ifs(AM452="", "", COUNTIF('Internal -- Trademark Countries'!B:B,AM452) &gt; 0, "polity_shortest_name", COUNTIF('Internal -- Trademark Countries'!C:C,AM452) &gt; 0, "polity_full_name", COUNTIF('Internal -- Trademark Countries'!D:D,AM452) &gt; 0, "polity_common_name", COUNTIF('Internal -- Trademark Countries'!E:E,AM452) &gt; 0, "shortest_name", COUNTIF('Internal -- Trademark Countries'!A:A,AM452) &gt; 0, "full_name", TRUE, "not a match")</f>
        <v>#NAME?</v>
      </c>
      <c r="EG452" s="30"/>
      <c r="EH452" s="30"/>
      <c r="EI452" s="30"/>
      <c r="EJ452" s="30"/>
      <c r="EK452" s="30" t="str">
        <f t="shared" si="3"/>
        <v/>
      </c>
    </row>
    <row r="453" spans="1:141" ht="16.5">
      <c r="A453" s="11"/>
      <c r="B453" s="11"/>
      <c r="C453" s="11"/>
      <c r="D453" s="11"/>
      <c r="E453" s="11"/>
      <c r="F453" s="11"/>
      <c r="G453" s="11"/>
      <c r="H453" s="11"/>
      <c r="I453" s="11"/>
      <c r="J453" s="11"/>
      <c r="K453" s="27"/>
      <c r="L453" s="11"/>
      <c r="M453" s="11"/>
      <c r="N453" s="11"/>
      <c r="O453" s="11"/>
      <c r="P453" s="15"/>
      <c r="Q453" s="15"/>
      <c r="R453" s="15"/>
      <c r="S453" s="15"/>
      <c r="T453" s="15"/>
      <c r="U453" s="15"/>
      <c r="V453" s="15"/>
      <c r="W453" s="47"/>
      <c r="X453" s="11"/>
      <c r="Y453" s="48"/>
      <c r="Z453" s="11"/>
      <c r="AA453" s="48"/>
      <c r="AB453" s="11"/>
      <c r="AC453" s="48"/>
      <c r="AD453" s="11"/>
      <c r="AE453" s="47"/>
      <c r="AF453" s="11"/>
      <c r="AG453" s="48"/>
      <c r="AH453" s="11"/>
      <c r="AI453" s="48"/>
      <c r="AJ453" s="11"/>
      <c r="AK453" s="48"/>
      <c r="AL453" s="11"/>
      <c r="AM453" s="49"/>
      <c r="AN453" s="49"/>
      <c r="AO453" s="11"/>
      <c r="AP453" s="11"/>
      <c r="AQ453" s="28" t="b">
        <f>IF(COUNTIF(SmartStatus!A$2:A1000, AM453) &gt; 2, TRUE, FALSE)</f>
        <v>0</v>
      </c>
      <c r="AR453" s="29" t="str">
        <f ca="1">IFERROR(__xludf.DUMMYFUNCTION("iferror(if(regexmatch(AO453, ""(?i)^registered""), if(EE453 &lt;&gt; ""polity_shortest_name"", ""CHECK_POLITY"", index(filter(SmartStatus!B$2:B1000, AM453 = SmartStatus!A$2:A1000, not(SmartStatus!C$2:C1000), (isblank(SmartStatus!D$2:D1000)) + ((P453 &lt;&gt; """") * "&amp;"(P453 &lt; SmartStatus!D$2:D1000)), (isblank(SmartStatus!E$2:E1000)) + ((P453 &lt;&gt; """") * (P453 &gt;= SmartStatus!E$2:E1000)), (isblank(SmartStatus!F$2:F1000)) + (((Q453 &lt;&gt; """") * (Q453 &lt; SmartStatus!F$2:F1000)) + ((P453 &lt;&gt; """") * (date(year(P453) + 3, month(P"&amp;"453), day(P453)) &lt; SmartStatus!F$2:F1000))), (isblank(SmartStatus!G$2:G1000)) + (((Q453 &lt;&gt; """") * (Q453 &gt;= SmartStatus!G$2:G1000)) + ((P453 &lt;&gt; """") * (P453 &gt;= SmartStatus!G$2:G1000)))), if(or(regexmatch(B453, ""(?i)^ir [a-z]+ designation$""), N453 &lt;&gt; """&amp;"""), 1, 2))), """"), ""NO_MATCH"")"),"")</f>
        <v/>
      </c>
      <c r="AS453" s="11"/>
      <c r="AT453" s="15"/>
      <c r="AU453" s="11"/>
      <c r="AV453" s="11"/>
      <c r="AW453" s="15"/>
      <c r="AX453" s="15"/>
      <c r="AY453" s="15"/>
      <c r="AZ453" s="11"/>
      <c r="BA453" s="15"/>
      <c r="BB453" s="11"/>
      <c r="BC453" s="11"/>
      <c r="BD453" s="15"/>
      <c r="BE453" s="11"/>
      <c r="BF453" s="11"/>
      <c r="BG453" s="15"/>
      <c r="BH453" s="15"/>
      <c r="BI453" s="15"/>
      <c r="BJ453" s="11"/>
      <c r="BK453" s="15"/>
      <c r="BL453" s="11"/>
      <c r="BM453" s="11"/>
      <c r="BN453" s="15"/>
      <c r="BO453" s="11"/>
      <c r="BP453" s="11"/>
      <c r="BQ453" s="15"/>
      <c r="BR453" s="15"/>
      <c r="BS453" s="15"/>
      <c r="BT453" s="11"/>
      <c r="BU453" s="15"/>
      <c r="BV453" s="11"/>
      <c r="BW453" s="11"/>
      <c r="BX453" s="15"/>
      <c r="BY453" s="11"/>
      <c r="BZ453" s="11"/>
      <c r="CA453" s="15"/>
      <c r="CB453" s="11"/>
      <c r="CC453" s="15"/>
      <c r="CD453" s="11"/>
      <c r="CE453" s="15"/>
      <c r="CF453" s="11"/>
      <c r="CG453" s="11"/>
      <c r="CH453" s="15"/>
      <c r="CI453" s="11"/>
      <c r="CJ453" s="11"/>
      <c r="CK453" s="15"/>
      <c r="CL453" s="11"/>
      <c r="CM453" s="11"/>
      <c r="CN453" s="11"/>
      <c r="CO453" s="11"/>
      <c r="CP453" s="28"/>
      <c r="CQ453" s="28"/>
      <c r="CR453" s="11"/>
      <c r="CS453" s="29"/>
      <c r="CT453" s="11"/>
      <c r="CU453" s="11"/>
      <c r="CV453" s="11"/>
      <c r="CW453" s="11"/>
      <c r="CX453" s="11"/>
      <c r="CY453" s="11"/>
      <c r="CZ453" s="11"/>
      <c r="DA453" s="28"/>
      <c r="DB453" s="28"/>
      <c r="DC453" s="11"/>
      <c r="DD453" s="29"/>
      <c r="DE453" s="11"/>
      <c r="DF453" s="11"/>
      <c r="DG453" s="11"/>
      <c r="DH453" s="11"/>
      <c r="DI453" s="11"/>
      <c r="DJ453" s="11"/>
      <c r="DK453" s="26"/>
      <c r="DL453" s="11"/>
      <c r="DM453" s="29"/>
      <c r="DN453" s="28"/>
      <c r="DO453" s="11"/>
      <c r="DP453" s="11"/>
      <c r="DQ453" s="11"/>
      <c r="DR453" s="29"/>
      <c r="DS453" s="28"/>
      <c r="DT453" s="11"/>
      <c r="DU453" s="26"/>
      <c r="DV453" s="11"/>
      <c r="DW453" s="29"/>
      <c r="DX453" s="28"/>
      <c r="DY453" s="11"/>
      <c r="DZ453" s="26"/>
      <c r="EA453" s="11"/>
      <c r="EB453" s="29"/>
      <c r="EC453" s="28"/>
      <c r="ED453" s="30"/>
      <c r="EE453" s="30" t="str">
        <f ca="1">IFERROR(__xludf.DUMMYFUNCTION("iferror(index(filter('Internal -- Trademark Countries'!E$2:E1000, (AM453 = 'Internal -- Trademark Countries'!B$2:B1000) + (AM453 = 'Internal -- Trademark Countries'!C$2:C1000) + (AM453 = 'Internal -- Trademark Countries'!D$2:D1000)), 1))"),"")</f>
        <v/>
      </c>
      <c r="EF453" s="30" t="e">
        <f ca="1">_xludf.ifs(AM453="", "", COUNTIF('Internal -- Trademark Countries'!B:B,AM453) &gt; 0, "polity_shortest_name", COUNTIF('Internal -- Trademark Countries'!C:C,AM453) &gt; 0, "polity_full_name", COUNTIF('Internal -- Trademark Countries'!D:D,AM453) &gt; 0, "polity_common_name", COUNTIF('Internal -- Trademark Countries'!E:E,AM453) &gt; 0, "shortest_name", COUNTIF('Internal -- Trademark Countries'!A:A,AM453) &gt; 0, "full_name", TRUE, "not a match")</f>
        <v>#NAME?</v>
      </c>
      <c r="EG453" s="30"/>
      <c r="EH453" s="30"/>
      <c r="EI453" s="30"/>
      <c r="EJ453" s="30"/>
      <c r="EK453" s="30" t="str">
        <f t="shared" si="3"/>
        <v/>
      </c>
    </row>
    <row r="454" spans="1:141" ht="16.5">
      <c r="A454" s="11"/>
      <c r="B454" s="11"/>
      <c r="C454" s="11"/>
      <c r="D454" s="11"/>
      <c r="E454" s="11"/>
      <c r="F454" s="11"/>
      <c r="G454" s="11"/>
      <c r="H454" s="11"/>
      <c r="I454" s="11"/>
      <c r="J454" s="11"/>
      <c r="K454" s="27"/>
      <c r="L454" s="11"/>
      <c r="M454" s="11"/>
      <c r="N454" s="11"/>
      <c r="O454" s="11"/>
      <c r="P454" s="15"/>
      <c r="Q454" s="15"/>
      <c r="R454" s="15"/>
      <c r="S454" s="15"/>
      <c r="T454" s="15"/>
      <c r="U454" s="15"/>
      <c r="V454" s="15"/>
      <c r="W454" s="47"/>
      <c r="X454" s="11"/>
      <c r="Y454" s="48"/>
      <c r="Z454" s="11"/>
      <c r="AA454" s="48"/>
      <c r="AB454" s="11"/>
      <c r="AC454" s="48"/>
      <c r="AD454" s="11"/>
      <c r="AE454" s="47"/>
      <c r="AF454" s="11"/>
      <c r="AG454" s="48"/>
      <c r="AH454" s="11"/>
      <c r="AI454" s="48"/>
      <c r="AJ454" s="11"/>
      <c r="AK454" s="48"/>
      <c r="AL454" s="11"/>
      <c r="AM454" s="49"/>
      <c r="AN454" s="49"/>
      <c r="AO454" s="11"/>
      <c r="AP454" s="11"/>
      <c r="AQ454" s="28" t="b">
        <f>IF(COUNTIF(SmartStatus!A$2:A1000, AM454) &gt; 2, TRUE, FALSE)</f>
        <v>0</v>
      </c>
      <c r="AR454" s="29" t="str">
        <f ca="1">IFERROR(__xludf.DUMMYFUNCTION("iferror(if(regexmatch(AO454, ""(?i)^registered""), if(EE454 &lt;&gt; ""polity_shortest_name"", ""CHECK_POLITY"", index(filter(SmartStatus!B$2:B1000, AM454 = SmartStatus!A$2:A1000, not(SmartStatus!C$2:C1000), (isblank(SmartStatus!D$2:D1000)) + ((P454 &lt;&gt; """") * "&amp;"(P454 &lt; SmartStatus!D$2:D1000)), (isblank(SmartStatus!E$2:E1000)) + ((P454 &lt;&gt; """") * (P454 &gt;= SmartStatus!E$2:E1000)), (isblank(SmartStatus!F$2:F1000)) + (((Q454 &lt;&gt; """") * (Q454 &lt; SmartStatus!F$2:F1000)) + ((P454 &lt;&gt; """") * (date(year(P454) + 3, month(P"&amp;"454), day(P454)) &lt; SmartStatus!F$2:F1000))), (isblank(SmartStatus!G$2:G1000)) + (((Q454 &lt;&gt; """") * (Q454 &gt;= SmartStatus!G$2:G1000)) + ((P454 &lt;&gt; """") * (P454 &gt;= SmartStatus!G$2:G1000)))), if(or(regexmatch(B454, ""(?i)^ir [a-z]+ designation$""), N454 &lt;&gt; """&amp;"""), 1, 2))), """"), ""NO_MATCH"")"),"")</f>
        <v/>
      </c>
      <c r="AS454" s="11"/>
      <c r="AT454" s="15"/>
      <c r="AU454" s="11"/>
      <c r="AV454" s="11"/>
      <c r="AW454" s="15"/>
      <c r="AX454" s="15"/>
      <c r="AY454" s="15"/>
      <c r="AZ454" s="11"/>
      <c r="BA454" s="15"/>
      <c r="BB454" s="11"/>
      <c r="BC454" s="11"/>
      <c r="BD454" s="15"/>
      <c r="BE454" s="11"/>
      <c r="BF454" s="11"/>
      <c r="BG454" s="15"/>
      <c r="BH454" s="15"/>
      <c r="BI454" s="15"/>
      <c r="BJ454" s="11"/>
      <c r="BK454" s="15"/>
      <c r="BL454" s="11"/>
      <c r="BM454" s="11"/>
      <c r="BN454" s="15"/>
      <c r="BO454" s="11"/>
      <c r="BP454" s="11"/>
      <c r="BQ454" s="15"/>
      <c r="BR454" s="15"/>
      <c r="BS454" s="15"/>
      <c r="BT454" s="11"/>
      <c r="BU454" s="15"/>
      <c r="BV454" s="11"/>
      <c r="BW454" s="11"/>
      <c r="BX454" s="15"/>
      <c r="BY454" s="11"/>
      <c r="BZ454" s="11"/>
      <c r="CA454" s="15"/>
      <c r="CB454" s="11"/>
      <c r="CC454" s="15"/>
      <c r="CD454" s="11"/>
      <c r="CE454" s="15"/>
      <c r="CF454" s="11"/>
      <c r="CG454" s="11"/>
      <c r="CH454" s="15"/>
      <c r="CI454" s="11"/>
      <c r="CJ454" s="11"/>
      <c r="CK454" s="15"/>
      <c r="CL454" s="11"/>
      <c r="CM454" s="11"/>
      <c r="CN454" s="11"/>
      <c r="CO454" s="11"/>
      <c r="CP454" s="28"/>
      <c r="CQ454" s="28"/>
      <c r="CR454" s="11"/>
      <c r="CS454" s="29"/>
      <c r="CT454" s="11"/>
      <c r="CU454" s="11"/>
      <c r="CV454" s="11"/>
      <c r="CW454" s="11"/>
      <c r="CX454" s="11"/>
      <c r="CY454" s="11"/>
      <c r="CZ454" s="11"/>
      <c r="DA454" s="28"/>
      <c r="DB454" s="28"/>
      <c r="DC454" s="11"/>
      <c r="DD454" s="29"/>
      <c r="DE454" s="11"/>
      <c r="DF454" s="11"/>
      <c r="DG454" s="11"/>
      <c r="DH454" s="11"/>
      <c r="DI454" s="11"/>
      <c r="DJ454" s="11"/>
      <c r="DK454" s="26"/>
      <c r="DL454" s="11"/>
      <c r="DM454" s="29"/>
      <c r="DN454" s="28"/>
      <c r="DO454" s="11"/>
      <c r="DP454" s="11"/>
      <c r="DQ454" s="11"/>
      <c r="DR454" s="29"/>
      <c r="DS454" s="28"/>
      <c r="DT454" s="11"/>
      <c r="DU454" s="26"/>
      <c r="DV454" s="11"/>
      <c r="DW454" s="29"/>
      <c r="DX454" s="28"/>
      <c r="DY454" s="11"/>
      <c r="DZ454" s="26"/>
      <c r="EA454" s="11"/>
      <c r="EB454" s="29"/>
      <c r="EC454" s="28"/>
      <c r="ED454" s="30"/>
      <c r="EE454" s="30" t="str">
        <f ca="1">IFERROR(__xludf.DUMMYFUNCTION("iferror(index(filter('Internal -- Trademark Countries'!E$2:E1000, (AM454 = 'Internal -- Trademark Countries'!B$2:B1000) + (AM454 = 'Internal -- Trademark Countries'!C$2:C1000) + (AM454 = 'Internal -- Trademark Countries'!D$2:D1000)), 1))"),"")</f>
        <v/>
      </c>
      <c r="EF454" s="30" t="e">
        <f ca="1">_xludf.ifs(AM454="", "", COUNTIF('Internal -- Trademark Countries'!B:B,AM454) &gt; 0, "polity_shortest_name", COUNTIF('Internal -- Trademark Countries'!C:C,AM454) &gt; 0, "polity_full_name", COUNTIF('Internal -- Trademark Countries'!D:D,AM454) &gt; 0, "polity_common_name", COUNTIF('Internal -- Trademark Countries'!E:E,AM454) &gt; 0, "shortest_name", COUNTIF('Internal -- Trademark Countries'!A:A,AM454) &gt; 0, "full_name", TRUE, "not a match")</f>
        <v>#NAME?</v>
      </c>
      <c r="EG454" s="30"/>
      <c r="EH454" s="30"/>
      <c r="EI454" s="30"/>
      <c r="EJ454" s="30"/>
      <c r="EK454" s="30" t="str">
        <f t="shared" si="3"/>
        <v/>
      </c>
    </row>
    <row r="455" spans="1:141" ht="16.5">
      <c r="A455" s="11"/>
      <c r="B455" s="11"/>
      <c r="C455" s="11"/>
      <c r="D455" s="11"/>
      <c r="E455" s="11"/>
      <c r="F455" s="11"/>
      <c r="G455" s="11"/>
      <c r="H455" s="11"/>
      <c r="I455" s="11"/>
      <c r="J455" s="11"/>
      <c r="K455" s="27"/>
      <c r="L455" s="11"/>
      <c r="M455" s="11"/>
      <c r="N455" s="11"/>
      <c r="O455" s="11"/>
      <c r="P455" s="15"/>
      <c r="Q455" s="15"/>
      <c r="R455" s="15"/>
      <c r="S455" s="15"/>
      <c r="T455" s="15"/>
      <c r="U455" s="15"/>
      <c r="V455" s="15"/>
      <c r="W455" s="47"/>
      <c r="X455" s="11"/>
      <c r="Y455" s="48"/>
      <c r="Z455" s="11"/>
      <c r="AA455" s="48"/>
      <c r="AB455" s="11"/>
      <c r="AC455" s="48"/>
      <c r="AD455" s="11"/>
      <c r="AE455" s="47"/>
      <c r="AF455" s="11"/>
      <c r="AG455" s="48"/>
      <c r="AH455" s="11"/>
      <c r="AI455" s="48"/>
      <c r="AJ455" s="11"/>
      <c r="AK455" s="48"/>
      <c r="AL455" s="11"/>
      <c r="AM455" s="49"/>
      <c r="AN455" s="49"/>
      <c r="AO455" s="11"/>
      <c r="AP455" s="11"/>
      <c r="AQ455" s="28" t="b">
        <f>IF(COUNTIF(SmartStatus!A$2:A1000, AM455) &gt; 2, TRUE, FALSE)</f>
        <v>0</v>
      </c>
      <c r="AR455" s="29" t="str">
        <f ca="1">IFERROR(__xludf.DUMMYFUNCTION("iferror(if(regexmatch(AO455, ""(?i)^registered""), if(EE455 &lt;&gt; ""polity_shortest_name"", ""CHECK_POLITY"", index(filter(SmartStatus!B$2:B1000, AM455 = SmartStatus!A$2:A1000, not(SmartStatus!C$2:C1000), (isblank(SmartStatus!D$2:D1000)) + ((P455 &lt;&gt; """") * "&amp;"(P455 &lt; SmartStatus!D$2:D1000)), (isblank(SmartStatus!E$2:E1000)) + ((P455 &lt;&gt; """") * (P455 &gt;= SmartStatus!E$2:E1000)), (isblank(SmartStatus!F$2:F1000)) + (((Q455 &lt;&gt; """") * (Q455 &lt; SmartStatus!F$2:F1000)) + ((P455 &lt;&gt; """") * (date(year(P455) + 3, month(P"&amp;"455), day(P455)) &lt; SmartStatus!F$2:F1000))), (isblank(SmartStatus!G$2:G1000)) + (((Q455 &lt;&gt; """") * (Q455 &gt;= SmartStatus!G$2:G1000)) + ((P455 &lt;&gt; """") * (P455 &gt;= SmartStatus!G$2:G1000)))), if(or(regexmatch(B455, ""(?i)^ir [a-z]+ designation$""), N455 &lt;&gt; """&amp;"""), 1, 2))), """"), ""NO_MATCH"")"),"")</f>
        <v/>
      </c>
      <c r="AS455" s="11"/>
      <c r="AT455" s="15"/>
      <c r="AU455" s="11"/>
      <c r="AV455" s="11"/>
      <c r="AW455" s="15"/>
      <c r="AX455" s="15"/>
      <c r="AY455" s="15"/>
      <c r="AZ455" s="11"/>
      <c r="BA455" s="15"/>
      <c r="BB455" s="11"/>
      <c r="BC455" s="11"/>
      <c r="BD455" s="15"/>
      <c r="BE455" s="11"/>
      <c r="BF455" s="11"/>
      <c r="BG455" s="15"/>
      <c r="BH455" s="15"/>
      <c r="BI455" s="15"/>
      <c r="BJ455" s="11"/>
      <c r="BK455" s="15"/>
      <c r="BL455" s="11"/>
      <c r="BM455" s="11"/>
      <c r="BN455" s="15"/>
      <c r="BO455" s="11"/>
      <c r="BP455" s="11"/>
      <c r="BQ455" s="15"/>
      <c r="BR455" s="15"/>
      <c r="BS455" s="15"/>
      <c r="BT455" s="11"/>
      <c r="BU455" s="15"/>
      <c r="BV455" s="11"/>
      <c r="BW455" s="11"/>
      <c r="BX455" s="15"/>
      <c r="BY455" s="11"/>
      <c r="BZ455" s="11"/>
      <c r="CA455" s="15"/>
      <c r="CB455" s="11"/>
      <c r="CC455" s="15"/>
      <c r="CD455" s="11"/>
      <c r="CE455" s="15"/>
      <c r="CF455" s="11"/>
      <c r="CG455" s="11"/>
      <c r="CH455" s="15"/>
      <c r="CI455" s="11"/>
      <c r="CJ455" s="11"/>
      <c r="CK455" s="15"/>
      <c r="CL455" s="11"/>
      <c r="CM455" s="11"/>
      <c r="CN455" s="11"/>
      <c r="CO455" s="11"/>
      <c r="CP455" s="28"/>
      <c r="CQ455" s="28"/>
      <c r="CR455" s="11"/>
      <c r="CS455" s="29"/>
      <c r="CT455" s="11"/>
      <c r="CU455" s="11"/>
      <c r="CV455" s="11"/>
      <c r="CW455" s="11"/>
      <c r="CX455" s="11"/>
      <c r="CY455" s="11"/>
      <c r="CZ455" s="11"/>
      <c r="DA455" s="28"/>
      <c r="DB455" s="28"/>
      <c r="DC455" s="11"/>
      <c r="DD455" s="29"/>
      <c r="DE455" s="11"/>
      <c r="DF455" s="11"/>
      <c r="DG455" s="11"/>
      <c r="DH455" s="11"/>
      <c r="DI455" s="11"/>
      <c r="DJ455" s="11"/>
      <c r="DK455" s="26"/>
      <c r="DL455" s="11"/>
      <c r="DM455" s="29"/>
      <c r="DN455" s="28"/>
      <c r="DO455" s="11"/>
      <c r="DP455" s="11"/>
      <c r="DQ455" s="11"/>
      <c r="DR455" s="29"/>
      <c r="DS455" s="28"/>
      <c r="DT455" s="11"/>
      <c r="DU455" s="26"/>
      <c r="DV455" s="11"/>
      <c r="DW455" s="29"/>
      <c r="DX455" s="28"/>
      <c r="DY455" s="11"/>
      <c r="DZ455" s="26"/>
      <c r="EA455" s="11"/>
      <c r="EB455" s="29"/>
      <c r="EC455" s="28"/>
      <c r="ED455" s="30"/>
      <c r="EE455" s="30" t="str">
        <f ca="1">IFERROR(__xludf.DUMMYFUNCTION("iferror(index(filter('Internal -- Trademark Countries'!E$2:E1000, (AM455 = 'Internal -- Trademark Countries'!B$2:B1000) + (AM455 = 'Internal -- Trademark Countries'!C$2:C1000) + (AM455 = 'Internal -- Trademark Countries'!D$2:D1000)), 1))"),"")</f>
        <v/>
      </c>
      <c r="EF455" s="30" t="e">
        <f ca="1">_xludf.ifs(AM455="", "", COUNTIF('Internal -- Trademark Countries'!B:B,AM455) &gt; 0, "polity_shortest_name", COUNTIF('Internal -- Trademark Countries'!C:C,AM455) &gt; 0, "polity_full_name", COUNTIF('Internal -- Trademark Countries'!D:D,AM455) &gt; 0, "polity_common_name", COUNTIF('Internal -- Trademark Countries'!E:E,AM455) &gt; 0, "shortest_name", COUNTIF('Internal -- Trademark Countries'!A:A,AM455) &gt; 0, "full_name", TRUE, "not a match")</f>
        <v>#NAME?</v>
      </c>
      <c r="EG455" s="30"/>
      <c r="EH455" s="30"/>
      <c r="EI455" s="30"/>
      <c r="EJ455" s="30"/>
      <c r="EK455" s="30" t="str">
        <f t="shared" si="3"/>
        <v/>
      </c>
    </row>
    <row r="456" spans="1:141" ht="16.5">
      <c r="A456" s="11"/>
      <c r="B456" s="11"/>
      <c r="C456" s="11"/>
      <c r="D456" s="11"/>
      <c r="E456" s="11"/>
      <c r="F456" s="11"/>
      <c r="G456" s="11"/>
      <c r="H456" s="11"/>
      <c r="I456" s="11"/>
      <c r="J456" s="11"/>
      <c r="K456" s="27"/>
      <c r="L456" s="11"/>
      <c r="M456" s="11"/>
      <c r="N456" s="11"/>
      <c r="O456" s="11"/>
      <c r="P456" s="15"/>
      <c r="Q456" s="15"/>
      <c r="R456" s="15"/>
      <c r="S456" s="15"/>
      <c r="T456" s="15"/>
      <c r="U456" s="15"/>
      <c r="V456" s="15"/>
      <c r="W456" s="47"/>
      <c r="X456" s="11"/>
      <c r="Y456" s="48"/>
      <c r="Z456" s="11"/>
      <c r="AA456" s="48"/>
      <c r="AB456" s="11"/>
      <c r="AC456" s="48"/>
      <c r="AD456" s="11"/>
      <c r="AE456" s="47"/>
      <c r="AF456" s="11"/>
      <c r="AG456" s="48"/>
      <c r="AH456" s="11"/>
      <c r="AI456" s="48"/>
      <c r="AJ456" s="11"/>
      <c r="AK456" s="48"/>
      <c r="AL456" s="11"/>
      <c r="AM456" s="49"/>
      <c r="AN456" s="49"/>
      <c r="AO456" s="11"/>
      <c r="AP456" s="11"/>
      <c r="AQ456" s="28" t="b">
        <f>IF(COUNTIF(SmartStatus!A$2:A1000, AM456) &gt; 2, TRUE, FALSE)</f>
        <v>0</v>
      </c>
      <c r="AR456" s="29" t="str">
        <f ca="1">IFERROR(__xludf.DUMMYFUNCTION("iferror(if(regexmatch(AO456, ""(?i)^registered""), if(EE456 &lt;&gt; ""polity_shortest_name"", ""CHECK_POLITY"", index(filter(SmartStatus!B$2:B1000, AM456 = SmartStatus!A$2:A1000, not(SmartStatus!C$2:C1000), (isblank(SmartStatus!D$2:D1000)) + ((P456 &lt;&gt; """") * "&amp;"(P456 &lt; SmartStatus!D$2:D1000)), (isblank(SmartStatus!E$2:E1000)) + ((P456 &lt;&gt; """") * (P456 &gt;= SmartStatus!E$2:E1000)), (isblank(SmartStatus!F$2:F1000)) + (((Q456 &lt;&gt; """") * (Q456 &lt; SmartStatus!F$2:F1000)) + ((P456 &lt;&gt; """") * (date(year(P456) + 3, month(P"&amp;"456), day(P456)) &lt; SmartStatus!F$2:F1000))), (isblank(SmartStatus!G$2:G1000)) + (((Q456 &lt;&gt; """") * (Q456 &gt;= SmartStatus!G$2:G1000)) + ((P456 &lt;&gt; """") * (P456 &gt;= SmartStatus!G$2:G1000)))), if(or(regexmatch(B456, ""(?i)^ir [a-z]+ designation$""), N456 &lt;&gt; """&amp;"""), 1, 2))), """"), ""NO_MATCH"")"),"")</f>
        <v/>
      </c>
      <c r="AS456" s="11"/>
      <c r="AT456" s="15"/>
      <c r="AU456" s="11"/>
      <c r="AV456" s="11"/>
      <c r="AW456" s="15"/>
      <c r="AX456" s="15"/>
      <c r="AY456" s="15"/>
      <c r="AZ456" s="11"/>
      <c r="BA456" s="15"/>
      <c r="BB456" s="11"/>
      <c r="BC456" s="11"/>
      <c r="BD456" s="15"/>
      <c r="BE456" s="11"/>
      <c r="BF456" s="11"/>
      <c r="BG456" s="15"/>
      <c r="BH456" s="15"/>
      <c r="BI456" s="15"/>
      <c r="BJ456" s="11"/>
      <c r="BK456" s="15"/>
      <c r="BL456" s="11"/>
      <c r="BM456" s="11"/>
      <c r="BN456" s="15"/>
      <c r="BO456" s="11"/>
      <c r="BP456" s="11"/>
      <c r="BQ456" s="15"/>
      <c r="BR456" s="15"/>
      <c r="BS456" s="15"/>
      <c r="BT456" s="11"/>
      <c r="BU456" s="15"/>
      <c r="BV456" s="11"/>
      <c r="BW456" s="11"/>
      <c r="BX456" s="15"/>
      <c r="BY456" s="11"/>
      <c r="BZ456" s="11"/>
      <c r="CA456" s="15"/>
      <c r="CB456" s="11"/>
      <c r="CC456" s="15"/>
      <c r="CD456" s="11"/>
      <c r="CE456" s="15"/>
      <c r="CF456" s="11"/>
      <c r="CG456" s="11"/>
      <c r="CH456" s="15"/>
      <c r="CI456" s="11"/>
      <c r="CJ456" s="11"/>
      <c r="CK456" s="15"/>
      <c r="CL456" s="11"/>
      <c r="CM456" s="11"/>
      <c r="CN456" s="11"/>
      <c r="CO456" s="11"/>
      <c r="CP456" s="28"/>
      <c r="CQ456" s="28"/>
      <c r="CR456" s="11"/>
      <c r="CS456" s="29"/>
      <c r="CT456" s="11"/>
      <c r="CU456" s="11"/>
      <c r="CV456" s="11"/>
      <c r="CW456" s="11"/>
      <c r="CX456" s="11"/>
      <c r="CY456" s="11"/>
      <c r="CZ456" s="11"/>
      <c r="DA456" s="28"/>
      <c r="DB456" s="28"/>
      <c r="DC456" s="11"/>
      <c r="DD456" s="29"/>
      <c r="DE456" s="11"/>
      <c r="DF456" s="11"/>
      <c r="DG456" s="11"/>
      <c r="DH456" s="11"/>
      <c r="DI456" s="11"/>
      <c r="DJ456" s="11"/>
      <c r="DK456" s="26"/>
      <c r="DL456" s="11"/>
      <c r="DM456" s="29"/>
      <c r="DN456" s="28"/>
      <c r="DO456" s="11"/>
      <c r="DP456" s="11"/>
      <c r="DQ456" s="11"/>
      <c r="DR456" s="29"/>
      <c r="DS456" s="28"/>
      <c r="DT456" s="11"/>
      <c r="DU456" s="26"/>
      <c r="DV456" s="11"/>
      <c r="DW456" s="29"/>
      <c r="DX456" s="28"/>
      <c r="DY456" s="11"/>
      <c r="DZ456" s="26"/>
      <c r="EA456" s="11"/>
      <c r="EB456" s="29"/>
      <c r="EC456" s="28"/>
      <c r="ED456" s="30"/>
      <c r="EE456" s="30" t="str">
        <f ca="1">IFERROR(__xludf.DUMMYFUNCTION("iferror(index(filter('Internal -- Trademark Countries'!E$2:E1000, (AM456 = 'Internal -- Trademark Countries'!B$2:B1000) + (AM456 = 'Internal -- Trademark Countries'!C$2:C1000) + (AM456 = 'Internal -- Trademark Countries'!D$2:D1000)), 1))"),"")</f>
        <v/>
      </c>
      <c r="EF456" s="30" t="e">
        <f ca="1">_xludf.ifs(AM456="", "", COUNTIF('Internal -- Trademark Countries'!B:B,AM456) &gt; 0, "polity_shortest_name", COUNTIF('Internal -- Trademark Countries'!C:C,AM456) &gt; 0, "polity_full_name", COUNTIF('Internal -- Trademark Countries'!D:D,AM456) &gt; 0, "polity_common_name", COUNTIF('Internal -- Trademark Countries'!E:E,AM456) &gt; 0, "shortest_name", COUNTIF('Internal -- Trademark Countries'!A:A,AM456) &gt; 0, "full_name", TRUE, "not a match")</f>
        <v>#NAME?</v>
      </c>
      <c r="EG456" s="30"/>
      <c r="EH456" s="30"/>
      <c r="EI456" s="30"/>
      <c r="EJ456" s="30"/>
      <c r="EK456" s="30" t="str">
        <f t="shared" si="3"/>
        <v/>
      </c>
    </row>
    <row r="457" spans="1:141" ht="16.5">
      <c r="A457" s="11"/>
      <c r="B457" s="11"/>
      <c r="C457" s="11"/>
      <c r="D457" s="11"/>
      <c r="E457" s="11"/>
      <c r="F457" s="11"/>
      <c r="G457" s="11"/>
      <c r="H457" s="11"/>
      <c r="I457" s="11"/>
      <c r="J457" s="11"/>
      <c r="K457" s="27"/>
      <c r="L457" s="11"/>
      <c r="M457" s="11"/>
      <c r="N457" s="11"/>
      <c r="O457" s="11"/>
      <c r="P457" s="15"/>
      <c r="Q457" s="15"/>
      <c r="R457" s="15"/>
      <c r="S457" s="15"/>
      <c r="T457" s="15"/>
      <c r="U457" s="15"/>
      <c r="V457" s="15"/>
      <c r="W457" s="47"/>
      <c r="X457" s="11"/>
      <c r="Y457" s="48"/>
      <c r="Z457" s="11"/>
      <c r="AA457" s="48"/>
      <c r="AB457" s="11"/>
      <c r="AC457" s="48"/>
      <c r="AD457" s="11"/>
      <c r="AE457" s="47"/>
      <c r="AF457" s="11"/>
      <c r="AG457" s="48"/>
      <c r="AH457" s="11"/>
      <c r="AI457" s="48"/>
      <c r="AJ457" s="11"/>
      <c r="AK457" s="48"/>
      <c r="AL457" s="11"/>
      <c r="AM457" s="49"/>
      <c r="AN457" s="49"/>
      <c r="AO457" s="11"/>
      <c r="AP457" s="11"/>
      <c r="AQ457" s="28" t="b">
        <f>IF(COUNTIF(SmartStatus!A$2:A1000, AM457) &gt; 2, TRUE, FALSE)</f>
        <v>0</v>
      </c>
      <c r="AR457" s="29" t="str">
        <f ca="1">IFERROR(__xludf.DUMMYFUNCTION("iferror(if(regexmatch(AO457, ""(?i)^registered""), if(EE457 &lt;&gt; ""polity_shortest_name"", ""CHECK_POLITY"", index(filter(SmartStatus!B$2:B1000, AM457 = SmartStatus!A$2:A1000, not(SmartStatus!C$2:C1000), (isblank(SmartStatus!D$2:D1000)) + ((P457 &lt;&gt; """") * "&amp;"(P457 &lt; SmartStatus!D$2:D1000)), (isblank(SmartStatus!E$2:E1000)) + ((P457 &lt;&gt; """") * (P457 &gt;= SmartStatus!E$2:E1000)), (isblank(SmartStatus!F$2:F1000)) + (((Q457 &lt;&gt; """") * (Q457 &lt; SmartStatus!F$2:F1000)) + ((P457 &lt;&gt; """") * (date(year(P457) + 3, month(P"&amp;"457), day(P457)) &lt; SmartStatus!F$2:F1000))), (isblank(SmartStatus!G$2:G1000)) + (((Q457 &lt;&gt; """") * (Q457 &gt;= SmartStatus!G$2:G1000)) + ((P457 &lt;&gt; """") * (P457 &gt;= SmartStatus!G$2:G1000)))), if(or(regexmatch(B457, ""(?i)^ir [a-z]+ designation$""), N457 &lt;&gt; """&amp;"""), 1, 2))), """"), ""NO_MATCH"")"),"")</f>
        <v/>
      </c>
      <c r="AS457" s="11"/>
      <c r="AT457" s="15"/>
      <c r="AU457" s="11"/>
      <c r="AV457" s="11"/>
      <c r="AW457" s="15"/>
      <c r="AX457" s="15"/>
      <c r="AY457" s="15"/>
      <c r="AZ457" s="11"/>
      <c r="BA457" s="15"/>
      <c r="BB457" s="11"/>
      <c r="BC457" s="11"/>
      <c r="BD457" s="15"/>
      <c r="BE457" s="11"/>
      <c r="BF457" s="11"/>
      <c r="BG457" s="15"/>
      <c r="BH457" s="15"/>
      <c r="BI457" s="15"/>
      <c r="BJ457" s="11"/>
      <c r="BK457" s="15"/>
      <c r="BL457" s="11"/>
      <c r="BM457" s="11"/>
      <c r="BN457" s="15"/>
      <c r="BO457" s="11"/>
      <c r="BP457" s="11"/>
      <c r="BQ457" s="15"/>
      <c r="BR457" s="15"/>
      <c r="BS457" s="15"/>
      <c r="BT457" s="11"/>
      <c r="BU457" s="15"/>
      <c r="BV457" s="11"/>
      <c r="BW457" s="11"/>
      <c r="BX457" s="15"/>
      <c r="BY457" s="11"/>
      <c r="BZ457" s="11"/>
      <c r="CA457" s="15"/>
      <c r="CB457" s="11"/>
      <c r="CC457" s="15"/>
      <c r="CD457" s="11"/>
      <c r="CE457" s="15"/>
      <c r="CF457" s="11"/>
      <c r="CG457" s="11"/>
      <c r="CH457" s="15"/>
      <c r="CI457" s="11"/>
      <c r="CJ457" s="11"/>
      <c r="CK457" s="15"/>
      <c r="CL457" s="11"/>
      <c r="CM457" s="11"/>
      <c r="CN457" s="11"/>
      <c r="CO457" s="11"/>
      <c r="CP457" s="28"/>
      <c r="CQ457" s="28"/>
      <c r="CR457" s="11"/>
      <c r="CS457" s="29"/>
      <c r="CT457" s="11"/>
      <c r="CU457" s="11"/>
      <c r="CV457" s="11"/>
      <c r="CW457" s="11"/>
      <c r="CX457" s="11"/>
      <c r="CY457" s="11"/>
      <c r="CZ457" s="11"/>
      <c r="DA457" s="28"/>
      <c r="DB457" s="28"/>
      <c r="DC457" s="11"/>
      <c r="DD457" s="29"/>
      <c r="DE457" s="11"/>
      <c r="DF457" s="11"/>
      <c r="DG457" s="11"/>
      <c r="DH457" s="11"/>
      <c r="DI457" s="11"/>
      <c r="DJ457" s="11"/>
      <c r="DK457" s="26"/>
      <c r="DL457" s="11"/>
      <c r="DM457" s="29"/>
      <c r="DN457" s="28"/>
      <c r="DO457" s="11"/>
      <c r="DP457" s="11"/>
      <c r="DQ457" s="11"/>
      <c r="DR457" s="29"/>
      <c r="DS457" s="28"/>
      <c r="DT457" s="11"/>
      <c r="DU457" s="26"/>
      <c r="DV457" s="11"/>
      <c r="DW457" s="29"/>
      <c r="DX457" s="28"/>
      <c r="DY457" s="11"/>
      <c r="DZ457" s="26"/>
      <c r="EA457" s="11"/>
      <c r="EB457" s="29"/>
      <c r="EC457" s="28"/>
      <c r="ED457" s="30"/>
      <c r="EE457" s="30" t="str">
        <f ca="1">IFERROR(__xludf.DUMMYFUNCTION("iferror(index(filter('Internal -- Trademark Countries'!E$2:E1000, (AM457 = 'Internal -- Trademark Countries'!B$2:B1000) + (AM457 = 'Internal -- Trademark Countries'!C$2:C1000) + (AM457 = 'Internal -- Trademark Countries'!D$2:D1000)), 1))"),"")</f>
        <v/>
      </c>
      <c r="EF457" s="30" t="e">
        <f ca="1">_xludf.ifs(AM457="", "", COUNTIF('Internal -- Trademark Countries'!B:B,AM457) &gt; 0, "polity_shortest_name", COUNTIF('Internal -- Trademark Countries'!C:C,AM457) &gt; 0, "polity_full_name", COUNTIF('Internal -- Trademark Countries'!D:D,AM457) &gt; 0, "polity_common_name", COUNTIF('Internal -- Trademark Countries'!E:E,AM457) &gt; 0, "shortest_name", COUNTIF('Internal -- Trademark Countries'!A:A,AM457) &gt; 0, "full_name", TRUE, "not a match")</f>
        <v>#NAME?</v>
      </c>
      <c r="EG457" s="30"/>
      <c r="EH457" s="30"/>
      <c r="EI457" s="30"/>
      <c r="EJ457" s="30"/>
      <c r="EK457" s="30" t="str">
        <f t="shared" si="3"/>
        <v/>
      </c>
    </row>
    <row r="458" spans="1:141" ht="16.5">
      <c r="A458" s="11"/>
      <c r="B458" s="11"/>
      <c r="C458" s="11"/>
      <c r="D458" s="11"/>
      <c r="E458" s="11"/>
      <c r="F458" s="11"/>
      <c r="G458" s="11"/>
      <c r="H458" s="11"/>
      <c r="I458" s="11"/>
      <c r="J458" s="11"/>
      <c r="K458" s="27"/>
      <c r="L458" s="11"/>
      <c r="M458" s="11"/>
      <c r="N458" s="11"/>
      <c r="O458" s="11"/>
      <c r="P458" s="15"/>
      <c r="Q458" s="15"/>
      <c r="R458" s="15"/>
      <c r="S458" s="15"/>
      <c r="T458" s="15"/>
      <c r="U458" s="15"/>
      <c r="V458" s="15"/>
      <c r="W458" s="47"/>
      <c r="X458" s="11"/>
      <c r="Y458" s="48"/>
      <c r="Z458" s="11"/>
      <c r="AA458" s="48"/>
      <c r="AB458" s="11"/>
      <c r="AC458" s="48"/>
      <c r="AD458" s="11"/>
      <c r="AE458" s="47"/>
      <c r="AF458" s="11"/>
      <c r="AG458" s="48"/>
      <c r="AH458" s="11"/>
      <c r="AI458" s="48"/>
      <c r="AJ458" s="11"/>
      <c r="AK458" s="48"/>
      <c r="AL458" s="11"/>
      <c r="AM458" s="49"/>
      <c r="AN458" s="49"/>
      <c r="AO458" s="11"/>
      <c r="AP458" s="11"/>
      <c r="AQ458" s="28" t="b">
        <f>IF(COUNTIF(SmartStatus!A$2:A1000, AM458) &gt; 2, TRUE, FALSE)</f>
        <v>0</v>
      </c>
      <c r="AR458" s="29" t="str">
        <f ca="1">IFERROR(__xludf.DUMMYFUNCTION("iferror(if(regexmatch(AO458, ""(?i)^registered""), if(EE458 &lt;&gt; ""polity_shortest_name"", ""CHECK_POLITY"", index(filter(SmartStatus!B$2:B1000, AM458 = SmartStatus!A$2:A1000, not(SmartStatus!C$2:C1000), (isblank(SmartStatus!D$2:D1000)) + ((P458 &lt;&gt; """") * "&amp;"(P458 &lt; SmartStatus!D$2:D1000)), (isblank(SmartStatus!E$2:E1000)) + ((P458 &lt;&gt; """") * (P458 &gt;= SmartStatus!E$2:E1000)), (isblank(SmartStatus!F$2:F1000)) + (((Q458 &lt;&gt; """") * (Q458 &lt; SmartStatus!F$2:F1000)) + ((P458 &lt;&gt; """") * (date(year(P458) + 3, month(P"&amp;"458), day(P458)) &lt; SmartStatus!F$2:F1000))), (isblank(SmartStatus!G$2:G1000)) + (((Q458 &lt;&gt; """") * (Q458 &gt;= SmartStatus!G$2:G1000)) + ((P458 &lt;&gt; """") * (P458 &gt;= SmartStatus!G$2:G1000)))), if(or(regexmatch(B458, ""(?i)^ir [a-z]+ designation$""), N458 &lt;&gt; """&amp;"""), 1, 2))), """"), ""NO_MATCH"")"),"")</f>
        <v/>
      </c>
      <c r="AS458" s="11"/>
      <c r="AT458" s="15"/>
      <c r="AU458" s="11"/>
      <c r="AV458" s="11"/>
      <c r="AW458" s="15"/>
      <c r="AX458" s="15"/>
      <c r="AY458" s="15"/>
      <c r="AZ458" s="11"/>
      <c r="BA458" s="15"/>
      <c r="BB458" s="11"/>
      <c r="BC458" s="11"/>
      <c r="BD458" s="15"/>
      <c r="BE458" s="11"/>
      <c r="BF458" s="11"/>
      <c r="BG458" s="15"/>
      <c r="BH458" s="15"/>
      <c r="BI458" s="15"/>
      <c r="BJ458" s="11"/>
      <c r="BK458" s="15"/>
      <c r="BL458" s="11"/>
      <c r="BM458" s="11"/>
      <c r="BN458" s="15"/>
      <c r="BO458" s="11"/>
      <c r="BP458" s="11"/>
      <c r="BQ458" s="15"/>
      <c r="BR458" s="15"/>
      <c r="BS458" s="15"/>
      <c r="BT458" s="11"/>
      <c r="BU458" s="15"/>
      <c r="BV458" s="11"/>
      <c r="BW458" s="11"/>
      <c r="BX458" s="15"/>
      <c r="BY458" s="11"/>
      <c r="BZ458" s="11"/>
      <c r="CA458" s="15"/>
      <c r="CB458" s="11"/>
      <c r="CC458" s="15"/>
      <c r="CD458" s="11"/>
      <c r="CE458" s="15"/>
      <c r="CF458" s="11"/>
      <c r="CG458" s="11"/>
      <c r="CH458" s="15"/>
      <c r="CI458" s="11"/>
      <c r="CJ458" s="11"/>
      <c r="CK458" s="15"/>
      <c r="CL458" s="11"/>
      <c r="CM458" s="11"/>
      <c r="CN458" s="11"/>
      <c r="CO458" s="11"/>
      <c r="CP458" s="28"/>
      <c r="CQ458" s="28"/>
      <c r="CR458" s="11"/>
      <c r="CS458" s="29"/>
      <c r="CT458" s="11"/>
      <c r="CU458" s="11"/>
      <c r="CV458" s="11"/>
      <c r="CW458" s="11"/>
      <c r="CX458" s="11"/>
      <c r="CY458" s="11"/>
      <c r="CZ458" s="11"/>
      <c r="DA458" s="28"/>
      <c r="DB458" s="28"/>
      <c r="DC458" s="11"/>
      <c r="DD458" s="29"/>
      <c r="DE458" s="11"/>
      <c r="DF458" s="11"/>
      <c r="DG458" s="11"/>
      <c r="DH458" s="11"/>
      <c r="DI458" s="11"/>
      <c r="DJ458" s="11"/>
      <c r="DK458" s="26"/>
      <c r="DL458" s="11"/>
      <c r="DM458" s="29"/>
      <c r="DN458" s="28"/>
      <c r="DO458" s="11"/>
      <c r="DP458" s="11"/>
      <c r="DQ458" s="11"/>
      <c r="DR458" s="29"/>
      <c r="DS458" s="28"/>
      <c r="DT458" s="11"/>
      <c r="DU458" s="26"/>
      <c r="DV458" s="11"/>
      <c r="DW458" s="29"/>
      <c r="DX458" s="28"/>
      <c r="DY458" s="11"/>
      <c r="DZ458" s="26"/>
      <c r="EA458" s="11"/>
      <c r="EB458" s="29"/>
      <c r="EC458" s="28"/>
      <c r="ED458" s="30"/>
      <c r="EE458" s="30" t="str">
        <f ca="1">IFERROR(__xludf.DUMMYFUNCTION("iferror(index(filter('Internal -- Trademark Countries'!E$2:E1000, (AM458 = 'Internal -- Trademark Countries'!B$2:B1000) + (AM458 = 'Internal -- Trademark Countries'!C$2:C1000) + (AM458 = 'Internal -- Trademark Countries'!D$2:D1000)), 1))"),"")</f>
        <v/>
      </c>
      <c r="EF458" s="30" t="e">
        <f ca="1">_xludf.ifs(AM458="", "", COUNTIF('Internal -- Trademark Countries'!B:B,AM458) &gt; 0, "polity_shortest_name", COUNTIF('Internal -- Trademark Countries'!C:C,AM458) &gt; 0, "polity_full_name", COUNTIF('Internal -- Trademark Countries'!D:D,AM458) &gt; 0, "polity_common_name", COUNTIF('Internal -- Trademark Countries'!E:E,AM458) &gt; 0, "shortest_name", COUNTIF('Internal -- Trademark Countries'!A:A,AM458) &gt; 0, "full_name", TRUE, "not a match")</f>
        <v>#NAME?</v>
      </c>
      <c r="EG458" s="30"/>
      <c r="EH458" s="30"/>
      <c r="EI458" s="30"/>
      <c r="EJ458" s="30"/>
      <c r="EK458" s="30" t="str">
        <f t="shared" si="3"/>
        <v/>
      </c>
    </row>
    <row r="459" spans="1:141" ht="16.5">
      <c r="A459" s="11"/>
      <c r="B459" s="11"/>
      <c r="C459" s="11"/>
      <c r="D459" s="11"/>
      <c r="E459" s="11"/>
      <c r="F459" s="11"/>
      <c r="G459" s="11"/>
      <c r="H459" s="11"/>
      <c r="I459" s="11"/>
      <c r="J459" s="11"/>
      <c r="K459" s="27"/>
      <c r="L459" s="11"/>
      <c r="M459" s="11"/>
      <c r="N459" s="11"/>
      <c r="O459" s="11"/>
      <c r="P459" s="15"/>
      <c r="Q459" s="15"/>
      <c r="R459" s="15"/>
      <c r="S459" s="15"/>
      <c r="T459" s="15"/>
      <c r="U459" s="15"/>
      <c r="V459" s="15"/>
      <c r="W459" s="47"/>
      <c r="X459" s="11"/>
      <c r="Y459" s="48"/>
      <c r="Z459" s="11"/>
      <c r="AA459" s="48"/>
      <c r="AB459" s="11"/>
      <c r="AC459" s="48"/>
      <c r="AD459" s="11"/>
      <c r="AE459" s="47"/>
      <c r="AF459" s="11"/>
      <c r="AG459" s="48"/>
      <c r="AH459" s="11"/>
      <c r="AI459" s="48"/>
      <c r="AJ459" s="11"/>
      <c r="AK459" s="48"/>
      <c r="AL459" s="11"/>
      <c r="AM459" s="49"/>
      <c r="AN459" s="49"/>
      <c r="AO459" s="11"/>
      <c r="AP459" s="11"/>
      <c r="AQ459" s="28" t="b">
        <f>IF(COUNTIF(SmartStatus!A$2:A1000, AM459) &gt; 2, TRUE, FALSE)</f>
        <v>0</v>
      </c>
      <c r="AR459" s="29" t="str">
        <f ca="1">IFERROR(__xludf.DUMMYFUNCTION("iferror(if(regexmatch(AO459, ""(?i)^registered""), if(EE459 &lt;&gt; ""polity_shortest_name"", ""CHECK_POLITY"", index(filter(SmartStatus!B$2:B1000, AM459 = SmartStatus!A$2:A1000, not(SmartStatus!C$2:C1000), (isblank(SmartStatus!D$2:D1000)) + ((P459 &lt;&gt; """") * "&amp;"(P459 &lt; SmartStatus!D$2:D1000)), (isblank(SmartStatus!E$2:E1000)) + ((P459 &lt;&gt; """") * (P459 &gt;= SmartStatus!E$2:E1000)), (isblank(SmartStatus!F$2:F1000)) + (((Q459 &lt;&gt; """") * (Q459 &lt; SmartStatus!F$2:F1000)) + ((P459 &lt;&gt; """") * (date(year(P459) + 3, month(P"&amp;"459), day(P459)) &lt; SmartStatus!F$2:F1000))), (isblank(SmartStatus!G$2:G1000)) + (((Q459 &lt;&gt; """") * (Q459 &gt;= SmartStatus!G$2:G1000)) + ((P459 &lt;&gt; """") * (P459 &gt;= SmartStatus!G$2:G1000)))), if(or(regexmatch(B459, ""(?i)^ir [a-z]+ designation$""), N459 &lt;&gt; """&amp;"""), 1, 2))), """"), ""NO_MATCH"")"),"")</f>
        <v/>
      </c>
      <c r="AS459" s="11"/>
      <c r="AT459" s="15"/>
      <c r="AU459" s="11"/>
      <c r="AV459" s="11"/>
      <c r="AW459" s="15"/>
      <c r="AX459" s="15"/>
      <c r="AY459" s="15"/>
      <c r="AZ459" s="11"/>
      <c r="BA459" s="15"/>
      <c r="BB459" s="11"/>
      <c r="BC459" s="11"/>
      <c r="BD459" s="15"/>
      <c r="BE459" s="11"/>
      <c r="BF459" s="11"/>
      <c r="BG459" s="15"/>
      <c r="BH459" s="15"/>
      <c r="BI459" s="15"/>
      <c r="BJ459" s="11"/>
      <c r="BK459" s="15"/>
      <c r="BL459" s="11"/>
      <c r="BM459" s="11"/>
      <c r="BN459" s="15"/>
      <c r="BO459" s="11"/>
      <c r="BP459" s="11"/>
      <c r="BQ459" s="15"/>
      <c r="BR459" s="15"/>
      <c r="BS459" s="15"/>
      <c r="BT459" s="11"/>
      <c r="BU459" s="15"/>
      <c r="BV459" s="11"/>
      <c r="BW459" s="11"/>
      <c r="BX459" s="15"/>
      <c r="BY459" s="11"/>
      <c r="BZ459" s="11"/>
      <c r="CA459" s="15"/>
      <c r="CB459" s="11"/>
      <c r="CC459" s="15"/>
      <c r="CD459" s="11"/>
      <c r="CE459" s="15"/>
      <c r="CF459" s="11"/>
      <c r="CG459" s="11"/>
      <c r="CH459" s="15"/>
      <c r="CI459" s="11"/>
      <c r="CJ459" s="11"/>
      <c r="CK459" s="15"/>
      <c r="CL459" s="11"/>
      <c r="CM459" s="11"/>
      <c r="CN459" s="11"/>
      <c r="CO459" s="11"/>
      <c r="CP459" s="28"/>
      <c r="CQ459" s="28"/>
      <c r="CR459" s="11"/>
      <c r="CS459" s="29"/>
      <c r="CT459" s="11"/>
      <c r="CU459" s="11"/>
      <c r="CV459" s="11"/>
      <c r="CW459" s="11"/>
      <c r="CX459" s="11"/>
      <c r="CY459" s="11"/>
      <c r="CZ459" s="11"/>
      <c r="DA459" s="28"/>
      <c r="DB459" s="28"/>
      <c r="DC459" s="11"/>
      <c r="DD459" s="29"/>
      <c r="DE459" s="11"/>
      <c r="DF459" s="11"/>
      <c r="DG459" s="11"/>
      <c r="DH459" s="11"/>
      <c r="DI459" s="11"/>
      <c r="DJ459" s="11"/>
      <c r="DK459" s="26"/>
      <c r="DL459" s="11"/>
      <c r="DM459" s="29"/>
      <c r="DN459" s="28"/>
      <c r="DO459" s="11"/>
      <c r="DP459" s="11"/>
      <c r="DQ459" s="11"/>
      <c r="DR459" s="29"/>
      <c r="DS459" s="28"/>
      <c r="DT459" s="11"/>
      <c r="DU459" s="26"/>
      <c r="DV459" s="11"/>
      <c r="DW459" s="29"/>
      <c r="DX459" s="28"/>
      <c r="DY459" s="11"/>
      <c r="DZ459" s="26"/>
      <c r="EA459" s="11"/>
      <c r="EB459" s="29"/>
      <c r="EC459" s="28"/>
      <c r="ED459" s="30"/>
      <c r="EE459" s="30" t="str">
        <f ca="1">IFERROR(__xludf.DUMMYFUNCTION("iferror(index(filter('Internal -- Trademark Countries'!E$2:E1000, (AM459 = 'Internal -- Trademark Countries'!B$2:B1000) + (AM459 = 'Internal -- Trademark Countries'!C$2:C1000) + (AM459 = 'Internal -- Trademark Countries'!D$2:D1000)), 1))"),"")</f>
        <v/>
      </c>
      <c r="EF459" s="30" t="e">
        <f ca="1">_xludf.ifs(AM459="", "", COUNTIF('Internal -- Trademark Countries'!B:B,AM459) &gt; 0, "polity_shortest_name", COUNTIF('Internal -- Trademark Countries'!C:C,AM459) &gt; 0, "polity_full_name", COUNTIF('Internal -- Trademark Countries'!D:D,AM459) &gt; 0, "polity_common_name", COUNTIF('Internal -- Trademark Countries'!E:E,AM459) &gt; 0, "shortest_name", COUNTIF('Internal -- Trademark Countries'!A:A,AM459) &gt; 0, "full_name", TRUE, "not a match")</f>
        <v>#NAME?</v>
      </c>
      <c r="EG459" s="30"/>
      <c r="EH459" s="30"/>
      <c r="EI459" s="30"/>
      <c r="EJ459" s="30"/>
      <c r="EK459" s="30" t="str">
        <f t="shared" si="3"/>
        <v/>
      </c>
    </row>
    <row r="460" spans="1:141" ht="16.5">
      <c r="A460" s="11"/>
      <c r="B460" s="11"/>
      <c r="C460" s="11"/>
      <c r="D460" s="11"/>
      <c r="E460" s="11"/>
      <c r="F460" s="11"/>
      <c r="G460" s="11"/>
      <c r="H460" s="11"/>
      <c r="I460" s="11"/>
      <c r="J460" s="11"/>
      <c r="K460" s="27"/>
      <c r="L460" s="11"/>
      <c r="M460" s="11"/>
      <c r="N460" s="11"/>
      <c r="O460" s="11"/>
      <c r="P460" s="15"/>
      <c r="Q460" s="15"/>
      <c r="R460" s="15"/>
      <c r="S460" s="15"/>
      <c r="T460" s="15"/>
      <c r="U460" s="15"/>
      <c r="V460" s="15"/>
      <c r="W460" s="47"/>
      <c r="X460" s="11"/>
      <c r="Y460" s="48"/>
      <c r="Z460" s="11"/>
      <c r="AA460" s="48"/>
      <c r="AB460" s="11"/>
      <c r="AC460" s="48"/>
      <c r="AD460" s="11"/>
      <c r="AE460" s="47"/>
      <c r="AF460" s="11"/>
      <c r="AG460" s="48"/>
      <c r="AH460" s="11"/>
      <c r="AI460" s="48"/>
      <c r="AJ460" s="11"/>
      <c r="AK460" s="48"/>
      <c r="AL460" s="11"/>
      <c r="AM460" s="49"/>
      <c r="AN460" s="49"/>
      <c r="AO460" s="11"/>
      <c r="AP460" s="11"/>
      <c r="AQ460" s="28" t="b">
        <f>IF(COUNTIF(SmartStatus!A$2:A1000, AM460) &gt; 2, TRUE, FALSE)</f>
        <v>0</v>
      </c>
      <c r="AR460" s="29" t="str">
        <f ca="1">IFERROR(__xludf.DUMMYFUNCTION("iferror(if(regexmatch(AO460, ""(?i)^registered""), if(EE460 &lt;&gt; ""polity_shortest_name"", ""CHECK_POLITY"", index(filter(SmartStatus!B$2:B1000, AM460 = SmartStatus!A$2:A1000, not(SmartStatus!C$2:C1000), (isblank(SmartStatus!D$2:D1000)) + ((P460 &lt;&gt; """") * "&amp;"(P460 &lt; SmartStatus!D$2:D1000)), (isblank(SmartStatus!E$2:E1000)) + ((P460 &lt;&gt; """") * (P460 &gt;= SmartStatus!E$2:E1000)), (isblank(SmartStatus!F$2:F1000)) + (((Q460 &lt;&gt; """") * (Q460 &lt; SmartStatus!F$2:F1000)) + ((P460 &lt;&gt; """") * (date(year(P460) + 3, month(P"&amp;"460), day(P460)) &lt; SmartStatus!F$2:F1000))), (isblank(SmartStatus!G$2:G1000)) + (((Q460 &lt;&gt; """") * (Q460 &gt;= SmartStatus!G$2:G1000)) + ((P460 &lt;&gt; """") * (P460 &gt;= SmartStatus!G$2:G1000)))), if(or(regexmatch(B460, ""(?i)^ir [a-z]+ designation$""), N460 &lt;&gt; """&amp;"""), 1, 2))), """"), ""NO_MATCH"")"),"")</f>
        <v/>
      </c>
      <c r="AS460" s="11"/>
      <c r="AT460" s="15"/>
      <c r="AU460" s="11"/>
      <c r="AV460" s="11"/>
      <c r="AW460" s="15"/>
      <c r="AX460" s="15"/>
      <c r="AY460" s="15"/>
      <c r="AZ460" s="11"/>
      <c r="BA460" s="15"/>
      <c r="BB460" s="11"/>
      <c r="BC460" s="11"/>
      <c r="BD460" s="15"/>
      <c r="BE460" s="11"/>
      <c r="BF460" s="11"/>
      <c r="BG460" s="15"/>
      <c r="BH460" s="15"/>
      <c r="BI460" s="15"/>
      <c r="BJ460" s="11"/>
      <c r="BK460" s="15"/>
      <c r="BL460" s="11"/>
      <c r="BM460" s="11"/>
      <c r="BN460" s="15"/>
      <c r="BO460" s="11"/>
      <c r="BP460" s="11"/>
      <c r="BQ460" s="15"/>
      <c r="BR460" s="15"/>
      <c r="BS460" s="15"/>
      <c r="BT460" s="11"/>
      <c r="BU460" s="15"/>
      <c r="BV460" s="11"/>
      <c r="BW460" s="11"/>
      <c r="BX460" s="15"/>
      <c r="BY460" s="11"/>
      <c r="BZ460" s="11"/>
      <c r="CA460" s="15"/>
      <c r="CB460" s="11"/>
      <c r="CC460" s="15"/>
      <c r="CD460" s="11"/>
      <c r="CE460" s="15"/>
      <c r="CF460" s="11"/>
      <c r="CG460" s="11"/>
      <c r="CH460" s="15"/>
      <c r="CI460" s="11"/>
      <c r="CJ460" s="11"/>
      <c r="CK460" s="15"/>
      <c r="CL460" s="11"/>
      <c r="CM460" s="11"/>
      <c r="CN460" s="11"/>
      <c r="CO460" s="11"/>
      <c r="CP460" s="28"/>
      <c r="CQ460" s="28"/>
      <c r="CR460" s="11"/>
      <c r="CS460" s="29"/>
      <c r="CT460" s="11"/>
      <c r="CU460" s="11"/>
      <c r="CV460" s="11"/>
      <c r="CW460" s="11"/>
      <c r="CX460" s="11"/>
      <c r="CY460" s="11"/>
      <c r="CZ460" s="11"/>
      <c r="DA460" s="28"/>
      <c r="DB460" s="28"/>
      <c r="DC460" s="11"/>
      <c r="DD460" s="29"/>
      <c r="DE460" s="11"/>
      <c r="DF460" s="11"/>
      <c r="DG460" s="11"/>
      <c r="DH460" s="11"/>
      <c r="DI460" s="11"/>
      <c r="DJ460" s="11"/>
      <c r="DK460" s="26"/>
      <c r="DL460" s="11"/>
      <c r="DM460" s="29"/>
      <c r="DN460" s="28"/>
      <c r="DO460" s="11"/>
      <c r="DP460" s="11"/>
      <c r="DQ460" s="11"/>
      <c r="DR460" s="29"/>
      <c r="DS460" s="28"/>
      <c r="DT460" s="11"/>
      <c r="DU460" s="26"/>
      <c r="DV460" s="11"/>
      <c r="DW460" s="29"/>
      <c r="DX460" s="28"/>
      <c r="DY460" s="11"/>
      <c r="DZ460" s="26"/>
      <c r="EA460" s="11"/>
      <c r="EB460" s="29"/>
      <c r="EC460" s="28"/>
      <c r="ED460" s="30"/>
      <c r="EE460" s="30" t="str">
        <f ca="1">IFERROR(__xludf.DUMMYFUNCTION("iferror(index(filter('Internal -- Trademark Countries'!E$2:E1000, (AM460 = 'Internal -- Trademark Countries'!B$2:B1000) + (AM460 = 'Internal -- Trademark Countries'!C$2:C1000) + (AM460 = 'Internal -- Trademark Countries'!D$2:D1000)), 1))"),"")</f>
        <v/>
      </c>
      <c r="EF460" s="30" t="e">
        <f ca="1">_xludf.ifs(AM460="", "", COUNTIF('Internal -- Trademark Countries'!B:B,AM460) &gt; 0, "polity_shortest_name", COUNTIF('Internal -- Trademark Countries'!C:C,AM460) &gt; 0, "polity_full_name", COUNTIF('Internal -- Trademark Countries'!D:D,AM460) &gt; 0, "polity_common_name", COUNTIF('Internal -- Trademark Countries'!E:E,AM460) &gt; 0, "shortest_name", COUNTIF('Internal -- Trademark Countries'!A:A,AM460) &gt; 0, "full_name", TRUE, "not a match")</f>
        <v>#NAME?</v>
      </c>
      <c r="EG460" s="30"/>
      <c r="EH460" s="30"/>
      <c r="EI460" s="30"/>
      <c r="EJ460" s="30"/>
      <c r="EK460" s="30" t="str">
        <f t="shared" si="3"/>
        <v/>
      </c>
    </row>
    <row r="461" spans="1:141" ht="16.5">
      <c r="A461" s="11"/>
      <c r="B461" s="11"/>
      <c r="C461" s="11"/>
      <c r="D461" s="11"/>
      <c r="E461" s="11"/>
      <c r="F461" s="11"/>
      <c r="G461" s="11"/>
      <c r="H461" s="11"/>
      <c r="I461" s="11"/>
      <c r="J461" s="11"/>
      <c r="K461" s="27"/>
      <c r="L461" s="11"/>
      <c r="M461" s="11"/>
      <c r="N461" s="11"/>
      <c r="O461" s="11"/>
      <c r="P461" s="15"/>
      <c r="Q461" s="15"/>
      <c r="R461" s="15"/>
      <c r="S461" s="15"/>
      <c r="T461" s="15"/>
      <c r="U461" s="15"/>
      <c r="V461" s="15"/>
      <c r="W461" s="47"/>
      <c r="X461" s="11"/>
      <c r="Y461" s="48"/>
      <c r="Z461" s="11"/>
      <c r="AA461" s="48"/>
      <c r="AB461" s="11"/>
      <c r="AC461" s="48"/>
      <c r="AD461" s="11"/>
      <c r="AE461" s="47"/>
      <c r="AF461" s="11"/>
      <c r="AG461" s="48"/>
      <c r="AH461" s="11"/>
      <c r="AI461" s="48"/>
      <c r="AJ461" s="11"/>
      <c r="AK461" s="48"/>
      <c r="AL461" s="11"/>
      <c r="AM461" s="49"/>
      <c r="AN461" s="49"/>
      <c r="AO461" s="11"/>
      <c r="AP461" s="11"/>
      <c r="AQ461" s="28" t="b">
        <f>IF(COUNTIF(SmartStatus!A$2:A1000, AM461) &gt; 2, TRUE, FALSE)</f>
        <v>0</v>
      </c>
      <c r="AR461" s="29" t="str">
        <f ca="1">IFERROR(__xludf.DUMMYFUNCTION("iferror(if(regexmatch(AO461, ""(?i)^registered""), if(EE461 &lt;&gt; ""polity_shortest_name"", ""CHECK_POLITY"", index(filter(SmartStatus!B$2:B1000, AM461 = SmartStatus!A$2:A1000, not(SmartStatus!C$2:C1000), (isblank(SmartStatus!D$2:D1000)) + ((P461 &lt;&gt; """") * "&amp;"(P461 &lt; SmartStatus!D$2:D1000)), (isblank(SmartStatus!E$2:E1000)) + ((P461 &lt;&gt; """") * (P461 &gt;= SmartStatus!E$2:E1000)), (isblank(SmartStatus!F$2:F1000)) + (((Q461 &lt;&gt; """") * (Q461 &lt; SmartStatus!F$2:F1000)) + ((P461 &lt;&gt; """") * (date(year(P461) + 3, month(P"&amp;"461), day(P461)) &lt; SmartStatus!F$2:F1000))), (isblank(SmartStatus!G$2:G1000)) + (((Q461 &lt;&gt; """") * (Q461 &gt;= SmartStatus!G$2:G1000)) + ((P461 &lt;&gt; """") * (P461 &gt;= SmartStatus!G$2:G1000)))), if(or(regexmatch(B461, ""(?i)^ir [a-z]+ designation$""), N461 &lt;&gt; """&amp;"""), 1, 2))), """"), ""NO_MATCH"")"),"")</f>
        <v/>
      </c>
      <c r="AS461" s="11"/>
      <c r="AT461" s="15"/>
      <c r="AU461" s="11"/>
      <c r="AV461" s="11"/>
      <c r="AW461" s="15"/>
      <c r="AX461" s="15"/>
      <c r="AY461" s="15"/>
      <c r="AZ461" s="11"/>
      <c r="BA461" s="15"/>
      <c r="BB461" s="11"/>
      <c r="BC461" s="11"/>
      <c r="BD461" s="15"/>
      <c r="BE461" s="11"/>
      <c r="BF461" s="11"/>
      <c r="BG461" s="15"/>
      <c r="BH461" s="15"/>
      <c r="BI461" s="15"/>
      <c r="BJ461" s="11"/>
      <c r="BK461" s="15"/>
      <c r="BL461" s="11"/>
      <c r="BM461" s="11"/>
      <c r="BN461" s="15"/>
      <c r="BO461" s="11"/>
      <c r="BP461" s="11"/>
      <c r="BQ461" s="15"/>
      <c r="BR461" s="15"/>
      <c r="BS461" s="15"/>
      <c r="BT461" s="11"/>
      <c r="BU461" s="15"/>
      <c r="BV461" s="11"/>
      <c r="BW461" s="11"/>
      <c r="BX461" s="15"/>
      <c r="BY461" s="11"/>
      <c r="BZ461" s="11"/>
      <c r="CA461" s="15"/>
      <c r="CB461" s="11"/>
      <c r="CC461" s="15"/>
      <c r="CD461" s="11"/>
      <c r="CE461" s="15"/>
      <c r="CF461" s="11"/>
      <c r="CG461" s="11"/>
      <c r="CH461" s="15"/>
      <c r="CI461" s="11"/>
      <c r="CJ461" s="11"/>
      <c r="CK461" s="15"/>
      <c r="CL461" s="11"/>
      <c r="CM461" s="11"/>
      <c r="CN461" s="11"/>
      <c r="CO461" s="11"/>
      <c r="CP461" s="28"/>
      <c r="CQ461" s="28"/>
      <c r="CR461" s="11"/>
      <c r="CS461" s="29"/>
      <c r="CT461" s="11"/>
      <c r="CU461" s="11"/>
      <c r="CV461" s="11"/>
      <c r="CW461" s="11"/>
      <c r="CX461" s="11"/>
      <c r="CY461" s="11"/>
      <c r="CZ461" s="11"/>
      <c r="DA461" s="28"/>
      <c r="DB461" s="28"/>
      <c r="DC461" s="11"/>
      <c r="DD461" s="29"/>
      <c r="DE461" s="11"/>
      <c r="DF461" s="11"/>
      <c r="DG461" s="11"/>
      <c r="DH461" s="11"/>
      <c r="DI461" s="11"/>
      <c r="DJ461" s="11"/>
      <c r="DK461" s="26"/>
      <c r="DL461" s="11"/>
      <c r="DM461" s="29"/>
      <c r="DN461" s="28"/>
      <c r="DO461" s="11"/>
      <c r="DP461" s="11"/>
      <c r="DQ461" s="11"/>
      <c r="DR461" s="29"/>
      <c r="DS461" s="28"/>
      <c r="DT461" s="11"/>
      <c r="DU461" s="26"/>
      <c r="DV461" s="11"/>
      <c r="DW461" s="29"/>
      <c r="DX461" s="28"/>
      <c r="DY461" s="11"/>
      <c r="DZ461" s="26"/>
      <c r="EA461" s="11"/>
      <c r="EB461" s="29"/>
      <c r="EC461" s="28"/>
      <c r="ED461" s="30"/>
      <c r="EE461" s="30" t="str">
        <f ca="1">IFERROR(__xludf.DUMMYFUNCTION("iferror(index(filter('Internal -- Trademark Countries'!E$2:E1000, (AM461 = 'Internal -- Trademark Countries'!B$2:B1000) + (AM461 = 'Internal -- Trademark Countries'!C$2:C1000) + (AM461 = 'Internal -- Trademark Countries'!D$2:D1000)), 1))"),"")</f>
        <v/>
      </c>
      <c r="EF461" s="30" t="e">
        <f ca="1">_xludf.ifs(AM461="", "", COUNTIF('Internal -- Trademark Countries'!B:B,AM461) &gt; 0, "polity_shortest_name", COUNTIF('Internal -- Trademark Countries'!C:C,AM461) &gt; 0, "polity_full_name", COUNTIF('Internal -- Trademark Countries'!D:D,AM461) &gt; 0, "polity_common_name", COUNTIF('Internal -- Trademark Countries'!E:E,AM461) &gt; 0, "shortest_name", COUNTIF('Internal -- Trademark Countries'!A:A,AM461) &gt; 0, "full_name", TRUE, "not a match")</f>
        <v>#NAME?</v>
      </c>
      <c r="EG461" s="30"/>
      <c r="EH461" s="30"/>
      <c r="EI461" s="30"/>
      <c r="EJ461" s="30"/>
      <c r="EK461" s="30" t="str">
        <f t="shared" si="3"/>
        <v/>
      </c>
    </row>
    <row r="462" spans="1:141" ht="16.5">
      <c r="A462" s="11"/>
      <c r="B462" s="11"/>
      <c r="C462" s="11"/>
      <c r="D462" s="11"/>
      <c r="E462" s="11"/>
      <c r="F462" s="11"/>
      <c r="G462" s="11"/>
      <c r="H462" s="11"/>
      <c r="I462" s="11"/>
      <c r="J462" s="11"/>
      <c r="K462" s="27"/>
      <c r="L462" s="11"/>
      <c r="M462" s="11"/>
      <c r="N462" s="11"/>
      <c r="O462" s="11"/>
      <c r="P462" s="15"/>
      <c r="Q462" s="15"/>
      <c r="R462" s="15"/>
      <c r="S462" s="15"/>
      <c r="T462" s="15"/>
      <c r="U462" s="15"/>
      <c r="V462" s="15"/>
      <c r="W462" s="47"/>
      <c r="X462" s="11"/>
      <c r="Y462" s="48"/>
      <c r="Z462" s="11"/>
      <c r="AA462" s="48"/>
      <c r="AB462" s="11"/>
      <c r="AC462" s="48"/>
      <c r="AD462" s="11"/>
      <c r="AE462" s="47"/>
      <c r="AF462" s="11"/>
      <c r="AG462" s="48"/>
      <c r="AH462" s="11"/>
      <c r="AI462" s="48"/>
      <c r="AJ462" s="11"/>
      <c r="AK462" s="48"/>
      <c r="AL462" s="11"/>
      <c r="AM462" s="49"/>
      <c r="AN462" s="49"/>
      <c r="AO462" s="11"/>
      <c r="AP462" s="11"/>
      <c r="AQ462" s="28" t="b">
        <f>IF(COUNTIF(SmartStatus!A$2:A1000, AM462) &gt; 2, TRUE, FALSE)</f>
        <v>0</v>
      </c>
      <c r="AR462" s="29" t="str">
        <f ca="1">IFERROR(__xludf.DUMMYFUNCTION("iferror(if(regexmatch(AO462, ""(?i)^registered""), if(EE462 &lt;&gt; ""polity_shortest_name"", ""CHECK_POLITY"", index(filter(SmartStatus!B$2:B1000, AM462 = SmartStatus!A$2:A1000, not(SmartStatus!C$2:C1000), (isblank(SmartStatus!D$2:D1000)) + ((P462 &lt;&gt; """") * "&amp;"(P462 &lt; SmartStatus!D$2:D1000)), (isblank(SmartStatus!E$2:E1000)) + ((P462 &lt;&gt; """") * (P462 &gt;= SmartStatus!E$2:E1000)), (isblank(SmartStatus!F$2:F1000)) + (((Q462 &lt;&gt; """") * (Q462 &lt; SmartStatus!F$2:F1000)) + ((P462 &lt;&gt; """") * (date(year(P462) + 3, month(P"&amp;"462), day(P462)) &lt; SmartStatus!F$2:F1000))), (isblank(SmartStatus!G$2:G1000)) + (((Q462 &lt;&gt; """") * (Q462 &gt;= SmartStatus!G$2:G1000)) + ((P462 &lt;&gt; """") * (P462 &gt;= SmartStatus!G$2:G1000)))), if(or(regexmatch(B462, ""(?i)^ir [a-z]+ designation$""), N462 &lt;&gt; """&amp;"""), 1, 2))), """"), ""NO_MATCH"")"),"")</f>
        <v/>
      </c>
      <c r="AS462" s="11"/>
      <c r="AT462" s="15"/>
      <c r="AU462" s="11"/>
      <c r="AV462" s="11"/>
      <c r="AW462" s="15"/>
      <c r="AX462" s="15"/>
      <c r="AY462" s="15"/>
      <c r="AZ462" s="11"/>
      <c r="BA462" s="15"/>
      <c r="BB462" s="11"/>
      <c r="BC462" s="11"/>
      <c r="BD462" s="15"/>
      <c r="BE462" s="11"/>
      <c r="BF462" s="11"/>
      <c r="BG462" s="15"/>
      <c r="BH462" s="15"/>
      <c r="BI462" s="15"/>
      <c r="BJ462" s="11"/>
      <c r="BK462" s="15"/>
      <c r="BL462" s="11"/>
      <c r="BM462" s="11"/>
      <c r="BN462" s="15"/>
      <c r="BO462" s="11"/>
      <c r="BP462" s="11"/>
      <c r="BQ462" s="15"/>
      <c r="BR462" s="15"/>
      <c r="BS462" s="15"/>
      <c r="BT462" s="11"/>
      <c r="BU462" s="15"/>
      <c r="BV462" s="11"/>
      <c r="BW462" s="11"/>
      <c r="BX462" s="15"/>
      <c r="BY462" s="11"/>
      <c r="BZ462" s="11"/>
      <c r="CA462" s="15"/>
      <c r="CB462" s="11"/>
      <c r="CC462" s="15"/>
      <c r="CD462" s="11"/>
      <c r="CE462" s="15"/>
      <c r="CF462" s="11"/>
      <c r="CG462" s="11"/>
      <c r="CH462" s="15"/>
      <c r="CI462" s="11"/>
      <c r="CJ462" s="11"/>
      <c r="CK462" s="15"/>
      <c r="CL462" s="11"/>
      <c r="CM462" s="11"/>
      <c r="CN462" s="11"/>
      <c r="CO462" s="11"/>
      <c r="CP462" s="28"/>
      <c r="CQ462" s="28"/>
      <c r="CR462" s="11"/>
      <c r="CS462" s="29"/>
      <c r="CT462" s="11"/>
      <c r="CU462" s="11"/>
      <c r="CV462" s="11"/>
      <c r="CW462" s="11"/>
      <c r="CX462" s="11"/>
      <c r="CY462" s="11"/>
      <c r="CZ462" s="11"/>
      <c r="DA462" s="28"/>
      <c r="DB462" s="28"/>
      <c r="DC462" s="11"/>
      <c r="DD462" s="29"/>
      <c r="DE462" s="11"/>
      <c r="DF462" s="11"/>
      <c r="DG462" s="11"/>
      <c r="DH462" s="11"/>
      <c r="DI462" s="11"/>
      <c r="DJ462" s="11"/>
      <c r="DK462" s="26"/>
      <c r="DL462" s="11"/>
      <c r="DM462" s="29"/>
      <c r="DN462" s="28"/>
      <c r="DO462" s="11"/>
      <c r="DP462" s="11"/>
      <c r="DQ462" s="11"/>
      <c r="DR462" s="29"/>
      <c r="DS462" s="28"/>
      <c r="DT462" s="11"/>
      <c r="DU462" s="26"/>
      <c r="DV462" s="11"/>
      <c r="DW462" s="29"/>
      <c r="DX462" s="28"/>
      <c r="DY462" s="11"/>
      <c r="DZ462" s="26"/>
      <c r="EA462" s="11"/>
      <c r="EB462" s="29"/>
      <c r="EC462" s="28"/>
      <c r="ED462" s="30"/>
      <c r="EE462" s="30" t="str">
        <f ca="1">IFERROR(__xludf.DUMMYFUNCTION("iferror(index(filter('Internal -- Trademark Countries'!E$2:E1000, (AM462 = 'Internal -- Trademark Countries'!B$2:B1000) + (AM462 = 'Internal -- Trademark Countries'!C$2:C1000) + (AM462 = 'Internal -- Trademark Countries'!D$2:D1000)), 1))"),"")</f>
        <v/>
      </c>
      <c r="EF462" s="30" t="e">
        <f ca="1">_xludf.ifs(AM462="", "", COUNTIF('Internal -- Trademark Countries'!B:B,AM462) &gt; 0, "polity_shortest_name", COUNTIF('Internal -- Trademark Countries'!C:C,AM462) &gt; 0, "polity_full_name", COUNTIF('Internal -- Trademark Countries'!D:D,AM462) &gt; 0, "polity_common_name", COUNTIF('Internal -- Trademark Countries'!E:E,AM462) &gt; 0, "shortest_name", COUNTIF('Internal -- Trademark Countries'!A:A,AM462) &gt; 0, "full_name", TRUE, "not a match")</f>
        <v>#NAME?</v>
      </c>
      <c r="EG462" s="30"/>
      <c r="EH462" s="30"/>
      <c r="EI462" s="30"/>
      <c r="EJ462" s="30"/>
      <c r="EK462" s="30" t="str">
        <f t="shared" si="3"/>
        <v/>
      </c>
    </row>
    <row r="463" spans="1:141" ht="16.5">
      <c r="A463" s="11"/>
      <c r="B463" s="11"/>
      <c r="C463" s="11"/>
      <c r="D463" s="11"/>
      <c r="E463" s="11"/>
      <c r="F463" s="11"/>
      <c r="G463" s="11"/>
      <c r="H463" s="11"/>
      <c r="I463" s="11"/>
      <c r="J463" s="11"/>
      <c r="K463" s="27"/>
      <c r="L463" s="11"/>
      <c r="M463" s="11"/>
      <c r="N463" s="11"/>
      <c r="O463" s="11"/>
      <c r="P463" s="15"/>
      <c r="Q463" s="15"/>
      <c r="R463" s="15"/>
      <c r="S463" s="15"/>
      <c r="T463" s="15"/>
      <c r="U463" s="15"/>
      <c r="V463" s="15"/>
      <c r="W463" s="47"/>
      <c r="X463" s="11"/>
      <c r="Y463" s="48"/>
      <c r="Z463" s="11"/>
      <c r="AA463" s="48"/>
      <c r="AB463" s="11"/>
      <c r="AC463" s="48"/>
      <c r="AD463" s="11"/>
      <c r="AE463" s="47"/>
      <c r="AF463" s="11"/>
      <c r="AG463" s="48"/>
      <c r="AH463" s="11"/>
      <c r="AI463" s="48"/>
      <c r="AJ463" s="11"/>
      <c r="AK463" s="48"/>
      <c r="AL463" s="11"/>
      <c r="AM463" s="49"/>
      <c r="AN463" s="49"/>
      <c r="AO463" s="11"/>
      <c r="AP463" s="11"/>
      <c r="AQ463" s="28" t="b">
        <f>IF(COUNTIF(SmartStatus!A$2:A1000, AM463) &gt; 2, TRUE, FALSE)</f>
        <v>0</v>
      </c>
      <c r="AR463" s="29" t="str">
        <f ca="1">IFERROR(__xludf.DUMMYFUNCTION("iferror(if(regexmatch(AO463, ""(?i)^registered""), if(EE463 &lt;&gt; ""polity_shortest_name"", ""CHECK_POLITY"", index(filter(SmartStatus!B$2:B1000, AM463 = SmartStatus!A$2:A1000, not(SmartStatus!C$2:C1000), (isblank(SmartStatus!D$2:D1000)) + ((P463 &lt;&gt; """") * "&amp;"(P463 &lt; SmartStatus!D$2:D1000)), (isblank(SmartStatus!E$2:E1000)) + ((P463 &lt;&gt; """") * (P463 &gt;= SmartStatus!E$2:E1000)), (isblank(SmartStatus!F$2:F1000)) + (((Q463 &lt;&gt; """") * (Q463 &lt; SmartStatus!F$2:F1000)) + ((P463 &lt;&gt; """") * (date(year(P463) + 3, month(P"&amp;"463), day(P463)) &lt; SmartStatus!F$2:F1000))), (isblank(SmartStatus!G$2:G1000)) + (((Q463 &lt;&gt; """") * (Q463 &gt;= SmartStatus!G$2:G1000)) + ((P463 &lt;&gt; """") * (P463 &gt;= SmartStatus!G$2:G1000)))), if(or(regexmatch(B463, ""(?i)^ir [a-z]+ designation$""), N463 &lt;&gt; """&amp;"""), 1, 2))), """"), ""NO_MATCH"")"),"")</f>
        <v/>
      </c>
      <c r="AS463" s="11"/>
      <c r="AT463" s="15"/>
      <c r="AU463" s="11"/>
      <c r="AV463" s="11"/>
      <c r="AW463" s="15"/>
      <c r="AX463" s="15"/>
      <c r="AY463" s="15"/>
      <c r="AZ463" s="11"/>
      <c r="BA463" s="15"/>
      <c r="BB463" s="11"/>
      <c r="BC463" s="11"/>
      <c r="BD463" s="15"/>
      <c r="BE463" s="11"/>
      <c r="BF463" s="11"/>
      <c r="BG463" s="15"/>
      <c r="BH463" s="15"/>
      <c r="BI463" s="15"/>
      <c r="BJ463" s="11"/>
      <c r="BK463" s="15"/>
      <c r="BL463" s="11"/>
      <c r="BM463" s="11"/>
      <c r="BN463" s="15"/>
      <c r="BO463" s="11"/>
      <c r="BP463" s="11"/>
      <c r="BQ463" s="15"/>
      <c r="BR463" s="15"/>
      <c r="BS463" s="15"/>
      <c r="BT463" s="11"/>
      <c r="BU463" s="15"/>
      <c r="BV463" s="11"/>
      <c r="BW463" s="11"/>
      <c r="BX463" s="15"/>
      <c r="BY463" s="11"/>
      <c r="BZ463" s="11"/>
      <c r="CA463" s="15"/>
      <c r="CB463" s="11"/>
      <c r="CC463" s="15"/>
      <c r="CD463" s="11"/>
      <c r="CE463" s="15"/>
      <c r="CF463" s="11"/>
      <c r="CG463" s="11"/>
      <c r="CH463" s="15"/>
      <c r="CI463" s="11"/>
      <c r="CJ463" s="11"/>
      <c r="CK463" s="15"/>
      <c r="CL463" s="11"/>
      <c r="CM463" s="11"/>
      <c r="CN463" s="11"/>
      <c r="CO463" s="11"/>
      <c r="CP463" s="28"/>
      <c r="CQ463" s="28"/>
      <c r="CR463" s="11"/>
      <c r="CS463" s="29"/>
      <c r="CT463" s="11"/>
      <c r="CU463" s="11"/>
      <c r="CV463" s="11"/>
      <c r="CW463" s="11"/>
      <c r="CX463" s="11"/>
      <c r="CY463" s="11"/>
      <c r="CZ463" s="11"/>
      <c r="DA463" s="28"/>
      <c r="DB463" s="28"/>
      <c r="DC463" s="11"/>
      <c r="DD463" s="29"/>
      <c r="DE463" s="11"/>
      <c r="DF463" s="11"/>
      <c r="DG463" s="11"/>
      <c r="DH463" s="11"/>
      <c r="DI463" s="11"/>
      <c r="DJ463" s="11"/>
      <c r="DK463" s="26"/>
      <c r="DL463" s="11"/>
      <c r="DM463" s="29"/>
      <c r="DN463" s="28"/>
      <c r="DO463" s="11"/>
      <c r="DP463" s="11"/>
      <c r="DQ463" s="11"/>
      <c r="DR463" s="29"/>
      <c r="DS463" s="28"/>
      <c r="DT463" s="11"/>
      <c r="DU463" s="26"/>
      <c r="DV463" s="11"/>
      <c r="DW463" s="29"/>
      <c r="DX463" s="28"/>
      <c r="DY463" s="11"/>
      <c r="DZ463" s="26"/>
      <c r="EA463" s="11"/>
      <c r="EB463" s="29"/>
      <c r="EC463" s="28"/>
      <c r="ED463" s="30"/>
      <c r="EE463" s="30" t="str">
        <f ca="1">IFERROR(__xludf.DUMMYFUNCTION("iferror(index(filter('Internal -- Trademark Countries'!E$2:E1000, (AM463 = 'Internal -- Trademark Countries'!B$2:B1000) + (AM463 = 'Internal -- Trademark Countries'!C$2:C1000) + (AM463 = 'Internal -- Trademark Countries'!D$2:D1000)), 1))"),"")</f>
        <v/>
      </c>
      <c r="EF463" s="30" t="e">
        <f ca="1">_xludf.ifs(AM463="", "", COUNTIF('Internal -- Trademark Countries'!B:B,AM463) &gt; 0, "polity_shortest_name", COUNTIF('Internal -- Trademark Countries'!C:C,AM463) &gt; 0, "polity_full_name", COUNTIF('Internal -- Trademark Countries'!D:D,AM463) &gt; 0, "polity_common_name", COUNTIF('Internal -- Trademark Countries'!E:E,AM463) &gt; 0, "shortest_name", COUNTIF('Internal -- Trademark Countries'!A:A,AM463) &gt; 0, "full_name", TRUE, "not a match")</f>
        <v>#NAME?</v>
      </c>
      <c r="EG463" s="30"/>
      <c r="EH463" s="30"/>
      <c r="EI463" s="30"/>
      <c r="EJ463" s="30"/>
      <c r="EK463" s="30" t="str">
        <f t="shared" si="3"/>
        <v/>
      </c>
    </row>
    <row r="464" spans="1:141" ht="16.5">
      <c r="A464" s="11"/>
      <c r="B464" s="11"/>
      <c r="C464" s="11"/>
      <c r="D464" s="11"/>
      <c r="E464" s="11"/>
      <c r="F464" s="11"/>
      <c r="G464" s="11"/>
      <c r="H464" s="11"/>
      <c r="I464" s="11"/>
      <c r="J464" s="11"/>
      <c r="K464" s="27"/>
      <c r="L464" s="11"/>
      <c r="M464" s="11"/>
      <c r="N464" s="11"/>
      <c r="O464" s="11"/>
      <c r="P464" s="15"/>
      <c r="Q464" s="15"/>
      <c r="R464" s="15"/>
      <c r="S464" s="15"/>
      <c r="T464" s="15"/>
      <c r="U464" s="15"/>
      <c r="V464" s="15"/>
      <c r="W464" s="47"/>
      <c r="X464" s="11"/>
      <c r="Y464" s="48"/>
      <c r="Z464" s="11"/>
      <c r="AA464" s="48"/>
      <c r="AB464" s="11"/>
      <c r="AC464" s="48"/>
      <c r="AD464" s="11"/>
      <c r="AE464" s="47"/>
      <c r="AF464" s="11"/>
      <c r="AG464" s="48"/>
      <c r="AH464" s="11"/>
      <c r="AI464" s="48"/>
      <c r="AJ464" s="11"/>
      <c r="AK464" s="48"/>
      <c r="AL464" s="11"/>
      <c r="AM464" s="49"/>
      <c r="AN464" s="49"/>
      <c r="AO464" s="11"/>
      <c r="AP464" s="11"/>
      <c r="AQ464" s="28" t="b">
        <f>IF(COUNTIF(SmartStatus!A$2:A1000, AM464) &gt; 2, TRUE, FALSE)</f>
        <v>0</v>
      </c>
      <c r="AR464" s="29" t="str">
        <f ca="1">IFERROR(__xludf.DUMMYFUNCTION("iferror(if(regexmatch(AO464, ""(?i)^registered""), if(EE464 &lt;&gt; ""polity_shortest_name"", ""CHECK_POLITY"", index(filter(SmartStatus!B$2:B1000, AM464 = SmartStatus!A$2:A1000, not(SmartStatus!C$2:C1000), (isblank(SmartStatus!D$2:D1000)) + ((P464 &lt;&gt; """") * "&amp;"(P464 &lt; SmartStatus!D$2:D1000)), (isblank(SmartStatus!E$2:E1000)) + ((P464 &lt;&gt; """") * (P464 &gt;= SmartStatus!E$2:E1000)), (isblank(SmartStatus!F$2:F1000)) + (((Q464 &lt;&gt; """") * (Q464 &lt; SmartStatus!F$2:F1000)) + ((P464 &lt;&gt; """") * (date(year(P464) + 3, month(P"&amp;"464), day(P464)) &lt; SmartStatus!F$2:F1000))), (isblank(SmartStatus!G$2:G1000)) + (((Q464 &lt;&gt; """") * (Q464 &gt;= SmartStatus!G$2:G1000)) + ((P464 &lt;&gt; """") * (P464 &gt;= SmartStatus!G$2:G1000)))), if(or(regexmatch(B464, ""(?i)^ir [a-z]+ designation$""), N464 &lt;&gt; """&amp;"""), 1, 2))), """"), ""NO_MATCH"")"),"")</f>
        <v/>
      </c>
      <c r="AS464" s="11"/>
      <c r="AT464" s="15"/>
      <c r="AU464" s="11"/>
      <c r="AV464" s="11"/>
      <c r="AW464" s="15"/>
      <c r="AX464" s="15"/>
      <c r="AY464" s="15"/>
      <c r="AZ464" s="11"/>
      <c r="BA464" s="15"/>
      <c r="BB464" s="11"/>
      <c r="BC464" s="11"/>
      <c r="BD464" s="15"/>
      <c r="BE464" s="11"/>
      <c r="BF464" s="11"/>
      <c r="BG464" s="15"/>
      <c r="BH464" s="15"/>
      <c r="BI464" s="15"/>
      <c r="BJ464" s="11"/>
      <c r="BK464" s="15"/>
      <c r="BL464" s="11"/>
      <c r="BM464" s="11"/>
      <c r="BN464" s="15"/>
      <c r="BO464" s="11"/>
      <c r="BP464" s="11"/>
      <c r="BQ464" s="15"/>
      <c r="BR464" s="15"/>
      <c r="BS464" s="15"/>
      <c r="BT464" s="11"/>
      <c r="BU464" s="15"/>
      <c r="BV464" s="11"/>
      <c r="BW464" s="11"/>
      <c r="BX464" s="15"/>
      <c r="BY464" s="11"/>
      <c r="BZ464" s="11"/>
      <c r="CA464" s="15"/>
      <c r="CB464" s="11"/>
      <c r="CC464" s="15"/>
      <c r="CD464" s="11"/>
      <c r="CE464" s="15"/>
      <c r="CF464" s="11"/>
      <c r="CG464" s="11"/>
      <c r="CH464" s="15"/>
      <c r="CI464" s="11"/>
      <c r="CJ464" s="11"/>
      <c r="CK464" s="15"/>
      <c r="CL464" s="11"/>
      <c r="CM464" s="11"/>
      <c r="CN464" s="11"/>
      <c r="CO464" s="11"/>
      <c r="CP464" s="28"/>
      <c r="CQ464" s="28"/>
      <c r="CR464" s="11"/>
      <c r="CS464" s="29"/>
      <c r="CT464" s="11"/>
      <c r="CU464" s="11"/>
      <c r="CV464" s="11"/>
      <c r="CW464" s="11"/>
      <c r="CX464" s="11"/>
      <c r="CY464" s="11"/>
      <c r="CZ464" s="11"/>
      <c r="DA464" s="28"/>
      <c r="DB464" s="28"/>
      <c r="DC464" s="11"/>
      <c r="DD464" s="29"/>
      <c r="DE464" s="11"/>
      <c r="DF464" s="11"/>
      <c r="DG464" s="11"/>
      <c r="DH464" s="11"/>
      <c r="DI464" s="11"/>
      <c r="DJ464" s="11"/>
      <c r="DK464" s="26"/>
      <c r="DL464" s="11"/>
      <c r="DM464" s="29"/>
      <c r="DN464" s="28"/>
      <c r="DO464" s="11"/>
      <c r="DP464" s="11"/>
      <c r="DQ464" s="11"/>
      <c r="DR464" s="29"/>
      <c r="DS464" s="28"/>
      <c r="DT464" s="11"/>
      <c r="DU464" s="26"/>
      <c r="DV464" s="11"/>
      <c r="DW464" s="29"/>
      <c r="DX464" s="28"/>
      <c r="DY464" s="11"/>
      <c r="DZ464" s="26"/>
      <c r="EA464" s="11"/>
      <c r="EB464" s="29"/>
      <c r="EC464" s="28"/>
      <c r="ED464" s="30"/>
      <c r="EE464" s="30" t="str">
        <f ca="1">IFERROR(__xludf.DUMMYFUNCTION("iferror(index(filter('Internal -- Trademark Countries'!E$2:E1000, (AM464 = 'Internal -- Trademark Countries'!B$2:B1000) + (AM464 = 'Internal -- Trademark Countries'!C$2:C1000) + (AM464 = 'Internal -- Trademark Countries'!D$2:D1000)), 1))"),"")</f>
        <v/>
      </c>
      <c r="EF464" s="30" t="e">
        <f ca="1">_xludf.ifs(AM464="", "", COUNTIF('Internal -- Trademark Countries'!B:B,AM464) &gt; 0, "polity_shortest_name", COUNTIF('Internal -- Trademark Countries'!C:C,AM464) &gt; 0, "polity_full_name", COUNTIF('Internal -- Trademark Countries'!D:D,AM464) &gt; 0, "polity_common_name", COUNTIF('Internal -- Trademark Countries'!E:E,AM464) &gt; 0, "shortest_name", COUNTIF('Internal -- Trademark Countries'!A:A,AM464) &gt; 0, "full_name", TRUE, "not a match")</f>
        <v>#NAME?</v>
      </c>
      <c r="EG464" s="30"/>
      <c r="EH464" s="30"/>
      <c r="EI464" s="30"/>
      <c r="EJ464" s="30"/>
      <c r="EK464" s="30" t="str">
        <f t="shared" si="3"/>
        <v/>
      </c>
    </row>
    <row r="465" spans="1:141" ht="16.5">
      <c r="A465" s="11"/>
      <c r="B465" s="11"/>
      <c r="C465" s="11"/>
      <c r="D465" s="11"/>
      <c r="E465" s="11"/>
      <c r="F465" s="11"/>
      <c r="G465" s="11"/>
      <c r="H465" s="11"/>
      <c r="I465" s="11"/>
      <c r="J465" s="11"/>
      <c r="K465" s="27"/>
      <c r="L465" s="11"/>
      <c r="M465" s="11"/>
      <c r="N465" s="11"/>
      <c r="O465" s="11"/>
      <c r="P465" s="15"/>
      <c r="Q465" s="15"/>
      <c r="R465" s="15"/>
      <c r="S465" s="15"/>
      <c r="T465" s="15"/>
      <c r="U465" s="15"/>
      <c r="V465" s="15"/>
      <c r="W465" s="47"/>
      <c r="X465" s="11"/>
      <c r="Y465" s="48"/>
      <c r="Z465" s="11"/>
      <c r="AA465" s="48"/>
      <c r="AB465" s="11"/>
      <c r="AC465" s="48"/>
      <c r="AD465" s="11"/>
      <c r="AE465" s="47"/>
      <c r="AF465" s="11"/>
      <c r="AG465" s="48"/>
      <c r="AH465" s="11"/>
      <c r="AI465" s="48"/>
      <c r="AJ465" s="11"/>
      <c r="AK465" s="48"/>
      <c r="AL465" s="11"/>
      <c r="AM465" s="49"/>
      <c r="AN465" s="49"/>
      <c r="AO465" s="11"/>
      <c r="AP465" s="11"/>
      <c r="AQ465" s="28" t="b">
        <f>IF(COUNTIF(SmartStatus!A$2:A1000, AM465) &gt; 2, TRUE, FALSE)</f>
        <v>0</v>
      </c>
      <c r="AR465" s="29" t="str">
        <f ca="1">IFERROR(__xludf.DUMMYFUNCTION("iferror(if(regexmatch(AO465, ""(?i)^registered""), if(EE465 &lt;&gt; ""polity_shortest_name"", ""CHECK_POLITY"", index(filter(SmartStatus!B$2:B1000, AM465 = SmartStatus!A$2:A1000, not(SmartStatus!C$2:C1000), (isblank(SmartStatus!D$2:D1000)) + ((P465 &lt;&gt; """") * "&amp;"(P465 &lt; SmartStatus!D$2:D1000)), (isblank(SmartStatus!E$2:E1000)) + ((P465 &lt;&gt; """") * (P465 &gt;= SmartStatus!E$2:E1000)), (isblank(SmartStatus!F$2:F1000)) + (((Q465 &lt;&gt; """") * (Q465 &lt; SmartStatus!F$2:F1000)) + ((P465 &lt;&gt; """") * (date(year(P465) + 3, month(P"&amp;"465), day(P465)) &lt; SmartStatus!F$2:F1000))), (isblank(SmartStatus!G$2:G1000)) + (((Q465 &lt;&gt; """") * (Q465 &gt;= SmartStatus!G$2:G1000)) + ((P465 &lt;&gt; """") * (P465 &gt;= SmartStatus!G$2:G1000)))), if(or(regexmatch(B465, ""(?i)^ir [a-z]+ designation$""), N465 &lt;&gt; """&amp;"""), 1, 2))), """"), ""NO_MATCH"")"),"")</f>
        <v/>
      </c>
      <c r="AS465" s="11"/>
      <c r="AT465" s="15"/>
      <c r="AU465" s="11"/>
      <c r="AV465" s="11"/>
      <c r="AW465" s="15"/>
      <c r="AX465" s="15"/>
      <c r="AY465" s="15"/>
      <c r="AZ465" s="11"/>
      <c r="BA465" s="15"/>
      <c r="BB465" s="11"/>
      <c r="BC465" s="11"/>
      <c r="BD465" s="15"/>
      <c r="BE465" s="11"/>
      <c r="BF465" s="11"/>
      <c r="BG465" s="15"/>
      <c r="BH465" s="15"/>
      <c r="BI465" s="15"/>
      <c r="BJ465" s="11"/>
      <c r="BK465" s="15"/>
      <c r="BL465" s="11"/>
      <c r="BM465" s="11"/>
      <c r="BN465" s="15"/>
      <c r="BO465" s="11"/>
      <c r="BP465" s="11"/>
      <c r="BQ465" s="15"/>
      <c r="BR465" s="15"/>
      <c r="BS465" s="15"/>
      <c r="BT465" s="11"/>
      <c r="BU465" s="15"/>
      <c r="BV465" s="11"/>
      <c r="BW465" s="11"/>
      <c r="BX465" s="15"/>
      <c r="BY465" s="11"/>
      <c r="BZ465" s="11"/>
      <c r="CA465" s="15"/>
      <c r="CB465" s="11"/>
      <c r="CC465" s="15"/>
      <c r="CD465" s="11"/>
      <c r="CE465" s="15"/>
      <c r="CF465" s="11"/>
      <c r="CG465" s="11"/>
      <c r="CH465" s="15"/>
      <c r="CI465" s="11"/>
      <c r="CJ465" s="11"/>
      <c r="CK465" s="15"/>
      <c r="CL465" s="11"/>
      <c r="CM465" s="11"/>
      <c r="CN465" s="11"/>
      <c r="CO465" s="11"/>
      <c r="CP465" s="28"/>
      <c r="CQ465" s="28"/>
      <c r="CR465" s="11"/>
      <c r="CS465" s="29"/>
      <c r="CT465" s="11"/>
      <c r="CU465" s="11"/>
      <c r="CV465" s="11"/>
      <c r="CW465" s="11"/>
      <c r="CX465" s="11"/>
      <c r="CY465" s="11"/>
      <c r="CZ465" s="11"/>
      <c r="DA465" s="28"/>
      <c r="DB465" s="28"/>
      <c r="DC465" s="11"/>
      <c r="DD465" s="29"/>
      <c r="DE465" s="11"/>
      <c r="DF465" s="11"/>
      <c r="DG465" s="11"/>
      <c r="DH465" s="11"/>
      <c r="DI465" s="11"/>
      <c r="DJ465" s="11"/>
      <c r="DK465" s="26"/>
      <c r="DL465" s="11"/>
      <c r="DM465" s="29"/>
      <c r="DN465" s="28"/>
      <c r="DO465" s="11"/>
      <c r="DP465" s="11"/>
      <c r="DQ465" s="11"/>
      <c r="DR465" s="29"/>
      <c r="DS465" s="28"/>
      <c r="DT465" s="11"/>
      <c r="DU465" s="26"/>
      <c r="DV465" s="11"/>
      <c r="DW465" s="29"/>
      <c r="DX465" s="28"/>
      <c r="DY465" s="11"/>
      <c r="DZ465" s="26"/>
      <c r="EA465" s="11"/>
      <c r="EB465" s="29"/>
      <c r="EC465" s="28"/>
      <c r="ED465" s="30"/>
      <c r="EE465" s="30" t="str">
        <f ca="1">IFERROR(__xludf.DUMMYFUNCTION("iferror(index(filter('Internal -- Trademark Countries'!E$2:E1000, (AM465 = 'Internal -- Trademark Countries'!B$2:B1000) + (AM465 = 'Internal -- Trademark Countries'!C$2:C1000) + (AM465 = 'Internal -- Trademark Countries'!D$2:D1000)), 1))"),"")</f>
        <v/>
      </c>
      <c r="EF465" s="30" t="e">
        <f ca="1">_xludf.ifs(AM465="", "", COUNTIF('Internal -- Trademark Countries'!B:B,AM465) &gt; 0, "polity_shortest_name", COUNTIF('Internal -- Trademark Countries'!C:C,AM465) &gt; 0, "polity_full_name", COUNTIF('Internal -- Trademark Countries'!D:D,AM465) &gt; 0, "polity_common_name", COUNTIF('Internal -- Trademark Countries'!E:E,AM465) &gt; 0, "shortest_name", COUNTIF('Internal -- Trademark Countries'!A:A,AM465) &gt; 0, "full_name", TRUE, "not a match")</f>
        <v>#NAME?</v>
      </c>
      <c r="EG465" s="30"/>
      <c r="EH465" s="30"/>
      <c r="EI465" s="30"/>
      <c r="EJ465" s="30"/>
      <c r="EK465" s="30" t="str">
        <f t="shared" si="3"/>
        <v/>
      </c>
    </row>
    <row r="466" spans="1:141" ht="16.5">
      <c r="A466" s="11"/>
      <c r="B466" s="11"/>
      <c r="C466" s="11"/>
      <c r="D466" s="11"/>
      <c r="E466" s="11"/>
      <c r="F466" s="11"/>
      <c r="G466" s="11"/>
      <c r="H466" s="11"/>
      <c r="I466" s="11"/>
      <c r="J466" s="11"/>
      <c r="K466" s="27"/>
      <c r="L466" s="11"/>
      <c r="M466" s="11"/>
      <c r="N466" s="11"/>
      <c r="O466" s="11"/>
      <c r="P466" s="15"/>
      <c r="Q466" s="15"/>
      <c r="R466" s="15"/>
      <c r="S466" s="15"/>
      <c r="T466" s="15"/>
      <c r="U466" s="15"/>
      <c r="V466" s="15"/>
      <c r="W466" s="47"/>
      <c r="X466" s="11"/>
      <c r="Y466" s="48"/>
      <c r="Z466" s="11"/>
      <c r="AA466" s="48"/>
      <c r="AB466" s="11"/>
      <c r="AC466" s="48"/>
      <c r="AD466" s="11"/>
      <c r="AE466" s="47"/>
      <c r="AF466" s="11"/>
      <c r="AG466" s="48"/>
      <c r="AH466" s="11"/>
      <c r="AI466" s="48"/>
      <c r="AJ466" s="11"/>
      <c r="AK466" s="48"/>
      <c r="AL466" s="11"/>
      <c r="AM466" s="49"/>
      <c r="AN466" s="49"/>
      <c r="AO466" s="11"/>
      <c r="AP466" s="11"/>
      <c r="AQ466" s="28" t="b">
        <f>IF(COUNTIF(SmartStatus!A$2:A1000, AM466) &gt; 2, TRUE, FALSE)</f>
        <v>0</v>
      </c>
      <c r="AR466" s="29" t="str">
        <f ca="1">IFERROR(__xludf.DUMMYFUNCTION("iferror(if(regexmatch(AO466, ""(?i)^registered""), if(EE466 &lt;&gt; ""polity_shortest_name"", ""CHECK_POLITY"", index(filter(SmartStatus!B$2:B1000, AM466 = SmartStatus!A$2:A1000, not(SmartStatus!C$2:C1000), (isblank(SmartStatus!D$2:D1000)) + ((P466 &lt;&gt; """") * "&amp;"(P466 &lt; SmartStatus!D$2:D1000)), (isblank(SmartStatus!E$2:E1000)) + ((P466 &lt;&gt; """") * (P466 &gt;= SmartStatus!E$2:E1000)), (isblank(SmartStatus!F$2:F1000)) + (((Q466 &lt;&gt; """") * (Q466 &lt; SmartStatus!F$2:F1000)) + ((P466 &lt;&gt; """") * (date(year(P466) + 3, month(P"&amp;"466), day(P466)) &lt; SmartStatus!F$2:F1000))), (isblank(SmartStatus!G$2:G1000)) + (((Q466 &lt;&gt; """") * (Q466 &gt;= SmartStatus!G$2:G1000)) + ((P466 &lt;&gt; """") * (P466 &gt;= SmartStatus!G$2:G1000)))), if(or(regexmatch(B466, ""(?i)^ir [a-z]+ designation$""), N466 &lt;&gt; """&amp;"""), 1, 2))), """"), ""NO_MATCH"")"),"")</f>
        <v/>
      </c>
      <c r="AS466" s="11"/>
      <c r="AT466" s="15"/>
      <c r="AU466" s="11"/>
      <c r="AV466" s="11"/>
      <c r="AW466" s="15"/>
      <c r="AX466" s="15"/>
      <c r="AY466" s="15"/>
      <c r="AZ466" s="11"/>
      <c r="BA466" s="15"/>
      <c r="BB466" s="11"/>
      <c r="BC466" s="11"/>
      <c r="BD466" s="15"/>
      <c r="BE466" s="11"/>
      <c r="BF466" s="11"/>
      <c r="BG466" s="15"/>
      <c r="BH466" s="15"/>
      <c r="BI466" s="15"/>
      <c r="BJ466" s="11"/>
      <c r="BK466" s="15"/>
      <c r="BL466" s="11"/>
      <c r="BM466" s="11"/>
      <c r="BN466" s="15"/>
      <c r="BO466" s="11"/>
      <c r="BP466" s="11"/>
      <c r="BQ466" s="15"/>
      <c r="BR466" s="15"/>
      <c r="BS466" s="15"/>
      <c r="BT466" s="11"/>
      <c r="BU466" s="15"/>
      <c r="BV466" s="11"/>
      <c r="BW466" s="11"/>
      <c r="BX466" s="15"/>
      <c r="BY466" s="11"/>
      <c r="BZ466" s="11"/>
      <c r="CA466" s="15"/>
      <c r="CB466" s="11"/>
      <c r="CC466" s="15"/>
      <c r="CD466" s="11"/>
      <c r="CE466" s="15"/>
      <c r="CF466" s="11"/>
      <c r="CG466" s="11"/>
      <c r="CH466" s="15"/>
      <c r="CI466" s="11"/>
      <c r="CJ466" s="11"/>
      <c r="CK466" s="15"/>
      <c r="CL466" s="11"/>
      <c r="CM466" s="11"/>
      <c r="CN466" s="11"/>
      <c r="CO466" s="11"/>
      <c r="CP466" s="28"/>
      <c r="CQ466" s="28"/>
      <c r="CR466" s="11"/>
      <c r="CS466" s="29"/>
      <c r="CT466" s="11"/>
      <c r="CU466" s="11"/>
      <c r="CV466" s="11"/>
      <c r="CW466" s="11"/>
      <c r="CX466" s="11"/>
      <c r="CY466" s="11"/>
      <c r="CZ466" s="11"/>
      <c r="DA466" s="28"/>
      <c r="DB466" s="28"/>
      <c r="DC466" s="11"/>
      <c r="DD466" s="29"/>
      <c r="DE466" s="11"/>
      <c r="DF466" s="11"/>
      <c r="DG466" s="11"/>
      <c r="DH466" s="11"/>
      <c r="DI466" s="11"/>
      <c r="DJ466" s="11"/>
      <c r="DK466" s="26"/>
      <c r="DL466" s="11"/>
      <c r="DM466" s="29"/>
      <c r="DN466" s="28"/>
      <c r="DO466" s="11"/>
      <c r="DP466" s="11"/>
      <c r="DQ466" s="11"/>
      <c r="DR466" s="29"/>
      <c r="DS466" s="28"/>
      <c r="DT466" s="11"/>
      <c r="DU466" s="26"/>
      <c r="DV466" s="11"/>
      <c r="DW466" s="29"/>
      <c r="DX466" s="28"/>
      <c r="DY466" s="11"/>
      <c r="DZ466" s="26"/>
      <c r="EA466" s="11"/>
      <c r="EB466" s="29"/>
      <c r="EC466" s="28"/>
      <c r="ED466" s="30"/>
      <c r="EE466" s="30" t="str">
        <f ca="1">IFERROR(__xludf.DUMMYFUNCTION("iferror(index(filter('Internal -- Trademark Countries'!E$2:E1000, (AM466 = 'Internal -- Trademark Countries'!B$2:B1000) + (AM466 = 'Internal -- Trademark Countries'!C$2:C1000) + (AM466 = 'Internal -- Trademark Countries'!D$2:D1000)), 1))"),"")</f>
        <v/>
      </c>
      <c r="EF466" s="30" t="e">
        <f ca="1">_xludf.ifs(AM466="", "", COUNTIF('Internal -- Trademark Countries'!B:B,AM466) &gt; 0, "polity_shortest_name", COUNTIF('Internal -- Trademark Countries'!C:C,AM466) &gt; 0, "polity_full_name", COUNTIF('Internal -- Trademark Countries'!D:D,AM466) &gt; 0, "polity_common_name", COUNTIF('Internal -- Trademark Countries'!E:E,AM466) &gt; 0, "shortest_name", COUNTIF('Internal -- Trademark Countries'!A:A,AM466) &gt; 0, "full_name", TRUE, "not a match")</f>
        <v>#NAME?</v>
      </c>
      <c r="EG466" s="30"/>
      <c r="EH466" s="30"/>
      <c r="EI466" s="30"/>
      <c r="EJ466" s="30"/>
      <c r="EK466" s="30" t="str">
        <f t="shared" si="3"/>
        <v/>
      </c>
    </row>
    <row r="467" spans="1:141" ht="16.5">
      <c r="A467" s="11"/>
      <c r="B467" s="11"/>
      <c r="C467" s="11"/>
      <c r="D467" s="11"/>
      <c r="E467" s="11"/>
      <c r="F467" s="11"/>
      <c r="G467" s="11"/>
      <c r="H467" s="11"/>
      <c r="I467" s="11"/>
      <c r="J467" s="11"/>
      <c r="K467" s="27"/>
      <c r="L467" s="11"/>
      <c r="M467" s="11"/>
      <c r="N467" s="11"/>
      <c r="O467" s="11"/>
      <c r="P467" s="15"/>
      <c r="Q467" s="15"/>
      <c r="R467" s="15"/>
      <c r="S467" s="15"/>
      <c r="T467" s="15"/>
      <c r="U467" s="15"/>
      <c r="V467" s="15"/>
      <c r="W467" s="47"/>
      <c r="X467" s="11"/>
      <c r="Y467" s="48"/>
      <c r="Z467" s="11"/>
      <c r="AA467" s="48"/>
      <c r="AB467" s="11"/>
      <c r="AC467" s="48"/>
      <c r="AD467" s="11"/>
      <c r="AE467" s="47"/>
      <c r="AF467" s="11"/>
      <c r="AG467" s="48"/>
      <c r="AH467" s="11"/>
      <c r="AI467" s="48"/>
      <c r="AJ467" s="11"/>
      <c r="AK467" s="48"/>
      <c r="AL467" s="11"/>
      <c r="AM467" s="49"/>
      <c r="AN467" s="49"/>
      <c r="AO467" s="11"/>
      <c r="AP467" s="11"/>
      <c r="AQ467" s="28" t="b">
        <f>IF(COUNTIF(SmartStatus!A$2:A1000, AM467) &gt; 2, TRUE, FALSE)</f>
        <v>0</v>
      </c>
      <c r="AR467" s="29" t="str">
        <f ca="1">IFERROR(__xludf.DUMMYFUNCTION("iferror(if(regexmatch(AO467, ""(?i)^registered""), if(EE467 &lt;&gt; ""polity_shortest_name"", ""CHECK_POLITY"", index(filter(SmartStatus!B$2:B1000, AM467 = SmartStatus!A$2:A1000, not(SmartStatus!C$2:C1000), (isblank(SmartStatus!D$2:D1000)) + ((P467 &lt;&gt; """") * "&amp;"(P467 &lt; SmartStatus!D$2:D1000)), (isblank(SmartStatus!E$2:E1000)) + ((P467 &lt;&gt; """") * (P467 &gt;= SmartStatus!E$2:E1000)), (isblank(SmartStatus!F$2:F1000)) + (((Q467 &lt;&gt; """") * (Q467 &lt; SmartStatus!F$2:F1000)) + ((P467 &lt;&gt; """") * (date(year(P467) + 3, month(P"&amp;"467), day(P467)) &lt; SmartStatus!F$2:F1000))), (isblank(SmartStatus!G$2:G1000)) + (((Q467 &lt;&gt; """") * (Q467 &gt;= SmartStatus!G$2:G1000)) + ((P467 &lt;&gt; """") * (P467 &gt;= SmartStatus!G$2:G1000)))), if(or(regexmatch(B467, ""(?i)^ir [a-z]+ designation$""), N467 &lt;&gt; """&amp;"""), 1, 2))), """"), ""NO_MATCH"")"),"")</f>
        <v/>
      </c>
      <c r="AS467" s="11"/>
      <c r="AT467" s="15"/>
      <c r="AU467" s="11"/>
      <c r="AV467" s="11"/>
      <c r="AW467" s="15"/>
      <c r="AX467" s="15"/>
      <c r="AY467" s="15"/>
      <c r="AZ467" s="11"/>
      <c r="BA467" s="15"/>
      <c r="BB467" s="11"/>
      <c r="BC467" s="11"/>
      <c r="BD467" s="15"/>
      <c r="BE467" s="11"/>
      <c r="BF467" s="11"/>
      <c r="BG467" s="15"/>
      <c r="BH467" s="15"/>
      <c r="BI467" s="15"/>
      <c r="BJ467" s="11"/>
      <c r="BK467" s="15"/>
      <c r="BL467" s="11"/>
      <c r="BM467" s="11"/>
      <c r="BN467" s="15"/>
      <c r="BO467" s="11"/>
      <c r="BP467" s="11"/>
      <c r="BQ467" s="15"/>
      <c r="BR467" s="15"/>
      <c r="BS467" s="15"/>
      <c r="BT467" s="11"/>
      <c r="BU467" s="15"/>
      <c r="BV467" s="11"/>
      <c r="BW467" s="11"/>
      <c r="BX467" s="15"/>
      <c r="BY467" s="11"/>
      <c r="BZ467" s="11"/>
      <c r="CA467" s="15"/>
      <c r="CB467" s="11"/>
      <c r="CC467" s="15"/>
      <c r="CD467" s="11"/>
      <c r="CE467" s="15"/>
      <c r="CF467" s="11"/>
      <c r="CG467" s="11"/>
      <c r="CH467" s="15"/>
      <c r="CI467" s="11"/>
      <c r="CJ467" s="11"/>
      <c r="CK467" s="15"/>
      <c r="CL467" s="11"/>
      <c r="CM467" s="11"/>
      <c r="CN467" s="11"/>
      <c r="CO467" s="11"/>
      <c r="CP467" s="28"/>
      <c r="CQ467" s="28"/>
      <c r="CR467" s="11"/>
      <c r="CS467" s="29"/>
      <c r="CT467" s="11"/>
      <c r="CU467" s="11"/>
      <c r="CV467" s="11"/>
      <c r="CW467" s="11"/>
      <c r="CX467" s="11"/>
      <c r="CY467" s="11"/>
      <c r="CZ467" s="11"/>
      <c r="DA467" s="28"/>
      <c r="DB467" s="28"/>
      <c r="DC467" s="11"/>
      <c r="DD467" s="29"/>
      <c r="DE467" s="11"/>
      <c r="DF467" s="11"/>
      <c r="DG467" s="11"/>
      <c r="DH467" s="11"/>
      <c r="DI467" s="11"/>
      <c r="DJ467" s="11"/>
      <c r="DK467" s="26"/>
      <c r="DL467" s="11"/>
      <c r="DM467" s="29"/>
      <c r="DN467" s="28"/>
      <c r="DO467" s="11"/>
      <c r="DP467" s="11"/>
      <c r="DQ467" s="11"/>
      <c r="DR467" s="29"/>
      <c r="DS467" s="28"/>
      <c r="DT467" s="11"/>
      <c r="DU467" s="26"/>
      <c r="DV467" s="11"/>
      <c r="DW467" s="29"/>
      <c r="DX467" s="28"/>
      <c r="DY467" s="11"/>
      <c r="DZ467" s="26"/>
      <c r="EA467" s="11"/>
      <c r="EB467" s="29"/>
      <c r="EC467" s="28"/>
      <c r="ED467" s="30"/>
      <c r="EE467" s="30" t="str">
        <f ca="1">IFERROR(__xludf.DUMMYFUNCTION("iferror(index(filter('Internal -- Trademark Countries'!E$2:E1000, (AM467 = 'Internal -- Trademark Countries'!B$2:B1000) + (AM467 = 'Internal -- Trademark Countries'!C$2:C1000) + (AM467 = 'Internal -- Trademark Countries'!D$2:D1000)), 1))"),"")</f>
        <v/>
      </c>
      <c r="EF467" s="30" t="e">
        <f ca="1">_xludf.ifs(AM467="", "", COUNTIF('Internal -- Trademark Countries'!B:B,AM467) &gt; 0, "polity_shortest_name", COUNTIF('Internal -- Trademark Countries'!C:C,AM467) &gt; 0, "polity_full_name", COUNTIF('Internal -- Trademark Countries'!D:D,AM467) &gt; 0, "polity_common_name", COUNTIF('Internal -- Trademark Countries'!E:E,AM467) &gt; 0, "shortest_name", COUNTIF('Internal -- Trademark Countries'!A:A,AM467) &gt; 0, "full_name", TRUE, "not a match")</f>
        <v>#NAME?</v>
      </c>
      <c r="EG467" s="30"/>
      <c r="EH467" s="30"/>
      <c r="EI467" s="30"/>
      <c r="EJ467" s="30"/>
      <c r="EK467" s="30" t="str">
        <f t="shared" si="3"/>
        <v/>
      </c>
    </row>
    <row r="468" spans="1:141" ht="16.5">
      <c r="A468" s="11"/>
      <c r="B468" s="11"/>
      <c r="C468" s="11"/>
      <c r="D468" s="11"/>
      <c r="E468" s="11"/>
      <c r="F468" s="11"/>
      <c r="G468" s="11"/>
      <c r="H468" s="11"/>
      <c r="I468" s="11"/>
      <c r="J468" s="11"/>
      <c r="K468" s="27"/>
      <c r="L468" s="11"/>
      <c r="M468" s="11"/>
      <c r="N468" s="11"/>
      <c r="O468" s="11"/>
      <c r="P468" s="15"/>
      <c r="Q468" s="15"/>
      <c r="R468" s="15"/>
      <c r="S468" s="15"/>
      <c r="T468" s="15"/>
      <c r="U468" s="15"/>
      <c r="V468" s="15"/>
      <c r="W468" s="47"/>
      <c r="X468" s="11"/>
      <c r="Y468" s="48"/>
      <c r="Z468" s="11"/>
      <c r="AA468" s="48"/>
      <c r="AB468" s="11"/>
      <c r="AC468" s="48"/>
      <c r="AD468" s="11"/>
      <c r="AE468" s="47"/>
      <c r="AF468" s="11"/>
      <c r="AG468" s="48"/>
      <c r="AH468" s="11"/>
      <c r="AI468" s="48"/>
      <c r="AJ468" s="11"/>
      <c r="AK468" s="48"/>
      <c r="AL468" s="11"/>
      <c r="AM468" s="49"/>
      <c r="AN468" s="49"/>
      <c r="AO468" s="11"/>
      <c r="AP468" s="11"/>
      <c r="AQ468" s="28" t="b">
        <f>IF(COUNTIF(SmartStatus!A$2:A1000, AM468) &gt; 2, TRUE, FALSE)</f>
        <v>0</v>
      </c>
      <c r="AR468" s="29" t="str">
        <f ca="1">IFERROR(__xludf.DUMMYFUNCTION("iferror(if(regexmatch(AO468, ""(?i)^registered""), if(EE468 &lt;&gt; ""polity_shortest_name"", ""CHECK_POLITY"", index(filter(SmartStatus!B$2:B1000, AM468 = SmartStatus!A$2:A1000, not(SmartStatus!C$2:C1000), (isblank(SmartStatus!D$2:D1000)) + ((P468 &lt;&gt; """") * "&amp;"(P468 &lt; SmartStatus!D$2:D1000)), (isblank(SmartStatus!E$2:E1000)) + ((P468 &lt;&gt; """") * (P468 &gt;= SmartStatus!E$2:E1000)), (isblank(SmartStatus!F$2:F1000)) + (((Q468 &lt;&gt; """") * (Q468 &lt; SmartStatus!F$2:F1000)) + ((P468 &lt;&gt; """") * (date(year(P468) + 3, month(P"&amp;"468), day(P468)) &lt; SmartStatus!F$2:F1000))), (isblank(SmartStatus!G$2:G1000)) + (((Q468 &lt;&gt; """") * (Q468 &gt;= SmartStatus!G$2:G1000)) + ((P468 &lt;&gt; """") * (P468 &gt;= SmartStatus!G$2:G1000)))), if(or(regexmatch(B468, ""(?i)^ir [a-z]+ designation$""), N468 &lt;&gt; """&amp;"""), 1, 2))), """"), ""NO_MATCH"")"),"")</f>
        <v/>
      </c>
      <c r="AS468" s="11"/>
      <c r="AT468" s="15"/>
      <c r="AU468" s="11"/>
      <c r="AV468" s="11"/>
      <c r="AW468" s="15"/>
      <c r="AX468" s="15"/>
      <c r="AY468" s="15"/>
      <c r="AZ468" s="11"/>
      <c r="BA468" s="15"/>
      <c r="BB468" s="11"/>
      <c r="BC468" s="11"/>
      <c r="BD468" s="15"/>
      <c r="BE468" s="11"/>
      <c r="BF468" s="11"/>
      <c r="BG468" s="15"/>
      <c r="BH468" s="15"/>
      <c r="BI468" s="15"/>
      <c r="BJ468" s="11"/>
      <c r="BK468" s="15"/>
      <c r="BL468" s="11"/>
      <c r="BM468" s="11"/>
      <c r="BN468" s="15"/>
      <c r="BO468" s="11"/>
      <c r="BP468" s="11"/>
      <c r="BQ468" s="15"/>
      <c r="BR468" s="15"/>
      <c r="BS468" s="15"/>
      <c r="BT468" s="11"/>
      <c r="BU468" s="15"/>
      <c r="BV468" s="11"/>
      <c r="BW468" s="11"/>
      <c r="BX468" s="15"/>
      <c r="BY468" s="11"/>
      <c r="BZ468" s="11"/>
      <c r="CA468" s="15"/>
      <c r="CB468" s="11"/>
      <c r="CC468" s="15"/>
      <c r="CD468" s="11"/>
      <c r="CE468" s="15"/>
      <c r="CF468" s="11"/>
      <c r="CG468" s="11"/>
      <c r="CH468" s="15"/>
      <c r="CI468" s="11"/>
      <c r="CJ468" s="11"/>
      <c r="CK468" s="15"/>
      <c r="CL468" s="11"/>
      <c r="CM468" s="11"/>
      <c r="CN468" s="11"/>
      <c r="CO468" s="11"/>
      <c r="CP468" s="28"/>
      <c r="CQ468" s="28"/>
      <c r="CR468" s="11"/>
      <c r="CS468" s="29"/>
      <c r="CT468" s="11"/>
      <c r="CU468" s="11"/>
      <c r="CV468" s="11"/>
      <c r="CW468" s="11"/>
      <c r="CX468" s="11"/>
      <c r="CY468" s="11"/>
      <c r="CZ468" s="11"/>
      <c r="DA468" s="28"/>
      <c r="DB468" s="28"/>
      <c r="DC468" s="11"/>
      <c r="DD468" s="29"/>
      <c r="DE468" s="11"/>
      <c r="DF468" s="11"/>
      <c r="DG468" s="11"/>
      <c r="DH468" s="11"/>
      <c r="DI468" s="11"/>
      <c r="DJ468" s="11"/>
      <c r="DK468" s="26"/>
      <c r="DL468" s="11"/>
      <c r="DM468" s="29"/>
      <c r="DN468" s="28"/>
      <c r="DO468" s="11"/>
      <c r="DP468" s="11"/>
      <c r="DQ468" s="11"/>
      <c r="DR468" s="29"/>
      <c r="DS468" s="28"/>
      <c r="DT468" s="11"/>
      <c r="DU468" s="26"/>
      <c r="DV468" s="11"/>
      <c r="DW468" s="29"/>
      <c r="DX468" s="28"/>
      <c r="DY468" s="11"/>
      <c r="DZ468" s="26"/>
      <c r="EA468" s="11"/>
      <c r="EB468" s="29"/>
      <c r="EC468" s="28"/>
      <c r="ED468" s="30"/>
      <c r="EE468" s="30" t="str">
        <f ca="1">IFERROR(__xludf.DUMMYFUNCTION("iferror(index(filter('Internal -- Trademark Countries'!E$2:E1000, (AM468 = 'Internal -- Trademark Countries'!B$2:B1000) + (AM468 = 'Internal -- Trademark Countries'!C$2:C1000) + (AM468 = 'Internal -- Trademark Countries'!D$2:D1000)), 1))"),"")</f>
        <v/>
      </c>
      <c r="EF468" s="30" t="e">
        <f ca="1">_xludf.ifs(AM468="", "", COUNTIF('Internal -- Trademark Countries'!B:B,AM468) &gt; 0, "polity_shortest_name", COUNTIF('Internal -- Trademark Countries'!C:C,AM468) &gt; 0, "polity_full_name", COUNTIF('Internal -- Trademark Countries'!D:D,AM468) &gt; 0, "polity_common_name", COUNTIF('Internal -- Trademark Countries'!E:E,AM468) &gt; 0, "shortest_name", COUNTIF('Internal -- Trademark Countries'!A:A,AM468) &gt; 0, "full_name", TRUE, "not a match")</f>
        <v>#NAME?</v>
      </c>
      <c r="EG468" s="30"/>
      <c r="EH468" s="30"/>
      <c r="EI468" s="30"/>
      <c r="EJ468" s="30"/>
      <c r="EK468" s="30" t="str">
        <f t="shared" si="3"/>
        <v/>
      </c>
    </row>
    <row r="469" spans="1:141" ht="16.5">
      <c r="A469" s="11"/>
      <c r="B469" s="11"/>
      <c r="C469" s="11"/>
      <c r="D469" s="11"/>
      <c r="E469" s="11"/>
      <c r="F469" s="11"/>
      <c r="G469" s="11"/>
      <c r="H469" s="11"/>
      <c r="I469" s="11"/>
      <c r="J469" s="11"/>
      <c r="K469" s="27"/>
      <c r="L469" s="11"/>
      <c r="M469" s="11"/>
      <c r="N469" s="11"/>
      <c r="O469" s="11"/>
      <c r="P469" s="15"/>
      <c r="Q469" s="15"/>
      <c r="R469" s="15"/>
      <c r="S469" s="15"/>
      <c r="T469" s="15"/>
      <c r="U469" s="15"/>
      <c r="V469" s="15"/>
      <c r="W469" s="47"/>
      <c r="X469" s="11"/>
      <c r="Y469" s="48"/>
      <c r="Z469" s="11"/>
      <c r="AA469" s="48"/>
      <c r="AB469" s="11"/>
      <c r="AC469" s="48"/>
      <c r="AD469" s="11"/>
      <c r="AE469" s="47"/>
      <c r="AF469" s="11"/>
      <c r="AG469" s="48"/>
      <c r="AH469" s="11"/>
      <c r="AI469" s="48"/>
      <c r="AJ469" s="11"/>
      <c r="AK469" s="48"/>
      <c r="AL469" s="11"/>
      <c r="AM469" s="49"/>
      <c r="AN469" s="49"/>
      <c r="AO469" s="11"/>
      <c r="AP469" s="11"/>
      <c r="AQ469" s="28" t="b">
        <f>IF(COUNTIF(SmartStatus!A$2:A1000, AM469) &gt; 2, TRUE, FALSE)</f>
        <v>0</v>
      </c>
      <c r="AR469" s="29" t="str">
        <f ca="1">IFERROR(__xludf.DUMMYFUNCTION("iferror(if(regexmatch(AO469, ""(?i)^registered""), if(EE469 &lt;&gt; ""polity_shortest_name"", ""CHECK_POLITY"", index(filter(SmartStatus!B$2:B1000, AM469 = SmartStatus!A$2:A1000, not(SmartStatus!C$2:C1000), (isblank(SmartStatus!D$2:D1000)) + ((P469 &lt;&gt; """") * "&amp;"(P469 &lt; SmartStatus!D$2:D1000)), (isblank(SmartStatus!E$2:E1000)) + ((P469 &lt;&gt; """") * (P469 &gt;= SmartStatus!E$2:E1000)), (isblank(SmartStatus!F$2:F1000)) + (((Q469 &lt;&gt; """") * (Q469 &lt; SmartStatus!F$2:F1000)) + ((P469 &lt;&gt; """") * (date(year(P469) + 3, month(P"&amp;"469), day(P469)) &lt; SmartStatus!F$2:F1000))), (isblank(SmartStatus!G$2:G1000)) + (((Q469 &lt;&gt; """") * (Q469 &gt;= SmartStatus!G$2:G1000)) + ((P469 &lt;&gt; """") * (P469 &gt;= SmartStatus!G$2:G1000)))), if(or(regexmatch(B469, ""(?i)^ir [a-z]+ designation$""), N469 &lt;&gt; """&amp;"""), 1, 2))), """"), ""NO_MATCH"")"),"")</f>
        <v/>
      </c>
      <c r="AS469" s="11"/>
      <c r="AT469" s="15"/>
      <c r="AU469" s="11"/>
      <c r="AV469" s="11"/>
      <c r="AW469" s="15"/>
      <c r="AX469" s="15"/>
      <c r="AY469" s="15"/>
      <c r="AZ469" s="11"/>
      <c r="BA469" s="15"/>
      <c r="BB469" s="11"/>
      <c r="BC469" s="11"/>
      <c r="BD469" s="15"/>
      <c r="BE469" s="11"/>
      <c r="BF469" s="11"/>
      <c r="BG469" s="15"/>
      <c r="BH469" s="15"/>
      <c r="BI469" s="15"/>
      <c r="BJ469" s="11"/>
      <c r="BK469" s="15"/>
      <c r="BL469" s="11"/>
      <c r="BM469" s="11"/>
      <c r="BN469" s="15"/>
      <c r="BO469" s="11"/>
      <c r="BP469" s="11"/>
      <c r="BQ469" s="15"/>
      <c r="BR469" s="15"/>
      <c r="BS469" s="15"/>
      <c r="BT469" s="11"/>
      <c r="BU469" s="15"/>
      <c r="BV469" s="11"/>
      <c r="BW469" s="11"/>
      <c r="BX469" s="15"/>
      <c r="BY469" s="11"/>
      <c r="BZ469" s="11"/>
      <c r="CA469" s="15"/>
      <c r="CB469" s="11"/>
      <c r="CC469" s="15"/>
      <c r="CD469" s="11"/>
      <c r="CE469" s="15"/>
      <c r="CF469" s="11"/>
      <c r="CG469" s="11"/>
      <c r="CH469" s="15"/>
      <c r="CI469" s="11"/>
      <c r="CJ469" s="11"/>
      <c r="CK469" s="15"/>
      <c r="CL469" s="11"/>
      <c r="CM469" s="11"/>
      <c r="CN469" s="11"/>
      <c r="CO469" s="11"/>
      <c r="CP469" s="28"/>
      <c r="CQ469" s="28"/>
      <c r="CR469" s="11"/>
      <c r="CS469" s="29"/>
      <c r="CT469" s="11"/>
      <c r="CU469" s="11"/>
      <c r="CV469" s="11"/>
      <c r="CW469" s="11"/>
      <c r="CX469" s="11"/>
      <c r="CY469" s="11"/>
      <c r="CZ469" s="11"/>
      <c r="DA469" s="28"/>
      <c r="DB469" s="28"/>
      <c r="DC469" s="11"/>
      <c r="DD469" s="29"/>
      <c r="DE469" s="11"/>
      <c r="DF469" s="11"/>
      <c r="DG469" s="11"/>
      <c r="DH469" s="11"/>
      <c r="DI469" s="11"/>
      <c r="DJ469" s="11"/>
      <c r="DK469" s="26"/>
      <c r="DL469" s="11"/>
      <c r="DM469" s="29"/>
      <c r="DN469" s="28"/>
      <c r="DO469" s="11"/>
      <c r="DP469" s="11"/>
      <c r="DQ469" s="11"/>
      <c r="DR469" s="29"/>
      <c r="DS469" s="28"/>
      <c r="DT469" s="11"/>
      <c r="DU469" s="26"/>
      <c r="DV469" s="11"/>
      <c r="DW469" s="29"/>
      <c r="DX469" s="28"/>
      <c r="DY469" s="11"/>
      <c r="DZ469" s="26"/>
      <c r="EA469" s="11"/>
      <c r="EB469" s="29"/>
      <c r="EC469" s="28"/>
      <c r="ED469" s="30"/>
      <c r="EE469" s="30" t="str">
        <f ca="1">IFERROR(__xludf.DUMMYFUNCTION("iferror(index(filter('Internal -- Trademark Countries'!E$2:E1000, (AM469 = 'Internal -- Trademark Countries'!B$2:B1000) + (AM469 = 'Internal -- Trademark Countries'!C$2:C1000) + (AM469 = 'Internal -- Trademark Countries'!D$2:D1000)), 1))"),"")</f>
        <v/>
      </c>
      <c r="EF469" s="30" t="e">
        <f ca="1">_xludf.ifs(AM469="", "", COUNTIF('Internal -- Trademark Countries'!B:B,AM469) &gt; 0, "polity_shortest_name", COUNTIF('Internal -- Trademark Countries'!C:C,AM469) &gt; 0, "polity_full_name", COUNTIF('Internal -- Trademark Countries'!D:D,AM469) &gt; 0, "polity_common_name", COUNTIF('Internal -- Trademark Countries'!E:E,AM469) &gt; 0, "shortest_name", COUNTIF('Internal -- Trademark Countries'!A:A,AM469) &gt; 0, "full_name", TRUE, "not a match")</f>
        <v>#NAME?</v>
      </c>
      <c r="EG469" s="30"/>
      <c r="EH469" s="30"/>
      <c r="EI469" s="30"/>
      <c r="EJ469" s="30"/>
      <c r="EK469" s="30" t="str">
        <f t="shared" si="3"/>
        <v/>
      </c>
    </row>
    <row r="470" spans="1:141" ht="16.5">
      <c r="A470" s="11"/>
      <c r="B470" s="11"/>
      <c r="C470" s="11"/>
      <c r="D470" s="11"/>
      <c r="E470" s="11"/>
      <c r="F470" s="11"/>
      <c r="G470" s="11"/>
      <c r="H470" s="11"/>
      <c r="I470" s="11"/>
      <c r="J470" s="11"/>
      <c r="K470" s="27"/>
      <c r="L470" s="11"/>
      <c r="M470" s="11"/>
      <c r="N470" s="11"/>
      <c r="O470" s="11"/>
      <c r="P470" s="15"/>
      <c r="Q470" s="15"/>
      <c r="R470" s="15"/>
      <c r="S470" s="15"/>
      <c r="T470" s="15"/>
      <c r="U470" s="15"/>
      <c r="V470" s="15"/>
      <c r="W470" s="47"/>
      <c r="X470" s="11"/>
      <c r="Y470" s="48"/>
      <c r="Z470" s="11"/>
      <c r="AA470" s="48"/>
      <c r="AB470" s="11"/>
      <c r="AC470" s="48"/>
      <c r="AD470" s="11"/>
      <c r="AE470" s="47"/>
      <c r="AF470" s="11"/>
      <c r="AG470" s="48"/>
      <c r="AH470" s="11"/>
      <c r="AI470" s="48"/>
      <c r="AJ470" s="11"/>
      <c r="AK470" s="48"/>
      <c r="AL470" s="11"/>
      <c r="AM470" s="49"/>
      <c r="AN470" s="49"/>
      <c r="AO470" s="11"/>
      <c r="AP470" s="11"/>
      <c r="AQ470" s="28" t="b">
        <f>IF(COUNTIF(SmartStatus!A$2:A1000, AM470) &gt; 2, TRUE, FALSE)</f>
        <v>0</v>
      </c>
      <c r="AR470" s="29" t="str">
        <f ca="1">IFERROR(__xludf.DUMMYFUNCTION("iferror(if(regexmatch(AO470, ""(?i)^registered""), if(EE470 &lt;&gt; ""polity_shortest_name"", ""CHECK_POLITY"", index(filter(SmartStatus!B$2:B1000, AM470 = SmartStatus!A$2:A1000, not(SmartStatus!C$2:C1000), (isblank(SmartStatus!D$2:D1000)) + ((P470 &lt;&gt; """") * "&amp;"(P470 &lt; SmartStatus!D$2:D1000)), (isblank(SmartStatus!E$2:E1000)) + ((P470 &lt;&gt; """") * (P470 &gt;= SmartStatus!E$2:E1000)), (isblank(SmartStatus!F$2:F1000)) + (((Q470 &lt;&gt; """") * (Q470 &lt; SmartStatus!F$2:F1000)) + ((P470 &lt;&gt; """") * (date(year(P470) + 3, month(P"&amp;"470), day(P470)) &lt; SmartStatus!F$2:F1000))), (isblank(SmartStatus!G$2:G1000)) + (((Q470 &lt;&gt; """") * (Q470 &gt;= SmartStatus!G$2:G1000)) + ((P470 &lt;&gt; """") * (P470 &gt;= SmartStatus!G$2:G1000)))), if(or(regexmatch(B470, ""(?i)^ir [a-z]+ designation$""), N470 &lt;&gt; """&amp;"""), 1, 2))), """"), ""NO_MATCH"")"),"")</f>
        <v/>
      </c>
      <c r="AS470" s="11"/>
      <c r="AT470" s="15"/>
      <c r="AU470" s="11"/>
      <c r="AV470" s="11"/>
      <c r="AW470" s="15"/>
      <c r="AX470" s="15"/>
      <c r="AY470" s="15"/>
      <c r="AZ470" s="11"/>
      <c r="BA470" s="15"/>
      <c r="BB470" s="11"/>
      <c r="BC470" s="11"/>
      <c r="BD470" s="15"/>
      <c r="BE470" s="11"/>
      <c r="BF470" s="11"/>
      <c r="BG470" s="15"/>
      <c r="BH470" s="15"/>
      <c r="BI470" s="15"/>
      <c r="BJ470" s="11"/>
      <c r="BK470" s="15"/>
      <c r="BL470" s="11"/>
      <c r="BM470" s="11"/>
      <c r="BN470" s="15"/>
      <c r="BO470" s="11"/>
      <c r="BP470" s="11"/>
      <c r="BQ470" s="15"/>
      <c r="BR470" s="15"/>
      <c r="BS470" s="15"/>
      <c r="BT470" s="11"/>
      <c r="BU470" s="15"/>
      <c r="BV470" s="11"/>
      <c r="BW470" s="11"/>
      <c r="BX470" s="15"/>
      <c r="BY470" s="11"/>
      <c r="BZ470" s="11"/>
      <c r="CA470" s="15"/>
      <c r="CB470" s="11"/>
      <c r="CC470" s="15"/>
      <c r="CD470" s="11"/>
      <c r="CE470" s="15"/>
      <c r="CF470" s="11"/>
      <c r="CG470" s="11"/>
      <c r="CH470" s="15"/>
      <c r="CI470" s="11"/>
      <c r="CJ470" s="11"/>
      <c r="CK470" s="15"/>
      <c r="CL470" s="11"/>
      <c r="CM470" s="11"/>
      <c r="CN470" s="11"/>
      <c r="CO470" s="11"/>
      <c r="CP470" s="28"/>
      <c r="CQ470" s="28"/>
      <c r="CR470" s="11"/>
      <c r="CS470" s="29"/>
      <c r="CT470" s="11"/>
      <c r="CU470" s="11"/>
      <c r="CV470" s="11"/>
      <c r="CW470" s="11"/>
      <c r="CX470" s="11"/>
      <c r="CY470" s="11"/>
      <c r="CZ470" s="11"/>
      <c r="DA470" s="28"/>
      <c r="DB470" s="28"/>
      <c r="DC470" s="11"/>
      <c r="DD470" s="29"/>
      <c r="DE470" s="11"/>
      <c r="DF470" s="11"/>
      <c r="DG470" s="11"/>
      <c r="DH470" s="11"/>
      <c r="DI470" s="11"/>
      <c r="DJ470" s="11"/>
      <c r="DK470" s="26"/>
      <c r="DL470" s="11"/>
      <c r="DM470" s="29"/>
      <c r="DN470" s="28"/>
      <c r="DO470" s="11"/>
      <c r="DP470" s="11"/>
      <c r="DQ470" s="11"/>
      <c r="DR470" s="29"/>
      <c r="DS470" s="28"/>
      <c r="DT470" s="11"/>
      <c r="DU470" s="26"/>
      <c r="DV470" s="11"/>
      <c r="DW470" s="29"/>
      <c r="DX470" s="28"/>
      <c r="DY470" s="11"/>
      <c r="DZ470" s="26"/>
      <c r="EA470" s="11"/>
      <c r="EB470" s="29"/>
      <c r="EC470" s="28"/>
      <c r="ED470" s="30"/>
      <c r="EE470" s="30" t="str">
        <f ca="1">IFERROR(__xludf.DUMMYFUNCTION("iferror(index(filter('Internal -- Trademark Countries'!E$2:E1000, (AM470 = 'Internal -- Trademark Countries'!B$2:B1000) + (AM470 = 'Internal -- Trademark Countries'!C$2:C1000) + (AM470 = 'Internal -- Trademark Countries'!D$2:D1000)), 1))"),"")</f>
        <v/>
      </c>
      <c r="EF470" s="30" t="e">
        <f ca="1">_xludf.ifs(AM470="", "", COUNTIF('Internal -- Trademark Countries'!B:B,AM470) &gt; 0, "polity_shortest_name", COUNTIF('Internal -- Trademark Countries'!C:C,AM470) &gt; 0, "polity_full_name", COUNTIF('Internal -- Trademark Countries'!D:D,AM470) &gt; 0, "polity_common_name", COUNTIF('Internal -- Trademark Countries'!E:E,AM470) &gt; 0, "shortest_name", COUNTIF('Internal -- Trademark Countries'!A:A,AM470) &gt; 0, "full_name", TRUE, "not a match")</f>
        <v>#NAME?</v>
      </c>
      <c r="EG470" s="30"/>
      <c r="EH470" s="30"/>
      <c r="EI470" s="30"/>
      <c r="EJ470" s="30"/>
      <c r="EK470" s="30" t="str">
        <f t="shared" si="3"/>
        <v/>
      </c>
    </row>
    <row r="471" spans="1:141" ht="16.5">
      <c r="A471" s="11"/>
      <c r="B471" s="11"/>
      <c r="C471" s="11"/>
      <c r="D471" s="11"/>
      <c r="E471" s="11"/>
      <c r="F471" s="11"/>
      <c r="G471" s="11"/>
      <c r="H471" s="11"/>
      <c r="I471" s="11"/>
      <c r="J471" s="11"/>
      <c r="K471" s="27"/>
      <c r="L471" s="11"/>
      <c r="M471" s="11"/>
      <c r="N471" s="11"/>
      <c r="O471" s="11"/>
      <c r="P471" s="15"/>
      <c r="Q471" s="15"/>
      <c r="R471" s="15"/>
      <c r="S471" s="15"/>
      <c r="T471" s="15"/>
      <c r="U471" s="15"/>
      <c r="V471" s="15"/>
      <c r="W471" s="47"/>
      <c r="X471" s="11"/>
      <c r="Y471" s="48"/>
      <c r="Z471" s="11"/>
      <c r="AA471" s="48"/>
      <c r="AB471" s="11"/>
      <c r="AC471" s="48"/>
      <c r="AD471" s="11"/>
      <c r="AE471" s="47"/>
      <c r="AF471" s="11"/>
      <c r="AG471" s="48"/>
      <c r="AH471" s="11"/>
      <c r="AI471" s="48"/>
      <c r="AJ471" s="11"/>
      <c r="AK471" s="48"/>
      <c r="AL471" s="11"/>
      <c r="AM471" s="49"/>
      <c r="AN471" s="49"/>
      <c r="AO471" s="11"/>
      <c r="AP471" s="11"/>
      <c r="AQ471" s="28" t="b">
        <f>IF(COUNTIF(SmartStatus!A$2:A1000, AM471) &gt; 2, TRUE, FALSE)</f>
        <v>0</v>
      </c>
      <c r="AR471" s="29" t="str">
        <f ca="1">IFERROR(__xludf.DUMMYFUNCTION("iferror(if(regexmatch(AO471, ""(?i)^registered""), if(EE471 &lt;&gt; ""polity_shortest_name"", ""CHECK_POLITY"", index(filter(SmartStatus!B$2:B1000, AM471 = SmartStatus!A$2:A1000, not(SmartStatus!C$2:C1000), (isblank(SmartStatus!D$2:D1000)) + ((P471 &lt;&gt; """") * "&amp;"(P471 &lt; SmartStatus!D$2:D1000)), (isblank(SmartStatus!E$2:E1000)) + ((P471 &lt;&gt; """") * (P471 &gt;= SmartStatus!E$2:E1000)), (isblank(SmartStatus!F$2:F1000)) + (((Q471 &lt;&gt; """") * (Q471 &lt; SmartStatus!F$2:F1000)) + ((P471 &lt;&gt; """") * (date(year(P471) + 3, month(P"&amp;"471), day(P471)) &lt; SmartStatus!F$2:F1000))), (isblank(SmartStatus!G$2:G1000)) + (((Q471 &lt;&gt; """") * (Q471 &gt;= SmartStatus!G$2:G1000)) + ((P471 &lt;&gt; """") * (P471 &gt;= SmartStatus!G$2:G1000)))), if(or(regexmatch(B471, ""(?i)^ir [a-z]+ designation$""), N471 &lt;&gt; """&amp;"""), 1, 2))), """"), ""NO_MATCH"")"),"")</f>
        <v/>
      </c>
      <c r="AS471" s="11"/>
      <c r="AT471" s="15"/>
      <c r="AU471" s="11"/>
      <c r="AV471" s="11"/>
      <c r="AW471" s="15"/>
      <c r="AX471" s="15"/>
      <c r="AY471" s="15"/>
      <c r="AZ471" s="11"/>
      <c r="BA471" s="15"/>
      <c r="BB471" s="11"/>
      <c r="BC471" s="11"/>
      <c r="BD471" s="15"/>
      <c r="BE471" s="11"/>
      <c r="BF471" s="11"/>
      <c r="BG471" s="15"/>
      <c r="BH471" s="15"/>
      <c r="BI471" s="15"/>
      <c r="BJ471" s="11"/>
      <c r="BK471" s="15"/>
      <c r="BL471" s="11"/>
      <c r="BM471" s="11"/>
      <c r="BN471" s="15"/>
      <c r="BO471" s="11"/>
      <c r="BP471" s="11"/>
      <c r="BQ471" s="15"/>
      <c r="BR471" s="15"/>
      <c r="BS471" s="15"/>
      <c r="BT471" s="11"/>
      <c r="BU471" s="15"/>
      <c r="BV471" s="11"/>
      <c r="BW471" s="11"/>
      <c r="BX471" s="15"/>
      <c r="BY471" s="11"/>
      <c r="BZ471" s="11"/>
      <c r="CA471" s="15"/>
      <c r="CB471" s="11"/>
      <c r="CC471" s="15"/>
      <c r="CD471" s="11"/>
      <c r="CE471" s="15"/>
      <c r="CF471" s="11"/>
      <c r="CG471" s="11"/>
      <c r="CH471" s="15"/>
      <c r="CI471" s="11"/>
      <c r="CJ471" s="11"/>
      <c r="CK471" s="15"/>
      <c r="CL471" s="11"/>
      <c r="CM471" s="11"/>
      <c r="CN471" s="11"/>
      <c r="CO471" s="11"/>
      <c r="CP471" s="28"/>
      <c r="CQ471" s="28"/>
      <c r="CR471" s="11"/>
      <c r="CS471" s="29"/>
      <c r="CT471" s="11"/>
      <c r="CU471" s="11"/>
      <c r="CV471" s="11"/>
      <c r="CW471" s="11"/>
      <c r="CX471" s="11"/>
      <c r="CY471" s="11"/>
      <c r="CZ471" s="11"/>
      <c r="DA471" s="28"/>
      <c r="DB471" s="28"/>
      <c r="DC471" s="11"/>
      <c r="DD471" s="29"/>
      <c r="DE471" s="11"/>
      <c r="DF471" s="11"/>
      <c r="DG471" s="11"/>
      <c r="DH471" s="11"/>
      <c r="DI471" s="11"/>
      <c r="DJ471" s="11"/>
      <c r="DK471" s="26"/>
      <c r="DL471" s="11"/>
      <c r="DM471" s="29"/>
      <c r="DN471" s="28"/>
      <c r="DO471" s="11"/>
      <c r="DP471" s="11"/>
      <c r="DQ471" s="11"/>
      <c r="DR471" s="29"/>
      <c r="DS471" s="28"/>
      <c r="DT471" s="11"/>
      <c r="DU471" s="26"/>
      <c r="DV471" s="11"/>
      <c r="DW471" s="29"/>
      <c r="DX471" s="28"/>
      <c r="DY471" s="11"/>
      <c r="DZ471" s="26"/>
      <c r="EA471" s="11"/>
      <c r="EB471" s="29"/>
      <c r="EC471" s="28"/>
      <c r="ED471" s="30"/>
      <c r="EE471" s="30" t="str">
        <f ca="1">IFERROR(__xludf.DUMMYFUNCTION("iferror(index(filter('Internal -- Trademark Countries'!E$2:E1000, (AM471 = 'Internal -- Trademark Countries'!B$2:B1000) + (AM471 = 'Internal -- Trademark Countries'!C$2:C1000) + (AM471 = 'Internal -- Trademark Countries'!D$2:D1000)), 1))"),"")</f>
        <v/>
      </c>
      <c r="EF471" s="30" t="e">
        <f ca="1">_xludf.ifs(AM471="", "", COUNTIF('Internal -- Trademark Countries'!B:B,AM471) &gt; 0, "polity_shortest_name", COUNTIF('Internal -- Trademark Countries'!C:C,AM471) &gt; 0, "polity_full_name", COUNTIF('Internal -- Trademark Countries'!D:D,AM471) &gt; 0, "polity_common_name", COUNTIF('Internal -- Trademark Countries'!E:E,AM471) &gt; 0, "shortest_name", COUNTIF('Internal -- Trademark Countries'!A:A,AM471) &gt; 0, "full_name", TRUE, "not a match")</f>
        <v>#NAME?</v>
      </c>
      <c r="EG471" s="30"/>
      <c r="EH471" s="30"/>
      <c r="EI471" s="30"/>
      <c r="EJ471" s="30"/>
      <c r="EK471" s="30" t="str">
        <f t="shared" si="3"/>
        <v/>
      </c>
    </row>
    <row r="472" spans="1:141" ht="16.5">
      <c r="A472" s="11"/>
      <c r="B472" s="11"/>
      <c r="C472" s="11"/>
      <c r="D472" s="11"/>
      <c r="E472" s="11"/>
      <c r="F472" s="11"/>
      <c r="G472" s="11"/>
      <c r="H472" s="11"/>
      <c r="I472" s="11"/>
      <c r="J472" s="11"/>
      <c r="K472" s="27"/>
      <c r="L472" s="11"/>
      <c r="M472" s="11"/>
      <c r="N472" s="11"/>
      <c r="O472" s="11"/>
      <c r="P472" s="15"/>
      <c r="Q472" s="15"/>
      <c r="R472" s="15"/>
      <c r="S472" s="15"/>
      <c r="T472" s="15"/>
      <c r="U472" s="15"/>
      <c r="V472" s="15"/>
      <c r="W472" s="47"/>
      <c r="X472" s="11"/>
      <c r="Y472" s="48"/>
      <c r="Z472" s="11"/>
      <c r="AA472" s="48"/>
      <c r="AB472" s="11"/>
      <c r="AC472" s="48"/>
      <c r="AD472" s="11"/>
      <c r="AE472" s="47"/>
      <c r="AF472" s="11"/>
      <c r="AG472" s="48"/>
      <c r="AH472" s="11"/>
      <c r="AI472" s="48"/>
      <c r="AJ472" s="11"/>
      <c r="AK472" s="48"/>
      <c r="AL472" s="11"/>
      <c r="AM472" s="49"/>
      <c r="AN472" s="49"/>
      <c r="AO472" s="11"/>
      <c r="AP472" s="11"/>
      <c r="AQ472" s="28" t="b">
        <f>IF(COUNTIF(SmartStatus!A$2:A1000, AM472) &gt; 2, TRUE, FALSE)</f>
        <v>0</v>
      </c>
      <c r="AR472" s="29" t="str">
        <f ca="1">IFERROR(__xludf.DUMMYFUNCTION("iferror(if(regexmatch(AO472, ""(?i)^registered""), if(EE472 &lt;&gt; ""polity_shortest_name"", ""CHECK_POLITY"", index(filter(SmartStatus!B$2:B1000, AM472 = SmartStatus!A$2:A1000, not(SmartStatus!C$2:C1000), (isblank(SmartStatus!D$2:D1000)) + ((P472 &lt;&gt; """") * "&amp;"(P472 &lt; SmartStatus!D$2:D1000)), (isblank(SmartStatus!E$2:E1000)) + ((P472 &lt;&gt; """") * (P472 &gt;= SmartStatus!E$2:E1000)), (isblank(SmartStatus!F$2:F1000)) + (((Q472 &lt;&gt; """") * (Q472 &lt; SmartStatus!F$2:F1000)) + ((P472 &lt;&gt; """") * (date(year(P472) + 3, month(P"&amp;"472), day(P472)) &lt; SmartStatus!F$2:F1000))), (isblank(SmartStatus!G$2:G1000)) + (((Q472 &lt;&gt; """") * (Q472 &gt;= SmartStatus!G$2:G1000)) + ((P472 &lt;&gt; """") * (P472 &gt;= SmartStatus!G$2:G1000)))), if(or(regexmatch(B472, ""(?i)^ir [a-z]+ designation$""), N472 &lt;&gt; """&amp;"""), 1, 2))), """"), ""NO_MATCH"")"),"")</f>
        <v/>
      </c>
      <c r="AS472" s="11"/>
      <c r="AT472" s="15"/>
      <c r="AU472" s="11"/>
      <c r="AV472" s="11"/>
      <c r="AW472" s="15"/>
      <c r="AX472" s="15"/>
      <c r="AY472" s="15"/>
      <c r="AZ472" s="11"/>
      <c r="BA472" s="15"/>
      <c r="BB472" s="11"/>
      <c r="BC472" s="11"/>
      <c r="BD472" s="15"/>
      <c r="BE472" s="11"/>
      <c r="BF472" s="11"/>
      <c r="BG472" s="15"/>
      <c r="BH472" s="15"/>
      <c r="BI472" s="15"/>
      <c r="BJ472" s="11"/>
      <c r="BK472" s="15"/>
      <c r="BL472" s="11"/>
      <c r="BM472" s="11"/>
      <c r="BN472" s="15"/>
      <c r="BO472" s="11"/>
      <c r="BP472" s="11"/>
      <c r="BQ472" s="15"/>
      <c r="BR472" s="15"/>
      <c r="BS472" s="15"/>
      <c r="BT472" s="11"/>
      <c r="BU472" s="15"/>
      <c r="BV472" s="11"/>
      <c r="BW472" s="11"/>
      <c r="BX472" s="15"/>
      <c r="BY472" s="11"/>
      <c r="BZ472" s="11"/>
      <c r="CA472" s="15"/>
      <c r="CB472" s="11"/>
      <c r="CC472" s="15"/>
      <c r="CD472" s="11"/>
      <c r="CE472" s="15"/>
      <c r="CF472" s="11"/>
      <c r="CG472" s="11"/>
      <c r="CH472" s="15"/>
      <c r="CI472" s="11"/>
      <c r="CJ472" s="11"/>
      <c r="CK472" s="15"/>
      <c r="CL472" s="11"/>
      <c r="CM472" s="11"/>
      <c r="CN472" s="11"/>
      <c r="CO472" s="11"/>
      <c r="CP472" s="28"/>
      <c r="CQ472" s="28"/>
      <c r="CR472" s="11"/>
      <c r="CS472" s="29"/>
      <c r="CT472" s="11"/>
      <c r="CU472" s="11"/>
      <c r="CV472" s="11"/>
      <c r="CW472" s="11"/>
      <c r="CX472" s="11"/>
      <c r="CY472" s="11"/>
      <c r="CZ472" s="11"/>
      <c r="DA472" s="28"/>
      <c r="DB472" s="28"/>
      <c r="DC472" s="11"/>
      <c r="DD472" s="29"/>
      <c r="DE472" s="11"/>
      <c r="DF472" s="11"/>
      <c r="DG472" s="11"/>
      <c r="DH472" s="11"/>
      <c r="DI472" s="11"/>
      <c r="DJ472" s="11"/>
      <c r="DK472" s="26"/>
      <c r="DL472" s="11"/>
      <c r="DM472" s="29"/>
      <c r="DN472" s="28"/>
      <c r="DO472" s="11"/>
      <c r="DP472" s="11"/>
      <c r="DQ472" s="11"/>
      <c r="DR472" s="29"/>
      <c r="DS472" s="28"/>
      <c r="DT472" s="11"/>
      <c r="DU472" s="26"/>
      <c r="DV472" s="11"/>
      <c r="DW472" s="29"/>
      <c r="DX472" s="28"/>
      <c r="DY472" s="11"/>
      <c r="DZ472" s="26"/>
      <c r="EA472" s="11"/>
      <c r="EB472" s="29"/>
      <c r="EC472" s="28"/>
      <c r="ED472" s="30"/>
      <c r="EE472" s="30" t="str">
        <f ca="1">IFERROR(__xludf.DUMMYFUNCTION("iferror(index(filter('Internal -- Trademark Countries'!E$2:E1000, (AM472 = 'Internal -- Trademark Countries'!B$2:B1000) + (AM472 = 'Internal -- Trademark Countries'!C$2:C1000) + (AM472 = 'Internal -- Trademark Countries'!D$2:D1000)), 1))"),"")</f>
        <v/>
      </c>
      <c r="EF472" s="30" t="e">
        <f ca="1">_xludf.ifs(AM472="", "", COUNTIF('Internal -- Trademark Countries'!B:B,AM472) &gt; 0, "polity_shortest_name", COUNTIF('Internal -- Trademark Countries'!C:C,AM472) &gt; 0, "polity_full_name", COUNTIF('Internal -- Trademark Countries'!D:D,AM472) &gt; 0, "polity_common_name", COUNTIF('Internal -- Trademark Countries'!E:E,AM472) &gt; 0, "shortest_name", COUNTIF('Internal -- Trademark Countries'!A:A,AM472) &gt; 0, "full_name", TRUE, "not a match")</f>
        <v>#NAME?</v>
      </c>
      <c r="EG472" s="30"/>
      <c r="EH472" s="30"/>
      <c r="EI472" s="30"/>
      <c r="EJ472" s="30"/>
      <c r="EK472" s="30" t="str">
        <f t="shared" si="3"/>
        <v/>
      </c>
    </row>
    <row r="473" spans="1:141" ht="16.5">
      <c r="A473" s="11"/>
      <c r="B473" s="11"/>
      <c r="C473" s="11"/>
      <c r="D473" s="11"/>
      <c r="E473" s="11"/>
      <c r="F473" s="11"/>
      <c r="G473" s="11"/>
      <c r="H473" s="11"/>
      <c r="I473" s="11"/>
      <c r="J473" s="11"/>
      <c r="K473" s="27"/>
      <c r="L473" s="11"/>
      <c r="M473" s="11"/>
      <c r="N473" s="11"/>
      <c r="O473" s="11"/>
      <c r="P473" s="15"/>
      <c r="Q473" s="15"/>
      <c r="R473" s="15"/>
      <c r="S473" s="15"/>
      <c r="T473" s="15"/>
      <c r="U473" s="15"/>
      <c r="V473" s="15"/>
      <c r="W473" s="47"/>
      <c r="X473" s="11"/>
      <c r="Y473" s="48"/>
      <c r="Z473" s="11"/>
      <c r="AA473" s="48"/>
      <c r="AB473" s="11"/>
      <c r="AC473" s="48"/>
      <c r="AD473" s="11"/>
      <c r="AE473" s="47"/>
      <c r="AF473" s="11"/>
      <c r="AG473" s="48"/>
      <c r="AH473" s="11"/>
      <c r="AI473" s="48"/>
      <c r="AJ473" s="11"/>
      <c r="AK473" s="48"/>
      <c r="AL473" s="11"/>
      <c r="AM473" s="49"/>
      <c r="AN473" s="49"/>
      <c r="AO473" s="11"/>
      <c r="AP473" s="11"/>
      <c r="AQ473" s="28" t="b">
        <f>IF(COUNTIF(SmartStatus!A$2:A1000, AM473) &gt; 2, TRUE, FALSE)</f>
        <v>0</v>
      </c>
      <c r="AR473" s="29" t="str">
        <f ca="1">IFERROR(__xludf.DUMMYFUNCTION("iferror(if(regexmatch(AO473, ""(?i)^registered""), if(EE473 &lt;&gt; ""polity_shortest_name"", ""CHECK_POLITY"", index(filter(SmartStatus!B$2:B1000, AM473 = SmartStatus!A$2:A1000, not(SmartStatus!C$2:C1000), (isblank(SmartStatus!D$2:D1000)) + ((P473 &lt;&gt; """") * "&amp;"(P473 &lt; SmartStatus!D$2:D1000)), (isblank(SmartStatus!E$2:E1000)) + ((P473 &lt;&gt; """") * (P473 &gt;= SmartStatus!E$2:E1000)), (isblank(SmartStatus!F$2:F1000)) + (((Q473 &lt;&gt; """") * (Q473 &lt; SmartStatus!F$2:F1000)) + ((P473 &lt;&gt; """") * (date(year(P473) + 3, month(P"&amp;"473), day(P473)) &lt; SmartStatus!F$2:F1000))), (isblank(SmartStatus!G$2:G1000)) + (((Q473 &lt;&gt; """") * (Q473 &gt;= SmartStatus!G$2:G1000)) + ((P473 &lt;&gt; """") * (P473 &gt;= SmartStatus!G$2:G1000)))), if(or(regexmatch(B473, ""(?i)^ir [a-z]+ designation$""), N473 &lt;&gt; """&amp;"""), 1, 2))), """"), ""NO_MATCH"")"),"")</f>
        <v/>
      </c>
      <c r="AS473" s="11"/>
      <c r="AT473" s="15"/>
      <c r="AU473" s="11"/>
      <c r="AV473" s="11"/>
      <c r="AW473" s="15"/>
      <c r="AX473" s="15"/>
      <c r="AY473" s="15"/>
      <c r="AZ473" s="11"/>
      <c r="BA473" s="15"/>
      <c r="BB473" s="11"/>
      <c r="BC473" s="11"/>
      <c r="BD473" s="15"/>
      <c r="BE473" s="11"/>
      <c r="BF473" s="11"/>
      <c r="BG473" s="15"/>
      <c r="BH473" s="15"/>
      <c r="BI473" s="15"/>
      <c r="BJ473" s="11"/>
      <c r="BK473" s="15"/>
      <c r="BL473" s="11"/>
      <c r="BM473" s="11"/>
      <c r="BN473" s="15"/>
      <c r="BO473" s="11"/>
      <c r="BP473" s="11"/>
      <c r="BQ473" s="15"/>
      <c r="BR473" s="15"/>
      <c r="BS473" s="15"/>
      <c r="BT473" s="11"/>
      <c r="BU473" s="15"/>
      <c r="BV473" s="11"/>
      <c r="BW473" s="11"/>
      <c r="BX473" s="15"/>
      <c r="BY473" s="11"/>
      <c r="BZ473" s="11"/>
      <c r="CA473" s="15"/>
      <c r="CB473" s="11"/>
      <c r="CC473" s="15"/>
      <c r="CD473" s="11"/>
      <c r="CE473" s="15"/>
      <c r="CF473" s="11"/>
      <c r="CG473" s="11"/>
      <c r="CH473" s="15"/>
      <c r="CI473" s="11"/>
      <c r="CJ473" s="11"/>
      <c r="CK473" s="15"/>
      <c r="CL473" s="11"/>
      <c r="CM473" s="11"/>
      <c r="CN473" s="11"/>
      <c r="CO473" s="11"/>
      <c r="CP473" s="28"/>
      <c r="CQ473" s="28"/>
      <c r="CR473" s="11"/>
      <c r="CS473" s="29"/>
      <c r="CT473" s="11"/>
      <c r="CU473" s="11"/>
      <c r="CV473" s="11"/>
      <c r="CW473" s="11"/>
      <c r="CX473" s="11"/>
      <c r="CY473" s="11"/>
      <c r="CZ473" s="11"/>
      <c r="DA473" s="28"/>
      <c r="DB473" s="28"/>
      <c r="DC473" s="11"/>
      <c r="DD473" s="29"/>
      <c r="DE473" s="11"/>
      <c r="DF473" s="11"/>
      <c r="DG473" s="11"/>
      <c r="DH473" s="11"/>
      <c r="DI473" s="11"/>
      <c r="DJ473" s="11"/>
      <c r="DK473" s="26"/>
      <c r="DL473" s="11"/>
      <c r="DM473" s="29"/>
      <c r="DN473" s="28"/>
      <c r="DO473" s="11"/>
      <c r="DP473" s="11"/>
      <c r="DQ473" s="11"/>
      <c r="DR473" s="29"/>
      <c r="DS473" s="28"/>
      <c r="DT473" s="11"/>
      <c r="DU473" s="26"/>
      <c r="DV473" s="11"/>
      <c r="DW473" s="29"/>
      <c r="DX473" s="28"/>
      <c r="DY473" s="11"/>
      <c r="DZ473" s="26"/>
      <c r="EA473" s="11"/>
      <c r="EB473" s="29"/>
      <c r="EC473" s="28"/>
      <c r="ED473" s="30"/>
      <c r="EE473" s="30" t="str">
        <f ca="1">IFERROR(__xludf.DUMMYFUNCTION("iferror(index(filter('Internal -- Trademark Countries'!E$2:E1000, (AM473 = 'Internal -- Trademark Countries'!B$2:B1000) + (AM473 = 'Internal -- Trademark Countries'!C$2:C1000) + (AM473 = 'Internal -- Trademark Countries'!D$2:D1000)), 1))"),"")</f>
        <v/>
      </c>
      <c r="EF473" s="30" t="e">
        <f ca="1">_xludf.ifs(AM473="", "", COUNTIF('Internal -- Trademark Countries'!B:B,AM473) &gt; 0, "polity_shortest_name", COUNTIF('Internal -- Trademark Countries'!C:C,AM473) &gt; 0, "polity_full_name", COUNTIF('Internal -- Trademark Countries'!D:D,AM473) &gt; 0, "polity_common_name", COUNTIF('Internal -- Trademark Countries'!E:E,AM473) &gt; 0, "shortest_name", COUNTIF('Internal -- Trademark Countries'!A:A,AM473) &gt; 0, "full_name", TRUE, "not a match")</f>
        <v>#NAME?</v>
      </c>
      <c r="EG473" s="30"/>
      <c r="EH473" s="30"/>
      <c r="EI473" s="30"/>
      <c r="EJ473" s="30"/>
      <c r="EK473" s="30" t="str">
        <f t="shared" si="3"/>
        <v/>
      </c>
    </row>
    <row r="474" spans="1:141" ht="16.5">
      <c r="A474" s="11"/>
      <c r="B474" s="11"/>
      <c r="C474" s="11"/>
      <c r="D474" s="11"/>
      <c r="E474" s="11"/>
      <c r="F474" s="11"/>
      <c r="G474" s="11"/>
      <c r="H474" s="11"/>
      <c r="I474" s="11"/>
      <c r="J474" s="11"/>
      <c r="K474" s="27"/>
      <c r="L474" s="11"/>
      <c r="M474" s="11"/>
      <c r="N474" s="11"/>
      <c r="O474" s="11"/>
      <c r="P474" s="15"/>
      <c r="Q474" s="15"/>
      <c r="R474" s="15"/>
      <c r="S474" s="15"/>
      <c r="T474" s="15"/>
      <c r="U474" s="15"/>
      <c r="V474" s="15"/>
      <c r="W474" s="47"/>
      <c r="X474" s="11"/>
      <c r="Y474" s="48"/>
      <c r="Z474" s="11"/>
      <c r="AA474" s="48"/>
      <c r="AB474" s="11"/>
      <c r="AC474" s="48"/>
      <c r="AD474" s="11"/>
      <c r="AE474" s="47"/>
      <c r="AF474" s="11"/>
      <c r="AG474" s="48"/>
      <c r="AH474" s="11"/>
      <c r="AI474" s="48"/>
      <c r="AJ474" s="11"/>
      <c r="AK474" s="48"/>
      <c r="AL474" s="11"/>
      <c r="AM474" s="49"/>
      <c r="AN474" s="49"/>
      <c r="AO474" s="11"/>
      <c r="AP474" s="11"/>
      <c r="AQ474" s="28" t="b">
        <f>IF(COUNTIF(SmartStatus!A$2:A1000, AM474) &gt; 2, TRUE, FALSE)</f>
        <v>0</v>
      </c>
      <c r="AR474" s="29" t="str">
        <f ca="1">IFERROR(__xludf.DUMMYFUNCTION("iferror(if(regexmatch(AO474, ""(?i)^registered""), if(EE474 &lt;&gt; ""polity_shortest_name"", ""CHECK_POLITY"", index(filter(SmartStatus!B$2:B1000, AM474 = SmartStatus!A$2:A1000, not(SmartStatus!C$2:C1000), (isblank(SmartStatus!D$2:D1000)) + ((P474 &lt;&gt; """") * "&amp;"(P474 &lt; SmartStatus!D$2:D1000)), (isblank(SmartStatus!E$2:E1000)) + ((P474 &lt;&gt; """") * (P474 &gt;= SmartStatus!E$2:E1000)), (isblank(SmartStatus!F$2:F1000)) + (((Q474 &lt;&gt; """") * (Q474 &lt; SmartStatus!F$2:F1000)) + ((P474 &lt;&gt; """") * (date(year(P474) + 3, month(P"&amp;"474), day(P474)) &lt; SmartStatus!F$2:F1000))), (isblank(SmartStatus!G$2:G1000)) + (((Q474 &lt;&gt; """") * (Q474 &gt;= SmartStatus!G$2:G1000)) + ((P474 &lt;&gt; """") * (P474 &gt;= SmartStatus!G$2:G1000)))), if(or(regexmatch(B474, ""(?i)^ir [a-z]+ designation$""), N474 &lt;&gt; """&amp;"""), 1, 2))), """"), ""NO_MATCH"")"),"")</f>
        <v/>
      </c>
      <c r="AS474" s="11"/>
      <c r="AT474" s="15"/>
      <c r="AU474" s="11"/>
      <c r="AV474" s="11"/>
      <c r="AW474" s="15"/>
      <c r="AX474" s="15"/>
      <c r="AY474" s="15"/>
      <c r="AZ474" s="11"/>
      <c r="BA474" s="15"/>
      <c r="BB474" s="11"/>
      <c r="BC474" s="11"/>
      <c r="BD474" s="15"/>
      <c r="BE474" s="11"/>
      <c r="BF474" s="11"/>
      <c r="BG474" s="15"/>
      <c r="BH474" s="15"/>
      <c r="BI474" s="15"/>
      <c r="BJ474" s="11"/>
      <c r="BK474" s="15"/>
      <c r="BL474" s="11"/>
      <c r="BM474" s="11"/>
      <c r="BN474" s="15"/>
      <c r="BO474" s="11"/>
      <c r="BP474" s="11"/>
      <c r="BQ474" s="15"/>
      <c r="BR474" s="15"/>
      <c r="BS474" s="15"/>
      <c r="BT474" s="11"/>
      <c r="BU474" s="15"/>
      <c r="BV474" s="11"/>
      <c r="BW474" s="11"/>
      <c r="BX474" s="15"/>
      <c r="BY474" s="11"/>
      <c r="BZ474" s="11"/>
      <c r="CA474" s="15"/>
      <c r="CB474" s="11"/>
      <c r="CC474" s="15"/>
      <c r="CD474" s="11"/>
      <c r="CE474" s="15"/>
      <c r="CF474" s="11"/>
      <c r="CG474" s="11"/>
      <c r="CH474" s="15"/>
      <c r="CI474" s="11"/>
      <c r="CJ474" s="11"/>
      <c r="CK474" s="15"/>
      <c r="CL474" s="11"/>
      <c r="CM474" s="11"/>
      <c r="CN474" s="11"/>
      <c r="CO474" s="11"/>
      <c r="CP474" s="28"/>
      <c r="CQ474" s="28"/>
      <c r="CR474" s="11"/>
      <c r="CS474" s="29"/>
      <c r="CT474" s="11"/>
      <c r="CU474" s="11"/>
      <c r="CV474" s="11"/>
      <c r="CW474" s="11"/>
      <c r="CX474" s="11"/>
      <c r="CY474" s="11"/>
      <c r="CZ474" s="11"/>
      <c r="DA474" s="28"/>
      <c r="DB474" s="28"/>
      <c r="DC474" s="11"/>
      <c r="DD474" s="29"/>
      <c r="DE474" s="11"/>
      <c r="DF474" s="11"/>
      <c r="DG474" s="11"/>
      <c r="DH474" s="11"/>
      <c r="DI474" s="11"/>
      <c r="DJ474" s="11"/>
      <c r="DK474" s="26"/>
      <c r="DL474" s="11"/>
      <c r="DM474" s="29"/>
      <c r="DN474" s="28"/>
      <c r="DO474" s="11"/>
      <c r="DP474" s="11"/>
      <c r="DQ474" s="11"/>
      <c r="DR474" s="29"/>
      <c r="DS474" s="28"/>
      <c r="DT474" s="11"/>
      <c r="DU474" s="26"/>
      <c r="DV474" s="11"/>
      <c r="DW474" s="29"/>
      <c r="DX474" s="28"/>
      <c r="DY474" s="11"/>
      <c r="DZ474" s="26"/>
      <c r="EA474" s="11"/>
      <c r="EB474" s="29"/>
      <c r="EC474" s="28"/>
      <c r="ED474" s="30"/>
      <c r="EE474" s="30" t="str">
        <f ca="1">IFERROR(__xludf.DUMMYFUNCTION("iferror(index(filter('Internal -- Trademark Countries'!E$2:E1000, (AM474 = 'Internal -- Trademark Countries'!B$2:B1000) + (AM474 = 'Internal -- Trademark Countries'!C$2:C1000) + (AM474 = 'Internal -- Trademark Countries'!D$2:D1000)), 1))"),"")</f>
        <v/>
      </c>
      <c r="EF474" s="30" t="e">
        <f ca="1">_xludf.ifs(AM474="", "", COUNTIF('Internal -- Trademark Countries'!B:B,AM474) &gt; 0, "polity_shortest_name", COUNTIF('Internal -- Trademark Countries'!C:C,AM474) &gt; 0, "polity_full_name", COUNTIF('Internal -- Trademark Countries'!D:D,AM474) &gt; 0, "polity_common_name", COUNTIF('Internal -- Trademark Countries'!E:E,AM474) &gt; 0, "shortest_name", COUNTIF('Internal -- Trademark Countries'!A:A,AM474) &gt; 0, "full_name", TRUE, "not a match")</f>
        <v>#NAME?</v>
      </c>
      <c r="EG474" s="30"/>
      <c r="EH474" s="30"/>
      <c r="EI474" s="30"/>
      <c r="EJ474" s="30"/>
      <c r="EK474" s="30" t="str">
        <f t="shared" si="3"/>
        <v/>
      </c>
    </row>
    <row r="475" spans="1:141" ht="16.5">
      <c r="A475" s="11"/>
      <c r="B475" s="11"/>
      <c r="C475" s="11"/>
      <c r="D475" s="11"/>
      <c r="E475" s="11"/>
      <c r="F475" s="11"/>
      <c r="G475" s="11"/>
      <c r="H475" s="11"/>
      <c r="I475" s="11"/>
      <c r="J475" s="11"/>
      <c r="K475" s="27"/>
      <c r="L475" s="11"/>
      <c r="M475" s="11"/>
      <c r="N475" s="11"/>
      <c r="O475" s="11"/>
      <c r="P475" s="15"/>
      <c r="Q475" s="15"/>
      <c r="R475" s="15"/>
      <c r="S475" s="15"/>
      <c r="T475" s="15"/>
      <c r="U475" s="15"/>
      <c r="V475" s="15"/>
      <c r="W475" s="47"/>
      <c r="X475" s="11"/>
      <c r="Y475" s="48"/>
      <c r="Z475" s="11"/>
      <c r="AA475" s="48"/>
      <c r="AB475" s="11"/>
      <c r="AC475" s="48"/>
      <c r="AD475" s="11"/>
      <c r="AE475" s="47"/>
      <c r="AF475" s="11"/>
      <c r="AG475" s="48"/>
      <c r="AH475" s="11"/>
      <c r="AI475" s="48"/>
      <c r="AJ475" s="11"/>
      <c r="AK475" s="48"/>
      <c r="AL475" s="11"/>
      <c r="AM475" s="49"/>
      <c r="AN475" s="49"/>
      <c r="AO475" s="11"/>
      <c r="AP475" s="11"/>
      <c r="AQ475" s="28" t="b">
        <f>IF(COUNTIF(SmartStatus!A$2:A1000, AM475) &gt; 2, TRUE, FALSE)</f>
        <v>0</v>
      </c>
      <c r="AR475" s="29" t="str">
        <f ca="1">IFERROR(__xludf.DUMMYFUNCTION("iferror(if(regexmatch(AO475, ""(?i)^registered""), if(EE475 &lt;&gt; ""polity_shortest_name"", ""CHECK_POLITY"", index(filter(SmartStatus!B$2:B1000, AM475 = SmartStatus!A$2:A1000, not(SmartStatus!C$2:C1000), (isblank(SmartStatus!D$2:D1000)) + ((P475 &lt;&gt; """") * "&amp;"(P475 &lt; SmartStatus!D$2:D1000)), (isblank(SmartStatus!E$2:E1000)) + ((P475 &lt;&gt; """") * (P475 &gt;= SmartStatus!E$2:E1000)), (isblank(SmartStatus!F$2:F1000)) + (((Q475 &lt;&gt; """") * (Q475 &lt; SmartStatus!F$2:F1000)) + ((P475 &lt;&gt; """") * (date(year(P475) + 3, month(P"&amp;"475), day(P475)) &lt; SmartStatus!F$2:F1000))), (isblank(SmartStatus!G$2:G1000)) + (((Q475 &lt;&gt; """") * (Q475 &gt;= SmartStatus!G$2:G1000)) + ((P475 &lt;&gt; """") * (P475 &gt;= SmartStatus!G$2:G1000)))), if(or(regexmatch(B475, ""(?i)^ir [a-z]+ designation$""), N475 &lt;&gt; """&amp;"""), 1, 2))), """"), ""NO_MATCH"")"),"")</f>
        <v/>
      </c>
      <c r="AS475" s="11"/>
      <c r="AT475" s="15"/>
      <c r="AU475" s="11"/>
      <c r="AV475" s="11"/>
      <c r="AW475" s="15"/>
      <c r="AX475" s="15"/>
      <c r="AY475" s="15"/>
      <c r="AZ475" s="11"/>
      <c r="BA475" s="15"/>
      <c r="BB475" s="11"/>
      <c r="BC475" s="11"/>
      <c r="BD475" s="15"/>
      <c r="BE475" s="11"/>
      <c r="BF475" s="11"/>
      <c r="BG475" s="15"/>
      <c r="BH475" s="15"/>
      <c r="BI475" s="15"/>
      <c r="BJ475" s="11"/>
      <c r="BK475" s="15"/>
      <c r="BL475" s="11"/>
      <c r="BM475" s="11"/>
      <c r="BN475" s="15"/>
      <c r="BO475" s="11"/>
      <c r="BP475" s="11"/>
      <c r="BQ475" s="15"/>
      <c r="BR475" s="15"/>
      <c r="BS475" s="15"/>
      <c r="BT475" s="11"/>
      <c r="BU475" s="15"/>
      <c r="BV475" s="11"/>
      <c r="BW475" s="11"/>
      <c r="BX475" s="15"/>
      <c r="BY475" s="11"/>
      <c r="BZ475" s="11"/>
      <c r="CA475" s="15"/>
      <c r="CB475" s="11"/>
      <c r="CC475" s="15"/>
      <c r="CD475" s="11"/>
      <c r="CE475" s="15"/>
      <c r="CF475" s="11"/>
      <c r="CG475" s="11"/>
      <c r="CH475" s="15"/>
      <c r="CI475" s="11"/>
      <c r="CJ475" s="11"/>
      <c r="CK475" s="15"/>
      <c r="CL475" s="11"/>
      <c r="CM475" s="11"/>
      <c r="CN475" s="11"/>
      <c r="CO475" s="11"/>
      <c r="CP475" s="28"/>
      <c r="CQ475" s="28"/>
      <c r="CR475" s="11"/>
      <c r="CS475" s="29"/>
      <c r="CT475" s="11"/>
      <c r="CU475" s="11"/>
      <c r="CV475" s="11"/>
      <c r="CW475" s="11"/>
      <c r="CX475" s="11"/>
      <c r="CY475" s="11"/>
      <c r="CZ475" s="11"/>
      <c r="DA475" s="28"/>
      <c r="DB475" s="28"/>
      <c r="DC475" s="11"/>
      <c r="DD475" s="29"/>
      <c r="DE475" s="11"/>
      <c r="DF475" s="11"/>
      <c r="DG475" s="11"/>
      <c r="DH475" s="11"/>
      <c r="DI475" s="11"/>
      <c r="DJ475" s="11"/>
      <c r="DK475" s="26"/>
      <c r="DL475" s="11"/>
      <c r="DM475" s="29"/>
      <c r="DN475" s="28"/>
      <c r="DO475" s="11"/>
      <c r="DP475" s="11"/>
      <c r="DQ475" s="11"/>
      <c r="DR475" s="29"/>
      <c r="DS475" s="28"/>
      <c r="DT475" s="11"/>
      <c r="DU475" s="26"/>
      <c r="DV475" s="11"/>
      <c r="DW475" s="29"/>
      <c r="DX475" s="28"/>
      <c r="DY475" s="11"/>
      <c r="DZ475" s="26"/>
      <c r="EA475" s="11"/>
      <c r="EB475" s="29"/>
      <c r="EC475" s="28"/>
      <c r="ED475" s="30"/>
      <c r="EE475" s="30" t="str">
        <f ca="1">IFERROR(__xludf.DUMMYFUNCTION("iferror(index(filter('Internal -- Trademark Countries'!E$2:E1000, (AM475 = 'Internal -- Trademark Countries'!B$2:B1000) + (AM475 = 'Internal -- Trademark Countries'!C$2:C1000) + (AM475 = 'Internal -- Trademark Countries'!D$2:D1000)), 1))"),"")</f>
        <v/>
      </c>
      <c r="EF475" s="30" t="e">
        <f ca="1">_xludf.ifs(AM475="", "", COUNTIF('Internal -- Trademark Countries'!B:B,AM475) &gt; 0, "polity_shortest_name", COUNTIF('Internal -- Trademark Countries'!C:C,AM475) &gt; 0, "polity_full_name", COUNTIF('Internal -- Trademark Countries'!D:D,AM475) &gt; 0, "polity_common_name", COUNTIF('Internal -- Trademark Countries'!E:E,AM475) &gt; 0, "shortest_name", COUNTIF('Internal -- Trademark Countries'!A:A,AM475) &gt; 0, "full_name", TRUE, "not a match")</f>
        <v>#NAME?</v>
      </c>
      <c r="EG475" s="30"/>
      <c r="EH475" s="30"/>
      <c r="EI475" s="30"/>
      <c r="EJ475" s="30"/>
      <c r="EK475" s="30" t="str">
        <f t="shared" si="3"/>
        <v/>
      </c>
    </row>
    <row r="476" spans="1:141" ht="16.5">
      <c r="A476" s="11"/>
      <c r="B476" s="11"/>
      <c r="C476" s="11"/>
      <c r="D476" s="11"/>
      <c r="E476" s="11"/>
      <c r="F476" s="11"/>
      <c r="G476" s="11"/>
      <c r="H476" s="11"/>
      <c r="I476" s="11"/>
      <c r="J476" s="11"/>
      <c r="K476" s="27"/>
      <c r="L476" s="11"/>
      <c r="M476" s="11"/>
      <c r="N476" s="11"/>
      <c r="O476" s="11"/>
      <c r="P476" s="15"/>
      <c r="Q476" s="15"/>
      <c r="R476" s="15"/>
      <c r="S476" s="15"/>
      <c r="T476" s="15"/>
      <c r="U476" s="15"/>
      <c r="V476" s="15"/>
      <c r="W476" s="47"/>
      <c r="X476" s="11"/>
      <c r="Y476" s="48"/>
      <c r="Z476" s="11"/>
      <c r="AA476" s="48"/>
      <c r="AB476" s="11"/>
      <c r="AC476" s="48"/>
      <c r="AD476" s="11"/>
      <c r="AE476" s="47"/>
      <c r="AF476" s="11"/>
      <c r="AG476" s="48"/>
      <c r="AH476" s="11"/>
      <c r="AI476" s="48"/>
      <c r="AJ476" s="11"/>
      <c r="AK476" s="48"/>
      <c r="AL476" s="11"/>
      <c r="AM476" s="49"/>
      <c r="AN476" s="49"/>
      <c r="AO476" s="11"/>
      <c r="AP476" s="11"/>
      <c r="AQ476" s="28" t="b">
        <f>IF(COUNTIF(SmartStatus!A$2:A1000, AM476) &gt; 2, TRUE, FALSE)</f>
        <v>0</v>
      </c>
      <c r="AR476" s="29" t="str">
        <f ca="1">IFERROR(__xludf.DUMMYFUNCTION("iferror(if(regexmatch(AO476, ""(?i)^registered""), if(EE476 &lt;&gt; ""polity_shortest_name"", ""CHECK_POLITY"", index(filter(SmartStatus!B$2:B1000, AM476 = SmartStatus!A$2:A1000, not(SmartStatus!C$2:C1000), (isblank(SmartStatus!D$2:D1000)) + ((P476 &lt;&gt; """") * "&amp;"(P476 &lt; SmartStatus!D$2:D1000)), (isblank(SmartStatus!E$2:E1000)) + ((P476 &lt;&gt; """") * (P476 &gt;= SmartStatus!E$2:E1000)), (isblank(SmartStatus!F$2:F1000)) + (((Q476 &lt;&gt; """") * (Q476 &lt; SmartStatus!F$2:F1000)) + ((P476 &lt;&gt; """") * (date(year(P476) + 3, month(P"&amp;"476), day(P476)) &lt; SmartStatus!F$2:F1000))), (isblank(SmartStatus!G$2:G1000)) + (((Q476 &lt;&gt; """") * (Q476 &gt;= SmartStatus!G$2:G1000)) + ((P476 &lt;&gt; """") * (P476 &gt;= SmartStatus!G$2:G1000)))), if(or(regexmatch(B476, ""(?i)^ir [a-z]+ designation$""), N476 &lt;&gt; """&amp;"""), 1, 2))), """"), ""NO_MATCH"")"),"")</f>
        <v/>
      </c>
      <c r="AS476" s="11"/>
      <c r="AT476" s="15"/>
      <c r="AU476" s="11"/>
      <c r="AV476" s="11"/>
      <c r="AW476" s="15"/>
      <c r="AX476" s="15"/>
      <c r="AY476" s="15"/>
      <c r="AZ476" s="11"/>
      <c r="BA476" s="15"/>
      <c r="BB476" s="11"/>
      <c r="BC476" s="11"/>
      <c r="BD476" s="15"/>
      <c r="BE476" s="11"/>
      <c r="BF476" s="11"/>
      <c r="BG476" s="15"/>
      <c r="BH476" s="15"/>
      <c r="BI476" s="15"/>
      <c r="BJ476" s="11"/>
      <c r="BK476" s="15"/>
      <c r="BL476" s="11"/>
      <c r="BM476" s="11"/>
      <c r="BN476" s="15"/>
      <c r="BO476" s="11"/>
      <c r="BP476" s="11"/>
      <c r="BQ476" s="15"/>
      <c r="BR476" s="15"/>
      <c r="BS476" s="15"/>
      <c r="BT476" s="11"/>
      <c r="BU476" s="15"/>
      <c r="BV476" s="11"/>
      <c r="BW476" s="11"/>
      <c r="BX476" s="15"/>
      <c r="BY476" s="11"/>
      <c r="BZ476" s="11"/>
      <c r="CA476" s="15"/>
      <c r="CB476" s="11"/>
      <c r="CC476" s="15"/>
      <c r="CD476" s="11"/>
      <c r="CE476" s="15"/>
      <c r="CF476" s="11"/>
      <c r="CG476" s="11"/>
      <c r="CH476" s="15"/>
      <c r="CI476" s="11"/>
      <c r="CJ476" s="11"/>
      <c r="CK476" s="15"/>
      <c r="CL476" s="11"/>
      <c r="CM476" s="11"/>
      <c r="CN476" s="11"/>
      <c r="CO476" s="11"/>
      <c r="CP476" s="28"/>
      <c r="CQ476" s="28"/>
      <c r="CR476" s="11"/>
      <c r="CS476" s="29"/>
      <c r="CT476" s="11"/>
      <c r="CU476" s="11"/>
      <c r="CV476" s="11"/>
      <c r="CW476" s="11"/>
      <c r="CX476" s="11"/>
      <c r="CY476" s="11"/>
      <c r="CZ476" s="11"/>
      <c r="DA476" s="28"/>
      <c r="DB476" s="28"/>
      <c r="DC476" s="11"/>
      <c r="DD476" s="29"/>
      <c r="DE476" s="11"/>
      <c r="DF476" s="11"/>
      <c r="DG476" s="11"/>
      <c r="DH476" s="11"/>
      <c r="DI476" s="11"/>
      <c r="DJ476" s="11"/>
      <c r="DK476" s="26"/>
      <c r="DL476" s="11"/>
      <c r="DM476" s="29"/>
      <c r="DN476" s="28"/>
      <c r="DO476" s="11"/>
      <c r="DP476" s="11"/>
      <c r="DQ476" s="11"/>
      <c r="DR476" s="29"/>
      <c r="DS476" s="28"/>
      <c r="DT476" s="11"/>
      <c r="DU476" s="26"/>
      <c r="DV476" s="11"/>
      <c r="DW476" s="29"/>
      <c r="DX476" s="28"/>
      <c r="DY476" s="11"/>
      <c r="DZ476" s="26"/>
      <c r="EA476" s="11"/>
      <c r="EB476" s="29"/>
      <c r="EC476" s="28"/>
      <c r="ED476" s="30"/>
      <c r="EE476" s="30" t="str">
        <f ca="1">IFERROR(__xludf.DUMMYFUNCTION("iferror(index(filter('Internal -- Trademark Countries'!E$2:E1000, (AM476 = 'Internal -- Trademark Countries'!B$2:B1000) + (AM476 = 'Internal -- Trademark Countries'!C$2:C1000) + (AM476 = 'Internal -- Trademark Countries'!D$2:D1000)), 1))"),"")</f>
        <v/>
      </c>
      <c r="EF476" s="30" t="e">
        <f ca="1">_xludf.ifs(AM476="", "", COUNTIF('Internal -- Trademark Countries'!B:B,AM476) &gt; 0, "polity_shortest_name", COUNTIF('Internal -- Trademark Countries'!C:C,AM476) &gt; 0, "polity_full_name", COUNTIF('Internal -- Trademark Countries'!D:D,AM476) &gt; 0, "polity_common_name", COUNTIF('Internal -- Trademark Countries'!E:E,AM476) &gt; 0, "shortest_name", COUNTIF('Internal -- Trademark Countries'!A:A,AM476) &gt; 0, "full_name", TRUE, "not a match")</f>
        <v>#NAME?</v>
      </c>
      <c r="EG476" s="30"/>
      <c r="EH476" s="30"/>
      <c r="EI476" s="30"/>
      <c r="EJ476" s="30"/>
      <c r="EK476" s="30" t="str">
        <f t="shared" si="3"/>
        <v/>
      </c>
    </row>
    <row r="477" spans="1:141" ht="16.5">
      <c r="A477" s="11"/>
      <c r="B477" s="11"/>
      <c r="C477" s="11"/>
      <c r="D477" s="11"/>
      <c r="E477" s="11"/>
      <c r="F477" s="11"/>
      <c r="G477" s="11"/>
      <c r="H477" s="11"/>
      <c r="I477" s="11"/>
      <c r="J477" s="11"/>
      <c r="K477" s="27"/>
      <c r="L477" s="11"/>
      <c r="M477" s="11"/>
      <c r="N477" s="11"/>
      <c r="O477" s="11"/>
      <c r="P477" s="15"/>
      <c r="Q477" s="15"/>
      <c r="R477" s="15"/>
      <c r="S477" s="15"/>
      <c r="T477" s="15"/>
      <c r="U477" s="15"/>
      <c r="V477" s="15"/>
      <c r="W477" s="47"/>
      <c r="X477" s="11"/>
      <c r="Y477" s="48"/>
      <c r="Z477" s="11"/>
      <c r="AA477" s="48"/>
      <c r="AB477" s="11"/>
      <c r="AC477" s="48"/>
      <c r="AD477" s="11"/>
      <c r="AE477" s="47"/>
      <c r="AF477" s="11"/>
      <c r="AG477" s="48"/>
      <c r="AH477" s="11"/>
      <c r="AI477" s="48"/>
      <c r="AJ477" s="11"/>
      <c r="AK477" s="48"/>
      <c r="AL477" s="11"/>
      <c r="AM477" s="49"/>
      <c r="AN477" s="49"/>
      <c r="AO477" s="11"/>
      <c r="AP477" s="11"/>
      <c r="AQ477" s="28" t="b">
        <f>IF(COUNTIF(SmartStatus!A$2:A1000, AM477) &gt; 2, TRUE, FALSE)</f>
        <v>0</v>
      </c>
      <c r="AR477" s="29" t="str">
        <f ca="1">IFERROR(__xludf.DUMMYFUNCTION("iferror(if(regexmatch(AO477, ""(?i)^registered""), if(EE477 &lt;&gt; ""polity_shortest_name"", ""CHECK_POLITY"", index(filter(SmartStatus!B$2:B1000, AM477 = SmartStatus!A$2:A1000, not(SmartStatus!C$2:C1000), (isblank(SmartStatus!D$2:D1000)) + ((P477 &lt;&gt; """") * "&amp;"(P477 &lt; SmartStatus!D$2:D1000)), (isblank(SmartStatus!E$2:E1000)) + ((P477 &lt;&gt; """") * (P477 &gt;= SmartStatus!E$2:E1000)), (isblank(SmartStatus!F$2:F1000)) + (((Q477 &lt;&gt; """") * (Q477 &lt; SmartStatus!F$2:F1000)) + ((P477 &lt;&gt; """") * (date(year(P477) + 3, month(P"&amp;"477), day(P477)) &lt; SmartStatus!F$2:F1000))), (isblank(SmartStatus!G$2:G1000)) + (((Q477 &lt;&gt; """") * (Q477 &gt;= SmartStatus!G$2:G1000)) + ((P477 &lt;&gt; """") * (P477 &gt;= SmartStatus!G$2:G1000)))), if(or(regexmatch(B477, ""(?i)^ir [a-z]+ designation$""), N477 &lt;&gt; """&amp;"""), 1, 2))), """"), ""NO_MATCH"")"),"")</f>
        <v/>
      </c>
      <c r="AS477" s="11"/>
      <c r="AT477" s="15"/>
      <c r="AU477" s="11"/>
      <c r="AV477" s="11"/>
      <c r="AW477" s="15"/>
      <c r="AX477" s="15"/>
      <c r="AY477" s="15"/>
      <c r="AZ477" s="11"/>
      <c r="BA477" s="15"/>
      <c r="BB477" s="11"/>
      <c r="BC477" s="11"/>
      <c r="BD477" s="15"/>
      <c r="BE477" s="11"/>
      <c r="BF477" s="11"/>
      <c r="BG477" s="15"/>
      <c r="BH477" s="15"/>
      <c r="BI477" s="15"/>
      <c r="BJ477" s="11"/>
      <c r="BK477" s="15"/>
      <c r="BL477" s="11"/>
      <c r="BM477" s="11"/>
      <c r="BN477" s="15"/>
      <c r="BO477" s="11"/>
      <c r="BP477" s="11"/>
      <c r="BQ477" s="15"/>
      <c r="BR477" s="15"/>
      <c r="BS477" s="15"/>
      <c r="BT477" s="11"/>
      <c r="BU477" s="15"/>
      <c r="BV477" s="11"/>
      <c r="BW477" s="11"/>
      <c r="BX477" s="15"/>
      <c r="BY477" s="11"/>
      <c r="BZ477" s="11"/>
      <c r="CA477" s="15"/>
      <c r="CB477" s="11"/>
      <c r="CC477" s="15"/>
      <c r="CD477" s="11"/>
      <c r="CE477" s="15"/>
      <c r="CF477" s="11"/>
      <c r="CG477" s="11"/>
      <c r="CH477" s="15"/>
      <c r="CI477" s="11"/>
      <c r="CJ477" s="11"/>
      <c r="CK477" s="15"/>
      <c r="CL477" s="11"/>
      <c r="CM477" s="11"/>
      <c r="CN477" s="11"/>
      <c r="CO477" s="11"/>
      <c r="CP477" s="28"/>
      <c r="CQ477" s="28"/>
      <c r="CR477" s="11"/>
      <c r="CS477" s="29"/>
      <c r="CT477" s="11"/>
      <c r="CU477" s="11"/>
      <c r="CV477" s="11"/>
      <c r="CW477" s="11"/>
      <c r="CX477" s="11"/>
      <c r="CY477" s="11"/>
      <c r="CZ477" s="11"/>
      <c r="DA477" s="28"/>
      <c r="DB477" s="28"/>
      <c r="DC477" s="11"/>
      <c r="DD477" s="29"/>
      <c r="DE477" s="11"/>
      <c r="DF477" s="11"/>
      <c r="DG477" s="11"/>
      <c r="DH477" s="11"/>
      <c r="DI477" s="11"/>
      <c r="DJ477" s="11"/>
      <c r="DK477" s="26"/>
      <c r="DL477" s="11"/>
      <c r="DM477" s="29"/>
      <c r="DN477" s="28"/>
      <c r="DO477" s="11"/>
      <c r="DP477" s="11"/>
      <c r="DQ477" s="11"/>
      <c r="DR477" s="29"/>
      <c r="DS477" s="28"/>
      <c r="DT477" s="11"/>
      <c r="DU477" s="26"/>
      <c r="DV477" s="11"/>
      <c r="DW477" s="29"/>
      <c r="DX477" s="28"/>
      <c r="DY477" s="11"/>
      <c r="DZ477" s="26"/>
      <c r="EA477" s="11"/>
      <c r="EB477" s="29"/>
      <c r="EC477" s="28"/>
      <c r="ED477" s="30"/>
      <c r="EE477" s="30" t="str">
        <f ca="1">IFERROR(__xludf.DUMMYFUNCTION("iferror(index(filter('Internal -- Trademark Countries'!E$2:E1000, (AM477 = 'Internal -- Trademark Countries'!B$2:B1000) + (AM477 = 'Internal -- Trademark Countries'!C$2:C1000) + (AM477 = 'Internal -- Trademark Countries'!D$2:D1000)), 1))"),"")</f>
        <v/>
      </c>
      <c r="EF477" s="30" t="e">
        <f ca="1">_xludf.ifs(AM477="", "", COUNTIF('Internal -- Trademark Countries'!B:B,AM477) &gt; 0, "polity_shortest_name", COUNTIF('Internal -- Trademark Countries'!C:C,AM477) &gt; 0, "polity_full_name", COUNTIF('Internal -- Trademark Countries'!D:D,AM477) &gt; 0, "polity_common_name", COUNTIF('Internal -- Trademark Countries'!E:E,AM477) &gt; 0, "shortest_name", COUNTIF('Internal -- Trademark Countries'!A:A,AM477) &gt; 0, "full_name", TRUE, "not a match")</f>
        <v>#NAME?</v>
      </c>
      <c r="EG477" s="30"/>
      <c r="EH477" s="30"/>
      <c r="EI477" s="30"/>
      <c r="EJ477" s="30"/>
      <c r="EK477" s="30" t="str">
        <f t="shared" si="3"/>
        <v/>
      </c>
    </row>
    <row r="478" spans="1:141" ht="16.5">
      <c r="A478" s="11"/>
      <c r="B478" s="11"/>
      <c r="C478" s="11"/>
      <c r="D478" s="11"/>
      <c r="E478" s="11"/>
      <c r="F478" s="11"/>
      <c r="G478" s="11"/>
      <c r="H478" s="11"/>
      <c r="I478" s="11"/>
      <c r="J478" s="11"/>
      <c r="K478" s="27"/>
      <c r="L478" s="11"/>
      <c r="M478" s="11"/>
      <c r="N478" s="11"/>
      <c r="O478" s="11"/>
      <c r="P478" s="15"/>
      <c r="Q478" s="15"/>
      <c r="R478" s="15"/>
      <c r="S478" s="15"/>
      <c r="T478" s="15"/>
      <c r="U478" s="15"/>
      <c r="V478" s="15"/>
      <c r="W478" s="47"/>
      <c r="X478" s="11"/>
      <c r="Y478" s="48"/>
      <c r="Z478" s="11"/>
      <c r="AA478" s="48"/>
      <c r="AB478" s="11"/>
      <c r="AC478" s="48"/>
      <c r="AD478" s="11"/>
      <c r="AE478" s="47"/>
      <c r="AF478" s="11"/>
      <c r="AG478" s="48"/>
      <c r="AH478" s="11"/>
      <c r="AI478" s="48"/>
      <c r="AJ478" s="11"/>
      <c r="AK478" s="48"/>
      <c r="AL478" s="11"/>
      <c r="AM478" s="49"/>
      <c r="AN478" s="49"/>
      <c r="AO478" s="11"/>
      <c r="AP478" s="11"/>
      <c r="AQ478" s="28" t="b">
        <f>IF(COUNTIF(SmartStatus!A$2:A1000, AM478) &gt; 2, TRUE, FALSE)</f>
        <v>0</v>
      </c>
      <c r="AR478" s="29" t="str">
        <f ca="1">IFERROR(__xludf.DUMMYFUNCTION("iferror(if(regexmatch(AO478, ""(?i)^registered""), if(EE478 &lt;&gt; ""polity_shortest_name"", ""CHECK_POLITY"", index(filter(SmartStatus!B$2:B1000, AM478 = SmartStatus!A$2:A1000, not(SmartStatus!C$2:C1000), (isblank(SmartStatus!D$2:D1000)) + ((P478 &lt;&gt; """") * "&amp;"(P478 &lt; SmartStatus!D$2:D1000)), (isblank(SmartStatus!E$2:E1000)) + ((P478 &lt;&gt; """") * (P478 &gt;= SmartStatus!E$2:E1000)), (isblank(SmartStatus!F$2:F1000)) + (((Q478 &lt;&gt; """") * (Q478 &lt; SmartStatus!F$2:F1000)) + ((P478 &lt;&gt; """") * (date(year(P478) + 3, month(P"&amp;"478), day(P478)) &lt; SmartStatus!F$2:F1000))), (isblank(SmartStatus!G$2:G1000)) + (((Q478 &lt;&gt; """") * (Q478 &gt;= SmartStatus!G$2:G1000)) + ((P478 &lt;&gt; """") * (P478 &gt;= SmartStatus!G$2:G1000)))), if(or(regexmatch(B478, ""(?i)^ir [a-z]+ designation$""), N478 &lt;&gt; """&amp;"""), 1, 2))), """"), ""NO_MATCH"")"),"")</f>
        <v/>
      </c>
      <c r="AS478" s="11"/>
      <c r="AT478" s="15"/>
      <c r="AU478" s="11"/>
      <c r="AV478" s="11"/>
      <c r="AW478" s="15"/>
      <c r="AX478" s="15"/>
      <c r="AY478" s="15"/>
      <c r="AZ478" s="11"/>
      <c r="BA478" s="15"/>
      <c r="BB478" s="11"/>
      <c r="BC478" s="11"/>
      <c r="BD478" s="15"/>
      <c r="BE478" s="11"/>
      <c r="BF478" s="11"/>
      <c r="BG478" s="15"/>
      <c r="BH478" s="15"/>
      <c r="BI478" s="15"/>
      <c r="BJ478" s="11"/>
      <c r="BK478" s="15"/>
      <c r="BL478" s="11"/>
      <c r="BM478" s="11"/>
      <c r="BN478" s="15"/>
      <c r="BO478" s="11"/>
      <c r="BP478" s="11"/>
      <c r="BQ478" s="15"/>
      <c r="BR478" s="15"/>
      <c r="BS478" s="15"/>
      <c r="BT478" s="11"/>
      <c r="BU478" s="15"/>
      <c r="BV478" s="11"/>
      <c r="BW478" s="11"/>
      <c r="BX478" s="15"/>
      <c r="BY478" s="11"/>
      <c r="BZ478" s="11"/>
      <c r="CA478" s="15"/>
      <c r="CB478" s="11"/>
      <c r="CC478" s="15"/>
      <c r="CD478" s="11"/>
      <c r="CE478" s="15"/>
      <c r="CF478" s="11"/>
      <c r="CG478" s="11"/>
      <c r="CH478" s="15"/>
      <c r="CI478" s="11"/>
      <c r="CJ478" s="11"/>
      <c r="CK478" s="15"/>
      <c r="CL478" s="11"/>
      <c r="CM478" s="11"/>
      <c r="CN478" s="11"/>
      <c r="CO478" s="11"/>
      <c r="CP478" s="28"/>
      <c r="CQ478" s="28"/>
      <c r="CR478" s="11"/>
      <c r="CS478" s="29"/>
      <c r="CT478" s="11"/>
      <c r="CU478" s="11"/>
      <c r="CV478" s="11"/>
      <c r="CW478" s="11"/>
      <c r="CX478" s="11"/>
      <c r="CY478" s="11"/>
      <c r="CZ478" s="11"/>
      <c r="DA478" s="28"/>
      <c r="DB478" s="28"/>
      <c r="DC478" s="11"/>
      <c r="DD478" s="29"/>
      <c r="DE478" s="11"/>
      <c r="DF478" s="11"/>
      <c r="DG478" s="11"/>
      <c r="DH478" s="11"/>
      <c r="DI478" s="11"/>
      <c r="DJ478" s="11"/>
      <c r="DK478" s="26"/>
      <c r="DL478" s="11"/>
      <c r="DM478" s="29"/>
      <c r="DN478" s="28"/>
      <c r="DO478" s="11"/>
      <c r="DP478" s="11"/>
      <c r="DQ478" s="11"/>
      <c r="DR478" s="29"/>
      <c r="DS478" s="28"/>
      <c r="DT478" s="11"/>
      <c r="DU478" s="26"/>
      <c r="DV478" s="11"/>
      <c r="DW478" s="29"/>
      <c r="DX478" s="28"/>
      <c r="DY478" s="11"/>
      <c r="DZ478" s="26"/>
      <c r="EA478" s="11"/>
      <c r="EB478" s="29"/>
      <c r="EC478" s="28"/>
      <c r="ED478" s="30"/>
      <c r="EE478" s="30" t="str">
        <f ca="1">IFERROR(__xludf.DUMMYFUNCTION("iferror(index(filter('Internal -- Trademark Countries'!E$2:E1000, (AM478 = 'Internal -- Trademark Countries'!B$2:B1000) + (AM478 = 'Internal -- Trademark Countries'!C$2:C1000) + (AM478 = 'Internal -- Trademark Countries'!D$2:D1000)), 1))"),"")</f>
        <v/>
      </c>
      <c r="EF478" s="30" t="e">
        <f ca="1">_xludf.ifs(AM478="", "", COUNTIF('Internal -- Trademark Countries'!B:B,AM478) &gt; 0, "polity_shortest_name", COUNTIF('Internal -- Trademark Countries'!C:C,AM478) &gt; 0, "polity_full_name", COUNTIF('Internal -- Trademark Countries'!D:D,AM478) &gt; 0, "polity_common_name", COUNTIF('Internal -- Trademark Countries'!E:E,AM478) &gt; 0, "shortest_name", COUNTIF('Internal -- Trademark Countries'!A:A,AM478) &gt; 0, "full_name", TRUE, "not a match")</f>
        <v>#NAME?</v>
      </c>
      <c r="EG478" s="30"/>
      <c r="EH478" s="30"/>
      <c r="EI478" s="30"/>
      <c r="EJ478" s="30"/>
      <c r="EK478" s="30" t="str">
        <f t="shared" si="3"/>
        <v/>
      </c>
    </row>
    <row r="479" spans="1:141" ht="16.5">
      <c r="A479" s="11"/>
      <c r="B479" s="11"/>
      <c r="C479" s="11"/>
      <c r="D479" s="11"/>
      <c r="E479" s="11"/>
      <c r="F479" s="11"/>
      <c r="G479" s="11"/>
      <c r="H479" s="11"/>
      <c r="I479" s="11"/>
      <c r="J479" s="11"/>
      <c r="K479" s="27"/>
      <c r="L479" s="11"/>
      <c r="M479" s="11"/>
      <c r="N479" s="11"/>
      <c r="O479" s="11"/>
      <c r="P479" s="15"/>
      <c r="Q479" s="15"/>
      <c r="R479" s="15"/>
      <c r="S479" s="15"/>
      <c r="T479" s="15"/>
      <c r="U479" s="15"/>
      <c r="V479" s="15"/>
      <c r="W479" s="47"/>
      <c r="X479" s="11"/>
      <c r="Y479" s="48"/>
      <c r="Z479" s="11"/>
      <c r="AA479" s="48"/>
      <c r="AB479" s="11"/>
      <c r="AC479" s="48"/>
      <c r="AD479" s="11"/>
      <c r="AE479" s="47"/>
      <c r="AF479" s="11"/>
      <c r="AG479" s="48"/>
      <c r="AH479" s="11"/>
      <c r="AI479" s="48"/>
      <c r="AJ479" s="11"/>
      <c r="AK479" s="48"/>
      <c r="AL479" s="11"/>
      <c r="AM479" s="49"/>
      <c r="AN479" s="49"/>
      <c r="AO479" s="11"/>
      <c r="AP479" s="11"/>
      <c r="AQ479" s="28" t="b">
        <f>IF(COUNTIF(SmartStatus!A$2:A1000, AM479) &gt; 2, TRUE, FALSE)</f>
        <v>0</v>
      </c>
      <c r="AR479" s="29" t="str">
        <f ca="1">IFERROR(__xludf.DUMMYFUNCTION("iferror(if(regexmatch(AO479, ""(?i)^registered""), if(EE479 &lt;&gt; ""polity_shortest_name"", ""CHECK_POLITY"", index(filter(SmartStatus!B$2:B1000, AM479 = SmartStatus!A$2:A1000, not(SmartStatus!C$2:C1000), (isblank(SmartStatus!D$2:D1000)) + ((P479 &lt;&gt; """") * "&amp;"(P479 &lt; SmartStatus!D$2:D1000)), (isblank(SmartStatus!E$2:E1000)) + ((P479 &lt;&gt; """") * (P479 &gt;= SmartStatus!E$2:E1000)), (isblank(SmartStatus!F$2:F1000)) + (((Q479 &lt;&gt; """") * (Q479 &lt; SmartStatus!F$2:F1000)) + ((P479 &lt;&gt; """") * (date(year(P479) + 3, month(P"&amp;"479), day(P479)) &lt; SmartStatus!F$2:F1000))), (isblank(SmartStatus!G$2:G1000)) + (((Q479 &lt;&gt; """") * (Q479 &gt;= SmartStatus!G$2:G1000)) + ((P479 &lt;&gt; """") * (P479 &gt;= SmartStatus!G$2:G1000)))), if(or(regexmatch(B479, ""(?i)^ir [a-z]+ designation$""), N479 &lt;&gt; """&amp;"""), 1, 2))), """"), ""NO_MATCH"")"),"")</f>
        <v/>
      </c>
      <c r="AS479" s="11"/>
      <c r="AT479" s="15"/>
      <c r="AU479" s="11"/>
      <c r="AV479" s="11"/>
      <c r="AW479" s="15"/>
      <c r="AX479" s="15"/>
      <c r="AY479" s="15"/>
      <c r="AZ479" s="11"/>
      <c r="BA479" s="15"/>
      <c r="BB479" s="11"/>
      <c r="BC479" s="11"/>
      <c r="BD479" s="15"/>
      <c r="BE479" s="11"/>
      <c r="BF479" s="11"/>
      <c r="BG479" s="15"/>
      <c r="BH479" s="15"/>
      <c r="BI479" s="15"/>
      <c r="BJ479" s="11"/>
      <c r="BK479" s="15"/>
      <c r="BL479" s="11"/>
      <c r="BM479" s="11"/>
      <c r="BN479" s="15"/>
      <c r="BO479" s="11"/>
      <c r="BP479" s="11"/>
      <c r="BQ479" s="15"/>
      <c r="BR479" s="15"/>
      <c r="BS479" s="15"/>
      <c r="BT479" s="11"/>
      <c r="BU479" s="15"/>
      <c r="BV479" s="11"/>
      <c r="BW479" s="11"/>
      <c r="BX479" s="15"/>
      <c r="BY479" s="11"/>
      <c r="BZ479" s="11"/>
      <c r="CA479" s="15"/>
      <c r="CB479" s="11"/>
      <c r="CC479" s="15"/>
      <c r="CD479" s="11"/>
      <c r="CE479" s="15"/>
      <c r="CF479" s="11"/>
      <c r="CG479" s="11"/>
      <c r="CH479" s="15"/>
      <c r="CI479" s="11"/>
      <c r="CJ479" s="11"/>
      <c r="CK479" s="15"/>
      <c r="CL479" s="11"/>
      <c r="CM479" s="11"/>
      <c r="CN479" s="11"/>
      <c r="CO479" s="11"/>
      <c r="CP479" s="28"/>
      <c r="CQ479" s="28"/>
      <c r="CR479" s="11"/>
      <c r="CS479" s="29"/>
      <c r="CT479" s="11"/>
      <c r="CU479" s="11"/>
      <c r="CV479" s="11"/>
      <c r="CW479" s="11"/>
      <c r="CX479" s="11"/>
      <c r="CY479" s="11"/>
      <c r="CZ479" s="11"/>
      <c r="DA479" s="28"/>
      <c r="DB479" s="28"/>
      <c r="DC479" s="11"/>
      <c r="DD479" s="29"/>
      <c r="DE479" s="11"/>
      <c r="DF479" s="11"/>
      <c r="DG479" s="11"/>
      <c r="DH479" s="11"/>
      <c r="DI479" s="11"/>
      <c r="DJ479" s="11"/>
      <c r="DK479" s="26"/>
      <c r="DL479" s="11"/>
      <c r="DM479" s="29"/>
      <c r="DN479" s="28"/>
      <c r="DO479" s="11"/>
      <c r="DP479" s="11"/>
      <c r="DQ479" s="11"/>
      <c r="DR479" s="29"/>
      <c r="DS479" s="28"/>
      <c r="DT479" s="11"/>
      <c r="DU479" s="26"/>
      <c r="DV479" s="11"/>
      <c r="DW479" s="29"/>
      <c r="DX479" s="28"/>
      <c r="DY479" s="11"/>
      <c r="DZ479" s="26"/>
      <c r="EA479" s="11"/>
      <c r="EB479" s="29"/>
      <c r="EC479" s="28"/>
      <c r="ED479" s="30"/>
      <c r="EE479" s="30" t="str">
        <f ca="1">IFERROR(__xludf.DUMMYFUNCTION("iferror(index(filter('Internal -- Trademark Countries'!E$2:E1000, (AM479 = 'Internal -- Trademark Countries'!B$2:B1000) + (AM479 = 'Internal -- Trademark Countries'!C$2:C1000) + (AM479 = 'Internal -- Trademark Countries'!D$2:D1000)), 1))"),"")</f>
        <v/>
      </c>
      <c r="EF479" s="30" t="e">
        <f ca="1">_xludf.ifs(AM479="", "", COUNTIF('Internal -- Trademark Countries'!B:B,AM479) &gt; 0, "polity_shortest_name", COUNTIF('Internal -- Trademark Countries'!C:C,AM479) &gt; 0, "polity_full_name", COUNTIF('Internal -- Trademark Countries'!D:D,AM479) &gt; 0, "polity_common_name", COUNTIF('Internal -- Trademark Countries'!E:E,AM479) &gt; 0, "shortest_name", COUNTIF('Internal -- Trademark Countries'!A:A,AM479) &gt; 0, "full_name", TRUE, "not a match")</f>
        <v>#NAME?</v>
      </c>
      <c r="EG479" s="30"/>
      <c r="EH479" s="30"/>
      <c r="EI479" s="30"/>
      <c r="EJ479" s="30"/>
      <c r="EK479" s="30" t="str">
        <f t="shared" si="3"/>
        <v/>
      </c>
    </row>
    <row r="480" spans="1:141" ht="16.5">
      <c r="A480" s="11"/>
      <c r="B480" s="11"/>
      <c r="C480" s="11"/>
      <c r="D480" s="11"/>
      <c r="E480" s="11"/>
      <c r="F480" s="11"/>
      <c r="G480" s="11"/>
      <c r="H480" s="11"/>
      <c r="I480" s="11"/>
      <c r="J480" s="11"/>
      <c r="K480" s="27"/>
      <c r="L480" s="11"/>
      <c r="M480" s="11"/>
      <c r="N480" s="11"/>
      <c r="O480" s="11"/>
      <c r="P480" s="15"/>
      <c r="Q480" s="15"/>
      <c r="R480" s="15"/>
      <c r="S480" s="15"/>
      <c r="T480" s="15"/>
      <c r="U480" s="15"/>
      <c r="V480" s="15"/>
      <c r="W480" s="47"/>
      <c r="X480" s="11"/>
      <c r="Y480" s="48"/>
      <c r="Z480" s="11"/>
      <c r="AA480" s="48"/>
      <c r="AB480" s="11"/>
      <c r="AC480" s="48"/>
      <c r="AD480" s="11"/>
      <c r="AE480" s="47"/>
      <c r="AF480" s="11"/>
      <c r="AG480" s="48"/>
      <c r="AH480" s="11"/>
      <c r="AI480" s="48"/>
      <c r="AJ480" s="11"/>
      <c r="AK480" s="48"/>
      <c r="AL480" s="11"/>
      <c r="AM480" s="49"/>
      <c r="AN480" s="49"/>
      <c r="AO480" s="11"/>
      <c r="AP480" s="11"/>
      <c r="AQ480" s="28" t="b">
        <f>IF(COUNTIF(SmartStatus!A$2:A1000, AM480) &gt; 2, TRUE, FALSE)</f>
        <v>0</v>
      </c>
      <c r="AR480" s="29" t="str">
        <f ca="1">IFERROR(__xludf.DUMMYFUNCTION("iferror(if(regexmatch(AO480, ""(?i)^registered""), if(EE480 &lt;&gt; ""polity_shortest_name"", ""CHECK_POLITY"", index(filter(SmartStatus!B$2:B1000, AM480 = SmartStatus!A$2:A1000, not(SmartStatus!C$2:C1000), (isblank(SmartStatus!D$2:D1000)) + ((P480 &lt;&gt; """") * "&amp;"(P480 &lt; SmartStatus!D$2:D1000)), (isblank(SmartStatus!E$2:E1000)) + ((P480 &lt;&gt; """") * (P480 &gt;= SmartStatus!E$2:E1000)), (isblank(SmartStatus!F$2:F1000)) + (((Q480 &lt;&gt; """") * (Q480 &lt; SmartStatus!F$2:F1000)) + ((P480 &lt;&gt; """") * (date(year(P480) + 3, month(P"&amp;"480), day(P480)) &lt; SmartStatus!F$2:F1000))), (isblank(SmartStatus!G$2:G1000)) + (((Q480 &lt;&gt; """") * (Q480 &gt;= SmartStatus!G$2:G1000)) + ((P480 &lt;&gt; """") * (P480 &gt;= SmartStatus!G$2:G1000)))), if(or(regexmatch(B480, ""(?i)^ir [a-z]+ designation$""), N480 &lt;&gt; """&amp;"""), 1, 2))), """"), ""NO_MATCH"")"),"")</f>
        <v/>
      </c>
      <c r="AS480" s="11"/>
      <c r="AT480" s="15"/>
      <c r="AU480" s="11"/>
      <c r="AV480" s="11"/>
      <c r="AW480" s="15"/>
      <c r="AX480" s="15"/>
      <c r="AY480" s="15"/>
      <c r="AZ480" s="11"/>
      <c r="BA480" s="15"/>
      <c r="BB480" s="11"/>
      <c r="BC480" s="11"/>
      <c r="BD480" s="15"/>
      <c r="BE480" s="11"/>
      <c r="BF480" s="11"/>
      <c r="BG480" s="15"/>
      <c r="BH480" s="15"/>
      <c r="BI480" s="15"/>
      <c r="BJ480" s="11"/>
      <c r="BK480" s="15"/>
      <c r="BL480" s="11"/>
      <c r="BM480" s="11"/>
      <c r="BN480" s="15"/>
      <c r="BO480" s="11"/>
      <c r="BP480" s="11"/>
      <c r="BQ480" s="15"/>
      <c r="BR480" s="15"/>
      <c r="BS480" s="15"/>
      <c r="BT480" s="11"/>
      <c r="BU480" s="15"/>
      <c r="BV480" s="11"/>
      <c r="BW480" s="11"/>
      <c r="BX480" s="15"/>
      <c r="BY480" s="11"/>
      <c r="BZ480" s="11"/>
      <c r="CA480" s="15"/>
      <c r="CB480" s="11"/>
      <c r="CC480" s="15"/>
      <c r="CD480" s="11"/>
      <c r="CE480" s="15"/>
      <c r="CF480" s="11"/>
      <c r="CG480" s="11"/>
      <c r="CH480" s="15"/>
      <c r="CI480" s="11"/>
      <c r="CJ480" s="11"/>
      <c r="CK480" s="15"/>
      <c r="CL480" s="11"/>
      <c r="CM480" s="11"/>
      <c r="CN480" s="11"/>
      <c r="CO480" s="11"/>
      <c r="CP480" s="28"/>
      <c r="CQ480" s="28"/>
      <c r="CR480" s="11"/>
      <c r="CS480" s="29"/>
      <c r="CT480" s="11"/>
      <c r="CU480" s="11"/>
      <c r="CV480" s="11"/>
      <c r="CW480" s="11"/>
      <c r="CX480" s="11"/>
      <c r="CY480" s="11"/>
      <c r="CZ480" s="11"/>
      <c r="DA480" s="28"/>
      <c r="DB480" s="28"/>
      <c r="DC480" s="11"/>
      <c r="DD480" s="29"/>
      <c r="DE480" s="11"/>
      <c r="DF480" s="11"/>
      <c r="DG480" s="11"/>
      <c r="DH480" s="11"/>
      <c r="DI480" s="11"/>
      <c r="DJ480" s="11"/>
      <c r="DK480" s="26"/>
      <c r="DL480" s="11"/>
      <c r="DM480" s="29"/>
      <c r="DN480" s="28"/>
      <c r="DO480" s="11"/>
      <c r="DP480" s="11"/>
      <c r="DQ480" s="11"/>
      <c r="DR480" s="29"/>
      <c r="DS480" s="28"/>
      <c r="DT480" s="11"/>
      <c r="DU480" s="26"/>
      <c r="DV480" s="11"/>
      <c r="DW480" s="29"/>
      <c r="DX480" s="28"/>
      <c r="DY480" s="11"/>
      <c r="DZ480" s="26"/>
      <c r="EA480" s="11"/>
      <c r="EB480" s="29"/>
      <c r="EC480" s="28"/>
      <c r="ED480" s="30"/>
      <c r="EE480" s="30" t="str">
        <f ca="1">IFERROR(__xludf.DUMMYFUNCTION("iferror(index(filter('Internal -- Trademark Countries'!E$2:E1000, (AM480 = 'Internal -- Trademark Countries'!B$2:B1000) + (AM480 = 'Internal -- Trademark Countries'!C$2:C1000) + (AM480 = 'Internal -- Trademark Countries'!D$2:D1000)), 1))"),"")</f>
        <v/>
      </c>
      <c r="EF480" s="30" t="e">
        <f ca="1">_xludf.ifs(AM480="", "", COUNTIF('Internal -- Trademark Countries'!B:B,AM480) &gt; 0, "polity_shortest_name", COUNTIF('Internal -- Trademark Countries'!C:C,AM480) &gt; 0, "polity_full_name", COUNTIF('Internal -- Trademark Countries'!D:D,AM480) &gt; 0, "polity_common_name", COUNTIF('Internal -- Trademark Countries'!E:E,AM480) &gt; 0, "shortest_name", COUNTIF('Internal -- Trademark Countries'!A:A,AM480) &gt; 0, "full_name", TRUE, "not a match")</f>
        <v>#NAME?</v>
      </c>
      <c r="EG480" s="30"/>
      <c r="EH480" s="30"/>
      <c r="EI480" s="30"/>
      <c r="EJ480" s="30"/>
      <c r="EK480" s="30" t="str">
        <f t="shared" si="3"/>
        <v/>
      </c>
    </row>
    <row r="481" spans="1:141" ht="16.5">
      <c r="A481" s="11"/>
      <c r="B481" s="11"/>
      <c r="C481" s="11"/>
      <c r="D481" s="11"/>
      <c r="E481" s="11"/>
      <c r="F481" s="11"/>
      <c r="G481" s="11"/>
      <c r="H481" s="11"/>
      <c r="I481" s="11"/>
      <c r="J481" s="11"/>
      <c r="K481" s="27"/>
      <c r="L481" s="11"/>
      <c r="M481" s="11"/>
      <c r="N481" s="11"/>
      <c r="O481" s="11"/>
      <c r="P481" s="15"/>
      <c r="Q481" s="15"/>
      <c r="R481" s="15"/>
      <c r="S481" s="15"/>
      <c r="T481" s="15"/>
      <c r="U481" s="15"/>
      <c r="V481" s="15"/>
      <c r="W481" s="47"/>
      <c r="X481" s="11"/>
      <c r="Y481" s="48"/>
      <c r="Z481" s="11"/>
      <c r="AA481" s="48"/>
      <c r="AB481" s="11"/>
      <c r="AC481" s="48"/>
      <c r="AD481" s="11"/>
      <c r="AE481" s="47"/>
      <c r="AF481" s="11"/>
      <c r="AG481" s="48"/>
      <c r="AH481" s="11"/>
      <c r="AI481" s="48"/>
      <c r="AJ481" s="11"/>
      <c r="AK481" s="48"/>
      <c r="AL481" s="11"/>
      <c r="AM481" s="49"/>
      <c r="AN481" s="49"/>
      <c r="AO481" s="11"/>
      <c r="AP481" s="11"/>
      <c r="AQ481" s="28" t="b">
        <f>IF(COUNTIF(SmartStatus!A$2:A1000, AM481) &gt; 2, TRUE, FALSE)</f>
        <v>0</v>
      </c>
      <c r="AR481" s="29" t="str">
        <f ca="1">IFERROR(__xludf.DUMMYFUNCTION("iferror(if(regexmatch(AO481, ""(?i)^registered""), if(EE481 &lt;&gt; ""polity_shortest_name"", ""CHECK_POLITY"", index(filter(SmartStatus!B$2:B1000, AM481 = SmartStatus!A$2:A1000, not(SmartStatus!C$2:C1000), (isblank(SmartStatus!D$2:D1000)) + ((P481 &lt;&gt; """") * "&amp;"(P481 &lt; SmartStatus!D$2:D1000)), (isblank(SmartStatus!E$2:E1000)) + ((P481 &lt;&gt; """") * (P481 &gt;= SmartStatus!E$2:E1000)), (isblank(SmartStatus!F$2:F1000)) + (((Q481 &lt;&gt; """") * (Q481 &lt; SmartStatus!F$2:F1000)) + ((P481 &lt;&gt; """") * (date(year(P481) + 3, month(P"&amp;"481), day(P481)) &lt; SmartStatus!F$2:F1000))), (isblank(SmartStatus!G$2:G1000)) + (((Q481 &lt;&gt; """") * (Q481 &gt;= SmartStatus!G$2:G1000)) + ((P481 &lt;&gt; """") * (P481 &gt;= SmartStatus!G$2:G1000)))), if(or(regexmatch(B481, ""(?i)^ir [a-z]+ designation$""), N481 &lt;&gt; """&amp;"""), 1, 2))), """"), ""NO_MATCH"")"),"")</f>
        <v/>
      </c>
      <c r="AS481" s="11"/>
      <c r="AT481" s="15"/>
      <c r="AU481" s="11"/>
      <c r="AV481" s="11"/>
      <c r="AW481" s="15"/>
      <c r="AX481" s="15"/>
      <c r="AY481" s="15"/>
      <c r="AZ481" s="11"/>
      <c r="BA481" s="15"/>
      <c r="BB481" s="11"/>
      <c r="BC481" s="11"/>
      <c r="BD481" s="15"/>
      <c r="BE481" s="11"/>
      <c r="BF481" s="11"/>
      <c r="BG481" s="15"/>
      <c r="BH481" s="15"/>
      <c r="BI481" s="15"/>
      <c r="BJ481" s="11"/>
      <c r="BK481" s="15"/>
      <c r="BL481" s="11"/>
      <c r="BM481" s="11"/>
      <c r="BN481" s="15"/>
      <c r="BO481" s="11"/>
      <c r="BP481" s="11"/>
      <c r="BQ481" s="15"/>
      <c r="BR481" s="15"/>
      <c r="BS481" s="15"/>
      <c r="BT481" s="11"/>
      <c r="BU481" s="15"/>
      <c r="BV481" s="11"/>
      <c r="BW481" s="11"/>
      <c r="BX481" s="15"/>
      <c r="BY481" s="11"/>
      <c r="BZ481" s="11"/>
      <c r="CA481" s="15"/>
      <c r="CB481" s="11"/>
      <c r="CC481" s="15"/>
      <c r="CD481" s="11"/>
      <c r="CE481" s="15"/>
      <c r="CF481" s="11"/>
      <c r="CG481" s="11"/>
      <c r="CH481" s="15"/>
      <c r="CI481" s="11"/>
      <c r="CJ481" s="11"/>
      <c r="CK481" s="15"/>
      <c r="CL481" s="11"/>
      <c r="CM481" s="11"/>
      <c r="CN481" s="11"/>
      <c r="CO481" s="11"/>
      <c r="CP481" s="28"/>
      <c r="CQ481" s="28"/>
      <c r="CR481" s="11"/>
      <c r="CS481" s="29"/>
      <c r="CT481" s="11"/>
      <c r="CU481" s="11"/>
      <c r="CV481" s="11"/>
      <c r="CW481" s="11"/>
      <c r="CX481" s="11"/>
      <c r="CY481" s="11"/>
      <c r="CZ481" s="11"/>
      <c r="DA481" s="28"/>
      <c r="DB481" s="28"/>
      <c r="DC481" s="11"/>
      <c r="DD481" s="29"/>
      <c r="DE481" s="11"/>
      <c r="DF481" s="11"/>
      <c r="DG481" s="11"/>
      <c r="DH481" s="11"/>
      <c r="DI481" s="11"/>
      <c r="DJ481" s="11"/>
      <c r="DK481" s="26"/>
      <c r="DL481" s="11"/>
      <c r="DM481" s="29"/>
      <c r="DN481" s="28"/>
      <c r="DO481" s="11"/>
      <c r="DP481" s="11"/>
      <c r="DQ481" s="11"/>
      <c r="DR481" s="29"/>
      <c r="DS481" s="28"/>
      <c r="DT481" s="11"/>
      <c r="DU481" s="26"/>
      <c r="DV481" s="11"/>
      <c r="DW481" s="29"/>
      <c r="DX481" s="28"/>
      <c r="DY481" s="11"/>
      <c r="DZ481" s="26"/>
      <c r="EA481" s="11"/>
      <c r="EB481" s="29"/>
      <c r="EC481" s="28"/>
      <c r="ED481" s="30"/>
      <c r="EE481" s="30" t="str">
        <f ca="1">IFERROR(__xludf.DUMMYFUNCTION("iferror(index(filter('Internal -- Trademark Countries'!E$2:E1000, (AM481 = 'Internal -- Trademark Countries'!B$2:B1000) + (AM481 = 'Internal -- Trademark Countries'!C$2:C1000) + (AM481 = 'Internal -- Trademark Countries'!D$2:D1000)), 1))"),"")</f>
        <v/>
      </c>
      <c r="EF481" s="30" t="e">
        <f ca="1">_xludf.ifs(AM481="", "", COUNTIF('Internal -- Trademark Countries'!B:B,AM481) &gt; 0, "polity_shortest_name", COUNTIF('Internal -- Trademark Countries'!C:C,AM481) &gt; 0, "polity_full_name", COUNTIF('Internal -- Trademark Countries'!D:D,AM481) &gt; 0, "polity_common_name", COUNTIF('Internal -- Trademark Countries'!E:E,AM481) &gt; 0, "shortest_name", COUNTIF('Internal -- Trademark Countries'!A:A,AM481) &gt; 0, "full_name", TRUE, "not a match")</f>
        <v>#NAME?</v>
      </c>
      <c r="EG481" s="30"/>
      <c r="EH481" s="30"/>
      <c r="EI481" s="30"/>
      <c r="EJ481" s="30"/>
      <c r="EK481" s="30" t="str">
        <f t="shared" si="3"/>
        <v/>
      </c>
    </row>
    <row r="482" spans="1:141" ht="16.5">
      <c r="A482" s="11"/>
      <c r="B482" s="11"/>
      <c r="C482" s="11"/>
      <c r="D482" s="11"/>
      <c r="E482" s="11"/>
      <c r="F482" s="11"/>
      <c r="G482" s="11"/>
      <c r="H482" s="11"/>
      <c r="I482" s="11"/>
      <c r="J482" s="11"/>
      <c r="K482" s="27"/>
      <c r="L482" s="11"/>
      <c r="M482" s="11"/>
      <c r="N482" s="11"/>
      <c r="O482" s="11"/>
      <c r="P482" s="15"/>
      <c r="Q482" s="15"/>
      <c r="R482" s="15"/>
      <c r="S482" s="15"/>
      <c r="T482" s="15"/>
      <c r="U482" s="15"/>
      <c r="V482" s="15"/>
      <c r="W482" s="47"/>
      <c r="X482" s="11"/>
      <c r="Y482" s="48"/>
      <c r="Z482" s="11"/>
      <c r="AA482" s="48"/>
      <c r="AB482" s="11"/>
      <c r="AC482" s="48"/>
      <c r="AD482" s="11"/>
      <c r="AE482" s="47"/>
      <c r="AF482" s="11"/>
      <c r="AG482" s="48"/>
      <c r="AH482" s="11"/>
      <c r="AI482" s="48"/>
      <c r="AJ482" s="11"/>
      <c r="AK482" s="48"/>
      <c r="AL482" s="11"/>
      <c r="AM482" s="49"/>
      <c r="AN482" s="49"/>
      <c r="AO482" s="11"/>
      <c r="AP482" s="11"/>
      <c r="AQ482" s="28" t="b">
        <f>IF(COUNTIF(SmartStatus!A$2:A1000, AM482) &gt; 2, TRUE, FALSE)</f>
        <v>0</v>
      </c>
      <c r="AR482" s="29" t="str">
        <f ca="1">IFERROR(__xludf.DUMMYFUNCTION("iferror(if(regexmatch(AO482, ""(?i)^registered""), if(EE482 &lt;&gt; ""polity_shortest_name"", ""CHECK_POLITY"", index(filter(SmartStatus!B$2:B1000, AM482 = SmartStatus!A$2:A1000, not(SmartStatus!C$2:C1000), (isblank(SmartStatus!D$2:D1000)) + ((P482 &lt;&gt; """") * "&amp;"(P482 &lt; SmartStatus!D$2:D1000)), (isblank(SmartStatus!E$2:E1000)) + ((P482 &lt;&gt; """") * (P482 &gt;= SmartStatus!E$2:E1000)), (isblank(SmartStatus!F$2:F1000)) + (((Q482 &lt;&gt; """") * (Q482 &lt; SmartStatus!F$2:F1000)) + ((P482 &lt;&gt; """") * (date(year(P482) + 3, month(P"&amp;"482), day(P482)) &lt; SmartStatus!F$2:F1000))), (isblank(SmartStatus!G$2:G1000)) + (((Q482 &lt;&gt; """") * (Q482 &gt;= SmartStatus!G$2:G1000)) + ((P482 &lt;&gt; """") * (P482 &gt;= SmartStatus!G$2:G1000)))), if(or(regexmatch(B482, ""(?i)^ir [a-z]+ designation$""), N482 &lt;&gt; """&amp;"""), 1, 2))), """"), ""NO_MATCH"")"),"")</f>
        <v/>
      </c>
      <c r="AS482" s="11"/>
      <c r="AT482" s="15"/>
      <c r="AU482" s="11"/>
      <c r="AV482" s="11"/>
      <c r="AW482" s="15"/>
      <c r="AX482" s="15"/>
      <c r="AY482" s="15"/>
      <c r="AZ482" s="11"/>
      <c r="BA482" s="15"/>
      <c r="BB482" s="11"/>
      <c r="BC482" s="11"/>
      <c r="BD482" s="15"/>
      <c r="BE482" s="11"/>
      <c r="BF482" s="11"/>
      <c r="BG482" s="15"/>
      <c r="BH482" s="15"/>
      <c r="BI482" s="15"/>
      <c r="BJ482" s="11"/>
      <c r="BK482" s="15"/>
      <c r="BL482" s="11"/>
      <c r="BM482" s="11"/>
      <c r="BN482" s="15"/>
      <c r="BO482" s="11"/>
      <c r="BP482" s="11"/>
      <c r="BQ482" s="15"/>
      <c r="BR482" s="15"/>
      <c r="BS482" s="15"/>
      <c r="BT482" s="11"/>
      <c r="BU482" s="15"/>
      <c r="BV482" s="11"/>
      <c r="BW482" s="11"/>
      <c r="BX482" s="15"/>
      <c r="BY482" s="11"/>
      <c r="BZ482" s="11"/>
      <c r="CA482" s="15"/>
      <c r="CB482" s="11"/>
      <c r="CC482" s="15"/>
      <c r="CD482" s="11"/>
      <c r="CE482" s="15"/>
      <c r="CF482" s="11"/>
      <c r="CG482" s="11"/>
      <c r="CH482" s="15"/>
      <c r="CI482" s="11"/>
      <c r="CJ482" s="11"/>
      <c r="CK482" s="15"/>
      <c r="CL482" s="11"/>
      <c r="CM482" s="11"/>
      <c r="CN482" s="11"/>
      <c r="CO482" s="11"/>
      <c r="CP482" s="28"/>
      <c r="CQ482" s="28"/>
      <c r="CR482" s="11"/>
      <c r="CS482" s="29"/>
      <c r="CT482" s="11"/>
      <c r="CU482" s="11"/>
      <c r="CV482" s="11"/>
      <c r="CW482" s="11"/>
      <c r="CX482" s="11"/>
      <c r="CY482" s="11"/>
      <c r="CZ482" s="11"/>
      <c r="DA482" s="28"/>
      <c r="DB482" s="28"/>
      <c r="DC482" s="11"/>
      <c r="DD482" s="29"/>
      <c r="DE482" s="11"/>
      <c r="DF482" s="11"/>
      <c r="DG482" s="11"/>
      <c r="DH482" s="11"/>
      <c r="DI482" s="11"/>
      <c r="DJ482" s="11"/>
      <c r="DK482" s="26"/>
      <c r="DL482" s="11"/>
      <c r="DM482" s="29"/>
      <c r="DN482" s="28"/>
      <c r="DO482" s="11"/>
      <c r="DP482" s="11"/>
      <c r="DQ482" s="11"/>
      <c r="DR482" s="29"/>
      <c r="DS482" s="28"/>
      <c r="DT482" s="11"/>
      <c r="DU482" s="26"/>
      <c r="DV482" s="11"/>
      <c r="DW482" s="29"/>
      <c r="DX482" s="28"/>
      <c r="DY482" s="11"/>
      <c r="DZ482" s="26"/>
      <c r="EA482" s="11"/>
      <c r="EB482" s="29"/>
      <c r="EC482" s="28"/>
      <c r="ED482" s="30"/>
      <c r="EE482" s="30" t="str">
        <f ca="1">IFERROR(__xludf.DUMMYFUNCTION("iferror(index(filter('Internal -- Trademark Countries'!E$2:E1000, (AM482 = 'Internal -- Trademark Countries'!B$2:B1000) + (AM482 = 'Internal -- Trademark Countries'!C$2:C1000) + (AM482 = 'Internal -- Trademark Countries'!D$2:D1000)), 1))"),"")</f>
        <v/>
      </c>
      <c r="EF482" s="30" t="e">
        <f ca="1">_xludf.ifs(AM482="", "", COUNTIF('Internal -- Trademark Countries'!B:B,AM482) &gt; 0, "polity_shortest_name", COUNTIF('Internal -- Trademark Countries'!C:C,AM482) &gt; 0, "polity_full_name", COUNTIF('Internal -- Trademark Countries'!D:D,AM482) &gt; 0, "polity_common_name", COUNTIF('Internal -- Trademark Countries'!E:E,AM482) &gt; 0, "shortest_name", COUNTIF('Internal -- Trademark Countries'!A:A,AM482) &gt; 0, "full_name", TRUE, "not a match")</f>
        <v>#NAME?</v>
      </c>
      <c r="EG482" s="30"/>
      <c r="EH482" s="30"/>
      <c r="EI482" s="30"/>
      <c r="EJ482" s="30"/>
      <c r="EK482" s="30" t="str">
        <f t="shared" si="3"/>
        <v/>
      </c>
    </row>
    <row r="483" spans="1:141" ht="16.5">
      <c r="A483" s="11"/>
      <c r="B483" s="11"/>
      <c r="C483" s="11"/>
      <c r="D483" s="11"/>
      <c r="E483" s="11"/>
      <c r="F483" s="11"/>
      <c r="G483" s="11"/>
      <c r="H483" s="11"/>
      <c r="I483" s="11"/>
      <c r="J483" s="11"/>
      <c r="K483" s="27"/>
      <c r="L483" s="11"/>
      <c r="M483" s="11"/>
      <c r="N483" s="11"/>
      <c r="O483" s="11"/>
      <c r="P483" s="15"/>
      <c r="Q483" s="15"/>
      <c r="R483" s="15"/>
      <c r="S483" s="15"/>
      <c r="T483" s="15"/>
      <c r="U483" s="15"/>
      <c r="V483" s="15"/>
      <c r="W483" s="47"/>
      <c r="X483" s="11"/>
      <c r="Y483" s="48"/>
      <c r="Z483" s="11"/>
      <c r="AA483" s="48"/>
      <c r="AB483" s="11"/>
      <c r="AC483" s="48"/>
      <c r="AD483" s="11"/>
      <c r="AE483" s="47"/>
      <c r="AF483" s="11"/>
      <c r="AG483" s="48"/>
      <c r="AH483" s="11"/>
      <c r="AI483" s="48"/>
      <c r="AJ483" s="11"/>
      <c r="AK483" s="48"/>
      <c r="AL483" s="11"/>
      <c r="AM483" s="49"/>
      <c r="AN483" s="49"/>
      <c r="AO483" s="11"/>
      <c r="AP483" s="11"/>
      <c r="AQ483" s="28" t="b">
        <f>IF(COUNTIF(SmartStatus!A$2:A1000, AM483) &gt; 2, TRUE, FALSE)</f>
        <v>0</v>
      </c>
      <c r="AR483" s="29" t="str">
        <f ca="1">IFERROR(__xludf.DUMMYFUNCTION("iferror(if(regexmatch(AO483, ""(?i)^registered""), if(EE483 &lt;&gt; ""polity_shortest_name"", ""CHECK_POLITY"", index(filter(SmartStatus!B$2:B1000, AM483 = SmartStatus!A$2:A1000, not(SmartStatus!C$2:C1000), (isblank(SmartStatus!D$2:D1000)) + ((P483 &lt;&gt; """") * "&amp;"(P483 &lt; SmartStatus!D$2:D1000)), (isblank(SmartStatus!E$2:E1000)) + ((P483 &lt;&gt; """") * (P483 &gt;= SmartStatus!E$2:E1000)), (isblank(SmartStatus!F$2:F1000)) + (((Q483 &lt;&gt; """") * (Q483 &lt; SmartStatus!F$2:F1000)) + ((P483 &lt;&gt; """") * (date(year(P483) + 3, month(P"&amp;"483), day(P483)) &lt; SmartStatus!F$2:F1000))), (isblank(SmartStatus!G$2:G1000)) + (((Q483 &lt;&gt; """") * (Q483 &gt;= SmartStatus!G$2:G1000)) + ((P483 &lt;&gt; """") * (P483 &gt;= SmartStatus!G$2:G1000)))), if(or(regexmatch(B483, ""(?i)^ir [a-z]+ designation$""), N483 &lt;&gt; """&amp;"""), 1, 2))), """"), ""NO_MATCH"")"),"")</f>
        <v/>
      </c>
      <c r="AS483" s="11"/>
      <c r="AT483" s="15"/>
      <c r="AU483" s="11"/>
      <c r="AV483" s="11"/>
      <c r="AW483" s="15"/>
      <c r="AX483" s="15"/>
      <c r="AY483" s="15"/>
      <c r="AZ483" s="11"/>
      <c r="BA483" s="15"/>
      <c r="BB483" s="11"/>
      <c r="BC483" s="11"/>
      <c r="BD483" s="15"/>
      <c r="BE483" s="11"/>
      <c r="BF483" s="11"/>
      <c r="BG483" s="15"/>
      <c r="BH483" s="15"/>
      <c r="BI483" s="15"/>
      <c r="BJ483" s="11"/>
      <c r="BK483" s="15"/>
      <c r="BL483" s="11"/>
      <c r="BM483" s="11"/>
      <c r="BN483" s="15"/>
      <c r="BO483" s="11"/>
      <c r="BP483" s="11"/>
      <c r="BQ483" s="15"/>
      <c r="BR483" s="15"/>
      <c r="BS483" s="15"/>
      <c r="BT483" s="11"/>
      <c r="BU483" s="15"/>
      <c r="BV483" s="11"/>
      <c r="BW483" s="11"/>
      <c r="BX483" s="15"/>
      <c r="BY483" s="11"/>
      <c r="BZ483" s="11"/>
      <c r="CA483" s="15"/>
      <c r="CB483" s="11"/>
      <c r="CC483" s="15"/>
      <c r="CD483" s="11"/>
      <c r="CE483" s="15"/>
      <c r="CF483" s="11"/>
      <c r="CG483" s="11"/>
      <c r="CH483" s="15"/>
      <c r="CI483" s="11"/>
      <c r="CJ483" s="11"/>
      <c r="CK483" s="15"/>
      <c r="CL483" s="11"/>
      <c r="CM483" s="11"/>
      <c r="CN483" s="11"/>
      <c r="CO483" s="11"/>
      <c r="CP483" s="28"/>
      <c r="CQ483" s="28"/>
      <c r="CR483" s="11"/>
      <c r="CS483" s="29"/>
      <c r="CT483" s="11"/>
      <c r="CU483" s="11"/>
      <c r="CV483" s="11"/>
      <c r="CW483" s="11"/>
      <c r="CX483" s="11"/>
      <c r="CY483" s="11"/>
      <c r="CZ483" s="11"/>
      <c r="DA483" s="28"/>
      <c r="DB483" s="28"/>
      <c r="DC483" s="11"/>
      <c r="DD483" s="29"/>
      <c r="DE483" s="11"/>
      <c r="DF483" s="11"/>
      <c r="DG483" s="11"/>
      <c r="DH483" s="11"/>
      <c r="DI483" s="11"/>
      <c r="DJ483" s="11"/>
      <c r="DK483" s="26"/>
      <c r="DL483" s="11"/>
      <c r="DM483" s="29"/>
      <c r="DN483" s="28"/>
      <c r="DO483" s="11"/>
      <c r="DP483" s="11"/>
      <c r="DQ483" s="11"/>
      <c r="DR483" s="29"/>
      <c r="DS483" s="28"/>
      <c r="DT483" s="11"/>
      <c r="DU483" s="26"/>
      <c r="DV483" s="11"/>
      <c r="DW483" s="29"/>
      <c r="DX483" s="28"/>
      <c r="DY483" s="11"/>
      <c r="DZ483" s="26"/>
      <c r="EA483" s="11"/>
      <c r="EB483" s="29"/>
      <c r="EC483" s="28"/>
      <c r="ED483" s="30"/>
      <c r="EE483" s="30" t="str">
        <f ca="1">IFERROR(__xludf.DUMMYFUNCTION("iferror(index(filter('Internal -- Trademark Countries'!E$2:E1000, (AM483 = 'Internal -- Trademark Countries'!B$2:B1000) + (AM483 = 'Internal -- Trademark Countries'!C$2:C1000) + (AM483 = 'Internal -- Trademark Countries'!D$2:D1000)), 1))"),"")</f>
        <v/>
      </c>
      <c r="EF483" s="30" t="e">
        <f ca="1">_xludf.ifs(AM483="", "", COUNTIF('Internal -- Trademark Countries'!B:B,AM483) &gt; 0, "polity_shortest_name", COUNTIF('Internal -- Trademark Countries'!C:C,AM483) &gt; 0, "polity_full_name", COUNTIF('Internal -- Trademark Countries'!D:D,AM483) &gt; 0, "polity_common_name", COUNTIF('Internal -- Trademark Countries'!E:E,AM483) &gt; 0, "shortest_name", COUNTIF('Internal -- Trademark Countries'!A:A,AM483) &gt; 0, "full_name", TRUE, "not a match")</f>
        <v>#NAME?</v>
      </c>
      <c r="EG483" s="30"/>
      <c r="EH483" s="30"/>
      <c r="EI483" s="30"/>
      <c r="EJ483" s="30"/>
      <c r="EK483" s="30" t="str">
        <f t="shared" si="3"/>
        <v/>
      </c>
    </row>
    <row r="484" spans="1:141" ht="16.5">
      <c r="A484" s="11"/>
      <c r="B484" s="11"/>
      <c r="C484" s="11"/>
      <c r="D484" s="11"/>
      <c r="E484" s="11"/>
      <c r="F484" s="11"/>
      <c r="G484" s="11"/>
      <c r="H484" s="11"/>
      <c r="I484" s="11"/>
      <c r="J484" s="11"/>
      <c r="K484" s="27"/>
      <c r="L484" s="11"/>
      <c r="M484" s="11"/>
      <c r="N484" s="11"/>
      <c r="O484" s="11"/>
      <c r="P484" s="15"/>
      <c r="Q484" s="15"/>
      <c r="R484" s="15"/>
      <c r="S484" s="15"/>
      <c r="T484" s="15"/>
      <c r="U484" s="15"/>
      <c r="V484" s="15"/>
      <c r="W484" s="47"/>
      <c r="X484" s="11"/>
      <c r="Y484" s="48"/>
      <c r="Z484" s="11"/>
      <c r="AA484" s="48"/>
      <c r="AB484" s="11"/>
      <c r="AC484" s="48"/>
      <c r="AD484" s="11"/>
      <c r="AE484" s="47"/>
      <c r="AF484" s="11"/>
      <c r="AG484" s="48"/>
      <c r="AH484" s="11"/>
      <c r="AI484" s="48"/>
      <c r="AJ484" s="11"/>
      <c r="AK484" s="48"/>
      <c r="AL484" s="11"/>
      <c r="AM484" s="49"/>
      <c r="AN484" s="49"/>
      <c r="AO484" s="11"/>
      <c r="AP484" s="11"/>
      <c r="AQ484" s="28" t="b">
        <f>IF(COUNTIF(SmartStatus!A$2:A1000, AM484) &gt; 2, TRUE, FALSE)</f>
        <v>0</v>
      </c>
      <c r="AR484" s="29" t="str">
        <f ca="1">IFERROR(__xludf.DUMMYFUNCTION("iferror(if(regexmatch(AO484, ""(?i)^registered""), if(EE484 &lt;&gt; ""polity_shortest_name"", ""CHECK_POLITY"", index(filter(SmartStatus!B$2:B1000, AM484 = SmartStatus!A$2:A1000, not(SmartStatus!C$2:C1000), (isblank(SmartStatus!D$2:D1000)) + ((P484 &lt;&gt; """") * "&amp;"(P484 &lt; SmartStatus!D$2:D1000)), (isblank(SmartStatus!E$2:E1000)) + ((P484 &lt;&gt; """") * (P484 &gt;= SmartStatus!E$2:E1000)), (isblank(SmartStatus!F$2:F1000)) + (((Q484 &lt;&gt; """") * (Q484 &lt; SmartStatus!F$2:F1000)) + ((P484 &lt;&gt; """") * (date(year(P484) + 3, month(P"&amp;"484), day(P484)) &lt; SmartStatus!F$2:F1000))), (isblank(SmartStatus!G$2:G1000)) + (((Q484 &lt;&gt; """") * (Q484 &gt;= SmartStatus!G$2:G1000)) + ((P484 &lt;&gt; """") * (P484 &gt;= SmartStatus!G$2:G1000)))), if(or(regexmatch(B484, ""(?i)^ir [a-z]+ designation$""), N484 &lt;&gt; """&amp;"""), 1, 2))), """"), ""NO_MATCH"")"),"")</f>
        <v/>
      </c>
      <c r="AS484" s="11"/>
      <c r="AT484" s="15"/>
      <c r="AU484" s="11"/>
      <c r="AV484" s="11"/>
      <c r="AW484" s="15"/>
      <c r="AX484" s="15"/>
      <c r="AY484" s="15"/>
      <c r="AZ484" s="11"/>
      <c r="BA484" s="15"/>
      <c r="BB484" s="11"/>
      <c r="BC484" s="11"/>
      <c r="BD484" s="15"/>
      <c r="BE484" s="11"/>
      <c r="BF484" s="11"/>
      <c r="BG484" s="15"/>
      <c r="BH484" s="15"/>
      <c r="BI484" s="15"/>
      <c r="BJ484" s="11"/>
      <c r="BK484" s="15"/>
      <c r="BL484" s="11"/>
      <c r="BM484" s="11"/>
      <c r="BN484" s="15"/>
      <c r="BO484" s="11"/>
      <c r="BP484" s="11"/>
      <c r="BQ484" s="15"/>
      <c r="BR484" s="15"/>
      <c r="BS484" s="15"/>
      <c r="BT484" s="11"/>
      <c r="BU484" s="15"/>
      <c r="BV484" s="11"/>
      <c r="BW484" s="11"/>
      <c r="BX484" s="15"/>
      <c r="BY484" s="11"/>
      <c r="BZ484" s="11"/>
      <c r="CA484" s="15"/>
      <c r="CB484" s="11"/>
      <c r="CC484" s="15"/>
      <c r="CD484" s="11"/>
      <c r="CE484" s="15"/>
      <c r="CF484" s="11"/>
      <c r="CG484" s="11"/>
      <c r="CH484" s="15"/>
      <c r="CI484" s="11"/>
      <c r="CJ484" s="11"/>
      <c r="CK484" s="15"/>
      <c r="CL484" s="11"/>
      <c r="CM484" s="11"/>
      <c r="CN484" s="11"/>
      <c r="CO484" s="11"/>
      <c r="CP484" s="28"/>
      <c r="CQ484" s="28"/>
      <c r="CR484" s="11"/>
      <c r="CS484" s="29"/>
      <c r="CT484" s="11"/>
      <c r="CU484" s="11"/>
      <c r="CV484" s="11"/>
      <c r="CW484" s="11"/>
      <c r="CX484" s="11"/>
      <c r="CY484" s="11"/>
      <c r="CZ484" s="11"/>
      <c r="DA484" s="28"/>
      <c r="DB484" s="28"/>
      <c r="DC484" s="11"/>
      <c r="DD484" s="29"/>
      <c r="DE484" s="11"/>
      <c r="DF484" s="11"/>
      <c r="DG484" s="11"/>
      <c r="DH484" s="11"/>
      <c r="DI484" s="11"/>
      <c r="DJ484" s="11"/>
      <c r="DK484" s="26"/>
      <c r="DL484" s="11"/>
      <c r="DM484" s="29"/>
      <c r="DN484" s="28"/>
      <c r="DO484" s="11"/>
      <c r="DP484" s="11"/>
      <c r="DQ484" s="11"/>
      <c r="DR484" s="29"/>
      <c r="DS484" s="28"/>
      <c r="DT484" s="11"/>
      <c r="DU484" s="26"/>
      <c r="DV484" s="11"/>
      <c r="DW484" s="29"/>
      <c r="DX484" s="28"/>
      <c r="DY484" s="11"/>
      <c r="DZ484" s="26"/>
      <c r="EA484" s="11"/>
      <c r="EB484" s="29"/>
      <c r="EC484" s="28"/>
      <c r="ED484" s="30"/>
      <c r="EE484" s="30" t="str">
        <f ca="1">IFERROR(__xludf.DUMMYFUNCTION("iferror(index(filter('Internal -- Trademark Countries'!E$2:E1000, (AM484 = 'Internal -- Trademark Countries'!B$2:B1000) + (AM484 = 'Internal -- Trademark Countries'!C$2:C1000) + (AM484 = 'Internal -- Trademark Countries'!D$2:D1000)), 1))"),"")</f>
        <v/>
      </c>
      <c r="EF484" s="30" t="e">
        <f ca="1">_xludf.ifs(AM484="", "", COUNTIF('Internal -- Trademark Countries'!B:B,AM484) &gt; 0, "polity_shortest_name", COUNTIF('Internal -- Trademark Countries'!C:C,AM484) &gt; 0, "polity_full_name", COUNTIF('Internal -- Trademark Countries'!D:D,AM484) &gt; 0, "polity_common_name", COUNTIF('Internal -- Trademark Countries'!E:E,AM484) &gt; 0, "shortest_name", COUNTIF('Internal -- Trademark Countries'!A:A,AM484) &gt; 0, "full_name", TRUE, "not a match")</f>
        <v>#NAME?</v>
      </c>
      <c r="EG484" s="30"/>
      <c r="EH484" s="30"/>
      <c r="EI484" s="30"/>
      <c r="EJ484" s="30"/>
      <c r="EK484" s="30" t="str">
        <f t="shared" si="3"/>
        <v/>
      </c>
    </row>
    <row r="485" spans="1:141" ht="16.5">
      <c r="A485" s="11"/>
      <c r="B485" s="11"/>
      <c r="C485" s="11"/>
      <c r="D485" s="11"/>
      <c r="E485" s="11"/>
      <c r="F485" s="11"/>
      <c r="G485" s="11"/>
      <c r="H485" s="11"/>
      <c r="I485" s="11"/>
      <c r="J485" s="11"/>
      <c r="K485" s="27"/>
      <c r="L485" s="11"/>
      <c r="M485" s="11"/>
      <c r="N485" s="11"/>
      <c r="O485" s="11"/>
      <c r="P485" s="15"/>
      <c r="Q485" s="15"/>
      <c r="R485" s="15"/>
      <c r="S485" s="15"/>
      <c r="T485" s="15"/>
      <c r="U485" s="15"/>
      <c r="V485" s="15"/>
      <c r="W485" s="47"/>
      <c r="X485" s="11"/>
      <c r="Y485" s="48"/>
      <c r="Z485" s="11"/>
      <c r="AA485" s="48"/>
      <c r="AB485" s="11"/>
      <c r="AC485" s="48"/>
      <c r="AD485" s="11"/>
      <c r="AE485" s="47"/>
      <c r="AF485" s="11"/>
      <c r="AG485" s="48"/>
      <c r="AH485" s="11"/>
      <c r="AI485" s="48"/>
      <c r="AJ485" s="11"/>
      <c r="AK485" s="48"/>
      <c r="AL485" s="11"/>
      <c r="AM485" s="49"/>
      <c r="AN485" s="49"/>
      <c r="AO485" s="11"/>
      <c r="AP485" s="11"/>
      <c r="AQ485" s="28" t="b">
        <f>IF(COUNTIF(SmartStatus!A$2:A1000, AM485) &gt; 2, TRUE, FALSE)</f>
        <v>0</v>
      </c>
      <c r="AR485" s="29" t="str">
        <f ca="1">IFERROR(__xludf.DUMMYFUNCTION("iferror(if(regexmatch(AO485, ""(?i)^registered""), if(EE485 &lt;&gt; ""polity_shortest_name"", ""CHECK_POLITY"", index(filter(SmartStatus!B$2:B1000, AM485 = SmartStatus!A$2:A1000, not(SmartStatus!C$2:C1000), (isblank(SmartStatus!D$2:D1000)) + ((P485 &lt;&gt; """") * "&amp;"(P485 &lt; SmartStatus!D$2:D1000)), (isblank(SmartStatus!E$2:E1000)) + ((P485 &lt;&gt; """") * (P485 &gt;= SmartStatus!E$2:E1000)), (isblank(SmartStatus!F$2:F1000)) + (((Q485 &lt;&gt; """") * (Q485 &lt; SmartStatus!F$2:F1000)) + ((P485 &lt;&gt; """") * (date(year(P485) + 3, month(P"&amp;"485), day(P485)) &lt; SmartStatus!F$2:F1000))), (isblank(SmartStatus!G$2:G1000)) + (((Q485 &lt;&gt; """") * (Q485 &gt;= SmartStatus!G$2:G1000)) + ((P485 &lt;&gt; """") * (P485 &gt;= SmartStatus!G$2:G1000)))), if(or(regexmatch(B485, ""(?i)^ir [a-z]+ designation$""), N485 &lt;&gt; """&amp;"""), 1, 2))), """"), ""NO_MATCH"")"),"")</f>
        <v/>
      </c>
      <c r="AS485" s="11"/>
      <c r="AT485" s="15"/>
      <c r="AU485" s="11"/>
      <c r="AV485" s="11"/>
      <c r="AW485" s="15"/>
      <c r="AX485" s="15"/>
      <c r="AY485" s="15"/>
      <c r="AZ485" s="11"/>
      <c r="BA485" s="15"/>
      <c r="BB485" s="11"/>
      <c r="BC485" s="11"/>
      <c r="BD485" s="15"/>
      <c r="BE485" s="11"/>
      <c r="BF485" s="11"/>
      <c r="BG485" s="15"/>
      <c r="BH485" s="15"/>
      <c r="BI485" s="15"/>
      <c r="BJ485" s="11"/>
      <c r="BK485" s="15"/>
      <c r="BL485" s="11"/>
      <c r="BM485" s="11"/>
      <c r="BN485" s="15"/>
      <c r="BO485" s="11"/>
      <c r="BP485" s="11"/>
      <c r="BQ485" s="15"/>
      <c r="BR485" s="15"/>
      <c r="BS485" s="15"/>
      <c r="BT485" s="11"/>
      <c r="BU485" s="15"/>
      <c r="BV485" s="11"/>
      <c r="BW485" s="11"/>
      <c r="BX485" s="15"/>
      <c r="BY485" s="11"/>
      <c r="BZ485" s="11"/>
      <c r="CA485" s="15"/>
      <c r="CB485" s="11"/>
      <c r="CC485" s="15"/>
      <c r="CD485" s="11"/>
      <c r="CE485" s="15"/>
      <c r="CF485" s="11"/>
      <c r="CG485" s="11"/>
      <c r="CH485" s="15"/>
      <c r="CI485" s="11"/>
      <c r="CJ485" s="11"/>
      <c r="CK485" s="15"/>
      <c r="CL485" s="11"/>
      <c r="CM485" s="11"/>
      <c r="CN485" s="11"/>
      <c r="CO485" s="11"/>
      <c r="CP485" s="28"/>
      <c r="CQ485" s="28"/>
      <c r="CR485" s="11"/>
      <c r="CS485" s="29"/>
      <c r="CT485" s="11"/>
      <c r="CU485" s="11"/>
      <c r="CV485" s="11"/>
      <c r="CW485" s="11"/>
      <c r="CX485" s="11"/>
      <c r="CY485" s="11"/>
      <c r="CZ485" s="11"/>
      <c r="DA485" s="28"/>
      <c r="DB485" s="28"/>
      <c r="DC485" s="11"/>
      <c r="DD485" s="29"/>
      <c r="DE485" s="11"/>
      <c r="DF485" s="11"/>
      <c r="DG485" s="11"/>
      <c r="DH485" s="11"/>
      <c r="DI485" s="11"/>
      <c r="DJ485" s="11"/>
      <c r="DK485" s="26"/>
      <c r="DL485" s="11"/>
      <c r="DM485" s="29"/>
      <c r="DN485" s="28"/>
      <c r="DO485" s="11"/>
      <c r="DP485" s="11"/>
      <c r="DQ485" s="11"/>
      <c r="DR485" s="29"/>
      <c r="DS485" s="28"/>
      <c r="DT485" s="11"/>
      <c r="DU485" s="26"/>
      <c r="DV485" s="11"/>
      <c r="DW485" s="29"/>
      <c r="DX485" s="28"/>
      <c r="DY485" s="11"/>
      <c r="DZ485" s="26"/>
      <c r="EA485" s="11"/>
      <c r="EB485" s="29"/>
      <c r="EC485" s="28"/>
      <c r="ED485" s="30"/>
      <c r="EE485" s="30" t="str">
        <f ca="1">IFERROR(__xludf.DUMMYFUNCTION("iferror(index(filter('Internal -- Trademark Countries'!E$2:E1000, (AM485 = 'Internal -- Trademark Countries'!B$2:B1000) + (AM485 = 'Internal -- Trademark Countries'!C$2:C1000) + (AM485 = 'Internal -- Trademark Countries'!D$2:D1000)), 1))"),"")</f>
        <v/>
      </c>
      <c r="EF485" s="30" t="e">
        <f ca="1">_xludf.ifs(AM485="", "", COUNTIF('Internal -- Trademark Countries'!B:B,AM485) &gt; 0, "polity_shortest_name", COUNTIF('Internal -- Trademark Countries'!C:C,AM485) &gt; 0, "polity_full_name", COUNTIF('Internal -- Trademark Countries'!D:D,AM485) &gt; 0, "polity_common_name", COUNTIF('Internal -- Trademark Countries'!E:E,AM485) &gt; 0, "shortest_name", COUNTIF('Internal -- Trademark Countries'!A:A,AM485) &gt; 0, "full_name", TRUE, "not a match")</f>
        <v>#NAME?</v>
      </c>
      <c r="EG485" s="30"/>
      <c r="EH485" s="30"/>
      <c r="EI485" s="30"/>
      <c r="EJ485" s="30"/>
      <c r="EK485" s="30" t="str">
        <f t="shared" si="3"/>
        <v/>
      </c>
    </row>
    <row r="486" spans="1:141" ht="16.5">
      <c r="A486" s="11"/>
      <c r="B486" s="11"/>
      <c r="C486" s="11"/>
      <c r="D486" s="11"/>
      <c r="E486" s="11"/>
      <c r="F486" s="11"/>
      <c r="G486" s="11"/>
      <c r="H486" s="11"/>
      <c r="I486" s="11"/>
      <c r="J486" s="11"/>
      <c r="K486" s="27"/>
      <c r="L486" s="11"/>
      <c r="M486" s="11"/>
      <c r="N486" s="11"/>
      <c r="O486" s="11"/>
      <c r="P486" s="15"/>
      <c r="Q486" s="15"/>
      <c r="R486" s="15"/>
      <c r="S486" s="15"/>
      <c r="T486" s="15"/>
      <c r="U486" s="15"/>
      <c r="V486" s="15"/>
      <c r="W486" s="47"/>
      <c r="X486" s="11"/>
      <c r="Y486" s="48"/>
      <c r="Z486" s="11"/>
      <c r="AA486" s="48"/>
      <c r="AB486" s="11"/>
      <c r="AC486" s="48"/>
      <c r="AD486" s="11"/>
      <c r="AE486" s="47"/>
      <c r="AF486" s="11"/>
      <c r="AG486" s="48"/>
      <c r="AH486" s="11"/>
      <c r="AI486" s="48"/>
      <c r="AJ486" s="11"/>
      <c r="AK486" s="48"/>
      <c r="AL486" s="11"/>
      <c r="AM486" s="49"/>
      <c r="AN486" s="49"/>
      <c r="AO486" s="11"/>
      <c r="AP486" s="11"/>
      <c r="AQ486" s="28" t="b">
        <f>IF(COUNTIF(SmartStatus!A$2:A1000, AM486) &gt; 2, TRUE, FALSE)</f>
        <v>0</v>
      </c>
      <c r="AR486" s="29" t="str">
        <f ca="1">IFERROR(__xludf.DUMMYFUNCTION("iferror(if(regexmatch(AO486, ""(?i)^registered""), if(EE486 &lt;&gt; ""polity_shortest_name"", ""CHECK_POLITY"", index(filter(SmartStatus!B$2:B1000, AM486 = SmartStatus!A$2:A1000, not(SmartStatus!C$2:C1000), (isblank(SmartStatus!D$2:D1000)) + ((P486 &lt;&gt; """") * "&amp;"(P486 &lt; SmartStatus!D$2:D1000)), (isblank(SmartStatus!E$2:E1000)) + ((P486 &lt;&gt; """") * (P486 &gt;= SmartStatus!E$2:E1000)), (isblank(SmartStatus!F$2:F1000)) + (((Q486 &lt;&gt; """") * (Q486 &lt; SmartStatus!F$2:F1000)) + ((P486 &lt;&gt; """") * (date(year(P486) + 3, month(P"&amp;"486), day(P486)) &lt; SmartStatus!F$2:F1000))), (isblank(SmartStatus!G$2:G1000)) + (((Q486 &lt;&gt; """") * (Q486 &gt;= SmartStatus!G$2:G1000)) + ((P486 &lt;&gt; """") * (P486 &gt;= SmartStatus!G$2:G1000)))), if(or(regexmatch(B486, ""(?i)^ir [a-z]+ designation$""), N486 &lt;&gt; """&amp;"""), 1, 2))), """"), ""NO_MATCH"")"),"")</f>
        <v/>
      </c>
      <c r="AS486" s="11"/>
      <c r="AT486" s="15"/>
      <c r="AU486" s="11"/>
      <c r="AV486" s="11"/>
      <c r="AW486" s="15"/>
      <c r="AX486" s="15"/>
      <c r="AY486" s="15"/>
      <c r="AZ486" s="11"/>
      <c r="BA486" s="15"/>
      <c r="BB486" s="11"/>
      <c r="BC486" s="11"/>
      <c r="BD486" s="15"/>
      <c r="BE486" s="11"/>
      <c r="BF486" s="11"/>
      <c r="BG486" s="15"/>
      <c r="BH486" s="15"/>
      <c r="BI486" s="15"/>
      <c r="BJ486" s="11"/>
      <c r="BK486" s="15"/>
      <c r="BL486" s="11"/>
      <c r="BM486" s="11"/>
      <c r="BN486" s="15"/>
      <c r="BO486" s="11"/>
      <c r="BP486" s="11"/>
      <c r="BQ486" s="15"/>
      <c r="BR486" s="15"/>
      <c r="BS486" s="15"/>
      <c r="BT486" s="11"/>
      <c r="BU486" s="15"/>
      <c r="BV486" s="11"/>
      <c r="BW486" s="11"/>
      <c r="BX486" s="15"/>
      <c r="BY486" s="11"/>
      <c r="BZ486" s="11"/>
      <c r="CA486" s="15"/>
      <c r="CB486" s="11"/>
      <c r="CC486" s="15"/>
      <c r="CD486" s="11"/>
      <c r="CE486" s="15"/>
      <c r="CF486" s="11"/>
      <c r="CG486" s="11"/>
      <c r="CH486" s="15"/>
      <c r="CI486" s="11"/>
      <c r="CJ486" s="11"/>
      <c r="CK486" s="15"/>
      <c r="CL486" s="11"/>
      <c r="CM486" s="11"/>
      <c r="CN486" s="11"/>
      <c r="CO486" s="11"/>
      <c r="CP486" s="28"/>
      <c r="CQ486" s="28"/>
      <c r="CR486" s="11"/>
      <c r="CS486" s="29"/>
      <c r="CT486" s="11"/>
      <c r="CU486" s="11"/>
      <c r="CV486" s="11"/>
      <c r="CW486" s="11"/>
      <c r="CX486" s="11"/>
      <c r="CY486" s="11"/>
      <c r="CZ486" s="11"/>
      <c r="DA486" s="28"/>
      <c r="DB486" s="28"/>
      <c r="DC486" s="11"/>
      <c r="DD486" s="29"/>
      <c r="DE486" s="11"/>
      <c r="DF486" s="11"/>
      <c r="DG486" s="11"/>
      <c r="DH486" s="11"/>
      <c r="DI486" s="11"/>
      <c r="DJ486" s="11"/>
      <c r="DK486" s="26"/>
      <c r="DL486" s="11"/>
      <c r="DM486" s="29"/>
      <c r="DN486" s="28"/>
      <c r="DO486" s="11"/>
      <c r="DP486" s="11"/>
      <c r="DQ486" s="11"/>
      <c r="DR486" s="29"/>
      <c r="DS486" s="28"/>
      <c r="DT486" s="11"/>
      <c r="DU486" s="26"/>
      <c r="DV486" s="11"/>
      <c r="DW486" s="29"/>
      <c r="DX486" s="28"/>
      <c r="DY486" s="11"/>
      <c r="DZ486" s="26"/>
      <c r="EA486" s="11"/>
      <c r="EB486" s="29"/>
      <c r="EC486" s="28"/>
      <c r="ED486" s="30"/>
      <c r="EE486" s="30" t="str">
        <f ca="1">IFERROR(__xludf.DUMMYFUNCTION("iferror(index(filter('Internal -- Trademark Countries'!E$2:E1000, (AM486 = 'Internal -- Trademark Countries'!B$2:B1000) + (AM486 = 'Internal -- Trademark Countries'!C$2:C1000) + (AM486 = 'Internal -- Trademark Countries'!D$2:D1000)), 1))"),"")</f>
        <v/>
      </c>
      <c r="EF486" s="30" t="e">
        <f ca="1">_xludf.ifs(AM486="", "", COUNTIF('Internal -- Trademark Countries'!B:B,AM486) &gt; 0, "polity_shortest_name", COUNTIF('Internal -- Trademark Countries'!C:C,AM486) &gt; 0, "polity_full_name", COUNTIF('Internal -- Trademark Countries'!D:D,AM486) &gt; 0, "polity_common_name", COUNTIF('Internal -- Trademark Countries'!E:E,AM486) &gt; 0, "shortest_name", COUNTIF('Internal -- Trademark Countries'!A:A,AM486) &gt; 0, "full_name", TRUE, "not a match")</f>
        <v>#NAME?</v>
      </c>
      <c r="EG486" s="30"/>
      <c r="EH486" s="30"/>
      <c r="EI486" s="30"/>
      <c r="EJ486" s="30"/>
      <c r="EK486" s="30" t="str">
        <f t="shared" si="3"/>
        <v/>
      </c>
    </row>
    <row r="487" spans="1:141" ht="16.5">
      <c r="A487" s="11"/>
      <c r="B487" s="11"/>
      <c r="C487" s="11"/>
      <c r="D487" s="11"/>
      <c r="E487" s="11"/>
      <c r="F487" s="11"/>
      <c r="G487" s="11"/>
      <c r="H487" s="11"/>
      <c r="I487" s="11"/>
      <c r="J487" s="11"/>
      <c r="K487" s="27"/>
      <c r="L487" s="11"/>
      <c r="M487" s="11"/>
      <c r="N487" s="11"/>
      <c r="O487" s="11"/>
      <c r="P487" s="15"/>
      <c r="Q487" s="15"/>
      <c r="R487" s="15"/>
      <c r="S487" s="15"/>
      <c r="T487" s="15"/>
      <c r="U487" s="15"/>
      <c r="V487" s="15"/>
      <c r="W487" s="47"/>
      <c r="X487" s="11"/>
      <c r="Y487" s="48"/>
      <c r="Z487" s="11"/>
      <c r="AA487" s="48"/>
      <c r="AB487" s="11"/>
      <c r="AC487" s="48"/>
      <c r="AD487" s="11"/>
      <c r="AE487" s="47"/>
      <c r="AF487" s="11"/>
      <c r="AG487" s="48"/>
      <c r="AH487" s="11"/>
      <c r="AI487" s="48"/>
      <c r="AJ487" s="11"/>
      <c r="AK487" s="48"/>
      <c r="AL487" s="11"/>
      <c r="AM487" s="49"/>
      <c r="AN487" s="49"/>
      <c r="AO487" s="11"/>
      <c r="AP487" s="11"/>
      <c r="AQ487" s="28" t="b">
        <f>IF(COUNTIF(SmartStatus!A$2:A1000, AM487) &gt; 2, TRUE, FALSE)</f>
        <v>0</v>
      </c>
      <c r="AR487" s="29" t="str">
        <f ca="1">IFERROR(__xludf.DUMMYFUNCTION("iferror(if(regexmatch(AO487, ""(?i)^registered""), if(EE487 &lt;&gt; ""polity_shortest_name"", ""CHECK_POLITY"", index(filter(SmartStatus!B$2:B1000, AM487 = SmartStatus!A$2:A1000, not(SmartStatus!C$2:C1000), (isblank(SmartStatus!D$2:D1000)) + ((P487 &lt;&gt; """") * "&amp;"(P487 &lt; SmartStatus!D$2:D1000)), (isblank(SmartStatus!E$2:E1000)) + ((P487 &lt;&gt; """") * (P487 &gt;= SmartStatus!E$2:E1000)), (isblank(SmartStatus!F$2:F1000)) + (((Q487 &lt;&gt; """") * (Q487 &lt; SmartStatus!F$2:F1000)) + ((P487 &lt;&gt; """") * (date(year(P487) + 3, month(P"&amp;"487), day(P487)) &lt; SmartStatus!F$2:F1000))), (isblank(SmartStatus!G$2:G1000)) + (((Q487 &lt;&gt; """") * (Q487 &gt;= SmartStatus!G$2:G1000)) + ((P487 &lt;&gt; """") * (P487 &gt;= SmartStatus!G$2:G1000)))), if(or(regexmatch(B487, ""(?i)^ir [a-z]+ designation$""), N487 &lt;&gt; """&amp;"""), 1, 2))), """"), ""NO_MATCH"")"),"")</f>
        <v/>
      </c>
      <c r="AS487" s="11"/>
      <c r="AT487" s="15"/>
      <c r="AU487" s="11"/>
      <c r="AV487" s="11"/>
      <c r="AW487" s="15"/>
      <c r="AX487" s="15"/>
      <c r="AY487" s="15"/>
      <c r="AZ487" s="11"/>
      <c r="BA487" s="15"/>
      <c r="BB487" s="11"/>
      <c r="BC487" s="11"/>
      <c r="BD487" s="15"/>
      <c r="BE487" s="11"/>
      <c r="BF487" s="11"/>
      <c r="BG487" s="15"/>
      <c r="BH487" s="15"/>
      <c r="BI487" s="15"/>
      <c r="BJ487" s="11"/>
      <c r="BK487" s="15"/>
      <c r="BL487" s="11"/>
      <c r="BM487" s="11"/>
      <c r="BN487" s="15"/>
      <c r="BO487" s="11"/>
      <c r="BP487" s="11"/>
      <c r="BQ487" s="15"/>
      <c r="BR487" s="15"/>
      <c r="BS487" s="15"/>
      <c r="BT487" s="11"/>
      <c r="BU487" s="15"/>
      <c r="BV487" s="11"/>
      <c r="BW487" s="11"/>
      <c r="BX487" s="15"/>
      <c r="BY487" s="11"/>
      <c r="BZ487" s="11"/>
      <c r="CA487" s="15"/>
      <c r="CB487" s="11"/>
      <c r="CC487" s="15"/>
      <c r="CD487" s="11"/>
      <c r="CE487" s="15"/>
      <c r="CF487" s="11"/>
      <c r="CG487" s="11"/>
      <c r="CH487" s="15"/>
      <c r="CI487" s="11"/>
      <c r="CJ487" s="11"/>
      <c r="CK487" s="15"/>
      <c r="CL487" s="11"/>
      <c r="CM487" s="11"/>
      <c r="CN487" s="11"/>
      <c r="CO487" s="11"/>
      <c r="CP487" s="28"/>
      <c r="CQ487" s="28"/>
      <c r="CR487" s="11"/>
      <c r="CS487" s="29"/>
      <c r="CT487" s="11"/>
      <c r="CU487" s="11"/>
      <c r="CV487" s="11"/>
      <c r="CW487" s="11"/>
      <c r="CX487" s="11"/>
      <c r="CY487" s="11"/>
      <c r="CZ487" s="11"/>
      <c r="DA487" s="28"/>
      <c r="DB487" s="28"/>
      <c r="DC487" s="11"/>
      <c r="DD487" s="29"/>
      <c r="DE487" s="11"/>
      <c r="DF487" s="11"/>
      <c r="DG487" s="11"/>
      <c r="DH487" s="11"/>
      <c r="DI487" s="11"/>
      <c r="DJ487" s="11"/>
      <c r="DK487" s="26"/>
      <c r="DL487" s="11"/>
      <c r="DM487" s="29"/>
      <c r="DN487" s="28"/>
      <c r="DO487" s="11"/>
      <c r="DP487" s="11"/>
      <c r="DQ487" s="11"/>
      <c r="DR487" s="29"/>
      <c r="DS487" s="28"/>
      <c r="DT487" s="11"/>
      <c r="DU487" s="26"/>
      <c r="DV487" s="11"/>
      <c r="DW487" s="29"/>
      <c r="DX487" s="28"/>
      <c r="DY487" s="11"/>
      <c r="DZ487" s="26"/>
      <c r="EA487" s="11"/>
      <c r="EB487" s="29"/>
      <c r="EC487" s="28"/>
      <c r="ED487" s="30"/>
      <c r="EE487" s="30" t="str">
        <f ca="1">IFERROR(__xludf.DUMMYFUNCTION("iferror(index(filter('Internal -- Trademark Countries'!E$2:E1000, (AM487 = 'Internal -- Trademark Countries'!B$2:B1000) + (AM487 = 'Internal -- Trademark Countries'!C$2:C1000) + (AM487 = 'Internal -- Trademark Countries'!D$2:D1000)), 1))"),"")</f>
        <v/>
      </c>
      <c r="EF487" s="30" t="e">
        <f ca="1">_xludf.ifs(AM487="", "", COUNTIF('Internal -- Trademark Countries'!B:B,AM487) &gt; 0, "polity_shortest_name", COUNTIF('Internal -- Trademark Countries'!C:C,AM487) &gt; 0, "polity_full_name", COUNTIF('Internal -- Trademark Countries'!D:D,AM487) &gt; 0, "polity_common_name", COUNTIF('Internal -- Trademark Countries'!E:E,AM487) &gt; 0, "shortest_name", COUNTIF('Internal -- Trademark Countries'!A:A,AM487) &gt; 0, "full_name", TRUE, "not a match")</f>
        <v>#NAME?</v>
      </c>
      <c r="EG487" s="30"/>
      <c r="EH487" s="30"/>
      <c r="EI487" s="30"/>
      <c r="EJ487" s="30"/>
      <c r="EK487" s="30" t="str">
        <f t="shared" si="3"/>
        <v/>
      </c>
    </row>
    <row r="488" spans="1:141" ht="16.5">
      <c r="A488" s="11"/>
      <c r="B488" s="11"/>
      <c r="C488" s="11"/>
      <c r="D488" s="11"/>
      <c r="E488" s="11"/>
      <c r="F488" s="11"/>
      <c r="G488" s="11"/>
      <c r="H488" s="11"/>
      <c r="I488" s="11"/>
      <c r="J488" s="11"/>
      <c r="K488" s="27"/>
      <c r="L488" s="11"/>
      <c r="M488" s="11"/>
      <c r="N488" s="11"/>
      <c r="O488" s="11"/>
      <c r="P488" s="15"/>
      <c r="Q488" s="15"/>
      <c r="R488" s="15"/>
      <c r="S488" s="15"/>
      <c r="T488" s="15"/>
      <c r="U488" s="15"/>
      <c r="V488" s="15"/>
      <c r="W488" s="47"/>
      <c r="X488" s="11"/>
      <c r="Y488" s="48"/>
      <c r="Z488" s="11"/>
      <c r="AA488" s="48"/>
      <c r="AB488" s="11"/>
      <c r="AC488" s="48"/>
      <c r="AD488" s="11"/>
      <c r="AE488" s="47"/>
      <c r="AF488" s="11"/>
      <c r="AG488" s="48"/>
      <c r="AH488" s="11"/>
      <c r="AI488" s="48"/>
      <c r="AJ488" s="11"/>
      <c r="AK488" s="48"/>
      <c r="AL488" s="11"/>
      <c r="AM488" s="49"/>
      <c r="AN488" s="49"/>
      <c r="AO488" s="11"/>
      <c r="AP488" s="11"/>
      <c r="AQ488" s="28" t="b">
        <f>IF(COUNTIF(SmartStatus!A$2:A1000, AM488) &gt; 2, TRUE, FALSE)</f>
        <v>0</v>
      </c>
      <c r="AR488" s="29" t="str">
        <f ca="1">IFERROR(__xludf.DUMMYFUNCTION("iferror(if(regexmatch(AO488, ""(?i)^registered""), if(EE488 &lt;&gt; ""polity_shortest_name"", ""CHECK_POLITY"", index(filter(SmartStatus!B$2:B1000, AM488 = SmartStatus!A$2:A1000, not(SmartStatus!C$2:C1000), (isblank(SmartStatus!D$2:D1000)) + ((P488 &lt;&gt; """") * "&amp;"(P488 &lt; SmartStatus!D$2:D1000)), (isblank(SmartStatus!E$2:E1000)) + ((P488 &lt;&gt; """") * (P488 &gt;= SmartStatus!E$2:E1000)), (isblank(SmartStatus!F$2:F1000)) + (((Q488 &lt;&gt; """") * (Q488 &lt; SmartStatus!F$2:F1000)) + ((P488 &lt;&gt; """") * (date(year(P488) + 3, month(P"&amp;"488), day(P488)) &lt; SmartStatus!F$2:F1000))), (isblank(SmartStatus!G$2:G1000)) + (((Q488 &lt;&gt; """") * (Q488 &gt;= SmartStatus!G$2:G1000)) + ((P488 &lt;&gt; """") * (P488 &gt;= SmartStatus!G$2:G1000)))), if(or(regexmatch(B488, ""(?i)^ir [a-z]+ designation$""), N488 &lt;&gt; """&amp;"""), 1, 2))), """"), ""NO_MATCH"")"),"")</f>
        <v/>
      </c>
      <c r="AS488" s="11"/>
      <c r="AT488" s="15"/>
      <c r="AU488" s="11"/>
      <c r="AV488" s="11"/>
      <c r="AW488" s="15"/>
      <c r="AX488" s="15"/>
      <c r="AY488" s="15"/>
      <c r="AZ488" s="11"/>
      <c r="BA488" s="15"/>
      <c r="BB488" s="11"/>
      <c r="BC488" s="11"/>
      <c r="BD488" s="15"/>
      <c r="BE488" s="11"/>
      <c r="BF488" s="11"/>
      <c r="BG488" s="15"/>
      <c r="BH488" s="15"/>
      <c r="BI488" s="15"/>
      <c r="BJ488" s="11"/>
      <c r="BK488" s="15"/>
      <c r="BL488" s="11"/>
      <c r="BM488" s="11"/>
      <c r="BN488" s="15"/>
      <c r="BO488" s="11"/>
      <c r="BP488" s="11"/>
      <c r="BQ488" s="15"/>
      <c r="BR488" s="15"/>
      <c r="BS488" s="15"/>
      <c r="BT488" s="11"/>
      <c r="BU488" s="15"/>
      <c r="BV488" s="11"/>
      <c r="BW488" s="11"/>
      <c r="BX488" s="15"/>
      <c r="BY488" s="11"/>
      <c r="BZ488" s="11"/>
      <c r="CA488" s="15"/>
      <c r="CB488" s="11"/>
      <c r="CC488" s="15"/>
      <c r="CD488" s="11"/>
      <c r="CE488" s="15"/>
      <c r="CF488" s="11"/>
      <c r="CG488" s="11"/>
      <c r="CH488" s="15"/>
      <c r="CI488" s="11"/>
      <c r="CJ488" s="11"/>
      <c r="CK488" s="15"/>
      <c r="CL488" s="11"/>
      <c r="CM488" s="11"/>
      <c r="CN488" s="11"/>
      <c r="CO488" s="11"/>
      <c r="CP488" s="28"/>
      <c r="CQ488" s="28"/>
      <c r="CR488" s="11"/>
      <c r="CS488" s="29"/>
      <c r="CT488" s="11"/>
      <c r="CU488" s="11"/>
      <c r="CV488" s="11"/>
      <c r="CW488" s="11"/>
      <c r="CX488" s="11"/>
      <c r="CY488" s="11"/>
      <c r="CZ488" s="11"/>
      <c r="DA488" s="28"/>
      <c r="DB488" s="28"/>
      <c r="DC488" s="11"/>
      <c r="DD488" s="29"/>
      <c r="DE488" s="11"/>
      <c r="DF488" s="11"/>
      <c r="DG488" s="11"/>
      <c r="DH488" s="11"/>
      <c r="DI488" s="11"/>
      <c r="DJ488" s="11"/>
      <c r="DK488" s="26"/>
      <c r="DL488" s="11"/>
      <c r="DM488" s="29"/>
      <c r="DN488" s="28"/>
      <c r="DO488" s="11"/>
      <c r="DP488" s="11"/>
      <c r="DQ488" s="11"/>
      <c r="DR488" s="29"/>
      <c r="DS488" s="28"/>
      <c r="DT488" s="11"/>
      <c r="DU488" s="26"/>
      <c r="DV488" s="11"/>
      <c r="DW488" s="29"/>
      <c r="DX488" s="28"/>
      <c r="DY488" s="11"/>
      <c r="DZ488" s="26"/>
      <c r="EA488" s="11"/>
      <c r="EB488" s="29"/>
      <c r="EC488" s="28"/>
      <c r="ED488" s="30"/>
      <c r="EE488" s="30" t="str">
        <f ca="1">IFERROR(__xludf.DUMMYFUNCTION("iferror(index(filter('Internal -- Trademark Countries'!E$2:E1000, (AM488 = 'Internal -- Trademark Countries'!B$2:B1000) + (AM488 = 'Internal -- Trademark Countries'!C$2:C1000) + (AM488 = 'Internal -- Trademark Countries'!D$2:D1000)), 1))"),"")</f>
        <v/>
      </c>
      <c r="EF488" s="30" t="e">
        <f ca="1">_xludf.ifs(AM488="", "", COUNTIF('Internal -- Trademark Countries'!B:B,AM488) &gt; 0, "polity_shortest_name", COUNTIF('Internal -- Trademark Countries'!C:C,AM488) &gt; 0, "polity_full_name", COUNTIF('Internal -- Trademark Countries'!D:D,AM488) &gt; 0, "polity_common_name", COUNTIF('Internal -- Trademark Countries'!E:E,AM488) &gt; 0, "shortest_name", COUNTIF('Internal -- Trademark Countries'!A:A,AM488) &gt; 0, "full_name", TRUE, "not a match")</f>
        <v>#NAME?</v>
      </c>
      <c r="EG488" s="30"/>
      <c r="EH488" s="30"/>
      <c r="EI488" s="30"/>
      <c r="EJ488" s="30"/>
      <c r="EK488" s="30" t="str">
        <f t="shared" si="3"/>
        <v/>
      </c>
    </row>
    <row r="489" spans="1:141" ht="16.5">
      <c r="A489" s="11"/>
      <c r="B489" s="11"/>
      <c r="C489" s="11"/>
      <c r="D489" s="11"/>
      <c r="E489" s="11"/>
      <c r="F489" s="11"/>
      <c r="G489" s="11"/>
      <c r="H489" s="11"/>
      <c r="I489" s="11"/>
      <c r="J489" s="11"/>
      <c r="K489" s="27"/>
      <c r="L489" s="11"/>
      <c r="M489" s="11"/>
      <c r="N489" s="11"/>
      <c r="O489" s="11"/>
      <c r="P489" s="15"/>
      <c r="Q489" s="15"/>
      <c r="R489" s="15"/>
      <c r="S489" s="15"/>
      <c r="T489" s="15"/>
      <c r="U489" s="15"/>
      <c r="V489" s="15"/>
      <c r="W489" s="47"/>
      <c r="X489" s="11"/>
      <c r="Y489" s="48"/>
      <c r="Z489" s="11"/>
      <c r="AA489" s="48"/>
      <c r="AB489" s="11"/>
      <c r="AC489" s="48"/>
      <c r="AD489" s="11"/>
      <c r="AE489" s="47"/>
      <c r="AF489" s="11"/>
      <c r="AG489" s="48"/>
      <c r="AH489" s="11"/>
      <c r="AI489" s="48"/>
      <c r="AJ489" s="11"/>
      <c r="AK489" s="48"/>
      <c r="AL489" s="11"/>
      <c r="AM489" s="49"/>
      <c r="AN489" s="49"/>
      <c r="AO489" s="11"/>
      <c r="AP489" s="11"/>
      <c r="AQ489" s="28" t="b">
        <f>IF(COUNTIF(SmartStatus!A$2:A1000, AM489) &gt; 2, TRUE, FALSE)</f>
        <v>0</v>
      </c>
      <c r="AR489" s="29" t="str">
        <f ca="1">IFERROR(__xludf.DUMMYFUNCTION("iferror(if(regexmatch(AO489, ""(?i)^registered""), if(EE489 &lt;&gt; ""polity_shortest_name"", ""CHECK_POLITY"", index(filter(SmartStatus!B$2:B1000, AM489 = SmartStatus!A$2:A1000, not(SmartStatus!C$2:C1000), (isblank(SmartStatus!D$2:D1000)) + ((P489 &lt;&gt; """") * "&amp;"(P489 &lt; SmartStatus!D$2:D1000)), (isblank(SmartStatus!E$2:E1000)) + ((P489 &lt;&gt; """") * (P489 &gt;= SmartStatus!E$2:E1000)), (isblank(SmartStatus!F$2:F1000)) + (((Q489 &lt;&gt; """") * (Q489 &lt; SmartStatus!F$2:F1000)) + ((P489 &lt;&gt; """") * (date(year(P489) + 3, month(P"&amp;"489), day(P489)) &lt; SmartStatus!F$2:F1000))), (isblank(SmartStatus!G$2:G1000)) + (((Q489 &lt;&gt; """") * (Q489 &gt;= SmartStatus!G$2:G1000)) + ((P489 &lt;&gt; """") * (P489 &gt;= SmartStatus!G$2:G1000)))), if(or(regexmatch(B489, ""(?i)^ir [a-z]+ designation$""), N489 &lt;&gt; """&amp;"""), 1, 2))), """"), ""NO_MATCH"")"),"")</f>
        <v/>
      </c>
      <c r="AS489" s="11"/>
      <c r="AT489" s="15"/>
      <c r="AU489" s="11"/>
      <c r="AV489" s="11"/>
      <c r="AW489" s="15"/>
      <c r="AX489" s="15"/>
      <c r="AY489" s="15"/>
      <c r="AZ489" s="11"/>
      <c r="BA489" s="15"/>
      <c r="BB489" s="11"/>
      <c r="BC489" s="11"/>
      <c r="BD489" s="15"/>
      <c r="BE489" s="11"/>
      <c r="BF489" s="11"/>
      <c r="BG489" s="15"/>
      <c r="BH489" s="15"/>
      <c r="BI489" s="15"/>
      <c r="BJ489" s="11"/>
      <c r="BK489" s="15"/>
      <c r="BL489" s="11"/>
      <c r="BM489" s="11"/>
      <c r="BN489" s="15"/>
      <c r="BO489" s="11"/>
      <c r="BP489" s="11"/>
      <c r="BQ489" s="15"/>
      <c r="BR489" s="15"/>
      <c r="BS489" s="15"/>
      <c r="BT489" s="11"/>
      <c r="BU489" s="15"/>
      <c r="BV489" s="11"/>
      <c r="BW489" s="11"/>
      <c r="BX489" s="15"/>
      <c r="BY489" s="11"/>
      <c r="BZ489" s="11"/>
      <c r="CA489" s="15"/>
      <c r="CB489" s="11"/>
      <c r="CC489" s="15"/>
      <c r="CD489" s="11"/>
      <c r="CE489" s="15"/>
      <c r="CF489" s="11"/>
      <c r="CG489" s="11"/>
      <c r="CH489" s="15"/>
      <c r="CI489" s="11"/>
      <c r="CJ489" s="11"/>
      <c r="CK489" s="15"/>
      <c r="CL489" s="11"/>
      <c r="CM489" s="11"/>
      <c r="CN489" s="11"/>
      <c r="CO489" s="11"/>
      <c r="CP489" s="28"/>
      <c r="CQ489" s="28"/>
      <c r="CR489" s="11"/>
      <c r="CS489" s="29"/>
      <c r="CT489" s="11"/>
      <c r="CU489" s="11"/>
      <c r="CV489" s="11"/>
      <c r="CW489" s="11"/>
      <c r="CX489" s="11"/>
      <c r="CY489" s="11"/>
      <c r="CZ489" s="11"/>
      <c r="DA489" s="28"/>
      <c r="DB489" s="28"/>
      <c r="DC489" s="11"/>
      <c r="DD489" s="29"/>
      <c r="DE489" s="11"/>
      <c r="DF489" s="11"/>
      <c r="DG489" s="11"/>
      <c r="DH489" s="11"/>
      <c r="DI489" s="11"/>
      <c r="DJ489" s="11"/>
      <c r="DK489" s="26"/>
      <c r="DL489" s="11"/>
      <c r="DM489" s="29"/>
      <c r="DN489" s="28"/>
      <c r="DO489" s="11"/>
      <c r="DP489" s="11"/>
      <c r="DQ489" s="11"/>
      <c r="DR489" s="29"/>
      <c r="DS489" s="28"/>
      <c r="DT489" s="11"/>
      <c r="DU489" s="26"/>
      <c r="DV489" s="11"/>
      <c r="DW489" s="29"/>
      <c r="DX489" s="28"/>
      <c r="DY489" s="11"/>
      <c r="DZ489" s="26"/>
      <c r="EA489" s="11"/>
      <c r="EB489" s="29"/>
      <c r="EC489" s="28"/>
      <c r="ED489" s="30"/>
      <c r="EE489" s="30" t="str">
        <f ca="1">IFERROR(__xludf.DUMMYFUNCTION("iferror(index(filter('Internal -- Trademark Countries'!E$2:E1000, (AM489 = 'Internal -- Trademark Countries'!B$2:B1000) + (AM489 = 'Internal -- Trademark Countries'!C$2:C1000) + (AM489 = 'Internal -- Trademark Countries'!D$2:D1000)), 1))"),"")</f>
        <v/>
      </c>
      <c r="EF489" s="30" t="e">
        <f ca="1">_xludf.ifs(AM489="", "", COUNTIF('Internal -- Trademark Countries'!B:B,AM489) &gt; 0, "polity_shortest_name", COUNTIF('Internal -- Trademark Countries'!C:C,AM489) &gt; 0, "polity_full_name", COUNTIF('Internal -- Trademark Countries'!D:D,AM489) &gt; 0, "polity_common_name", COUNTIF('Internal -- Trademark Countries'!E:E,AM489) &gt; 0, "shortest_name", COUNTIF('Internal -- Trademark Countries'!A:A,AM489) &gt; 0, "full_name", TRUE, "not a match")</f>
        <v>#NAME?</v>
      </c>
      <c r="EG489" s="30"/>
      <c r="EH489" s="30"/>
      <c r="EI489" s="30"/>
      <c r="EJ489" s="30"/>
      <c r="EK489" s="30" t="str">
        <f t="shared" si="3"/>
        <v/>
      </c>
    </row>
    <row r="490" spans="1:141" ht="16.5">
      <c r="A490" s="11"/>
      <c r="B490" s="11"/>
      <c r="C490" s="11"/>
      <c r="D490" s="11"/>
      <c r="E490" s="11"/>
      <c r="F490" s="11"/>
      <c r="G490" s="11"/>
      <c r="H490" s="11"/>
      <c r="I490" s="11"/>
      <c r="J490" s="11"/>
      <c r="K490" s="27"/>
      <c r="L490" s="11"/>
      <c r="M490" s="11"/>
      <c r="N490" s="11"/>
      <c r="O490" s="11"/>
      <c r="P490" s="15"/>
      <c r="Q490" s="15"/>
      <c r="R490" s="15"/>
      <c r="S490" s="15"/>
      <c r="T490" s="15"/>
      <c r="U490" s="15"/>
      <c r="V490" s="15"/>
      <c r="W490" s="47"/>
      <c r="X490" s="11"/>
      <c r="Y490" s="48"/>
      <c r="Z490" s="11"/>
      <c r="AA490" s="48"/>
      <c r="AB490" s="11"/>
      <c r="AC490" s="48"/>
      <c r="AD490" s="11"/>
      <c r="AE490" s="47"/>
      <c r="AF490" s="11"/>
      <c r="AG490" s="48"/>
      <c r="AH490" s="11"/>
      <c r="AI490" s="48"/>
      <c r="AJ490" s="11"/>
      <c r="AK490" s="48"/>
      <c r="AL490" s="11"/>
      <c r="AM490" s="49"/>
      <c r="AN490" s="49"/>
      <c r="AO490" s="11"/>
      <c r="AP490" s="11"/>
      <c r="AQ490" s="28" t="b">
        <f>IF(COUNTIF(SmartStatus!A$2:A1000, AM490) &gt; 2, TRUE, FALSE)</f>
        <v>0</v>
      </c>
      <c r="AR490" s="29" t="str">
        <f ca="1">IFERROR(__xludf.DUMMYFUNCTION("iferror(if(regexmatch(AO490, ""(?i)^registered""), if(EE490 &lt;&gt; ""polity_shortest_name"", ""CHECK_POLITY"", index(filter(SmartStatus!B$2:B1000, AM490 = SmartStatus!A$2:A1000, not(SmartStatus!C$2:C1000), (isblank(SmartStatus!D$2:D1000)) + ((P490 &lt;&gt; """") * "&amp;"(P490 &lt; SmartStatus!D$2:D1000)), (isblank(SmartStatus!E$2:E1000)) + ((P490 &lt;&gt; """") * (P490 &gt;= SmartStatus!E$2:E1000)), (isblank(SmartStatus!F$2:F1000)) + (((Q490 &lt;&gt; """") * (Q490 &lt; SmartStatus!F$2:F1000)) + ((P490 &lt;&gt; """") * (date(year(P490) + 3, month(P"&amp;"490), day(P490)) &lt; SmartStatus!F$2:F1000))), (isblank(SmartStatus!G$2:G1000)) + (((Q490 &lt;&gt; """") * (Q490 &gt;= SmartStatus!G$2:G1000)) + ((P490 &lt;&gt; """") * (P490 &gt;= SmartStatus!G$2:G1000)))), if(or(regexmatch(B490, ""(?i)^ir [a-z]+ designation$""), N490 &lt;&gt; """&amp;"""), 1, 2))), """"), ""NO_MATCH"")"),"")</f>
        <v/>
      </c>
      <c r="AS490" s="11"/>
      <c r="AT490" s="15"/>
      <c r="AU490" s="11"/>
      <c r="AV490" s="11"/>
      <c r="AW490" s="15"/>
      <c r="AX490" s="15"/>
      <c r="AY490" s="15"/>
      <c r="AZ490" s="11"/>
      <c r="BA490" s="15"/>
      <c r="BB490" s="11"/>
      <c r="BC490" s="11"/>
      <c r="BD490" s="15"/>
      <c r="BE490" s="11"/>
      <c r="BF490" s="11"/>
      <c r="BG490" s="15"/>
      <c r="BH490" s="15"/>
      <c r="BI490" s="15"/>
      <c r="BJ490" s="11"/>
      <c r="BK490" s="15"/>
      <c r="BL490" s="11"/>
      <c r="BM490" s="11"/>
      <c r="BN490" s="15"/>
      <c r="BO490" s="11"/>
      <c r="BP490" s="11"/>
      <c r="BQ490" s="15"/>
      <c r="BR490" s="15"/>
      <c r="BS490" s="15"/>
      <c r="BT490" s="11"/>
      <c r="BU490" s="15"/>
      <c r="BV490" s="11"/>
      <c r="BW490" s="11"/>
      <c r="BX490" s="15"/>
      <c r="BY490" s="11"/>
      <c r="BZ490" s="11"/>
      <c r="CA490" s="15"/>
      <c r="CB490" s="11"/>
      <c r="CC490" s="15"/>
      <c r="CD490" s="11"/>
      <c r="CE490" s="15"/>
      <c r="CF490" s="11"/>
      <c r="CG490" s="11"/>
      <c r="CH490" s="15"/>
      <c r="CI490" s="11"/>
      <c r="CJ490" s="11"/>
      <c r="CK490" s="15"/>
      <c r="CL490" s="11"/>
      <c r="CM490" s="11"/>
      <c r="CN490" s="11"/>
      <c r="CO490" s="11"/>
      <c r="CP490" s="28"/>
      <c r="CQ490" s="28"/>
      <c r="CR490" s="11"/>
      <c r="CS490" s="29"/>
      <c r="CT490" s="11"/>
      <c r="CU490" s="11"/>
      <c r="CV490" s="11"/>
      <c r="CW490" s="11"/>
      <c r="CX490" s="11"/>
      <c r="CY490" s="11"/>
      <c r="CZ490" s="11"/>
      <c r="DA490" s="28"/>
      <c r="DB490" s="28"/>
      <c r="DC490" s="11"/>
      <c r="DD490" s="29"/>
      <c r="DE490" s="11"/>
      <c r="DF490" s="11"/>
      <c r="DG490" s="11"/>
      <c r="DH490" s="11"/>
      <c r="DI490" s="11"/>
      <c r="DJ490" s="11"/>
      <c r="DK490" s="26"/>
      <c r="DL490" s="11"/>
      <c r="DM490" s="29"/>
      <c r="DN490" s="28"/>
      <c r="DO490" s="11"/>
      <c r="DP490" s="11"/>
      <c r="DQ490" s="11"/>
      <c r="DR490" s="29"/>
      <c r="DS490" s="28"/>
      <c r="DT490" s="11"/>
      <c r="DU490" s="26"/>
      <c r="DV490" s="11"/>
      <c r="DW490" s="29"/>
      <c r="DX490" s="28"/>
      <c r="DY490" s="11"/>
      <c r="DZ490" s="26"/>
      <c r="EA490" s="11"/>
      <c r="EB490" s="29"/>
      <c r="EC490" s="28"/>
      <c r="ED490" s="30"/>
      <c r="EE490" s="30" t="str">
        <f ca="1">IFERROR(__xludf.DUMMYFUNCTION("iferror(index(filter('Internal -- Trademark Countries'!E$2:E1000, (AM490 = 'Internal -- Trademark Countries'!B$2:B1000) + (AM490 = 'Internal -- Trademark Countries'!C$2:C1000) + (AM490 = 'Internal -- Trademark Countries'!D$2:D1000)), 1))"),"")</f>
        <v/>
      </c>
      <c r="EF490" s="30" t="e">
        <f ca="1">_xludf.ifs(AM490="", "", COUNTIF('Internal -- Trademark Countries'!B:B,AM490) &gt; 0, "polity_shortest_name", COUNTIF('Internal -- Trademark Countries'!C:C,AM490) &gt; 0, "polity_full_name", COUNTIF('Internal -- Trademark Countries'!D:D,AM490) &gt; 0, "polity_common_name", COUNTIF('Internal -- Trademark Countries'!E:E,AM490) &gt; 0, "shortest_name", COUNTIF('Internal -- Trademark Countries'!A:A,AM490) &gt; 0, "full_name", TRUE, "not a match")</f>
        <v>#NAME?</v>
      </c>
      <c r="EG490" s="30"/>
      <c r="EH490" s="30"/>
      <c r="EI490" s="30"/>
      <c r="EJ490" s="30"/>
      <c r="EK490" s="30" t="str">
        <f t="shared" si="3"/>
        <v/>
      </c>
    </row>
    <row r="491" spans="1:141" ht="16.5">
      <c r="A491" s="11"/>
      <c r="B491" s="11"/>
      <c r="C491" s="11"/>
      <c r="D491" s="11"/>
      <c r="E491" s="11"/>
      <c r="F491" s="11"/>
      <c r="G491" s="11"/>
      <c r="H491" s="11"/>
      <c r="I491" s="11"/>
      <c r="J491" s="11"/>
      <c r="K491" s="27"/>
      <c r="L491" s="11"/>
      <c r="M491" s="11"/>
      <c r="N491" s="11"/>
      <c r="O491" s="11"/>
      <c r="P491" s="15"/>
      <c r="Q491" s="15"/>
      <c r="R491" s="15"/>
      <c r="S491" s="15"/>
      <c r="T491" s="15"/>
      <c r="U491" s="15"/>
      <c r="V491" s="15"/>
      <c r="W491" s="47"/>
      <c r="X491" s="11"/>
      <c r="Y491" s="48"/>
      <c r="Z491" s="11"/>
      <c r="AA491" s="48"/>
      <c r="AB491" s="11"/>
      <c r="AC491" s="48"/>
      <c r="AD491" s="11"/>
      <c r="AE491" s="47"/>
      <c r="AF491" s="11"/>
      <c r="AG491" s="48"/>
      <c r="AH491" s="11"/>
      <c r="AI491" s="48"/>
      <c r="AJ491" s="11"/>
      <c r="AK491" s="48"/>
      <c r="AL491" s="11"/>
      <c r="AM491" s="49"/>
      <c r="AN491" s="49"/>
      <c r="AO491" s="11"/>
      <c r="AP491" s="11"/>
      <c r="AQ491" s="28" t="b">
        <f>IF(COUNTIF(SmartStatus!A$2:A1000, AM491) &gt; 2, TRUE, FALSE)</f>
        <v>0</v>
      </c>
      <c r="AR491" s="29" t="str">
        <f ca="1">IFERROR(__xludf.DUMMYFUNCTION("iferror(if(regexmatch(AO491, ""(?i)^registered""), if(EE491 &lt;&gt; ""polity_shortest_name"", ""CHECK_POLITY"", index(filter(SmartStatus!B$2:B1000, AM491 = SmartStatus!A$2:A1000, not(SmartStatus!C$2:C1000), (isblank(SmartStatus!D$2:D1000)) + ((P491 &lt;&gt; """") * "&amp;"(P491 &lt; SmartStatus!D$2:D1000)), (isblank(SmartStatus!E$2:E1000)) + ((P491 &lt;&gt; """") * (P491 &gt;= SmartStatus!E$2:E1000)), (isblank(SmartStatus!F$2:F1000)) + (((Q491 &lt;&gt; """") * (Q491 &lt; SmartStatus!F$2:F1000)) + ((P491 &lt;&gt; """") * (date(year(P491) + 3, month(P"&amp;"491), day(P491)) &lt; SmartStatus!F$2:F1000))), (isblank(SmartStatus!G$2:G1000)) + (((Q491 &lt;&gt; """") * (Q491 &gt;= SmartStatus!G$2:G1000)) + ((P491 &lt;&gt; """") * (P491 &gt;= SmartStatus!G$2:G1000)))), if(or(regexmatch(B491, ""(?i)^ir [a-z]+ designation$""), N491 &lt;&gt; """&amp;"""), 1, 2))), """"), ""NO_MATCH"")"),"")</f>
        <v/>
      </c>
      <c r="AS491" s="11"/>
      <c r="AT491" s="15"/>
      <c r="AU491" s="11"/>
      <c r="AV491" s="11"/>
      <c r="AW491" s="15"/>
      <c r="AX491" s="15"/>
      <c r="AY491" s="15"/>
      <c r="AZ491" s="11"/>
      <c r="BA491" s="15"/>
      <c r="BB491" s="11"/>
      <c r="BC491" s="11"/>
      <c r="BD491" s="15"/>
      <c r="BE491" s="11"/>
      <c r="BF491" s="11"/>
      <c r="BG491" s="15"/>
      <c r="BH491" s="15"/>
      <c r="BI491" s="15"/>
      <c r="BJ491" s="11"/>
      <c r="BK491" s="15"/>
      <c r="BL491" s="11"/>
      <c r="BM491" s="11"/>
      <c r="BN491" s="15"/>
      <c r="BO491" s="11"/>
      <c r="BP491" s="11"/>
      <c r="BQ491" s="15"/>
      <c r="BR491" s="15"/>
      <c r="BS491" s="15"/>
      <c r="BT491" s="11"/>
      <c r="BU491" s="15"/>
      <c r="BV491" s="11"/>
      <c r="BW491" s="11"/>
      <c r="BX491" s="15"/>
      <c r="BY491" s="11"/>
      <c r="BZ491" s="11"/>
      <c r="CA491" s="15"/>
      <c r="CB491" s="11"/>
      <c r="CC491" s="15"/>
      <c r="CD491" s="11"/>
      <c r="CE491" s="15"/>
      <c r="CF491" s="11"/>
      <c r="CG491" s="11"/>
      <c r="CH491" s="15"/>
      <c r="CI491" s="11"/>
      <c r="CJ491" s="11"/>
      <c r="CK491" s="15"/>
      <c r="CL491" s="11"/>
      <c r="CM491" s="11"/>
      <c r="CN491" s="11"/>
      <c r="CO491" s="11"/>
      <c r="CP491" s="28"/>
      <c r="CQ491" s="28"/>
      <c r="CR491" s="11"/>
      <c r="CS491" s="29"/>
      <c r="CT491" s="11"/>
      <c r="CU491" s="11"/>
      <c r="CV491" s="11"/>
      <c r="CW491" s="11"/>
      <c r="CX491" s="11"/>
      <c r="CY491" s="11"/>
      <c r="CZ491" s="11"/>
      <c r="DA491" s="28"/>
      <c r="DB491" s="28"/>
      <c r="DC491" s="11"/>
      <c r="DD491" s="29"/>
      <c r="DE491" s="11"/>
      <c r="DF491" s="11"/>
      <c r="DG491" s="11"/>
      <c r="DH491" s="11"/>
      <c r="DI491" s="11"/>
      <c r="DJ491" s="11"/>
      <c r="DK491" s="26"/>
      <c r="DL491" s="11"/>
      <c r="DM491" s="29"/>
      <c r="DN491" s="28"/>
      <c r="DO491" s="11"/>
      <c r="DP491" s="11"/>
      <c r="DQ491" s="11"/>
      <c r="DR491" s="29"/>
      <c r="DS491" s="28"/>
      <c r="DT491" s="11"/>
      <c r="DU491" s="26"/>
      <c r="DV491" s="11"/>
      <c r="DW491" s="29"/>
      <c r="DX491" s="28"/>
      <c r="DY491" s="11"/>
      <c r="DZ491" s="26"/>
      <c r="EA491" s="11"/>
      <c r="EB491" s="29"/>
      <c r="EC491" s="28"/>
      <c r="ED491" s="30"/>
      <c r="EE491" s="30" t="str">
        <f ca="1">IFERROR(__xludf.DUMMYFUNCTION("iferror(index(filter('Internal -- Trademark Countries'!E$2:E1000, (AM491 = 'Internal -- Trademark Countries'!B$2:B1000) + (AM491 = 'Internal -- Trademark Countries'!C$2:C1000) + (AM491 = 'Internal -- Trademark Countries'!D$2:D1000)), 1))"),"")</f>
        <v/>
      </c>
      <c r="EF491" s="30" t="e">
        <f ca="1">_xludf.ifs(AM491="", "", COUNTIF('Internal -- Trademark Countries'!B:B,AM491) &gt; 0, "polity_shortest_name", COUNTIF('Internal -- Trademark Countries'!C:C,AM491) &gt; 0, "polity_full_name", COUNTIF('Internal -- Trademark Countries'!D:D,AM491) &gt; 0, "polity_common_name", COUNTIF('Internal -- Trademark Countries'!E:E,AM491) &gt; 0, "shortest_name", COUNTIF('Internal -- Trademark Countries'!A:A,AM491) &gt; 0, "full_name", TRUE, "not a match")</f>
        <v>#NAME?</v>
      </c>
      <c r="EG491" s="30"/>
      <c r="EH491" s="30"/>
      <c r="EI491" s="30"/>
      <c r="EJ491" s="30"/>
      <c r="EK491" s="30" t="str">
        <f t="shared" si="3"/>
        <v/>
      </c>
    </row>
    <row r="492" spans="1:141" ht="16.5">
      <c r="A492" s="11"/>
      <c r="B492" s="11"/>
      <c r="C492" s="11"/>
      <c r="D492" s="11"/>
      <c r="E492" s="11"/>
      <c r="F492" s="11"/>
      <c r="G492" s="11"/>
      <c r="H492" s="11"/>
      <c r="I492" s="11"/>
      <c r="J492" s="11"/>
      <c r="K492" s="27"/>
      <c r="L492" s="11"/>
      <c r="M492" s="11"/>
      <c r="N492" s="11"/>
      <c r="O492" s="11"/>
      <c r="P492" s="15"/>
      <c r="Q492" s="15"/>
      <c r="R492" s="15"/>
      <c r="S492" s="15"/>
      <c r="T492" s="15"/>
      <c r="U492" s="15"/>
      <c r="V492" s="15"/>
      <c r="W492" s="47"/>
      <c r="X492" s="11"/>
      <c r="Y492" s="48"/>
      <c r="Z492" s="11"/>
      <c r="AA492" s="48"/>
      <c r="AB492" s="11"/>
      <c r="AC492" s="48"/>
      <c r="AD492" s="11"/>
      <c r="AE492" s="47"/>
      <c r="AF492" s="11"/>
      <c r="AG492" s="48"/>
      <c r="AH492" s="11"/>
      <c r="AI492" s="48"/>
      <c r="AJ492" s="11"/>
      <c r="AK492" s="48"/>
      <c r="AL492" s="11"/>
      <c r="AM492" s="49"/>
      <c r="AN492" s="49"/>
      <c r="AO492" s="11"/>
      <c r="AP492" s="11"/>
      <c r="AQ492" s="28" t="b">
        <f>IF(COUNTIF(SmartStatus!A$2:A1000, AM492) &gt; 2, TRUE, FALSE)</f>
        <v>0</v>
      </c>
      <c r="AR492" s="29" t="str">
        <f ca="1">IFERROR(__xludf.DUMMYFUNCTION("iferror(if(regexmatch(AO492, ""(?i)^registered""), if(EE492 &lt;&gt; ""polity_shortest_name"", ""CHECK_POLITY"", index(filter(SmartStatus!B$2:B1000, AM492 = SmartStatus!A$2:A1000, not(SmartStatus!C$2:C1000), (isblank(SmartStatus!D$2:D1000)) + ((P492 &lt;&gt; """") * "&amp;"(P492 &lt; SmartStatus!D$2:D1000)), (isblank(SmartStatus!E$2:E1000)) + ((P492 &lt;&gt; """") * (P492 &gt;= SmartStatus!E$2:E1000)), (isblank(SmartStatus!F$2:F1000)) + (((Q492 &lt;&gt; """") * (Q492 &lt; SmartStatus!F$2:F1000)) + ((P492 &lt;&gt; """") * (date(year(P492) + 3, month(P"&amp;"492), day(P492)) &lt; SmartStatus!F$2:F1000))), (isblank(SmartStatus!G$2:G1000)) + (((Q492 &lt;&gt; """") * (Q492 &gt;= SmartStatus!G$2:G1000)) + ((P492 &lt;&gt; """") * (P492 &gt;= SmartStatus!G$2:G1000)))), if(or(regexmatch(B492, ""(?i)^ir [a-z]+ designation$""), N492 &lt;&gt; """&amp;"""), 1, 2))), """"), ""NO_MATCH"")"),"")</f>
        <v/>
      </c>
      <c r="AS492" s="11"/>
      <c r="AT492" s="15"/>
      <c r="AU492" s="11"/>
      <c r="AV492" s="11"/>
      <c r="AW492" s="15"/>
      <c r="AX492" s="15"/>
      <c r="AY492" s="15"/>
      <c r="AZ492" s="11"/>
      <c r="BA492" s="15"/>
      <c r="BB492" s="11"/>
      <c r="BC492" s="11"/>
      <c r="BD492" s="15"/>
      <c r="BE492" s="11"/>
      <c r="BF492" s="11"/>
      <c r="BG492" s="15"/>
      <c r="BH492" s="15"/>
      <c r="BI492" s="15"/>
      <c r="BJ492" s="11"/>
      <c r="BK492" s="15"/>
      <c r="BL492" s="11"/>
      <c r="BM492" s="11"/>
      <c r="BN492" s="15"/>
      <c r="BO492" s="11"/>
      <c r="BP492" s="11"/>
      <c r="BQ492" s="15"/>
      <c r="BR492" s="15"/>
      <c r="BS492" s="15"/>
      <c r="BT492" s="11"/>
      <c r="BU492" s="15"/>
      <c r="BV492" s="11"/>
      <c r="BW492" s="11"/>
      <c r="BX492" s="15"/>
      <c r="BY492" s="11"/>
      <c r="BZ492" s="11"/>
      <c r="CA492" s="15"/>
      <c r="CB492" s="11"/>
      <c r="CC492" s="15"/>
      <c r="CD492" s="11"/>
      <c r="CE492" s="15"/>
      <c r="CF492" s="11"/>
      <c r="CG492" s="11"/>
      <c r="CH492" s="15"/>
      <c r="CI492" s="11"/>
      <c r="CJ492" s="11"/>
      <c r="CK492" s="15"/>
      <c r="CL492" s="11"/>
      <c r="CM492" s="11"/>
      <c r="CN492" s="11"/>
      <c r="CO492" s="11"/>
      <c r="CP492" s="28"/>
      <c r="CQ492" s="28"/>
      <c r="CR492" s="11"/>
      <c r="CS492" s="29"/>
      <c r="CT492" s="11"/>
      <c r="CU492" s="11"/>
      <c r="CV492" s="11"/>
      <c r="CW492" s="11"/>
      <c r="CX492" s="11"/>
      <c r="CY492" s="11"/>
      <c r="CZ492" s="11"/>
      <c r="DA492" s="28"/>
      <c r="DB492" s="28"/>
      <c r="DC492" s="11"/>
      <c r="DD492" s="29"/>
      <c r="DE492" s="11"/>
      <c r="DF492" s="11"/>
      <c r="DG492" s="11"/>
      <c r="DH492" s="11"/>
      <c r="DI492" s="11"/>
      <c r="DJ492" s="11"/>
      <c r="DK492" s="26"/>
      <c r="DL492" s="11"/>
      <c r="DM492" s="29"/>
      <c r="DN492" s="28"/>
      <c r="DO492" s="11"/>
      <c r="DP492" s="11"/>
      <c r="DQ492" s="11"/>
      <c r="DR492" s="29"/>
      <c r="DS492" s="28"/>
      <c r="DT492" s="11"/>
      <c r="DU492" s="26"/>
      <c r="DV492" s="11"/>
      <c r="DW492" s="29"/>
      <c r="DX492" s="28"/>
      <c r="DY492" s="11"/>
      <c r="DZ492" s="26"/>
      <c r="EA492" s="11"/>
      <c r="EB492" s="29"/>
      <c r="EC492" s="28"/>
      <c r="ED492" s="30"/>
      <c r="EE492" s="30" t="str">
        <f ca="1">IFERROR(__xludf.DUMMYFUNCTION("iferror(index(filter('Internal -- Trademark Countries'!E$2:E1000, (AM492 = 'Internal -- Trademark Countries'!B$2:B1000) + (AM492 = 'Internal -- Trademark Countries'!C$2:C1000) + (AM492 = 'Internal -- Trademark Countries'!D$2:D1000)), 1))"),"")</f>
        <v/>
      </c>
      <c r="EF492" s="30" t="e">
        <f ca="1">_xludf.ifs(AM492="", "", COUNTIF('Internal -- Trademark Countries'!B:B,AM492) &gt; 0, "polity_shortest_name", COUNTIF('Internal -- Trademark Countries'!C:C,AM492) &gt; 0, "polity_full_name", COUNTIF('Internal -- Trademark Countries'!D:D,AM492) &gt; 0, "polity_common_name", COUNTIF('Internal -- Trademark Countries'!E:E,AM492) &gt; 0, "shortest_name", COUNTIF('Internal -- Trademark Countries'!A:A,AM492) &gt; 0, "full_name", TRUE, "not a match")</f>
        <v>#NAME?</v>
      </c>
      <c r="EG492" s="30"/>
      <c r="EH492" s="30"/>
      <c r="EI492" s="30"/>
      <c r="EJ492" s="30"/>
      <c r="EK492" s="30" t="str">
        <f t="shared" si="3"/>
        <v/>
      </c>
    </row>
    <row r="493" spans="1:141" ht="16.5">
      <c r="A493" s="11"/>
      <c r="B493" s="11"/>
      <c r="C493" s="11"/>
      <c r="D493" s="11"/>
      <c r="E493" s="11"/>
      <c r="F493" s="11"/>
      <c r="G493" s="11"/>
      <c r="H493" s="11"/>
      <c r="I493" s="11"/>
      <c r="J493" s="11"/>
      <c r="K493" s="27"/>
      <c r="L493" s="11"/>
      <c r="M493" s="11"/>
      <c r="N493" s="11"/>
      <c r="O493" s="11"/>
      <c r="P493" s="15"/>
      <c r="Q493" s="15"/>
      <c r="R493" s="15"/>
      <c r="S493" s="15"/>
      <c r="T493" s="15"/>
      <c r="U493" s="15"/>
      <c r="V493" s="15"/>
      <c r="W493" s="47"/>
      <c r="X493" s="11"/>
      <c r="Y493" s="48"/>
      <c r="Z493" s="11"/>
      <c r="AA493" s="48"/>
      <c r="AB493" s="11"/>
      <c r="AC493" s="48"/>
      <c r="AD493" s="11"/>
      <c r="AE493" s="47"/>
      <c r="AF493" s="11"/>
      <c r="AG493" s="48"/>
      <c r="AH493" s="11"/>
      <c r="AI493" s="48"/>
      <c r="AJ493" s="11"/>
      <c r="AK493" s="48"/>
      <c r="AL493" s="11"/>
      <c r="AM493" s="49"/>
      <c r="AN493" s="49"/>
      <c r="AO493" s="11"/>
      <c r="AP493" s="11"/>
      <c r="AQ493" s="28" t="b">
        <f>IF(COUNTIF(SmartStatus!A$2:A1000, AM493) &gt; 2, TRUE, FALSE)</f>
        <v>0</v>
      </c>
      <c r="AR493" s="29" t="str">
        <f ca="1">IFERROR(__xludf.DUMMYFUNCTION("iferror(if(regexmatch(AO493, ""(?i)^registered""), if(EE493 &lt;&gt; ""polity_shortest_name"", ""CHECK_POLITY"", index(filter(SmartStatus!B$2:B1000, AM493 = SmartStatus!A$2:A1000, not(SmartStatus!C$2:C1000), (isblank(SmartStatus!D$2:D1000)) + ((P493 &lt;&gt; """") * "&amp;"(P493 &lt; SmartStatus!D$2:D1000)), (isblank(SmartStatus!E$2:E1000)) + ((P493 &lt;&gt; """") * (P493 &gt;= SmartStatus!E$2:E1000)), (isblank(SmartStatus!F$2:F1000)) + (((Q493 &lt;&gt; """") * (Q493 &lt; SmartStatus!F$2:F1000)) + ((P493 &lt;&gt; """") * (date(year(P493) + 3, month(P"&amp;"493), day(P493)) &lt; SmartStatus!F$2:F1000))), (isblank(SmartStatus!G$2:G1000)) + (((Q493 &lt;&gt; """") * (Q493 &gt;= SmartStatus!G$2:G1000)) + ((P493 &lt;&gt; """") * (P493 &gt;= SmartStatus!G$2:G1000)))), if(or(regexmatch(B493, ""(?i)^ir [a-z]+ designation$""), N493 &lt;&gt; """&amp;"""), 1, 2))), """"), ""NO_MATCH"")"),"")</f>
        <v/>
      </c>
      <c r="AS493" s="11"/>
      <c r="AT493" s="15"/>
      <c r="AU493" s="11"/>
      <c r="AV493" s="11"/>
      <c r="AW493" s="15"/>
      <c r="AX493" s="15"/>
      <c r="AY493" s="15"/>
      <c r="AZ493" s="11"/>
      <c r="BA493" s="15"/>
      <c r="BB493" s="11"/>
      <c r="BC493" s="11"/>
      <c r="BD493" s="15"/>
      <c r="BE493" s="11"/>
      <c r="BF493" s="11"/>
      <c r="BG493" s="15"/>
      <c r="BH493" s="15"/>
      <c r="BI493" s="15"/>
      <c r="BJ493" s="11"/>
      <c r="BK493" s="15"/>
      <c r="BL493" s="11"/>
      <c r="BM493" s="11"/>
      <c r="BN493" s="15"/>
      <c r="BO493" s="11"/>
      <c r="BP493" s="11"/>
      <c r="BQ493" s="15"/>
      <c r="BR493" s="15"/>
      <c r="BS493" s="15"/>
      <c r="BT493" s="11"/>
      <c r="BU493" s="15"/>
      <c r="BV493" s="11"/>
      <c r="BW493" s="11"/>
      <c r="BX493" s="15"/>
      <c r="BY493" s="11"/>
      <c r="BZ493" s="11"/>
      <c r="CA493" s="15"/>
      <c r="CB493" s="11"/>
      <c r="CC493" s="15"/>
      <c r="CD493" s="11"/>
      <c r="CE493" s="15"/>
      <c r="CF493" s="11"/>
      <c r="CG493" s="11"/>
      <c r="CH493" s="15"/>
      <c r="CI493" s="11"/>
      <c r="CJ493" s="11"/>
      <c r="CK493" s="15"/>
      <c r="CL493" s="11"/>
      <c r="CM493" s="11"/>
      <c r="CN493" s="11"/>
      <c r="CO493" s="11"/>
      <c r="CP493" s="28"/>
      <c r="CQ493" s="28"/>
      <c r="CR493" s="11"/>
      <c r="CS493" s="29"/>
      <c r="CT493" s="11"/>
      <c r="CU493" s="11"/>
      <c r="CV493" s="11"/>
      <c r="CW493" s="11"/>
      <c r="CX493" s="11"/>
      <c r="CY493" s="11"/>
      <c r="CZ493" s="11"/>
      <c r="DA493" s="28"/>
      <c r="DB493" s="28"/>
      <c r="DC493" s="11"/>
      <c r="DD493" s="29"/>
      <c r="DE493" s="11"/>
      <c r="DF493" s="11"/>
      <c r="DG493" s="11"/>
      <c r="DH493" s="11"/>
      <c r="DI493" s="11"/>
      <c r="DJ493" s="11"/>
      <c r="DK493" s="26"/>
      <c r="DL493" s="11"/>
      <c r="DM493" s="29"/>
      <c r="DN493" s="28"/>
      <c r="DO493" s="11"/>
      <c r="DP493" s="11"/>
      <c r="DQ493" s="11"/>
      <c r="DR493" s="29"/>
      <c r="DS493" s="28"/>
      <c r="DT493" s="11"/>
      <c r="DU493" s="26"/>
      <c r="DV493" s="11"/>
      <c r="DW493" s="29"/>
      <c r="DX493" s="28"/>
      <c r="DY493" s="11"/>
      <c r="DZ493" s="26"/>
      <c r="EA493" s="11"/>
      <c r="EB493" s="29"/>
      <c r="EC493" s="28"/>
      <c r="ED493" s="30"/>
      <c r="EE493" s="30" t="str">
        <f ca="1">IFERROR(__xludf.DUMMYFUNCTION("iferror(index(filter('Internal -- Trademark Countries'!E$2:E1000, (AM493 = 'Internal -- Trademark Countries'!B$2:B1000) + (AM493 = 'Internal -- Trademark Countries'!C$2:C1000) + (AM493 = 'Internal -- Trademark Countries'!D$2:D1000)), 1))"),"")</f>
        <v/>
      </c>
      <c r="EF493" s="30" t="e">
        <f ca="1">_xludf.ifs(AM493="", "", COUNTIF('Internal -- Trademark Countries'!B:B,AM493) &gt; 0, "polity_shortest_name", COUNTIF('Internal -- Trademark Countries'!C:C,AM493) &gt; 0, "polity_full_name", COUNTIF('Internal -- Trademark Countries'!D:D,AM493) &gt; 0, "polity_common_name", COUNTIF('Internal -- Trademark Countries'!E:E,AM493) &gt; 0, "shortest_name", COUNTIF('Internal -- Trademark Countries'!A:A,AM493) &gt; 0, "full_name", TRUE, "not a match")</f>
        <v>#NAME?</v>
      </c>
      <c r="EG493" s="30"/>
      <c r="EH493" s="30"/>
      <c r="EI493" s="30"/>
      <c r="EJ493" s="30"/>
      <c r="EK493" s="30" t="str">
        <f t="shared" si="3"/>
        <v/>
      </c>
    </row>
    <row r="494" spans="1:141" ht="16.5">
      <c r="A494" s="11"/>
      <c r="B494" s="11"/>
      <c r="C494" s="11"/>
      <c r="D494" s="11"/>
      <c r="E494" s="11"/>
      <c r="F494" s="11"/>
      <c r="G494" s="11"/>
      <c r="H494" s="11"/>
      <c r="I494" s="11"/>
      <c r="J494" s="11"/>
      <c r="K494" s="27"/>
      <c r="L494" s="11"/>
      <c r="M494" s="11"/>
      <c r="N494" s="11"/>
      <c r="O494" s="11"/>
      <c r="P494" s="15"/>
      <c r="Q494" s="15"/>
      <c r="R494" s="15"/>
      <c r="S494" s="15"/>
      <c r="T494" s="15"/>
      <c r="U494" s="15"/>
      <c r="V494" s="15"/>
      <c r="W494" s="47"/>
      <c r="X494" s="11"/>
      <c r="Y494" s="48"/>
      <c r="Z494" s="11"/>
      <c r="AA494" s="48"/>
      <c r="AB494" s="11"/>
      <c r="AC494" s="48"/>
      <c r="AD494" s="11"/>
      <c r="AE494" s="47"/>
      <c r="AF494" s="11"/>
      <c r="AG494" s="48"/>
      <c r="AH494" s="11"/>
      <c r="AI494" s="48"/>
      <c r="AJ494" s="11"/>
      <c r="AK494" s="48"/>
      <c r="AL494" s="11"/>
      <c r="AM494" s="49"/>
      <c r="AN494" s="49"/>
      <c r="AO494" s="11"/>
      <c r="AP494" s="11"/>
      <c r="AQ494" s="28" t="b">
        <f>IF(COUNTIF(SmartStatus!A$2:A1000, AM494) &gt; 2, TRUE, FALSE)</f>
        <v>0</v>
      </c>
      <c r="AR494" s="29" t="str">
        <f ca="1">IFERROR(__xludf.DUMMYFUNCTION("iferror(if(regexmatch(AO494, ""(?i)^registered""), if(EE494 &lt;&gt; ""polity_shortest_name"", ""CHECK_POLITY"", index(filter(SmartStatus!B$2:B1000, AM494 = SmartStatus!A$2:A1000, not(SmartStatus!C$2:C1000), (isblank(SmartStatus!D$2:D1000)) + ((P494 &lt;&gt; """") * "&amp;"(P494 &lt; SmartStatus!D$2:D1000)), (isblank(SmartStatus!E$2:E1000)) + ((P494 &lt;&gt; """") * (P494 &gt;= SmartStatus!E$2:E1000)), (isblank(SmartStatus!F$2:F1000)) + (((Q494 &lt;&gt; """") * (Q494 &lt; SmartStatus!F$2:F1000)) + ((P494 &lt;&gt; """") * (date(year(P494) + 3, month(P"&amp;"494), day(P494)) &lt; SmartStatus!F$2:F1000))), (isblank(SmartStatus!G$2:G1000)) + (((Q494 &lt;&gt; """") * (Q494 &gt;= SmartStatus!G$2:G1000)) + ((P494 &lt;&gt; """") * (P494 &gt;= SmartStatus!G$2:G1000)))), if(or(regexmatch(B494, ""(?i)^ir [a-z]+ designation$""), N494 &lt;&gt; """&amp;"""), 1, 2))), """"), ""NO_MATCH"")"),"")</f>
        <v/>
      </c>
      <c r="AS494" s="11"/>
      <c r="AT494" s="15"/>
      <c r="AU494" s="11"/>
      <c r="AV494" s="11"/>
      <c r="AW494" s="15"/>
      <c r="AX494" s="15"/>
      <c r="AY494" s="15"/>
      <c r="AZ494" s="11"/>
      <c r="BA494" s="15"/>
      <c r="BB494" s="11"/>
      <c r="BC494" s="11"/>
      <c r="BD494" s="15"/>
      <c r="BE494" s="11"/>
      <c r="BF494" s="11"/>
      <c r="BG494" s="15"/>
      <c r="BH494" s="15"/>
      <c r="BI494" s="15"/>
      <c r="BJ494" s="11"/>
      <c r="BK494" s="15"/>
      <c r="BL494" s="11"/>
      <c r="BM494" s="11"/>
      <c r="BN494" s="15"/>
      <c r="BO494" s="11"/>
      <c r="BP494" s="11"/>
      <c r="BQ494" s="15"/>
      <c r="BR494" s="15"/>
      <c r="BS494" s="15"/>
      <c r="BT494" s="11"/>
      <c r="BU494" s="15"/>
      <c r="BV494" s="11"/>
      <c r="BW494" s="11"/>
      <c r="BX494" s="15"/>
      <c r="BY494" s="11"/>
      <c r="BZ494" s="11"/>
      <c r="CA494" s="15"/>
      <c r="CB494" s="11"/>
      <c r="CC494" s="15"/>
      <c r="CD494" s="11"/>
      <c r="CE494" s="15"/>
      <c r="CF494" s="11"/>
      <c r="CG494" s="11"/>
      <c r="CH494" s="15"/>
      <c r="CI494" s="11"/>
      <c r="CJ494" s="11"/>
      <c r="CK494" s="15"/>
      <c r="CL494" s="11"/>
      <c r="CM494" s="11"/>
      <c r="CN494" s="11"/>
      <c r="CO494" s="11"/>
      <c r="CP494" s="28"/>
      <c r="CQ494" s="28"/>
      <c r="CR494" s="11"/>
      <c r="CS494" s="29"/>
      <c r="CT494" s="11"/>
      <c r="CU494" s="11"/>
      <c r="CV494" s="11"/>
      <c r="CW494" s="11"/>
      <c r="CX494" s="11"/>
      <c r="CY494" s="11"/>
      <c r="CZ494" s="11"/>
      <c r="DA494" s="28"/>
      <c r="DB494" s="28"/>
      <c r="DC494" s="11"/>
      <c r="DD494" s="29"/>
      <c r="DE494" s="11"/>
      <c r="DF494" s="11"/>
      <c r="DG494" s="11"/>
      <c r="DH494" s="11"/>
      <c r="DI494" s="11"/>
      <c r="DJ494" s="11"/>
      <c r="DK494" s="26"/>
      <c r="DL494" s="11"/>
      <c r="DM494" s="29"/>
      <c r="DN494" s="28"/>
      <c r="DO494" s="11"/>
      <c r="DP494" s="11"/>
      <c r="DQ494" s="11"/>
      <c r="DR494" s="29"/>
      <c r="DS494" s="28"/>
      <c r="DT494" s="11"/>
      <c r="DU494" s="26"/>
      <c r="DV494" s="11"/>
      <c r="DW494" s="29"/>
      <c r="DX494" s="28"/>
      <c r="DY494" s="11"/>
      <c r="DZ494" s="26"/>
      <c r="EA494" s="11"/>
      <c r="EB494" s="29"/>
      <c r="EC494" s="28"/>
      <c r="ED494" s="30"/>
      <c r="EE494" s="30" t="str">
        <f ca="1">IFERROR(__xludf.DUMMYFUNCTION("iferror(index(filter('Internal -- Trademark Countries'!E$2:E1000, (AM494 = 'Internal -- Trademark Countries'!B$2:B1000) + (AM494 = 'Internal -- Trademark Countries'!C$2:C1000) + (AM494 = 'Internal -- Trademark Countries'!D$2:D1000)), 1))"),"")</f>
        <v/>
      </c>
      <c r="EF494" s="30" t="e">
        <f ca="1">_xludf.ifs(AM494="", "", COUNTIF('Internal -- Trademark Countries'!B:B,AM494) &gt; 0, "polity_shortest_name", COUNTIF('Internal -- Trademark Countries'!C:C,AM494) &gt; 0, "polity_full_name", COUNTIF('Internal -- Trademark Countries'!D:D,AM494) &gt; 0, "polity_common_name", COUNTIF('Internal -- Trademark Countries'!E:E,AM494) &gt; 0, "shortest_name", COUNTIF('Internal -- Trademark Countries'!A:A,AM494) &gt; 0, "full_name", TRUE, "not a match")</f>
        <v>#NAME?</v>
      </c>
      <c r="EG494" s="30"/>
      <c r="EH494" s="30"/>
      <c r="EI494" s="30"/>
      <c r="EJ494" s="30"/>
      <c r="EK494" s="30" t="str">
        <f t="shared" si="3"/>
        <v/>
      </c>
    </row>
    <row r="495" spans="1:141" ht="16.5">
      <c r="A495" s="11"/>
      <c r="B495" s="11"/>
      <c r="C495" s="11"/>
      <c r="D495" s="11"/>
      <c r="E495" s="11"/>
      <c r="F495" s="11"/>
      <c r="G495" s="11"/>
      <c r="H495" s="11"/>
      <c r="I495" s="11"/>
      <c r="J495" s="11"/>
      <c r="K495" s="27"/>
      <c r="L495" s="11"/>
      <c r="M495" s="11"/>
      <c r="N495" s="11"/>
      <c r="O495" s="11"/>
      <c r="P495" s="15"/>
      <c r="Q495" s="15"/>
      <c r="R495" s="15"/>
      <c r="S495" s="15"/>
      <c r="T495" s="15"/>
      <c r="U495" s="15"/>
      <c r="V495" s="15"/>
      <c r="W495" s="47"/>
      <c r="X495" s="11"/>
      <c r="Y495" s="48"/>
      <c r="Z495" s="11"/>
      <c r="AA495" s="48"/>
      <c r="AB495" s="11"/>
      <c r="AC495" s="48"/>
      <c r="AD495" s="11"/>
      <c r="AE495" s="47"/>
      <c r="AF495" s="11"/>
      <c r="AG495" s="48"/>
      <c r="AH495" s="11"/>
      <c r="AI495" s="48"/>
      <c r="AJ495" s="11"/>
      <c r="AK495" s="48"/>
      <c r="AL495" s="11"/>
      <c r="AM495" s="49"/>
      <c r="AN495" s="49"/>
      <c r="AO495" s="11"/>
      <c r="AP495" s="11"/>
      <c r="AQ495" s="28" t="b">
        <f>IF(COUNTIF(SmartStatus!A$2:A1000, AM495) &gt; 2, TRUE, FALSE)</f>
        <v>0</v>
      </c>
      <c r="AR495" s="29" t="str">
        <f ca="1">IFERROR(__xludf.DUMMYFUNCTION("iferror(if(regexmatch(AO495, ""(?i)^registered""), if(EE495 &lt;&gt; ""polity_shortest_name"", ""CHECK_POLITY"", index(filter(SmartStatus!B$2:B1000, AM495 = SmartStatus!A$2:A1000, not(SmartStatus!C$2:C1000), (isblank(SmartStatus!D$2:D1000)) + ((P495 &lt;&gt; """") * "&amp;"(P495 &lt; SmartStatus!D$2:D1000)), (isblank(SmartStatus!E$2:E1000)) + ((P495 &lt;&gt; """") * (P495 &gt;= SmartStatus!E$2:E1000)), (isblank(SmartStatus!F$2:F1000)) + (((Q495 &lt;&gt; """") * (Q495 &lt; SmartStatus!F$2:F1000)) + ((P495 &lt;&gt; """") * (date(year(P495) + 3, month(P"&amp;"495), day(P495)) &lt; SmartStatus!F$2:F1000))), (isblank(SmartStatus!G$2:G1000)) + (((Q495 &lt;&gt; """") * (Q495 &gt;= SmartStatus!G$2:G1000)) + ((P495 &lt;&gt; """") * (P495 &gt;= SmartStatus!G$2:G1000)))), if(or(regexmatch(B495, ""(?i)^ir [a-z]+ designation$""), N495 &lt;&gt; """&amp;"""), 1, 2))), """"), ""NO_MATCH"")"),"")</f>
        <v/>
      </c>
      <c r="AS495" s="11"/>
      <c r="AT495" s="15"/>
      <c r="AU495" s="11"/>
      <c r="AV495" s="11"/>
      <c r="AW495" s="15"/>
      <c r="AX495" s="15"/>
      <c r="AY495" s="15"/>
      <c r="AZ495" s="11"/>
      <c r="BA495" s="15"/>
      <c r="BB495" s="11"/>
      <c r="BC495" s="11"/>
      <c r="BD495" s="15"/>
      <c r="BE495" s="11"/>
      <c r="BF495" s="11"/>
      <c r="BG495" s="15"/>
      <c r="BH495" s="15"/>
      <c r="BI495" s="15"/>
      <c r="BJ495" s="11"/>
      <c r="BK495" s="15"/>
      <c r="BL495" s="11"/>
      <c r="BM495" s="11"/>
      <c r="BN495" s="15"/>
      <c r="BO495" s="11"/>
      <c r="BP495" s="11"/>
      <c r="BQ495" s="15"/>
      <c r="BR495" s="15"/>
      <c r="BS495" s="15"/>
      <c r="BT495" s="11"/>
      <c r="BU495" s="15"/>
      <c r="BV495" s="11"/>
      <c r="BW495" s="11"/>
      <c r="BX495" s="15"/>
      <c r="BY495" s="11"/>
      <c r="BZ495" s="11"/>
      <c r="CA495" s="15"/>
      <c r="CB495" s="11"/>
      <c r="CC495" s="15"/>
      <c r="CD495" s="11"/>
      <c r="CE495" s="15"/>
      <c r="CF495" s="11"/>
      <c r="CG495" s="11"/>
      <c r="CH495" s="15"/>
      <c r="CI495" s="11"/>
      <c r="CJ495" s="11"/>
      <c r="CK495" s="15"/>
      <c r="CL495" s="11"/>
      <c r="CM495" s="11"/>
      <c r="CN495" s="11"/>
      <c r="CO495" s="11"/>
      <c r="CP495" s="28"/>
      <c r="CQ495" s="28"/>
      <c r="CR495" s="11"/>
      <c r="CS495" s="29"/>
      <c r="CT495" s="11"/>
      <c r="CU495" s="11"/>
      <c r="CV495" s="11"/>
      <c r="CW495" s="11"/>
      <c r="CX495" s="11"/>
      <c r="CY495" s="11"/>
      <c r="CZ495" s="11"/>
      <c r="DA495" s="28"/>
      <c r="DB495" s="28"/>
      <c r="DC495" s="11"/>
      <c r="DD495" s="29"/>
      <c r="DE495" s="11"/>
      <c r="DF495" s="11"/>
      <c r="DG495" s="11"/>
      <c r="DH495" s="11"/>
      <c r="DI495" s="11"/>
      <c r="DJ495" s="11"/>
      <c r="DK495" s="26"/>
      <c r="DL495" s="11"/>
      <c r="DM495" s="29"/>
      <c r="DN495" s="28"/>
      <c r="DO495" s="11"/>
      <c r="DP495" s="11"/>
      <c r="DQ495" s="11"/>
      <c r="DR495" s="29"/>
      <c r="DS495" s="28"/>
      <c r="DT495" s="11"/>
      <c r="DU495" s="26"/>
      <c r="DV495" s="11"/>
      <c r="DW495" s="29"/>
      <c r="DX495" s="28"/>
      <c r="DY495" s="11"/>
      <c r="DZ495" s="26"/>
      <c r="EA495" s="11"/>
      <c r="EB495" s="29"/>
      <c r="EC495" s="28"/>
      <c r="ED495" s="30"/>
      <c r="EE495" s="30" t="str">
        <f ca="1">IFERROR(__xludf.DUMMYFUNCTION("iferror(index(filter('Internal -- Trademark Countries'!E$2:E1000, (AM495 = 'Internal -- Trademark Countries'!B$2:B1000) + (AM495 = 'Internal -- Trademark Countries'!C$2:C1000) + (AM495 = 'Internal -- Trademark Countries'!D$2:D1000)), 1))"),"")</f>
        <v/>
      </c>
      <c r="EF495" s="30" t="e">
        <f ca="1">_xludf.ifs(AM495="", "", COUNTIF('Internal -- Trademark Countries'!B:B,AM495) &gt; 0, "polity_shortest_name", COUNTIF('Internal -- Trademark Countries'!C:C,AM495) &gt; 0, "polity_full_name", COUNTIF('Internal -- Trademark Countries'!D:D,AM495) &gt; 0, "polity_common_name", COUNTIF('Internal -- Trademark Countries'!E:E,AM495) &gt; 0, "shortest_name", COUNTIF('Internal -- Trademark Countries'!A:A,AM495) &gt; 0, "full_name", TRUE, "not a match")</f>
        <v>#NAME?</v>
      </c>
      <c r="EG495" s="30"/>
      <c r="EH495" s="30"/>
      <c r="EI495" s="30"/>
      <c r="EJ495" s="30"/>
      <c r="EK495" s="30" t="str">
        <f t="shared" si="3"/>
        <v/>
      </c>
    </row>
    <row r="496" spans="1:141" ht="16.5">
      <c r="A496" s="11"/>
      <c r="B496" s="11"/>
      <c r="C496" s="11"/>
      <c r="D496" s="11"/>
      <c r="E496" s="11"/>
      <c r="F496" s="11"/>
      <c r="G496" s="11"/>
      <c r="H496" s="11"/>
      <c r="I496" s="11"/>
      <c r="J496" s="11"/>
      <c r="K496" s="27"/>
      <c r="L496" s="11"/>
      <c r="M496" s="11"/>
      <c r="N496" s="11"/>
      <c r="O496" s="11"/>
      <c r="P496" s="15"/>
      <c r="Q496" s="15"/>
      <c r="R496" s="15"/>
      <c r="S496" s="15"/>
      <c r="T496" s="15"/>
      <c r="U496" s="15"/>
      <c r="V496" s="15"/>
      <c r="W496" s="47"/>
      <c r="X496" s="11"/>
      <c r="Y496" s="48"/>
      <c r="Z496" s="11"/>
      <c r="AA496" s="48"/>
      <c r="AB496" s="11"/>
      <c r="AC496" s="48"/>
      <c r="AD496" s="11"/>
      <c r="AE496" s="47"/>
      <c r="AF496" s="11"/>
      <c r="AG496" s="48"/>
      <c r="AH496" s="11"/>
      <c r="AI496" s="48"/>
      <c r="AJ496" s="11"/>
      <c r="AK496" s="48"/>
      <c r="AL496" s="11"/>
      <c r="AM496" s="49"/>
      <c r="AN496" s="49"/>
      <c r="AO496" s="11"/>
      <c r="AP496" s="11"/>
      <c r="AQ496" s="28" t="b">
        <f>IF(COUNTIF(SmartStatus!A$2:A1000, AM496) &gt; 2, TRUE, FALSE)</f>
        <v>0</v>
      </c>
      <c r="AR496" s="29" t="str">
        <f ca="1">IFERROR(__xludf.DUMMYFUNCTION("iferror(if(regexmatch(AO496, ""(?i)^registered""), if(EE496 &lt;&gt; ""polity_shortest_name"", ""CHECK_POLITY"", index(filter(SmartStatus!B$2:B1000, AM496 = SmartStatus!A$2:A1000, not(SmartStatus!C$2:C1000), (isblank(SmartStatus!D$2:D1000)) + ((P496 &lt;&gt; """") * "&amp;"(P496 &lt; SmartStatus!D$2:D1000)), (isblank(SmartStatus!E$2:E1000)) + ((P496 &lt;&gt; """") * (P496 &gt;= SmartStatus!E$2:E1000)), (isblank(SmartStatus!F$2:F1000)) + (((Q496 &lt;&gt; """") * (Q496 &lt; SmartStatus!F$2:F1000)) + ((P496 &lt;&gt; """") * (date(year(P496) + 3, month(P"&amp;"496), day(P496)) &lt; SmartStatus!F$2:F1000))), (isblank(SmartStatus!G$2:G1000)) + (((Q496 &lt;&gt; """") * (Q496 &gt;= SmartStatus!G$2:G1000)) + ((P496 &lt;&gt; """") * (P496 &gt;= SmartStatus!G$2:G1000)))), if(or(regexmatch(B496, ""(?i)^ir [a-z]+ designation$""), N496 &lt;&gt; """&amp;"""), 1, 2))), """"), ""NO_MATCH"")"),"")</f>
        <v/>
      </c>
      <c r="AS496" s="11"/>
      <c r="AT496" s="15"/>
      <c r="AU496" s="11"/>
      <c r="AV496" s="11"/>
      <c r="AW496" s="15"/>
      <c r="AX496" s="15"/>
      <c r="AY496" s="15"/>
      <c r="AZ496" s="11"/>
      <c r="BA496" s="15"/>
      <c r="BB496" s="11"/>
      <c r="BC496" s="11"/>
      <c r="BD496" s="15"/>
      <c r="BE496" s="11"/>
      <c r="BF496" s="11"/>
      <c r="BG496" s="15"/>
      <c r="BH496" s="15"/>
      <c r="BI496" s="15"/>
      <c r="BJ496" s="11"/>
      <c r="BK496" s="15"/>
      <c r="BL496" s="11"/>
      <c r="BM496" s="11"/>
      <c r="BN496" s="15"/>
      <c r="BO496" s="11"/>
      <c r="BP496" s="11"/>
      <c r="BQ496" s="15"/>
      <c r="BR496" s="15"/>
      <c r="BS496" s="15"/>
      <c r="BT496" s="11"/>
      <c r="BU496" s="15"/>
      <c r="BV496" s="11"/>
      <c r="BW496" s="11"/>
      <c r="BX496" s="15"/>
      <c r="BY496" s="11"/>
      <c r="BZ496" s="11"/>
      <c r="CA496" s="15"/>
      <c r="CB496" s="11"/>
      <c r="CC496" s="15"/>
      <c r="CD496" s="11"/>
      <c r="CE496" s="15"/>
      <c r="CF496" s="11"/>
      <c r="CG496" s="11"/>
      <c r="CH496" s="15"/>
      <c r="CI496" s="11"/>
      <c r="CJ496" s="11"/>
      <c r="CK496" s="15"/>
      <c r="CL496" s="11"/>
      <c r="CM496" s="11"/>
      <c r="CN496" s="11"/>
      <c r="CO496" s="11"/>
      <c r="CP496" s="28"/>
      <c r="CQ496" s="28"/>
      <c r="CR496" s="11"/>
      <c r="CS496" s="29"/>
      <c r="CT496" s="11"/>
      <c r="CU496" s="11"/>
      <c r="CV496" s="11"/>
      <c r="CW496" s="11"/>
      <c r="CX496" s="11"/>
      <c r="CY496" s="11"/>
      <c r="CZ496" s="11"/>
      <c r="DA496" s="28"/>
      <c r="DB496" s="28"/>
      <c r="DC496" s="11"/>
      <c r="DD496" s="29"/>
      <c r="DE496" s="11"/>
      <c r="DF496" s="11"/>
      <c r="DG496" s="11"/>
      <c r="DH496" s="11"/>
      <c r="DI496" s="11"/>
      <c r="DJ496" s="11"/>
      <c r="DK496" s="26"/>
      <c r="DL496" s="11"/>
      <c r="DM496" s="29"/>
      <c r="DN496" s="28"/>
      <c r="DO496" s="11"/>
      <c r="DP496" s="11"/>
      <c r="DQ496" s="11"/>
      <c r="DR496" s="29"/>
      <c r="DS496" s="28"/>
      <c r="DT496" s="11"/>
      <c r="DU496" s="26"/>
      <c r="DV496" s="11"/>
      <c r="DW496" s="29"/>
      <c r="DX496" s="28"/>
      <c r="DY496" s="11"/>
      <c r="DZ496" s="26"/>
      <c r="EA496" s="11"/>
      <c r="EB496" s="29"/>
      <c r="EC496" s="28"/>
      <c r="ED496" s="30"/>
      <c r="EE496" s="30" t="str">
        <f ca="1">IFERROR(__xludf.DUMMYFUNCTION("iferror(index(filter('Internal -- Trademark Countries'!E$2:E1000, (AM496 = 'Internal -- Trademark Countries'!B$2:B1000) + (AM496 = 'Internal -- Trademark Countries'!C$2:C1000) + (AM496 = 'Internal -- Trademark Countries'!D$2:D1000)), 1))"),"")</f>
        <v/>
      </c>
      <c r="EF496" s="30" t="e">
        <f ca="1">_xludf.ifs(AM496="", "", COUNTIF('Internal -- Trademark Countries'!B:B,AM496) &gt; 0, "polity_shortest_name", COUNTIF('Internal -- Trademark Countries'!C:C,AM496) &gt; 0, "polity_full_name", COUNTIF('Internal -- Trademark Countries'!D:D,AM496) &gt; 0, "polity_common_name", COUNTIF('Internal -- Trademark Countries'!E:E,AM496) &gt; 0, "shortest_name", COUNTIF('Internal -- Trademark Countries'!A:A,AM496) &gt; 0, "full_name", TRUE, "not a match")</f>
        <v>#NAME?</v>
      </c>
      <c r="EG496" s="30"/>
      <c r="EH496" s="30"/>
      <c r="EI496" s="30"/>
      <c r="EJ496" s="30"/>
      <c r="EK496" s="30" t="str">
        <f t="shared" si="3"/>
        <v/>
      </c>
    </row>
    <row r="497" spans="1:141" ht="16.5">
      <c r="A497" s="11"/>
      <c r="B497" s="11"/>
      <c r="C497" s="11"/>
      <c r="D497" s="11"/>
      <c r="E497" s="11"/>
      <c r="F497" s="11"/>
      <c r="G497" s="11"/>
      <c r="H497" s="11"/>
      <c r="I497" s="11"/>
      <c r="J497" s="11"/>
      <c r="K497" s="27"/>
      <c r="L497" s="11"/>
      <c r="M497" s="11"/>
      <c r="N497" s="11"/>
      <c r="O497" s="11"/>
      <c r="P497" s="15"/>
      <c r="Q497" s="15"/>
      <c r="R497" s="15"/>
      <c r="S497" s="15"/>
      <c r="T497" s="15"/>
      <c r="U497" s="15"/>
      <c r="V497" s="15"/>
      <c r="W497" s="47"/>
      <c r="X497" s="11"/>
      <c r="Y497" s="48"/>
      <c r="Z497" s="11"/>
      <c r="AA497" s="48"/>
      <c r="AB497" s="11"/>
      <c r="AC497" s="48"/>
      <c r="AD497" s="11"/>
      <c r="AE497" s="47"/>
      <c r="AF497" s="11"/>
      <c r="AG497" s="48"/>
      <c r="AH497" s="11"/>
      <c r="AI497" s="48"/>
      <c r="AJ497" s="11"/>
      <c r="AK497" s="48"/>
      <c r="AL497" s="11"/>
      <c r="AM497" s="49"/>
      <c r="AN497" s="49"/>
      <c r="AO497" s="11"/>
      <c r="AP497" s="11"/>
      <c r="AQ497" s="28" t="b">
        <f>IF(COUNTIF(SmartStatus!A$2:A1000, AM497) &gt; 2, TRUE, FALSE)</f>
        <v>0</v>
      </c>
      <c r="AR497" s="29" t="str">
        <f ca="1">IFERROR(__xludf.DUMMYFUNCTION("iferror(if(regexmatch(AO497, ""(?i)^registered""), if(EE497 &lt;&gt; ""polity_shortest_name"", ""CHECK_POLITY"", index(filter(SmartStatus!B$2:B1000, AM497 = SmartStatus!A$2:A1000, not(SmartStatus!C$2:C1000), (isblank(SmartStatus!D$2:D1000)) + ((P497 &lt;&gt; """") * "&amp;"(P497 &lt; SmartStatus!D$2:D1000)), (isblank(SmartStatus!E$2:E1000)) + ((P497 &lt;&gt; """") * (P497 &gt;= SmartStatus!E$2:E1000)), (isblank(SmartStatus!F$2:F1000)) + (((Q497 &lt;&gt; """") * (Q497 &lt; SmartStatus!F$2:F1000)) + ((P497 &lt;&gt; """") * (date(year(P497) + 3, month(P"&amp;"497), day(P497)) &lt; SmartStatus!F$2:F1000))), (isblank(SmartStatus!G$2:G1000)) + (((Q497 &lt;&gt; """") * (Q497 &gt;= SmartStatus!G$2:G1000)) + ((P497 &lt;&gt; """") * (P497 &gt;= SmartStatus!G$2:G1000)))), if(or(regexmatch(B497, ""(?i)^ir [a-z]+ designation$""), N497 &lt;&gt; """&amp;"""), 1, 2))), """"), ""NO_MATCH"")"),"")</f>
        <v/>
      </c>
      <c r="AS497" s="11"/>
      <c r="AT497" s="15"/>
      <c r="AU497" s="11"/>
      <c r="AV497" s="11"/>
      <c r="AW497" s="15"/>
      <c r="AX497" s="15"/>
      <c r="AY497" s="15"/>
      <c r="AZ497" s="11"/>
      <c r="BA497" s="15"/>
      <c r="BB497" s="11"/>
      <c r="BC497" s="11"/>
      <c r="BD497" s="15"/>
      <c r="BE497" s="11"/>
      <c r="BF497" s="11"/>
      <c r="BG497" s="15"/>
      <c r="BH497" s="15"/>
      <c r="BI497" s="15"/>
      <c r="BJ497" s="11"/>
      <c r="BK497" s="15"/>
      <c r="BL497" s="11"/>
      <c r="BM497" s="11"/>
      <c r="BN497" s="15"/>
      <c r="BO497" s="11"/>
      <c r="BP497" s="11"/>
      <c r="BQ497" s="15"/>
      <c r="BR497" s="15"/>
      <c r="BS497" s="15"/>
      <c r="BT497" s="11"/>
      <c r="BU497" s="15"/>
      <c r="BV497" s="11"/>
      <c r="BW497" s="11"/>
      <c r="BX497" s="15"/>
      <c r="BY497" s="11"/>
      <c r="BZ497" s="11"/>
      <c r="CA497" s="15"/>
      <c r="CB497" s="11"/>
      <c r="CC497" s="15"/>
      <c r="CD497" s="11"/>
      <c r="CE497" s="15"/>
      <c r="CF497" s="11"/>
      <c r="CG497" s="11"/>
      <c r="CH497" s="15"/>
      <c r="CI497" s="11"/>
      <c r="CJ497" s="11"/>
      <c r="CK497" s="15"/>
      <c r="CL497" s="11"/>
      <c r="CM497" s="11"/>
      <c r="CN497" s="11"/>
      <c r="CO497" s="11"/>
      <c r="CP497" s="28"/>
      <c r="CQ497" s="28"/>
      <c r="CR497" s="11"/>
      <c r="CS497" s="29"/>
      <c r="CT497" s="11"/>
      <c r="CU497" s="11"/>
      <c r="CV497" s="11"/>
      <c r="CW497" s="11"/>
      <c r="CX497" s="11"/>
      <c r="CY497" s="11"/>
      <c r="CZ497" s="11"/>
      <c r="DA497" s="28"/>
      <c r="DB497" s="28"/>
      <c r="DC497" s="11"/>
      <c r="DD497" s="29"/>
      <c r="DE497" s="11"/>
      <c r="DF497" s="11"/>
      <c r="DG497" s="11"/>
      <c r="DH497" s="11"/>
      <c r="DI497" s="11"/>
      <c r="DJ497" s="11"/>
      <c r="DK497" s="26"/>
      <c r="DL497" s="11"/>
      <c r="DM497" s="29"/>
      <c r="DN497" s="28"/>
      <c r="DO497" s="11"/>
      <c r="DP497" s="11"/>
      <c r="DQ497" s="11"/>
      <c r="DR497" s="29"/>
      <c r="DS497" s="28"/>
      <c r="DT497" s="11"/>
      <c r="DU497" s="26"/>
      <c r="DV497" s="11"/>
      <c r="DW497" s="29"/>
      <c r="DX497" s="28"/>
      <c r="DY497" s="11"/>
      <c r="DZ497" s="26"/>
      <c r="EA497" s="11"/>
      <c r="EB497" s="29"/>
      <c r="EC497" s="28"/>
      <c r="ED497" s="30"/>
      <c r="EE497" s="30" t="str">
        <f ca="1">IFERROR(__xludf.DUMMYFUNCTION("iferror(index(filter('Internal -- Trademark Countries'!E$2:E1000, (AM497 = 'Internal -- Trademark Countries'!B$2:B1000) + (AM497 = 'Internal -- Trademark Countries'!C$2:C1000) + (AM497 = 'Internal -- Trademark Countries'!D$2:D1000)), 1))"),"")</f>
        <v/>
      </c>
      <c r="EF497" s="30" t="e">
        <f ca="1">_xludf.ifs(AM497="", "", COUNTIF('Internal -- Trademark Countries'!B:B,AM497) &gt; 0, "polity_shortest_name", COUNTIF('Internal -- Trademark Countries'!C:C,AM497) &gt; 0, "polity_full_name", COUNTIF('Internal -- Trademark Countries'!D:D,AM497) &gt; 0, "polity_common_name", COUNTIF('Internal -- Trademark Countries'!E:E,AM497) &gt; 0, "shortest_name", COUNTIF('Internal -- Trademark Countries'!A:A,AM497) &gt; 0, "full_name", TRUE, "not a match")</f>
        <v>#NAME?</v>
      </c>
      <c r="EG497" s="30"/>
      <c r="EH497" s="30"/>
      <c r="EI497" s="30"/>
      <c r="EJ497" s="30"/>
      <c r="EK497" s="30" t="str">
        <f t="shared" si="3"/>
        <v/>
      </c>
    </row>
    <row r="498" spans="1:141" ht="16.5">
      <c r="A498" s="11"/>
      <c r="B498" s="11"/>
      <c r="C498" s="11"/>
      <c r="D498" s="11"/>
      <c r="E498" s="11"/>
      <c r="F498" s="11"/>
      <c r="G498" s="11"/>
      <c r="H498" s="11"/>
      <c r="I498" s="11"/>
      <c r="J498" s="11"/>
      <c r="K498" s="27"/>
      <c r="L498" s="11"/>
      <c r="M498" s="11"/>
      <c r="N498" s="11"/>
      <c r="O498" s="11"/>
      <c r="P498" s="15"/>
      <c r="Q498" s="15"/>
      <c r="R498" s="15"/>
      <c r="S498" s="15"/>
      <c r="T498" s="15"/>
      <c r="U498" s="15"/>
      <c r="V498" s="15"/>
      <c r="W498" s="47"/>
      <c r="X498" s="11"/>
      <c r="Y498" s="48"/>
      <c r="Z498" s="11"/>
      <c r="AA498" s="48"/>
      <c r="AB498" s="11"/>
      <c r="AC498" s="48"/>
      <c r="AD498" s="11"/>
      <c r="AE498" s="47"/>
      <c r="AF498" s="11"/>
      <c r="AG498" s="48"/>
      <c r="AH498" s="11"/>
      <c r="AI498" s="48"/>
      <c r="AJ498" s="11"/>
      <c r="AK498" s="48"/>
      <c r="AL498" s="11"/>
      <c r="AM498" s="49"/>
      <c r="AN498" s="49"/>
      <c r="AO498" s="11"/>
      <c r="AP498" s="11"/>
      <c r="AQ498" s="28" t="b">
        <f>IF(COUNTIF(SmartStatus!A$2:A1000, AM498) &gt; 2, TRUE, FALSE)</f>
        <v>0</v>
      </c>
      <c r="AR498" s="29" t="str">
        <f ca="1">IFERROR(__xludf.DUMMYFUNCTION("iferror(if(regexmatch(AO498, ""(?i)^registered""), if(EE498 &lt;&gt; ""polity_shortest_name"", ""CHECK_POLITY"", index(filter(SmartStatus!B$2:B1000, AM498 = SmartStatus!A$2:A1000, not(SmartStatus!C$2:C1000), (isblank(SmartStatus!D$2:D1000)) + ((P498 &lt;&gt; """") * "&amp;"(P498 &lt; SmartStatus!D$2:D1000)), (isblank(SmartStatus!E$2:E1000)) + ((P498 &lt;&gt; """") * (P498 &gt;= SmartStatus!E$2:E1000)), (isblank(SmartStatus!F$2:F1000)) + (((Q498 &lt;&gt; """") * (Q498 &lt; SmartStatus!F$2:F1000)) + ((P498 &lt;&gt; """") * (date(year(P498) + 3, month(P"&amp;"498), day(P498)) &lt; SmartStatus!F$2:F1000))), (isblank(SmartStatus!G$2:G1000)) + (((Q498 &lt;&gt; """") * (Q498 &gt;= SmartStatus!G$2:G1000)) + ((P498 &lt;&gt; """") * (P498 &gt;= SmartStatus!G$2:G1000)))), if(or(regexmatch(B498, ""(?i)^ir [a-z]+ designation$""), N498 &lt;&gt; """&amp;"""), 1, 2))), """"), ""NO_MATCH"")"),"")</f>
        <v/>
      </c>
      <c r="AS498" s="11"/>
      <c r="AT498" s="15"/>
      <c r="AU498" s="11"/>
      <c r="AV498" s="11"/>
      <c r="AW498" s="15"/>
      <c r="AX498" s="15"/>
      <c r="AY498" s="15"/>
      <c r="AZ498" s="11"/>
      <c r="BA498" s="15"/>
      <c r="BB498" s="11"/>
      <c r="BC498" s="11"/>
      <c r="BD498" s="15"/>
      <c r="BE498" s="11"/>
      <c r="BF498" s="11"/>
      <c r="BG498" s="15"/>
      <c r="BH498" s="15"/>
      <c r="BI498" s="15"/>
      <c r="BJ498" s="11"/>
      <c r="BK498" s="15"/>
      <c r="BL498" s="11"/>
      <c r="BM498" s="11"/>
      <c r="BN498" s="15"/>
      <c r="BO498" s="11"/>
      <c r="BP498" s="11"/>
      <c r="BQ498" s="15"/>
      <c r="BR498" s="15"/>
      <c r="BS498" s="15"/>
      <c r="BT498" s="11"/>
      <c r="BU498" s="15"/>
      <c r="BV498" s="11"/>
      <c r="BW498" s="11"/>
      <c r="BX498" s="15"/>
      <c r="BY498" s="11"/>
      <c r="BZ498" s="11"/>
      <c r="CA498" s="15"/>
      <c r="CB498" s="11"/>
      <c r="CC498" s="15"/>
      <c r="CD498" s="11"/>
      <c r="CE498" s="15"/>
      <c r="CF498" s="11"/>
      <c r="CG498" s="11"/>
      <c r="CH498" s="15"/>
      <c r="CI498" s="11"/>
      <c r="CJ498" s="11"/>
      <c r="CK498" s="15"/>
      <c r="CL498" s="11"/>
      <c r="CM498" s="11"/>
      <c r="CN498" s="11"/>
      <c r="CO498" s="11"/>
      <c r="CP498" s="28"/>
      <c r="CQ498" s="28"/>
      <c r="CR498" s="11"/>
      <c r="CS498" s="29"/>
      <c r="CT498" s="11"/>
      <c r="CU498" s="11"/>
      <c r="CV498" s="11"/>
      <c r="CW498" s="11"/>
      <c r="CX498" s="11"/>
      <c r="CY498" s="11"/>
      <c r="CZ498" s="11"/>
      <c r="DA498" s="28"/>
      <c r="DB498" s="28"/>
      <c r="DC498" s="11"/>
      <c r="DD498" s="29"/>
      <c r="DE498" s="11"/>
      <c r="DF498" s="11"/>
      <c r="DG498" s="11"/>
      <c r="DH498" s="11"/>
      <c r="DI498" s="11"/>
      <c r="DJ498" s="11"/>
      <c r="DK498" s="26"/>
      <c r="DL498" s="11"/>
      <c r="DM498" s="29"/>
      <c r="DN498" s="28"/>
      <c r="DO498" s="11"/>
      <c r="DP498" s="11"/>
      <c r="DQ498" s="11"/>
      <c r="DR498" s="29"/>
      <c r="DS498" s="28"/>
      <c r="DT498" s="11"/>
      <c r="DU498" s="26"/>
      <c r="DV498" s="11"/>
      <c r="DW498" s="29"/>
      <c r="DX498" s="28"/>
      <c r="DY498" s="11"/>
      <c r="DZ498" s="26"/>
      <c r="EA498" s="11"/>
      <c r="EB498" s="29"/>
      <c r="EC498" s="28"/>
      <c r="ED498" s="30"/>
      <c r="EE498" s="30" t="str">
        <f ca="1">IFERROR(__xludf.DUMMYFUNCTION("iferror(index(filter('Internal -- Trademark Countries'!E$2:E1000, (AM498 = 'Internal -- Trademark Countries'!B$2:B1000) + (AM498 = 'Internal -- Trademark Countries'!C$2:C1000) + (AM498 = 'Internal -- Trademark Countries'!D$2:D1000)), 1))"),"")</f>
        <v/>
      </c>
      <c r="EF498" s="30" t="e">
        <f ca="1">_xludf.ifs(AM498="", "", COUNTIF('Internal -- Trademark Countries'!B:B,AM498) &gt; 0, "polity_shortest_name", COUNTIF('Internal -- Trademark Countries'!C:C,AM498) &gt; 0, "polity_full_name", COUNTIF('Internal -- Trademark Countries'!D:D,AM498) &gt; 0, "polity_common_name", COUNTIF('Internal -- Trademark Countries'!E:E,AM498) &gt; 0, "shortest_name", COUNTIF('Internal -- Trademark Countries'!A:A,AM498) &gt; 0, "full_name", TRUE, "not a match")</f>
        <v>#NAME?</v>
      </c>
      <c r="EG498" s="30"/>
      <c r="EH498" s="30"/>
      <c r="EI498" s="30"/>
      <c r="EJ498" s="30"/>
      <c r="EK498" s="30" t="str">
        <f t="shared" si="3"/>
        <v/>
      </c>
    </row>
    <row r="499" spans="1:141" ht="16.5">
      <c r="A499" s="11"/>
      <c r="B499" s="11"/>
      <c r="C499" s="11"/>
      <c r="D499" s="11"/>
      <c r="E499" s="11"/>
      <c r="F499" s="11"/>
      <c r="G499" s="11"/>
      <c r="H499" s="11"/>
      <c r="I499" s="11"/>
      <c r="J499" s="11"/>
      <c r="K499" s="27"/>
      <c r="L499" s="11"/>
      <c r="M499" s="11"/>
      <c r="N499" s="11"/>
      <c r="O499" s="11"/>
      <c r="P499" s="15"/>
      <c r="Q499" s="15"/>
      <c r="R499" s="15"/>
      <c r="S499" s="15"/>
      <c r="T499" s="15"/>
      <c r="U499" s="15"/>
      <c r="V499" s="15"/>
      <c r="W499" s="47"/>
      <c r="X499" s="11"/>
      <c r="Y499" s="48"/>
      <c r="Z499" s="11"/>
      <c r="AA499" s="48"/>
      <c r="AB499" s="11"/>
      <c r="AC499" s="48"/>
      <c r="AD499" s="11"/>
      <c r="AE499" s="47"/>
      <c r="AF499" s="11"/>
      <c r="AG499" s="48"/>
      <c r="AH499" s="11"/>
      <c r="AI499" s="48"/>
      <c r="AJ499" s="11"/>
      <c r="AK499" s="48"/>
      <c r="AL499" s="11"/>
      <c r="AM499" s="49"/>
      <c r="AN499" s="49"/>
      <c r="AO499" s="11"/>
      <c r="AP499" s="11"/>
      <c r="AQ499" s="28" t="b">
        <f>IF(COUNTIF(SmartStatus!A$2:A1000, AM499) &gt; 2, TRUE, FALSE)</f>
        <v>0</v>
      </c>
      <c r="AR499" s="29" t="str">
        <f ca="1">IFERROR(__xludf.DUMMYFUNCTION("iferror(if(regexmatch(AO499, ""(?i)^registered""), if(EE499 &lt;&gt; ""polity_shortest_name"", ""CHECK_POLITY"", index(filter(SmartStatus!B$2:B1000, AM499 = SmartStatus!A$2:A1000, not(SmartStatus!C$2:C1000), (isblank(SmartStatus!D$2:D1000)) + ((P499 &lt;&gt; """") * "&amp;"(P499 &lt; SmartStatus!D$2:D1000)), (isblank(SmartStatus!E$2:E1000)) + ((P499 &lt;&gt; """") * (P499 &gt;= SmartStatus!E$2:E1000)), (isblank(SmartStatus!F$2:F1000)) + (((Q499 &lt;&gt; """") * (Q499 &lt; SmartStatus!F$2:F1000)) + ((P499 &lt;&gt; """") * (date(year(P499) + 3, month(P"&amp;"499), day(P499)) &lt; SmartStatus!F$2:F1000))), (isblank(SmartStatus!G$2:G1000)) + (((Q499 &lt;&gt; """") * (Q499 &gt;= SmartStatus!G$2:G1000)) + ((P499 &lt;&gt; """") * (P499 &gt;= SmartStatus!G$2:G1000)))), if(or(regexmatch(B499, ""(?i)^ir [a-z]+ designation$""), N499 &lt;&gt; """&amp;"""), 1, 2))), """"), ""NO_MATCH"")"),"")</f>
        <v/>
      </c>
      <c r="AS499" s="11"/>
      <c r="AT499" s="15"/>
      <c r="AU499" s="11"/>
      <c r="AV499" s="11"/>
      <c r="AW499" s="15"/>
      <c r="AX499" s="15"/>
      <c r="AY499" s="15"/>
      <c r="AZ499" s="11"/>
      <c r="BA499" s="15"/>
      <c r="BB499" s="11"/>
      <c r="BC499" s="11"/>
      <c r="BD499" s="15"/>
      <c r="BE499" s="11"/>
      <c r="BF499" s="11"/>
      <c r="BG499" s="15"/>
      <c r="BH499" s="15"/>
      <c r="BI499" s="15"/>
      <c r="BJ499" s="11"/>
      <c r="BK499" s="15"/>
      <c r="BL499" s="11"/>
      <c r="BM499" s="11"/>
      <c r="BN499" s="15"/>
      <c r="BO499" s="11"/>
      <c r="BP499" s="11"/>
      <c r="BQ499" s="15"/>
      <c r="BR499" s="15"/>
      <c r="BS499" s="15"/>
      <c r="BT499" s="11"/>
      <c r="BU499" s="15"/>
      <c r="BV499" s="11"/>
      <c r="BW499" s="11"/>
      <c r="BX499" s="15"/>
      <c r="BY499" s="11"/>
      <c r="BZ499" s="11"/>
      <c r="CA499" s="15"/>
      <c r="CB499" s="11"/>
      <c r="CC499" s="15"/>
      <c r="CD499" s="11"/>
      <c r="CE499" s="15"/>
      <c r="CF499" s="11"/>
      <c r="CG499" s="11"/>
      <c r="CH499" s="15"/>
      <c r="CI499" s="11"/>
      <c r="CJ499" s="11"/>
      <c r="CK499" s="15"/>
      <c r="CL499" s="11"/>
      <c r="CM499" s="11"/>
      <c r="CN499" s="11"/>
      <c r="CO499" s="11"/>
      <c r="CP499" s="28"/>
      <c r="CQ499" s="28"/>
      <c r="CR499" s="11"/>
      <c r="CS499" s="29"/>
      <c r="CT499" s="11"/>
      <c r="CU499" s="11"/>
      <c r="CV499" s="11"/>
      <c r="CW499" s="11"/>
      <c r="CX499" s="11"/>
      <c r="CY499" s="11"/>
      <c r="CZ499" s="11"/>
      <c r="DA499" s="28"/>
      <c r="DB499" s="28"/>
      <c r="DC499" s="11"/>
      <c r="DD499" s="29"/>
      <c r="DE499" s="11"/>
      <c r="DF499" s="11"/>
      <c r="DG499" s="11"/>
      <c r="DH499" s="11"/>
      <c r="DI499" s="11"/>
      <c r="DJ499" s="11"/>
      <c r="DK499" s="26"/>
      <c r="DL499" s="11"/>
      <c r="DM499" s="29"/>
      <c r="DN499" s="28"/>
      <c r="DO499" s="11"/>
      <c r="DP499" s="11"/>
      <c r="DQ499" s="11"/>
      <c r="DR499" s="29"/>
      <c r="DS499" s="28"/>
      <c r="DT499" s="11"/>
      <c r="DU499" s="26"/>
      <c r="DV499" s="11"/>
      <c r="DW499" s="29"/>
      <c r="DX499" s="28"/>
      <c r="DY499" s="11"/>
      <c r="DZ499" s="26"/>
      <c r="EA499" s="11"/>
      <c r="EB499" s="29"/>
      <c r="EC499" s="28"/>
      <c r="ED499" s="30"/>
      <c r="EE499" s="30" t="str">
        <f ca="1">IFERROR(__xludf.DUMMYFUNCTION("iferror(index(filter('Internal -- Trademark Countries'!E$2:E1000, (AM499 = 'Internal -- Trademark Countries'!B$2:B1000) + (AM499 = 'Internal -- Trademark Countries'!C$2:C1000) + (AM499 = 'Internal -- Trademark Countries'!D$2:D1000)), 1))"),"")</f>
        <v/>
      </c>
      <c r="EF499" s="30" t="e">
        <f ca="1">_xludf.ifs(AM499="", "", COUNTIF('Internal -- Trademark Countries'!B:B,AM499) &gt; 0, "polity_shortest_name", COUNTIF('Internal -- Trademark Countries'!C:C,AM499) &gt; 0, "polity_full_name", COUNTIF('Internal -- Trademark Countries'!D:D,AM499) &gt; 0, "polity_common_name", COUNTIF('Internal -- Trademark Countries'!E:E,AM499) &gt; 0, "shortest_name", COUNTIF('Internal -- Trademark Countries'!A:A,AM499) &gt; 0, "full_name", TRUE, "not a match")</f>
        <v>#NAME?</v>
      </c>
      <c r="EG499" s="30"/>
      <c r="EH499" s="30"/>
      <c r="EI499" s="30"/>
      <c r="EJ499" s="30"/>
      <c r="EK499" s="30" t="str">
        <f t="shared" si="3"/>
        <v/>
      </c>
    </row>
    <row r="500" spans="1:141" ht="16.5">
      <c r="A500" s="11"/>
      <c r="B500" s="11"/>
      <c r="C500" s="11"/>
      <c r="D500" s="11"/>
      <c r="E500" s="11"/>
      <c r="F500" s="11"/>
      <c r="G500" s="11"/>
      <c r="H500" s="11"/>
      <c r="I500" s="11"/>
      <c r="J500" s="11"/>
      <c r="K500" s="27"/>
      <c r="L500" s="11"/>
      <c r="M500" s="11"/>
      <c r="N500" s="11"/>
      <c r="O500" s="11"/>
      <c r="P500" s="15"/>
      <c r="Q500" s="15"/>
      <c r="R500" s="15"/>
      <c r="S500" s="15"/>
      <c r="T500" s="15"/>
      <c r="U500" s="15"/>
      <c r="V500" s="15"/>
      <c r="W500" s="47"/>
      <c r="X500" s="11"/>
      <c r="Y500" s="48"/>
      <c r="Z500" s="11"/>
      <c r="AA500" s="48"/>
      <c r="AB500" s="11"/>
      <c r="AC500" s="48"/>
      <c r="AD500" s="11"/>
      <c r="AE500" s="47"/>
      <c r="AF500" s="11"/>
      <c r="AG500" s="48"/>
      <c r="AH500" s="11"/>
      <c r="AI500" s="48"/>
      <c r="AJ500" s="11"/>
      <c r="AK500" s="48"/>
      <c r="AL500" s="11"/>
      <c r="AM500" s="49"/>
      <c r="AN500" s="49"/>
      <c r="AO500" s="11"/>
      <c r="AP500" s="11"/>
      <c r="AQ500" s="28" t="b">
        <f>IF(COUNTIF(SmartStatus!A$2:A1000, AM500) &gt; 2, TRUE, FALSE)</f>
        <v>0</v>
      </c>
      <c r="AR500" s="29" t="str">
        <f ca="1">IFERROR(__xludf.DUMMYFUNCTION("iferror(if(regexmatch(AO500, ""(?i)^registered""), if(EE500 &lt;&gt; ""polity_shortest_name"", ""CHECK_POLITY"", index(filter(SmartStatus!B$2:B1000, AM500 = SmartStatus!A$2:A1000, not(SmartStatus!C$2:C1000), (isblank(SmartStatus!D$2:D1000)) + ((P500 &lt;&gt; """") * "&amp;"(P500 &lt; SmartStatus!D$2:D1000)), (isblank(SmartStatus!E$2:E1000)) + ((P500 &lt;&gt; """") * (P500 &gt;= SmartStatus!E$2:E1000)), (isblank(SmartStatus!F$2:F1000)) + (((Q500 &lt;&gt; """") * (Q500 &lt; SmartStatus!F$2:F1000)) + ((P500 &lt;&gt; """") * (date(year(P500) + 3, month(P"&amp;"500), day(P500)) &lt; SmartStatus!F$2:F1000))), (isblank(SmartStatus!G$2:G1000)) + (((Q500 &lt;&gt; """") * (Q500 &gt;= SmartStatus!G$2:G1000)) + ((P500 &lt;&gt; """") * (P500 &gt;= SmartStatus!G$2:G1000)))), if(or(regexmatch(B500, ""(?i)^ir [a-z]+ designation$""), N500 &lt;&gt; """&amp;"""), 1, 2))), """"), ""NO_MATCH"")"),"")</f>
        <v/>
      </c>
      <c r="AS500" s="11"/>
      <c r="AT500" s="15"/>
      <c r="AU500" s="11"/>
      <c r="AV500" s="11"/>
      <c r="AW500" s="15"/>
      <c r="AX500" s="15"/>
      <c r="AY500" s="15"/>
      <c r="AZ500" s="11"/>
      <c r="BA500" s="15"/>
      <c r="BB500" s="11"/>
      <c r="BC500" s="11"/>
      <c r="BD500" s="15"/>
      <c r="BE500" s="11"/>
      <c r="BF500" s="11"/>
      <c r="BG500" s="15"/>
      <c r="BH500" s="15"/>
      <c r="BI500" s="15"/>
      <c r="BJ500" s="11"/>
      <c r="BK500" s="15"/>
      <c r="BL500" s="11"/>
      <c r="BM500" s="11"/>
      <c r="BN500" s="15"/>
      <c r="BO500" s="11"/>
      <c r="BP500" s="11"/>
      <c r="BQ500" s="15"/>
      <c r="BR500" s="15"/>
      <c r="BS500" s="15"/>
      <c r="BT500" s="11"/>
      <c r="BU500" s="15"/>
      <c r="BV500" s="11"/>
      <c r="BW500" s="11"/>
      <c r="BX500" s="15"/>
      <c r="BY500" s="11"/>
      <c r="BZ500" s="11"/>
      <c r="CA500" s="15"/>
      <c r="CB500" s="11"/>
      <c r="CC500" s="15"/>
      <c r="CD500" s="11"/>
      <c r="CE500" s="15"/>
      <c r="CF500" s="11"/>
      <c r="CG500" s="11"/>
      <c r="CH500" s="15"/>
      <c r="CI500" s="11"/>
      <c r="CJ500" s="11"/>
      <c r="CK500" s="15"/>
      <c r="CL500" s="11"/>
      <c r="CM500" s="11"/>
      <c r="CN500" s="11"/>
      <c r="CO500" s="11"/>
      <c r="CP500" s="28"/>
      <c r="CQ500" s="28"/>
      <c r="CR500" s="11"/>
      <c r="CS500" s="29"/>
      <c r="CT500" s="11"/>
      <c r="CU500" s="11"/>
      <c r="CV500" s="11"/>
      <c r="CW500" s="11"/>
      <c r="CX500" s="11"/>
      <c r="CY500" s="11"/>
      <c r="CZ500" s="11"/>
      <c r="DA500" s="28"/>
      <c r="DB500" s="28"/>
      <c r="DC500" s="11"/>
      <c r="DD500" s="29"/>
      <c r="DE500" s="11"/>
      <c r="DF500" s="11"/>
      <c r="DG500" s="11"/>
      <c r="DH500" s="11"/>
      <c r="DI500" s="11"/>
      <c r="DJ500" s="11"/>
      <c r="DK500" s="26"/>
      <c r="DL500" s="11"/>
      <c r="DM500" s="29"/>
      <c r="DN500" s="28"/>
      <c r="DO500" s="11"/>
      <c r="DP500" s="11"/>
      <c r="DQ500" s="11"/>
      <c r="DR500" s="29"/>
      <c r="DS500" s="28"/>
      <c r="DT500" s="11"/>
      <c r="DU500" s="26"/>
      <c r="DV500" s="11"/>
      <c r="DW500" s="29"/>
      <c r="DX500" s="28"/>
      <c r="DY500" s="11"/>
      <c r="DZ500" s="26"/>
      <c r="EA500" s="11"/>
      <c r="EB500" s="29"/>
      <c r="EC500" s="28"/>
      <c r="ED500" s="30"/>
      <c r="EE500" s="30" t="str">
        <f ca="1">IFERROR(__xludf.DUMMYFUNCTION("iferror(index(filter('Internal -- Trademark Countries'!E$2:E1000, (AM500 = 'Internal -- Trademark Countries'!B$2:B1000) + (AM500 = 'Internal -- Trademark Countries'!C$2:C1000) + (AM500 = 'Internal -- Trademark Countries'!D$2:D1000)), 1))"),"")</f>
        <v/>
      </c>
      <c r="EF500" s="30" t="e">
        <f ca="1">_xludf.ifs(AM500="", "", COUNTIF('Internal -- Trademark Countries'!B:B,AM500) &gt; 0, "polity_shortest_name", COUNTIF('Internal -- Trademark Countries'!C:C,AM500) &gt; 0, "polity_full_name", COUNTIF('Internal -- Trademark Countries'!D:D,AM500) &gt; 0, "polity_common_name", COUNTIF('Internal -- Trademark Countries'!E:E,AM500) &gt; 0, "shortest_name", COUNTIF('Internal -- Trademark Countries'!A:A,AM500) &gt; 0, "full_name", TRUE, "not a match")</f>
        <v>#NAME?</v>
      </c>
      <c r="EG500" s="30"/>
      <c r="EH500" s="30"/>
      <c r="EI500" s="30"/>
      <c r="EJ500" s="30"/>
      <c r="EK500" s="30" t="str">
        <f t="shared" si="3"/>
        <v/>
      </c>
    </row>
    <row r="501" spans="1:141" ht="16.5">
      <c r="A501" s="11"/>
      <c r="B501" s="11"/>
      <c r="C501" s="11"/>
      <c r="D501" s="11"/>
      <c r="E501" s="11"/>
      <c r="F501" s="11"/>
      <c r="G501" s="11"/>
      <c r="H501" s="11"/>
      <c r="I501" s="11"/>
      <c r="J501" s="11"/>
      <c r="K501" s="27"/>
      <c r="L501" s="11"/>
      <c r="M501" s="11"/>
      <c r="N501" s="11"/>
      <c r="O501" s="11"/>
      <c r="P501" s="15"/>
      <c r="Q501" s="15"/>
      <c r="R501" s="15"/>
      <c r="S501" s="15"/>
      <c r="T501" s="15"/>
      <c r="U501" s="15"/>
      <c r="V501" s="15"/>
      <c r="W501" s="47"/>
      <c r="X501" s="11"/>
      <c r="Y501" s="48"/>
      <c r="Z501" s="11"/>
      <c r="AA501" s="48"/>
      <c r="AB501" s="11"/>
      <c r="AC501" s="48"/>
      <c r="AD501" s="11"/>
      <c r="AE501" s="47"/>
      <c r="AF501" s="11"/>
      <c r="AG501" s="48"/>
      <c r="AH501" s="11"/>
      <c r="AI501" s="48"/>
      <c r="AJ501" s="11"/>
      <c r="AK501" s="48"/>
      <c r="AL501" s="11"/>
      <c r="AM501" s="49"/>
      <c r="AN501" s="49"/>
      <c r="AO501" s="11"/>
      <c r="AP501" s="11"/>
      <c r="AQ501" s="28" t="b">
        <f>IF(COUNTIF(SmartStatus!A$2:A1000, AM501) &gt; 2, TRUE, FALSE)</f>
        <v>0</v>
      </c>
      <c r="AR501" s="29" t="str">
        <f ca="1">IFERROR(__xludf.DUMMYFUNCTION("iferror(if(regexmatch(AO501, ""(?i)^registered""), if(EE501 &lt;&gt; ""polity_shortest_name"", ""CHECK_POLITY"", index(filter(SmartStatus!B$2:B1000, AM501 = SmartStatus!A$2:A1000, not(SmartStatus!C$2:C1000), (isblank(SmartStatus!D$2:D1000)) + ((P501 &lt;&gt; """") * "&amp;"(P501 &lt; SmartStatus!D$2:D1000)), (isblank(SmartStatus!E$2:E1000)) + ((P501 &lt;&gt; """") * (P501 &gt;= SmartStatus!E$2:E1000)), (isblank(SmartStatus!F$2:F1000)) + (((Q501 &lt;&gt; """") * (Q501 &lt; SmartStatus!F$2:F1000)) + ((P501 &lt;&gt; """") * (date(year(P501) + 3, month(P"&amp;"501), day(P501)) &lt; SmartStatus!F$2:F1000))), (isblank(SmartStatus!G$2:G1000)) + (((Q501 &lt;&gt; """") * (Q501 &gt;= SmartStatus!G$2:G1000)) + ((P501 &lt;&gt; """") * (P501 &gt;= SmartStatus!G$2:G1000)))), if(or(regexmatch(B501, ""(?i)^ir [a-z]+ designation$""), N501 &lt;&gt; """&amp;"""), 1, 2))), """"), ""NO_MATCH"")"),"")</f>
        <v/>
      </c>
      <c r="AS501" s="11"/>
      <c r="AT501" s="15"/>
      <c r="AU501" s="11"/>
      <c r="AV501" s="11"/>
      <c r="AW501" s="15"/>
      <c r="AX501" s="15"/>
      <c r="AY501" s="15"/>
      <c r="AZ501" s="11"/>
      <c r="BA501" s="15"/>
      <c r="BB501" s="11"/>
      <c r="BC501" s="11"/>
      <c r="BD501" s="15"/>
      <c r="BE501" s="11"/>
      <c r="BF501" s="11"/>
      <c r="BG501" s="15"/>
      <c r="BH501" s="15"/>
      <c r="BI501" s="15"/>
      <c r="BJ501" s="11"/>
      <c r="BK501" s="15"/>
      <c r="BL501" s="11"/>
      <c r="BM501" s="11"/>
      <c r="BN501" s="15"/>
      <c r="BO501" s="11"/>
      <c r="BP501" s="11"/>
      <c r="BQ501" s="15"/>
      <c r="BR501" s="15"/>
      <c r="BS501" s="15"/>
      <c r="BT501" s="11"/>
      <c r="BU501" s="15"/>
      <c r="BV501" s="11"/>
      <c r="BW501" s="11"/>
      <c r="BX501" s="15"/>
      <c r="BY501" s="11"/>
      <c r="BZ501" s="11"/>
      <c r="CA501" s="15"/>
      <c r="CB501" s="11"/>
      <c r="CC501" s="15"/>
      <c r="CD501" s="11"/>
      <c r="CE501" s="15"/>
      <c r="CF501" s="11"/>
      <c r="CG501" s="11"/>
      <c r="CH501" s="15"/>
      <c r="CI501" s="11"/>
      <c r="CJ501" s="11"/>
      <c r="CK501" s="15"/>
      <c r="CL501" s="11"/>
      <c r="CM501" s="11"/>
      <c r="CN501" s="11"/>
      <c r="CO501" s="11"/>
      <c r="CP501" s="28"/>
      <c r="CQ501" s="28"/>
      <c r="CR501" s="11"/>
      <c r="CS501" s="29"/>
      <c r="CT501" s="11"/>
      <c r="CU501" s="11"/>
      <c r="CV501" s="11"/>
      <c r="CW501" s="11"/>
      <c r="CX501" s="11"/>
      <c r="CY501" s="11"/>
      <c r="CZ501" s="11"/>
      <c r="DA501" s="28"/>
      <c r="DB501" s="28"/>
      <c r="DC501" s="11"/>
      <c r="DD501" s="29"/>
      <c r="DE501" s="11"/>
      <c r="DF501" s="11"/>
      <c r="DG501" s="11"/>
      <c r="DH501" s="11"/>
      <c r="DI501" s="11"/>
      <c r="DJ501" s="11"/>
      <c r="DK501" s="26"/>
      <c r="DL501" s="11"/>
      <c r="DM501" s="29"/>
      <c r="DN501" s="28"/>
      <c r="DO501" s="11"/>
      <c r="DP501" s="11"/>
      <c r="DQ501" s="11"/>
      <c r="DR501" s="29"/>
      <c r="DS501" s="28"/>
      <c r="DT501" s="11"/>
      <c r="DU501" s="26"/>
      <c r="DV501" s="11"/>
      <c r="DW501" s="29"/>
      <c r="DX501" s="28"/>
      <c r="DY501" s="11"/>
      <c r="DZ501" s="26"/>
      <c r="EA501" s="11"/>
      <c r="EB501" s="29"/>
      <c r="EC501" s="28"/>
      <c r="ED501" s="30"/>
      <c r="EE501" s="30" t="str">
        <f ca="1">IFERROR(__xludf.DUMMYFUNCTION("iferror(index(filter('Internal -- Trademark Countries'!E$2:E1000, (AM501 = 'Internal -- Trademark Countries'!B$2:B1000) + (AM501 = 'Internal -- Trademark Countries'!C$2:C1000) + (AM501 = 'Internal -- Trademark Countries'!D$2:D1000)), 1))"),"")</f>
        <v/>
      </c>
      <c r="EF501" s="30" t="e">
        <f ca="1">_xludf.ifs(AM501="", "", COUNTIF('Internal -- Trademark Countries'!B:B,AM501) &gt; 0, "polity_shortest_name", COUNTIF('Internal -- Trademark Countries'!C:C,AM501) &gt; 0, "polity_full_name", COUNTIF('Internal -- Trademark Countries'!D:D,AM501) &gt; 0, "polity_common_name", COUNTIF('Internal -- Trademark Countries'!E:E,AM501) &gt; 0, "shortest_name", COUNTIF('Internal -- Trademark Countries'!A:A,AM501) &gt; 0, "full_name", TRUE, "not a match")</f>
        <v>#NAME?</v>
      </c>
      <c r="EG501" s="30"/>
      <c r="EH501" s="30"/>
      <c r="EI501" s="30"/>
      <c r="EJ501" s="30"/>
      <c r="EK501" s="30" t="str">
        <f t="shared" si="3"/>
        <v/>
      </c>
    </row>
    <row r="502" spans="1:141" ht="16.5">
      <c r="A502" s="11"/>
      <c r="B502" s="11"/>
      <c r="C502" s="11"/>
      <c r="D502" s="11"/>
      <c r="E502" s="11"/>
      <c r="F502" s="11"/>
      <c r="G502" s="11"/>
      <c r="H502" s="11"/>
      <c r="I502" s="11"/>
      <c r="J502" s="11"/>
      <c r="K502" s="27"/>
      <c r="L502" s="11"/>
      <c r="M502" s="11"/>
      <c r="N502" s="11"/>
      <c r="O502" s="11"/>
      <c r="P502" s="15"/>
      <c r="Q502" s="15"/>
      <c r="R502" s="15"/>
      <c r="S502" s="15"/>
      <c r="T502" s="15"/>
      <c r="U502" s="15"/>
      <c r="V502" s="15"/>
      <c r="W502" s="47"/>
      <c r="X502" s="11"/>
      <c r="Y502" s="48"/>
      <c r="Z502" s="11"/>
      <c r="AA502" s="48"/>
      <c r="AB502" s="11"/>
      <c r="AC502" s="48"/>
      <c r="AD502" s="11"/>
      <c r="AE502" s="47"/>
      <c r="AF502" s="11"/>
      <c r="AG502" s="48"/>
      <c r="AH502" s="11"/>
      <c r="AI502" s="48"/>
      <c r="AJ502" s="11"/>
      <c r="AK502" s="48"/>
      <c r="AL502" s="11"/>
      <c r="AM502" s="49"/>
      <c r="AN502" s="49"/>
      <c r="AO502" s="11"/>
      <c r="AP502" s="11"/>
      <c r="AQ502" s="28" t="b">
        <f>IF(COUNTIF(SmartStatus!A$2:A1000, AM502) &gt; 2, TRUE, FALSE)</f>
        <v>0</v>
      </c>
      <c r="AR502" s="29" t="str">
        <f ca="1">IFERROR(__xludf.DUMMYFUNCTION("iferror(if(regexmatch(AO502, ""(?i)^registered""), if(EE502 &lt;&gt; ""polity_shortest_name"", ""CHECK_POLITY"", index(filter(SmartStatus!B$2:B1000, AM502 = SmartStatus!A$2:A1000, not(SmartStatus!C$2:C1000), (isblank(SmartStatus!D$2:D1000)) + ((P502 &lt;&gt; """") * "&amp;"(P502 &lt; SmartStatus!D$2:D1000)), (isblank(SmartStatus!E$2:E1000)) + ((P502 &lt;&gt; """") * (P502 &gt;= SmartStatus!E$2:E1000)), (isblank(SmartStatus!F$2:F1000)) + (((Q502 &lt;&gt; """") * (Q502 &lt; SmartStatus!F$2:F1000)) + ((P502 &lt;&gt; """") * (date(year(P502) + 3, month(P"&amp;"502), day(P502)) &lt; SmartStatus!F$2:F1000))), (isblank(SmartStatus!G$2:G1000)) + (((Q502 &lt;&gt; """") * (Q502 &gt;= SmartStatus!G$2:G1000)) + ((P502 &lt;&gt; """") * (P502 &gt;= SmartStatus!G$2:G1000)))), if(or(regexmatch(B502, ""(?i)^ir [a-z]+ designation$""), N502 &lt;&gt; """&amp;"""), 1, 2))), """"), ""NO_MATCH"")"),"")</f>
        <v/>
      </c>
      <c r="AS502" s="11"/>
      <c r="AT502" s="15"/>
      <c r="AU502" s="11"/>
      <c r="AV502" s="11"/>
      <c r="AW502" s="15"/>
      <c r="AX502" s="15"/>
      <c r="AY502" s="15"/>
      <c r="AZ502" s="11"/>
      <c r="BA502" s="15"/>
      <c r="BB502" s="11"/>
      <c r="BC502" s="11"/>
      <c r="BD502" s="15"/>
      <c r="BE502" s="11"/>
      <c r="BF502" s="11"/>
      <c r="BG502" s="15"/>
      <c r="BH502" s="15"/>
      <c r="BI502" s="15"/>
      <c r="BJ502" s="11"/>
      <c r="BK502" s="15"/>
      <c r="BL502" s="11"/>
      <c r="BM502" s="11"/>
      <c r="BN502" s="15"/>
      <c r="BO502" s="11"/>
      <c r="BP502" s="11"/>
      <c r="BQ502" s="15"/>
      <c r="BR502" s="15"/>
      <c r="BS502" s="15"/>
      <c r="BT502" s="11"/>
      <c r="BU502" s="15"/>
      <c r="BV502" s="11"/>
      <c r="BW502" s="11"/>
      <c r="BX502" s="15"/>
      <c r="BY502" s="11"/>
      <c r="BZ502" s="11"/>
      <c r="CA502" s="15"/>
      <c r="CB502" s="11"/>
      <c r="CC502" s="15"/>
      <c r="CD502" s="11"/>
      <c r="CE502" s="15"/>
      <c r="CF502" s="11"/>
      <c r="CG502" s="11"/>
      <c r="CH502" s="15"/>
      <c r="CI502" s="11"/>
      <c r="CJ502" s="11"/>
      <c r="CK502" s="15"/>
      <c r="CL502" s="11"/>
      <c r="CM502" s="11"/>
      <c r="CN502" s="11"/>
      <c r="CO502" s="11"/>
      <c r="CP502" s="28"/>
      <c r="CQ502" s="28"/>
      <c r="CR502" s="11"/>
      <c r="CS502" s="29"/>
      <c r="CT502" s="11"/>
      <c r="CU502" s="11"/>
      <c r="CV502" s="11"/>
      <c r="CW502" s="11"/>
      <c r="CX502" s="11"/>
      <c r="CY502" s="11"/>
      <c r="CZ502" s="11"/>
      <c r="DA502" s="28"/>
      <c r="DB502" s="28"/>
      <c r="DC502" s="11"/>
      <c r="DD502" s="29"/>
      <c r="DE502" s="11"/>
      <c r="DF502" s="11"/>
      <c r="DG502" s="11"/>
      <c r="DH502" s="11"/>
      <c r="DI502" s="11"/>
      <c r="DJ502" s="11"/>
      <c r="DK502" s="26"/>
      <c r="DL502" s="11"/>
      <c r="DM502" s="29"/>
      <c r="DN502" s="28"/>
      <c r="DO502" s="11"/>
      <c r="DP502" s="11"/>
      <c r="DQ502" s="11"/>
      <c r="DR502" s="29"/>
      <c r="DS502" s="28"/>
      <c r="DT502" s="11"/>
      <c r="DU502" s="26"/>
      <c r="DV502" s="11"/>
      <c r="DW502" s="29"/>
      <c r="DX502" s="28"/>
      <c r="DY502" s="11"/>
      <c r="DZ502" s="26"/>
      <c r="EA502" s="11"/>
      <c r="EB502" s="29"/>
      <c r="EC502" s="28"/>
      <c r="ED502" s="30"/>
      <c r="EE502" s="30" t="str">
        <f ca="1">IFERROR(__xludf.DUMMYFUNCTION("iferror(index(filter('Internal -- Trademark Countries'!E$2:E1000, (AM502 = 'Internal -- Trademark Countries'!B$2:B1000) + (AM502 = 'Internal -- Trademark Countries'!C$2:C1000) + (AM502 = 'Internal -- Trademark Countries'!D$2:D1000)), 1))"),"")</f>
        <v/>
      </c>
      <c r="EF502" s="30" t="e">
        <f ca="1">_xludf.ifs(AM502="", "", COUNTIF('Internal -- Trademark Countries'!B:B,AM502) &gt; 0, "polity_shortest_name", COUNTIF('Internal -- Trademark Countries'!C:C,AM502) &gt; 0, "polity_full_name", COUNTIF('Internal -- Trademark Countries'!D:D,AM502) &gt; 0, "polity_common_name", COUNTIF('Internal -- Trademark Countries'!E:E,AM502) &gt; 0, "shortest_name", COUNTIF('Internal -- Trademark Countries'!A:A,AM502) &gt; 0, "full_name", TRUE, "not a match")</f>
        <v>#NAME?</v>
      </c>
      <c r="EG502" s="30"/>
      <c r="EH502" s="30"/>
      <c r="EI502" s="30"/>
      <c r="EJ502" s="30"/>
      <c r="EK502" s="30" t="str">
        <f t="shared" si="3"/>
        <v/>
      </c>
    </row>
    <row r="503" spans="1:141" ht="16.5">
      <c r="A503" s="11"/>
      <c r="B503" s="11"/>
      <c r="C503" s="11"/>
      <c r="D503" s="11"/>
      <c r="E503" s="11"/>
      <c r="F503" s="11"/>
      <c r="G503" s="11"/>
      <c r="H503" s="11"/>
      <c r="I503" s="11"/>
      <c r="J503" s="11"/>
      <c r="K503" s="27"/>
      <c r="L503" s="11"/>
      <c r="M503" s="11"/>
      <c r="N503" s="11"/>
      <c r="O503" s="11"/>
      <c r="P503" s="15"/>
      <c r="Q503" s="15"/>
      <c r="R503" s="15"/>
      <c r="S503" s="15"/>
      <c r="T503" s="15"/>
      <c r="U503" s="15"/>
      <c r="V503" s="15"/>
      <c r="W503" s="47"/>
      <c r="X503" s="11"/>
      <c r="Y503" s="48"/>
      <c r="Z503" s="11"/>
      <c r="AA503" s="48"/>
      <c r="AB503" s="11"/>
      <c r="AC503" s="48"/>
      <c r="AD503" s="11"/>
      <c r="AE503" s="47"/>
      <c r="AF503" s="11"/>
      <c r="AG503" s="48"/>
      <c r="AH503" s="11"/>
      <c r="AI503" s="48"/>
      <c r="AJ503" s="11"/>
      <c r="AK503" s="48"/>
      <c r="AL503" s="11"/>
      <c r="AM503" s="49"/>
      <c r="AN503" s="49"/>
      <c r="AO503" s="11"/>
      <c r="AP503" s="11"/>
      <c r="AQ503" s="28" t="b">
        <f>IF(COUNTIF(SmartStatus!A$2:A1000, AM503) &gt; 2, TRUE, FALSE)</f>
        <v>0</v>
      </c>
      <c r="AR503" s="29" t="str">
        <f ca="1">IFERROR(__xludf.DUMMYFUNCTION("iferror(if(regexmatch(AO503, ""(?i)^registered""), if(EE503 &lt;&gt; ""polity_shortest_name"", ""CHECK_POLITY"", index(filter(SmartStatus!B$2:B1000, AM503 = SmartStatus!A$2:A1000, not(SmartStatus!C$2:C1000), (isblank(SmartStatus!D$2:D1000)) + ((P503 &lt;&gt; """") * "&amp;"(P503 &lt; SmartStatus!D$2:D1000)), (isblank(SmartStatus!E$2:E1000)) + ((P503 &lt;&gt; """") * (P503 &gt;= SmartStatus!E$2:E1000)), (isblank(SmartStatus!F$2:F1000)) + (((Q503 &lt;&gt; """") * (Q503 &lt; SmartStatus!F$2:F1000)) + ((P503 &lt;&gt; """") * (date(year(P503) + 3, month(P"&amp;"503), day(P503)) &lt; SmartStatus!F$2:F1000))), (isblank(SmartStatus!G$2:G1000)) + (((Q503 &lt;&gt; """") * (Q503 &gt;= SmartStatus!G$2:G1000)) + ((P503 &lt;&gt; """") * (P503 &gt;= SmartStatus!G$2:G1000)))), if(or(regexmatch(B503, ""(?i)^ir [a-z]+ designation$""), N503 &lt;&gt; """&amp;"""), 1, 2))), """"), ""NO_MATCH"")"),"")</f>
        <v/>
      </c>
      <c r="AS503" s="11"/>
      <c r="AT503" s="15"/>
      <c r="AU503" s="11"/>
      <c r="AV503" s="11"/>
      <c r="AW503" s="15"/>
      <c r="AX503" s="15"/>
      <c r="AY503" s="15"/>
      <c r="AZ503" s="11"/>
      <c r="BA503" s="15"/>
      <c r="BB503" s="11"/>
      <c r="BC503" s="11"/>
      <c r="BD503" s="15"/>
      <c r="BE503" s="11"/>
      <c r="BF503" s="11"/>
      <c r="BG503" s="15"/>
      <c r="BH503" s="15"/>
      <c r="BI503" s="15"/>
      <c r="BJ503" s="11"/>
      <c r="BK503" s="15"/>
      <c r="BL503" s="11"/>
      <c r="BM503" s="11"/>
      <c r="BN503" s="15"/>
      <c r="BO503" s="11"/>
      <c r="BP503" s="11"/>
      <c r="BQ503" s="15"/>
      <c r="BR503" s="15"/>
      <c r="BS503" s="15"/>
      <c r="BT503" s="11"/>
      <c r="BU503" s="15"/>
      <c r="BV503" s="11"/>
      <c r="BW503" s="11"/>
      <c r="BX503" s="15"/>
      <c r="BY503" s="11"/>
      <c r="BZ503" s="11"/>
      <c r="CA503" s="15"/>
      <c r="CB503" s="11"/>
      <c r="CC503" s="15"/>
      <c r="CD503" s="11"/>
      <c r="CE503" s="15"/>
      <c r="CF503" s="11"/>
      <c r="CG503" s="11"/>
      <c r="CH503" s="15"/>
      <c r="CI503" s="11"/>
      <c r="CJ503" s="11"/>
      <c r="CK503" s="15"/>
      <c r="CL503" s="11"/>
      <c r="CM503" s="11"/>
      <c r="CN503" s="11"/>
      <c r="CO503" s="11"/>
      <c r="CP503" s="28"/>
      <c r="CQ503" s="28"/>
      <c r="CR503" s="11"/>
      <c r="CS503" s="29"/>
      <c r="CT503" s="11"/>
      <c r="CU503" s="11"/>
      <c r="CV503" s="11"/>
      <c r="CW503" s="11"/>
      <c r="CX503" s="11"/>
      <c r="CY503" s="11"/>
      <c r="CZ503" s="11"/>
      <c r="DA503" s="28"/>
      <c r="DB503" s="28"/>
      <c r="DC503" s="11"/>
      <c r="DD503" s="29"/>
      <c r="DE503" s="11"/>
      <c r="DF503" s="11"/>
      <c r="DG503" s="11"/>
      <c r="DH503" s="11"/>
      <c r="DI503" s="11"/>
      <c r="DJ503" s="11"/>
      <c r="DK503" s="26"/>
      <c r="DL503" s="11"/>
      <c r="DM503" s="29"/>
      <c r="DN503" s="28"/>
      <c r="DO503" s="11"/>
      <c r="DP503" s="11"/>
      <c r="DQ503" s="11"/>
      <c r="DR503" s="29"/>
      <c r="DS503" s="28"/>
      <c r="DT503" s="11"/>
      <c r="DU503" s="26"/>
      <c r="DV503" s="11"/>
      <c r="DW503" s="29"/>
      <c r="DX503" s="28"/>
      <c r="DY503" s="11"/>
      <c r="DZ503" s="26"/>
      <c r="EA503" s="11"/>
      <c r="EB503" s="29"/>
      <c r="EC503" s="28"/>
      <c r="ED503" s="30"/>
      <c r="EE503" s="30" t="str">
        <f ca="1">IFERROR(__xludf.DUMMYFUNCTION("iferror(index(filter('Internal -- Trademark Countries'!E$2:E1000, (AM503 = 'Internal -- Trademark Countries'!B$2:B1000) + (AM503 = 'Internal -- Trademark Countries'!C$2:C1000) + (AM503 = 'Internal -- Trademark Countries'!D$2:D1000)), 1))"),"")</f>
        <v/>
      </c>
      <c r="EF503" s="30" t="e">
        <f ca="1">_xludf.ifs(AM503="", "", COUNTIF('Internal -- Trademark Countries'!B:B,AM503) &gt; 0, "polity_shortest_name", COUNTIF('Internal -- Trademark Countries'!C:C,AM503) &gt; 0, "polity_full_name", COUNTIF('Internal -- Trademark Countries'!D:D,AM503) &gt; 0, "polity_common_name", COUNTIF('Internal -- Trademark Countries'!E:E,AM503) &gt; 0, "shortest_name", COUNTIF('Internal -- Trademark Countries'!A:A,AM503) &gt; 0, "full_name", TRUE, "not a match")</f>
        <v>#NAME?</v>
      </c>
      <c r="EG503" s="30"/>
      <c r="EH503" s="30"/>
      <c r="EI503" s="30"/>
      <c r="EJ503" s="30"/>
      <c r="EK503" s="30" t="str">
        <f t="shared" si="3"/>
        <v/>
      </c>
    </row>
    <row r="504" spans="1:141" ht="16.5">
      <c r="A504" s="11"/>
      <c r="B504" s="11"/>
      <c r="C504" s="11"/>
      <c r="D504" s="11"/>
      <c r="E504" s="11"/>
      <c r="F504" s="11"/>
      <c r="G504" s="11"/>
      <c r="H504" s="11"/>
      <c r="I504" s="11"/>
      <c r="J504" s="11"/>
      <c r="K504" s="27"/>
      <c r="L504" s="11"/>
      <c r="M504" s="11"/>
      <c r="N504" s="11"/>
      <c r="O504" s="11"/>
      <c r="P504" s="15"/>
      <c r="Q504" s="15"/>
      <c r="R504" s="15"/>
      <c r="S504" s="15"/>
      <c r="T504" s="15"/>
      <c r="U504" s="15"/>
      <c r="V504" s="15"/>
      <c r="W504" s="47"/>
      <c r="X504" s="11"/>
      <c r="Y504" s="48"/>
      <c r="Z504" s="11"/>
      <c r="AA504" s="48"/>
      <c r="AB504" s="11"/>
      <c r="AC504" s="48"/>
      <c r="AD504" s="11"/>
      <c r="AE504" s="47"/>
      <c r="AF504" s="11"/>
      <c r="AG504" s="48"/>
      <c r="AH504" s="11"/>
      <c r="AI504" s="48"/>
      <c r="AJ504" s="11"/>
      <c r="AK504" s="48"/>
      <c r="AL504" s="11"/>
      <c r="AM504" s="49"/>
      <c r="AN504" s="49"/>
      <c r="AO504" s="11"/>
      <c r="AP504" s="11"/>
      <c r="AQ504" s="28" t="b">
        <f>IF(COUNTIF(SmartStatus!A$2:A1000, AM504) &gt; 2, TRUE, FALSE)</f>
        <v>0</v>
      </c>
      <c r="AR504" s="29" t="str">
        <f ca="1">IFERROR(__xludf.DUMMYFUNCTION("iferror(if(regexmatch(AO504, ""(?i)^registered""), if(EE504 &lt;&gt; ""polity_shortest_name"", ""CHECK_POLITY"", index(filter(SmartStatus!B$2:B1000, AM504 = SmartStatus!A$2:A1000, not(SmartStatus!C$2:C1000), (isblank(SmartStatus!D$2:D1000)) + ((P504 &lt;&gt; """") * "&amp;"(P504 &lt; SmartStatus!D$2:D1000)), (isblank(SmartStatus!E$2:E1000)) + ((P504 &lt;&gt; """") * (P504 &gt;= SmartStatus!E$2:E1000)), (isblank(SmartStatus!F$2:F1000)) + (((Q504 &lt;&gt; """") * (Q504 &lt; SmartStatus!F$2:F1000)) + ((P504 &lt;&gt; """") * (date(year(P504) + 3, month(P"&amp;"504), day(P504)) &lt; SmartStatus!F$2:F1000))), (isblank(SmartStatus!G$2:G1000)) + (((Q504 &lt;&gt; """") * (Q504 &gt;= SmartStatus!G$2:G1000)) + ((P504 &lt;&gt; """") * (P504 &gt;= SmartStatus!G$2:G1000)))), if(or(regexmatch(B504, ""(?i)^ir [a-z]+ designation$""), N504 &lt;&gt; """&amp;"""), 1, 2))), """"), ""NO_MATCH"")"),"")</f>
        <v/>
      </c>
      <c r="AS504" s="11"/>
      <c r="AT504" s="15"/>
      <c r="AU504" s="11"/>
      <c r="AV504" s="11"/>
      <c r="AW504" s="15"/>
      <c r="AX504" s="15"/>
      <c r="AY504" s="15"/>
      <c r="AZ504" s="11"/>
      <c r="BA504" s="15"/>
      <c r="BB504" s="11"/>
      <c r="BC504" s="11"/>
      <c r="BD504" s="15"/>
      <c r="BE504" s="11"/>
      <c r="BF504" s="11"/>
      <c r="BG504" s="15"/>
      <c r="BH504" s="15"/>
      <c r="BI504" s="15"/>
      <c r="BJ504" s="11"/>
      <c r="BK504" s="15"/>
      <c r="BL504" s="11"/>
      <c r="BM504" s="11"/>
      <c r="BN504" s="15"/>
      <c r="BO504" s="11"/>
      <c r="BP504" s="11"/>
      <c r="BQ504" s="15"/>
      <c r="BR504" s="15"/>
      <c r="BS504" s="15"/>
      <c r="BT504" s="11"/>
      <c r="BU504" s="15"/>
      <c r="BV504" s="11"/>
      <c r="BW504" s="11"/>
      <c r="BX504" s="15"/>
      <c r="BY504" s="11"/>
      <c r="BZ504" s="11"/>
      <c r="CA504" s="15"/>
      <c r="CB504" s="11"/>
      <c r="CC504" s="15"/>
      <c r="CD504" s="11"/>
      <c r="CE504" s="15"/>
      <c r="CF504" s="11"/>
      <c r="CG504" s="11"/>
      <c r="CH504" s="15"/>
      <c r="CI504" s="11"/>
      <c r="CJ504" s="11"/>
      <c r="CK504" s="15"/>
      <c r="CL504" s="11"/>
      <c r="CM504" s="11"/>
      <c r="CN504" s="11"/>
      <c r="CO504" s="11"/>
      <c r="CP504" s="28"/>
      <c r="CQ504" s="28"/>
      <c r="CR504" s="11"/>
      <c r="CS504" s="29"/>
      <c r="CT504" s="11"/>
      <c r="CU504" s="11"/>
      <c r="CV504" s="11"/>
      <c r="CW504" s="11"/>
      <c r="CX504" s="11"/>
      <c r="CY504" s="11"/>
      <c r="CZ504" s="11"/>
      <c r="DA504" s="28"/>
      <c r="DB504" s="28"/>
      <c r="DC504" s="11"/>
      <c r="DD504" s="29"/>
      <c r="DE504" s="11"/>
      <c r="DF504" s="11"/>
      <c r="DG504" s="11"/>
      <c r="DH504" s="11"/>
      <c r="DI504" s="11"/>
      <c r="DJ504" s="11"/>
      <c r="DK504" s="26"/>
      <c r="DL504" s="11"/>
      <c r="DM504" s="29"/>
      <c r="DN504" s="28"/>
      <c r="DO504" s="11"/>
      <c r="DP504" s="11"/>
      <c r="DQ504" s="11"/>
      <c r="DR504" s="29"/>
      <c r="DS504" s="28"/>
      <c r="DT504" s="11"/>
      <c r="DU504" s="26"/>
      <c r="DV504" s="11"/>
      <c r="DW504" s="29"/>
      <c r="DX504" s="28"/>
      <c r="DY504" s="11"/>
      <c r="DZ504" s="26"/>
      <c r="EA504" s="11"/>
      <c r="EB504" s="29"/>
      <c r="EC504" s="28"/>
      <c r="ED504" s="30"/>
      <c r="EE504" s="30" t="str">
        <f ca="1">IFERROR(__xludf.DUMMYFUNCTION("iferror(index(filter('Internal -- Trademark Countries'!E$2:E1000, (AM504 = 'Internal -- Trademark Countries'!B$2:B1000) + (AM504 = 'Internal -- Trademark Countries'!C$2:C1000) + (AM504 = 'Internal -- Trademark Countries'!D$2:D1000)), 1))"),"")</f>
        <v/>
      </c>
      <c r="EF504" s="30" t="e">
        <f ca="1">_xludf.ifs(AM504="", "", COUNTIF('Internal -- Trademark Countries'!B:B,AM504) &gt; 0, "polity_shortest_name", COUNTIF('Internal -- Trademark Countries'!C:C,AM504) &gt; 0, "polity_full_name", COUNTIF('Internal -- Trademark Countries'!D:D,AM504) &gt; 0, "polity_common_name", COUNTIF('Internal -- Trademark Countries'!E:E,AM504) &gt; 0, "shortest_name", COUNTIF('Internal -- Trademark Countries'!A:A,AM504) &gt; 0, "full_name", TRUE, "not a match")</f>
        <v>#NAME?</v>
      </c>
      <c r="EG504" s="30"/>
      <c r="EH504" s="30"/>
      <c r="EI504" s="30"/>
      <c r="EJ504" s="30"/>
      <c r="EK504" s="30" t="str">
        <f t="shared" si="3"/>
        <v/>
      </c>
    </row>
    <row r="505" spans="1:141" ht="16.5">
      <c r="A505" s="11"/>
      <c r="B505" s="11"/>
      <c r="C505" s="11"/>
      <c r="D505" s="11"/>
      <c r="E505" s="11"/>
      <c r="F505" s="11"/>
      <c r="G505" s="11"/>
      <c r="H505" s="11"/>
      <c r="I505" s="11"/>
      <c r="J505" s="11"/>
      <c r="K505" s="27"/>
      <c r="L505" s="11"/>
      <c r="M505" s="11"/>
      <c r="N505" s="11"/>
      <c r="O505" s="11"/>
      <c r="P505" s="15"/>
      <c r="Q505" s="15"/>
      <c r="R505" s="15"/>
      <c r="S505" s="15"/>
      <c r="T505" s="15"/>
      <c r="U505" s="15"/>
      <c r="V505" s="15"/>
      <c r="W505" s="47"/>
      <c r="X505" s="11"/>
      <c r="Y505" s="48"/>
      <c r="Z505" s="11"/>
      <c r="AA505" s="48"/>
      <c r="AB505" s="11"/>
      <c r="AC505" s="48"/>
      <c r="AD505" s="11"/>
      <c r="AE505" s="47"/>
      <c r="AF505" s="11"/>
      <c r="AG505" s="48"/>
      <c r="AH505" s="11"/>
      <c r="AI505" s="48"/>
      <c r="AJ505" s="11"/>
      <c r="AK505" s="48"/>
      <c r="AL505" s="11"/>
      <c r="AM505" s="49"/>
      <c r="AN505" s="49"/>
      <c r="AO505" s="11"/>
      <c r="AP505" s="11"/>
      <c r="AQ505" s="28" t="b">
        <f>IF(COUNTIF(SmartStatus!A$2:A1000, AM505) &gt; 2, TRUE, FALSE)</f>
        <v>0</v>
      </c>
      <c r="AR505" s="29" t="str">
        <f ca="1">IFERROR(__xludf.DUMMYFUNCTION("iferror(if(regexmatch(AO505, ""(?i)^registered""), if(EE505 &lt;&gt; ""polity_shortest_name"", ""CHECK_POLITY"", index(filter(SmartStatus!B$2:B1000, AM505 = SmartStatus!A$2:A1000, not(SmartStatus!C$2:C1000), (isblank(SmartStatus!D$2:D1000)) + ((P505 &lt;&gt; """") * "&amp;"(P505 &lt; SmartStatus!D$2:D1000)), (isblank(SmartStatus!E$2:E1000)) + ((P505 &lt;&gt; """") * (P505 &gt;= SmartStatus!E$2:E1000)), (isblank(SmartStatus!F$2:F1000)) + (((Q505 &lt;&gt; """") * (Q505 &lt; SmartStatus!F$2:F1000)) + ((P505 &lt;&gt; """") * (date(year(P505) + 3, month(P"&amp;"505), day(P505)) &lt; SmartStatus!F$2:F1000))), (isblank(SmartStatus!G$2:G1000)) + (((Q505 &lt;&gt; """") * (Q505 &gt;= SmartStatus!G$2:G1000)) + ((P505 &lt;&gt; """") * (P505 &gt;= SmartStatus!G$2:G1000)))), if(or(regexmatch(B505, ""(?i)^ir [a-z]+ designation$""), N505 &lt;&gt; """&amp;"""), 1, 2))), """"), ""NO_MATCH"")"),"")</f>
        <v/>
      </c>
      <c r="AS505" s="11"/>
      <c r="AT505" s="15"/>
      <c r="AU505" s="11"/>
      <c r="AV505" s="11"/>
      <c r="AW505" s="15"/>
      <c r="AX505" s="15"/>
      <c r="AY505" s="15"/>
      <c r="AZ505" s="11"/>
      <c r="BA505" s="15"/>
      <c r="BB505" s="11"/>
      <c r="BC505" s="11"/>
      <c r="BD505" s="15"/>
      <c r="BE505" s="11"/>
      <c r="BF505" s="11"/>
      <c r="BG505" s="15"/>
      <c r="BH505" s="15"/>
      <c r="BI505" s="15"/>
      <c r="BJ505" s="11"/>
      <c r="BK505" s="15"/>
      <c r="BL505" s="11"/>
      <c r="BM505" s="11"/>
      <c r="BN505" s="15"/>
      <c r="BO505" s="11"/>
      <c r="BP505" s="11"/>
      <c r="BQ505" s="15"/>
      <c r="BR505" s="15"/>
      <c r="BS505" s="15"/>
      <c r="BT505" s="11"/>
      <c r="BU505" s="15"/>
      <c r="BV505" s="11"/>
      <c r="BW505" s="11"/>
      <c r="BX505" s="15"/>
      <c r="BY505" s="11"/>
      <c r="BZ505" s="11"/>
      <c r="CA505" s="15"/>
      <c r="CB505" s="11"/>
      <c r="CC505" s="15"/>
      <c r="CD505" s="11"/>
      <c r="CE505" s="15"/>
      <c r="CF505" s="11"/>
      <c r="CG505" s="11"/>
      <c r="CH505" s="15"/>
      <c r="CI505" s="11"/>
      <c r="CJ505" s="11"/>
      <c r="CK505" s="15"/>
      <c r="CL505" s="11"/>
      <c r="CM505" s="11"/>
      <c r="CN505" s="11"/>
      <c r="CO505" s="11"/>
      <c r="CP505" s="28"/>
      <c r="CQ505" s="28"/>
      <c r="CR505" s="11"/>
      <c r="CS505" s="29"/>
      <c r="CT505" s="11"/>
      <c r="CU505" s="11"/>
      <c r="CV505" s="11"/>
      <c r="CW505" s="11"/>
      <c r="CX505" s="11"/>
      <c r="CY505" s="11"/>
      <c r="CZ505" s="11"/>
      <c r="DA505" s="28"/>
      <c r="DB505" s="28"/>
      <c r="DC505" s="11"/>
      <c r="DD505" s="29"/>
      <c r="DE505" s="11"/>
      <c r="DF505" s="11"/>
      <c r="DG505" s="11"/>
      <c r="DH505" s="11"/>
      <c r="DI505" s="11"/>
      <c r="DJ505" s="11"/>
      <c r="DK505" s="26"/>
      <c r="DL505" s="11"/>
      <c r="DM505" s="29"/>
      <c r="DN505" s="28"/>
      <c r="DO505" s="11"/>
      <c r="DP505" s="11"/>
      <c r="DQ505" s="11"/>
      <c r="DR505" s="29"/>
      <c r="DS505" s="28"/>
      <c r="DT505" s="11"/>
      <c r="DU505" s="26"/>
      <c r="DV505" s="11"/>
      <c r="DW505" s="29"/>
      <c r="DX505" s="28"/>
      <c r="DY505" s="11"/>
      <c r="DZ505" s="26"/>
      <c r="EA505" s="11"/>
      <c r="EB505" s="29"/>
      <c r="EC505" s="28"/>
      <c r="ED505" s="30"/>
      <c r="EE505" s="30" t="str">
        <f ca="1">IFERROR(__xludf.DUMMYFUNCTION("iferror(index(filter('Internal -- Trademark Countries'!E$2:E1000, (AM505 = 'Internal -- Trademark Countries'!B$2:B1000) + (AM505 = 'Internal -- Trademark Countries'!C$2:C1000) + (AM505 = 'Internal -- Trademark Countries'!D$2:D1000)), 1))"),"")</f>
        <v/>
      </c>
      <c r="EF505" s="30" t="e">
        <f ca="1">_xludf.ifs(AM505="", "", COUNTIF('Internal -- Trademark Countries'!B:B,AM505) &gt; 0, "polity_shortest_name", COUNTIF('Internal -- Trademark Countries'!C:C,AM505) &gt; 0, "polity_full_name", COUNTIF('Internal -- Trademark Countries'!D:D,AM505) &gt; 0, "polity_common_name", COUNTIF('Internal -- Trademark Countries'!E:E,AM505) &gt; 0, "shortest_name", COUNTIF('Internal -- Trademark Countries'!A:A,AM505) &gt; 0, "full_name", TRUE, "not a match")</f>
        <v>#NAME?</v>
      </c>
      <c r="EG505" s="30"/>
      <c r="EH505" s="30"/>
      <c r="EI505" s="30"/>
      <c r="EJ505" s="30"/>
      <c r="EK505" s="30" t="str">
        <f t="shared" si="3"/>
        <v/>
      </c>
    </row>
    <row r="506" spans="1:141" ht="16.5">
      <c r="A506" s="11"/>
      <c r="B506" s="11"/>
      <c r="C506" s="11"/>
      <c r="D506" s="11"/>
      <c r="E506" s="11"/>
      <c r="F506" s="11"/>
      <c r="G506" s="11"/>
      <c r="H506" s="11"/>
      <c r="I506" s="11"/>
      <c r="J506" s="11"/>
      <c r="K506" s="27"/>
      <c r="L506" s="11"/>
      <c r="M506" s="11"/>
      <c r="N506" s="11"/>
      <c r="O506" s="11"/>
      <c r="P506" s="15"/>
      <c r="Q506" s="15"/>
      <c r="R506" s="15"/>
      <c r="S506" s="15"/>
      <c r="T506" s="15"/>
      <c r="U506" s="15"/>
      <c r="V506" s="15"/>
      <c r="W506" s="47"/>
      <c r="X506" s="11"/>
      <c r="Y506" s="48"/>
      <c r="Z506" s="11"/>
      <c r="AA506" s="48"/>
      <c r="AB506" s="11"/>
      <c r="AC506" s="48"/>
      <c r="AD506" s="11"/>
      <c r="AE506" s="47"/>
      <c r="AF506" s="11"/>
      <c r="AG506" s="48"/>
      <c r="AH506" s="11"/>
      <c r="AI506" s="48"/>
      <c r="AJ506" s="11"/>
      <c r="AK506" s="48"/>
      <c r="AL506" s="11"/>
      <c r="AM506" s="49"/>
      <c r="AN506" s="49"/>
      <c r="AO506" s="11"/>
      <c r="AP506" s="11"/>
      <c r="AQ506" s="28" t="b">
        <f>IF(COUNTIF(SmartStatus!A$2:A1000, AM506) &gt; 2, TRUE, FALSE)</f>
        <v>0</v>
      </c>
      <c r="AR506" s="29" t="str">
        <f ca="1">IFERROR(__xludf.DUMMYFUNCTION("iferror(if(regexmatch(AO506, ""(?i)^registered""), if(EE506 &lt;&gt; ""polity_shortest_name"", ""CHECK_POLITY"", index(filter(SmartStatus!B$2:B1000, AM506 = SmartStatus!A$2:A1000, not(SmartStatus!C$2:C1000), (isblank(SmartStatus!D$2:D1000)) + ((P506 &lt;&gt; """") * "&amp;"(P506 &lt; SmartStatus!D$2:D1000)), (isblank(SmartStatus!E$2:E1000)) + ((P506 &lt;&gt; """") * (P506 &gt;= SmartStatus!E$2:E1000)), (isblank(SmartStatus!F$2:F1000)) + (((Q506 &lt;&gt; """") * (Q506 &lt; SmartStatus!F$2:F1000)) + ((P506 &lt;&gt; """") * (date(year(P506) + 3, month(P"&amp;"506), day(P506)) &lt; SmartStatus!F$2:F1000))), (isblank(SmartStatus!G$2:G1000)) + (((Q506 &lt;&gt; """") * (Q506 &gt;= SmartStatus!G$2:G1000)) + ((P506 &lt;&gt; """") * (P506 &gt;= SmartStatus!G$2:G1000)))), if(or(regexmatch(B506, ""(?i)^ir [a-z]+ designation$""), N506 &lt;&gt; """&amp;"""), 1, 2))), """"), ""NO_MATCH"")"),"")</f>
        <v/>
      </c>
      <c r="AS506" s="11"/>
      <c r="AT506" s="15"/>
      <c r="AU506" s="11"/>
      <c r="AV506" s="11"/>
      <c r="AW506" s="15"/>
      <c r="AX506" s="15"/>
      <c r="AY506" s="15"/>
      <c r="AZ506" s="11"/>
      <c r="BA506" s="15"/>
      <c r="BB506" s="11"/>
      <c r="BC506" s="11"/>
      <c r="BD506" s="15"/>
      <c r="BE506" s="11"/>
      <c r="BF506" s="11"/>
      <c r="BG506" s="15"/>
      <c r="BH506" s="15"/>
      <c r="BI506" s="15"/>
      <c r="BJ506" s="11"/>
      <c r="BK506" s="15"/>
      <c r="BL506" s="11"/>
      <c r="BM506" s="11"/>
      <c r="BN506" s="15"/>
      <c r="BO506" s="11"/>
      <c r="BP506" s="11"/>
      <c r="BQ506" s="15"/>
      <c r="BR506" s="15"/>
      <c r="BS506" s="15"/>
      <c r="BT506" s="11"/>
      <c r="BU506" s="15"/>
      <c r="BV506" s="11"/>
      <c r="BW506" s="11"/>
      <c r="BX506" s="15"/>
      <c r="BY506" s="11"/>
      <c r="BZ506" s="11"/>
      <c r="CA506" s="15"/>
      <c r="CB506" s="11"/>
      <c r="CC506" s="15"/>
      <c r="CD506" s="11"/>
      <c r="CE506" s="15"/>
      <c r="CF506" s="11"/>
      <c r="CG506" s="11"/>
      <c r="CH506" s="15"/>
      <c r="CI506" s="11"/>
      <c r="CJ506" s="11"/>
      <c r="CK506" s="15"/>
      <c r="CL506" s="11"/>
      <c r="CM506" s="11"/>
      <c r="CN506" s="11"/>
      <c r="CO506" s="11"/>
      <c r="CP506" s="28"/>
      <c r="CQ506" s="28"/>
      <c r="CR506" s="11"/>
      <c r="CS506" s="29"/>
      <c r="CT506" s="11"/>
      <c r="CU506" s="11"/>
      <c r="CV506" s="11"/>
      <c r="CW506" s="11"/>
      <c r="CX506" s="11"/>
      <c r="CY506" s="11"/>
      <c r="CZ506" s="11"/>
      <c r="DA506" s="28"/>
      <c r="DB506" s="28"/>
      <c r="DC506" s="11"/>
      <c r="DD506" s="29"/>
      <c r="DE506" s="11"/>
      <c r="DF506" s="11"/>
      <c r="DG506" s="11"/>
      <c r="DH506" s="11"/>
      <c r="DI506" s="11"/>
      <c r="DJ506" s="11"/>
      <c r="DK506" s="26"/>
      <c r="DL506" s="11"/>
      <c r="DM506" s="29"/>
      <c r="DN506" s="28"/>
      <c r="DO506" s="11"/>
      <c r="DP506" s="11"/>
      <c r="DQ506" s="11"/>
      <c r="DR506" s="29"/>
      <c r="DS506" s="28"/>
      <c r="DT506" s="11"/>
      <c r="DU506" s="26"/>
      <c r="DV506" s="11"/>
      <c r="DW506" s="29"/>
      <c r="DX506" s="28"/>
      <c r="DY506" s="11"/>
      <c r="DZ506" s="26"/>
      <c r="EA506" s="11"/>
      <c r="EB506" s="29"/>
      <c r="EC506" s="28"/>
      <c r="ED506" s="30"/>
      <c r="EE506" s="30" t="str">
        <f ca="1">IFERROR(__xludf.DUMMYFUNCTION("iferror(index(filter('Internal -- Trademark Countries'!E$2:E1000, (AM506 = 'Internal -- Trademark Countries'!B$2:B1000) + (AM506 = 'Internal -- Trademark Countries'!C$2:C1000) + (AM506 = 'Internal -- Trademark Countries'!D$2:D1000)), 1))"),"")</f>
        <v/>
      </c>
      <c r="EF506" s="30" t="e">
        <f ca="1">_xludf.ifs(AM506="", "", COUNTIF('Internal -- Trademark Countries'!B:B,AM506) &gt; 0, "polity_shortest_name", COUNTIF('Internal -- Trademark Countries'!C:C,AM506) &gt; 0, "polity_full_name", COUNTIF('Internal -- Trademark Countries'!D:D,AM506) &gt; 0, "polity_common_name", COUNTIF('Internal -- Trademark Countries'!E:E,AM506) &gt; 0, "shortest_name", COUNTIF('Internal -- Trademark Countries'!A:A,AM506) &gt; 0, "full_name", TRUE, "not a match")</f>
        <v>#NAME?</v>
      </c>
      <c r="EG506" s="30"/>
      <c r="EH506" s="30"/>
      <c r="EI506" s="30"/>
      <c r="EJ506" s="30"/>
      <c r="EK506" s="30" t="str">
        <f t="shared" si="3"/>
        <v/>
      </c>
    </row>
    <row r="507" spans="1:141" ht="16.5">
      <c r="A507" s="11"/>
      <c r="B507" s="11"/>
      <c r="C507" s="11"/>
      <c r="D507" s="11"/>
      <c r="E507" s="11"/>
      <c r="F507" s="11"/>
      <c r="G507" s="11"/>
      <c r="H507" s="11"/>
      <c r="I507" s="11"/>
      <c r="J507" s="11"/>
      <c r="K507" s="27"/>
      <c r="L507" s="11"/>
      <c r="M507" s="11"/>
      <c r="N507" s="11"/>
      <c r="O507" s="11"/>
      <c r="P507" s="15"/>
      <c r="Q507" s="15"/>
      <c r="R507" s="15"/>
      <c r="S507" s="15"/>
      <c r="T507" s="15"/>
      <c r="U507" s="15"/>
      <c r="V507" s="15"/>
      <c r="W507" s="47"/>
      <c r="X507" s="11"/>
      <c r="Y507" s="48"/>
      <c r="Z507" s="11"/>
      <c r="AA507" s="48"/>
      <c r="AB507" s="11"/>
      <c r="AC507" s="48"/>
      <c r="AD507" s="11"/>
      <c r="AE507" s="47"/>
      <c r="AF507" s="11"/>
      <c r="AG507" s="48"/>
      <c r="AH507" s="11"/>
      <c r="AI507" s="48"/>
      <c r="AJ507" s="11"/>
      <c r="AK507" s="48"/>
      <c r="AL507" s="11"/>
      <c r="AM507" s="49"/>
      <c r="AN507" s="49"/>
      <c r="AO507" s="11"/>
      <c r="AP507" s="11"/>
      <c r="AQ507" s="28" t="b">
        <f>IF(COUNTIF(SmartStatus!A$2:A1000, AM507) &gt; 2, TRUE, FALSE)</f>
        <v>0</v>
      </c>
      <c r="AR507" s="29" t="str">
        <f ca="1">IFERROR(__xludf.DUMMYFUNCTION("iferror(if(regexmatch(AO507, ""(?i)^registered""), if(EE507 &lt;&gt; ""polity_shortest_name"", ""CHECK_POLITY"", index(filter(SmartStatus!B$2:B1000, AM507 = SmartStatus!A$2:A1000, not(SmartStatus!C$2:C1000), (isblank(SmartStatus!D$2:D1000)) + ((P507 &lt;&gt; """") * "&amp;"(P507 &lt; SmartStatus!D$2:D1000)), (isblank(SmartStatus!E$2:E1000)) + ((P507 &lt;&gt; """") * (P507 &gt;= SmartStatus!E$2:E1000)), (isblank(SmartStatus!F$2:F1000)) + (((Q507 &lt;&gt; """") * (Q507 &lt; SmartStatus!F$2:F1000)) + ((P507 &lt;&gt; """") * (date(year(P507) + 3, month(P"&amp;"507), day(P507)) &lt; SmartStatus!F$2:F1000))), (isblank(SmartStatus!G$2:G1000)) + (((Q507 &lt;&gt; """") * (Q507 &gt;= SmartStatus!G$2:G1000)) + ((P507 &lt;&gt; """") * (P507 &gt;= SmartStatus!G$2:G1000)))), if(or(regexmatch(B507, ""(?i)^ir [a-z]+ designation$""), N507 &lt;&gt; """&amp;"""), 1, 2))), """"), ""NO_MATCH"")"),"")</f>
        <v/>
      </c>
      <c r="AS507" s="11"/>
      <c r="AT507" s="15"/>
      <c r="AU507" s="11"/>
      <c r="AV507" s="11"/>
      <c r="AW507" s="15"/>
      <c r="AX507" s="15"/>
      <c r="AY507" s="15"/>
      <c r="AZ507" s="11"/>
      <c r="BA507" s="15"/>
      <c r="BB507" s="11"/>
      <c r="BC507" s="11"/>
      <c r="BD507" s="15"/>
      <c r="BE507" s="11"/>
      <c r="BF507" s="11"/>
      <c r="BG507" s="15"/>
      <c r="BH507" s="15"/>
      <c r="BI507" s="15"/>
      <c r="BJ507" s="11"/>
      <c r="BK507" s="15"/>
      <c r="BL507" s="11"/>
      <c r="BM507" s="11"/>
      <c r="BN507" s="15"/>
      <c r="BO507" s="11"/>
      <c r="BP507" s="11"/>
      <c r="BQ507" s="15"/>
      <c r="BR507" s="15"/>
      <c r="BS507" s="15"/>
      <c r="BT507" s="11"/>
      <c r="BU507" s="15"/>
      <c r="BV507" s="11"/>
      <c r="BW507" s="11"/>
      <c r="BX507" s="15"/>
      <c r="BY507" s="11"/>
      <c r="BZ507" s="11"/>
      <c r="CA507" s="15"/>
      <c r="CB507" s="11"/>
      <c r="CC507" s="15"/>
      <c r="CD507" s="11"/>
      <c r="CE507" s="15"/>
      <c r="CF507" s="11"/>
      <c r="CG507" s="11"/>
      <c r="CH507" s="15"/>
      <c r="CI507" s="11"/>
      <c r="CJ507" s="11"/>
      <c r="CK507" s="15"/>
      <c r="CL507" s="11"/>
      <c r="CM507" s="11"/>
      <c r="CN507" s="11"/>
      <c r="CO507" s="11"/>
      <c r="CP507" s="28"/>
      <c r="CQ507" s="28"/>
      <c r="CR507" s="11"/>
      <c r="CS507" s="29"/>
      <c r="CT507" s="11"/>
      <c r="CU507" s="11"/>
      <c r="CV507" s="11"/>
      <c r="CW507" s="11"/>
      <c r="CX507" s="11"/>
      <c r="CY507" s="11"/>
      <c r="CZ507" s="11"/>
      <c r="DA507" s="28"/>
      <c r="DB507" s="28"/>
      <c r="DC507" s="11"/>
      <c r="DD507" s="29"/>
      <c r="DE507" s="11"/>
      <c r="DF507" s="11"/>
      <c r="DG507" s="11"/>
      <c r="DH507" s="11"/>
      <c r="DI507" s="11"/>
      <c r="DJ507" s="11"/>
      <c r="DK507" s="26"/>
      <c r="DL507" s="11"/>
      <c r="DM507" s="29"/>
      <c r="DN507" s="28"/>
      <c r="DO507" s="11"/>
      <c r="DP507" s="11"/>
      <c r="DQ507" s="11"/>
      <c r="DR507" s="29"/>
      <c r="DS507" s="28"/>
      <c r="DT507" s="11"/>
      <c r="DU507" s="26"/>
      <c r="DV507" s="11"/>
      <c r="DW507" s="29"/>
      <c r="DX507" s="28"/>
      <c r="DY507" s="11"/>
      <c r="DZ507" s="26"/>
      <c r="EA507" s="11"/>
      <c r="EB507" s="29"/>
      <c r="EC507" s="28"/>
      <c r="ED507" s="30"/>
      <c r="EE507" s="30" t="str">
        <f ca="1">IFERROR(__xludf.DUMMYFUNCTION("iferror(index(filter('Internal -- Trademark Countries'!E$2:E1000, (AM507 = 'Internal -- Trademark Countries'!B$2:B1000) + (AM507 = 'Internal -- Trademark Countries'!C$2:C1000) + (AM507 = 'Internal -- Trademark Countries'!D$2:D1000)), 1))"),"")</f>
        <v/>
      </c>
      <c r="EF507" s="30" t="e">
        <f ca="1">_xludf.ifs(AM507="", "", COUNTIF('Internal -- Trademark Countries'!B:B,AM507) &gt; 0, "polity_shortest_name", COUNTIF('Internal -- Trademark Countries'!C:C,AM507) &gt; 0, "polity_full_name", COUNTIF('Internal -- Trademark Countries'!D:D,AM507) &gt; 0, "polity_common_name", COUNTIF('Internal -- Trademark Countries'!E:E,AM507) &gt; 0, "shortest_name", COUNTIF('Internal -- Trademark Countries'!A:A,AM507) &gt; 0, "full_name", TRUE, "not a match")</f>
        <v>#NAME?</v>
      </c>
      <c r="EG507" s="30"/>
      <c r="EH507" s="30"/>
      <c r="EI507" s="30"/>
      <c r="EJ507" s="30"/>
      <c r="EK507" s="30" t="str">
        <f t="shared" si="3"/>
        <v/>
      </c>
    </row>
    <row r="508" spans="1:141" ht="16.5">
      <c r="A508" s="11"/>
      <c r="B508" s="11"/>
      <c r="C508" s="11"/>
      <c r="D508" s="11"/>
      <c r="E508" s="11"/>
      <c r="F508" s="11"/>
      <c r="G508" s="11"/>
      <c r="H508" s="11"/>
      <c r="I508" s="11"/>
      <c r="J508" s="11"/>
      <c r="K508" s="27"/>
      <c r="L508" s="11"/>
      <c r="M508" s="11"/>
      <c r="N508" s="11"/>
      <c r="O508" s="11"/>
      <c r="P508" s="15"/>
      <c r="Q508" s="15"/>
      <c r="R508" s="15"/>
      <c r="S508" s="15"/>
      <c r="T508" s="15"/>
      <c r="U508" s="15"/>
      <c r="V508" s="15"/>
      <c r="W508" s="47"/>
      <c r="X508" s="11"/>
      <c r="Y508" s="48"/>
      <c r="Z508" s="11"/>
      <c r="AA508" s="48"/>
      <c r="AB508" s="11"/>
      <c r="AC508" s="48"/>
      <c r="AD508" s="11"/>
      <c r="AE508" s="47"/>
      <c r="AF508" s="11"/>
      <c r="AG508" s="48"/>
      <c r="AH508" s="11"/>
      <c r="AI508" s="48"/>
      <c r="AJ508" s="11"/>
      <c r="AK508" s="48"/>
      <c r="AL508" s="11"/>
      <c r="AM508" s="49"/>
      <c r="AN508" s="49"/>
      <c r="AO508" s="11"/>
      <c r="AP508" s="11"/>
      <c r="AQ508" s="28" t="b">
        <f>IF(COUNTIF(SmartStatus!A$2:A1000, AM508) &gt; 2, TRUE, FALSE)</f>
        <v>0</v>
      </c>
      <c r="AR508" s="29" t="str">
        <f ca="1">IFERROR(__xludf.DUMMYFUNCTION("iferror(if(regexmatch(AO508, ""(?i)^registered""), if(EE508 &lt;&gt; ""polity_shortest_name"", ""CHECK_POLITY"", index(filter(SmartStatus!B$2:B1000, AM508 = SmartStatus!A$2:A1000, not(SmartStatus!C$2:C1000), (isblank(SmartStatus!D$2:D1000)) + ((P508 &lt;&gt; """") * "&amp;"(P508 &lt; SmartStatus!D$2:D1000)), (isblank(SmartStatus!E$2:E1000)) + ((P508 &lt;&gt; """") * (P508 &gt;= SmartStatus!E$2:E1000)), (isblank(SmartStatus!F$2:F1000)) + (((Q508 &lt;&gt; """") * (Q508 &lt; SmartStatus!F$2:F1000)) + ((P508 &lt;&gt; """") * (date(year(P508) + 3, month(P"&amp;"508), day(P508)) &lt; SmartStatus!F$2:F1000))), (isblank(SmartStatus!G$2:G1000)) + (((Q508 &lt;&gt; """") * (Q508 &gt;= SmartStatus!G$2:G1000)) + ((P508 &lt;&gt; """") * (P508 &gt;= SmartStatus!G$2:G1000)))), if(or(regexmatch(B508, ""(?i)^ir [a-z]+ designation$""), N508 &lt;&gt; """&amp;"""), 1, 2))), """"), ""NO_MATCH"")"),"")</f>
        <v/>
      </c>
      <c r="AS508" s="11"/>
      <c r="AT508" s="15"/>
      <c r="AU508" s="11"/>
      <c r="AV508" s="11"/>
      <c r="AW508" s="15"/>
      <c r="AX508" s="15"/>
      <c r="AY508" s="15"/>
      <c r="AZ508" s="11"/>
      <c r="BA508" s="15"/>
      <c r="BB508" s="11"/>
      <c r="BC508" s="11"/>
      <c r="BD508" s="15"/>
      <c r="BE508" s="11"/>
      <c r="BF508" s="11"/>
      <c r="BG508" s="15"/>
      <c r="BH508" s="15"/>
      <c r="BI508" s="15"/>
      <c r="BJ508" s="11"/>
      <c r="BK508" s="15"/>
      <c r="BL508" s="11"/>
      <c r="BM508" s="11"/>
      <c r="BN508" s="15"/>
      <c r="BO508" s="11"/>
      <c r="BP508" s="11"/>
      <c r="BQ508" s="15"/>
      <c r="BR508" s="15"/>
      <c r="BS508" s="15"/>
      <c r="BT508" s="11"/>
      <c r="BU508" s="15"/>
      <c r="BV508" s="11"/>
      <c r="BW508" s="11"/>
      <c r="BX508" s="15"/>
      <c r="BY508" s="11"/>
      <c r="BZ508" s="11"/>
      <c r="CA508" s="15"/>
      <c r="CB508" s="11"/>
      <c r="CC508" s="15"/>
      <c r="CD508" s="11"/>
      <c r="CE508" s="15"/>
      <c r="CF508" s="11"/>
      <c r="CG508" s="11"/>
      <c r="CH508" s="15"/>
      <c r="CI508" s="11"/>
      <c r="CJ508" s="11"/>
      <c r="CK508" s="15"/>
      <c r="CL508" s="11"/>
      <c r="CM508" s="11"/>
      <c r="CN508" s="11"/>
      <c r="CO508" s="11"/>
      <c r="CP508" s="28"/>
      <c r="CQ508" s="28"/>
      <c r="CR508" s="11"/>
      <c r="CS508" s="29"/>
      <c r="CT508" s="11"/>
      <c r="CU508" s="11"/>
      <c r="CV508" s="11"/>
      <c r="CW508" s="11"/>
      <c r="CX508" s="11"/>
      <c r="CY508" s="11"/>
      <c r="CZ508" s="11"/>
      <c r="DA508" s="28"/>
      <c r="DB508" s="28"/>
      <c r="DC508" s="11"/>
      <c r="DD508" s="29"/>
      <c r="DE508" s="11"/>
      <c r="DF508" s="11"/>
      <c r="DG508" s="11"/>
      <c r="DH508" s="11"/>
      <c r="DI508" s="11"/>
      <c r="DJ508" s="11"/>
      <c r="DK508" s="26"/>
      <c r="DL508" s="11"/>
      <c r="DM508" s="29"/>
      <c r="DN508" s="28"/>
      <c r="DO508" s="11"/>
      <c r="DP508" s="11"/>
      <c r="DQ508" s="11"/>
      <c r="DR508" s="29"/>
      <c r="DS508" s="28"/>
      <c r="DT508" s="11"/>
      <c r="DU508" s="26"/>
      <c r="DV508" s="11"/>
      <c r="DW508" s="29"/>
      <c r="DX508" s="28"/>
      <c r="DY508" s="11"/>
      <c r="DZ508" s="26"/>
      <c r="EA508" s="11"/>
      <c r="EB508" s="29"/>
      <c r="EC508" s="28"/>
      <c r="ED508" s="30"/>
      <c r="EE508" s="30" t="str">
        <f ca="1">IFERROR(__xludf.DUMMYFUNCTION("iferror(index(filter('Internal -- Trademark Countries'!E$2:E1000, (AM508 = 'Internal -- Trademark Countries'!B$2:B1000) + (AM508 = 'Internal -- Trademark Countries'!C$2:C1000) + (AM508 = 'Internal -- Trademark Countries'!D$2:D1000)), 1))"),"")</f>
        <v/>
      </c>
      <c r="EF508" s="30" t="e">
        <f ca="1">_xludf.ifs(AM508="", "", COUNTIF('Internal -- Trademark Countries'!B:B,AM508) &gt; 0, "polity_shortest_name", COUNTIF('Internal -- Trademark Countries'!C:C,AM508) &gt; 0, "polity_full_name", COUNTIF('Internal -- Trademark Countries'!D:D,AM508) &gt; 0, "polity_common_name", COUNTIF('Internal -- Trademark Countries'!E:E,AM508) &gt; 0, "shortest_name", COUNTIF('Internal -- Trademark Countries'!A:A,AM508) &gt; 0, "full_name", TRUE, "not a match")</f>
        <v>#NAME?</v>
      </c>
      <c r="EG508" s="30"/>
      <c r="EH508" s="30"/>
      <c r="EI508" s="30"/>
      <c r="EJ508" s="30"/>
      <c r="EK508" s="30" t="str">
        <f t="shared" si="3"/>
        <v/>
      </c>
    </row>
    <row r="509" spans="1:141" ht="16.5">
      <c r="A509" s="11"/>
      <c r="B509" s="11"/>
      <c r="C509" s="11"/>
      <c r="D509" s="11"/>
      <c r="E509" s="11"/>
      <c r="F509" s="11"/>
      <c r="G509" s="11"/>
      <c r="H509" s="11"/>
      <c r="I509" s="11"/>
      <c r="J509" s="11"/>
      <c r="K509" s="27"/>
      <c r="L509" s="11"/>
      <c r="M509" s="11"/>
      <c r="N509" s="11"/>
      <c r="O509" s="11"/>
      <c r="P509" s="15"/>
      <c r="Q509" s="15"/>
      <c r="R509" s="15"/>
      <c r="S509" s="15"/>
      <c r="T509" s="15"/>
      <c r="U509" s="15"/>
      <c r="V509" s="15"/>
      <c r="W509" s="47"/>
      <c r="X509" s="11"/>
      <c r="Y509" s="48"/>
      <c r="Z509" s="11"/>
      <c r="AA509" s="48"/>
      <c r="AB509" s="11"/>
      <c r="AC509" s="48"/>
      <c r="AD509" s="11"/>
      <c r="AE509" s="47"/>
      <c r="AF509" s="11"/>
      <c r="AG509" s="48"/>
      <c r="AH509" s="11"/>
      <c r="AI509" s="48"/>
      <c r="AJ509" s="11"/>
      <c r="AK509" s="48"/>
      <c r="AL509" s="11"/>
      <c r="AM509" s="49"/>
      <c r="AN509" s="49"/>
      <c r="AO509" s="11"/>
      <c r="AP509" s="11"/>
      <c r="AQ509" s="28" t="b">
        <f>IF(COUNTIF(SmartStatus!A$2:A1000, AM509) &gt; 2, TRUE, FALSE)</f>
        <v>0</v>
      </c>
      <c r="AR509" s="29" t="str">
        <f ca="1">IFERROR(__xludf.DUMMYFUNCTION("iferror(if(regexmatch(AO509, ""(?i)^registered""), if(EE509 &lt;&gt; ""polity_shortest_name"", ""CHECK_POLITY"", index(filter(SmartStatus!B$2:B1000, AM509 = SmartStatus!A$2:A1000, not(SmartStatus!C$2:C1000), (isblank(SmartStatus!D$2:D1000)) + ((P509 &lt;&gt; """") * "&amp;"(P509 &lt; SmartStatus!D$2:D1000)), (isblank(SmartStatus!E$2:E1000)) + ((P509 &lt;&gt; """") * (P509 &gt;= SmartStatus!E$2:E1000)), (isblank(SmartStatus!F$2:F1000)) + (((Q509 &lt;&gt; """") * (Q509 &lt; SmartStatus!F$2:F1000)) + ((P509 &lt;&gt; """") * (date(year(P509) + 3, month(P"&amp;"509), day(P509)) &lt; SmartStatus!F$2:F1000))), (isblank(SmartStatus!G$2:G1000)) + (((Q509 &lt;&gt; """") * (Q509 &gt;= SmartStatus!G$2:G1000)) + ((P509 &lt;&gt; """") * (P509 &gt;= SmartStatus!G$2:G1000)))), if(or(regexmatch(B509, ""(?i)^ir [a-z]+ designation$""), N509 &lt;&gt; """&amp;"""), 1, 2))), """"), ""NO_MATCH"")"),"")</f>
        <v/>
      </c>
      <c r="AS509" s="11"/>
      <c r="AT509" s="15"/>
      <c r="AU509" s="11"/>
      <c r="AV509" s="11"/>
      <c r="AW509" s="15"/>
      <c r="AX509" s="15"/>
      <c r="AY509" s="15"/>
      <c r="AZ509" s="11"/>
      <c r="BA509" s="15"/>
      <c r="BB509" s="11"/>
      <c r="BC509" s="11"/>
      <c r="BD509" s="15"/>
      <c r="BE509" s="11"/>
      <c r="BF509" s="11"/>
      <c r="BG509" s="15"/>
      <c r="BH509" s="15"/>
      <c r="BI509" s="15"/>
      <c r="BJ509" s="11"/>
      <c r="BK509" s="15"/>
      <c r="BL509" s="11"/>
      <c r="BM509" s="11"/>
      <c r="BN509" s="15"/>
      <c r="BO509" s="11"/>
      <c r="BP509" s="11"/>
      <c r="BQ509" s="15"/>
      <c r="BR509" s="15"/>
      <c r="BS509" s="15"/>
      <c r="BT509" s="11"/>
      <c r="BU509" s="15"/>
      <c r="BV509" s="11"/>
      <c r="BW509" s="11"/>
      <c r="BX509" s="15"/>
      <c r="BY509" s="11"/>
      <c r="BZ509" s="11"/>
      <c r="CA509" s="15"/>
      <c r="CB509" s="11"/>
      <c r="CC509" s="15"/>
      <c r="CD509" s="11"/>
      <c r="CE509" s="15"/>
      <c r="CF509" s="11"/>
      <c r="CG509" s="11"/>
      <c r="CH509" s="15"/>
      <c r="CI509" s="11"/>
      <c r="CJ509" s="11"/>
      <c r="CK509" s="15"/>
      <c r="CL509" s="11"/>
      <c r="CM509" s="11"/>
      <c r="CN509" s="11"/>
      <c r="CO509" s="11"/>
      <c r="CP509" s="28"/>
      <c r="CQ509" s="28"/>
      <c r="CR509" s="11"/>
      <c r="CS509" s="29"/>
      <c r="CT509" s="11"/>
      <c r="CU509" s="11"/>
      <c r="CV509" s="11"/>
      <c r="CW509" s="11"/>
      <c r="CX509" s="11"/>
      <c r="CY509" s="11"/>
      <c r="CZ509" s="11"/>
      <c r="DA509" s="28"/>
      <c r="DB509" s="28"/>
      <c r="DC509" s="11"/>
      <c r="DD509" s="29"/>
      <c r="DE509" s="11"/>
      <c r="DF509" s="11"/>
      <c r="DG509" s="11"/>
      <c r="DH509" s="11"/>
      <c r="DI509" s="11"/>
      <c r="DJ509" s="11"/>
      <c r="DK509" s="26"/>
      <c r="DL509" s="11"/>
      <c r="DM509" s="29"/>
      <c r="DN509" s="28"/>
      <c r="DO509" s="11"/>
      <c r="DP509" s="11"/>
      <c r="DQ509" s="11"/>
      <c r="DR509" s="29"/>
      <c r="DS509" s="28"/>
      <c r="DT509" s="11"/>
      <c r="DU509" s="26"/>
      <c r="DV509" s="11"/>
      <c r="DW509" s="29"/>
      <c r="DX509" s="28"/>
      <c r="DY509" s="11"/>
      <c r="DZ509" s="26"/>
      <c r="EA509" s="11"/>
      <c r="EB509" s="29"/>
      <c r="EC509" s="28"/>
      <c r="ED509" s="30"/>
      <c r="EE509" s="30" t="str">
        <f ca="1">IFERROR(__xludf.DUMMYFUNCTION("iferror(index(filter('Internal -- Trademark Countries'!E$2:E1000, (AM509 = 'Internal -- Trademark Countries'!B$2:B1000) + (AM509 = 'Internal -- Trademark Countries'!C$2:C1000) + (AM509 = 'Internal -- Trademark Countries'!D$2:D1000)), 1))"),"")</f>
        <v/>
      </c>
      <c r="EF509" s="30" t="e">
        <f ca="1">_xludf.ifs(AM509="", "", COUNTIF('Internal -- Trademark Countries'!B:B,AM509) &gt; 0, "polity_shortest_name", COUNTIF('Internal -- Trademark Countries'!C:C,AM509) &gt; 0, "polity_full_name", COUNTIF('Internal -- Trademark Countries'!D:D,AM509) &gt; 0, "polity_common_name", COUNTIF('Internal -- Trademark Countries'!E:E,AM509) &gt; 0, "shortest_name", COUNTIF('Internal -- Trademark Countries'!A:A,AM509) &gt; 0, "full_name", TRUE, "not a match")</f>
        <v>#NAME?</v>
      </c>
      <c r="EG509" s="30"/>
      <c r="EH509" s="30"/>
      <c r="EI509" s="30"/>
      <c r="EJ509" s="30"/>
      <c r="EK509" s="30" t="str">
        <f t="shared" si="3"/>
        <v/>
      </c>
    </row>
    <row r="510" spans="1:141" ht="16.5">
      <c r="A510" s="11"/>
      <c r="B510" s="11"/>
      <c r="C510" s="11"/>
      <c r="D510" s="11"/>
      <c r="E510" s="11"/>
      <c r="F510" s="11"/>
      <c r="G510" s="11"/>
      <c r="H510" s="11"/>
      <c r="I510" s="11"/>
      <c r="J510" s="11"/>
      <c r="K510" s="27"/>
      <c r="L510" s="11"/>
      <c r="M510" s="11"/>
      <c r="N510" s="11"/>
      <c r="O510" s="11"/>
      <c r="P510" s="15"/>
      <c r="Q510" s="15"/>
      <c r="R510" s="15"/>
      <c r="S510" s="15"/>
      <c r="T510" s="15"/>
      <c r="U510" s="15"/>
      <c r="V510" s="15"/>
      <c r="W510" s="47"/>
      <c r="X510" s="11"/>
      <c r="Y510" s="48"/>
      <c r="Z510" s="11"/>
      <c r="AA510" s="48"/>
      <c r="AB510" s="11"/>
      <c r="AC510" s="48"/>
      <c r="AD510" s="11"/>
      <c r="AE510" s="47"/>
      <c r="AF510" s="11"/>
      <c r="AG510" s="48"/>
      <c r="AH510" s="11"/>
      <c r="AI510" s="48"/>
      <c r="AJ510" s="11"/>
      <c r="AK510" s="48"/>
      <c r="AL510" s="11"/>
      <c r="AM510" s="49"/>
      <c r="AN510" s="49"/>
      <c r="AO510" s="11"/>
      <c r="AP510" s="11"/>
      <c r="AQ510" s="28" t="b">
        <f>IF(COUNTIF(SmartStatus!A$2:A1000, AM510) &gt; 2, TRUE, FALSE)</f>
        <v>0</v>
      </c>
      <c r="AR510" s="29" t="str">
        <f ca="1">IFERROR(__xludf.DUMMYFUNCTION("iferror(if(regexmatch(AO510, ""(?i)^registered""), if(EE510 &lt;&gt; ""polity_shortest_name"", ""CHECK_POLITY"", index(filter(SmartStatus!B$2:B1000, AM510 = SmartStatus!A$2:A1000, not(SmartStatus!C$2:C1000), (isblank(SmartStatus!D$2:D1000)) + ((P510 &lt;&gt; """") * "&amp;"(P510 &lt; SmartStatus!D$2:D1000)), (isblank(SmartStatus!E$2:E1000)) + ((P510 &lt;&gt; """") * (P510 &gt;= SmartStatus!E$2:E1000)), (isblank(SmartStatus!F$2:F1000)) + (((Q510 &lt;&gt; """") * (Q510 &lt; SmartStatus!F$2:F1000)) + ((P510 &lt;&gt; """") * (date(year(P510) + 3, month(P"&amp;"510), day(P510)) &lt; SmartStatus!F$2:F1000))), (isblank(SmartStatus!G$2:G1000)) + (((Q510 &lt;&gt; """") * (Q510 &gt;= SmartStatus!G$2:G1000)) + ((P510 &lt;&gt; """") * (P510 &gt;= SmartStatus!G$2:G1000)))), if(or(regexmatch(B510, ""(?i)^ir [a-z]+ designation$""), N510 &lt;&gt; """&amp;"""), 1, 2))), """"), ""NO_MATCH"")"),"")</f>
        <v/>
      </c>
      <c r="AS510" s="11"/>
      <c r="AT510" s="15"/>
      <c r="AU510" s="11"/>
      <c r="AV510" s="11"/>
      <c r="AW510" s="15"/>
      <c r="AX510" s="15"/>
      <c r="AY510" s="15"/>
      <c r="AZ510" s="11"/>
      <c r="BA510" s="15"/>
      <c r="BB510" s="11"/>
      <c r="BC510" s="11"/>
      <c r="BD510" s="15"/>
      <c r="BE510" s="11"/>
      <c r="BF510" s="11"/>
      <c r="BG510" s="15"/>
      <c r="BH510" s="15"/>
      <c r="BI510" s="15"/>
      <c r="BJ510" s="11"/>
      <c r="BK510" s="15"/>
      <c r="BL510" s="11"/>
      <c r="BM510" s="11"/>
      <c r="BN510" s="15"/>
      <c r="BO510" s="11"/>
      <c r="BP510" s="11"/>
      <c r="BQ510" s="15"/>
      <c r="BR510" s="15"/>
      <c r="BS510" s="15"/>
      <c r="BT510" s="11"/>
      <c r="BU510" s="15"/>
      <c r="BV510" s="11"/>
      <c r="BW510" s="11"/>
      <c r="BX510" s="15"/>
      <c r="BY510" s="11"/>
      <c r="BZ510" s="11"/>
      <c r="CA510" s="15"/>
      <c r="CB510" s="11"/>
      <c r="CC510" s="15"/>
      <c r="CD510" s="11"/>
      <c r="CE510" s="15"/>
      <c r="CF510" s="11"/>
      <c r="CG510" s="11"/>
      <c r="CH510" s="15"/>
      <c r="CI510" s="11"/>
      <c r="CJ510" s="11"/>
      <c r="CK510" s="15"/>
      <c r="CL510" s="11"/>
      <c r="CM510" s="11"/>
      <c r="CN510" s="11"/>
      <c r="CO510" s="11"/>
      <c r="CP510" s="28"/>
      <c r="CQ510" s="28"/>
      <c r="CR510" s="11"/>
      <c r="CS510" s="29"/>
      <c r="CT510" s="11"/>
      <c r="CU510" s="11"/>
      <c r="CV510" s="11"/>
      <c r="CW510" s="11"/>
      <c r="CX510" s="11"/>
      <c r="CY510" s="11"/>
      <c r="CZ510" s="11"/>
      <c r="DA510" s="28"/>
      <c r="DB510" s="28"/>
      <c r="DC510" s="11"/>
      <c r="DD510" s="29"/>
      <c r="DE510" s="11"/>
      <c r="DF510" s="11"/>
      <c r="DG510" s="11"/>
      <c r="DH510" s="11"/>
      <c r="DI510" s="11"/>
      <c r="DJ510" s="11"/>
      <c r="DK510" s="26"/>
      <c r="DL510" s="11"/>
      <c r="DM510" s="29"/>
      <c r="DN510" s="28"/>
      <c r="DO510" s="11"/>
      <c r="DP510" s="11"/>
      <c r="DQ510" s="11"/>
      <c r="DR510" s="29"/>
      <c r="DS510" s="28"/>
      <c r="DT510" s="11"/>
      <c r="DU510" s="26"/>
      <c r="DV510" s="11"/>
      <c r="DW510" s="29"/>
      <c r="DX510" s="28"/>
      <c r="DY510" s="11"/>
      <c r="DZ510" s="26"/>
      <c r="EA510" s="11"/>
      <c r="EB510" s="29"/>
      <c r="EC510" s="28"/>
      <c r="ED510" s="30"/>
      <c r="EE510" s="30" t="str">
        <f ca="1">IFERROR(__xludf.DUMMYFUNCTION("iferror(index(filter('Internal -- Trademark Countries'!E$2:E1000, (AM510 = 'Internal -- Trademark Countries'!B$2:B1000) + (AM510 = 'Internal -- Trademark Countries'!C$2:C1000) + (AM510 = 'Internal -- Trademark Countries'!D$2:D1000)), 1))"),"")</f>
        <v/>
      </c>
      <c r="EF510" s="30" t="e">
        <f ca="1">_xludf.ifs(AM510="", "", COUNTIF('Internal -- Trademark Countries'!B:B,AM510) &gt; 0, "polity_shortest_name", COUNTIF('Internal -- Trademark Countries'!C:C,AM510) &gt; 0, "polity_full_name", COUNTIF('Internal -- Trademark Countries'!D:D,AM510) &gt; 0, "polity_common_name", COUNTIF('Internal -- Trademark Countries'!E:E,AM510) &gt; 0, "shortest_name", COUNTIF('Internal -- Trademark Countries'!A:A,AM510) &gt; 0, "full_name", TRUE, "not a match")</f>
        <v>#NAME?</v>
      </c>
      <c r="EG510" s="30"/>
      <c r="EH510" s="30"/>
      <c r="EI510" s="30"/>
      <c r="EJ510" s="30"/>
      <c r="EK510" s="30" t="str">
        <f t="shared" si="3"/>
        <v/>
      </c>
    </row>
    <row r="511" spans="1:141" ht="16.5">
      <c r="A511" s="11"/>
      <c r="B511" s="11"/>
      <c r="C511" s="11"/>
      <c r="D511" s="11"/>
      <c r="E511" s="11"/>
      <c r="F511" s="11"/>
      <c r="G511" s="11"/>
      <c r="H511" s="11"/>
      <c r="I511" s="11"/>
      <c r="J511" s="11"/>
      <c r="K511" s="27"/>
      <c r="L511" s="11"/>
      <c r="M511" s="11"/>
      <c r="N511" s="11"/>
      <c r="O511" s="11"/>
      <c r="P511" s="15"/>
      <c r="Q511" s="15"/>
      <c r="R511" s="15"/>
      <c r="S511" s="15"/>
      <c r="T511" s="15"/>
      <c r="U511" s="15"/>
      <c r="V511" s="15"/>
      <c r="W511" s="47"/>
      <c r="X511" s="11"/>
      <c r="Y511" s="48"/>
      <c r="Z511" s="11"/>
      <c r="AA511" s="48"/>
      <c r="AB511" s="11"/>
      <c r="AC511" s="48"/>
      <c r="AD511" s="11"/>
      <c r="AE511" s="47"/>
      <c r="AF511" s="11"/>
      <c r="AG511" s="48"/>
      <c r="AH511" s="11"/>
      <c r="AI511" s="48"/>
      <c r="AJ511" s="11"/>
      <c r="AK511" s="48"/>
      <c r="AL511" s="11"/>
      <c r="AM511" s="49"/>
      <c r="AN511" s="49"/>
      <c r="AO511" s="11"/>
      <c r="AP511" s="11"/>
      <c r="AQ511" s="28" t="b">
        <f>IF(COUNTIF(SmartStatus!A$2:A1000, AM511) &gt; 2, TRUE, FALSE)</f>
        <v>0</v>
      </c>
      <c r="AR511" s="29" t="str">
        <f ca="1">IFERROR(__xludf.DUMMYFUNCTION("iferror(if(regexmatch(AO511, ""(?i)^registered""), if(EE511 &lt;&gt; ""polity_shortest_name"", ""CHECK_POLITY"", index(filter(SmartStatus!B$2:B1000, AM511 = SmartStatus!A$2:A1000, not(SmartStatus!C$2:C1000), (isblank(SmartStatus!D$2:D1000)) + ((P511 &lt;&gt; """") * "&amp;"(P511 &lt; SmartStatus!D$2:D1000)), (isblank(SmartStatus!E$2:E1000)) + ((P511 &lt;&gt; """") * (P511 &gt;= SmartStatus!E$2:E1000)), (isblank(SmartStatus!F$2:F1000)) + (((Q511 &lt;&gt; """") * (Q511 &lt; SmartStatus!F$2:F1000)) + ((P511 &lt;&gt; """") * (date(year(P511) + 3, month(P"&amp;"511), day(P511)) &lt; SmartStatus!F$2:F1000))), (isblank(SmartStatus!G$2:G1000)) + (((Q511 &lt;&gt; """") * (Q511 &gt;= SmartStatus!G$2:G1000)) + ((P511 &lt;&gt; """") * (P511 &gt;= SmartStatus!G$2:G1000)))), if(or(regexmatch(B511, ""(?i)^ir [a-z]+ designation$""), N511 &lt;&gt; """&amp;"""), 1, 2))), """"), ""NO_MATCH"")"),"")</f>
        <v/>
      </c>
      <c r="AS511" s="11"/>
      <c r="AT511" s="15"/>
      <c r="AU511" s="11"/>
      <c r="AV511" s="11"/>
      <c r="AW511" s="15"/>
      <c r="AX511" s="15"/>
      <c r="AY511" s="15"/>
      <c r="AZ511" s="11"/>
      <c r="BA511" s="15"/>
      <c r="BB511" s="11"/>
      <c r="BC511" s="11"/>
      <c r="BD511" s="15"/>
      <c r="BE511" s="11"/>
      <c r="BF511" s="11"/>
      <c r="BG511" s="15"/>
      <c r="BH511" s="15"/>
      <c r="BI511" s="15"/>
      <c r="BJ511" s="11"/>
      <c r="BK511" s="15"/>
      <c r="BL511" s="11"/>
      <c r="BM511" s="11"/>
      <c r="BN511" s="15"/>
      <c r="BO511" s="11"/>
      <c r="BP511" s="11"/>
      <c r="BQ511" s="15"/>
      <c r="BR511" s="15"/>
      <c r="BS511" s="15"/>
      <c r="BT511" s="11"/>
      <c r="BU511" s="15"/>
      <c r="BV511" s="11"/>
      <c r="BW511" s="11"/>
      <c r="BX511" s="15"/>
      <c r="BY511" s="11"/>
      <c r="BZ511" s="11"/>
      <c r="CA511" s="15"/>
      <c r="CB511" s="11"/>
      <c r="CC511" s="15"/>
      <c r="CD511" s="11"/>
      <c r="CE511" s="15"/>
      <c r="CF511" s="11"/>
      <c r="CG511" s="11"/>
      <c r="CH511" s="15"/>
      <c r="CI511" s="11"/>
      <c r="CJ511" s="11"/>
      <c r="CK511" s="15"/>
      <c r="CL511" s="11"/>
      <c r="CM511" s="11"/>
      <c r="CN511" s="11"/>
      <c r="CO511" s="11"/>
      <c r="CP511" s="28"/>
      <c r="CQ511" s="28"/>
      <c r="CR511" s="11"/>
      <c r="CS511" s="29"/>
      <c r="CT511" s="11"/>
      <c r="CU511" s="11"/>
      <c r="CV511" s="11"/>
      <c r="CW511" s="11"/>
      <c r="CX511" s="11"/>
      <c r="CY511" s="11"/>
      <c r="CZ511" s="11"/>
      <c r="DA511" s="28"/>
      <c r="DB511" s="28"/>
      <c r="DC511" s="11"/>
      <c r="DD511" s="29"/>
      <c r="DE511" s="11"/>
      <c r="DF511" s="11"/>
      <c r="DG511" s="11"/>
      <c r="DH511" s="11"/>
      <c r="DI511" s="11"/>
      <c r="DJ511" s="11"/>
      <c r="DK511" s="26"/>
      <c r="DL511" s="11"/>
      <c r="DM511" s="29"/>
      <c r="DN511" s="28"/>
      <c r="DO511" s="11"/>
      <c r="DP511" s="11"/>
      <c r="DQ511" s="11"/>
      <c r="DR511" s="29"/>
      <c r="DS511" s="28"/>
      <c r="DT511" s="11"/>
      <c r="DU511" s="26"/>
      <c r="DV511" s="11"/>
      <c r="DW511" s="29"/>
      <c r="DX511" s="28"/>
      <c r="DY511" s="11"/>
      <c r="DZ511" s="26"/>
      <c r="EA511" s="11"/>
      <c r="EB511" s="29"/>
      <c r="EC511" s="28"/>
      <c r="ED511" s="30"/>
      <c r="EE511" s="30" t="str">
        <f ca="1">IFERROR(__xludf.DUMMYFUNCTION("iferror(index(filter('Internal -- Trademark Countries'!E$2:E1000, (AM511 = 'Internal -- Trademark Countries'!B$2:B1000) + (AM511 = 'Internal -- Trademark Countries'!C$2:C1000) + (AM511 = 'Internal -- Trademark Countries'!D$2:D1000)), 1))"),"")</f>
        <v/>
      </c>
      <c r="EF511" s="30" t="e">
        <f ca="1">_xludf.ifs(AM511="", "", COUNTIF('Internal -- Trademark Countries'!B:B,AM511) &gt; 0, "polity_shortest_name", COUNTIF('Internal -- Trademark Countries'!C:C,AM511) &gt; 0, "polity_full_name", COUNTIF('Internal -- Trademark Countries'!D:D,AM511) &gt; 0, "polity_common_name", COUNTIF('Internal -- Trademark Countries'!E:E,AM511) &gt; 0, "shortest_name", COUNTIF('Internal -- Trademark Countries'!A:A,AM511) &gt; 0, "full_name", TRUE, "not a match")</f>
        <v>#NAME?</v>
      </c>
      <c r="EG511" s="30"/>
      <c r="EH511" s="30"/>
      <c r="EI511" s="30"/>
      <c r="EJ511" s="30"/>
      <c r="EK511" s="30" t="str">
        <f t="shared" si="3"/>
        <v/>
      </c>
    </row>
    <row r="512" spans="1:141" ht="16.5">
      <c r="A512" s="11"/>
      <c r="B512" s="11"/>
      <c r="C512" s="11"/>
      <c r="D512" s="11"/>
      <c r="E512" s="11"/>
      <c r="F512" s="11"/>
      <c r="G512" s="11"/>
      <c r="H512" s="11"/>
      <c r="I512" s="11"/>
      <c r="J512" s="11"/>
      <c r="K512" s="27"/>
      <c r="L512" s="11"/>
      <c r="M512" s="11"/>
      <c r="N512" s="11"/>
      <c r="O512" s="11"/>
      <c r="P512" s="15"/>
      <c r="Q512" s="15"/>
      <c r="R512" s="15"/>
      <c r="S512" s="15"/>
      <c r="T512" s="15"/>
      <c r="U512" s="15"/>
      <c r="V512" s="15"/>
      <c r="W512" s="47"/>
      <c r="X512" s="11"/>
      <c r="Y512" s="48"/>
      <c r="Z512" s="11"/>
      <c r="AA512" s="48"/>
      <c r="AB512" s="11"/>
      <c r="AC512" s="48"/>
      <c r="AD512" s="11"/>
      <c r="AE512" s="47"/>
      <c r="AF512" s="11"/>
      <c r="AG512" s="48"/>
      <c r="AH512" s="11"/>
      <c r="AI512" s="48"/>
      <c r="AJ512" s="11"/>
      <c r="AK512" s="48"/>
      <c r="AL512" s="11"/>
      <c r="AM512" s="49"/>
      <c r="AN512" s="49"/>
      <c r="AO512" s="11"/>
      <c r="AP512" s="11"/>
      <c r="AQ512" s="28" t="b">
        <f>IF(COUNTIF(SmartStatus!A$2:A1000, AM512) &gt; 2, TRUE, FALSE)</f>
        <v>0</v>
      </c>
      <c r="AR512" s="29" t="str">
        <f ca="1">IFERROR(__xludf.DUMMYFUNCTION("iferror(if(regexmatch(AO512, ""(?i)^registered""), if(EE512 &lt;&gt; ""polity_shortest_name"", ""CHECK_POLITY"", index(filter(SmartStatus!B$2:B1000, AM512 = SmartStatus!A$2:A1000, not(SmartStatus!C$2:C1000), (isblank(SmartStatus!D$2:D1000)) + ((P512 &lt;&gt; """") * "&amp;"(P512 &lt; SmartStatus!D$2:D1000)), (isblank(SmartStatus!E$2:E1000)) + ((P512 &lt;&gt; """") * (P512 &gt;= SmartStatus!E$2:E1000)), (isblank(SmartStatus!F$2:F1000)) + (((Q512 &lt;&gt; """") * (Q512 &lt; SmartStatus!F$2:F1000)) + ((P512 &lt;&gt; """") * (date(year(P512) + 3, month(P"&amp;"512), day(P512)) &lt; SmartStatus!F$2:F1000))), (isblank(SmartStatus!G$2:G1000)) + (((Q512 &lt;&gt; """") * (Q512 &gt;= SmartStatus!G$2:G1000)) + ((P512 &lt;&gt; """") * (P512 &gt;= SmartStatus!G$2:G1000)))), if(or(regexmatch(B512, ""(?i)^ir [a-z]+ designation$""), N512 &lt;&gt; """&amp;"""), 1, 2))), """"), ""NO_MATCH"")"),"")</f>
        <v/>
      </c>
      <c r="AS512" s="11"/>
      <c r="AT512" s="15"/>
      <c r="AU512" s="11"/>
      <c r="AV512" s="11"/>
      <c r="AW512" s="15"/>
      <c r="AX512" s="15"/>
      <c r="AY512" s="15"/>
      <c r="AZ512" s="11"/>
      <c r="BA512" s="15"/>
      <c r="BB512" s="11"/>
      <c r="BC512" s="11"/>
      <c r="BD512" s="15"/>
      <c r="BE512" s="11"/>
      <c r="BF512" s="11"/>
      <c r="BG512" s="15"/>
      <c r="BH512" s="15"/>
      <c r="BI512" s="15"/>
      <c r="BJ512" s="11"/>
      <c r="BK512" s="15"/>
      <c r="BL512" s="11"/>
      <c r="BM512" s="11"/>
      <c r="BN512" s="15"/>
      <c r="BO512" s="11"/>
      <c r="BP512" s="11"/>
      <c r="BQ512" s="15"/>
      <c r="BR512" s="15"/>
      <c r="BS512" s="15"/>
      <c r="BT512" s="11"/>
      <c r="BU512" s="15"/>
      <c r="BV512" s="11"/>
      <c r="BW512" s="11"/>
      <c r="BX512" s="15"/>
      <c r="BY512" s="11"/>
      <c r="BZ512" s="11"/>
      <c r="CA512" s="15"/>
      <c r="CB512" s="11"/>
      <c r="CC512" s="15"/>
      <c r="CD512" s="11"/>
      <c r="CE512" s="15"/>
      <c r="CF512" s="11"/>
      <c r="CG512" s="11"/>
      <c r="CH512" s="15"/>
      <c r="CI512" s="11"/>
      <c r="CJ512" s="11"/>
      <c r="CK512" s="15"/>
      <c r="CL512" s="11"/>
      <c r="CM512" s="11"/>
      <c r="CN512" s="11"/>
      <c r="CO512" s="11"/>
      <c r="CP512" s="28"/>
      <c r="CQ512" s="28"/>
      <c r="CR512" s="11"/>
      <c r="CS512" s="29"/>
      <c r="CT512" s="11"/>
      <c r="CU512" s="11"/>
      <c r="CV512" s="11"/>
      <c r="CW512" s="11"/>
      <c r="CX512" s="11"/>
      <c r="CY512" s="11"/>
      <c r="CZ512" s="11"/>
      <c r="DA512" s="28"/>
      <c r="DB512" s="28"/>
      <c r="DC512" s="11"/>
      <c r="DD512" s="29"/>
      <c r="DE512" s="11"/>
      <c r="DF512" s="11"/>
      <c r="DG512" s="11"/>
      <c r="DH512" s="11"/>
      <c r="DI512" s="11"/>
      <c r="DJ512" s="11"/>
      <c r="DK512" s="26"/>
      <c r="DL512" s="11"/>
      <c r="DM512" s="29"/>
      <c r="DN512" s="28"/>
      <c r="DO512" s="11"/>
      <c r="DP512" s="11"/>
      <c r="DQ512" s="11"/>
      <c r="DR512" s="29"/>
      <c r="DS512" s="28"/>
      <c r="DT512" s="11"/>
      <c r="DU512" s="26"/>
      <c r="DV512" s="11"/>
      <c r="DW512" s="29"/>
      <c r="DX512" s="28"/>
      <c r="DY512" s="11"/>
      <c r="DZ512" s="26"/>
      <c r="EA512" s="11"/>
      <c r="EB512" s="29"/>
      <c r="EC512" s="28"/>
      <c r="ED512" s="30"/>
      <c r="EE512" s="30" t="str">
        <f ca="1">IFERROR(__xludf.DUMMYFUNCTION("iferror(index(filter('Internal -- Trademark Countries'!E$2:E1000, (AM512 = 'Internal -- Trademark Countries'!B$2:B1000) + (AM512 = 'Internal -- Trademark Countries'!C$2:C1000) + (AM512 = 'Internal -- Trademark Countries'!D$2:D1000)), 1))"),"")</f>
        <v/>
      </c>
      <c r="EF512" s="30" t="e">
        <f ca="1">_xludf.ifs(AM512="", "", COUNTIF('Internal -- Trademark Countries'!B:B,AM512) &gt; 0, "polity_shortest_name", COUNTIF('Internal -- Trademark Countries'!C:C,AM512) &gt; 0, "polity_full_name", COUNTIF('Internal -- Trademark Countries'!D:D,AM512) &gt; 0, "polity_common_name", COUNTIF('Internal -- Trademark Countries'!E:E,AM512) &gt; 0, "shortest_name", COUNTIF('Internal -- Trademark Countries'!A:A,AM512) &gt; 0, "full_name", TRUE, "not a match")</f>
        <v>#NAME?</v>
      </c>
      <c r="EG512" s="30"/>
      <c r="EH512" s="30"/>
      <c r="EI512" s="30"/>
      <c r="EJ512" s="30"/>
      <c r="EK512" s="30" t="str">
        <f t="shared" ref="EK512:EK766" si="4">IF(AT512="","",IF(AT512&lt;DATE(2000,1,1),"20th Century Deadline 1",IF(AT512&gt;DATE(2099,12,31),"22nd Century Deadline 1","")))</f>
        <v/>
      </c>
    </row>
    <row r="513" spans="1:141" ht="16.5">
      <c r="A513" s="11"/>
      <c r="B513" s="11"/>
      <c r="C513" s="11"/>
      <c r="D513" s="11"/>
      <c r="E513" s="11"/>
      <c r="F513" s="11"/>
      <c r="G513" s="11"/>
      <c r="H513" s="11"/>
      <c r="I513" s="11"/>
      <c r="J513" s="11"/>
      <c r="K513" s="27"/>
      <c r="L513" s="11"/>
      <c r="M513" s="11"/>
      <c r="N513" s="11"/>
      <c r="O513" s="11"/>
      <c r="P513" s="15"/>
      <c r="Q513" s="15"/>
      <c r="R513" s="15"/>
      <c r="S513" s="15"/>
      <c r="T513" s="15"/>
      <c r="U513" s="15"/>
      <c r="V513" s="15"/>
      <c r="W513" s="47"/>
      <c r="X513" s="11"/>
      <c r="Y513" s="48"/>
      <c r="Z513" s="11"/>
      <c r="AA513" s="48"/>
      <c r="AB513" s="11"/>
      <c r="AC513" s="48"/>
      <c r="AD513" s="11"/>
      <c r="AE513" s="47"/>
      <c r="AF513" s="11"/>
      <c r="AG513" s="48"/>
      <c r="AH513" s="11"/>
      <c r="AI513" s="48"/>
      <c r="AJ513" s="11"/>
      <c r="AK513" s="48"/>
      <c r="AL513" s="11"/>
      <c r="AM513" s="49"/>
      <c r="AN513" s="49"/>
      <c r="AO513" s="11"/>
      <c r="AP513" s="11"/>
      <c r="AQ513" s="28" t="b">
        <f>IF(COUNTIF(SmartStatus!A$2:A1000, AM513) &gt; 2, TRUE, FALSE)</f>
        <v>0</v>
      </c>
      <c r="AR513" s="29" t="str">
        <f ca="1">IFERROR(__xludf.DUMMYFUNCTION("iferror(if(regexmatch(AO513, ""(?i)^registered""), if(EE513 &lt;&gt; ""polity_shortest_name"", ""CHECK_POLITY"", index(filter(SmartStatus!B$2:B1000, AM513 = SmartStatus!A$2:A1000, not(SmartStatus!C$2:C1000), (isblank(SmartStatus!D$2:D1000)) + ((P513 &lt;&gt; """") * "&amp;"(P513 &lt; SmartStatus!D$2:D1000)), (isblank(SmartStatus!E$2:E1000)) + ((P513 &lt;&gt; """") * (P513 &gt;= SmartStatus!E$2:E1000)), (isblank(SmartStatus!F$2:F1000)) + (((Q513 &lt;&gt; """") * (Q513 &lt; SmartStatus!F$2:F1000)) + ((P513 &lt;&gt; """") * (date(year(P513) + 3, month(P"&amp;"513), day(P513)) &lt; SmartStatus!F$2:F1000))), (isblank(SmartStatus!G$2:G1000)) + (((Q513 &lt;&gt; """") * (Q513 &gt;= SmartStatus!G$2:G1000)) + ((P513 &lt;&gt; """") * (P513 &gt;= SmartStatus!G$2:G1000)))), if(or(regexmatch(B513, ""(?i)^ir [a-z]+ designation$""), N513 &lt;&gt; """&amp;"""), 1, 2))), """"), ""NO_MATCH"")"),"")</f>
        <v/>
      </c>
      <c r="AS513" s="11"/>
      <c r="AT513" s="15"/>
      <c r="AU513" s="11"/>
      <c r="AV513" s="11"/>
      <c r="AW513" s="15"/>
      <c r="AX513" s="15"/>
      <c r="AY513" s="15"/>
      <c r="AZ513" s="11"/>
      <c r="BA513" s="15"/>
      <c r="BB513" s="11"/>
      <c r="BC513" s="11"/>
      <c r="BD513" s="15"/>
      <c r="BE513" s="11"/>
      <c r="BF513" s="11"/>
      <c r="BG513" s="15"/>
      <c r="BH513" s="15"/>
      <c r="BI513" s="15"/>
      <c r="BJ513" s="11"/>
      <c r="BK513" s="15"/>
      <c r="BL513" s="11"/>
      <c r="BM513" s="11"/>
      <c r="BN513" s="15"/>
      <c r="BO513" s="11"/>
      <c r="BP513" s="11"/>
      <c r="BQ513" s="15"/>
      <c r="BR513" s="15"/>
      <c r="BS513" s="15"/>
      <c r="BT513" s="11"/>
      <c r="BU513" s="15"/>
      <c r="BV513" s="11"/>
      <c r="BW513" s="11"/>
      <c r="BX513" s="15"/>
      <c r="BY513" s="11"/>
      <c r="BZ513" s="11"/>
      <c r="CA513" s="15"/>
      <c r="CB513" s="11"/>
      <c r="CC513" s="15"/>
      <c r="CD513" s="11"/>
      <c r="CE513" s="15"/>
      <c r="CF513" s="11"/>
      <c r="CG513" s="11"/>
      <c r="CH513" s="15"/>
      <c r="CI513" s="11"/>
      <c r="CJ513" s="11"/>
      <c r="CK513" s="15"/>
      <c r="CL513" s="11"/>
      <c r="CM513" s="11"/>
      <c r="CN513" s="11"/>
      <c r="CO513" s="11"/>
      <c r="CP513" s="28"/>
      <c r="CQ513" s="28"/>
      <c r="CR513" s="11"/>
      <c r="CS513" s="29"/>
      <c r="CT513" s="11"/>
      <c r="CU513" s="11"/>
      <c r="CV513" s="11"/>
      <c r="CW513" s="11"/>
      <c r="CX513" s="11"/>
      <c r="CY513" s="11"/>
      <c r="CZ513" s="11"/>
      <c r="DA513" s="28"/>
      <c r="DB513" s="28"/>
      <c r="DC513" s="11"/>
      <c r="DD513" s="29"/>
      <c r="DE513" s="11"/>
      <c r="DF513" s="11"/>
      <c r="DG513" s="11"/>
      <c r="DH513" s="11"/>
      <c r="DI513" s="11"/>
      <c r="DJ513" s="11"/>
      <c r="DK513" s="26"/>
      <c r="DL513" s="11"/>
      <c r="DM513" s="29"/>
      <c r="DN513" s="28"/>
      <c r="DO513" s="11"/>
      <c r="DP513" s="11"/>
      <c r="DQ513" s="11"/>
      <c r="DR513" s="29"/>
      <c r="DS513" s="28"/>
      <c r="DT513" s="11"/>
      <c r="DU513" s="26"/>
      <c r="DV513" s="11"/>
      <c r="DW513" s="29"/>
      <c r="DX513" s="28"/>
      <c r="DY513" s="11"/>
      <c r="DZ513" s="26"/>
      <c r="EA513" s="11"/>
      <c r="EB513" s="29"/>
      <c r="EC513" s="28"/>
      <c r="ED513" s="30"/>
      <c r="EE513" s="30" t="str">
        <f ca="1">IFERROR(__xludf.DUMMYFUNCTION("iferror(index(filter('Internal -- Trademark Countries'!E$2:E1000, (AM513 = 'Internal -- Trademark Countries'!B$2:B1000) + (AM513 = 'Internal -- Trademark Countries'!C$2:C1000) + (AM513 = 'Internal -- Trademark Countries'!D$2:D1000)), 1))"),"")</f>
        <v/>
      </c>
      <c r="EF513" s="30" t="e">
        <f ca="1">_xludf.ifs(AM513="", "", COUNTIF('Internal -- Trademark Countries'!B:B,AM513) &gt; 0, "polity_shortest_name", COUNTIF('Internal -- Trademark Countries'!C:C,AM513) &gt; 0, "polity_full_name", COUNTIF('Internal -- Trademark Countries'!D:D,AM513) &gt; 0, "polity_common_name", COUNTIF('Internal -- Trademark Countries'!E:E,AM513) &gt; 0, "shortest_name", COUNTIF('Internal -- Trademark Countries'!A:A,AM513) &gt; 0, "full_name", TRUE, "not a match")</f>
        <v>#NAME?</v>
      </c>
      <c r="EG513" s="30"/>
      <c r="EH513" s="30"/>
      <c r="EI513" s="30"/>
      <c r="EJ513" s="30"/>
      <c r="EK513" s="30" t="str">
        <f t="shared" si="4"/>
        <v/>
      </c>
    </row>
    <row r="514" spans="1:141" ht="16.5">
      <c r="A514" s="11"/>
      <c r="B514" s="11"/>
      <c r="C514" s="11"/>
      <c r="D514" s="11"/>
      <c r="E514" s="11"/>
      <c r="F514" s="11"/>
      <c r="G514" s="11"/>
      <c r="H514" s="11"/>
      <c r="I514" s="11"/>
      <c r="J514" s="11"/>
      <c r="K514" s="27"/>
      <c r="L514" s="11"/>
      <c r="M514" s="11"/>
      <c r="N514" s="11"/>
      <c r="O514" s="11"/>
      <c r="P514" s="15"/>
      <c r="Q514" s="15"/>
      <c r="R514" s="15"/>
      <c r="S514" s="15"/>
      <c r="T514" s="15"/>
      <c r="U514" s="15"/>
      <c r="V514" s="15"/>
      <c r="W514" s="47"/>
      <c r="X514" s="11"/>
      <c r="Y514" s="48"/>
      <c r="Z514" s="11"/>
      <c r="AA514" s="48"/>
      <c r="AB514" s="11"/>
      <c r="AC514" s="48"/>
      <c r="AD514" s="11"/>
      <c r="AE514" s="47"/>
      <c r="AF514" s="11"/>
      <c r="AG514" s="48"/>
      <c r="AH514" s="11"/>
      <c r="AI514" s="48"/>
      <c r="AJ514" s="11"/>
      <c r="AK514" s="48"/>
      <c r="AL514" s="11"/>
      <c r="AM514" s="49"/>
      <c r="AN514" s="49"/>
      <c r="AO514" s="11"/>
      <c r="AP514" s="11"/>
      <c r="AQ514" s="28" t="b">
        <f>IF(COUNTIF(SmartStatus!A$2:A1000, AM514) &gt; 2, TRUE, FALSE)</f>
        <v>0</v>
      </c>
      <c r="AR514" s="29" t="str">
        <f ca="1">IFERROR(__xludf.DUMMYFUNCTION("iferror(if(regexmatch(AO514, ""(?i)^registered""), if(EE514 &lt;&gt; ""polity_shortest_name"", ""CHECK_POLITY"", index(filter(SmartStatus!B$2:B1000, AM514 = SmartStatus!A$2:A1000, not(SmartStatus!C$2:C1000), (isblank(SmartStatus!D$2:D1000)) + ((P514 &lt;&gt; """") * "&amp;"(P514 &lt; SmartStatus!D$2:D1000)), (isblank(SmartStatus!E$2:E1000)) + ((P514 &lt;&gt; """") * (P514 &gt;= SmartStatus!E$2:E1000)), (isblank(SmartStatus!F$2:F1000)) + (((Q514 &lt;&gt; """") * (Q514 &lt; SmartStatus!F$2:F1000)) + ((P514 &lt;&gt; """") * (date(year(P514) + 3, month(P"&amp;"514), day(P514)) &lt; SmartStatus!F$2:F1000))), (isblank(SmartStatus!G$2:G1000)) + (((Q514 &lt;&gt; """") * (Q514 &gt;= SmartStatus!G$2:G1000)) + ((P514 &lt;&gt; """") * (P514 &gt;= SmartStatus!G$2:G1000)))), if(or(regexmatch(B514, ""(?i)^ir [a-z]+ designation$""), N514 &lt;&gt; """&amp;"""), 1, 2))), """"), ""NO_MATCH"")"),"")</f>
        <v/>
      </c>
      <c r="AS514" s="11"/>
      <c r="AT514" s="15"/>
      <c r="AU514" s="11"/>
      <c r="AV514" s="11"/>
      <c r="AW514" s="15"/>
      <c r="AX514" s="15"/>
      <c r="AY514" s="15"/>
      <c r="AZ514" s="11"/>
      <c r="BA514" s="15"/>
      <c r="BB514" s="11"/>
      <c r="BC514" s="11"/>
      <c r="BD514" s="15"/>
      <c r="BE514" s="11"/>
      <c r="BF514" s="11"/>
      <c r="BG514" s="15"/>
      <c r="BH514" s="15"/>
      <c r="BI514" s="15"/>
      <c r="BJ514" s="11"/>
      <c r="BK514" s="15"/>
      <c r="BL514" s="11"/>
      <c r="BM514" s="11"/>
      <c r="BN514" s="15"/>
      <c r="BO514" s="11"/>
      <c r="BP514" s="11"/>
      <c r="BQ514" s="15"/>
      <c r="BR514" s="15"/>
      <c r="BS514" s="15"/>
      <c r="BT514" s="11"/>
      <c r="BU514" s="15"/>
      <c r="BV514" s="11"/>
      <c r="BW514" s="11"/>
      <c r="BX514" s="15"/>
      <c r="BY514" s="11"/>
      <c r="BZ514" s="11"/>
      <c r="CA514" s="15"/>
      <c r="CB514" s="11"/>
      <c r="CC514" s="15"/>
      <c r="CD514" s="11"/>
      <c r="CE514" s="15"/>
      <c r="CF514" s="11"/>
      <c r="CG514" s="11"/>
      <c r="CH514" s="15"/>
      <c r="CI514" s="11"/>
      <c r="CJ514" s="11"/>
      <c r="CK514" s="15"/>
      <c r="CL514" s="11"/>
      <c r="CM514" s="11"/>
      <c r="CN514" s="11"/>
      <c r="CO514" s="11"/>
      <c r="CP514" s="28"/>
      <c r="CQ514" s="28"/>
      <c r="CR514" s="11"/>
      <c r="CS514" s="29"/>
      <c r="CT514" s="11"/>
      <c r="CU514" s="11"/>
      <c r="CV514" s="11"/>
      <c r="CW514" s="11"/>
      <c r="CX514" s="11"/>
      <c r="CY514" s="11"/>
      <c r="CZ514" s="11"/>
      <c r="DA514" s="28"/>
      <c r="DB514" s="28"/>
      <c r="DC514" s="11"/>
      <c r="DD514" s="29"/>
      <c r="DE514" s="11"/>
      <c r="DF514" s="11"/>
      <c r="DG514" s="11"/>
      <c r="DH514" s="11"/>
      <c r="DI514" s="11"/>
      <c r="DJ514" s="11"/>
      <c r="DK514" s="26"/>
      <c r="DL514" s="11"/>
      <c r="DM514" s="29"/>
      <c r="DN514" s="28"/>
      <c r="DO514" s="11"/>
      <c r="DP514" s="11"/>
      <c r="DQ514" s="11"/>
      <c r="DR514" s="29"/>
      <c r="DS514" s="28"/>
      <c r="DT514" s="11"/>
      <c r="DU514" s="26"/>
      <c r="DV514" s="11"/>
      <c r="DW514" s="29"/>
      <c r="DX514" s="28"/>
      <c r="DY514" s="11"/>
      <c r="DZ514" s="26"/>
      <c r="EA514" s="11"/>
      <c r="EB514" s="29"/>
      <c r="EC514" s="28"/>
      <c r="ED514" s="30"/>
      <c r="EE514" s="30" t="str">
        <f ca="1">IFERROR(__xludf.DUMMYFUNCTION("iferror(index(filter('Internal -- Trademark Countries'!E$2:E1000, (AM514 = 'Internal -- Trademark Countries'!B$2:B1000) + (AM514 = 'Internal -- Trademark Countries'!C$2:C1000) + (AM514 = 'Internal -- Trademark Countries'!D$2:D1000)), 1))"),"")</f>
        <v/>
      </c>
      <c r="EF514" s="30" t="e">
        <f ca="1">_xludf.ifs(AM514="", "", COUNTIF('Internal -- Trademark Countries'!B:B,AM514) &gt; 0, "polity_shortest_name", COUNTIF('Internal -- Trademark Countries'!C:C,AM514) &gt; 0, "polity_full_name", COUNTIF('Internal -- Trademark Countries'!D:D,AM514) &gt; 0, "polity_common_name", COUNTIF('Internal -- Trademark Countries'!E:E,AM514) &gt; 0, "shortest_name", COUNTIF('Internal -- Trademark Countries'!A:A,AM514) &gt; 0, "full_name", TRUE, "not a match")</f>
        <v>#NAME?</v>
      </c>
      <c r="EG514" s="30"/>
      <c r="EH514" s="30"/>
      <c r="EI514" s="30"/>
      <c r="EJ514" s="30"/>
      <c r="EK514" s="30" t="str">
        <f t="shared" si="4"/>
        <v/>
      </c>
    </row>
    <row r="515" spans="1:141" ht="16.5">
      <c r="A515" s="11"/>
      <c r="B515" s="11"/>
      <c r="C515" s="11"/>
      <c r="D515" s="11"/>
      <c r="E515" s="11"/>
      <c r="F515" s="11"/>
      <c r="G515" s="11"/>
      <c r="H515" s="11"/>
      <c r="I515" s="11"/>
      <c r="J515" s="11"/>
      <c r="K515" s="27"/>
      <c r="L515" s="11"/>
      <c r="M515" s="11"/>
      <c r="N515" s="11"/>
      <c r="O515" s="11"/>
      <c r="P515" s="15"/>
      <c r="Q515" s="15"/>
      <c r="R515" s="15"/>
      <c r="S515" s="15"/>
      <c r="T515" s="15"/>
      <c r="U515" s="15"/>
      <c r="V515" s="15"/>
      <c r="W515" s="47"/>
      <c r="X515" s="11"/>
      <c r="Y515" s="48"/>
      <c r="Z515" s="11"/>
      <c r="AA515" s="48"/>
      <c r="AB515" s="11"/>
      <c r="AC515" s="48"/>
      <c r="AD515" s="11"/>
      <c r="AE515" s="47"/>
      <c r="AF515" s="11"/>
      <c r="AG515" s="48"/>
      <c r="AH515" s="11"/>
      <c r="AI515" s="48"/>
      <c r="AJ515" s="11"/>
      <c r="AK515" s="48"/>
      <c r="AL515" s="11"/>
      <c r="AM515" s="49"/>
      <c r="AN515" s="49"/>
      <c r="AO515" s="11"/>
      <c r="AP515" s="11"/>
      <c r="AQ515" s="28" t="b">
        <f>IF(COUNTIF(SmartStatus!A$2:A1000, AM515) &gt; 2, TRUE, FALSE)</f>
        <v>0</v>
      </c>
      <c r="AR515" s="29" t="str">
        <f ca="1">IFERROR(__xludf.DUMMYFUNCTION("iferror(if(regexmatch(AO515, ""(?i)^registered""), if(EE515 &lt;&gt; ""polity_shortest_name"", ""CHECK_POLITY"", index(filter(SmartStatus!B$2:B1000, AM515 = SmartStatus!A$2:A1000, not(SmartStatus!C$2:C1000), (isblank(SmartStatus!D$2:D1000)) + ((P515 &lt;&gt; """") * "&amp;"(P515 &lt; SmartStatus!D$2:D1000)), (isblank(SmartStatus!E$2:E1000)) + ((P515 &lt;&gt; """") * (P515 &gt;= SmartStatus!E$2:E1000)), (isblank(SmartStatus!F$2:F1000)) + (((Q515 &lt;&gt; """") * (Q515 &lt; SmartStatus!F$2:F1000)) + ((P515 &lt;&gt; """") * (date(year(P515) + 3, month(P"&amp;"515), day(P515)) &lt; SmartStatus!F$2:F1000))), (isblank(SmartStatus!G$2:G1000)) + (((Q515 &lt;&gt; """") * (Q515 &gt;= SmartStatus!G$2:G1000)) + ((P515 &lt;&gt; """") * (P515 &gt;= SmartStatus!G$2:G1000)))), if(or(regexmatch(B515, ""(?i)^ir [a-z]+ designation$""), N515 &lt;&gt; """&amp;"""), 1, 2))), """"), ""NO_MATCH"")"),"")</f>
        <v/>
      </c>
      <c r="AS515" s="11"/>
      <c r="AT515" s="15"/>
      <c r="AU515" s="11"/>
      <c r="AV515" s="11"/>
      <c r="AW515" s="15"/>
      <c r="AX515" s="15"/>
      <c r="AY515" s="15"/>
      <c r="AZ515" s="11"/>
      <c r="BA515" s="15"/>
      <c r="BB515" s="11"/>
      <c r="BC515" s="11"/>
      <c r="BD515" s="15"/>
      <c r="BE515" s="11"/>
      <c r="BF515" s="11"/>
      <c r="BG515" s="15"/>
      <c r="BH515" s="15"/>
      <c r="BI515" s="15"/>
      <c r="BJ515" s="11"/>
      <c r="BK515" s="15"/>
      <c r="BL515" s="11"/>
      <c r="BM515" s="11"/>
      <c r="BN515" s="15"/>
      <c r="BO515" s="11"/>
      <c r="BP515" s="11"/>
      <c r="BQ515" s="15"/>
      <c r="BR515" s="15"/>
      <c r="BS515" s="15"/>
      <c r="BT515" s="11"/>
      <c r="BU515" s="15"/>
      <c r="BV515" s="11"/>
      <c r="BW515" s="11"/>
      <c r="BX515" s="15"/>
      <c r="BY515" s="11"/>
      <c r="BZ515" s="11"/>
      <c r="CA515" s="15"/>
      <c r="CB515" s="11"/>
      <c r="CC515" s="15"/>
      <c r="CD515" s="11"/>
      <c r="CE515" s="15"/>
      <c r="CF515" s="11"/>
      <c r="CG515" s="11"/>
      <c r="CH515" s="15"/>
      <c r="CI515" s="11"/>
      <c r="CJ515" s="11"/>
      <c r="CK515" s="15"/>
      <c r="CL515" s="11"/>
      <c r="CM515" s="11"/>
      <c r="CN515" s="11"/>
      <c r="CO515" s="11"/>
      <c r="CP515" s="28"/>
      <c r="CQ515" s="28"/>
      <c r="CR515" s="11"/>
      <c r="CS515" s="29"/>
      <c r="CT515" s="11"/>
      <c r="CU515" s="11"/>
      <c r="CV515" s="11"/>
      <c r="CW515" s="11"/>
      <c r="CX515" s="11"/>
      <c r="CY515" s="11"/>
      <c r="CZ515" s="11"/>
      <c r="DA515" s="28"/>
      <c r="DB515" s="28"/>
      <c r="DC515" s="11"/>
      <c r="DD515" s="29"/>
      <c r="DE515" s="11"/>
      <c r="DF515" s="11"/>
      <c r="DG515" s="11"/>
      <c r="DH515" s="11"/>
      <c r="DI515" s="11"/>
      <c r="DJ515" s="11"/>
      <c r="DK515" s="26"/>
      <c r="DL515" s="11"/>
      <c r="DM515" s="29"/>
      <c r="DN515" s="28"/>
      <c r="DO515" s="11"/>
      <c r="DP515" s="11"/>
      <c r="DQ515" s="11"/>
      <c r="DR515" s="29"/>
      <c r="DS515" s="28"/>
      <c r="DT515" s="11"/>
      <c r="DU515" s="26"/>
      <c r="DV515" s="11"/>
      <c r="DW515" s="29"/>
      <c r="DX515" s="28"/>
      <c r="DY515" s="11"/>
      <c r="DZ515" s="26"/>
      <c r="EA515" s="11"/>
      <c r="EB515" s="29"/>
      <c r="EC515" s="28"/>
      <c r="ED515" s="30"/>
      <c r="EE515" s="30" t="str">
        <f ca="1">IFERROR(__xludf.DUMMYFUNCTION("iferror(index(filter('Internal -- Trademark Countries'!E$2:E1000, (AM515 = 'Internal -- Trademark Countries'!B$2:B1000) + (AM515 = 'Internal -- Trademark Countries'!C$2:C1000) + (AM515 = 'Internal -- Trademark Countries'!D$2:D1000)), 1))"),"")</f>
        <v/>
      </c>
      <c r="EF515" s="30" t="e">
        <f ca="1">_xludf.ifs(AM515="", "", COUNTIF('Internal -- Trademark Countries'!B:B,AM515) &gt; 0, "polity_shortest_name", COUNTIF('Internal -- Trademark Countries'!C:C,AM515) &gt; 0, "polity_full_name", COUNTIF('Internal -- Trademark Countries'!D:D,AM515) &gt; 0, "polity_common_name", COUNTIF('Internal -- Trademark Countries'!E:E,AM515) &gt; 0, "shortest_name", COUNTIF('Internal -- Trademark Countries'!A:A,AM515) &gt; 0, "full_name", TRUE, "not a match")</f>
        <v>#NAME?</v>
      </c>
      <c r="EG515" s="30"/>
      <c r="EH515" s="30"/>
      <c r="EI515" s="30"/>
      <c r="EJ515" s="30"/>
      <c r="EK515" s="30" t="str">
        <f t="shared" si="4"/>
        <v/>
      </c>
    </row>
    <row r="516" spans="1:141" ht="16.5">
      <c r="A516" s="11"/>
      <c r="B516" s="11"/>
      <c r="C516" s="11"/>
      <c r="D516" s="11"/>
      <c r="E516" s="11"/>
      <c r="F516" s="11"/>
      <c r="G516" s="11"/>
      <c r="H516" s="11"/>
      <c r="I516" s="11"/>
      <c r="J516" s="11"/>
      <c r="K516" s="27"/>
      <c r="L516" s="11"/>
      <c r="M516" s="11"/>
      <c r="N516" s="11"/>
      <c r="O516" s="11"/>
      <c r="P516" s="15"/>
      <c r="Q516" s="15"/>
      <c r="R516" s="15"/>
      <c r="S516" s="15"/>
      <c r="T516" s="15"/>
      <c r="U516" s="15"/>
      <c r="V516" s="15"/>
      <c r="W516" s="47"/>
      <c r="X516" s="11"/>
      <c r="Y516" s="48"/>
      <c r="Z516" s="11"/>
      <c r="AA516" s="48"/>
      <c r="AB516" s="11"/>
      <c r="AC516" s="48"/>
      <c r="AD516" s="11"/>
      <c r="AE516" s="47"/>
      <c r="AF516" s="11"/>
      <c r="AG516" s="48"/>
      <c r="AH516" s="11"/>
      <c r="AI516" s="48"/>
      <c r="AJ516" s="11"/>
      <c r="AK516" s="48"/>
      <c r="AL516" s="11"/>
      <c r="AM516" s="49"/>
      <c r="AN516" s="49"/>
      <c r="AO516" s="11"/>
      <c r="AP516" s="11"/>
      <c r="AQ516" s="28" t="b">
        <f>IF(COUNTIF(SmartStatus!A$2:A1000, AM516) &gt; 2, TRUE, FALSE)</f>
        <v>0</v>
      </c>
      <c r="AR516" s="29" t="str">
        <f ca="1">IFERROR(__xludf.DUMMYFUNCTION("iferror(if(regexmatch(AO516, ""(?i)^registered""), if(EE516 &lt;&gt; ""polity_shortest_name"", ""CHECK_POLITY"", index(filter(SmartStatus!B$2:B1000, AM516 = SmartStatus!A$2:A1000, not(SmartStatus!C$2:C1000), (isblank(SmartStatus!D$2:D1000)) + ((P516 &lt;&gt; """") * "&amp;"(P516 &lt; SmartStatus!D$2:D1000)), (isblank(SmartStatus!E$2:E1000)) + ((P516 &lt;&gt; """") * (P516 &gt;= SmartStatus!E$2:E1000)), (isblank(SmartStatus!F$2:F1000)) + (((Q516 &lt;&gt; """") * (Q516 &lt; SmartStatus!F$2:F1000)) + ((P516 &lt;&gt; """") * (date(year(P516) + 3, month(P"&amp;"516), day(P516)) &lt; SmartStatus!F$2:F1000))), (isblank(SmartStatus!G$2:G1000)) + (((Q516 &lt;&gt; """") * (Q516 &gt;= SmartStatus!G$2:G1000)) + ((P516 &lt;&gt; """") * (P516 &gt;= SmartStatus!G$2:G1000)))), if(or(regexmatch(B516, ""(?i)^ir [a-z]+ designation$""), N516 &lt;&gt; """&amp;"""), 1, 2))), """"), ""NO_MATCH"")"),"")</f>
        <v/>
      </c>
      <c r="AS516" s="11"/>
      <c r="AT516" s="15"/>
      <c r="AU516" s="11"/>
      <c r="AV516" s="11"/>
      <c r="AW516" s="15"/>
      <c r="AX516" s="15"/>
      <c r="AY516" s="15"/>
      <c r="AZ516" s="11"/>
      <c r="BA516" s="15"/>
      <c r="BB516" s="11"/>
      <c r="BC516" s="11"/>
      <c r="BD516" s="15"/>
      <c r="BE516" s="11"/>
      <c r="BF516" s="11"/>
      <c r="BG516" s="15"/>
      <c r="BH516" s="15"/>
      <c r="BI516" s="15"/>
      <c r="BJ516" s="11"/>
      <c r="BK516" s="15"/>
      <c r="BL516" s="11"/>
      <c r="BM516" s="11"/>
      <c r="BN516" s="15"/>
      <c r="BO516" s="11"/>
      <c r="BP516" s="11"/>
      <c r="BQ516" s="15"/>
      <c r="BR516" s="15"/>
      <c r="BS516" s="15"/>
      <c r="BT516" s="11"/>
      <c r="BU516" s="15"/>
      <c r="BV516" s="11"/>
      <c r="BW516" s="11"/>
      <c r="BX516" s="15"/>
      <c r="BY516" s="11"/>
      <c r="BZ516" s="11"/>
      <c r="CA516" s="15"/>
      <c r="CB516" s="11"/>
      <c r="CC516" s="15"/>
      <c r="CD516" s="11"/>
      <c r="CE516" s="15"/>
      <c r="CF516" s="11"/>
      <c r="CG516" s="11"/>
      <c r="CH516" s="15"/>
      <c r="CI516" s="11"/>
      <c r="CJ516" s="11"/>
      <c r="CK516" s="15"/>
      <c r="CL516" s="11"/>
      <c r="CM516" s="11"/>
      <c r="CN516" s="11"/>
      <c r="CO516" s="11"/>
      <c r="CP516" s="28"/>
      <c r="CQ516" s="28"/>
      <c r="CR516" s="11"/>
      <c r="CS516" s="29"/>
      <c r="CT516" s="11"/>
      <c r="CU516" s="11"/>
      <c r="CV516" s="11"/>
      <c r="CW516" s="11"/>
      <c r="CX516" s="11"/>
      <c r="CY516" s="11"/>
      <c r="CZ516" s="11"/>
      <c r="DA516" s="28"/>
      <c r="DB516" s="28"/>
      <c r="DC516" s="11"/>
      <c r="DD516" s="29"/>
      <c r="DE516" s="11"/>
      <c r="DF516" s="11"/>
      <c r="DG516" s="11"/>
      <c r="DH516" s="11"/>
      <c r="DI516" s="11"/>
      <c r="DJ516" s="11"/>
      <c r="DK516" s="26"/>
      <c r="DL516" s="11"/>
      <c r="DM516" s="29"/>
      <c r="DN516" s="28"/>
      <c r="DO516" s="11"/>
      <c r="DP516" s="11"/>
      <c r="DQ516" s="11"/>
      <c r="DR516" s="29"/>
      <c r="DS516" s="28"/>
      <c r="DT516" s="11"/>
      <c r="DU516" s="26"/>
      <c r="DV516" s="11"/>
      <c r="DW516" s="29"/>
      <c r="DX516" s="28"/>
      <c r="DY516" s="11"/>
      <c r="DZ516" s="26"/>
      <c r="EA516" s="11"/>
      <c r="EB516" s="29"/>
      <c r="EC516" s="28"/>
      <c r="ED516" s="30"/>
      <c r="EE516" s="30" t="str">
        <f ca="1">IFERROR(__xludf.DUMMYFUNCTION("iferror(index(filter('Internal -- Trademark Countries'!E$2:E1000, (AM516 = 'Internal -- Trademark Countries'!B$2:B1000) + (AM516 = 'Internal -- Trademark Countries'!C$2:C1000) + (AM516 = 'Internal -- Trademark Countries'!D$2:D1000)), 1))"),"")</f>
        <v/>
      </c>
      <c r="EF516" s="30" t="e">
        <f ca="1">_xludf.ifs(AM516="", "", COUNTIF('Internal -- Trademark Countries'!B:B,AM516) &gt; 0, "polity_shortest_name", COUNTIF('Internal -- Trademark Countries'!C:C,AM516) &gt; 0, "polity_full_name", COUNTIF('Internal -- Trademark Countries'!D:D,AM516) &gt; 0, "polity_common_name", COUNTIF('Internal -- Trademark Countries'!E:E,AM516) &gt; 0, "shortest_name", COUNTIF('Internal -- Trademark Countries'!A:A,AM516) &gt; 0, "full_name", TRUE, "not a match")</f>
        <v>#NAME?</v>
      </c>
      <c r="EG516" s="30"/>
      <c r="EH516" s="30"/>
      <c r="EI516" s="30"/>
      <c r="EJ516" s="30"/>
      <c r="EK516" s="30" t="str">
        <f t="shared" si="4"/>
        <v/>
      </c>
    </row>
    <row r="517" spans="1:141" ht="16.5">
      <c r="A517" s="11"/>
      <c r="B517" s="11"/>
      <c r="C517" s="11"/>
      <c r="D517" s="11"/>
      <c r="E517" s="11"/>
      <c r="F517" s="11"/>
      <c r="G517" s="11"/>
      <c r="H517" s="11"/>
      <c r="I517" s="11"/>
      <c r="J517" s="11"/>
      <c r="K517" s="27"/>
      <c r="L517" s="11"/>
      <c r="M517" s="11"/>
      <c r="N517" s="11"/>
      <c r="O517" s="11"/>
      <c r="P517" s="15"/>
      <c r="Q517" s="15"/>
      <c r="R517" s="15"/>
      <c r="S517" s="15"/>
      <c r="T517" s="15"/>
      <c r="U517" s="15"/>
      <c r="V517" s="15"/>
      <c r="W517" s="47"/>
      <c r="X517" s="11"/>
      <c r="Y517" s="48"/>
      <c r="Z517" s="11"/>
      <c r="AA517" s="48"/>
      <c r="AB517" s="11"/>
      <c r="AC517" s="48"/>
      <c r="AD517" s="11"/>
      <c r="AE517" s="47"/>
      <c r="AF517" s="11"/>
      <c r="AG517" s="48"/>
      <c r="AH517" s="11"/>
      <c r="AI517" s="48"/>
      <c r="AJ517" s="11"/>
      <c r="AK517" s="48"/>
      <c r="AL517" s="11"/>
      <c r="AM517" s="49"/>
      <c r="AN517" s="49"/>
      <c r="AO517" s="11"/>
      <c r="AP517" s="11"/>
      <c r="AQ517" s="28" t="b">
        <f>IF(COUNTIF(SmartStatus!A$2:A1000, AM517) &gt; 2, TRUE, FALSE)</f>
        <v>0</v>
      </c>
      <c r="AR517" s="29" t="str">
        <f ca="1">IFERROR(__xludf.DUMMYFUNCTION("iferror(if(regexmatch(AO517, ""(?i)^registered""), if(EE517 &lt;&gt; ""polity_shortest_name"", ""CHECK_POLITY"", index(filter(SmartStatus!B$2:B1000, AM517 = SmartStatus!A$2:A1000, not(SmartStatus!C$2:C1000), (isblank(SmartStatus!D$2:D1000)) + ((P517 &lt;&gt; """") * "&amp;"(P517 &lt; SmartStatus!D$2:D1000)), (isblank(SmartStatus!E$2:E1000)) + ((P517 &lt;&gt; """") * (P517 &gt;= SmartStatus!E$2:E1000)), (isblank(SmartStatus!F$2:F1000)) + (((Q517 &lt;&gt; """") * (Q517 &lt; SmartStatus!F$2:F1000)) + ((P517 &lt;&gt; """") * (date(year(P517) + 3, month(P"&amp;"517), day(P517)) &lt; SmartStatus!F$2:F1000))), (isblank(SmartStatus!G$2:G1000)) + (((Q517 &lt;&gt; """") * (Q517 &gt;= SmartStatus!G$2:G1000)) + ((P517 &lt;&gt; """") * (P517 &gt;= SmartStatus!G$2:G1000)))), if(or(regexmatch(B517, ""(?i)^ir [a-z]+ designation$""), N517 &lt;&gt; """&amp;"""), 1, 2))), """"), ""NO_MATCH"")"),"")</f>
        <v/>
      </c>
      <c r="AS517" s="11"/>
      <c r="AT517" s="15"/>
      <c r="AU517" s="11"/>
      <c r="AV517" s="11"/>
      <c r="AW517" s="15"/>
      <c r="AX517" s="15"/>
      <c r="AY517" s="15"/>
      <c r="AZ517" s="11"/>
      <c r="BA517" s="15"/>
      <c r="BB517" s="11"/>
      <c r="BC517" s="11"/>
      <c r="BD517" s="15"/>
      <c r="BE517" s="11"/>
      <c r="BF517" s="11"/>
      <c r="BG517" s="15"/>
      <c r="BH517" s="15"/>
      <c r="BI517" s="15"/>
      <c r="BJ517" s="11"/>
      <c r="BK517" s="15"/>
      <c r="BL517" s="11"/>
      <c r="BM517" s="11"/>
      <c r="BN517" s="15"/>
      <c r="BO517" s="11"/>
      <c r="BP517" s="11"/>
      <c r="BQ517" s="15"/>
      <c r="BR517" s="15"/>
      <c r="BS517" s="15"/>
      <c r="BT517" s="11"/>
      <c r="BU517" s="15"/>
      <c r="BV517" s="11"/>
      <c r="BW517" s="11"/>
      <c r="BX517" s="15"/>
      <c r="BY517" s="11"/>
      <c r="BZ517" s="11"/>
      <c r="CA517" s="15"/>
      <c r="CB517" s="11"/>
      <c r="CC517" s="15"/>
      <c r="CD517" s="11"/>
      <c r="CE517" s="15"/>
      <c r="CF517" s="11"/>
      <c r="CG517" s="11"/>
      <c r="CH517" s="15"/>
      <c r="CI517" s="11"/>
      <c r="CJ517" s="11"/>
      <c r="CK517" s="15"/>
      <c r="CL517" s="11"/>
      <c r="CM517" s="11"/>
      <c r="CN517" s="11"/>
      <c r="CO517" s="11"/>
      <c r="CP517" s="28"/>
      <c r="CQ517" s="28"/>
      <c r="CR517" s="11"/>
      <c r="CS517" s="29"/>
      <c r="CT517" s="11"/>
      <c r="CU517" s="11"/>
      <c r="CV517" s="11"/>
      <c r="CW517" s="11"/>
      <c r="CX517" s="11"/>
      <c r="CY517" s="11"/>
      <c r="CZ517" s="11"/>
      <c r="DA517" s="28"/>
      <c r="DB517" s="28"/>
      <c r="DC517" s="11"/>
      <c r="DD517" s="29"/>
      <c r="DE517" s="11"/>
      <c r="DF517" s="11"/>
      <c r="DG517" s="11"/>
      <c r="DH517" s="11"/>
      <c r="DI517" s="11"/>
      <c r="DJ517" s="11"/>
      <c r="DK517" s="26"/>
      <c r="DL517" s="11"/>
      <c r="DM517" s="29"/>
      <c r="DN517" s="28"/>
      <c r="DO517" s="11"/>
      <c r="DP517" s="11"/>
      <c r="DQ517" s="11"/>
      <c r="DR517" s="29"/>
      <c r="DS517" s="28"/>
      <c r="DT517" s="11"/>
      <c r="DU517" s="26"/>
      <c r="DV517" s="11"/>
      <c r="DW517" s="29"/>
      <c r="DX517" s="28"/>
      <c r="DY517" s="11"/>
      <c r="DZ517" s="26"/>
      <c r="EA517" s="11"/>
      <c r="EB517" s="29"/>
      <c r="EC517" s="28"/>
      <c r="ED517" s="30"/>
      <c r="EE517" s="30" t="str">
        <f ca="1">IFERROR(__xludf.DUMMYFUNCTION("iferror(index(filter('Internal -- Trademark Countries'!E$2:E1000, (AM517 = 'Internal -- Trademark Countries'!B$2:B1000) + (AM517 = 'Internal -- Trademark Countries'!C$2:C1000) + (AM517 = 'Internal -- Trademark Countries'!D$2:D1000)), 1))"),"")</f>
        <v/>
      </c>
      <c r="EF517" s="30" t="e">
        <f ca="1">_xludf.ifs(AM517="", "", COUNTIF('Internal -- Trademark Countries'!B:B,AM517) &gt; 0, "polity_shortest_name", COUNTIF('Internal -- Trademark Countries'!C:C,AM517) &gt; 0, "polity_full_name", COUNTIF('Internal -- Trademark Countries'!D:D,AM517) &gt; 0, "polity_common_name", COUNTIF('Internal -- Trademark Countries'!E:E,AM517) &gt; 0, "shortest_name", COUNTIF('Internal -- Trademark Countries'!A:A,AM517) &gt; 0, "full_name", TRUE, "not a match")</f>
        <v>#NAME?</v>
      </c>
      <c r="EG517" s="30"/>
      <c r="EH517" s="30"/>
      <c r="EI517" s="30"/>
      <c r="EJ517" s="30"/>
      <c r="EK517" s="30" t="str">
        <f t="shared" si="4"/>
        <v/>
      </c>
    </row>
    <row r="518" spans="1:141" ht="16.5">
      <c r="A518" s="11"/>
      <c r="B518" s="11"/>
      <c r="C518" s="11"/>
      <c r="D518" s="11"/>
      <c r="E518" s="11"/>
      <c r="F518" s="11"/>
      <c r="G518" s="11"/>
      <c r="H518" s="11"/>
      <c r="I518" s="11"/>
      <c r="J518" s="11"/>
      <c r="K518" s="27"/>
      <c r="L518" s="11"/>
      <c r="M518" s="11"/>
      <c r="N518" s="11"/>
      <c r="O518" s="11"/>
      <c r="P518" s="15"/>
      <c r="Q518" s="15"/>
      <c r="R518" s="15"/>
      <c r="S518" s="15"/>
      <c r="T518" s="15"/>
      <c r="U518" s="15"/>
      <c r="V518" s="15"/>
      <c r="W518" s="47"/>
      <c r="X518" s="11"/>
      <c r="Y518" s="48"/>
      <c r="Z518" s="11"/>
      <c r="AA518" s="48"/>
      <c r="AB518" s="11"/>
      <c r="AC518" s="48"/>
      <c r="AD518" s="11"/>
      <c r="AE518" s="47"/>
      <c r="AF518" s="11"/>
      <c r="AG518" s="48"/>
      <c r="AH518" s="11"/>
      <c r="AI518" s="48"/>
      <c r="AJ518" s="11"/>
      <c r="AK518" s="48"/>
      <c r="AL518" s="11"/>
      <c r="AM518" s="49"/>
      <c r="AN518" s="49"/>
      <c r="AO518" s="11"/>
      <c r="AP518" s="11"/>
      <c r="AQ518" s="28" t="b">
        <f>IF(COUNTIF(SmartStatus!A$2:A1000, AM518) &gt; 2, TRUE, FALSE)</f>
        <v>0</v>
      </c>
      <c r="AR518" s="29" t="str">
        <f ca="1">IFERROR(__xludf.DUMMYFUNCTION("iferror(if(regexmatch(AO518, ""(?i)^registered""), if(EE518 &lt;&gt; ""polity_shortest_name"", ""CHECK_POLITY"", index(filter(SmartStatus!B$2:B1000, AM518 = SmartStatus!A$2:A1000, not(SmartStatus!C$2:C1000), (isblank(SmartStatus!D$2:D1000)) + ((P518 &lt;&gt; """") * "&amp;"(P518 &lt; SmartStatus!D$2:D1000)), (isblank(SmartStatus!E$2:E1000)) + ((P518 &lt;&gt; """") * (P518 &gt;= SmartStatus!E$2:E1000)), (isblank(SmartStatus!F$2:F1000)) + (((Q518 &lt;&gt; """") * (Q518 &lt; SmartStatus!F$2:F1000)) + ((P518 &lt;&gt; """") * (date(year(P518) + 3, month(P"&amp;"518), day(P518)) &lt; SmartStatus!F$2:F1000))), (isblank(SmartStatus!G$2:G1000)) + (((Q518 &lt;&gt; """") * (Q518 &gt;= SmartStatus!G$2:G1000)) + ((P518 &lt;&gt; """") * (P518 &gt;= SmartStatus!G$2:G1000)))), if(or(regexmatch(B518, ""(?i)^ir [a-z]+ designation$""), N518 &lt;&gt; """&amp;"""), 1, 2))), """"), ""NO_MATCH"")"),"")</f>
        <v/>
      </c>
      <c r="AS518" s="11"/>
      <c r="AT518" s="15"/>
      <c r="AU518" s="11"/>
      <c r="AV518" s="11"/>
      <c r="AW518" s="15"/>
      <c r="AX518" s="15"/>
      <c r="AY518" s="15"/>
      <c r="AZ518" s="11"/>
      <c r="BA518" s="15"/>
      <c r="BB518" s="11"/>
      <c r="BC518" s="11"/>
      <c r="BD518" s="15"/>
      <c r="BE518" s="11"/>
      <c r="BF518" s="11"/>
      <c r="BG518" s="15"/>
      <c r="BH518" s="15"/>
      <c r="BI518" s="15"/>
      <c r="BJ518" s="11"/>
      <c r="BK518" s="15"/>
      <c r="BL518" s="11"/>
      <c r="BM518" s="11"/>
      <c r="BN518" s="15"/>
      <c r="BO518" s="11"/>
      <c r="BP518" s="11"/>
      <c r="BQ518" s="15"/>
      <c r="BR518" s="15"/>
      <c r="BS518" s="15"/>
      <c r="BT518" s="11"/>
      <c r="BU518" s="15"/>
      <c r="BV518" s="11"/>
      <c r="BW518" s="11"/>
      <c r="BX518" s="15"/>
      <c r="BY518" s="11"/>
      <c r="BZ518" s="11"/>
      <c r="CA518" s="15"/>
      <c r="CB518" s="11"/>
      <c r="CC518" s="15"/>
      <c r="CD518" s="11"/>
      <c r="CE518" s="15"/>
      <c r="CF518" s="11"/>
      <c r="CG518" s="11"/>
      <c r="CH518" s="15"/>
      <c r="CI518" s="11"/>
      <c r="CJ518" s="11"/>
      <c r="CK518" s="15"/>
      <c r="CL518" s="11"/>
      <c r="CM518" s="11"/>
      <c r="CN518" s="11"/>
      <c r="CO518" s="11"/>
      <c r="CP518" s="28"/>
      <c r="CQ518" s="28"/>
      <c r="CR518" s="11"/>
      <c r="CS518" s="29"/>
      <c r="CT518" s="11"/>
      <c r="CU518" s="11"/>
      <c r="CV518" s="11"/>
      <c r="CW518" s="11"/>
      <c r="CX518" s="11"/>
      <c r="CY518" s="11"/>
      <c r="CZ518" s="11"/>
      <c r="DA518" s="28"/>
      <c r="DB518" s="28"/>
      <c r="DC518" s="11"/>
      <c r="DD518" s="29"/>
      <c r="DE518" s="11"/>
      <c r="DF518" s="11"/>
      <c r="DG518" s="11"/>
      <c r="DH518" s="11"/>
      <c r="DI518" s="11"/>
      <c r="DJ518" s="11"/>
      <c r="DK518" s="26"/>
      <c r="DL518" s="11"/>
      <c r="DM518" s="29"/>
      <c r="DN518" s="28"/>
      <c r="DO518" s="11"/>
      <c r="DP518" s="11"/>
      <c r="DQ518" s="11"/>
      <c r="DR518" s="29"/>
      <c r="DS518" s="28"/>
      <c r="DT518" s="11"/>
      <c r="DU518" s="26"/>
      <c r="DV518" s="11"/>
      <c r="DW518" s="29"/>
      <c r="DX518" s="28"/>
      <c r="DY518" s="11"/>
      <c r="DZ518" s="26"/>
      <c r="EA518" s="11"/>
      <c r="EB518" s="29"/>
      <c r="EC518" s="28"/>
      <c r="ED518" s="30"/>
      <c r="EE518" s="30" t="str">
        <f ca="1">IFERROR(__xludf.DUMMYFUNCTION("iferror(index(filter('Internal -- Trademark Countries'!E$2:E1000, (AM518 = 'Internal -- Trademark Countries'!B$2:B1000) + (AM518 = 'Internal -- Trademark Countries'!C$2:C1000) + (AM518 = 'Internal -- Trademark Countries'!D$2:D1000)), 1))"),"")</f>
        <v/>
      </c>
      <c r="EF518" s="30" t="e">
        <f ca="1">_xludf.ifs(AM518="", "", COUNTIF('Internal -- Trademark Countries'!B:B,AM518) &gt; 0, "polity_shortest_name", COUNTIF('Internal -- Trademark Countries'!C:C,AM518) &gt; 0, "polity_full_name", COUNTIF('Internal -- Trademark Countries'!D:D,AM518) &gt; 0, "polity_common_name", COUNTIF('Internal -- Trademark Countries'!E:E,AM518) &gt; 0, "shortest_name", COUNTIF('Internal -- Trademark Countries'!A:A,AM518) &gt; 0, "full_name", TRUE, "not a match")</f>
        <v>#NAME?</v>
      </c>
      <c r="EG518" s="30"/>
      <c r="EH518" s="30"/>
      <c r="EI518" s="30"/>
      <c r="EJ518" s="30"/>
      <c r="EK518" s="30" t="str">
        <f t="shared" si="4"/>
        <v/>
      </c>
    </row>
    <row r="519" spans="1:141" ht="16.5">
      <c r="A519" s="11"/>
      <c r="B519" s="11"/>
      <c r="C519" s="11"/>
      <c r="D519" s="11"/>
      <c r="E519" s="11"/>
      <c r="F519" s="11"/>
      <c r="G519" s="11"/>
      <c r="H519" s="11"/>
      <c r="I519" s="11"/>
      <c r="J519" s="11"/>
      <c r="K519" s="27"/>
      <c r="L519" s="11"/>
      <c r="M519" s="11"/>
      <c r="N519" s="11"/>
      <c r="O519" s="11"/>
      <c r="P519" s="15"/>
      <c r="Q519" s="15"/>
      <c r="R519" s="15"/>
      <c r="S519" s="15"/>
      <c r="T519" s="15"/>
      <c r="U519" s="15"/>
      <c r="V519" s="15"/>
      <c r="W519" s="47"/>
      <c r="X519" s="11"/>
      <c r="Y519" s="48"/>
      <c r="Z519" s="11"/>
      <c r="AA519" s="48"/>
      <c r="AB519" s="11"/>
      <c r="AC519" s="48"/>
      <c r="AD519" s="11"/>
      <c r="AE519" s="47"/>
      <c r="AF519" s="11"/>
      <c r="AG519" s="48"/>
      <c r="AH519" s="11"/>
      <c r="AI519" s="48"/>
      <c r="AJ519" s="11"/>
      <c r="AK519" s="48"/>
      <c r="AL519" s="11"/>
      <c r="AM519" s="49"/>
      <c r="AN519" s="49"/>
      <c r="AO519" s="11"/>
      <c r="AP519" s="11"/>
      <c r="AQ519" s="28" t="b">
        <f>IF(COUNTIF(SmartStatus!A$2:A1000, AM519) &gt; 2, TRUE, FALSE)</f>
        <v>0</v>
      </c>
      <c r="AR519" s="29" t="str">
        <f ca="1">IFERROR(__xludf.DUMMYFUNCTION("iferror(if(regexmatch(AO519, ""(?i)^registered""), if(EE519 &lt;&gt; ""polity_shortest_name"", ""CHECK_POLITY"", index(filter(SmartStatus!B$2:B1000, AM519 = SmartStatus!A$2:A1000, not(SmartStatus!C$2:C1000), (isblank(SmartStatus!D$2:D1000)) + ((P519 &lt;&gt; """") * "&amp;"(P519 &lt; SmartStatus!D$2:D1000)), (isblank(SmartStatus!E$2:E1000)) + ((P519 &lt;&gt; """") * (P519 &gt;= SmartStatus!E$2:E1000)), (isblank(SmartStatus!F$2:F1000)) + (((Q519 &lt;&gt; """") * (Q519 &lt; SmartStatus!F$2:F1000)) + ((P519 &lt;&gt; """") * (date(year(P519) + 3, month(P"&amp;"519), day(P519)) &lt; SmartStatus!F$2:F1000))), (isblank(SmartStatus!G$2:G1000)) + (((Q519 &lt;&gt; """") * (Q519 &gt;= SmartStatus!G$2:G1000)) + ((P519 &lt;&gt; """") * (P519 &gt;= SmartStatus!G$2:G1000)))), if(or(regexmatch(B519, ""(?i)^ir [a-z]+ designation$""), N519 &lt;&gt; """&amp;"""), 1, 2))), """"), ""NO_MATCH"")"),"")</f>
        <v/>
      </c>
      <c r="AS519" s="11"/>
      <c r="AT519" s="15"/>
      <c r="AU519" s="11"/>
      <c r="AV519" s="11"/>
      <c r="AW519" s="15"/>
      <c r="AX519" s="15"/>
      <c r="AY519" s="15"/>
      <c r="AZ519" s="11"/>
      <c r="BA519" s="15"/>
      <c r="BB519" s="11"/>
      <c r="BC519" s="11"/>
      <c r="BD519" s="15"/>
      <c r="BE519" s="11"/>
      <c r="BF519" s="11"/>
      <c r="BG519" s="15"/>
      <c r="BH519" s="15"/>
      <c r="BI519" s="15"/>
      <c r="BJ519" s="11"/>
      <c r="BK519" s="15"/>
      <c r="BL519" s="11"/>
      <c r="BM519" s="11"/>
      <c r="BN519" s="15"/>
      <c r="BO519" s="11"/>
      <c r="BP519" s="11"/>
      <c r="BQ519" s="15"/>
      <c r="BR519" s="15"/>
      <c r="BS519" s="15"/>
      <c r="BT519" s="11"/>
      <c r="BU519" s="15"/>
      <c r="BV519" s="11"/>
      <c r="BW519" s="11"/>
      <c r="BX519" s="15"/>
      <c r="BY519" s="11"/>
      <c r="BZ519" s="11"/>
      <c r="CA519" s="15"/>
      <c r="CB519" s="11"/>
      <c r="CC519" s="15"/>
      <c r="CD519" s="11"/>
      <c r="CE519" s="15"/>
      <c r="CF519" s="11"/>
      <c r="CG519" s="11"/>
      <c r="CH519" s="15"/>
      <c r="CI519" s="11"/>
      <c r="CJ519" s="11"/>
      <c r="CK519" s="15"/>
      <c r="CL519" s="11"/>
      <c r="CM519" s="11"/>
      <c r="CN519" s="11"/>
      <c r="CO519" s="11"/>
      <c r="CP519" s="28"/>
      <c r="CQ519" s="28"/>
      <c r="CR519" s="11"/>
      <c r="CS519" s="29"/>
      <c r="CT519" s="11"/>
      <c r="CU519" s="11"/>
      <c r="CV519" s="11"/>
      <c r="CW519" s="11"/>
      <c r="CX519" s="11"/>
      <c r="CY519" s="11"/>
      <c r="CZ519" s="11"/>
      <c r="DA519" s="28"/>
      <c r="DB519" s="28"/>
      <c r="DC519" s="11"/>
      <c r="DD519" s="29"/>
      <c r="DE519" s="11"/>
      <c r="DF519" s="11"/>
      <c r="DG519" s="11"/>
      <c r="DH519" s="11"/>
      <c r="DI519" s="11"/>
      <c r="DJ519" s="11"/>
      <c r="DK519" s="26"/>
      <c r="DL519" s="11"/>
      <c r="DM519" s="29"/>
      <c r="DN519" s="28"/>
      <c r="DO519" s="11"/>
      <c r="DP519" s="11"/>
      <c r="DQ519" s="11"/>
      <c r="DR519" s="29"/>
      <c r="DS519" s="28"/>
      <c r="DT519" s="11"/>
      <c r="DU519" s="26"/>
      <c r="DV519" s="11"/>
      <c r="DW519" s="29"/>
      <c r="DX519" s="28"/>
      <c r="DY519" s="11"/>
      <c r="DZ519" s="26"/>
      <c r="EA519" s="11"/>
      <c r="EB519" s="29"/>
      <c r="EC519" s="28"/>
      <c r="ED519" s="30"/>
      <c r="EE519" s="30" t="str">
        <f ca="1">IFERROR(__xludf.DUMMYFUNCTION("iferror(index(filter('Internal -- Trademark Countries'!E$2:E1000, (AM519 = 'Internal -- Trademark Countries'!B$2:B1000) + (AM519 = 'Internal -- Trademark Countries'!C$2:C1000) + (AM519 = 'Internal -- Trademark Countries'!D$2:D1000)), 1))"),"")</f>
        <v/>
      </c>
      <c r="EF519" s="30" t="e">
        <f ca="1">_xludf.ifs(AM519="", "", COUNTIF('Internal -- Trademark Countries'!B:B,AM519) &gt; 0, "polity_shortest_name", COUNTIF('Internal -- Trademark Countries'!C:C,AM519) &gt; 0, "polity_full_name", COUNTIF('Internal -- Trademark Countries'!D:D,AM519) &gt; 0, "polity_common_name", COUNTIF('Internal -- Trademark Countries'!E:E,AM519) &gt; 0, "shortest_name", COUNTIF('Internal -- Trademark Countries'!A:A,AM519) &gt; 0, "full_name", TRUE, "not a match")</f>
        <v>#NAME?</v>
      </c>
      <c r="EG519" s="30"/>
      <c r="EH519" s="30"/>
      <c r="EI519" s="30"/>
      <c r="EJ519" s="30"/>
      <c r="EK519" s="30" t="str">
        <f t="shared" si="4"/>
        <v/>
      </c>
    </row>
    <row r="520" spans="1:141" ht="16.5">
      <c r="A520" s="11"/>
      <c r="B520" s="11"/>
      <c r="C520" s="11"/>
      <c r="D520" s="11"/>
      <c r="E520" s="11"/>
      <c r="F520" s="11"/>
      <c r="G520" s="11"/>
      <c r="H520" s="11"/>
      <c r="I520" s="11"/>
      <c r="J520" s="11"/>
      <c r="K520" s="27"/>
      <c r="L520" s="11"/>
      <c r="M520" s="11"/>
      <c r="N520" s="11"/>
      <c r="O520" s="11"/>
      <c r="P520" s="15"/>
      <c r="Q520" s="15"/>
      <c r="R520" s="15"/>
      <c r="S520" s="15"/>
      <c r="T520" s="15"/>
      <c r="U520" s="15"/>
      <c r="V520" s="15"/>
      <c r="W520" s="47"/>
      <c r="X520" s="11"/>
      <c r="Y520" s="48"/>
      <c r="Z520" s="11"/>
      <c r="AA520" s="48"/>
      <c r="AB520" s="11"/>
      <c r="AC520" s="48"/>
      <c r="AD520" s="11"/>
      <c r="AE520" s="47"/>
      <c r="AF520" s="11"/>
      <c r="AG520" s="48"/>
      <c r="AH520" s="11"/>
      <c r="AI520" s="48"/>
      <c r="AJ520" s="11"/>
      <c r="AK520" s="48"/>
      <c r="AL520" s="11"/>
      <c r="AM520" s="49"/>
      <c r="AN520" s="49"/>
      <c r="AO520" s="11"/>
      <c r="AP520" s="11"/>
      <c r="AQ520" s="28" t="b">
        <f>IF(COUNTIF(SmartStatus!A$2:A1000, AM520) &gt; 2, TRUE, FALSE)</f>
        <v>0</v>
      </c>
      <c r="AR520" s="29" t="str">
        <f ca="1">IFERROR(__xludf.DUMMYFUNCTION("iferror(if(regexmatch(AO520, ""(?i)^registered""), if(EE520 &lt;&gt; ""polity_shortest_name"", ""CHECK_POLITY"", index(filter(SmartStatus!B$2:B1000, AM520 = SmartStatus!A$2:A1000, not(SmartStatus!C$2:C1000), (isblank(SmartStatus!D$2:D1000)) + ((P520 &lt;&gt; """") * "&amp;"(P520 &lt; SmartStatus!D$2:D1000)), (isblank(SmartStatus!E$2:E1000)) + ((P520 &lt;&gt; """") * (P520 &gt;= SmartStatus!E$2:E1000)), (isblank(SmartStatus!F$2:F1000)) + (((Q520 &lt;&gt; """") * (Q520 &lt; SmartStatus!F$2:F1000)) + ((P520 &lt;&gt; """") * (date(year(P520) + 3, month(P"&amp;"520), day(P520)) &lt; SmartStatus!F$2:F1000))), (isblank(SmartStatus!G$2:G1000)) + (((Q520 &lt;&gt; """") * (Q520 &gt;= SmartStatus!G$2:G1000)) + ((P520 &lt;&gt; """") * (P520 &gt;= SmartStatus!G$2:G1000)))), if(or(regexmatch(B520, ""(?i)^ir [a-z]+ designation$""), N520 &lt;&gt; """&amp;"""), 1, 2))), """"), ""NO_MATCH"")"),"")</f>
        <v/>
      </c>
      <c r="AS520" s="11"/>
      <c r="AT520" s="15"/>
      <c r="AU520" s="11"/>
      <c r="AV520" s="11"/>
      <c r="AW520" s="15"/>
      <c r="AX520" s="15"/>
      <c r="AY520" s="15"/>
      <c r="AZ520" s="11"/>
      <c r="BA520" s="15"/>
      <c r="BB520" s="11"/>
      <c r="BC520" s="11"/>
      <c r="BD520" s="15"/>
      <c r="BE520" s="11"/>
      <c r="BF520" s="11"/>
      <c r="BG520" s="15"/>
      <c r="BH520" s="15"/>
      <c r="BI520" s="15"/>
      <c r="BJ520" s="11"/>
      <c r="BK520" s="15"/>
      <c r="BL520" s="11"/>
      <c r="BM520" s="11"/>
      <c r="BN520" s="15"/>
      <c r="BO520" s="11"/>
      <c r="BP520" s="11"/>
      <c r="BQ520" s="15"/>
      <c r="BR520" s="15"/>
      <c r="BS520" s="15"/>
      <c r="BT520" s="11"/>
      <c r="BU520" s="15"/>
      <c r="BV520" s="11"/>
      <c r="BW520" s="11"/>
      <c r="BX520" s="15"/>
      <c r="BY520" s="11"/>
      <c r="BZ520" s="11"/>
      <c r="CA520" s="15"/>
      <c r="CB520" s="11"/>
      <c r="CC520" s="15"/>
      <c r="CD520" s="11"/>
      <c r="CE520" s="15"/>
      <c r="CF520" s="11"/>
      <c r="CG520" s="11"/>
      <c r="CH520" s="15"/>
      <c r="CI520" s="11"/>
      <c r="CJ520" s="11"/>
      <c r="CK520" s="15"/>
      <c r="CL520" s="11"/>
      <c r="CM520" s="11"/>
      <c r="CN520" s="11"/>
      <c r="CO520" s="11"/>
      <c r="CP520" s="28"/>
      <c r="CQ520" s="28"/>
      <c r="CR520" s="11"/>
      <c r="CS520" s="29"/>
      <c r="CT520" s="11"/>
      <c r="CU520" s="11"/>
      <c r="CV520" s="11"/>
      <c r="CW520" s="11"/>
      <c r="CX520" s="11"/>
      <c r="CY520" s="11"/>
      <c r="CZ520" s="11"/>
      <c r="DA520" s="28"/>
      <c r="DB520" s="28"/>
      <c r="DC520" s="11"/>
      <c r="DD520" s="29"/>
      <c r="DE520" s="11"/>
      <c r="DF520" s="11"/>
      <c r="DG520" s="11"/>
      <c r="DH520" s="11"/>
      <c r="DI520" s="11"/>
      <c r="DJ520" s="11"/>
      <c r="DK520" s="26"/>
      <c r="DL520" s="11"/>
      <c r="DM520" s="29"/>
      <c r="DN520" s="28"/>
      <c r="DO520" s="11"/>
      <c r="DP520" s="11"/>
      <c r="DQ520" s="11"/>
      <c r="DR520" s="29"/>
      <c r="DS520" s="28"/>
      <c r="DT520" s="11"/>
      <c r="DU520" s="26"/>
      <c r="DV520" s="11"/>
      <c r="DW520" s="29"/>
      <c r="DX520" s="28"/>
      <c r="DY520" s="11"/>
      <c r="DZ520" s="26"/>
      <c r="EA520" s="11"/>
      <c r="EB520" s="29"/>
      <c r="EC520" s="28"/>
      <c r="ED520" s="30"/>
      <c r="EE520" s="30" t="str">
        <f ca="1">IFERROR(__xludf.DUMMYFUNCTION("iferror(index(filter('Internal -- Trademark Countries'!E$2:E1000, (AM520 = 'Internal -- Trademark Countries'!B$2:B1000) + (AM520 = 'Internal -- Trademark Countries'!C$2:C1000) + (AM520 = 'Internal -- Trademark Countries'!D$2:D1000)), 1))"),"")</f>
        <v/>
      </c>
      <c r="EF520" s="30" t="e">
        <f ca="1">_xludf.ifs(AM520="", "", COUNTIF('Internal -- Trademark Countries'!B:B,AM520) &gt; 0, "polity_shortest_name", COUNTIF('Internal -- Trademark Countries'!C:C,AM520) &gt; 0, "polity_full_name", COUNTIF('Internal -- Trademark Countries'!D:D,AM520) &gt; 0, "polity_common_name", COUNTIF('Internal -- Trademark Countries'!E:E,AM520) &gt; 0, "shortest_name", COUNTIF('Internal -- Trademark Countries'!A:A,AM520) &gt; 0, "full_name", TRUE, "not a match")</f>
        <v>#NAME?</v>
      </c>
      <c r="EG520" s="30"/>
      <c r="EH520" s="30"/>
      <c r="EI520" s="30"/>
      <c r="EJ520" s="30"/>
      <c r="EK520" s="30" t="str">
        <f t="shared" si="4"/>
        <v/>
      </c>
    </row>
    <row r="521" spans="1:141" ht="16.5">
      <c r="A521" s="11"/>
      <c r="B521" s="11"/>
      <c r="C521" s="11"/>
      <c r="D521" s="11"/>
      <c r="E521" s="11"/>
      <c r="F521" s="11"/>
      <c r="G521" s="11"/>
      <c r="H521" s="11"/>
      <c r="I521" s="11"/>
      <c r="J521" s="11"/>
      <c r="K521" s="27"/>
      <c r="L521" s="11"/>
      <c r="M521" s="11"/>
      <c r="N521" s="11"/>
      <c r="O521" s="11"/>
      <c r="P521" s="15"/>
      <c r="Q521" s="15"/>
      <c r="R521" s="15"/>
      <c r="S521" s="15"/>
      <c r="T521" s="15"/>
      <c r="U521" s="15"/>
      <c r="V521" s="15"/>
      <c r="W521" s="47"/>
      <c r="X521" s="11"/>
      <c r="Y521" s="48"/>
      <c r="Z521" s="11"/>
      <c r="AA521" s="48"/>
      <c r="AB521" s="11"/>
      <c r="AC521" s="48"/>
      <c r="AD521" s="11"/>
      <c r="AE521" s="47"/>
      <c r="AF521" s="11"/>
      <c r="AG521" s="48"/>
      <c r="AH521" s="11"/>
      <c r="AI521" s="48"/>
      <c r="AJ521" s="11"/>
      <c r="AK521" s="48"/>
      <c r="AL521" s="11"/>
      <c r="AM521" s="49"/>
      <c r="AN521" s="49"/>
      <c r="AO521" s="11"/>
      <c r="AP521" s="11"/>
      <c r="AQ521" s="28" t="b">
        <f>IF(COUNTIF(SmartStatus!A$2:A1000, AM521) &gt; 2, TRUE, FALSE)</f>
        <v>0</v>
      </c>
      <c r="AR521" s="29" t="str">
        <f ca="1">IFERROR(__xludf.DUMMYFUNCTION("iferror(if(regexmatch(AO521, ""(?i)^registered""), if(EE521 &lt;&gt; ""polity_shortest_name"", ""CHECK_POLITY"", index(filter(SmartStatus!B$2:B1000, AM521 = SmartStatus!A$2:A1000, not(SmartStatus!C$2:C1000), (isblank(SmartStatus!D$2:D1000)) + ((P521 &lt;&gt; """") * "&amp;"(P521 &lt; SmartStatus!D$2:D1000)), (isblank(SmartStatus!E$2:E1000)) + ((P521 &lt;&gt; """") * (P521 &gt;= SmartStatus!E$2:E1000)), (isblank(SmartStatus!F$2:F1000)) + (((Q521 &lt;&gt; """") * (Q521 &lt; SmartStatus!F$2:F1000)) + ((P521 &lt;&gt; """") * (date(year(P521) + 3, month(P"&amp;"521), day(P521)) &lt; SmartStatus!F$2:F1000))), (isblank(SmartStatus!G$2:G1000)) + (((Q521 &lt;&gt; """") * (Q521 &gt;= SmartStatus!G$2:G1000)) + ((P521 &lt;&gt; """") * (P521 &gt;= SmartStatus!G$2:G1000)))), if(or(regexmatch(B521, ""(?i)^ir [a-z]+ designation$""), N521 &lt;&gt; """&amp;"""), 1, 2))), """"), ""NO_MATCH"")"),"")</f>
        <v/>
      </c>
      <c r="AS521" s="11"/>
      <c r="AT521" s="15"/>
      <c r="AU521" s="11"/>
      <c r="AV521" s="11"/>
      <c r="AW521" s="15"/>
      <c r="AX521" s="15"/>
      <c r="AY521" s="15"/>
      <c r="AZ521" s="11"/>
      <c r="BA521" s="15"/>
      <c r="BB521" s="11"/>
      <c r="BC521" s="11"/>
      <c r="BD521" s="15"/>
      <c r="BE521" s="11"/>
      <c r="BF521" s="11"/>
      <c r="BG521" s="15"/>
      <c r="BH521" s="15"/>
      <c r="BI521" s="15"/>
      <c r="BJ521" s="11"/>
      <c r="BK521" s="15"/>
      <c r="BL521" s="11"/>
      <c r="BM521" s="11"/>
      <c r="BN521" s="15"/>
      <c r="BO521" s="11"/>
      <c r="BP521" s="11"/>
      <c r="BQ521" s="15"/>
      <c r="BR521" s="15"/>
      <c r="BS521" s="15"/>
      <c r="BT521" s="11"/>
      <c r="BU521" s="15"/>
      <c r="BV521" s="11"/>
      <c r="BW521" s="11"/>
      <c r="BX521" s="15"/>
      <c r="BY521" s="11"/>
      <c r="BZ521" s="11"/>
      <c r="CA521" s="15"/>
      <c r="CB521" s="11"/>
      <c r="CC521" s="15"/>
      <c r="CD521" s="11"/>
      <c r="CE521" s="15"/>
      <c r="CF521" s="11"/>
      <c r="CG521" s="11"/>
      <c r="CH521" s="15"/>
      <c r="CI521" s="11"/>
      <c r="CJ521" s="11"/>
      <c r="CK521" s="15"/>
      <c r="CL521" s="11"/>
      <c r="CM521" s="11"/>
      <c r="CN521" s="11"/>
      <c r="CO521" s="11"/>
      <c r="CP521" s="28"/>
      <c r="CQ521" s="28"/>
      <c r="CR521" s="11"/>
      <c r="CS521" s="29"/>
      <c r="CT521" s="11"/>
      <c r="CU521" s="11"/>
      <c r="CV521" s="11"/>
      <c r="CW521" s="11"/>
      <c r="CX521" s="11"/>
      <c r="CY521" s="11"/>
      <c r="CZ521" s="11"/>
      <c r="DA521" s="28"/>
      <c r="DB521" s="28"/>
      <c r="DC521" s="11"/>
      <c r="DD521" s="29"/>
      <c r="DE521" s="11"/>
      <c r="DF521" s="11"/>
      <c r="DG521" s="11"/>
      <c r="DH521" s="11"/>
      <c r="DI521" s="11"/>
      <c r="DJ521" s="11"/>
      <c r="DK521" s="26"/>
      <c r="DL521" s="11"/>
      <c r="DM521" s="29"/>
      <c r="DN521" s="28"/>
      <c r="DO521" s="11"/>
      <c r="DP521" s="11"/>
      <c r="DQ521" s="11"/>
      <c r="DR521" s="29"/>
      <c r="DS521" s="28"/>
      <c r="DT521" s="11"/>
      <c r="DU521" s="26"/>
      <c r="DV521" s="11"/>
      <c r="DW521" s="29"/>
      <c r="DX521" s="28"/>
      <c r="DY521" s="11"/>
      <c r="DZ521" s="26"/>
      <c r="EA521" s="11"/>
      <c r="EB521" s="29"/>
      <c r="EC521" s="28"/>
      <c r="ED521" s="30"/>
      <c r="EE521" s="30" t="str">
        <f ca="1">IFERROR(__xludf.DUMMYFUNCTION("iferror(index(filter('Internal -- Trademark Countries'!E$2:E1000, (AM521 = 'Internal -- Trademark Countries'!B$2:B1000) + (AM521 = 'Internal -- Trademark Countries'!C$2:C1000) + (AM521 = 'Internal -- Trademark Countries'!D$2:D1000)), 1))"),"")</f>
        <v/>
      </c>
      <c r="EF521" s="30" t="e">
        <f ca="1">_xludf.ifs(AM521="", "", COUNTIF('Internal -- Trademark Countries'!B:B,AM521) &gt; 0, "polity_shortest_name", COUNTIF('Internal -- Trademark Countries'!C:C,AM521) &gt; 0, "polity_full_name", COUNTIF('Internal -- Trademark Countries'!D:D,AM521) &gt; 0, "polity_common_name", COUNTIF('Internal -- Trademark Countries'!E:E,AM521) &gt; 0, "shortest_name", COUNTIF('Internal -- Trademark Countries'!A:A,AM521) &gt; 0, "full_name", TRUE, "not a match")</f>
        <v>#NAME?</v>
      </c>
      <c r="EG521" s="30"/>
      <c r="EH521" s="30"/>
      <c r="EI521" s="30"/>
      <c r="EJ521" s="30"/>
      <c r="EK521" s="30" t="str">
        <f t="shared" si="4"/>
        <v/>
      </c>
    </row>
    <row r="522" spans="1:141" ht="16.5">
      <c r="A522" s="11"/>
      <c r="B522" s="11"/>
      <c r="C522" s="11"/>
      <c r="D522" s="11"/>
      <c r="E522" s="11"/>
      <c r="F522" s="11"/>
      <c r="G522" s="11"/>
      <c r="H522" s="11"/>
      <c r="I522" s="11"/>
      <c r="J522" s="11"/>
      <c r="K522" s="27"/>
      <c r="L522" s="11"/>
      <c r="M522" s="11"/>
      <c r="N522" s="11"/>
      <c r="O522" s="11"/>
      <c r="P522" s="15"/>
      <c r="Q522" s="15"/>
      <c r="R522" s="15"/>
      <c r="S522" s="15"/>
      <c r="T522" s="15"/>
      <c r="U522" s="15"/>
      <c r="V522" s="15"/>
      <c r="W522" s="47"/>
      <c r="X522" s="11"/>
      <c r="Y522" s="48"/>
      <c r="Z522" s="11"/>
      <c r="AA522" s="48"/>
      <c r="AB522" s="11"/>
      <c r="AC522" s="48"/>
      <c r="AD522" s="11"/>
      <c r="AE522" s="47"/>
      <c r="AF522" s="11"/>
      <c r="AG522" s="48"/>
      <c r="AH522" s="11"/>
      <c r="AI522" s="48"/>
      <c r="AJ522" s="11"/>
      <c r="AK522" s="48"/>
      <c r="AL522" s="11"/>
      <c r="AM522" s="49"/>
      <c r="AN522" s="49"/>
      <c r="AO522" s="11"/>
      <c r="AP522" s="11"/>
      <c r="AQ522" s="28" t="b">
        <f>IF(COUNTIF(SmartStatus!A$2:A1000, AM522) &gt; 2, TRUE, FALSE)</f>
        <v>0</v>
      </c>
      <c r="AR522" s="29" t="str">
        <f ca="1">IFERROR(__xludf.DUMMYFUNCTION("iferror(if(regexmatch(AO522, ""(?i)^registered""), if(EE522 &lt;&gt; ""polity_shortest_name"", ""CHECK_POLITY"", index(filter(SmartStatus!B$2:B1000, AM522 = SmartStatus!A$2:A1000, not(SmartStatus!C$2:C1000), (isblank(SmartStatus!D$2:D1000)) + ((P522 &lt;&gt; """") * "&amp;"(P522 &lt; SmartStatus!D$2:D1000)), (isblank(SmartStatus!E$2:E1000)) + ((P522 &lt;&gt; """") * (P522 &gt;= SmartStatus!E$2:E1000)), (isblank(SmartStatus!F$2:F1000)) + (((Q522 &lt;&gt; """") * (Q522 &lt; SmartStatus!F$2:F1000)) + ((P522 &lt;&gt; """") * (date(year(P522) + 3, month(P"&amp;"522), day(P522)) &lt; SmartStatus!F$2:F1000))), (isblank(SmartStatus!G$2:G1000)) + (((Q522 &lt;&gt; """") * (Q522 &gt;= SmartStatus!G$2:G1000)) + ((P522 &lt;&gt; """") * (P522 &gt;= SmartStatus!G$2:G1000)))), if(or(regexmatch(B522, ""(?i)^ir [a-z]+ designation$""), N522 &lt;&gt; """&amp;"""), 1, 2))), """"), ""NO_MATCH"")"),"")</f>
        <v/>
      </c>
      <c r="AS522" s="11"/>
      <c r="AT522" s="15"/>
      <c r="AU522" s="11"/>
      <c r="AV522" s="11"/>
      <c r="AW522" s="15"/>
      <c r="AX522" s="15"/>
      <c r="AY522" s="15"/>
      <c r="AZ522" s="11"/>
      <c r="BA522" s="15"/>
      <c r="BB522" s="11"/>
      <c r="BC522" s="11"/>
      <c r="BD522" s="15"/>
      <c r="BE522" s="11"/>
      <c r="BF522" s="11"/>
      <c r="BG522" s="15"/>
      <c r="BH522" s="15"/>
      <c r="BI522" s="15"/>
      <c r="BJ522" s="11"/>
      <c r="BK522" s="15"/>
      <c r="BL522" s="11"/>
      <c r="BM522" s="11"/>
      <c r="BN522" s="15"/>
      <c r="BO522" s="11"/>
      <c r="BP522" s="11"/>
      <c r="BQ522" s="15"/>
      <c r="BR522" s="15"/>
      <c r="BS522" s="15"/>
      <c r="BT522" s="11"/>
      <c r="BU522" s="15"/>
      <c r="BV522" s="11"/>
      <c r="BW522" s="11"/>
      <c r="BX522" s="15"/>
      <c r="BY522" s="11"/>
      <c r="BZ522" s="11"/>
      <c r="CA522" s="15"/>
      <c r="CB522" s="11"/>
      <c r="CC522" s="15"/>
      <c r="CD522" s="11"/>
      <c r="CE522" s="15"/>
      <c r="CF522" s="11"/>
      <c r="CG522" s="11"/>
      <c r="CH522" s="15"/>
      <c r="CI522" s="11"/>
      <c r="CJ522" s="11"/>
      <c r="CK522" s="15"/>
      <c r="CL522" s="11"/>
      <c r="CM522" s="11"/>
      <c r="CN522" s="11"/>
      <c r="CO522" s="11"/>
      <c r="CP522" s="28"/>
      <c r="CQ522" s="28"/>
      <c r="CR522" s="11"/>
      <c r="CS522" s="29"/>
      <c r="CT522" s="11"/>
      <c r="CU522" s="11"/>
      <c r="CV522" s="11"/>
      <c r="CW522" s="11"/>
      <c r="CX522" s="11"/>
      <c r="CY522" s="11"/>
      <c r="CZ522" s="11"/>
      <c r="DA522" s="28"/>
      <c r="DB522" s="28"/>
      <c r="DC522" s="11"/>
      <c r="DD522" s="29"/>
      <c r="DE522" s="11"/>
      <c r="DF522" s="11"/>
      <c r="DG522" s="11"/>
      <c r="DH522" s="11"/>
      <c r="DI522" s="11"/>
      <c r="DJ522" s="11"/>
      <c r="DK522" s="26"/>
      <c r="DL522" s="11"/>
      <c r="DM522" s="29"/>
      <c r="DN522" s="28"/>
      <c r="DO522" s="11"/>
      <c r="DP522" s="11"/>
      <c r="DQ522" s="11"/>
      <c r="DR522" s="29"/>
      <c r="DS522" s="28"/>
      <c r="DT522" s="11"/>
      <c r="DU522" s="26"/>
      <c r="DV522" s="11"/>
      <c r="DW522" s="29"/>
      <c r="DX522" s="28"/>
      <c r="DY522" s="11"/>
      <c r="DZ522" s="26"/>
      <c r="EA522" s="11"/>
      <c r="EB522" s="29"/>
      <c r="EC522" s="28"/>
      <c r="ED522" s="30"/>
      <c r="EE522" s="30" t="str">
        <f ca="1">IFERROR(__xludf.DUMMYFUNCTION("iferror(index(filter('Internal -- Trademark Countries'!E$2:E1000, (AM522 = 'Internal -- Trademark Countries'!B$2:B1000) + (AM522 = 'Internal -- Trademark Countries'!C$2:C1000) + (AM522 = 'Internal -- Trademark Countries'!D$2:D1000)), 1))"),"")</f>
        <v/>
      </c>
      <c r="EF522" s="30" t="e">
        <f ca="1">_xludf.ifs(AM522="", "", COUNTIF('Internal -- Trademark Countries'!B:B,AM522) &gt; 0, "polity_shortest_name", COUNTIF('Internal -- Trademark Countries'!C:C,AM522) &gt; 0, "polity_full_name", COUNTIF('Internal -- Trademark Countries'!D:D,AM522) &gt; 0, "polity_common_name", COUNTIF('Internal -- Trademark Countries'!E:E,AM522) &gt; 0, "shortest_name", COUNTIF('Internal -- Trademark Countries'!A:A,AM522) &gt; 0, "full_name", TRUE, "not a match")</f>
        <v>#NAME?</v>
      </c>
      <c r="EG522" s="30"/>
      <c r="EH522" s="30"/>
      <c r="EI522" s="30"/>
      <c r="EJ522" s="30"/>
      <c r="EK522" s="30" t="str">
        <f t="shared" si="4"/>
        <v/>
      </c>
    </row>
    <row r="523" spans="1:141" ht="16.5">
      <c r="A523" s="11"/>
      <c r="B523" s="11"/>
      <c r="C523" s="11"/>
      <c r="D523" s="11"/>
      <c r="E523" s="11"/>
      <c r="F523" s="11"/>
      <c r="G523" s="11"/>
      <c r="H523" s="11"/>
      <c r="I523" s="11"/>
      <c r="J523" s="11"/>
      <c r="K523" s="27"/>
      <c r="L523" s="11"/>
      <c r="M523" s="11"/>
      <c r="N523" s="11"/>
      <c r="O523" s="11"/>
      <c r="P523" s="15"/>
      <c r="Q523" s="15"/>
      <c r="R523" s="15"/>
      <c r="S523" s="15"/>
      <c r="T523" s="15"/>
      <c r="U523" s="15"/>
      <c r="V523" s="15"/>
      <c r="W523" s="47"/>
      <c r="X523" s="11"/>
      <c r="Y523" s="48"/>
      <c r="Z523" s="11"/>
      <c r="AA523" s="48"/>
      <c r="AB523" s="11"/>
      <c r="AC523" s="48"/>
      <c r="AD523" s="11"/>
      <c r="AE523" s="47"/>
      <c r="AF523" s="11"/>
      <c r="AG523" s="48"/>
      <c r="AH523" s="11"/>
      <c r="AI523" s="48"/>
      <c r="AJ523" s="11"/>
      <c r="AK523" s="48"/>
      <c r="AL523" s="11"/>
      <c r="AM523" s="49"/>
      <c r="AN523" s="49"/>
      <c r="AO523" s="11"/>
      <c r="AP523" s="11"/>
      <c r="AQ523" s="28" t="b">
        <f>IF(COUNTIF(SmartStatus!A$2:A1000, AM523) &gt; 2, TRUE, FALSE)</f>
        <v>0</v>
      </c>
      <c r="AR523" s="29" t="str">
        <f ca="1">IFERROR(__xludf.DUMMYFUNCTION("iferror(if(regexmatch(AO523, ""(?i)^registered""), if(EE523 &lt;&gt; ""polity_shortest_name"", ""CHECK_POLITY"", index(filter(SmartStatus!B$2:B1000, AM523 = SmartStatus!A$2:A1000, not(SmartStatus!C$2:C1000), (isblank(SmartStatus!D$2:D1000)) + ((P523 &lt;&gt; """") * "&amp;"(P523 &lt; SmartStatus!D$2:D1000)), (isblank(SmartStatus!E$2:E1000)) + ((P523 &lt;&gt; """") * (P523 &gt;= SmartStatus!E$2:E1000)), (isblank(SmartStatus!F$2:F1000)) + (((Q523 &lt;&gt; """") * (Q523 &lt; SmartStatus!F$2:F1000)) + ((P523 &lt;&gt; """") * (date(year(P523) + 3, month(P"&amp;"523), day(P523)) &lt; SmartStatus!F$2:F1000))), (isblank(SmartStatus!G$2:G1000)) + (((Q523 &lt;&gt; """") * (Q523 &gt;= SmartStatus!G$2:G1000)) + ((P523 &lt;&gt; """") * (P523 &gt;= SmartStatus!G$2:G1000)))), if(or(regexmatch(B523, ""(?i)^ir [a-z]+ designation$""), N523 &lt;&gt; """&amp;"""), 1, 2))), """"), ""NO_MATCH"")"),"")</f>
        <v/>
      </c>
      <c r="AS523" s="11"/>
      <c r="AT523" s="15"/>
      <c r="AU523" s="11"/>
      <c r="AV523" s="11"/>
      <c r="AW523" s="15"/>
      <c r="AX523" s="15"/>
      <c r="AY523" s="15"/>
      <c r="AZ523" s="11"/>
      <c r="BA523" s="15"/>
      <c r="BB523" s="11"/>
      <c r="BC523" s="11"/>
      <c r="BD523" s="15"/>
      <c r="BE523" s="11"/>
      <c r="BF523" s="11"/>
      <c r="BG523" s="15"/>
      <c r="BH523" s="15"/>
      <c r="BI523" s="15"/>
      <c r="BJ523" s="11"/>
      <c r="BK523" s="15"/>
      <c r="BL523" s="11"/>
      <c r="BM523" s="11"/>
      <c r="BN523" s="15"/>
      <c r="BO523" s="11"/>
      <c r="BP523" s="11"/>
      <c r="BQ523" s="15"/>
      <c r="BR523" s="15"/>
      <c r="BS523" s="15"/>
      <c r="BT523" s="11"/>
      <c r="BU523" s="15"/>
      <c r="BV523" s="11"/>
      <c r="BW523" s="11"/>
      <c r="BX523" s="15"/>
      <c r="BY523" s="11"/>
      <c r="BZ523" s="11"/>
      <c r="CA523" s="15"/>
      <c r="CB523" s="11"/>
      <c r="CC523" s="15"/>
      <c r="CD523" s="11"/>
      <c r="CE523" s="15"/>
      <c r="CF523" s="11"/>
      <c r="CG523" s="11"/>
      <c r="CH523" s="15"/>
      <c r="CI523" s="11"/>
      <c r="CJ523" s="11"/>
      <c r="CK523" s="15"/>
      <c r="CL523" s="11"/>
      <c r="CM523" s="11"/>
      <c r="CN523" s="11"/>
      <c r="CO523" s="11"/>
      <c r="CP523" s="28"/>
      <c r="CQ523" s="28"/>
      <c r="CR523" s="11"/>
      <c r="CS523" s="29"/>
      <c r="CT523" s="11"/>
      <c r="CU523" s="11"/>
      <c r="CV523" s="11"/>
      <c r="CW523" s="11"/>
      <c r="CX523" s="11"/>
      <c r="CY523" s="11"/>
      <c r="CZ523" s="11"/>
      <c r="DA523" s="28"/>
      <c r="DB523" s="28"/>
      <c r="DC523" s="11"/>
      <c r="DD523" s="29"/>
      <c r="DE523" s="11"/>
      <c r="DF523" s="11"/>
      <c r="DG523" s="11"/>
      <c r="DH523" s="11"/>
      <c r="DI523" s="11"/>
      <c r="DJ523" s="11"/>
      <c r="DK523" s="26"/>
      <c r="DL523" s="11"/>
      <c r="DM523" s="29"/>
      <c r="DN523" s="28"/>
      <c r="DO523" s="11"/>
      <c r="DP523" s="11"/>
      <c r="DQ523" s="11"/>
      <c r="DR523" s="29"/>
      <c r="DS523" s="28"/>
      <c r="DT523" s="11"/>
      <c r="DU523" s="26"/>
      <c r="DV523" s="11"/>
      <c r="DW523" s="29"/>
      <c r="DX523" s="28"/>
      <c r="DY523" s="11"/>
      <c r="DZ523" s="26"/>
      <c r="EA523" s="11"/>
      <c r="EB523" s="29"/>
      <c r="EC523" s="28"/>
      <c r="ED523" s="30"/>
      <c r="EE523" s="30" t="str">
        <f ca="1">IFERROR(__xludf.DUMMYFUNCTION("iferror(index(filter('Internal -- Trademark Countries'!E$2:E1000, (AM523 = 'Internal -- Trademark Countries'!B$2:B1000) + (AM523 = 'Internal -- Trademark Countries'!C$2:C1000) + (AM523 = 'Internal -- Trademark Countries'!D$2:D1000)), 1))"),"")</f>
        <v/>
      </c>
      <c r="EF523" s="30" t="e">
        <f ca="1">_xludf.ifs(AM523="", "", COUNTIF('Internal -- Trademark Countries'!B:B,AM523) &gt; 0, "polity_shortest_name", COUNTIF('Internal -- Trademark Countries'!C:C,AM523) &gt; 0, "polity_full_name", COUNTIF('Internal -- Trademark Countries'!D:D,AM523) &gt; 0, "polity_common_name", COUNTIF('Internal -- Trademark Countries'!E:E,AM523) &gt; 0, "shortest_name", COUNTIF('Internal -- Trademark Countries'!A:A,AM523) &gt; 0, "full_name", TRUE, "not a match")</f>
        <v>#NAME?</v>
      </c>
      <c r="EG523" s="30"/>
      <c r="EH523" s="30"/>
      <c r="EI523" s="30"/>
      <c r="EJ523" s="30"/>
      <c r="EK523" s="30" t="str">
        <f t="shared" si="4"/>
        <v/>
      </c>
    </row>
    <row r="524" spans="1:141" ht="16.5">
      <c r="A524" s="11"/>
      <c r="B524" s="11"/>
      <c r="C524" s="11"/>
      <c r="D524" s="11"/>
      <c r="E524" s="11"/>
      <c r="F524" s="11"/>
      <c r="G524" s="11"/>
      <c r="H524" s="11"/>
      <c r="I524" s="11"/>
      <c r="J524" s="11"/>
      <c r="K524" s="27"/>
      <c r="L524" s="11"/>
      <c r="M524" s="11"/>
      <c r="N524" s="11"/>
      <c r="O524" s="11"/>
      <c r="P524" s="15"/>
      <c r="Q524" s="15"/>
      <c r="R524" s="15"/>
      <c r="S524" s="15"/>
      <c r="T524" s="15"/>
      <c r="U524" s="15"/>
      <c r="V524" s="15"/>
      <c r="W524" s="47"/>
      <c r="X524" s="11"/>
      <c r="Y524" s="48"/>
      <c r="Z524" s="11"/>
      <c r="AA524" s="48"/>
      <c r="AB524" s="11"/>
      <c r="AC524" s="48"/>
      <c r="AD524" s="11"/>
      <c r="AE524" s="47"/>
      <c r="AF524" s="11"/>
      <c r="AG524" s="48"/>
      <c r="AH524" s="11"/>
      <c r="AI524" s="48"/>
      <c r="AJ524" s="11"/>
      <c r="AK524" s="48"/>
      <c r="AL524" s="11"/>
      <c r="AM524" s="49"/>
      <c r="AN524" s="49"/>
      <c r="AO524" s="11"/>
      <c r="AP524" s="11"/>
      <c r="AQ524" s="28" t="b">
        <f>IF(COUNTIF(SmartStatus!A$2:A1000, AM524) &gt; 2, TRUE, FALSE)</f>
        <v>0</v>
      </c>
      <c r="AR524" s="29" t="str">
        <f ca="1">IFERROR(__xludf.DUMMYFUNCTION("iferror(if(regexmatch(AO524, ""(?i)^registered""), if(EE524 &lt;&gt; ""polity_shortest_name"", ""CHECK_POLITY"", index(filter(SmartStatus!B$2:B1000, AM524 = SmartStatus!A$2:A1000, not(SmartStatus!C$2:C1000), (isblank(SmartStatus!D$2:D1000)) + ((P524 &lt;&gt; """") * "&amp;"(P524 &lt; SmartStatus!D$2:D1000)), (isblank(SmartStatus!E$2:E1000)) + ((P524 &lt;&gt; """") * (P524 &gt;= SmartStatus!E$2:E1000)), (isblank(SmartStatus!F$2:F1000)) + (((Q524 &lt;&gt; """") * (Q524 &lt; SmartStatus!F$2:F1000)) + ((P524 &lt;&gt; """") * (date(year(P524) + 3, month(P"&amp;"524), day(P524)) &lt; SmartStatus!F$2:F1000))), (isblank(SmartStatus!G$2:G1000)) + (((Q524 &lt;&gt; """") * (Q524 &gt;= SmartStatus!G$2:G1000)) + ((P524 &lt;&gt; """") * (P524 &gt;= SmartStatus!G$2:G1000)))), if(or(regexmatch(B524, ""(?i)^ir [a-z]+ designation$""), N524 &lt;&gt; """&amp;"""), 1, 2))), """"), ""NO_MATCH"")"),"")</f>
        <v/>
      </c>
      <c r="AS524" s="11"/>
      <c r="AT524" s="15"/>
      <c r="AU524" s="11"/>
      <c r="AV524" s="11"/>
      <c r="AW524" s="15"/>
      <c r="AX524" s="15"/>
      <c r="AY524" s="15"/>
      <c r="AZ524" s="11"/>
      <c r="BA524" s="15"/>
      <c r="BB524" s="11"/>
      <c r="BC524" s="11"/>
      <c r="BD524" s="15"/>
      <c r="BE524" s="11"/>
      <c r="BF524" s="11"/>
      <c r="BG524" s="15"/>
      <c r="BH524" s="15"/>
      <c r="BI524" s="15"/>
      <c r="BJ524" s="11"/>
      <c r="BK524" s="15"/>
      <c r="BL524" s="11"/>
      <c r="BM524" s="11"/>
      <c r="BN524" s="15"/>
      <c r="BO524" s="11"/>
      <c r="BP524" s="11"/>
      <c r="BQ524" s="15"/>
      <c r="BR524" s="15"/>
      <c r="BS524" s="15"/>
      <c r="BT524" s="11"/>
      <c r="BU524" s="15"/>
      <c r="BV524" s="11"/>
      <c r="BW524" s="11"/>
      <c r="BX524" s="15"/>
      <c r="BY524" s="11"/>
      <c r="BZ524" s="11"/>
      <c r="CA524" s="15"/>
      <c r="CB524" s="11"/>
      <c r="CC524" s="15"/>
      <c r="CD524" s="11"/>
      <c r="CE524" s="15"/>
      <c r="CF524" s="11"/>
      <c r="CG524" s="11"/>
      <c r="CH524" s="15"/>
      <c r="CI524" s="11"/>
      <c r="CJ524" s="11"/>
      <c r="CK524" s="15"/>
      <c r="CL524" s="11"/>
      <c r="CM524" s="11"/>
      <c r="CN524" s="11"/>
      <c r="CO524" s="11"/>
      <c r="CP524" s="28"/>
      <c r="CQ524" s="28"/>
      <c r="CR524" s="11"/>
      <c r="CS524" s="29"/>
      <c r="CT524" s="11"/>
      <c r="CU524" s="11"/>
      <c r="CV524" s="11"/>
      <c r="CW524" s="11"/>
      <c r="CX524" s="11"/>
      <c r="CY524" s="11"/>
      <c r="CZ524" s="11"/>
      <c r="DA524" s="28"/>
      <c r="DB524" s="28"/>
      <c r="DC524" s="11"/>
      <c r="DD524" s="29"/>
      <c r="DE524" s="11"/>
      <c r="DF524" s="11"/>
      <c r="DG524" s="11"/>
      <c r="DH524" s="11"/>
      <c r="DI524" s="11"/>
      <c r="DJ524" s="11"/>
      <c r="DK524" s="26"/>
      <c r="DL524" s="11"/>
      <c r="DM524" s="29"/>
      <c r="DN524" s="28"/>
      <c r="DO524" s="11"/>
      <c r="DP524" s="11"/>
      <c r="DQ524" s="11"/>
      <c r="DR524" s="29"/>
      <c r="DS524" s="28"/>
      <c r="DT524" s="11"/>
      <c r="DU524" s="26"/>
      <c r="DV524" s="11"/>
      <c r="DW524" s="29"/>
      <c r="DX524" s="28"/>
      <c r="DY524" s="11"/>
      <c r="DZ524" s="26"/>
      <c r="EA524" s="11"/>
      <c r="EB524" s="29"/>
      <c r="EC524" s="28"/>
      <c r="ED524" s="30"/>
      <c r="EE524" s="30" t="str">
        <f ca="1">IFERROR(__xludf.DUMMYFUNCTION("iferror(index(filter('Internal -- Trademark Countries'!E$2:E1000, (AM524 = 'Internal -- Trademark Countries'!B$2:B1000) + (AM524 = 'Internal -- Trademark Countries'!C$2:C1000) + (AM524 = 'Internal -- Trademark Countries'!D$2:D1000)), 1))"),"")</f>
        <v/>
      </c>
      <c r="EF524" s="30" t="e">
        <f ca="1">_xludf.ifs(AM524="", "", COUNTIF('Internal -- Trademark Countries'!B:B,AM524) &gt; 0, "polity_shortest_name", COUNTIF('Internal -- Trademark Countries'!C:C,AM524) &gt; 0, "polity_full_name", COUNTIF('Internal -- Trademark Countries'!D:D,AM524) &gt; 0, "polity_common_name", COUNTIF('Internal -- Trademark Countries'!E:E,AM524) &gt; 0, "shortest_name", COUNTIF('Internal -- Trademark Countries'!A:A,AM524) &gt; 0, "full_name", TRUE, "not a match")</f>
        <v>#NAME?</v>
      </c>
      <c r="EG524" s="30"/>
      <c r="EH524" s="30"/>
      <c r="EI524" s="30"/>
      <c r="EJ524" s="30"/>
      <c r="EK524" s="30" t="str">
        <f t="shared" si="4"/>
        <v/>
      </c>
    </row>
    <row r="525" spans="1:141" ht="16.5">
      <c r="A525" s="11"/>
      <c r="B525" s="11"/>
      <c r="C525" s="11"/>
      <c r="D525" s="11"/>
      <c r="E525" s="11"/>
      <c r="F525" s="11"/>
      <c r="G525" s="11"/>
      <c r="H525" s="11"/>
      <c r="I525" s="11"/>
      <c r="J525" s="11"/>
      <c r="K525" s="27"/>
      <c r="L525" s="11"/>
      <c r="M525" s="11"/>
      <c r="N525" s="11"/>
      <c r="O525" s="11"/>
      <c r="P525" s="15"/>
      <c r="Q525" s="15"/>
      <c r="R525" s="15"/>
      <c r="S525" s="15"/>
      <c r="T525" s="15"/>
      <c r="U525" s="15"/>
      <c r="V525" s="15"/>
      <c r="W525" s="47"/>
      <c r="X525" s="11"/>
      <c r="Y525" s="48"/>
      <c r="Z525" s="11"/>
      <c r="AA525" s="48"/>
      <c r="AB525" s="11"/>
      <c r="AC525" s="48"/>
      <c r="AD525" s="11"/>
      <c r="AE525" s="47"/>
      <c r="AF525" s="11"/>
      <c r="AG525" s="48"/>
      <c r="AH525" s="11"/>
      <c r="AI525" s="48"/>
      <c r="AJ525" s="11"/>
      <c r="AK525" s="48"/>
      <c r="AL525" s="11"/>
      <c r="AM525" s="49"/>
      <c r="AN525" s="49"/>
      <c r="AO525" s="11"/>
      <c r="AP525" s="11"/>
      <c r="AQ525" s="28" t="b">
        <f>IF(COUNTIF(SmartStatus!A$2:A1000, AM525) &gt; 2, TRUE, FALSE)</f>
        <v>0</v>
      </c>
      <c r="AR525" s="29" t="str">
        <f ca="1">IFERROR(__xludf.DUMMYFUNCTION("iferror(if(regexmatch(AO525, ""(?i)^registered""), if(EE525 &lt;&gt; ""polity_shortest_name"", ""CHECK_POLITY"", index(filter(SmartStatus!B$2:B1000, AM525 = SmartStatus!A$2:A1000, not(SmartStatus!C$2:C1000), (isblank(SmartStatus!D$2:D1000)) + ((P525 &lt;&gt; """") * "&amp;"(P525 &lt; SmartStatus!D$2:D1000)), (isblank(SmartStatus!E$2:E1000)) + ((P525 &lt;&gt; """") * (P525 &gt;= SmartStatus!E$2:E1000)), (isblank(SmartStatus!F$2:F1000)) + (((Q525 &lt;&gt; """") * (Q525 &lt; SmartStatus!F$2:F1000)) + ((P525 &lt;&gt; """") * (date(year(P525) + 3, month(P"&amp;"525), day(P525)) &lt; SmartStatus!F$2:F1000))), (isblank(SmartStatus!G$2:G1000)) + (((Q525 &lt;&gt; """") * (Q525 &gt;= SmartStatus!G$2:G1000)) + ((P525 &lt;&gt; """") * (P525 &gt;= SmartStatus!G$2:G1000)))), if(or(regexmatch(B525, ""(?i)^ir [a-z]+ designation$""), N525 &lt;&gt; """&amp;"""), 1, 2))), """"), ""NO_MATCH"")"),"")</f>
        <v/>
      </c>
      <c r="AS525" s="11"/>
      <c r="AT525" s="15"/>
      <c r="AU525" s="11"/>
      <c r="AV525" s="11"/>
      <c r="AW525" s="15"/>
      <c r="AX525" s="15"/>
      <c r="AY525" s="15"/>
      <c r="AZ525" s="11"/>
      <c r="BA525" s="15"/>
      <c r="BB525" s="11"/>
      <c r="BC525" s="11"/>
      <c r="BD525" s="15"/>
      <c r="BE525" s="11"/>
      <c r="BF525" s="11"/>
      <c r="BG525" s="15"/>
      <c r="BH525" s="15"/>
      <c r="BI525" s="15"/>
      <c r="BJ525" s="11"/>
      <c r="BK525" s="15"/>
      <c r="BL525" s="11"/>
      <c r="BM525" s="11"/>
      <c r="BN525" s="15"/>
      <c r="BO525" s="11"/>
      <c r="BP525" s="11"/>
      <c r="BQ525" s="15"/>
      <c r="BR525" s="15"/>
      <c r="BS525" s="15"/>
      <c r="BT525" s="11"/>
      <c r="BU525" s="15"/>
      <c r="BV525" s="11"/>
      <c r="BW525" s="11"/>
      <c r="BX525" s="15"/>
      <c r="BY525" s="11"/>
      <c r="BZ525" s="11"/>
      <c r="CA525" s="15"/>
      <c r="CB525" s="11"/>
      <c r="CC525" s="15"/>
      <c r="CD525" s="11"/>
      <c r="CE525" s="15"/>
      <c r="CF525" s="11"/>
      <c r="CG525" s="11"/>
      <c r="CH525" s="15"/>
      <c r="CI525" s="11"/>
      <c r="CJ525" s="11"/>
      <c r="CK525" s="15"/>
      <c r="CL525" s="11"/>
      <c r="CM525" s="11"/>
      <c r="CN525" s="11"/>
      <c r="CO525" s="11"/>
      <c r="CP525" s="28"/>
      <c r="CQ525" s="28"/>
      <c r="CR525" s="11"/>
      <c r="CS525" s="29"/>
      <c r="CT525" s="11"/>
      <c r="CU525" s="11"/>
      <c r="CV525" s="11"/>
      <c r="CW525" s="11"/>
      <c r="CX525" s="11"/>
      <c r="CY525" s="11"/>
      <c r="CZ525" s="11"/>
      <c r="DA525" s="28"/>
      <c r="DB525" s="28"/>
      <c r="DC525" s="11"/>
      <c r="DD525" s="29"/>
      <c r="DE525" s="11"/>
      <c r="DF525" s="11"/>
      <c r="DG525" s="11"/>
      <c r="DH525" s="11"/>
      <c r="DI525" s="11"/>
      <c r="DJ525" s="11"/>
      <c r="DK525" s="26"/>
      <c r="DL525" s="11"/>
      <c r="DM525" s="29"/>
      <c r="DN525" s="28"/>
      <c r="DO525" s="11"/>
      <c r="DP525" s="11"/>
      <c r="DQ525" s="11"/>
      <c r="DR525" s="29"/>
      <c r="DS525" s="28"/>
      <c r="DT525" s="11"/>
      <c r="DU525" s="26"/>
      <c r="DV525" s="11"/>
      <c r="DW525" s="29"/>
      <c r="DX525" s="28"/>
      <c r="DY525" s="11"/>
      <c r="DZ525" s="26"/>
      <c r="EA525" s="11"/>
      <c r="EB525" s="29"/>
      <c r="EC525" s="28"/>
      <c r="ED525" s="30"/>
      <c r="EE525" s="30" t="str">
        <f ca="1">IFERROR(__xludf.DUMMYFUNCTION("iferror(index(filter('Internal -- Trademark Countries'!E$2:E1000, (AM525 = 'Internal -- Trademark Countries'!B$2:B1000) + (AM525 = 'Internal -- Trademark Countries'!C$2:C1000) + (AM525 = 'Internal -- Trademark Countries'!D$2:D1000)), 1))"),"")</f>
        <v/>
      </c>
      <c r="EF525" s="30" t="e">
        <f ca="1">_xludf.ifs(AM525="", "", COUNTIF('Internal -- Trademark Countries'!B:B,AM525) &gt; 0, "polity_shortest_name", COUNTIF('Internal -- Trademark Countries'!C:C,AM525) &gt; 0, "polity_full_name", COUNTIF('Internal -- Trademark Countries'!D:D,AM525) &gt; 0, "polity_common_name", COUNTIF('Internal -- Trademark Countries'!E:E,AM525) &gt; 0, "shortest_name", COUNTIF('Internal -- Trademark Countries'!A:A,AM525) &gt; 0, "full_name", TRUE, "not a match")</f>
        <v>#NAME?</v>
      </c>
      <c r="EG525" s="30"/>
      <c r="EH525" s="30"/>
      <c r="EI525" s="30"/>
      <c r="EJ525" s="30"/>
      <c r="EK525" s="30" t="str">
        <f t="shared" si="4"/>
        <v/>
      </c>
    </row>
    <row r="526" spans="1:141" ht="16.5">
      <c r="A526" s="11"/>
      <c r="B526" s="11"/>
      <c r="C526" s="11"/>
      <c r="D526" s="11"/>
      <c r="E526" s="11"/>
      <c r="F526" s="11"/>
      <c r="G526" s="11"/>
      <c r="H526" s="11"/>
      <c r="I526" s="11"/>
      <c r="J526" s="11"/>
      <c r="K526" s="27"/>
      <c r="L526" s="11"/>
      <c r="M526" s="11"/>
      <c r="N526" s="11"/>
      <c r="O526" s="11"/>
      <c r="P526" s="15"/>
      <c r="Q526" s="15"/>
      <c r="R526" s="15"/>
      <c r="S526" s="15"/>
      <c r="T526" s="15"/>
      <c r="U526" s="15"/>
      <c r="V526" s="15"/>
      <c r="W526" s="47"/>
      <c r="X526" s="11"/>
      <c r="Y526" s="48"/>
      <c r="Z526" s="11"/>
      <c r="AA526" s="48"/>
      <c r="AB526" s="11"/>
      <c r="AC526" s="48"/>
      <c r="AD526" s="11"/>
      <c r="AE526" s="47"/>
      <c r="AF526" s="11"/>
      <c r="AG526" s="48"/>
      <c r="AH526" s="11"/>
      <c r="AI526" s="48"/>
      <c r="AJ526" s="11"/>
      <c r="AK526" s="48"/>
      <c r="AL526" s="11"/>
      <c r="AM526" s="49"/>
      <c r="AN526" s="49"/>
      <c r="AO526" s="11"/>
      <c r="AP526" s="11"/>
      <c r="AQ526" s="28" t="b">
        <f>IF(COUNTIF(SmartStatus!A$2:A1000, AM526) &gt; 2, TRUE, FALSE)</f>
        <v>0</v>
      </c>
      <c r="AR526" s="29" t="str">
        <f ca="1">IFERROR(__xludf.DUMMYFUNCTION("iferror(if(regexmatch(AO526, ""(?i)^registered""), if(EE526 &lt;&gt; ""polity_shortest_name"", ""CHECK_POLITY"", index(filter(SmartStatus!B$2:B1000, AM526 = SmartStatus!A$2:A1000, not(SmartStatus!C$2:C1000), (isblank(SmartStatus!D$2:D1000)) + ((P526 &lt;&gt; """") * "&amp;"(P526 &lt; SmartStatus!D$2:D1000)), (isblank(SmartStatus!E$2:E1000)) + ((P526 &lt;&gt; """") * (P526 &gt;= SmartStatus!E$2:E1000)), (isblank(SmartStatus!F$2:F1000)) + (((Q526 &lt;&gt; """") * (Q526 &lt; SmartStatus!F$2:F1000)) + ((P526 &lt;&gt; """") * (date(year(P526) + 3, month(P"&amp;"526), day(P526)) &lt; SmartStatus!F$2:F1000))), (isblank(SmartStatus!G$2:G1000)) + (((Q526 &lt;&gt; """") * (Q526 &gt;= SmartStatus!G$2:G1000)) + ((P526 &lt;&gt; """") * (P526 &gt;= SmartStatus!G$2:G1000)))), if(or(regexmatch(B526, ""(?i)^ir [a-z]+ designation$""), N526 &lt;&gt; """&amp;"""), 1, 2))), """"), ""NO_MATCH"")"),"")</f>
        <v/>
      </c>
      <c r="AS526" s="11"/>
      <c r="AT526" s="15"/>
      <c r="AU526" s="11"/>
      <c r="AV526" s="11"/>
      <c r="AW526" s="15"/>
      <c r="AX526" s="15"/>
      <c r="AY526" s="15"/>
      <c r="AZ526" s="11"/>
      <c r="BA526" s="15"/>
      <c r="BB526" s="11"/>
      <c r="BC526" s="11"/>
      <c r="BD526" s="15"/>
      <c r="BE526" s="11"/>
      <c r="BF526" s="11"/>
      <c r="BG526" s="15"/>
      <c r="BH526" s="15"/>
      <c r="BI526" s="15"/>
      <c r="BJ526" s="11"/>
      <c r="BK526" s="15"/>
      <c r="BL526" s="11"/>
      <c r="BM526" s="11"/>
      <c r="BN526" s="15"/>
      <c r="BO526" s="11"/>
      <c r="BP526" s="11"/>
      <c r="BQ526" s="15"/>
      <c r="BR526" s="15"/>
      <c r="BS526" s="15"/>
      <c r="BT526" s="11"/>
      <c r="BU526" s="15"/>
      <c r="BV526" s="11"/>
      <c r="BW526" s="11"/>
      <c r="BX526" s="15"/>
      <c r="BY526" s="11"/>
      <c r="BZ526" s="11"/>
      <c r="CA526" s="15"/>
      <c r="CB526" s="11"/>
      <c r="CC526" s="15"/>
      <c r="CD526" s="11"/>
      <c r="CE526" s="15"/>
      <c r="CF526" s="11"/>
      <c r="CG526" s="11"/>
      <c r="CH526" s="15"/>
      <c r="CI526" s="11"/>
      <c r="CJ526" s="11"/>
      <c r="CK526" s="15"/>
      <c r="CL526" s="11"/>
      <c r="CM526" s="11"/>
      <c r="CN526" s="11"/>
      <c r="CO526" s="11"/>
      <c r="CP526" s="28"/>
      <c r="CQ526" s="28"/>
      <c r="CR526" s="11"/>
      <c r="CS526" s="29"/>
      <c r="CT526" s="11"/>
      <c r="CU526" s="11"/>
      <c r="CV526" s="11"/>
      <c r="CW526" s="11"/>
      <c r="CX526" s="11"/>
      <c r="CY526" s="11"/>
      <c r="CZ526" s="11"/>
      <c r="DA526" s="28"/>
      <c r="DB526" s="28"/>
      <c r="DC526" s="11"/>
      <c r="DD526" s="29"/>
      <c r="DE526" s="11"/>
      <c r="DF526" s="11"/>
      <c r="DG526" s="11"/>
      <c r="DH526" s="11"/>
      <c r="DI526" s="11"/>
      <c r="DJ526" s="11"/>
      <c r="DK526" s="26"/>
      <c r="DL526" s="11"/>
      <c r="DM526" s="29"/>
      <c r="DN526" s="28"/>
      <c r="DO526" s="11"/>
      <c r="DP526" s="11"/>
      <c r="DQ526" s="11"/>
      <c r="DR526" s="29"/>
      <c r="DS526" s="28"/>
      <c r="DT526" s="11"/>
      <c r="DU526" s="26"/>
      <c r="DV526" s="11"/>
      <c r="DW526" s="29"/>
      <c r="DX526" s="28"/>
      <c r="DY526" s="11"/>
      <c r="DZ526" s="26"/>
      <c r="EA526" s="11"/>
      <c r="EB526" s="29"/>
      <c r="EC526" s="28"/>
      <c r="ED526" s="30"/>
      <c r="EE526" s="30" t="str">
        <f ca="1">IFERROR(__xludf.DUMMYFUNCTION("iferror(index(filter('Internal -- Trademark Countries'!E$2:E1000, (AM526 = 'Internal -- Trademark Countries'!B$2:B1000) + (AM526 = 'Internal -- Trademark Countries'!C$2:C1000) + (AM526 = 'Internal -- Trademark Countries'!D$2:D1000)), 1))"),"")</f>
        <v/>
      </c>
      <c r="EF526" s="30" t="e">
        <f ca="1">_xludf.ifs(AM526="", "", COUNTIF('Internal -- Trademark Countries'!B:B,AM526) &gt; 0, "polity_shortest_name", COUNTIF('Internal -- Trademark Countries'!C:C,AM526) &gt; 0, "polity_full_name", COUNTIF('Internal -- Trademark Countries'!D:D,AM526) &gt; 0, "polity_common_name", COUNTIF('Internal -- Trademark Countries'!E:E,AM526) &gt; 0, "shortest_name", COUNTIF('Internal -- Trademark Countries'!A:A,AM526) &gt; 0, "full_name", TRUE, "not a match")</f>
        <v>#NAME?</v>
      </c>
      <c r="EG526" s="30"/>
      <c r="EH526" s="30"/>
      <c r="EI526" s="30"/>
      <c r="EJ526" s="30"/>
      <c r="EK526" s="30" t="str">
        <f t="shared" si="4"/>
        <v/>
      </c>
    </row>
    <row r="527" spans="1:141" ht="16.5">
      <c r="A527" s="11"/>
      <c r="B527" s="11"/>
      <c r="C527" s="11"/>
      <c r="D527" s="11"/>
      <c r="E527" s="11"/>
      <c r="F527" s="11"/>
      <c r="G527" s="11"/>
      <c r="H527" s="11"/>
      <c r="I527" s="11"/>
      <c r="J527" s="11"/>
      <c r="K527" s="27"/>
      <c r="L527" s="11"/>
      <c r="M527" s="11"/>
      <c r="N527" s="11"/>
      <c r="O527" s="11"/>
      <c r="P527" s="15"/>
      <c r="Q527" s="15"/>
      <c r="R527" s="15"/>
      <c r="S527" s="15"/>
      <c r="T527" s="15"/>
      <c r="U527" s="15"/>
      <c r="V527" s="15"/>
      <c r="W527" s="47"/>
      <c r="X527" s="11"/>
      <c r="Y527" s="48"/>
      <c r="Z527" s="11"/>
      <c r="AA527" s="48"/>
      <c r="AB527" s="11"/>
      <c r="AC527" s="48"/>
      <c r="AD527" s="11"/>
      <c r="AE527" s="47"/>
      <c r="AF527" s="11"/>
      <c r="AG527" s="48"/>
      <c r="AH527" s="11"/>
      <c r="AI527" s="48"/>
      <c r="AJ527" s="11"/>
      <c r="AK527" s="48"/>
      <c r="AL527" s="11"/>
      <c r="AM527" s="49"/>
      <c r="AN527" s="49"/>
      <c r="AO527" s="11"/>
      <c r="AP527" s="11"/>
      <c r="AQ527" s="28" t="b">
        <f>IF(COUNTIF(SmartStatus!A$2:A1000, AM527) &gt; 2, TRUE, FALSE)</f>
        <v>0</v>
      </c>
      <c r="AR527" s="29" t="str">
        <f ca="1">IFERROR(__xludf.DUMMYFUNCTION("iferror(if(regexmatch(AO527, ""(?i)^registered""), if(EE527 &lt;&gt; ""polity_shortest_name"", ""CHECK_POLITY"", index(filter(SmartStatus!B$2:B1000, AM527 = SmartStatus!A$2:A1000, not(SmartStatus!C$2:C1000), (isblank(SmartStatus!D$2:D1000)) + ((P527 &lt;&gt; """") * "&amp;"(P527 &lt; SmartStatus!D$2:D1000)), (isblank(SmartStatus!E$2:E1000)) + ((P527 &lt;&gt; """") * (P527 &gt;= SmartStatus!E$2:E1000)), (isblank(SmartStatus!F$2:F1000)) + (((Q527 &lt;&gt; """") * (Q527 &lt; SmartStatus!F$2:F1000)) + ((P527 &lt;&gt; """") * (date(year(P527) + 3, month(P"&amp;"527), day(P527)) &lt; SmartStatus!F$2:F1000))), (isblank(SmartStatus!G$2:G1000)) + (((Q527 &lt;&gt; """") * (Q527 &gt;= SmartStatus!G$2:G1000)) + ((P527 &lt;&gt; """") * (P527 &gt;= SmartStatus!G$2:G1000)))), if(or(regexmatch(B527, ""(?i)^ir [a-z]+ designation$""), N527 &lt;&gt; """&amp;"""), 1, 2))), """"), ""NO_MATCH"")"),"")</f>
        <v/>
      </c>
      <c r="AS527" s="11"/>
      <c r="AT527" s="15"/>
      <c r="AU527" s="11"/>
      <c r="AV527" s="11"/>
      <c r="AW527" s="15"/>
      <c r="AX527" s="15"/>
      <c r="AY527" s="15"/>
      <c r="AZ527" s="11"/>
      <c r="BA527" s="15"/>
      <c r="BB527" s="11"/>
      <c r="BC527" s="11"/>
      <c r="BD527" s="15"/>
      <c r="BE527" s="11"/>
      <c r="BF527" s="11"/>
      <c r="BG527" s="15"/>
      <c r="BH527" s="15"/>
      <c r="BI527" s="15"/>
      <c r="BJ527" s="11"/>
      <c r="BK527" s="15"/>
      <c r="BL527" s="11"/>
      <c r="BM527" s="11"/>
      <c r="BN527" s="15"/>
      <c r="BO527" s="11"/>
      <c r="BP527" s="11"/>
      <c r="BQ527" s="15"/>
      <c r="BR527" s="15"/>
      <c r="BS527" s="15"/>
      <c r="BT527" s="11"/>
      <c r="BU527" s="15"/>
      <c r="BV527" s="11"/>
      <c r="BW527" s="11"/>
      <c r="BX527" s="15"/>
      <c r="BY527" s="11"/>
      <c r="BZ527" s="11"/>
      <c r="CA527" s="15"/>
      <c r="CB527" s="11"/>
      <c r="CC527" s="15"/>
      <c r="CD527" s="11"/>
      <c r="CE527" s="15"/>
      <c r="CF527" s="11"/>
      <c r="CG527" s="11"/>
      <c r="CH527" s="15"/>
      <c r="CI527" s="11"/>
      <c r="CJ527" s="11"/>
      <c r="CK527" s="15"/>
      <c r="CL527" s="11"/>
      <c r="CM527" s="11"/>
      <c r="CN527" s="11"/>
      <c r="CO527" s="11"/>
      <c r="CP527" s="28"/>
      <c r="CQ527" s="28"/>
      <c r="CR527" s="11"/>
      <c r="CS527" s="29"/>
      <c r="CT527" s="11"/>
      <c r="CU527" s="11"/>
      <c r="CV527" s="11"/>
      <c r="CW527" s="11"/>
      <c r="CX527" s="11"/>
      <c r="CY527" s="11"/>
      <c r="CZ527" s="11"/>
      <c r="DA527" s="28"/>
      <c r="DB527" s="28"/>
      <c r="DC527" s="11"/>
      <c r="DD527" s="29"/>
      <c r="DE527" s="11"/>
      <c r="DF527" s="11"/>
      <c r="DG527" s="11"/>
      <c r="DH527" s="11"/>
      <c r="DI527" s="11"/>
      <c r="DJ527" s="11"/>
      <c r="DK527" s="26"/>
      <c r="DL527" s="11"/>
      <c r="DM527" s="29"/>
      <c r="DN527" s="28"/>
      <c r="DO527" s="11"/>
      <c r="DP527" s="11"/>
      <c r="DQ527" s="11"/>
      <c r="DR527" s="29"/>
      <c r="DS527" s="28"/>
      <c r="DT527" s="11"/>
      <c r="DU527" s="26"/>
      <c r="DV527" s="11"/>
      <c r="DW527" s="29"/>
      <c r="DX527" s="28"/>
      <c r="DY527" s="11"/>
      <c r="DZ527" s="26"/>
      <c r="EA527" s="11"/>
      <c r="EB527" s="29"/>
      <c r="EC527" s="28"/>
      <c r="ED527" s="30"/>
      <c r="EE527" s="30" t="str">
        <f ca="1">IFERROR(__xludf.DUMMYFUNCTION("iferror(index(filter('Internal -- Trademark Countries'!E$2:E1000, (AM527 = 'Internal -- Trademark Countries'!B$2:B1000) + (AM527 = 'Internal -- Trademark Countries'!C$2:C1000) + (AM527 = 'Internal -- Trademark Countries'!D$2:D1000)), 1))"),"")</f>
        <v/>
      </c>
      <c r="EF527" s="30" t="e">
        <f ca="1">_xludf.ifs(AM527="", "", COUNTIF('Internal -- Trademark Countries'!B:B,AM527) &gt; 0, "polity_shortest_name", COUNTIF('Internal -- Trademark Countries'!C:C,AM527) &gt; 0, "polity_full_name", COUNTIF('Internal -- Trademark Countries'!D:D,AM527) &gt; 0, "polity_common_name", COUNTIF('Internal -- Trademark Countries'!E:E,AM527) &gt; 0, "shortest_name", COUNTIF('Internal -- Trademark Countries'!A:A,AM527) &gt; 0, "full_name", TRUE, "not a match")</f>
        <v>#NAME?</v>
      </c>
      <c r="EG527" s="30"/>
      <c r="EH527" s="30"/>
      <c r="EI527" s="30"/>
      <c r="EJ527" s="30"/>
      <c r="EK527" s="30" t="str">
        <f t="shared" si="4"/>
        <v/>
      </c>
    </row>
    <row r="528" spans="1:141" ht="16.5">
      <c r="A528" s="11"/>
      <c r="B528" s="11"/>
      <c r="C528" s="11"/>
      <c r="D528" s="11"/>
      <c r="E528" s="11"/>
      <c r="F528" s="11"/>
      <c r="G528" s="11"/>
      <c r="H528" s="11"/>
      <c r="I528" s="11"/>
      <c r="J528" s="11"/>
      <c r="K528" s="27"/>
      <c r="L528" s="11"/>
      <c r="M528" s="11"/>
      <c r="N528" s="11"/>
      <c r="O528" s="11"/>
      <c r="P528" s="15"/>
      <c r="Q528" s="15"/>
      <c r="R528" s="15"/>
      <c r="S528" s="15"/>
      <c r="T528" s="15"/>
      <c r="U528" s="15"/>
      <c r="V528" s="15"/>
      <c r="W528" s="47"/>
      <c r="X528" s="11"/>
      <c r="Y528" s="48"/>
      <c r="Z528" s="11"/>
      <c r="AA528" s="48"/>
      <c r="AB528" s="11"/>
      <c r="AC528" s="48"/>
      <c r="AD528" s="11"/>
      <c r="AE528" s="47"/>
      <c r="AF528" s="11"/>
      <c r="AG528" s="48"/>
      <c r="AH528" s="11"/>
      <c r="AI528" s="48"/>
      <c r="AJ528" s="11"/>
      <c r="AK528" s="48"/>
      <c r="AL528" s="11"/>
      <c r="AM528" s="49"/>
      <c r="AN528" s="49"/>
      <c r="AO528" s="11"/>
      <c r="AP528" s="11"/>
      <c r="AQ528" s="28" t="b">
        <f>IF(COUNTIF(SmartStatus!A$2:A1000, AM528) &gt; 2, TRUE, FALSE)</f>
        <v>0</v>
      </c>
      <c r="AR528" s="29" t="str">
        <f ca="1">IFERROR(__xludf.DUMMYFUNCTION("iferror(if(regexmatch(AO528, ""(?i)^registered""), if(EE528 &lt;&gt; ""polity_shortest_name"", ""CHECK_POLITY"", index(filter(SmartStatus!B$2:B1000, AM528 = SmartStatus!A$2:A1000, not(SmartStatus!C$2:C1000), (isblank(SmartStatus!D$2:D1000)) + ((P528 &lt;&gt; """") * "&amp;"(P528 &lt; SmartStatus!D$2:D1000)), (isblank(SmartStatus!E$2:E1000)) + ((P528 &lt;&gt; """") * (P528 &gt;= SmartStatus!E$2:E1000)), (isblank(SmartStatus!F$2:F1000)) + (((Q528 &lt;&gt; """") * (Q528 &lt; SmartStatus!F$2:F1000)) + ((P528 &lt;&gt; """") * (date(year(P528) + 3, month(P"&amp;"528), day(P528)) &lt; SmartStatus!F$2:F1000))), (isblank(SmartStatus!G$2:G1000)) + (((Q528 &lt;&gt; """") * (Q528 &gt;= SmartStatus!G$2:G1000)) + ((P528 &lt;&gt; """") * (P528 &gt;= SmartStatus!G$2:G1000)))), if(or(regexmatch(B528, ""(?i)^ir [a-z]+ designation$""), N528 &lt;&gt; """&amp;"""), 1, 2))), """"), ""NO_MATCH"")"),"")</f>
        <v/>
      </c>
      <c r="AS528" s="11"/>
      <c r="AT528" s="15"/>
      <c r="AU528" s="11"/>
      <c r="AV528" s="11"/>
      <c r="AW528" s="15"/>
      <c r="AX528" s="15"/>
      <c r="AY528" s="15"/>
      <c r="AZ528" s="11"/>
      <c r="BA528" s="15"/>
      <c r="BB528" s="11"/>
      <c r="BC528" s="11"/>
      <c r="BD528" s="15"/>
      <c r="BE528" s="11"/>
      <c r="BF528" s="11"/>
      <c r="BG528" s="15"/>
      <c r="BH528" s="15"/>
      <c r="BI528" s="15"/>
      <c r="BJ528" s="11"/>
      <c r="BK528" s="15"/>
      <c r="BL528" s="11"/>
      <c r="BM528" s="11"/>
      <c r="BN528" s="15"/>
      <c r="BO528" s="11"/>
      <c r="BP528" s="11"/>
      <c r="BQ528" s="15"/>
      <c r="BR528" s="15"/>
      <c r="BS528" s="15"/>
      <c r="BT528" s="11"/>
      <c r="BU528" s="15"/>
      <c r="BV528" s="11"/>
      <c r="BW528" s="11"/>
      <c r="BX528" s="15"/>
      <c r="BY528" s="11"/>
      <c r="BZ528" s="11"/>
      <c r="CA528" s="15"/>
      <c r="CB528" s="11"/>
      <c r="CC528" s="15"/>
      <c r="CD528" s="11"/>
      <c r="CE528" s="15"/>
      <c r="CF528" s="11"/>
      <c r="CG528" s="11"/>
      <c r="CH528" s="15"/>
      <c r="CI528" s="11"/>
      <c r="CJ528" s="11"/>
      <c r="CK528" s="15"/>
      <c r="CL528" s="11"/>
      <c r="CM528" s="11"/>
      <c r="CN528" s="11"/>
      <c r="CO528" s="11"/>
      <c r="CP528" s="28"/>
      <c r="CQ528" s="28"/>
      <c r="CR528" s="11"/>
      <c r="CS528" s="29"/>
      <c r="CT528" s="11"/>
      <c r="CU528" s="11"/>
      <c r="CV528" s="11"/>
      <c r="CW528" s="11"/>
      <c r="CX528" s="11"/>
      <c r="CY528" s="11"/>
      <c r="CZ528" s="11"/>
      <c r="DA528" s="28"/>
      <c r="DB528" s="28"/>
      <c r="DC528" s="11"/>
      <c r="DD528" s="29"/>
      <c r="DE528" s="11"/>
      <c r="DF528" s="11"/>
      <c r="DG528" s="11"/>
      <c r="DH528" s="11"/>
      <c r="DI528" s="11"/>
      <c r="DJ528" s="11"/>
      <c r="DK528" s="26"/>
      <c r="DL528" s="11"/>
      <c r="DM528" s="29"/>
      <c r="DN528" s="28"/>
      <c r="DO528" s="11"/>
      <c r="DP528" s="11"/>
      <c r="DQ528" s="11"/>
      <c r="DR528" s="29"/>
      <c r="DS528" s="28"/>
      <c r="DT528" s="11"/>
      <c r="DU528" s="26"/>
      <c r="DV528" s="11"/>
      <c r="DW528" s="29"/>
      <c r="DX528" s="28"/>
      <c r="DY528" s="11"/>
      <c r="DZ528" s="26"/>
      <c r="EA528" s="11"/>
      <c r="EB528" s="29"/>
      <c r="EC528" s="28"/>
      <c r="ED528" s="30"/>
      <c r="EE528" s="30" t="str">
        <f ca="1">IFERROR(__xludf.DUMMYFUNCTION("iferror(index(filter('Internal -- Trademark Countries'!E$2:E1000, (AM528 = 'Internal -- Trademark Countries'!B$2:B1000) + (AM528 = 'Internal -- Trademark Countries'!C$2:C1000) + (AM528 = 'Internal -- Trademark Countries'!D$2:D1000)), 1))"),"")</f>
        <v/>
      </c>
      <c r="EF528" s="30" t="e">
        <f ca="1">_xludf.ifs(AM528="", "", COUNTIF('Internal -- Trademark Countries'!B:B,AM528) &gt; 0, "polity_shortest_name", COUNTIF('Internal -- Trademark Countries'!C:C,AM528) &gt; 0, "polity_full_name", COUNTIF('Internal -- Trademark Countries'!D:D,AM528) &gt; 0, "polity_common_name", COUNTIF('Internal -- Trademark Countries'!E:E,AM528) &gt; 0, "shortest_name", COUNTIF('Internal -- Trademark Countries'!A:A,AM528) &gt; 0, "full_name", TRUE, "not a match")</f>
        <v>#NAME?</v>
      </c>
      <c r="EG528" s="30"/>
      <c r="EH528" s="30"/>
      <c r="EI528" s="30"/>
      <c r="EJ528" s="30"/>
      <c r="EK528" s="30" t="str">
        <f t="shared" si="4"/>
        <v/>
      </c>
    </row>
    <row r="529" spans="1:141" ht="16.5">
      <c r="A529" s="11"/>
      <c r="B529" s="11"/>
      <c r="C529" s="11"/>
      <c r="D529" s="11"/>
      <c r="E529" s="11"/>
      <c r="F529" s="11"/>
      <c r="G529" s="11"/>
      <c r="H529" s="11"/>
      <c r="I529" s="11"/>
      <c r="J529" s="11"/>
      <c r="K529" s="27"/>
      <c r="L529" s="11"/>
      <c r="M529" s="11"/>
      <c r="N529" s="11"/>
      <c r="O529" s="11"/>
      <c r="P529" s="15"/>
      <c r="Q529" s="15"/>
      <c r="R529" s="15"/>
      <c r="S529" s="15"/>
      <c r="T529" s="15"/>
      <c r="U529" s="15"/>
      <c r="V529" s="15"/>
      <c r="W529" s="47"/>
      <c r="X529" s="11"/>
      <c r="Y529" s="48"/>
      <c r="Z529" s="11"/>
      <c r="AA529" s="48"/>
      <c r="AB529" s="11"/>
      <c r="AC529" s="48"/>
      <c r="AD529" s="11"/>
      <c r="AE529" s="47"/>
      <c r="AF529" s="11"/>
      <c r="AG529" s="48"/>
      <c r="AH529" s="11"/>
      <c r="AI529" s="48"/>
      <c r="AJ529" s="11"/>
      <c r="AK529" s="48"/>
      <c r="AL529" s="11"/>
      <c r="AM529" s="49"/>
      <c r="AN529" s="49"/>
      <c r="AO529" s="11"/>
      <c r="AP529" s="11"/>
      <c r="AQ529" s="28" t="b">
        <f>IF(COUNTIF(SmartStatus!A$2:A1000, AM529) &gt; 2, TRUE, FALSE)</f>
        <v>0</v>
      </c>
      <c r="AR529" s="29" t="str">
        <f ca="1">IFERROR(__xludf.DUMMYFUNCTION("iferror(if(regexmatch(AO529, ""(?i)^registered""), if(EE529 &lt;&gt; ""polity_shortest_name"", ""CHECK_POLITY"", index(filter(SmartStatus!B$2:B1000, AM529 = SmartStatus!A$2:A1000, not(SmartStatus!C$2:C1000), (isblank(SmartStatus!D$2:D1000)) + ((P529 &lt;&gt; """") * "&amp;"(P529 &lt; SmartStatus!D$2:D1000)), (isblank(SmartStatus!E$2:E1000)) + ((P529 &lt;&gt; """") * (P529 &gt;= SmartStatus!E$2:E1000)), (isblank(SmartStatus!F$2:F1000)) + (((Q529 &lt;&gt; """") * (Q529 &lt; SmartStatus!F$2:F1000)) + ((P529 &lt;&gt; """") * (date(year(P529) + 3, month(P"&amp;"529), day(P529)) &lt; SmartStatus!F$2:F1000))), (isblank(SmartStatus!G$2:G1000)) + (((Q529 &lt;&gt; """") * (Q529 &gt;= SmartStatus!G$2:G1000)) + ((P529 &lt;&gt; """") * (P529 &gt;= SmartStatus!G$2:G1000)))), if(or(regexmatch(B529, ""(?i)^ir [a-z]+ designation$""), N529 &lt;&gt; """&amp;"""), 1, 2))), """"), ""NO_MATCH"")"),"")</f>
        <v/>
      </c>
      <c r="AS529" s="11"/>
      <c r="AT529" s="15"/>
      <c r="AU529" s="11"/>
      <c r="AV529" s="11"/>
      <c r="AW529" s="15"/>
      <c r="AX529" s="15"/>
      <c r="AY529" s="15"/>
      <c r="AZ529" s="11"/>
      <c r="BA529" s="15"/>
      <c r="BB529" s="11"/>
      <c r="BC529" s="11"/>
      <c r="BD529" s="15"/>
      <c r="BE529" s="11"/>
      <c r="BF529" s="11"/>
      <c r="BG529" s="15"/>
      <c r="BH529" s="15"/>
      <c r="BI529" s="15"/>
      <c r="BJ529" s="11"/>
      <c r="BK529" s="15"/>
      <c r="BL529" s="11"/>
      <c r="BM529" s="11"/>
      <c r="BN529" s="15"/>
      <c r="BO529" s="11"/>
      <c r="BP529" s="11"/>
      <c r="BQ529" s="15"/>
      <c r="BR529" s="15"/>
      <c r="BS529" s="15"/>
      <c r="BT529" s="11"/>
      <c r="BU529" s="15"/>
      <c r="BV529" s="11"/>
      <c r="BW529" s="11"/>
      <c r="BX529" s="15"/>
      <c r="BY529" s="11"/>
      <c r="BZ529" s="11"/>
      <c r="CA529" s="15"/>
      <c r="CB529" s="11"/>
      <c r="CC529" s="15"/>
      <c r="CD529" s="11"/>
      <c r="CE529" s="15"/>
      <c r="CF529" s="11"/>
      <c r="CG529" s="11"/>
      <c r="CH529" s="15"/>
      <c r="CI529" s="11"/>
      <c r="CJ529" s="11"/>
      <c r="CK529" s="15"/>
      <c r="CL529" s="11"/>
      <c r="CM529" s="11"/>
      <c r="CN529" s="11"/>
      <c r="CO529" s="11"/>
      <c r="CP529" s="28"/>
      <c r="CQ529" s="28"/>
      <c r="CR529" s="11"/>
      <c r="CS529" s="29"/>
      <c r="CT529" s="11"/>
      <c r="CU529" s="11"/>
      <c r="CV529" s="11"/>
      <c r="CW529" s="11"/>
      <c r="CX529" s="11"/>
      <c r="CY529" s="11"/>
      <c r="CZ529" s="11"/>
      <c r="DA529" s="28"/>
      <c r="DB529" s="28"/>
      <c r="DC529" s="11"/>
      <c r="DD529" s="29"/>
      <c r="DE529" s="11"/>
      <c r="DF529" s="11"/>
      <c r="DG529" s="11"/>
      <c r="DH529" s="11"/>
      <c r="DI529" s="11"/>
      <c r="DJ529" s="11"/>
      <c r="DK529" s="26"/>
      <c r="DL529" s="11"/>
      <c r="DM529" s="29"/>
      <c r="DN529" s="28"/>
      <c r="DO529" s="11"/>
      <c r="DP529" s="11"/>
      <c r="DQ529" s="11"/>
      <c r="DR529" s="29"/>
      <c r="DS529" s="28"/>
      <c r="DT529" s="11"/>
      <c r="DU529" s="26"/>
      <c r="DV529" s="11"/>
      <c r="DW529" s="29"/>
      <c r="DX529" s="28"/>
      <c r="DY529" s="11"/>
      <c r="DZ529" s="26"/>
      <c r="EA529" s="11"/>
      <c r="EB529" s="29"/>
      <c r="EC529" s="28"/>
      <c r="ED529" s="30"/>
      <c r="EE529" s="30" t="str">
        <f ca="1">IFERROR(__xludf.DUMMYFUNCTION("iferror(index(filter('Internal -- Trademark Countries'!E$2:E1000, (AM529 = 'Internal -- Trademark Countries'!B$2:B1000) + (AM529 = 'Internal -- Trademark Countries'!C$2:C1000) + (AM529 = 'Internal -- Trademark Countries'!D$2:D1000)), 1))"),"")</f>
        <v/>
      </c>
      <c r="EF529" s="30" t="e">
        <f ca="1">_xludf.ifs(AM529="", "", COUNTIF('Internal -- Trademark Countries'!B:B,AM529) &gt; 0, "polity_shortest_name", COUNTIF('Internal -- Trademark Countries'!C:C,AM529) &gt; 0, "polity_full_name", COUNTIF('Internal -- Trademark Countries'!D:D,AM529) &gt; 0, "polity_common_name", COUNTIF('Internal -- Trademark Countries'!E:E,AM529) &gt; 0, "shortest_name", COUNTIF('Internal -- Trademark Countries'!A:A,AM529) &gt; 0, "full_name", TRUE, "not a match")</f>
        <v>#NAME?</v>
      </c>
      <c r="EG529" s="30"/>
      <c r="EH529" s="30"/>
      <c r="EI529" s="30"/>
      <c r="EJ529" s="30"/>
      <c r="EK529" s="30" t="str">
        <f t="shared" si="4"/>
        <v/>
      </c>
    </row>
    <row r="530" spans="1:141" ht="16.5">
      <c r="A530" s="11"/>
      <c r="B530" s="11"/>
      <c r="C530" s="11"/>
      <c r="D530" s="11"/>
      <c r="E530" s="11"/>
      <c r="F530" s="11"/>
      <c r="G530" s="11"/>
      <c r="H530" s="11"/>
      <c r="I530" s="11"/>
      <c r="J530" s="11"/>
      <c r="K530" s="27"/>
      <c r="L530" s="11"/>
      <c r="M530" s="11"/>
      <c r="N530" s="11"/>
      <c r="O530" s="11"/>
      <c r="P530" s="15"/>
      <c r="Q530" s="15"/>
      <c r="R530" s="15"/>
      <c r="S530" s="15"/>
      <c r="T530" s="15"/>
      <c r="U530" s="15"/>
      <c r="V530" s="15"/>
      <c r="W530" s="47"/>
      <c r="X530" s="11"/>
      <c r="Y530" s="48"/>
      <c r="Z530" s="11"/>
      <c r="AA530" s="48"/>
      <c r="AB530" s="11"/>
      <c r="AC530" s="48"/>
      <c r="AD530" s="11"/>
      <c r="AE530" s="47"/>
      <c r="AF530" s="11"/>
      <c r="AG530" s="48"/>
      <c r="AH530" s="11"/>
      <c r="AI530" s="48"/>
      <c r="AJ530" s="11"/>
      <c r="AK530" s="48"/>
      <c r="AL530" s="11"/>
      <c r="AM530" s="49"/>
      <c r="AN530" s="49"/>
      <c r="AO530" s="11"/>
      <c r="AP530" s="11"/>
      <c r="AQ530" s="28" t="b">
        <f>IF(COUNTIF(SmartStatus!A$2:A1000, AM530) &gt; 2, TRUE, FALSE)</f>
        <v>0</v>
      </c>
      <c r="AR530" s="29" t="str">
        <f ca="1">IFERROR(__xludf.DUMMYFUNCTION("iferror(if(regexmatch(AO530, ""(?i)^registered""), if(EE530 &lt;&gt; ""polity_shortest_name"", ""CHECK_POLITY"", index(filter(SmartStatus!B$2:B1000, AM530 = SmartStatus!A$2:A1000, not(SmartStatus!C$2:C1000), (isblank(SmartStatus!D$2:D1000)) + ((P530 &lt;&gt; """") * "&amp;"(P530 &lt; SmartStatus!D$2:D1000)), (isblank(SmartStatus!E$2:E1000)) + ((P530 &lt;&gt; """") * (P530 &gt;= SmartStatus!E$2:E1000)), (isblank(SmartStatus!F$2:F1000)) + (((Q530 &lt;&gt; """") * (Q530 &lt; SmartStatus!F$2:F1000)) + ((P530 &lt;&gt; """") * (date(year(P530) + 3, month(P"&amp;"530), day(P530)) &lt; SmartStatus!F$2:F1000))), (isblank(SmartStatus!G$2:G1000)) + (((Q530 &lt;&gt; """") * (Q530 &gt;= SmartStatus!G$2:G1000)) + ((P530 &lt;&gt; """") * (P530 &gt;= SmartStatus!G$2:G1000)))), if(or(regexmatch(B530, ""(?i)^ir [a-z]+ designation$""), N530 &lt;&gt; """&amp;"""), 1, 2))), """"), ""NO_MATCH"")"),"")</f>
        <v/>
      </c>
      <c r="AS530" s="11"/>
      <c r="AT530" s="15"/>
      <c r="AU530" s="11"/>
      <c r="AV530" s="11"/>
      <c r="AW530" s="15"/>
      <c r="AX530" s="15"/>
      <c r="AY530" s="15"/>
      <c r="AZ530" s="11"/>
      <c r="BA530" s="15"/>
      <c r="BB530" s="11"/>
      <c r="BC530" s="11"/>
      <c r="BD530" s="15"/>
      <c r="BE530" s="11"/>
      <c r="BF530" s="11"/>
      <c r="BG530" s="15"/>
      <c r="BH530" s="15"/>
      <c r="BI530" s="15"/>
      <c r="BJ530" s="11"/>
      <c r="BK530" s="15"/>
      <c r="BL530" s="11"/>
      <c r="BM530" s="11"/>
      <c r="BN530" s="15"/>
      <c r="BO530" s="11"/>
      <c r="BP530" s="11"/>
      <c r="BQ530" s="15"/>
      <c r="BR530" s="15"/>
      <c r="BS530" s="15"/>
      <c r="BT530" s="11"/>
      <c r="BU530" s="15"/>
      <c r="BV530" s="11"/>
      <c r="BW530" s="11"/>
      <c r="BX530" s="15"/>
      <c r="BY530" s="11"/>
      <c r="BZ530" s="11"/>
      <c r="CA530" s="15"/>
      <c r="CB530" s="11"/>
      <c r="CC530" s="15"/>
      <c r="CD530" s="11"/>
      <c r="CE530" s="15"/>
      <c r="CF530" s="11"/>
      <c r="CG530" s="11"/>
      <c r="CH530" s="15"/>
      <c r="CI530" s="11"/>
      <c r="CJ530" s="11"/>
      <c r="CK530" s="15"/>
      <c r="CL530" s="11"/>
      <c r="CM530" s="11"/>
      <c r="CN530" s="11"/>
      <c r="CO530" s="11"/>
      <c r="CP530" s="28"/>
      <c r="CQ530" s="28"/>
      <c r="CR530" s="11"/>
      <c r="CS530" s="29"/>
      <c r="CT530" s="11"/>
      <c r="CU530" s="11"/>
      <c r="CV530" s="11"/>
      <c r="CW530" s="11"/>
      <c r="CX530" s="11"/>
      <c r="CY530" s="11"/>
      <c r="CZ530" s="11"/>
      <c r="DA530" s="28"/>
      <c r="DB530" s="28"/>
      <c r="DC530" s="11"/>
      <c r="DD530" s="29"/>
      <c r="DE530" s="11"/>
      <c r="DF530" s="11"/>
      <c r="DG530" s="11"/>
      <c r="DH530" s="11"/>
      <c r="DI530" s="11"/>
      <c r="DJ530" s="11"/>
      <c r="DK530" s="26"/>
      <c r="DL530" s="11"/>
      <c r="DM530" s="29"/>
      <c r="DN530" s="28"/>
      <c r="DO530" s="11"/>
      <c r="DP530" s="11"/>
      <c r="DQ530" s="11"/>
      <c r="DR530" s="29"/>
      <c r="DS530" s="28"/>
      <c r="DT530" s="11"/>
      <c r="DU530" s="26"/>
      <c r="DV530" s="11"/>
      <c r="DW530" s="29"/>
      <c r="DX530" s="28"/>
      <c r="DY530" s="11"/>
      <c r="DZ530" s="26"/>
      <c r="EA530" s="11"/>
      <c r="EB530" s="29"/>
      <c r="EC530" s="28"/>
      <c r="ED530" s="30"/>
      <c r="EE530" s="30" t="str">
        <f ca="1">IFERROR(__xludf.DUMMYFUNCTION("iferror(index(filter('Internal -- Trademark Countries'!E$2:E1000, (AM530 = 'Internal -- Trademark Countries'!B$2:B1000) + (AM530 = 'Internal -- Trademark Countries'!C$2:C1000) + (AM530 = 'Internal -- Trademark Countries'!D$2:D1000)), 1))"),"")</f>
        <v/>
      </c>
      <c r="EF530" s="30" t="e">
        <f ca="1">_xludf.ifs(AM530="", "", COUNTIF('Internal -- Trademark Countries'!B:B,AM530) &gt; 0, "polity_shortest_name", COUNTIF('Internal -- Trademark Countries'!C:C,AM530) &gt; 0, "polity_full_name", COUNTIF('Internal -- Trademark Countries'!D:D,AM530) &gt; 0, "polity_common_name", COUNTIF('Internal -- Trademark Countries'!E:E,AM530) &gt; 0, "shortest_name", COUNTIF('Internal -- Trademark Countries'!A:A,AM530) &gt; 0, "full_name", TRUE, "not a match")</f>
        <v>#NAME?</v>
      </c>
      <c r="EG530" s="30"/>
      <c r="EH530" s="30"/>
      <c r="EI530" s="30"/>
      <c r="EJ530" s="30"/>
      <c r="EK530" s="30" t="str">
        <f t="shared" si="4"/>
        <v/>
      </c>
    </row>
    <row r="531" spans="1:141" ht="16.5">
      <c r="A531" s="11"/>
      <c r="B531" s="11"/>
      <c r="C531" s="11"/>
      <c r="D531" s="11"/>
      <c r="E531" s="11"/>
      <c r="F531" s="11"/>
      <c r="G531" s="11"/>
      <c r="H531" s="11"/>
      <c r="I531" s="11"/>
      <c r="J531" s="11"/>
      <c r="K531" s="27"/>
      <c r="L531" s="11"/>
      <c r="M531" s="11"/>
      <c r="N531" s="11"/>
      <c r="O531" s="11"/>
      <c r="P531" s="15"/>
      <c r="Q531" s="15"/>
      <c r="R531" s="15"/>
      <c r="S531" s="15"/>
      <c r="T531" s="15"/>
      <c r="U531" s="15"/>
      <c r="V531" s="15"/>
      <c r="W531" s="47"/>
      <c r="X531" s="11"/>
      <c r="Y531" s="48"/>
      <c r="Z531" s="11"/>
      <c r="AA531" s="48"/>
      <c r="AB531" s="11"/>
      <c r="AC531" s="48"/>
      <c r="AD531" s="11"/>
      <c r="AE531" s="47"/>
      <c r="AF531" s="11"/>
      <c r="AG531" s="48"/>
      <c r="AH531" s="11"/>
      <c r="AI531" s="48"/>
      <c r="AJ531" s="11"/>
      <c r="AK531" s="48"/>
      <c r="AL531" s="11"/>
      <c r="AM531" s="49"/>
      <c r="AN531" s="49"/>
      <c r="AO531" s="11"/>
      <c r="AP531" s="11"/>
      <c r="AQ531" s="28" t="b">
        <f>IF(COUNTIF(SmartStatus!A$2:A1000, AM531) &gt; 2, TRUE, FALSE)</f>
        <v>0</v>
      </c>
      <c r="AR531" s="29" t="str">
        <f ca="1">IFERROR(__xludf.DUMMYFUNCTION("iferror(if(regexmatch(AO531, ""(?i)^registered""), if(EE531 &lt;&gt; ""polity_shortest_name"", ""CHECK_POLITY"", index(filter(SmartStatus!B$2:B1000, AM531 = SmartStatus!A$2:A1000, not(SmartStatus!C$2:C1000), (isblank(SmartStatus!D$2:D1000)) + ((P531 &lt;&gt; """") * "&amp;"(P531 &lt; SmartStatus!D$2:D1000)), (isblank(SmartStatus!E$2:E1000)) + ((P531 &lt;&gt; """") * (P531 &gt;= SmartStatus!E$2:E1000)), (isblank(SmartStatus!F$2:F1000)) + (((Q531 &lt;&gt; """") * (Q531 &lt; SmartStatus!F$2:F1000)) + ((P531 &lt;&gt; """") * (date(year(P531) + 3, month(P"&amp;"531), day(P531)) &lt; SmartStatus!F$2:F1000))), (isblank(SmartStatus!G$2:G1000)) + (((Q531 &lt;&gt; """") * (Q531 &gt;= SmartStatus!G$2:G1000)) + ((P531 &lt;&gt; """") * (P531 &gt;= SmartStatus!G$2:G1000)))), if(or(regexmatch(B531, ""(?i)^ir [a-z]+ designation$""), N531 &lt;&gt; """&amp;"""), 1, 2))), """"), ""NO_MATCH"")"),"")</f>
        <v/>
      </c>
      <c r="AS531" s="11"/>
      <c r="AT531" s="15"/>
      <c r="AU531" s="11"/>
      <c r="AV531" s="11"/>
      <c r="AW531" s="15"/>
      <c r="AX531" s="15"/>
      <c r="AY531" s="15"/>
      <c r="AZ531" s="11"/>
      <c r="BA531" s="15"/>
      <c r="BB531" s="11"/>
      <c r="BC531" s="11"/>
      <c r="BD531" s="15"/>
      <c r="BE531" s="11"/>
      <c r="BF531" s="11"/>
      <c r="BG531" s="15"/>
      <c r="BH531" s="15"/>
      <c r="BI531" s="15"/>
      <c r="BJ531" s="11"/>
      <c r="BK531" s="15"/>
      <c r="BL531" s="11"/>
      <c r="BM531" s="11"/>
      <c r="BN531" s="15"/>
      <c r="BO531" s="11"/>
      <c r="BP531" s="11"/>
      <c r="BQ531" s="15"/>
      <c r="BR531" s="15"/>
      <c r="BS531" s="15"/>
      <c r="BT531" s="11"/>
      <c r="BU531" s="15"/>
      <c r="BV531" s="11"/>
      <c r="BW531" s="11"/>
      <c r="BX531" s="15"/>
      <c r="BY531" s="11"/>
      <c r="BZ531" s="11"/>
      <c r="CA531" s="15"/>
      <c r="CB531" s="11"/>
      <c r="CC531" s="15"/>
      <c r="CD531" s="11"/>
      <c r="CE531" s="15"/>
      <c r="CF531" s="11"/>
      <c r="CG531" s="11"/>
      <c r="CH531" s="15"/>
      <c r="CI531" s="11"/>
      <c r="CJ531" s="11"/>
      <c r="CK531" s="15"/>
      <c r="CL531" s="11"/>
      <c r="CM531" s="11"/>
      <c r="CN531" s="11"/>
      <c r="CO531" s="11"/>
      <c r="CP531" s="28"/>
      <c r="CQ531" s="28"/>
      <c r="CR531" s="11"/>
      <c r="CS531" s="29"/>
      <c r="CT531" s="11"/>
      <c r="CU531" s="11"/>
      <c r="CV531" s="11"/>
      <c r="CW531" s="11"/>
      <c r="CX531" s="11"/>
      <c r="CY531" s="11"/>
      <c r="CZ531" s="11"/>
      <c r="DA531" s="28"/>
      <c r="DB531" s="28"/>
      <c r="DC531" s="11"/>
      <c r="DD531" s="29"/>
      <c r="DE531" s="11"/>
      <c r="DF531" s="11"/>
      <c r="DG531" s="11"/>
      <c r="DH531" s="11"/>
      <c r="DI531" s="11"/>
      <c r="DJ531" s="11"/>
      <c r="DK531" s="26"/>
      <c r="DL531" s="11"/>
      <c r="DM531" s="29"/>
      <c r="DN531" s="28"/>
      <c r="DO531" s="11"/>
      <c r="DP531" s="11"/>
      <c r="DQ531" s="11"/>
      <c r="DR531" s="29"/>
      <c r="DS531" s="28"/>
      <c r="DT531" s="11"/>
      <c r="DU531" s="26"/>
      <c r="DV531" s="11"/>
      <c r="DW531" s="29"/>
      <c r="DX531" s="28"/>
      <c r="DY531" s="11"/>
      <c r="DZ531" s="26"/>
      <c r="EA531" s="11"/>
      <c r="EB531" s="29"/>
      <c r="EC531" s="28"/>
      <c r="ED531" s="30"/>
      <c r="EE531" s="30" t="str">
        <f ca="1">IFERROR(__xludf.DUMMYFUNCTION("iferror(index(filter('Internal -- Trademark Countries'!E$2:E1000, (AM531 = 'Internal -- Trademark Countries'!B$2:B1000) + (AM531 = 'Internal -- Trademark Countries'!C$2:C1000) + (AM531 = 'Internal -- Trademark Countries'!D$2:D1000)), 1))"),"")</f>
        <v/>
      </c>
      <c r="EF531" s="30" t="e">
        <f ca="1">_xludf.ifs(AM531="", "", COUNTIF('Internal -- Trademark Countries'!B:B,AM531) &gt; 0, "polity_shortest_name", COUNTIF('Internal -- Trademark Countries'!C:C,AM531) &gt; 0, "polity_full_name", COUNTIF('Internal -- Trademark Countries'!D:D,AM531) &gt; 0, "polity_common_name", COUNTIF('Internal -- Trademark Countries'!E:E,AM531) &gt; 0, "shortest_name", COUNTIF('Internal -- Trademark Countries'!A:A,AM531) &gt; 0, "full_name", TRUE, "not a match")</f>
        <v>#NAME?</v>
      </c>
      <c r="EG531" s="30"/>
      <c r="EH531" s="30"/>
      <c r="EI531" s="30"/>
      <c r="EJ531" s="30"/>
      <c r="EK531" s="30" t="str">
        <f t="shared" si="4"/>
        <v/>
      </c>
    </row>
    <row r="532" spans="1:141" ht="16.5">
      <c r="A532" s="11"/>
      <c r="B532" s="11"/>
      <c r="C532" s="11"/>
      <c r="D532" s="11"/>
      <c r="E532" s="11"/>
      <c r="F532" s="11"/>
      <c r="G532" s="11"/>
      <c r="H532" s="11"/>
      <c r="I532" s="11"/>
      <c r="J532" s="11"/>
      <c r="K532" s="27"/>
      <c r="L532" s="11"/>
      <c r="M532" s="11"/>
      <c r="N532" s="11"/>
      <c r="O532" s="11"/>
      <c r="P532" s="15"/>
      <c r="Q532" s="15"/>
      <c r="R532" s="15"/>
      <c r="S532" s="15"/>
      <c r="T532" s="15"/>
      <c r="U532" s="15"/>
      <c r="V532" s="15"/>
      <c r="W532" s="47"/>
      <c r="X532" s="11"/>
      <c r="Y532" s="48"/>
      <c r="Z532" s="11"/>
      <c r="AA532" s="48"/>
      <c r="AB532" s="11"/>
      <c r="AC532" s="48"/>
      <c r="AD532" s="11"/>
      <c r="AE532" s="47"/>
      <c r="AF532" s="11"/>
      <c r="AG532" s="48"/>
      <c r="AH532" s="11"/>
      <c r="AI532" s="48"/>
      <c r="AJ532" s="11"/>
      <c r="AK532" s="48"/>
      <c r="AL532" s="11"/>
      <c r="AM532" s="49"/>
      <c r="AN532" s="49"/>
      <c r="AO532" s="11"/>
      <c r="AP532" s="11"/>
      <c r="AQ532" s="28" t="b">
        <f>IF(COUNTIF(SmartStatus!A$2:A1000, AM532) &gt; 2, TRUE, FALSE)</f>
        <v>0</v>
      </c>
      <c r="AR532" s="29" t="str">
        <f ca="1">IFERROR(__xludf.DUMMYFUNCTION("iferror(if(regexmatch(AO532, ""(?i)^registered""), if(EE532 &lt;&gt; ""polity_shortest_name"", ""CHECK_POLITY"", index(filter(SmartStatus!B$2:B1000, AM532 = SmartStatus!A$2:A1000, not(SmartStatus!C$2:C1000), (isblank(SmartStatus!D$2:D1000)) + ((P532 &lt;&gt; """") * "&amp;"(P532 &lt; SmartStatus!D$2:D1000)), (isblank(SmartStatus!E$2:E1000)) + ((P532 &lt;&gt; """") * (P532 &gt;= SmartStatus!E$2:E1000)), (isblank(SmartStatus!F$2:F1000)) + (((Q532 &lt;&gt; """") * (Q532 &lt; SmartStatus!F$2:F1000)) + ((P532 &lt;&gt; """") * (date(year(P532) + 3, month(P"&amp;"532), day(P532)) &lt; SmartStatus!F$2:F1000))), (isblank(SmartStatus!G$2:G1000)) + (((Q532 &lt;&gt; """") * (Q532 &gt;= SmartStatus!G$2:G1000)) + ((P532 &lt;&gt; """") * (P532 &gt;= SmartStatus!G$2:G1000)))), if(or(regexmatch(B532, ""(?i)^ir [a-z]+ designation$""), N532 &lt;&gt; """&amp;"""), 1, 2))), """"), ""NO_MATCH"")"),"")</f>
        <v/>
      </c>
      <c r="AS532" s="11"/>
      <c r="AT532" s="15"/>
      <c r="AU532" s="11"/>
      <c r="AV532" s="11"/>
      <c r="AW532" s="15"/>
      <c r="AX532" s="15"/>
      <c r="AY532" s="15"/>
      <c r="AZ532" s="11"/>
      <c r="BA532" s="15"/>
      <c r="BB532" s="11"/>
      <c r="BC532" s="11"/>
      <c r="BD532" s="15"/>
      <c r="BE532" s="11"/>
      <c r="BF532" s="11"/>
      <c r="BG532" s="15"/>
      <c r="BH532" s="15"/>
      <c r="BI532" s="15"/>
      <c r="BJ532" s="11"/>
      <c r="BK532" s="15"/>
      <c r="BL532" s="11"/>
      <c r="BM532" s="11"/>
      <c r="BN532" s="15"/>
      <c r="BO532" s="11"/>
      <c r="BP532" s="11"/>
      <c r="BQ532" s="15"/>
      <c r="BR532" s="15"/>
      <c r="BS532" s="15"/>
      <c r="BT532" s="11"/>
      <c r="BU532" s="15"/>
      <c r="BV532" s="11"/>
      <c r="BW532" s="11"/>
      <c r="BX532" s="15"/>
      <c r="BY532" s="11"/>
      <c r="BZ532" s="11"/>
      <c r="CA532" s="15"/>
      <c r="CB532" s="11"/>
      <c r="CC532" s="15"/>
      <c r="CD532" s="11"/>
      <c r="CE532" s="15"/>
      <c r="CF532" s="11"/>
      <c r="CG532" s="11"/>
      <c r="CH532" s="15"/>
      <c r="CI532" s="11"/>
      <c r="CJ532" s="11"/>
      <c r="CK532" s="15"/>
      <c r="CL532" s="11"/>
      <c r="CM532" s="11"/>
      <c r="CN532" s="11"/>
      <c r="CO532" s="11"/>
      <c r="CP532" s="28"/>
      <c r="CQ532" s="28"/>
      <c r="CR532" s="11"/>
      <c r="CS532" s="29"/>
      <c r="CT532" s="11"/>
      <c r="CU532" s="11"/>
      <c r="CV532" s="11"/>
      <c r="CW532" s="11"/>
      <c r="CX532" s="11"/>
      <c r="CY532" s="11"/>
      <c r="CZ532" s="11"/>
      <c r="DA532" s="28"/>
      <c r="DB532" s="28"/>
      <c r="DC532" s="11"/>
      <c r="DD532" s="29"/>
      <c r="DE532" s="11"/>
      <c r="DF532" s="11"/>
      <c r="DG532" s="11"/>
      <c r="DH532" s="11"/>
      <c r="DI532" s="11"/>
      <c r="DJ532" s="11"/>
      <c r="DK532" s="26"/>
      <c r="DL532" s="11"/>
      <c r="DM532" s="29"/>
      <c r="DN532" s="28"/>
      <c r="DO532" s="11"/>
      <c r="DP532" s="11"/>
      <c r="DQ532" s="11"/>
      <c r="DR532" s="29"/>
      <c r="DS532" s="28"/>
      <c r="DT532" s="11"/>
      <c r="DU532" s="26"/>
      <c r="DV532" s="11"/>
      <c r="DW532" s="29"/>
      <c r="DX532" s="28"/>
      <c r="DY532" s="11"/>
      <c r="DZ532" s="26"/>
      <c r="EA532" s="11"/>
      <c r="EB532" s="29"/>
      <c r="EC532" s="28"/>
      <c r="ED532" s="30"/>
      <c r="EE532" s="30" t="str">
        <f ca="1">IFERROR(__xludf.DUMMYFUNCTION("iferror(index(filter('Internal -- Trademark Countries'!E$2:E1000, (AM532 = 'Internal -- Trademark Countries'!B$2:B1000) + (AM532 = 'Internal -- Trademark Countries'!C$2:C1000) + (AM532 = 'Internal -- Trademark Countries'!D$2:D1000)), 1))"),"")</f>
        <v/>
      </c>
      <c r="EF532" s="30" t="e">
        <f ca="1">_xludf.ifs(AM532="", "", COUNTIF('Internal -- Trademark Countries'!B:B,AM532) &gt; 0, "polity_shortest_name", COUNTIF('Internal -- Trademark Countries'!C:C,AM532) &gt; 0, "polity_full_name", COUNTIF('Internal -- Trademark Countries'!D:D,AM532) &gt; 0, "polity_common_name", COUNTIF('Internal -- Trademark Countries'!E:E,AM532) &gt; 0, "shortest_name", COUNTIF('Internal -- Trademark Countries'!A:A,AM532) &gt; 0, "full_name", TRUE, "not a match")</f>
        <v>#NAME?</v>
      </c>
      <c r="EG532" s="30"/>
      <c r="EH532" s="30"/>
      <c r="EI532" s="30"/>
      <c r="EJ532" s="30"/>
      <c r="EK532" s="30" t="str">
        <f t="shared" si="4"/>
        <v/>
      </c>
    </row>
    <row r="533" spans="1:141" ht="16.5">
      <c r="A533" s="11"/>
      <c r="B533" s="11"/>
      <c r="C533" s="11"/>
      <c r="D533" s="11"/>
      <c r="E533" s="11"/>
      <c r="F533" s="11"/>
      <c r="G533" s="11"/>
      <c r="H533" s="11"/>
      <c r="I533" s="11"/>
      <c r="J533" s="11"/>
      <c r="K533" s="27"/>
      <c r="L533" s="11"/>
      <c r="M533" s="11"/>
      <c r="N533" s="11"/>
      <c r="O533" s="11"/>
      <c r="P533" s="15"/>
      <c r="Q533" s="15"/>
      <c r="R533" s="15"/>
      <c r="S533" s="15"/>
      <c r="T533" s="15"/>
      <c r="U533" s="15"/>
      <c r="V533" s="15"/>
      <c r="W533" s="47"/>
      <c r="X533" s="11"/>
      <c r="Y533" s="48"/>
      <c r="Z533" s="11"/>
      <c r="AA533" s="48"/>
      <c r="AB533" s="11"/>
      <c r="AC533" s="48"/>
      <c r="AD533" s="11"/>
      <c r="AE533" s="47"/>
      <c r="AF533" s="11"/>
      <c r="AG533" s="48"/>
      <c r="AH533" s="11"/>
      <c r="AI533" s="48"/>
      <c r="AJ533" s="11"/>
      <c r="AK533" s="48"/>
      <c r="AL533" s="11"/>
      <c r="AM533" s="49"/>
      <c r="AN533" s="49"/>
      <c r="AO533" s="11"/>
      <c r="AP533" s="11"/>
      <c r="AQ533" s="28" t="b">
        <f>IF(COUNTIF(SmartStatus!A$2:A1000, AM533) &gt; 2, TRUE, FALSE)</f>
        <v>0</v>
      </c>
      <c r="AR533" s="29" t="str">
        <f ca="1">IFERROR(__xludf.DUMMYFUNCTION("iferror(if(regexmatch(AO533, ""(?i)^registered""), if(EE533 &lt;&gt; ""polity_shortest_name"", ""CHECK_POLITY"", index(filter(SmartStatus!B$2:B1000, AM533 = SmartStatus!A$2:A1000, not(SmartStatus!C$2:C1000), (isblank(SmartStatus!D$2:D1000)) + ((P533 &lt;&gt; """") * "&amp;"(P533 &lt; SmartStatus!D$2:D1000)), (isblank(SmartStatus!E$2:E1000)) + ((P533 &lt;&gt; """") * (P533 &gt;= SmartStatus!E$2:E1000)), (isblank(SmartStatus!F$2:F1000)) + (((Q533 &lt;&gt; """") * (Q533 &lt; SmartStatus!F$2:F1000)) + ((P533 &lt;&gt; """") * (date(year(P533) + 3, month(P"&amp;"533), day(P533)) &lt; SmartStatus!F$2:F1000))), (isblank(SmartStatus!G$2:G1000)) + (((Q533 &lt;&gt; """") * (Q533 &gt;= SmartStatus!G$2:G1000)) + ((P533 &lt;&gt; """") * (P533 &gt;= SmartStatus!G$2:G1000)))), if(or(regexmatch(B533, ""(?i)^ir [a-z]+ designation$""), N533 &lt;&gt; """&amp;"""), 1, 2))), """"), ""NO_MATCH"")"),"")</f>
        <v/>
      </c>
      <c r="AS533" s="11"/>
      <c r="AT533" s="15"/>
      <c r="AU533" s="11"/>
      <c r="AV533" s="11"/>
      <c r="AW533" s="15"/>
      <c r="AX533" s="15"/>
      <c r="AY533" s="15"/>
      <c r="AZ533" s="11"/>
      <c r="BA533" s="15"/>
      <c r="BB533" s="11"/>
      <c r="BC533" s="11"/>
      <c r="BD533" s="15"/>
      <c r="BE533" s="11"/>
      <c r="BF533" s="11"/>
      <c r="BG533" s="15"/>
      <c r="BH533" s="15"/>
      <c r="BI533" s="15"/>
      <c r="BJ533" s="11"/>
      <c r="BK533" s="15"/>
      <c r="BL533" s="11"/>
      <c r="BM533" s="11"/>
      <c r="BN533" s="15"/>
      <c r="BO533" s="11"/>
      <c r="BP533" s="11"/>
      <c r="BQ533" s="15"/>
      <c r="BR533" s="15"/>
      <c r="BS533" s="15"/>
      <c r="BT533" s="11"/>
      <c r="BU533" s="15"/>
      <c r="BV533" s="11"/>
      <c r="BW533" s="11"/>
      <c r="BX533" s="15"/>
      <c r="BY533" s="11"/>
      <c r="BZ533" s="11"/>
      <c r="CA533" s="15"/>
      <c r="CB533" s="11"/>
      <c r="CC533" s="15"/>
      <c r="CD533" s="11"/>
      <c r="CE533" s="15"/>
      <c r="CF533" s="11"/>
      <c r="CG533" s="11"/>
      <c r="CH533" s="15"/>
      <c r="CI533" s="11"/>
      <c r="CJ533" s="11"/>
      <c r="CK533" s="15"/>
      <c r="CL533" s="11"/>
      <c r="CM533" s="11"/>
      <c r="CN533" s="11"/>
      <c r="CO533" s="11"/>
      <c r="CP533" s="28"/>
      <c r="CQ533" s="28"/>
      <c r="CR533" s="11"/>
      <c r="CS533" s="29"/>
      <c r="CT533" s="11"/>
      <c r="CU533" s="11"/>
      <c r="CV533" s="11"/>
      <c r="CW533" s="11"/>
      <c r="CX533" s="11"/>
      <c r="CY533" s="11"/>
      <c r="CZ533" s="11"/>
      <c r="DA533" s="28"/>
      <c r="DB533" s="28"/>
      <c r="DC533" s="11"/>
      <c r="DD533" s="29"/>
      <c r="DE533" s="11"/>
      <c r="DF533" s="11"/>
      <c r="DG533" s="11"/>
      <c r="DH533" s="11"/>
      <c r="DI533" s="11"/>
      <c r="DJ533" s="11"/>
      <c r="DK533" s="26"/>
      <c r="DL533" s="11"/>
      <c r="DM533" s="29"/>
      <c r="DN533" s="28"/>
      <c r="DO533" s="11"/>
      <c r="DP533" s="11"/>
      <c r="DQ533" s="11"/>
      <c r="DR533" s="29"/>
      <c r="DS533" s="28"/>
      <c r="DT533" s="11"/>
      <c r="DU533" s="26"/>
      <c r="DV533" s="11"/>
      <c r="DW533" s="29"/>
      <c r="DX533" s="28"/>
      <c r="DY533" s="11"/>
      <c r="DZ533" s="26"/>
      <c r="EA533" s="11"/>
      <c r="EB533" s="29"/>
      <c r="EC533" s="28"/>
      <c r="ED533" s="30"/>
      <c r="EE533" s="30" t="str">
        <f ca="1">IFERROR(__xludf.DUMMYFUNCTION("iferror(index(filter('Internal -- Trademark Countries'!E$2:E1000, (AM533 = 'Internal -- Trademark Countries'!B$2:B1000) + (AM533 = 'Internal -- Trademark Countries'!C$2:C1000) + (AM533 = 'Internal -- Trademark Countries'!D$2:D1000)), 1))"),"")</f>
        <v/>
      </c>
      <c r="EF533" s="30" t="e">
        <f ca="1">_xludf.ifs(AM533="", "", COUNTIF('Internal -- Trademark Countries'!B:B,AM533) &gt; 0, "polity_shortest_name", COUNTIF('Internal -- Trademark Countries'!C:C,AM533) &gt; 0, "polity_full_name", COUNTIF('Internal -- Trademark Countries'!D:D,AM533) &gt; 0, "polity_common_name", COUNTIF('Internal -- Trademark Countries'!E:E,AM533) &gt; 0, "shortest_name", COUNTIF('Internal -- Trademark Countries'!A:A,AM533) &gt; 0, "full_name", TRUE, "not a match")</f>
        <v>#NAME?</v>
      </c>
      <c r="EG533" s="30"/>
      <c r="EH533" s="30"/>
      <c r="EI533" s="30"/>
      <c r="EJ533" s="30"/>
      <c r="EK533" s="30" t="str">
        <f t="shared" si="4"/>
        <v/>
      </c>
    </row>
    <row r="534" spans="1:141" ht="16.5">
      <c r="A534" s="11"/>
      <c r="B534" s="11"/>
      <c r="C534" s="11"/>
      <c r="D534" s="11"/>
      <c r="E534" s="11"/>
      <c r="F534" s="11"/>
      <c r="G534" s="11"/>
      <c r="H534" s="11"/>
      <c r="I534" s="11"/>
      <c r="J534" s="11"/>
      <c r="K534" s="27"/>
      <c r="L534" s="11"/>
      <c r="M534" s="11"/>
      <c r="N534" s="11"/>
      <c r="O534" s="11"/>
      <c r="P534" s="15"/>
      <c r="Q534" s="15"/>
      <c r="R534" s="15"/>
      <c r="S534" s="15"/>
      <c r="T534" s="15"/>
      <c r="U534" s="15"/>
      <c r="V534" s="15"/>
      <c r="W534" s="47"/>
      <c r="X534" s="11"/>
      <c r="Y534" s="48"/>
      <c r="Z534" s="11"/>
      <c r="AA534" s="48"/>
      <c r="AB534" s="11"/>
      <c r="AC534" s="48"/>
      <c r="AD534" s="11"/>
      <c r="AE534" s="47"/>
      <c r="AF534" s="11"/>
      <c r="AG534" s="48"/>
      <c r="AH534" s="11"/>
      <c r="AI534" s="48"/>
      <c r="AJ534" s="11"/>
      <c r="AK534" s="48"/>
      <c r="AL534" s="11"/>
      <c r="AM534" s="49"/>
      <c r="AN534" s="49"/>
      <c r="AO534" s="11"/>
      <c r="AP534" s="11"/>
      <c r="AQ534" s="28" t="b">
        <f>IF(COUNTIF(SmartStatus!A$2:A1000, AM534) &gt; 2, TRUE, FALSE)</f>
        <v>0</v>
      </c>
      <c r="AR534" s="29" t="str">
        <f ca="1">IFERROR(__xludf.DUMMYFUNCTION("iferror(if(regexmatch(AO534, ""(?i)^registered""), if(EE534 &lt;&gt; ""polity_shortest_name"", ""CHECK_POLITY"", index(filter(SmartStatus!B$2:B1000, AM534 = SmartStatus!A$2:A1000, not(SmartStatus!C$2:C1000), (isblank(SmartStatus!D$2:D1000)) + ((P534 &lt;&gt; """") * "&amp;"(P534 &lt; SmartStatus!D$2:D1000)), (isblank(SmartStatus!E$2:E1000)) + ((P534 &lt;&gt; """") * (P534 &gt;= SmartStatus!E$2:E1000)), (isblank(SmartStatus!F$2:F1000)) + (((Q534 &lt;&gt; """") * (Q534 &lt; SmartStatus!F$2:F1000)) + ((P534 &lt;&gt; """") * (date(year(P534) + 3, month(P"&amp;"534), day(P534)) &lt; SmartStatus!F$2:F1000))), (isblank(SmartStatus!G$2:G1000)) + (((Q534 &lt;&gt; """") * (Q534 &gt;= SmartStatus!G$2:G1000)) + ((P534 &lt;&gt; """") * (P534 &gt;= SmartStatus!G$2:G1000)))), if(or(regexmatch(B534, ""(?i)^ir [a-z]+ designation$""), N534 &lt;&gt; """&amp;"""), 1, 2))), """"), ""NO_MATCH"")"),"")</f>
        <v/>
      </c>
      <c r="AS534" s="11"/>
      <c r="AT534" s="15"/>
      <c r="AU534" s="11"/>
      <c r="AV534" s="11"/>
      <c r="AW534" s="15"/>
      <c r="AX534" s="15"/>
      <c r="AY534" s="15"/>
      <c r="AZ534" s="11"/>
      <c r="BA534" s="15"/>
      <c r="BB534" s="11"/>
      <c r="BC534" s="11"/>
      <c r="BD534" s="15"/>
      <c r="BE534" s="11"/>
      <c r="BF534" s="11"/>
      <c r="BG534" s="15"/>
      <c r="BH534" s="15"/>
      <c r="BI534" s="15"/>
      <c r="BJ534" s="11"/>
      <c r="BK534" s="15"/>
      <c r="BL534" s="11"/>
      <c r="BM534" s="11"/>
      <c r="BN534" s="15"/>
      <c r="BO534" s="11"/>
      <c r="BP534" s="11"/>
      <c r="BQ534" s="15"/>
      <c r="BR534" s="15"/>
      <c r="BS534" s="15"/>
      <c r="BT534" s="11"/>
      <c r="BU534" s="15"/>
      <c r="BV534" s="11"/>
      <c r="BW534" s="11"/>
      <c r="BX534" s="15"/>
      <c r="BY534" s="11"/>
      <c r="BZ534" s="11"/>
      <c r="CA534" s="15"/>
      <c r="CB534" s="11"/>
      <c r="CC534" s="15"/>
      <c r="CD534" s="11"/>
      <c r="CE534" s="15"/>
      <c r="CF534" s="11"/>
      <c r="CG534" s="11"/>
      <c r="CH534" s="15"/>
      <c r="CI534" s="11"/>
      <c r="CJ534" s="11"/>
      <c r="CK534" s="15"/>
      <c r="CL534" s="11"/>
      <c r="CM534" s="11"/>
      <c r="CN534" s="11"/>
      <c r="CO534" s="11"/>
      <c r="CP534" s="28"/>
      <c r="CQ534" s="28"/>
      <c r="CR534" s="11"/>
      <c r="CS534" s="29"/>
      <c r="CT534" s="11"/>
      <c r="CU534" s="11"/>
      <c r="CV534" s="11"/>
      <c r="CW534" s="11"/>
      <c r="CX534" s="11"/>
      <c r="CY534" s="11"/>
      <c r="CZ534" s="11"/>
      <c r="DA534" s="28"/>
      <c r="DB534" s="28"/>
      <c r="DC534" s="11"/>
      <c r="DD534" s="29"/>
      <c r="DE534" s="11"/>
      <c r="DF534" s="11"/>
      <c r="DG534" s="11"/>
      <c r="DH534" s="11"/>
      <c r="DI534" s="11"/>
      <c r="DJ534" s="11"/>
      <c r="DK534" s="26"/>
      <c r="DL534" s="11"/>
      <c r="DM534" s="29"/>
      <c r="DN534" s="28"/>
      <c r="DO534" s="11"/>
      <c r="DP534" s="11"/>
      <c r="DQ534" s="11"/>
      <c r="DR534" s="29"/>
      <c r="DS534" s="28"/>
      <c r="DT534" s="11"/>
      <c r="DU534" s="26"/>
      <c r="DV534" s="11"/>
      <c r="DW534" s="29"/>
      <c r="DX534" s="28"/>
      <c r="DY534" s="11"/>
      <c r="DZ534" s="26"/>
      <c r="EA534" s="11"/>
      <c r="EB534" s="29"/>
      <c r="EC534" s="28"/>
      <c r="ED534" s="30"/>
      <c r="EE534" s="30" t="str">
        <f ca="1">IFERROR(__xludf.DUMMYFUNCTION("iferror(index(filter('Internal -- Trademark Countries'!E$2:E1000, (AM534 = 'Internal -- Trademark Countries'!B$2:B1000) + (AM534 = 'Internal -- Trademark Countries'!C$2:C1000) + (AM534 = 'Internal -- Trademark Countries'!D$2:D1000)), 1))"),"")</f>
        <v/>
      </c>
      <c r="EF534" s="30" t="e">
        <f ca="1">_xludf.ifs(AM534="", "", COUNTIF('Internal -- Trademark Countries'!B:B,AM534) &gt; 0, "polity_shortest_name", COUNTIF('Internal -- Trademark Countries'!C:C,AM534) &gt; 0, "polity_full_name", COUNTIF('Internal -- Trademark Countries'!D:D,AM534) &gt; 0, "polity_common_name", COUNTIF('Internal -- Trademark Countries'!E:E,AM534) &gt; 0, "shortest_name", COUNTIF('Internal -- Trademark Countries'!A:A,AM534) &gt; 0, "full_name", TRUE, "not a match")</f>
        <v>#NAME?</v>
      </c>
      <c r="EG534" s="30"/>
      <c r="EH534" s="30"/>
      <c r="EI534" s="30"/>
      <c r="EJ534" s="30"/>
      <c r="EK534" s="30" t="str">
        <f t="shared" si="4"/>
        <v/>
      </c>
    </row>
    <row r="535" spans="1:141" ht="16.5">
      <c r="A535" s="11"/>
      <c r="B535" s="11"/>
      <c r="C535" s="11"/>
      <c r="D535" s="11"/>
      <c r="E535" s="11"/>
      <c r="F535" s="11"/>
      <c r="G535" s="11"/>
      <c r="H535" s="11"/>
      <c r="I535" s="11"/>
      <c r="J535" s="11"/>
      <c r="K535" s="27"/>
      <c r="L535" s="11"/>
      <c r="M535" s="11"/>
      <c r="N535" s="11"/>
      <c r="O535" s="11"/>
      <c r="P535" s="15"/>
      <c r="Q535" s="15"/>
      <c r="R535" s="15"/>
      <c r="S535" s="15"/>
      <c r="T535" s="15"/>
      <c r="U535" s="15"/>
      <c r="V535" s="15"/>
      <c r="W535" s="47"/>
      <c r="X535" s="11"/>
      <c r="Y535" s="48"/>
      <c r="Z535" s="11"/>
      <c r="AA535" s="48"/>
      <c r="AB535" s="11"/>
      <c r="AC535" s="48"/>
      <c r="AD535" s="11"/>
      <c r="AE535" s="47"/>
      <c r="AF535" s="11"/>
      <c r="AG535" s="48"/>
      <c r="AH535" s="11"/>
      <c r="AI535" s="48"/>
      <c r="AJ535" s="11"/>
      <c r="AK535" s="48"/>
      <c r="AL535" s="11"/>
      <c r="AM535" s="49"/>
      <c r="AN535" s="49"/>
      <c r="AO535" s="11"/>
      <c r="AP535" s="11"/>
      <c r="AQ535" s="28" t="b">
        <f>IF(COUNTIF(SmartStatus!A$2:A1000, AM535) &gt; 2, TRUE, FALSE)</f>
        <v>0</v>
      </c>
      <c r="AR535" s="29" t="str">
        <f ca="1">IFERROR(__xludf.DUMMYFUNCTION("iferror(if(regexmatch(AO535, ""(?i)^registered""), if(EE535 &lt;&gt; ""polity_shortest_name"", ""CHECK_POLITY"", index(filter(SmartStatus!B$2:B1000, AM535 = SmartStatus!A$2:A1000, not(SmartStatus!C$2:C1000), (isblank(SmartStatus!D$2:D1000)) + ((P535 &lt;&gt; """") * "&amp;"(P535 &lt; SmartStatus!D$2:D1000)), (isblank(SmartStatus!E$2:E1000)) + ((P535 &lt;&gt; """") * (P535 &gt;= SmartStatus!E$2:E1000)), (isblank(SmartStatus!F$2:F1000)) + (((Q535 &lt;&gt; """") * (Q535 &lt; SmartStatus!F$2:F1000)) + ((P535 &lt;&gt; """") * (date(year(P535) + 3, month(P"&amp;"535), day(P535)) &lt; SmartStatus!F$2:F1000))), (isblank(SmartStatus!G$2:G1000)) + (((Q535 &lt;&gt; """") * (Q535 &gt;= SmartStatus!G$2:G1000)) + ((P535 &lt;&gt; """") * (P535 &gt;= SmartStatus!G$2:G1000)))), if(or(regexmatch(B535, ""(?i)^ir [a-z]+ designation$""), N535 &lt;&gt; """&amp;"""), 1, 2))), """"), ""NO_MATCH"")"),"")</f>
        <v/>
      </c>
      <c r="AS535" s="11"/>
      <c r="AT535" s="15"/>
      <c r="AU535" s="11"/>
      <c r="AV535" s="11"/>
      <c r="AW535" s="15"/>
      <c r="AX535" s="15"/>
      <c r="AY535" s="15"/>
      <c r="AZ535" s="11"/>
      <c r="BA535" s="15"/>
      <c r="BB535" s="11"/>
      <c r="BC535" s="11"/>
      <c r="BD535" s="15"/>
      <c r="BE535" s="11"/>
      <c r="BF535" s="11"/>
      <c r="BG535" s="15"/>
      <c r="BH535" s="15"/>
      <c r="BI535" s="15"/>
      <c r="BJ535" s="11"/>
      <c r="BK535" s="15"/>
      <c r="BL535" s="11"/>
      <c r="BM535" s="11"/>
      <c r="BN535" s="15"/>
      <c r="BO535" s="11"/>
      <c r="BP535" s="11"/>
      <c r="BQ535" s="15"/>
      <c r="BR535" s="15"/>
      <c r="BS535" s="15"/>
      <c r="BT535" s="11"/>
      <c r="BU535" s="15"/>
      <c r="BV535" s="11"/>
      <c r="BW535" s="11"/>
      <c r="BX535" s="15"/>
      <c r="BY535" s="11"/>
      <c r="BZ535" s="11"/>
      <c r="CA535" s="15"/>
      <c r="CB535" s="11"/>
      <c r="CC535" s="15"/>
      <c r="CD535" s="11"/>
      <c r="CE535" s="15"/>
      <c r="CF535" s="11"/>
      <c r="CG535" s="11"/>
      <c r="CH535" s="15"/>
      <c r="CI535" s="11"/>
      <c r="CJ535" s="11"/>
      <c r="CK535" s="15"/>
      <c r="CL535" s="11"/>
      <c r="CM535" s="11"/>
      <c r="CN535" s="11"/>
      <c r="CO535" s="11"/>
      <c r="CP535" s="28"/>
      <c r="CQ535" s="28"/>
      <c r="CR535" s="11"/>
      <c r="CS535" s="29"/>
      <c r="CT535" s="11"/>
      <c r="CU535" s="11"/>
      <c r="CV535" s="11"/>
      <c r="CW535" s="11"/>
      <c r="CX535" s="11"/>
      <c r="CY535" s="11"/>
      <c r="CZ535" s="11"/>
      <c r="DA535" s="28"/>
      <c r="DB535" s="28"/>
      <c r="DC535" s="11"/>
      <c r="DD535" s="29"/>
      <c r="DE535" s="11"/>
      <c r="DF535" s="11"/>
      <c r="DG535" s="11"/>
      <c r="DH535" s="11"/>
      <c r="DI535" s="11"/>
      <c r="DJ535" s="11"/>
      <c r="DK535" s="26"/>
      <c r="DL535" s="11"/>
      <c r="DM535" s="29"/>
      <c r="DN535" s="28"/>
      <c r="DO535" s="11"/>
      <c r="DP535" s="11"/>
      <c r="DQ535" s="11"/>
      <c r="DR535" s="29"/>
      <c r="DS535" s="28"/>
      <c r="DT535" s="11"/>
      <c r="DU535" s="26"/>
      <c r="DV535" s="11"/>
      <c r="DW535" s="29"/>
      <c r="DX535" s="28"/>
      <c r="DY535" s="11"/>
      <c r="DZ535" s="26"/>
      <c r="EA535" s="11"/>
      <c r="EB535" s="29"/>
      <c r="EC535" s="28"/>
      <c r="ED535" s="30"/>
      <c r="EE535" s="30" t="str">
        <f ca="1">IFERROR(__xludf.DUMMYFUNCTION("iferror(index(filter('Internal -- Trademark Countries'!E$2:E1000, (AM535 = 'Internal -- Trademark Countries'!B$2:B1000) + (AM535 = 'Internal -- Trademark Countries'!C$2:C1000) + (AM535 = 'Internal -- Trademark Countries'!D$2:D1000)), 1))"),"")</f>
        <v/>
      </c>
      <c r="EF535" s="30" t="e">
        <f ca="1">_xludf.ifs(AM535="", "", COUNTIF('Internal -- Trademark Countries'!B:B,AM535) &gt; 0, "polity_shortest_name", COUNTIF('Internal -- Trademark Countries'!C:C,AM535) &gt; 0, "polity_full_name", COUNTIF('Internal -- Trademark Countries'!D:D,AM535) &gt; 0, "polity_common_name", COUNTIF('Internal -- Trademark Countries'!E:E,AM535) &gt; 0, "shortest_name", COUNTIF('Internal -- Trademark Countries'!A:A,AM535) &gt; 0, "full_name", TRUE, "not a match")</f>
        <v>#NAME?</v>
      </c>
      <c r="EG535" s="30"/>
      <c r="EH535" s="30"/>
      <c r="EI535" s="30"/>
      <c r="EJ535" s="30"/>
      <c r="EK535" s="30" t="str">
        <f t="shared" si="4"/>
        <v/>
      </c>
    </row>
    <row r="536" spans="1:141" ht="16.5">
      <c r="A536" s="11"/>
      <c r="B536" s="11"/>
      <c r="C536" s="11"/>
      <c r="D536" s="11"/>
      <c r="E536" s="11"/>
      <c r="F536" s="11"/>
      <c r="G536" s="11"/>
      <c r="H536" s="11"/>
      <c r="I536" s="11"/>
      <c r="J536" s="11"/>
      <c r="K536" s="27"/>
      <c r="L536" s="11"/>
      <c r="M536" s="11"/>
      <c r="N536" s="11"/>
      <c r="O536" s="11"/>
      <c r="P536" s="15"/>
      <c r="Q536" s="15"/>
      <c r="R536" s="15"/>
      <c r="S536" s="15"/>
      <c r="T536" s="15"/>
      <c r="U536" s="15"/>
      <c r="V536" s="15"/>
      <c r="W536" s="47"/>
      <c r="X536" s="11"/>
      <c r="Y536" s="48"/>
      <c r="Z536" s="11"/>
      <c r="AA536" s="48"/>
      <c r="AB536" s="11"/>
      <c r="AC536" s="48"/>
      <c r="AD536" s="11"/>
      <c r="AE536" s="47"/>
      <c r="AF536" s="11"/>
      <c r="AG536" s="48"/>
      <c r="AH536" s="11"/>
      <c r="AI536" s="48"/>
      <c r="AJ536" s="11"/>
      <c r="AK536" s="48"/>
      <c r="AL536" s="11"/>
      <c r="AM536" s="49"/>
      <c r="AN536" s="49"/>
      <c r="AO536" s="11"/>
      <c r="AP536" s="11"/>
      <c r="AQ536" s="28" t="b">
        <f>IF(COUNTIF(SmartStatus!A$2:A1000, AM536) &gt; 2, TRUE, FALSE)</f>
        <v>0</v>
      </c>
      <c r="AR536" s="29" t="str">
        <f ca="1">IFERROR(__xludf.DUMMYFUNCTION("iferror(if(regexmatch(AO536, ""(?i)^registered""), if(EE536 &lt;&gt; ""polity_shortest_name"", ""CHECK_POLITY"", index(filter(SmartStatus!B$2:B1000, AM536 = SmartStatus!A$2:A1000, not(SmartStatus!C$2:C1000), (isblank(SmartStatus!D$2:D1000)) + ((P536 &lt;&gt; """") * "&amp;"(P536 &lt; SmartStatus!D$2:D1000)), (isblank(SmartStatus!E$2:E1000)) + ((P536 &lt;&gt; """") * (P536 &gt;= SmartStatus!E$2:E1000)), (isblank(SmartStatus!F$2:F1000)) + (((Q536 &lt;&gt; """") * (Q536 &lt; SmartStatus!F$2:F1000)) + ((P536 &lt;&gt; """") * (date(year(P536) + 3, month(P"&amp;"536), day(P536)) &lt; SmartStatus!F$2:F1000))), (isblank(SmartStatus!G$2:G1000)) + (((Q536 &lt;&gt; """") * (Q536 &gt;= SmartStatus!G$2:G1000)) + ((P536 &lt;&gt; """") * (P536 &gt;= SmartStatus!G$2:G1000)))), if(or(regexmatch(B536, ""(?i)^ir [a-z]+ designation$""), N536 &lt;&gt; """&amp;"""), 1, 2))), """"), ""NO_MATCH"")"),"")</f>
        <v/>
      </c>
      <c r="AS536" s="11"/>
      <c r="AT536" s="15"/>
      <c r="AU536" s="11"/>
      <c r="AV536" s="11"/>
      <c r="AW536" s="15"/>
      <c r="AX536" s="15"/>
      <c r="AY536" s="15"/>
      <c r="AZ536" s="11"/>
      <c r="BA536" s="15"/>
      <c r="BB536" s="11"/>
      <c r="BC536" s="11"/>
      <c r="BD536" s="15"/>
      <c r="BE536" s="11"/>
      <c r="BF536" s="11"/>
      <c r="BG536" s="15"/>
      <c r="BH536" s="15"/>
      <c r="BI536" s="15"/>
      <c r="BJ536" s="11"/>
      <c r="BK536" s="15"/>
      <c r="BL536" s="11"/>
      <c r="BM536" s="11"/>
      <c r="BN536" s="15"/>
      <c r="BO536" s="11"/>
      <c r="BP536" s="11"/>
      <c r="BQ536" s="15"/>
      <c r="BR536" s="15"/>
      <c r="BS536" s="15"/>
      <c r="BT536" s="11"/>
      <c r="BU536" s="15"/>
      <c r="BV536" s="11"/>
      <c r="BW536" s="11"/>
      <c r="BX536" s="15"/>
      <c r="BY536" s="11"/>
      <c r="BZ536" s="11"/>
      <c r="CA536" s="15"/>
      <c r="CB536" s="11"/>
      <c r="CC536" s="15"/>
      <c r="CD536" s="11"/>
      <c r="CE536" s="15"/>
      <c r="CF536" s="11"/>
      <c r="CG536" s="11"/>
      <c r="CH536" s="15"/>
      <c r="CI536" s="11"/>
      <c r="CJ536" s="11"/>
      <c r="CK536" s="15"/>
      <c r="CL536" s="11"/>
      <c r="CM536" s="11"/>
      <c r="CN536" s="11"/>
      <c r="CO536" s="11"/>
      <c r="CP536" s="28"/>
      <c r="CQ536" s="28"/>
      <c r="CR536" s="11"/>
      <c r="CS536" s="29"/>
      <c r="CT536" s="11"/>
      <c r="CU536" s="11"/>
      <c r="CV536" s="11"/>
      <c r="CW536" s="11"/>
      <c r="CX536" s="11"/>
      <c r="CY536" s="11"/>
      <c r="CZ536" s="11"/>
      <c r="DA536" s="28"/>
      <c r="DB536" s="28"/>
      <c r="DC536" s="11"/>
      <c r="DD536" s="29"/>
      <c r="DE536" s="11"/>
      <c r="DF536" s="11"/>
      <c r="DG536" s="11"/>
      <c r="DH536" s="11"/>
      <c r="DI536" s="11"/>
      <c r="DJ536" s="11"/>
      <c r="DK536" s="26"/>
      <c r="DL536" s="11"/>
      <c r="DM536" s="29"/>
      <c r="DN536" s="28"/>
      <c r="DO536" s="11"/>
      <c r="DP536" s="11"/>
      <c r="DQ536" s="11"/>
      <c r="DR536" s="29"/>
      <c r="DS536" s="28"/>
      <c r="DT536" s="11"/>
      <c r="DU536" s="26"/>
      <c r="DV536" s="11"/>
      <c r="DW536" s="29"/>
      <c r="DX536" s="28"/>
      <c r="DY536" s="11"/>
      <c r="DZ536" s="26"/>
      <c r="EA536" s="11"/>
      <c r="EB536" s="29"/>
      <c r="EC536" s="28"/>
      <c r="ED536" s="30"/>
      <c r="EE536" s="30" t="str">
        <f ca="1">IFERROR(__xludf.DUMMYFUNCTION("iferror(index(filter('Internal -- Trademark Countries'!E$2:E1000, (AM536 = 'Internal -- Trademark Countries'!B$2:B1000) + (AM536 = 'Internal -- Trademark Countries'!C$2:C1000) + (AM536 = 'Internal -- Trademark Countries'!D$2:D1000)), 1))"),"")</f>
        <v/>
      </c>
      <c r="EF536" s="30" t="e">
        <f ca="1">_xludf.ifs(AM536="", "", COUNTIF('Internal -- Trademark Countries'!B:B,AM536) &gt; 0, "polity_shortest_name", COUNTIF('Internal -- Trademark Countries'!C:C,AM536) &gt; 0, "polity_full_name", COUNTIF('Internal -- Trademark Countries'!D:D,AM536) &gt; 0, "polity_common_name", COUNTIF('Internal -- Trademark Countries'!E:E,AM536) &gt; 0, "shortest_name", COUNTIF('Internal -- Trademark Countries'!A:A,AM536) &gt; 0, "full_name", TRUE, "not a match")</f>
        <v>#NAME?</v>
      </c>
      <c r="EG536" s="30"/>
      <c r="EH536" s="30"/>
      <c r="EI536" s="30"/>
      <c r="EJ536" s="30"/>
      <c r="EK536" s="30" t="str">
        <f t="shared" si="4"/>
        <v/>
      </c>
    </row>
    <row r="537" spans="1:141" ht="16.5">
      <c r="A537" s="11"/>
      <c r="B537" s="11"/>
      <c r="C537" s="11"/>
      <c r="D537" s="11"/>
      <c r="E537" s="11"/>
      <c r="F537" s="11"/>
      <c r="G537" s="11"/>
      <c r="H537" s="11"/>
      <c r="I537" s="11"/>
      <c r="J537" s="11"/>
      <c r="K537" s="27"/>
      <c r="L537" s="11"/>
      <c r="M537" s="11"/>
      <c r="N537" s="11"/>
      <c r="O537" s="11"/>
      <c r="P537" s="15"/>
      <c r="Q537" s="15"/>
      <c r="R537" s="15"/>
      <c r="S537" s="15"/>
      <c r="T537" s="15"/>
      <c r="U537" s="15"/>
      <c r="V537" s="15"/>
      <c r="W537" s="47"/>
      <c r="X537" s="11"/>
      <c r="Y537" s="48"/>
      <c r="Z537" s="11"/>
      <c r="AA537" s="48"/>
      <c r="AB537" s="11"/>
      <c r="AC537" s="48"/>
      <c r="AD537" s="11"/>
      <c r="AE537" s="47"/>
      <c r="AF537" s="11"/>
      <c r="AG537" s="48"/>
      <c r="AH537" s="11"/>
      <c r="AI537" s="48"/>
      <c r="AJ537" s="11"/>
      <c r="AK537" s="48"/>
      <c r="AL537" s="11"/>
      <c r="AM537" s="49"/>
      <c r="AN537" s="49"/>
      <c r="AO537" s="11"/>
      <c r="AP537" s="11"/>
      <c r="AQ537" s="28" t="b">
        <f>IF(COUNTIF(SmartStatus!A$2:A1000, AM537) &gt; 2, TRUE, FALSE)</f>
        <v>0</v>
      </c>
      <c r="AR537" s="29" t="str">
        <f ca="1">IFERROR(__xludf.DUMMYFUNCTION("iferror(if(regexmatch(AO537, ""(?i)^registered""), if(EE537 &lt;&gt; ""polity_shortest_name"", ""CHECK_POLITY"", index(filter(SmartStatus!B$2:B1000, AM537 = SmartStatus!A$2:A1000, not(SmartStatus!C$2:C1000), (isblank(SmartStatus!D$2:D1000)) + ((P537 &lt;&gt; """") * "&amp;"(P537 &lt; SmartStatus!D$2:D1000)), (isblank(SmartStatus!E$2:E1000)) + ((P537 &lt;&gt; """") * (P537 &gt;= SmartStatus!E$2:E1000)), (isblank(SmartStatus!F$2:F1000)) + (((Q537 &lt;&gt; """") * (Q537 &lt; SmartStatus!F$2:F1000)) + ((P537 &lt;&gt; """") * (date(year(P537) + 3, month(P"&amp;"537), day(P537)) &lt; SmartStatus!F$2:F1000))), (isblank(SmartStatus!G$2:G1000)) + (((Q537 &lt;&gt; """") * (Q537 &gt;= SmartStatus!G$2:G1000)) + ((P537 &lt;&gt; """") * (P537 &gt;= SmartStatus!G$2:G1000)))), if(or(regexmatch(B537, ""(?i)^ir [a-z]+ designation$""), N537 &lt;&gt; """&amp;"""), 1, 2))), """"), ""NO_MATCH"")"),"")</f>
        <v/>
      </c>
      <c r="AS537" s="11"/>
      <c r="AT537" s="15"/>
      <c r="AU537" s="11"/>
      <c r="AV537" s="11"/>
      <c r="AW537" s="15"/>
      <c r="AX537" s="15"/>
      <c r="AY537" s="15"/>
      <c r="AZ537" s="11"/>
      <c r="BA537" s="15"/>
      <c r="BB537" s="11"/>
      <c r="BC537" s="11"/>
      <c r="BD537" s="15"/>
      <c r="BE537" s="11"/>
      <c r="BF537" s="11"/>
      <c r="BG537" s="15"/>
      <c r="BH537" s="15"/>
      <c r="BI537" s="15"/>
      <c r="BJ537" s="11"/>
      <c r="BK537" s="15"/>
      <c r="BL537" s="11"/>
      <c r="BM537" s="11"/>
      <c r="BN537" s="15"/>
      <c r="BO537" s="11"/>
      <c r="BP537" s="11"/>
      <c r="BQ537" s="15"/>
      <c r="BR537" s="15"/>
      <c r="BS537" s="15"/>
      <c r="BT537" s="11"/>
      <c r="BU537" s="15"/>
      <c r="BV537" s="11"/>
      <c r="BW537" s="11"/>
      <c r="BX537" s="15"/>
      <c r="BY537" s="11"/>
      <c r="BZ537" s="11"/>
      <c r="CA537" s="15"/>
      <c r="CB537" s="11"/>
      <c r="CC537" s="15"/>
      <c r="CD537" s="11"/>
      <c r="CE537" s="15"/>
      <c r="CF537" s="11"/>
      <c r="CG537" s="11"/>
      <c r="CH537" s="15"/>
      <c r="CI537" s="11"/>
      <c r="CJ537" s="11"/>
      <c r="CK537" s="15"/>
      <c r="CL537" s="11"/>
      <c r="CM537" s="11"/>
      <c r="CN537" s="11"/>
      <c r="CO537" s="11"/>
      <c r="CP537" s="28"/>
      <c r="CQ537" s="28"/>
      <c r="CR537" s="11"/>
      <c r="CS537" s="29"/>
      <c r="CT537" s="11"/>
      <c r="CU537" s="11"/>
      <c r="CV537" s="11"/>
      <c r="CW537" s="11"/>
      <c r="CX537" s="11"/>
      <c r="CY537" s="11"/>
      <c r="CZ537" s="11"/>
      <c r="DA537" s="28"/>
      <c r="DB537" s="28"/>
      <c r="DC537" s="11"/>
      <c r="DD537" s="29"/>
      <c r="DE537" s="11"/>
      <c r="DF537" s="11"/>
      <c r="DG537" s="11"/>
      <c r="DH537" s="11"/>
      <c r="DI537" s="11"/>
      <c r="DJ537" s="11"/>
      <c r="DK537" s="26"/>
      <c r="DL537" s="11"/>
      <c r="DM537" s="29"/>
      <c r="DN537" s="28"/>
      <c r="DO537" s="11"/>
      <c r="DP537" s="11"/>
      <c r="DQ537" s="11"/>
      <c r="DR537" s="29"/>
      <c r="DS537" s="28"/>
      <c r="DT537" s="11"/>
      <c r="DU537" s="26"/>
      <c r="DV537" s="11"/>
      <c r="DW537" s="29"/>
      <c r="DX537" s="28"/>
      <c r="DY537" s="11"/>
      <c r="DZ537" s="26"/>
      <c r="EA537" s="11"/>
      <c r="EB537" s="29"/>
      <c r="EC537" s="28"/>
      <c r="ED537" s="30"/>
      <c r="EE537" s="30" t="str">
        <f ca="1">IFERROR(__xludf.DUMMYFUNCTION("iferror(index(filter('Internal -- Trademark Countries'!E$2:E1000, (AM537 = 'Internal -- Trademark Countries'!B$2:B1000) + (AM537 = 'Internal -- Trademark Countries'!C$2:C1000) + (AM537 = 'Internal -- Trademark Countries'!D$2:D1000)), 1))"),"")</f>
        <v/>
      </c>
      <c r="EF537" s="30" t="e">
        <f ca="1">_xludf.ifs(AM537="", "", COUNTIF('Internal -- Trademark Countries'!B:B,AM537) &gt; 0, "polity_shortest_name", COUNTIF('Internal -- Trademark Countries'!C:C,AM537) &gt; 0, "polity_full_name", COUNTIF('Internal -- Trademark Countries'!D:D,AM537) &gt; 0, "polity_common_name", COUNTIF('Internal -- Trademark Countries'!E:E,AM537) &gt; 0, "shortest_name", COUNTIF('Internal -- Trademark Countries'!A:A,AM537) &gt; 0, "full_name", TRUE, "not a match")</f>
        <v>#NAME?</v>
      </c>
      <c r="EG537" s="30"/>
      <c r="EH537" s="30"/>
      <c r="EI537" s="30"/>
      <c r="EJ537" s="30"/>
      <c r="EK537" s="30" t="str">
        <f t="shared" si="4"/>
        <v/>
      </c>
    </row>
    <row r="538" spans="1:141" ht="16.5">
      <c r="A538" s="11"/>
      <c r="B538" s="11"/>
      <c r="C538" s="11"/>
      <c r="D538" s="11"/>
      <c r="E538" s="11"/>
      <c r="F538" s="11"/>
      <c r="G538" s="11"/>
      <c r="H538" s="11"/>
      <c r="I538" s="11"/>
      <c r="J538" s="11"/>
      <c r="K538" s="27"/>
      <c r="L538" s="11"/>
      <c r="M538" s="11"/>
      <c r="N538" s="11"/>
      <c r="O538" s="11"/>
      <c r="P538" s="15"/>
      <c r="Q538" s="15"/>
      <c r="R538" s="15"/>
      <c r="S538" s="15"/>
      <c r="T538" s="15"/>
      <c r="U538" s="15"/>
      <c r="V538" s="15"/>
      <c r="W538" s="47"/>
      <c r="X538" s="11"/>
      <c r="Y538" s="48"/>
      <c r="Z538" s="11"/>
      <c r="AA538" s="48"/>
      <c r="AB538" s="11"/>
      <c r="AC538" s="48"/>
      <c r="AD538" s="11"/>
      <c r="AE538" s="47"/>
      <c r="AF538" s="11"/>
      <c r="AG538" s="48"/>
      <c r="AH538" s="11"/>
      <c r="AI538" s="48"/>
      <c r="AJ538" s="11"/>
      <c r="AK538" s="48"/>
      <c r="AL538" s="11"/>
      <c r="AM538" s="49"/>
      <c r="AN538" s="49"/>
      <c r="AO538" s="11"/>
      <c r="AP538" s="11"/>
      <c r="AQ538" s="28" t="b">
        <f>IF(COUNTIF(SmartStatus!A$2:A1000, AM538) &gt; 2, TRUE, FALSE)</f>
        <v>0</v>
      </c>
      <c r="AR538" s="29" t="str">
        <f ca="1">IFERROR(__xludf.DUMMYFUNCTION("iferror(if(regexmatch(AO538, ""(?i)^registered""), if(EE538 &lt;&gt; ""polity_shortest_name"", ""CHECK_POLITY"", index(filter(SmartStatus!B$2:B1000, AM538 = SmartStatus!A$2:A1000, not(SmartStatus!C$2:C1000), (isblank(SmartStatus!D$2:D1000)) + ((P538 &lt;&gt; """") * "&amp;"(P538 &lt; SmartStatus!D$2:D1000)), (isblank(SmartStatus!E$2:E1000)) + ((P538 &lt;&gt; """") * (P538 &gt;= SmartStatus!E$2:E1000)), (isblank(SmartStatus!F$2:F1000)) + (((Q538 &lt;&gt; """") * (Q538 &lt; SmartStatus!F$2:F1000)) + ((P538 &lt;&gt; """") * (date(year(P538) + 3, month(P"&amp;"538), day(P538)) &lt; SmartStatus!F$2:F1000))), (isblank(SmartStatus!G$2:G1000)) + (((Q538 &lt;&gt; """") * (Q538 &gt;= SmartStatus!G$2:G1000)) + ((P538 &lt;&gt; """") * (P538 &gt;= SmartStatus!G$2:G1000)))), if(or(regexmatch(B538, ""(?i)^ir [a-z]+ designation$""), N538 &lt;&gt; """&amp;"""), 1, 2))), """"), ""NO_MATCH"")"),"")</f>
        <v/>
      </c>
      <c r="AS538" s="11"/>
      <c r="AT538" s="15"/>
      <c r="AU538" s="11"/>
      <c r="AV538" s="11"/>
      <c r="AW538" s="15"/>
      <c r="AX538" s="15"/>
      <c r="AY538" s="15"/>
      <c r="AZ538" s="11"/>
      <c r="BA538" s="15"/>
      <c r="BB538" s="11"/>
      <c r="BC538" s="11"/>
      <c r="BD538" s="15"/>
      <c r="BE538" s="11"/>
      <c r="BF538" s="11"/>
      <c r="BG538" s="15"/>
      <c r="BH538" s="15"/>
      <c r="BI538" s="15"/>
      <c r="BJ538" s="11"/>
      <c r="BK538" s="15"/>
      <c r="BL538" s="11"/>
      <c r="BM538" s="11"/>
      <c r="BN538" s="15"/>
      <c r="BO538" s="11"/>
      <c r="BP538" s="11"/>
      <c r="BQ538" s="15"/>
      <c r="BR538" s="15"/>
      <c r="BS538" s="15"/>
      <c r="BT538" s="11"/>
      <c r="BU538" s="15"/>
      <c r="BV538" s="11"/>
      <c r="BW538" s="11"/>
      <c r="BX538" s="15"/>
      <c r="BY538" s="11"/>
      <c r="BZ538" s="11"/>
      <c r="CA538" s="15"/>
      <c r="CB538" s="11"/>
      <c r="CC538" s="15"/>
      <c r="CD538" s="11"/>
      <c r="CE538" s="15"/>
      <c r="CF538" s="11"/>
      <c r="CG538" s="11"/>
      <c r="CH538" s="15"/>
      <c r="CI538" s="11"/>
      <c r="CJ538" s="11"/>
      <c r="CK538" s="15"/>
      <c r="CL538" s="11"/>
      <c r="CM538" s="11"/>
      <c r="CN538" s="11"/>
      <c r="CO538" s="11"/>
      <c r="CP538" s="28"/>
      <c r="CQ538" s="28"/>
      <c r="CR538" s="11"/>
      <c r="CS538" s="29"/>
      <c r="CT538" s="11"/>
      <c r="CU538" s="11"/>
      <c r="CV538" s="11"/>
      <c r="CW538" s="11"/>
      <c r="CX538" s="11"/>
      <c r="CY538" s="11"/>
      <c r="CZ538" s="11"/>
      <c r="DA538" s="28"/>
      <c r="DB538" s="28"/>
      <c r="DC538" s="11"/>
      <c r="DD538" s="29"/>
      <c r="DE538" s="11"/>
      <c r="DF538" s="11"/>
      <c r="DG538" s="11"/>
      <c r="DH538" s="11"/>
      <c r="DI538" s="11"/>
      <c r="DJ538" s="11"/>
      <c r="DK538" s="26"/>
      <c r="DL538" s="11"/>
      <c r="DM538" s="29"/>
      <c r="DN538" s="28"/>
      <c r="DO538" s="11"/>
      <c r="DP538" s="11"/>
      <c r="DQ538" s="11"/>
      <c r="DR538" s="29"/>
      <c r="DS538" s="28"/>
      <c r="DT538" s="11"/>
      <c r="DU538" s="26"/>
      <c r="DV538" s="11"/>
      <c r="DW538" s="29"/>
      <c r="DX538" s="28"/>
      <c r="DY538" s="11"/>
      <c r="DZ538" s="26"/>
      <c r="EA538" s="11"/>
      <c r="EB538" s="29"/>
      <c r="EC538" s="28"/>
      <c r="ED538" s="30"/>
      <c r="EE538" s="30" t="str">
        <f ca="1">IFERROR(__xludf.DUMMYFUNCTION("iferror(index(filter('Internal -- Trademark Countries'!E$2:E1000, (AM538 = 'Internal -- Trademark Countries'!B$2:B1000) + (AM538 = 'Internal -- Trademark Countries'!C$2:C1000) + (AM538 = 'Internal -- Trademark Countries'!D$2:D1000)), 1))"),"")</f>
        <v/>
      </c>
      <c r="EF538" s="30" t="e">
        <f ca="1">_xludf.ifs(AM538="", "", COUNTIF('Internal -- Trademark Countries'!B:B,AM538) &gt; 0, "polity_shortest_name", COUNTIF('Internal -- Trademark Countries'!C:C,AM538) &gt; 0, "polity_full_name", COUNTIF('Internal -- Trademark Countries'!D:D,AM538) &gt; 0, "polity_common_name", COUNTIF('Internal -- Trademark Countries'!E:E,AM538) &gt; 0, "shortest_name", COUNTIF('Internal -- Trademark Countries'!A:A,AM538) &gt; 0, "full_name", TRUE, "not a match")</f>
        <v>#NAME?</v>
      </c>
      <c r="EG538" s="30"/>
      <c r="EH538" s="30"/>
      <c r="EI538" s="30"/>
      <c r="EJ538" s="30"/>
      <c r="EK538" s="30" t="str">
        <f t="shared" si="4"/>
        <v/>
      </c>
    </row>
    <row r="539" spans="1:141" ht="16.5">
      <c r="A539" s="11"/>
      <c r="B539" s="11"/>
      <c r="C539" s="11"/>
      <c r="D539" s="11"/>
      <c r="E539" s="11"/>
      <c r="F539" s="11"/>
      <c r="G539" s="11"/>
      <c r="H539" s="11"/>
      <c r="I539" s="11"/>
      <c r="J539" s="11"/>
      <c r="K539" s="27"/>
      <c r="L539" s="11"/>
      <c r="M539" s="11"/>
      <c r="N539" s="11"/>
      <c r="O539" s="11"/>
      <c r="P539" s="15"/>
      <c r="Q539" s="15"/>
      <c r="R539" s="15"/>
      <c r="S539" s="15"/>
      <c r="T539" s="15"/>
      <c r="U539" s="15"/>
      <c r="V539" s="15"/>
      <c r="W539" s="47"/>
      <c r="X539" s="11"/>
      <c r="Y539" s="48"/>
      <c r="Z539" s="11"/>
      <c r="AA539" s="48"/>
      <c r="AB539" s="11"/>
      <c r="AC539" s="48"/>
      <c r="AD539" s="11"/>
      <c r="AE539" s="47"/>
      <c r="AF539" s="11"/>
      <c r="AG539" s="48"/>
      <c r="AH539" s="11"/>
      <c r="AI539" s="48"/>
      <c r="AJ539" s="11"/>
      <c r="AK539" s="48"/>
      <c r="AL539" s="11"/>
      <c r="AM539" s="49"/>
      <c r="AN539" s="49"/>
      <c r="AO539" s="11"/>
      <c r="AP539" s="11"/>
      <c r="AQ539" s="28" t="b">
        <f>IF(COUNTIF(SmartStatus!A$2:A1000, AM539) &gt; 2, TRUE, FALSE)</f>
        <v>0</v>
      </c>
      <c r="AR539" s="29" t="str">
        <f ca="1">IFERROR(__xludf.DUMMYFUNCTION("iferror(if(regexmatch(AO539, ""(?i)^registered""), if(EE539 &lt;&gt; ""polity_shortest_name"", ""CHECK_POLITY"", index(filter(SmartStatus!B$2:B1000, AM539 = SmartStatus!A$2:A1000, not(SmartStatus!C$2:C1000), (isblank(SmartStatus!D$2:D1000)) + ((P539 &lt;&gt; """") * "&amp;"(P539 &lt; SmartStatus!D$2:D1000)), (isblank(SmartStatus!E$2:E1000)) + ((P539 &lt;&gt; """") * (P539 &gt;= SmartStatus!E$2:E1000)), (isblank(SmartStatus!F$2:F1000)) + (((Q539 &lt;&gt; """") * (Q539 &lt; SmartStatus!F$2:F1000)) + ((P539 &lt;&gt; """") * (date(year(P539) + 3, month(P"&amp;"539), day(P539)) &lt; SmartStatus!F$2:F1000))), (isblank(SmartStatus!G$2:G1000)) + (((Q539 &lt;&gt; """") * (Q539 &gt;= SmartStatus!G$2:G1000)) + ((P539 &lt;&gt; """") * (P539 &gt;= SmartStatus!G$2:G1000)))), if(or(regexmatch(B539, ""(?i)^ir [a-z]+ designation$""), N539 &lt;&gt; """&amp;"""), 1, 2))), """"), ""NO_MATCH"")"),"")</f>
        <v/>
      </c>
      <c r="AS539" s="11"/>
      <c r="AT539" s="15"/>
      <c r="AU539" s="11"/>
      <c r="AV539" s="11"/>
      <c r="AW539" s="15"/>
      <c r="AX539" s="15"/>
      <c r="AY539" s="15"/>
      <c r="AZ539" s="11"/>
      <c r="BA539" s="15"/>
      <c r="BB539" s="11"/>
      <c r="BC539" s="11"/>
      <c r="BD539" s="15"/>
      <c r="BE539" s="11"/>
      <c r="BF539" s="11"/>
      <c r="BG539" s="15"/>
      <c r="BH539" s="15"/>
      <c r="BI539" s="15"/>
      <c r="BJ539" s="11"/>
      <c r="BK539" s="15"/>
      <c r="BL539" s="11"/>
      <c r="BM539" s="11"/>
      <c r="BN539" s="15"/>
      <c r="BO539" s="11"/>
      <c r="BP539" s="11"/>
      <c r="BQ539" s="15"/>
      <c r="BR539" s="15"/>
      <c r="BS539" s="15"/>
      <c r="BT539" s="11"/>
      <c r="BU539" s="15"/>
      <c r="BV539" s="11"/>
      <c r="BW539" s="11"/>
      <c r="BX539" s="15"/>
      <c r="BY539" s="11"/>
      <c r="BZ539" s="11"/>
      <c r="CA539" s="15"/>
      <c r="CB539" s="11"/>
      <c r="CC539" s="15"/>
      <c r="CD539" s="11"/>
      <c r="CE539" s="15"/>
      <c r="CF539" s="11"/>
      <c r="CG539" s="11"/>
      <c r="CH539" s="15"/>
      <c r="CI539" s="11"/>
      <c r="CJ539" s="11"/>
      <c r="CK539" s="15"/>
      <c r="CL539" s="11"/>
      <c r="CM539" s="11"/>
      <c r="CN539" s="11"/>
      <c r="CO539" s="11"/>
      <c r="CP539" s="28"/>
      <c r="CQ539" s="28"/>
      <c r="CR539" s="11"/>
      <c r="CS539" s="29"/>
      <c r="CT539" s="11"/>
      <c r="CU539" s="11"/>
      <c r="CV539" s="11"/>
      <c r="CW539" s="11"/>
      <c r="CX539" s="11"/>
      <c r="CY539" s="11"/>
      <c r="CZ539" s="11"/>
      <c r="DA539" s="28"/>
      <c r="DB539" s="28"/>
      <c r="DC539" s="11"/>
      <c r="DD539" s="29"/>
      <c r="DE539" s="11"/>
      <c r="DF539" s="11"/>
      <c r="DG539" s="11"/>
      <c r="DH539" s="11"/>
      <c r="DI539" s="11"/>
      <c r="DJ539" s="11"/>
      <c r="DK539" s="26"/>
      <c r="DL539" s="11"/>
      <c r="DM539" s="29"/>
      <c r="DN539" s="28"/>
      <c r="DO539" s="11"/>
      <c r="DP539" s="11"/>
      <c r="DQ539" s="11"/>
      <c r="DR539" s="29"/>
      <c r="DS539" s="28"/>
      <c r="DT539" s="11"/>
      <c r="DU539" s="26"/>
      <c r="DV539" s="11"/>
      <c r="DW539" s="29"/>
      <c r="DX539" s="28"/>
      <c r="DY539" s="11"/>
      <c r="DZ539" s="26"/>
      <c r="EA539" s="11"/>
      <c r="EB539" s="29"/>
      <c r="EC539" s="28"/>
      <c r="ED539" s="30"/>
      <c r="EE539" s="30" t="str">
        <f ca="1">IFERROR(__xludf.DUMMYFUNCTION("iferror(index(filter('Internal -- Trademark Countries'!E$2:E1000, (AM539 = 'Internal -- Trademark Countries'!B$2:B1000) + (AM539 = 'Internal -- Trademark Countries'!C$2:C1000) + (AM539 = 'Internal -- Trademark Countries'!D$2:D1000)), 1))"),"")</f>
        <v/>
      </c>
      <c r="EF539" s="30" t="e">
        <f ca="1">_xludf.ifs(AM539="", "", COUNTIF('Internal -- Trademark Countries'!B:B,AM539) &gt; 0, "polity_shortest_name", COUNTIF('Internal -- Trademark Countries'!C:C,AM539) &gt; 0, "polity_full_name", COUNTIF('Internal -- Trademark Countries'!D:D,AM539) &gt; 0, "polity_common_name", COUNTIF('Internal -- Trademark Countries'!E:E,AM539) &gt; 0, "shortest_name", COUNTIF('Internal -- Trademark Countries'!A:A,AM539) &gt; 0, "full_name", TRUE, "not a match")</f>
        <v>#NAME?</v>
      </c>
      <c r="EG539" s="30"/>
      <c r="EH539" s="30"/>
      <c r="EI539" s="30"/>
      <c r="EJ539" s="30"/>
      <c r="EK539" s="30" t="str">
        <f t="shared" si="4"/>
        <v/>
      </c>
    </row>
    <row r="540" spans="1:141" ht="16.5">
      <c r="A540" s="11"/>
      <c r="B540" s="11"/>
      <c r="C540" s="11"/>
      <c r="D540" s="11"/>
      <c r="E540" s="11"/>
      <c r="F540" s="11"/>
      <c r="G540" s="11"/>
      <c r="H540" s="11"/>
      <c r="I540" s="11"/>
      <c r="J540" s="11"/>
      <c r="K540" s="27"/>
      <c r="L540" s="11"/>
      <c r="M540" s="11"/>
      <c r="N540" s="11"/>
      <c r="O540" s="11"/>
      <c r="P540" s="15"/>
      <c r="Q540" s="15"/>
      <c r="R540" s="15"/>
      <c r="S540" s="15"/>
      <c r="T540" s="15"/>
      <c r="U540" s="15"/>
      <c r="V540" s="15"/>
      <c r="W540" s="47"/>
      <c r="X540" s="11"/>
      <c r="Y540" s="48"/>
      <c r="Z540" s="11"/>
      <c r="AA540" s="48"/>
      <c r="AB540" s="11"/>
      <c r="AC540" s="48"/>
      <c r="AD540" s="11"/>
      <c r="AE540" s="47"/>
      <c r="AF540" s="11"/>
      <c r="AG540" s="48"/>
      <c r="AH540" s="11"/>
      <c r="AI540" s="48"/>
      <c r="AJ540" s="11"/>
      <c r="AK540" s="48"/>
      <c r="AL540" s="11"/>
      <c r="AM540" s="49"/>
      <c r="AN540" s="49"/>
      <c r="AO540" s="11"/>
      <c r="AP540" s="11"/>
      <c r="AQ540" s="28" t="b">
        <f>IF(COUNTIF(SmartStatus!A$2:A1000, AM540) &gt; 2, TRUE, FALSE)</f>
        <v>0</v>
      </c>
      <c r="AR540" s="29" t="str">
        <f ca="1">IFERROR(__xludf.DUMMYFUNCTION("iferror(if(regexmatch(AO540, ""(?i)^registered""), if(EE540 &lt;&gt; ""polity_shortest_name"", ""CHECK_POLITY"", index(filter(SmartStatus!B$2:B1000, AM540 = SmartStatus!A$2:A1000, not(SmartStatus!C$2:C1000), (isblank(SmartStatus!D$2:D1000)) + ((P540 &lt;&gt; """") * "&amp;"(P540 &lt; SmartStatus!D$2:D1000)), (isblank(SmartStatus!E$2:E1000)) + ((P540 &lt;&gt; """") * (P540 &gt;= SmartStatus!E$2:E1000)), (isblank(SmartStatus!F$2:F1000)) + (((Q540 &lt;&gt; """") * (Q540 &lt; SmartStatus!F$2:F1000)) + ((P540 &lt;&gt; """") * (date(year(P540) + 3, month(P"&amp;"540), day(P540)) &lt; SmartStatus!F$2:F1000))), (isblank(SmartStatus!G$2:G1000)) + (((Q540 &lt;&gt; """") * (Q540 &gt;= SmartStatus!G$2:G1000)) + ((P540 &lt;&gt; """") * (P540 &gt;= SmartStatus!G$2:G1000)))), if(or(regexmatch(B540, ""(?i)^ir [a-z]+ designation$""), N540 &lt;&gt; """&amp;"""), 1, 2))), """"), ""NO_MATCH"")"),"")</f>
        <v/>
      </c>
      <c r="AS540" s="11"/>
      <c r="AT540" s="15"/>
      <c r="AU540" s="11"/>
      <c r="AV540" s="11"/>
      <c r="AW540" s="15"/>
      <c r="AX540" s="15"/>
      <c r="AY540" s="15"/>
      <c r="AZ540" s="11"/>
      <c r="BA540" s="15"/>
      <c r="BB540" s="11"/>
      <c r="BC540" s="11"/>
      <c r="BD540" s="15"/>
      <c r="BE540" s="11"/>
      <c r="BF540" s="11"/>
      <c r="BG540" s="15"/>
      <c r="BH540" s="15"/>
      <c r="BI540" s="15"/>
      <c r="BJ540" s="11"/>
      <c r="BK540" s="15"/>
      <c r="BL540" s="11"/>
      <c r="BM540" s="11"/>
      <c r="BN540" s="15"/>
      <c r="BO540" s="11"/>
      <c r="BP540" s="11"/>
      <c r="BQ540" s="15"/>
      <c r="BR540" s="15"/>
      <c r="BS540" s="15"/>
      <c r="BT540" s="11"/>
      <c r="BU540" s="15"/>
      <c r="BV540" s="11"/>
      <c r="BW540" s="11"/>
      <c r="BX540" s="15"/>
      <c r="BY540" s="11"/>
      <c r="BZ540" s="11"/>
      <c r="CA540" s="15"/>
      <c r="CB540" s="11"/>
      <c r="CC540" s="15"/>
      <c r="CD540" s="11"/>
      <c r="CE540" s="15"/>
      <c r="CF540" s="11"/>
      <c r="CG540" s="11"/>
      <c r="CH540" s="15"/>
      <c r="CI540" s="11"/>
      <c r="CJ540" s="11"/>
      <c r="CK540" s="15"/>
      <c r="CL540" s="11"/>
      <c r="CM540" s="11"/>
      <c r="CN540" s="11"/>
      <c r="CO540" s="11"/>
      <c r="CP540" s="28"/>
      <c r="CQ540" s="28"/>
      <c r="CR540" s="11"/>
      <c r="CS540" s="29"/>
      <c r="CT540" s="11"/>
      <c r="CU540" s="11"/>
      <c r="CV540" s="11"/>
      <c r="CW540" s="11"/>
      <c r="CX540" s="11"/>
      <c r="CY540" s="11"/>
      <c r="CZ540" s="11"/>
      <c r="DA540" s="28"/>
      <c r="DB540" s="28"/>
      <c r="DC540" s="11"/>
      <c r="DD540" s="29"/>
      <c r="DE540" s="11"/>
      <c r="DF540" s="11"/>
      <c r="DG540" s="11"/>
      <c r="DH540" s="11"/>
      <c r="DI540" s="11"/>
      <c r="DJ540" s="11"/>
      <c r="DK540" s="26"/>
      <c r="DL540" s="11"/>
      <c r="DM540" s="29"/>
      <c r="DN540" s="28"/>
      <c r="DO540" s="11"/>
      <c r="DP540" s="11"/>
      <c r="DQ540" s="11"/>
      <c r="DR540" s="29"/>
      <c r="DS540" s="28"/>
      <c r="DT540" s="11"/>
      <c r="DU540" s="26"/>
      <c r="DV540" s="11"/>
      <c r="DW540" s="29"/>
      <c r="DX540" s="28"/>
      <c r="DY540" s="11"/>
      <c r="DZ540" s="26"/>
      <c r="EA540" s="11"/>
      <c r="EB540" s="29"/>
      <c r="EC540" s="28"/>
      <c r="ED540" s="30"/>
      <c r="EE540" s="30" t="str">
        <f ca="1">IFERROR(__xludf.DUMMYFUNCTION("iferror(index(filter('Internal -- Trademark Countries'!E$2:E1000, (AM540 = 'Internal -- Trademark Countries'!B$2:B1000) + (AM540 = 'Internal -- Trademark Countries'!C$2:C1000) + (AM540 = 'Internal -- Trademark Countries'!D$2:D1000)), 1))"),"")</f>
        <v/>
      </c>
      <c r="EF540" s="30" t="e">
        <f ca="1">_xludf.ifs(AM540="", "", COUNTIF('Internal -- Trademark Countries'!B:B,AM540) &gt; 0, "polity_shortest_name", COUNTIF('Internal -- Trademark Countries'!C:C,AM540) &gt; 0, "polity_full_name", COUNTIF('Internal -- Trademark Countries'!D:D,AM540) &gt; 0, "polity_common_name", COUNTIF('Internal -- Trademark Countries'!E:E,AM540) &gt; 0, "shortest_name", COUNTIF('Internal -- Trademark Countries'!A:A,AM540) &gt; 0, "full_name", TRUE, "not a match")</f>
        <v>#NAME?</v>
      </c>
      <c r="EG540" s="30"/>
      <c r="EH540" s="30"/>
      <c r="EI540" s="30"/>
      <c r="EJ540" s="30"/>
      <c r="EK540" s="30" t="str">
        <f t="shared" si="4"/>
        <v/>
      </c>
    </row>
    <row r="541" spans="1:141" ht="16.5">
      <c r="A541" s="11"/>
      <c r="B541" s="11"/>
      <c r="C541" s="11"/>
      <c r="D541" s="11"/>
      <c r="E541" s="11"/>
      <c r="F541" s="11"/>
      <c r="G541" s="11"/>
      <c r="H541" s="11"/>
      <c r="I541" s="11"/>
      <c r="J541" s="11"/>
      <c r="K541" s="27"/>
      <c r="L541" s="11"/>
      <c r="M541" s="11"/>
      <c r="N541" s="11"/>
      <c r="O541" s="11"/>
      <c r="P541" s="15"/>
      <c r="Q541" s="15"/>
      <c r="R541" s="15"/>
      <c r="S541" s="15"/>
      <c r="T541" s="15"/>
      <c r="U541" s="15"/>
      <c r="V541" s="15"/>
      <c r="W541" s="47"/>
      <c r="X541" s="11"/>
      <c r="Y541" s="48"/>
      <c r="Z541" s="11"/>
      <c r="AA541" s="48"/>
      <c r="AB541" s="11"/>
      <c r="AC541" s="48"/>
      <c r="AD541" s="11"/>
      <c r="AE541" s="47"/>
      <c r="AF541" s="11"/>
      <c r="AG541" s="48"/>
      <c r="AH541" s="11"/>
      <c r="AI541" s="48"/>
      <c r="AJ541" s="11"/>
      <c r="AK541" s="48"/>
      <c r="AL541" s="11"/>
      <c r="AM541" s="49"/>
      <c r="AN541" s="49"/>
      <c r="AO541" s="11"/>
      <c r="AP541" s="11"/>
      <c r="AQ541" s="28" t="b">
        <f>IF(COUNTIF(SmartStatus!A$2:A1000, AM541) &gt; 2, TRUE, FALSE)</f>
        <v>0</v>
      </c>
      <c r="AR541" s="29" t="str">
        <f ca="1">IFERROR(__xludf.DUMMYFUNCTION("iferror(if(regexmatch(AO541, ""(?i)^registered""), if(EE541 &lt;&gt; ""polity_shortest_name"", ""CHECK_POLITY"", index(filter(SmartStatus!B$2:B1000, AM541 = SmartStatus!A$2:A1000, not(SmartStatus!C$2:C1000), (isblank(SmartStatus!D$2:D1000)) + ((P541 &lt;&gt; """") * "&amp;"(P541 &lt; SmartStatus!D$2:D1000)), (isblank(SmartStatus!E$2:E1000)) + ((P541 &lt;&gt; """") * (P541 &gt;= SmartStatus!E$2:E1000)), (isblank(SmartStatus!F$2:F1000)) + (((Q541 &lt;&gt; """") * (Q541 &lt; SmartStatus!F$2:F1000)) + ((P541 &lt;&gt; """") * (date(year(P541) + 3, month(P"&amp;"541), day(P541)) &lt; SmartStatus!F$2:F1000))), (isblank(SmartStatus!G$2:G1000)) + (((Q541 &lt;&gt; """") * (Q541 &gt;= SmartStatus!G$2:G1000)) + ((P541 &lt;&gt; """") * (P541 &gt;= SmartStatus!G$2:G1000)))), if(or(regexmatch(B541, ""(?i)^ir [a-z]+ designation$""), N541 &lt;&gt; """&amp;"""), 1, 2))), """"), ""NO_MATCH"")"),"")</f>
        <v/>
      </c>
      <c r="AS541" s="11"/>
      <c r="AT541" s="15"/>
      <c r="AU541" s="11"/>
      <c r="AV541" s="11"/>
      <c r="AW541" s="15"/>
      <c r="AX541" s="15"/>
      <c r="AY541" s="15"/>
      <c r="AZ541" s="11"/>
      <c r="BA541" s="15"/>
      <c r="BB541" s="11"/>
      <c r="BC541" s="11"/>
      <c r="BD541" s="15"/>
      <c r="BE541" s="11"/>
      <c r="BF541" s="11"/>
      <c r="BG541" s="15"/>
      <c r="BH541" s="15"/>
      <c r="BI541" s="15"/>
      <c r="BJ541" s="11"/>
      <c r="BK541" s="15"/>
      <c r="BL541" s="11"/>
      <c r="BM541" s="11"/>
      <c r="BN541" s="15"/>
      <c r="BO541" s="11"/>
      <c r="BP541" s="11"/>
      <c r="BQ541" s="15"/>
      <c r="BR541" s="15"/>
      <c r="BS541" s="15"/>
      <c r="BT541" s="11"/>
      <c r="BU541" s="15"/>
      <c r="BV541" s="11"/>
      <c r="BW541" s="11"/>
      <c r="BX541" s="15"/>
      <c r="BY541" s="11"/>
      <c r="BZ541" s="11"/>
      <c r="CA541" s="15"/>
      <c r="CB541" s="11"/>
      <c r="CC541" s="15"/>
      <c r="CD541" s="11"/>
      <c r="CE541" s="15"/>
      <c r="CF541" s="11"/>
      <c r="CG541" s="11"/>
      <c r="CH541" s="15"/>
      <c r="CI541" s="11"/>
      <c r="CJ541" s="11"/>
      <c r="CK541" s="15"/>
      <c r="CL541" s="11"/>
      <c r="CM541" s="11"/>
      <c r="CN541" s="11"/>
      <c r="CO541" s="11"/>
      <c r="CP541" s="28"/>
      <c r="CQ541" s="28"/>
      <c r="CR541" s="11"/>
      <c r="CS541" s="29"/>
      <c r="CT541" s="11"/>
      <c r="CU541" s="11"/>
      <c r="CV541" s="11"/>
      <c r="CW541" s="11"/>
      <c r="CX541" s="11"/>
      <c r="CY541" s="11"/>
      <c r="CZ541" s="11"/>
      <c r="DA541" s="28"/>
      <c r="DB541" s="28"/>
      <c r="DC541" s="11"/>
      <c r="DD541" s="29"/>
      <c r="DE541" s="11"/>
      <c r="DF541" s="11"/>
      <c r="DG541" s="11"/>
      <c r="DH541" s="11"/>
      <c r="DI541" s="11"/>
      <c r="DJ541" s="11"/>
      <c r="DK541" s="26"/>
      <c r="DL541" s="11"/>
      <c r="DM541" s="29"/>
      <c r="DN541" s="28"/>
      <c r="DO541" s="11"/>
      <c r="DP541" s="11"/>
      <c r="DQ541" s="11"/>
      <c r="DR541" s="29"/>
      <c r="DS541" s="28"/>
      <c r="DT541" s="11"/>
      <c r="DU541" s="26"/>
      <c r="DV541" s="11"/>
      <c r="DW541" s="29"/>
      <c r="DX541" s="28"/>
      <c r="DY541" s="11"/>
      <c r="DZ541" s="26"/>
      <c r="EA541" s="11"/>
      <c r="EB541" s="29"/>
      <c r="EC541" s="28"/>
      <c r="ED541" s="30"/>
      <c r="EE541" s="30" t="str">
        <f ca="1">IFERROR(__xludf.DUMMYFUNCTION("iferror(index(filter('Internal -- Trademark Countries'!E$2:E1000, (AM541 = 'Internal -- Trademark Countries'!B$2:B1000) + (AM541 = 'Internal -- Trademark Countries'!C$2:C1000) + (AM541 = 'Internal -- Trademark Countries'!D$2:D1000)), 1))"),"")</f>
        <v/>
      </c>
      <c r="EF541" s="30" t="e">
        <f ca="1">_xludf.ifs(AM541="", "", COUNTIF('Internal -- Trademark Countries'!B:B,AM541) &gt; 0, "polity_shortest_name", COUNTIF('Internal -- Trademark Countries'!C:C,AM541) &gt; 0, "polity_full_name", COUNTIF('Internal -- Trademark Countries'!D:D,AM541) &gt; 0, "polity_common_name", COUNTIF('Internal -- Trademark Countries'!E:E,AM541) &gt; 0, "shortest_name", COUNTIF('Internal -- Trademark Countries'!A:A,AM541) &gt; 0, "full_name", TRUE, "not a match")</f>
        <v>#NAME?</v>
      </c>
      <c r="EG541" s="30"/>
      <c r="EH541" s="30"/>
      <c r="EI541" s="30"/>
      <c r="EJ541" s="30"/>
      <c r="EK541" s="30" t="str">
        <f t="shared" si="4"/>
        <v/>
      </c>
    </row>
    <row r="542" spans="1:141" ht="16.5">
      <c r="A542" s="11"/>
      <c r="B542" s="11"/>
      <c r="C542" s="11"/>
      <c r="D542" s="11"/>
      <c r="E542" s="11"/>
      <c r="F542" s="11"/>
      <c r="G542" s="11"/>
      <c r="H542" s="11"/>
      <c r="I542" s="11"/>
      <c r="J542" s="11"/>
      <c r="K542" s="27"/>
      <c r="L542" s="11"/>
      <c r="M542" s="11"/>
      <c r="N542" s="11"/>
      <c r="O542" s="11"/>
      <c r="P542" s="15"/>
      <c r="Q542" s="15"/>
      <c r="R542" s="15"/>
      <c r="S542" s="15"/>
      <c r="T542" s="15"/>
      <c r="U542" s="15"/>
      <c r="V542" s="15"/>
      <c r="W542" s="47"/>
      <c r="X542" s="11"/>
      <c r="Y542" s="48"/>
      <c r="Z542" s="11"/>
      <c r="AA542" s="48"/>
      <c r="AB542" s="11"/>
      <c r="AC542" s="48"/>
      <c r="AD542" s="11"/>
      <c r="AE542" s="47"/>
      <c r="AF542" s="11"/>
      <c r="AG542" s="48"/>
      <c r="AH542" s="11"/>
      <c r="AI542" s="48"/>
      <c r="AJ542" s="11"/>
      <c r="AK542" s="48"/>
      <c r="AL542" s="11"/>
      <c r="AM542" s="49"/>
      <c r="AN542" s="49"/>
      <c r="AO542" s="11"/>
      <c r="AP542" s="11"/>
      <c r="AQ542" s="28" t="b">
        <f>IF(COUNTIF(SmartStatus!A$2:A1000, AM542) &gt; 2, TRUE, FALSE)</f>
        <v>0</v>
      </c>
      <c r="AR542" s="29" t="str">
        <f ca="1">IFERROR(__xludf.DUMMYFUNCTION("iferror(if(regexmatch(AO542, ""(?i)^registered""), if(EE542 &lt;&gt; ""polity_shortest_name"", ""CHECK_POLITY"", index(filter(SmartStatus!B$2:B1000, AM542 = SmartStatus!A$2:A1000, not(SmartStatus!C$2:C1000), (isblank(SmartStatus!D$2:D1000)) + ((P542 &lt;&gt; """") * "&amp;"(P542 &lt; SmartStatus!D$2:D1000)), (isblank(SmartStatus!E$2:E1000)) + ((P542 &lt;&gt; """") * (P542 &gt;= SmartStatus!E$2:E1000)), (isblank(SmartStatus!F$2:F1000)) + (((Q542 &lt;&gt; """") * (Q542 &lt; SmartStatus!F$2:F1000)) + ((P542 &lt;&gt; """") * (date(year(P542) + 3, month(P"&amp;"542), day(P542)) &lt; SmartStatus!F$2:F1000))), (isblank(SmartStatus!G$2:G1000)) + (((Q542 &lt;&gt; """") * (Q542 &gt;= SmartStatus!G$2:G1000)) + ((P542 &lt;&gt; """") * (P542 &gt;= SmartStatus!G$2:G1000)))), if(or(regexmatch(B542, ""(?i)^ir [a-z]+ designation$""), N542 &lt;&gt; """&amp;"""), 1, 2))), """"), ""NO_MATCH"")"),"")</f>
        <v/>
      </c>
      <c r="AS542" s="11"/>
      <c r="AT542" s="15"/>
      <c r="AU542" s="11"/>
      <c r="AV542" s="11"/>
      <c r="AW542" s="15"/>
      <c r="AX542" s="15"/>
      <c r="AY542" s="15"/>
      <c r="AZ542" s="11"/>
      <c r="BA542" s="15"/>
      <c r="BB542" s="11"/>
      <c r="BC542" s="11"/>
      <c r="BD542" s="15"/>
      <c r="BE542" s="11"/>
      <c r="BF542" s="11"/>
      <c r="BG542" s="15"/>
      <c r="BH542" s="15"/>
      <c r="BI542" s="15"/>
      <c r="BJ542" s="11"/>
      <c r="BK542" s="15"/>
      <c r="BL542" s="11"/>
      <c r="BM542" s="11"/>
      <c r="BN542" s="15"/>
      <c r="BO542" s="11"/>
      <c r="BP542" s="11"/>
      <c r="BQ542" s="15"/>
      <c r="BR542" s="15"/>
      <c r="BS542" s="15"/>
      <c r="BT542" s="11"/>
      <c r="BU542" s="15"/>
      <c r="BV542" s="11"/>
      <c r="BW542" s="11"/>
      <c r="BX542" s="15"/>
      <c r="BY542" s="11"/>
      <c r="BZ542" s="11"/>
      <c r="CA542" s="15"/>
      <c r="CB542" s="11"/>
      <c r="CC542" s="15"/>
      <c r="CD542" s="11"/>
      <c r="CE542" s="15"/>
      <c r="CF542" s="11"/>
      <c r="CG542" s="11"/>
      <c r="CH542" s="15"/>
      <c r="CI542" s="11"/>
      <c r="CJ542" s="11"/>
      <c r="CK542" s="15"/>
      <c r="CL542" s="11"/>
      <c r="CM542" s="11"/>
      <c r="CN542" s="11"/>
      <c r="CO542" s="11"/>
      <c r="CP542" s="28"/>
      <c r="CQ542" s="28"/>
      <c r="CR542" s="11"/>
      <c r="CS542" s="29"/>
      <c r="CT542" s="11"/>
      <c r="CU542" s="11"/>
      <c r="CV542" s="11"/>
      <c r="CW542" s="11"/>
      <c r="CX542" s="11"/>
      <c r="CY542" s="11"/>
      <c r="CZ542" s="11"/>
      <c r="DA542" s="28"/>
      <c r="DB542" s="28"/>
      <c r="DC542" s="11"/>
      <c r="DD542" s="29"/>
      <c r="DE542" s="11"/>
      <c r="DF542" s="11"/>
      <c r="DG542" s="11"/>
      <c r="DH542" s="11"/>
      <c r="DI542" s="11"/>
      <c r="DJ542" s="11"/>
      <c r="DK542" s="26"/>
      <c r="DL542" s="11"/>
      <c r="DM542" s="29"/>
      <c r="DN542" s="28"/>
      <c r="DO542" s="11"/>
      <c r="DP542" s="11"/>
      <c r="DQ542" s="11"/>
      <c r="DR542" s="29"/>
      <c r="DS542" s="28"/>
      <c r="DT542" s="11"/>
      <c r="DU542" s="26"/>
      <c r="DV542" s="11"/>
      <c r="DW542" s="29"/>
      <c r="DX542" s="28"/>
      <c r="DY542" s="11"/>
      <c r="DZ542" s="26"/>
      <c r="EA542" s="11"/>
      <c r="EB542" s="29"/>
      <c r="EC542" s="28"/>
      <c r="ED542" s="30"/>
      <c r="EE542" s="30" t="str">
        <f ca="1">IFERROR(__xludf.DUMMYFUNCTION("iferror(index(filter('Internal -- Trademark Countries'!E$2:E1000, (AM542 = 'Internal -- Trademark Countries'!B$2:B1000) + (AM542 = 'Internal -- Trademark Countries'!C$2:C1000) + (AM542 = 'Internal -- Trademark Countries'!D$2:D1000)), 1))"),"")</f>
        <v/>
      </c>
      <c r="EF542" s="30" t="e">
        <f ca="1">_xludf.ifs(AM542="", "", COUNTIF('Internal -- Trademark Countries'!B:B,AM542) &gt; 0, "polity_shortest_name", COUNTIF('Internal -- Trademark Countries'!C:C,AM542) &gt; 0, "polity_full_name", COUNTIF('Internal -- Trademark Countries'!D:D,AM542) &gt; 0, "polity_common_name", COUNTIF('Internal -- Trademark Countries'!E:E,AM542) &gt; 0, "shortest_name", COUNTIF('Internal -- Trademark Countries'!A:A,AM542) &gt; 0, "full_name", TRUE, "not a match")</f>
        <v>#NAME?</v>
      </c>
      <c r="EG542" s="30"/>
      <c r="EH542" s="30"/>
      <c r="EI542" s="30"/>
      <c r="EJ542" s="30"/>
      <c r="EK542" s="30" t="str">
        <f t="shared" si="4"/>
        <v/>
      </c>
    </row>
    <row r="543" spans="1:141" ht="16.5">
      <c r="A543" s="11"/>
      <c r="B543" s="11"/>
      <c r="C543" s="11"/>
      <c r="D543" s="11"/>
      <c r="E543" s="11"/>
      <c r="F543" s="11"/>
      <c r="G543" s="11"/>
      <c r="H543" s="11"/>
      <c r="I543" s="11"/>
      <c r="J543" s="11"/>
      <c r="K543" s="27"/>
      <c r="L543" s="11"/>
      <c r="M543" s="11"/>
      <c r="N543" s="11"/>
      <c r="O543" s="11"/>
      <c r="P543" s="15"/>
      <c r="Q543" s="15"/>
      <c r="R543" s="15"/>
      <c r="S543" s="15"/>
      <c r="T543" s="15"/>
      <c r="U543" s="15"/>
      <c r="V543" s="15"/>
      <c r="W543" s="47"/>
      <c r="X543" s="11"/>
      <c r="Y543" s="48"/>
      <c r="Z543" s="11"/>
      <c r="AA543" s="48"/>
      <c r="AB543" s="11"/>
      <c r="AC543" s="48"/>
      <c r="AD543" s="11"/>
      <c r="AE543" s="47"/>
      <c r="AF543" s="11"/>
      <c r="AG543" s="48"/>
      <c r="AH543" s="11"/>
      <c r="AI543" s="48"/>
      <c r="AJ543" s="11"/>
      <c r="AK543" s="48"/>
      <c r="AL543" s="11"/>
      <c r="AM543" s="49"/>
      <c r="AN543" s="49"/>
      <c r="AO543" s="11"/>
      <c r="AP543" s="11"/>
      <c r="AQ543" s="28" t="b">
        <f>IF(COUNTIF(SmartStatus!A$2:A1000, AM543) &gt; 2, TRUE, FALSE)</f>
        <v>0</v>
      </c>
      <c r="AR543" s="29" t="str">
        <f ca="1">IFERROR(__xludf.DUMMYFUNCTION("iferror(if(regexmatch(AO543, ""(?i)^registered""), if(EE543 &lt;&gt; ""polity_shortest_name"", ""CHECK_POLITY"", index(filter(SmartStatus!B$2:B1000, AM543 = SmartStatus!A$2:A1000, not(SmartStatus!C$2:C1000), (isblank(SmartStatus!D$2:D1000)) + ((P543 &lt;&gt; """") * "&amp;"(P543 &lt; SmartStatus!D$2:D1000)), (isblank(SmartStatus!E$2:E1000)) + ((P543 &lt;&gt; """") * (P543 &gt;= SmartStatus!E$2:E1000)), (isblank(SmartStatus!F$2:F1000)) + (((Q543 &lt;&gt; """") * (Q543 &lt; SmartStatus!F$2:F1000)) + ((P543 &lt;&gt; """") * (date(year(P543) + 3, month(P"&amp;"543), day(P543)) &lt; SmartStatus!F$2:F1000))), (isblank(SmartStatus!G$2:G1000)) + (((Q543 &lt;&gt; """") * (Q543 &gt;= SmartStatus!G$2:G1000)) + ((P543 &lt;&gt; """") * (P543 &gt;= SmartStatus!G$2:G1000)))), if(or(regexmatch(B543, ""(?i)^ir [a-z]+ designation$""), N543 &lt;&gt; """&amp;"""), 1, 2))), """"), ""NO_MATCH"")"),"")</f>
        <v/>
      </c>
      <c r="AS543" s="11"/>
      <c r="AT543" s="15"/>
      <c r="AU543" s="11"/>
      <c r="AV543" s="11"/>
      <c r="AW543" s="15"/>
      <c r="AX543" s="15"/>
      <c r="AY543" s="15"/>
      <c r="AZ543" s="11"/>
      <c r="BA543" s="15"/>
      <c r="BB543" s="11"/>
      <c r="BC543" s="11"/>
      <c r="BD543" s="15"/>
      <c r="BE543" s="11"/>
      <c r="BF543" s="11"/>
      <c r="BG543" s="15"/>
      <c r="BH543" s="15"/>
      <c r="BI543" s="15"/>
      <c r="BJ543" s="11"/>
      <c r="BK543" s="15"/>
      <c r="BL543" s="11"/>
      <c r="BM543" s="11"/>
      <c r="BN543" s="15"/>
      <c r="BO543" s="11"/>
      <c r="BP543" s="11"/>
      <c r="BQ543" s="15"/>
      <c r="BR543" s="15"/>
      <c r="BS543" s="15"/>
      <c r="BT543" s="11"/>
      <c r="BU543" s="15"/>
      <c r="BV543" s="11"/>
      <c r="BW543" s="11"/>
      <c r="BX543" s="15"/>
      <c r="BY543" s="11"/>
      <c r="BZ543" s="11"/>
      <c r="CA543" s="15"/>
      <c r="CB543" s="11"/>
      <c r="CC543" s="15"/>
      <c r="CD543" s="11"/>
      <c r="CE543" s="15"/>
      <c r="CF543" s="11"/>
      <c r="CG543" s="11"/>
      <c r="CH543" s="15"/>
      <c r="CI543" s="11"/>
      <c r="CJ543" s="11"/>
      <c r="CK543" s="15"/>
      <c r="CL543" s="11"/>
      <c r="CM543" s="11"/>
      <c r="CN543" s="11"/>
      <c r="CO543" s="11"/>
      <c r="CP543" s="28"/>
      <c r="CQ543" s="28"/>
      <c r="CR543" s="11"/>
      <c r="CS543" s="29"/>
      <c r="CT543" s="11"/>
      <c r="CU543" s="11"/>
      <c r="CV543" s="11"/>
      <c r="CW543" s="11"/>
      <c r="CX543" s="11"/>
      <c r="CY543" s="11"/>
      <c r="CZ543" s="11"/>
      <c r="DA543" s="28"/>
      <c r="DB543" s="28"/>
      <c r="DC543" s="11"/>
      <c r="DD543" s="29"/>
      <c r="DE543" s="11"/>
      <c r="DF543" s="11"/>
      <c r="DG543" s="11"/>
      <c r="DH543" s="11"/>
      <c r="DI543" s="11"/>
      <c r="DJ543" s="11"/>
      <c r="DK543" s="26"/>
      <c r="DL543" s="11"/>
      <c r="DM543" s="29"/>
      <c r="DN543" s="28"/>
      <c r="DO543" s="11"/>
      <c r="DP543" s="11"/>
      <c r="DQ543" s="11"/>
      <c r="DR543" s="29"/>
      <c r="DS543" s="28"/>
      <c r="DT543" s="11"/>
      <c r="DU543" s="26"/>
      <c r="DV543" s="11"/>
      <c r="DW543" s="29"/>
      <c r="DX543" s="28"/>
      <c r="DY543" s="11"/>
      <c r="DZ543" s="26"/>
      <c r="EA543" s="11"/>
      <c r="EB543" s="29"/>
      <c r="EC543" s="28"/>
      <c r="ED543" s="30"/>
      <c r="EE543" s="30" t="str">
        <f ca="1">IFERROR(__xludf.DUMMYFUNCTION("iferror(index(filter('Internal -- Trademark Countries'!E$2:E1000, (AM543 = 'Internal -- Trademark Countries'!B$2:B1000) + (AM543 = 'Internal -- Trademark Countries'!C$2:C1000) + (AM543 = 'Internal -- Trademark Countries'!D$2:D1000)), 1))"),"")</f>
        <v/>
      </c>
      <c r="EF543" s="30" t="e">
        <f ca="1">_xludf.ifs(AM543="", "", COUNTIF('Internal -- Trademark Countries'!B:B,AM543) &gt; 0, "polity_shortest_name", COUNTIF('Internal -- Trademark Countries'!C:C,AM543) &gt; 0, "polity_full_name", COUNTIF('Internal -- Trademark Countries'!D:D,AM543) &gt; 0, "polity_common_name", COUNTIF('Internal -- Trademark Countries'!E:E,AM543) &gt; 0, "shortest_name", COUNTIF('Internal -- Trademark Countries'!A:A,AM543) &gt; 0, "full_name", TRUE, "not a match")</f>
        <v>#NAME?</v>
      </c>
      <c r="EG543" s="30"/>
      <c r="EH543" s="30"/>
      <c r="EI543" s="30"/>
      <c r="EJ543" s="30"/>
      <c r="EK543" s="30" t="str">
        <f t="shared" si="4"/>
        <v/>
      </c>
    </row>
    <row r="544" spans="1:141" ht="16.5">
      <c r="A544" s="11"/>
      <c r="B544" s="11"/>
      <c r="C544" s="11"/>
      <c r="D544" s="11"/>
      <c r="E544" s="11"/>
      <c r="F544" s="11"/>
      <c r="G544" s="11"/>
      <c r="H544" s="11"/>
      <c r="I544" s="11"/>
      <c r="J544" s="11"/>
      <c r="K544" s="27"/>
      <c r="L544" s="11"/>
      <c r="M544" s="11"/>
      <c r="N544" s="11"/>
      <c r="O544" s="11"/>
      <c r="P544" s="15"/>
      <c r="Q544" s="15"/>
      <c r="R544" s="15"/>
      <c r="S544" s="15"/>
      <c r="T544" s="15"/>
      <c r="U544" s="15"/>
      <c r="V544" s="15"/>
      <c r="W544" s="47"/>
      <c r="X544" s="11"/>
      <c r="Y544" s="48"/>
      <c r="Z544" s="11"/>
      <c r="AA544" s="48"/>
      <c r="AB544" s="11"/>
      <c r="AC544" s="48"/>
      <c r="AD544" s="11"/>
      <c r="AE544" s="47"/>
      <c r="AF544" s="11"/>
      <c r="AG544" s="48"/>
      <c r="AH544" s="11"/>
      <c r="AI544" s="48"/>
      <c r="AJ544" s="11"/>
      <c r="AK544" s="48"/>
      <c r="AL544" s="11"/>
      <c r="AM544" s="49"/>
      <c r="AN544" s="49"/>
      <c r="AO544" s="11"/>
      <c r="AP544" s="11"/>
      <c r="AQ544" s="28" t="b">
        <f>IF(COUNTIF(SmartStatus!A$2:A1000, AM544) &gt; 2, TRUE, FALSE)</f>
        <v>0</v>
      </c>
      <c r="AR544" s="29" t="str">
        <f ca="1">IFERROR(__xludf.DUMMYFUNCTION("iferror(if(regexmatch(AO544, ""(?i)^registered""), if(EE544 &lt;&gt; ""polity_shortest_name"", ""CHECK_POLITY"", index(filter(SmartStatus!B$2:B1000, AM544 = SmartStatus!A$2:A1000, not(SmartStatus!C$2:C1000), (isblank(SmartStatus!D$2:D1000)) + ((P544 &lt;&gt; """") * "&amp;"(P544 &lt; SmartStatus!D$2:D1000)), (isblank(SmartStatus!E$2:E1000)) + ((P544 &lt;&gt; """") * (P544 &gt;= SmartStatus!E$2:E1000)), (isblank(SmartStatus!F$2:F1000)) + (((Q544 &lt;&gt; """") * (Q544 &lt; SmartStatus!F$2:F1000)) + ((P544 &lt;&gt; """") * (date(year(P544) + 3, month(P"&amp;"544), day(P544)) &lt; SmartStatus!F$2:F1000))), (isblank(SmartStatus!G$2:G1000)) + (((Q544 &lt;&gt; """") * (Q544 &gt;= SmartStatus!G$2:G1000)) + ((P544 &lt;&gt; """") * (P544 &gt;= SmartStatus!G$2:G1000)))), if(or(regexmatch(B544, ""(?i)^ir [a-z]+ designation$""), N544 &lt;&gt; """&amp;"""), 1, 2))), """"), ""NO_MATCH"")"),"")</f>
        <v/>
      </c>
      <c r="AS544" s="11"/>
      <c r="AT544" s="15"/>
      <c r="AU544" s="11"/>
      <c r="AV544" s="11"/>
      <c r="AW544" s="15"/>
      <c r="AX544" s="15"/>
      <c r="AY544" s="15"/>
      <c r="AZ544" s="11"/>
      <c r="BA544" s="15"/>
      <c r="BB544" s="11"/>
      <c r="BC544" s="11"/>
      <c r="BD544" s="15"/>
      <c r="BE544" s="11"/>
      <c r="BF544" s="11"/>
      <c r="BG544" s="15"/>
      <c r="BH544" s="15"/>
      <c r="BI544" s="15"/>
      <c r="BJ544" s="11"/>
      <c r="BK544" s="15"/>
      <c r="BL544" s="11"/>
      <c r="BM544" s="11"/>
      <c r="BN544" s="15"/>
      <c r="BO544" s="11"/>
      <c r="BP544" s="11"/>
      <c r="BQ544" s="15"/>
      <c r="BR544" s="15"/>
      <c r="BS544" s="15"/>
      <c r="BT544" s="11"/>
      <c r="BU544" s="15"/>
      <c r="BV544" s="11"/>
      <c r="BW544" s="11"/>
      <c r="BX544" s="15"/>
      <c r="BY544" s="11"/>
      <c r="BZ544" s="11"/>
      <c r="CA544" s="15"/>
      <c r="CB544" s="11"/>
      <c r="CC544" s="15"/>
      <c r="CD544" s="11"/>
      <c r="CE544" s="15"/>
      <c r="CF544" s="11"/>
      <c r="CG544" s="11"/>
      <c r="CH544" s="15"/>
      <c r="CI544" s="11"/>
      <c r="CJ544" s="11"/>
      <c r="CK544" s="15"/>
      <c r="CL544" s="11"/>
      <c r="CM544" s="11"/>
      <c r="CN544" s="11"/>
      <c r="CO544" s="11"/>
      <c r="CP544" s="28"/>
      <c r="CQ544" s="28"/>
      <c r="CR544" s="11"/>
      <c r="CS544" s="29"/>
      <c r="CT544" s="11"/>
      <c r="CU544" s="11"/>
      <c r="CV544" s="11"/>
      <c r="CW544" s="11"/>
      <c r="CX544" s="11"/>
      <c r="CY544" s="11"/>
      <c r="CZ544" s="11"/>
      <c r="DA544" s="28"/>
      <c r="DB544" s="28"/>
      <c r="DC544" s="11"/>
      <c r="DD544" s="29"/>
      <c r="DE544" s="11"/>
      <c r="DF544" s="11"/>
      <c r="DG544" s="11"/>
      <c r="DH544" s="11"/>
      <c r="DI544" s="11"/>
      <c r="DJ544" s="11"/>
      <c r="DK544" s="26"/>
      <c r="DL544" s="11"/>
      <c r="DM544" s="29"/>
      <c r="DN544" s="28"/>
      <c r="DO544" s="11"/>
      <c r="DP544" s="11"/>
      <c r="DQ544" s="11"/>
      <c r="DR544" s="29"/>
      <c r="DS544" s="28"/>
      <c r="DT544" s="11"/>
      <c r="DU544" s="26"/>
      <c r="DV544" s="11"/>
      <c r="DW544" s="29"/>
      <c r="DX544" s="28"/>
      <c r="DY544" s="11"/>
      <c r="DZ544" s="26"/>
      <c r="EA544" s="11"/>
      <c r="EB544" s="29"/>
      <c r="EC544" s="28"/>
      <c r="ED544" s="30"/>
      <c r="EE544" s="30" t="str">
        <f ca="1">IFERROR(__xludf.DUMMYFUNCTION("iferror(index(filter('Internal -- Trademark Countries'!E$2:E1000, (AM544 = 'Internal -- Trademark Countries'!B$2:B1000) + (AM544 = 'Internal -- Trademark Countries'!C$2:C1000) + (AM544 = 'Internal -- Trademark Countries'!D$2:D1000)), 1))"),"")</f>
        <v/>
      </c>
      <c r="EF544" s="30" t="e">
        <f ca="1">_xludf.ifs(AM544="", "", COUNTIF('Internal -- Trademark Countries'!B:B,AM544) &gt; 0, "polity_shortest_name", COUNTIF('Internal -- Trademark Countries'!C:C,AM544) &gt; 0, "polity_full_name", COUNTIF('Internal -- Trademark Countries'!D:D,AM544) &gt; 0, "polity_common_name", COUNTIF('Internal -- Trademark Countries'!E:E,AM544) &gt; 0, "shortest_name", COUNTIF('Internal -- Trademark Countries'!A:A,AM544) &gt; 0, "full_name", TRUE, "not a match")</f>
        <v>#NAME?</v>
      </c>
      <c r="EG544" s="30"/>
      <c r="EH544" s="30"/>
      <c r="EI544" s="30"/>
      <c r="EJ544" s="30"/>
      <c r="EK544" s="30" t="str">
        <f t="shared" si="4"/>
        <v/>
      </c>
    </row>
    <row r="545" spans="1:141" ht="16.5">
      <c r="A545" s="11"/>
      <c r="B545" s="11"/>
      <c r="C545" s="11"/>
      <c r="D545" s="11"/>
      <c r="E545" s="11"/>
      <c r="F545" s="11"/>
      <c r="G545" s="11"/>
      <c r="H545" s="11"/>
      <c r="I545" s="11"/>
      <c r="J545" s="11"/>
      <c r="K545" s="27"/>
      <c r="L545" s="11"/>
      <c r="M545" s="11"/>
      <c r="N545" s="11"/>
      <c r="O545" s="11"/>
      <c r="P545" s="15"/>
      <c r="Q545" s="15"/>
      <c r="R545" s="15"/>
      <c r="S545" s="15"/>
      <c r="T545" s="15"/>
      <c r="U545" s="15"/>
      <c r="V545" s="15"/>
      <c r="W545" s="47"/>
      <c r="X545" s="11"/>
      <c r="Y545" s="48"/>
      <c r="Z545" s="11"/>
      <c r="AA545" s="48"/>
      <c r="AB545" s="11"/>
      <c r="AC545" s="48"/>
      <c r="AD545" s="11"/>
      <c r="AE545" s="47"/>
      <c r="AF545" s="11"/>
      <c r="AG545" s="48"/>
      <c r="AH545" s="11"/>
      <c r="AI545" s="48"/>
      <c r="AJ545" s="11"/>
      <c r="AK545" s="48"/>
      <c r="AL545" s="11"/>
      <c r="AM545" s="49"/>
      <c r="AN545" s="49"/>
      <c r="AO545" s="11"/>
      <c r="AP545" s="11"/>
      <c r="AQ545" s="28" t="b">
        <f>IF(COUNTIF(SmartStatus!A$2:A1000, AM545) &gt; 2, TRUE, FALSE)</f>
        <v>0</v>
      </c>
      <c r="AR545" s="29" t="str">
        <f ca="1">IFERROR(__xludf.DUMMYFUNCTION("iferror(if(regexmatch(AO545, ""(?i)^registered""), if(EE545 &lt;&gt; ""polity_shortest_name"", ""CHECK_POLITY"", index(filter(SmartStatus!B$2:B1000, AM545 = SmartStatus!A$2:A1000, not(SmartStatus!C$2:C1000), (isblank(SmartStatus!D$2:D1000)) + ((P545 &lt;&gt; """") * "&amp;"(P545 &lt; SmartStatus!D$2:D1000)), (isblank(SmartStatus!E$2:E1000)) + ((P545 &lt;&gt; """") * (P545 &gt;= SmartStatus!E$2:E1000)), (isblank(SmartStatus!F$2:F1000)) + (((Q545 &lt;&gt; """") * (Q545 &lt; SmartStatus!F$2:F1000)) + ((P545 &lt;&gt; """") * (date(year(P545) + 3, month(P"&amp;"545), day(P545)) &lt; SmartStatus!F$2:F1000))), (isblank(SmartStatus!G$2:G1000)) + (((Q545 &lt;&gt; """") * (Q545 &gt;= SmartStatus!G$2:G1000)) + ((P545 &lt;&gt; """") * (P545 &gt;= SmartStatus!G$2:G1000)))), if(or(regexmatch(B545, ""(?i)^ir [a-z]+ designation$""), N545 &lt;&gt; """&amp;"""), 1, 2))), """"), ""NO_MATCH"")"),"")</f>
        <v/>
      </c>
      <c r="AS545" s="11"/>
      <c r="AT545" s="15"/>
      <c r="AU545" s="11"/>
      <c r="AV545" s="11"/>
      <c r="AW545" s="15"/>
      <c r="AX545" s="15"/>
      <c r="AY545" s="15"/>
      <c r="AZ545" s="11"/>
      <c r="BA545" s="15"/>
      <c r="BB545" s="11"/>
      <c r="BC545" s="11"/>
      <c r="BD545" s="15"/>
      <c r="BE545" s="11"/>
      <c r="BF545" s="11"/>
      <c r="BG545" s="15"/>
      <c r="BH545" s="15"/>
      <c r="BI545" s="15"/>
      <c r="BJ545" s="11"/>
      <c r="BK545" s="15"/>
      <c r="BL545" s="11"/>
      <c r="BM545" s="11"/>
      <c r="BN545" s="15"/>
      <c r="BO545" s="11"/>
      <c r="BP545" s="11"/>
      <c r="BQ545" s="15"/>
      <c r="BR545" s="15"/>
      <c r="BS545" s="15"/>
      <c r="BT545" s="11"/>
      <c r="BU545" s="15"/>
      <c r="BV545" s="11"/>
      <c r="BW545" s="11"/>
      <c r="BX545" s="15"/>
      <c r="BY545" s="11"/>
      <c r="BZ545" s="11"/>
      <c r="CA545" s="15"/>
      <c r="CB545" s="11"/>
      <c r="CC545" s="15"/>
      <c r="CD545" s="11"/>
      <c r="CE545" s="15"/>
      <c r="CF545" s="11"/>
      <c r="CG545" s="11"/>
      <c r="CH545" s="15"/>
      <c r="CI545" s="11"/>
      <c r="CJ545" s="11"/>
      <c r="CK545" s="15"/>
      <c r="CL545" s="11"/>
      <c r="CM545" s="11"/>
      <c r="CN545" s="11"/>
      <c r="CO545" s="11"/>
      <c r="CP545" s="28"/>
      <c r="CQ545" s="28"/>
      <c r="CR545" s="11"/>
      <c r="CS545" s="29"/>
      <c r="CT545" s="11"/>
      <c r="CU545" s="11"/>
      <c r="CV545" s="11"/>
      <c r="CW545" s="11"/>
      <c r="CX545" s="11"/>
      <c r="CY545" s="11"/>
      <c r="CZ545" s="11"/>
      <c r="DA545" s="28"/>
      <c r="DB545" s="28"/>
      <c r="DC545" s="11"/>
      <c r="DD545" s="29"/>
      <c r="DE545" s="11"/>
      <c r="DF545" s="11"/>
      <c r="DG545" s="11"/>
      <c r="DH545" s="11"/>
      <c r="DI545" s="11"/>
      <c r="DJ545" s="11"/>
      <c r="DK545" s="26"/>
      <c r="DL545" s="11"/>
      <c r="DM545" s="29"/>
      <c r="DN545" s="28"/>
      <c r="DO545" s="11"/>
      <c r="DP545" s="11"/>
      <c r="DQ545" s="11"/>
      <c r="DR545" s="29"/>
      <c r="DS545" s="28"/>
      <c r="DT545" s="11"/>
      <c r="DU545" s="26"/>
      <c r="DV545" s="11"/>
      <c r="DW545" s="29"/>
      <c r="DX545" s="28"/>
      <c r="DY545" s="11"/>
      <c r="DZ545" s="26"/>
      <c r="EA545" s="11"/>
      <c r="EB545" s="29"/>
      <c r="EC545" s="28"/>
      <c r="ED545" s="30"/>
      <c r="EE545" s="30" t="str">
        <f ca="1">IFERROR(__xludf.DUMMYFUNCTION("iferror(index(filter('Internal -- Trademark Countries'!E$2:E1000, (AM545 = 'Internal -- Trademark Countries'!B$2:B1000) + (AM545 = 'Internal -- Trademark Countries'!C$2:C1000) + (AM545 = 'Internal -- Trademark Countries'!D$2:D1000)), 1))"),"")</f>
        <v/>
      </c>
      <c r="EF545" s="30" t="e">
        <f ca="1">_xludf.ifs(AM545="", "", COUNTIF('Internal -- Trademark Countries'!B:B,AM545) &gt; 0, "polity_shortest_name", COUNTIF('Internal -- Trademark Countries'!C:C,AM545) &gt; 0, "polity_full_name", COUNTIF('Internal -- Trademark Countries'!D:D,AM545) &gt; 0, "polity_common_name", COUNTIF('Internal -- Trademark Countries'!E:E,AM545) &gt; 0, "shortest_name", COUNTIF('Internal -- Trademark Countries'!A:A,AM545) &gt; 0, "full_name", TRUE, "not a match")</f>
        <v>#NAME?</v>
      </c>
      <c r="EG545" s="30"/>
      <c r="EH545" s="30"/>
      <c r="EI545" s="30"/>
      <c r="EJ545" s="30"/>
      <c r="EK545" s="30" t="str">
        <f t="shared" si="4"/>
        <v/>
      </c>
    </row>
    <row r="546" spans="1:141" ht="16.5">
      <c r="A546" s="11"/>
      <c r="B546" s="11"/>
      <c r="C546" s="11"/>
      <c r="D546" s="11"/>
      <c r="E546" s="11"/>
      <c r="F546" s="11"/>
      <c r="G546" s="11"/>
      <c r="H546" s="11"/>
      <c r="I546" s="11"/>
      <c r="J546" s="11"/>
      <c r="K546" s="27"/>
      <c r="L546" s="11"/>
      <c r="M546" s="11"/>
      <c r="N546" s="11"/>
      <c r="O546" s="11"/>
      <c r="P546" s="15"/>
      <c r="Q546" s="15"/>
      <c r="R546" s="15"/>
      <c r="S546" s="15"/>
      <c r="T546" s="15"/>
      <c r="U546" s="15"/>
      <c r="V546" s="15"/>
      <c r="W546" s="47"/>
      <c r="X546" s="11"/>
      <c r="Y546" s="48"/>
      <c r="Z546" s="11"/>
      <c r="AA546" s="48"/>
      <c r="AB546" s="11"/>
      <c r="AC546" s="48"/>
      <c r="AD546" s="11"/>
      <c r="AE546" s="47"/>
      <c r="AF546" s="11"/>
      <c r="AG546" s="48"/>
      <c r="AH546" s="11"/>
      <c r="AI546" s="48"/>
      <c r="AJ546" s="11"/>
      <c r="AK546" s="48"/>
      <c r="AL546" s="11"/>
      <c r="AM546" s="49"/>
      <c r="AN546" s="49"/>
      <c r="AO546" s="11"/>
      <c r="AP546" s="11"/>
      <c r="AQ546" s="28" t="b">
        <f>IF(COUNTIF(SmartStatus!A$2:A1000, AM546) &gt; 2, TRUE, FALSE)</f>
        <v>0</v>
      </c>
      <c r="AR546" s="29" t="str">
        <f ca="1">IFERROR(__xludf.DUMMYFUNCTION("iferror(if(regexmatch(AO546, ""(?i)^registered""), if(EE546 &lt;&gt; ""polity_shortest_name"", ""CHECK_POLITY"", index(filter(SmartStatus!B$2:B1000, AM546 = SmartStatus!A$2:A1000, not(SmartStatus!C$2:C1000), (isblank(SmartStatus!D$2:D1000)) + ((P546 &lt;&gt; """") * "&amp;"(P546 &lt; SmartStatus!D$2:D1000)), (isblank(SmartStatus!E$2:E1000)) + ((P546 &lt;&gt; """") * (P546 &gt;= SmartStatus!E$2:E1000)), (isblank(SmartStatus!F$2:F1000)) + (((Q546 &lt;&gt; """") * (Q546 &lt; SmartStatus!F$2:F1000)) + ((P546 &lt;&gt; """") * (date(year(P546) + 3, month(P"&amp;"546), day(P546)) &lt; SmartStatus!F$2:F1000))), (isblank(SmartStatus!G$2:G1000)) + (((Q546 &lt;&gt; """") * (Q546 &gt;= SmartStatus!G$2:G1000)) + ((P546 &lt;&gt; """") * (P546 &gt;= SmartStatus!G$2:G1000)))), if(or(regexmatch(B546, ""(?i)^ir [a-z]+ designation$""), N546 &lt;&gt; """&amp;"""), 1, 2))), """"), ""NO_MATCH"")"),"")</f>
        <v/>
      </c>
      <c r="AS546" s="11"/>
      <c r="AT546" s="15"/>
      <c r="AU546" s="11"/>
      <c r="AV546" s="11"/>
      <c r="AW546" s="15"/>
      <c r="AX546" s="15"/>
      <c r="AY546" s="15"/>
      <c r="AZ546" s="11"/>
      <c r="BA546" s="15"/>
      <c r="BB546" s="11"/>
      <c r="BC546" s="11"/>
      <c r="BD546" s="15"/>
      <c r="BE546" s="11"/>
      <c r="BF546" s="11"/>
      <c r="BG546" s="15"/>
      <c r="BH546" s="15"/>
      <c r="BI546" s="15"/>
      <c r="BJ546" s="11"/>
      <c r="BK546" s="15"/>
      <c r="BL546" s="11"/>
      <c r="BM546" s="11"/>
      <c r="BN546" s="15"/>
      <c r="BO546" s="11"/>
      <c r="BP546" s="11"/>
      <c r="BQ546" s="15"/>
      <c r="BR546" s="15"/>
      <c r="BS546" s="15"/>
      <c r="BT546" s="11"/>
      <c r="BU546" s="15"/>
      <c r="BV546" s="11"/>
      <c r="BW546" s="11"/>
      <c r="BX546" s="15"/>
      <c r="BY546" s="11"/>
      <c r="BZ546" s="11"/>
      <c r="CA546" s="15"/>
      <c r="CB546" s="11"/>
      <c r="CC546" s="15"/>
      <c r="CD546" s="11"/>
      <c r="CE546" s="15"/>
      <c r="CF546" s="11"/>
      <c r="CG546" s="11"/>
      <c r="CH546" s="15"/>
      <c r="CI546" s="11"/>
      <c r="CJ546" s="11"/>
      <c r="CK546" s="15"/>
      <c r="CL546" s="11"/>
      <c r="CM546" s="11"/>
      <c r="CN546" s="11"/>
      <c r="CO546" s="11"/>
      <c r="CP546" s="28"/>
      <c r="CQ546" s="28"/>
      <c r="CR546" s="11"/>
      <c r="CS546" s="29"/>
      <c r="CT546" s="11"/>
      <c r="CU546" s="11"/>
      <c r="CV546" s="11"/>
      <c r="CW546" s="11"/>
      <c r="CX546" s="11"/>
      <c r="CY546" s="11"/>
      <c r="CZ546" s="11"/>
      <c r="DA546" s="28"/>
      <c r="DB546" s="28"/>
      <c r="DC546" s="11"/>
      <c r="DD546" s="29"/>
      <c r="DE546" s="11"/>
      <c r="DF546" s="11"/>
      <c r="DG546" s="11"/>
      <c r="DH546" s="11"/>
      <c r="DI546" s="11"/>
      <c r="DJ546" s="11"/>
      <c r="DK546" s="26"/>
      <c r="DL546" s="11"/>
      <c r="DM546" s="29"/>
      <c r="DN546" s="28"/>
      <c r="DO546" s="11"/>
      <c r="DP546" s="11"/>
      <c r="DQ546" s="11"/>
      <c r="DR546" s="29"/>
      <c r="DS546" s="28"/>
      <c r="DT546" s="11"/>
      <c r="DU546" s="26"/>
      <c r="DV546" s="11"/>
      <c r="DW546" s="29"/>
      <c r="DX546" s="28"/>
      <c r="DY546" s="11"/>
      <c r="DZ546" s="26"/>
      <c r="EA546" s="11"/>
      <c r="EB546" s="29"/>
      <c r="EC546" s="28"/>
      <c r="ED546" s="30"/>
      <c r="EE546" s="30" t="str">
        <f ca="1">IFERROR(__xludf.DUMMYFUNCTION("iferror(index(filter('Internal -- Trademark Countries'!E$2:E1000, (AM546 = 'Internal -- Trademark Countries'!B$2:B1000) + (AM546 = 'Internal -- Trademark Countries'!C$2:C1000) + (AM546 = 'Internal -- Trademark Countries'!D$2:D1000)), 1))"),"")</f>
        <v/>
      </c>
      <c r="EF546" s="30" t="e">
        <f ca="1">_xludf.ifs(AM546="", "", COUNTIF('Internal -- Trademark Countries'!B:B,AM546) &gt; 0, "polity_shortest_name", COUNTIF('Internal -- Trademark Countries'!C:C,AM546) &gt; 0, "polity_full_name", COUNTIF('Internal -- Trademark Countries'!D:D,AM546) &gt; 0, "polity_common_name", COUNTIF('Internal -- Trademark Countries'!E:E,AM546) &gt; 0, "shortest_name", COUNTIF('Internal -- Trademark Countries'!A:A,AM546) &gt; 0, "full_name", TRUE, "not a match")</f>
        <v>#NAME?</v>
      </c>
      <c r="EG546" s="30"/>
      <c r="EH546" s="30"/>
      <c r="EI546" s="30"/>
      <c r="EJ546" s="30"/>
      <c r="EK546" s="30" t="str">
        <f t="shared" si="4"/>
        <v/>
      </c>
    </row>
    <row r="547" spans="1:141" ht="16.5">
      <c r="A547" s="11"/>
      <c r="B547" s="11"/>
      <c r="C547" s="11"/>
      <c r="D547" s="11"/>
      <c r="E547" s="11"/>
      <c r="F547" s="11"/>
      <c r="G547" s="11"/>
      <c r="H547" s="11"/>
      <c r="I547" s="11"/>
      <c r="J547" s="11"/>
      <c r="K547" s="27"/>
      <c r="L547" s="11"/>
      <c r="M547" s="11"/>
      <c r="N547" s="11"/>
      <c r="O547" s="11"/>
      <c r="P547" s="15"/>
      <c r="Q547" s="15"/>
      <c r="R547" s="15"/>
      <c r="S547" s="15"/>
      <c r="T547" s="15"/>
      <c r="U547" s="15"/>
      <c r="V547" s="15"/>
      <c r="W547" s="47"/>
      <c r="X547" s="11"/>
      <c r="Y547" s="48"/>
      <c r="Z547" s="11"/>
      <c r="AA547" s="48"/>
      <c r="AB547" s="11"/>
      <c r="AC547" s="48"/>
      <c r="AD547" s="11"/>
      <c r="AE547" s="47"/>
      <c r="AF547" s="11"/>
      <c r="AG547" s="48"/>
      <c r="AH547" s="11"/>
      <c r="AI547" s="48"/>
      <c r="AJ547" s="11"/>
      <c r="AK547" s="48"/>
      <c r="AL547" s="11"/>
      <c r="AM547" s="49"/>
      <c r="AN547" s="49"/>
      <c r="AO547" s="11"/>
      <c r="AP547" s="11"/>
      <c r="AQ547" s="28" t="b">
        <f>IF(COUNTIF(SmartStatus!A$2:A1000, AM547) &gt; 2, TRUE, FALSE)</f>
        <v>0</v>
      </c>
      <c r="AR547" s="29" t="str">
        <f ca="1">IFERROR(__xludf.DUMMYFUNCTION("iferror(if(regexmatch(AO547, ""(?i)^registered""), if(EE547 &lt;&gt; ""polity_shortest_name"", ""CHECK_POLITY"", index(filter(SmartStatus!B$2:B1000, AM547 = SmartStatus!A$2:A1000, not(SmartStatus!C$2:C1000), (isblank(SmartStatus!D$2:D1000)) + ((P547 &lt;&gt; """") * "&amp;"(P547 &lt; SmartStatus!D$2:D1000)), (isblank(SmartStatus!E$2:E1000)) + ((P547 &lt;&gt; """") * (P547 &gt;= SmartStatus!E$2:E1000)), (isblank(SmartStatus!F$2:F1000)) + (((Q547 &lt;&gt; """") * (Q547 &lt; SmartStatus!F$2:F1000)) + ((P547 &lt;&gt; """") * (date(year(P547) + 3, month(P"&amp;"547), day(P547)) &lt; SmartStatus!F$2:F1000))), (isblank(SmartStatus!G$2:G1000)) + (((Q547 &lt;&gt; """") * (Q547 &gt;= SmartStatus!G$2:G1000)) + ((P547 &lt;&gt; """") * (P547 &gt;= SmartStatus!G$2:G1000)))), if(or(regexmatch(B547, ""(?i)^ir [a-z]+ designation$""), N547 &lt;&gt; """&amp;"""), 1, 2))), """"), ""NO_MATCH"")"),"")</f>
        <v/>
      </c>
      <c r="AS547" s="11"/>
      <c r="AT547" s="15"/>
      <c r="AU547" s="11"/>
      <c r="AV547" s="11"/>
      <c r="AW547" s="15"/>
      <c r="AX547" s="15"/>
      <c r="AY547" s="15"/>
      <c r="AZ547" s="11"/>
      <c r="BA547" s="15"/>
      <c r="BB547" s="11"/>
      <c r="BC547" s="11"/>
      <c r="BD547" s="15"/>
      <c r="BE547" s="11"/>
      <c r="BF547" s="11"/>
      <c r="BG547" s="15"/>
      <c r="BH547" s="15"/>
      <c r="BI547" s="15"/>
      <c r="BJ547" s="11"/>
      <c r="BK547" s="15"/>
      <c r="BL547" s="11"/>
      <c r="BM547" s="11"/>
      <c r="BN547" s="15"/>
      <c r="BO547" s="11"/>
      <c r="BP547" s="11"/>
      <c r="BQ547" s="15"/>
      <c r="BR547" s="15"/>
      <c r="BS547" s="15"/>
      <c r="BT547" s="11"/>
      <c r="BU547" s="15"/>
      <c r="BV547" s="11"/>
      <c r="BW547" s="11"/>
      <c r="BX547" s="15"/>
      <c r="BY547" s="11"/>
      <c r="BZ547" s="11"/>
      <c r="CA547" s="15"/>
      <c r="CB547" s="11"/>
      <c r="CC547" s="15"/>
      <c r="CD547" s="11"/>
      <c r="CE547" s="15"/>
      <c r="CF547" s="11"/>
      <c r="CG547" s="11"/>
      <c r="CH547" s="15"/>
      <c r="CI547" s="11"/>
      <c r="CJ547" s="11"/>
      <c r="CK547" s="15"/>
      <c r="CL547" s="11"/>
      <c r="CM547" s="11"/>
      <c r="CN547" s="11"/>
      <c r="CO547" s="11"/>
      <c r="CP547" s="28"/>
      <c r="CQ547" s="28"/>
      <c r="CR547" s="11"/>
      <c r="CS547" s="29"/>
      <c r="CT547" s="11"/>
      <c r="CU547" s="11"/>
      <c r="CV547" s="11"/>
      <c r="CW547" s="11"/>
      <c r="CX547" s="11"/>
      <c r="CY547" s="11"/>
      <c r="CZ547" s="11"/>
      <c r="DA547" s="28"/>
      <c r="DB547" s="28"/>
      <c r="DC547" s="11"/>
      <c r="DD547" s="29"/>
      <c r="DE547" s="11"/>
      <c r="DF547" s="11"/>
      <c r="DG547" s="11"/>
      <c r="DH547" s="11"/>
      <c r="DI547" s="11"/>
      <c r="DJ547" s="11"/>
      <c r="DK547" s="26"/>
      <c r="DL547" s="11"/>
      <c r="DM547" s="29"/>
      <c r="DN547" s="28"/>
      <c r="DO547" s="11"/>
      <c r="DP547" s="11"/>
      <c r="DQ547" s="11"/>
      <c r="DR547" s="29"/>
      <c r="DS547" s="28"/>
      <c r="DT547" s="11"/>
      <c r="DU547" s="26"/>
      <c r="DV547" s="11"/>
      <c r="DW547" s="29"/>
      <c r="DX547" s="28"/>
      <c r="DY547" s="11"/>
      <c r="DZ547" s="26"/>
      <c r="EA547" s="11"/>
      <c r="EB547" s="29"/>
      <c r="EC547" s="28"/>
      <c r="ED547" s="30"/>
      <c r="EE547" s="30" t="str">
        <f ca="1">IFERROR(__xludf.DUMMYFUNCTION("iferror(index(filter('Internal -- Trademark Countries'!E$2:E1000, (AM547 = 'Internal -- Trademark Countries'!B$2:B1000) + (AM547 = 'Internal -- Trademark Countries'!C$2:C1000) + (AM547 = 'Internal -- Trademark Countries'!D$2:D1000)), 1))"),"")</f>
        <v/>
      </c>
      <c r="EF547" s="30" t="e">
        <f ca="1">_xludf.ifs(AM547="", "", COUNTIF('Internal -- Trademark Countries'!B:B,AM547) &gt; 0, "polity_shortest_name", COUNTIF('Internal -- Trademark Countries'!C:C,AM547) &gt; 0, "polity_full_name", COUNTIF('Internal -- Trademark Countries'!D:D,AM547) &gt; 0, "polity_common_name", COUNTIF('Internal -- Trademark Countries'!E:E,AM547) &gt; 0, "shortest_name", COUNTIF('Internal -- Trademark Countries'!A:A,AM547) &gt; 0, "full_name", TRUE, "not a match")</f>
        <v>#NAME?</v>
      </c>
      <c r="EG547" s="30"/>
      <c r="EH547" s="30"/>
      <c r="EI547" s="30"/>
      <c r="EJ547" s="30"/>
      <c r="EK547" s="30" t="str">
        <f t="shared" si="4"/>
        <v/>
      </c>
    </row>
    <row r="548" spans="1:141" ht="16.5">
      <c r="A548" s="11"/>
      <c r="B548" s="11"/>
      <c r="C548" s="11"/>
      <c r="D548" s="11"/>
      <c r="E548" s="11"/>
      <c r="F548" s="11"/>
      <c r="G548" s="11"/>
      <c r="H548" s="11"/>
      <c r="I548" s="11"/>
      <c r="J548" s="11"/>
      <c r="K548" s="27"/>
      <c r="L548" s="11"/>
      <c r="M548" s="11"/>
      <c r="N548" s="11"/>
      <c r="O548" s="11"/>
      <c r="P548" s="15"/>
      <c r="Q548" s="15"/>
      <c r="R548" s="15"/>
      <c r="S548" s="15"/>
      <c r="T548" s="15"/>
      <c r="U548" s="15"/>
      <c r="V548" s="15"/>
      <c r="W548" s="47"/>
      <c r="X548" s="11"/>
      <c r="Y548" s="48"/>
      <c r="Z548" s="11"/>
      <c r="AA548" s="48"/>
      <c r="AB548" s="11"/>
      <c r="AC548" s="48"/>
      <c r="AD548" s="11"/>
      <c r="AE548" s="47"/>
      <c r="AF548" s="11"/>
      <c r="AG548" s="48"/>
      <c r="AH548" s="11"/>
      <c r="AI548" s="48"/>
      <c r="AJ548" s="11"/>
      <c r="AK548" s="48"/>
      <c r="AL548" s="11"/>
      <c r="AM548" s="49"/>
      <c r="AN548" s="49"/>
      <c r="AO548" s="11"/>
      <c r="AP548" s="11"/>
      <c r="AQ548" s="28" t="b">
        <f>IF(COUNTIF(SmartStatus!A$2:A1000, AM548) &gt; 2, TRUE, FALSE)</f>
        <v>0</v>
      </c>
      <c r="AR548" s="29" t="str">
        <f ca="1">IFERROR(__xludf.DUMMYFUNCTION("iferror(if(regexmatch(AO548, ""(?i)^registered""), if(EE548 &lt;&gt; ""polity_shortest_name"", ""CHECK_POLITY"", index(filter(SmartStatus!B$2:B1000, AM548 = SmartStatus!A$2:A1000, not(SmartStatus!C$2:C1000), (isblank(SmartStatus!D$2:D1000)) + ((P548 &lt;&gt; """") * "&amp;"(P548 &lt; SmartStatus!D$2:D1000)), (isblank(SmartStatus!E$2:E1000)) + ((P548 &lt;&gt; """") * (P548 &gt;= SmartStatus!E$2:E1000)), (isblank(SmartStatus!F$2:F1000)) + (((Q548 &lt;&gt; """") * (Q548 &lt; SmartStatus!F$2:F1000)) + ((P548 &lt;&gt; """") * (date(year(P548) + 3, month(P"&amp;"548), day(P548)) &lt; SmartStatus!F$2:F1000))), (isblank(SmartStatus!G$2:G1000)) + (((Q548 &lt;&gt; """") * (Q548 &gt;= SmartStatus!G$2:G1000)) + ((P548 &lt;&gt; """") * (P548 &gt;= SmartStatus!G$2:G1000)))), if(or(regexmatch(B548, ""(?i)^ir [a-z]+ designation$""), N548 &lt;&gt; """&amp;"""), 1, 2))), """"), ""NO_MATCH"")"),"")</f>
        <v/>
      </c>
      <c r="AS548" s="11"/>
      <c r="AT548" s="15"/>
      <c r="AU548" s="11"/>
      <c r="AV548" s="11"/>
      <c r="AW548" s="15"/>
      <c r="AX548" s="15"/>
      <c r="AY548" s="15"/>
      <c r="AZ548" s="11"/>
      <c r="BA548" s="15"/>
      <c r="BB548" s="11"/>
      <c r="BC548" s="11"/>
      <c r="BD548" s="15"/>
      <c r="BE548" s="11"/>
      <c r="BF548" s="11"/>
      <c r="BG548" s="15"/>
      <c r="BH548" s="15"/>
      <c r="BI548" s="15"/>
      <c r="BJ548" s="11"/>
      <c r="BK548" s="15"/>
      <c r="BL548" s="11"/>
      <c r="BM548" s="11"/>
      <c r="BN548" s="15"/>
      <c r="BO548" s="11"/>
      <c r="BP548" s="11"/>
      <c r="BQ548" s="15"/>
      <c r="BR548" s="15"/>
      <c r="BS548" s="15"/>
      <c r="BT548" s="11"/>
      <c r="BU548" s="15"/>
      <c r="BV548" s="11"/>
      <c r="BW548" s="11"/>
      <c r="BX548" s="15"/>
      <c r="BY548" s="11"/>
      <c r="BZ548" s="11"/>
      <c r="CA548" s="15"/>
      <c r="CB548" s="11"/>
      <c r="CC548" s="15"/>
      <c r="CD548" s="11"/>
      <c r="CE548" s="15"/>
      <c r="CF548" s="11"/>
      <c r="CG548" s="11"/>
      <c r="CH548" s="15"/>
      <c r="CI548" s="11"/>
      <c r="CJ548" s="11"/>
      <c r="CK548" s="15"/>
      <c r="CL548" s="11"/>
      <c r="CM548" s="11"/>
      <c r="CN548" s="11"/>
      <c r="CO548" s="11"/>
      <c r="CP548" s="28"/>
      <c r="CQ548" s="28"/>
      <c r="CR548" s="11"/>
      <c r="CS548" s="29"/>
      <c r="CT548" s="11"/>
      <c r="CU548" s="11"/>
      <c r="CV548" s="11"/>
      <c r="CW548" s="11"/>
      <c r="CX548" s="11"/>
      <c r="CY548" s="11"/>
      <c r="CZ548" s="11"/>
      <c r="DA548" s="28"/>
      <c r="DB548" s="28"/>
      <c r="DC548" s="11"/>
      <c r="DD548" s="29"/>
      <c r="DE548" s="11"/>
      <c r="DF548" s="11"/>
      <c r="DG548" s="11"/>
      <c r="DH548" s="11"/>
      <c r="DI548" s="11"/>
      <c r="DJ548" s="11"/>
      <c r="DK548" s="26"/>
      <c r="DL548" s="11"/>
      <c r="DM548" s="29"/>
      <c r="DN548" s="28"/>
      <c r="DO548" s="11"/>
      <c r="DP548" s="11"/>
      <c r="DQ548" s="11"/>
      <c r="DR548" s="29"/>
      <c r="DS548" s="28"/>
      <c r="DT548" s="11"/>
      <c r="DU548" s="26"/>
      <c r="DV548" s="11"/>
      <c r="DW548" s="29"/>
      <c r="DX548" s="28"/>
      <c r="DY548" s="11"/>
      <c r="DZ548" s="26"/>
      <c r="EA548" s="11"/>
      <c r="EB548" s="29"/>
      <c r="EC548" s="28"/>
      <c r="ED548" s="30"/>
      <c r="EE548" s="30" t="str">
        <f ca="1">IFERROR(__xludf.DUMMYFUNCTION("iferror(index(filter('Internal -- Trademark Countries'!E$2:E1000, (AM548 = 'Internal -- Trademark Countries'!B$2:B1000) + (AM548 = 'Internal -- Trademark Countries'!C$2:C1000) + (AM548 = 'Internal -- Trademark Countries'!D$2:D1000)), 1))"),"")</f>
        <v/>
      </c>
      <c r="EF548" s="30" t="e">
        <f ca="1">_xludf.ifs(AM548="", "", COUNTIF('Internal -- Trademark Countries'!B:B,AM548) &gt; 0, "polity_shortest_name", COUNTIF('Internal -- Trademark Countries'!C:C,AM548) &gt; 0, "polity_full_name", COUNTIF('Internal -- Trademark Countries'!D:D,AM548) &gt; 0, "polity_common_name", COUNTIF('Internal -- Trademark Countries'!E:E,AM548) &gt; 0, "shortest_name", COUNTIF('Internal -- Trademark Countries'!A:A,AM548) &gt; 0, "full_name", TRUE, "not a match")</f>
        <v>#NAME?</v>
      </c>
      <c r="EG548" s="30"/>
      <c r="EH548" s="30"/>
      <c r="EI548" s="30"/>
      <c r="EJ548" s="30"/>
      <c r="EK548" s="30" t="str">
        <f t="shared" si="4"/>
        <v/>
      </c>
    </row>
    <row r="549" spans="1:141" ht="16.5">
      <c r="A549" s="11"/>
      <c r="B549" s="11"/>
      <c r="C549" s="11"/>
      <c r="D549" s="11"/>
      <c r="E549" s="11"/>
      <c r="F549" s="11"/>
      <c r="G549" s="11"/>
      <c r="H549" s="11"/>
      <c r="I549" s="11"/>
      <c r="J549" s="11"/>
      <c r="K549" s="27"/>
      <c r="L549" s="11"/>
      <c r="M549" s="11"/>
      <c r="N549" s="11"/>
      <c r="O549" s="11"/>
      <c r="P549" s="15"/>
      <c r="Q549" s="15"/>
      <c r="R549" s="15"/>
      <c r="S549" s="15"/>
      <c r="T549" s="15"/>
      <c r="U549" s="15"/>
      <c r="V549" s="15"/>
      <c r="W549" s="47"/>
      <c r="X549" s="11"/>
      <c r="Y549" s="48"/>
      <c r="Z549" s="11"/>
      <c r="AA549" s="48"/>
      <c r="AB549" s="11"/>
      <c r="AC549" s="48"/>
      <c r="AD549" s="11"/>
      <c r="AE549" s="47"/>
      <c r="AF549" s="11"/>
      <c r="AG549" s="48"/>
      <c r="AH549" s="11"/>
      <c r="AI549" s="48"/>
      <c r="AJ549" s="11"/>
      <c r="AK549" s="48"/>
      <c r="AL549" s="11"/>
      <c r="AM549" s="49"/>
      <c r="AN549" s="49"/>
      <c r="AO549" s="11"/>
      <c r="AP549" s="11"/>
      <c r="AQ549" s="28" t="b">
        <f>IF(COUNTIF(SmartStatus!A$2:A1000, AM549) &gt; 2, TRUE, FALSE)</f>
        <v>0</v>
      </c>
      <c r="AR549" s="29" t="str">
        <f ca="1">IFERROR(__xludf.DUMMYFUNCTION("iferror(if(regexmatch(AO549, ""(?i)^registered""), if(EE549 &lt;&gt; ""polity_shortest_name"", ""CHECK_POLITY"", index(filter(SmartStatus!B$2:B1000, AM549 = SmartStatus!A$2:A1000, not(SmartStatus!C$2:C1000), (isblank(SmartStatus!D$2:D1000)) + ((P549 &lt;&gt; """") * "&amp;"(P549 &lt; SmartStatus!D$2:D1000)), (isblank(SmartStatus!E$2:E1000)) + ((P549 &lt;&gt; """") * (P549 &gt;= SmartStatus!E$2:E1000)), (isblank(SmartStatus!F$2:F1000)) + (((Q549 &lt;&gt; """") * (Q549 &lt; SmartStatus!F$2:F1000)) + ((P549 &lt;&gt; """") * (date(year(P549) + 3, month(P"&amp;"549), day(P549)) &lt; SmartStatus!F$2:F1000))), (isblank(SmartStatus!G$2:G1000)) + (((Q549 &lt;&gt; """") * (Q549 &gt;= SmartStatus!G$2:G1000)) + ((P549 &lt;&gt; """") * (P549 &gt;= SmartStatus!G$2:G1000)))), if(or(regexmatch(B549, ""(?i)^ir [a-z]+ designation$""), N549 &lt;&gt; """&amp;"""), 1, 2))), """"), ""NO_MATCH"")"),"")</f>
        <v/>
      </c>
      <c r="AS549" s="11"/>
      <c r="AT549" s="15"/>
      <c r="AU549" s="11"/>
      <c r="AV549" s="11"/>
      <c r="AW549" s="15"/>
      <c r="AX549" s="15"/>
      <c r="AY549" s="15"/>
      <c r="AZ549" s="11"/>
      <c r="BA549" s="15"/>
      <c r="BB549" s="11"/>
      <c r="BC549" s="11"/>
      <c r="BD549" s="15"/>
      <c r="BE549" s="11"/>
      <c r="BF549" s="11"/>
      <c r="BG549" s="15"/>
      <c r="BH549" s="15"/>
      <c r="BI549" s="15"/>
      <c r="BJ549" s="11"/>
      <c r="BK549" s="15"/>
      <c r="BL549" s="11"/>
      <c r="BM549" s="11"/>
      <c r="BN549" s="15"/>
      <c r="BO549" s="11"/>
      <c r="BP549" s="11"/>
      <c r="BQ549" s="15"/>
      <c r="BR549" s="15"/>
      <c r="BS549" s="15"/>
      <c r="BT549" s="11"/>
      <c r="BU549" s="15"/>
      <c r="BV549" s="11"/>
      <c r="BW549" s="11"/>
      <c r="BX549" s="15"/>
      <c r="BY549" s="11"/>
      <c r="BZ549" s="11"/>
      <c r="CA549" s="15"/>
      <c r="CB549" s="11"/>
      <c r="CC549" s="15"/>
      <c r="CD549" s="11"/>
      <c r="CE549" s="15"/>
      <c r="CF549" s="11"/>
      <c r="CG549" s="11"/>
      <c r="CH549" s="15"/>
      <c r="CI549" s="11"/>
      <c r="CJ549" s="11"/>
      <c r="CK549" s="15"/>
      <c r="CL549" s="11"/>
      <c r="CM549" s="11"/>
      <c r="CN549" s="11"/>
      <c r="CO549" s="11"/>
      <c r="CP549" s="28"/>
      <c r="CQ549" s="28"/>
      <c r="CR549" s="11"/>
      <c r="CS549" s="29"/>
      <c r="CT549" s="11"/>
      <c r="CU549" s="11"/>
      <c r="CV549" s="11"/>
      <c r="CW549" s="11"/>
      <c r="CX549" s="11"/>
      <c r="CY549" s="11"/>
      <c r="CZ549" s="11"/>
      <c r="DA549" s="28"/>
      <c r="DB549" s="28"/>
      <c r="DC549" s="11"/>
      <c r="DD549" s="29"/>
      <c r="DE549" s="11"/>
      <c r="DF549" s="11"/>
      <c r="DG549" s="11"/>
      <c r="DH549" s="11"/>
      <c r="DI549" s="11"/>
      <c r="DJ549" s="11"/>
      <c r="DK549" s="26"/>
      <c r="DL549" s="11"/>
      <c r="DM549" s="29"/>
      <c r="DN549" s="28"/>
      <c r="DO549" s="11"/>
      <c r="DP549" s="11"/>
      <c r="DQ549" s="11"/>
      <c r="DR549" s="29"/>
      <c r="DS549" s="28"/>
      <c r="DT549" s="11"/>
      <c r="DU549" s="26"/>
      <c r="DV549" s="11"/>
      <c r="DW549" s="29"/>
      <c r="DX549" s="28"/>
      <c r="DY549" s="11"/>
      <c r="DZ549" s="26"/>
      <c r="EA549" s="11"/>
      <c r="EB549" s="29"/>
      <c r="EC549" s="28"/>
      <c r="ED549" s="30"/>
      <c r="EE549" s="30" t="str">
        <f ca="1">IFERROR(__xludf.DUMMYFUNCTION("iferror(index(filter('Internal -- Trademark Countries'!E$2:E1000, (AM549 = 'Internal -- Trademark Countries'!B$2:B1000) + (AM549 = 'Internal -- Trademark Countries'!C$2:C1000) + (AM549 = 'Internal -- Trademark Countries'!D$2:D1000)), 1))"),"")</f>
        <v/>
      </c>
      <c r="EF549" s="30" t="e">
        <f ca="1">_xludf.ifs(AM549="", "", COUNTIF('Internal -- Trademark Countries'!B:B,AM549) &gt; 0, "polity_shortest_name", COUNTIF('Internal -- Trademark Countries'!C:C,AM549) &gt; 0, "polity_full_name", COUNTIF('Internal -- Trademark Countries'!D:D,AM549) &gt; 0, "polity_common_name", COUNTIF('Internal -- Trademark Countries'!E:E,AM549) &gt; 0, "shortest_name", COUNTIF('Internal -- Trademark Countries'!A:A,AM549) &gt; 0, "full_name", TRUE, "not a match")</f>
        <v>#NAME?</v>
      </c>
      <c r="EG549" s="30"/>
      <c r="EH549" s="30"/>
      <c r="EI549" s="30"/>
      <c r="EJ549" s="30"/>
      <c r="EK549" s="30" t="str">
        <f t="shared" si="4"/>
        <v/>
      </c>
    </row>
    <row r="550" spans="1:141" ht="16.5">
      <c r="A550" s="11"/>
      <c r="B550" s="11"/>
      <c r="C550" s="11"/>
      <c r="D550" s="11"/>
      <c r="E550" s="11"/>
      <c r="F550" s="11"/>
      <c r="G550" s="11"/>
      <c r="H550" s="11"/>
      <c r="I550" s="11"/>
      <c r="J550" s="11"/>
      <c r="K550" s="27"/>
      <c r="L550" s="11"/>
      <c r="M550" s="11"/>
      <c r="N550" s="11"/>
      <c r="O550" s="11"/>
      <c r="P550" s="15"/>
      <c r="Q550" s="15"/>
      <c r="R550" s="15"/>
      <c r="S550" s="15"/>
      <c r="T550" s="15"/>
      <c r="U550" s="15"/>
      <c r="V550" s="15"/>
      <c r="W550" s="47"/>
      <c r="X550" s="11"/>
      <c r="Y550" s="48"/>
      <c r="Z550" s="11"/>
      <c r="AA550" s="48"/>
      <c r="AB550" s="11"/>
      <c r="AC550" s="48"/>
      <c r="AD550" s="11"/>
      <c r="AE550" s="47"/>
      <c r="AF550" s="11"/>
      <c r="AG550" s="48"/>
      <c r="AH550" s="11"/>
      <c r="AI550" s="48"/>
      <c r="AJ550" s="11"/>
      <c r="AK550" s="48"/>
      <c r="AL550" s="11"/>
      <c r="AM550" s="49"/>
      <c r="AN550" s="49"/>
      <c r="AO550" s="11"/>
      <c r="AP550" s="11"/>
      <c r="AQ550" s="28" t="b">
        <f>IF(COUNTIF(SmartStatus!A$2:A1000, AM550) &gt; 2, TRUE, FALSE)</f>
        <v>0</v>
      </c>
      <c r="AR550" s="29" t="str">
        <f ca="1">IFERROR(__xludf.DUMMYFUNCTION("iferror(if(regexmatch(AO550, ""(?i)^registered""), if(EE550 &lt;&gt; ""polity_shortest_name"", ""CHECK_POLITY"", index(filter(SmartStatus!B$2:B1000, AM550 = SmartStatus!A$2:A1000, not(SmartStatus!C$2:C1000), (isblank(SmartStatus!D$2:D1000)) + ((P550 &lt;&gt; """") * "&amp;"(P550 &lt; SmartStatus!D$2:D1000)), (isblank(SmartStatus!E$2:E1000)) + ((P550 &lt;&gt; """") * (P550 &gt;= SmartStatus!E$2:E1000)), (isblank(SmartStatus!F$2:F1000)) + (((Q550 &lt;&gt; """") * (Q550 &lt; SmartStatus!F$2:F1000)) + ((P550 &lt;&gt; """") * (date(year(P550) + 3, month(P"&amp;"550), day(P550)) &lt; SmartStatus!F$2:F1000))), (isblank(SmartStatus!G$2:G1000)) + (((Q550 &lt;&gt; """") * (Q550 &gt;= SmartStatus!G$2:G1000)) + ((P550 &lt;&gt; """") * (P550 &gt;= SmartStatus!G$2:G1000)))), if(or(regexmatch(B550, ""(?i)^ir [a-z]+ designation$""), N550 &lt;&gt; """&amp;"""), 1, 2))), """"), ""NO_MATCH"")"),"")</f>
        <v/>
      </c>
      <c r="AS550" s="11"/>
      <c r="AT550" s="15"/>
      <c r="AU550" s="11"/>
      <c r="AV550" s="11"/>
      <c r="AW550" s="15"/>
      <c r="AX550" s="15"/>
      <c r="AY550" s="15"/>
      <c r="AZ550" s="11"/>
      <c r="BA550" s="15"/>
      <c r="BB550" s="11"/>
      <c r="BC550" s="11"/>
      <c r="BD550" s="15"/>
      <c r="BE550" s="11"/>
      <c r="BF550" s="11"/>
      <c r="BG550" s="15"/>
      <c r="BH550" s="15"/>
      <c r="BI550" s="15"/>
      <c r="BJ550" s="11"/>
      <c r="BK550" s="15"/>
      <c r="BL550" s="11"/>
      <c r="BM550" s="11"/>
      <c r="BN550" s="15"/>
      <c r="BO550" s="11"/>
      <c r="BP550" s="11"/>
      <c r="BQ550" s="15"/>
      <c r="BR550" s="15"/>
      <c r="BS550" s="15"/>
      <c r="BT550" s="11"/>
      <c r="BU550" s="15"/>
      <c r="BV550" s="11"/>
      <c r="BW550" s="11"/>
      <c r="BX550" s="15"/>
      <c r="BY550" s="11"/>
      <c r="BZ550" s="11"/>
      <c r="CA550" s="15"/>
      <c r="CB550" s="11"/>
      <c r="CC550" s="15"/>
      <c r="CD550" s="11"/>
      <c r="CE550" s="15"/>
      <c r="CF550" s="11"/>
      <c r="CG550" s="11"/>
      <c r="CH550" s="15"/>
      <c r="CI550" s="11"/>
      <c r="CJ550" s="11"/>
      <c r="CK550" s="15"/>
      <c r="CL550" s="11"/>
      <c r="CM550" s="11"/>
      <c r="CN550" s="11"/>
      <c r="CO550" s="11"/>
      <c r="CP550" s="28"/>
      <c r="CQ550" s="28"/>
      <c r="CR550" s="11"/>
      <c r="CS550" s="29"/>
      <c r="CT550" s="11"/>
      <c r="CU550" s="11"/>
      <c r="CV550" s="11"/>
      <c r="CW550" s="11"/>
      <c r="CX550" s="11"/>
      <c r="CY550" s="11"/>
      <c r="CZ550" s="11"/>
      <c r="DA550" s="28"/>
      <c r="DB550" s="28"/>
      <c r="DC550" s="11"/>
      <c r="DD550" s="29"/>
      <c r="DE550" s="11"/>
      <c r="DF550" s="11"/>
      <c r="DG550" s="11"/>
      <c r="DH550" s="11"/>
      <c r="DI550" s="11"/>
      <c r="DJ550" s="11"/>
      <c r="DK550" s="26"/>
      <c r="DL550" s="11"/>
      <c r="DM550" s="29"/>
      <c r="DN550" s="28"/>
      <c r="DO550" s="11"/>
      <c r="DP550" s="11"/>
      <c r="DQ550" s="11"/>
      <c r="DR550" s="29"/>
      <c r="DS550" s="28"/>
      <c r="DT550" s="11"/>
      <c r="DU550" s="26"/>
      <c r="DV550" s="11"/>
      <c r="DW550" s="29"/>
      <c r="DX550" s="28"/>
      <c r="DY550" s="11"/>
      <c r="DZ550" s="26"/>
      <c r="EA550" s="11"/>
      <c r="EB550" s="29"/>
      <c r="EC550" s="28"/>
      <c r="ED550" s="30"/>
      <c r="EE550" s="30" t="str">
        <f ca="1">IFERROR(__xludf.DUMMYFUNCTION("iferror(index(filter('Internal -- Trademark Countries'!E$2:E1000, (AM550 = 'Internal -- Trademark Countries'!B$2:B1000) + (AM550 = 'Internal -- Trademark Countries'!C$2:C1000) + (AM550 = 'Internal -- Trademark Countries'!D$2:D1000)), 1))"),"")</f>
        <v/>
      </c>
      <c r="EF550" s="30" t="e">
        <f ca="1">_xludf.ifs(AM550="", "", COUNTIF('Internal -- Trademark Countries'!B:B,AM550) &gt; 0, "polity_shortest_name", COUNTIF('Internal -- Trademark Countries'!C:C,AM550) &gt; 0, "polity_full_name", COUNTIF('Internal -- Trademark Countries'!D:D,AM550) &gt; 0, "polity_common_name", COUNTIF('Internal -- Trademark Countries'!E:E,AM550) &gt; 0, "shortest_name", COUNTIF('Internal -- Trademark Countries'!A:A,AM550) &gt; 0, "full_name", TRUE, "not a match")</f>
        <v>#NAME?</v>
      </c>
      <c r="EG550" s="30"/>
      <c r="EH550" s="30"/>
      <c r="EI550" s="30"/>
      <c r="EJ550" s="30"/>
      <c r="EK550" s="30" t="str">
        <f t="shared" si="4"/>
        <v/>
      </c>
    </row>
    <row r="551" spans="1:141" ht="16.5">
      <c r="A551" s="11"/>
      <c r="B551" s="11"/>
      <c r="C551" s="11"/>
      <c r="D551" s="11"/>
      <c r="E551" s="11"/>
      <c r="F551" s="11"/>
      <c r="G551" s="11"/>
      <c r="H551" s="11"/>
      <c r="I551" s="11"/>
      <c r="J551" s="11"/>
      <c r="K551" s="27"/>
      <c r="L551" s="11"/>
      <c r="M551" s="11"/>
      <c r="N551" s="11"/>
      <c r="O551" s="11"/>
      <c r="P551" s="15"/>
      <c r="Q551" s="15"/>
      <c r="R551" s="15"/>
      <c r="S551" s="15"/>
      <c r="T551" s="15"/>
      <c r="U551" s="15"/>
      <c r="V551" s="15"/>
      <c r="W551" s="47"/>
      <c r="X551" s="11"/>
      <c r="Y551" s="48"/>
      <c r="Z551" s="11"/>
      <c r="AA551" s="48"/>
      <c r="AB551" s="11"/>
      <c r="AC551" s="48"/>
      <c r="AD551" s="11"/>
      <c r="AE551" s="47"/>
      <c r="AF551" s="11"/>
      <c r="AG551" s="48"/>
      <c r="AH551" s="11"/>
      <c r="AI551" s="48"/>
      <c r="AJ551" s="11"/>
      <c r="AK551" s="48"/>
      <c r="AL551" s="11"/>
      <c r="AM551" s="49"/>
      <c r="AN551" s="49"/>
      <c r="AO551" s="11"/>
      <c r="AP551" s="11"/>
      <c r="AQ551" s="28" t="b">
        <f>IF(COUNTIF(SmartStatus!A$2:A1000, AM551) &gt; 2, TRUE, FALSE)</f>
        <v>0</v>
      </c>
      <c r="AR551" s="29" t="str">
        <f ca="1">IFERROR(__xludf.DUMMYFUNCTION("iferror(if(regexmatch(AO551, ""(?i)^registered""), if(EE551 &lt;&gt; ""polity_shortest_name"", ""CHECK_POLITY"", index(filter(SmartStatus!B$2:B1000, AM551 = SmartStatus!A$2:A1000, not(SmartStatus!C$2:C1000), (isblank(SmartStatus!D$2:D1000)) + ((P551 &lt;&gt; """") * "&amp;"(P551 &lt; SmartStatus!D$2:D1000)), (isblank(SmartStatus!E$2:E1000)) + ((P551 &lt;&gt; """") * (P551 &gt;= SmartStatus!E$2:E1000)), (isblank(SmartStatus!F$2:F1000)) + (((Q551 &lt;&gt; """") * (Q551 &lt; SmartStatus!F$2:F1000)) + ((P551 &lt;&gt; """") * (date(year(P551) + 3, month(P"&amp;"551), day(P551)) &lt; SmartStatus!F$2:F1000))), (isblank(SmartStatus!G$2:G1000)) + (((Q551 &lt;&gt; """") * (Q551 &gt;= SmartStatus!G$2:G1000)) + ((P551 &lt;&gt; """") * (P551 &gt;= SmartStatus!G$2:G1000)))), if(or(regexmatch(B551, ""(?i)^ir [a-z]+ designation$""), N551 &lt;&gt; """&amp;"""), 1, 2))), """"), ""NO_MATCH"")"),"")</f>
        <v/>
      </c>
      <c r="AS551" s="11"/>
      <c r="AT551" s="15"/>
      <c r="AU551" s="11"/>
      <c r="AV551" s="11"/>
      <c r="AW551" s="15"/>
      <c r="AX551" s="15"/>
      <c r="AY551" s="15"/>
      <c r="AZ551" s="11"/>
      <c r="BA551" s="15"/>
      <c r="BB551" s="11"/>
      <c r="BC551" s="11"/>
      <c r="BD551" s="15"/>
      <c r="BE551" s="11"/>
      <c r="BF551" s="11"/>
      <c r="BG551" s="15"/>
      <c r="BH551" s="15"/>
      <c r="BI551" s="15"/>
      <c r="BJ551" s="11"/>
      <c r="BK551" s="15"/>
      <c r="BL551" s="11"/>
      <c r="BM551" s="11"/>
      <c r="BN551" s="15"/>
      <c r="BO551" s="11"/>
      <c r="BP551" s="11"/>
      <c r="BQ551" s="15"/>
      <c r="BR551" s="15"/>
      <c r="BS551" s="15"/>
      <c r="BT551" s="11"/>
      <c r="BU551" s="15"/>
      <c r="BV551" s="11"/>
      <c r="BW551" s="11"/>
      <c r="BX551" s="15"/>
      <c r="BY551" s="11"/>
      <c r="BZ551" s="11"/>
      <c r="CA551" s="15"/>
      <c r="CB551" s="11"/>
      <c r="CC551" s="15"/>
      <c r="CD551" s="11"/>
      <c r="CE551" s="15"/>
      <c r="CF551" s="11"/>
      <c r="CG551" s="11"/>
      <c r="CH551" s="15"/>
      <c r="CI551" s="11"/>
      <c r="CJ551" s="11"/>
      <c r="CK551" s="15"/>
      <c r="CL551" s="11"/>
      <c r="CM551" s="11"/>
      <c r="CN551" s="11"/>
      <c r="CO551" s="11"/>
      <c r="CP551" s="28"/>
      <c r="CQ551" s="28"/>
      <c r="CR551" s="11"/>
      <c r="CS551" s="29"/>
      <c r="CT551" s="11"/>
      <c r="CU551" s="11"/>
      <c r="CV551" s="11"/>
      <c r="CW551" s="11"/>
      <c r="CX551" s="11"/>
      <c r="CY551" s="11"/>
      <c r="CZ551" s="11"/>
      <c r="DA551" s="28"/>
      <c r="DB551" s="28"/>
      <c r="DC551" s="11"/>
      <c r="DD551" s="29"/>
      <c r="DE551" s="11"/>
      <c r="DF551" s="11"/>
      <c r="DG551" s="11"/>
      <c r="DH551" s="11"/>
      <c r="DI551" s="11"/>
      <c r="DJ551" s="11"/>
      <c r="DK551" s="26"/>
      <c r="DL551" s="11"/>
      <c r="DM551" s="29"/>
      <c r="DN551" s="28"/>
      <c r="DO551" s="11"/>
      <c r="DP551" s="11"/>
      <c r="DQ551" s="11"/>
      <c r="DR551" s="29"/>
      <c r="DS551" s="28"/>
      <c r="DT551" s="11"/>
      <c r="DU551" s="26"/>
      <c r="DV551" s="11"/>
      <c r="DW551" s="29"/>
      <c r="DX551" s="28"/>
      <c r="DY551" s="11"/>
      <c r="DZ551" s="26"/>
      <c r="EA551" s="11"/>
      <c r="EB551" s="29"/>
      <c r="EC551" s="28"/>
      <c r="ED551" s="30"/>
      <c r="EE551" s="30" t="str">
        <f ca="1">IFERROR(__xludf.DUMMYFUNCTION("iferror(index(filter('Internal -- Trademark Countries'!E$2:E1000, (AM551 = 'Internal -- Trademark Countries'!B$2:B1000) + (AM551 = 'Internal -- Trademark Countries'!C$2:C1000) + (AM551 = 'Internal -- Trademark Countries'!D$2:D1000)), 1))"),"")</f>
        <v/>
      </c>
      <c r="EF551" s="30" t="e">
        <f ca="1">_xludf.ifs(AM551="", "", COUNTIF('Internal -- Trademark Countries'!B:B,AM551) &gt; 0, "polity_shortest_name", COUNTIF('Internal -- Trademark Countries'!C:C,AM551) &gt; 0, "polity_full_name", COUNTIF('Internal -- Trademark Countries'!D:D,AM551) &gt; 0, "polity_common_name", COUNTIF('Internal -- Trademark Countries'!E:E,AM551) &gt; 0, "shortest_name", COUNTIF('Internal -- Trademark Countries'!A:A,AM551) &gt; 0, "full_name", TRUE, "not a match")</f>
        <v>#NAME?</v>
      </c>
      <c r="EG551" s="30"/>
      <c r="EH551" s="30"/>
      <c r="EI551" s="30"/>
      <c r="EJ551" s="30"/>
      <c r="EK551" s="30" t="str">
        <f t="shared" si="4"/>
        <v/>
      </c>
    </row>
    <row r="552" spans="1:141" ht="16.5">
      <c r="A552" s="11"/>
      <c r="B552" s="11"/>
      <c r="C552" s="11"/>
      <c r="D552" s="11"/>
      <c r="E552" s="11"/>
      <c r="F552" s="11"/>
      <c r="G552" s="11"/>
      <c r="H552" s="11"/>
      <c r="I552" s="11"/>
      <c r="J552" s="11"/>
      <c r="K552" s="27"/>
      <c r="L552" s="11"/>
      <c r="M552" s="11"/>
      <c r="N552" s="11"/>
      <c r="O552" s="11"/>
      <c r="P552" s="15"/>
      <c r="Q552" s="15"/>
      <c r="R552" s="15"/>
      <c r="S552" s="15"/>
      <c r="T552" s="15"/>
      <c r="U552" s="15"/>
      <c r="V552" s="15"/>
      <c r="W552" s="47"/>
      <c r="X552" s="11"/>
      <c r="Y552" s="48"/>
      <c r="Z552" s="11"/>
      <c r="AA552" s="48"/>
      <c r="AB552" s="11"/>
      <c r="AC552" s="48"/>
      <c r="AD552" s="11"/>
      <c r="AE552" s="47"/>
      <c r="AF552" s="11"/>
      <c r="AG552" s="48"/>
      <c r="AH552" s="11"/>
      <c r="AI552" s="48"/>
      <c r="AJ552" s="11"/>
      <c r="AK552" s="48"/>
      <c r="AL552" s="11"/>
      <c r="AM552" s="49"/>
      <c r="AN552" s="49"/>
      <c r="AO552" s="11"/>
      <c r="AP552" s="11"/>
      <c r="AQ552" s="28" t="b">
        <f>IF(COUNTIF(SmartStatus!A$2:A1000, AM552) &gt; 2, TRUE, FALSE)</f>
        <v>0</v>
      </c>
      <c r="AR552" s="29" t="str">
        <f ca="1">IFERROR(__xludf.DUMMYFUNCTION("iferror(if(regexmatch(AO552, ""(?i)^registered""), if(EE552 &lt;&gt; ""polity_shortest_name"", ""CHECK_POLITY"", index(filter(SmartStatus!B$2:B1000, AM552 = SmartStatus!A$2:A1000, not(SmartStatus!C$2:C1000), (isblank(SmartStatus!D$2:D1000)) + ((P552 &lt;&gt; """") * "&amp;"(P552 &lt; SmartStatus!D$2:D1000)), (isblank(SmartStatus!E$2:E1000)) + ((P552 &lt;&gt; """") * (P552 &gt;= SmartStatus!E$2:E1000)), (isblank(SmartStatus!F$2:F1000)) + (((Q552 &lt;&gt; """") * (Q552 &lt; SmartStatus!F$2:F1000)) + ((P552 &lt;&gt; """") * (date(year(P552) + 3, month(P"&amp;"552), day(P552)) &lt; SmartStatus!F$2:F1000))), (isblank(SmartStatus!G$2:G1000)) + (((Q552 &lt;&gt; """") * (Q552 &gt;= SmartStatus!G$2:G1000)) + ((P552 &lt;&gt; """") * (P552 &gt;= SmartStatus!G$2:G1000)))), if(or(regexmatch(B552, ""(?i)^ir [a-z]+ designation$""), N552 &lt;&gt; """&amp;"""), 1, 2))), """"), ""NO_MATCH"")"),"")</f>
        <v/>
      </c>
      <c r="AS552" s="11"/>
      <c r="AT552" s="15"/>
      <c r="AU552" s="11"/>
      <c r="AV552" s="11"/>
      <c r="AW552" s="15"/>
      <c r="AX552" s="15"/>
      <c r="AY552" s="15"/>
      <c r="AZ552" s="11"/>
      <c r="BA552" s="15"/>
      <c r="BB552" s="11"/>
      <c r="BC552" s="11"/>
      <c r="BD552" s="15"/>
      <c r="BE552" s="11"/>
      <c r="BF552" s="11"/>
      <c r="BG552" s="15"/>
      <c r="BH552" s="15"/>
      <c r="BI552" s="15"/>
      <c r="BJ552" s="11"/>
      <c r="BK552" s="15"/>
      <c r="BL552" s="11"/>
      <c r="BM552" s="11"/>
      <c r="BN552" s="15"/>
      <c r="BO552" s="11"/>
      <c r="BP552" s="11"/>
      <c r="BQ552" s="15"/>
      <c r="BR552" s="15"/>
      <c r="BS552" s="15"/>
      <c r="BT552" s="11"/>
      <c r="BU552" s="15"/>
      <c r="BV552" s="11"/>
      <c r="BW552" s="11"/>
      <c r="BX552" s="15"/>
      <c r="BY552" s="11"/>
      <c r="BZ552" s="11"/>
      <c r="CA552" s="15"/>
      <c r="CB552" s="11"/>
      <c r="CC552" s="15"/>
      <c r="CD552" s="11"/>
      <c r="CE552" s="15"/>
      <c r="CF552" s="11"/>
      <c r="CG552" s="11"/>
      <c r="CH552" s="15"/>
      <c r="CI552" s="11"/>
      <c r="CJ552" s="11"/>
      <c r="CK552" s="15"/>
      <c r="CL552" s="11"/>
      <c r="CM552" s="11"/>
      <c r="CN552" s="11"/>
      <c r="CO552" s="11"/>
      <c r="CP552" s="28"/>
      <c r="CQ552" s="28"/>
      <c r="CR552" s="11"/>
      <c r="CS552" s="29"/>
      <c r="CT552" s="11"/>
      <c r="CU552" s="11"/>
      <c r="CV552" s="11"/>
      <c r="CW552" s="11"/>
      <c r="CX552" s="11"/>
      <c r="CY552" s="11"/>
      <c r="CZ552" s="11"/>
      <c r="DA552" s="28"/>
      <c r="DB552" s="28"/>
      <c r="DC552" s="11"/>
      <c r="DD552" s="29"/>
      <c r="DE552" s="11"/>
      <c r="DF552" s="11"/>
      <c r="DG552" s="11"/>
      <c r="DH552" s="11"/>
      <c r="DI552" s="11"/>
      <c r="DJ552" s="11"/>
      <c r="DK552" s="26"/>
      <c r="DL552" s="11"/>
      <c r="DM552" s="29"/>
      <c r="DN552" s="28"/>
      <c r="DO552" s="11"/>
      <c r="DP552" s="11"/>
      <c r="DQ552" s="11"/>
      <c r="DR552" s="29"/>
      <c r="DS552" s="28"/>
      <c r="DT552" s="11"/>
      <c r="DU552" s="26"/>
      <c r="DV552" s="11"/>
      <c r="DW552" s="29"/>
      <c r="DX552" s="28"/>
      <c r="DY552" s="11"/>
      <c r="DZ552" s="26"/>
      <c r="EA552" s="11"/>
      <c r="EB552" s="29"/>
      <c r="EC552" s="28"/>
      <c r="ED552" s="30"/>
      <c r="EE552" s="30" t="str">
        <f ca="1">IFERROR(__xludf.DUMMYFUNCTION("iferror(index(filter('Internal -- Trademark Countries'!E$2:E1000, (AM552 = 'Internal -- Trademark Countries'!B$2:B1000) + (AM552 = 'Internal -- Trademark Countries'!C$2:C1000) + (AM552 = 'Internal -- Trademark Countries'!D$2:D1000)), 1))"),"")</f>
        <v/>
      </c>
      <c r="EF552" s="30" t="e">
        <f ca="1">_xludf.ifs(AM552="", "", COUNTIF('Internal -- Trademark Countries'!B:B,AM552) &gt; 0, "polity_shortest_name", COUNTIF('Internal -- Trademark Countries'!C:C,AM552) &gt; 0, "polity_full_name", COUNTIF('Internal -- Trademark Countries'!D:D,AM552) &gt; 0, "polity_common_name", COUNTIF('Internal -- Trademark Countries'!E:E,AM552) &gt; 0, "shortest_name", COUNTIF('Internal -- Trademark Countries'!A:A,AM552) &gt; 0, "full_name", TRUE, "not a match")</f>
        <v>#NAME?</v>
      </c>
      <c r="EG552" s="30"/>
      <c r="EH552" s="30"/>
      <c r="EI552" s="30"/>
      <c r="EJ552" s="30"/>
      <c r="EK552" s="30" t="str">
        <f t="shared" si="4"/>
        <v/>
      </c>
    </row>
    <row r="553" spans="1:141" ht="16.5">
      <c r="A553" s="11"/>
      <c r="B553" s="11"/>
      <c r="C553" s="11"/>
      <c r="D553" s="11"/>
      <c r="E553" s="11"/>
      <c r="F553" s="11"/>
      <c r="G553" s="11"/>
      <c r="H553" s="11"/>
      <c r="I553" s="11"/>
      <c r="J553" s="11"/>
      <c r="K553" s="27"/>
      <c r="L553" s="11"/>
      <c r="M553" s="11"/>
      <c r="N553" s="11"/>
      <c r="O553" s="11"/>
      <c r="P553" s="15"/>
      <c r="Q553" s="15"/>
      <c r="R553" s="15"/>
      <c r="S553" s="15"/>
      <c r="T553" s="15"/>
      <c r="U553" s="15"/>
      <c r="V553" s="15"/>
      <c r="W553" s="47"/>
      <c r="X553" s="11"/>
      <c r="Y553" s="48"/>
      <c r="Z553" s="11"/>
      <c r="AA553" s="48"/>
      <c r="AB553" s="11"/>
      <c r="AC553" s="48"/>
      <c r="AD553" s="11"/>
      <c r="AE553" s="47"/>
      <c r="AF553" s="11"/>
      <c r="AG553" s="48"/>
      <c r="AH553" s="11"/>
      <c r="AI553" s="48"/>
      <c r="AJ553" s="11"/>
      <c r="AK553" s="48"/>
      <c r="AL553" s="11"/>
      <c r="AM553" s="49"/>
      <c r="AN553" s="49"/>
      <c r="AO553" s="11"/>
      <c r="AP553" s="11"/>
      <c r="AQ553" s="28" t="b">
        <f>IF(COUNTIF(SmartStatus!A$2:A1000, AM553) &gt; 2, TRUE, FALSE)</f>
        <v>0</v>
      </c>
      <c r="AR553" s="29" t="str">
        <f ca="1">IFERROR(__xludf.DUMMYFUNCTION("iferror(if(regexmatch(AO553, ""(?i)^registered""), if(EE553 &lt;&gt; ""polity_shortest_name"", ""CHECK_POLITY"", index(filter(SmartStatus!B$2:B1000, AM553 = SmartStatus!A$2:A1000, not(SmartStatus!C$2:C1000), (isblank(SmartStatus!D$2:D1000)) + ((P553 &lt;&gt; """") * "&amp;"(P553 &lt; SmartStatus!D$2:D1000)), (isblank(SmartStatus!E$2:E1000)) + ((P553 &lt;&gt; """") * (P553 &gt;= SmartStatus!E$2:E1000)), (isblank(SmartStatus!F$2:F1000)) + (((Q553 &lt;&gt; """") * (Q553 &lt; SmartStatus!F$2:F1000)) + ((P553 &lt;&gt; """") * (date(year(P553) + 3, month(P"&amp;"553), day(P553)) &lt; SmartStatus!F$2:F1000))), (isblank(SmartStatus!G$2:G1000)) + (((Q553 &lt;&gt; """") * (Q553 &gt;= SmartStatus!G$2:G1000)) + ((P553 &lt;&gt; """") * (P553 &gt;= SmartStatus!G$2:G1000)))), if(or(regexmatch(B553, ""(?i)^ir [a-z]+ designation$""), N553 &lt;&gt; """&amp;"""), 1, 2))), """"), ""NO_MATCH"")"),"")</f>
        <v/>
      </c>
      <c r="AS553" s="11"/>
      <c r="AT553" s="15"/>
      <c r="AU553" s="11"/>
      <c r="AV553" s="11"/>
      <c r="AW553" s="15"/>
      <c r="AX553" s="15"/>
      <c r="AY553" s="15"/>
      <c r="AZ553" s="11"/>
      <c r="BA553" s="15"/>
      <c r="BB553" s="11"/>
      <c r="BC553" s="11"/>
      <c r="BD553" s="15"/>
      <c r="BE553" s="11"/>
      <c r="BF553" s="11"/>
      <c r="BG553" s="15"/>
      <c r="BH553" s="15"/>
      <c r="BI553" s="15"/>
      <c r="BJ553" s="11"/>
      <c r="BK553" s="15"/>
      <c r="BL553" s="11"/>
      <c r="BM553" s="11"/>
      <c r="BN553" s="15"/>
      <c r="BO553" s="11"/>
      <c r="BP553" s="11"/>
      <c r="BQ553" s="15"/>
      <c r="BR553" s="15"/>
      <c r="BS553" s="15"/>
      <c r="BT553" s="11"/>
      <c r="BU553" s="15"/>
      <c r="BV553" s="11"/>
      <c r="BW553" s="11"/>
      <c r="BX553" s="15"/>
      <c r="BY553" s="11"/>
      <c r="BZ553" s="11"/>
      <c r="CA553" s="15"/>
      <c r="CB553" s="11"/>
      <c r="CC553" s="15"/>
      <c r="CD553" s="11"/>
      <c r="CE553" s="15"/>
      <c r="CF553" s="11"/>
      <c r="CG553" s="11"/>
      <c r="CH553" s="15"/>
      <c r="CI553" s="11"/>
      <c r="CJ553" s="11"/>
      <c r="CK553" s="15"/>
      <c r="CL553" s="11"/>
      <c r="CM553" s="11"/>
      <c r="CN553" s="11"/>
      <c r="CO553" s="11"/>
      <c r="CP553" s="28"/>
      <c r="CQ553" s="28"/>
      <c r="CR553" s="11"/>
      <c r="CS553" s="29"/>
      <c r="CT553" s="11"/>
      <c r="CU553" s="11"/>
      <c r="CV553" s="11"/>
      <c r="CW553" s="11"/>
      <c r="CX553" s="11"/>
      <c r="CY553" s="11"/>
      <c r="CZ553" s="11"/>
      <c r="DA553" s="28"/>
      <c r="DB553" s="28"/>
      <c r="DC553" s="11"/>
      <c r="DD553" s="29"/>
      <c r="DE553" s="11"/>
      <c r="DF553" s="11"/>
      <c r="DG553" s="11"/>
      <c r="DH553" s="11"/>
      <c r="DI553" s="11"/>
      <c r="DJ553" s="11"/>
      <c r="DK553" s="26"/>
      <c r="DL553" s="11"/>
      <c r="DM553" s="29"/>
      <c r="DN553" s="28"/>
      <c r="DO553" s="11"/>
      <c r="DP553" s="11"/>
      <c r="DQ553" s="11"/>
      <c r="DR553" s="29"/>
      <c r="DS553" s="28"/>
      <c r="DT553" s="11"/>
      <c r="DU553" s="26"/>
      <c r="DV553" s="11"/>
      <c r="DW553" s="29"/>
      <c r="DX553" s="28"/>
      <c r="DY553" s="11"/>
      <c r="DZ553" s="26"/>
      <c r="EA553" s="11"/>
      <c r="EB553" s="29"/>
      <c r="EC553" s="28"/>
      <c r="ED553" s="30"/>
      <c r="EE553" s="30" t="str">
        <f ca="1">IFERROR(__xludf.DUMMYFUNCTION("iferror(index(filter('Internal -- Trademark Countries'!E$2:E1000, (AM553 = 'Internal -- Trademark Countries'!B$2:B1000) + (AM553 = 'Internal -- Trademark Countries'!C$2:C1000) + (AM553 = 'Internal -- Trademark Countries'!D$2:D1000)), 1))"),"")</f>
        <v/>
      </c>
      <c r="EF553" s="30" t="e">
        <f ca="1">_xludf.ifs(AM553="", "", COUNTIF('Internal -- Trademark Countries'!B:B,AM553) &gt; 0, "polity_shortest_name", COUNTIF('Internal -- Trademark Countries'!C:C,AM553) &gt; 0, "polity_full_name", COUNTIF('Internal -- Trademark Countries'!D:D,AM553) &gt; 0, "polity_common_name", COUNTIF('Internal -- Trademark Countries'!E:E,AM553) &gt; 0, "shortest_name", COUNTIF('Internal -- Trademark Countries'!A:A,AM553) &gt; 0, "full_name", TRUE, "not a match")</f>
        <v>#NAME?</v>
      </c>
      <c r="EG553" s="30"/>
      <c r="EH553" s="30"/>
      <c r="EI553" s="30"/>
      <c r="EJ553" s="30"/>
      <c r="EK553" s="30" t="str">
        <f t="shared" si="4"/>
        <v/>
      </c>
    </row>
    <row r="554" spans="1:141" ht="16.5">
      <c r="A554" s="11"/>
      <c r="B554" s="11"/>
      <c r="C554" s="11"/>
      <c r="D554" s="11"/>
      <c r="E554" s="11"/>
      <c r="F554" s="11"/>
      <c r="G554" s="11"/>
      <c r="H554" s="11"/>
      <c r="I554" s="11"/>
      <c r="J554" s="11"/>
      <c r="K554" s="27"/>
      <c r="L554" s="11"/>
      <c r="M554" s="11"/>
      <c r="N554" s="11"/>
      <c r="O554" s="11"/>
      <c r="P554" s="15"/>
      <c r="Q554" s="15"/>
      <c r="R554" s="15"/>
      <c r="S554" s="15"/>
      <c r="T554" s="15"/>
      <c r="U554" s="15"/>
      <c r="V554" s="15"/>
      <c r="W554" s="47"/>
      <c r="X554" s="11"/>
      <c r="Y554" s="48"/>
      <c r="Z554" s="11"/>
      <c r="AA554" s="48"/>
      <c r="AB554" s="11"/>
      <c r="AC554" s="48"/>
      <c r="AD554" s="11"/>
      <c r="AE554" s="47"/>
      <c r="AF554" s="11"/>
      <c r="AG554" s="48"/>
      <c r="AH554" s="11"/>
      <c r="AI554" s="48"/>
      <c r="AJ554" s="11"/>
      <c r="AK554" s="48"/>
      <c r="AL554" s="11"/>
      <c r="AM554" s="49"/>
      <c r="AN554" s="49"/>
      <c r="AO554" s="11"/>
      <c r="AP554" s="11"/>
      <c r="AQ554" s="28" t="b">
        <f>IF(COUNTIF(SmartStatus!A$2:A1000, AM554) &gt; 2, TRUE, FALSE)</f>
        <v>0</v>
      </c>
      <c r="AR554" s="29" t="str">
        <f ca="1">IFERROR(__xludf.DUMMYFUNCTION("iferror(if(regexmatch(AO554, ""(?i)^registered""), if(EE554 &lt;&gt; ""polity_shortest_name"", ""CHECK_POLITY"", index(filter(SmartStatus!B$2:B1000, AM554 = SmartStatus!A$2:A1000, not(SmartStatus!C$2:C1000), (isblank(SmartStatus!D$2:D1000)) + ((P554 &lt;&gt; """") * "&amp;"(P554 &lt; SmartStatus!D$2:D1000)), (isblank(SmartStatus!E$2:E1000)) + ((P554 &lt;&gt; """") * (P554 &gt;= SmartStatus!E$2:E1000)), (isblank(SmartStatus!F$2:F1000)) + (((Q554 &lt;&gt; """") * (Q554 &lt; SmartStatus!F$2:F1000)) + ((P554 &lt;&gt; """") * (date(year(P554) + 3, month(P"&amp;"554), day(P554)) &lt; SmartStatus!F$2:F1000))), (isblank(SmartStatus!G$2:G1000)) + (((Q554 &lt;&gt; """") * (Q554 &gt;= SmartStatus!G$2:G1000)) + ((P554 &lt;&gt; """") * (P554 &gt;= SmartStatus!G$2:G1000)))), if(or(regexmatch(B554, ""(?i)^ir [a-z]+ designation$""), N554 &lt;&gt; """&amp;"""), 1, 2))), """"), ""NO_MATCH"")"),"")</f>
        <v/>
      </c>
      <c r="AS554" s="11"/>
      <c r="AT554" s="15"/>
      <c r="AU554" s="11"/>
      <c r="AV554" s="11"/>
      <c r="AW554" s="15"/>
      <c r="AX554" s="15"/>
      <c r="AY554" s="15"/>
      <c r="AZ554" s="11"/>
      <c r="BA554" s="15"/>
      <c r="BB554" s="11"/>
      <c r="BC554" s="11"/>
      <c r="BD554" s="15"/>
      <c r="BE554" s="11"/>
      <c r="BF554" s="11"/>
      <c r="BG554" s="15"/>
      <c r="BH554" s="15"/>
      <c r="BI554" s="15"/>
      <c r="BJ554" s="11"/>
      <c r="BK554" s="15"/>
      <c r="BL554" s="11"/>
      <c r="BM554" s="11"/>
      <c r="BN554" s="15"/>
      <c r="BO554" s="11"/>
      <c r="BP554" s="11"/>
      <c r="BQ554" s="15"/>
      <c r="BR554" s="15"/>
      <c r="BS554" s="15"/>
      <c r="BT554" s="11"/>
      <c r="BU554" s="15"/>
      <c r="BV554" s="11"/>
      <c r="BW554" s="11"/>
      <c r="BX554" s="15"/>
      <c r="BY554" s="11"/>
      <c r="BZ554" s="11"/>
      <c r="CA554" s="15"/>
      <c r="CB554" s="11"/>
      <c r="CC554" s="15"/>
      <c r="CD554" s="11"/>
      <c r="CE554" s="15"/>
      <c r="CF554" s="11"/>
      <c r="CG554" s="11"/>
      <c r="CH554" s="15"/>
      <c r="CI554" s="11"/>
      <c r="CJ554" s="11"/>
      <c r="CK554" s="15"/>
      <c r="CL554" s="11"/>
      <c r="CM554" s="11"/>
      <c r="CN554" s="11"/>
      <c r="CO554" s="11"/>
      <c r="CP554" s="28"/>
      <c r="CQ554" s="28"/>
      <c r="CR554" s="11"/>
      <c r="CS554" s="29"/>
      <c r="CT554" s="11"/>
      <c r="CU554" s="11"/>
      <c r="CV554" s="11"/>
      <c r="CW554" s="11"/>
      <c r="CX554" s="11"/>
      <c r="CY554" s="11"/>
      <c r="CZ554" s="11"/>
      <c r="DA554" s="28"/>
      <c r="DB554" s="28"/>
      <c r="DC554" s="11"/>
      <c r="DD554" s="29"/>
      <c r="DE554" s="11"/>
      <c r="DF554" s="11"/>
      <c r="DG554" s="11"/>
      <c r="DH554" s="11"/>
      <c r="DI554" s="11"/>
      <c r="DJ554" s="11"/>
      <c r="DK554" s="26"/>
      <c r="DL554" s="11"/>
      <c r="DM554" s="29"/>
      <c r="DN554" s="28"/>
      <c r="DO554" s="11"/>
      <c r="DP554" s="11"/>
      <c r="DQ554" s="11"/>
      <c r="DR554" s="29"/>
      <c r="DS554" s="28"/>
      <c r="DT554" s="11"/>
      <c r="DU554" s="26"/>
      <c r="DV554" s="11"/>
      <c r="DW554" s="29"/>
      <c r="DX554" s="28"/>
      <c r="DY554" s="11"/>
      <c r="DZ554" s="26"/>
      <c r="EA554" s="11"/>
      <c r="EB554" s="29"/>
      <c r="EC554" s="28"/>
      <c r="ED554" s="30"/>
      <c r="EE554" s="30" t="str">
        <f ca="1">IFERROR(__xludf.DUMMYFUNCTION("iferror(index(filter('Internal -- Trademark Countries'!E$2:E1000, (AM554 = 'Internal -- Trademark Countries'!B$2:B1000) + (AM554 = 'Internal -- Trademark Countries'!C$2:C1000) + (AM554 = 'Internal -- Trademark Countries'!D$2:D1000)), 1))"),"")</f>
        <v/>
      </c>
      <c r="EF554" s="30" t="e">
        <f ca="1">_xludf.ifs(AM554="", "", COUNTIF('Internal -- Trademark Countries'!B:B,AM554) &gt; 0, "polity_shortest_name", COUNTIF('Internal -- Trademark Countries'!C:C,AM554) &gt; 0, "polity_full_name", COUNTIF('Internal -- Trademark Countries'!D:D,AM554) &gt; 0, "polity_common_name", COUNTIF('Internal -- Trademark Countries'!E:E,AM554) &gt; 0, "shortest_name", COUNTIF('Internal -- Trademark Countries'!A:A,AM554) &gt; 0, "full_name", TRUE, "not a match")</f>
        <v>#NAME?</v>
      </c>
      <c r="EG554" s="30"/>
      <c r="EH554" s="30"/>
      <c r="EI554" s="30"/>
      <c r="EJ554" s="30"/>
      <c r="EK554" s="30" t="str">
        <f t="shared" si="4"/>
        <v/>
      </c>
    </row>
    <row r="555" spans="1:141" ht="16.5">
      <c r="A555" s="11"/>
      <c r="B555" s="11"/>
      <c r="C555" s="11"/>
      <c r="D555" s="11"/>
      <c r="E555" s="11"/>
      <c r="F555" s="11"/>
      <c r="G555" s="11"/>
      <c r="H555" s="11"/>
      <c r="I555" s="11"/>
      <c r="J555" s="11"/>
      <c r="K555" s="27"/>
      <c r="L555" s="11"/>
      <c r="M555" s="11"/>
      <c r="N555" s="11"/>
      <c r="O555" s="11"/>
      <c r="P555" s="15"/>
      <c r="Q555" s="15"/>
      <c r="R555" s="15"/>
      <c r="S555" s="15"/>
      <c r="T555" s="15"/>
      <c r="U555" s="15"/>
      <c r="V555" s="15"/>
      <c r="W555" s="47"/>
      <c r="X555" s="11"/>
      <c r="Y555" s="48"/>
      <c r="Z555" s="11"/>
      <c r="AA555" s="48"/>
      <c r="AB555" s="11"/>
      <c r="AC555" s="48"/>
      <c r="AD555" s="11"/>
      <c r="AE555" s="47"/>
      <c r="AF555" s="11"/>
      <c r="AG555" s="48"/>
      <c r="AH555" s="11"/>
      <c r="AI555" s="48"/>
      <c r="AJ555" s="11"/>
      <c r="AK555" s="48"/>
      <c r="AL555" s="11"/>
      <c r="AM555" s="49"/>
      <c r="AN555" s="49"/>
      <c r="AO555" s="11"/>
      <c r="AP555" s="11"/>
      <c r="AQ555" s="28" t="b">
        <f>IF(COUNTIF(SmartStatus!A$2:A1000, AM555) &gt; 2, TRUE, FALSE)</f>
        <v>0</v>
      </c>
      <c r="AR555" s="29" t="str">
        <f ca="1">IFERROR(__xludf.DUMMYFUNCTION("iferror(if(regexmatch(AO555, ""(?i)^registered""), if(EE555 &lt;&gt; ""polity_shortest_name"", ""CHECK_POLITY"", index(filter(SmartStatus!B$2:B1000, AM555 = SmartStatus!A$2:A1000, not(SmartStatus!C$2:C1000), (isblank(SmartStatus!D$2:D1000)) + ((P555 &lt;&gt; """") * "&amp;"(P555 &lt; SmartStatus!D$2:D1000)), (isblank(SmartStatus!E$2:E1000)) + ((P555 &lt;&gt; """") * (P555 &gt;= SmartStatus!E$2:E1000)), (isblank(SmartStatus!F$2:F1000)) + (((Q555 &lt;&gt; """") * (Q555 &lt; SmartStatus!F$2:F1000)) + ((P555 &lt;&gt; """") * (date(year(P555) + 3, month(P"&amp;"555), day(P555)) &lt; SmartStatus!F$2:F1000))), (isblank(SmartStatus!G$2:G1000)) + (((Q555 &lt;&gt; """") * (Q555 &gt;= SmartStatus!G$2:G1000)) + ((P555 &lt;&gt; """") * (P555 &gt;= SmartStatus!G$2:G1000)))), if(or(regexmatch(B555, ""(?i)^ir [a-z]+ designation$""), N555 &lt;&gt; """&amp;"""), 1, 2))), """"), ""NO_MATCH"")"),"")</f>
        <v/>
      </c>
      <c r="AS555" s="11"/>
      <c r="AT555" s="15"/>
      <c r="AU555" s="11"/>
      <c r="AV555" s="11"/>
      <c r="AW555" s="15"/>
      <c r="AX555" s="15"/>
      <c r="AY555" s="15"/>
      <c r="AZ555" s="11"/>
      <c r="BA555" s="15"/>
      <c r="BB555" s="11"/>
      <c r="BC555" s="11"/>
      <c r="BD555" s="15"/>
      <c r="BE555" s="11"/>
      <c r="BF555" s="11"/>
      <c r="BG555" s="15"/>
      <c r="BH555" s="15"/>
      <c r="BI555" s="15"/>
      <c r="BJ555" s="11"/>
      <c r="BK555" s="15"/>
      <c r="BL555" s="11"/>
      <c r="BM555" s="11"/>
      <c r="BN555" s="15"/>
      <c r="BO555" s="11"/>
      <c r="BP555" s="11"/>
      <c r="BQ555" s="15"/>
      <c r="BR555" s="15"/>
      <c r="BS555" s="15"/>
      <c r="BT555" s="11"/>
      <c r="BU555" s="15"/>
      <c r="BV555" s="11"/>
      <c r="BW555" s="11"/>
      <c r="BX555" s="15"/>
      <c r="BY555" s="11"/>
      <c r="BZ555" s="11"/>
      <c r="CA555" s="15"/>
      <c r="CB555" s="11"/>
      <c r="CC555" s="15"/>
      <c r="CD555" s="11"/>
      <c r="CE555" s="15"/>
      <c r="CF555" s="11"/>
      <c r="CG555" s="11"/>
      <c r="CH555" s="15"/>
      <c r="CI555" s="11"/>
      <c r="CJ555" s="11"/>
      <c r="CK555" s="15"/>
      <c r="CL555" s="11"/>
      <c r="CM555" s="11"/>
      <c r="CN555" s="11"/>
      <c r="CO555" s="11"/>
      <c r="CP555" s="28"/>
      <c r="CQ555" s="28"/>
      <c r="CR555" s="11"/>
      <c r="CS555" s="29"/>
      <c r="CT555" s="11"/>
      <c r="CU555" s="11"/>
      <c r="CV555" s="11"/>
      <c r="CW555" s="11"/>
      <c r="CX555" s="11"/>
      <c r="CY555" s="11"/>
      <c r="CZ555" s="11"/>
      <c r="DA555" s="28"/>
      <c r="DB555" s="28"/>
      <c r="DC555" s="11"/>
      <c r="DD555" s="29"/>
      <c r="DE555" s="11"/>
      <c r="DF555" s="11"/>
      <c r="DG555" s="11"/>
      <c r="DH555" s="11"/>
      <c r="DI555" s="11"/>
      <c r="DJ555" s="11"/>
      <c r="DK555" s="26"/>
      <c r="DL555" s="11"/>
      <c r="DM555" s="29"/>
      <c r="DN555" s="28"/>
      <c r="DO555" s="11"/>
      <c r="DP555" s="11"/>
      <c r="DQ555" s="11"/>
      <c r="DR555" s="29"/>
      <c r="DS555" s="28"/>
      <c r="DT555" s="11"/>
      <c r="DU555" s="26"/>
      <c r="DV555" s="11"/>
      <c r="DW555" s="29"/>
      <c r="DX555" s="28"/>
      <c r="DY555" s="11"/>
      <c r="DZ555" s="26"/>
      <c r="EA555" s="11"/>
      <c r="EB555" s="29"/>
      <c r="EC555" s="28"/>
      <c r="ED555" s="30"/>
      <c r="EE555" s="30" t="str">
        <f ca="1">IFERROR(__xludf.DUMMYFUNCTION("iferror(index(filter('Internal -- Trademark Countries'!E$2:E1000, (AM555 = 'Internal -- Trademark Countries'!B$2:B1000) + (AM555 = 'Internal -- Trademark Countries'!C$2:C1000) + (AM555 = 'Internal -- Trademark Countries'!D$2:D1000)), 1))"),"")</f>
        <v/>
      </c>
      <c r="EF555" s="30" t="e">
        <f ca="1">_xludf.ifs(AM555="", "", COUNTIF('Internal -- Trademark Countries'!B:B,AM555) &gt; 0, "polity_shortest_name", COUNTIF('Internal -- Trademark Countries'!C:C,AM555) &gt; 0, "polity_full_name", COUNTIF('Internal -- Trademark Countries'!D:D,AM555) &gt; 0, "polity_common_name", COUNTIF('Internal -- Trademark Countries'!E:E,AM555) &gt; 0, "shortest_name", COUNTIF('Internal -- Trademark Countries'!A:A,AM555) &gt; 0, "full_name", TRUE, "not a match")</f>
        <v>#NAME?</v>
      </c>
      <c r="EG555" s="30"/>
      <c r="EH555" s="30"/>
      <c r="EI555" s="30"/>
      <c r="EJ555" s="30"/>
      <c r="EK555" s="30" t="str">
        <f t="shared" si="4"/>
        <v/>
      </c>
    </row>
    <row r="556" spans="1:141" ht="16.5">
      <c r="A556" s="11"/>
      <c r="B556" s="11"/>
      <c r="C556" s="11"/>
      <c r="D556" s="11"/>
      <c r="E556" s="11"/>
      <c r="F556" s="11"/>
      <c r="G556" s="11"/>
      <c r="H556" s="11"/>
      <c r="I556" s="11"/>
      <c r="J556" s="11"/>
      <c r="K556" s="27"/>
      <c r="L556" s="11"/>
      <c r="M556" s="11"/>
      <c r="N556" s="11"/>
      <c r="O556" s="11"/>
      <c r="P556" s="15"/>
      <c r="Q556" s="15"/>
      <c r="R556" s="15"/>
      <c r="S556" s="15"/>
      <c r="T556" s="15"/>
      <c r="U556" s="15"/>
      <c r="V556" s="15"/>
      <c r="W556" s="47"/>
      <c r="X556" s="11"/>
      <c r="Y556" s="48"/>
      <c r="Z556" s="11"/>
      <c r="AA556" s="48"/>
      <c r="AB556" s="11"/>
      <c r="AC556" s="48"/>
      <c r="AD556" s="11"/>
      <c r="AE556" s="47"/>
      <c r="AF556" s="11"/>
      <c r="AG556" s="48"/>
      <c r="AH556" s="11"/>
      <c r="AI556" s="48"/>
      <c r="AJ556" s="11"/>
      <c r="AK556" s="48"/>
      <c r="AL556" s="11"/>
      <c r="AM556" s="49"/>
      <c r="AN556" s="49"/>
      <c r="AO556" s="11"/>
      <c r="AP556" s="11"/>
      <c r="AQ556" s="28" t="b">
        <f>IF(COUNTIF(SmartStatus!A$2:A1000, AM556) &gt; 2, TRUE, FALSE)</f>
        <v>0</v>
      </c>
      <c r="AR556" s="29" t="str">
        <f ca="1">IFERROR(__xludf.DUMMYFUNCTION("iferror(if(regexmatch(AO556, ""(?i)^registered""), if(EE556 &lt;&gt; ""polity_shortest_name"", ""CHECK_POLITY"", index(filter(SmartStatus!B$2:B1000, AM556 = SmartStatus!A$2:A1000, not(SmartStatus!C$2:C1000), (isblank(SmartStatus!D$2:D1000)) + ((P556 &lt;&gt; """") * "&amp;"(P556 &lt; SmartStatus!D$2:D1000)), (isblank(SmartStatus!E$2:E1000)) + ((P556 &lt;&gt; """") * (P556 &gt;= SmartStatus!E$2:E1000)), (isblank(SmartStatus!F$2:F1000)) + (((Q556 &lt;&gt; """") * (Q556 &lt; SmartStatus!F$2:F1000)) + ((P556 &lt;&gt; """") * (date(year(P556) + 3, month(P"&amp;"556), day(P556)) &lt; SmartStatus!F$2:F1000))), (isblank(SmartStatus!G$2:G1000)) + (((Q556 &lt;&gt; """") * (Q556 &gt;= SmartStatus!G$2:G1000)) + ((P556 &lt;&gt; """") * (P556 &gt;= SmartStatus!G$2:G1000)))), if(or(regexmatch(B556, ""(?i)^ir [a-z]+ designation$""), N556 &lt;&gt; """&amp;"""), 1, 2))), """"), ""NO_MATCH"")"),"")</f>
        <v/>
      </c>
      <c r="AS556" s="11"/>
      <c r="AT556" s="15"/>
      <c r="AU556" s="11"/>
      <c r="AV556" s="11"/>
      <c r="AW556" s="15"/>
      <c r="AX556" s="15"/>
      <c r="AY556" s="15"/>
      <c r="AZ556" s="11"/>
      <c r="BA556" s="15"/>
      <c r="BB556" s="11"/>
      <c r="BC556" s="11"/>
      <c r="BD556" s="15"/>
      <c r="BE556" s="11"/>
      <c r="BF556" s="11"/>
      <c r="BG556" s="15"/>
      <c r="BH556" s="15"/>
      <c r="BI556" s="15"/>
      <c r="BJ556" s="11"/>
      <c r="BK556" s="15"/>
      <c r="BL556" s="11"/>
      <c r="BM556" s="11"/>
      <c r="BN556" s="15"/>
      <c r="BO556" s="11"/>
      <c r="BP556" s="11"/>
      <c r="BQ556" s="15"/>
      <c r="BR556" s="15"/>
      <c r="BS556" s="15"/>
      <c r="BT556" s="11"/>
      <c r="BU556" s="15"/>
      <c r="BV556" s="11"/>
      <c r="BW556" s="11"/>
      <c r="BX556" s="15"/>
      <c r="BY556" s="11"/>
      <c r="BZ556" s="11"/>
      <c r="CA556" s="15"/>
      <c r="CB556" s="11"/>
      <c r="CC556" s="15"/>
      <c r="CD556" s="11"/>
      <c r="CE556" s="15"/>
      <c r="CF556" s="11"/>
      <c r="CG556" s="11"/>
      <c r="CH556" s="15"/>
      <c r="CI556" s="11"/>
      <c r="CJ556" s="11"/>
      <c r="CK556" s="15"/>
      <c r="CL556" s="11"/>
      <c r="CM556" s="11"/>
      <c r="CN556" s="11"/>
      <c r="CO556" s="11"/>
      <c r="CP556" s="28"/>
      <c r="CQ556" s="28"/>
      <c r="CR556" s="11"/>
      <c r="CS556" s="29"/>
      <c r="CT556" s="11"/>
      <c r="CU556" s="11"/>
      <c r="CV556" s="11"/>
      <c r="CW556" s="11"/>
      <c r="CX556" s="11"/>
      <c r="CY556" s="11"/>
      <c r="CZ556" s="11"/>
      <c r="DA556" s="28"/>
      <c r="DB556" s="28"/>
      <c r="DC556" s="11"/>
      <c r="DD556" s="29"/>
      <c r="DE556" s="11"/>
      <c r="DF556" s="11"/>
      <c r="DG556" s="11"/>
      <c r="DH556" s="11"/>
      <c r="DI556" s="11"/>
      <c r="DJ556" s="11"/>
      <c r="DK556" s="26"/>
      <c r="DL556" s="11"/>
      <c r="DM556" s="29"/>
      <c r="DN556" s="28"/>
      <c r="DO556" s="11"/>
      <c r="DP556" s="11"/>
      <c r="DQ556" s="11"/>
      <c r="DR556" s="29"/>
      <c r="DS556" s="28"/>
      <c r="DT556" s="11"/>
      <c r="DU556" s="26"/>
      <c r="DV556" s="11"/>
      <c r="DW556" s="29"/>
      <c r="DX556" s="28"/>
      <c r="DY556" s="11"/>
      <c r="DZ556" s="26"/>
      <c r="EA556" s="11"/>
      <c r="EB556" s="29"/>
      <c r="EC556" s="28"/>
      <c r="ED556" s="30"/>
      <c r="EE556" s="30" t="str">
        <f ca="1">IFERROR(__xludf.DUMMYFUNCTION("iferror(index(filter('Internal -- Trademark Countries'!E$2:E1000, (AM556 = 'Internal -- Trademark Countries'!B$2:B1000) + (AM556 = 'Internal -- Trademark Countries'!C$2:C1000) + (AM556 = 'Internal -- Trademark Countries'!D$2:D1000)), 1))"),"")</f>
        <v/>
      </c>
      <c r="EF556" s="30" t="e">
        <f ca="1">_xludf.ifs(AM556="", "", COUNTIF('Internal -- Trademark Countries'!B:B,AM556) &gt; 0, "polity_shortest_name", COUNTIF('Internal -- Trademark Countries'!C:C,AM556) &gt; 0, "polity_full_name", COUNTIF('Internal -- Trademark Countries'!D:D,AM556) &gt; 0, "polity_common_name", COUNTIF('Internal -- Trademark Countries'!E:E,AM556) &gt; 0, "shortest_name", COUNTIF('Internal -- Trademark Countries'!A:A,AM556) &gt; 0, "full_name", TRUE, "not a match")</f>
        <v>#NAME?</v>
      </c>
      <c r="EG556" s="30"/>
      <c r="EH556" s="30"/>
      <c r="EI556" s="30"/>
      <c r="EJ556" s="30"/>
      <c r="EK556" s="30" t="str">
        <f t="shared" si="4"/>
        <v/>
      </c>
    </row>
    <row r="557" spans="1:141" ht="16.5">
      <c r="A557" s="11"/>
      <c r="B557" s="11"/>
      <c r="C557" s="11"/>
      <c r="D557" s="11"/>
      <c r="E557" s="11"/>
      <c r="F557" s="11"/>
      <c r="G557" s="11"/>
      <c r="H557" s="11"/>
      <c r="I557" s="11"/>
      <c r="J557" s="11"/>
      <c r="K557" s="27"/>
      <c r="L557" s="11"/>
      <c r="M557" s="11"/>
      <c r="N557" s="11"/>
      <c r="O557" s="11"/>
      <c r="P557" s="15"/>
      <c r="Q557" s="15"/>
      <c r="R557" s="15"/>
      <c r="S557" s="15"/>
      <c r="T557" s="15"/>
      <c r="U557" s="15"/>
      <c r="V557" s="15"/>
      <c r="W557" s="47"/>
      <c r="X557" s="11"/>
      <c r="Y557" s="48"/>
      <c r="Z557" s="11"/>
      <c r="AA557" s="48"/>
      <c r="AB557" s="11"/>
      <c r="AC557" s="48"/>
      <c r="AD557" s="11"/>
      <c r="AE557" s="47"/>
      <c r="AF557" s="11"/>
      <c r="AG557" s="48"/>
      <c r="AH557" s="11"/>
      <c r="AI557" s="48"/>
      <c r="AJ557" s="11"/>
      <c r="AK557" s="48"/>
      <c r="AL557" s="11"/>
      <c r="AM557" s="49"/>
      <c r="AN557" s="49"/>
      <c r="AO557" s="11"/>
      <c r="AP557" s="11"/>
      <c r="AQ557" s="28" t="b">
        <f>IF(COUNTIF(SmartStatus!A$2:A1000, AM557) &gt; 2, TRUE, FALSE)</f>
        <v>0</v>
      </c>
      <c r="AR557" s="29" t="str">
        <f ca="1">IFERROR(__xludf.DUMMYFUNCTION("iferror(if(regexmatch(AO557, ""(?i)^registered""), if(EE557 &lt;&gt; ""polity_shortest_name"", ""CHECK_POLITY"", index(filter(SmartStatus!B$2:B1000, AM557 = SmartStatus!A$2:A1000, not(SmartStatus!C$2:C1000), (isblank(SmartStatus!D$2:D1000)) + ((P557 &lt;&gt; """") * "&amp;"(P557 &lt; SmartStatus!D$2:D1000)), (isblank(SmartStatus!E$2:E1000)) + ((P557 &lt;&gt; """") * (P557 &gt;= SmartStatus!E$2:E1000)), (isblank(SmartStatus!F$2:F1000)) + (((Q557 &lt;&gt; """") * (Q557 &lt; SmartStatus!F$2:F1000)) + ((P557 &lt;&gt; """") * (date(year(P557) + 3, month(P"&amp;"557), day(P557)) &lt; SmartStatus!F$2:F1000))), (isblank(SmartStatus!G$2:G1000)) + (((Q557 &lt;&gt; """") * (Q557 &gt;= SmartStatus!G$2:G1000)) + ((P557 &lt;&gt; """") * (P557 &gt;= SmartStatus!G$2:G1000)))), if(or(regexmatch(B557, ""(?i)^ir [a-z]+ designation$""), N557 &lt;&gt; """&amp;"""), 1, 2))), """"), ""NO_MATCH"")"),"")</f>
        <v/>
      </c>
      <c r="AS557" s="11"/>
      <c r="AT557" s="15"/>
      <c r="AU557" s="11"/>
      <c r="AV557" s="11"/>
      <c r="AW557" s="15"/>
      <c r="AX557" s="15"/>
      <c r="AY557" s="15"/>
      <c r="AZ557" s="11"/>
      <c r="BA557" s="15"/>
      <c r="BB557" s="11"/>
      <c r="BC557" s="11"/>
      <c r="BD557" s="15"/>
      <c r="BE557" s="11"/>
      <c r="BF557" s="11"/>
      <c r="BG557" s="15"/>
      <c r="BH557" s="15"/>
      <c r="BI557" s="15"/>
      <c r="BJ557" s="11"/>
      <c r="BK557" s="15"/>
      <c r="BL557" s="11"/>
      <c r="BM557" s="11"/>
      <c r="BN557" s="15"/>
      <c r="BO557" s="11"/>
      <c r="BP557" s="11"/>
      <c r="BQ557" s="15"/>
      <c r="BR557" s="15"/>
      <c r="BS557" s="15"/>
      <c r="BT557" s="11"/>
      <c r="BU557" s="15"/>
      <c r="BV557" s="11"/>
      <c r="BW557" s="11"/>
      <c r="BX557" s="15"/>
      <c r="BY557" s="11"/>
      <c r="BZ557" s="11"/>
      <c r="CA557" s="15"/>
      <c r="CB557" s="11"/>
      <c r="CC557" s="15"/>
      <c r="CD557" s="11"/>
      <c r="CE557" s="15"/>
      <c r="CF557" s="11"/>
      <c r="CG557" s="11"/>
      <c r="CH557" s="15"/>
      <c r="CI557" s="11"/>
      <c r="CJ557" s="11"/>
      <c r="CK557" s="15"/>
      <c r="CL557" s="11"/>
      <c r="CM557" s="11"/>
      <c r="CN557" s="11"/>
      <c r="CO557" s="11"/>
      <c r="CP557" s="28"/>
      <c r="CQ557" s="28"/>
      <c r="CR557" s="11"/>
      <c r="CS557" s="29"/>
      <c r="CT557" s="11"/>
      <c r="CU557" s="11"/>
      <c r="CV557" s="11"/>
      <c r="CW557" s="11"/>
      <c r="CX557" s="11"/>
      <c r="CY557" s="11"/>
      <c r="CZ557" s="11"/>
      <c r="DA557" s="28"/>
      <c r="DB557" s="28"/>
      <c r="DC557" s="11"/>
      <c r="DD557" s="29"/>
      <c r="DE557" s="11"/>
      <c r="DF557" s="11"/>
      <c r="DG557" s="11"/>
      <c r="DH557" s="11"/>
      <c r="DI557" s="11"/>
      <c r="DJ557" s="11"/>
      <c r="DK557" s="26"/>
      <c r="DL557" s="11"/>
      <c r="DM557" s="29"/>
      <c r="DN557" s="28"/>
      <c r="DO557" s="11"/>
      <c r="DP557" s="11"/>
      <c r="DQ557" s="11"/>
      <c r="DR557" s="29"/>
      <c r="DS557" s="28"/>
      <c r="DT557" s="11"/>
      <c r="DU557" s="26"/>
      <c r="DV557" s="11"/>
      <c r="DW557" s="29"/>
      <c r="DX557" s="28"/>
      <c r="DY557" s="11"/>
      <c r="DZ557" s="26"/>
      <c r="EA557" s="11"/>
      <c r="EB557" s="29"/>
      <c r="EC557" s="28"/>
      <c r="ED557" s="30"/>
      <c r="EE557" s="30" t="str">
        <f ca="1">IFERROR(__xludf.DUMMYFUNCTION("iferror(index(filter('Internal -- Trademark Countries'!E$2:E1000, (AM557 = 'Internal -- Trademark Countries'!B$2:B1000) + (AM557 = 'Internal -- Trademark Countries'!C$2:C1000) + (AM557 = 'Internal -- Trademark Countries'!D$2:D1000)), 1))"),"")</f>
        <v/>
      </c>
      <c r="EF557" s="30" t="e">
        <f ca="1">_xludf.ifs(AM557="", "", COUNTIF('Internal -- Trademark Countries'!B:B,AM557) &gt; 0, "polity_shortest_name", COUNTIF('Internal -- Trademark Countries'!C:C,AM557) &gt; 0, "polity_full_name", COUNTIF('Internal -- Trademark Countries'!D:D,AM557) &gt; 0, "polity_common_name", COUNTIF('Internal -- Trademark Countries'!E:E,AM557) &gt; 0, "shortest_name", COUNTIF('Internal -- Trademark Countries'!A:A,AM557) &gt; 0, "full_name", TRUE, "not a match")</f>
        <v>#NAME?</v>
      </c>
      <c r="EG557" s="30"/>
      <c r="EH557" s="30"/>
      <c r="EI557" s="30"/>
      <c r="EJ557" s="30"/>
      <c r="EK557" s="30" t="str">
        <f t="shared" si="4"/>
        <v/>
      </c>
    </row>
    <row r="558" spans="1:141" ht="16.5">
      <c r="A558" s="11"/>
      <c r="B558" s="11"/>
      <c r="C558" s="11"/>
      <c r="D558" s="11"/>
      <c r="E558" s="11"/>
      <c r="F558" s="11"/>
      <c r="G558" s="11"/>
      <c r="H558" s="11"/>
      <c r="I558" s="11"/>
      <c r="J558" s="11"/>
      <c r="K558" s="27"/>
      <c r="L558" s="11"/>
      <c r="M558" s="11"/>
      <c r="N558" s="11"/>
      <c r="O558" s="11"/>
      <c r="P558" s="15"/>
      <c r="Q558" s="15"/>
      <c r="R558" s="15"/>
      <c r="S558" s="15"/>
      <c r="T558" s="15"/>
      <c r="U558" s="15"/>
      <c r="V558" s="15"/>
      <c r="W558" s="47"/>
      <c r="X558" s="11"/>
      <c r="Y558" s="48"/>
      <c r="Z558" s="11"/>
      <c r="AA558" s="48"/>
      <c r="AB558" s="11"/>
      <c r="AC558" s="48"/>
      <c r="AD558" s="11"/>
      <c r="AE558" s="47"/>
      <c r="AF558" s="11"/>
      <c r="AG558" s="48"/>
      <c r="AH558" s="11"/>
      <c r="AI558" s="48"/>
      <c r="AJ558" s="11"/>
      <c r="AK558" s="48"/>
      <c r="AL558" s="11"/>
      <c r="AM558" s="49"/>
      <c r="AN558" s="49"/>
      <c r="AO558" s="11"/>
      <c r="AP558" s="11"/>
      <c r="AQ558" s="28" t="b">
        <f>IF(COUNTIF(SmartStatus!A$2:A1000, AM558) &gt; 2, TRUE, FALSE)</f>
        <v>0</v>
      </c>
      <c r="AR558" s="29" t="str">
        <f ca="1">IFERROR(__xludf.DUMMYFUNCTION("iferror(if(regexmatch(AO558, ""(?i)^registered""), if(EE558 &lt;&gt; ""polity_shortest_name"", ""CHECK_POLITY"", index(filter(SmartStatus!B$2:B1000, AM558 = SmartStatus!A$2:A1000, not(SmartStatus!C$2:C1000), (isblank(SmartStatus!D$2:D1000)) + ((P558 &lt;&gt; """") * "&amp;"(P558 &lt; SmartStatus!D$2:D1000)), (isblank(SmartStatus!E$2:E1000)) + ((P558 &lt;&gt; """") * (P558 &gt;= SmartStatus!E$2:E1000)), (isblank(SmartStatus!F$2:F1000)) + (((Q558 &lt;&gt; """") * (Q558 &lt; SmartStatus!F$2:F1000)) + ((P558 &lt;&gt; """") * (date(year(P558) + 3, month(P"&amp;"558), day(P558)) &lt; SmartStatus!F$2:F1000))), (isblank(SmartStatus!G$2:G1000)) + (((Q558 &lt;&gt; """") * (Q558 &gt;= SmartStatus!G$2:G1000)) + ((P558 &lt;&gt; """") * (P558 &gt;= SmartStatus!G$2:G1000)))), if(or(regexmatch(B558, ""(?i)^ir [a-z]+ designation$""), N558 &lt;&gt; """&amp;"""), 1, 2))), """"), ""NO_MATCH"")"),"")</f>
        <v/>
      </c>
      <c r="AS558" s="11"/>
      <c r="AT558" s="15"/>
      <c r="AU558" s="11"/>
      <c r="AV558" s="11"/>
      <c r="AW558" s="15"/>
      <c r="AX558" s="15"/>
      <c r="AY558" s="15"/>
      <c r="AZ558" s="11"/>
      <c r="BA558" s="15"/>
      <c r="BB558" s="11"/>
      <c r="BC558" s="11"/>
      <c r="BD558" s="15"/>
      <c r="BE558" s="11"/>
      <c r="BF558" s="11"/>
      <c r="BG558" s="15"/>
      <c r="BH558" s="15"/>
      <c r="BI558" s="15"/>
      <c r="BJ558" s="11"/>
      <c r="BK558" s="15"/>
      <c r="BL558" s="11"/>
      <c r="BM558" s="11"/>
      <c r="BN558" s="15"/>
      <c r="BO558" s="11"/>
      <c r="BP558" s="11"/>
      <c r="BQ558" s="15"/>
      <c r="BR558" s="15"/>
      <c r="BS558" s="15"/>
      <c r="BT558" s="11"/>
      <c r="BU558" s="15"/>
      <c r="BV558" s="11"/>
      <c r="BW558" s="11"/>
      <c r="BX558" s="15"/>
      <c r="BY558" s="11"/>
      <c r="BZ558" s="11"/>
      <c r="CA558" s="15"/>
      <c r="CB558" s="11"/>
      <c r="CC558" s="15"/>
      <c r="CD558" s="11"/>
      <c r="CE558" s="15"/>
      <c r="CF558" s="11"/>
      <c r="CG558" s="11"/>
      <c r="CH558" s="15"/>
      <c r="CI558" s="11"/>
      <c r="CJ558" s="11"/>
      <c r="CK558" s="15"/>
      <c r="CL558" s="11"/>
      <c r="CM558" s="11"/>
      <c r="CN558" s="11"/>
      <c r="CO558" s="11"/>
      <c r="CP558" s="28"/>
      <c r="CQ558" s="28"/>
      <c r="CR558" s="11"/>
      <c r="CS558" s="29"/>
      <c r="CT558" s="11"/>
      <c r="CU558" s="11"/>
      <c r="CV558" s="11"/>
      <c r="CW558" s="11"/>
      <c r="CX558" s="11"/>
      <c r="CY558" s="11"/>
      <c r="CZ558" s="11"/>
      <c r="DA558" s="28"/>
      <c r="DB558" s="28"/>
      <c r="DC558" s="11"/>
      <c r="DD558" s="29"/>
      <c r="DE558" s="11"/>
      <c r="DF558" s="11"/>
      <c r="DG558" s="11"/>
      <c r="DH558" s="11"/>
      <c r="DI558" s="11"/>
      <c r="DJ558" s="11"/>
      <c r="DK558" s="26"/>
      <c r="DL558" s="11"/>
      <c r="DM558" s="29"/>
      <c r="DN558" s="28"/>
      <c r="DO558" s="11"/>
      <c r="DP558" s="11"/>
      <c r="DQ558" s="11"/>
      <c r="DR558" s="29"/>
      <c r="DS558" s="28"/>
      <c r="DT558" s="11"/>
      <c r="DU558" s="26"/>
      <c r="DV558" s="11"/>
      <c r="DW558" s="29"/>
      <c r="DX558" s="28"/>
      <c r="DY558" s="11"/>
      <c r="DZ558" s="26"/>
      <c r="EA558" s="11"/>
      <c r="EB558" s="29"/>
      <c r="EC558" s="28"/>
      <c r="ED558" s="30"/>
      <c r="EE558" s="30" t="str">
        <f ca="1">IFERROR(__xludf.DUMMYFUNCTION("iferror(index(filter('Internal -- Trademark Countries'!E$2:E1000, (AM558 = 'Internal -- Trademark Countries'!B$2:B1000) + (AM558 = 'Internal -- Trademark Countries'!C$2:C1000) + (AM558 = 'Internal -- Trademark Countries'!D$2:D1000)), 1))"),"")</f>
        <v/>
      </c>
      <c r="EF558" s="30" t="e">
        <f ca="1">_xludf.ifs(AM558="", "", COUNTIF('Internal -- Trademark Countries'!B:B,AM558) &gt; 0, "polity_shortest_name", COUNTIF('Internal -- Trademark Countries'!C:C,AM558) &gt; 0, "polity_full_name", COUNTIF('Internal -- Trademark Countries'!D:D,AM558) &gt; 0, "polity_common_name", COUNTIF('Internal -- Trademark Countries'!E:E,AM558) &gt; 0, "shortest_name", COUNTIF('Internal -- Trademark Countries'!A:A,AM558) &gt; 0, "full_name", TRUE, "not a match")</f>
        <v>#NAME?</v>
      </c>
      <c r="EG558" s="30"/>
      <c r="EH558" s="30"/>
      <c r="EI558" s="30"/>
      <c r="EJ558" s="30"/>
      <c r="EK558" s="30" t="str">
        <f t="shared" si="4"/>
        <v/>
      </c>
    </row>
    <row r="559" spans="1:141" ht="16.5">
      <c r="A559" s="11"/>
      <c r="B559" s="11"/>
      <c r="C559" s="11"/>
      <c r="D559" s="11"/>
      <c r="E559" s="11"/>
      <c r="F559" s="11"/>
      <c r="G559" s="11"/>
      <c r="H559" s="11"/>
      <c r="I559" s="11"/>
      <c r="J559" s="11"/>
      <c r="K559" s="27"/>
      <c r="L559" s="11"/>
      <c r="M559" s="11"/>
      <c r="N559" s="11"/>
      <c r="O559" s="11"/>
      <c r="P559" s="15"/>
      <c r="Q559" s="15"/>
      <c r="R559" s="15"/>
      <c r="S559" s="15"/>
      <c r="T559" s="15"/>
      <c r="U559" s="15"/>
      <c r="V559" s="15"/>
      <c r="W559" s="47"/>
      <c r="X559" s="11"/>
      <c r="Y559" s="48"/>
      <c r="Z559" s="11"/>
      <c r="AA559" s="48"/>
      <c r="AB559" s="11"/>
      <c r="AC559" s="48"/>
      <c r="AD559" s="11"/>
      <c r="AE559" s="47"/>
      <c r="AF559" s="11"/>
      <c r="AG559" s="48"/>
      <c r="AH559" s="11"/>
      <c r="AI559" s="48"/>
      <c r="AJ559" s="11"/>
      <c r="AK559" s="48"/>
      <c r="AL559" s="11"/>
      <c r="AM559" s="49"/>
      <c r="AN559" s="49"/>
      <c r="AO559" s="11"/>
      <c r="AP559" s="11"/>
      <c r="AQ559" s="28" t="b">
        <f>IF(COUNTIF(SmartStatus!A$2:A1000, AM559) &gt; 2, TRUE, FALSE)</f>
        <v>0</v>
      </c>
      <c r="AR559" s="29" t="str">
        <f ca="1">IFERROR(__xludf.DUMMYFUNCTION("iferror(if(regexmatch(AO559, ""(?i)^registered""), if(EE559 &lt;&gt; ""polity_shortest_name"", ""CHECK_POLITY"", index(filter(SmartStatus!B$2:B1000, AM559 = SmartStatus!A$2:A1000, not(SmartStatus!C$2:C1000), (isblank(SmartStatus!D$2:D1000)) + ((P559 &lt;&gt; """") * "&amp;"(P559 &lt; SmartStatus!D$2:D1000)), (isblank(SmartStatus!E$2:E1000)) + ((P559 &lt;&gt; """") * (P559 &gt;= SmartStatus!E$2:E1000)), (isblank(SmartStatus!F$2:F1000)) + (((Q559 &lt;&gt; """") * (Q559 &lt; SmartStatus!F$2:F1000)) + ((P559 &lt;&gt; """") * (date(year(P559) + 3, month(P"&amp;"559), day(P559)) &lt; SmartStatus!F$2:F1000))), (isblank(SmartStatus!G$2:G1000)) + (((Q559 &lt;&gt; """") * (Q559 &gt;= SmartStatus!G$2:G1000)) + ((P559 &lt;&gt; """") * (P559 &gt;= SmartStatus!G$2:G1000)))), if(or(regexmatch(B559, ""(?i)^ir [a-z]+ designation$""), N559 &lt;&gt; """&amp;"""), 1, 2))), """"), ""NO_MATCH"")"),"")</f>
        <v/>
      </c>
      <c r="AS559" s="11"/>
      <c r="AT559" s="15"/>
      <c r="AU559" s="11"/>
      <c r="AV559" s="11"/>
      <c r="AW559" s="15"/>
      <c r="AX559" s="15"/>
      <c r="AY559" s="15"/>
      <c r="AZ559" s="11"/>
      <c r="BA559" s="15"/>
      <c r="BB559" s="11"/>
      <c r="BC559" s="11"/>
      <c r="BD559" s="15"/>
      <c r="BE559" s="11"/>
      <c r="BF559" s="11"/>
      <c r="BG559" s="15"/>
      <c r="BH559" s="15"/>
      <c r="BI559" s="15"/>
      <c r="BJ559" s="11"/>
      <c r="BK559" s="15"/>
      <c r="BL559" s="11"/>
      <c r="BM559" s="11"/>
      <c r="BN559" s="15"/>
      <c r="BO559" s="11"/>
      <c r="BP559" s="11"/>
      <c r="BQ559" s="15"/>
      <c r="BR559" s="15"/>
      <c r="BS559" s="15"/>
      <c r="BT559" s="11"/>
      <c r="BU559" s="15"/>
      <c r="BV559" s="11"/>
      <c r="BW559" s="11"/>
      <c r="BX559" s="15"/>
      <c r="BY559" s="11"/>
      <c r="BZ559" s="11"/>
      <c r="CA559" s="15"/>
      <c r="CB559" s="11"/>
      <c r="CC559" s="15"/>
      <c r="CD559" s="11"/>
      <c r="CE559" s="15"/>
      <c r="CF559" s="11"/>
      <c r="CG559" s="11"/>
      <c r="CH559" s="15"/>
      <c r="CI559" s="11"/>
      <c r="CJ559" s="11"/>
      <c r="CK559" s="15"/>
      <c r="CL559" s="11"/>
      <c r="CM559" s="11"/>
      <c r="CN559" s="11"/>
      <c r="CO559" s="11"/>
      <c r="CP559" s="28"/>
      <c r="CQ559" s="28"/>
      <c r="CR559" s="11"/>
      <c r="CS559" s="29"/>
      <c r="CT559" s="11"/>
      <c r="CU559" s="11"/>
      <c r="CV559" s="11"/>
      <c r="CW559" s="11"/>
      <c r="CX559" s="11"/>
      <c r="CY559" s="11"/>
      <c r="CZ559" s="11"/>
      <c r="DA559" s="28"/>
      <c r="DB559" s="28"/>
      <c r="DC559" s="11"/>
      <c r="DD559" s="29"/>
      <c r="DE559" s="11"/>
      <c r="DF559" s="11"/>
      <c r="DG559" s="11"/>
      <c r="DH559" s="11"/>
      <c r="DI559" s="11"/>
      <c r="DJ559" s="11"/>
      <c r="DK559" s="26"/>
      <c r="DL559" s="11"/>
      <c r="DM559" s="29"/>
      <c r="DN559" s="28"/>
      <c r="DO559" s="11"/>
      <c r="DP559" s="11"/>
      <c r="DQ559" s="11"/>
      <c r="DR559" s="29"/>
      <c r="DS559" s="28"/>
      <c r="DT559" s="11"/>
      <c r="DU559" s="26"/>
      <c r="DV559" s="11"/>
      <c r="DW559" s="29"/>
      <c r="DX559" s="28"/>
      <c r="DY559" s="11"/>
      <c r="DZ559" s="26"/>
      <c r="EA559" s="11"/>
      <c r="EB559" s="29"/>
      <c r="EC559" s="28"/>
      <c r="ED559" s="30"/>
      <c r="EE559" s="30" t="str">
        <f ca="1">IFERROR(__xludf.DUMMYFUNCTION("iferror(index(filter('Internal -- Trademark Countries'!E$2:E1000, (AM559 = 'Internal -- Trademark Countries'!B$2:B1000) + (AM559 = 'Internal -- Trademark Countries'!C$2:C1000) + (AM559 = 'Internal -- Trademark Countries'!D$2:D1000)), 1))"),"")</f>
        <v/>
      </c>
      <c r="EF559" s="30" t="e">
        <f ca="1">_xludf.ifs(AM559="", "", COUNTIF('Internal -- Trademark Countries'!B:B,AM559) &gt; 0, "polity_shortest_name", COUNTIF('Internal -- Trademark Countries'!C:C,AM559) &gt; 0, "polity_full_name", COUNTIF('Internal -- Trademark Countries'!D:D,AM559) &gt; 0, "polity_common_name", COUNTIF('Internal -- Trademark Countries'!E:E,AM559) &gt; 0, "shortest_name", COUNTIF('Internal -- Trademark Countries'!A:A,AM559) &gt; 0, "full_name", TRUE, "not a match")</f>
        <v>#NAME?</v>
      </c>
      <c r="EG559" s="30"/>
      <c r="EH559" s="30"/>
      <c r="EI559" s="30"/>
      <c r="EJ559" s="30"/>
      <c r="EK559" s="30" t="str">
        <f t="shared" si="4"/>
        <v/>
      </c>
    </row>
    <row r="560" spans="1:141" ht="16.5">
      <c r="A560" s="11"/>
      <c r="B560" s="11"/>
      <c r="C560" s="11"/>
      <c r="D560" s="11"/>
      <c r="E560" s="11"/>
      <c r="F560" s="11"/>
      <c r="G560" s="11"/>
      <c r="H560" s="11"/>
      <c r="I560" s="11"/>
      <c r="J560" s="11"/>
      <c r="K560" s="27"/>
      <c r="L560" s="11"/>
      <c r="M560" s="11"/>
      <c r="N560" s="11"/>
      <c r="O560" s="11"/>
      <c r="P560" s="15"/>
      <c r="Q560" s="15"/>
      <c r="R560" s="15"/>
      <c r="S560" s="15"/>
      <c r="T560" s="15"/>
      <c r="U560" s="15"/>
      <c r="V560" s="15"/>
      <c r="W560" s="47"/>
      <c r="X560" s="11"/>
      <c r="Y560" s="48"/>
      <c r="Z560" s="11"/>
      <c r="AA560" s="48"/>
      <c r="AB560" s="11"/>
      <c r="AC560" s="48"/>
      <c r="AD560" s="11"/>
      <c r="AE560" s="47"/>
      <c r="AF560" s="11"/>
      <c r="AG560" s="48"/>
      <c r="AH560" s="11"/>
      <c r="AI560" s="48"/>
      <c r="AJ560" s="11"/>
      <c r="AK560" s="48"/>
      <c r="AL560" s="11"/>
      <c r="AM560" s="49"/>
      <c r="AN560" s="49"/>
      <c r="AO560" s="11"/>
      <c r="AP560" s="11"/>
      <c r="AQ560" s="28" t="b">
        <f>IF(COUNTIF(SmartStatus!A$2:A1000, AM560) &gt; 2, TRUE, FALSE)</f>
        <v>0</v>
      </c>
      <c r="AR560" s="29" t="str">
        <f ca="1">IFERROR(__xludf.DUMMYFUNCTION("iferror(if(regexmatch(AO560, ""(?i)^registered""), if(EE560 &lt;&gt; ""polity_shortest_name"", ""CHECK_POLITY"", index(filter(SmartStatus!B$2:B1000, AM560 = SmartStatus!A$2:A1000, not(SmartStatus!C$2:C1000), (isblank(SmartStatus!D$2:D1000)) + ((P560 &lt;&gt; """") * "&amp;"(P560 &lt; SmartStatus!D$2:D1000)), (isblank(SmartStatus!E$2:E1000)) + ((P560 &lt;&gt; """") * (P560 &gt;= SmartStatus!E$2:E1000)), (isblank(SmartStatus!F$2:F1000)) + (((Q560 &lt;&gt; """") * (Q560 &lt; SmartStatus!F$2:F1000)) + ((P560 &lt;&gt; """") * (date(year(P560) + 3, month(P"&amp;"560), day(P560)) &lt; SmartStatus!F$2:F1000))), (isblank(SmartStatus!G$2:G1000)) + (((Q560 &lt;&gt; """") * (Q560 &gt;= SmartStatus!G$2:G1000)) + ((P560 &lt;&gt; """") * (P560 &gt;= SmartStatus!G$2:G1000)))), if(or(regexmatch(B560, ""(?i)^ir [a-z]+ designation$""), N560 &lt;&gt; """&amp;"""), 1, 2))), """"), ""NO_MATCH"")"),"")</f>
        <v/>
      </c>
      <c r="AS560" s="11"/>
      <c r="AT560" s="15"/>
      <c r="AU560" s="11"/>
      <c r="AV560" s="11"/>
      <c r="AW560" s="15"/>
      <c r="AX560" s="15"/>
      <c r="AY560" s="15"/>
      <c r="AZ560" s="11"/>
      <c r="BA560" s="15"/>
      <c r="BB560" s="11"/>
      <c r="BC560" s="11"/>
      <c r="BD560" s="15"/>
      <c r="BE560" s="11"/>
      <c r="BF560" s="11"/>
      <c r="BG560" s="15"/>
      <c r="BH560" s="15"/>
      <c r="BI560" s="15"/>
      <c r="BJ560" s="11"/>
      <c r="BK560" s="15"/>
      <c r="BL560" s="11"/>
      <c r="BM560" s="11"/>
      <c r="BN560" s="15"/>
      <c r="BO560" s="11"/>
      <c r="BP560" s="11"/>
      <c r="BQ560" s="15"/>
      <c r="BR560" s="15"/>
      <c r="BS560" s="15"/>
      <c r="BT560" s="11"/>
      <c r="BU560" s="15"/>
      <c r="BV560" s="11"/>
      <c r="BW560" s="11"/>
      <c r="BX560" s="15"/>
      <c r="BY560" s="11"/>
      <c r="BZ560" s="11"/>
      <c r="CA560" s="15"/>
      <c r="CB560" s="11"/>
      <c r="CC560" s="15"/>
      <c r="CD560" s="11"/>
      <c r="CE560" s="15"/>
      <c r="CF560" s="11"/>
      <c r="CG560" s="11"/>
      <c r="CH560" s="15"/>
      <c r="CI560" s="11"/>
      <c r="CJ560" s="11"/>
      <c r="CK560" s="15"/>
      <c r="CL560" s="11"/>
      <c r="CM560" s="11"/>
      <c r="CN560" s="11"/>
      <c r="CO560" s="11"/>
      <c r="CP560" s="28"/>
      <c r="CQ560" s="28"/>
      <c r="CR560" s="11"/>
      <c r="CS560" s="29"/>
      <c r="CT560" s="11"/>
      <c r="CU560" s="11"/>
      <c r="CV560" s="11"/>
      <c r="CW560" s="11"/>
      <c r="CX560" s="11"/>
      <c r="CY560" s="11"/>
      <c r="CZ560" s="11"/>
      <c r="DA560" s="28"/>
      <c r="DB560" s="28"/>
      <c r="DC560" s="11"/>
      <c r="DD560" s="29"/>
      <c r="DE560" s="11"/>
      <c r="DF560" s="11"/>
      <c r="DG560" s="11"/>
      <c r="DH560" s="11"/>
      <c r="DI560" s="11"/>
      <c r="DJ560" s="11"/>
      <c r="DK560" s="26"/>
      <c r="DL560" s="11"/>
      <c r="DM560" s="29"/>
      <c r="DN560" s="28"/>
      <c r="DO560" s="11"/>
      <c r="DP560" s="11"/>
      <c r="DQ560" s="11"/>
      <c r="DR560" s="29"/>
      <c r="DS560" s="28"/>
      <c r="DT560" s="11"/>
      <c r="DU560" s="26"/>
      <c r="DV560" s="11"/>
      <c r="DW560" s="29"/>
      <c r="DX560" s="28"/>
      <c r="DY560" s="11"/>
      <c r="DZ560" s="26"/>
      <c r="EA560" s="11"/>
      <c r="EB560" s="29"/>
      <c r="EC560" s="28"/>
      <c r="ED560" s="30"/>
      <c r="EE560" s="30" t="str">
        <f ca="1">IFERROR(__xludf.DUMMYFUNCTION("iferror(index(filter('Internal -- Trademark Countries'!E$2:E1000, (AM560 = 'Internal -- Trademark Countries'!B$2:B1000) + (AM560 = 'Internal -- Trademark Countries'!C$2:C1000) + (AM560 = 'Internal -- Trademark Countries'!D$2:D1000)), 1))"),"")</f>
        <v/>
      </c>
      <c r="EF560" s="30" t="e">
        <f ca="1">_xludf.ifs(AM560="", "", COUNTIF('Internal -- Trademark Countries'!B:B,AM560) &gt; 0, "polity_shortest_name", COUNTIF('Internal -- Trademark Countries'!C:C,AM560) &gt; 0, "polity_full_name", COUNTIF('Internal -- Trademark Countries'!D:D,AM560) &gt; 0, "polity_common_name", COUNTIF('Internal -- Trademark Countries'!E:E,AM560) &gt; 0, "shortest_name", COUNTIF('Internal -- Trademark Countries'!A:A,AM560) &gt; 0, "full_name", TRUE, "not a match")</f>
        <v>#NAME?</v>
      </c>
      <c r="EG560" s="30"/>
      <c r="EH560" s="30"/>
      <c r="EI560" s="30"/>
      <c r="EJ560" s="30"/>
      <c r="EK560" s="30" t="str">
        <f t="shared" si="4"/>
        <v/>
      </c>
    </row>
    <row r="561" spans="1:141" ht="16.5">
      <c r="A561" s="11"/>
      <c r="B561" s="11"/>
      <c r="C561" s="11"/>
      <c r="D561" s="11"/>
      <c r="E561" s="11"/>
      <c r="F561" s="11"/>
      <c r="G561" s="11"/>
      <c r="H561" s="11"/>
      <c r="I561" s="11"/>
      <c r="J561" s="11"/>
      <c r="K561" s="27"/>
      <c r="L561" s="11"/>
      <c r="M561" s="11"/>
      <c r="N561" s="11"/>
      <c r="O561" s="11"/>
      <c r="P561" s="15"/>
      <c r="Q561" s="15"/>
      <c r="R561" s="15"/>
      <c r="S561" s="15"/>
      <c r="T561" s="15"/>
      <c r="U561" s="15"/>
      <c r="V561" s="15"/>
      <c r="W561" s="47"/>
      <c r="X561" s="11"/>
      <c r="Y561" s="48"/>
      <c r="Z561" s="11"/>
      <c r="AA561" s="48"/>
      <c r="AB561" s="11"/>
      <c r="AC561" s="48"/>
      <c r="AD561" s="11"/>
      <c r="AE561" s="47"/>
      <c r="AF561" s="11"/>
      <c r="AG561" s="48"/>
      <c r="AH561" s="11"/>
      <c r="AI561" s="48"/>
      <c r="AJ561" s="11"/>
      <c r="AK561" s="48"/>
      <c r="AL561" s="11"/>
      <c r="AM561" s="49"/>
      <c r="AN561" s="49"/>
      <c r="AO561" s="11"/>
      <c r="AP561" s="11"/>
      <c r="AQ561" s="28" t="b">
        <f>IF(COUNTIF(SmartStatus!A$2:A1000, AM561) &gt; 2, TRUE, FALSE)</f>
        <v>0</v>
      </c>
      <c r="AR561" s="29" t="str">
        <f ca="1">IFERROR(__xludf.DUMMYFUNCTION("iferror(if(regexmatch(AO561, ""(?i)^registered""), if(EE561 &lt;&gt; ""polity_shortest_name"", ""CHECK_POLITY"", index(filter(SmartStatus!B$2:B1000, AM561 = SmartStatus!A$2:A1000, not(SmartStatus!C$2:C1000), (isblank(SmartStatus!D$2:D1000)) + ((P561 &lt;&gt; """") * "&amp;"(P561 &lt; SmartStatus!D$2:D1000)), (isblank(SmartStatus!E$2:E1000)) + ((P561 &lt;&gt; """") * (P561 &gt;= SmartStatus!E$2:E1000)), (isblank(SmartStatus!F$2:F1000)) + (((Q561 &lt;&gt; """") * (Q561 &lt; SmartStatus!F$2:F1000)) + ((P561 &lt;&gt; """") * (date(year(P561) + 3, month(P"&amp;"561), day(P561)) &lt; SmartStatus!F$2:F1000))), (isblank(SmartStatus!G$2:G1000)) + (((Q561 &lt;&gt; """") * (Q561 &gt;= SmartStatus!G$2:G1000)) + ((P561 &lt;&gt; """") * (P561 &gt;= SmartStatus!G$2:G1000)))), if(or(regexmatch(B561, ""(?i)^ir [a-z]+ designation$""), N561 &lt;&gt; """&amp;"""), 1, 2))), """"), ""NO_MATCH"")"),"")</f>
        <v/>
      </c>
      <c r="AS561" s="11"/>
      <c r="AT561" s="15"/>
      <c r="AU561" s="11"/>
      <c r="AV561" s="11"/>
      <c r="AW561" s="15"/>
      <c r="AX561" s="15"/>
      <c r="AY561" s="15"/>
      <c r="AZ561" s="11"/>
      <c r="BA561" s="15"/>
      <c r="BB561" s="11"/>
      <c r="BC561" s="11"/>
      <c r="BD561" s="15"/>
      <c r="BE561" s="11"/>
      <c r="BF561" s="11"/>
      <c r="BG561" s="15"/>
      <c r="BH561" s="15"/>
      <c r="BI561" s="15"/>
      <c r="BJ561" s="11"/>
      <c r="BK561" s="15"/>
      <c r="BL561" s="11"/>
      <c r="BM561" s="11"/>
      <c r="BN561" s="15"/>
      <c r="BO561" s="11"/>
      <c r="BP561" s="11"/>
      <c r="BQ561" s="15"/>
      <c r="BR561" s="15"/>
      <c r="BS561" s="15"/>
      <c r="BT561" s="11"/>
      <c r="BU561" s="15"/>
      <c r="BV561" s="11"/>
      <c r="BW561" s="11"/>
      <c r="BX561" s="15"/>
      <c r="BY561" s="11"/>
      <c r="BZ561" s="11"/>
      <c r="CA561" s="15"/>
      <c r="CB561" s="11"/>
      <c r="CC561" s="15"/>
      <c r="CD561" s="11"/>
      <c r="CE561" s="15"/>
      <c r="CF561" s="11"/>
      <c r="CG561" s="11"/>
      <c r="CH561" s="15"/>
      <c r="CI561" s="11"/>
      <c r="CJ561" s="11"/>
      <c r="CK561" s="15"/>
      <c r="CL561" s="11"/>
      <c r="CM561" s="11"/>
      <c r="CN561" s="11"/>
      <c r="CO561" s="11"/>
      <c r="CP561" s="28"/>
      <c r="CQ561" s="28"/>
      <c r="CR561" s="11"/>
      <c r="CS561" s="29"/>
      <c r="CT561" s="11"/>
      <c r="CU561" s="11"/>
      <c r="CV561" s="11"/>
      <c r="CW561" s="11"/>
      <c r="CX561" s="11"/>
      <c r="CY561" s="11"/>
      <c r="CZ561" s="11"/>
      <c r="DA561" s="28"/>
      <c r="DB561" s="28"/>
      <c r="DC561" s="11"/>
      <c r="DD561" s="29"/>
      <c r="DE561" s="11"/>
      <c r="DF561" s="11"/>
      <c r="DG561" s="11"/>
      <c r="DH561" s="11"/>
      <c r="DI561" s="11"/>
      <c r="DJ561" s="11"/>
      <c r="DK561" s="26"/>
      <c r="DL561" s="11"/>
      <c r="DM561" s="29"/>
      <c r="DN561" s="28"/>
      <c r="DO561" s="11"/>
      <c r="DP561" s="11"/>
      <c r="DQ561" s="11"/>
      <c r="DR561" s="29"/>
      <c r="DS561" s="28"/>
      <c r="DT561" s="11"/>
      <c r="DU561" s="26"/>
      <c r="DV561" s="11"/>
      <c r="DW561" s="29"/>
      <c r="DX561" s="28"/>
      <c r="DY561" s="11"/>
      <c r="DZ561" s="26"/>
      <c r="EA561" s="11"/>
      <c r="EB561" s="29"/>
      <c r="EC561" s="28"/>
      <c r="ED561" s="30"/>
      <c r="EE561" s="30" t="str">
        <f ca="1">IFERROR(__xludf.DUMMYFUNCTION("iferror(index(filter('Internal -- Trademark Countries'!E$2:E1000, (AM561 = 'Internal -- Trademark Countries'!B$2:B1000) + (AM561 = 'Internal -- Trademark Countries'!C$2:C1000) + (AM561 = 'Internal -- Trademark Countries'!D$2:D1000)), 1))"),"")</f>
        <v/>
      </c>
      <c r="EF561" s="30" t="e">
        <f ca="1">_xludf.ifs(AM561="", "", COUNTIF('Internal -- Trademark Countries'!B:B,AM561) &gt; 0, "polity_shortest_name", COUNTIF('Internal -- Trademark Countries'!C:C,AM561) &gt; 0, "polity_full_name", COUNTIF('Internal -- Trademark Countries'!D:D,AM561) &gt; 0, "polity_common_name", COUNTIF('Internal -- Trademark Countries'!E:E,AM561) &gt; 0, "shortest_name", COUNTIF('Internal -- Trademark Countries'!A:A,AM561) &gt; 0, "full_name", TRUE, "not a match")</f>
        <v>#NAME?</v>
      </c>
      <c r="EG561" s="30"/>
      <c r="EH561" s="30"/>
      <c r="EI561" s="30"/>
      <c r="EJ561" s="30"/>
      <c r="EK561" s="30" t="str">
        <f t="shared" si="4"/>
        <v/>
      </c>
    </row>
    <row r="562" spans="1:141" ht="16.5">
      <c r="A562" s="11"/>
      <c r="B562" s="11"/>
      <c r="C562" s="11"/>
      <c r="D562" s="11"/>
      <c r="E562" s="11"/>
      <c r="F562" s="11"/>
      <c r="G562" s="11"/>
      <c r="H562" s="11"/>
      <c r="I562" s="11"/>
      <c r="J562" s="11"/>
      <c r="K562" s="27"/>
      <c r="L562" s="11"/>
      <c r="M562" s="11"/>
      <c r="N562" s="11"/>
      <c r="O562" s="11"/>
      <c r="P562" s="15"/>
      <c r="Q562" s="15"/>
      <c r="R562" s="15"/>
      <c r="S562" s="15"/>
      <c r="T562" s="15"/>
      <c r="U562" s="15"/>
      <c r="V562" s="15"/>
      <c r="W562" s="47"/>
      <c r="X562" s="11"/>
      <c r="Y562" s="48"/>
      <c r="Z562" s="11"/>
      <c r="AA562" s="48"/>
      <c r="AB562" s="11"/>
      <c r="AC562" s="48"/>
      <c r="AD562" s="11"/>
      <c r="AE562" s="47"/>
      <c r="AF562" s="11"/>
      <c r="AG562" s="48"/>
      <c r="AH562" s="11"/>
      <c r="AI562" s="48"/>
      <c r="AJ562" s="11"/>
      <c r="AK562" s="48"/>
      <c r="AL562" s="11"/>
      <c r="AM562" s="49"/>
      <c r="AN562" s="49"/>
      <c r="AO562" s="11"/>
      <c r="AP562" s="11"/>
      <c r="AQ562" s="28" t="b">
        <f>IF(COUNTIF(SmartStatus!A$2:A1000, AM562) &gt; 2, TRUE, FALSE)</f>
        <v>0</v>
      </c>
      <c r="AR562" s="29" t="str">
        <f ca="1">IFERROR(__xludf.DUMMYFUNCTION("iferror(if(regexmatch(AO562, ""(?i)^registered""), if(EE562 &lt;&gt; ""polity_shortest_name"", ""CHECK_POLITY"", index(filter(SmartStatus!B$2:B1000, AM562 = SmartStatus!A$2:A1000, not(SmartStatus!C$2:C1000), (isblank(SmartStatus!D$2:D1000)) + ((P562 &lt;&gt; """") * "&amp;"(P562 &lt; SmartStatus!D$2:D1000)), (isblank(SmartStatus!E$2:E1000)) + ((P562 &lt;&gt; """") * (P562 &gt;= SmartStatus!E$2:E1000)), (isblank(SmartStatus!F$2:F1000)) + (((Q562 &lt;&gt; """") * (Q562 &lt; SmartStatus!F$2:F1000)) + ((P562 &lt;&gt; """") * (date(year(P562) + 3, month(P"&amp;"562), day(P562)) &lt; SmartStatus!F$2:F1000))), (isblank(SmartStatus!G$2:G1000)) + (((Q562 &lt;&gt; """") * (Q562 &gt;= SmartStatus!G$2:G1000)) + ((P562 &lt;&gt; """") * (P562 &gt;= SmartStatus!G$2:G1000)))), if(or(regexmatch(B562, ""(?i)^ir [a-z]+ designation$""), N562 &lt;&gt; """&amp;"""), 1, 2))), """"), ""NO_MATCH"")"),"")</f>
        <v/>
      </c>
      <c r="AS562" s="11"/>
      <c r="AT562" s="15"/>
      <c r="AU562" s="11"/>
      <c r="AV562" s="11"/>
      <c r="AW562" s="15"/>
      <c r="AX562" s="15"/>
      <c r="AY562" s="15"/>
      <c r="AZ562" s="11"/>
      <c r="BA562" s="15"/>
      <c r="BB562" s="11"/>
      <c r="BC562" s="11"/>
      <c r="BD562" s="15"/>
      <c r="BE562" s="11"/>
      <c r="BF562" s="11"/>
      <c r="BG562" s="15"/>
      <c r="BH562" s="15"/>
      <c r="BI562" s="15"/>
      <c r="BJ562" s="11"/>
      <c r="BK562" s="15"/>
      <c r="BL562" s="11"/>
      <c r="BM562" s="11"/>
      <c r="BN562" s="15"/>
      <c r="BO562" s="11"/>
      <c r="BP562" s="11"/>
      <c r="BQ562" s="15"/>
      <c r="BR562" s="15"/>
      <c r="BS562" s="15"/>
      <c r="BT562" s="11"/>
      <c r="BU562" s="15"/>
      <c r="BV562" s="11"/>
      <c r="BW562" s="11"/>
      <c r="BX562" s="15"/>
      <c r="BY562" s="11"/>
      <c r="BZ562" s="11"/>
      <c r="CA562" s="15"/>
      <c r="CB562" s="11"/>
      <c r="CC562" s="15"/>
      <c r="CD562" s="11"/>
      <c r="CE562" s="15"/>
      <c r="CF562" s="11"/>
      <c r="CG562" s="11"/>
      <c r="CH562" s="15"/>
      <c r="CI562" s="11"/>
      <c r="CJ562" s="11"/>
      <c r="CK562" s="15"/>
      <c r="CL562" s="11"/>
      <c r="CM562" s="11"/>
      <c r="CN562" s="11"/>
      <c r="CO562" s="11"/>
      <c r="CP562" s="28"/>
      <c r="CQ562" s="28"/>
      <c r="CR562" s="11"/>
      <c r="CS562" s="29"/>
      <c r="CT562" s="11"/>
      <c r="CU562" s="11"/>
      <c r="CV562" s="11"/>
      <c r="CW562" s="11"/>
      <c r="CX562" s="11"/>
      <c r="CY562" s="11"/>
      <c r="CZ562" s="11"/>
      <c r="DA562" s="28"/>
      <c r="DB562" s="28"/>
      <c r="DC562" s="11"/>
      <c r="DD562" s="29"/>
      <c r="DE562" s="11"/>
      <c r="DF562" s="11"/>
      <c r="DG562" s="11"/>
      <c r="DH562" s="11"/>
      <c r="DI562" s="11"/>
      <c r="DJ562" s="11"/>
      <c r="DK562" s="26"/>
      <c r="DL562" s="11"/>
      <c r="DM562" s="29"/>
      <c r="DN562" s="28"/>
      <c r="DO562" s="11"/>
      <c r="DP562" s="11"/>
      <c r="DQ562" s="11"/>
      <c r="DR562" s="29"/>
      <c r="DS562" s="28"/>
      <c r="DT562" s="11"/>
      <c r="DU562" s="26"/>
      <c r="DV562" s="11"/>
      <c r="DW562" s="29"/>
      <c r="DX562" s="28"/>
      <c r="DY562" s="11"/>
      <c r="DZ562" s="26"/>
      <c r="EA562" s="11"/>
      <c r="EB562" s="29"/>
      <c r="EC562" s="28"/>
      <c r="ED562" s="30"/>
      <c r="EE562" s="30" t="str">
        <f ca="1">IFERROR(__xludf.DUMMYFUNCTION("iferror(index(filter('Internal -- Trademark Countries'!E$2:E1000, (AM562 = 'Internal -- Trademark Countries'!B$2:B1000) + (AM562 = 'Internal -- Trademark Countries'!C$2:C1000) + (AM562 = 'Internal -- Trademark Countries'!D$2:D1000)), 1))"),"")</f>
        <v/>
      </c>
      <c r="EF562" s="30" t="e">
        <f ca="1">_xludf.ifs(AM562="", "", COUNTIF('Internal -- Trademark Countries'!B:B,AM562) &gt; 0, "polity_shortest_name", COUNTIF('Internal -- Trademark Countries'!C:C,AM562) &gt; 0, "polity_full_name", COUNTIF('Internal -- Trademark Countries'!D:D,AM562) &gt; 0, "polity_common_name", COUNTIF('Internal -- Trademark Countries'!E:E,AM562) &gt; 0, "shortest_name", COUNTIF('Internal -- Trademark Countries'!A:A,AM562) &gt; 0, "full_name", TRUE, "not a match")</f>
        <v>#NAME?</v>
      </c>
      <c r="EG562" s="30"/>
      <c r="EH562" s="30"/>
      <c r="EI562" s="30"/>
      <c r="EJ562" s="30"/>
      <c r="EK562" s="30" t="str">
        <f t="shared" si="4"/>
        <v/>
      </c>
    </row>
    <row r="563" spans="1:141" ht="16.5">
      <c r="A563" s="11"/>
      <c r="B563" s="11"/>
      <c r="C563" s="11"/>
      <c r="D563" s="11"/>
      <c r="E563" s="11"/>
      <c r="F563" s="11"/>
      <c r="G563" s="11"/>
      <c r="H563" s="11"/>
      <c r="I563" s="11"/>
      <c r="J563" s="11"/>
      <c r="K563" s="27"/>
      <c r="L563" s="11"/>
      <c r="M563" s="11"/>
      <c r="N563" s="11"/>
      <c r="O563" s="11"/>
      <c r="P563" s="15"/>
      <c r="Q563" s="15"/>
      <c r="R563" s="15"/>
      <c r="S563" s="15"/>
      <c r="T563" s="15"/>
      <c r="U563" s="15"/>
      <c r="V563" s="15"/>
      <c r="W563" s="47"/>
      <c r="X563" s="11"/>
      <c r="Y563" s="48"/>
      <c r="Z563" s="11"/>
      <c r="AA563" s="48"/>
      <c r="AB563" s="11"/>
      <c r="AC563" s="48"/>
      <c r="AD563" s="11"/>
      <c r="AE563" s="47"/>
      <c r="AF563" s="11"/>
      <c r="AG563" s="48"/>
      <c r="AH563" s="11"/>
      <c r="AI563" s="48"/>
      <c r="AJ563" s="11"/>
      <c r="AK563" s="48"/>
      <c r="AL563" s="11"/>
      <c r="AM563" s="49"/>
      <c r="AN563" s="49"/>
      <c r="AO563" s="11"/>
      <c r="AP563" s="11"/>
      <c r="AQ563" s="28" t="b">
        <f>IF(COUNTIF(SmartStatus!A$2:A1000, AM563) &gt; 2, TRUE, FALSE)</f>
        <v>0</v>
      </c>
      <c r="AR563" s="29" t="str">
        <f ca="1">IFERROR(__xludf.DUMMYFUNCTION("iferror(if(regexmatch(AO563, ""(?i)^registered""), if(EE563 &lt;&gt; ""polity_shortest_name"", ""CHECK_POLITY"", index(filter(SmartStatus!B$2:B1000, AM563 = SmartStatus!A$2:A1000, not(SmartStatus!C$2:C1000), (isblank(SmartStatus!D$2:D1000)) + ((P563 &lt;&gt; """") * "&amp;"(P563 &lt; SmartStatus!D$2:D1000)), (isblank(SmartStatus!E$2:E1000)) + ((P563 &lt;&gt; """") * (P563 &gt;= SmartStatus!E$2:E1000)), (isblank(SmartStatus!F$2:F1000)) + (((Q563 &lt;&gt; """") * (Q563 &lt; SmartStatus!F$2:F1000)) + ((P563 &lt;&gt; """") * (date(year(P563) + 3, month(P"&amp;"563), day(P563)) &lt; SmartStatus!F$2:F1000))), (isblank(SmartStatus!G$2:G1000)) + (((Q563 &lt;&gt; """") * (Q563 &gt;= SmartStatus!G$2:G1000)) + ((P563 &lt;&gt; """") * (P563 &gt;= SmartStatus!G$2:G1000)))), if(or(regexmatch(B563, ""(?i)^ir [a-z]+ designation$""), N563 &lt;&gt; """&amp;"""), 1, 2))), """"), ""NO_MATCH"")"),"")</f>
        <v/>
      </c>
      <c r="AS563" s="11"/>
      <c r="AT563" s="15"/>
      <c r="AU563" s="11"/>
      <c r="AV563" s="11"/>
      <c r="AW563" s="15"/>
      <c r="AX563" s="15"/>
      <c r="AY563" s="15"/>
      <c r="AZ563" s="11"/>
      <c r="BA563" s="15"/>
      <c r="BB563" s="11"/>
      <c r="BC563" s="11"/>
      <c r="BD563" s="15"/>
      <c r="BE563" s="11"/>
      <c r="BF563" s="11"/>
      <c r="BG563" s="15"/>
      <c r="BH563" s="15"/>
      <c r="BI563" s="15"/>
      <c r="BJ563" s="11"/>
      <c r="BK563" s="15"/>
      <c r="BL563" s="11"/>
      <c r="BM563" s="11"/>
      <c r="BN563" s="15"/>
      <c r="BO563" s="11"/>
      <c r="BP563" s="11"/>
      <c r="BQ563" s="15"/>
      <c r="BR563" s="15"/>
      <c r="BS563" s="15"/>
      <c r="BT563" s="11"/>
      <c r="BU563" s="15"/>
      <c r="BV563" s="11"/>
      <c r="BW563" s="11"/>
      <c r="BX563" s="15"/>
      <c r="BY563" s="11"/>
      <c r="BZ563" s="11"/>
      <c r="CA563" s="15"/>
      <c r="CB563" s="11"/>
      <c r="CC563" s="15"/>
      <c r="CD563" s="11"/>
      <c r="CE563" s="15"/>
      <c r="CF563" s="11"/>
      <c r="CG563" s="11"/>
      <c r="CH563" s="15"/>
      <c r="CI563" s="11"/>
      <c r="CJ563" s="11"/>
      <c r="CK563" s="15"/>
      <c r="CL563" s="11"/>
      <c r="CM563" s="11"/>
      <c r="CN563" s="11"/>
      <c r="CO563" s="11"/>
      <c r="CP563" s="28"/>
      <c r="CQ563" s="28"/>
      <c r="CR563" s="11"/>
      <c r="CS563" s="29"/>
      <c r="CT563" s="11"/>
      <c r="CU563" s="11"/>
      <c r="CV563" s="11"/>
      <c r="CW563" s="11"/>
      <c r="CX563" s="11"/>
      <c r="CY563" s="11"/>
      <c r="CZ563" s="11"/>
      <c r="DA563" s="28"/>
      <c r="DB563" s="28"/>
      <c r="DC563" s="11"/>
      <c r="DD563" s="29"/>
      <c r="DE563" s="11"/>
      <c r="DF563" s="11"/>
      <c r="DG563" s="11"/>
      <c r="DH563" s="11"/>
      <c r="DI563" s="11"/>
      <c r="DJ563" s="11"/>
      <c r="DK563" s="26"/>
      <c r="DL563" s="11"/>
      <c r="DM563" s="29"/>
      <c r="DN563" s="28"/>
      <c r="DO563" s="11"/>
      <c r="DP563" s="11"/>
      <c r="DQ563" s="11"/>
      <c r="DR563" s="29"/>
      <c r="DS563" s="28"/>
      <c r="DT563" s="11"/>
      <c r="DU563" s="26"/>
      <c r="DV563" s="11"/>
      <c r="DW563" s="29"/>
      <c r="DX563" s="28"/>
      <c r="DY563" s="11"/>
      <c r="DZ563" s="26"/>
      <c r="EA563" s="11"/>
      <c r="EB563" s="29"/>
      <c r="EC563" s="28"/>
      <c r="ED563" s="30"/>
      <c r="EE563" s="30" t="str">
        <f ca="1">IFERROR(__xludf.DUMMYFUNCTION("iferror(index(filter('Internal -- Trademark Countries'!E$2:E1000, (AM563 = 'Internal -- Trademark Countries'!B$2:B1000) + (AM563 = 'Internal -- Trademark Countries'!C$2:C1000) + (AM563 = 'Internal -- Trademark Countries'!D$2:D1000)), 1))"),"")</f>
        <v/>
      </c>
      <c r="EF563" s="30" t="e">
        <f ca="1">_xludf.ifs(AM563="", "", COUNTIF('Internal -- Trademark Countries'!B:B,AM563) &gt; 0, "polity_shortest_name", COUNTIF('Internal -- Trademark Countries'!C:C,AM563) &gt; 0, "polity_full_name", COUNTIF('Internal -- Trademark Countries'!D:D,AM563) &gt; 0, "polity_common_name", COUNTIF('Internal -- Trademark Countries'!E:E,AM563) &gt; 0, "shortest_name", COUNTIF('Internal -- Trademark Countries'!A:A,AM563) &gt; 0, "full_name", TRUE, "not a match")</f>
        <v>#NAME?</v>
      </c>
      <c r="EG563" s="30"/>
      <c r="EH563" s="30"/>
      <c r="EI563" s="30"/>
      <c r="EJ563" s="30"/>
      <c r="EK563" s="30" t="str">
        <f t="shared" si="4"/>
        <v/>
      </c>
    </row>
    <row r="564" spans="1:141" ht="16.5">
      <c r="A564" s="11"/>
      <c r="B564" s="11"/>
      <c r="C564" s="11"/>
      <c r="D564" s="11"/>
      <c r="E564" s="11"/>
      <c r="F564" s="11"/>
      <c r="G564" s="11"/>
      <c r="H564" s="11"/>
      <c r="I564" s="11"/>
      <c r="J564" s="11"/>
      <c r="K564" s="27"/>
      <c r="L564" s="11"/>
      <c r="M564" s="11"/>
      <c r="N564" s="11"/>
      <c r="O564" s="11"/>
      <c r="P564" s="15"/>
      <c r="Q564" s="15"/>
      <c r="R564" s="15"/>
      <c r="S564" s="15"/>
      <c r="T564" s="15"/>
      <c r="U564" s="15"/>
      <c r="V564" s="15"/>
      <c r="W564" s="47"/>
      <c r="X564" s="11"/>
      <c r="Y564" s="48"/>
      <c r="Z564" s="11"/>
      <c r="AA564" s="48"/>
      <c r="AB564" s="11"/>
      <c r="AC564" s="48"/>
      <c r="AD564" s="11"/>
      <c r="AE564" s="47"/>
      <c r="AF564" s="11"/>
      <c r="AG564" s="48"/>
      <c r="AH564" s="11"/>
      <c r="AI564" s="48"/>
      <c r="AJ564" s="11"/>
      <c r="AK564" s="48"/>
      <c r="AL564" s="11"/>
      <c r="AM564" s="49"/>
      <c r="AN564" s="49"/>
      <c r="AO564" s="11"/>
      <c r="AP564" s="11"/>
      <c r="AQ564" s="28" t="b">
        <f>IF(COUNTIF(SmartStatus!A$2:A1000, AM564) &gt; 2, TRUE, FALSE)</f>
        <v>0</v>
      </c>
      <c r="AR564" s="29" t="str">
        <f ca="1">IFERROR(__xludf.DUMMYFUNCTION("iferror(if(regexmatch(AO564, ""(?i)^registered""), if(EE564 &lt;&gt; ""polity_shortest_name"", ""CHECK_POLITY"", index(filter(SmartStatus!B$2:B1000, AM564 = SmartStatus!A$2:A1000, not(SmartStatus!C$2:C1000), (isblank(SmartStatus!D$2:D1000)) + ((P564 &lt;&gt; """") * "&amp;"(P564 &lt; SmartStatus!D$2:D1000)), (isblank(SmartStatus!E$2:E1000)) + ((P564 &lt;&gt; """") * (P564 &gt;= SmartStatus!E$2:E1000)), (isblank(SmartStatus!F$2:F1000)) + (((Q564 &lt;&gt; """") * (Q564 &lt; SmartStatus!F$2:F1000)) + ((P564 &lt;&gt; """") * (date(year(P564) + 3, month(P"&amp;"564), day(P564)) &lt; SmartStatus!F$2:F1000))), (isblank(SmartStatus!G$2:G1000)) + (((Q564 &lt;&gt; """") * (Q564 &gt;= SmartStatus!G$2:G1000)) + ((P564 &lt;&gt; """") * (P564 &gt;= SmartStatus!G$2:G1000)))), if(or(regexmatch(B564, ""(?i)^ir [a-z]+ designation$""), N564 &lt;&gt; """&amp;"""), 1, 2))), """"), ""NO_MATCH"")"),"")</f>
        <v/>
      </c>
      <c r="AS564" s="11"/>
      <c r="AT564" s="15"/>
      <c r="AU564" s="11"/>
      <c r="AV564" s="11"/>
      <c r="AW564" s="15"/>
      <c r="AX564" s="15"/>
      <c r="AY564" s="15"/>
      <c r="AZ564" s="11"/>
      <c r="BA564" s="15"/>
      <c r="BB564" s="11"/>
      <c r="BC564" s="11"/>
      <c r="BD564" s="15"/>
      <c r="BE564" s="11"/>
      <c r="BF564" s="11"/>
      <c r="BG564" s="15"/>
      <c r="BH564" s="15"/>
      <c r="BI564" s="15"/>
      <c r="BJ564" s="11"/>
      <c r="BK564" s="15"/>
      <c r="BL564" s="11"/>
      <c r="BM564" s="11"/>
      <c r="BN564" s="15"/>
      <c r="BO564" s="11"/>
      <c r="BP564" s="11"/>
      <c r="BQ564" s="15"/>
      <c r="BR564" s="15"/>
      <c r="BS564" s="15"/>
      <c r="BT564" s="11"/>
      <c r="BU564" s="15"/>
      <c r="BV564" s="11"/>
      <c r="BW564" s="11"/>
      <c r="BX564" s="15"/>
      <c r="BY564" s="11"/>
      <c r="BZ564" s="11"/>
      <c r="CA564" s="15"/>
      <c r="CB564" s="11"/>
      <c r="CC564" s="15"/>
      <c r="CD564" s="11"/>
      <c r="CE564" s="15"/>
      <c r="CF564" s="11"/>
      <c r="CG564" s="11"/>
      <c r="CH564" s="15"/>
      <c r="CI564" s="11"/>
      <c r="CJ564" s="11"/>
      <c r="CK564" s="15"/>
      <c r="CL564" s="11"/>
      <c r="CM564" s="11"/>
      <c r="CN564" s="11"/>
      <c r="CO564" s="11"/>
      <c r="CP564" s="28"/>
      <c r="CQ564" s="28"/>
      <c r="CR564" s="11"/>
      <c r="CS564" s="29"/>
      <c r="CT564" s="11"/>
      <c r="CU564" s="11"/>
      <c r="CV564" s="11"/>
      <c r="CW564" s="11"/>
      <c r="CX564" s="11"/>
      <c r="CY564" s="11"/>
      <c r="CZ564" s="11"/>
      <c r="DA564" s="28"/>
      <c r="DB564" s="28"/>
      <c r="DC564" s="11"/>
      <c r="DD564" s="29"/>
      <c r="DE564" s="11"/>
      <c r="DF564" s="11"/>
      <c r="DG564" s="11"/>
      <c r="DH564" s="11"/>
      <c r="DI564" s="11"/>
      <c r="DJ564" s="11"/>
      <c r="DK564" s="26"/>
      <c r="DL564" s="11"/>
      <c r="DM564" s="29"/>
      <c r="DN564" s="28"/>
      <c r="DO564" s="11"/>
      <c r="DP564" s="11"/>
      <c r="DQ564" s="11"/>
      <c r="DR564" s="29"/>
      <c r="DS564" s="28"/>
      <c r="DT564" s="11"/>
      <c r="DU564" s="26"/>
      <c r="DV564" s="11"/>
      <c r="DW564" s="29"/>
      <c r="DX564" s="28"/>
      <c r="DY564" s="11"/>
      <c r="DZ564" s="26"/>
      <c r="EA564" s="11"/>
      <c r="EB564" s="29"/>
      <c r="EC564" s="28"/>
      <c r="ED564" s="30"/>
      <c r="EE564" s="30" t="str">
        <f ca="1">IFERROR(__xludf.DUMMYFUNCTION("iferror(index(filter('Internal -- Trademark Countries'!E$2:E1000, (AM564 = 'Internal -- Trademark Countries'!B$2:B1000) + (AM564 = 'Internal -- Trademark Countries'!C$2:C1000) + (AM564 = 'Internal -- Trademark Countries'!D$2:D1000)), 1))"),"")</f>
        <v/>
      </c>
      <c r="EF564" s="30" t="e">
        <f ca="1">_xludf.ifs(AM564="", "", COUNTIF('Internal -- Trademark Countries'!B:B,AM564) &gt; 0, "polity_shortest_name", COUNTIF('Internal -- Trademark Countries'!C:C,AM564) &gt; 0, "polity_full_name", COUNTIF('Internal -- Trademark Countries'!D:D,AM564) &gt; 0, "polity_common_name", COUNTIF('Internal -- Trademark Countries'!E:E,AM564) &gt; 0, "shortest_name", COUNTIF('Internal -- Trademark Countries'!A:A,AM564) &gt; 0, "full_name", TRUE, "not a match")</f>
        <v>#NAME?</v>
      </c>
      <c r="EG564" s="30"/>
      <c r="EH564" s="30"/>
      <c r="EI564" s="30"/>
      <c r="EJ564" s="30"/>
      <c r="EK564" s="30" t="str">
        <f t="shared" si="4"/>
        <v/>
      </c>
    </row>
    <row r="565" spans="1:141" ht="16.5">
      <c r="A565" s="11"/>
      <c r="B565" s="11"/>
      <c r="C565" s="11"/>
      <c r="D565" s="11"/>
      <c r="E565" s="11"/>
      <c r="F565" s="11"/>
      <c r="G565" s="11"/>
      <c r="H565" s="11"/>
      <c r="I565" s="11"/>
      <c r="J565" s="11"/>
      <c r="K565" s="27"/>
      <c r="L565" s="11"/>
      <c r="M565" s="11"/>
      <c r="N565" s="11"/>
      <c r="O565" s="11"/>
      <c r="P565" s="15"/>
      <c r="Q565" s="15"/>
      <c r="R565" s="15"/>
      <c r="S565" s="15"/>
      <c r="T565" s="15"/>
      <c r="U565" s="15"/>
      <c r="V565" s="15"/>
      <c r="W565" s="47"/>
      <c r="X565" s="11"/>
      <c r="Y565" s="48"/>
      <c r="Z565" s="11"/>
      <c r="AA565" s="48"/>
      <c r="AB565" s="11"/>
      <c r="AC565" s="48"/>
      <c r="AD565" s="11"/>
      <c r="AE565" s="47"/>
      <c r="AF565" s="11"/>
      <c r="AG565" s="48"/>
      <c r="AH565" s="11"/>
      <c r="AI565" s="48"/>
      <c r="AJ565" s="11"/>
      <c r="AK565" s="48"/>
      <c r="AL565" s="11"/>
      <c r="AM565" s="49"/>
      <c r="AN565" s="49"/>
      <c r="AO565" s="11"/>
      <c r="AP565" s="11"/>
      <c r="AQ565" s="28" t="b">
        <f>IF(COUNTIF(SmartStatus!A$2:A1000, AM565) &gt; 2, TRUE, FALSE)</f>
        <v>0</v>
      </c>
      <c r="AR565" s="29" t="str">
        <f ca="1">IFERROR(__xludf.DUMMYFUNCTION("iferror(if(regexmatch(AO565, ""(?i)^registered""), if(EE565 &lt;&gt; ""polity_shortest_name"", ""CHECK_POLITY"", index(filter(SmartStatus!B$2:B1000, AM565 = SmartStatus!A$2:A1000, not(SmartStatus!C$2:C1000), (isblank(SmartStatus!D$2:D1000)) + ((P565 &lt;&gt; """") * "&amp;"(P565 &lt; SmartStatus!D$2:D1000)), (isblank(SmartStatus!E$2:E1000)) + ((P565 &lt;&gt; """") * (P565 &gt;= SmartStatus!E$2:E1000)), (isblank(SmartStatus!F$2:F1000)) + (((Q565 &lt;&gt; """") * (Q565 &lt; SmartStatus!F$2:F1000)) + ((P565 &lt;&gt; """") * (date(year(P565) + 3, month(P"&amp;"565), day(P565)) &lt; SmartStatus!F$2:F1000))), (isblank(SmartStatus!G$2:G1000)) + (((Q565 &lt;&gt; """") * (Q565 &gt;= SmartStatus!G$2:G1000)) + ((P565 &lt;&gt; """") * (P565 &gt;= SmartStatus!G$2:G1000)))), if(or(regexmatch(B565, ""(?i)^ir [a-z]+ designation$""), N565 &lt;&gt; """&amp;"""), 1, 2))), """"), ""NO_MATCH"")"),"")</f>
        <v/>
      </c>
      <c r="AS565" s="11"/>
      <c r="AT565" s="15"/>
      <c r="AU565" s="11"/>
      <c r="AV565" s="11"/>
      <c r="AW565" s="15"/>
      <c r="AX565" s="15"/>
      <c r="AY565" s="15"/>
      <c r="AZ565" s="11"/>
      <c r="BA565" s="15"/>
      <c r="BB565" s="11"/>
      <c r="BC565" s="11"/>
      <c r="BD565" s="15"/>
      <c r="BE565" s="11"/>
      <c r="BF565" s="11"/>
      <c r="BG565" s="15"/>
      <c r="BH565" s="15"/>
      <c r="BI565" s="15"/>
      <c r="BJ565" s="11"/>
      <c r="BK565" s="15"/>
      <c r="BL565" s="11"/>
      <c r="BM565" s="11"/>
      <c r="BN565" s="15"/>
      <c r="BO565" s="11"/>
      <c r="BP565" s="11"/>
      <c r="BQ565" s="15"/>
      <c r="BR565" s="15"/>
      <c r="BS565" s="15"/>
      <c r="BT565" s="11"/>
      <c r="BU565" s="15"/>
      <c r="BV565" s="11"/>
      <c r="BW565" s="11"/>
      <c r="BX565" s="15"/>
      <c r="BY565" s="11"/>
      <c r="BZ565" s="11"/>
      <c r="CA565" s="15"/>
      <c r="CB565" s="11"/>
      <c r="CC565" s="15"/>
      <c r="CD565" s="11"/>
      <c r="CE565" s="15"/>
      <c r="CF565" s="11"/>
      <c r="CG565" s="11"/>
      <c r="CH565" s="15"/>
      <c r="CI565" s="11"/>
      <c r="CJ565" s="11"/>
      <c r="CK565" s="15"/>
      <c r="CL565" s="11"/>
      <c r="CM565" s="11"/>
      <c r="CN565" s="11"/>
      <c r="CO565" s="11"/>
      <c r="CP565" s="28"/>
      <c r="CQ565" s="28"/>
      <c r="CR565" s="11"/>
      <c r="CS565" s="29"/>
      <c r="CT565" s="11"/>
      <c r="CU565" s="11"/>
      <c r="CV565" s="11"/>
      <c r="CW565" s="11"/>
      <c r="CX565" s="11"/>
      <c r="CY565" s="11"/>
      <c r="CZ565" s="11"/>
      <c r="DA565" s="28"/>
      <c r="DB565" s="28"/>
      <c r="DC565" s="11"/>
      <c r="DD565" s="29"/>
      <c r="DE565" s="11"/>
      <c r="DF565" s="11"/>
      <c r="DG565" s="11"/>
      <c r="DH565" s="11"/>
      <c r="DI565" s="11"/>
      <c r="DJ565" s="11"/>
      <c r="DK565" s="26"/>
      <c r="DL565" s="11"/>
      <c r="DM565" s="29"/>
      <c r="DN565" s="28"/>
      <c r="DO565" s="11"/>
      <c r="DP565" s="11"/>
      <c r="DQ565" s="11"/>
      <c r="DR565" s="29"/>
      <c r="DS565" s="28"/>
      <c r="DT565" s="11"/>
      <c r="DU565" s="26"/>
      <c r="DV565" s="11"/>
      <c r="DW565" s="29"/>
      <c r="DX565" s="28"/>
      <c r="DY565" s="11"/>
      <c r="DZ565" s="26"/>
      <c r="EA565" s="11"/>
      <c r="EB565" s="29"/>
      <c r="EC565" s="28"/>
      <c r="ED565" s="30"/>
      <c r="EE565" s="30" t="str">
        <f ca="1">IFERROR(__xludf.DUMMYFUNCTION("iferror(index(filter('Internal -- Trademark Countries'!E$2:E1000, (AM565 = 'Internal -- Trademark Countries'!B$2:B1000) + (AM565 = 'Internal -- Trademark Countries'!C$2:C1000) + (AM565 = 'Internal -- Trademark Countries'!D$2:D1000)), 1))"),"")</f>
        <v/>
      </c>
      <c r="EF565" s="30" t="e">
        <f ca="1">_xludf.ifs(AM565="", "", COUNTIF('Internal -- Trademark Countries'!B:B,AM565) &gt; 0, "polity_shortest_name", COUNTIF('Internal -- Trademark Countries'!C:C,AM565) &gt; 0, "polity_full_name", COUNTIF('Internal -- Trademark Countries'!D:D,AM565) &gt; 0, "polity_common_name", COUNTIF('Internal -- Trademark Countries'!E:E,AM565) &gt; 0, "shortest_name", COUNTIF('Internal -- Trademark Countries'!A:A,AM565) &gt; 0, "full_name", TRUE, "not a match")</f>
        <v>#NAME?</v>
      </c>
      <c r="EG565" s="30"/>
      <c r="EH565" s="30"/>
      <c r="EI565" s="30"/>
      <c r="EJ565" s="30"/>
      <c r="EK565" s="30" t="str">
        <f t="shared" si="4"/>
        <v/>
      </c>
    </row>
    <row r="566" spans="1:141" ht="16.5">
      <c r="A566" s="11"/>
      <c r="B566" s="11"/>
      <c r="C566" s="11"/>
      <c r="D566" s="11"/>
      <c r="E566" s="11"/>
      <c r="F566" s="11"/>
      <c r="G566" s="11"/>
      <c r="H566" s="11"/>
      <c r="I566" s="11"/>
      <c r="J566" s="11"/>
      <c r="K566" s="27"/>
      <c r="L566" s="11"/>
      <c r="M566" s="11"/>
      <c r="N566" s="11"/>
      <c r="O566" s="11"/>
      <c r="P566" s="15"/>
      <c r="Q566" s="15"/>
      <c r="R566" s="15"/>
      <c r="S566" s="15"/>
      <c r="T566" s="15"/>
      <c r="U566" s="15"/>
      <c r="V566" s="15"/>
      <c r="W566" s="47"/>
      <c r="X566" s="11"/>
      <c r="Y566" s="48"/>
      <c r="Z566" s="11"/>
      <c r="AA566" s="48"/>
      <c r="AB566" s="11"/>
      <c r="AC566" s="48"/>
      <c r="AD566" s="11"/>
      <c r="AE566" s="47"/>
      <c r="AF566" s="11"/>
      <c r="AG566" s="48"/>
      <c r="AH566" s="11"/>
      <c r="AI566" s="48"/>
      <c r="AJ566" s="11"/>
      <c r="AK566" s="48"/>
      <c r="AL566" s="11"/>
      <c r="AM566" s="49"/>
      <c r="AN566" s="49"/>
      <c r="AO566" s="11"/>
      <c r="AP566" s="11"/>
      <c r="AQ566" s="28" t="b">
        <f>IF(COUNTIF(SmartStatus!A$2:A1000, AM566) &gt; 2, TRUE, FALSE)</f>
        <v>0</v>
      </c>
      <c r="AR566" s="29" t="str">
        <f ca="1">IFERROR(__xludf.DUMMYFUNCTION("iferror(if(regexmatch(AO566, ""(?i)^registered""), if(EE566 &lt;&gt; ""polity_shortest_name"", ""CHECK_POLITY"", index(filter(SmartStatus!B$2:B1000, AM566 = SmartStatus!A$2:A1000, not(SmartStatus!C$2:C1000), (isblank(SmartStatus!D$2:D1000)) + ((P566 &lt;&gt; """") * "&amp;"(P566 &lt; SmartStatus!D$2:D1000)), (isblank(SmartStatus!E$2:E1000)) + ((P566 &lt;&gt; """") * (P566 &gt;= SmartStatus!E$2:E1000)), (isblank(SmartStatus!F$2:F1000)) + (((Q566 &lt;&gt; """") * (Q566 &lt; SmartStatus!F$2:F1000)) + ((P566 &lt;&gt; """") * (date(year(P566) + 3, month(P"&amp;"566), day(P566)) &lt; SmartStatus!F$2:F1000))), (isblank(SmartStatus!G$2:G1000)) + (((Q566 &lt;&gt; """") * (Q566 &gt;= SmartStatus!G$2:G1000)) + ((P566 &lt;&gt; """") * (P566 &gt;= SmartStatus!G$2:G1000)))), if(or(regexmatch(B566, ""(?i)^ir [a-z]+ designation$""), N566 &lt;&gt; """&amp;"""), 1, 2))), """"), ""NO_MATCH"")"),"")</f>
        <v/>
      </c>
      <c r="AS566" s="11"/>
      <c r="AT566" s="15"/>
      <c r="AU566" s="11"/>
      <c r="AV566" s="11"/>
      <c r="AW566" s="15"/>
      <c r="AX566" s="15"/>
      <c r="AY566" s="15"/>
      <c r="AZ566" s="11"/>
      <c r="BA566" s="15"/>
      <c r="BB566" s="11"/>
      <c r="BC566" s="11"/>
      <c r="BD566" s="15"/>
      <c r="BE566" s="11"/>
      <c r="BF566" s="11"/>
      <c r="BG566" s="15"/>
      <c r="BH566" s="15"/>
      <c r="BI566" s="15"/>
      <c r="BJ566" s="11"/>
      <c r="BK566" s="15"/>
      <c r="BL566" s="11"/>
      <c r="BM566" s="11"/>
      <c r="BN566" s="15"/>
      <c r="BO566" s="11"/>
      <c r="BP566" s="11"/>
      <c r="BQ566" s="15"/>
      <c r="BR566" s="15"/>
      <c r="BS566" s="15"/>
      <c r="BT566" s="11"/>
      <c r="BU566" s="15"/>
      <c r="BV566" s="11"/>
      <c r="BW566" s="11"/>
      <c r="BX566" s="15"/>
      <c r="BY566" s="11"/>
      <c r="BZ566" s="11"/>
      <c r="CA566" s="15"/>
      <c r="CB566" s="11"/>
      <c r="CC566" s="15"/>
      <c r="CD566" s="11"/>
      <c r="CE566" s="15"/>
      <c r="CF566" s="11"/>
      <c r="CG566" s="11"/>
      <c r="CH566" s="15"/>
      <c r="CI566" s="11"/>
      <c r="CJ566" s="11"/>
      <c r="CK566" s="15"/>
      <c r="CL566" s="11"/>
      <c r="CM566" s="11"/>
      <c r="CN566" s="11"/>
      <c r="CO566" s="11"/>
      <c r="CP566" s="28"/>
      <c r="CQ566" s="28"/>
      <c r="CR566" s="11"/>
      <c r="CS566" s="29"/>
      <c r="CT566" s="11"/>
      <c r="CU566" s="11"/>
      <c r="CV566" s="11"/>
      <c r="CW566" s="11"/>
      <c r="CX566" s="11"/>
      <c r="CY566" s="11"/>
      <c r="CZ566" s="11"/>
      <c r="DA566" s="28"/>
      <c r="DB566" s="28"/>
      <c r="DC566" s="11"/>
      <c r="DD566" s="29"/>
      <c r="DE566" s="11"/>
      <c r="DF566" s="11"/>
      <c r="DG566" s="11"/>
      <c r="DH566" s="11"/>
      <c r="DI566" s="11"/>
      <c r="DJ566" s="11"/>
      <c r="DK566" s="26"/>
      <c r="DL566" s="11"/>
      <c r="DM566" s="29"/>
      <c r="DN566" s="28"/>
      <c r="DO566" s="11"/>
      <c r="DP566" s="11"/>
      <c r="DQ566" s="11"/>
      <c r="DR566" s="29"/>
      <c r="DS566" s="28"/>
      <c r="DT566" s="11"/>
      <c r="DU566" s="26"/>
      <c r="DV566" s="11"/>
      <c r="DW566" s="29"/>
      <c r="DX566" s="28"/>
      <c r="DY566" s="11"/>
      <c r="DZ566" s="26"/>
      <c r="EA566" s="11"/>
      <c r="EB566" s="29"/>
      <c r="EC566" s="28"/>
      <c r="ED566" s="30"/>
      <c r="EE566" s="30" t="str">
        <f ca="1">IFERROR(__xludf.DUMMYFUNCTION("iferror(index(filter('Internal -- Trademark Countries'!E$2:E1000, (AM566 = 'Internal -- Trademark Countries'!B$2:B1000) + (AM566 = 'Internal -- Trademark Countries'!C$2:C1000) + (AM566 = 'Internal -- Trademark Countries'!D$2:D1000)), 1))"),"")</f>
        <v/>
      </c>
      <c r="EF566" s="30" t="e">
        <f ca="1">_xludf.ifs(AM566="", "", COUNTIF('Internal -- Trademark Countries'!B:B,AM566) &gt; 0, "polity_shortest_name", COUNTIF('Internal -- Trademark Countries'!C:C,AM566) &gt; 0, "polity_full_name", COUNTIF('Internal -- Trademark Countries'!D:D,AM566) &gt; 0, "polity_common_name", COUNTIF('Internal -- Trademark Countries'!E:E,AM566) &gt; 0, "shortest_name", COUNTIF('Internal -- Trademark Countries'!A:A,AM566) &gt; 0, "full_name", TRUE, "not a match")</f>
        <v>#NAME?</v>
      </c>
      <c r="EG566" s="30"/>
      <c r="EH566" s="30"/>
      <c r="EI566" s="30"/>
      <c r="EJ566" s="30"/>
      <c r="EK566" s="30" t="str">
        <f t="shared" si="4"/>
        <v/>
      </c>
    </row>
    <row r="567" spans="1:141" ht="16.5">
      <c r="A567" s="11"/>
      <c r="B567" s="11"/>
      <c r="C567" s="11"/>
      <c r="D567" s="11"/>
      <c r="E567" s="11"/>
      <c r="F567" s="11"/>
      <c r="G567" s="11"/>
      <c r="H567" s="11"/>
      <c r="I567" s="11"/>
      <c r="J567" s="11"/>
      <c r="K567" s="27"/>
      <c r="L567" s="11"/>
      <c r="M567" s="11"/>
      <c r="N567" s="11"/>
      <c r="O567" s="11"/>
      <c r="P567" s="15"/>
      <c r="Q567" s="15"/>
      <c r="R567" s="15"/>
      <c r="S567" s="15"/>
      <c r="T567" s="15"/>
      <c r="U567" s="15"/>
      <c r="V567" s="15"/>
      <c r="W567" s="47"/>
      <c r="X567" s="11"/>
      <c r="Y567" s="48"/>
      <c r="Z567" s="11"/>
      <c r="AA567" s="48"/>
      <c r="AB567" s="11"/>
      <c r="AC567" s="48"/>
      <c r="AD567" s="11"/>
      <c r="AE567" s="47"/>
      <c r="AF567" s="11"/>
      <c r="AG567" s="48"/>
      <c r="AH567" s="11"/>
      <c r="AI567" s="48"/>
      <c r="AJ567" s="11"/>
      <c r="AK567" s="48"/>
      <c r="AL567" s="11"/>
      <c r="AM567" s="49"/>
      <c r="AN567" s="49"/>
      <c r="AO567" s="11"/>
      <c r="AP567" s="11"/>
      <c r="AQ567" s="28" t="b">
        <f>IF(COUNTIF(SmartStatus!A$2:A1000, AM567) &gt; 2, TRUE, FALSE)</f>
        <v>0</v>
      </c>
      <c r="AR567" s="29" t="str">
        <f ca="1">IFERROR(__xludf.DUMMYFUNCTION("iferror(if(regexmatch(AO567, ""(?i)^registered""), if(EE567 &lt;&gt; ""polity_shortest_name"", ""CHECK_POLITY"", index(filter(SmartStatus!B$2:B1000, AM567 = SmartStatus!A$2:A1000, not(SmartStatus!C$2:C1000), (isblank(SmartStatus!D$2:D1000)) + ((P567 &lt;&gt; """") * "&amp;"(P567 &lt; SmartStatus!D$2:D1000)), (isblank(SmartStatus!E$2:E1000)) + ((P567 &lt;&gt; """") * (P567 &gt;= SmartStatus!E$2:E1000)), (isblank(SmartStatus!F$2:F1000)) + (((Q567 &lt;&gt; """") * (Q567 &lt; SmartStatus!F$2:F1000)) + ((P567 &lt;&gt; """") * (date(year(P567) + 3, month(P"&amp;"567), day(P567)) &lt; SmartStatus!F$2:F1000))), (isblank(SmartStatus!G$2:G1000)) + (((Q567 &lt;&gt; """") * (Q567 &gt;= SmartStatus!G$2:G1000)) + ((P567 &lt;&gt; """") * (P567 &gt;= SmartStatus!G$2:G1000)))), if(or(regexmatch(B567, ""(?i)^ir [a-z]+ designation$""), N567 &lt;&gt; """&amp;"""), 1, 2))), """"), ""NO_MATCH"")"),"")</f>
        <v/>
      </c>
      <c r="AS567" s="11"/>
      <c r="AT567" s="15"/>
      <c r="AU567" s="11"/>
      <c r="AV567" s="11"/>
      <c r="AW567" s="15"/>
      <c r="AX567" s="15"/>
      <c r="AY567" s="15"/>
      <c r="AZ567" s="11"/>
      <c r="BA567" s="15"/>
      <c r="BB567" s="11"/>
      <c r="BC567" s="11"/>
      <c r="BD567" s="15"/>
      <c r="BE567" s="11"/>
      <c r="BF567" s="11"/>
      <c r="BG567" s="15"/>
      <c r="BH567" s="15"/>
      <c r="BI567" s="15"/>
      <c r="BJ567" s="11"/>
      <c r="BK567" s="15"/>
      <c r="BL567" s="11"/>
      <c r="BM567" s="11"/>
      <c r="BN567" s="15"/>
      <c r="BO567" s="11"/>
      <c r="BP567" s="11"/>
      <c r="BQ567" s="15"/>
      <c r="BR567" s="15"/>
      <c r="BS567" s="15"/>
      <c r="BT567" s="11"/>
      <c r="BU567" s="15"/>
      <c r="BV567" s="11"/>
      <c r="BW567" s="11"/>
      <c r="BX567" s="15"/>
      <c r="BY567" s="11"/>
      <c r="BZ567" s="11"/>
      <c r="CA567" s="15"/>
      <c r="CB567" s="11"/>
      <c r="CC567" s="15"/>
      <c r="CD567" s="11"/>
      <c r="CE567" s="15"/>
      <c r="CF567" s="11"/>
      <c r="CG567" s="11"/>
      <c r="CH567" s="15"/>
      <c r="CI567" s="11"/>
      <c r="CJ567" s="11"/>
      <c r="CK567" s="15"/>
      <c r="CL567" s="11"/>
      <c r="CM567" s="11"/>
      <c r="CN567" s="11"/>
      <c r="CO567" s="11"/>
      <c r="CP567" s="28"/>
      <c r="CQ567" s="28"/>
      <c r="CR567" s="11"/>
      <c r="CS567" s="29"/>
      <c r="CT567" s="11"/>
      <c r="CU567" s="11"/>
      <c r="CV567" s="11"/>
      <c r="CW567" s="11"/>
      <c r="CX567" s="11"/>
      <c r="CY567" s="11"/>
      <c r="CZ567" s="11"/>
      <c r="DA567" s="28"/>
      <c r="DB567" s="28"/>
      <c r="DC567" s="11"/>
      <c r="DD567" s="29"/>
      <c r="DE567" s="11"/>
      <c r="DF567" s="11"/>
      <c r="DG567" s="11"/>
      <c r="DH567" s="11"/>
      <c r="DI567" s="11"/>
      <c r="DJ567" s="11"/>
      <c r="DK567" s="26"/>
      <c r="DL567" s="11"/>
      <c r="DM567" s="29"/>
      <c r="DN567" s="28"/>
      <c r="DO567" s="11"/>
      <c r="DP567" s="11"/>
      <c r="DQ567" s="11"/>
      <c r="DR567" s="29"/>
      <c r="DS567" s="28"/>
      <c r="DT567" s="11"/>
      <c r="DU567" s="26"/>
      <c r="DV567" s="11"/>
      <c r="DW567" s="29"/>
      <c r="DX567" s="28"/>
      <c r="DY567" s="11"/>
      <c r="DZ567" s="26"/>
      <c r="EA567" s="11"/>
      <c r="EB567" s="29"/>
      <c r="EC567" s="28"/>
      <c r="ED567" s="30"/>
      <c r="EE567" s="30" t="str">
        <f ca="1">IFERROR(__xludf.DUMMYFUNCTION("iferror(index(filter('Internal -- Trademark Countries'!E$2:E1000, (AM567 = 'Internal -- Trademark Countries'!B$2:B1000) + (AM567 = 'Internal -- Trademark Countries'!C$2:C1000) + (AM567 = 'Internal -- Trademark Countries'!D$2:D1000)), 1))"),"")</f>
        <v/>
      </c>
      <c r="EF567" s="30" t="e">
        <f ca="1">_xludf.ifs(AM567="", "", COUNTIF('Internal -- Trademark Countries'!B:B,AM567) &gt; 0, "polity_shortest_name", COUNTIF('Internal -- Trademark Countries'!C:C,AM567) &gt; 0, "polity_full_name", COUNTIF('Internal -- Trademark Countries'!D:D,AM567) &gt; 0, "polity_common_name", COUNTIF('Internal -- Trademark Countries'!E:E,AM567) &gt; 0, "shortest_name", COUNTIF('Internal -- Trademark Countries'!A:A,AM567) &gt; 0, "full_name", TRUE, "not a match")</f>
        <v>#NAME?</v>
      </c>
      <c r="EG567" s="30"/>
      <c r="EH567" s="30"/>
      <c r="EI567" s="30"/>
      <c r="EJ567" s="30"/>
      <c r="EK567" s="30" t="str">
        <f t="shared" si="4"/>
        <v/>
      </c>
    </row>
    <row r="568" spans="1:141" ht="16.5">
      <c r="A568" s="11"/>
      <c r="B568" s="11"/>
      <c r="C568" s="11"/>
      <c r="D568" s="11"/>
      <c r="E568" s="11"/>
      <c r="F568" s="11"/>
      <c r="G568" s="11"/>
      <c r="H568" s="11"/>
      <c r="I568" s="11"/>
      <c r="J568" s="11"/>
      <c r="K568" s="27"/>
      <c r="L568" s="11"/>
      <c r="M568" s="11"/>
      <c r="N568" s="11"/>
      <c r="O568" s="11"/>
      <c r="P568" s="15"/>
      <c r="Q568" s="15"/>
      <c r="R568" s="15"/>
      <c r="S568" s="15"/>
      <c r="T568" s="15"/>
      <c r="U568" s="15"/>
      <c r="V568" s="15"/>
      <c r="W568" s="47"/>
      <c r="X568" s="11"/>
      <c r="Y568" s="48"/>
      <c r="Z568" s="11"/>
      <c r="AA568" s="48"/>
      <c r="AB568" s="11"/>
      <c r="AC568" s="48"/>
      <c r="AD568" s="11"/>
      <c r="AE568" s="47"/>
      <c r="AF568" s="11"/>
      <c r="AG568" s="48"/>
      <c r="AH568" s="11"/>
      <c r="AI568" s="48"/>
      <c r="AJ568" s="11"/>
      <c r="AK568" s="48"/>
      <c r="AL568" s="11"/>
      <c r="AM568" s="49"/>
      <c r="AN568" s="49"/>
      <c r="AO568" s="11"/>
      <c r="AP568" s="11"/>
      <c r="AQ568" s="28" t="b">
        <f>IF(COUNTIF(SmartStatus!A$2:A1000, AM568) &gt; 2, TRUE, FALSE)</f>
        <v>0</v>
      </c>
      <c r="AR568" s="29" t="str">
        <f ca="1">IFERROR(__xludf.DUMMYFUNCTION("iferror(if(regexmatch(AO568, ""(?i)^registered""), if(EE568 &lt;&gt; ""polity_shortest_name"", ""CHECK_POLITY"", index(filter(SmartStatus!B$2:B1000, AM568 = SmartStatus!A$2:A1000, not(SmartStatus!C$2:C1000), (isblank(SmartStatus!D$2:D1000)) + ((P568 &lt;&gt; """") * "&amp;"(P568 &lt; SmartStatus!D$2:D1000)), (isblank(SmartStatus!E$2:E1000)) + ((P568 &lt;&gt; """") * (P568 &gt;= SmartStatus!E$2:E1000)), (isblank(SmartStatus!F$2:F1000)) + (((Q568 &lt;&gt; """") * (Q568 &lt; SmartStatus!F$2:F1000)) + ((P568 &lt;&gt; """") * (date(year(P568) + 3, month(P"&amp;"568), day(P568)) &lt; SmartStatus!F$2:F1000))), (isblank(SmartStatus!G$2:G1000)) + (((Q568 &lt;&gt; """") * (Q568 &gt;= SmartStatus!G$2:G1000)) + ((P568 &lt;&gt; """") * (P568 &gt;= SmartStatus!G$2:G1000)))), if(or(regexmatch(B568, ""(?i)^ir [a-z]+ designation$""), N568 &lt;&gt; """&amp;"""), 1, 2))), """"), ""NO_MATCH"")"),"")</f>
        <v/>
      </c>
      <c r="AS568" s="11"/>
      <c r="AT568" s="15"/>
      <c r="AU568" s="11"/>
      <c r="AV568" s="11"/>
      <c r="AW568" s="15"/>
      <c r="AX568" s="15"/>
      <c r="AY568" s="15"/>
      <c r="AZ568" s="11"/>
      <c r="BA568" s="15"/>
      <c r="BB568" s="11"/>
      <c r="BC568" s="11"/>
      <c r="BD568" s="15"/>
      <c r="BE568" s="11"/>
      <c r="BF568" s="11"/>
      <c r="BG568" s="15"/>
      <c r="BH568" s="15"/>
      <c r="BI568" s="15"/>
      <c r="BJ568" s="11"/>
      <c r="BK568" s="15"/>
      <c r="BL568" s="11"/>
      <c r="BM568" s="11"/>
      <c r="BN568" s="15"/>
      <c r="BO568" s="11"/>
      <c r="BP568" s="11"/>
      <c r="BQ568" s="15"/>
      <c r="BR568" s="15"/>
      <c r="BS568" s="15"/>
      <c r="BT568" s="11"/>
      <c r="BU568" s="15"/>
      <c r="BV568" s="11"/>
      <c r="BW568" s="11"/>
      <c r="BX568" s="15"/>
      <c r="BY568" s="11"/>
      <c r="BZ568" s="11"/>
      <c r="CA568" s="15"/>
      <c r="CB568" s="11"/>
      <c r="CC568" s="15"/>
      <c r="CD568" s="11"/>
      <c r="CE568" s="15"/>
      <c r="CF568" s="11"/>
      <c r="CG568" s="11"/>
      <c r="CH568" s="15"/>
      <c r="CI568" s="11"/>
      <c r="CJ568" s="11"/>
      <c r="CK568" s="15"/>
      <c r="CL568" s="11"/>
      <c r="CM568" s="11"/>
      <c r="CN568" s="11"/>
      <c r="CO568" s="11"/>
      <c r="CP568" s="28"/>
      <c r="CQ568" s="28"/>
      <c r="CR568" s="11"/>
      <c r="CS568" s="29"/>
      <c r="CT568" s="11"/>
      <c r="CU568" s="11"/>
      <c r="CV568" s="11"/>
      <c r="CW568" s="11"/>
      <c r="CX568" s="11"/>
      <c r="CY568" s="11"/>
      <c r="CZ568" s="11"/>
      <c r="DA568" s="28"/>
      <c r="DB568" s="28"/>
      <c r="DC568" s="11"/>
      <c r="DD568" s="29"/>
      <c r="DE568" s="11"/>
      <c r="DF568" s="11"/>
      <c r="DG568" s="11"/>
      <c r="DH568" s="11"/>
      <c r="DI568" s="11"/>
      <c r="DJ568" s="11"/>
      <c r="DK568" s="26"/>
      <c r="DL568" s="11"/>
      <c r="DM568" s="29"/>
      <c r="DN568" s="28"/>
      <c r="DO568" s="11"/>
      <c r="DP568" s="11"/>
      <c r="DQ568" s="11"/>
      <c r="DR568" s="29"/>
      <c r="DS568" s="28"/>
      <c r="DT568" s="11"/>
      <c r="DU568" s="26"/>
      <c r="DV568" s="11"/>
      <c r="DW568" s="29"/>
      <c r="DX568" s="28"/>
      <c r="DY568" s="11"/>
      <c r="DZ568" s="26"/>
      <c r="EA568" s="11"/>
      <c r="EB568" s="29"/>
      <c r="EC568" s="28"/>
      <c r="ED568" s="30"/>
      <c r="EE568" s="30" t="str">
        <f ca="1">IFERROR(__xludf.DUMMYFUNCTION("iferror(index(filter('Internal -- Trademark Countries'!E$2:E1000, (AM568 = 'Internal -- Trademark Countries'!B$2:B1000) + (AM568 = 'Internal -- Trademark Countries'!C$2:C1000) + (AM568 = 'Internal -- Trademark Countries'!D$2:D1000)), 1))"),"")</f>
        <v/>
      </c>
      <c r="EF568" s="30" t="e">
        <f ca="1">_xludf.ifs(AM568="", "", COUNTIF('Internal -- Trademark Countries'!B:B,AM568) &gt; 0, "polity_shortest_name", COUNTIF('Internal -- Trademark Countries'!C:C,AM568) &gt; 0, "polity_full_name", COUNTIF('Internal -- Trademark Countries'!D:D,AM568) &gt; 0, "polity_common_name", COUNTIF('Internal -- Trademark Countries'!E:E,AM568) &gt; 0, "shortest_name", COUNTIF('Internal -- Trademark Countries'!A:A,AM568) &gt; 0, "full_name", TRUE, "not a match")</f>
        <v>#NAME?</v>
      </c>
      <c r="EG568" s="30"/>
      <c r="EH568" s="30"/>
      <c r="EI568" s="30"/>
      <c r="EJ568" s="30"/>
      <c r="EK568" s="30" t="str">
        <f t="shared" si="4"/>
        <v/>
      </c>
    </row>
    <row r="569" spans="1:141" ht="16.5">
      <c r="A569" s="11"/>
      <c r="B569" s="11"/>
      <c r="C569" s="11"/>
      <c r="D569" s="11"/>
      <c r="E569" s="11"/>
      <c r="F569" s="11"/>
      <c r="G569" s="11"/>
      <c r="H569" s="11"/>
      <c r="I569" s="11"/>
      <c r="J569" s="11"/>
      <c r="K569" s="27"/>
      <c r="L569" s="11"/>
      <c r="M569" s="11"/>
      <c r="N569" s="11"/>
      <c r="O569" s="11"/>
      <c r="P569" s="15"/>
      <c r="Q569" s="15"/>
      <c r="R569" s="15"/>
      <c r="S569" s="15"/>
      <c r="T569" s="15"/>
      <c r="U569" s="15"/>
      <c r="V569" s="15"/>
      <c r="W569" s="47"/>
      <c r="X569" s="11"/>
      <c r="Y569" s="48"/>
      <c r="Z569" s="11"/>
      <c r="AA569" s="48"/>
      <c r="AB569" s="11"/>
      <c r="AC569" s="48"/>
      <c r="AD569" s="11"/>
      <c r="AE569" s="47"/>
      <c r="AF569" s="11"/>
      <c r="AG569" s="48"/>
      <c r="AH569" s="11"/>
      <c r="AI569" s="48"/>
      <c r="AJ569" s="11"/>
      <c r="AK569" s="48"/>
      <c r="AL569" s="11"/>
      <c r="AM569" s="49"/>
      <c r="AN569" s="49"/>
      <c r="AO569" s="11"/>
      <c r="AP569" s="11"/>
      <c r="AQ569" s="28" t="b">
        <f>IF(COUNTIF(SmartStatus!A$2:A1000, AM569) &gt; 2, TRUE, FALSE)</f>
        <v>0</v>
      </c>
      <c r="AR569" s="29" t="str">
        <f ca="1">IFERROR(__xludf.DUMMYFUNCTION("iferror(if(regexmatch(AO569, ""(?i)^registered""), if(EE569 &lt;&gt; ""polity_shortest_name"", ""CHECK_POLITY"", index(filter(SmartStatus!B$2:B1000, AM569 = SmartStatus!A$2:A1000, not(SmartStatus!C$2:C1000), (isblank(SmartStatus!D$2:D1000)) + ((P569 &lt;&gt; """") * "&amp;"(P569 &lt; SmartStatus!D$2:D1000)), (isblank(SmartStatus!E$2:E1000)) + ((P569 &lt;&gt; """") * (P569 &gt;= SmartStatus!E$2:E1000)), (isblank(SmartStatus!F$2:F1000)) + (((Q569 &lt;&gt; """") * (Q569 &lt; SmartStatus!F$2:F1000)) + ((P569 &lt;&gt; """") * (date(year(P569) + 3, month(P"&amp;"569), day(P569)) &lt; SmartStatus!F$2:F1000))), (isblank(SmartStatus!G$2:G1000)) + (((Q569 &lt;&gt; """") * (Q569 &gt;= SmartStatus!G$2:G1000)) + ((P569 &lt;&gt; """") * (P569 &gt;= SmartStatus!G$2:G1000)))), if(or(regexmatch(B569, ""(?i)^ir [a-z]+ designation$""), N569 &lt;&gt; """&amp;"""), 1, 2))), """"), ""NO_MATCH"")"),"")</f>
        <v/>
      </c>
      <c r="AS569" s="11"/>
      <c r="AT569" s="15"/>
      <c r="AU569" s="11"/>
      <c r="AV569" s="11"/>
      <c r="AW569" s="15"/>
      <c r="AX569" s="15"/>
      <c r="AY569" s="15"/>
      <c r="AZ569" s="11"/>
      <c r="BA569" s="15"/>
      <c r="BB569" s="11"/>
      <c r="BC569" s="11"/>
      <c r="BD569" s="15"/>
      <c r="BE569" s="11"/>
      <c r="BF569" s="11"/>
      <c r="BG569" s="15"/>
      <c r="BH569" s="15"/>
      <c r="BI569" s="15"/>
      <c r="BJ569" s="11"/>
      <c r="BK569" s="15"/>
      <c r="BL569" s="11"/>
      <c r="BM569" s="11"/>
      <c r="BN569" s="15"/>
      <c r="BO569" s="11"/>
      <c r="BP569" s="11"/>
      <c r="BQ569" s="15"/>
      <c r="BR569" s="15"/>
      <c r="BS569" s="15"/>
      <c r="BT569" s="11"/>
      <c r="BU569" s="15"/>
      <c r="BV569" s="11"/>
      <c r="BW569" s="11"/>
      <c r="BX569" s="15"/>
      <c r="BY569" s="11"/>
      <c r="BZ569" s="11"/>
      <c r="CA569" s="15"/>
      <c r="CB569" s="11"/>
      <c r="CC569" s="15"/>
      <c r="CD569" s="11"/>
      <c r="CE569" s="15"/>
      <c r="CF569" s="11"/>
      <c r="CG569" s="11"/>
      <c r="CH569" s="15"/>
      <c r="CI569" s="11"/>
      <c r="CJ569" s="11"/>
      <c r="CK569" s="15"/>
      <c r="CL569" s="11"/>
      <c r="CM569" s="11"/>
      <c r="CN569" s="11"/>
      <c r="CO569" s="11"/>
      <c r="CP569" s="28"/>
      <c r="CQ569" s="28"/>
      <c r="CR569" s="11"/>
      <c r="CS569" s="29"/>
      <c r="CT569" s="11"/>
      <c r="CU569" s="11"/>
      <c r="CV569" s="11"/>
      <c r="CW569" s="11"/>
      <c r="CX569" s="11"/>
      <c r="CY569" s="11"/>
      <c r="CZ569" s="11"/>
      <c r="DA569" s="28"/>
      <c r="DB569" s="28"/>
      <c r="DC569" s="11"/>
      <c r="DD569" s="29"/>
      <c r="DE569" s="11"/>
      <c r="DF569" s="11"/>
      <c r="DG569" s="11"/>
      <c r="DH569" s="11"/>
      <c r="DI569" s="11"/>
      <c r="DJ569" s="11"/>
      <c r="DK569" s="26"/>
      <c r="DL569" s="11"/>
      <c r="DM569" s="29"/>
      <c r="DN569" s="28"/>
      <c r="DO569" s="11"/>
      <c r="DP569" s="11"/>
      <c r="DQ569" s="11"/>
      <c r="DR569" s="29"/>
      <c r="DS569" s="28"/>
      <c r="DT569" s="11"/>
      <c r="DU569" s="26"/>
      <c r="DV569" s="11"/>
      <c r="DW569" s="29"/>
      <c r="DX569" s="28"/>
      <c r="DY569" s="11"/>
      <c r="DZ569" s="26"/>
      <c r="EA569" s="11"/>
      <c r="EB569" s="29"/>
      <c r="EC569" s="28"/>
      <c r="ED569" s="30"/>
      <c r="EE569" s="30" t="str">
        <f ca="1">IFERROR(__xludf.DUMMYFUNCTION("iferror(index(filter('Internal -- Trademark Countries'!E$2:E1000, (AM569 = 'Internal -- Trademark Countries'!B$2:B1000) + (AM569 = 'Internal -- Trademark Countries'!C$2:C1000) + (AM569 = 'Internal -- Trademark Countries'!D$2:D1000)), 1))"),"")</f>
        <v/>
      </c>
      <c r="EF569" s="30" t="e">
        <f ca="1">_xludf.ifs(AM569="", "", COUNTIF('Internal -- Trademark Countries'!B:B,AM569) &gt; 0, "polity_shortest_name", COUNTIF('Internal -- Trademark Countries'!C:C,AM569) &gt; 0, "polity_full_name", COUNTIF('Internal -- Trademark Countries'!D:D,AM569) &gt; 0, "polity_common_name", COUNTIF('Internal -- Trademark Countries'!E:E,AM569) &gt; 0, "shortest_name", COUNTIF('Internal -- Trademark Countries'!A:A,AM569) &gt; 0, "full_name", TRUE, "not a match")</f>
        <v>#NAME?</v>
      </c>
      <c r="EG569" s="30"/>
      <c r="EH569" s="30"/>
      <c r="EI569" s="30"/>
      <c r="EJ569" s="30"/>
      <c r="EK569" s="30" t="str">
        <f t="shared" si="4"/>
        <v/>
      </c>
    </row>
    <row r="570" spans="1:141" ht="16.5">
      <c r="A570" s="11"/>
      <c r="B570" s="11"/>
      <c r="C570" s="11"/>
      <c r="D570" s="11"/>
      <c r="E570" s="11"/>
      <c r="F570" s="11"/>
      <c r="G570" s="11"/>
      <c r="H570" s="11"/>
      <c r="I570" s="11"/>
      <c r="J570" s="11"/>
      <c r="K570" s="27"/>
      <c r="L570" s="11"/>
      <c r="M570" s="11"/>
      <c r="N570" s="11"/>
      <c r="O570" s="11"/>
      <c r="P570" s="15"/>
      <c r="Q570" s="15"/>
      <c r="R570" s="15"/>
      <c r="S570" s="15"/>
      <c r="T570" s="15"/>
      <c r="U570" s="15"/>
      <c r="V570" s="15"/>
      <c r="W570" s="47"/>
      <c r="X570" s="11"/>
      <c r="Y570" s="48"/>
      <c r="Z570" s="11"/>
      <c r="AA570" s="48"/>
      <c r="AB570" s="11"/>
      <c r="AC570" s="48"/>
      <c r="AD570" s="11"/>
      <c r="AE570" s="47"/>
      <c r="AF570" s="11"/>
      <c r="AG570" s="48"/>
      <c r="AH570" s="11"/>
      <c r="AI570" s="48"/>
      <c r="AJ570" s="11"/>
      <c r="AK570" s="48"/>
      <c r="AL570" s="11"/>
      <c r="AM570" s="49"/>
      <c r="AN570" s="49"/>
      <c r="AO570" s="11"/>
      <c r="AP570" s="11"/>
      <c r="AQ570" s="28" t="b">
        <f>IF(COUNTIF(SmartStatus!A$2:A1000, AM570) &gt; 2, TRUE, FALSE)</f>
        <v>0</v>
      </c>
      <c r="AR570" s="29" t="str">
        <f ca="1">IFERROR(__xludf.DUMMYFUNCTION("iferror(if(regexmatch(AO570, ""(?i)^registered""), if(EE570 &lt;&gt; ""polity_shortest_name"", ""CHECK_POLITY"", index(filter(SmartStatus!B$2:B1000, AM570 = SmartStatus!A$2:A1000, not(SmartStatus!C$2:C1000), (isblank(SmartStatus!D$2:D1000)) + ((P570 &lt;&gt; """") * "&amp;"(P570 &lt; SmartStatus!D$2:D1000)), (isblank(SmartStatus!E$2:E1000)) + ((P570 &lt;&gt; """") * (P570 &gt;= SmartStatus!E$2:E1000)), (isblank(SmartStatus!F$2:F1000)) + (((Q570 &lt;&gt; """") * (Q570 &lt; SmartStatus!F$2:F1000)) + ((P570 &lt;&gt; """") * (date(year(P570) + 3, month(P"&amp;"570), day(P570)) &lt; SmartStatus!F$2:F1000))), (isblank(SmartStatus!G$2:G1000)) + (((Q570 &lt;&gt; """") * (Q570 &gt;= SmartStatus!G$2:G1000)) + ((P570 &lt;&gt; """") * (P570 &gt;= SmartStatus!G$2:G1000)))), if(or(regexmatch(B570, ""(?i)^ir [a-z]+ designation$""), N570 &lt;&gt; """&amp;"""), 1, 2))), """"), ""NO_MATCH"")"),"")</f>
        <v/>
      </c>
      <c r="AS570" s="11"/>
      <c r="AT570" s="15"/>
      <c r="AU570" s="11"/>
      <c r="AV570" s="11"/>
      <c r="AW570" s="15"/>
      <c r="AX570" s="15"/>
      <c r="AY570" s="15"/>
      <c r="AZ570" s="11"/>
      <c r="BA570" s="15"/>
      <c r="BB570" s="11"/>
      <c r="BC570" s="11"/>
      <c r="BD570" s="15"/>
      <c r="BE570" s="11"/>
      <c r="BF570" s="11"/>
      <c r="BG570" s="15"/>
      <c r="BH570" s="15"/>
      <c r="BI570" s="15"/>
      <c r="BJ570" s="11"/>
      <c r="BK570" s="15"/>
      <c r="BL570" s="11"/>
      <c r="BM570" s="11"/>
      <c r="BN570" s="15"/>
      <c r="BO570" s="11"/>
      <c r="BP570" s="11"/>
      <c r="BQ570" s="15"/>
      <c r="BR570" s="15"/>
      <c r="BS570" s="15"/>
      <c r="BT570" s="11"/>
      <c r="BU570" s="15"/>
      <c r="BV570" s="11"/>
      <c r="BW570" s="11"/>
      <c r="BX570" s="15"/>
      <c r="BY570" s="11"/>
      <c r="BZ570" s="11"/>
      <c r="CA570" s="15"/>
      <c r="CB570" s="11"/>
      <c r="CC570" s="15"/>
      <c r="CD570" s="11"/>
      <c r="CE570" s="15"/>
      <c r="CF570" s="11"/>
      <c r="CG570" s="11"/>
      <c r="CH570" s="15"/>
      <c r="CI570" s="11"/>
      <c r="CJ570" s="11"/>
      <c r="CK570" s="15"/>
      <c r="CL570" s="11"/>
      <c r="CM570" s="11"/>
      <c r="CN570" s="11"/>
      <c r="CO570" s="11"/>
      <c r="CP570" s="28"/>
      <c r="CQ570" s="28"/>
      <c r="CR570" s="11"/>
      <c r="CS570" s="29"/>
      <c r="CT570" s="11"/>
      <c r="CU570" s="11"/>
      <c r="CV570" s="11"/>
      <c r="CW570" s="11"/>
      <c r="CX570" s="11"/>
      <c r="CY570" s="11"/>
      <c r="CZ570" s="11"/>
      <c r="DA570" s="28"/>
      <c r="DB570" s="28"/>
      <c r="DC570" s="11"/>
      <c r="DD570" s="29"/>
      <c r="DE570" s="11"/>
      <c r="DF570" s="11"/>
      <c r="DG570" s="11"/>
      <c r="DH570" s="11"/>
      <c r="DI570" s="11"/>
      <c r="DJ570" s="11"/>
      <c r="DK570" s="26"/>
      <c r="DL570" s="11"/>
      <c r="DM570" s="29"/>
      <c r="DN570" s="28"/>
      <c r="DO570" s="11"/>
      <c r="DP570" s="11"/>
      <c r="DQ570" s="11"/>
      <c r="DR570" s="29"/>
      <c r="DS570" s="28"/>
      <c r="DT570" s="11"/>
      <c r="DU570" s="26"/>
      <c r="DV570" s="11"/>
      <c r="DW570" s="29"/>
      <c r="DX570" s="28"/>
      <c r="DY570" s="11"/>
      <c r="DZ570" s="26"/>
      <c r="EA570" s="11"/>
      <c r="EB570" s="29"/>
      <c r="EC570" s="28"/>
      <c r="ED570" s="30"/>
      <c r="EE570" s="30" t="str">
        <f ca="1">IFERROR(__xludf.DUMMYFUNCTION("iferror(index(filter('Internal -- Trademark Countries'!E$2:E1000, (AM570 = 'Internal -- Trademark Countries'!B$2:B1000) + (AM570 = 'Internal -- Trademark Countries'!C$2:C1000) + (AM570 = 'Internal -- Trademark Countries'!D$2:D1000)), 1))"),"")</f>
        <v/>
      </c>
      <c r="EF570" s="30" t="e">
        <f ca="1">_xludf.ifs(AM570="", "", COUNTIF('Internal -- Trademark Countries'!B:B,AM570) &gt; 0, "polity_shortest_name", COUNTIF('Internal -- Trademark Countries'!C:C,AM570) &gt; 0, "polity_full_name", COUNTIF('Internal -- Trademark Countries'!D:D,AM570) &gt; 0, "polity_common_name", COUNTIF('Internal -- Trademark Countries'!E:E,AM570) &gt; 0, "shortest_name", COUNTIF('Internal -- Trademark Countries'!A:A,AM570) &gt; 0, "full_name", TRUE, "not a match")</f>
        <v>#NAME?</v>
      </c>
      <c r="EG570" s="30"/>
      <c r="EH570" s="30"/>
      <c r="EI570" s="30"/>
      <c r="EJ570" s="30"/>
      <c r="EK570" s="30" t="str">
        <f t="shared" si="4"/>
        <v/>
      </c>
    </row>
    <row r="571" spans="1:141" ht="16.5">
      <c r="A571" s="11"/>
      <c r="B571" s="11"/>
      <c r="C571" s="11"/>
      <c r="D571" s="11"/>
      <c r="E571" s="11"/>
      <c r="F571" s="11"/>
      <c r="G571" s="11"/>
      <c r="H571" s="11"/>
      <c r="I571" s="11"/>
      <c r="J571" s="11"/>
      <c r="K571" s="27"/>
      <c r="L571" s="11"/>
      <c r="M571" s="11"/>
      <c r="N571" s="11"/>
      <c r="O571" s="11"/>
      <c r="P571" s="15"/>
      <c r="Q571" s="15"/>
      <c r="R571" s="15"/>
      <c r="S571" s="15"/>
      <c r="T571" s="15"/>
      <c r="U571" s="15"/>
      <c r="V571" s="15"/>
      <c r="W571" s="47"/>
      <c r="X571" s="11"/>
      <c r="Y571" s="48"/>
      <c r="Z571" s="11"/>
      <c r="AA571" s="48"/>
      <c r="AB571" s="11"/>
      <c r="AC571" s="48"/>
      <c r="AD571" s="11"/>
      <c r="AE571" s="47"/>
      <c r="AF571" s="11"/>
      <c r="AG571" s="48"/>
      <c r="AH571" s="11"/>
      <c r="AI571" s="48"/>
      <c r="AJ571" s="11"/>
      <c r="AK571" s="48"/>
      <c r="AL571" s="11"/>
      <c r="AM571" s="49"/>
      <c r="AN571" s="49"/>
      <c r="AO571" s="11"/>
      <c r="AP571" s="11"/>
      <c r="AQ571" s="28" t="b">
        <f>IF(COUNTIF(SmartStatus!A$2:A1000, AM571) &gt; 2, TRUE, FALSE)</f>
        <v>0</v>
      </c>
      <c r="AR571" s="29" t="str">
        <f ca="1">IFERROR(__xludf.DUMMYFUNCTION("iferror(if(regexmatch(AO571, ""(?i)^registered""), if(EE571 &lt;&gt; ""polity_shortest_name"", ""CHECK_POLITY"", index(filter(SmartStatus!B$2:B1000, AM571 = SmartStatus!A$2:A1000, not(SmartStatus!C$2:C1000), (isblank(SmartStatus!D$2:D1000)) + ((P571 &lt;&gt; """") * "&amp;"(P571 &lt; SmartStatus!D$2:D1000)), (isblank(SmartStatus!E$2:E1000)) + ((P571 &lt;&gt; """") * (P571 &gt;= SmartStatus!E$2:E1000)), (isblank(SmartStatus!F$2:F1000)) + (((Q571 &lt;&gt; """") * (Q571 &lt; SmartStatus!F$2:F1000)) + ((P571 &lt;&gt; """") * (date(year(P571) + 3, month(P"&amp;"571), day(P571)) &lt; SmartStatus!F$2:F1000))), (isblank(SmartStatus!G$2:G1000)) + (((Q571 &lt;&gt; """") * (Q571 &gt;= SmartStatus!G$2:G1000)) + ((P571 &lt;&gt; """") * (P571 &gt;= SmartStatus!G$2:G1000)))), if(or(regexmatch(B571, ""(?i)^ir [a-z]+ designation$""), N571 &lt;&gt; """&amp;"""), 1, 2))), """"), ""NO_MATCH"")"),"")</f>
        <v/>
      </c>
      <c r="AS571" s="11"/>
      <c r="AT571" s="15"/>
      <c r="AU571" s="11"/>
      <c r="AV571" s="11"/>
      <c r="AW571" s="15"/>
      <c r="AX571" s="15"/>
      <c r="AY571" s="15"/>
      <c r="AZ571" s="11"/>
      <c r="BA571" s="15"/>
      <c r="BB571" s="11"/>
      <c r="BC571" s="11"/>
      <c r="BD571" s="15"/>
      <c r="BE571" s="11"/>
      <c r="BF571" s="11"/>
      <c r="BG571" s="15"/>
      <c r="BH571" s="15"/>
      <c r="BI571" s="15"/>
      <c r="BJ571" s="11"/>
      <c r="BK571" s="15"/>
      <c r="BL571" s="11"/>
      <c r="BM571" s="11"/>
      <c r="BN571" s="15"/>
      <c r="BO571" s="11"/>
      <c r="BP571" s="11"/>
      <c r="BQ571" s="15"/>
      <c r="BR571" s="15"/>
      <c r="BS571" s="15"/>
      <c r="BT571" s="11"/>
      <c r="BU571" s="15"/>
      <c r="BV571" s="11"/>
      <c r="BW571" s="11"/>
      <c r="BX571" s="15"/>
      <c r="BY571" s="11"/>
      <c r="BZ571" s="11"/>
      <c r="CA571" s="15"/>
      <c r="CB571" s="11"/>
      <c r="CC571" s="15"/>
      <c r="CD571" s="11"/>
      <c r="CE571" s="15"/>
      <c r="CF571" s="11"/>
      <c r="CG571" s="11"/>
      <c r="CH571" s="15"/>
      <c r="CI571" s="11"/>
      <c r="CJ571" s="11"/>
      <c r="CK571" s="15"/>
      <c r="CL571" s="11"/>
      <c r="CM571" s="11"/>
      <c r="CN571" s="11"/>
      <c r="CO571" s="11"/>
      <c r="CP571" s="28"/>
      <c r="CQ571" s="28"/>
      <c r="CR571" s="11"/>
      <c r="CS571" s="29"/>
      <c r="CT571" s="11"/>
      <c r="CU571" s="11"/>
      <c r="CV571" s="11"/>
      <c r="CW571" s="11"/>
      <c r="CX571" s="11"/>
      <c r="CY571" s="11"/>
      <c r="CZ571" s="11"/>
      <c r="DA571" s="28"/>
      <c r="DB571" s="28"/>
      <c r="DC571" s="11"/>
      <c r="DD571" s="29"/>
      <c r="DE571" s="11"/>
      <c r="DF571" s="11"/>
      <c r="DG571" s="11"/>
      <c r="DH571" s="11"/>
      <c r="DI571" s="11"/>
      <c r="DJ571" s="11"/>
      <c r="DK571" s="26"/>
      <c r="DL571" s="11"/>
      <c r="DM571" s="29"/>
      <c r="DN571" s="28"/>
      <c r="DO571" s="11"/>
      <c r="DP571" s="11"/>
      <c r="DQ571" s="11"/>
      <c r="DR571" s="29"/>
      <c r="DS571" s="28"/>
      <c r="DT571" s="11"/>
      <c r="DU571" s="26"/>
      <c r="DV571" s="11"/>
      <c r="DW571" s="29"/>
      <c r="DX571" s="28"/>
      <c r="DY571" s="11"/>
      <c r="DZ571" s="26"/>
      <c r="EA571" s="11"/>
      <c r="EB571" s="29"/>
      <c r="EC571" s="28"/>
      <c r="ED571" s="30"/>
      <c r="EE571" s="30" t="str">
        <f ca="1">IFERROR(__xludf.DUMMYFUNCTION("iferror(index(filter('Internal -- Trademark Countries'!E$2:E1000, (AM571 = 'Internal -- Trademark Countries'!B$2:B1000) + (AM571 = 'Internal -- Trademark Countries'!C$2:C1000) + (AM571 = 'Internal -- Trademark Countries'!D$2:D1000)), 1))"),"")</f>
        <v/>
      </c>
      <c r="EF571" s="30" t="e">
        <f ca="1">_xludf.ifs(AM571="", "", COUNTIF('Internal -- Trademark Countries'!B:B,AM571) &gt; 0, "polity_shortest_name", COUNTIF('Internal -- Trademark Countries'!C:C,AM571) &gt; 0, "polity_full_name", COUNTIF('Internal -- Trademark Countries'!D:D,AM571) &gt; 0, "polity_common_name", COUNTIF('Internal -- Trademark Countries'!E:E,AM571) &gt; 0, "shortest_name", COUNTIF('Internal -- Trademark Countries'!A:A,AM571) &gt; 0, "full_name", TRUE, "not a match")</f>
        <v>#NAME?</v>
      </c>
      <c r="EG571" s="30"/>
      <c r="EH571" s="30"/>
      <c r="EI571" s="30"/>
      <c r="EJ571" s="30"/>
      <c r="EK571" s="30" t="str">
        <f t="shared" si="4"/>
        <v/>
      </c>
    </row>
    <row r="572" spans="1:141" ht="16.5">
      <c r="A572" s="11"/>
      <c r="B572" s="11"/>
      <c r="C572" s="11"/>
      <c r="D572" s="11"/>
      <c r="E572" s="11"/>
      <c r="F572" s="11"/>
      <c r="G572" s="11"/>
      <c r="H572" s="11"/>
      <c r="I572" s="11"/>
      <c r="J572" s="11"/>
      <c r="K572" s="27"/>
      <c r="L572" s="11"/>
      <c r="M572" s="11"/>
      <c r="N572" s="11"/>
      <c r="O572" s="11"/>
      <c r="P572" s="15"/>
      <c r="Q572" s="15"/>
      <c r="R572" s="15"/>
      <c r="S572" s="15"/>
      <c r="T572" s="15"/>
      <c r="U572" s="15"/>
      <c r="V572" s="15"/>
      <c r="W572" s="47"/>
      <c r="X572" s="11"/>
      <c r="Y572" s="48"/>
      <c r="Z572" s="11"/>
      <c r="AA572" s="48"/>
      <c r="AB572" s="11"/>
      <c r="AC572" s="48"/>
      <c r="AD572" s="11"/>
      <c r="AE572" s="47"/>
      <c r="AF572" s="11"/>
      <c r="AG572" s="48"/>
      <c r="AH572" s="11"/>
      <c r="AI572" s="48"/>
      <c r="AJ572" s="11"/>
      <c r="AK572" s="48"/>
      <c r="AL572" s="11"/>
      <c r="AM572" s="49"/>
      <c r="AN572" s="49"/>
      <c r="AO572" s="11"/>
      <c r="AP572" s="11"/>
      <c r="AQ572" s="28" t="b">
        <f>IF(COUNTIF(SmartStatus!A$2:A1000, AM572) &gt; 2, TRUE, FALSE)</f>
        <v>0</v>
      </c>
      <c r="AR572" s="29" t="str">
        <f ca="1">IFERROR(__xludf.DUMMYFUNCTION("iferror(if(regexmatch(AO572, ""(?i)^registered""), if(EE572 &lt;&gt; ""polity_shortest_name"", ""CHECK_POLITY"", index(filter(SmartStatus!B$2:B1000, AM572 = SmartStatus!A$2:A1000, not(SmartStatus!C$2:C1000), (isblank(SmartStatus!D$2:D1000)) + ((P572 &lt;&gt; """") * "&amp;"(P572 &lt; SmartStatus!D$2:D1000)), (isblank(SmartStatus!E$2:E1000)) + ((P572 &lt;&gt; """") * (P572 &gt;= SmartStatus!E$2:E1000)), (isblank(SmartStatus!F$2:F1000)) + (((Q572 &lt;&gt; """") * (Q572 &lt; SmartStatus!F$2:F1000)) + ((P572 &lt;&gt; """") * (date(year(P572) + 3, month(P"&amp;"572), day(P572)) &lt; SmartStatus!F$2:F1000))), (isblank(SmartStatus!G$2:G1000)) + (((Q572 &lt;&gt; """") * (Q572 &gt;= SmartStatus!G$2:G1000)) + ((P572 &lt;&gt; """") * (P572 &gt;= SmartStatus!G$2:G1000)))), if(or(regexmatch(B572, ""(?i)^ir [a-z]+ designation$""), N572 &lt;&gt; """&amp;"""), 1, 2))), """"), ""NO_MATCH"")"),"")</f>
        <v/>
      </c>
      <c r="AS572" s="11"/>
      <c r="AT572" s="15"/>
      <c r="AU572" s="11"/>
      <c r="AV572" s="11"/>
      <c r="AW572" s="15"/>
      <c r="AX572" s="15"/>
      <c r="AY572" s="15"/>
      <c r="AZ572" s="11"/>
      <c r="BA572" s="15"/>
      <c r="BB572" s="11"/>
      <c r="BC572" s="11"/>
      <c r="BD572" s="15"/>
      <c r="BE572" s="11"/>
      <c r="BF572" s="11"/>
      <c r="BG572" s="15"/>
      <c r="BH572" s="15"/>
      <c r="BI572" s="15"/>
      <c r="BJ572" s="11"/>
      <c r="BK572" s="15"/>
      <c r="BL572" s="11"/>
      <c r="BM572" s="11"/>
      <c r="BN572" s="15"/>
      <c r="BO572" s="11"/>
      <c r="BP572" s="11"/>
      <c r="BQ572" s="15"/>
      <c r="BR572" s="15"/>
      <c r="BS572" s="15"/>
      <c r="BT572" s="11"/>
      <c r="BU572" s="15"/>
      <c r="BV572" s="11"/>
      <c r="BW572" s="11"/>
      <c r="BX572" s="15"/>
      <c r="BY572" s="11"/>
      <c r="BZ572" s="11"/>
      <c r="CA572" s="15"/>
      <c r="CB572" s="11"/>
      <c r="CC572" s="15"/>
      <c r="CD572" s="11"/>
      <c r="CE572" s="15"/>
      <c r="CF572" s="11"/>
      <c r="CG572" s="11"/>
      <c r="CH572" s="15"/>
      <c r="CI572" s="11"/>
      <c r="CJ572" s="11"/>
      <c r="CK572" s="15"/>
      <c r="CL572" s="11"/>
      <c r="CM572" s="11"/>
      <c r="CN572" s="11"/>
      <c r="CO572" s="11"/>
      <c r="CP572" s="28"/>
      <c r="CQ572" s="28"/>
      <c r="CR572" s="11"/>
      <c r="CS572" s="29"/>
      <c r="CT572" s="11"/>
      <c r="CU572" s="11"/>
      <c r="CV572" s="11"/>
      <c r="CW572" s="11"/>
      <c r="CX572" s="11"/>
      <c r="CY572" s="11"/>
      <c r="CZ572" s="11"/>
      <c r="DA572" s="28"/>
      <c r="DB572" s="28"/>
      <c r="DC572" s="11"/>
      <c r="DD572" s="29"/>
      <c r="DE572" s="11"/>
      <c r="DF572" s="11"/>
      <c r="DG572" s="11"/>
      <c r="DH572" s="11"/>
      <c r="DI572" s="11"/>
      <c r="DJ572" s="11"/>
      <c r="DK572" s="26"/>
      <c r="DL572" s="11"/>
      <c r="DM572" s="29"/>
      <c r="DN572" s="28"/>
      <c r="DO572" s="11"/>
      <c r="DP572" s="11"/>
      <c r="DQ572" s="11"/>
      <c r="DR572" s="29"/>
      <c r="DS572" s="28"/>
      <c r="DT572" s="11"/>
      <c r="DU572" s="26"/>
      <c r="DV572" s="11"/>
      <c r="DW572" s="29"/>
      <c r="DX572" s="28"/>
      <c r="DY572" s="11"/>
      <c r="DZ572" s="26"/>
      <c r="EA572" s="11"/>
      <c r="EB572" s="29"/>
      <c r="EC572" s="28"/>
      <c r="ED572" s="30"/>
      <c r="EE572" s="30" t="str">
        <f ca="1">IFERROR(__xludf.DUMMYFUNCTION("iferror(index(filter('Internal -- Trademark Countries'!E$2:E1000, (AM572 = 'Internal -- Trademark Countries'!B$2:B1000) + (AM572 = 'Internal -- Trademark Countries'!C$2:C1000) + (AM572 = 'Internal -- Trademark Countries'!D$2:D1000)), 1))"),"")</f>
        <v/>
      </c>
      <c r="EF572" s="30" t="e">
        <f ca="1">_xludf.ifs(AM572="", "", COUNTIF('Internal -- Trademark Countries'!B:B,AM572) &gt; 0, "polity_shortest_name", COUNTIF('Internal -- Trademark Countries'!C:C,AM572) &gt; 0, "polity_full_name", COUNTIF('Internal -- Trademark Countries'!D:D,AM572) &gt; 0, "polity_common_name", COUNTIF('Internal -- Trademark Countries'!E:E,AM572) &gt; 0, "shortest_name", COUNTIF('Internal -- Trademark Countries'!A:A,AM572) &gt; 0, "full_name", TRUE, "not a match")</f>
        <v>#NAME?</v>
      </c>
      <c r="EG572" s="30"/>
      <c r="EH572" s="30"/>
      <c r="EI572" s="30"/>
      <c r="EJ572" s="30"/>
      <c r="EK572" s="30" t="str">
        <f t="shared" si="4"/>
        <v/>
      </c>
    </row>
    <row r="573" spans="1:141" ht="16.5">
      <c r="A573" s="11"/>
      <c r="B573" s="11"/>
      <c r="C573" s="11"/>
      <c r="D573" s="11"/>
      <c r="E573" s="11"/>
      <c r="F573" s="11"/>
      <c r="G573" s="11"/>
      <c r="H573" s="11"/>
      <c r="I573" s="11"/>
      <c r="J573" s="11"/>
      <c r="K573" s="27"/>
      <c r="L573" s="11"/>
      <c r="M573" s="11"/>
      <c r="N573" s="11"/>
      <c r="O573" s="11"/>
      <c r="P573" s="15"/>
      <c r="Q573" s="15"/>
      <c r="R573" s="15"/>
      <c r="S573" s="15"/>
      <c r="T573" s="15"/>
      <c r="U573" s="15"/>
      <c r="V573" s="15"/>
      <c r="W573" s="47"/>
      <c r="X573" s="11"/>
      <c r="Y573" s="48"/>
      <c r="Z573" s="11"/>
      <c r="AA573" s="48"/>
      <c r="AB573" s="11"/>
      <c r="AC573" s="48"/>
      <c r="AD573" s="11"/>
      <c r="AE573" s="47"/>
      <c r="AF573" s="11"/>
      <c r="AG573" s="48"/>
      <c r="AH573" s="11"/>
      <c r="AI573" s="48"/>
      <c r="AJ573" s="11"/>
      <c r="AK573" s="48"/>
      <c r="AL573" s="11"/>
      <c r="AM573" s="49"/>
      <c r="AN573" s="49"/>
      <c r="AO573" s="11"/>
      <c r="AP573" s="11"/>
      <c r="AQ573" s="28" t="b">
        <f>IF(COUNTIF(SmartStatus!A$2:A1000, AM573) &gt; 2, TRUE, FALSE)</f>
        <v>0</v>
      </c>
      <c r="AR573" s="29" t="str">
        <f ca="1">IFERROR(__xludf.DUMMYFUNCTION("iferror(if(regexmatch(AO573, ""(?i)^registered""), if(EE573 &lt;&gt; ""polity_shortest_name"", ""CHECK_POLITY"", index(filter(SmartStatus!B$2:B1000, AM573 = SmartStatus!A$2:A1000, not(SmartStatus!C$2:C1000), (isblank(SmartStatus!D$2:D1000)) + ((P573 &lt;&gt; """") * "&amp;"(P573 &lt; SmartStatus!D$2:D1000)), (isblank(SmartStatus!E$2:E1000)) + ((P573 &lt;&gt; """") * (P573 &gt;= SmartStatus!E$2:E1000)), (isblank(SmartStatus!F$2:F1000)) + (((Q573 &lt;&gt; """") * (Q573 &lt; SmartStatus!F$2:F1000)) + ((P573 &lt;&gt; """") * (date(year(P573) + 3, month(P"&amp;"573), day(P573)) &lt; SmartStatus!F$2:F1000))), (isblank(SmartStatus!G$2:G1000)) + (((Q573 &lt;&gt; """") * (Q573 &gt;= SmartStatus!G$2:G1000)) + ((P573 &lt;&gt; """") * (P573 &gt;= SmartStatus!G$2:G1000)))), if(or(regexmatch(B573, ""(?i)^ir [a-z]+ designation$""), N573 &lt;&gt; """&amp;"""), 1, 2))), """"), ""NO_MATCH"")"),"")</f>
        <v/>
      </c>
      <c r="AS573" s="11"/>
      <c r="AT573" s="15"/>
      <c r="AU573" s="11"/>
      <c r="AV573" s="11"/>
      <c r="AW573" s="15"/>
      <c r="AX573" s="15"/>
      <c r="AY573" s="15"/>
      <c r="AZ573" s="11"/>
      <c r="BA573" s="15"/>
      <c r="BB573" s="11"/>
      <c r="BC573" s="11"/>
      <c r="BD573" s="15"/>
      <c r="BE573" s="11"/>
      <c r="BF573" s="11"/>
      <c r="BG573" s="15"/>
      <c r="BH573" s="15"/>
      <c r="BI573" s="15"/>
      <c r="BJ573" s="11"/>
      <c r="BK573" s="15"/>
      <c r="BL573" s="11"/>
      <c r="BM573" s="11"/>
      <c r="BN573" s="15"/>
      <c r="BO573" s="11"/>
      <c r="BP573" s="11"/>
      <c r="BQ573" s="15"/>
      <c r="BR573" s="15"/>
      <c r="BS573" s="15"/>
      <c r="BT573" s="11"/>
      <c r="BU573" s="15"/>
      <c r="BV573" s="11"/>
      <c r="BW573" s="11"/>
      <c r="BX573" s="15"/>
      <c r="BY573" s="11"/>
      <c r="BZ573" s="11"/>
      <c r="CA573" s="15"/>
      <c r="CB573" s="11"/>
      <c r="CC573" s="15"/>
      <c r="CD573" s="11"/>
      <c r="CE573" s="15"/>
      <c r="CF573" s="11"/>
      <c r="CG573" s="11"/>
      <c r="CH573" s="15"/>
      <c r="CI573" s="11"/>
      <c r="CJ573" s="11"/>
      <c r="CK573" s="15"/>
      <c r="CL573" s="11"/>
      <c r="CM573" s="11"/>
      <c r="CN573" s="11"/>
      <c r="CO573" s="11"/>
      <c r="CP573" s="28"/>
      <c r="CQ573" s="28"/>
      <c r="CR573" s="11"/>
      <c r="CS573" s="29"/>
      <c r="CT573" s="11"/>
      <c r="CU573" s="11"/>
      <c r="CV573" s="11"/>
      <c r="CW573" s="11"/>
      <c r="CX573" s="11"/>
      <c r="CY573" s="11"/>
      <c r="CZ573" s="11"/>
      <c r="DA573" s="28"/>
      <c r="DB573" s="28"/>
      <c r="DC573" s="11"/>
      <c r="DD573" s="29"/>
      <c r="DE573" s="11"/>
      <c r="DF573" s="11"/>
      <c r="DG573" s="11"/>
      <c r="DH573" s="11"/>
      <c r="DI573" s="11"/>
      <c r="DJ573" s="11"/>
      <c r="DK573" s="26"/>
      <c r="DL573" s="11"/>
      <c r="DM573" s="29"/>
      <c r="DN573" s="28"/>
      <c r="DO573" s="11"/>
      <c r="DP573" s="11"/>
      <c r="DQ573" s="11"/>
      <c r="DR573" s="29"/>
      <c r="DS573" s="28"/>
      <c r="DT573" s="11"/>
      <c r="DU573" s="26"/>
      <c r="DV573" s="11"/>
      <c r="DW573" s="29"/>
      <c r="DX573" s="28"/>
      <c r="DY573" s="11"/>
      <c r="DZ573" s="26"/>
      <c r="EA573" s="11"/>
      <c r="EB573" s="29"/>
      <c r="EC573" s="28"/>
      <c r="ED573" s="30"/>
      <c r="EE573" s="30" t="str">
        <f ca="1">IFERROR(__xludf.DUMMYFUNCTION("iferror(index(filter('Internal -- Trademark Countries'!E$2:E1000, (AM573 = 'Internal -- Trademark Countries'!B$2:B1000) + (AM573 = 'Internal -- Trademark Countries'!C$2:C1000) + (AM573 = 'Internal -- Trademark Countries'!D$2:D1000)), 1))"),"")</f>
        <v/>
      </c>
      <c r="EF573" s="30" t="e">
        <f ca="1">_xludf.ifs(AM573="", "", COUNTIF('Internal -- Trademark Countries'!B:B,AM573) &gt; 0, "polity_shortest_name", COUNTIF('Internal -- Trademark Countries'!C:C,AM573) &gt; 0, "polity_full_name", COUNTIF('Internal -- Trademark Countries'!D:D,AM573) &gt; 0, "polity_common_name", COUNTIF('Internal -- Trademark Countries'!E:E,AM573) &gt; 0, "shortest_name", COUNTIF('Internal -- Trademark Countries'!A:A,AM573) &gt; 0, "full_name", TRUE, "not a match")</f>
        <v>#NAME?</v>
      </c>
      <c r="EG573" s="30"/>
      <c r="EH573" s="30"/>
      <c r="EI573" s="30"/>
      <c r="EJ573" s="30"/>
      <c r="EK573" s="30" t="str">
        <f t="shared" si="4"/>
        <v/>
      </c>
    </row>
    <row r="574" spans="1:141" ht="16.5">
      <c r="A574" s="11"/>
      <c r="B574" s="11"/>
      <c r="C574" s="11"/>
      <c r="D574" s="11"/>
      <c r="E574" s="11"/>
      <c r="F574" s="11"/>
      <c r="G574" s="11"/>
      <c r="H574" s="11"/>
      <c r="I574" s="11"/>
      <c r="J574" s="11"/>
      <c r="K574" s="27"/>
      <c r="L574" s="11"/>
      <c r="M574" s="11"/>
      <c r="N574" s="11"/>
      <c r="O574" s="11"/>
      <c r="P574" s="15"/>
      <c r="Q574" s="15"/>
      <c r="R574" s="15"/>
      <c r="S574" s="15"/>
      <c r="T574" s="15"/>
      <c r="U574" s="15"/>
      <c r="V574" s="15"/>
      <c r="W574" s="47"/>
      <c r="X574" s="11"/>
      <c r="Y574" s="48"/>
      <c r="Z574" s="11"/>
      <c r="AA574" s="48"/>
      <c r="AB574" s="11"/>
      <c r="AC574" s="48"/>
      <c r="AD574" s="11"/>
      <c r="AE574" s="47"/>
      <c r="AF574" s="11"/>
      <c r="AG574" s="48"/>
      <c r="AH574" s="11"/>
      <c r="AI574" s="48"/>
      <c r="AJ574" s="11"/>
      <c r="AK574" s="48"/>
      <c r="AL574" s="11"/>
      <c r="AM574" s="49"/>
      <c r="AN574" s="49"/>
      <c r="AO574" s="11"/>
      <c r="AP574" s="11"/>
      <c r="AQ574" s="28" t="b">
        <f>IF(COUNTIF(SmartStatus!A$2:A1000, AM574) &gt; 2, TRUE, FALSE)</f>
        <v>0</v>
      </c>
      <c r="AR574" s="29" t="str">
        <f ca="1">IFERROR(__xludf.DUMMYFUNCTION("iferror(if(regexmatch(AO574, ""(?i)^registered""), if(EE574 &lt;&gt; ""polity_shortest_name"", ""CHECK_POLITY"", index(filter(SmartStatus!B$2:B1000, AM574 = SmartStatus!A$2:A1000, not(SmartStatus!C$2:C1000), (isblank(SmartStatus!D$2:D1000)) + ((P574 &lt;&gt; """") * "&amp;"(P574 &lt; SmartStatus!D$2:D1000)), (isblank(SmartStatus!E$2:E1000)) + ((P574 &lt;&gt; """") * (P574 &gt;= SmartStatus!E$2:E1000)), (isblank(SmartStatus!F$2:F1000)) + (((Q574 &lt;&gt; """") * (Q574 &lt; SmartStatus!F$2:F1000)) + ((P574 &lt;&gt; """") * (date(year(P574) + 3, month(P"&amp;"574), day(P574)) &lt; SmartStatus!F$2:F1000))), (isblank(SmartStatus!G$2:G1000)) + (((Q574 &lt;&gt; """") * (Q574 &gt;= SmartStatus!G$2:G1000)) + ((P574 &lt;&gt; """") * (P574 &gt;= SmartStatus!G$2:G1000)))), if(or(regexmatch(B574, ""(?i)^ir [a-z]+ designation$""), N574 &lt;&gt; """&amp;"""), 1, 2))), """"), ""NO_MATCH"")"),"")</f>
        <v/>
      </c>
      <c r="AS574" s="11"/>
      <c r="AT574" s="15"/>
      <c r="AU574" s="11"/>
      <c r="AV574" s="11"/>
      <c r="AW574" s="15"/>
      <c r="AX574" s="15"/>
      <c r="AY574" s="15"/>
      <c r="AZ574" s="11"/>
      <c r="BA574" s="15"/>
      <c r="BB574" s="11"/>
      <c r="BC574" s="11"/>
      <c r="BD574" s="15"/>
      <c r="BE574" s="11"/>
      <c r="BF574" s="11"/>
      <c r="BG574" s="15"/>
      <c r="BH574" s="15"/>
      <c r="BI574" s="15"/>
      <c r="BJ574" s="11"/>
      <c r="BK574" s="15"/>
      <c r="BL574" s="11"/>
      <c r="BM574" s="11"/>
      <c r="BN574" s="15"/>
      <c r="BO574" s="11"/>
      <c r="BP574" s="11"/>
      <c r="BQ574" s="15"/>
      <c r="BR574" s="15"/>
      <c r="BS574" s="15"/>
      <c r="BT574" s="11"/>
      <c r="BU574" s="15"/>
      <c r="BV574" s="11"/>
      <c r="BW574" s="11"/>
      <c r="BX574" s="15"/>
      <c r="BY574" s="11"/>
      <c r="BZ574" s="11"/>
      <c r="CA574" s="15"/>
      <c r="CB574" s="11"/>
      <c r="CC574" s="15"/>
      <c r="CD574" s="11"/>
      <c r="CE574" s="15"/>
      <c r="CF574" s="11"/>
      <c r="CG574" s="11"/>
      <c r="CH574" s="15"/>
      <c r="CI574" s="11"/>
      <c r="CJ574" s="11"/>
      <c r="CK574" s="15"/>
      <c r="CL574" s="11"/>
      <c r="CM574" s="11"/>
      <c r="CN574" s="11"/>
      <c r="CO574" s="11"/>
      <c r="CP574" s="28"/>
      <c r="CQ574" s="28"/>
      <c r="CR574" s="11"/>
      <c r="CS574" s="29"/>
      <c r="CT574" s="11"/>
      <c r="CU574" s="11"/>
      <c r="CV574" s="11"/>
      <c r="CW574" s="11"/>
      <c r="CX574" s="11"/>
      <c r="CY574" s="11"/>
      <c r="CZ574" s="11"/>
      <c r="DA574" s="28"/>
      <c r="DB574" s="28"/>
      <c r="DC574" s="11"/>
      <c r="DD574" s="29"/>
      <c r="DE574" s="11"/>
      <c r="DF574" s="11"/>
      <c r="DG574" s="11"/>
      <c r="DH574" s="11"/>
      <c r="DI574" s="11"/>
      <c r="DJ574" s="11"/>
      <c r="DK574" s="26"/>
      <c r="DL574" s="11"/>
      <c r="DM574" s="29"/>
      <c r="DN574" s="28"/>
      <c r="DO574" s="11"/>
      <c r="DP574" s="11"/>
      <c r="DQ574" s="11"/>
      <c r="DR574" s="29"/>
      <c r="DS574" s="28"/>
      <c r="DT574" s="11"/>
      <c r="DU574" s="26"/>
      <c r="DV574" s="11"/>
      <c r="DW574" s="29"/>
      <c r="DX574" s="28"/>
      <c r="DY574" s="11"/>
      <c r="DZ574" s="26"/>
      <c r="EA574" s="11"/>
      <c r="EB574" s="29"/>
      <c r="EC574" s="28"/>
      <c r="ED574" s="30"/>
      <c r="EE574" s="30" t="str">
        <f ca="1">IFERROR(__xludf.DUMMYFUNCTION("iferror(index(filter('Internal -- Trademark Countries'!E$2:E1000, (AM574 = 'Internal -- Trademark Countries'!B$2:B1000) + (AM574 = 'Internal -- Trademark Countries'!C$2:C1000) + (AM574 = 'Internal -- Trademark Countries'!D$2:D1000)), 1))"),"")</f>
        <v/>
      </c>
      <c r="EF574" s="30" t="e">
        <f ca="1">_xludf.ifs(AM574="", "", COUNTIF('Internal -- Trademark Countries'!B:B,AM574) &gt; 0, "polity_shortest_name", COUNTIF('Internal -- Trademark Countries'!C:C,AM574) &gt; 0, "polity_full_name", COUNTIF('Internal -- Trademark Countries'!D:D,AM574) &gt; 0, "polity_common_name", COUNTIF('Internal -- Trademark Countries'!E:E,AM574) &gt; 0, "shortest_name", COUNTIF('Internal -- Trademark Countries'!A:A,AM574) &gt; 0, "full_name", TRUE, "not a match")</f>
        <v>#NAME?</v>
      </c>
      <c r="EG574" s="30"/>
      <c r="EH574" s="30"/>
      <c r="EI574" s="30"/>
      <c r="EJ574" s="30"/>
      <c r="EK574" s="30" t="str">
        <f t="shared" si="4"/>
        <v/>
      </c>
    </row>
    <row r="575" spans="1:141" ht="16.5">
      <c r="A575" s="11"/>
      <c r="B575" s="11"/>
      <c r="C575" s="11"/>
      <c r="D575" s="11"/>
      <c r="E575" s="11"/>
      <c r="F575" s="11"/>
      <c r="G575" s="11"/>
      <c r="H575" s="11"/>
      <c r="I575" s="11"/>
      <c r="J575" s="11"/>
      <c r="K575" s="27"/>
      <c r="L575" s="11"/>
      <c r="M575" s="11"/>
      <c r="N575" s="11"/>
      <c r="O575" s="11"/>
      <c r="P575" s="15"/>
      <c r="Q575" s="15"/>
      <c r="R575" s="15"/>
      <c r="S575" s="15"/>
      <c r="T575" s="15"/>
      <c r="U575" s="15"/>
      <c r="V575" s="15"/>
      <c r="W575" s="47"/>
      <c r="X575" s="11"/>
      <c r="Y575" s="48"/>
      <c r="Z575" s="11"/>
      <c r="AA575" s="48"/>
      <c r="AB575" s="11"/>
      <c r="AC575" s="48"/>
      <c r="AD575" s="11"/>
      <c r="AE575" s="47"/>
      <c r="AF575" s="11"/>
      <c r="AG575" s="48"/>
      <c r="AH575" s="11"/>
      <c r="AI575" s="48"/>
      <c r="AJ575" s="11"/>
      <c r="AK575" s="48"/>
      <c r="AL575" s="11"/>
      <c r="AM575" s="49"/>
      <c r="AN575" s="49"/>
      <c r="AO575" s="11"/>
      <c r="AP575" s="11"/>
      <c r="AQ575" s="28" t="b">
        <f>IF(COUNTIF(SmartStatus!A$2:A1000, AM575) &gt; 2, TRUE, FALSE)</f>
        <v>0</v>
      </c>
      <c r="AR575" s="29" t="str">
        <f ca="1">IFERROR(__xludf.DUMMYFUNCTION("iferror(if(regexmatch(AO575, ""(?i)^registered""), if(EE575 &lt;&gt; ""polity_shortest_name"", ""CHECK_POLITY"", index(filter(SmartStatus!B$2:B1000, AM575 = SmartStatus!A$2:A1000, not(SmartStatus!C$2:C1000), (isblank(SmartStatus!D$2:D1000)) + ((P575 &lt;&gt; """") * "&amp;"(P575 &lt; SmartStatus!D$2:D1000)), (isblank(SmartStatus!E$2:E1000)) + ((P575 &lt;&gt; """") * (P575 &gt;= SmartStatus!E$2:E1000)), (isblank(SmartStatus!F$2:F1000)) + (((Q575 &lt;&gt; """") * (Q575 &lt; SmartStatus!F$2:F1000)) + ((P575 &lt;&gt; """") * (date(year(P575) + 3, month(P"&amp;"575), day(P575)) &lt; SmartStatus!F$2:F1000))), (isblank(SmartStatus!G$2:G1000)) + (((Q575 &lt;&gt; """") * (Q575 &gt;= SmartStatus!G$2:G1000)) + ((P575 &lt;&gt; """") * (P575 &gt;= SmartStatus!G$2:G1000)))), if(or(regexmatch(B575, ""(?i)^ir [a-z]+ designation$""), N575 &lt;&gt; """&amp;"""), 1, 2))), """"), ""NO_MATCH"")"),"")</f>
        <v/>
      </c>
      <c r="AS575" s="11"/>
      <c r="AT575" s="15"/>
      <c r="AU575" s="11"/>
      <c r="AV575" s="11"/>
      <c r="AW575" s="15"/>
      <c r="AX575" s="15"/>
      <c r="AY575" s="15"/>
      <c r="AZ575" s="11"/>
      <c r="BA575" s="15"/>
      <c r="BB575" s="11"/>
      <c r="BC575" s="11"/>
      <c r="BD575" s="15"/>
      <c r="BE575" s="11"/>
      <c r="BF575" s="11"/>
      <c r="BG575" s="15"/>
      <c r="BH575" s="15"/>
      <c r="BI575" s="15"/>
      <c r="BJ575" s="11"/>
      <c r="BK575" s="15"/>
      <c r="BL575" s="11"/>
      <c r="BM575" s="11"/>
      <c r="BN575" s="15"/>
      <c r="BO575" s="11"/>
      <c r="BP575" s="11"/>
      <c r="BQ575" s="15"/>
      <c r="BR575" s="15"/>
      <c r="BS575" s="15"/>
      <c r="BT575" s="11"/>
      <c r="BU575" s="15"/>
      <c r="BV575" s="11"/>
      <c r="BW575" s="11"/>
      <c r="BX575" s="15"/>
      <c r="BY575" s="11"/>
      <c r="BZ575" s="11"/>
      <c r="CA575" s="15"/>
      <c r="CB575" s="11"/>
      <c r="CC575" s="15"/>
      <c r="CD575" s="11"/>
      <c r="CE575" s="15"/>
      <c r="CF575" s="11"/>
      <c r="CG575" s="11"/>
      <c r="CH575" s="15"/>
      <c r="CI575" s="11"/>
      <c r="CJ575" s="11"/>
      <c r="CK575" s="15"/>
      <c r="CL575" s="11"/>
      <c r="CM575" s="11"/>
      <c r="CN575" s="11"/>
      <c r="CO575" s="11"/>
      <c r="CP575" s="28"/>
      <c r="CQ575" s="28"/>
      <c r="CR575" s="11"/>
      <c r="CS575" s="29"/>
      <c r="CT575" s="11"/>
      <c r="CU575" s="11"/>
      <c r="CV575" s="11"/>
      <c r="CW575" s="11"/>
      <c r="CX575" s="11"/>
      <c r="CY575" s="11"/>
      <c r="CZ575" s="11"/>
      <c r="DA575" s="28"/>
      <c r="DB575" s="28"/>
      <c r="DC575" s="11"/>
      <c r="DD575" s="29"/>
      <c r="DE575" s="11"/>
      <c r="DF575" s="11"/>
      <c r="DG575" s="11"/>
      <c r="DH575" s="11"/>
      <c r="DI575" s="11"/>
      <c r="DJ575" s="11"/>
      <c r="DK575" s="26"/>
      <c r="DL575" s="11"/>
      <c r="DM575" s="29"/>
      <c r="DN575" s="28"/>
      <c r="DO575" s="11"/>
      <c r="DP575" s="11"/>
      <c r="DQ575" s="11"/>
      <c r="DR575" s="29"/>
      <c r="DS575" s="28"/>
      <c r="DT575" s="11"/>
      <c r="DU575" s="26"/>
      <c r="DV575" s="11"/>
      <c r="DW575" s="29"/>
      <c r="DX575" s="28"/>
      <c r="DY575" s="11"/>
      <c r="DZ575" s="26"/>
      <c r="EA575" s="11"/>
      <c r="EB575" s="29"/>
      <c r="EC575" s="28"/>
      <c r="ED575" s="30"/>
      <c r="EE575" s="30" t="str">
        <f ca="1">IFERROR(__xludf.DUMMYFUNCTION("iferror(index(filter('Internal -- Trademark Countries'!E$2:E1000, (AM575 = 'Internal -- Trademark Countries'!B$2:B1000) + (AM575 = 'Internal -- Trademark Countries'!C$2:C1000) + (AM575 = 'Internal -- Trademark Countries'!D$2:D1000)), 1))"),"")</f>
        <v/>
      </c>
      <c r="EF575" s="30" t="e">
        <f ca="1">_xludf.ifs(AM575="", "", COUNTIF('Internal -- Trademark Countries'!B:B,AM575) &gt; 0, "polity_shortest_name", COUNTIF('Internal -- Trademark Countries'!C:C,AM575) &gt; 0, "polity_full_name", COUNTIF('Internal -- Trademark Countries'!D:D,AM575) &gt; 0, "polity_common_name", COUNTIF('Internal -- Trademark Countries'!E:E,AM575) &gt; 0, "shortest_name", COUNTIF('Internal -- Trademark Countries'!A:A,AM575) &gt; 0, "full_name", TRUE, "not a match")</f>
        <v>#NAME?</v>
      </c>
      <c r="EG575" s="30"/>
      <c r="EH575" s="30"/>
      <c r="EI575" s="30"/>
      <c r="EJ575" s="30"/>
      <c r="EK575" s="30" t="str">
        <f t="shared" si="4"/>
        <v/>
      </c>
    </row>
    <row r="576" spans="1:141" ht="16.5">
      <c r="A576" s="11"/>
      <c r="B576" s="11"/>
      <c r="C576" s="11"/>
      <c r="D576" s="11"/>
      <c r="E576" s="11"/>
      <c r="F576" s="11"/>
      <c r="G576" s="11"/>
      <c r="H576" s="11"/>
      <c r="I576" s="11"/>
      <c r="J576" s="11"/>
      <c r="K576" s="27"/>
      <c r="L576" s="11"/>
      <c r="M576" s="11"/>
      <c r="N576" s="11"/>
      <c r="O576" s="11"/>
      <c r="P576" s="15"/>
      <c r="Q576" s="15"/>
      <c r="R576" s="15"/>
      <c r="S576" s="15"/>
      <c r="T576" s="15"/>
      <c r="U576" s="15"/>
      <c r="V576" s="15"/>
      <c r="W576" s="47"/>
      <c r="X576" s="11"/>
      <c r="Y576" s="48"/>
      <c r="Z576" s="11"/>
      <c r="AA576" s="48"/>
      <c r="AB576" s="11"/>
      <c r="AC576" s="48"/>
      <c r="AD576" s="11"/>
      <c r="AE576" s="47"/>
      <c r="AF576" s="11"/>
      <c r="AG576" s="48"/>
      <c r="AH576" s="11"/>
      <c r="AI576" s="48"/>
      <c r="AJ576" s="11"/>
      <c r="AK576" s="48"/>
      <c r="AL576" s="11"/>
      <c r="AM576" s="49"/>
      <c r="AN576" s="49"/>
      <c r="AO576" s="11"/>
      <c r="AP576" s="11"/>
      <c r="AQ576" s="28" t="b">
        <f>IF(COUNTIF(SmartStatus!A$2:A1000, AM576) &gt; 2, TRUE, FALSE)</f>
        <v>0</v>
      </c>
      <c r="AR576" s="29" t="str">
        <f ca="1">IFERROR(__xludf.DUMMYFUNCTION("iferror(if(regexmatch(AO576, ""(?i)^registered""), if(EE576 &lt;&gt; ""polity_shortest_name"", ""CHECK_POLITY"", index(filter(SmartStatus!B$2:B1000, AM576 = SmartStatus!A$2:A1000, not(SmartStatus!C$2:C1000), (isblank(SmartStatus!D$2:D1000)) + ((P576 &lt;&gt; """") * "&amp;"(P576 &lt; SmartStatus!D$2:D1000)), (isblank(SmartStatus!E$2:E1000)) + ((P576 &lt;&gt; """") * (P576 &gt;= SmartStatus!E$2:E1000)), (isblank(SmartStatus!F$2:F1000)) + (((Q576 &lt;&gt; """") * (Q576 &lt; SmartStatus!F$2:F1000)) + ((P576 &lt;&gt; """") * (date(year(P576) + 3, month(P"&amp;"576), day(P576)) &lt; SmartStatus!F$2:F1000))), (isblank(SmartStatus!G$2:G1000)) + (((Q576 &lt;&gt; """") * (Q576 &gt;= SmartStatus!G$2:G1000)) + ((P576 &lt;&gt; """") * (P576 &gt;= SmartStatus!G$2:G1000)))), if(or(regexmatch(B576, ""(?i)^ir [a-z]+ designation$""), N576 &lt;&gt; """&amp;"""), 1, 2))), """"), ""NO_MATCH"")"),"")</f>
        <v/>
      </c>
      <c r="AS576" s="11"/>
      <c r="AT576" s="15"/>
      <c r="AU576" s="11"/>
      <c r="AV576" s="11"/>
      <c r="AW576" s="15"/>
      <c r="AX576" s="15"/>
      <c r="AY576" s="15"/>
      <c r="AZ576" s="11"/>
      <c r="BA576" s="15"/>
      <c r="BB576" s="11"/>
      <c r="BC576" s="11"/>
      <c r="BD576" s="15"/>
      <c r="BE576" s="11"/>
      <c r="BF576" s="11"/>
      <c r="BG576" s="15"/>
      <c r="BH576" s="15"/>
      <c r="BI576" s="15"/>
      <c r="BJ576" s="11"/>
      <c r="BK576" s="15"/>
      <c r="BL576" s="11"/>
      <c r="BM576" s="11"/>
      <c r="BN576" s="15"/>
      <c r="BO576" s="11"/>
      <c r="BP576" s="11"/>
      <c r="BQ576" s="15"/>
      <c r="BR576" s="15"/>
      <c r="BS576" s="15"/>
      <c r="BT576" s="11"/>
      <c r="BU576" s="15"/>
      <c r="BV576" s="11"/>
      <c r="BW576" s="11"/>
      <c r="BX576" s="15"/>
      <c r="BY576" s="11"/>
      <c r="BZ576" s="11"/>
      <c r="CA576" s="15"/>
      <c r="CB576" s="11"/>
      <c r="CC576" s="15"/>
      <c r="CD576" s="11"/>
      <c r="CE576" s="15"/>
      <c r="CF576" s="11"/>
      <c r="CG576" s="11"/>
      <c r="CH576" s="15"/>
      <c r="CI576" s="11"/>
      <c r="CJ576" s="11"/>
      <c r="CK576" s="15"/>
      <c r="CL576" s="11"/>
      <c r="CM576" s="11"/>
      <c r="CN576" s="11"/>
      <c r="CO576" s="11"/>
      <c r="CP576" s="28"/>
      <c r="CQ576" s="28"/>
      <c r="CR576" s="11"/>
      <c r="CS576" s="29"/>
      <c r="CT576" s="11"/>
      <c r="CU576" s="11"/>
      <c r="CV576" s="11"/>
      <c r="CW576" s="11"/>
      <c r="CX576" s="11"/>
      <c r="CY576" s="11"/>
      <c r="CZ576" s="11"/>
      <c r="DA576" s="28"/>
      <c r="DB576" s="28"/>
      <c r="DC576" s="11"/>
      <c r="DD576" s="29"/>
      <c r="DE576" s="11"/>
      <c r="DF576" s="11"/>
      <c r="DG576" s="11"/>
      <c r="DH576" s="11"/>
      <c r="DI576" s="11"/>
      <c r="DJ576" s="11"/>
      <c r="DK576" s="26"/>
      <c r="DL576" s="11"/>
      <c r="DM576" s="29"/>
      <c r="DN576" s="28"/>
      <c r="DO576" s="11"/>
      <c r="DP576" s="11"/>
      <c r="DQ576" s="11"/>
      <c r="DR576" s="29"/>
      <c r="DS576" s="28"/>
      <c r="DT576" s="11"/>
      <c r="DU576" s="26"/>
      <c r="DV576" s="11"/>
      <c r="DW576" s="29"/>
      <c r="DX576" s="28"/>
      <c r="DY576" s="11"/>
      <c r="DZ576" s="26"/>
      <c r="EA576" s="11"/>
      <c r="EB576" s="29"/>
      <c r="EC576" s="28"/>
      <c r="ED576" s="30"/>
      <c r="EE576" s="30" t="str">
        <f ca="1">IFERROR(__xludf.DUMMYFUNCTION("iferror(index(filter('Internal -- Trademark Countries'!E$2:E1000, (AM576 = 'Internal -- Trademark Countries'!B$2:B1000) + (AM576 = 'Internal -- Trademark Countries'!C$2:C1000) + (AM576 = 'Internal -- Trademark Countries'!D$2:D1000)), 1))"),"")</f>
        <v/>
      </c>
      <c r="EF576" s="30" t="e">
        <f ca="1">_xludf.ifs(AM576="", "", COUNTIF('Internal -- Trademark Countries'!B:B,AM576) &gt; 0, "polity_shortest_name", COUNTIF('Internal -- Trademark Countries'!C:C,AM576) &gt; 0, "polity_full_name", COUNTIF('Internal -- Trademark Countries'!D:D,AM576) &gt; 0, "polity_common_name", COUNTIF('Internal -- Trademark Countries'!E:E,AM576) &gt; 0, "shortest_name", COUNTIF('Internal -- Trademark Countries'!A:A,AM576) &gt; 0, "full_name", TRUE, "not a match")</f>
        <v>#NAME?</v>
      </c>
      <c r="EG576" s="30"/>
      <c r="EH576" s="30"/>
      <c r="EI576" s="30"/>
      <c r="EJ576" s="30"/>
      <c r="EK576" s="30" t="str">
        <f t="shared" si="4"/>
        <v/>
      </c>
    </row>
    <row r="577" spans="1:141" ht="16.5">
      <c r="A577" s="11"/>
      <c r="B577" s="11"/>
      <c r="C577" s="11"/>
      <c r="D577" s="11"/>
      <c r="E577" s="11"/>
      <c r="F577" s="11"/>
      <c r="G577" s="11"/>
      <c r="H577" s="11"/>
      <c r="I577" s="11"/>
      <c r="J577" s="11"/>
      <c r="K577" s="27"/>
      <c r="L577" s="11"/>
      <c r="M577" s="11"/>
      <c r="N577" s="11"/>
      <c r="O577" s="11"/>
      <c r="P577" s="15"/>
      <c r="Q577" s="15"/>
      <c r="R577" s="15"/>
      <c r="S577" s="15"/>
      <c r="T577" s="15"/>
      <c r="U577" s="15"/>
      <c r="V577" s="15"/>
      <c r="W577" s="47"/>
      <c r="X577" s="11"/>
      <c r="Y577" s="48"/>
      <c r="Z577" s="11"/>
      <c r="AA577" s="48"/>
      <c r="AB577" s="11"/>
      <c r="AC577" s="48"/>
      <c r="AD577" s="11"/>
      <c r="AE577" s="47"/>
      <c r="AF577" s="11"/>
      <c r="AG577" s="48"/>
      <c r="AH577" s="11"/>
      <c r="AI577" s="48"/>
      <c r="AJ577" s="11"/>
      <c r="AK577" s="48"/>
      <c r="AL577" s="11"/>
      <c r="AM577" s="49"/>
      <c r="AN577" s="49"/>
      <c r="AO577" s="11"/>
      <c r="AP577" s="11"/>
      <c r="AQ577" s="28" t="b">
        <f>IF(COUNTIF(SmartStatus!A$2:A1000, AM577) &gt; 2, TRUE, FALSE)</f>
        <v>0</v>
      </c>
      <c r="AR577" s="29" t="str">
        <f ca="1">IFERROR(__xludf.DUMMYFUNCTION("iferror(if(regexmatch(AO577, ""(?i)^registered""), if(EE577 &lt;&gt; ""polity_shortest_name"", ""CHECK_POLITY"", index(filter(SmartStatus!B$2:B1000, AM577 = SmartStatus!A$2:A1000, not(SmartStatus!C$2:C1000), (isblank(SmartStatus!D$2:D1000)) + ((P577 &lt;&gt; """") * "&amp;"(P577 &lt; SmartStatus!D$2:D1000)), (isblank(SmartStatus!E$2:E1000)) + ((P577 &lt;&gt; """") * (P577 &gt;= SmartStatus!E$2:E1000)), (isblank(SmartStatus!F$2:F1000)) + (((Q577 &lt;&gt; """") * (Q577 &lt; SmartStatus!F$2:F1000)) + ((P577 &lt;&gt; """") * (date(year(P577) + 3, month(P"&amp;"577), day(P577)) &lt; SmartStatus!F$2:F1000))), (isblank(SmartStatus!G$2:G1000)) + (((Q577 &lt;&gt; """") * (Q577 &gt;= SmartStatus!G$2:G1000)) + ((P577 &lt;&gt; """") * (P577 &gt;= SmartStatus!G$2:G1000)))), if(or(regexmatch(B577, ""(?i)^ir [a-z]+ designation$""), N577 &lt;&gt; """&amp;"""), 1, 2))), """"), ""NO_MATCH"")"),"")</f>
        <v/>
      </c>
      <c r="AS577" s="11"/>
      <c r="AT577" s="15"/>
      <c r="AU577" s="11"/>
      <c r="AV577" s="11"/>
      <c r="AW577" s="15"/>
      <c r="AX577" s="15"/>
      <c r="AY577" s="15"/>
      <c r="AZ577" s="11"/>
      <c r="BA577" s="15"/>
      <c r="BB577" s="11"/>
      <c r="BC577" s="11"/>
      <c r="BD577" s="15"/>
      <c r="BE577" s="11"/>
      <c r="BF577" s="11"/>
      <c r="BG577" s="15"/>
      <c r="BH577" s="15"/>
      <c r="BI577" s="15"/>
      <c r="BJ577" s="11"/>
      <c r="BK577" s="15"/>
      <c r="BL577" s="11"/>
      <c r="BM577" s="11"/>
      <c r="BN577" s="15"/>
      <c r="BO577" s="11"/>
      <c r="BP577" s="11"/>
      <c r="BQ577" s="15"/>
      <c r="BR577" s="15"/>
      <c r="BS577" s="15"/>
      <c r="BT577" s="11"/>
      <c r="BU577" s="15"/>
      <c r="BV577" s="11"/>
      <c r="BW577" s="11"/>
      <c r="BX577" s="15"/>
      <c r="BY577" s="11"/>
      <c r="BZ577" s="11"/>
      <c r="CA577" s="15"/>
      <c r="CB577" s="11"/>
      <c r="CC577" s="15"/>
      <c r="CD577" s="11"/>
      <c r="CE577" s="15"/>
      <c r="CF577" s="11"/>
      <c r="CG577" s="11"/>
      <c r="CH577" s="15"/>
      <c r="CI577" s="11"/>
      <c r="CJ577" s="11"/>
      <c r="CK577" s="15"/>
      <c r="CL577" s="11"/>
      <c r="CM577" s="11"/>
      <c r="CN577" s="11"/>
      <c r="CO577" s="11"/>
      <c r="CP577" s="28"/>
      <c r="CQ577" s="28"/>
      <c r="CR577" s="11"/>
      <c r="CS577" s="29"/>
      <c r="CT577" s="11"/>
      <c r="CU577" s="11"/>
      <c r="CV577" s="11"/>
      <c r="CW577" s="11"/>
      <c r="CX577" s="11"/>
      <c r="CY577" s="11"/>
      <c r="CZ577" s="11"/>
      <c r="DA577" s="28"/>
      <c r="DB577" s="28"/>
      <c r="DC577" s="11"/>
      <c r="DD577" s="29"/>
      <c r="DE577" s="11"/>
      <c r="DF577" s="11"/>
      <c r="DG577" s="11"/>
      <c r="DH577" s="11"/>
      <c r="DI577" s="11"/>
      <c r="DJ577" s="11"/>
      <c r="DK577" s="26"/>
      <c r="DL577" s="11"/>
      <c r="DM577" s="29"/>
      <c r="DN577" s="28"/>
      <c r="DO577" s="11"/>
      <c r="DP577" s="11"/>
      <c r="DQ577" s="11"/>
      <c r="DR577" s="29"/>
      <c r="DS577" s="28"/>
      <c r="DT577" s="11"/>
      <c r="DU577" s="26"/>
      <c r="DV577" s="11"/>
      <c r="DW577" s="29"/>
      <c r="DX577" s="28"/>
      <c r="DY577" s="11"/>
      <c r="DZ577" s="26"/>
      <c r="EA577" s="11"/>
      <c r="EB577" s="29"/>
      <c r="EC577" s="28"/>
      <c r="ED577" s="30"/>
      <c r="EE577" s="30" t="str">
        <f ca="1">IFERROR(__xludf.DUMMYFUNCTION("iferror(index(filter('Internal -- Trademark Countries'!E$2:E1000, (AM577 = 'Internal -- Trademark Countries'!B$2:B1000) + (AM577 = 'Internal -- Trademark Countries'!C$2:C1000) + (AM577 = 'Internal -- Trademark Countries'!D$2:D1000)), 1))"),"")</f>
        <v/>
      </c>
      <c r="EF577" s="30" t="e">
        <f ca="1">_xludf.ifs(AM577="", "", COUNTIF('Internal -- Trademark Countries'!B:B,AM577) &gt; 0, "polity_shortest_name", COUNTIF('Internal -- Trademark Countries'!C:C,AM577) &gt; 0, "polity_full_name", COUNTIF('Internal -- Trademark Countries'!D:D,AM577) &gt; 0, "polity_common_name", COUNTIF('Internal -- Trademark Countries'!E:E,AM577) &gt; 0, "shortest_name", COUNTIF('Internal -- Trademark Countries'!A:A,AM577) &gt; 0, "full_name", TRUE, "not a match")</f>
        <v>#NAME?</v>
      </c>
      <c r="EG577" s="30"/>
      <c r="EH577" s="30"/>
      <c r="EI577" s="30"/>
      <c r="EJ577" s="30"/>
      <c r="EK577" s="30" t="str">
        <f t="shared" si="4"/>
        <v/>
      </c>
    </row>
    <row r="578" spans="1:141" ht="16.5">
      <c r="A578" s="11"/>
      <c r="B578" s="11"/>
      <c r="C578" s="11"/>
      <c r="D578" s="11"/>
      <c r="E578" s="11"/>
      <c r="F578" s="11"/>
      <c r="G578" s="11"/>
      <c r="H578" s="11"/>
      <c r="I578" s="11"/>
      <c r="J578" s="11"/>
      <c r="K578" s="27"/>
      <c r="L578" s="11"/>
      <c r="M578" s="11"/>
      <c r="N578" s="11"/>
      <c r="O578" s="11"/>
      <c r="P578" s="15"/>
      <c r="Q578" s="15"/>
      <c r="R578" s="15"/>
      <c r="S578" s="15"/>
      <c r="T578" s="15"/>
      <c r="U578" s="15"/>
      <c r="V578" s="15"/>
      <c r="W578" s="47"/>
      <c r="X578" s="11"/>
      <c r="Y578" s="48"/>
      <c r="Z578" s="11"/>
      <c r="AA578" s="48"/>
      <c r="AB578" s="11"/>
      <c r="AC578" s="48"/>
      <c r="AD578" s="11"/>
      <c r="AE578" s="47"/>
      <c r="AF578" s="11"/>
      <c r="AG578" s="48"/>
      <c r="AH578" s="11"/>
      <c r="AI578" s="48"/>
      <c r="AJ578" s="11"/>
      <c r="AK578" s="48"/>
      <c r="AL578" s="11"/>
      <c r="AM578" s="49"/>
      <c r="AN578" s="49"/>
      <c r="AO578" s="11"/>
      <c r="AP578" s="11"/>
      <c r="AQ578" s="28" t="b">
        <f>IF(COUNTIF(SmartStatus!A$2:A1000, AM578) &gt; 2, TRUE, FALSE)</f>
        <v>0</v>
      </c>
      <c r="AR578" s="29" t="str">
        <f ca="1">IFERROR(__xludf.DUMMYFUNCTION("iferror(if(regexmatch(AO578, ""(?i)^registered""), if(EE578 &lt;&gt; ""polity_shortest_name"", ""CHECK_POLITY"", index(filter(SmartStatus!B$2:B1000, AM578 = SmartStatus!A$2:A1000, not(SmartStatus!C$2:C1000), (isblank(SmartStatus!D$2:D1000)) + ((P578 &lt;&gt; """") * "&amp;"(P578 &lt; SmartStatus!D$2:D1000)), (isblank(SmartStatus!E$2:E1000)) + ((P578 &lt;&gt; """") * (P578 &gt;= SmartStatus!E$2:E1000)), (isblank(SmartStatus!F$2:F1000)) + (((Q578 &lt;&gt; """") * (Q578 &lt; SmartStatus!F$2:F1000)) + ((P578 &lt;&gt; """") * (date(year(P578) + 3, month(P"&amp;"578), day(P578)) &lt; SmartStatus!F$2:F1000))), (isblank(SmartStatus!G$2:G1000)) + (((Q578 &lt;&gt; """") * (Q578 &gt;= SmartStatus!G$2:G1000)) + ((P578 &lt;&gt; """") * (P578 &gt;= SmartStatus!G$2:G1000)))), if(or(regexmatch(B578, ""(?i)^ir [a-z]+ designation$""), N578 &lt;&gt; """&amp;"""), 1, 2))), """"), ""NO_MATCH"")"),"")</f>
        <v/>
      </c>
      <c r="AS578" s="11"/>
      <c r="AT578" s="15"/>
      <c r="AU578" s="11"/>
      <c r="AV578" s="11"/>
      <c r="AW578" s="15"/>
      <c r="AX578" s="15"/>
      <c r="AY578" s="15"/>
      <c r="AZ578" s="11"/>
      <c r="BA578" s="15"/>
      <c r="BB578" s="11"/>
      <c r="BC578" s="11"/>
      <c r="BD578" s="15"/>
      <c r="BE578" s="11"/>
      <c r="BF578" s="11"/>
      <c r="BG578" s="15"/>
      <c r="BH578" s="15"/>
      <c r="BI578" s="15"/>
      <c r="BJ578" s="11"/>
      <c r="BK578" s="15"/>
      <c r="BL578" s="11"/>
      <c r="BM578" s="11"/>
      <c r="BN578" s="15"/>
      <c r="BO578" s="11"/>
      <c r="BP578" s="11"/>
      <c r="BQ578" s="15"/>
      <c r="BR578" s="15"/>
      <c r="BS578" s="15"/>
      <c r="BT578" s="11"/>
      <c r="BU578" s="15"/>
      <c r="BV578" s="11"/>
      <c r="BW578" s="11"/>
      <c r="BX578" s="15"/>
      <c r="BY578" s="11"/>
      <c r="BZ578" s="11"/>
      <c r="CA578" s="15"/>
      <c r="CB578" s="11"/>
      <c r="CC578" s="15"/>
      <c r="CD578" s="11"/>
      <c r="CE578" s="15"/>
      <c r="CF578" s="11"/>
      <c r="CG578" s="11"/>
      <c r="CH578" s="15"/>
      <c r="CI578" s="11"/>
      <c r="CJ578" s="11"/>
      <c r="CK578" s="15"/>
      <c r="CL578" s="11"/>
      <c r="CM578" s="11"/>
      <c r="CN578" s="11"/>
      <c r="CO578" s="11"/>
      <c r="CP578" s="28"/>
      <c r="CQ578" s="28"/>
      <c r="CR578" s="11"/>
      <c r="CS578" s="29"/>
      <c r="CT578" s="11"/>
      <c r="CU578" s="11"/>
      <c r="CV578" s="11"/>
      <c r="CW578" s="11"/>
      <c r="CX578" s="11"/>
      <c r="CY578" s="11"/>
      <c r="CZ578" s="11"/>
      <c r="DA578" s="28"/>
      <c r="DB578" s="28"/>
      <c r="DC578" s="11"/>
      <c r="DD578" s="29"/>
      <c r="DE578" s="11"/>
      <c r="DF578" s="11"/>
      <c r="DG578" s="11"/>
      <c r="DH578" s="11"/>
      <c r="DI578" s="11"/>
      <c r="DJ578" s="11"/>
      <c r="DK578" s="26"/>
      <c r="DL578" s="11"/>
      <c r="DM578" s="29"/>
      <c r="DN578" s="28"/>
      <c r="DO578" s="11"/>
      <c r="DP578" s="11"/>
      <c r="DQ578" s="11"/>
      <c r="DR578" s="29"/>
      <c r="DS578" s="28"/>
      <c r="DT578" s="11"/>
      <c r="DU578" s="26"/>
      <c r="DV578" s="11"/>
      <c r="DW578" s="29"/>
      <c r="DX578" s="28"/>
      <c r="DY578" s="11"/>
      <c r="DZ578" s="26"/>
      <c r="EA578" s="11"/>
      <c r="EB578" s="29"/>
      <c r="EC578" s="28"/>
      <c r="ED578" s="30"/>
      <c r="EE578" s="30" t="str">
        <f ca="1">IFERROR(__xludf.DUMMYFUNCTION("iferror(index(filter('Internal -- Trademark Countries'!E$2:E1000, (AM578 = 'Internal -- Trademark Countries'!B$2:B1000) + (AM578 = 'Internal -- Trademark Countries'!C$2:C1000) + (AM578 = 'Internal -- Trademark Countries'!D$2:D1000)), 1))"),"")</f>
        <v/>
      </c>
      <c r="EF578" s="30" t="e">
        <f ca="1">_xludf.ifs(AM578="", "", COUNTIF('Internal -- Trademark Countries'!B:B,AM578) &gt; 0, "polity_shortest_name", COUNTIF('Internal -- Trademark Countries'!C:C,AM578) &gt; 0, "polity_full_name", COUNTIF('Internal -- Trademark Countries'!D:D,AM578) &gt; 0, "polity_common_name", COUNTIF('Internal -- Trademark Countries'!E:E,AM578) &gt; 0, "shortest_name", COUNTIF('Internal -- Trademark Countries'!A:A,AM578) &gt; 0, "full_name", TRUE, "not a match")</f>
        <v>#NAME?</v>
      </c>
      <c r="EG578" s="30"/>
      <c r="EH578" s="30"/>
      <c r="EI578" s="30"/>
      <c r="EJ578" s="30"/>
      <c r="EK578" s="30" t="str">
        <f t="shared" si="4"/>
        <v/>
      </c>
    </row>
    <row r="579" spans="1:141" ht="16.5">
      <c r="A579" s="11"/>
      <c r="B579" s="11"/>
      <c r="C579" s="11"/>
      <c r="D579" s="11"/>
      <c r="E579" s="11"/>
      <c r="F579" s="11"/>
      <c r="G579" s="11"/>
      <c r="H579" s="11"/>
      <c r="I579" s="11"/>
      <c r="J579" s="11"/>
      <c r="K579" s="27"/>
      <c r="L579" s="11"/>
      <c r="M579" s="11"/>
      <c r="N579" s="11"/>
      <c r="O579" s="11"/>
      <c r="P579" s="15"/>
      <c r="Q579" s="15"/>
      <c r="R579" s="15"/>
      <c r="S579" s="15"/>
      <c r="T579" s="15"/>
      <c r="U579" s="15"/>
      <c r="V579" s="15"/>
      <c r="W579" s="47"/>
      <c r="X579" s="11"/>
      <c r="Y579" s="48"/>
      <c r="Z579" s="11"/>
      <c r="AA579" s="48"/>
      <c r="AB579" s="11"/>
      <c r="AC579" s="48"/>
      <c r="AD579" s="11"/>
      <c r="AE579" s="47"/>
      <c r="AF579" s="11"/>
      <c r="AG579" s="48"/>
      <c r="AH579" s="11"/>
      <c r="AI579" s="48"/>
      <c r="AJ579" s="11"/>
      <c r="AK579" s="48"/>
      <c r="AL579" s="11"/>
      <c r="AM579" s="49"/>
      <c r="AN579" s="49"/>
      <c r="AO579" s="11"/>
      <c r="AP579" s="11"/>
      <c r="AQ579" s="28" t="b">
        <f>IF(COUNTIF(SmartStatus!A$2:A1000, AM579) &gt; 2, TRUE, FALSE)</f>
        <v>0</v>
      </c>
      <c r="AR579" s="29" t="str">
        <f ca="1">IFERROR(__xludf.DUMMYFUNCTION("iferror(if(regexmatch(AO579, ""(?i)^registered""), if(EE579 &lt;&gt; ""polity_shortest_name"", ""CHECK_POLITY"", index(filter(SmartStatus!B$2:B1000, AM579 = SmartStatus!A$2:A1000, not(SmartStatus!C$2:C1000), (isblank(SmartStatus!D$2:D1000)) + ((P579 &lt;&gt; """") * "&amp;"(P579 &lt; SmartStatus!D$2:D1000)), (isblank(SmartStatus!E$2:E1000)) + ((P579 &lt;&gt; """") * (P579 &gt;= SmartStatus!E$2:E1000)), (isblank(SmartStatus!F$2:F1000)) + (((Q579 &lt;&gt; """") * (Q579 &lt; SmartStatus!F$2:F1000)) + ((P579 &lt;&gt; """") * (date(year(P579) + 3, month(P"&amp;"579), day(P579)) &lt; SmartStatus!F$2:F1000))), (isblank(SmartStatus!G$2:G1000)) + (((Q579 &lt;&gt; """") * (Q579 &gt;= SmartStatus!G$2:G1000)) + ((P579 &lt;&gt; """") * (P579 &gt;= SmartStatus!G$2:G1000)))), if(or(regexmatch(B579, ""(?i)^ir [a-z]+ designation$""), N579 &lt;&gt; """&amp;"""), 1, 2))), """"), ""NO_MATCH"")"),"")</f>
        <v/>
      </c>
      <c r="AS579" s="11"/>
      <c r="AT579" s="15"/>
      <c r="AU579" s="11"/>
      <c r="AV579" s="11"/>
      <c r="AW579" s="15"/>
      <c r="AX579" s="15"/>
      <c r="AY579" s="15"/>
      <c r="AZ579" s="11"/>
      <c r="BA579" s="15"/>
      <c r="BB579" s="11"/>
      <c r="BC579" s="11"/>
      <c r="BD579" s="15"/>
      <c r="BE579" s="11"/>
      <c r="BF579" s="11"/>
      <c r="BG579" s="15"/>
      <c r="BH579" s="15"/>
      <c r="BI579" s="15"/>
      <c r="BJ579" s="11"/>
      <c r="BK579" s="15"/>
      <c r="BL579" s="11"/>
      <c r="BM579" s="11"/>
      <c r="BN579" s="15"/>
      <c r="BO579" s="11"/>
      <c r="BP579" s="11"/>
      <c r="BQ579" s="15"/>
      <c r="BR579" s="15"/>
      <c r="BS579" s="15"/>
      <c r="BT579" s="11"/>
      <c r="BU579" s="15"/>
      <c r="BV579" s="11"/>
      <c r="BW579" s="11"/>
      <c r="BX579" s="15"/>
      <c r="BY579" s="11"/>
      <c r="BZ579" s="11"/>
      <c r="CA579" s="15"/>
      <c r="CB579" s="11"/>
      <c r="CC579" s="15"/>
      <c r="CD579" s="11"/>
      <c r="CE579" s="15"/>
      <c r="CF579" s="11"/>
      <c r="CG579" s="11"/>
      <c r="CH579" s="15"/>
      <c r="CI579" s="11"/>
      <c r="CJ579" s="11"/>
      <c r="CK579" s="15"/>
      <c r="CL579" s="11"/>
      <c r="CM579" s="11"/>
      <c r="CN579" s="11"/>
      <c r="CO579" s="11"/>
      <c r="CP579" s="28"/>
      <c r="CQ579" s="28"/>
      <c r="CR579" s="11"/>
      <c r="CS579" s="29"/>
      <c r="CT579" s="11"/>
      <c r="CU579" s="11"/>
      <c r="CV579" s="11"/>
      <c r="CW579" s="11"/>
      <c r="CX579" s="11"/>
      <c r="CY579" s="11"/>
      <c r="CZ579" s="11"/>
      <c r="DA579" s="28"/>
      <c r="DB579" s="28"/>
      <c r="DC579" s="11"/>
      <c r="DD579" s="29"/>
      <c r="DE579" s="11"/>
      <c r="DF579" s="11"/>
      <c r="DG579" s="11"/>
      <c r="DH579" s="11"/>
      <c r="DI579" s="11"/>
      <c r="DJ579" s="11"/>
      <c r="DK579" s="26"/>
      <c r="DL579" s="11"/>
      <c r="DM579" s="29"/>
      <c r="DN579" s="28"/>
      <c r="DO579" s="11"/>
      <c r="DP579" s="11"/>
      <c r="DQ579" s="11"/>
      <c r="DR579" s="29"/>
      <c r="DS579" s="28"/>
      <c r="DT579" s="11"/>
      <c r="DU579" s="26"/>
      <c r="DV579" s="11"/>
      <c r="DW579" s="29"/>
      <c r="DX579" s="28"/>
      <c r="DY579" s="11"/>
      <c r="DZ579" s="26"/>
      <c r="EA579" s="11"/>
      <c r="EB579" s="29"/>
      <c r="EC579" s="28"/>
      <c r="ED579" s="30"/>
      <c r="EE579" s="30" t="str">
        <f ca="1">IFERROR(__xludf.DUMMYFUNCTION("iferror(index(filter('Internal -- Trademark Countries'!E$2:E1000, (AM579 = 'Internal -- Trademark Countries'!B$2:B1000) + (AM579 = 'Internal -- Trademark Countries'!C$2:C1000) + (AM579 = 'Internal -- Trademark Countries'!D$2:D1000)), 1))"),"")</f>
        <v/>
      </c>
      <c r="EF579" s="30" t="e">
        <f ca="1">_xludf.ifs(AM579="", "", COUNTIF('Internal -- Trademark Countries'!B:B,AM579) &gt; 0, "polity_shortest_name", COUNTIF('Internal -- Trademark Countries'!C:C,AM579) &gt; 0, "polity_full_name", COUNTIF('Internal -- Trademark Countries'!D:D,AM579) &gt; 0, "polity_common_name", COUNTIF('Internal -- Trademark Countries'!E:E,AM579) &gt; 0, "shortest_name", COUNTIF('Internal -- Trademark Countries'!A:A,AM579) &gt; 0, "full_name", TRUE, "not a match")</f>
        <v>#NAME?</v>
      </c>
      <c r="EG579" s="30"/>
      <c r="EH579" s="30"/>
      <c r="EI579" s="30"/>
      <c r="EJ579" s="30"/>
      <c r="EK579" s="30" t="str">
        <f t="shared" si="4"/>
        <v/>
      </c>
    </row>
    <row r="580" spans="1:141" ht="16.5">
      <c r="A580" s="11"/>
      <c r="B580" s="11"/>
      <c r="C580" s="11"/>
      <c r="D580" s="11"/>
      <c r="E580" s="11"/>
      <c r="F580" s="11"/>
      <c r="G580" s="11"/>
      <c r="H580" s="11"/>
      <c r="I580" s="11"/>
      <c r="J580" s="11"/>
      <c r="K580" s="27"/>
      <c r="L580" s="11"/>
      <c r="M580" s="11"/>
      <c r="N580" s="11"/>
      <c r="O580" s="11"/>
      <c r="P580" s="15"/>
      <c r="Q580" s="15"/>
      <c r="R580" s="15"/>
      <c r="S580" s="15"/>
      <c r="T580" s="15"/>
      <c r="U580" s="15"/>
      <c r="V580" s="15"/>
      <c r="W580" s="47"/>
      <c r="X580" s="11"/>
      <c r="Y580" s="48"/>
      <c r="Z580" s="11"/>
      <c r="AA580" s="48"/>
      <c r="AB580" s="11"/>
      <c r="AC580" s="48"/>
      <c r="AD580" s="11"/>
      <c r="AE580" s="47"/>
      <c r="AF580" s="11"/>
      <c r="AG580" s="48"/>
      <c r="AH580" s="11"/>
      <c r="AI580" s="48"/>
      <c r="AJ580" s="11"/>
      <c r="AK580" s="48"/>
      <c r="AL580" s="11"/>
      <c r="AM580" s="49"/>
      <c r="AN580" s="49"/>
      <c r="AO580" s="11"/>
      <c r="AP580" s="11"/>
      <c r="AQ580" s="28" t="b">
        <f>IF(COUNTIF(SmartStatus!A$2:A1000, AM580) &gt; 2, TRUE, FALSE)</f>
        <v>0</v>
      </c>
      <c r="AR580" s="29" t="str">
        <f ca="1">IFERROR(__xludf.DUMMYFUNCTION("iferror(if(regexmatch(AO580, ""(?i)^registered""), if(EE580 &lt;&gt; ""polity_shortest_name"", ""CHECK_POLITY"", index(filter(SmartStatus!B$2:B1000, AM580 = SmartStatus!A$2:A1000, not(SmartStatus!C$2:C1000), (isblank(SmartStatus!D$2:D1000)) + ((P580 &lt;&gt; """") * "&amp;"(P580 &lt; SmartStatus!D$2:D1000)), (isblank(SmartStatus!E$2:E1000)) + ((P580 &lt;&gt; """") * (P580 &gt;= SmartStatus!E$2:E1000)), (isblank(SmartStatus!F$2:F1000)) + (((Q580 &lt;&gt; """") * (Q580 &lt; SmartStatus!F$2:F1000)) + ((P580 &lt;&gt; """") * (date(year(P580) + 3, month(P"&amp;"580), day(P580)) &lt; SmartStatus!F$2:F1000))), (isblank(SmartStatus!G$2:G1000)) + (((Q580 &lt;&gt; """") * (Q580 &gt;= SmartStatus!G$2:G1000)) + ((P580 &lt;&gt; """") * (P580 &gt;= SmartStatus!G$2:G1000)))), if(or(regexmatch(B580, ""(?i)^ir [a-z]+ designation$""), N580 &lt;&gt; """&amp;"""), 1, 2))), """"), ""NO_MATCH"")"),"")</f>
        <v/>
      </c>
      <c r="AS580" s="11"/>
      <c r="AT580" s="15"/>
      <c r="AU580" s="11"/>
      <c r="AV580" s="11"/>
      <c r="AW580" s="15"/>
      <c r="AX580" s="15"/>
      <c r="AY580" s="15"/>
      <c r="AZ580" s="11"/>
      <c r="BA580" s="15"/>
      <c r="BB580" s="11"/>
      <c r="BC580" s="11"/>
      <c r="BD580" s="15"/>
      <c r="BE580" s="11"/>
      <c r="BF580" s="11"/>
      <c r="BG580" s="15"/>
      <c r="BH580" s="15"/>
      <c r="BI580" s="15"/>
      <c r="BJ580" s="11"/>
      <c r="BK580" s="15"/>
      <c r="BL580" s="11"/>
      <c r="BM580" s="11"/>
      <c r="BN580" s="15"/>
      <c r="BO580" s="11"/>
      <c r="BP580" s="11"/>
      <c r="BQ580" s="15"/>
      <c r="BR580" s="15"/>
      <c r="BS580" s="15"/>
      <c r="BT580" s="11"/>
      <c r="BU580" s="15"/>
      <c r="BV580" s="11"/>
      <c r="BW580" s="11"/>
      <c r="BX580" s="15"/>
      <c r="BY580" s="11"/>
      <c r="BZ580" s="11"/>
      <c r="CA580" s="15"/>
      <c r="CB580" s="11"/>
      <c r="CC580" s="15"/>
      <c r="CD580" s="11"/>
      <c r="CE580" s="15"/>
      <c r="CF580" s="11"/>
      <c r="CG580" s="11"/>
      <c r="CH580" s="15"/>
      <c r="CI580" s="11"/>
      <c r="CJ580" s="11"/>
      <c r="CK580" s="15"/>
      <c r="CL580" s="11"/>
      <c r="CM580" s="11"/>
      <c r="CN580" s="11"/>
      <c r="CO580" s="11"/>
      <c r="CP580" s="28"/>
      <c r="CQ580" s="28"/>
      <c r="CR580" s="11"/>
      <c r="CS580" s="29"/>
      <c r="CT580" s="11"/>
      <c r="CU580" s="11"/>
      <c r="CV580" s="11"/>
      <c r="CW580" s="11"/>
      <c r="CX580" s="11"/>
      <c r="CY580" s="11"/>
      <c r="CZ580" s="11"/>
      <c r="DA580" s="28"/>
      <c r="DB580" s="28"/>
      <c r="DC580" s="11"/>
      <c r="DD580" s="29"/>
      <c r="DE580" s="11"/>
      <c r="DF580" s="11"/>
      <c r="DG580" s="11"/>
      <c r="DH580" s="11"/>
      <c r="DI580" s="11"/>
      <c r="DJ580" s="11"/>
      <c r="DK580" s="26"/>
      <c r="DL580" s="11"/>
      <c r="DM580" s="29"/>
      <c r="DN580" s="28"/>
      <c r="DO580" s="11"/>
      <c r="DP580" s="11"/>
      <c r="DQ580" s="11"/>
      <c r="DR580" s="29"/>
      <c r="DS580" s="28"/>
      <c r="DT580" s="11"/>
      <c r="DU580" s="26"/>
      <c r="DV580" s="11"/>
      <c r="DW580" s="29"/>
      <c r="DX580" s="28"/>
      <c r="DY580" s="11"/>
      <c r="DZ580" s="26"/>
      <c r="EA580" s="11"/>
      <c r="EB580" s="29"/>
      <c r="EC580" s="28"/>
      <c r="ED580" s="30"/>
      <c r="EE580" s="30" t="str">
        <f ca="1">IFERROR(__xludf.DUMMYFUNCTION("iferror(index(filter('Internal -- Trademark Countries'!E$2:E1000, (AM580 = 'Internal -- Trademark Countries'!B$2:B1000) + (AM580 = 'Internal -- Trademark Countries'!C$2:C1000) + (AM580 = 'Internal -- Trademark Countries'!D$2:D1000)), 1))"),"")</f>
        <v/>
      </c>
      <c r="EF580" s="30" t="e">
        <f ca="1">_xludf.ifs(AM580="", "", COUNTIF('Internal -- Trademark Countries'!B:B,AM580) &gt; 0, "polity_shortest_name", COUNTIF('Internal -- Trademark Countries'!C:C,AM580) &gt; 0, "polity_full_name", COUNTIF('Internal -- Trademark Countries'!D:D,AM580) &gt; 0, "polity_common_name", COUNTIF('Internal -- Trademark Countries'!E:E,AM580) &gt; 0, "shortest_name", COUNTIF('Internal -- Trademark Countries'!A:A,AM580) &gt; 0, "full_name", TRUE, "not a match")</f>
        <v>#NAME?</v>
      </c>
      <c r="EG580" s="30"/>
      <c r="EH580" s="30"/>
      <c r="EI580" s="30"/>
      <c r="EJ580" s="30"/>
      <c r="EK580" s="30" t="str">
        <f t="shared" si="4"/>
        <v/>
      </c>
    </row>
    <row r="581" spans="1:141" ht="16.5">
      <c r="A581" s="11"/>
      <c r="B581" s="11"/>
      <c r="C581" s="11"/>
      <c r="D581" s="11"/>
      <c r="E581" s="11"/>
      <c r="F581" s="11"/>
      <c r="G581" s="11"/>
      <c r="H581" s="11"/>
      <c r="I581" s="11"/>
      <c r="J581" s="11"/>
      <c r="K581" s="27"/>
      <c r="L581" s="11"/>
      <c r="M581" s="11"/>
      <c r="N581" s="11"/>
      <c r="O581" s="11"/>
      <c r="P581" s="15"/>
      <c r="Q581" s="15"/>
      <c r="R581" s="15"/>
      <c r="S581" s="15"/>
      <c r="T581" s="15"/>
      <c r="U581" s="15"/>
      <c r="V581" s="15"/>
      <c r="W581" s="47"/>
      <c r="X581" s="11"/>
      <c r="Y581" s="48"/>
      <c r="Z581" s="11"/>
      <c r="AA581" s="48"/>
      <c r="AB581" s="11"/>
      <c r="AC581" s="48"/>
      <c r="AD581" s="11"/>
      <c r="AE581" s="47"/>
      <c r="AF581" s="11"/>
      <c r="AG581" s="48"/>
      <c r="AH581" s="11"/>
      <c r="AI581" s="48"/>
      <c r="AJ581" s="11"/>
      <c r="AK581" s="48"/>
      <c r="AL581" s="11"/>
      <c r="AM581" s="49"/>
      <c r="AN581" s="49"/>
      <c r="AO581" s="11"/>
      <c r="AP581" s="11"/>
      <c r="AQ581" s="28" t="b">
        <f>IF(COUNTIF(SmartStatus!A$2:A1000, AM581) &gt; 2, TRUE, FALSE)</f>
        <v>0</v>
      </c>
      <c r="AR581" s="29" t="str">
        <f ca="1">IFERROR(__xludf.DUMMYFUNCTION("iferror(if(regexmatch(AO581, ""(?i)^registered""), if(EE581 &lt;&gt; ""polity_shortest_name"", ""CHECK_POLITY"", index(filter(SmartStatus!B$2:B1000, AM581 = SmartStatus!A$2:A1000, not(SmartStatus!C$2:C1000), (isblank(SmartStatus!D$2:D1000)) + ((P581 &lt;&gt; """") * "&amp;"(P581 &lt; SmartStatus!D$2:D1000)), (isblank(SmartStatus!E$2:E1000)) + ((P581 &lt;&gt; """") * (P581 &gt;= SmartStatus!E$2:E1000)), (isblank(SmartStatus!F$2:F1000)) + (((Q581 &lt;&gt; """") * (Q581 &lt; SmartStatus!F$2:F1000)) + ((P581 &lt;&gt; """") * (date(year(P581) + 3, month(P"&amp;"581), day(P581)) &lt; SmartStatus!F$2:F1000))), (isblank(SmartStatus!G$2:G1000)) + (((Q581 &lt;&gt; """") * (Q581 &gt;= SmartStatus!G$2:G1000)) + ((P581 &lt;&gt; """") * (P581 &gt;= SmartStatus!G$2:G1000)))), if(or(regexmatch(B581, ""(?i)^ir [a-z]+ designation$""), N581 &lt;&gt; """&amp;"""), 1, 2))), """"), ""NO_MATCH"")"),"")</f>
        <v/>
      </c>
      <c r="AS581" s="11"/>
      <c r="AT581" s="15"/>
      <c r="AU581" s="11"/>
      <c r="AV581" s="11"/>
      <c r="AW581" s="15"/>
      <c r="AX581" s="15"/>
      <c r="AY581" s="15"/>
      <c r="AZ581" s="11"/>
      <c r="BA581" s="15"/>
      <c r="BB581" s="11"/>
      <c r="BC581" s="11"/>
      <c r="BD581" s="15"/>
      <c r="BE581" s="11"/>
      <c r="BF581" s="11"/>
      <c r="BG581" s="15"/>
      <c r="BH581" s="15"/>
      <c r="BI581" s="15"/>
      <c r="BJ581" s="11"/>
      <c r="BK581" s="15"/>
      <c r="BL581" s="11"/>
      <c r="BM581" s="11"/>
      <c r="BN581" s="15"/>
      <c r="BO581" s="11"/>
      <c r="BP581" s="11"/>
      <c r="BQ581" s="15"/>
      <c r="BR581" s="15"/>
      <c r="BS581" s="15"/>
      <c r="BT581" s="11"/>
      <c r="BU581" s="15"/>
      <c r="BV581" s="11"/>
      <c r="BW581" s="11"/>
      <c r="BX581" s="15"/>
      <c r="BY581" s="11"/>
      <c r="BZ581" s="11"/>
      <c r="CA581" s="15"/>
      <c r="CB581" s="11"/>
      <c r="CC581" s="15"/>
      <c r="CD581" s="11"/>
      <c r="CE581" s="15"/>
      <c r="CF581" s="11"/>
      <c r="CG581" s="11"/>
      <c r="CH581" s="15"/>
      <c r="CI581" s="11"/>
      <c r="CJ581" s="11"/>
      <c r="CK581" s="15"/>
      <c r="CL581" s="11"/>
      <c r="CM581" s="11"/>
      <c r="CN581" s="11"/>
      <c r="CO581" s="11"/>
      <c r="CP581" s="28"/>
      <c r="CQ581" s="28"/>
      <c r="CR581" s="11"/>
      <c r="CS581" s="29"/>
      <c r="CT581" s="11"/>
      <c r="CU581" s="11"/>
      <c r="CV581" s="11"/>
      <c r="CW581" s="11"/>
      <c r="CX581" s="11"/>
      <c r="CY581" s="11"/>
      <c r="CZ581" s="11"/>
      <c r="DA581" s="28"/>
      <c r="DB581" s="28"/>
      <c r="DC581" s="11"/>
      <c r="DD581" s="29"/>
      <c r="DE581" s="11"/>
      <c r="DF581" s="11"/>
      <c r="DG581" s="11"/>
      <c r="DH581" s="11"/>
      <c r="DI581" s="11"/>
      <c r="DJ581" s="11"/>
      <c r="DK581" s="26"/>
      <c r="DL581" s="11"/>
      <c r="DM581" s="29"/>
      <c r="DN581" s="28"/>
      <c r="DO581" s="11"/>
      <c r="DP581" s="11"/>
      <c r="DQ581" s="11"/>
      <c r="DR581" s="29"/>
      <c r="DS581" s="28"/>
      <c r="DT581" s="11"/>
      <c r="DU581" s="26"/>
      <c r="DV581" s="11"/>
      <c r="DW581" s="29"/>
      <c r="DX581" s="28"/>
      <c r="DY581" s="11"/>
      <c r="DZ581" s="26"/>
      <c r="EA581" s="11"/>
      <c r="EB581" s="29"/>
      <c r="EC581" s="28"/>
      <c r="ED581" s="30"/>
      <c r="EE581" s="30" t="str">
        <f ca="1">IFERROR(__xludf.DUMMYFUNCTION("iferror(index(filter('Internal -- Trademark Countries'!E$2:E1000, (AM581 = 'Internal -- Trademark Countries'!B$2:B1000) + (AM581 = 'Internal -- Trademark Countries'!C$2:C1000) + (AM581 = 'Internal -- Trademark Countries'!D$2:D1000)), 1))"),"")</f>
        <v/>
      </c>
      <c r="EF581" s="30" t="e">
        <f ca="1">_xludf.ifs(AM581="", "", COUNTIF('Internal -- Trademark Countries'!B:B,AM581) &gt; 0, "polity_shortest_name", COUNTIF('Internal -- Trademark Countries'!C:C,AM581) &gt; 0, "polity_full_name", COUNTIF('Internal -- Trademark Countries'!D:D,AM581) &gt; 0, "polity_common_name", COUNTIF('Internal -- Trademark Countries'!E:E,AM581) &gt; 0, "shortest_name", COUNTIF('Internal -- Trademark Countries'!A:A,AM581) &gt; 0, "full_name", TRUE, "not a match")</f>
        <v>#NAME?</v>
      </c>
      <c r="EG581" s="30"/>
      <c r="EH581" s="30"/>
      <c r="EI581" s="30"/>
      <c r="EJ581" s="30"/>
      <c r="EK581" s="30" t="str">
        <f t="shared" si="4"/>
        <v/>
      </c>
    </row>
    <row r="582" spans="1:141" ht="16.5">
      <c r="A582" s="11"/>
      <c r="B582" s="11"/>
      <c r="C582" s="11"/>
      <c r="D582" s="11"/>
      <c r="E582" s="11"/>
      <c r="F582" s="11"/>
      <c r="G582" s="11"/>
      <c r="H582" s="11"/>
      <c r="I582" s="11"/>
      <c r="J582" s="11"/>
      <c r="K582" s="27"/>
      <c r="L582" s="11"/>
      <c r="M582" s="11"/>
      <c r="N582" s="11"/>
      <c r="O582" s="11"/>
      <c r="P582" s="15"/>
      <c r="Q582" s="15"/>
      <c r="R582" s="15"/>
      <c r="S582" s="15"/>
      <c r="T582" s="15"/>
      <c r="U582" s="15"/>
      <c r="V582" s="15"/>
      <c r="W582" s="47"/>
      <c r="X582" s="11"/>
      <c r="Y582" s="48"/>
      <c r="Z582" s="11"/>
      <c r="AA582" s="48"/>
      <c r="AB582" s="11"/>
      <c r="AC582" s="48"/>
      <c r="AD582" s="11"/>
      <c r="AE582" s="47"/>
      <c r="AF582" s="11"/>
      <c r="AG582" s="48"/>
      <c r="AH582" s="11"/>
      <c r="AI582" s="48"/>
      <c r="AJ582" s="11"/>
      <c r="AK582" s="48"/>
      <c r="AL582" s="11"/>
      <c r="AM582" s="49"/>
      <c r="AN582" s="49"/>
      <c r="AO582" s="11"/>
      <c r="AP582" s="11"/>
      <c r="AQ582" s="28" t="b">
        <f>IF(COUNTIF(SmartStatus!A$2:A1000, AM582) &gt; 2, TRUE, FALSE)</f>
        <v>0</v>
      </c>
      <c r="AR582" s="29" t="str">
        <f ca="1">IFERROR(__xludf.DUMMYFUNCTION("iferror(if(regexmatch(AO582, ""(?i)^registered""), if(EE582 &lt;&gt; ""polity_shortest_name"", ""CHECK_POLITY"", index(filter(SmartStatus!B$2:B1000, AM582 = SmartStatus!A$2:A1000, not(SmartStatus!C$2:C1000), (isblank(SmartStatus!D$2:D1000)) + ((P582 &lt;&gt; """") * "&amp;"(P582 &lt; SmartStatus!D$2:D1000)), (isblank(SmartStatus!E$2:E1000)) + ((P582 &lt;&gt; """") * (P582 &gt;= SmartStatus!E$2:E1000)), (isblank(SmartStatus!F$2:F1000)) + (((Q582 &lt;&gt; """") * (Q582 &lt; SmartStatus!F$2:F1000)) + ((P582 &lt;&gt; """") * (date(year(P582) + 3, month(P"&amp;"582), day(P582)) &lt; SmartStatus!F$2:F1000))), (isblank(SmartStatus!G$2:G1000)) + (((Q582 &lt;&gt; """") * (Q582 &gt;= SmartStatus!G$2:G1000)) + ((P582 &lt;&gt; """") * (P582 &gt;= SmartStatus!G$2:G1000)))), if(or(regexmatch(B582, ""(?i)^ir [a-z]+ designation$""), N582 &lt;&gt; """&amp;"""), 1, 2))), """"), ""NO_MATCH"")"),"")</f>
        <v/>
      </c>
      <c r="AS582" s="11"/>
      <c r="AT582" s="15"/>
      <c r="AU582" s="11"/>
      <c r="AV582" s="11"/>
      <c r="AW582" s="15"/>
      <c r="AX582" s="15"/>
      <c r="AY582" s="15"/>
      <c r="AZ582" s="11"/>
      <c r="BA582" s="15"/>
      <c r="BB582" s="11"/>
      <c r="BC582" s="11"/>
      <c r="BD582" s="15"/>
      <c r="BE582" s="11"/>
      <c r="BF582" s="11"/>
      <c r="BG582" s="15"/>
      <c r="BH582" s="15"/>
      <c r="BI582" s="15"/>
      <c r="BJ582" s="11"/>
      <c r="BK582" s="15"/>
      <c r="BL582" s="11"/>
      <c r="BM582" s="11"/>
      <c r="BN582" s="15"/>
      <c r="BO582" s="11"/>
      <c r="BP582" s="11"/>
      <c r="BQ582" s="15"/>
      <c r="BR582" s="15"/>
      <c r="BS582" s="15"/>
      <c r="BT582" s="11"/>
      <c r="BU582" s="15"/>
      <c r="BV582" s="11"/>
      <c r="BW582" s="11"/>
      <c r="BX582" s="15"/>
      <c r="BY582" s="11"/>
      <c r="BZ582" s="11"/>
      <c r="CA582" s="15"/>
      <c r="CB582" s="11"/>
      <c r="CC582" s="15"/>
      <c r="CD582" s="11"/>
      <c r="CE582" s="15"/>
      <c r="CF582" s="11"/>
      <c r="CG582" s="11"/>
      <c r="CH582" s="15"/>
      <c r="CI582" s="11"/>
      <c r="CJ582" s="11"/>
      <c r="CK582" s="15"/>
      <c r="CL582" s="11"/>
      <c r="CM582" s="11"/>
      <c r="CN582" s="11"/>
      <c r="CO582" s="11"/>
      <c r="CP582" s="28"/>
      <c r="CQ582" s="28"/>
      <c r="CR582" s="11"/>
      <c r="CS582" s="29"/>
      <c r="CT582" s="11"/>
      <c r="CU582" s="11"/>
      <c r="CV582" s="11"/>
      <c r="CW582" s="11"/>
      <c r="CX582" s="11"/>
      <c r="CY582" s="11"/>
      <c r="CZ582" s="11"/>
      <c r="DA582" s="28"/>
      <c r="DB582" s="28"/>
      <c r="DC582" s="11"/>
      <c r="DD582" s="29"/>
      <c r="DE582" s="11"/>
      <c r="DF582" s="11"/>
      <c r="DG582" s="11"/>
      <c r="DH582" s="11"/>
      <c r="DI582" s="11"/>
      <c r="DJ582" s="11"/>
      <c r="DK582" s="26"/>
      <c r="DL582" s="11"/>
      <c r="DM582" s="29"/>
      <c r="DN582" s="28"/>
      <c r="DO582" s="11"/>
      <c r="DP582" s="11"/>
      <c r="DQ582" s="11"/>
      <c r="DR582" s="29"/>
      <c r="DS582" s="28"/>
      <c r="DT582" s="11"/>
      <c r="DU582" s="26"/>
      <c r="DV582" s="11"/>
      <c r="DW582" s="29"/>
      <c r="DX582" s="28"/>
      <c r="DY582" s="11"/>
      <c r="DZ582" s="26"/>
      <c r="EA582" s="11"/>
      <c r="EB582" s="29"/>
      <c r="EC582" s="28"/>
      <c r="ED582" s="30"/>
      <c r="EE582" s="30" t="str">
        <f ca="1">IFERROR(__xludf.DUMMYFUNCTION("iferror(index(filter('Internal -- Trademark Countries'!E$2:E1000, (AM582 = 'Internal -- Trademark Countries'!B$2:B1000) + (AM582 = 'Internal -- Trademark Countries'!C$2:C1000) + (AM582 = 'Internal -- Trademark Countries'!D$2:D1000)), 1))"),"")</f>
        <v/>
      </c>
      <c r="EF582" s="30" t="e">
        <f ca="1">_xludf.ifs(AM582="", "", COUNTIF('Internal -- Trademark Countries'!B:B,AM582) &gt; 0, "polity_shortest_name", COUNTIF('Internal -- Trademark Countries'!C:C,AM582) &gt; 0, "polity_full_name", COUNTIF('Internal -- Trademark Countries'!D:D,AM582) &gt; 0, "polity_common_name", COUNTIF('Internal -- Trademark Countries'!E:E,AM582) &gt; 0, "shortest_name", COUNTIF('Internal -- Trademark Countries'!A:A,AM582) &gt; 0, "full_name", TRUE, "not a match")</f>
        <v>#NAME?</v>
      </c>
      <c r="EG582" s="30"/>
      <c r="EH582" s="30"/>
      <c r="EI582" s="30"/>
      <c r="EJ582" s="30"/>
      <c r="EK582" s="30" t="str">
        <f t="shared" si="4"/>
        <v/>
      </c>
    </row>
    <row r="583" spans="1:141" ht="16.5">
      <c r="A583" s="11"/>
      <c r="B583" s="11"/>
      <c r="C583" s="11"/>
      <c r="D583" s="11"/>
      <c r="E583" s="11"/>
      <c r="F583" s="11"/>
      <c r="G583" s="11"/>
      <c r="H583" s="11"/>
      <c r="I583" s="11"/>
      <c r="J583" s="11"/>
      <c r="K583" s="27"/>
      <c r="L583" s="11"/>
      <c r="M583" s="11"/>
      <c r="N583" s="11"/>
      <c r="O583" s="11"/>
      <c r="P583" s="15"/>
      <c r="Q583" s="15"/>
      <c r="R583" s="15"/>
      <c r="S583" s="15"/>
      <c r="T583" s="15"/>
      <c r="U583" s="15"/>
      <c r="V583" s="15"/>
      <c r="W583" s="47"/>
      <c r="X583" s="11"/>
      <c r="Y583" s="48"/>
      <c r="Z583" s="11"/>
      <c r="AA583" s="48"/>
      <c r="AB583" s="11"/>
      <c r="AC583" s="48"/>
      <c r="AD583" s="11"/>
      <c r="AE583" s="47"/>
      <c r="AF583" s="11"/>
      <c r="AG583" s="48"/>
      <c r="AH583" s="11"/>
      <c r="AI583" s="48"/>
      <c r="AJ583" s="11"/>
      <c r="AK583" s="48"/>
      <c r="AL583" s="11"/>
      <c r="AM583" s="49"/>
      <c r="AN583" s="49"/>
      <c r="AO583" s="11"/>
      <c r="AP583" s="11"/>
      <c r="AQ583" s="28" t="b">
        <f>IF(COUNTIF(SmartStatus!A$2:A1000, AM583) &gt; 2, TRUE, FALSE)</f>
        <v>0</v>
      </c>
      <c r="AR583" s="29" t="str">
        <f ca="1">IFERROR(__xludf.DUMMYFUNCTION("iferror(if(regexmatch(AO583, ""(?i)^registered""), if(EE583 &lt;&gt; ""polity_shortest_name"", ""CHECK_POLITY"", index(filter(SmartStatus!B$2:B1000, AM583 = SmartStatus!A$2:A1000, not(SmartStatus!C$2:C1000), (isblank(SmartStatus!D$2:D1000)) + ((P583 &lt;&gt; """") * "&amp;"(P583 &lt; SmartStatus!D$2:D1000)), (isblank(SmartStatus!E$2:E1000)) + ((P583 &lt;&gt; """") * (P583 &gt;= SmartStatus!E$2:E1000)), (isblank(SmartStatus!F$2:F1000)) + (((Q583 &lt;&gt; """") * (Q583 &lt; SmartStatus!F$2:F1000)) + ((P583 &lt;&gt; """") * (date(year(P583) + 3, month(P"&amp;"583), day(P583)) &lt; SmartStatus!F$2:F1000))), (isblank(SmartStatus!G$2:G1000)) + (((Q583 &lt;&gt; """") * (Q583 &gt;= SmartStatus!G$2:G1000)) + ((P583 &lt;&gt; """") * (P583 &gt;= SmartStatus!G$2:G1000)))), if(or(regexmatch(B583, ""(?i)^ir [a-z]+ designation$""), N583 &lt;&gt; """&amp;"""), 1, 2))), """"), ""NO_MATCH"")"),"")</f>
        <v/>
      </c>
      <c r="AS583" s="11"/>
      <c r="AT583" s="15"/>
      <c r="AU583" s="11"/>
      <c r="AV583" s="11"/>
      <c r="AW583" s="15"/>
      <c r="AX583" s="15"/>
      <c r="AY583" s="15"/>
      <c r="AZ583" s="11"/>
      <c r="BA583" s="15"/>
      <c r="BB583" s="11"/>
      <c r="BC583" s="11"/>
      <c r="BD583" s="15"/>
      <c r="BE583" s="11"/>
      <c r="BF583" s="11"/>
      <c r="BG583" s="15"/>
      <c r="BH583" s="15"/>
      <c r="BI583" s="15"/>
      <c r="BJ583" s="11"/>
      <c r="BK583" s="15"/>
      <c r="BL583" s="11"/>
      <c r="BM583" s="11"/>
      <c r="BN583" s="15"/>
      <c r="BO583" s="11"/>
      <c r="BP583" s="11"/>
      <c r="BQ583" s="15"/>
      <c r="BR583" s="15"/>
      <c r="BS583" s="15"/>
      <c r="BT583" s="11"/>
      <c r="BU583" s="15"/>
      <c r="BV583" s="11"/>
      <c r="BW583" s="11"/>
      <c r="BX583" s="15"/>
      <c r="BY583" s="11"/>
      <c r="BZ583" s="11"/>
      <c r="CA583" s="15"/>
      <c r="CB583" s="11"/>
      <c r="CC583" s="15"/>
      <c r="CD583" s="11"/>
      <c r="CE583" s="15"/>
      <c r="CF583" s="11"/>
      <c r="CG583" s="11"/>
      <c r="CH583" s="15"/>
      <c r="CI583" s="11"/>
      <c r="CJ583" s="11"/>
      <c r="CK583" s="15"/>
      <c r="CL583" s="11"/>
      <c r="CM583" s="11"/>
      <c r="CN583" s="11"/>
      <c r="CO583" s="11"/>
      <c r="CP583" s="28"/>
      <c r="CQ583" s="28"/>
      <c r="CR583" s="11"/>
      <c r="CS583" s="29"/>
      <c r="CT583" s="11"/>
      <c r="CU583" s="11"/>
      <c r="CV583" s="11"/>
      <c r="CW583" s="11"/>
      <c r="CX583" s="11"/>
      <c r="CY583" s="11"/>
      <c r="CZ583" s="11"/>
      <c r="DA583" s="28"/>
      <c r="DB583" s="28"/>
      <c r="DC583" s="11"/>
      <c r="DD583" s="29"/>
      <c r="DE583" s="11"/>
      <c r="DF583" s="11"/>
      <c r="DG583" s="11"/>
      <c r="DH583" s="11"/>
      <c r="DI583" s="11"/>
      <c r="DJ583" s="11"/>
      <c r="DK583" s="26"/>
      <c r="DL583" s="11"/>
      <c r="DM583" s="29"/>
      <c r="DN583" s="28"/>
      <c r="DO583" s="11"/>
      <c r="DP583" s="11"/>
      <c r="DQ583" s="11"/>
      <c r="DR583" s="29"/>
      <c r="DS583" s="28"/>
      <c r="DT583" s="11"/>
      <c r="DU583" s="26"/>
      <c r="DV583" s="11"/>
      <c r="DW583" s="29"/>
      <c r="DX583" s="28"/>
      <c r="DY583" s="11"/>
      <c r="DZ583" s="26"/>
      <c r="EA583" s="11"/>
      <c r="EB583" s="29"/>
      <c r="EC583" s="28"/>
      <c r="ED583" s="30"/>
      <c r="EE583" s="30" t="str">
        <f ca="1">IFERROR(__xludf.DUMMYFUNCTION("iferror(index(filter('Internal -- Trademark Countries'!E$2:E1000, (AM583 = 'Internal -- Trademark Countries'!B$2:B1000) + (AM583 = 'Internal -- Trademark Countries'!C$2:C1000) + (AM583 = 'Internal -- Trademark Countries'!D$2:D1000)), 1))"),"")</f>
        <v/>
      </c>
      <c r="EF583" s="30" t="e">
        <f ca="1">_xludf.ifs(AM583="", "", COUNTIF('Internal -- Trademark Countries'!B:B,AM583) &gt; 0, "polity_shortest_name", COUNTIF('Internal -- Trademark Countries'!C:C,AM583) &gt; 0, "polity_full_name", COUNTIF('Internal -- Trademark Countries'!D:D,AM583) &gt; 0, "polity_common_name", COUNTIF('Internal -- Trademark Countries'!E:E,AM583) &gt; 0, "shortest_name", COUNTIF('Internal -- Trademark Countries'!A:A,AM583) &gt; 0, "full_name", TRUE, "not a match")</f>
        <v>#NAME?</v>
      </c>
      <c r="EG583" s="30"/>
      <c r="EH583" s="30"/>
      <c r="EI583" s="30"/>
      <c r="EJ583" s="30"/>
      <c r="EK583" s="30" t="str">
        <f t="shared" si="4"/>
        <v/>
      </c>
    </row>
    <row r="584" spans="1:141" ht="16.5">
      <c r="A584" s="11"/>
      <c r="B584" s="11"/>
      <c r="C584" s="11"/>
      <c r="D584" s="11"/>
      <c r="E584" s="11"/>
      <c r="F584" s="11"/>
      <c r="G584" s="11"/>
      <c r="H584" s="11"/>
      <c r="I584" s="11"/>
      <c r="J584" s="11"/>
      <c r="K584" s="27"/>
      <c r="L584" s="11"/>
      <c r="M584" s="11"/>
      <c r="N584" s="11"/>
      <c r="O584" s="11"/>
      <c r="P584" s="15"/>
      <c r="Q584" s="15"/>
      <c r="R584" s="15"/>
      <c r="S584" s="15"/>
      <c r="T584" s="15"/>
      <c r="U584" s="15"/>
      <c r="V584" s="15"/>
      <c r="W584" s="47"/>
      <c r="X584" s="11"/>
      <c r="Y584" s="48"/>
      <c r="Z584" s="11"/>
      <c r="AA584" s="48"/>
      <c r="AB584" s="11"/>
      <c r="AC584" s="48"/>
      <c r="AD584" s="11"/>
      <c r="AE584" s="47"/>
      <c r="AF584" s="11"/>
      <c r="AG584" s="48"/>
      <c r="AH584" s="11"/>
      <c r="AI584" s="48"/>
      <c r="AJ584" s="11"/>
      <c r="AK584" s="48"/>
      <c r="AL584" s="11"/>
      <c r="AM584" s="49"/>
      <c r="AN584" s="49"/>
      <c r="AO584" s="11"/>
      <c r="AP584" s="11"/>
      <c r="AQ584" s="28" t="b">
        <f>IF(COUNTIF(SmartStatus!A$2:A1000, AM584) &gt; 2, TRUE, FALSE)</f>
        <v>0</v>
      </c>
      <c r="AR584" s="29" t="str">
        <f ca="1">IFERROR(__xludf.DUMMYFUNCTION("iferror(if(regexmatch(AO584, ""(?i)^registered""), if(EE584 &lt;&gt; ""polity_shortest_name"", ""CHECK_POLITY"", index(filter(SmartStatus!B$2:B1000, AM584 = SmartStatus!A$2:A1000, not(SmartStatus!C$2:C1000), (isblank(SmartStatus!D$2:D1000)) + ((P584 &lt;&gt; """") * "&amp;"(P584 &lt; SmartStatus!D$2:D1000)), (isblank(SmartStatus!E$2:E1000)) + ((P584 &lt;&gt; """") * (P584 &gt;= SmartStatus!E$2:E1000)), (isblank(SmartStatus!F$2:F1000)) + (((Q584 &lt;&gt; """") * (Q584 &lt; SmartStatus!F$2:F1000)) + ((P584 &lt;&gt; """") * (date(year(P584) + 3, month(P"&amp;"584), day(P584)) &lt; SmartStatus!F$2:F1000))), (isblank(SmartStatus!G$2:G1000)) + (((Q584 &lt;&gt; """") * (Q584 &gt;= SmartStatus!G$2:G1000)) + ((P584 &lt;&gt; """") * (P584 &gt;= SmartStatus!G$2:G1000)))), if(or(regexmatch(B584, ""(?i)^ir [a-z]+ designation$""), N584 &lt;&gt; """&amp;"""), 1, 2))), """"), ""NO_MATCH"")"),"")</f>
        <v/>
      </c>
      <c r="AS584" s="11"/>
      <c r="AT584" s="15"/>
      <c r="AU584" s="11"/>
      <c r="AV584" s="11"/>
      <c r="AW584" s="15"/>
      <c r="AX584" s="15"/>
      <c r="AY584" s="15"/>
      <c r="AZ584" s="11"/>
      <c r="BA584" s="15"/>
      <c r="BB584" s="11"/>
      <c r="BC584" s="11"/>
      <c r="BD584" s="15"/>
      <c r="BE584" s="11"/>
      <c r="BF584" s="11"/>
      <c r="BG584" s="15"/>
      <c r="BH584" s="15"/>
      <c r="BI584" s="15"/>
      <c r="BJ584" s="11"/>
      <c r="BK584" s="15"/>
      <c r="BL584" s="11"/>
      <c r="BM584" s="11"/>
      <c r="BN584" s="15"/>
      <c r="BO584" s="11"/>
      <c r="BP584" s="11"/>
      <c r="BQ584" s="15"/>
      <c r="BR584" s="15"/>
      <c r="BS584" s="15"/>
      <c r="BT584" s="11"/>
      <c r="BU584" s="15"/>
      <c r="BV584" s="11"/>
      <c r="BW584" s="11"/>
      <c r="BX584" s="15"/>
      <c r="BY584" s="11"/>
      <c r="BZ584" s="11"/>
      <c r="CA584" s="15"/>
      <c r="CB584" s="11"/>
      <c r="CC584" s="15"/>
      <c r="CD584" s="11"/>
      <c r="CE584" s="15"/>
      <c r="CF584" s="11"/>
      <c r="CG584" s="11"/>
      <c r="CH584" s="15"/>
      <c r="CI584" s="11"/>
      <c r="CJ584" s="11"/>
      <c r="CK584" s="15"/>
      <c r="CL584" s="11"/>
      <c r="CM584" s="11"/>
      <c r="CN584" s="11"/>
      <c r="CO584" s="11"/>
      <c r="CP584" s="28"/>
      <c r="CQ584" s="28"/>
      <c r="CR584" s="11"/>
      <c r="CS584" s="29"/>
      <c r="CT584" s="11"/>
      <c r="CU584" s="11"/>
      <c r="CV584" s="11"/>
      <c r="CW584" s="11"/>
      <c r="CX584" s="11"/>
      <c r="CY584" s="11"/>
      <c r="CZ584" s="11"/>
      <c r="DA584" s="28"/>
      <c r="DB584" s="28"/>
      <c r="DC584" s="11"/>
      <c r="DD584" s="29"/>
      <c r="DE584" s="11"/>
      <c r="DF584" s="11"/>
      <c r="DG584" s="11"/>
      <c r="DH584" s="11"/>
      <c r="DI584" s="11"/>
      <c r="DJ584" s="11"/>
      <c r="DK584" s="26"/>
      <c r="DL584" s="11"/>
      <c r="DM584" s="29"/>
      <c r="DN584" s="28"/>
      <c r="DO584" s="11"/>
      <c r="DP584" s="11"/>
      <c r="DQ584" s="11"/>
      <c r="DR584" s="29"/>
      <c r="DS584" s="28"/>
      <c r="DT584" s="11"/>
      <c r="DU584" s="26"/>
      <c r="DV584" s="11"/>
      <c r="DW584" s="29"/>
      <c r="DX584" s="28"/>
      <c r="DY584" s="11"/>
      <c r="DZ584" s="26"/>
      <c r="EA584" s="11"/>
      <c r="EB584" s="29"/>
      <c r="EC584" s="28"/>
      <c r="ED584" s="30"/>
      <c r="EE584" s="30" t="str">
        <f ca="1">IFERROR(__xludf.DUMMYFUNCTION("iferror(index(filter('Internal -- Trademark Countries'!E$2:E1000, (AM584 = 'Internal -- Trademark Countries'!B$2:B1000) + (AM584 = 'Internal -- Trademark Countries'!C$2:C1000) + (AM584 = 'Internal -- Trademark Countries'!D$2:D1000)), 1))"),"")</f>
        <v/>
      </c>
      <c r="EF584" s="30" t="e">
        <f ca="1">_xludf.ifs(AM584="", "", COUNTIF('Internal -- Trademark Countries'!B:B,AM584) &gt; 0, "polity_shortest_name", COUNTIF('Internal -- Trademark Countries'!C:C,AM584) &gt; 0, "polity_full_name", COUNTIF('Internal -- Trademark Countries'!D:D,AM584) &gt; 0, "polity_common_name", COUNTIF('Internal -- Trademark Countries'!E:E,AM584) &gt; 0, "shortest_name", COUNTIF('Internal -- Trademark Countries'!A:A,AM584) &gt; 0, "full_name", TRUE, "not a match")</f>
        <v>#NAME?</v>
      </c>
      <c r="EG584" s="30"/>
      <c r="EH584" s="30"/>
      <c r="EI584" s="30"/>
      <c r="EJ584" s="30"/>
      <c r="EK584" s="30" t="str">
        <f t="shared" si="4"/>
        <v/>
      </c>
    </row>
    <row r="585" spans="1:141" ht="16.5">
      <c r="A585" s="11"/>
      <c r="B585" s="11"/>
      <c r="C585" s="11"/>
      <c r="D585" s="11"/>
      <c r="E585" s="11"/>
      <c r="F585" s="11"/>
      <c r="G585" s="11"/>
      <c r="H585" s="11"/>
      <c r="I585" s="11"/>
      <c r="J585" s="11"/>
      <c r="K585" s="27"/>
      <c r="L585" s="11"/>
      <c r="M585" s="11"/>
      <c r="N585" s="11"/>
      <c r="O585" s="11"/>
      <c r="P585" s="15"/>
      <c r="Q585" s="15"/>
      <c r="R585" s="15"/>
      <c r="S585" s="15"/>
      <c r="T585" s="15"/>
      <c r="U585" s="15"/>
      <c r="V585" s="15"/>
      <c r="W585" s="47"/>
      <c r="X585" s="11"/>
      <c r="Y585" s="48"/>
      <c r="Z585" s="11"/>
      <c r="AA585" s="48"/>
      <c r="AB585" s="11"/>
      <c r="AC585" s="48"/>
      <c r="AD585" s="11"/>
      <c r="AE585" s="47"/>
      <c r="AF585" s="11"/>
      <c r="AG585" s="48"/>
      <c r="AH585" s="11"/>
      <c r="AI585" s="48"/>
      <c r="AJ585" s="11"/>
      <c r="AK585" s="48"/>
      <c r="AL585" s="11"/>
      <c r="AM585" s="49"/>
      <c r="AN585" s="49"/>
      <c r="AO585" s="11"/>
      <c r="AP585" s="11"/>
      <c r="AQ585" s="28" t="b">
        <f>IF(COUNTIF(SmartStatus!A$2:A1000, AM585) &gt; 2, TRUE, FALSE)</f>
        <v>0</v>
      </c>
      <c r="AR585" s="29" t="str">
        <f ca="1">IFERROR(__xludf.DUMMYFUNCTION("iferror(if(regexmatch(AO585, ""(?i)^registered""), if(EE585 &lt;&gt; ""polity_shortest_name"", ""CHECK_POLITY"", index(filter(SmartStatus!B$2:B1000, AM585 = SmartStatus!A$2:A1000, not(SmartStatus!C$2:C1000), (isblank(SmartStatus!D$2:D1000)) + ((P585 &lt;&gt; """") * "&amp;"(P585 &lt; SmartStatus!D$2:D1000)), (isblank(SmartStatus!E$2:E1000)) + ((P585 &lt;&gt; """") * (P585 &gt;= SmartStatus!E$2:E1000)), (isblank(SmartStatus!F$2:F1000)) + (((Q585 &lt;&gt; """") * (Q585 &lt; SmartStatus!F$2:F1000)) + ((P585 &lt;&gt; """") * (date(year(P585) + 3, month(P"&amp;"585), day(P585)) &lt; SmartStatus!F$2:F1000))), (isblank(SmartStatus!G$2:G1000)) + (((Q585 &lt;&gt; """") * (Q585 &gt;= SmartStatus!G$2:G1000)) + ((P585 &lt;&gt; """") * (P585 &gt;= SmartStatus!G$2:G1000)))), if(or(regexmatch(B585, ""(?i)^ir [a-z]+ designation$""), N585 &lt;&gt; """&amp;"""), 1, 2))), """"), ""NO_MATCH"")"),"")</f>
        <v/>
      </c>
      <c r="AS585" s="11"/>
      <c r="AT585" s="15"/>
      <c r="AU585" s="11"/>
      <c r="AV585" s="11"/>
      <c r="AW585" s="15"/>
      <c r="AX585" s="15"/>
      <c r="AY585" s="15"/>
      <c r="AZ585" s="11"/>
      <c r="BA585" s="15"/>
      <c r="BB585" s="11"/>
      <c r="BC585" s="11"/>
      <c r="BD585" s="15"/>
      <c r="BE585" s="11"/>
      <c r="BF585" s="11"/>
      <c r="BG585" s="15"/>
      <c r="BH585" s="15"/>
      <c r="BI585" s="15"/>
      <c r="BJ585" s="11"/>
      <c r="BK585" s="15"/>
      <c r="BL585" s="11"/>
      <c r="BM585" s="11"/>
      <c r="BN585" s="15"/>
      <c r="BO585" s="11"/>
      <c r="BP585" s="11"/>
      <c r="BQ585" s="15"/>
      <c r="BR585" s="15"/>
      <c r="BS585" s="15"/>
      <c r="BT585" s="11"/>
      <c r="BU585" s="15"/>
      <c r="BV585" s="11"/>
      <c r="BW585" s="11"/>
      <c r="BX585" s="15"/>
      <c r="BY585" s="11"/>
      <c r="BZ585" s="11"/>
      <c r="CA585" s="15"/>
      <c r="CB585" s="11"/>
      <c r="CC585" s="15"/>
      <c r="CD585" s="11"/>
      <c r="CE585" s="15"/>
      <c r="CF585" s="11"/>
      <c r="CG585" s="11"/>
      <c r="CH585" s="15"/>
      <c r="CI585" s="11"/>
      <c r="CJ585" s="11"/>
      <c r="CK585" s="15"/>
      <c r="CL585" s="11"/>
      <c r="CM585" s="11"/>
      <c r="CN585" s="11"/>
      <c r="CO585" s="11"/>
      <c r="CP585" s="28"/>
      <c r="CQ585" s="28"/>
      <c r="CR585" s="11"/>
      <c r="CS585" s="29"/>
      <c r="CT585" s="11"/>
      <c r="CU585" s="11"/>
      <c r="CV585" s="11"/>
      <c r="CW585" s="11"/>
      <c r="CX585" s="11"/>
      <c r="CY585" s="11"/>
      <c r="CZ585" s="11"/>
      <c r="DA585" s="28"/>
      <c r="DB585" s="28"/>
      <c r="DC585" s="11"/>
      <c r="DD585" s="29"/>
      <c r="DE585" s="11"/>
      <c r="DF585" s="11"/>
      <c r="DG585" s="11"/>
      <c r="DH585" s="11"/>
      <c r="DI585" s="11"/>
      <c r="DJ585" s="11"/>
      <c r="DK585" s="26"/>
      <c r="DL585" s="11"/>
      <c r="DM585" s="29"/>
      <c r="DN585" s="28"/>
      <c r="DO585" s="11"/>
      <c r="DP585" s="11"/>
      <c r="DQ585" s="11"/>
      <c r="DR585" s="29"/>
      <c r="DS585" s="28"/>
      <c r="DT585" s="11"/>
      <c r="DU585" s="26"/>
      <c r="DV585" s="11"/>
      <c r="DW585" s="29"/>
      <c r="DX585" s="28"/>
      <c r="DY585" s="11"/>
      <c r="DZ585" s="26"/>
      <c r="EA585" s="11"/>
      <c r="EB585" s="29"/>
      <c r="EC585" s="28"/>
      <c r="ED585" s="30"/>
      <c r="EE585" s="30" t="str">
        <f ca="1">IFERROR(__xludf.DUMMYFUNCTION("iferror(index(filter('Internal -- Trademark Countries'!E$2:E1000, (AM585 = 'Internal -- Trademark Countries'!B$2:B1000) + (AM585 = 'Internal -- Trademark Countries'!C$2:C1000) + (AM585 = 'Internal -- Trademark Countries'!D$2:D1000)), 1))"),"")</f>
        <v/>
      </c>
      <c r="EF585" s="30" t="e">
        <f ca="1">_xludf.ifs(AM585="", "", COUNTIF('Internal -- Trademark Countries'!B:B,AM585) &gt; 0, "polity_shortest_name", COUNTIF('Internal -- Trademark Countries'!C:C,AM585) &gt; 0, "polity_full_name", COUNTIF('Internal -- Trademark Countries'!D:D,AM585) &gt; 0, "polity_common_name", COUNTIF('Internal -- Trademark Countries'!E:E,AM585) &gt; 0, "shortest_name", COUNTIF('Internal -- Trademark Countries'!A:A,AM585) &gt; 0, "full_name", TRUE, "not a match")</f>
        <v>#NAME?</v>
      </c>
      <c r="EG585" s="30"/>
      <c r="EH585" s="30"/>
      <c r="EI585" s="30"/>
      <c r="EJ585" s="30"/>
      <c r="EK585" s="30" t="str">
        <f t="shared" si="4"/>
        <v/>
      </c>
    </row>
    <row r="586" spans="1:141" ht="16.5">
      <c r="A586" s="11"/>
      <c r="B586" s="11"/>
      <c r="C586" s="11"/>
      <c r="D586" s="11"/>
      <c r="E586" s="11"/>
      <c r="F586" s="11"/>
      <c r="G586" s="11"/>
      <c r="H586" s="11"/>
      <c r="I586" s="11"/>
      <c r="J586" s="11"/>
      <c r="K586" s="27"/>
      <c r="L586" s="11"/>
      <c r="M586" s="11"/>
      <c r="N586" s="11"/>
      <c r="O586" s="11"/>
      <c r="P586" s="15"/>
      <c r="Q586" s="15"/>
      <c r="R586" s="15"/>
      <c r="S586" s="15"/>
      <c r="T586" s="15"/>
      <c r="U586" s="15"/>
      <c r="V586" s="15"/>
      <c r="W586" s="47"/>
      <c r="X586" s="11"/>
      <c r="Y586" s="48"/>
      <c r="Z586" s="11"/>
      <c r="AA586" s="48"/>
      <c r="AB586" s="11"/>
      <c r="AC586" s="48"/>
      <c r="AD586" s="11"/>
      <c r="AE586" s="47"/>
      <c r="AF586" s="11"/>
      <c r="AG586" s="48"/>
      <c r="AH586" s="11"/>
      <c r="AI586" s="48"/>
      <c r="AJ586" s="11"/>
      <c r="AK586" s="48"/>
      <c r="AL586" s="11"/>
      <c r="AM586" s="49"/>
      <c r="AN586" s="49"/>
      <c r="AO586" s="11"/>
      <c r="AP586" s="11"/>
      <c r="AQ586" s="28" t="b">
        <f>IF(COUNTIF(SmartStatus!A$2:A1000, AM586) &gt; 2, TRUE, FALSE)</f>
        <v>0</v>
      </c>
      <c r="AR586" s="29" t="str">
        <f ca="1">IFERROR(__xludf.DUMMYFUNCTION("iferror(if(regexmatch(AO586, ""(?i)^registered""), if(EE586 &lt;&gt; ""polity_shortest_name"", ""CHECK_POLITY"", index(filter(SmartStatus!B$2:B1000, AM586 = SmartStatus!A$2:A1000, not(SmartStatus!C$2:C1000), (isblank(SmartStatus!D$2:D1000)) + ((P586 &lt;&gt; """") * "&amp;"(P586 &lt; SmartStatus!D$2:D1000)), (isblank(SmartStatus!E$2:E1000)) + ((P586 &lt;&gt; """") * (P586 &gt;= SmartStatus!E$2:E1000)), (isblank(SmartStatus!F$2:F1000)) + (((Q586 &lt;&gt; """") * (Q586 &lt; SmartStatus!F$2:F1000)) + ((P586 &lt;&gt; """") * (date(year(P586) + 3, month(P"&amp;"586), day(P586)) &lt; SmartStatus!F$2:F1000))), (isblank(SmartStatus!G$2:G1000)) + (((Q586 &lt;&gt; """") * (Q586 &gt;= SmartStatus!G$2:G1000)) + ((P586 &lt;&gt; """") * (P586 &gt;= SmartStatus!G$2:G1000)))), if(or(regexmatch(B586, ""(?i)^ir [a-z]+ designation$""), N586 &lt;&gt; """&amp;"""), 1, 2))), """"), ""NO_MATCH"")"),"")</f>
        <v/>
      </c>
      <c r="AS586" s="11"/>
      <c r="AT586" s="15"/>
      <c r="AU586" s="11"/>
      <c r="AV586" s="11"/>
      <c r="AW586" s="15"/>
      <c r="AX586" s="15"/>
      <c r="AY586" s="15"/>
      <c r="AZ586" s="11"/>
      <c r="BA586" s="15"/>
      <c r="BB586" s="11"/>
      <c r="BC586" s="11"/>
      <c r="BD586" s="15"/>
      <c r="BE586" s="11"/>
      <c r="BF586" s="11"/>
      <c r="BG586" s="15"/>
      <c r="BH586" s="15"/>
      <c r="BI586" s="15"/>
      <c r="BJ586" s="11"/>
      <c r="BK586" s="15"/>
      <c r="BL586" s="11"/>
      <c r="BM586" s="11"/>
      <c r="BN586" s="15"/>
      <c r="BO586" s="11"/>
      <c r="BP586" s="11"/>
      <c r="BQ586" s="15"/>
      <c r="BR586" s="15"/>
      <c r="BS586" s="15"/>
      <c r="BT586" s="11"/>
      <c r="BU586" s="15"/>
      <c r="BV586" s="11"/>
      <c r="BW586" s="11"/>
      <c r="BX586" s="15"/>
      <c r="BY586" s="11"/>
      <c r="BZ586" s="11"/>
      <c r="CA586" s="15"/>
      <c r="CB586" s="11"/>
      <c r="CC586" s="15"/>
      <c r="CD586" s="11"/>
      <c r="CE586" s="15"/>
      <c r="CF586" s="11"/>
      <c r="CG586" s="11"/>
      <c r="CH586" s="15"/>
      <c r="CI586" s="11"/>
      <c r="CJ586" s="11"/>
      <c r="CK586" s="15"/>
      <c r="CL586" s="11"/>
      <c r="CM586" s="11"/>
      <c r="CN586" s="11"/>
      <c r="CO586" s="11"/>
      <c r="CP586" s="28"/>
      <c r="CQ586" s="28"/>
      <c r="CR586" s="11"/>
      <c r="CS586" s="29"/>
      <c r="CT586" s="11"/>
      <c r="CU586" s="11"/>
      <c r="CV586" s="11"/>
      <c r="CW586" s="11"/>
      <c r="CX586" s="11"/>
      <c r="CY586" s="11"/>
      <c r="CZ586" s="11"/>
      <c r="DA586" s="28"/>
      <c r="DB586" s="28"/>
      <c r="DC586" s="11"/>
      <c r="DD586" s="29"/>
      <c r="DE586" s="11"/>
      <c r="DF586" s="11"/>
      <c r="DG586" s="11"/>
      <c r="DH586" s="11"/>
      <c r="DI586" s="11"/>
      <c r="DJ586" s="11"/>
      <c r="DK586" s="26"/>
      <c r="DL586" s="11"/>
      <c r="DM586" s="29"/>
      <c r="DN586" s="28"/>
      <c r="DO586" s="11"/>
      <c r="DP586" s="11"/>
      <c r="DQ586" s="11"/>
      <c r="DR586" s="29"/>
      <c r="DS586" s="28"/>
      <c r="DT586" s="11"/>
      <c r="DU586" s="26"/>
      <c r="DV586" s="11"/>
      <c r="DW586" s="29"/>
      <c r="DX586" s="28"/>
      <c r="DY586" s="11"/>
      <c r="DZ586" s="26"/>
      <c r="EA586" s="11"/>
      <c r="EB586" s="29"/>
      <c r="EC586" s="28"/>
      <c r="ED586" s="30"/>
      <c r="EE586" s="30" t="str">
        <f ca="1">IFERROR(__xludf.DUMMYFUNCTION("iferror(index(filter('Internal -- Trademark Countries'!E$2:E1000, (AM586 = 'Internal -- Trademark Countries'!B$2:B1000) + (AM586 = 'Internal -- Trademark Countries'!C$2:C1000) + (AM586 = 'Internal -- Trademark Countries'!D$2:D1000)), 1))"),"")</f>
        <v/>
      </c>
      <c r="EF586" s="30" t="e">
        <f ca="1">_xludf.ifs(AM586="", "", COUNTIF('Internal -- Trademark Countries'!B:B,AM586) &gt; 0, "polity_shortest_name", COUNTIF('Internal -- Trademark Countries'!C:C,AM586) &gt; 0, "polity_full_name", COUNTIF('Internal -- Trademark Countries'!D:D,AM586) &gt; 0, "polity_common_name", COUNTIF('Internal -- Trademark Countries'!E:E,AM586) &gt; 0, "shortest_name", COUNTIF('Internal -- Trademark Countries'!A:A,AM586) &gt; 0, "full_name", TRUE, "not a match")</f>
        <v>#NAME?</v>
      </c>
      <c r="EG586" s="30"/>
      <c r="EH586" s="30"/>
      <c r="EI586" s="30"/>
      <c r="EJ586" s="30"/>
      <c r="EK586" s="30" t="str">
        <f t="shared" si="4"/>
        <v/>
      </c>
    </row>
    <row r="587" spans="1:141" ht="16.5">
      <c r="A587" s="11"/>
      <c r="B587" s="11"/>
      <c r="C587" s="11"/>
      <c r="D587" s="11"/>
      <c r="E587" s="11"/>
      <c r="F587" s="11"/>
      <c r="G587" s="11"/>
      <c r="H587" s="11"/>
      <c r="I587" s="11"/>
      <c r="J587" s="11"/>
      <c r="K587" s="27"/>
      <c r="L587" s="11"/>
      <c r="M587" s="11"/>
      <c r="N587" s="11"/>
      <c r="O587" s="11"/>
      <c r="P587" s="15"/>
      <c r="Q587" s="15"/>
      <c r="R587" s="15"/>
      <c r="S587" s="15"/>
      <c r="T587" s="15"/>
      <c r="U587" s="15"/>
      <c r="V587" s="15"/>
      <c r="W587" s="47"/>
      <c r="X587" s="11"/>
      <c r="Y587" s="48"/>
      <c r="Z587" s="11"/>
      <c r="AA587" s="48"/>
      <c r="AB587" s="11"/>
      <c r="AC587" s="48"/>
      <c r="AD587" s="11"/>
      <c r="AE587" s="47"/>
      <c r="AF587" s="11"/>
      <c r="AG587" s="48"/>
      <c r="AH587" s="11"/>
      <c r="AI587" s="48"/>
      <c r="AJ587" s="11"/>
      <c r="AK587" s="48"/>
      <c r="AL587" s="11"/>
      <c r="AM587" s="49"/>
      <c r="AN587" s="49"/>
      <c r="AO587" s="11"/>
      <c r="AP587" s="11"/>
      <c r="AQ587" s="28" t="b">
        <f>IF(COUNTIF(SmartStatus!A$2:A1000, AM587) &gt; 2, TRUE, FALSE)</f>
        <v>0</v>
      </c>
      <c r="AR587" s="29" t="str">
        <f ca="1">IFERROR(__xludf.DUMMYFUNCTION("iferror(if(regexmatch(AO587, ""(?i)^registered""), if(EE587 &lt;&gt; ""polity_shortest_name"", ""CHECK_POLITY"", index(filter(SmartStatus!B$2:B1000, AM587 = SmartStatus!A$2:A1000, not(SmartStatus!C$2:C1000), (isblank(SmartStatus!D$2:D1000)) + ((P587 &lt;&gt; """") * "&amp;"(P587 &lt; SmartStatus!D$2:D1000)), (isblank(SmartStatus!E$2:E1000)) + ((P587 &lt;&gt; """") * (P587 &gt;= SmartStatus!E$2:E1000)), (isblank(SmartStatus!F$2:F1000)) + (((Q587 &lt;&gt; """") * (Q587 &lt; SmartStatus!F$2:F1000)) + ((P587 &lt;&gt; """") * (date(year(P587) + 3, month(P"&amp;"587), day(P587)) &lt; SmartStatus!F$2:F1000))), (isblank(SmartStatus!G$2:G1000)) + (((Q587 &lt;&gt; """") * (Q587 &gt;= SmartStatus!G$2:G1000)) + ((P587 &lt;&gt; """") * (P587 &gt;= SmartStatus!G$2:G1000)))), if(or(regexmatch(B587, ""(?i)^ir [a-z]+ designation$""), N587 &lt;&gt; """&amp;"""), 1, 2))), """"), ""NO_MATCH"")"),"")</f>
        <v/>
      </c>
      <c r="AS587" s="11"/>
      <c r="AT587" s="15"/>
      <c r="AU587" s="11"/>
      <c r="AV587" s="11"/>
      <c r="AW587" s="15"/>
      <c r="AX587" s="15"/>
      <c r="AY587" s="15"/>
      <c r="AZ587" s="11"/>
      <c r="BA587" s="15"/>
      <c r="BB587" s="11"/>
      <c r="BC587" s="11"/>
      <c r="BD587" s="15"/>
      <c r="BE587" s="11"/>
      <c r="BF587" s="11"/>
      <c r="BG587" s="15"/>
      <c r="BH587" s="15"/>
      <c r="BI587" s="15"/>
      <c r="BJ587" s="11"/>
      <c r="BK587" s="15"/>
      <c r="BL587" s="11"/>
      <c r="BM587" s="11"/>
      <c r="BN587" s="15"/>
      <c r="BO587" s="11"/>
      <c r="BP587" s="11"/>
      <c r="BQ587" s="15"/>
      <c r="BR587" s="15"/>
      <c r="BS587" s="15"/>
      <c r="BT587" s="11"/>
      <c r="BU587" s="15"/>
      <c r="BV587" s="11"/>
      <c r="BW587" s="11"/>
      <c r="BX587" s="15"/>
      <c r="BY587" s="11"/>
      <c r="BZ587" s="11"/>
      <c r="CA587" s="15"/>
      <c r="CB587" s="11"/>
      <c r="CC587" s="15"/>
      <c r="CD587" s="11"/>
      <c r="CE587" s="15"/>
      <c r="CF587" s="11"/>
      <c r="CG587" s="11"/>
      <c r="CH587" s="15"/>
      <c r="CI587" s="11"/>
      <c r="CJ587" s="11"/>
      <c r="CK587" s="15"/>
      <c r="CL587" s="11"/>
      <c r="CM587" s="11"/>
      <c r="CN587" s="11"/>
      <c r="CO587" s="11"/>
      <c r="CP587" s="28"/>
      <c r="CQ587" s="28"/>
      <c r="CR587" s="11"/>
      <c r="CS587" s="29"/>
      <c r="CT587" s="11"/>
      <c r="CU587" s="11"/>
      <c r="CV587" s="11"/>
      <c r="CW587" s="11"/>
      <c r="CX587" s="11"/>
      <c r="CY587" s="11"/>
      <c r="CZ587" s="11"/>
      <c r="DA587" s="28"/>
      <c r="DB587" s="28"/>
      <c r="DC587" s="11"/>
      <c r="DD587" s="29"/>
      <c r="DE587" s="11"/>
      <c r="DF587" s="11"/>
      <c r="DG587" s="11"/>
      <c r="DH587" s="11"/>
      <c r="DI587" s="11"/>
      <c r="DJ587" s="11"/>
      <c r="DK587" s="26"/>
      <c r="DL587" s="11"/>
      <c r="DM587" s="29"/>
      <c r="DN587" s="28"/>
      <c r="DO587" s="11"/>
      <c r="DP587" s="11"/>
      <c r="DQ587" s="11"/>
      <c r="DR587" s="29"/>
      <c r="DS587" s="28"/>
      <c r="DT587" s="11"/>
      <c r="DU587" s="26"/>
      <c r="DV587" s="11"/>
      <c r="DW587" s="29"/>
      <c r="DX587" s="28"/>
      <c r="DY587" s="11"/>
      <c r="DZ587" s="26"/>
      <c r="EA587" s="11"/>
      <c r="EB587" s="29"/>
      <c r="EC587" s="28"/>
      <c r="ED587" s="30"/>
      <c r="EE587" s="30" t="str">
        <f ca="1">IFERROR(__xludf.DUMMYFUNCTION("iferror(index(filter('Internal -- Trademark Countries'!E$2:E1000, (AM587 = 'Internal -- Trademark Countries'!B$2:B1000) + (AM587 = 'Internal -- Trademark Countries'!C$2:C1000) + (AM587 = 'Internal -- Trademark Countries'!D$2:D1000)), 1))"),"")</f>
        <v/>
      </c>
      <c r="EF587" s="30" t="e">
        <f ca="1">_xludf.ifs(AM587="", "", COUNTIF('Internal -- Trademark Countries'!B:B,AM587) &gt; 0, "polity_shortest_name", COUNTIF('Internal -- Trademark Countries'!C:C,AM587) &gt; 0, "polity_full_name", COUNTIF('Internal -- Trademark Countries'!D:D,AM587) &gt; 0, "polity_common_name", COUNTIF('Internal -- Trademark Countries'!E:E,AM587) &gt; 0, "shortest_name", COUNTIF('Internal -- Trademark Countries'!A:A,AM587) &gt; 0, "full_name", TRUE, "not a match")</f>
        <v>#NAME?</v>
      </c>
      <c r="EG587" s="30"/>
      <c r="EH587" s="30"/>
      <c r="EI587" s="30"/>
      <c r="EJ587" s="30"/>
      <c r="EK587" s="30" t="str">
        <f t="shared" si="4"/>
        <v/>
      </c>
    </row>
    <row r="588" spans="1:141" ht="16.5">
      <c r="A588" s="11"/>
      <c r="B588" s="11"/>
      <c r="C588" s="11"/>
      <c r="D588" s="11"/>
      <c r="E588" s="11"/>
      <c r="F588" s="11"/>
      <c r="G588" s="11"/>
      <c r="H588" s="11"/>
      <c r="I588" s="11"/>
      <c r="J588" s="11"/>
      <c r="K588" s="27"/>
      <c r="L588" s="11"/>
      <c r="M588" s="11"/>
      <c r="N588" s="11"/>
      <c r="O588" s="11"/>
      <c r="P588" s="15"/>
      <c r="Q588" s="15"/>
      <c r="R588" s="15"/>
      <c r="S588" s="15"/>
      <c r="T588" s="15"/>
      <c r="U588" s="15"/>
      <c r="V588" s="15"/>
      <c r="W588" s="47"/>
      <c r="X588" s="11"/>
      <c r="Y588" s="48"/>
      <c r="Z588" s="11"/>
      <c r="AA588" s="48"/>
      <c r="AB588" s="11"/>
      <c r="AC588" s="48"/>
      <c r="AD588" s="11"/>
      <c r="AE588" s="47"/>
      <c r="AF588" s="11"/>
      <c r="AG588" s="48"/>
      <c r="AH588" s="11"/>
      <c r="AI588" s="48"/>
      <c r="AJ588" s="11"/>
      <c r="AK588" s="48"/>
      <c r="AL588" s="11"/>
      <c r="AM588" s="49"/>
      <c r="AN588" s="49"/>
      <c r="AO588" s="11"/>
      <c r="AP588" s="11"/>
      <c r="AQ588" s="28" t="b">
        <f>IF(COUNTIF(SmartStatus!A$2:A1000, AM588) &gt; 2, TRUE, FALSE)</f>
        <v>0</v>
      </c>
      <c r="AR588" s="29" t="str">
        <f ca="1">IFERROR(__xludf.DUMMYFUNCTION("iferror(if(regexmatch(AO588, ""(?i)^registered""), if(EE588 &lt;&gt; ""polity_shortest_name"", ""CHECK_POLITY"", index(filter(SmartStatus!B$2:B1000, AM588 = SmartStatus!A$2:A1000, not(SmartStatus!C$2:C1000), (isblank(SmartStatus!D$2:D1000)) + ((P588 &lt;&gt; """") * "&amp;"(P588 &lt; SmartStatus!D$2:D1000)), (isblank(SmartStatus!E$2:E1000)) + ((P588 &lt;&gt; """") * (P588 &gt;= SmartStatus!E$2:E1000)), (isblank(SmartStatus!F$2:F1000)) + (((Q588 &lt;&gt; """") * (Q588 &lt; SmartStatus!F$2:F1000)) + ((P588 &lt;&gt; """") * (date(year(P588) + 3, month(P"&amp;"588), day(P588)) &lt; SmartStatus!F$2:F1000))), (isblank(SmartStatus!G$2:G1000)) + (((Q588 &lt;&gt; """") * (Q588 &gt;= SmartStatus!G$2:G1000)) + ((P588 &lt;&gt; """") * (P588 &gt;= SmartStatus!G$2:G1000)))), if(or(regexmatch(B588, ""(?i)^ir [a-z]+ designation$""), N588 &lt;&gt; """&amp;"""), 1, 2))), """"), ""NO_MATCH"")"),"")</f>
        <v/>
      </c>
      <c r="AS588" s="11"/>
      <c r="AT588" s="15"/>
      <c r="AU588" s="11"/>
      <c r="AV588" s="11"/>
      <c r="AW588" s="15"/>
      <c r="AX588" s="15"/>
      <c r="AY588" s="15"/>
      <c r="AZ588" s="11"/>
      <c r="BA588" s="15"/>
      <c r="BB588" s="11"/>
      <c r="BC588" s="11"/>
      <c r="BD588" s="15"/>
      <c r="BE588" s="11"/>
      <c r="BF588" s="11"/>
      <c r="BG588" s="15"/>
      <c r="BH588" s="15"/>
      <c r="BI588" s="15"/>
      <c r="BJ588" s="11"/>
      <c r="BK588" s="15"/>
      <c r="BL588" s="11"/>
      <c r="BM588" s="11"/>
      <c r="BN588" s="15"/>
      <c r="BO588" s="11"/>
      <c r="BP588" s="11"/>
      <c r="BQ588" s="15"/>
      <c r="BR588" s="15"/>
      <c r="BS588" s="15"/>
      <c r="BT588" s="11"/>
      <c r="BU588" s="15"/>
      <c r="BV588" s="11"/>
      <c r="BW588" s="11"/>
      <c r="BX588" s="15"/>
      <c r="BY588" s="11"/>
      <c r="BZ588" s="11"/>
      <c r="CA588" s="15"/>
      <c r="CB588" s="11"/>
      <c r="CC588" s="15"/>
      <c r="CD588" s="11"/>
      <c r="CE588" s="15"/>
      <c r="CF588" s="11"/>
      <c r="CG588" s="11"/>
      <c r="CH588" s="15"/>
      <c r="CI588" s="11"/>
      <c r="CJ588" s="11"/>
      <c r="CK588" s="15"/>
      <c r="CL588" s="11"/>
      <c r="CM588" s="11"/>
      <c r="CN588" s="11"/>
      <c r="CO588" s="11"/>
      <c r="CP588" s="28"/>
      <c r="CQ588" s="28"/>
      <c r="CR588" s="11"/>
      <c r="CS588" s="29"/>
      <c r="CT588" s="11"/>
      <c r="CU588" s="11"/>
      <c r="CV588" s="11"/>
      <c r="CW588" s="11"/>
      <c r="CX588" s="11"/>
      <c r="CY588" s="11"/>
      <c r="CZ588" s="11"/>
      <c r="DA588" s="28"/>
      <c r="DB588" s="28"/>
      <c r="DC588" s="11"/>
      <c r="DD588" s="29"/>
      <c r="DE588" s="11"/>
      <c r="DF588" s="11"/>
      <c r="DG588" s="11"/>
      <c r="DH588" s="11"/>
      <c r="DI588" s="11"/>
      <c r="DJ588" s="11"/>
      <c r="DK588" s="26"/>
      <c r="DL588" s="11"/>
      <c r="DM588" s="29"/>
      <c r="DN588" s="28"/>
      <c r="DO588" s="11"/>
      <c r="DP588" s="11"/>
      <c r="DQ588" s="11"/>
      <c r="DR588" s="29"/>
      <c r="DS588" s="28"/>
      <c r="DT588" s="11"/>
      <c r="DU588" s="26"/>
      <c r="DV588" s="11"/>
      <c r="DW588" s="29"/>
      <c r="DX588" s="28"/>
      <c r="DY588" s="11"/>
      <c r="DZ588" s="26"/>
      <c r="EA588" s="11"/>
      <c r="EB588" s="29"/>
      <c r="EC588" s="28"/>
      <c r="ED588" s="30"/>
      <c r="EE588" s="30" t="str">
        <f ca="1">IFERROR(__xludf.DUMMYFUNCTION("iferror(index(filter('Internal -- Trademark Countries'!E$2:E1000, (AM588 = 'Internal -- Trademark Countries'!B$2:B1000) + (AM588 = 'Internal -- Trademark Countries'!C$2:C1000) + (AM588 = 'Internal -- Trademark Countries'!D$2:D1000)), 1))"),"")</f>
        <v/>
      </c>
      <c r="EF588" s="30" t="e">
        <f ca="1">_xludf.ifs(AM588="", "", COUNTIF('Internal -- Trademark Countries'!B:B,AM588) &gt; 0, "polity_shortest_name", COUNTIF('Internal -- Trademark Countries'!C:C,AM588) &gt; 0, "polity_full_name", COUNTIF('Internal -- Trademark Countries'!D:D,AM588) &gt; 0, "polity_common_name", COUNTIF('Internal -- Trademark Countries'!E:E,AM588) &gt; 0, "shortest_name", COUNTIF('Internal -- Trademark Countries'!A:A,AM588) &gt; 0, "full_name", TRUE, "not a match")</f>
        <v>#NAME?</v>
      </c>
      <c r="EG588" s="30"/>
      <c r="EH588" s="30"/>
      <c r="EI588" s="30"/>
      <c r="EJ588" s="30"/>
      <c r="EK588" s="30" t="str">
        <f t="shared" si="4"/>
        <v/>
      </c>
    </row>
    <row r="589" spans="1:141" ht="16.5">
      <c r="A589" s="11"/>
      <c r="B589" s="11"/>
      <c r="C589" s="11"/>
      <c r="D589" s="11"/>
      <c r="E589" s="11"/>
      <c r="F589" s="11"/>
      <c r="G589" s="11"/>
      <c r="H589" s="11"/>
      <c r="I589" s="11"/>
      <c r="J589" s="11"/>
      <c r="K589" s="27"/>
      <c r="L589" s="11"/>
      <c r="M589" s="11"/>
      <c r="N589" s="11"/>
      <c r="O589" s="11"/>
      <c r="P589" s="15"/>
      <c r="Q589" s="15"/>
      <c r="R589" s="15"/>
      <c r="S589" s="15"/>
      <c r="T589" s="15"/>
      <c r="U589" s="15"/>
      <c r="V589" s="15"/>
      <c r="W589" s="47"/>
      <c r="X589" s="11"/>
      <c r="Y589" s="48"/>
      <c r="Z589" s="11"/>
      <c r="AA589" s="48"/>
      <c r="AB589" s="11"/>
      <c r="AC589" s="48"/>
      <c r="AD589" s="11"/>
      <c r="AE589" s="47"/>
      <c r="AF589" s="11"/>
      <c r="AG589" s="48"/>
      <c r="AH589" s="11"/>
      <c r="AI589" s="48"/>
      <c r="AJ589" s="11"/>
      <c r="AK589" s="48"/>
      <c r="AL589" s="11"/>
      <c r="AM589" s="49"/>
      <c r="AN589" s="49"/>
      <c r="AO589" s="11"/>
      <c r="AP589" s="11"/>
      <c r="AQ589" s="28" t="b">
        <f>IF(COUNTIF(SmartStatus!A$2:A1000, AM589) &gt; 2, TRUE, FALSE)</f>
        <v>0</v>
      </c>
      <c r="AR589" s="29" t="str">
        <f ca="1">IFERROR(__xludf.DUMMYFUNCTION("iferror(if(regexmatch(AO589, ""(?i)^registered""), if(EE589 &lt;&gt; ""polity_shortest_name"", ""CHECK_POLITY"", index(filter(SmartStatus!B$2:B1000, AM589 = SmartStatus!A$2:A1000, not(SmartStatus!C$2:C1000), (isblank(SmartStatus!D$2:D1000)) + ((P589 &lt;&gt; """") * "&amp;"(P589 &lt; SmartStatus!D$2:D1000)), (isblank(SmartStatus!E$2:E1000)) + ((P589 &lt;&gt; """") * (P589 &gt;= SmartStatus!E$2:E1000)), (isblank(SmartStatus!F$2:F1000)) + (((Q589 &lt;&gt; """") * (Q589 &lt; SmartStatus!F$2:F1000)) + ((P589 &lt;&gt; """") * (date(year(P589) + 3, month(P"&amp;"589), day(P589)) &lt; SmartStatus!F$2:F1000))), (isblank(SmartStatus!G$2:G1000)) + (((Q589 &lt;&gt; """") * (Q589 &gt;= SmartStatus!G$2:G1000)) + ((P589 &lt;&gt; """") * (P589 &gt;= SmartStatus!G$2:G1000)))), if(or(regexmatch(B589, ""(?i)^ir [a-z]+ designation$""), N589 &lt;&gt; """&amp;"""), 1, 2))), """"), ""NO_MATCH"")"),"")</f>
        <v/>
      </c>
      <c r="AS589" s="11"/>
      <c r="AT589" s="15"/>
      <c r="AU589" s="11"/>
      <c r="AV589" s="11"/>
      <c r="AW589" s="15"/>
      <c r="AX589" s="15"/>
      <c r="AY589" s="15"/>
      <c r="AZ589" s="11"/>
      <c r="BA589" s="15"/>
      <c r="BB589" s="11"/>
      <c r="BC589" s="11"/>
      <c r="BD589" s="15"/>
      <c r="BE589" s="11"/>
      <c r="BF589" s="11"/>
      <c r="BG589" s="15"/>
      <c r="BH589" s="15"/>
      <c r="BI589" s="15"/>
      <c r="BJ589" s="11"/>
      <c r="BK589" s="15"/>
      <c r="BL589" s="11"/>
      <c r="BM589" s="11"/>
      <c r="BN589" s="15"/>
      <c r="BO589" s="11"/>
      <c r="BP589" s="11"/>
      <c r="BQ589" s="15"/>
      <c r="BR589" s="15"/>
      <c r="BS589" s="15"/>
      <c r="BT589" s="11"/>
      <c r="BU589" s="15"/>
      <c r="BV589" s="11"/>
      <c r="BW589" s="11"/>
      <c r="BX589" s="15"/>
      <c r="BY589" s="11"/>
      <c r="BZ589" s="11"/>
      <c r="CA589" s="15"/>
      <c r="CB589" s="11"/>
      <c r="CC589" s="15"/>
      <c r="CD589" s="11"/>
      <c r="CE589" s="15"/>
      <c r="CF589" s="11"/>
      <c r="CG589" s="11"/>
      <c r="CH589" s="15"/>
      <c r="CI589" s="11"/>
      <c r="CJ589" s="11"/>
      <c r="CK589" s="15"/>
      <c r="CL589" s="11"/>
      <c r="CM589" s="11"/>
      <c r="CN589" s="11"/>
      <c r="CO589" s="11"/>
      <c r="CP589" s="28"/>
      <c r="CQ589" s="28"/>
      <c r="CR589" s="11"/>
      <c r="CS589" s="29"/>
      <c r="CT589" s="11"/>
      <c r="CU589" s="11"/>
      <c r="CV589" s="11"/>
      <c r="CW589" s="11"/>
      <c r="CX589" s="11"/>
      <c r="CY589" s="11"/>
      <c r="CZ589" s="11"/>
      <c r="DA589" s="28"/>
      <c r="DB589" s="28"/>
      <c r="DC589" s="11"/>
      <c r="DD589" s="29"/>
      <c r="DE589" s="11"/>
      <c r="DF589" s="11"/>
      <c r="DG589" s="11"/>
      <c r="DH589" s="11"/>
      <c r="DI589" s="11"/>
      <c r="DJ589" s="11"/>
      <c r="DK589" s="26"/>
      <c r="DL589" s="11"/>
      <c r="DM589" s="29"/>
      <c r="DN589" s="28"/>
      <c r="DO589" s="11"/>
      <c r="DP589" s="11"/>
      <c r="DQ589" s="11"/>
      <c r="DR589" s="29"/>
      <c r="DS589" s="28"/>
      <c r="DT589" s="11"/>
      <c r="DU589" s="26"/>
      <c r="DV589" s="11"/>
      <c r="DW589" s="29"/>
      <c r="DX589" s="28"/>
      <c r="DY589" s="11"/>
      <c r="DZ589" s="26"/>
      <c r="EA589" s="11"/>
      <c r="EB589" s="29"/>
      <c r="EC589" s="28"/>
      <c r="ED589" s="30"/>
      <c r="EE589" s="30" t="str">
        <f ca="1">IFERROR(__xludf.DUMMYFUNCTION("iferror(index(filter('Internal -- Trademark Countries'!E$2:E1000, (AM589 = 'Internal -- Trademark Countries'!B$2:B1000) + (AM589 = 'Internal -- Trademark Countries'!C$2:C1000) + (AM589 = 'Internal -- Trademark Countries'!D$2:D1000)), 1))"),"")</f>
        <v/>
      </c>
      <c r="EF589" s="30" t="e">
        <f ca="1">_xludf.ifs(AM589="", "", COUNTIF('Internal -- Trademark Countries'!B:B,AM589) &gt; 0, "polity_shortest_name", COUNTIF('Internal -- Trademark Countries'!C:C,AM589) &gt; 0, "polity_full_name", COUNTIF('Internal -- Trademark Countries'!D:D,AM589) &gt; 0, "polity_common_name", COUNTIF('Internal -- Trademark Countries'!E:E,AM589) &gt; 0, "shortest_name", COUNTIF('Internal -- Trademark Countries'!A:A,AM589) &gt; 0, "full_name", TRUE, "not a match")</f>
        <v>#NAME?</v>
      </c>
      <c r="EG589" s="30"/>
      <c r="EH589" s="30"/>
      <c r="EI589" s="30"/>
      <c r="EJ589" s="30"/>
      <c r="EK589" s="30" t="str">
        <f t="shared" si="4"/>
        <v/>
      </c>
    </row>
    <row r="590" spans="1:141" ht="16.5">
      <c r="A590" s="11"/>
      <c r="B590" s="11"/>
      <c r="C590" s="11"/>
      <c r="D590" s="11"/>
      <c r="E590" s="11"/>
      <c r="F590" s="11"/>
      <c r="G590" s="11"/>
      <c r="H590" s="11"/>
      <c r="I590" s="11"/>
      <c r="J590" s="11"/>
      <c r="K590" s="27"/>
      <c r="L590" s="11"/>
      <c r="M590" s="11"/>
      <c r="N590" s="11"/>
      <c r="O590" s="11"/>
      <c r="P590" s="15"/>
      <c r="Q590" s="15"/>
      <c r="R590" s="15"/>
      <c r="S590" s="15"/>
      <c r="T590" s="15"/>
      <c r="U590" s="15"/>
      <c r="V590" s="15"/>
      <c r="W590" s="47"/>
      <c r="X590" s="11"/>
      <c r="Y590" s="48"/>
      <c r="Z590" s="11"/>
      <c r="AA590" s="48"/>
      <c r="AB590" s="11"/>
      <c r="AC590" s="48"/>
      <c r="AD590" s="11"/>
      <c r="AE590" s="47"/>
      <c r="AF590" s="11"/>
      <c r="AG590" s="48"/>
      <c r="AH590" s="11"/>
      <c r="AI590" s="48"/>
      <c r="AJ590" s="11"/>
      <c r="AK590" s="48"/>
      <c r="AL590" s="11"/>
      <c r="AM590" s="49"/>
      <c r="AN590" s="49"/>
      <c r="AO590" s="11"/>
      <c r="AP590" s="11"/>
      <c r="AQ590" s="28" t="b">
        <f>IF(COUNTIF(SmartStatus!A$2:A1000, AM590) &gt; 2, TRUE, FALSE)</f>
        <v>0</v>
      </c>
      <c r="AR590" s="29" t="str">
        <f ca="1">IFERROR(__xludf.DUMMYFUNCTION("iferror(if(regexmatch(AO590, ""(?i)^registered""), if(EE590 &lt;&gt; ""polity_shortest_name"", ""CHECK_POLITY"", index(filter(SmartStatus!B$2:B1000, AM590 = SmartStatus!A$2:A1000, not(SmartStatus!C$2:C1000), (isblank(SmartStatus!D$2:D1000)) + ((P590 &lt;&gt; """") * "&amp;"(P590 &lt; SmartStatus!D$2:D1000)), (isblank(SmartStatus!E$2:E1000)) + ((P590 &lt;&gt; """") * (P590 &gt;= SmartStatus!E$2:E1000)), (isblank(SmartStatus!F$2:F1000)) + (((Q590 &lt;&gt; """") * (Q590 &lt; SmartStatus!F$2:F1000)) + ((P590 &lt;&gt; """") * (date(year(P590) + 3, month(P"&amp;"590), day(P590)) &lt; SmartStatus!F$2:F1000))), (isblank(SmartStatus!G$2:G1000)) + (((Q590 &lt;&gt; """") * (Q590 &gt;= SmartStatus!G$2:G1000)) + ((P590 &lt;&gt; """") * (P590 &gt;= SmartStatus!G$2:G1000)))), if(or(regexmatch(B590, ""(?i)^ir [a-z]+ designation$""), N590 &lt;&gt; """&amp;"""), 1, 2))), """"), ""NO_MATCH"")"),"")</f>
        <v/>
      </c>
      <c r="AS590" s="11"/>
      <c r="AT590" s="15"/>
      <c r="AU590" s="11"/>
      <c r="AV590" s="11"/>
      <c r="AW590" s="15"/>
      <c r="AX590" s="15"/>
      <c r="AY590" s="15"/>
      <c r="AZ590" s="11"/>
      <c r="BA590" s="15"/>
      <c r="BB590" s="11"/>
      <c r="BC590" s="11"/>
      <c r="BD590" s="15"/>
      <c r="BE590" s="11"/>
      <c r="BF590" s="11"/>
      <c r="BG590" s="15"/>
      <c r="BH590" s="15"/>
      <c r="BI590" s="15"/>
      <c r="BJ590" s="11"/>
      <c r="BK590" s="15"/>
      <c r="BL590" s="11"/>
      <c r="BM590" s="11"/>
      <c r="BN590" s="15"/>
      <c r="BO590" s="11"/>
      <c r="BP590" s="11"/>
      <c r="BQ590" s="15"/>
      <c r="BR590" s="15"/>
      <c r="BS590" s="15"/>
      <c r="BT590" s="11"/>
      <c r="BU590" s="15"/>
      <c r="BV590" s="11"/>
      <c r="BW590" s="11"/>
      <c r="BX590" s="15"/>
      <c r="BY590" s="11"/>
      <c r="BZ590" s="11"/>
      <c r="CA590" s="15"/>
      <c r="CB590" s="11"/>
      <c r="CC590" s="15"/>
      <c r="CD590" s="11"/>
      <c r="CE590" s="15"/>
      <c r="CF590" s="11"/>
      <c r="CG590" s="11"/>
      <c r="CH590" s="15"/>
      <c r="CI590" s="11"/>
      <c r="CJ590" s="11"/>
      <c r="CK590" s="15"/>
      <c r="CL590" s="11"/>
      <c r="CM590" s="11"/>
      <c r="CN590" s="11"/>
      <c r="CO590" s="11"/>
      <c r="CP590" s="28"/>
      <c r="CQ590" s="28"/>
      <c r="CR590" s="11"/>
      <c r="CS590" s="29"/>
      <c r="CT590" s="11"/>
      <c r="CU590" s="11"/>
      <c r="CV590" s="11"/>
      <c r="CW590" s="11"/>
      <c r="CX590" s="11"/>
      <c r="CY590" s="11"/>
      <c r="CZ590" s="11"/>
      <c r="DA590" s="28"/>
      <c r="DB590" s="28"/>
      <c r="DC590" s="11"/>
      <c r="DD590" s="29"/>
      <c r="DE590" s="11"/>
      <c r="DF590" s="11"/>
      <c r="DG590" s="11"/>
      <c r="DH590" s="11"/>
      <c r="DI590" s="11"/>
      <c r="DJ590" s="11"/>
      <c r="DK590" s="26"/>
      <c r="DL590" s="11"/>
      <c r="DM590" s="29"/>
      <c r="DN590" s="28"/>
      <c r="DO590" s="11"/>
      <c r="DP590" s="11"/>
      <c r="DQ590" s="11"/>
      <c r="DR590" s="29"/>
      <c r="DS590" s="28"/>
      <c r="DT590" s="11"/>
      <c r="DU590" s="26"/>
      <c r="DV590" s="11"/>
      <c r="DW590" s="29"/>
      <c r="DX590" s="28"/>
      <c r="DY590" s="11"/>
      <c r="DZ590" s="26"/>
      <c r="EA590" s="11"/>
      <c r="EB590" s="29"/>
      <c r="EC590" s="28"/>
      <c r="ED590" s="30"/>
      <c r="EE590" s="30" t="str">
        <f ca="1">IFERROR(__xludf.DUMMYFUNCTION("iferror(index(filter('Internal -- Trademark Countries'!E$2:E1000, (AM590 = 'Internal -- Trademark Countries'!B$2:B1000) + (AM590 = 'Internal -- Trademark Countries'!C$2:C1000) + (AM590 = 'Internal -- Trademark Countries'!D$2:D1000)), 1))"),"")</f>
        <v/>
      </c>
      <c r="EF590" s="30" t="e">
        <f ca="1">_xludf.ifs(AM590="", "", COUNTIF('Internal -- Trademark Countries'!B:B,AM590) &gt; 0, "polity_shortest_name", COUNTIF('Internal -- Trademark Countries'!C:C,AM590) &gt; 0, "polity_full_name", COUNTIF('Internal -- Trademark Countries'!D:D,AM590) &gt; 0, "polity_common_name", COUNTIF('Internal -- Trademark Countries'!E:E,AM590) &gt; 0, "shortest_name", COUNTIF('Internal -- Trademark Countries'!A:A,AM590) &gt; 0, "full_name", TRUE, "not a match")</f>
        <v>#NAME?</v>
      </c>
      <c r="EG590" s="30"/>
      <c r="EH590" s="30"/>
      <c r="EI590" s="30"/>
      <c r="EJ590" s="30"/>
      <c r="EK590" s="30" t="str">
        <f t="shared" si="4"/>
        <v/>
      </c>
    </row>
    <row r="591" spans="1:141" ht="16.5">
      <c r="A591" s="11"/>
      <c r="B591" s="11"/>
      <c r="C591" s="11"/>
      <c r="D591" s="11"/>
      <c r="E591" s="11"/>
      <c r="F591" s="11"/>
      <c r="G591" s="11"/>
      <c r="H591" s="11"/>
      <c r="I591" s="11"/>
      <c r="J591" s="11"/>
      <c r="K591" s="27"/>
      <c r="L591" s="11"/>
      <c r="M591" s="11"/>
      <c r="N591" s="11"/>
      <c r="O591" s="11"/>
      <c r="P591" s="15"/>
      <c r="Q591" s="15"/>
      <c r="R591" s="15"/>
      <c r="S591" s="15"/>
      <c r="T591" s="15"/>
      <c r="U591" s="15"/>
      <c r="V591" s="15"/>
      <c r="W591" s="47"/>
      <c r="X591" s="11"/>
      <c r="Y591" s="48"/>
      <c r="Z591" s="11"/>
      <c r="AA591" s="48"/>
      <c r="AB591" s="11"/>
      <c r="AC591" s="48"/>
      <c r="AD591" s="11"/>
      <c r="AE591" s="47"/>
      <c r="AF591" s="11"/>
      <c r="AG591" s="48"/>
      <c r="AH591" s="11"/>
      <c r="AI591" s="48"/>
      <c r="AJ591" s="11"/>
      <c r="AK591" s="48"/>
      <c r="AL591" s="11"/>
      <c r="AM591" s="49"/>
      <c r="AN591" s="49"/>
      <c r="AO591" s="11"/>
      <c r="AP591" s="11"/>
      <c r="AQ591" s="28" t="b">
        <f>IF(COUNTIF(SmartStatus!A$2:A1000, AM591) &gt; 2, TRUE, FALSE)</f>
        <v>0</v>
      </c>
      <c r="AR591" s="29" t="str">
        <f ca="1">IFERROR(__xludf.DUMMYFUNCTION("iferror(if(regexmatch(AO591, ""(?i)^registered""), if(EE591 &lt;&gt; ""polity_shortest_name"", ""CHECK_POLITY"", index(filter(SmartStatus!B$2:B1000, AM591 = SmartStatus!A$2:A1000, not(SmartStatus!C$2:C1000), (isblank(SmartStatus!D$2:D1000)) + ((P591 &lt;&gt; """") * "&amp;"(P591 &lt; SmartStatus!D$2:D1000)), (isblank(SmartStatus!E$2:E1000)) + ((P591 &lt;&gt; """") * (P591 &gt;= SmartStatus!E$2:E1000)), (isblank(SmartStatus!F$2:F1000)) + (((Q591 &lt;&gt; """") * (Q591 &lt; SmartStatus!F$2:F1000)) + ((P591 &lt;&gt; """") * (date(year(P591) + 3, month(P"&amp;"591), day(P591)) &lt; SmartStatus!F$2:F1000))), (isblank(SmartStatus!G$2:G1000)) + (((Q591 &lt;&gt; """") * (Q591 &gt;= SmartStatus!G$2:G1000)) + ((P591 &lt;&gt; """") * (P591 &gt;= SmartStatus!G$2:G1000)))), if(or(regexmatch(B591, ""(?i)^ir [a-z]+ designation$""), N591 &lt;&gt; """&amp;"""), 1, 2))), """"), ""NO_MATCH"")"),"")</f>
        <v/>
      </c>
      <c r="AS591" s="11"/>
      <c r="AT591" s="15"/>
      <c r="AU591" s="11"/>
      <c r="AV591" s="11"/>
      <c r="AW591" s="15"/>
      <c r="AX591" s="15"/>
      <c r="AY591" s="15"/>
      <c r="AZ591" s="11"/>
      <c r="BA591" s="15"/>
      <c r="BB591" s="11"/>
      <c r="BC591" s="11"/>
      <c r="BD591" s="15"/>
      <c r="BE591" s="11"/>
      <c r="BF591" s="11"/>
      <c r="BG591" s="15"/>
      <c r="BH591" s="15"/>
      <c r="BI591" s="15"/>
      <c r="BJ591" s="11"/>
      <c r="BK591" s="15"/>
      <c r="BL591" s="11"/>
      <c r="BM591" s="11"/>
      <c r="BN591" s="15"/>
      <c r="BO591" s="11"/>
      <c r="BP591" s="11"/>
      <c r="BQ591" s="15"/>
      <c r="BR591" s="15"/>
      <c r="BS591" s="15"/>
      <c r="BT591" s="11"/>
      <c r="BU591" s="15"/>
      <c r="BV591" s="11"/>
      <c r="BW591" s="11"/>
      <c r="BX591" s="15"/>
      <c r="BY591" s="11"/>
      <c r="BZ591" s="11"/>
      <c r="CA591" s="15"/>
      <c r="CB591" s="11"/>
      <c r="CC591" s="15"/>
      <c r="CD591" s="11"/>
      <c r="CE591" s="15"/>
      <c r="CF591" s="11"/>
      <c r="CG591" s="11"/>
      <c r="CH591" s="15"/>
      <c r="CI591" s="11"/>
      <c r="CJ591" s="11"/>
      <c r="CK591" s="15"/>
      <c r="CL591" s="11"/>
      <c r="CM591" s="11"/>
      <c r="CN591" s="11"/>
      <c r="CO591" s="11"/>
      <c r="CP591" s="28"/>
      <c r="CQ591" s="28"/>
      <c r="CR591" s="11"/>
      <c r="CS591" s="29"/>
      <c r="CT591" s="11"/>
      <c r="CU591" s="11"/>
      <c r="CV591" s="11"/>
      <c r="CW591" s="11"/>
      <c r="CX591" s="11"/>
      <c r="CY591" s="11"/>
      <c r="CZ591" s="11"/>
      <c r="DA591" s="28"/>
      <c r="DB591" s="28"/>
      <c r="DC591" s="11"/>
      <c r="DD591" s="29"/>
      <c r="DE591" s="11"/>
      <c r="DF591" s="11"/>
      <c r="DG591" s="11"/>
      <c r="DH591" s="11"/>
      <c r="DI591" s="11"/>
      <c r="DJ591" s="11"/>
      <c r="DK591" s="26"/>
      <c r="DL591" s="11"/>
      <c r="DM591" s="29"/>
      <c r="DN591" s="28"/>
      <c r="DO591" s="11"/>
      <c r="DP591" s="11"/>
      <c r="DQ591" s="11"/>
      <c r="DR591" s="29"/>
      <c r="DS591" s="28"/>
      <c r="DT591" s="11"/>
      <c r="DU591" s="26"/>
      <c r="DV591" s="11"/>
      <c r="DW591" s="29"/>
      <c r="DX591" s="28"/>
      <c r="DY591" s="11"/>
      <c r="DZ591" s="26"/>
      <c r="EA591" s="11"/>
      <c r="EB591" s="29"/>
      <c r="EC591" s="28"/>
      <c r="ED591" s="30"/>
      <c r="EE591" s="30" t="str">
        <f ca="1">IFERROR(__xludf.DUMMYFUNCTION("iferror(index(filter('Internal -- Trademark Countries'!E$2:E1000, (AM591 = 'Internal -- Trademark Countries'!B$2:B1000) + (AM591 = 'Internal -- Trademark Countries'!C$2:C1000) + (AM591 = 'Internal -- Trademark Countries'!D$2:D1000)), 1))"),"")</f>
        <v/>
      </c>
      <c r="EF591" s="30" t="e">
        <f ca="1">_xludf.ifs(AM591="", "", COUNTIF('Internal -- Trademark Countries'!B:B,AM591) &gt; 0, "polity_shortest_name", COUNTIF('Internal -- Trademark Countries'!C:C,AM591) &gt; 0, "polity_full_name", COUNTIF('Internal -- Trademark Countries'!D:D,AM591) &gt; 0, "polity_common_name", COUNTIF('Internal -- Trademark Countries'!E:E,AM591) &gt; 0, "shortest_name", COUNTIF('Internal -- Trademark Countries'!A:A,AM591) &gt; 0, "full_name", TRUE, "not a match")</f>
        <v>#NAME?</v>
      </c>
      <c r="EG591" s="30"/>
      <c r="EH591" s="30"/>
      <c r="EI591" s="30"/>
      <c r="EJ591" s="30"/>
      <c r="EK591" s="30" t="str">
        <f t="shared" si="4"/>
        <v/>
      </c>
    </row>
    <row r="592" spans="1:141" ht="16.5">
      <c r="A592" s="11"/>
      <c r="B592" s="11"/>
      <c r="C592" s="11"/>
      <c r="D592" s="11"/>
      <c r="E592" s="11"/>
      <c r="F592" s="11"/>
      <c r="G592" s="11"/>
      <c r="H592" s="11"/>
      <c r="I592" s="11"/>
      <c r="J592" s="11"/>
      <c r="K592" s="27"/>
      <c r="L592" s="11"/>
      <c r="M592" s="11"/>
      <c r="N592" s="11"/>
      <c r="O592" s="11"/>
      <c r="P592" s="15"/>
      <c r="Q592" s="15"/>
      <c r="R592" s="15"/>
      <c r="S592" s="15"/>
      <c r="T592" s="15"/>
      <c r="U592" s="15"/>
      <c r="V592" s="15"/>
      <c r="W592" s="47"/>
      <c r="X592" s="11"/>
      <c r="Y592" s="48"/>
      <c r="Z592" s="11"/>
      <c r="AA592" s="48"/>
      <c r="AB592" s="11"/>
      <c r="AC592" s="48"/>
      <c r="AD592" s="11"/>
      <c r="AE592" s="47"/>
      <c r="AF592" s="11"/>
      <c r="AG592" s="48"/>
      <c r="AH592" s="11"/>
      <c r="AI592" s="48"/>
      <c r="AJ592" s="11"/>
      <c r="AK592" s="48"/>
      <c r="AL592" s="11"/>
      <c r="AM592" s="49"/>
      <c r="AN592" s="49"/>
      <c r="AO592" s="11"/>
      <c r="AP592" s="11"/>
      <c r="AQ592" s="28" t="b">
        <f>IF(COUNTIF(SmartStatus!A$2:A1000, AM592) &gt; 2, TRUE, FALSE)</f>
        <v>0</v>
      </c>
      <c r="AR592" s="29" t="str">
        <f ca="1">IFERROR(__xludf.DUMMYFUNCTION("iferror(if(regexmatch(AO592, ""(?i)^registered""), if(EE592 &lt;&gt; ""polity_shortest_name"", ""CHECK_POLITY"", index(filter(SmartStatus!B$2:B1000, AM592 = SmartStatus!A$2:A1000, not(SmartStatus!C$2:C1000), (isblank(SmartStatus!D$2:D1000)) + ((P592 &lt;&gt; """") * "&amp;"(P592 &lt; SmartStatus!D$2:D1000)), (isblank(SmartStatus!E$2:E1000)) + ((P592 &lt;&gt; """") * (P592 &gt;= SmartStatus!E$2:E1000)), (isblank(SmartStatus!F$2:F1000)) + (((Q592 &lt;&gt; """") * (Q592 &lt; SmartStatus!F$2:F1000)) + ((P592 &lt;&gt; """") * (date(year(P592) + 3, month(P"&amp;"592), day(P592)) &lt; SmartStatus!F$2:F1000))), (isblank(SmartStatus!G$2:G1000)) + (((Q592 &lt;&gt; """") * (Q592 &gt;= SmartStatus!G$2:G1000)) + ((P592 &lt;&gt; """") * (P592 &gt;= SmartStatus!G$2:G1000)))), if(or(regexmatch(B592, ""(?i)^ir [a-z]+ designation$""), N592 &lt;&gt; """&amp;"""), 1, 2))), """"), ""NO_MATCH"")"),"")</f>
        <v/>
      </c>
      <c r="AS592" s="11"/>
      <c r="AT592" s="15"/>
      <c r="AU592" s="11"/>
      <c r="AV592" s="11"/>
      <c r="AW592" s="15"/>
      <c r="AX592" s="15"/>
      <c r="AY592" s="15"/>
      <c r="AZ592" s="11"/>
      <c r="BA592" s="15"/>
      <c r="BB592" s="11"/>
      <c r="BC592" s="11"/>
      <c r="BD592" s="15"/>
      <c r="BE592" s="11"/>
      <c r="BF592" s="11"/>
      <c r="BG592" s="15"/>
      <c r="BH592" s="15"/>
      <c r="BI592" s="15"/>
      <c r="BJ592" s="11"/>
      <c r="BK592" s="15"/>
      <c r="BL592" s="11"/>
      <c r="BM592" s="11"/>
      <c r="BN592" s="15"/>
      <c r="BO592" s="11"/>
      <c r="BP592" s="11"/>
      <c r="BQ592" s="15"/>
      <c r="BR592" s="15"/>
      <c r="BS592" s="15"/>
      <c r="BT592" s="11"/>
      <c r="BU592" s="15"/>
      <c r="BV592" s="11"/>
      <c r="BW592" s="11"/>
      <c r="BX592" s="15"/>
      <c r="BY592" s="11"/>
      <c r="BZ592" s="11"/>
      <c r="CA592" s="15"/>
      <c r="CB592" s="11"/>
      <c r="CC592" s="15"/>
      <c r="CD592" s="11"/>
      <c r="CE592" s="15"/>
      <c r="CF592" s="11"/>
      <c r="CG592" s="11"/>
      <c r="CH592" s="15"/>
      <c r="CI592" s="11"/>
      <c r="CJ592" s="11"/>
      <c r="CK592" s="15"/>
      <c r="CL592" s="11"/>
      <c r="CM592" s="11"/>
      <c r="CN592" s="11"/>
      <c r="CO592" s="11"/>
      <c r="CP592" s="28"/>
      <c r="CQ592" s="28"/>
      <c r="CR592" s="11"/>
      <c r="CS592" s="29"/>
      <c r="CT592" s="11"/>
      <c r="CU592" s="11"/>
      <c r="CV592" s="11"/>
      <c r="CW592" s="11"/>
      <c r="CX592" s="11"/>
      <c r="CY592" s="11"/>
      <c r="CZ592" s="11"/>
      <c r="DA592" s="28"/>
      <c r="DB592" s="28"/>
      <c r="DC592" s="11"/>
      <c r="DD592" s="29"/>
      <c r="DE592" s="11"/>
      <c r="DF592" s="11"/>
      <c r="DG592" s="11"/>
      <c r="DH592" s="11"/>
      <c r="DI592" s="11"/>
      <c r="DJ592" s="11"/>
      <c r="DK592" s="26"/>
      <c r="DL592" s="11"/>
      <c r="DM592" s="29"/>
      <c r="DN592" s="28"/>
      <c r="DO592" s="11"/>
      <c r="DP592" s="11"/>
      <c r="DQ592" s="11"/>
      <c r="DR592" s="29"/>
      <c r="DS592" s="28"/>
      <c r="DT592" s="11"/>
      <c r="DU592" s="26"/>
      <c r="DV592" s="11"/>
      <c r="DW592" s="29"/>
      <c r="DX592" s="28"/>
      <c r="DY592" s="11"/>
      <c r="DZ592" s="26"/>
      <c r="EA592" s="11"/>
      <c r="EB592" s="29"/>
      <c r="EC592" s="28"/>
      <c r="ED592" s="30"/>
      <c r="EE592" s="30" t="str">
        <f ca="1">IFERROR(__xludf.DUMMYFUNCTION("iferror(index(filter('Internal -- Trademark Countries'!E$2:E1000, (AM592 = 'Internal -- Trademark Countries'!B$2:B1000) + (AM592 = 'Internal -- Trademark Countries'!C$2:C1000) + (AM592 = 'Internal -- Trademark Countries'!D$2:D1000)), 1))"),"")</f>
        <v/>
      </c>
      <c r="EF592" s="30" t="e">
        <f ca="1">_xludf.ifs(AM592="", "", COUNTIF('Internal -- Trademark Countries'!B:B,AM592) &gt; 0, "polity_shortest_name", COUNTIF('Internal -- Trademark Countries'!C:C,AM592) &gt; 0, "polity_full_name", COUNTIF('Internal -- Trademark Countries'!D:D,AM592) &gt; 0, "polity_common_name", COUNTIF('Internal -- Trademark Countries'!E:E,AM592) &gt; 0, "shortest_name", COUNTIF('Internal -- Trademark Countries'!A:A,AM592) &gt; 0, "full_name", TRUE, "not a match")</f>
        <v>#NAME?</v>
      </c>
      <c r="EG592" s="30"/>
      <c r="EH592" s="30"/>
      <c r="EI592" s="30"/>
      <c r="EJ592" s="30"/>
      <c r="EK592" s="30" t="str">
        <f t="shared" si="4"/>
        <v/>
      </c>
    </row>
    <row r="593" spans="1:141" ht="16.5">
      <c r="A593" s="11"/>
      <c r="B593" s="11"/>
      <c r="C593" s="11"/>
      <c r="D593" s="11"/>
      <c r="E593" s="11"/>
      <c r="F593" s="11"/>
      <c r="G593" s="11"/>
      <c r="H593" s="11"/>
      <c r="I593" s="11"/>
      <c r="J593" s="11"/>
      <c r="K593" s="27"/>
      <c r="L593" s="11"/>
      <c r="M593" s="11"/>
      <c r="N593" s="11"/>
      <c r="O593" s="11"/>
      <c r="P593" s="15"/>
      <c r="Q593" s="15"/>
      <c r="R593" s="15"/>
      <c r="S593" s="15"/>
      <c r="T593" s="15"/>
      <c r="U593" s="15"/>
      <c r="V593" s="15"/>
      <c r="W593" s="47"/>
      <c r="X593" s="11"/>
      <c r="Y593" s="48"/>
      <c r="Z593" s="11"/>
      <c r="AA593" s="48"/>
      <c r="AB593" s="11"/>
      <c r="AC593" s="48"/>
      <c r="AD593" s="11"/>
      <c r="AE593" s="47"/>
      <c r="AF593" s="11"/>
      <c r="AG593" s="48"/>
      <c r="AH593" s="11"/>
      <c r="AI593" s="48"/>
      <c r="AJ593" s="11"/>
      <c r="AK593" s="48"/>
      <c r="AL593" s="11"/>
      <c r="AM593" s="49"/>
      <c r="AN593" s="49"/>
      <c r="AO593" s="11"/>
      <c r="AP593" s="11"/>
      <c r="AQ593" s="28" t="b">
        <f>IF(COUNTIF(SmartStatus!A$2:A1000, AM593) &gt; 2, TRUE, FALSE)</f>
        <v>0</v>
      </c>
      <c r="AR593" s="29" t="str">
        <f ca="1">IFERROR(__xludf.DUMMYFUNCTION("iferror(if(regexmatch(AO593, ""(?i)^registered""), if(EE593 &lt;&gt; ""polity_shortest_name"", ""CHECK_POLITY"", index(filter(SmartStatus!B$2:B1000, AM593 = SmartStatus!A$2:A1000, not(SmartStatus!C$2:C1000), (isblank(SmartStatus!D$2:D1000)) + ((P593 &lt;&gt; """") * "&amp;"(P593 &lt; SmartStatus!D$2:D1000)), (isblank(SmartStatus!E$2:E1000)) + ((P593 &lt;&gt; """") * (P593 &gt;= SmartStatus!E$2:E1000)), (isblank(SmartStatus!F$2:F1000)) + (((Q593 &lt;&gt; """") * (Q593 &lt; SmartStatus!F$2:F1000)) + ((P593 &lt;&gt; """") * (date(year(P593) + 3, month(P"&amp;"593), day(P593)) &lt; SmartStatus!F$2:F1000))), (isblank(SmartStatus!G$2:G1000)) + (((Q593 &lt;&gt; """") * (Q593 &gt;= SmartStatus!G$2:G1000)) + ((P593 &lt;&gt; """") * (P593 &gt;= SmartStatus!G$2:G1000)))), if(or(regexmatch(B593, ""(?i)^ir [a-z]+ designation$""), N593 &lt;&gt; """&amp;"""), 1, 2))), """"), ""NO_MATCH"")"),"")</f>
        <v/>
      </c>
      <c r="AS593" s="11"/>
      <c r="AT593" s="15"/>
      <c r="AU593" s="11"/>
      <c r="AV593" s="11"/>
      <c r="AW593" s="15"/>
      <c r="AX593" s="15"/>
      <c r="AY593" s="15"/>
      <c r="AZ593" s="11"/>
      <c r="BA593" s="15"/>
      <c r="BB593" s="11"/>
      <c r="BC593" s="11"/>
      <c r="BD593" s="15"/>
      <c r="BE593" s="11"/>
      <c r="BF593" s="11"/>
      <c r="BG593" s="15"/>
      <c r="BH593" s="15"/>
      <c r="BI593" s="15"/>
      <c r="BJ593" s="11"/>
      <c r="BK593" s="15"/>
      <c r="BL593" s="11"/>
      <c r="BM593" s="11"/>
      <c r="BN593" s="15"/>
      <c r="BO593" s="11"/>
      <c r="BP593" s="11"/>
      <c r="BQ593" s="15"/>
      <c r="BR593" s="15"/>
      <c r="BS593" s="15"/>
      <c r="BT593" s="11"/>
      <c r="BU593" s="15"/>
      <c r="BV593" s="11"/>
      <c r="BW593" s="11"/>
      <c r="BX593" s="15"/>
      <c r="BY593" s="11"/>
      <c r="BZ593" s="11"/>
      <c r="CA593" s="15"/>
      <c r="CB593" s="11"/>
      <c r="CC593" s="15"/>
      <c r="CD593" s="11"/>
      <c r="CE593" s="15"/>
      <c r="CF593" s="11"/>
      <c r="CG593" s="11"/>
      <c r="CH593" s="15"/>
      <c r="CI593" s="11"/>
      <c r="CJ593" s="11"/>
      <c r="CK593" s="15"/>
      <c r="CL593" s="11"/>
      <c r="CM593" s="11"/>
      <c r="CN593" s="11"/>
      <c r="CO593" s="11"/>
      <c r="CP593" s="28"/>
      <c r="CQ593" s="28"/>
      <c r="CR593" s="11"/>
      <c r="CS593" s="29"/>
      <c r="CT593" s="11"/>
      <c r="CU593" s="11"/>
      <c r="CV593" s="11"/>
      <c r="CW593" s="11"/>
      <c r="CX593" s="11"/>
      <c r="CY593" s="11"/>
      <c r="CZ593" s="11"/>
      <c r="DA593" s="28"/>
      <c r="DB593" s="28"/>
      <c r="DC593" s="11"/>
      <c r="DD593" s="29"/>
      <c r="DE593" s="11"/>
      <c r="DF593" s="11"/>
      <c r="DG593" s="11"/>
      <c r="DH593" s="11"/>
      <c r="DI593" s="11"/>
      <c r="DJ593" s="11"/>
      <c r="DK593" s="26"/>
      <c r="DL593" s="11"/>
      <c r="DM593" s="29"/>
      <c r="DN593" s="28"/>
      <c r="DO593" s="11"/>
      <c r="DP593" s="11"/>
      <c r="DQ593" s="11"/>
      <c r="DR593" s="29"/>
      <c r="DS593" s="28"/>
      <c r="DT593" s="11"/>
      <c r="DU593" s="26"/>
      <c r="DV593" s="11"/>
      <c r="DW593" s="29"/>
      <c r="DX593" s="28"/>
      <c r="DY593" s="11"/>
      <c r="DZ593" s="26"/>
      <c r="EA593" s="11"/>
      <c r="EB593" s="29"/>
      <c r="EC593" s="28"/>
      <c r="ED593" s="30"/>
      <c r="EE593" s="30" t="str">
        <f ca="1">IFERROR(__xludf.DUMMYFUNCTION("iferror(index(filter('Internal -- Trademark Countries'!E$2:E1000, (AM593 = 'Internal -- Trademark Countries'!B$2:B1000) + (AM593 = 'Internal -- Trademark Countries'!C$2:C1000) + (AM593 = 'Internal -- Trademark Countries'!D$2:D1000)), 1))"),"")</f>
        <v/>
      </c>
      <c r="EF593" s="30" t="e">
        <f ca="1">_xludf.ifs(AM593="", "", COUNTIF('Internal -- Trademark Countries'!B:B,AM593) &gt; 0, "polity_shortest_name", COUNTIF('Internal -- Trademark Countries'!C:C,AM593) &gt; 0, "polity_full_name", COUNTIF('Internal -- Trademark Countries'!D:D,AM593) &gt; 0, "polity_common_name", COUNTIF('Internal -- Trademark Countries'!E:E,AM593) &gt; 0, "shortest_name", COUNTIF('Internal -- Trademark Countries'!A:A,AM593) &gt; 0, "full_name", TRUE, "not a match")</f>
        <v>#NAME?</v>
      </c>
      <c r="EG593" s="30"/>
      <c r="EH593" s="30"/>
      <c r="EI593" s="30"/>
      <c r="EJ593" s="30"/>
      <c r="EK593" s="30" t="str">
        <f t="shared" si="4"/>
        <v/>
      </c>
    </row>
    <row r="594" spans="1:141" ht="16.5">
      <c r="A594" s="11"/>
      <c r="B594" s="11"/>
      <c r="C594" s="11"/>
      <c r="D594" s="11"/>
      <c r="E594" s="11"/>
      <c r="F594" s="11"/>
      <c r="G594" s="11"/>
      <c r="H594" s="11"/>
      <c r="I594" s="11"/>
      <c r="J594" s="11"/>
      <c r="K594" s="27"/>
      <c r="L594" s="11"/>
      <c r="M594" s="11"/>
      <c r="N594" s="11"/>
      <c r="O594" s="11"/>
      <c r="P594" s="15"/>
      <c r="Q594" s="15"/>
      <c r="R594" s="15"/>
      <c r="S594" s="15"/>
      <c r="T594" s="15"/>
      <c r="U594" s="15"/>
      <c r="V594" s="15"/>
      <c r="W594" s="47"/>
      <c r="X594" s="11"/>
      <c r="Y594" s="48"/>
      <c r="Z594" s="11"/>
      <c r="AA594" s="48"/>
      <c r="AB594" s="11"/>
      <c r="AC594" s="48"/>
      <c r="AD594" s="11"/>
      <c r="AE594" s="47"/>
      <c r="AF594" s="11"/>
      <c r="AG594" s="48"/>
      <c r="AH594" s="11"/>
      <c r="AI594" s="48"/>
      <c r="AJ594" s="11"/>
      <c r="AK594" s="48"/>
      <c r="AL594" s="11"/>
      <c r="AM594" s="49"/>
      <c r="AN594" s="49"/>
      <c r="AO594" s="11"/>
      <c r="AP594" s="11"/>
      <c r="AQ594" s="28" t="b">
        <f>IF(COUNTIF(SmartStatus!A$2:A1000, AM594) &gt; 2, TRUE, FALSE)</f>
        <v>0</v>
      </c>
      <c r="AR594" s="29" t="str">
        <f ca="1">IFERROR(__xludf.DUMMYFUNCTION("iferror(if(regexmatch(AO594, ""(?i)^registered""), if(EE594 &lt;&gt; ""polity_shortest_name"", ""CHECK_POLITY"", index(filter(SmartStatus!B$2:B1000, AM594 = SmartStatus!A$2:A1000, not(SmartStatus!C$2:C1000), (isblank(SmartStatus!D$2:D1000)) + ((P594 &lt;&gt; """") * "&amp;"(P594 &lt; SmartStatus!D$2:D1000)), (isblank(SmartStatus!E$2:E1000)) + ((P594 &lt;&gt; """") * (P594 &gt;= SmartStatus!E$2:E1000)), (isblank(SmartStatus!F$2:F1000)) + (((Q594 &lt;&gt; """") * (Q594 &lt; SmartStatus!F$2:F1000)) + ((P594 &lt;&gt; """") * (date(year(P594) + 3, month(P"&amp;"594), day(P594)) &lt; SmartStatus!F$2:F1000))), (isblank(SmartStatus!G$2:G1000)) + (((Q594 &lt;&gt; """") * (Q594 &gt;= SmartStatus!G$2:G1000)) + ((P594 &lt;&gt; """") * (P594 &gt;= SmartStatus!G$2:G1000)))), if(or(regexmatch(B594, ""(?i)^ir [a-z]+ designation$""), N594 &lt;&gt; """&amp;"""), 1, 2))), """"), ""NO_MATCH"")"),"")</f>
        <v/>
      </c>
      <c r="AS594" s="11"/>
      <c r="AT594" s="15"/>
      <c r="AU594" s="11"/>
      <c r="AV594" s="11"/>
      <c r="AW594" s="15"/>
      <c r="AX594" s="15"/>
      <c r="AY594" s="15"/>
      <c r="AZ594" s="11"/>
      <c r="BA594" s="15"/>
      <c r="BB594" s="11"/>
      <c r="BC594" s="11"/>
      <c r="BD594" s="15"/>
      <c r="BE594" s="11"/>
      <c r="BF594" s="11"/>
      <c r="BG594" s="15"/>
      <c r="BH594" s="15"/>
      <c r="BI594" s="15"/>
      <c r="BJ594" s="11"/>
      <c r="BK594" s="15"/>
      <c r="BL594" s="11"/>
      <c r="BM594" s="11"/>
      <c r="BN594" s="15"/>
      <c r="BO594" s="11"/>
      <c r="BP594" s="11"/>
      <c r="BQ594" s="15"/>
      <c r="BR594" s="15"/>
      <c r="BS594" s="15"/>
      <c r="BT594" s="11"/>
      <c r="BU594" s="15"/>
      <c r="BV594" s="11"/>
      <c r="BW594" s="11"/>
      <c r="BX594" s="15"/>
      <c r="BY594" s="11"/>
      <c r="BZ594" s="11"/>
      <c r="CA594" s="15"/>
      <c r="CB594" s="11"/>
      <c r="CC594" s="15"/>
      <c r="CD594" s="11"/>
      <c r="CE594" s="15"/>
      <c r="CF594" s="11"/>
      <c r="CG594" s="11"/>
      <c r="CH594" s="15"/>
      <c r="CI594" s="11"/>
      <c r="CJ594" s="11"/>
      <c r="CK594" s="15"/>
      <c r="CL594" s="11"/>
      <c r="CM594" s="11"/>
      <c r="CN594" s="11"/>
      <c r="CO594" s="11"/>
      <c r="CP594" s="28"/>
      <c r="CQ594" s="28"/>
      <c r="CR594" s="11"/>
      <c r="CS594" s="29"/>
      <c r="CT594" s="11"/>
      <c r="CU594" s="11"/>
      <c r="CV594" s="11"/>
      <c r="CW594" s="11"/>
      <c r="CX594" s="11"/>
      <c r="CY594" s="11"/>
      <c r="CZ594" s="11"/>
      <c r="DA594" s="28"/>
      <c r="DB594" s="28"/>
      <c r="DC594" s="11"/>
      <c r="DD594" s="29"/>
      <c r="DE594" s="11"/>
      <c r="DF594" s="11"/>
      <c r="DG594" s="11"/>
      <c r="DH594" s="11"/>
      <c r="DI594" s="11"/>
      <c r="DJ594" s="11"/>
      <c r="DK594" s="26"/>
      <c r="DL594" s="11"/>
      <c r="DM594" s="29"/>
      <c r="DN594" s="28"/>
      <c r="DO594" s="11"/>
      <c r="DP594" s="11"/>
      <c r="DQ594" s="11"/>
      <c r="DR594" s="29"/>
      <c r="DS594" s="28"/>
      <c r="DT594" s="11"/>
      <c r="DU594" s="26"/>
      <c r="DV594" s="11"/>
      <c r="DW594" s="29"/>
      <c r="DX594" s="28"/>
      <c r="DY594" s="11"/>
      <c r="DZ594" s="26"/>
      <c r="EA594" s="11"/>
      <c r="EB594" s="29"/>
      <c r="EC594" s="28"/>
      <c r="ED594" s="30"/>
      <c r="EE594" s="30" t="str">
        <f ca="1">IFERROR(__xludf.DUMMYFUNCTION("iferror(index(filter('Internal -- Trademark Countries'!E$2:E1000, (AM594 = 'Internal -- Trademark Countries'!B$2:B1000) + (AM594 = 'Internal -- Trademark Countries'!C$2:C1000) + (AM594 = 'Internal -- Trademark Countries'!D$2:D1000)), 1))"),"")</f>
        <v/>
      </c>
      <c r="EF594" s="30" t="e">
        <f ca="1">_xludf.ifs(AM594="", "", COUNTIF('Internal -- Trademark Countries'!B:B,AM594) &gt; 0, "polity_shortest_name", COUNTIF('Internal -- Trademark Countries'!C:C,AM594) &gt; 0, "polity_full_name", COUNTIF('Internal -- Trademark Countries'!D:D,AM594) &gt; 0, "polity_common_name", COUNTIF('Internal -- Trademark Countries'!E:E,AM594) &gt; 0, "shortest_name", COUNTIF('Internal -- Trademark Countries'!A:A,AM594) &gt; 0, "full_name", TRUE, "not a match")</f>
        <v>#NAME?</v>
      </c>
      <c r="EG594" s="30"/>
      <c r="EH594" s="30"/>
      <c r="EI594" s="30"/>
      <c r="EJ594" s="30"/>
      <c r="EK594" s="30" t="str">
        <f t="shared" si="4"/>
        <v/>
      </c>
    </row>
    <row r="595" spans="1:141" ht="16.5">
      <c r="A595" s="11"/>
      <c r="B595" s="11"/>
      <c r="C595" s="11"/>
      <c r="D595" s="11"/>
      <c r="E595" s="11"/>
      <c r="F595" s="11"/>
      <c r="G595" s="11"/>
      <c r="H595" s="11"/>
      <c r="I595" s="11"/>
      <c r="J595" s="11"/>
      <c r="K595" s="27"/>
      <c r="L595" s="11"/>
      <c r="M595" s="11"/>
      <c r="N595" s="11"/>
      <c r="O595" s="11"/>
      <c r="P595" s="15"/>
      <c r="Q595" s="15"/>
      <c r="R595" s="15"/>
      <c r="S595" s="15"/>
      <c r="T595" s="15"/>
      <c r="U595" s="15"/>
      <c r="V595" s="15"/>
      <c r="W595" s="47"/>
      <c r="X595" s="11"/>
      <c r="Y595" s="48"/>
      <c r="Z595" s="11"/>
      <c r="AA595" s="48"/>
      <c r="AB595" s="11"/>
      <c r="AC595" s="48"/>
      <c r="AD595" s="11"/>
      <c r="AE595" s="47"/>
      <c r="AF595" s="11"/>
      <c r="AG595" s="48"/>
      <c r="AH595" s="11"/>
      <c r="AI595" s="48"/>
      <c r="AJ595" s="11"/>
      <c r="AK595" s="48"/>
      <c r="AL595" s="11"/>
      <c r="AM595" s="49"/>
      <c r="AN595" s="49"/>
      <c r="AO595" s="11"/>
      <c r="AP595" s="11"/>
      <c r="AQ595" s="28" t="b">
        <f>IF(COUNTIF(SmartStatus!A$2:A1000, AM595) &gt; 2, TRUE, FALSE)</f>
        <v>0</v>
      </c>
      <c r="AR595" s="29" t="str">
        <f ca="1">IFERROR(__xludf.DUMMYFUNCTION("iferror(if(regexmatch(AO595, ""(?i)^registered""), if(EE595 &lt;&gt; ""polity_shortest_name"", ""CHECK_POLITY"", index(filter(SmartStatus!B$2:B1000, AM595 = SmartStatus!A$2:A1000, not(SmartStatus!C$2:C1000), (isblank(SmartStatus!D$2:D1000)) + ((P595 &lt;&gt; """") * "&amp;"(P595 &lt; SmartStatus!D$2:D1000)), (isblank(SmartStatus!E$2:E1000)) + ((P595 &lt;&gt; """") * (P595 &gt;= SmartStatus!E$2:E1000)), (isblank(SmartStatus!F$2:F1000)) + (((Q595 &lt;&gt; """") * (Q595 &lt; SmartStatus!F$2:F1000)) + ((P595 &lt;&gt; """") * (date(year(P595) + 3, month(P"&amp;"595), day(P595)) &lt; SmartStatus!F$2:F1000))), (isblank(SmartStatus!G$2:G1000)) + (((Q595 &lt;&gt; """") * (Q595 &gt;= SmartStatus!G$2:G1000)) + ((P595 &lt;&gt; """") * (P595 &gt;= SmartStatus!G$2:G1000)))), if(or(regexmatch(B595, ""(?i)^ir [a-z]+ designation$""), N595 &lt;&gt; """&amp;"""), 1, 2))), """"), ""NO_MATCH"")"),"")</f>
        <v/>
      </c>
      <c r="AS595" s="11"/>
      <c r="AT595" s="15"/>
      <c r="AU595" s="11"/>
      <c r="AV595" s="11"/>
      <c r="AW595" s="15"/>
      <c r="AX595" s="15"/>
      <c r="AY595" s="15"/>
      <c r="AZ595" s="11"/>
      <c r="BA595" s="15"/>
      <c r="BB595" s="11"/>
      <c r="BC595" s="11"/>
      <c r="BD595" s="15"/>
      <c r="BE595" s="11"/>
      <c r="BF595" s="11"/>
      <c r="BG595" s="15"/>
      <c r="BH595" s="15"/>
      <c r="BI595" s="15"/>
      <c r="BJ595" s="11"/>
      <c r="BK595" s="15"/>
      <c r="BL595" s="11"/>
      <c r="BM595" s="11"/>
      <c r="BN595" s="15"/>
      <c r="BO595" s="11"/>
      <c r="BP595" s="11"/>
      <c r="BQ595" s="15"/>
      <c r="BR595" s="15"/>
      <c r="BS595" s="15"/>
      <c r="BT595" s="11"/>
      <c r="BU595" s="15"/>
      <c r="BV595" s="11"/>
      <c r="BW595" s="11"/>
      <c r="BX595" s="15"/>
      <c r="BY595" s="11"/>
      <c r="BZ595" s="11"/>
      <c r="CA595" s="15"/>
      <c r="CB595" s="11"/>
      <c r="CC595" s="15"/>
      <c r="CD595" s="11"/>
      <c r="CE595" s="15"/>
      <c r="CF595" s="11"/>
      <c r="CG595" s="11"/>
      <c r="CH595" s="15"/>
      <c r="CI595" s="11"/>
      <c r="CJ595" s="11"/>
      <c r="CK595" s="15"/>
      <c r="CL595" s="11"/>
      <c r="CM595" s="11"/>
      <c r="CN595" s="11"/>
      <c r="CO595" s="11"/>
      <c r="CP595" s="28"/>
      <c r="CQ595" s="28"/>
      <c r="CR595" s="11"/>
      <c r="CS595" s="29"/>
      <c r="CT595" s="11"/>
      <c r="CU595" s="11"/>
      <c r="CV595" s="11"/>
      <c r="CW595" s="11"/>
      <c r="CX595" s="11"/>
      <c r="CY595" s="11"/>
      <c r="CZ595" s="11"/>
      <c r="DA595" s="28"/>
      <c r="DB595" s="28"/>
      <c r="DC595" s="11"/>
      <c r="DD595" s="29"/>
      <c r="DE595" s="11"/>
      <c r="DF595" s="11"/>
      <c r="DG595" s="11"/>
      <c r="DH595" s="11"/>
      <c r="DI595" s="11"/>
      <c r="DJ595" s="11"/>
      <c r="DK595" s="26"/>
      <c r="DL595" s="11"/>
      <c r="DM595" s="29"/>
      <c r="DN595" s="28"/>
      <c r="DO595" s="11"/>
      <c r="DP595" s="11"/>
      <c r="DQ595" s="11"/>
      <c r="DR595" s="29"/>
      <c r="DS595" s="28"/>
      <c r="DT595" s="11"/>
      <c r="DU595" s="26"/>
      <c r="DV595" s="11"/>
      <c r="DW595" s="29"/>
      <c r="DX595" s="28"/>
      <c r="DY595" s="11"/>
      <c r="DZ595" s="26"/>
      <c r="EA595" s="11"/>
      <c r="EB595" s="29"/>
      <c r="EC595" s="28"/>
      <c r="ED595" s="30"/>
      <c r="EE595" s="30" t="str">
        <f ca="1">IFERROR(__xludf.DUMMYFUNCTION("iferror(index(filter('Internal -- Trademark Countries'!E$2:E1000, (AM595 = 'Internal -- Trademark Countries'!B$2:B1000) + (AM595 = 'Internal -- Trademark Countries'!C$2:C1000) + (AM595 = 'Internal -- Trademark Countries'!D$2:D1000)), 1))"),"")</f>
        <v/>
      </c>
      <c r="EF595" s="30" t="e">
        <f ca="1">_xludf.ifs(AM595="", "", COUNTIF('Internal -- Trademark Countries'!B:B,AM595) &gt; 0, "polity_shortest_name", COUNTIF('Internal -- Trademark Countries'!C:C,AM595) &gt; 0, "polity_full_name", COUNTIF('Internal -- Trademark Countries'!D:D,AM595) &gt; 0, "polity_common_name", COUNTIF('Internal -- Trademark Countries'!E:E,AM595) &gt; 0, "shortest_name", COUNTIF('Internal -- Trademark Countries'!A:A,AM595) &gt; 0, "full_name", TRUE, "not a match")</f>
        <v>#NAME?</v>
      </c>
      <c r="EG595" s="30"/>
      <c r="EH595" s="30"/>
      <c r="EI595" s="30"/>
      <c r="EJ595" s="30"/>
      <c r="EK595" s="30" t="str">
        <f t="shared" si="4"/>
        <v/>
      </c>
    </row>
    <row r="596" spans="1:141" ht="16.5">
      <c r="A596" s="11"/>
      <c r="B596" s="11"/>
      <c r="C596" s="11"/>
      <c r="D596" s="11"/>
      <c r="E596" s="11"/>
      <c r="F596" s="11"/>
      <c r="G596" s="11"/>
      <c r="H596" s="11"/>
      <c r="I596" s="11"/>
      <c r="J596" s="11"/>
      <c r="K596" s="27"/>
      <c r="L596" s="11"/>
      <c r="M596" s="11"/>
      <c r="N596" s="11"/>
      <c r="O596" s="11"/>
      <c r="P596" s="15"/>
      <c r="Q596" s="15"/>
      <c r="R596" s="15"/>
      <c r="S596" s="15"/>
      <c r="T596" s="15"/>
      <c r="U596" s="15"/>
      <c r="V596" s="15"/>
      <c r="W596" s="47"/>
      <c r="X596" s="11"/>
      <c r="Y596" s="48"/>
      <c r="Z596" s="11"/>
      <c r="AA596" s="48"/>
      <c r="AB596" s="11"/>
      <c r="AC596" s="48"/>
      <c r="AD596" s="11"/>
      <c r="AE596" s="47"/>
      <c r="AF596" s="11"/>
      <c r="AG596" s="48"/>
      <c r="AH596" s="11"/>
      <c r="AI596" s="48"/>
      <c r="AJ596" s="11"/>
      <c r="AK596" s="48"/>
      <c r="AL596" s="11"/>
      <c r="AM596" s="49"/>
      <c r="AN596" s="49"/>
      <c r="AO596" s="11"/>
      <c r="AP596" s="11"/>
      <c r="AQ596" s="28" t="b">
        <f>IF(COUNTIF(SmartStatus!A$2:A1000, AM596) &gt; 2, TRUE, FALSE)</f>
        <v>0</v>
      </c>
      <c r="AR596" s="29" t="str">
        <f ca="1">IFERROR(__xludf.DUMMYFUNCTION("iferror(if(regexmatch(AO596, ""(?i)^registered""), if(EE596 &lt;&gt; ""polity_shortest_name"", ""CHECK_POLITY"", index(filter(SmartStatus!B$2:B1000, AM596 = SmartStatus!A$2:A1000, not(SmartStatus!C$2:C1000), (isblank(SmartStatus!D$2:D1000)) + ((P596 &lt;&gt; """") * "&amp;"(P596 &lt; SmartStatus!D$2:D1000)), (isblank(SmartStatus!E$2:E1000)) + ((P596 &lt;&gt; """") * (P596 &gt;= SmartStatus!E$2:E1000)), (isblank(SmartStatus!F$2:F1000)) + (((Q596 &lt;&gt; """") * (Q596 &lt; SmartStatus!F$2:F1000)) + ((P596 &lt;&gt; """") * (date(year(P596) + 3, month(P"&amp;"596), day(P596)) &lt; SmartStatus!F$2:F1000))), (isblank(SmartStatus!G$2:G1000)) + (((Q596 &lt;&gt; """") * (Q596 &gt;= SmartStatus!G$2:G1000)) + ((P596 &lt;&gt; """") * (P596 &gt;= SmartStatus!G$2:G1000)))), if(or(regexmatch(B596, ""(?i)^ir [a-z]+ designation$""), N596 &lt;&gt; """&amp;"""), 1, 2))), """"), ""NO_MATCH"")"),"")</f>
        <v/>
      </c>
      <c r="AS596" s="11"/>
      <c r="AT596" s="15"/>
      <c r="AU596" s="11"/>
      <c r="AV596" s="11"/>
      <c r="AW596" s="15"/>
      <c r="AX596" s="15"/>
      <c r="AY596" s="15"/>
      <c r="AZ596" s="11"/>
      <c r="BA596" s="15"/>
      <c r="BB596" s="11"/>
      <c r="BC596" s="11"/>
      <c r="BD596" s="15"/>
      <c r="BE596" s="11"/>
      <c r="BF596" s="11"/>
      <c r="BG596" s="15"/>
      <c r="BH596" s="15"/>
      <c r="BI596" s="15"/>
      <c r="BJ596" s="11"/>
      <c r="BK596" s="15"/>
      <c r="BL596" s="11"/>
      <c r="BM596" s="11"/>
      <c r="BN596" s="15"/>
      <c r="BO596" s="11"/>
      <c r="BP596" s="11"/>
      <c r="BQ596" s="15"/>
      <c r="BR596" s="15"/>
      <c r="BS596" s="15"/>
      <c r="BT596" s="11"/>
      <c r="BU596" s="15"/>
      <c r="BV596" s="11"/>
      <c r="BW596" s="11"/>
      <c r="BX596" s="15"/>
      <c r="BY596" s="11"/>
      <c r="BZ596" s="11"/>
      <c r="CA596" s="15"/>
      <c r="CB596" s="11"/>
      <c r="CC596" s="15"/>
      <c r="CD596" s="11"/>
      <c r="CE596" s="15"/>
      <c r="CF596" s="11"/>
      <c r="CG596" s="11"/>
      <c r="CH596" s="15"/>
      <c r="CI596" s="11"/>
      <c r="CJ596" s="11"/>
      <c r="CK596" s="15"/>
      <c r="CL596" s="11"/>
      <c r="CM596" s="11"/>
      <c r="CN596" s="11"/>
      <c r="CO596" s="11"/>
      <c r="CP596" s="28"/>
      <c r="CQ596" s="28"/>
      <c r="CR596" s="11"/>
      <c r="CS596" s="29"/>
      <c r="CT596" s="11"/>
      <c r="CU596" s="11"/>
      <c r="CV596" s="11"/>
      <c r="CW596" s="11"/>
      <c r="CX596" s="11"/>
      <c r="CY596" s="11"/>
      <c r="CZ596" s="11"/>
      <c r="DA596" s="28"/>
      <c r="DB596" s="28"/>
      <c r="DC596" s="11"/>
      <c r="DD596" s="29"/>
      <c r="DE596" s="11"/>
      <c r="DF596" s="11"/>
      <c r="DG596" s="11"/>
      <c r="DH596" s="11"/>
      <c r="DI596" s="11"/>
      <c r="DJ596" s="11"/>
      <c r="DK596" s="26"/>
      <c r="DL596" s="11"/>
      <c r="DM596" s="29"/>
      <c r="DN596" s="28"/>
      <c r="DO596" s="11"/>
      <c r="DP596" s="11"/>
      <c r="DQ596" s="11"/>
      <c r="DR596" s="29"/>
      <c r="DS596" s="28"/>
      <c r="DT596" s="11"/>
      <c r="DU596" s="26"/>
      <c r="DV596" s="11"/>
      <c r="DW596" s="29"/>
      <c r="DX596" s="28"/>
      <c r="DY596" s="11"/>
      <c r="DZ596" s="26"/>
      <c r="EA596" s="11"/>
      <c r="EB596" s="29"/>
      <c r="EC596" s="28"/>
      <c r="ED596" s="30"/>
      <c r="EE596" s="30" t="str">
        <f ca="1">IFERROR(__xludf.DUMMYFUNCTION("iferror(index(filter('Internal -- Trademark Countries'!E$2:E1000, (AM596 = 'Internal -- Trademark Countries'!B$2:B1000) + (AM596 = 'Internal -- Trademark Countries'!C$2:C1000) + (AM596 = 'Internal -- Trademark Countries'!D$2:D1000)), 1))"),"")</f>
        <v/>
      </c>
      <c r="EF596" s="30" t="e">
        <f ca="1">_xludf.ifs(AM596="", "", COUNTIF('Internal -- Trademark Countries'!B:B,AM596) &gt; 0, "polity_shortest_name", COUNTIF('Internal -- Trademark Countries'!C:C,AM596) &gt; 0, "polity_full_name", COUNTIF('Internal -- Trademark Countries'!D:D,AM596) &gt; 0, "polity_common_name", COUNTIF('Internal -- Trademark Countries'!E:E,AM596) &gt; 0, "shortest_name", COUNTIF('Internal -- Trademark Countries'!A:A,AM596) &gt; 0, "full_name", TRUE, "not a match")</f>
        <v>#NAME?</v>
      </c>
      <c r="EG596" s="30"/>
      <c r="EH596" s="30"/>
      <c r="EI596" s="30"/>
      <c r="EJ596" s="30"/>
      <c r="EK596" s="30" t="str">
        <f t="shared" si="4"/>
        <v/>
      </c>
    </row>
    <row r="597" spans="1:141" ht="16.5">
      <c r="A597" s="11"/>
      <c r="B597" s="11"/>
      <c r="C597" s="11"/>
      <c r="D597" s="11"/>
      <c r="E597" s="11"/>
      <c r="F597" s="11"/>
      <c r="G597" s="11"/>
      <c r="H597" s="11"/>
      <c r="I597" s="11"/>
      <c r="J597" s="11"/>
      <c r="K597" s="27"/>
      <c r="L597" s="11"/>
      <c r="M597" s="11"/>
      <c r="N597" s="11"/>
      <c r="O597" s="11"/>
      <c r="P597" s="15"/>
      <c r="Q597" s="15"/>
      <c r="R597" s="15"/>
      <c r="S597" s="15"/>
      <c r="T597" s="15"/>
      <c r="U597" s="15"/>
      <c r="V597" s="15"/>
      <c r="W597" s="47"/>
      <c r="X597" s="11"/>
      <c r="Y597" s="48"/>
      <c r="Z597" s="11"/>
      <c r="AA597" s="48"/>
      <c r="AB597" s="11"/>
      <c r="AC597" s="48"/>
      <c r="AD597" s="11"/>
      <c r="AE597" s="47"/>
      <c r="AF597" s="11"/>
      <c r="AG597" s="48"/>
      <c r="AH597" s="11"/>
      <c r="AI597" s="48"/>
      <c r="AJ597" s="11"/>
      <c r="AK597" s="48"/>
      <c r="AL597" s="11"/>
      <c r="AM597" s="49"/>
      <c r="AN597" s="49"/>
      <c r="AO597" s="11"/>
      <c r="AP597" s="11"/>
      <c r="AQ597" s="28" t="b">
        <f>IF(COUNTIF(SmartStatus!A$2:A1000, AM597) &gt; 2, TRUE, FALSE)</f>
        <v>0</v>
      </c>
      <c r="AR597" s="29" t="str">
        <f ca="1">IFERROR(__xludf.DUMMYFUNCTION("iferror(if(regexmatch(AO597, ""(?i)^registered""), if(EE597 &lt;&gt; ""polity_shortest_name"", ""CHECK_POLITY"", index(filter(SmartStatus!B$2:B1000, AM597 = SmartStatus!A$2:A1000, not(SmartStatus!C$2:C1000), (isblank(SmartStatus!D$2:D1000)) + ((P597 &lt;&gt; """") * "&amp;"(P597 &lt; SmartStatus!D$2:D1000)), (isblank(SmartStatus!E$2:E1000)) + ((P597 &lt;&gt; """") * (P597 &gt;= SmartStatus!E$2:E1000)), (isblank(SmartStatus!F$2:F1000)) + (((Q597 &lt;&gt; """") * (Q597 &lt; SmartStatus!F$2:F1000)) + ((P597 &lt;&gt; """") * (date(year(P597) + 3, month(P"&amp;"597), day(P597)) &lt; SmartStatus!F$2:F1000))), (isblank(SmartStatus!G$2:G1000)) + (((Q597 &lt;&gt; """") * (Q597 &gt;= SmartStatus!G$2:G1000)) + ((P597 &lt;&gt; """") * (P597 &gt;= SmartStatus!G$2:G1000)))), if(or(regexmatch(B597, ""(?i)^ir [a-z]+ designation$""), N597 &lt;&gt; """&amp;"""), 1, 2))), """"), ""NO_MATCH"")"),"")</f>
        <v/>
      </c>
      <c r="AS597" s="11"/>
      <c r="AT597" s="15"/>
      <c r="AU597" s="11"/>
      <c r="AV597" s="11"/>
      <c r="AW597" s="15"/>
      <c r="AX597" s="15"/>
      <c r="AY597" s="15"/>
      <c r="AZ597" s="11"/>
      <c r="BA597" s="15"/>
      <c r="BB597" s="11"/>
      <c r="BC597" s="11"/>
      <c r="BD597" s="15"/>
      <c r="BE597" s="11"/>
      <c r="BF597" s="11"/>
      <c r="BG597" s="15"/>
      <c r="BH597" s="15"/>
      <c r="BI597" s="15"/>
      <c r="BJ597" s="11"/>
      <c r="BK597" s="15"/>
      <c r="BL597" s="11"/>
      <c r="BM597" s="11"/>
      <c r="BN597" s="15"/>
      <c r="BO597" s="11"/>
      <c r="BP597" s="11"/>
      <c r="BQ597" s="15"/>
      <c r="BR597" s="15"/>
      <c r="BS597" s="15"/>
      <c r="BT597" s="11"/>
      <c r="BU597" s="15"/>
      <c r="BV597" s="11"/>
      <c r="BW597" s="11"/>
      <c r="BX597" s="15"/>
      <c r="BY597" s="11"/>
      <c r="BZ597" s="11"/>
      <c r="CA597" s="15"/>
      <c r="CB597" s="11"/>
      <c r="CC597" s="15"/>
      <c r="CD597" s="11"/>
      <c r="CE597" s="15"/>
      <c r="CF597" s="11"/>
      <c r="CG597" s="11"/>
      <c r="CH597" s="15"/>
      <c r="CI597" s="11"/>
      <c r="CJ597" s="11"/>
      <c r="CK597" s="15"/>
      <c r="CL597" s="11"/>
      <c r="CM597" s="11"/>
      <c r="CN597" s="11"/>
      <c r="CO597" s="11"/>
      <c r="CP597" s="28"/>
      <c r="CQ597" s="28"/>
      <c r="CR597" s="11"/>
      <c r="CS597" s="29"/>
      <c r="CT597" s="11"/>
      <c r="CU597" s="11"/>
      <c r="CV597" s="11"/>
      <c r="CW597" s="11"/>
      <c r="CX597" s="11"/>
      <c r="CY597" s="11"/>
      <c r="CZ597" s="11"/>
      <c r="DA597" s="28"/>
      <c r="DB597" s="28"/>
      <c r="DC597" s="11"/>
      <c r="DD597" s="29"/>
      <c r="DE597" s="11"/>
      <c r="DF597" s="11"/>
      <c r="DG597" s="11"/>
      <c r="DH597" s="11"/>
      <c r="DI597" s="11"/>
      <c r="DJ597" s="11"/>
      <c r="DK597" s="26"/>
      <c r="DL597" s="11"/>
      <c r="DM597" s="29"/>
      <c r="DN597" s="28"/>
      <c r="DO597" s="11"/>
      <c r="DP597" s="11"/>
      <c r="DQ597" s="11"/>
      <c r="DR597" s="29"/>
      <c r="DS597" s="28"/>
      <c r="DT597" s="11"/>
      <c r="DU597" s="26"/>
      <c r="DV597" s="11"/>
      <c r="DW597" s="29"/>
      <c r="DX597" s="28"/>
      <c r="DY597" s="11"/>
      <c r="DZ597" s="26"/>
      <c r="EA597" s="11"/>
      <c r="EB597" s="29"/>
      <c r="EC597" s="28"/>
      <c r="ED597" s="30"/>
      <c r="EE597" s="30" t="str">
        <f ca="1">IFERROR(__xludf.DUMMYFUNCTION("iferror(index(filter('Internal -- Trademark Countries'!E$2:E1000, (AM597 = 'Internal -- Trademark Countries'!B$2:B1000) + (AM597 = 'Internal -- Trademark Countries'!C$2:C1000) + (AM597 = 'Internal -- Trademark Countries'!D$2:D1000)), 1))"),"")</f>
        <v/>
      </c>
      <c r="EF597" s="30" t="e">
        <f ca="1">_xludf.ifs(AM597="", "", COUNTIF('Internal -- Trademark Countries'!B:B,AM597) &gt; 0, "polity_shortest_name", COUNTIF('Internal -- Trademark Countries'!C:C,AM597) &gt; 0, "polity_full_name", COUNTIF('Internal -- Trademark Countries'!D:D,AM597) &gt; 0, "polity_common_name", COUNTIF('Internal -- Trademark Countries'!E:E,AM597) &gt; 0, "shortest_name", COUNTIF('Internal -- Trademark Countries'!A:A,AM597) &gt; 0, "full_name", TRUE, "not a match")</f>
        <v>#NAME?</v>
      </c>
      <c r="EG597" s="30"/>
      <c r="EH597" s="30"/>
      <c r="EI597" s="30"/>
      <c r="EJ597" s="30"/>
      <c r="EK597" s="30" t="str">
        <f t="shared" si="4"/>
        <v/>
      </c>
    </row>
    <row r="598" spans="1:141" ht="16.5">
      <c r="A598" s="11"/>
      <c r="B598" s="11"/>
      <c r="C598" s="11"/>
      <c r="D598" s="11"/>
      <c r="E598" s="11"/>
      <c r="F598" s="11"/>
      <c r="G598" s="11"/>
      <c r="H598" s="11"/>
      <c r="I598" s="11"/>
      <c r="J598" s="11"/>
      <c r="K598" s="27"/>
      <c r="L598" s="11"/>
      <c r="M598" s="11"/>
      <c r="N598" s="11"/>
      <c r="O598" s="11"/>
      <c r="P598" s="15"/>
      <c r="Q598" s="15"/>
      <c r="R598" s="15"/>
      <c r="S598" s="15"/>
      <c r="T598" s="15"/>
      <c r="U598" s="15"/>
      <c r="V598" s="15"/>
      <c r="W598" s="47"/>
      <c r="X598" s="11"/>
      <c r="Y598" s="48"/>
      <c r="Z598" s="11"/>
      <c r="AA598" s="48"/>
      <c r="AB598" s="11"/>
      <c r="AC598" s="48"/>
      <c r="AD598" s="11"/>
      <c r="AE598" s="47"/>
      <c r="AF598" s="11"/>
      <c r="AG598" s="48"/>
      <c r="AH598" s="11"/>
      <c r="AI598" s="48"/>
      <c r="AJ598" s="11"/>
      <c r="AK598" s="48"/>
      <c r="AL598" s="11"/>
      <c r="AM598" s="49"/>
      <c r="AN598" s="49"/>
      <c r="AO598" s="11"/>
      <c r="AP598" s="11"/>
      <c r="AQ598" s="28" t="b">
        <f>IF(COUNTIF(SmartStatus!A$2:A1000, AM598) &gt; 2, TRUE, FALSE)</f>
        <v>0</v>
      </c>
      <c r="AR598" s="29" t="str">
        <f ca="1">IFERROR(__xludf.DUMMYFUNCTION("iferror(if(regexmatch(AO598, ""(?i)^registered""), if(EE598 &lt;&gt; ""polity_shortest_name"", ""CHECK_POLITY"", index(filter(SmartStatus!B$2:B1000, AM598 = SmartStatus!A$2:A1000, not(SmartStatus!C$2:C1000), (isblank(SmartStatus!D$2:D1000)) + ((P598 &lt;&gt; """") * "&amp;"(P598 &lt; SmartStatus!D$2:D1000)), (isblank(SmartStatus!E$2:E1000)) + ((P598 &lt;&gt; """") * (P598 &gt;= SmartStatus!E$2:E1000)), (isblank(SmartStatus!F$2:F1000)) + (((Q598 &lt;&gt; """") * (Q598 &lt; SmartStatus!F$2:F1000)) + ((P598 &lt;&gt; """") * (date(year(P598) + 3, month(P"&amp;"598), day(P598)) &lt; SmartStatus!F$2:F1000))), (isblank(SmartStatus!G$2:G1000)) + (((Q598 &lt;&gt; """") * (Q598 &gt;= SmartStatus!G$2:G1000)) + ((P598 &lt;&gt; """") * (P598 &gt;= SmartStatus!G$2:G1000)))), if(or(regexmatch(B598, ""(?i)^ir [a-z]+ designation$""), N598 &lt;&gt; """&amp;"""), 1, 2))), """"), ""NO_MATCH"")"),"")</f>
        <v/>
      </c>
      <c r="AS598" s="11"/>
      <c r="AT598" s="15"/>
      <c r="AU598" s="11"/>
      <c r="AV598" s="11"/>
      <c r="AW598" s="15"/>
      <c r="AX598" s="15"/>
      <c r="AY598" s="15"/>
      <c r="AZ598" s="11"/>
      <c r="BA598" s="15"/>
      <c r="BB598" s="11"/>
      <c r="BC598" s="11"/>
      <c r="BD598" s="15"/>
      <c r="BE598" s="11"/>
      <c r="BF598" s="11"/>
      <c r="BG598" s="15"/>
      <c r="BH598" s="15"/>
      <c r="BI598" s="15"/>
      <c r="BJ598" s="11"/>
      <c r="BK598" s="15"/>
      <c r="BL598" s="11"/>
      <c r="BM598" s="11"/>
      <c r="BN598" s="15"/>
      <c r="BO598" s="11"/>
      <c r="BP598" s="11"/>
      <c r="BQ598" s="15"/>
      <c r="BR598" s="15"/>
      <c r="BS598" s="15"/>
      <c r="BT598" s="11"/>
      <c r="BU598" s="15"/>
      <c r="BV598" s="11"/>
      <c r="BW598" s="11"/>
      <c r="BX598" s="15"/>
      <c r="BY598" s="11"/>
      <c r="BZ598" s="11"/>
      <c r="CA598" s="15"/>
      <c r="CB598" s="11"/>
      <c r="CC598" s="15"/>
      <c r="CD598" s="11"/>
      <c r="CE598" s="15"/>
      <c r="CF598" s="11"/>
      <c r="CG598" s="11"/>
      <c r="CH598" s="15"/>
      <c r="CI598" s="11"/>
      <c r="CJ598" s="11"/>
      <c r="CK598" s="15"/>
      <c r="CL598" s="11"/>
      <c r="CM598" s="11"/>
      <c r="CN598" s="11"/>
      <c r="CO598" s="11"/>
      <c r="CP598" s="28"/>
      <c r="CQ598" s="28"/>
      <c r="CR598" s="11"/>
      <c r="CS598" s="29"/>
      <c r="CT598" s="11"/>
      <c r="CU598" s="11"/>
      <c r="CV598" s="11"/>
      <c r="CW598" s="11"/>
      <c r="CX598" s="11"/>
      <c r="CY598" s="11"/>
      <c r="CZ598" s="11"/>
      <c r="DA598" s="28"/>
      <c r="DB598" s="28"/>
      <c r="DC598" s="11"/>
      <c r="DD598" s="29"/>
      <c r="DE598" s="11"/>
      <c r="DF598" s="11"/>
      <c r="DG598" s="11"/>
      <c r="DH598" s="11"/>
      <c r="DI598" s="11"/>
      <c r="DJ598" s="11"/>
      <c r="DK598" s="26"/>
      <c r="DL598" s="11"/>
      <c r="DM598" s="29"/>
      <c r="DN598" s="28"/>
      <c r="DO598" s="11"/>
      <c r="DP598" s="11"/>
      <c r="DQ598" s="11"/>
      <c r="DR598" s="29"/>
      <c r="DS598" s="28"/>
      <c r="DT598" s="11"/>
      <c r="DU598" s="26"/>
      <c r="DV598" s="11"/>
      <c r="DW598" s="29"/>
      <c r="DX598" s="28"/>
      <c r="DY598" s="11"/>
      <c r="DZ598" s="26"/>
      <c r="EA598" s="11"/>
      <c r="EB598" s="29"/>
      <c r="EC598" s="28"/>
      <c r="ED598" s="30"/>
      <c r="EE598" s="30" t="str">
        <f ca="1">IFERROR(__xludf.DUMMYFUNCTION("iferror(index(filter('Internal -- Trademark Countries'!E$2:E1000, (AM598 = 'Internal -- Trademark Countries'!B$2:B1000) + (AM598 = 'Internal -- Trademark Countries'!C$2:C1000) + (AM598 = 'Internal -- Trademark Countries'!D$2:D1000)), 1))"),"")</f>
        <v/>
      </c>
      <c r="EF598" s="30" t="e">
        <f ca="1">_xludf.ifs(AM598="", "", COUNTIF('Internal -- Trademark Countries'!B:B,AM598) &gt; 0, "polity_shortest_name", COUNTIF('Internal -- Trademark Countries'!C:C,AM598) &gt; 0, "polity_full_name", COUNTIF('Internal -- Trademark Countries'!D:D,AM598) &gt; 0, "polity_common_name", COUNTIF('Internal -- Trademark Countries'!E:E,AM598) &gt; 0, "shortest_name", COUNTIF('Internal -- Trademark Countries'!A:A,AM598) &gt; 0, "full_name", TRUE, "not a match")</f>
        <v>#NAME?</v>
      </c>
      <c r="EG598" s="30"/>
      <c r="EH598" s="30"/>
      <c r="EI598" s="30"/>
      <c r="EJ598" s="30"/>
      <c r="EK598" s="30" t="str">
        <f t="shared" si="4"/>
        <v/>
      </c>
    </row>
    <row r="599" spans="1:141" ht="16.5">
      <c r="A599" s="11"/>
      <c r="B599" s="11"/>
      <c r="C599" s="11"/>
      <c r="D599" s="11"/>
      <c r="E599" s="11"/>
      <c r="F599" s="11"/>
      <c r="G599" s="11"/>
      <c r="H599" s="11"/>
      <c r="I599" s="11"/>
      <c r="J599" s="11"/>
      <c r="K599" s="27"/>
      <c r="L599" s="11"/>
      <c r="M599" s="11"/>
      <c r="N599" s="11"/>
      <c r="O599" s="11"/>
      <c r="P599" s="15"/>
      <c r="Q599" s="15"/>
      <c r="R599" s="15"/>
      <c r="S599" s="15"/>
      <c r="T599" s="15"/>
      <c r="U599" s="15"/>
      <c r="V599" s="15"/>
      <c r="W599" s="47"/>
      <c r="X599" s="11"/>
      <c r="Y599" s="48"/>
      <c r="Z599" s="11"/>
      <c r="AA599" s="48"/>
      <c r="AB599" s="11"/>
      <c r="AC599" s="48"/>
      <c r="AD599" s="11"/>
      <c r="AE599" s="47"/>
      <c r="AF599" s="11"/>
      <c r="AG599" s="48"/>
      <c r="AH599" s="11"/>
      <c r="AI599" s="48"/>
      <c r="AJ599" s="11"/>
      <c r="AK599" s="48"/>
      <c r="AL599" s="11"/>
      <c r="AM599" s="49"/>
      <c r="AN599" s="49"/>
      <c r="AO599" s="11"/>
      <c r="AP599" s="11"/>
      <c r="AQ599" s="28" t="b">
        <f>IF(COUNTIF(SmartStatus!A$2:A1000, AM599) &gt; 2, TRUE, FALSE)</f>
        <v>0</v>
      </c>
      <c r="AR599" s="29" t="str">
        <f ca="1">IFERROR(__xludf.DUMMYFUNCTION("iferror(if(regexmatch(AO599, ""(?i)^registered""), if(EE599 &lt;&gt; ""polity_shortest_name"", ""CHECK_POLITY"", index(filter(SmartStatus!B$2:B1000, AM599 = SmartStatus!A$2:A1000, not(SmartStatus!C$2:C1000), (isblank(SmartStatus!D$2:D1000)) + ((P599 &lt;&gt; """") * "&amp;"(P599 &lt; SmartStatus!D$2:D1000)), (isblank(SmartStatus!E$2:E1000)) + ((P599 &lt;&gt; """") * (P599 &gt;= SmartStatus!E$2:E1000)), (isblank(SmartStatus!F$2:F1000)) + (((Q599 &lt;&gt; """") * (Q599 &lt; SmartStatus!F$2:F1000)) + ((P599 &lt;&gt; """") * (date(year(P599) + 3, month(P"&amp;"599), day(P599)) &lt; SmartStatus!F$2:F1000))), (isblank(SmartStatus!G$2:G1000)) + (((Q599 &lt;&gt; """") * (Q599 &gt;= SmartStatus!G$2:G1000)) + ((P599 &lt;&gt; """") * (P599 &gt;= SmartStatus!G$2:G1000)))), if(or(regexmatch(B599, ""(?i)^ir [a-z]+ designation$""), N599 &lt;&gt; """&amp;"""), 1, 2))), """"), ""NO_MATCH"")"),"")</f>
        <v/>
      </c>
      <c r="AS599" s="11"/>
      <c r="AT599" s="15"/>
      <c r="AU599" s="11"/>
      <c r="AV599" s="11"/>
      <c r="AW599" s="15"/>
      <c r="AX599" s="15"/>
      <c r="AY599" s="15"/>
      <c r="AZ599" s="11"/>
      <c r="BA599" s="15"/>
      <c r="BB599" s="11"/>
      <c r="BC599" s="11"/>
      <c r="BD599" s="15"/>
      <c r="BE599" s="11"/>
      <c r="BF599" s="11"/>
      <c r="BG599" s="15"/>
      <c r="BH599" s="15"/>
      <c r="BI599" s="15"/>
      <c r="BJ599" s="11"/>
      <c r="BK599" s="15"/>
      <c r="BL599" s="11"/>
      <c r="BM599" s="11"/>
      <c r="BN599" s="15"/>
      <c r="BO599" s="11"/>
      <c r="BP599" s="11"/>
      <c r="BQ599" s="15"/>
      <c r="BR599" s="15"/>
      <c r="BS599" s="15"/>
      <c r="BT599" s="11"/>
      <c r="BU599" s="15"/>
      <c r="BV599" s="11"/>
      <c r="BW599" s="11"/>
      <c r="BX599" s="15"/>
      <c r="BY599" s="11"/>
      <c r="BZ599" s="11"/>
      <c r="CA599" s="15"/>
      <c r="CB599" s="11"/>
      <c r="CC599" s="15"/>
      <c r="CD599" s="11"/>
      <c r="CE599" s="15"/>
      <c r="CF599" s="11"/>
      <c r="CG599" s="11"/>
      <c r="CH599" s="15"/>
      <c r="CI599" s="11"/>
      <c r="CJ599" s="11"/>
      <c r="CK599" s="15"/>
      <c r="CL599" s="11"/>
      <c r="CM599" s="11"/>
      <c r="CN599" s="11"/>
      <c r="CO599" s="11"/>
      <c r="CP599" s="28"/>
      <c r="CQ599" s="28"/>
      <c r="CR599" s="11"/>
      <c r="CS599" s="29"/>
      <c r="CT599" s="11"/>
      <c r="CU599" s="11"/>
      <c r="CV599" s="11"/>
      <c r="CW599" s="11"/>
      <c r="CX599" s="11"/>
      <c r="CY599" s="11"/>
      <c r="CZ599" s="11"/>
      <c r="DA599" s="28"/>
      <c r="DB599" s="28"/>
      <c r="DC599" s="11"/>
      <c r="DD599" s="29"/>
      <c r="DE599" s="11"/>
      <c r="DF599" s="11"/>
      <c r="DG599" s="11"/>
      <c r="DH599" s="11"/>
      <c r="DI599" s="11"/>
      <c r="DJ599" s="11"/>
      <c r="DK599" s="26"/>
      <c r="DL599" s="11"/>
      <c r="DM599" s="29"/>
      <c r="DN599" s="28"/>
      <c r="DO599" s="11"/>
      <c r="DP599" s="11"/>
      <c r="DQ599" s="11"/>
      <c r="DR599" s="29"/>
      <c r="DS599" s="28"/>
      <c r="DT599" s="11"/>
      <c r="DU599" s="26"/>
      <c r="DV599" s="11"/>
      <c r="DW599" s="29"/>
      <c r="DX599" s="28"/>
      <c r="DY599" s="11"/>
      <c r="DZ599" s="26"/>
      <c r="EA599" s="11"/>
      <c r="EB599" s="29"/>
      <c r="EC599" s="28"/>
      <c r="ED599" s="30"/>
      <c r="EE599" s="30" t="str">
        <f ca="1">IFERROR(__xludf.DUMMYFUNCTION("iferror(index(filter('Internal -- Trademark Countries'!E$2:E1000, (AM599 = 'Internal -- Trademark Countries'!B$2:B1000) + (AM599 = 'Internal -- Trademark Countries'!C$2:C1000) + (AM599 = 'Internal -- Trademark Countries'!D$2:D1000)), 1))"),"")</f>
        <v/>
      </c>
      <c r="EF599" s="30" t="e">
        <f ca="1">_xludf.ifs(AM599="", "", COUNTIF('Internal -- Trademark Countries'!B:B,AM599) &gt; 0, "polity_shortest_name", COUNTIF('Internal -- Trademark Countries'!C:C,AM599) &gt; 0, "polity_full_name", COUNTIF('Internal -- Trademark Countries'!D:D,AM599) &gt; 0, "polity_common_name", COUNTIF('Internal -- Trademark Countries'!E:E,AM599) &gt; 0, "shortest_name", COUNTIF('Internal -- Trademark Countries'!A:A,AM599) &gt; 0, "full_name", TRUE, "not a match")</f>
        <v>#NAME?</v>
      </c>
      <c r="EG599" s="30"/>
      <c r="EH599" s="30"/>
      <c r="EI599" s="30"/>
      <c r="EJ599" s="30"/>
      <c r="EK599" s="30" t="str">
        <f t="shared" si="4"/>
        <v/>
      </c>
    </row>
    <row r="600" spans="1:141" ht="16.5">
      <c r="A600" s="11"/>
      <c r="B600" s="11"/>
      <c r="C600" s="11"/>
      <c r="D600" s="11"/>
      <c r="E600" s="11"/>
      <c r="F600" s="11"/>
      <c r="G600" s="11"/>
      <c r="H600" s="11"/>
      <c r="I600" s="11"/>
      <c r="J600" s="11"/>
      <c r="K600" s="27"/>
      <c r="L600" s="11"/>
      <c r="M600" s="11"/>
      <c r="N600" s="11"/>
      <c r="O600" s="11"/>
      <c r="P600" s="15"/>
      <c r="Q600" s="15"/>
      <c r="R600" s="15"/>
      <c r="S600" s="15"/>
      <c r="T600" s="15"/>
      <c r="U600" s="15"/>
      <c r="V600" s="15"/>
      <c r="W600" s="47"/>
      <c r="X600" s="11"/>
      <c r="Y600" s="48"/>
      <c r="Z600" s="11"/>
      <c r="AA600" s="48"/>
      <c r="AB600" s="11"/>
      <c r="AC600" s="48"/>
      <c r="AD600" s="11"/>
      <c r="AE600" s="47"/>
      <c r="AF600" s="11"/>
      <c r="AG600" s="48"/>
      <c r="AH600" s="11"/>
      <c r="AI600" s="48"/>
      <c r="AJ600" s="11"/>
      <c r="AK600" s="48"/>
      <c r="AL600" s="11"/>
      <c r="AM600" s="49"/>
      <c r="AN600" s="49"/>
      <c r="AO600" s="11"/>
      <c r="AP600" s="11"/>
      <c r="AQ600" s="28" t="b">
        <f>IF(COUNTIF(SmartStatus!A$2:A1000, AM600) &gt; 2, TRUE, FALSE)</f>
        <v>0</v>
      </c>
      <c r="AR600" s="29" t="str">
        <f ca="1">IFERROR(__xludf.DUMMYFUNCTION("iferror(if(regexmatch(AO600, ""(?i)^registered""), if(EE600 &lt;&gt; ""polity_shortest_name"", ""CHECK_POLITY"", index(filter(SmartStatus!B$2:B1000, AM600 = SmartStatus!A$2:A1000, not(SmartStatus!C$2:C1000), (isblank(SmartStatus!D$2:D1000)) + ((P600 &lt;&gt; """") * "&amp;"(P600 &lt; SmartStatus!D$2:D1000)), (isblank(SmartStatus!E$2:E1000)) + ((P600 &lt;&gt; """") * (P600 &gt;= SmartStatus!E$2:E1000)), (isblank(SmartStatus!F$2:F1000)) + (((Q600 &lt;&gt; """") * (Q600 &lt; SmartStatus!F$2:F1000)) + ((P600 &lt;&gt; """") * (date(year(P600) + 3, month(P"&amp;"600), day(P600)) &lt; SmartStatus!F$2:F1000))), (isblank(SmartStatus!G$2:G1000)) + (((Q600 &lt;&gt; """") * (Q600 &gt;= SmartStatus!G$2:G1000)) + ((P600 &lt;&gt; """") * (P600 &gt;= SmartStatus!G$2:G1000)))), if(or(regexmatch(B600, ""(?i)^ir [a-z]+ designation$""), N600 &lt;&gt; """&amp;"""), 1, 2))), """"), ""NO_MATCH"")"),"")</f>
        <v/>
      </c>
      <c r="AS600" s="11"/>
      <c r="AT600" s="15"/>
      <c r="AU600" s="11"/>
      <c r="AV600" s="11"/>
      <c r="AW600" s="15"/>
      <c r="AX600" s="15"/>
      <c r="AY600" s="15"/>
      <c r="AZ600" s="11"/>
      <c r="BA600" s="15"/>
      <c r="BB600" s="11"/>
      <c r="BC600" s="11"/>
      <c r="BD600" s="15"/>
      <c r="BE600" s="11"/>
      <c r="BF600" s="11"/>
      <c r="BG600" s="15"/>
      <c r="BH600" s="15"/>
      <c r="BI600" s="15"/>
      <c r="BJ600" s="11"/>
      <c r="BK600" s="15"/>
      <c r="BL600" s="11"/>
      <c r="BM600" s="11"/>
      <c r="BN600" s="15"/>
      <c r="BO600" s="11"/>
      <c r="BP600" s="11"/>
      <c r="BQ600" s="15"/>
      <c r="BR600" s="15"/>
      <c r="BS600" s="15"/>
      <c r="BT600" s="11"/>
      <c r="BU600" s="15"/>
      <c r="BV600" s="11"/>
      <c r="BW600" s="11"/>
      <c r="BX600" s="15"/>
      <c r="BY600" s="11"/>
      <c r="BZ600" s="11"/>
      <c r="CA600" s="15"/>
      <c r="CB600" s="11"/>
      <c r="CC600" s="15"/>
      <c r="CD600" s="11"/>
      <c r="CE600" s="15"/>
      <c r="CF600" s="11"/>
      <c r="CG600" s="11"/>
      <c r="CH600" s="15"/>
      <c r="CI600" s="11"/>
      <c r="CJ600" s="11"/>
      <c r="CK600" s="15"/>
      <c r="CL600" s="11"/>
      <c r="CM600" s="11"/>
      <c r="CN600" s="11"/>
      <c r="CO600" s="11"/>
      <c r="CP600" s="28"/>
      <c r="CQ600" s="28"/>
      <c r="CR600" s="11"/>
      <c r="CS600" s="29"/>
      <c r="CT600" s="11"/>
      <c r="CU600" s="11"/>
      <c r="CV600" s="11"/>
      <c r="CW600" s="11"/>
      <c r="CX600" s="11"/>
      <c r="CY600" s="11"/>
      <c r="CZ600" s="11"/>
      <c r="DA600" s="28"/>
      <c r="DB600" s="28"/>
      <c r="DC600" s="11"/>
      <c r="DD600" s="29"/>
      <c r="DE600" s="11"/>
      <c r="DF600" s="11"/>
      <c r="DG600" s="11"/>
      <c r="DH600" s="11"/>
      <c r="DI600" s="11"/>
      <c r="DJ600" s="11"/>
      <c r="DK600" s="26"/>
      <c r="DL600" s="11"/>
      <c r="DM600" s="29"/>
      <c r="DN600" s="28"/>
      <c r="DO600" s="11"/>
      <c r="DP600" s="11"/>
      <c r="DQ600" s="11"/>
      <c r="DR600" s="29"/>
      <c r="DS600" s="28"/>
      <c r="DT600" s="11"/>
      <c r="DU600" s="26"/>
      <c r="DV600" s="11"/>
      <c r="DW600" s="29"/>
      <c r="DX600" s="28"/>
      <c r="DY600" s="11"/>
      <c r="DZ600" s="26"/>
      <c r="EA600" s="11"/>
      <c r="EB600" s="29"/>
      <c r="EC600" s="28"/>
      <c r="ED600" s="30"/>
      <c r="EE600" s="30" t="str">
        <f ca="1">IFERROR(__xludf.DUMMYFUNCTION("iferror(index(filter('Internal -- Trademark Countries'!E$2:E1000, (AM600 = 'Internal -- Trademark Countries'!B$2:B1000) + (AM600 = 'Internal -- Trademark Countries'!C$2:C1000) + (AM600 = 'Internal -- Trademark Countries'!D$2:D1000)), 1))"),"")</f>
        <v/>
      </c>
      <c r="EF600" s="30" t="e">
        <f ca="1">_xludf.ifs(AM600="", "", COUNTIF('Internal -- Trademark Countries'!B:B,AM600) &gt; 0, "polity_shortest_name", COUNTIF('Internal -- Trademark Countries'!C:C,AM600) &gt; 0, "polity_full_name", COUNTIF('Internal -- Trademark Countries'!D:D,AM600) &gt; 0, "polity_common_name", COUNTIF('Internal -- Trademark Countries'!E:E,AM600) &gt; 0, "shortest_name", COUNTIF('Internal -- Trademark Countries'!A:A,AM600) &gt; 0, "full_name", TRUE, "not a match")</f>
        <v>#NAME?</v>
      </c>
      <c r="EG600" s="30"/>
      <c r="EH600" s="30"/>
      <c r="EI600" s="30"/>
      <c r="EJ600" s="30"/>
      <c r="EK600" s="30" t="str">
        <f t="shared" si="4"/>
        <v/>
      </c>
    </row>
    <row r="601" spans="1:141" ht="16.5">
      <c r="A601" s="11"/>
      <c r="B601" s="11"/>
      <c r="C601" s="11"/>
      <c r="D601" s="11"/>
      <c r="E601" s="11"/>
      <c r="F601" s="11"/>
      <c r="G601" s="11"/>
      <c r="H601" s="11"/>
      <c r="I601" s="11"/>
      <c r="J601" s="11"/>
      <c r="K601" s="27"/>
      <c r="L601" s="11"/>
      <c r="M601" s="11"/>
      <c r="N601" s="11"/>
      <c r="O601" s="11"/>
      <c r="P601" s="15"/>
      <c r="Q601" s="15"/>
      <c r="R601" s="15"/>
      <c r="S601" s="15"/>
      <c r="T601" s="15"/>
      <c r="U601" s="15"/>
      <c r="V601" s="15"/>
      <c r="W601" s="47"/>
      <c r="X601" s="11"/>
      <c r="Y601" s="48"/>
      <c r="Z601" s="11"/>
      <c r="AA601" s="48"/>
      <c r="AB601" s="11"/>
      <c r="AC601" s="48"/>
      <c r="AD601" s="11"/>
      <c r="AE601" s="47"/>
      <c r="AF601" s="11"/>
      <c r="AG601" s="48"/>
      <c r="AH601" s="11"/>
      <c r="AI601" s="48"/>
      <c r="AJ601" s="11"/>
      <c r="AK601" s="48"/>
      <c r="AL601" s="11"/>
      <c r="AM601" s="49"/>
      <c r="AN601" s="49"/>
      <c r="AO601" s="11"/>
      <c r="AP601" s="11"/>
      <c r="AQ601" s="28" t="b">
        <f>IF(COUNTIF(SmartStatus!A$2:A1000, AM601) &gt; 2, TRUE, FALSE)</f>
        <v>0</v>
      </c>
      <c r="AR601" s="29" t="str">
        <f ca="1">IFERROR(__xludf.DUMMYFUNCTION("iferror(if(regexmatch(AO601, ""(?i)^registered""), if(EE601 &lt;&gt; ""polity_shortest_name"", ""CHECK_POLITY"", index(filter(SmartStatus!B$2:B1000, AM601 = SmartStatus!A$2:A1000, not(SmartStatus!C$2:C1000), (isblank(SmartStatus!D$2:D1000)) + ((P601 &lt;&gt; """") * "&amp;"(P601 &lt; SmartStatus!D$2:D1000)), (isblank(SmartStatus!E$2:E1000)) + ((P601 &lt;&gt; """") * (P601 &gt;= SmartStatus!E$2:E1000)), (isblank(SmartStatus!F$2:F1000)) + (((Q601 &lt;&gt; """") * (Q601 &lt; SmartStatus!F$2:F1000)) + ((P601 &lt;&gt; """") * (date(year(P601) + 3, month(P"&amp;"601), day(P601)) &lt; SmartStatus!F$2:F1000))), (isblank(SmartStatus!G$2:G1000)) + (((Q601 &lt;&gt; """") * (Q601 &gt;= SmartStatus!G$2:G1000)) + ((P601 &lt;&gt; """") * (P601 &gt;= SmartStatus!G$2:G1000)))), if(or(regexmatch(B601, ""(?i)^ir [a-z]+ designation$""), N601 &lt;&gt; """&amp;"""), 1, 2))), """"), ""NO_MATCH"")"),"")</f>
        <v/>
      </c>
      <c r="AS601" s="11"/>
      <c r="AT601" s="15"/>
      <c r="AU601" s="11"/>
      <c r="AV601" s="11"/>
      <c r="AW601" s="15"/>
      <c r="AX601" s="15"/>
      <c r="AY601" s="15"/>
      <c r="AZ601" s="11"/>
      <c r="BA601" s="15"/>
      <c r="BB601" s="11"/>
      <c r="BC601" s="11"/>
      <c r="BD601" s="15"/>
      <c r="BE601" s="11"/>
      <c r="BF601" s="11"/>
      <c r="BG601" s="15"/>
      <c r="BH601" s="15"/>
      <c r="BI601" s="15"/>
      <c r="BJ601" s="11"/>
      <c r="BK601" s="15"/>
      <c r="BL601" s="11"/>
      <c r="BM601" s="11"/>
      <c r="BN601" s="15"/>
      <c r="BO601" s="11"/>
      <c r="BP601" s="11"/>
      <c r="BQ601" s="15"/>
      <c r="BR601" s="15"/>
      <c r="BS601" s="15"/>
      <c r="BT601" s="11"/>
      <c r="BU601" s="15"/>
      <c r="BV601" s="11"/>
      <c r="BW601" s="11"/>
      <c r="BX601" s="15"/>
      <c r="BY601" s="11"/>
      <c r="BZ601" s="11"/>
      <c r="CA601" s="15"/>
      <c r="CB601" s="11"/>
      <c r="CC601" s="15"/>
      <c r="CD601" s="11"/>
      <c r="CE601" s="15"/>
      <c r="CF601" s="11"/>
      <c r="CG601" s="11"/>
      <c r="CH601" s="15"/>
      <c r="CI601" s="11"/>
      <c r="CJ601" s="11"/>
      <c r="CK601" s="15"/>
      <c r="CL601" s="11"/>
      <c r="CM601" s="11"/>
      <c r="CN601" s="11"/>
      <c r="CO601" s="11"/>
      <c r="CP601" s="28"/>
      <c r="CQ601" s="28"/>
      <c r="CR601" s="11"/>
      <c r="CS601" s="29"/>
      <c r="CT601" s="11"/>
      <c r="CU601" s="11"/>
      <c r="CV601" s="11"/>
      <c r="CW601" s="11"/>
      <c r="CX601" s="11"/>
      <c r="CY601" s="11"/>
      <c r="CZ601" s="11"/>
      <c r="DA601" s="28"/>
      <c r="DB601" s="28"/>
      <c r="DC601" s="11"/>
      <c r="DD601" s="29"/>
      <c r="DE601" s="11"/>
      <c r="DF601" s="11"/>
      <c r="DG601" s="11"/>
      <c r="DH601" s="11"/>
      <c r="DI601" s="11"/>
      <c r="DJ601" s="11"/>
      <c r="DK601" s="26"/>
      <c r="DL601" s="11"/>
      <c r="DM601" s="29"/>
      <c r="DN601" s="28"/>
      <c r="DO601" s="11"/>
      <c r="DP601" s="11"/>
      <c r="DQ601" s="11"/>
      <c r="DR601" s="29"/>
      <c r="DS601" s="28"/>
      <c r="DT601" s="11"/>
      <c r="DU601" s="26"/>
      <c r="DV601" s="11"/>
      <c r="DW601" s="29"/>
      <c r="DX601" s="28"/>
      <c r="DY601" s="11"/>
      <c r="DZ601" s="26"/>
      <c r="EA601" s="11"/>
      <c r="EB601" s="29"/>
      <c r="EC601" s="28"/>
      <c r="ED601" s="30"/>
      <c r="EE601" s="30" t="str">
        <f ca="1">IFERROR(__xludf.DUMMYFUNCTION("iferror(index(filter('Internal -- Trademark Countries'!E$2:E1000, (AM601 = 'Internal -- Trademark Countries'!B$2:B1000) + (AM601 = 'Internal -- Trademark Countries'!C$2:C1000) + (AM601 = 'Internal -- Trademark Countries'!D$2:D1000)), 1))"),"")</f>
        <v/>
      </c>
      <c r="EF601" s="30" t="e">
        <f ca="1">_xludf.ifs(AM601="", "", COUNTIF('Internal -- Trademark Countries'!B:B,AM601) &gt; 0, "polity_shortest_name", COUNTIF('Internal -- Trademark Countries'!C:C,AM601) &gt; 0, "polity_full_name", COUNTIF('Internal -- Trademark Countries'!D:D,AM601) &gt; 0, "polity_common_name", COUNTIF('Internal -- Trademark Countries'!E:E,AM601) &gt; 0, "shortest_name", COUNTIF('Internal -- Trademark Countries'!A:A,AM601) &gt; 0, "full_name", TRUE, "not a match")</f>
        <v>#NAME?</v>
      </c>
      <c r="EG601" s="30"/>
      <c r="EH601" s="30"/>
      <c r="EI601" s="30"/>
      <c r="EJ601" s="30"/>
      <c r="EK601" s="30" t="str">
        <f t="shared" si="4"/>
        <v/>
      </c>
    </row>
    <row r="602" spans="1:141" ht="16.5">
      <c r="A602" s="11"/>
      <c r="B602" s="11"/>
      <c r="C602" s="11"/>
      <c r="D602" s="11"/>
      <c r="E602" s="11"/>
      <c r="F602" s="11"/>
      <c r="G602" s="11"/>
      <c r="H602" s="11"/>
      <c r="I602" s="11"/>
      <c r="J602" s="11"/>
      <c r="K602" s="27"/>
      <c r="L602" s="11"/>
      <c r="M602" s="11"/>
      <c r="N602" s="11"/>
      <c r="O602" s="11"/>
      <c r="P602" s="15"/>
      <c r="Q602" s="15"/>
      <c r="R602" s="15"/>
      <c r="S602" s="15"/>
      <c r="T602" s="15"/>
      <c r="U602" s="15"/>
      <c r="V602" s="15"/>
      <c r="W602" s="47"/>
      <c r="X602" s="11"/>
      <c r="Y602" s="48"/>
      <c r="Z602" s="11"/>
      <c r="AA602" s="48"/>
      <c r="AB602" s="11"/>
      <c r="AC602" s="48"/>
      <c r="AD602" s="11"/>
      <c r="AE602" s="47"/>
      <c r="AF602" s="11"/>
      <c r="AG602" s="48"/>
      <c r="AH602" s="11"/>
      <c r="AI602" s="48"/>
      <c r="AJ602" s="11"/>
      <c r="AK602" s="48"/>
      <c r="AL602" s="11"/>
      <c r="AM602" s="49"/>
      <c r="AN602" s="49"/>
      <c r="AO602" s="11"/>
      <c r="AP602" s="11"/>
      <c r="AQ602" s="28" t="b">
        <f>IF(COUNTIF(SmartStatus!A$2:A1000, AM602) &gt; 2, TRUE, FALSE)</f>
        <v>0</v>
      </c>
      <c r="AR602" s="29" t="str">
        <f ca="1">IFERROR(__xludf.DUMMYFUNCTION("iferror(if(regexmatch(AO602, ""(?i)^registered""), if(EE602 &lt;&gt; ""polity_shortest_name"", ""CHECK_POLITY"", index(filter(SmartStatus!B$2:B1000, AM602 = SmartStatus!A$2:A1000, not(SmartStatus!C$2:C1000), (isblank(SmartStatus!D$2:D1000)) + ((P602 &lt;&gt; """") * "&amp;"(P602 &lt; SmartStatus!D$2:D1000)), (isblank(SmartStatus!E$2:E1000)) + ((P602 &lt;&gt; """") * (P602 &gt;= SmartStatus!E$2:E1000)), (isblank(SmartStatus!F$2:F1000)) + (((Q602 &lt;&gt; """") * (Q602 &lt; SmartStatus!F$2:F1000)) + ((P602 &lt;&gt; """") * (date(year(P602) + 3, month(P"&amp;"602), day(P602)) &lt; SmartStatus!F$2:F1000))), (isblank(SmartStatus!G$2:G1000)) + (((Q602 &lt;&gt; """") * (Q602 &gt;= SmartStatus!G$2:G1000)) + ((P602 &lt;&gt; """") * (P602 &gt;= SmartStatus!G$2:G1000)))), if(or(regexmatch(B602, ""(?i)^ir [a-z]+ designation$""), N602 &lt;&gt; """&amp;"""), 1, 2))), """"), ""NO_MATCH"")"),"")</f>
        <v/>
      </c>
      <c r="AS602" s="11"/>
      <c r="AT602" s="15"/>
      <c r="AU602" s="11"/>
      <c r="AV602" s="11"/>
      <c r="AW602" s="15"/>
      <c r="AX602" s="15"/>
      <c r="AY602" s="15"/>
      <c r="AZ602" s="11"/>
      <c r="BA602" s="15"/>
      <c r="BB602" s="11"/>
      <c r="BC602" s="11"/>
      <c r="BD602" s="15"/>
      <c r="BE602" s="11"/>
      <c r="BF602" s="11"/>
      <c r="BG602" s="15"/>
      <c r="BH602" s="15"/>
      <c r="BI602" s="15"/>
      <c r="BJ602" s="11"/>
      <c r="BK602" s="15"/>
      <c r="BL602" s="11"/>
      <c r="BM602" s="11"/>
      <c r="BN602" s="15"/>
      <c r="BO602" s="11"/>
      <c r="BP602" s="11"/>
      <c r="BQ602" s="15"/>
      <c r="BR602" s="15"/>
      <c r="BS602" s="15"/>
      <c r="BT602" s="11"/>
      <c r="BU602" s="15"/>
      <c r="BV602" s="11"/>
      <c r="BW602" s="11"/>
      <c r="BX602" s="15"/>
      <c r="BY602" s="11"/>
      <c r="BZ602" s="11"/>
      <c r="CA602" s="15"/>
      <c r="CB602" s="11"/>
      <c r="CC602" s="15"/>
      <c r="CD602" s="11"/>
      <c r="CE602" s="15"/>
      <c r="CF602" s="11"/>
      <c r="CG602" s="11"/>
      <c r="CH602" s="15"/>
      <c r="CI602" s="11"/>
      <c r="CJ602" s="11"/>
      <c r="CK602" s="15"/>
      <c r="CL602" s="11"/>
      <c r="CM602" s="11"/>
      <c r="CN602" s="11"/>
      <c r="CO602" s="11"/>
      <c r="CP602" s="28"/>
      <c r="CQ602" s="28"/>
      <c r="CR602" s="11"/>
      <c r="CS602" s="29"/>
      <c r="CT602" s="11"/>
      <c r="CU602" s="11"/>
      <c r="CV602" s="11"/>
      <c r="CW602" s="11"/>
      <c r="CX602" s="11"/>
      <c r="CY602" s="11"/>
      <c r="CZ602" s="11"/>
      <c r="DA602" s="28"/>
      <c r="DB602" s="28"/>
      <c r="DC602" s="11"/>
      <c r="DD602" s="29"/>
      <c r="DE602" s="11"/>
      <c r="DF602" s="11"/>
      <c r="DG602" s="11"/>
      <c r="DH602" s="11"/>
      <c r="DI602" s="11"/>
      <c r="DJ602" s="11"/>
      <c r="DK602" s="26"/>
      <c r="DL602" s="11"/>
      <c r="DM602" s="29"/>
      <c r="DN602" s="28"/>
      <c r="DO602" s="11"/>
      <c r="DP602" s="11"/>
      <c r="DQ602" s="11"/>
      <c r="DR602" s="29"/>
      <c r="DS602" s="28"/>
      <c r="DT602" s="11"/>
      <c r="DU602" s="26"/>
      <c r="DV602" s="11"/>
      <c r="DW602" s="29"/>
      <c r="DX602" s="28"/>
      <c r="DY602" s="11"/>
      <c r="DZ602" s="26"/>
      <c r="EA602" s="11"/>
      <c r="EB602" s="29"/>
      <c r="EC602" s="28"/>
      <c r="ED602" s="30"/>
      <c r="EE602" s="30" t="str">
        <f ca="1">IFERROR(__xludf.DUMMYFUNCTION("iferror(index(filter('Internal -- Trademark Countries'!E$2:E1000, (AM602 = 'Internal -- Trademark Countries'!B$2:B1000) + (AM602 = 'Internal -- Trademark Countries'!C$2:C1000) + (AM602 = 'Internal -- Trademark Countries'!D$2:D1000)), 1))"),"")</f>
        <v/>
      </c>
      <c r="EF602" s="30" t="e">
        <f ca="1">_xludf.ifs(AM602="", "", COUNTIF('Internal -- Trademark Countries'!B:B,AM602) &gt; 0, "polity_shortest_name", COUNTIF('Internal -- Trademark Countries'!C:C,AM602) &gt; 0, "polity_full_name", COUNTIF('Internal -- Trademark Countries'!D:D,AM602) &gt; 0, "polity_common_name", COUNTIF('Internal -- Trademark Countries'!E:E,AM602) &gt; 0, "shortest_name", COUNTIF('Internal -- Trademark Countries'!A:A,AM602) &gt; 0, "full_name", TRUE, "not a match")</f>
        <v>#NAME?</v>
      </c>
      <c r="EG602" s="30"/>
      <c r="EH602" s="30"/>
      <c r="EI602" s="30"/>
      <c r="EJ602" s="30"/>
      <c r="EK602" s="30" t="str">
        <f t="shared" si="4"/>
        <v/>
      </c>
    </row>
    <row r="603" spans="1:141" ht="16.5">
      <c r="A603" s="11"/>
      <c r="B603" s="11"/>
      <c r="C603" s="11"/>
      <c r="D603" s="11"/>
      <c r="E603" s="11"/>
      <c r="F603" s="11"/>
      <c r="G603" s="11"/>
      <c r="H603" s="11"/>
      <c r="I603" s="11"/>
      <c r="J603" s="11"/>
      <c r="K603" s="27"/>
      <c r="L603" s="11"/>
      <c r="M603" s="11"/>
      <c r="N603" s="11"/>
      <c r="O603" s="11"/>
      <c r="P603" s="15"/>
      <c r="Q603" s="15"/>
      <c r="R603" s="15"/>
      <c r="S603" s="15"/>
      <c r="T603" s="15"/>
      <c r="U603" s="15"/>
      <c r="V603" s="15"/>
      <c r="W603" s="47"/>
      <c r="X603" s="11"/>
      <c r="Y603" s="48"/>
      <c r="Z603" s="11"/>
      <c r="AA603" s="48"/>
      <c r="AB603" s="11"/>
      <c r="AC603" s="48"/>
      <c r="AD603" s="11"/>
      <c r="AE603" s="47"/>
      <c r="AF603" s="11"/>
      <c r="AG603" s="48"/>
      <c r="AH603" s="11"/>
      <c r="AI603" s="48"/>
      <c r="AJ603" s="11"/>
      <c r="AK603" s="48"/>
      <c r="AL603" s="11"/>
      <c r="AM603" s="49"/>
      <c r="AN603" s="49"/>
      <c r="AO603" s="11"/>
      <c r="AP603" s="11"/>
      <c r="AQ603" s="28" t="b">
        <f>IF(COUNTIF(SmartStatus!A$2:A1000, AM603) &gt; 2, TRUE, FALSE)</f>
        <v>0</v>
      </c>
      <c r="AR603" s="29" t="str">
        <f ca="1">IFERROR(__xludf.DUMMYFUNCTION("iferror(if(regexmatch(AO603, ""(?i)^registered""), if(EE603 &lt;&gt; ""polity_shortest_name"", ""CHECK_POLITY"", index(filter(SmartStatus!B$2:B1000, AM603 = SmartStatus!A$2:A1000, not(SmartStatus!C$2:C1000), (isblank(SmartStatus!D$2:D1000)) + ((P603 &lt;&gt; """") * "&amp;"(P603 &lt; SmartStatus!D$2:D1000)), (isblank(SmartStatus!E$2:E1000)) + ((P603 &lt;&gt; """") * (P603 &gt;= SmartStatus!E$2:E1000)), (isblank(SmartStatus!F$2:F1000)) + (((Q603 &lt;&gt; """") * (Q603 &lt; SmartStatus!F$2:F1000)) + ((P603 &lt;&gt; """") * (date(year(P603) + 3, month(P"&amp;"603), day(P603)) &lt; SmartStatus!F$2:F1000))), (isblank(SmartStatus!G$2:G1000)) + (((Q603 &lt;&gt; """") * (Q603 &gt;= SmartStatus!G$2:G1000)) + ((P603 &lt;&gt; """") * (P603 &gt;= SmartStatus!G$2:G1000)))), if(or(regexmatch(B603, ""(?i)^ir [a-z]+ designation$""), N603 &lt;&gt; """&amp;"""), 1, 2))), """"), ""NO_MATCH"")"),"")</f>
        <v/>
      </c>
      <c r="AS603" s="11"/>
      <c r="AT603" s="15"/>
      <c r="AU603" s="11"/>
      <c r="AV603" s="11"/>
      <c r="AW603" s="15"/>
      <c r="AX603" s="15"/>
      <c r="AY603" s="15"/>
      <c r="AZ603" s="11"/>
      <c r="BA603" s="15"/>
      <c r="BB603" s="11"/>
      <c r="BC603" s="11"/>
      <c r="BD603" s="15"/>
      <c r="BE603" s="11"/>
      <c r="BF603" s="11"/>
      <c r="BG603" s="15"/>
      <c r="BH603" s="15"/>
      <c r="BI603" s="15"/>
      <c r="BJ603" s="11"/>
      <c r="BK603" s="15"/>
      <c r="BL603" s="11"/>
      <c r="BM603" s="11"/>
      <c r="BN603" s="15"/>
      <c r="BO603" s="11"/>
      <c r="BP603" s="11"/>
      <c r="BQ603" s="15"/>
      <c r="BR603" s="15"/>
      <c r="BS603" s="15"/>
      <c r="BT603" s="11"/>
      <c r="BU603" s="15"/>
      <c r="BV603" s="11"/>
      <c r="BW603" s="11"/>
      <c r="BX603" s="15"/>
      <c r="BY603" s="11"/>
      <c r="BZ603" s="11"/>
      <c r="CA603" s="15"/>
      <c r="CB603" s="11"/>
      <c r="CC603" s="15"/>
      <c r="CD603" s="11"/>
      <c r="CE603" s="15"/>
      <c r="CF603" s="11"/>
      <c r="CG603" s="11"/>
      <c r="CH603" s="15"/>
      <c r="CI603" s="11"/>
      <c r="CJ603" s="11"/>
      <c r="CK603" s="15"/>
      <c r="CL603" s="11"/>
      <c r="CM603" s="11"/>
      <c r="CN603" s="11"/>
      <c r="CO603" s="11"/>
      <c r="CP603" s="28"/>
      <c r="CQ603" s="28"/>
      <c r="CR603" s="11"/>
      <c r="CS603" s="29"/>
      <c r="CT603" s="11"/>
      <c r="CU603" s="11"/>
      <c r="CV603" s="11"/>
      <c r="CW603" s="11"/>
      <c r="CX603" s="11"/>
      <c r="CY603" s="11"/>
      <c r="CZ603" s="11"/>
      <c r="DA603" s="28"/>
      <c r="DB603" s="28"/>
      <c r="DC603" s="11"/>
      <c r="DD603" s="29"/>
      <c r="DE603" s="11"/>
      <c r="DF603" s="11"/>
      <c r="DG603" s="11"/>
      <c r="DH603" s="11"/>
      <c r="DI603" s="11"/>
      <c r="DJ603" s="11"/>
      <c r="DK603" s="26"/>
      <c r="DL603" s="11"/>
      <c r="DM603" s="29"/>
      <c r="DN603" s="28"/>
      <c r="DO603" s="11"/>
      <c r="DP603" s="11"/>
      <c r="DQ603" s="11"/>
      <c r="DR603" s="29"/>
      <c r="DS603" s="28"/>
      <c r="DT603" s="11"/>
      <c r="DU603" s="26"/>
      <c r="DV603" s="11"/>
      <c r="DW603" s="29"/>
      <c r="DX603" s="28"/>
      <c r="DY603" s="11"/>
      <c r="DZ603" s="26"/>
      <c r="EA603" s="11"/>
      <c r="EB603" s="29"/>
      <c r="EC603" s="28"/>
      <c r="ED603" s="30"/>
      <c r="EE603" s="30" t="str">
        <f ca="1">IFERROR(__xludf.DUMMYFUNCTION("iferror(index(filter('Internal -- Trademark Countries'!E$2:E1000, (AM603 = 'Internal -- Trademark Countries'!B$2:B1000) + (AM603 = 'Internal -- Trademark Countries'!C$2:C1000) + (AM603 = 'Internal -- Trademark Countries'!D$2:D1000)), 1))"),"")</f>
        <v/>
      </c>
      <c r="EF603" s="30" t="e">
        <f ca="1">_xludf.ifs(AM603="", "", COUNTIF('Internal -- Trademark Countries'!B:B,AM603) &gt; 0, "polity_shortest_name", COUNTIF('Internal -- Trademark Countries'!C:C,AM603) &gt; 0, "polity_full_name", COUNTIF('Internal -- Trademark Countries'!D:D,AM603) &gt; 0, "polity_common_name", COUNTIF('Internal -- Trademark Countries'!E:E,AM603) &gt; 0, "shortest_name", COUNTIF('Internal -- Trademark Countries'!A:A,AM603) &gt; 0, "full_name", TRUE, "not a match")</f>
        <v>#NAME?</v>
      </c>
      <c r="EG603" s="30"/>
      <c r="EH603" s="30"/>
      <c r="EI603" s="30"/>
      <c r="EJ603" s="30"/>
      <c r="EK603" s="30" t="str">
        <f t="shared" si="4"/>
        <v/>
      </c>
    </row>
    <row r="604" spans="1:141" ht="16.5">
      <c r="A604" s="11"/>
      <c r="B604" s="11"/>
      <c r="C604" s="11"/>
      <c r="D604" s="11"/>
      <c r="E604" s="11"/>
      <c r="F604" s="11"/>
      <c r="G604" s="11"/>
      <c r="H604" s="11"/>
      <c r="I604" s="11"/>
      <c r="J604" s="11"/>
      <c r="K604" s="27"/>
      <c r="L604" s="11"/>
      <c r="M604" s="11"/>
      <c r="N604" s="11"/>
      <c r="O604" s="11"/>
      <c r="P604" s="15"/>
      <c r="Q604" s="15"/>
      <c r="R604" s="15"/>
      <c r="S604" s="15"/>
      <c r="T604" s="15"/>
      <c r="U604" s="15"/>
      <c r="V604" s="15"/>
      <c r="W604" s="47"/>
      <c r="X604" s="11"/>
      <c r="Y604" s="48"/>
      <c r="Z604" s="11"/>
      <c r="AA604" s="48"/>
      <c r="AB604" s="11"/>
      <c r="AC604" s="48"/>
      <c r="AD604" s="11"/>
      <c r="AE604" s="47"/>
      <c r="AF604" s="11"/>
      <c r="AG604" s="48"/>
      <c r="AH604" s="11"/>
      <c r="AI604" s="48"/>
      <c r="AJ604" s="11"/>
      <c r="AK604" s="48"/>
      <c r="AL604" s="11"/>
      <c r="AM604" s="49"/>
      <c r="AN604" s="49"/>
      <c r="AO604" s="11"/>
      <c r="AP604" s="11"/>
      <c r="AQ604" s="28" t="b">
        <f>IF(COUNTIF(SmartStatus!A$2:A1000, AM604) &gt; 2, TRUE, FALSE)</f>
        <v>0</v>
      </c>
      <c r="AR604" s="29" t="str">
        <f ca="1">IFERROR(__xludf.DUMMYFUNCTION("iferror(if(regexmatch(AO604, ""(?i)^registered""), if(EE604 &lt;&gt; ""polity_shortest_name"", ""CHECK_POLITY"", index(filter(SmartStatus!B$2:B1000, AM604 = SmartStatus!A$2:A1000, not(SmartStatus!C$2:C1000), (isblank(SmartStatus!D$2:D1000)) + ((P604 &lt;&gt; """") * "&amp;"(P604 &lt; SmartStatus!D$2:D1000)), (isblank(SmartStatus!E$2:E1000)) + ((P604 &lt;&gt; """") * (P604 &gt;= SmartStatus!E$2:E1000)), (isblank(SmartStatus!F$2:F1000)) + (((Q604 &lt;&gt; """") * (Q604 &lt; SmartStatus!F$2:F1000)) + ((P604 &lt;&gt; """") * (date(year(P604) + 3, month(P"&amp;"604), day(P604)) &lt; SmartStatus!F$2:F1000))), (isblank(SmartStatus!G$2:G1000)) + (((Q604 &lt;&gt; """") * (Q604 &gt;= SmartStatus!G$2:G1000)) + ((P604 &lt;&gt; """") * (P604 &gt;= SmartStatus!G$2:G1000)))), if(or(regexmatch(B604, ""(?i)^ir [a-z]+ designation$""), N604 &lt;&gt; """&amp;"""), 1, 2))), """"), ""NO_MATCH"")"),"")</f>
        <v/>
      </c>
      <c r="AS604" s="11"/>
      <c r="AT604" s="15"/>
      <c r="AU604" s="11"/>
      <c r="AV604" s="11"/>
      <c r="AW604" s="15"/>
      <c r="AX604" s="15"/>
      <c r="AY604" s="15"/>
      <c r="AZ604" s="11"/>
      <c r="BA604" s="15"/>
      <c r="BB604" s="11"/>
      <c r="BC604" s="11"/>
      <c r="BD604" s="15"/>
      <c r="BE604" s="11"/>
      <c r="BF604" s="11"/>
      <c r="BG604" s="15"/>
      <c r="BH604" s="15"/>
      <c r="BI604" s="15"/>
      <c r="BJ604" s="11"/>
      <c r="BK604" s="15"/>
      <c r="BL604" s="11"/>
      <c r="BM604" s="11"/>
      <c r="BN604" s="15"/>
      <c r="BO604" s="11"/>
      <c r="BP604" s="11"/>
      <c r="BQ604" s="15"/>
      <c r="BR604" s="15"/>
      <c r="BS604" s="15"/>
      <c r="BT604" s="11"/>
      <c r="BU604" s="15"/>
      <c r="BV604" s="11"/>
      <c r="BW604" s="11"/>
      <c r="BX604" s="15"/>
      <c r="BY604" s="11"/>
      <c r="BZ604" s="11"/>
      <c r="CA604" s="15"/>
      <c r="CB604" s="11"/>
      <c r="CC604" s="15"/>
      <c r="CD604" s="11"/>
      <c r="CE604" s="15"/>
      <c r="CF604" s="11"/>
      <c r="CG604" s="11"/>
      <c r="CH604" s="15"/>
      <c r="CI604" s="11"/>
      <c r="CJ604" s="11"/>
      <c r="CK604" s="15"/>
      <c r="CL604" s="11"/>
      <c r="CM604" s="11"/>
      <c r="CN604" s="11"/>
      <c r="CO604" s="11"/>
      <c r="CP604" s="28"/>
      <c r="CQ604" s="28"/>
      <c r="CR604" s="11"/>
      <c r="CS604" s="29"/>
      <c r="CT604" s="11"/>
      <c r="CU604" s="11"/>
      <c r="CV604" s="11"/>
      <c r="CW604" s="11"/>
      <c r="CX604" s="11"/>
      <c r="CY604" s="11"/>
      <c r="CZ604" s="11"/>
      <c r="DA604" s="28"/>
      <c r="DB604" s="28"/>
      <c r="DC604" s="11"/>
      <c r="DD604" s="29"/>
      <c r="DE604" s="11"/>
      <c r="DF604" s="11"/>
      <c r="DG604" s="11"/>
      <c r="DH604" s="11"/>
      <c r="DI604" s="11"/>
      <c r="DJ604" s="11"/>
      <c r="DK604" s="26"/>
      <c r="DL604" s="11"/>
      <c r="DM604" s="29"/>
      <c r="DN604" s="28"/>
      <c r="DO604" s="11"/>
      <c r="DP604" s="11"/>
      <c r="DQ604" s="11"/>
      <c r="DR604" s="29"/>
      <c r="DS604" s="28"/>
      <c r="DT604" s="11"/>
      <c r="DU604" s="26"/>
      <c r="DV604" s="11"/>
      <c r="DW604" s="29"/>
      <c r="DX604" s="28"/>
      <c r="DY604" s="11"/>
      <c r="DZ604" s="26"/>
      <c r="EA604" s="11"/>
      <c r="EB604" s="29"/>
      <c r="EC604" s="28"/>
      <c r="ED604" s="30"/>
      <c r="EE604" s="30" t="str">
        <f ca="1">IFERROR(__xludf.DUMMYFUNCTION("iferror(index(filter('Internal -- Trademark Countries'!E$2:E1000, (AM604 = 'Internal -- Trademark Countries'!B$2:B1000) + (AM604 = 'Internal -- Trademark Countries'!C$2:C1000) + (AM604 = 'Internal -- Trademark Countries'!D$2:D1000)), 1))"),"")</f>
        <v/>
      </c>
      <c r="EF604" s="30" t="e">
        <f ca="1">_xludf.ifs(AM604="", "", COUNTIF('Internal -- Trademark Countries'!B:B,AM604) &gt; 0, "polity_shortest_name", COUNTIF('Internal -- Trademark Countries'!C:C,AM604) &gt; 0, "polity_full_name", COUNTIF('Internal -- Trademark Countries'!D:D,AM604) &gt; 0, "polity_common_name", COUNTIF('Internal -- Trademark Countries'!E:E,AM604) &gt; 0, "shortest_name", COUNTIF('Internal -- Trademark Countries'!A:A,AM604) &gt; 0, "full_name", TRUE, "not a match")</f>
        <v>#NAME?</v>
      </c>
      <c r="EG604" s="30"/>
      <c r="EH604" s="30"/>
      <c r="EI604" s="30"/>
      <c r="EJ604" s="30"/>
      <c r="EK604" s="30" t="str">
        <f t="shared" si="4"/>
        <v/>
      </c>
    </row>
    <row r="605" spans="1:141" ht="16.5">
      <c r="A605" s="11"/>
      <c r="B605" s="11"/>
      <c r="C605" s="11"/>
      <c r="D605" s="11"/>
      <c r="E605" s="11"/>
      <c r="F605" s="11"/>
      <c r="G605" s="11"/>
      <c r="H605" s="11"/>
      <c r="I605" s="11"/>
      <c r="J605" s="11"/>
      <c r="K605" s="27"/>
      <c r="L605" s="11"/>
      <c r="M605" s="11"/>
      <c r="N605" s="11"/>
      <c r="O605" s="11"/>
      <c r="P605" s="15"/>
      <c r="Q605" s="15"/>
      <c r="R605" s="15"/>
      <c r="S605" s="15"/>
      <c r="T605" s="15"/>
      <c r="U605" s="15"/>
      <c r="V605" s="15"/>
      <c r="W605" s="47"/>
      <c r="X605" s="11"/>
      <c r="Y605" s="48"/>
      <c r="Z605" s="11"/>
      <c r="AA605" s="48"/>
      <c r="AB605" s="11"/>
      <c r="AC605" s="48"/>
      <c r="AD605" s="11"/>
      <c r="AE605" s="47"/>
      <c r="AF605" s="11"/>
      <c r="AG605" s="48"/>
      <c r="AH605" s="11"/>
      <c r="AI605" s="48"/>
      <c r="AJ605" s="11"/>
      <c r="AK605" s="48"/>
      <c r="AL605" s="11"/>
      <c r="AM605" s="49"/>
      <c r="AN605" s="49"/>
      <c r="AO605" s="11"/>
      <c r="AP605" s="11"/>
      <c r="AQ605" s="28" t="b">
        <f>IF(COUNTIF(SmartStatus!A$2:A1000, AM605) &gt; 2, TRUE, FALSE)</f>
        <v>0</v>
      </c>
      <c r="AR605" s="29" t="str">
        <f ca="1">IFERROR(__xludf.DUMMYFUNCTION("iferror(if(regexmatch(AO605, ""(?i)^registered""), if(EE605 &lt;&gt; ""polity_shortest_name"", ""CHECK_POLITY"", index(filter(SmartStatus!B$2:B1000, AM605 = SmartStatus!A$2:A1000, not(SmartStatus!C$2:C1000), (isblank(SmartStatus!D$2:D1000)) + ((P605 &lt;&gt; """") * "&amp;"(P605 &lt; SmartStatus!D$2:D1000)), (isblank(SmartStatus!E$2:E1000)) + ((P605 &lt;&gt; """") * (P605 &gt;= SmartStatus!E$2:E1000)), (isblank(SmartStatus!F$2:F1000)) + (((Q605 &lt;&gt; """") * (Q605 &lt; SmartStatus!F$2:F1000)) + ((P605 &lt;&gt; """") * (date(year(P605) + 3, month(P"&amp;"605), day(P605)) &lt; SmartStatus!F$2:F1000))), (isblank(SmartStatus!G$2:G1000)) + (((Q605 &lt;&gt; """") * (Q605 &gt;= SmartStatus!G$2:G1000)) + ((P605 &lt;&gt; """") * (P605 &gt;= SmartStatus!G$2:G1000)))), if(or(regexmatch(B605, ""(?i)^ir [a-z]+ designation$""), N605 &lt;&gt; """&amp;"""), 1, 2))), """"), ""NO_MATCH"")"),"")</f>
        <v/>
      </c>
      <c r="AS605" s="11"/>
      <c r="AT605" s="15"/>
      <c r="AU605" s="11"/>
      <c r="AV605" s="11"/>
      <c r="AW605" s="15"/>
      <c r="AX605" s="15"/>
      <c r="AY605" s="15"/>
      <c r="AZ605" s="11"/>
      <c r="BA605" s="15"/>
      <c r="BB605" s="11"/>
      <c r="BC605" s="11"/>
      <c r="BD605" s="15"/>
      <c r="BE605" s="11"/>
      <c r="BF605" s="11"/>
      <c r="BG605" s="15"/>
      <c r="BH605" s="15"/>
      <c r="BI605" s="15"/>
      <c r="BJ605" s="11"/>
      <c r="BK605" s="15"/>
      <c r="BL605" s="11"/>
      <c r="BM605" s="11"/>
      <c r="BN605" s="15"/>
      <c r="BO605" s="11"/>
      <c r="BP605" s="11"/>
      <c r="BQ605" s="15"/>
      <c r="BR605" s="15"/>
      <c r="BS605" s="15"/>
      <c r="BT605" s="11"/>
      <c r="BU605" s="15"/>
      <c r="BV605" s="11"/>
      <c r="BW605" s="11"/>
      <c r="BX605" s="15"/>
      <c r="BY605" s="11"/>
      <c r="BZ605" s="11"/>
      <c r="CA605" s="15"/>
      <c r="CB605" s="11"/>
      <c r="CC605" s="15"/>
      <c r="CD605" s="11"/>
      <c r="CE605" s="15"/>
      <c r="CF605" s="11"/>
      <c r="CG605" s="11"/>
      <c r="CH605" s="15"/>
      <c r="CI605" s="11"/>
      <c r="CJ605" s="11"/>
      <c r="CK605" s="15"/>
      <c r="CL605" s="11"/>
      <c r="CM605" s="11"/>
      <c r="CN605" s="11"/>
      <c r="CO605" s="11"/>
      <c r="CP605" s="28"/>
      <c r="CQ605" s="28"/>
      <c r="CR605" s="11"/>
      <c r="CS605" s="29"/>
      <c r="CT605" s="11"/>
      <c r="CU605" s="11"/>
      <c r="CV605" s="11"/>
      <c r="CW605" s="11"/>
      <c r="CX605" s="11"/>
      <c r="CY605" s="11"/>
      <c r="CZ605" s="11"/>
      <c r="DA605" s="28"/>
      <c r="DB605" s="28"/>
      <c r="DC605" s="11"/>
      <c r="DD605" s="29"/>
      <c r="DE605" s="11"/>
      <c r="DF605" s="11"/>
      <c r="DG605" s="11"/>
      <c r="DH605" s="11"/>
      <c r="DI605" s="11"/>
      <c r="DJ605" s="11"/>
      <c r="DK605" s="26"/>
      <c r="DL605" s="11"/>
      <c r="DM605" s="29"/>
      <c r="DN605" s="28"/>
      <c r="DO605" s="11"/>
      <c r="DP605" s="11"/>
      <c r="DQ605" s="11"/>
      <c r="DR605" s="29"/>
      <c r="DS605" s="28"/>
      <c r="DT605" s="11"/>
      <c r="DU605" s="26"/>
      <c r="DV605" s="11"/>
      <c r="DW605" s="29"/>
      <c r="DX605" s="28"/>
      <c r="DY605" s="11"/>
      <c r="DZ605" s="26"/>
      <c r="EA605" s="11"/>
      <c r="EB605" s="29"/>
      <c r="EC605" s="28"/>
      <c r="ED605" s="30"/>
      <c r="EE605" s="30" t="str">
        <f ca="1">IFERROR(__xludf.DUMMYFUNCTION("iferror(index(filter('Internal -- Trademark Countries'!E$2:E1000, (AM605 = 'Internal -- Trademark Countries'!B$2:B1000) + (AM605 = 'Internal -- Trademark Countries'!C$2:C1000) + (AM605 = 'Internal -- Trademark Countries'!D$2:D1000)), 1))"),"")</f>
        <v/>
      </c>
      <c r="EF605" s="30" t="e">
        <f ca="1">_xludf.ifs(AM605="", "", COUNTIF('Internal -- Trademark Countries'!B:B,AM605) &gt; 0, "polity_shortest_name", COUNTIF('Internal -- Trademark Countries'!C:C,AM605) &gt; 0, "polity_full_name", COUNTIF('Internal -- Trademark Countries'!D:D,AM605) &gt; 0, "polity_common_name", COUNTIF('Internal -- Trademark Countries'!E:E,AM605) &gt; 0, "shortest_name", COUNTIF('Internal -- Trademark Countries'!A:A,AM605) &gt; 0, "full_name", TRUE, "not a match")</f>
        <v>#NAME?</v>
      </c>
      <c r="EG605" s="30"/>
      <c r="EH605" s="30"/>
      <c r="EI605" s="30"/>
      <c r="EJ605" s="30"/>
      <c r="EK605" s="30" t="str">
        <f t="shared" si="4"/>
        <v/>
      </c>
    </row>
    <row r="606" spans="1:141" ht="16.5">
      <c r="A606" s="11"/>
      <c r="B606" s="11"/>
      <c r="C606" s="11"/>
      <c r="D606" s="11"/>
      <c r="E606" s="11"/>
      <c r="F606" s="11"/>
      <c r="G606" s="11"/>
      <c r="H606" s="11"/>
      <c r="I606" s="11"/>
      <c r="J606" s="11"/>
      <c r="K606" s="27"/>
      <c r="L606" s="11"/>
      <c r="M606" s="11"/>
      <c r="N606" s="11"/>
      <c r="O606" s="11"/>
      <c r="P606" s="15"/>
      <c r="Q606" s="15"/>
      <c r="R606" s="15"/>
      <c r="S606" s="15"/>
      <c r="T606" s="15"/>
      <c r="U606" s="15"/>
      <c r="V606" s="15"/>
      <c r="W606" s="47"/>
      <c r="X606" s="11"/>
      <c r="Y606" s="48"/>
      <c r="Z606" s="11"/>
      <c r="AA606" s="48"/>
      <c r="AB606" s="11"/>
      <c r="AC606" s="48"/>
      <c r="AD606" s="11"/>
      <c r="AE606" s="47"/>
      <c r="AF606" s="11"/>
      <c r="AG606" s="48"/>
      <c r="AH606" s="11"/>
      <c r="AI606" s="48"/>
      <c r="AJ606" s="11"/>
      <c r="AK606" s="48"/>
      <c r="AL606" s="11"/>
      <c r="AM606" s="49"/>
      <c r="AN606" s="49"/>
      <c r="AO606" s="11"/>
      <c r="AP606" s="11"/>
      <c r="AQ606" s="28" t="b">
        <f>IF(COUNTIF(SmartStatus!A$2:A1000, AM606) &gt; 2, TRUE, FALSE)</f>
        <v>0</v>
      </c>
      <c r="AR606" s="29" t="str">
        <f ca="1">IFERROR(__xludf.DUMMYFUNCTION("iferror(if(regexmatch(AO606, ""(?i)^registered""), if(EE606 &lt;&gt; ""polity_shortest_name"", ""CHECK_POLITY"", index(filter(SmartStatus!B$2:B1000, AM606 = SmartStatus!A$2:A1000, not(SmartStatus!C$2:C1000), (isblank(SmartStatus!D$2:D1000)) + ((P606 &lt;&gt; """") * "&amp;"(P606 &lt; SmartStatus!D$2:D1000)), (isblank(SmartStatus!E$2:E1000)) + ((P606 &lt;&gt; """") * (P606 &gt;= SmartStatus!E$2:E1000)), (isblank(SmartStatus!F$2:F1000)) + (((Q606 &lt;&gt; """") * (Q606 &lt; SmartStatus!F$2:F1000)) + ((P606 &lt;&gt; """") * (date(year(P606) + 3, month(P"&amp;"606), day(P606)) &lt; SmartStatus!F$2:F1000))), (isblank(SmartStatus!G$2:G1000)) + (((Q606 &lt;&gt; """") * (Q606 &gt;= SmartStatus!G$2:G1000)) + ((P606 &lt;&gt; """") * (P606 &gt;= SmartStatus!G$2:G1000)))), if(or(regexmatch(B606, ""(?i)^ir [a-z]+ designation$""), N606 &lt;&gt; """&amp;"""), 1, 2))), """"), ""NO_MATCH"")"),"")</f>
        <v/>
      </c>
      <c r="AS606" s="11"/>
      <c r="AT606" s="15"/>
      <c r="AU606" s="11"/>
      <c r="AV606" s="11"/>
      <c r="AW606" s="15"/>
      <c r="AX606" s="15"/>
      <c r="AY606" s="15"/>
      <c r="AZ606" s="11"/>
      <c r="BA606" s="15"/>
      <c r="BB606" s="11"/>
      <c r="BC606" s="11"/>
      <c r="BD606" s="15"/>
      <c r="BE606" s="11"/>
      <c r="BF606" s="11"/>
      <c r="BG606" s="15"/>
      <c r="BH606" s="15"/>
      <c r="BI606" s="15"/>
      <c r="BJ606" s="11"/>
      <c r="BK606" s="15"/>
      <c r="BL606" s="11"/>
      <c r="BM606" s="11"/>
      <c r="BN606" s="15"/>
      <c r="BO606" s="11"/>
      <c r="BP606" s="11"/>
      <c r="BQ606" s="15"/>
      <c r="BR606" s="15"/>
      <c r="BS606" s="15"/>
      <c r="BT606" s="11"/>
      <c r="BU606" s="15"/>
      <c r="BV606" s="11"/>
      <c r="BW606" s="11"/>
      <c r="BX606" s="15"/>
      <c r="BY606" s="11"/>
      <c r="BZ606" s="11"/>
      <c r="CA606" s="15"/>
      <c r="CB606" s="11"/>
      <c r="CC606" s="15"/>
      <c r="CD606" s="11"/>
      <c r="CE606" s="15"/>
      <c r="CF606" s="11"/>
      <c r="CG606" s="11"/>
      <c r="CH606" s="15"/>
      <c r="CI606" s="11"/>
      <c r="CJ606" s="11"/>
      <c r="CK606" s="15"/>
      <c r="CL606" s="11"/>
      <c r="CM606" s="11"/>
      <c r="CN606" s="11"/>
      <c r="CO606" s="11"/>
      <c r="CP606" s="28"/>
      <c r="CQ606" s="28"/>
      <c r="CR606" s="11"/>
      <c r="CS606" s="29"/>
      <c r="CT606" s="11"/>
      <c r="CU606" s="11"/>
      <c r="CV606" s="11"/>
      <c r="CW606" s="11"/>
      <c r="CX606" s="11"/>
      <c r="CY606" s="11"/>
      <c r="CZ606" s="11"/>
      <c r="DA606" s="28"/>
      <c r="DB606" s="28"/>
      <c r="DC606" s="11"/>
      <c r="DD606" s="29"/>
      <c r="DE606" s="11"/>
      <c r="DF606" s="11"/>
      <c r="DG606" s="11"/>
      <c r="DH606" s="11"/>
      <c r="DI606" s="11"/>
      <c r="DJ606" s="11"/>
      <c r="DK606" s="26"/>
      <c r="DL606" s="11"/>
      <c r="DM606" s="29"/>
      <c r="DN606" s="28"/>
      <c r="DO606" s="11"/>
      <c r="DP606" s="11"/>
      <c r="DQ606" s="11"/>
      <c r="DR606" s="29"/>
      <c r="DS606" s="28"/>
      <c r="DT606" s="11"/>
      <c r="DU606" s="26"/>
      <c r="DV606" s="11"/>
      <c r="DW606" s="29"/>
      <c r="DX606" s="28"/>
      <c r="DY606" s="11"/>
      <c r="DZ606" s="26"/>
      <c r="EA606" s="11"/>
      <c r="EB606" s="29"/>
      <c r="EC606" s="28"/>
      <c r="ED606" s="30"/>
      <c r="EE606" s="30" t="str">
        <f ca="1">IFERROR(__xludf.DUMMYFUNCTION("iferror(index(filter('Internal -- Trademark Countries'!E$2:E1000, (AM606 = 'Internal -- Trademark Countries'!B$2:B1000) + (AM606 = 'Internal -- Trademark Countries'!C$2:C1000) + (AM606 = 'Internal -- Trademark Countries'!D$2:D1000)), 1))"),"")</f>
        <v/>
      </c>
      <c r="EF606" s="30" t="e">
        <f ca="1">_xludf.ifs(AM606="", "", COUNTIF('Internal -- Trademark Countries'!B:B,AM606) &gt; 0, "polity_shortest_name", COUNTIF('Internal -- Trademark Countries'!C:C,AM606) &gt; 0, "polity_full_name", COUNTIF('Internal -- Trademark Countries'!D:D,AM606) &gt; 0, "polity_common_name", COUNTIF('Internal -- Trademark Countries'!E:E,AM606) &gt; 0, "shortest_name", COUNTIF('Internal -- Trademark Countries'!A:A,AM606) &gt; 0, "full_name", TRUE, "not a match")</f>
        <v>#NAME?</v>
      </c>
      <c r="EG606" s="30"/>
      <c r="EH606" s="30"/>
      <c r="EI606" s="30"/>
      <c r="EJ606" s="30"/>
      <c r="EK606" s="30" t="str">
        <f t="shared" si="4"/>
        <v/>
      </c>
    </row>
    <row r="607" spans="1:141" ht="16.5">
      <c r="A607" s="11"/>
      <c r="B607" s="11"/>
      <c r="C607" s="11"/>
      <c r="D607" s="11"/>
      <c r="E607" s="11"/>
      <c r="F607" s="11"/>
      <c r="G607" s="11"/>
      <c r="H607" s="11"/>
      <c r="I607" s="11"/>
      <c r="J607" s="11"/>
      <c r="K607" s="27"/>
      <c r="L607" s="11"/>
      <c r="M607" s="11"/>
      <c r="N607" s="11"/>
      <c r="O607" s="11"/>
      <c r="P607" s="15"/>
      <c r="Q607" s="15"/>
      <c r="R607" s="15"/>
      <c r="S607" s="15"/>
      <c r="T607" s="15"/>
      <c r="U607" s="15"/>
      <c r="V607" s="15"/>
      <c r="W607" s="47"/>
      <c r="X607" s="11"/>
      <c r="Y607" s="48"/>
      <c r="Z607" s="11"/>
      <c r="AA607" s="48"/>
      <c r="AB607" s="11"/>
      <c r="AC607" s="48"/>
      <c r="AD607" s="11"/>
      <c r="AE607" s="47"/>
      <c r="AF607" s="11"/>
      <c r="AG607" s="48"/>
      <c r="AH607" s="11"/>
      <c r="AI607" s="48"/>
      <c r="AJ607" s="11"/>
      <c r="AK607" s="48"/>
      <c r="AL607" s="11"/>
      <c r="AM607" s="49"/>
      <c r="AN607" s="49"/>
      <c r="AO607" s="11"/>
      <c r="AP607" s="11"/>
      <c r="AQ607" s="28" t="b">
        <f>IF(COUNTIF(SmartStatus!A$2:A1000, AM607) &gt; 2, TRUE, FALSE)</f>
        <v>0</v>
      </c>
      <c r="AR607" s="29" t="str">
        <f ca="1">IFERROR(__xludf.DUMMYFUNCTION("iferror(if(regexmatch(AO607, ""(?i)^registered""), if(EE607 &lt;&gt; ""polity_shortest_name"", ""CHECK_POLITY"", index(filter(SmartStatus!B$2:B1000, AM607 = SmartStatus!A$2:A1000, not(SmartStatus!C$2:C1000), (isblank(SmartStatus!D$2:D1000)) + ((P607 &lt;&gt; """") * "&amp;"(P607 &lt; SmartStatus!D$2:D1000)), (isblank(SmartStatus!E$2:E1000)) + ((P607 &lt;&gt; """") * (P607 &gt;= SmartStatus!E$2:E1000)), (isblank(SmartStatus!F$2:F1000)) + (((Q607 &lt;&gt; """") * (Q607 &lt; SmartStatus!F$2:F1000)) + ((P607 &lt;&gt; """") * (date(year(P607) + 3, month(P"&amp;"607), day(P607)) &lt; SmartStatus!F$2:F1000))), (isblank(SmartStatus!G$2:G1000)) + (((Q607 &lt;&gt; """") * (Q607 &gt;= SmartStatus!G$2:G1000)) + ((P607 &lt;&gt; """") * (P607 &gt;= SmartStatus!G$2:G1000)))), if(or(regexmatch(B607, ""(?i)^ir [a-z]+ designation$""), N607 &lt;&gt; """&amp;"""), 1, 2))), """"), ""NO_MATCH"")"),"")</f>
        <v/>
      </c>
      <c r="AS607" s="11"/>
      <c r="AT607" s="15"/>
      <c r="AU607" s="11"/>
      <c r="AV607" s="11"/>
      <c r="AW607" s="15"/>
      <c r="AX607" s="15"/>
      <c r="AY607" s="15"/>
      <c r="AZ607" s="11"/>
      <c r="BA607" s="15"/>
      <c r="BB607" s="11"/>
      <c r="BC607" s="11"/>
      <c r="BD607" s="15"/>
      <c r="BE607" s="11"/>
      <c r="BF607" s="11"/>
      <c r="BG607" s="15"/>
      <c r="BH607" s="15"/>
      <c r="BI607" s="15"/>
      <c r="BJ607" s="11"/>
      <c r="BK607" s="15"/>
      <c r="BL607" s="11"/>
      <c r="BM607" s="11"/>
      <c r="BN607" s="15"/>
      <c r="BO607" s="11"/>
      <c r="BP607" s="11"/>
      <c r="BQ607" s="15"/>
      <c r="BR607" s="15"/>
      <c r="BS607" s="15"/>
      <c r="BT607" s="11"/>
      <c r="BU607" s="15"/>
      <c r="BV607" s="11"/>
      <c r="BW607" s="11"/>
      <c r="BX607" s="15"/>
      <c r="BY607" s="11"/>
      <c r="BZ607" s="11"/>
      <c r="CA607" s="15"/>
      <c r="CB607" s="11"/>
      <c r="CC607" s="15"/>
      <c r="CD607" s="11"/>
      <c r="CE607" s="15"/>
      <c r="CF607" s="11"/>
      <c r="CG607" s="11"/>
      <c r="CH607" s="15"/>
      <c r="CI607" s="11"/>
      <c r="CJ607" s="11"/>
      <c r="CK607" s="15"/>
      <c r="CL607" s="11"/>
      <c r="CM607" s="11"/>
      <c r="CN607" s="11"/>
      <c r="CO607" s="11"/>
      <c r="CP607" s="28"/>
      <c r="CQ607" s="28"/>
      <c r="CR607" s="11"/>
      <c r="CS607" s="29"/>
      <c r="CT607" s="11"/>
      <c r="CU607" s="11"/>
      <c r="CV607" s="11"/>
      <c r="CW607" s="11"/>
      <c r="CX607" s="11"/>
      <c r="CY607" s="11"/>
      <c r="CZ607" s="11"/>
      <c r="DA607" s="28"/>
      <c r="DB607" s="28"/>
      <c r="DC607" s="11"/>
      <c r="DD607" s="29"/>
      <c r="DE607" s="11"/>
      <c r="DF607" s="11"/>
      <c r="DG607" s="11"/>
      <c r="DH607" s="11"/>
      <c r="DI607" s="11"/>
      <c r="DJ607" s="11"/>
      <c r="DK607" s="26"/>
      <c r="DL607" s="11"/>
      <c r="DM607" s="29"/>
      <c r="DN607" s="28"/>
      <c r="DO607" s="11"/>
      <c r="DP607" s="11"/>
      <c r="DQ607" s="11"/>
      <c r="DR607" s="29"/>
      <c r="DS607" s="28"/>
      <c r="DT607" s="11"/>
      <c r="DU607" s="26"/>
      <c r="DV607" s="11"/>
      <c r="DW607" s="29"/>
      <c r="DX607" s="28"/>
      <c r="DY607" s="11"/>
      <c r="DZ607" s="26"/>
      <c r="EA607" s="11"/>
      <c r="EB607" s="29"/>
      <c r="EC607" s="28"/>
      <c r="ED607" s="30"/>
      <c r="EE607" s="30" t="str">
        <f ca="1">IFERROR(__xludf.DUMMYFUNCTION("iferror(index(filter('Internal -- Trademark Countries'!E$2:E1000, (AM607 = 'Internal -- Trademark Countries'!B$2:B1000) + (AM607 = 'Internal -- Trademark Countries'!C$2:C1000) + (AM607 = 'Internal -- Trademark Countries'!D$2:D1000)), 1))"),"")</f>
        <v/>
      </c>
      <c r="EF607" s="30" t="e">
        <f ca="1">_xludf.ifs(AM607="", "", COUNTIF('Internal -- Trademark Countries'!B:B,AM607) &gt; 0, "polity_shortest_name", COUNTIF('Internal -- Trademark Countries'!C:C,AM607) &gt; 0, "polity_full_name", COUNTIF('Internal -- Trademark Countries'!D:D,AM607) &gt; 0, "polity_common_name", COUNTIF('Internal -- Trademark Countries'!E:E,AM607) &gt; 0, "shortest_name", COUNTIF('Internal -- Trademark Countries'!A:A,AM607) &gt; 0, "full_name", TRUE, "not a match")</f>
        <v>#NAME?</v>
      </c>
      <c r="EG607" s="30"/>
      <c r="EH607" s="30"/>
      <c r="EI607" s="30"/>
      <c r="EJ607" s="30"/>
      <c r="EK607" s="30" t="str">
        <f t="shared" si="4"/>
        <v/>
      </c>
    </row>
    <row r="608" spans="1:141" ht="16.5">
      <c r="A608" s="11"/>
      <c r="B608" s="11"/>
      <c r="C608" s="11"/>
      <c r="D608" s="11"/>
      <c r="E608" s="11"/>
      <c r="F608" s="11"/>
      <c r="G608" s="11"/>
      <c r="H608" s="11"/>
      <c r="I608" s="11"/>
      <c r="J608" s="11"/>
      <c r="K608" s="27"/>
      <c r="L608" s="11"/>
      <c r="M608" s="11"/>
      <c r="N608" s="11"/>
      <c r="O608" s="11"/>
      <c r="P608" s="15"/>
      <c r="Q608" s="15"/>
      <c r="R608" s="15"/>
      <c r="S608" s="15"/>
      <c r="T608" s="15"/>
      <c r="U608" s="15"/>
      <c r="V608" s="15"/>
      <c r="W608" s="47"/>
      <c r="X608" s="11"/>
      <c r="Y608" s="48"/>
      <c r="Z608" s="11"/>
      <c r="AA608" s="48"/>
      <c r="AB608" s="11"/>
      <c r="AC608" s="48"/>
      <c r="AD608" s="11"/>
      <c r="AE608" s="47"/>
      <c r="AF608" s="11"/>
      <c r="AG608" s="48"/>
      <c r="AH608" s="11"/>
      <c r="AI608" s="48"/>
      <c r="AJ608" s="11"/>
      <c r="AK608" s="48"/>
      <c r="AL608" s="11"/>
      <c r="AM608" s="49"/>
      <c r="AN608" s="49"/>
      <c r="AO608" s="11"/>
      <c r="AP608" s="11"/>
      <c r="AQ608" s="28" t="b">
        <f>IF(COUNTIF(SmartStatus!A$2:A1000, AM608) &gt; 2, TRUE, FALSE)</f>
        <v>0</v>
      </c>
      <c r="AR608" s="29" t="str">
        <f ca="1">IFERROR(__xludf.DUMMYFUNCTION("iferror(if(regexmatch(AO608, ""(?i)^registered""), if(EE608 &lt;&gt; ""polity_shortest_name"", ""CHECK_POLITY"", index(filter(SmartStatus!B$2:B1000, AM608 = SmartStatus!A$2:A1000, not(SmartStatus!C$2:C1000), (isblank(SmartStatus!D$2:D1000)) + ((P608 &lt;&gt; """") * "&amp;"(P608 &lt; SmartStatus!D$2:D1000)), (isblank(SmartStatus!E$2:E1000)) + ((P608 &lt;&gt; """") * (P608 &gt;= SmartStatus!E$2:E1000)), (isblank(SmartStatus!F$2:F1000)) + (((Q608 &lt;&gt; """") * (Q608 &lt; SmartStatus!F$2:F1000)) + ((P608 &lt;&gt; """") * (date(year(P608) + 3, month(P"&amp;"608), day(P608)) &lt; SmartStatus!F$2:F1000))), (isblank(SmartStatus!G$2:G1000)) + (((Q608 &lt;&gt; """") * (Q608 &gt;= SmartStatus!G$2:G1000)) + ((P608 &lt;&gt; """") * (P608 &gt;= SmartStatus!G$2:G1000)))), if(or(regexmatch(B608, ""(?i)^ir [a-z]+ designation$""), N608 &lt;&gt; """&amp;"""), 1, 2))), """"), ""NO_MATCH"")"),"")</f>
        <v/>
      </c>
      <c r="AS608" s="11"/>
      <c r="AT608" s="15"/>
      <c r="AU608" s="11"/>
      <c r="AV608" s="11"/>
      <c r="AW608" s="15"/>
      <c r="AX608" s="15"/>
      <c r="AY608" s="15"/>
      <c r="AZ608" s="11"/>
      <c r="BA608" s="15"/>
      <c r="BB608" s="11"/>
      <c r="BC608" s="11"/>
      <c r="BD608" s="15"/>
      <c r="BE608" s="11"/>
      <c r="BF608" s="11"/>
      <c r="BG608" s="15"/>
      <c r="BH608" s="15"/>
      <c r="BI608" s="15"/>
      <c r="BJ608" s="11"/>
      <c r="BK608" s="15"/>
      <c r="BL608" s="11"/>
      <c r="BM608" s="11"/>
      <c r="BN608" s="15"/>
      <c r="BO608" s="11"/>
      <c r="BP608" s="11"/>
      <c r="BQ608" s="15"/>
      <c r="BR608" s="15"/>
      <c r="BS608" s="15"/>
      <c r="BT608" s="11"/>
      <c r="BU608" s="15"/>
      <c r="BV608" s="11"/>
      <c r="BW608" s="11"/>
      <c r="BX608" s="15"/>
      <c r="BY608" s="11"/>
      <c r="BZ608" s="11"/>
      <c r="CA608" s="15"/>
      <c r="CB608" s="11"/>
      <c r="CC608" s="15"/>
      <c r="CD608" s="11"/>
      <c r="CE608" s="15"/>
      <c r="CF608" s="11"/>
      <c r="CG608" s="11"/>
      <c r="CH608" s="15"/>
      <c r="CI608" s="11"/>
      <c r="CJ608" s="11"/>
      <c r="CK608" s="15"/>
      <c r="CL608" s="11"/>
      <c r="CM608" s="11"/>
      <c r="CN608" s="11"/>
      <c r="CO608" s="11"/>
      <c r="CP608" s="28"/>
      <c r="CQ608" s="28"/>
      <c r="CR608" s="11"/>
      <c r="CS608" s="29"/>
      <c r="CT608" s="11"/>
      <c r="CU608" s="11"/>
      <c r="CV608" s="11"/>
      <c r="CW608" s="11"/>
      <c r="CX608" s="11"/>
      <c r="CY608" s="11"/>
      <c r="CZ608" s="11"/>
      <c r="DA608" s="28"/>
      <c r="DB608" s="28"/>
      <c r="DC608" s="11"/>
      <c r="DD608" s="29"/>
      <c r="DE608" s="11"/>
      <c r="DF608" s="11"/>
      <c r="DG608" s="11"/>
      <c r="DH608" s="11"/>
      <c r="DI608" s="11"/>
      <c r="DJ608" s="11"/>
      <c r="DK608" s="26"/>
      <c r="DL608" s="11"/>
      <c r="DM608" s="29"/>
      <c r="DN608" s="28"/>
      <c r="DO608" s="11"/>
      <c r="DP608" s="11"/>
      <c r="DQ608" s="11"/>
      <c r="DR608" s="29"/>
      <c r="DS608" s="28"/>
      <c r="DT608" s="11"/>
      <c r="DU608" s="26"/>
      <c r="DV608" s="11"/>
      <c r="DW608" s="29"/>
      <c r="DX608" s="28"/>
      <c r="DY608" s="11"/>
      <c r="DZ608" s="26"/>
      <c r="EA608" s="11"/>
      <c r="EB608" s="29"/>
      <c r="EC608" s="28"/>
      <c r="ED608" s="30"/>
      <c r="EE608" s="30" t="str">
        <f ca="1">IFERROR(__xludf.DUMMYFUNCTION("iferror(index(filter('Internal -- Trademark Countries'!E$2:E1000, (AM608 = 'Internal -- Trademark Countries'!B$2:B1000) + (AM608 = 'Internal -- Trademark Countries'!C$2:C1000) + (AM608 = 'Internal -- Trademark Countries'!D$2:D1000)), 1))"),"")</f>
        <v/>
      </c>
      <c r="EF608" s="30" t="e">
        <f ca="1">_xludf.ifs(AM608="", "", COUNTIF('Internal -- Trademark Countries'!B:B,AM608) &gt; 0, "polity_shortest_name", COUNTIF('Internal -- Trademark Countries'!C:C,AM608) &gt; 0, "polity_full_name", COUNTIF('Internal -- Trademark Countries'!D:D,AM608) &gt; 0, "polity_common_name", COUNTIF('Internal -- Trademark Countries'!E:E,AM608) &gt; 0, "shortest_name", COUNTIF('Internal -- Trademark Countries'!A:A,AM608) &gt; 0, "full_name", TRUE, "not a match")</f>
        <v>#NAME?</v>
      </c>
      <c r="EG608" s="30"/>
      <c r="EH608" s="30"/>
      <c r="EI608" s="30"/>
      <c r="EJ608" s="30"/>
      <c r="EK608" s="30" t="str">
        <f t="shared" si="4"/>
        <v/>
      </c>
    </row>
    <row r="609" spans="1:141" ht="16.5">
      <c r="A609" s="11"/>
      <c r="B609" s="11"/>
      <c r="C609" s="11"/>
      <c r="D609" s="11"/>
      <c r="E609" s="11"/>
      <c r="F609" s="11"/>
      <c r="G609" s="11"/>
      <c r="H609" s="11"/>
      <c r="I609" s="11"/>
      <c r="J609" s="11"/>
      <c r="K609" s="27"/>
      <c r="L609" s="11"/>
      <c r="M609" s="11"/>
      <c r="N609" s="11"/>
      <c r="O609" s="11"/>
      <c r="P609" s="15"/>
      <c r="Q609" s="15"/>
      <c r="R609" s="15"/>
      <c r="S609" s="15"/>
      <c r="T609" s="15"/>
      <c r="U609" s="15"/>
      <c r="V609" s="15"/>
      <c r="W609" s="47"/>
      <c r="X609" s="11"/>
      <c r="Y609" s="48"/>
      <c r="Z609" s="11"/>
      <c r="AA609" s="48"/>
      <c r="AB609" s="11"/>
      <c r="AC609" s="48"/>
      <c r="AD609" s="11"/>
      <c r="AE609" s="47"/>
      <c r="AF609" s="11"/>
      <c r="AG609" s="48"/>
      <c r="AH609" s="11"/>
      <c r="AI609" s="48"/>
      <c r="AJ609" s="11"/>
      <c r="AK609" s="48"/>
      <c r="AL609" s="11"/>
      <c r="AM609" s="49"/>
      <c r="AN609" s="49"/>
      <c r="AO609" s="11"/>
      <c r="AP609" s="11"/>
      <c r="AQ609" s="28" t="b">
        <f>IF(COUNTIF(SmartStatus!A$2:A1000, AM609) &gt; 2, TRUE, FALSE)</f>
        <v>0</v>
      </c>
      <c r="AR609" s="29" t="str">
        <f ca="1">IFERROR(__xludf.DUMMYFUNCTION("iferror(if(regexmatch(AO609, ""(?i)^registered""), if(EE609 &lt;&gt; ""polity_shortest_name"", ""CHECK_POLITY"", index(filter(SmartStatus!B$2:B1000, AM609 = SmartStatus!A$2:A1000, not(SmartStatus!C$2:C1000), (isblank(SmartStatus!D$2:D1000)) + ((P609 &lt;&gt; """") * "&amp;"(P609 &lt; SmartStatus!D$2:D1000)), (isblank(SmartStatus!E$2:E1000)) + ((P609 &lt;&gt; """") * (P609 &gt;= SmartStatus!E$2:E1000)), (isblank(SmartStatus!F$2:F1000)) + (((Q609 &lt;&gt; """") * (Q609 &lt; SmartStatus!F$2:F1000)) + ((P609 &lt;&gt; """") * (date(year(P609) + 3, month(P"&amp;"609), day(P609)) &lt; SmartStatus!F$2:F1000))), (isblank(SmartStatus!G$2:G1000)) + (((Q609 &lt;&gt; """") * (Q609 &gt;= SmartStatus!G$2:G1000)) + ((P609 &lt;&gt; """") * (P609 &gt;= SmartStatus!G$2:G1000)))), if(or(regexmatch(B609, ""(?i)^ir [a-z]+ designation$""), N609 &lt;&gt; """&amp;"""), 1, 2))), """"), ""NO_MATCH"")"),"")</f>
        <v/>
      </c>
      <c r="AS609" s="11"/>
      <c r="AT609" s="15"/>
      <c r="AU609" s="11"/>
      <c r="AV609" s="11"/>
      <c r="AW609" s="15"/>
      <c r="AX609" s="15"/>
      <c r="AY609" s="15"/>
      <c r="AZ609" s="11"/>
      <c r="BA609" s="15"/>
      <c r="BB609" s="11"/>
      <c r="BC609" s="11"/>
      <c r="BD609" s="15"/>
      <c r="BE609" s="11"/>
      <c r="BF609" s="11"/>
      <c r="BG609" s="15"/>
      <c r="BH609" s="15"/>
      <c r="BI609" s="15"/>
      <c r="BJ609" s="11"/>
      <c r="BK609" s="15"/>
      <c r="BL609" s="11"/>
      <c r="BM609" s="11"/>
      <c r="BN609" s="15"/>
      <c r="BO609" s="11"/>
      <c r="BP609" s="11"/>
      <c r="BQ609" s="15"/>
      <c r="BR609" s="15"/>
      <c r="BS609" s="15"/>
      <c r="BT609" s="11"/>
      <c r="BU609" s="15"/>
      <c r="BV609" s="11"/>
      <c r="BW609" s="11"/>
      <c r="BX609" s="15"/>
      <c r="BY609" s="11"/>
      <c r="BZ609" s="11"/>
      <c r="CA609" s="15"/>
      <c r="CB609" s="11"/>
      <c r="CC609" s="15"/>
      <c r="CD609" s="11"/>
      <c r="CE609" s="15"/>
      <c r="CF609" s="11"/>
      <c r="CG609" s="11"/>
      <c r="CH609" s="15"/>
      <c r="CI609" s="11"/>
      <c r="CJ609" s="11"/>
      <c r="CK609" s="15"/>
      <c r="CL609" s="11"/>
      <c r="CM609" s="11"/>
      <c r="CN609" s="11"/>
      <c r="CO609" s="11"/>
      <c r="CP609" s="28"/>
      <c r="CQ609" s="28"/>
      <c r="CR609" s="11"/>
      <c r="CS609" s="29"/>
      <c r="CT609" s="11"/>
      <c r="CU609" s="11"/>
      <c r="CV609" s="11"/>
      <c r="CW609" s="11"/>
      <c r="CX609" s="11"/>
      <c r="CY609" s="11"/>
      <c r="CZ609" s="11"/>
      <c r="DA609" s="28"/>
      <c r="DB609" s="28"/>
      <c r="DC609" s="11"/>
      <c r="DD609" s="29"/>
      <c r="DE609" s="11"/>
      <c r="DF609" s="11"/>
      <c r="DG609" s="11"/>
      <c r="DH609" s="11"/>
      <c r="DI609" s="11"/>
      <c r="DJ609" s="11"/>
      <c r="DK609" s="26"/>
      <c r="DL609" s="11"/>
      <c r="DM609" s="29"/>
      <c r="DN609" s="28"/>
      <c r="DO609" s="11"/>
      <c r="DP609" s="11"/>
      <c r="DQ609" s="11"/>
      <c r="DR609" s="29"/>
      <c r="DS609" s="28"/>
      <c r="DT609" s="11"/>
      <c r="DU609" s="26"/>
      <c r="DV609" s="11"/>
      <c r="DW609" s="29"/>
      <c r="DX609" s="28"/>
      <c r="DY609" s="11"/>
      <c r="DZ609" s="26"/>
      <c r="EA609" s="11"/>
      <c r="EB609" s="29"/>
      <c r="EC609" s="28"/>
      <c r="ED609" s="30"/>
      <c r="EE609" s="30" t="str">
        <f ca="1">IFERROR(__xludf.DUMMYFUNCTION("iferror(index(filter('Internal -- Trademark Countries'!E$2:E1000, (AM609 = 'Internal -- Trademark Countries'!B$2:B1000) + (AM609 = 'Internal -- Trademark Countries'!C$2:C1000) + (AM609 = 'Internal -- Trademark Countries'!D$2:D1000)), 1))"),"")</f>
        <v/>
      </c>
      <c r="EF609" s="30" t="e">
        <f ca="1">_xludf.ifs(AM609="", "", COUNTIF('Internal -- Trademark Countries'!B:B,AM609) &gt; 0, "polity_shortest_name", COUNTIF('Internal -- Trademark Countries'!C:C,AM609) &gt; 0, "polity_full_name", COUNTIF('Internal -- Trademark Countries'!D:D,AM609) &gt; 0, "polity_common_name", COUNTIF('Internal -- Trademark Countries'!E:E,AM609) &gt; 0, "shortest_name", COUNTIF('Internal -- Trademark Countries'!A:A,AM609) &gt; 0, "full_name", TRUE, "not a match")</f>
        <v>#NAME?</v>
      </c>
      <c r="EG609" s="30"/>
      <c r="EH609" s="30"/>
      <c r="EI609" s="30"/>
      <c r="EJ609" s="30"/>
      <c r="EK609" s="30" t="str">
        <f t="shared" si="4"/>
        <v/>
      </c>
    </row>
    <row r="610" spans="1:141" ht="16.5">
      <c r="A610" s="11"/>
      <c r="B610" s="11"/>
      <c r="C610" s="11"/>
      <c r="D610" s="11"/>
      <c r="E610" s="11"/>
      <c r="F610" s="11"/>
      <c r="G610" s="11"/>
      <c r="H610" s="11"/>
      <c r="I610" s="11"/>
      <c r="J610" s="11"/>
      <c r="K610" s="27"/>
      <c r="L610" s="11"/>
      <c r="M610" s="11"/>
      <c r="N610" s="11"/>
      <c r="O610" s="11"/>
      <c r="P610" s="15"/>
      <c r="Q610" s="15"/>
      <c r="R610" s="15"/>
      <c r="S610" s="15"/>
      <c r="T610" s="15"/>
      <c r="U610" s="15"/>
      <c r="V610" s="15"/>
      <c r="W610" s="47"/>
      <c r="X610" s="11"/>
      <c r="Y610" s="48"/>
      <c r="Z610" s="11"/>
      <c r="AA610" s="48"/>
      <c r="AB610" s="11"/>
      <c r="AC610" s="48"/>
      <c r="AD610" s="11"/>
      <c r="AE610" s="47"/>
      <c r="AF610" s="11"/>
      <c r="AG610" s="48"/>
      <c r="AH610" s="11"/>
      <c r="AI610" s="48"/>
      <c r="AJ610" s="11"/>
      <c r="AK610" s="48"/>
      <c r="AL610" s="11"/>
      <c r="AM610" s="49"/>
      <c r="AN610" s="49"/>
      <c r="AO610" s="11"/>
      <c r="AP610" s="11"/>
      <c r="AQ610" s="28" t="b">
        <f>IF(COUNTIF(SmartStatus!A$2:A1000, AM610) &gt; 2, TRUE, FALSE)</f>
        <v>0</v>
      </c>
      <c r="AR610" s="29" t="str">
        <f ca="1">IFERROR(__xludf.DUMMYFUNCTION("iferror(if(regexmatch(AO610, ""(?i)^registered""), if(EE610 &lt;&gt; ""polity_shortest_name"", ""CHECK_POLITY"", index(filter(SmartStatus!B$2:B1000, AM610 = SmartStatus!A$2:A1000, not(SmartStatus!C$2:C1000), (isblank(SmartStatus!D$2:D1000)) + ((P610 &lt;&gt; """") * "&amp;"(P610 &lt; SmartStatus!D$2:D1000)), (isblank(SmartStatus!E$2:E1000)) + ((P610 &lt;&gt; """") * (P610 &gt;= SmartStatus!E$2:E1000)), (isblank(SmartStatus!F$2:F1000)) + (((Q610 &lt;&gt; """") * (Q610 &lt; SmartStatus!F$2:F1000)) + ((P610 &lt;&gt; """") * (date(year(P610) + 3, month(P"&amp;"610), day(P610)) &lt; SmartStatus!F$2:F1000))), (isblank(SmartStatus!G$2:G1000)) + (((Q610 &lt;&gt; """") * (Q610 &gt;= SmartStatus!G$2:G1000)) + ((P610 &lt;&gt; """") * (P610 &gt;= SmartStatus!G$2:G1000)))), if(or(regexmatch(B610, ""(?i)^ir [a-z]+ designation$""), N610 &lt;&gt; """&amp;"""), 1, 2))), """"), ""NO_MATCH"")"),"")</f>
        <v/>
      </c>
      <c r="AS610" s="11"/>
      <c r="AT610" s="15"/>
      <c r="AU610" s="11"/>
      <c r="AV610" s="11"/>
      <c r="AW610" s="15"/>
      <c r="AX610" s="15"/>
      <c r="AY610" s="15"/>
      <c r="AZ610" s="11"/>
      <c r="BA610" s="15"/>
      <c r="BB610" s="11"/>
      <c r="BC610" s="11"/>
      <c r="BD610" s="15"/>
      <c r="BE610" s="11"/>
      <c r="BF610" s="11"/>
      <c r="BG610" s="15"/>
      <c r="BH610" s="15"/>
      <c r="BI610" s="15"/>
      <c r="BJ610" s="11"/>
      <c r="BK610" s="15"/>
      <c r="BL610" s="11"/>
      <c r="BM610" s="11"/>
      <c r="BN610" s="15"/>
      <c r="BO610" s="11"/>
      <c r="BP610" s="11"/>
      <c r="BQ610" s="15"/>
      <c r="BR610" s="15"/>
      <c r="BS610" s="15"/>
      <c r="BT610" s="11"/>
      <c r="BU610" s="15"/>
      <c r="BV610" s="11"/>
      <c r="BW610" s="11"/>
      <c r="BX610" s="15"/>
      <c r="BY610" s="11"/>
      <c r="BZ610" s="11"/>
      <c r="CA610" s="15"/>
      <c r="CB610" s="11"/>
      <c r="CC610" s="15"/>
      <c r="CD610" s="11"/>
      <c r="CE610" s="15"/>
      <c r="CF610" s="11"/>
      <c r="CG610" s="11"/>
      <c r="CH610" s="15"/>
      <c r="CI610" s="11"/>
      <c r="CJ610" s="11"/>
      <c r="CK610" s="15"/>
      <c r="CL610" s="11"/>
      <c r="CM610" s="11"/>
      <c r="CN610" s="11"/>
      <c r="CO610" s="11"/>
      <c r="CP610" s="28"/>
      <c r="CQ610" s="28"/>
      <c r="CR610" s="11"/>
      <c r="CS610" s="29"/>
      <c r="CT610" s="11"/>
      <c r="CU610" s="11"/>
      <c r="CV610" s="11"/>
      <c r="CW610" s="11"/>
      <c r="CX610" s="11"/>
      <c r="CY610" s="11"/>
      <c r="CZ610" s="11"/>
      <c r="DA610" s="28"/>
      <c r="DB610" s="28"/>
      <c r="DC610" s="11"/>
      <c r="DD610" s="29"/>
      <c r="DE610" s="11"/>
      <c r="DF610" s="11"/>
      <c r="DG610" s="11"/>
      <c r="DH610" s="11"/>
      <c r="DI610" s="11"/>
      <c r="DJ610" s="11"/>
      <c r="DK610" s="26"/>
      <c r="DL610" s="11"/>
      <c r="DM610" s="29"/>
      <c r="DN610" s="28"/>
      <c r="DO610" s="11"/>
      <c r="DP610" s="11"/>
      <c r="DQ610" s="11"/>
      <c r="DR610" s="29"/>
      <c r="DS610" s="28"/>
      <c r="DT610" s="11"/>
      <c r="DU610" s="26"/>
      <c r="DV610" s="11"/>
      <c r="DW610" s="29"/>
      <c r="DX610" s="28"/>
      <c r="DY610" s="11"/>
      <c r="DZ610" s="26"/>
      <c r="EA610" s="11"/>
      <c r="EB610" s="29"/>
      <c r="EC610" s="28"/>
      <c r="ED610" s="30"/>
      <c r="EE610" s="30" t="str">
        <f ca="1">IFERROR(__xludf.DUMMYFUNCTION("iferror(index(filter('Internal -- Trademark Countries'!E$2:E1000, (AM610 = 'Internal -- Trademark Countries'!B$2:B1000) + (AM610 = 'Internal -- Trademark Countries'!C$2:C1000) + (AM610 = 'Internal -- Trademark Countries'!D$2:D1000)), 1))"),"")</f>
        <v/>
      </c>
      <c r="EF610" s="30" t="e">
        <f ca="1">_xludf.ifs(AM610="", "", COUNTIF('Internal -- Trademark Countries'!B:B,AM610) &gt; 0, "polity_shortest_name", COUNTIF('Internal -- Trademark Countries'!C:C,AM610) &gt; 0, "polity_full_name", COUNTIF('Internal -- Trademark Countries'!D:D,AM610) &gt; 0, "polity_common_name", COUNTIF('Internal -- Trademark Countries'!E:E,AM610) &gt; 0, "shortest_name", COUNTIF('Internal -- Trademark Countries'!A:A,AM610) &gt; 0, "full_name", TRUE, "not a match")</f>
        <v>#NAME?</v>
      </c>
      <c r="EG610" s="30"/>
      <c r="EH610" s="30"/>
      <c r="EI610" s="30"/>
      <c r="EJ610" s="30"/>
      <c r="EK610" s="30" t="str">
        <f t="shared" si="4"/>
        <v/>
      </c>
    </row>
    <row r="611" spans="1:141" ht="16.5">
      <c r="A611" s="11"/>
      <c r="B611" s="11"/>
      <c r="C611" s="11"/>
      <c r="D611" s="11"/>
      <c r="E611" s="11"/>
      <c r="F611" s="11"/>
      <c r="G611" s="11"/>
      <c r="H611" s="11"/>
      <c r="I611" s="11"/>
      <c r="J611" s="11"/>
      <c r="K611" s="27"/>
      <c r="L611" s="11"/>
      <c r="M611" s="11"/>
      <c r="N611" s="11"/>
      <c r="O611" s="11"/>
      <c r="P611" s="15"/>
      <c r="Q611" s="15"/>
      <c r="R611" s="15"/>
      <c r="S611" s="15"/>
      <c r="T611" s="15"/>
      <c r="U611" s="15"/>
      <c r="V611" s="15"/>
      <c r="W611" s="47"/>
      <c r="X611" s="11"/>
      <c r="Y611" s="48"/>
      <c r="Z611" s="11"/>
      <c r="AA611" s="48"/>
      <c r="AB611" s="11"/>
      <c r="AC611" s="48"/>
      <c r="AD611" s="11"/>
      <c r="AE611" s="47"/>
      <c r="AF611" s="11"/>
      <c r="AG611" s="48"/>
      <c r="AH611" s="11"/>
      <c r="AI611" s="48"/>
      <c r="AJ611" s="11"/>
      <c r="AK611" s="48"/>
      <c r="AL611" s="11"/>
      <c r="AM611" s="49"/>
      <c r="AN611" s="49"/>
      <c r="AO611" s="11"/>
      <c r="AP611" s="11"/>
      <c r="AQ611" s="28" t="b">
        <f>IF(COUNTIF(SmartStatus!A$2:A1000, AM611) &gt; 2, TRUE, FALSE)</f>
        <v>0</v>
      </c>
      <c r="AR611" s="29" t="str">
        <f ca="1">IFERROR(__xludf.DUMMYFUNCTION("iferror(if(regexmatch(AO611, ""(?i)^registered""), if(EE611 &lt;&gt; ""polity_shortest_name"", ""CHECK_POLITY"", index(filter(SmartStatus!B$2:B1000, AM611 = SmartStatus!A$2:A1000, not(SmartStatus!C$2:C1000), (isblank(SmartStatus!D$2:D1000)) + ((P611 &lt;&gt; """") * "&amp;"(P611 &lt; SmartStatus!D$2:D1000)), (isblank(SmartStatus!E$2:E1000)) + ((P611 &lt;&gt; """") * (P611 &gt;= SmartStatus!E$2:E1000)), (isblank(SmartStatus!F$2:F1000)) + (((Q611 &lt;&gt; """") * (Q611 &lt; SmartStatus!F$2:F1000)) + ((P611 &lt;&gt; """") * (date(year(P611) + 3, month(P"&amp;"611), day(P611)) &lt; SmartStatus!F$2:F1000))), (isblank(SmartStatus!G$2:G1000)) + (((Q611 &lt;&gt; """") * (Q611 &gt;= SmartStatus!G$2:G1000)) + ((P611 &lt;&gt; """") * (P611 &gt;= SmartStatus!G$2:G1000)))), if(or(regexmatch(B611, ""(?i)^ir [a-z]+ designation$""), N611 &lt;&gt; """&amp;"""), 1, 2))), """"), ""NO_MATCH"")"),"")</f>
        <v/>
      </c>
      <c r="AS611" s="11"/>
      <c r="AT611" s="15"/>
      <c r="AU611" s="11"/>
      <c r="AV611" s="11"/>
      <c r="AW611" s="15"/>
      <c r="AX611" s="15"/>
      <c r="AY611" s="15"/>
      <c r="AZ611" s="11"/>
      <c r="BA611" s="15"/>
      <c r="BB611" s="11"/>
      <c r="BC611" s="11"/>
      <c r="BD611" s="15"/>
      <c r="BE611" s="11"/>
      <c r="BF611" s="11"/>
      <c r="BG611" s="15"/>
      <c r="BH611" s="15"/>
      <c r="BI611" s="15"/>
      <c r="BJ611" s="11"/>
      <c r="BK611" s="15"/>
      <c r="BL611" s="11"/>
      <c r="BM611" s="11"/>
      <c r="BN611" s="15"/>
      <c r="BO611" s="11"/>
      <c r="BP611" s="11"/>
      <c r="BQ611" s="15"/>
      <c r="BR611" s="15"/>
      <c r="BS611" s="15"/>
      <c r="BT611" s="11"/>
      <c r="BU611" s="15"/>
      <c r="BV611" s="11"/>
      <c r="BW611" s="11"/>
      <c r="BX611" s="15"/>
      <c r="BY611" s="11"/>
      <c r="BZ611" s="11"/>
      <c r="CA611" s="15"/>
      <c r="CB611" s="11"/>
      <c r="CC611" s="15"/>
      <c r="CD611" s="11"/>
      <c r="CE611" s="15"/>
      <c r="CF611" s="11"/>
      <c r="CG611" s="11"/>
      <c r="CH611" s="15"/>
      <c r="CI611" s="11"/>
      <c r="CJ611" s="11"/>
      <c r="CK611" s="15"/>
      <c r="CL611" s="11"/>
      <c r="CM611" s="11"/>
      <c r="CN611" s="11"/>
      <c r="CO611" s="11"/>
      <c r="CP611" s="28"/>
      <c r="CQ611" s="28"/>
      <c r="CR611" s="11"/>
      <c r="CS611" s="29"/>
      <c r="CT611" s="11"/>
      <c r="CU611" s="11"/>
      <c r="CV611" s="11"/>
      <c r="CW611" s="11"/>
      <c r="CX611" s="11"/>
      <c r="CY611" s="11"/>
      <c r="CZ611" s="11"/>
      <c r="DA611" s="28"/>
      <c r="DB611" s="28"/>
      <c r="DC611" s="11"/>
      <c r="DD611" s="29"/>
      <c r="DE611" s="11"/>
      <c r="DF611" s="11"/>
      <c r="DG611" s="11"/>
      <c r="DH611" s="11"/>
      <c r="DI611" s="11"/>
      <c r="DJ611" s="11"/>
      <c r="DK611" s="26"/>
      <c r="DL611" s="11"/>
      <c r="DM611" s="29"/>
      <c r="DN611" s="28"/>
      <c r="DO611" s="11"/>
      <c r="DP611" s="11"/>
      <c r="DQ611" s="11"/>
      <c r="DR611" s="29"/>
      <c r="DS611" s="28"/>
      <c r="DT611" s="11"/>
      <c r="DU611" s="26"/>
      <c r="DV611" s="11"/>
      <c r="DW611" s="29"/>
      <c r="DX611" s="28"/>
      <c r="DY611" s="11"/>
      <c r="DZ611" s="26"/>
      <c r="EA611" s="11"/>
      <c r="EB611" s="29"/>
      <c r="EC611" s="28"/>
      <c r="ED611" s="30"/>
      <c r="EE611" s="30" t="str">
        <f ca="1">IFERROR(__xludf.DUMMYFUNCTION("iferror(index(filter('Internal -- Trademark Countries'!E$2:E1000, (AM611 = 'Internal -- Trademark Countries'!B$2:B1000) + (AM611 = 'Internal -- Trademark Countries'!C$2:C1000) + (AM611 = 'Internal -- Trademark Countries'!D$2:D1000)), 1))"),"")</f>
        <v/>
      </c>
      <c r="EF611" s="30" t="e">
        <f ca="1">_xludf.ifs(AM611="", "", COUNTIF('Internal -- Trademark Countries'!B:B,AM611) &gt; 0, "polity_shortest_name", COUNTIF('Internal -- Trademark Countries'!C:C,AM611) &gt; 0, "polity_full_name", COUNTIF('Internal -- Trademark Countries'!D:D,AM611) &gt; 0, "polity_common_name", COUNTIF('Internal -- Trademark Countries'!E:E,AM611) &gt; 0, "shortest_name", COUNTIF('Internal -- Trademark Countries'!A:A,AM611) &gt; 0, "full_name", TRUE, "not a match")</f>
        <v>#NAME?</v>
      </c>
      <c r="EG611" s="30"/>
      <c r="EH611" s="30"/>
      <c r="EI611" s="30"/>
      <c r="EJ611" s="30"/>
      <c r="EK611" s="30" t="str">
        <f t="shared" si="4"/>
        <v/>
      </c>
    </row>
    <row r="612" spans="1:141" ht="16.5">
      <c r="A612" s="11"/>
      <c r="B612" s="11"/>
      <c r="C612" s="11"/>
      <c r="D612" s="11"/>
      <c r="E612" s="11"/>
      <c r="F612" s="11"/>
      <c r="G612" s="11"/>
      <c r="H612" s="11"/>
      <c r="I612" s="11"/>
      <c r="J612" s="11"/>
      <c r="K612" s="27"/>
      <c r="L612" s="11"/>
      <c r="M612" s="11"/>
      <c r="N612" s="11"/>
      <c r="O612" s="11"/>
      <c r="P612" s="15"/>
      <c r="Q612" s="15"/>
      <c r="R612" s="15"/>
      <c r="S612" s="15"/>
      <c r="T612" s="15"/>
      <c r="U612" s="15"/>
      <c r="V612" s="15"/>
      <c r="W612" s="47"/>
      <c r="X612" s="11"/>
      <c r="Y612" s="48"/>
      <c r="Z612" s="11"/>
      <c r="AA612" s="48"/>
      <c r="AB612" s="11"/>
      <c r="AC612" s="48"/>
      <c r="AD612" s="11"/>
      <c r="AE612" s="47"/>
      <c r="AF612" s="11"/>
      <c r="AG612" s="48"/>
      <c r="AH612" s="11"/>
      <c r="AI612" s="48"/>
      <c r="AJ612" s="11"/>
      <c r="AK612" s="48"/>
      <c r="AL612" s="11"/>
      <c r="AM612" s="49"/>
      <c r="AN612" s="49"/>
      <c r="AO612" s="11"/>
      <c r="AP612" s="11"/>
      <c r="AQ612" s="28" t="b">
        <f>IF(COUNTIF(SmartStatus!A$2:A1000, AM612) &gt; 2, TRUE, FALSE)</f>
        <v>0</v>
      </c>
      <c r="AR612" s="29" t="str">
        <f ca="1">IFERROR(__xludf.DUMMYFUNCTION("iferror(if(regexmatch(AO612, ""(?i)^registered""), if(EE612 &lt;&gt; ""polity_shortest_name"", ""CHECK_POLITY"", index(filter(SmartStatus!B$2:B1000, AM612 = SmartStatus!A$2:A1000, not(SmartStatus!C$2:C1000), (isblank(SmartStatus!D$2:D1000)) + ((P612 &lt;&gt; """") * "&amp;"(P612 &lt; SmartStatus!D$2:D1000)), (isblank(SmartStatus!E$2:E1000)) + ((P612 &lt;&gt; """") * (P612 &gt;= SmartStatus!E$2:E1000)), (isblank(SmartStatus!F$2:F1000)) + (((Q612 &lt;&gt; """") * (Q612 &lt; SmartStatus!F$2:F1000)) + ((P612 &lt;&gt; """") * (date(year(P612) + 3, month(P"&amp;"612), day(P612)) &lt; SmartStatus!F$2:F1000))), (isblank(SmartStatus!G$2:G1000)) + (((Q612 &lt;&gt; """") * (Q612 &gt;= SmartStatus!G$2:G1000)) + ((P612 &lt;&gt; """") * (P612 &gt;= SmartStatus!G$2:G1000)))), if(or(regexmatch(B612, ""(?i)^ir [a-z]+ designation$""), N612 &lt;&gt; """&amp;"""), 1, 2))), """"), ""NO_MATCH"")"),"")</f>
        <v/>
      </c>
      <c r="AS612" s="11"/>
      <c r="AT612" s="15"/>
      <c r="AU612" s="11"/>
      <c r="AV612" s="11"/>
      <c r="AW612" s="15"/>
      <c r="AX612" s="15"/>
      <c r="AY612" s="15"/>
      <c r="AZ612" s="11"/>
      <c r="BA612" s="15"/>
      <c r="BB612" s="11"/>
      <c r="BC612" s="11"/>
      <c r="BD612" s="15"/>
      <c r="BE612" s="11"/>
      <c r="BF612" s="11"/>
      <c r="BG612" s="15"/>
      <c r="BH612" s="15"/>
      <c r="BI612" s="15"/>
      <c r="BJ612" s="11"/>
      <c r="BK612" s="15"/>
      <c r="BL612" s="11"/>
      <c r="BM612" s="11"/>
      <c r="BN612" s="15"/>
      <c r="BO612" s="11"/>
      <c r="BP612" s="11"/>
      <c r="BQ612" s="15"/>
      <c r="BR612" s="15"/>
      <c r="BS612" s="15"/>
      <c r="BT612" s="11"/>
      <c r="BU612" s="15"/>
      <c r="BV612" s="11"/>
      <c r="BW612" s="11"/>
      <c r="BX612" s="15"/>
      <c r="BY612" s="11"/>
      <c r="BZ612" s="11"/>
      <c r="CA612" s="15"/>
      <c r="CB612" s="11"/>
      <c r="CC612" s="15"/>
      <c r="CD612" s="11"/>
      <c r="CE612" s="15"/>
      <c r="CF612" s="11"/>
      <c r="CG612" s="11"/>
      <c r="CH612" s="15"/>
      <c r="CI612" s="11"/>
      <c r="CJ612" s="11"/>
      <c r="CK612" s="15"/>
      <c r="CL612" s="11"/>
      <c r="CM612" s="11"/>
      <c r="CN612" s="11"/>
      <c r="CO612" s="11"/>
      <c r="CP612" s="28"/>
      <c r="CQ612" s="28"/>
      <c r="CR612" s="11"/>
      <c r="CS612" s="29"/>
      <c r="CT612" s="11"/>
      <c r="CU612" s="11"/>
      <c r="CV612" s="11"/>
      <c r="CW612" s="11"/>
      <c r="CX612" s="11"/>
      <c r="CY612" s="11"/>
      <c r="CZ612" s="11"/>
      <c r="DA612" s="28"/>
      <c r="DB612" s="28"/>
      <c r="DC612" s="11"/>
      <c r="DD612" s="29"/>
      <c r="DE612" s="11"/>
      <c r="DF612" s="11"/>
      <c r="DG612" s="11"/>
      <c r="DH612" s="11"/>
      <c r="DI612" s="11"/>
      <c r="DJ612" s="11"/>
      <c r="DK612" s="26"/>
      <c r="DL612" s="11"/>
      <c r="DM612" s="29"/>
      <c r="DN612" s="28"/>
      <c r="DO612" s="11"/>
      <c r="DP612" s="11"/>
      <c r="DQ612" s="11"/>
      <c r="DR612" s="29"/>
      <c r="DS612" s="28"/>
      <c r="DT612" s="11"/>
      <c r="DU612" s="26"/>
      <c r="DV612" s="11"/>
      <c r="DW612" s="29"/>
      <c r="DX612" s="28"/>
      <c r="DY612" s="11"/>
      <c r="DZ612" s="26"/>
      <c r="EA612" s="11"/>
      <c r="EB612" s="29"/>
      <c r="EC612" s="28"/>
      <c r="ED612" s="30"/>
      <c r="EE612" s="30" t="str">
        <f ca="1">IFERROR(__xludf.DUMMYFUNCTION("iferror(index(filter('Internal -- Trademark Countries'!E$2:E1000, (AM612 = 'Internal -- Trademark Countries'!B$2:B1000) + (AM612 = 'Internal -- Trademark Countries'!C$2:C1000) + (AM612 = 'Internal -- Trademark Countries'!D$2:D1000)), 1))"),"")</f>
        <v/>
      </c>
      <c r="EF612" s="30" t="e">
        <f ca="1">_xludf.ifs(AM612="", "", COUNTIF('Internal -- Trademark Countries'!B:B,AM612) &gt; 0, "polity_shortest_name", COUNTIF('Internal -- Trademark Countries'!C:C,AM612) &gt; 0, "polity_full_name", COUNTIF('Internal -- Trademark Countries'!D:D,AM612) &gt; 0, "polity_common_name", COUNTIF('Internal -- Trademark Countries'!E:E,AM612) &gt; 0, "shortest_name", COUNTIF('Internal -- Trademark Countries'!A:A,AM612) &gt; 0, "full_name", TRUE, "not a match")</f>
        <v>#NAME?</v>
      </c>
      <c r="EG612" s="30"/>
      <c r="EH612" s="30"/>
      <c r="EI612" s="30"/>
      <c r="EJ612" s="30"/>
      <c r="EK612" s="30" t="str">
        <f t="shared" si="4"/>
        <v/>
      </c>
    </row>
    <row r="613" spans="1:141" ht="16.5">
      <c r="A613" s="11"/>
      <c r="B613" s="11"/>
      <c r="C613" s="11"/>
      <c r="D613" s="11"/>
      <c r="E613" s="11"/>
      <c r="F613" s="11"/>
      <c r="G613" s="11"/>
      <c r="H613" s="11"/>
      <c r="I613" s="11"/>
      <c r="J613" s="11"/>
      <c r="K613" s="27"/>
      <c r="L613" s="11"/>
      <c r="M613" s="11"/>
      <c r="N613" s="11"/>
      <c r="O613" s="11"/>
      <c r="P613" s="15"/>
      <c r="Q613" s="15"/>
      <c r="R613" s="15"/>
      <c r="S613" s="15"/>
      <c r="T613" s="15"/>
      <c r="U613" s="15"/>
      <c r="V613" s="15"/>
      <c r="W613" s="47"/>
      <c r="X613" s="11"/>
      <c r="Y613" s="48"/>
      <c r="Z613" s="11"/>
      <c r="AA613" s="48"/>
      <c r="AB613" s="11"/>
      <c r="AC613" s="48"/>
      <c r="AD613" s="11"/>
      <c r="AE613" s="47"/>
      <c r="AF613" s="11"/>
      <c r="AG613" s="48"/>
      <c r="AH613" s="11"/>
      <c r="AI613" s="48"/>
      <c r="AJ613" s="11"/>
      <c r="AK613" s="48"/>
      <c r="AL613" s="11"/>
      <c r="AM613" s="49"/>
      <c r="AN613" s="49"/>
      <c r="AO613" s="11"/>
      <c r="AP613" s="11"/>
      <c r="AQ613" s="28" t="b">
        <f>IF(COUNTIF(SmartStatus!A$2:A1000, AM613) &gt; 2, TRUE, FALSE)</f>
        <v>0</v>
      </c>
      <c r="AR613" s="29" t="str">
        <f ca="1">IFERROR(__xludf.DUMMYFUNCTION("iferror(if(regexmatch(AO613, ""(?i)^registered""), if(EE613 &lt;&gt; ""polity_shortest_name"", ""CHECK_POLITY"", index(filter(SmartStatus!B$2:B1000, AM613 = SmartStatus!A$2:A1000, not(SmartStatus!C$2:C1000), (isblank(SmartStatus!D$2:D1000)) + ((P613 &lt;&gt; """") * "&amp;"(P613 &lt; SmartStatus!D$2:D1000)), (isblank(SmartStatus!E$2:E1000)) + ((P613 &lt;&gt; """") * (P613 &gt;= SmartStatus!E$2:E1000)), (isblank(SmartStatus!F$2:F1000)) + (((Q613 &lt;&gt; """") * (Q613 &lt; SmartStatus!F$2:F1000)) + ((P613 &lt;&gt; """") * (date(year(P613) + 3, month(P"&amp;"613), day(P613)) &lt; SmartStatus!F$2:F1000))), (isblank(SmartStatus!G$2:G1000)) + (((Q613 &lt;&gt; """") * (Q613 &gt;= SmartStatus!G$2:G1000)) + ((P613 &lt;&gt; """") * (P613 &gt;= SmartStatus!G$2:G1000)))), if(or(regexmatch(B613, ""(?i)^ir [a-z]+ designation$""), N613 &lt;&gt; """&amp;"""), 1, 2))), """"), ""NO_MATCH"")"),"")</f>
        <v/>
      </c>
      <c r="AS613" s="11"/>
      <c r="AT613" s="15"/>
      <c r="AU613" s="11"/>
      <c r="AV613" s="11"/>
      <c r="AW613" s="15"/>
      <c r="AX613" s="15"/>
      <c r="AY613" s="15"/>
      <c r="AZ613" s="11"/>
      <c r="BA613" s="15"/>
      <c r="BB613" s="11"/>
      <c r="BC613" s="11"/>
      <c r="BD613" s="15"/>
      <c r="BE613" s="11"/>
      <c r="BF613" s="11"/>
      <c r="BG613" s="15"/>
      <c r="BH613" s="15"/>
      <c r="BI613" s="15"/>
      <c r="BJ613" s="11"/>
      <c r="BK613" s="15"/>
      <c r="BL613" s="11"/>
      <c r="BM613" s="11"/>
      <c r="BN613" s="15"/>
      <c r="BO613" s="11"/>
      <c r="BP613" s="11"/>
      <c r="BQ613" s="15"/>
      <c r="BR613" s="15"/>
      <c r="BS613" s="15"/>
      <c r="BT613" s="11"/>
      <c r="BU613" s="15"/>
      <c r="BV613" s="11"/>
      <c r="BW613" s="11"/>
      <c r="BX613" s="15"/>
      <c r="BY613" s="11"/>
      <c r="BZ613" s="11"/>
      <c r="CA613" s="15"/>
      <c r="CB613" s="11"/>
      <c r="CC613" s="15"/>
      <c r="CD613" s="11"/>
      <c r="CE613" s="15"/>
      <c r="CF613" s="11"/>
      <c r="CG613" s="11"/>
      <c r="CH613" s="15"/>
      <c r="CI613" s="11"/>
      <c r="CJ613" s="11"/>
      <c r="CK613" s="15"/>
      <c r="CL613" s="11"/>
      <c r="CM613" s="11"/>
      <c r="CN613" s="11"/>
      <c r="CO613" s="11"/>
      <c r="CP613" s="28"/>
      <c r="CQ613" s="28"/>
      <c r="CR613" s="11"/>
      <c r="CS613" s="29"/>
      <c r="CT613" s="11"/>
      <c r="CU613" s="11"/>
      <c r="CV613" s="11"/>
      <c r="CW613" s="11"/>
      <c r="CX613" s="11"/>
      <c r="CY613" s="11"/>
      <c r="CZ613" s="11"/>
      <c r="DA613" s="28"/>
      <c r="DB613" s="28"/>
      <c r="DC613" s="11"/>
      <c r="DD613" s="29"/>
      <c r="DE613" s="11"/>
      <c r="DF613" s="11"/>
      <c r="DG613" s="11"/>
      <c r="DH613" s="11"/>
      <c r="DI613" s="11"/>
      <c r="DJ613" s="11"/>
      <c r="DK613" s="26"/>
      <c r="DL613" s="11"/>
      <c r="DM613" s="29"/>
      <c r="DN613" s="28"/>
      <c r="DO613" s="11"/>
      <c r="DP613" s="11"/>
      <c r="DQ613" s="11"/>
      <c r="DR613" s="29"/>
      <c r="DS613" s="28"/>
      <c r="DT613" s="11"/>
      <c r="DU613" s="26"/>
      <c r="DV613" s="11"/>
      <c r="DW613" s="29"/>
      <c r="DX613" s="28"/>
      <c r="DY613" s="11"/>
      <c r="DZ613" s="26"/>
      <c r="EA613" s="11"/>
      <c r="EB613" s="29"/>
      <c r="EC613" s="28"/>
      <c r="ED613" s="30"/>
      <c r="EE613" s="30" t="str">
        <f ca="1">IFERROR(__xludf.DUMMYFUNCTION("iferror(index(filter('Internal -- Trademark Countries'!E$2:E1000, (AM613 = 'Internal -- Trademark Countries'!B$2:B1000) + (AM613 = 'Internal -- Trademark Countries'!C$2:C1000) + (AM613 = 'Internal -- Trademark Countries'!D$2:D1000)), 1))"),"")</f>
        <v/>
      </c>
      <c r="EF613" s="30" t="e">
        <f ca="1">_xludf.ifs(AM613="", "", COUNTIF('Internal -- Trademark Countries'!B:B,AM613) &gt; 0, "polity_shortest_name", COUNTIF('Internal -- Trademark Countries'!C:C,AM613) &gt; 0, "polity_full_name", COUNTIF('Internal -- Trademark Countries'!D:D,AM613) &gt; 0, "polity_common_name", COUNTIF('Internal -- Trademark Countries'!E:E,AM613) &gt; 0, "shortest_name", COUNTIF('Internal -- Trademark Countries'!A:A,AM613) &gt; 0, "full_name", TRUE, "not a match")</f>
        <v>#NAME?</v>
      </c>
      <c r="EG613" s="30"/>
      <c r="EH613" s="30"/>
      <c r="EI613" s="30"/>
      <c r="EJ613" s="30"/>
      <c r="EK613" s="30" t="str">
        <f t="shared" si="4"/>
        <v/>
      </c>
    </row>
    <row r="614" spans="1:141" ht="16.5">
      <c r="A614" s="11"/>
      <c r="B614" s="11"/>
      <c r="C614" s="11"/>
      <c r="D614" s="11"/>
      <c r="E614" s="11"/>
      <c r="F614" s="11"/>
      <c r="G614" s="11"/>
      <c r="H614" s="11"/>
      <c r="I614" s="11"/>
      <c r="J614" s="11"/>
      <c r="K614" s="27"/>
      <c r="L614" s="11"/>
      <c r="M614" s="11"/>
      <c r="N614" s="11"/>
      <c r="O614" s="11"/>
      <c r="P614" s="15"/>
      <c r="Q614" s="15"/>
      <c r="R614" s="15"/>
      <c r="S614" s="15"/>
      <c r="T614" s="15"/>
      <c r="U614" s="15"/>
      <c r="V614" s="15"/>
      <c r="W614" s="47"/>
      <c r="X614" s="11"/>
      <c r="Y614" s="48"/>
      <c r="Z614" s="11"/>
      <c r="AA614" s="48"/>
      <c r="AB614" s="11"/>
      <c r="AC614" s="48"/>
      <c r="AD614" s="11"/>
      <c r="AE614" s="47"/>
      <c r="AF614" s="11"/>
      <c r="AG614" s="48"/>
      <c r="AH614" s="11"/>
      <c r="AI614" s="48"/>
      <c r="AJ614" s="11"/>
      <c r="AK614" s="48"/>
      <c r="AL614" s="11"/>
      <c r="AM614" s="49"/>
      <c r="AN614" s="49"/>
      <c r="AO614" s="11"/>
      <c r="AP614" s="11"/>
      <c r="AQ614" s="28" t="b">
        <f>IF(COUNTIF(SmartStatus!A$2:A1000, AM614) &gt; 2, TRUE, FALSE)</f>
        <v>0</v>
      </c>
      <c r="AR614" s="29" t="str">
        <f ca="1">IFERROR(__xludf.DUMMYFUNCTION("iferror(if(regexmatch(AO614, ""(?i)^registered""), if(EE614 &lt;&gt; ""polity_shortest_name"", ""CHECK_POLITY"", index(filter(SmartStatus!B$2:B1000, AM614 = SmartStatus!A$2:A1000, not(SmartStatus!C$2:C1000), (isblank(SmartStatus!D$2:D1000)) + ((P614 &lt;&gt; """") * "&amp;"(P614 &lt; SmartStatus!D$2:D1000)), (isblank(SmartStatus!E$2:E1000)) + ((P614 &lt;&gt; """") * (P614 &gt;= SmartStatus!E$2:E1000)), (isblank(SmartStatus!F$2:F1000)) + (((Q614 &lt;&gt; """") * (Q614 &lt; SmartStatus!F$2:F1000)) + ((P614 &lt;&gt; """") * (date(year(P614) + 3, month(P"&amp;"614), day(P614)) &lt; SmartStatus!F$2:F1000))), (isblank(SmartStatus!G$2:G1000)) + (((Q614 &lt;&gt; """") * (Q614 &gt;= SmartStatus!G$2:G1000)) + ((P614 &lt;&gt; """") * (P614 &gt;= SmartStatus!G$2:G1000)))), if(or(regexmatch(B614, ""(?i)^ir [a-z]+ designation$""), N614 &lt;&gt; """&amp;"""), 1, 2))), """"), ""NO_MATCH"")"),"")</f>
        <v/>
      </c>
      <c r="AS614" s="11"/>
      <c r="AT614" s="15"/>
      <c r="AU614" s="11"/>
      <c r="AV614" s="11"/>
      <c r="AW614" s="15"/>
      <c r="AX614" s="15"/>
      <c r="AY614" s="15"/>
      <c r="AZ614" s="11"/>
      <c r="BA614" s="15"/>
      <c r="BB614" s="11"/>
      <c r="BC614" s="11"/>
      <c r="BD614" s="15"/>
      <c r="BE614" s="11"/>
      <c r="BF614" s="11"/>
      <c r="BG614" s="15"/>
      <c r="BH614" s="15"/>
      <c r="BI614" s="15"/>
      <c r="BJ614" s="11"/>
      <c r="BK614" s="15"/>
      <c r="BL614" s="11"/>
      <c r="BM614" s="11"/>
      <c r="BN614" s="15"/>
      <c r="BO614" s="11"/>
      <c r="BP614" s="11"/>
      <c r="BQ614" s="15"/>
      <c r="BR614" s="15"/>
      <c r="BS614" s="15"/>
      <c r="BT614" s="11"/>
      <c r="BU614" s="15"/>
      <c r="BV614" s="11"/>
      <c r="BW614" s="11"/>
      <c r="BX614" s="15"/>
      <c r="BY614" s="11"/>
      <c r="BZ614" s="11"/>
      <c r="CA614" s="15"/>
      <c r="CB614" s="11"/>
      <c r="CC614" s="15"/>
      <c r="CD614" s="11"/>
      <c r="CE614" s="15"/>
      <c r="CF614" s="11"/>
      <c r="CG614" s="11"/>
      <c r="CH614" s="15"/>
      <c r="CI614" s="11"/>
      <c r="CJ614" s="11"/>
      <c r="CK614" s="15"/>
      <c r="CL614" s="11"/>
      <c r="CM614" s="11"/>
      <c r="CN614" s="11"/>
      <c r="CO614" s="11"/>
      <c r="CP614" s="28"/>
      <c r="CQ614" s="28"/>
      <c r="CR614" s="11"/>
      <c r="CS614" s="29"/>
      <c r="CT614" s="11"/>
      <c r="CU614" s="11"/>
      <c r="CV614" s="11"/>
      <c r="CW614" s="11"/>
      <c r="CX614" s="11"/>
      <c r="CY614" s="11"/>
      <c r="CZ614" s="11"/>
      <c r="DA614" s="28"/>
      <c r="DB614" s="28"/>
      <c r="DC614" s="11"/>
      <c r="DD614" s="29"/>
      <c r="DE614" s="11"/>
      <c r="DF614" s="11"/>
      <c r="DG614" s="11"/>
      <c r="DH614" s="11"/>
      <c r="DI614" s="11"/>
      <c r="DJ614" s="11"/>
      <c r="DK614" s="26"/>
      <c r="DL614" s="11"/>
      <c r="DM614" s="29"/>
      <c r="DN614" s="28"/>
      <c r="DO614" s="11"/>
      <c r="DP614" s="11"/>
      <c r="DQ614" s="11"/>
      <c r="DR614" s="29"/>
      <c r="DS614" s="28"/>
      <c r="DT614" s="11"/>
      <c r="DU614" s="26"/>
      <c r="DV614" s="11"/>
      <c r="DW614" s="29"/>
      <c r="DX614" s="28"/>
      <c r="DY614" s="11"/>
      <c r="DZ614" s="26"/>
      <c r="EA614" s="11"/>
      <c r="EB614" s="29"/>
      <c r="EC614" s="28"/>
      <c r="ED614" s="30"/>
      <c r="EE614" s="30" t="str">
        <f ca="1">IFERROR(__xludf.DUMMYFUNCTION("iferror(index(filter('Internal -- Trademark Countries'!E$2:E1000, (AM614 = 'Internal -- Trademark Countries'!B$2:B1000) + (AM614 = 'Internal -- Trademark Countries'!C$2:C1000) + (AM614 = 'Internal -- Trademark Countries'!D$2:D1000)), 1))"),"")</f>
        <v/>
      </c>
      <c r="EF614" s="30" t="e">
        <f ca="1">_xludf.ifs(AM614="", "", COUNTIF('Internal -- Trademark Countries'!B:B,AM614) &gt; 0, "polity_shortest_name", COUNTIF('Internal -- Trademark Countries'!C:C,AM614) &gt; 0, "polity_full_name", COUNTIF('Internal -- Trademark Countries'!D:D,AM614) &gt; 0, "polity_common_name", COUNTIF('Internal -- Trademark Countries'!E:E,AM614) &gt; 0, "shortest_name", COUNTIF('Internal -- Trademark Countries'!A:A,AM614) &gt; 0, "full_name", TRUE, "not a match")</f>
        <v>#NAME?</v>
      </c>
      <c r="EG614" s="30"/>
      <c r="EH614" s="30"/>
      <c r="EI614" s="30"/>
      <c r="EJ614" s="30"/>
      <c r="EK614" s="30" t="str">
        <f t="shared" si="4"/>
        <v/>
      </c>
    </row>
    <row r="615" spans="1:141" ht="16.5">
      <c r="A615" s="11"/>
      <c r="B615" s="11"/>
      <c r="C615" s="11"/>
      <c r="D615" s="11"/>
      <c r="E615" s="11"/>
      <c r="F615" s="11"/>
      <c r="G615" s="11"/>
      <c r="H615" s="11"/>
      <c r="I615" s="11"/>
      <c r="J615" s="11"/>
      <c r="K615" s="27"/>
      <c r="L615" s="11"/>
      <c r="M615" s="11"/>
      <c r="N615" s="11"/>
      <c r="O615" s="11"/>
      <c r="P615" s="15"/>
      <c r="Q615" s="15"/>
      <c r="R615" s="15"/>
      <c r="S615" s="15"/>
      <c r="T615" s="15"/>
      <c r="U615" s="15"/>
      <c r="V615" s="15"/>
      <c r="W615" s="47"/>
      <c r="X615" s="11"/>
      <c r="Y615" s="48"/>
      <c r="Z615" s="11"/>
      <c r="AA615" s="48"/>
      <c r="AB615" s="11"/>
      <c r="AC615" s="48"/>
      <c r="AD615" s="11"/>
      <c r="AE615" s="47"/>
      <c r="AF615" s="11"/>
      <c r="AG615" s="48"/>
      <c r="AH615" s="11"/>
      <c r="AI615" s="48"/>
      <c r="AJ615" s="11"/>
      <c r="AK615" s="48"/>
      <c r="AL615" s="11"/>
      <c r="AM615" s="49"/>
      <c r="AN615" s="49"/>
      <c r="AO615" s="11"/>
      <c r="AP615" s="11"/>
      <c r="AQ615" s="28" t="b">
        <f>IF(COUNTIF(SmartStatus!A$2:A1000, AM615) &gt; 2, TRUE, FALSE)</f>
        <v>0</v>
      </c>
      <c r="AR615" s="29" t="str">
        <f ca="1">IFERROR(__xludf.DUMMYFUNCTION("iferror(if(regexmatch(AO615, ""(?i)^registered""), if(EE615 &lt;&gt; ""polity_shortest_name"", ""CHECK_POLITY"", index(filter(SmartStatus!B$2:B1000, AM615 = SmartStatus!A$2:A1000, not(SmartStatus!C$2:C1000), (isblank(SmartStatus!D$2:D1000)) + ((P615 &lt;&gt; """") * "&amp;"(P615 &lt; SmartStatus!D$2:D1000)), (isblank(SmartStatus!E$2:E1000)) + ((P615 &lt;&gt; """") * (P615 &gt;= SmartStatus!E$2:E1000)), (isblank(SmartStatus!F$2:F1000)) + (((Q615 &lt;&gt; """") * (Q615 &lt; SmartStatus!F$2:F1000)) + ((P615 &lt;&gt; """") * (date(year(P615) + 3, month(P"&amp;"615), day(P615)) &lt; SmartStatus!F$2:F1000))), (isblank(SmartStatus!G$2:G1000)) + (((Q615 &lt;&gt; """") * (Q615 &gt;= SmartStatus!G$2:G1000)) + ((P615 &lt;&gt; """") * (P615 &gt;= SmartStatus!G$2:G1000)))), if(or(regexmatch(B615, ""(?i)^ir [a-z]+ designation$""), N615 &lt;&gt; """&amp;"""), 1, 2))), """"), ""NO_MATCH"")"),"")</f>
        <v/>
      </c>
      <c r="AS615" s="11"/>
      <c r="AT615" s="15"/>
      <c r="AU615" s="11"/>
      <c r="AV615" s="11"/>
      <c r="AW615" s="15"/>
      <c r="AX615" s="15"/>
      <c r="AY615" s="15"/>
      <c r="AZ615" s="11"/>
      <c r="BA615" s="15"/>
      <c r="BB615" s="11"/>
      <c r="BC615" s="11"/>
      <c r="BD615" s="15"/>
      <c r="BE615" s="11"/>
      <c r="BF615" s="11"/>
      <c r="BG615" s="15"/>
      <c r="BH615" s="15"/>
      <c r="BI615" s="15"/>
      <c r="BJ615" s="11"/>
      <c r="BK615" s="15"/>
      <c r="BL615" s="11"/>
      <c r="BM615" s="11"/>
      <c r="BN615" s="15"/>
      <c r="BO615" s="11"/>
      <c r="BP615" s="11"/>
      <c r="BQ615" s="15"/>
      <c r="BR615" s="15"/>
      <c r="BS615" s="15"/>
      <c r="BT615" s="11"/>
      <c r="BU615" s="15"/>
      <c r="BV615" s="11"/>
      <c r="BW615" s="11"/>
      <c r="BX615" s="15"/>
      <c r="BY615" s="11"/>
      <c r="BZ615" s="11"/>
      <c r="CA615" s="15"/>
      <c r="CB615" s="11"/>
      <c r="CC615" s="15"/>
      <c r="CD615" s="11"/>
      <c r="CE615" s="15"/>
      <c r="CF615" s="11"/>
      <c r="CG615" s="11"/>
      <c r="CH615" s="15"/>
      <c r="CI615" s="11"/>
      <c r="CJ615" s="11"/>
      <c r="CK615" s="15"/>
      <c r="CL615" s="11"/>
      <c r="CM615" s="11"/>
      <c r="CN615" s="11"/>
      <c r="CO615" s="11"/>
      <c r="CP615" s="28"/>
      <c r="CQ615" s="28"/>
      <c r="CR615" s="11"/>
      <c r="CS615" s="29"/>
      <c r="CT615" s="11"/>
      <c r="CU615" s="11"/>
      <c r="CV615" s="11"/>
      <c r="CW615" s="11"/>
      <c r="CX615" s="11"/>
      <c r="CY615" s="11"/>
      <c r="CZ615" s="11"/>
      <c r="DA615" s="28"/>
      <c r="DB615" s="28"/>
      <c r="DC615" s="11"/>
      <c r="DD615" s="29"/>
      <c r="DE615" s="11"/>
      <c r="DF615" s="11"/>
      <c r="DG615" s="11"/>
      <c r="DH615" s="11"/>
      <c r="DI615" s="11"/>
      <c r="DJ615" s="11"/>
      <c r="DK615" s="26"/>
      <c r="DL615" s="11"/>
      <c r="DM615" s="29"/>
      <c r="DN615" s="28"/>
      <c r="DO615" s="11"/>
      <c r="DP615" s="11"/>
      <c r="DQ615" s="11"/>
      <c r="DR615" s="29"/>
      <c r="DS615" s="28"/>
      <c r="DT615" s="11"/>
      <c r="DU615" s="26"/>
      <c r="DV615" s="11"/>
      <c r="DW615" s="29"/>
      <c r="DX615" s="28"/>
      <c r="DY615" s="11"/>
      <c r="DZ615" s="26"/>
      <c r="EA615" s="11"/>
      <c r="EB615" s="29"/>
      <c r="EC615" s="28"/>
      <c r="ED615" s="30"/>
      <c r="EE615" s="30" t="str">
        <f ca="1">IFERROR(__xludf.DUMMYFUNCTION("iferror(index(filter('Internal -- Trademark Countries'!E$2:E1000, (AM615 = 'Internal -- Trademark Countries'!B$2:B1000) + (AM615 = 'Internal -- Trademark Countries'!C$2:C1000) + (AM615 = 'Internal -- Trademark Countries'!D$2:D1000)), 1))"),"")</f>
        <v/>
      </c>
      <c r="EF615" s="30" t="e">
        <f ca="1">_xludf.ifs(AM615="", "", COUNTIF('Internal -- Trademark Countries'!B:B,AM615) &gt; 0, "polity_shortest_name", COUNTIF('Internal -- Trademark Countries'!C:C,AM615) &gt; 0, "polity_full_name", COUNTIF('Internal -- Trademark Countries'!D:D,AM615) &gt; 0, "polity_common_name", COUNTIF('Internal -- Trademark Countries'!E:E,AM615) &gt; 0, "shortest_name", COUNTIF('Internal -- Trademark Countries'!A:A,AM615) &gt; 0, "full_name", TRUE, "not a match")</f>
        <v>#NAME?</v>
      </c>
      <c r="EG615" s="30"/>
      <c r="EH615" s="30"/>
      <c r="EI615" s="30"/>
      <c r="EJ615" s="30"/>
      <c r="EK615" s="30" t="str">
        <f t="shared" si="4"/>
        <v/>
      </c>
    </row>
    <row r="616" spans="1:141" ht="16.5">
      <c r="A616" s="11"/>
      <c r="B616" s="11"/>
      <c r="C616" s="11"/>
      <c r="D616" s="11"/>
      <c r="E616" s="11"/>
      <c r="F616" s="11"/>
      <c r="G616" s="11"/>
      <c r="H616" s="11"/>
      <c r="I616" s="11"/>
      <c r="J616" s="11"/>
      <c r="K616" s="27"/>
      <c r="L616" s="11"/>
      <c r="M616" s="11"/>
      <c r="N616" s="11"/>
      <c r="O616" s="11"/>
      <c r="P616" s="15"/>
      <c r="Q616" s="15"/>
      <c r="R616" s="15"/>
      <c r="S616" s="15"/>
      <c r="T616" s="15"/>
      <c r="U616" s="15"/>
      <c r="V616" s="15"/>
      <c r="W616" s="47"/>
      <c r="X616" s="11"/>
      <c r="Y616" s="48"/>
      <c r="Z616" s="11"/>
      <c r="AA616" s="48"/>
      <c r="AB616" s="11"/>
      <c r="AC616" s="48"/>
      <c r="AD616" s="11"/>
      <c r="AE616" s="47"/>
      <c r="AF616" s="11"/>
      <c r="AG616" s="48"/>
      <c r="AH616" s="11"/>
      <c r="AI616" s="48"/>
      <c r="AJ616" s="11"/>
      <c r="AK616" s="48"/>
      <c r="AL616" s="11"/>
      <c r="AM616" s="49"/>
      <c r="AN616" s="49"/>
      <c r="AO616" s="11"/>
      <c r="AP616" s="11"/>
      <c r="AQ616" s="28" t="b">
        <f>IF(COUNTIF(SmartStatus!A$2:A1000, AM616) &gt; 2, TRUE, FALSE)</f>
        <v>0</v>
      </c>
      <c r="AR616" s="29" t="str">
        <f ca="1">IFERROR(__xludf.DUMMYFUNCTION("iferror(if(regexmatch(AO616, ""(?i)^registered""), if(EE616 &lt;&gt; ""polity_shortest_name"", ""CHECK_POLITY"", index(filter(SmartStatus!B$2:B1000, AM616 = SmartStatus!A$2:A1000, not(SmartStatus!C$2:C1000), (isblank(SmartStatus!D$2:D1000)) + ((P616 &lt;&gt; """") * "&amp;"(P616 &lt; SmartStatus!D$2:D1000)), (isblank(SmartStatus!E$2:E1000)) + ((P616 &lt;&gt; """") * (P616 &gt;= SmartStatus!E$2:E1000)), (isblank(SmartStatus!F$2:F1000)) + (((Q616 &lt;&gt; """") * (Q616 &lt; SmartStatus!F$2:F1000)) + ((P616 &lt;&gt; """") * (date(year(P616) + 3, month(P"&amp;"616), day(P616)) &lt; SmartStatus!F$2:F1000))), (isblank(SmartStatus!G$2:G1000)) + (((Q616 &lt;&gt; """") * (Q616 &gt;= SmartStatus!G$2:G1000)) + ((P616 &lt;&gt; """") * (P616 &gt;= SmartStatus!G$2:G1000)))), if(or(regexmatch(B616, ""(?i)^ir [a-z]+ designation$""), N616 &lt;&gt; """&amp;"""), 1, 2))), """"), ""NO_MATCH"")"),"")</f>
        <v/>
      </c>
      <c r="AS616" s="11"/>
      <c r="AT616" s="15"/>
      <c r="AU616" s="11"/>
      <c r="AV616" s="11"/>
      <c r="AW616" s="15"/>
      <c r="AX616" s="15"/>
      <c r="AY616" s="15"/>
      <c r="AZ616" s="11"/>
      <c r="BA616" s="15"/>
      <c r="BB616" s="11"/>
      <c r="BC616" s="11"/>
      <c r="BD616" s="15"/>
      <c r="BE616" s="11"/>
      <c r="BF616" s="11"/>
      <c r="BG616" s="15"/>
      <c r="BH616" s="15"/>
      <c r="BI616" s="15"/>
      <c r="BJ616" s="11"/>
      <c r="BK616" s="15"/>
      <c r="BL616" s="11"/>
      <c r="BM616" s="11"/>
      <c r="BN616" s="15"/>
      <c r="BO616" s="11"/>
      <c r="BP616" s="11"/>
      <c r="BQ616" s="15"/>
      <c r="BR616" s="15"/>
      <c r="BS616" s="15"/>
      <c r="BT616" s="11"/>
      <c r="BU616" s="15"/>
      <c r="BV616" s="11"/>
      <c r="BW616" s="11"/>
      <c r="BX616" s="15"/>
      <c r="BY616" s="11"/>
      <c r="BZ616" s="11"/>
      <c r="CA616" s="15"/>
      <c r="CB616" s="11"/>
      <c r="CC616" s="15"/>
      <c r="CD616" s="11"/>
      <c r="CE616" s="15"/>
      <c r="CF616" s="11"/>
      <c r="CG616" s="11"/>
      <c r="CH616" s="15"/>
      <c r="CI616" s="11"/>
      <c r="CJ616" s="11"/>
      <c r="CK616" s="15"/>
      <c r="CL616" s="11"/>
      <c r="CM616" s="11"/>
      <c r="CN616" s="11"/>
      <c r="CO616" s="11"/>
      <c r="CP616" s="28"/>
      <c r="CQ616" s="28"/>
      <c r="CR616" s="11"/>
      <c r="CS616" s="29"/>
      <c r="CT616" s="11"/>
      <c r="CU616" s="11"/>
      <c r="CV616" s="11"/>
      <c r="CW616" s="11"/>
      <c r="CX616" s="11"/>
      <c r="CY616" s="11"/>
      <c r="CZ616" s="11"/>
      <c r="DA616" s="28"/>
      <c r="DB616" s="28"/>
      <c r="DC616" s="11"/>
      <c r="DD616" s="29"/>
      <c r="DE616" s="11"/>
      <c r="DF616" s="11"/>
      <c r="DG616" s="11"/>
      <c r="DH616" s="11"/>
      <c r="DI616" s="11"/>
      <c r="DJ616" s="11"/>
      <c r="DK616" s="26"/>
      <c r="DL616" s="11"/>
      <c r="DM616" s="29"/>
      <c r="DN616" s="28"/>
      <c r="DO616" s="11"/>
      <c r="DP616" s="11"/>
      <c r="DQ616" s="11"/>
      <c r="DR616" s="29"/>
      <c r="DS616" s="28"/>
      <c r="DT616" s="11"/>
      <c r="DU616" s="26"/>
      <c r="DV616" s="11"/>
      <c r="DW616" s="29"/>
      <c r="DX616" s="28"/>
      <c r="DY616" s="11"/>
      <c r="DZ616" s="26"/>
      <c r="EA616" s="11"/>
      <c r="EB616" s="29"/>
      <c r="EC616" s="28"/>
      <c r="ED616" s="30"/>
      <c r="EE616" s="30" t="str">
        <f ca="1">IFERROR(__xludf.DUMMYFUNCTION("iferror(index(filter('Internal -- Trademark Countries'!E$2:E1000, (AM616 = 'Internal -- Trademark Countries'!B$2:B1000) + (AM616 = 'Internal -- Trademark Countries'!C$2:C1000) + (AM616 = 'Internal -- Trademark Countries'!D$2:D1000)), 1))"),"")</f>
        <v/>
      </c>
      <c r="EF616" s="30" t="e">
        <f ca="1">_xludf.ifs(AM616="", "", COUNTIF('Internal -- Trademark Countries'!B:B,AM616) &gt; 0, "polity_shortest_name", COUNTIF('Internal -- Trademark Countries'!C:C,AM616) &gt; 0, "polity_full_name", COUNTIF('Internal -- Trademark Countries'!D:D,AM616) &gt; 0, "polity_common_name", COUNTIF('Internal -- Trademark Countries'!E:E,AM616) &gt; 0, "shortest_name", COUNTIF('Internal -- Trademark Countries'!A:A,AM616) &gt; 0, "full_name", TRUE, "not a match")</f>
        <v>#NAME?</v>
      </c>
      <c r="EG616" s="30"/>
      <c r="EH616" s="30"/>
      <c r="EI616" s="30"/>
      <c r="EJ616" s="30"/>
      <c r="EK616" s="30" t="str">
        <f t="shared" si="4"/>
        <v/>
      </c>
    </row>
    <row r="617" spans="1:141" ht="16.5">
      <c r="A617" s="11"/>
      <c r="B617" s="11"/>
      <c r="C617" s="11"/>
      <c r="D617" s="11"/>
      <c r="E617" s="11"/>
      <c r="F617" s="11"/>
      <c r="G617" s="11"/>
      <c r="H617" s="11"/>
      <c r="I617" s="11"/>
      <c r="J617" s="11"/>
      <c r="K617" s="27"/>
      <c r="L617" s="11"/>
      <c r="M617" s="11"/>
      <c r="N617" s="11"/>
      <c r="O617" s="11"/>
      <c r="P617" s="15"/>
      <c r="Q617" s="15"/>
      <c r="R617" s="15"/>
      <c r="S617" s="15"/>
      <c r="T617" s="15"/>
      <c r="U617" s="15"/>
      <c r="V617" s="15"/>
      <c r="W617" s="47"/>
      <c r="X617" s="11"/>
      <c r="Y617" s="48"/>
      <c r="Z617" s="11"/>
      <c r="AA617" s="48"/>
      <c r="AB617" s="11"/>
      <c r="AC617" s="48"/>
      <c r="AD617" s="11"/>
      <c r="AE617" s="47"/>
      <c r="AF617" s="11"/>
      <c r="AG617" s="48"/>
      <c r="AH617" s="11"/>
      <c r="AI617" s="48"/>
      <c r="AJ617" s="11"/>
      <c r="AK617" s="48"/>
      <c r="AL617" s="11"/>
      <c r="AM617" s="49"/>
      <c r="AN617" s="49"/>
      <c r="AO617" s="11"/>
      <c r="AP617" s="11"/>
      <c r="AQ617" s="28" t="b">
        <f>IF(COUNTIF(SmartStatus!A$2:A1000, AM617) &gt; 2, TRUE, FALSE)</f>
        <v>0</v>
      </c>
      <c r="AR617" s="29" t="str">
        <f ca="1">IFERROR(__xludf.DUMMYFUNCTION("iferror(if(regexmatch(AO617, ""(?i)^registered""), if(EE617 &lt;&gt; ""polity_shortest_name"", ""CHECK_POLITY"", index(filter(SmartStatus!B$2:B1000, AM617 = SmartStatus!A$2:A1000, not(SmartStatus!C$2:C1000), (isblank(SmartStatus!D$2:D1000)) + ((P617 &lt;&gt; """") * "&amp;"(P617 &lt; SmartStatus!D$2:D1000)), (isblank(SmartStatus!E$2:E1000)) + ((P617 &lt;&gt; """") * (P617 &gt;= SmartStatus!E$2:E1000)), (isblank(SmartStatus!F$2:F1000)) + (((Q617 &lt;&gt; """") * (Q617 &lt; SmartStatus!F$2:F1000)) + ((P617 &lt;&gt; """") * (date(year(P617) + 3, month(P"&amp;"617), day(P617)) &lt; SmartStatus!F$2:F1000))), (isblank(SmartStatus!G$2:G1000)) + (((Q617 &lt;&gt; """") * (Q617 &gt;= SmartStatus!G$2:G1000)) + ((P617 &lt;&gt; """") * (P617 &gt;= SmartStatus!G$2:G1000)))), if(or(regexmatch(B617, ""(?i)^ir [a-z]+ designation$""), N617 &lt;&gt; """&amp;"""), 1, 2))), """"), ""NO_MATCH"")"),"")</f>
        <v/>
      </c>
      <c r="AS617" s="11"/>
      <c r="AT617" s="15"/>
      <c r="AU617" s="11"/>
      <c r="AV617" s="11"/>
      <c r="AW617" s="15"/>
      <c r="AX617" s="15"/>
      <c r="AY617" s="15"/>
      <c r="AZ617" s="11"/>
      <c r="BA617" s="15"/>
      <c r="BB617" s="11"/>
      <c r="BC617" s="11"/>
      <c r="BD617" s="15"/>
      <c r="BE617" s="11"/>
      <c r="BF617" s="11"/>
      <c r="BG617" s="15"/>
      <c r="BH617" s="15"/>
      <c r="BI617" s="15"/>
      <c r="BJ617" s="11"/>
      <c r="BK617" s="15"/>
      <c r="BL617" s="11"/>
      <c r="BM617" s="11"/>
      <c r="BN617" s="15"/>
      <c r="BO617" s="11"/>
      <c r="BP617" s="11"/>
      <c r="BQ617" s="15"/>
      <c r="BR617" s="15"/>
      <c r="BS617" s="15"/>
      <c r="BT617" s="11"/>
      <c r="BU617" s="15"/>
      <c r="BV617" s="11"/>
      <c r="BW617" s="11"/>
      <c r="BX617" s="15"/>
      <c r="BY617" s="11"/>
      <c r="BZ617" s="11"/>
      <c r="CA617" s="15"/>
      <c r="CB617" s="11"/>
      <c r="CC617" s="15"/>
      <c r="CD617" s="11"/>
      <c r="CE617" s="15"/>
      <c r="CF617" s="11"/>
      <c r="CG617" s="11"/>
      <c r="CH617" s="15"/>
      <c r="CI617" s="11"/>
      <c r="CJ617" s="11"/>
      <c r="CK617" s="15"/>
      <c r="CL617" s="11"/>
      <c r="CM617" s="11"/>
      <c r="CN617" s="11"/>
      <c r="CO617" s="11"/>
      <c r="CP617" s="28"/>
      <c r="CQ617" s="28"/>
      <c r="CR617" s="11"/>
      <c r="CS617" s="29"/>
      <c r="CT617" s="11"/>
      <c r="CU617" s="11"/>
      <c r="CV617" s="11"/>
      <c r="CW617" s="11"/>
      <c r="CX617" s="11"/>
      <c r="CY617" s="11"/>
      <c r="CZ617" s="11"/>
      <c r="DA617" s="28"/>
      <c r="DB617" s="28"/>
      <c r="DC617" s="11"/>
      <c r="DD617" s="29"/>
      <c r="DE617" s="11"/>
      <c r="DF617" s="11"/>
      <c r="DG617" s="11"/>
      <c r="DH617" s="11"/>
      <c r="DI617" s="11"/>
      <c r="DJ617" s="11"/>
      <c r="DK617" s="26"/>
      <c r="DL617" s="11"/>
      <c r="DM617" s="29"/>
      <c r="DN617" s="28"/>
      <c r="DO617" s="11"/>
      <c r="DP617" s="11"/>
      <c r="DQ617" s="11"/>
      <c r="DR617" s="29"/>
      <c r="DS617" s="28"/>
      <c r="DT617" s="11"/>
      <c r="DU617" s="26"/>
      <c r="DV617" s="11"/>
      <c r="DW617" s="29"/>
      <c r="DX617" s="28"/>
      <c r="DY617" s="11"/>
      <c r="DZ617" s="26"/>
      <c r="EA617" s="11"/>
      <c r="EB617" s="29"/>
      <c r="EC617" s="28"/>
      <c r="ED617" s="30"/>
      <c r="EE617" s="30" t="str">
        <f ca="1">IFERROR(__xludf.DUMMYFUNCTION("iferror(index(filter('Internal -- Trademark Countries'!E$2:E1000, (AM617 = 'Internal -- Trademark Countries'!B$2:B1000) + (AM617 = 'Internal -- Trademark Countries'!C$2:C1000) + (AM617 = 'Internal -- Trademark Countries'!D$2:D1000)), 1))"),"")</f>
        <v/>
      </c>
      <c r="EF617" s="30" t="e">
        <f ca="1">_xludf.ifs(AM617="", "", COUNTIF('Internal -- Trademark Countries'!B:B,AM617) &gt; 0, "polity_shortest_name", COUNTIF('Internal -- Trademark Countries'!C:C,AM617) &gt; 0, "polity_full_name", COUNTIF('Internal -- Trademark Countries'!D:D,AM617) &gt; 0, "polity_common_name", COUNTIF('Internal -- Trademark Countries'!E:E,AM617) &gt; 0, "shortest_name", COUNTIF('Internal -- Trademark Countries'!A:A,AM617) &gt; 0, "full_name", TRUE, "not a match")</f>
        <v>#NAME?</v>
      </c>
      <c r="EG617" s="30"/>
      <c r="EH617" s="30"/>
      <c r="EI617" s="30"/>
      <c r="EJ617" s="30"/>
      <c r="EK617" s="30" t="str">
        <f t="shared" si="4"/>
        <v/>
      </c>
    </row>
    <row r="618" spans="1:141" ht="16.5">
      <c r="A618" s="11"/>
      <c r="B618" s="11"/>
      <c r="C618" s="11"/>
      <c r="D618" s="11"/>
      <c r="E618" s="11"/>
      <c r="F618" s="11"/>
      <c r="G618" s="11"/>
      <c r="H618" s="11"/>
      <c r="I618" s="11"/>
      <c r="J618" s="11"/>
      <c r="K618" s="27"/>
      <c r="L618" s="11"/>
      <c r="M618" s="11"/>
      <c r="N618" s="11"/>
      <c r="O618" s="11"/>
      <c r="P618" s="15"/>
      <c r="Q618" s="15"/>
      <c r="R618" s="15"/>
      <c r="S618" s="15"/>
      <c r="T618" s="15"/>
      <c r="U618" s="15"/>
      <c r="V618" s="15"/>
      <c r="W618" s="47"/>
      <c r="X618" s="11"/>
      <c r="Y618" s="48"/>
      <c r="Z618" s="11"/>
      <c r="AA618" s="48"/>
      <c r="AB618" s="11"/>
      <c r="AC618" s="48"/>
      <c r="AD618" s="11"/>
      <c r="AE618" s="47"/>
      <c r="AF618" s="11"/>
      <c r="AG618" s="48"/>
      <c r="AH618" s="11"/>
      <c r="AI618" s="48"/>
      <c r="AJ618" s="11"/>
      <c r="AK618" s="48"/>
      <c r="AL618" s="11"/>
      <c r="AM618" s="49"/>
      <c r="AN618" s="49"/>
      <c r="AO618" s="11"/>
      <c r="AP618" s="11"/>
      <c r="AQ618" s="28" t="b">
        <f>IF(COUNTIF(SmartStatus!A$2:A1000, AM618) &gt; 2, TRUE, FALSE)</f>
        <v>0</v>
      </c>
      <c r="AR618" s="29" t="str">
        <f ca="1">IFERROR(__xludf.DUMMYFUNCTION("iferror(if(regexmatch(AO618, ""(?i)^registered""), if(EE618 &lt;&gt; ""polity_shortest_name"", ""CHECK_POLITY"", index(filter(SmartStatus!B$2:B1000, AM618 = SmartStatus!A$2:A1000, not(SmartStatus!C$2:C1000), (isblank(SmartStatus!D$2:D1000)) + ((P618 &lt;&gt; """") * "&amp;"(P618 &lt; SmartStatus!D$2:D1000)), (isblank(SmartStatus!E$2:E1000)) + ((P618 &lt;&gt; """") * (P618 &gt;= SmartStatus!E$2:E1000)), (isblank(SmartStatus!F$2:F1000)) + (((Q618 &lt;&gt; """") * (Q618 &lt; SmartStatus!F$2:F1000)) + ((P618 &lt;&gt; """") * (date(year(P618) + 3, month(P"&amp;"618), day(P618)) &lt; SmartStatus!F$2:F1000))), (isblank(SmartStatus!G$2:G1000)) + (((Q618 &lt;&gt; """") * (Q618 &gt;= SmartStatus!G$2:G1000)) + ((P618 &lt;&gt; """") * (P618 &gt;= SmartStatus!G$2:G1000)))), if(or(regexmatch(B618, ""(?i)^ir [a-z]+ designation$""), N618 &lt;&gt; """&amp;"""), 1, 2))), """"), ""NO_MATCH"")"),"")</f>
        <v/>
      </c>
      <c r="AS618" s="11"/>
      <c r="AT618" s="15"/>
      <c r="AU618" s="11"/>
      <c r="AV618" s="11"/>
      <c r="AW618" s="15"/>
      <c r="AX618" s="15"/>
      <c r="AY618" s="15"/>
      <c r="AZ618" s="11"/>
      <c r="BA618" s="15"/>
      <c r="BB618" s="11"/>
      <c r="BC618" s="11"/>
      <c r="BD618" s="15"/>
      <c r="BE618" s="11"/>
      <c r="BF618" s="11"/>
      <c r="BG618" s="15"/>
      <c r="BH618" s="15"/>
      <c r="BI618" s="15"/>
      <c r="BJ618" s="11"/>
      <c r="BK618" s="15"/>
      <c r="BL618" s="11"/>
      <c r="BM618" s="11"/>
      <c r="BN618" s="15"/>
      <c r="BO618" s="11"/>
      <c r="BP618" s="11"/>
      <c r="BQ618" s="15"/>
      <c r="BR618" s="15"/>
      <c r="BS618" s="15"/>
      <c r="BT618" s="11"/>
      <c r="BU618" s="15"/>
      <c r="BV618" s="11"/>
      <c r="BW618" s="11"/>
      <c r="BX618" s="15"/>
      <c r="BY618" s="11"/>
      <c r="BZ618" s="11"/>
      <c r="CA618" s="15"/>
      <c r="CB618" s="11"/>
      <c r="CC618" s="15"/>
      <c r="CD618" s="11"/>
      <c r="CE618" s="15"/>
      <c r="CF618" s="11"/>
      <c r="CG618" s="11"/>
      <c r="CH618" s="15"/>
      <c r="CI618" s="11"/>
      <c r="CJ618" s="11"/>
      <c r="CK618" s="15"/>
      <c r="CL618" s="11"/>
      <c r="CM618" s="11"/>
      <c r="CN618" s="11"/>
      <c r="CO618" s="11"/>
      <c r="CP618" s="28"/>
      <c r="CQ618" s="28"/>
      <c r="CR618" s="11"/>
      <c r="CS618" s="29"/>
      <c r="CT618" s="11"/>
      <c r="CU618" s="11"/>
      <c r="CV618" s="11"/>
      <c r="CW618" s="11"/>
      <c r="CX618" s="11"/>
      <c r="CY618" s="11"/>
      <c r="CZ618" s="11"/>
      <c r="DA618" s="28"/>
      <c r="DB618" s="28"/>
      <c r="DC618" s="11"/>
      <c r="DD618" s="29"/>
      <c r="DE618" s="11"/>
      <c r="DF618" s="11"/>
      <c r="DG618" s="11"/>
      <c r="DH618" s="11"/>
      <c r="DI618" s="11"/>
      <c r="DJ618" s="11"/>
      <c r="DK618" s="26"/>
      <c r="DL618" s="11"/>
      <c r="DM618" s="29"/>
      <c r="DN618" s="28"/>
      <c r="DO618" s="11"/>
      <c r="DP618" s="11"/>
      <c r="DQ618" s="11"/>
      <c r="DR618" s="29"/>
      <c r="DS618" s="28"/>
      <c r="DT618" s="11"/>
      <c r="DU618" s="26"/>
      <c r="DV618" s="11"/>
      <c r="DW618" s="29"/>
      <c r="DX618" s="28"/>
      <c r="DY618" s="11"/>
      <c r="DZ618" s="26"/>
      <c r="EA618" s="11"/>
      <c r="EB618" s="29"/>
      <c r="EC618" s="28"/>
      <c r="ED618" s="30"/>
      <c r="EE618" s="30" t="str">
        <f ca="1">IFERROR(__xludf.DUMMYFUNCTION("iferror(index(filter('Internal -- Trademark Countries'!E$2:E1000, (AM618 = 'Internal -- Trademark Countries'!B$2:B1000) + (AM618 = 'Internal -- Trademark Countries'!C$2:C1000) + (AM618 = 'Internal -- Trademark Countries'!D$2:D1000)), 1))"),"")</f>
        <v/>
      </c>
      <c r="EF618" s="30" t="e">
        <f ca="1">_xludf.ifs(AM618="", "", COUNTIF('Internal -- Trademark Countries'!B:B,AM618) &gt; 0, "polity_shortest_name", COUNTIF('Internal -- Trademark Countries'!C:C,AM618) &gt; 0, "polity_full_name", COUNTIF('Internal -- Trademark Countries'!D:D,AM618) &gt; 0, "polity_common_name", COUNTIF('Internal -- Trademark Countries'!E:E,AM618) &gt; 0, "shortest_name", COUNTIF('Internal -- Trademark Countries'!A:A,AM618) &gt; 0, "full_name", TRUE, "not a match")</f>
        <v>#NAME?</v>
      </c>
      <c r="EG618" s="30"/>
      <c r="EH618" s="30"/>
      <c r="EI618" s="30"/>
      <c r="EJ618" s="30"/>
      <c r="EK618" s="30" t="str">
        <f t="shared" si="4"/>
        <v/>
      </c>
    </row>
    <row r="619" spans="1:141" ht="16.5">
      <c r="A619" s="11"/>
      <c r="B619" s="11"/>
      <c r="C619" s="11"/>
      <c r="D619" s="11"/>
      <c r="E619" s="11"/>
      <c r="F619" s="11"/>
      <c r="G619" s="11"/>
      <c r="H619" s="11"/>
      <c r="I619" s="11"/>
      <c r="J619" s="11"/>
      <c r="K619" s="27"/>
      <c r="L619" s="11"/>
      <c r="M619" s="11"/>
      <c r="N619" s="11"/>
      <c r="O619" s="11"/>
      <c r="P619" s="15"/>
      <c r="Q619" s="15"/>
      <c r="R619" s="15"/>
      <c r="S619" s="15"/>
      <c r="T619" s="15"/>
      <c r="U619" s="15"/>
      <c r="V619" s="15"/>
      <c r="W619" s="47"/>
      <c r="X619" s="11"/>
      <c r="Y619" s="48"/>
      <c r="Z619" s="11"/>
      <c r="AA619" s="48"/>
      <c r="AB619" s="11"/>
      <c r="AC619" s="48"/>
      <c r="AD619" s="11"/>
      <c r="AE619" s="47"/>
      <c r="AF619" s="11"/>
      <c r="AG619" s="48"/>
      <c r="AH619" s="11"/>
      <c r="AI619" s="48"/>
      <c r="AJ619" s="11"/>
      <c r="AK619" s="48"/>
      <c r="AL619" s="11"/>
      <c r="AM619" s="49"/>
      <c r="AN619" s="49"/>
      <c r="AO619" s="11"/>
      <c r="AP619" s="11"/>
      <c r="AQ619" s="28" t="b">
        <f>IF(COUNTIF(SmartStatus!A$2:A1000, AM619) &gt; 2, TRUE, FALSE)</f>
        <v>0</v>
      </c>
      <c r="AR619" s="29" t="str">
        <f ca="1">IFERROR(__xludf.DUMMYFUNCTION("iferror(if(regexmatch(AO619, ""(?i)^registered""), if(EE619 &lt;&gt; ""polity_shortest_name"", ""CHECK_POLITY"", index(filter(SmartStatus!B$2:B1000, AM619 = SmartStatus!A$2:A1000, not(SmartStatus!C$2:C1000), (isblank(SmartStatus!D$2:D1000)) + ((P619 &lt;&gt; """") * "&amp;"(P619 &lt; SmartStatus!D$2:D1000)), (isblank(SmartStatus!E$2:E1000)) + ((P619 &lt;&gt; """") * (P619 &gt;= SmartStatus!E$2:E1000)), (isblank(SmartStatus!F$2:F1000)) + (((Q619 &lt;&gt; """") * (Q619 &lt; SmartStatus!F$2:F1000)) + ((P619 &lt;&gt; """") * (date(year(P619) + 3, month(P"&amp;"619), day(P619)) &lt; SmartStatus!F$2:F1000))), (isblank(SmartStatus!G$2:G1000)) + (((Q619 &lt;&gt; """") * (Q619 &gt;= SmartStatus!G$2:G1000)) + ((P619 &lt;&gt; """") * (P619 &gt;= SmartStatus!G$2:G1000)))), if(or(regexmatch(B619, ""(?i)^ir [a-z]+ designation$""), N619 &lt;&gt; """&amp;"""), 1, 2))), """"), ""NO_MATCH"")"),"")</f>
        <v/>
      </c>
      <c r="AS619" s="11"/>
      <c r="AT619" s="15"/>
      <c r="AU619" s="11"/>
      <c r="AV619" s="11"/>
      <c r="AW619" s="15"/>
      <c r="AX619" s="15"/>
      <c r="AY619" s="15"/>
      <c r="AZ619" s="11"/>
      <c r="BA619" s="15"/>
      <c r="BB619" s="11"/>
      <c r="BC619" s="11"/>
      <c r="BD619" s="15"/>
      <c r="BE619" s="11"/>
      <c r="BF619" s="11"/>
      <c r="BG619" s="15"/>
      <c r="BH619" s="15"/>
      <c r="BI619" s="15"/>
      <c r="BJ619" s="11"/>
      <c r="BK619" s="15"/>
      <c r="BL619" s="11"/>
      <c r="BM619" s="11"/>
      <c r="BN619" s="15"/>
      <c r="BO619" s="11"/>
      <c r="BP619" s="11"/>
      <c r="BQ619" s="15"/>
      <c r="BR619" s="15"/>
      <c r="BS619" s="15"/>
      <c r="BT619" s="11"/>
      <c r="BU619" s="15"/>
      <c r="BV619" s="11"/>
      <c r="BW619" s="11"/>
      <c r="BX619" s="15"/>
      <c r="BY619" s="11"/>
      <c r="BZ619" s="11"/>
      <c r="CA619" s="15"/>
      <c r="CB619" s="11"/>
      <c r="CC619" s="15"/>
      <c r="CD619" s="11"/>
      <c r="CE619" s="15"/>
      <c r="CF619" s="11"/>
      <c r="CG619" s="11"/>
      <c r="CH619" s="15"/>
      <c r="CI619" s="11"/>
      <c r="CJ619" s="11"/>
      <c r="CK619" s="15"/>
      <c r="CL619" s="11"/>
      <c r="CM619" s="11"/>
      <c r="CN619" s="11"/>
      <c r="CO619" s="11"/>
      <c r="CP619" s="28"/>
      <c r="CQ619" s="28"/>
      <c r="CR619" s="11"/>
      <c r="CS619" s="29"/>
      <c r="CT619" s="11"/>
      <c r="CU619" s="11"/>
      <c r="CV619" s="11"/>
      <c r="CW619" s="11"/>
      <c r="CX619" s="11"/>
      <c r="CY619" s="11"/>
      <c r="CZ619" s="11"/>
      <c r="DA619" s="28"/>
      <c r="DB619" s="28"/>
      <c r="DC619" s="11"/>
      <c r="DD619" s="29"/>
      <c r="DE619" s="11"/>
      <c r="DF619" s="11"/>
      <c r="DG619" s="11"/>
      <c r="DH619" s="11"/>
      <c r="DI619" s="11"/>
      <c r="DJ619" s="11"/>
      <c r="DK619" s="26"/>
      <c r="DL619" s="11"/>
      <c r="DM619" s="29"/>
      <c r="DN619" s="28"/>
      <c r="DO619" s="11"/>
      <c r="DP619" s="11"/>
      <c r="DQ619" s="11"/>
      <c r="DR619" s="29"/>
      <c r="DS619" s="28"/>
      <c r="DT619" s="11"/>
      <c r="DU619" s="26"/>
      <c r="DV619" s="11"/>
      <c r="DW619" s="29"/>
      <c r="DX619" s="28"/>
      <c r="DY619" s="11"/>
      <c r="DZ619" s="26"/>
      <c r="EA619" s="11"/>
      <c r="EB619" s="29"/>
      <c r="EC619" s="28"/>
      <c r="ED619" s="30"/>
      <c r="EE619" s="30" t="str">
        <f ca="1">IFERROR(__xludf.DUMMYFUNCTION("iferror(index(filter('Internal -- Trademark Countries'!E$2:E1000, (AM619 = 'Internal -- Trademark Countries'!B$2:B1000) + (AM619 = 'Internal -- Trademark Countries'!C$2:C1000) + (AM619 = 'Internal -- Trademark Countries'!D$2:D1000)), 1))"),"")</f>
        <v/>
      </c>
      <c r="EF619" s="30" t="e">
        <f ca="1">_xludf.ifs(AM619="", "", COUNTIF('Internal -- Trademark Countries'!B:B,AM619) &gt; 0, "polity_shortest_name", COUNTIF('Internal -- Trademark Countries'!C:C,AM619) &gt; 0, "polity_full_name", COUNTIF('Internal -- Trademark Countries'!D:D,AM619) &gt; 0, "polity_common_name", COUNTIF('Internal -- Trademark Countries'!E:E,AM619) &gt; 0, "shortest_name", COUNTIF('Internal -- Trademark Countries'!A:A,AM619) &gt; 0, "full_name", TRUE, "not a match")</f>
        <v>#NAME?</v>
      </c>
      <c r="EG619" s="30"/>
      <c r="EH619" s="30"/>
      <c r="EI619" s="30"/>
      <c r="EJ619" s="30"/>
      <c r="EK619" s="30" t="str">
        <f t="shared" si="4"/>
        <v/>
      </c>
    </row>
    <row r="620" spans="1:141" ht="16.5">
      <c r="A620" s="11"/>
      <c r="B620" s="11"/>
      <c r="C620" s="11"/>
      <c r="D620" s="11"/>
      <c r="E620" s="11"/>
      <c r="F620" s="11"/>
      <c r="G620" s="11"/>
      <c r="H620" s="11"/>
      <c r="I620" s="11"/>
      <c r="J620" s="11"/>
      <c r="K620" s="27"/>
      <c r="L620" s="11"/>
      <c r="M620" s="11"/>
      <c r="N620" s="11"/>
      <c r="O620" s="11"/>
      <c r="P620" s="15"/>
      <c r="Q620" s="15"/>
      <c r="R620" s="15"/>
      <c r="S620" s="15"/>
      <c r="T620" s="15"/>
      <c r="U620" s="15"/>
      <c r="V620" s="15"/>
      <c r="W620" s="47"/>
      <c r="X620" s="11"/>
      <c r="Y620" s="48"/>
      <c r="Z620" s="11"/>
      <c r="AA620" s="48"/>
      <c r="AB620" s="11"/>
      <c r="AC620" s="48"/>
      <c r="AD620" s="11"/>
      <c r="AE620" s="47"/>
      <c r="AF620" s="11"/>
      <c r="AG620" s="48"/>
      <c r="AH620" s="11"/>
      <c r="AI620" s="48"/>
      <c r="AJ620" s="11"/>
      <c r="AK620" s="48"/>
      <c r="AL620" s="11"/>
      <c r="AM620" s="49"/>
      <c r="AN620" s="49"/>
      <c r="AO620" s="11"/>
      <c r="AP620" s="11"/>
      <c r="AQ620" s="28" t="b">
        <f>IF(COUNTIF(SmartStatus!A$2:A1000, AM620) &gt; 2, TRUE, FALSE)</f>
        <v>0</v>
      </c>
      <c r="AR620" s="29" t="str">
        <f ca="1">IFERROR(__xludf.DUMMYFUNCTION("iferror(if(regexmatch(AO620, ""(?i)^registered""), if(EE620 &lt;&gt; ""polity_shortest_name"", ""CHECK_POLITY"", index(filter(SmartStatus!B$2:B1000, AM620 = SmartStatus!A$2:A1000, not(SmartStatus!C$2:C1000), (isblank(SmartStatus!D$2:D1000)) + ((P620 &lt;&gt; """") * "&amp;"(P620 &lt; SmartStatus!D$2:D1000)), (isblank(SmartStatus!E$2:E1000)) + ((P620 &lt;&gt; """") * (P620 &gt;= SmartStatus!E$2:E1000)), (isblank(SmartStatus!F$2:F1000)) + (((Q620 &lt;&gt; """") * (Q620 &lt; SmartStatus!F$2:F1000)) + ((P620 &lt;&gt; """") * (date(year(P620) + 3, month(P"&amp;"620), day(P620)) &lt; SmartStatus!F$2:F1000))), (isblank(SmartStatus!G$2:G1000)) + (((Q620 &lt;&gt; """") * (Q620 &gt;= SmartStatus!G$2:G1000)) + ((P620 &lt;&gt; """") * (P620 &gt;= SmartStatus!G$2:G1000)))), if(or(regexmatch(B620, ""(?i)^ir [a-z]+ designation$""), N620 &lt;&gt; """&amp;"""), 1, 2))), """"), ""NO_MATCH"")"),"")</f>
        <v/>
      </c>
      <c r="AS620" s="11"/>
      <c r="AT620" s="15"/>
      <c r="AU620" s="11"/>
      <c r="AV620" s="11"/>
      <c r="AW620" s="15"/>
      <c r="AX620" s="15"/>
      <c r="AY620" s="15"/>
      <c r="AZ620" s="11"/>
      <c r="BA620" s="15"/>
      <c r="BB620" s="11"/>
      <c r="BC620" s="11"/>
      <c r="BD620" s="15"/>
      <c r="BE620" s="11"/>
      <c r="BF620" s="11"/>
      <c r="BG620" s="15"/>
      <c r="BH620" s="15"/>
      <c r="BI620" s="15"/>
      <c r="BJ620" s="11"/>
      <c r="BK620" s="15"/>
      <c r="BL620" s="11"/>
      <c r="BM620" s="11"/>
      <c r="BN620" s="15"/>
      <c r="BO620" s="11"/>
      <c r="BP620" s="11"/>
      <c r="BQ620" s="15"/>
      <c r="BR620" s="15"/>
      <c r="BS620" s="15"/>
      <c r="BT620" s="11"/>
      <c r="BU620" s="15"/>
      <c r="BV620" s="11"/>
      <c r="BW620" s="11"/>
      <c r="BX620" s="15"/>
      <c r="BY620" s="11"/>
      <c r="BZ620" s="11"/>
      <c r="CA620" s="15"/>
      <c r="CB620" s="11"/>
      <c r="CC620" s="15"/>
      <c r="CD620" s="11"/>
      <c r="CE620" s="15"/>
      <c r="CF620" s="11"/>
      <c r="CG620" s="11"/>
      <c r="CH620" s="15"/>
      <c r="CI620" s="11"/>
      <c r="CJ620" s="11"/>
      <c r="CK620" s="15"/>
      <c r="CL620" s="11"/>
      <c r="CM620" s="11"/>
      <c r="CN620" s="11"/>
      <c r="CO620" s="11"/>
      <c r="CP620" s="28"/>
      <c r="CQ620" s="28"/>
      <c r="CR620" s="11"/>
      <c r="CS620" s="29"/>
      <c r="CT620" s="11"/>
      <c r="CU620" s="11"/>
      <c r="CV620" s="11"/>
      <c r="CW620" s="11"/>
      <c r="CX620" s="11"/>
      <c r="CY620" s="11"/>
      <c r="CZ620" s="11"/>
      <c r="DA620" s="28"/>
      <c r="DB620" s="28"/>
      <c r="DC620" s="11"/>
      <c r="DD620" s="29"/>
      <c r="DE620" s="11"/>
      <c r="DF620" s="11"/>
      <c r="DG620" s="11"/>
      <c r="DH620" s="11"/>
      <c r="DI620" s="11"/>
      <c r="DJ620" s="11"/>
      <c r="DK620" s="26"/>
      <c r="DL620" s="11"/>
      <c r="DM620" s="29"/>
      <c r="DN620" s="28"/>
      <c r="DO620" s="11"/>
      <c r="DP620" s="11"/>
      <c r="DQ620" s="11"/>
      <c r="DR620" s="29"/>
      <c r="DS620" s="28"/>
      <c r="DT620" s="11"/>
      <c r="DU620" s="26"/>
      <c r="DV620" s="11"/>
      <c r="DW620" s="29"/>
      <c r="DX620" s="28"/>
      <c r="DY620" s="11"/>
      <c r="DZ620" s="26"/>
      <c r="EA620" s="11"/>
      <c r="EB620" s="29"/>
      <c r="EC620" s="28"/>
      <c r="ED620" s="30"/>
      <c r="EE620" s="30" t="str">
        <f ca="1">IFERROR(__xludf.DUMMYFUNCTION("iferror(index(filter('Internal -- Trademark Countries'!E$2:E1000, (AM620 = 'Internal -- Trademark Countries'!B$2:B1000) + (AM620 = 'Internal -- Trademark Countries'!C$2:C1000) + (AM620 = 'Internal -- Trademark Countries'!D$2:D1000)), 1))"),"")</f>
        <v/>
      </c>
      <c r="EF620" s="30" t="e">
        <f ca="1">_xludf.ifs(AM620="", "", COUNTIF('Internal -- Trademark Countries'!B:B,AM620) &gt; 0, "polity_shortest_name", COUNTIF('Internal -- Trademark Countries'!C:C,AM620) &gt; 0, "polity_full_name", COUNTIF('Internal -- Trademark Countries'!D:D,AM620) &gt; 0, "polity_common_name", COUNTIF('Internal -- Trademark Countries'!E:E,AM620) &gt; 0, "shortest_name", COUNTIF('Internal -- Trademark Countries'!A:A,AM620) &gt; 0, "full_name", TRUE, "not a match")</f>
        <v>#NAME?</v>
      </c>
      <c r="EG620" s="30"/>
      <c r="EH620" s="30"/>
      <c r="EI620" s="30"/>
      <c r="EJ620" s="30"/>
      <c r="EK620" s="30" t="str">
        <f t="shared" si="4"/>
        <v/>
      </c>
    </row>
    <row r="621" spans="1:141" ht="16.5">
      <c r="A621" s="11"/>
      <c r="B621" s="11"/>
      <c r="C621" s="11"/>
      <c r="D621" s="11"/>
      <c r="E621" s="11"/>
      <c r="F621" s="11"/>
      <c r="G621" s="11"/>
      <c r="H621" s="11"/>
      <c r="I621" s="11"/>
      <c r="J621" s="11"/>
      <c r="K621" s="27"/>
      <c r="L621" s="11"/>
      <c r="M621" s="11"/>
      <c r="N621" s="11"/>
      <c r="O621" s="11"/>
      <c r="P621" s="15"/>
      <c r="Q621" s="15"/>
      <c r="R621" s="15"/>
      <c r="S621" s="15"/>
      <c r="T621" s="15"/>
      <c r="U621" s="15"/>
      <c r="V621" s="15"/>
      <c r="W621" s="47"/>
      <c r="X621" s="11"/>
      <c r="Y621" s="48"/>
      <c r="Z621" s="11"/>
      <c r="AA621" s="48"/>
      <c r="AB621" s="11"/>
      <c r="AC621" s="48"/>
      <c r="AD621" s="11"/>
      <c r="AE621" s="47"/>
      <c r="AF621" s="11"/>
      <c r="AG621" s="48"/>
      <c r="AH621" s="11"/>
      <c r="AI621" s="48"/>
      <c r="AJ621" s="11"/>
      <c r="AK621" s="48"/>
      <c r="AL621" s="11"/>
      <c r="AM621" s="49"/>
      <c r="AN621" s="49"/>
      <c r="AO621" s="11"/>
      <c r="AP621" s="11"/>
      <c r="AQ621" s="28" t="b">
        <f>IF(COUNTIF(SmartStatus!A$2:A1000, AM621) &gt; 2, TRUE, FALSE)</f>
        <v>0</v>
      </c>
      <c r="AR621" s="29" t="str">
        <f ca="1">IFERROR(__xludf.DUMMYFUNCTION("iferror(if(regexmatch(AO621, ""(?i)^registered""), if(EE621 &lt;&gt; ""polity_shortest_name"", ""CHECK_POLITY"", index(filter(SmartStatus!B$2:B1000, AM621 = SmartStatus!A$2:A1000, not(SmartStatus!C$2:C1000), (isblank(SmartStatus!D$2:D1000)) + ((P621 &lt;&gt; """") * "&amp;"(P621 &lt; SmartStatus!D$2:D1000)), (isblank(SmartStatus!E$2:E1000)) + ((P621 &lt;&gt; """") * (P621 &gt;= SmartStatus!E$2:E1000)), (isblank(SmartStatus!F$2:F1000)) + (((Q621 &lt;&gt; """") * (Q621 &lt; SmartStatus!F$2:F1000)) + ((P621 &lt;&gt; """") * (date(year(P621) + 3, month(P"&amp;"621), day(P621)) &lt; SmartStatus!F$2:F1000))), (isblank(SmartStatus!G$2:G1000)) + (((Q621 &lt;&gt; """") * (Q621 &gt;= SmartStatus!G$2:G1000)) + ((P621 &lt;&gt; """") * (P621 &gt;= SmartStatus!G$2:G1000)))), if(or(regexmatch(B621, ""(?i)^ir [a-z]+ designation$""), N621 &lt;&gt; """&amp;"""), 1, 2))), """"), ""NO_MATCH"")"),"")</f>
        <v/>
      </c>
      <c r="AS621" s="11"/>
      <c r="AT621" s="15"/>
      <c r="AU621" s="11"/>
      <c r="AV621" s="11"/>
      <c r="AW621" s="15"/>
      <c r="AX621" s="15"/>
      <c r="AY621" s="15"/>
      <c r="AZ621" s="11"/>
      <c r="BA621" s="15"/>
      <c r="BB621" s="11"/>
      <c r="BC621" s="11"/>
      <c r="BD621" s="15"/>
      <c r="BE621" s="11"/>
      <c r="BF621" s="11"/>
      <c r="BG621" s="15"/>
      <c r="BH621" s="15"/>
      <c r="BI621" s="15"/>
      <c r="BJ621" s="11"/>
      <c r="BK621" s="15"/>
      <c r="BL621" s="11"/>
      <c r="BM621" s="11"/>
      <c r="BN621" s="15"/>
      <c r="BO621" s="11"/>
      <c r="BP621" s="11"/>
      <c r="BQ621" s="15"/>
      <c r="BR621" s="15"/>
      <c r="BS621" s="15"/>
      <c r="BT621" s="11"/>
      <c r="BU621" s="15"/>
      <c r="BV621" s="11"/>
      <c r="BW621" s="11"/>
      <c r="BX621" s="15"/>
      <c r="BY621" s="11"/>
      <c r="BZ621" s="11"/>
      <c r="CA621" s="15"/>
      <c r="CB621" s="11"/>
      <c r="CC621" s="15"/>
      <c r="CD621" s="11"/>
      <c r="CE621" s="15"/>
      <c r="CF621" s="11"/>
      <c r="CG621" s="11"/>
      <c r="CH621" s="15"/>
      <c r="CI621" s="11"/>
      <c r="CJ621" s="11"/>
      <c r="CK621" s="15"/>
      <c r="CL621" s="11"/>
      <c r="CM621" s="11"/>
      <c r="CN621" s="11"/>
      <c r="CO621" s="11"/>
      <c r="CP621" s="28"/>
      <c r="CQ621" s="28"/>
      <c r="CR621" s="11"/>
      <c r="CS621" s="29"/>
      <c r="CT621" s="11"/>
      <c r="CU621" s="11"/>
      <c r="CV621" s="11"/>
      <c r="CW621" s="11"/>
      <c r="CX621" s="11"/>
      <c r="CY621" s="11"/>
      <c r="CZ621" s="11"/>
      <c r="DA621" s="28"/>
      <c r="DB621" s="28"/>
      <c r="DC621" s="11"/>
      <c r="DD621" s="29"/>
      <c r="DE621" s="11"/>
      <c r="DF621" s="11"/>
      <c r="DG621" s="11"/>
      <c r="DH621" s="11"/>
      <c r="DI621" s="11"/>
      <c r="DJ621" s="11"/>
      <c r="DK621" s="26"/>
      <c r="DL621" s="11"/>
      <c r="DM621" s="29"/>
      <c r="DN621" s="28"/>
      <c r="DO621" s="11"/>
      <c r="DP621" s="11"/>
      <c r="DQ621" s="11"/>
      <c r="DR621" s="29"/>
      <c r="DS621" s="28"/>
      <c r="DT621" s="11"/>
      <c r="DU621" s="26"/>
      <c r="DV621" s="11"/>
      <c r="DW621" s="29"/>
      <c r="DX621" s="28"/>
      <c r="DY621" s="11"/>
      <c r="DZ621" s="26"/>
      <c r="EA621" s="11"/>
      <c r="EB621" s="29"/>
      <c r="EC621" s="28"/>
      <c r="ED621" s="30"/>
      <c r="EE621" s="30" t="str">
        <f ca="1">IFERROR(__xludf.DUMMYFUNCTION("iferror(index(filter('Internal -- Trademark Countries'!E$2:E1000, (AM621 = 'Internal -- Trademark Countries'!B$2:B1000) + (AM621 = 'Internal -- Trademark Countries'!C$2:C1000) + (AM621 = 'Internal -- Trademark Countries'!D$2:D1000)), 1))"),"")</f>
        <v/>
      </c>
      <c r="EF621" s="30" t="e">
        <f ca="1">_xludf.ifs(AM621="", "", COUNTIF('Internal -- Trademark Countries'!B:B,AM621) &gt; 0, "polity_shortest_name", COUNTIF('Internal -- Trademark Countries'!C:C,AM621) &gt; 0, "polity_full_name", COUNTIF('Internal -- Trademark Countries'!D:D,AM621) &gt; 0, "polity_common_name", COUNTIF('Internal -- Trademark Countries'!E:E,AM621) &gt; 0, "shortest_name", COUNTIF('Internal -- Trademark Countries'!A:A,AM621) &gt; 0, "full_name", TRUE, "not a match")</f>
        <v>#NAME?</v>
      </c>
      <c r="EG621" s="30"/>
      <c r="EH621" s="30"/>
      <c r="EI621" s="30"/>
      <c r="EJ621" s="30"/>
      <c r="EK621" s="30" t="str">
        <f t="shared" si="4"/>
        <v/>
      </c>
    </row>
    <row r="622" spans="1:141" ht="16.5">
      <c r="A622" s="11"/>
      <c r="B622" s="11"/>
      <c r="C622" s="11"/>
      <c r="D622" s="11"/>
      <c r="E622" s="11"/>
      <c r="F622" s="11"/>
      <c r="G622" s="11"/>
      <c r="H622" s="11"/>
      <c r="I622" s="11"/>
      <c r="J622" s="11"/>
      <c r="K622" s="27"/>
      <c r="L622" s="11"/>
      <c r="M622" s="11"/>
      <c r="N622" s="11"/>
      <c r="O622" s="11"/>
      <c r="P622" s="15"/>
      <c r="Q622" s="15"/>
      <c r="R622" s="15"/>
      <c r="S622" s="15"/>
      <c r="T622" s="15"/>
      <c r="U622" s="15"/>
      <c r="V622" s="15"/>
      <c r="W622" s="47"/>
      <c r="X622" s="11"/>
      <c r="Y622" s="48"/>
      <c r="Z622" s="11"/>
      <c r="AA622" s="48"/>
      <c r="AB622" s="11"/>
      <c r="AC622" s="48"/>
      <c r="AD622" s="11"/>
      <c r="AE622" s="47"/>
      <c r="AF622" s="11"/>
      <c r="AG622" s="48"/>
      <c r="AH622" s="11"/>
      <c r="AI622" s="48"/>
      <c r="AJ622" s="11"/>
      <c r="AK622" s="48"/>
      <c r="AL622" s="11"/>
      <c r="AM622" s="49"/>
      <c r="AN622" s="49"/>
      <c r="AO622" s="11"/>
      <c r="AP622" s="11"/>
      <c r="AQ622" s="28" t="b">
        <f>IF(COUNTIF(SmartStatus!A$2:A1000, AM622) &gt; 2, TRUE, FALSE)</f>
        <v>0</v>
      </c>
      <c r="AR622" s="29" t="str">
        <f ca="1">IFERROR(__xludf.DUMMYFUNCTION("iferror(if(regexmatch(AO622, ""(?i)^registered""), if(EE622 &lt;&gt; ""polity_shortest_name"", ""CHECK_POLITY"", index(filter(SmartStatus!B$2:B1000, AM622 = SmartStatus!A$2:A1000, not(SmartStatus!C$2:C1000), (isblank(SmartStatus!D$2:D1000)) + ((P622 &lt;&gt; """") * "&amp;"(P622 &lt; SmartStatus!D$2:D1000)), (isblank(SmartStatus!E$2:E1000)) + ((P622 &lt;&gt; """") * (P622 &gt;= SmartStatus!E$2:E1000)), (isblank(SmartStatus!F$2:F1000)) + (((Q622 &lt;&gt; """") * (Q622 &lt; SmartStatus!F$2:F1000)) + ((P622 &lt;&gt; """") * (date(year(P622) + 3, month(P"&amp;"622), day(P622)) &lt; SmartStatus!F$2:F1000))), (isblank(SmartStatus!G$2:G1000)) + (((Q622 &lt;&gt; """") * (Q622 &gt;= SmartStatus!G$2:G1000)) + ((P622 &lt;&gt; """") * (P622 &gt;= SmartStatus!G$2:G1000)))), if(or(regexmatch(B622, ""(?i)^ir [a-z]+ designation$""), N622 &lt;&gt; """&amp;"""), 1, 2))), """"), ""NO_MATCH"")"),"")</f>
        <v/>
      </c>
      <c r="AS622" s="11"/>
      <c r="AT622" s="15"/>
      <c r="AU622" s="11"/>
      <c r="AV622" s="11"/>
      <c r="AW622" s="15"/>
      <c r="AX622" s="15"/>
      <c r="AY622" s="15"/>
      <c r="AZ622" s="11"/>
      <c r="BA622" s="15"/>
      <c r="BB622" s="11"/>
      <c r="BC622" s="11"/>
      <c r="BD622" s="15"/>
      <c r="BE622" s="11"/>
      <c r="BF622" s="11"/>
      <c r="BG622" s="15"/>
      <c r="BH622" s="15"/>
      <c r="BI622" s="15"/>
      <c r="BJ622" s="11"/>
      <c r="BK622" s="15"/>
      <c r="BL622" s="11"/>
      <c r="BM622" s="11"/>
      <c r="BN622" s="15"/>
      <c r="BO622" s="11"/>
      <c r="BP622" s="11"/>
      <c r="BQ622" s="15"/>
      <c r="BR622" s="15"/>
      <c r="BS622" s="15"/>
      <c r="BT622" s="11"/>
      <c r="BU622" s="15"/>
      <c r="BV622" s="11"/>
      <c r="BW622" s="11"/>
      <c r="BX622" s="15"/>
      <c r="BY622" s="11"/>
      <c r="BZ622" s="11"/>
      <c r="CA622" s="15"/>
      <c r="CB622" s="11"/>
      <c r="CC622" s="15"/>
      <c r="CD622" s="11"/>
      <c r="CE622" s="15"/>
      <c r="CF622" s="11"/>
      <c r="CG622" s="11"/>
      <c r="CH622" s="15"/>
      <c r="CI622" s="11"/>
      <c r="CJ622" s="11"/>
      <c r="CK622" s="15"/>
      <c r="CL622" s="11"/>
      <c r="CM622" s="11"/>
      <c r="CN622" s="11"/>
      <c r="CO622" s="11"/>
      <c r="CP622" s="28"/>
      <c r="CQ622" s="28"/>
      <c r="CR622" s="11"/>
      <c r="CS622" s="29"/>
      <c r="CT622" s="11"/>
      <c r="CU622" s="11"/>
      <c r="CV622" s="11"/>
      <c r="CW622" s="11"/>
      <c r="CX622" s="11"/>
      <c r="CY622" s="11"/>
      <c r="CZ622" s="11"/>
      <c r="DA622" s="28"/>
      <c r="DB622" s="28"/>
      <c r="DC622" s="11"/>
      <c r="DD622" s="29"/>
      <c r="DE622" s="11"/>
      <c r="DF622" s="11"/>
      <c r="DG622" s="11"/>
      <c r="DH622" s="11"/>
      <c r="DI622" s="11"/>
      <c r="DJ622" s="11"/>
      <c r="DK622" s="26"/>
      <c r="DL622" s="11"/>
      <c r="DM622" s="29"/>
      <c r="DN622" s="28"/>
      <c r="DO622" s="11"/>
      <c r="DP622" s="11"/>
      <c r="DQ622" s="11"/>
      <c r="DR622" s="29"/>
      <c r="DS622" s="28"/>
      <c r="DT622" s="11"/>
      <c r="DU622" s="26"/>
      <c r="DV622" s="11"/>
      <c r="DW622" s="29"/>
      <c r="DX622" s="28"/>
      <c r="DY622" s="11"/>
      <c r="DZ622" s="26"/>
      <c r="EA622" s="11"/>
      <c r="EB622" s="29"/>
      <c r="EC622" s="28"/>
      <c r="ED622" s="30"/>
      <c r="EE622" s="30" t="str">
        <f ca="1">IFERROR(__xludf.DUMMYFUNCTION("iferror(index(filter('Internal -- Trademark Countries'!E$2:E1000, (AM622 = 'Internal -- Trademark Countries'!B$2:B1000) + (AM622 = 'Internal -- Trademark Countries'!C$2:C1000) + (AM622 = 'Internal -- Trademark Countries'!D$2:D1000)), 1))"),"")</f>
        <v/>
      </c>
      <c r="EF622" s="30" t="e">
        <f ca="1">_xludf.ifs(AM622="", "", COUNTIF('Internal -- Trademark Countries'!B:B,AM622) &gt; 0, "polity_shortest_name", COUNTIF('Internal -- Trademark Countries'!C:C,AM622) &gt; 0, "polity_full_name", COUNTIF('Internal -- Trademark Countries'!D:D,AM622) &gt; 0, "polity_common_name", COUNTIF('Internal -- Trademark Countries'!E:E,AM622) &gt; 0, "shortest_name", COUNTIF('Internal -- Trademark Countries'!A:A,AM622) &gt; 0, "full_name", TRUE, "not a match")</f>
        <v>#NAME?</v>
      </c>
      <c r="EG622" s="30"/>
      <c r="EH622" s="30"/>
      <c r="EI622" s="30"/>
      <c r="EJ622" s="30"/>
      <c r="EK622" s="30" t="str">
        <f t="shared" si="4"/>
        <v/>
      </c>
    </row>
    <row r="623" spans="1:141" ht="16.5">
      <c r="A623" s="11"/>
      <c r="B623" s="11"/>
      <c r="C623" s="11"/>
      <c r="D623" s="11"/>
      <c r="E623" s="11"/>
      <c r="F623" s="11"/>
      <c r="G623" s="11"/>
      <c r="H623" s="11"/>
      <c r="I623" s="11"/>
      <c r="J623" s="11"/>
      <c r="K623" s="27"/>
      <c r="L623" s="11"/>
      <c r="M623" s="11"/>
      <c r="N623" s="11"/>
      <c r="O623" s="11"/>
      <c r="P623" s="15"/>
      <c r="Q623" s="15"/>
      <c r="R623" s="15"/>
      <c r="S623" s="15"/>
      <c r="T623" s="15"/>
      <c r="U623" s="15"/>
      <c r="V623" s="15"/>
      <c r="W623" s="47"/>
      <c r="X623" s="11"/>
      <c r="Y623" s="48"/>
      <c r="Z623" s="11"/>
      <c r="AA623" s="48"/>
      <c r="AB623" s="11"/>
      <c r="AC623" s="48"/>
      <c r="AD623" s="11"/>
      <c r="AE623" s="47"/>
      <c r="AF623" s="11"/>
      <c r="AG623" s="48"/>
      <c r="AH623" s="11"/>
      <c r="AI623" s="48"/>
      <c r="AJ623" s="11"/>
      <c r="AK623" s="48"/>
      <c r="AL623" s="11"/>
      <c r="AM623" s="49"/>
      <c r="AN623" s="49"/>
      <c r="AO623" s="11"/>
      <c r="AP623" s="11"/>
      <c r="AQ623" s="28" t="b">
        <f>IF(COUNTIF(SmartStatus!A$2:A1000, AM623) &gt; 2, TRUE, FALSE)</f>
        <v>0</v>
      </c>
      <c r="AR623" s="29" t="str">
        <f ca="1">IFERROR(__xludf.DUMMYFUNCTION("iferror(if(regexmatch(AO623, ""(?i)^registered""), if(EE623 &lt;&gt; ""polity_shortest_name"", ""CHECK_POLITY"", index(filter(SmartStatus!B$2:B1000, AM623 = SmartStatus!A$2:A1000, not(SmartStatus!C$2:C1000), (isblank(SmartStatus!D$2:D1000)) + ((P623 &lt;&gt; """") * "&amp;"(P623 &lt; SmartStatus!D$2:D1000)), (isblank(SmartStatus!E$2:E1000)) + ((P623 &lt;&gt; """") * (P623 &gt;= SmartStatus!E$2:E1000)), (isblank(SmartStatus!F$2:F1000)) + (((Q623 &lt;&gt; """") * (Q623 &lt; SmartStatus!F$2:F1000)) + ((P623 &lt;&gt; """") * (date(year(P623) + 3, month(P"&amp;"623), day(P623)) &lt; SmartStatus!F$2:F1000))), (isblank(SmartStatus!G$2:G1000)) + (((Q623 &lt;&gt; """") * (Q623 &gt;= SmartStatus!G$2:G1000)) + ((P623 &lt;&gt; """") * (P623 &gt;= SmartStatus!G$2:G1000)))), if(or(regexmatch(B623, ""(?i)^ir [a-z]+ designation$""), N623 &lt;&gt; """&amp;"""), 1, 2))), """"), ""NO_MATCH"")"),"")</f>
        <v/>
      </c>
      <c r="AS623" s="11"/>
      <c r="AT623" s="15"/>
      <c r="AU623" s="11"/>
      <c r="AV623" s="11"/>
      <c r="AW623" s="15"/>
      <c r="AX623" s="15"/>
      <c r="AY623" s="15"/>
      <c r="AZ623" s="11"/>
      <c r="BA623" s="15"/>
      <c r="BB623" s="11"/>
      <c r="BC623" s="11"/>
      <c r="BD623" s="15"/>
      <c r="BE623" s="11"/>
      <c r="BF623" s="11"/>
      <c r="BG623" s="15"/>
      <c r="BH623" s="15"/>
      <c r="BI623" s="15"/>
      <c r="BJ623" s="11"/>
      <c r="BK623" s="15"/>
      <c r="BL623" s="11"/>
      <c r="BM623" s="11"/>
      <c r="BN623" s="15"/>
      <c r="BO623" s="11"/>
      <c r="BP623" s="11"/>
      <c r="BQ623" s="15"/>
      <c r="BR623" s="15"/>
      <c r="BS623" s="15"/>
      <c r="BT623" s="11"/>
      <c r="BU623" s="15"/>
      <c r="BV623" s="11"/>
      <c r="BW623" s="11"/>
      <c r="BX623" s="15"/>
      <c r="BY623" s="11"/>
      <c r="BZ623" s="11"/>
      <c r="CA623" s="15"/>
      <c r="CB623" s="11"/>
      <c r="CC623" s="15"/>
      <c r="CD623" s="11"/>
      <c r="CE623" s="15"/>
      <c r="CF623" s="11"/>
      <c r="CG623" s="11"/>
      <c r="CH623" s="15"/>
      <c r="CI623" s="11"/>
      <c r="CJ623" s="11"/>
      <c r="CK623" s="15"/>
      <c r="CL623" s="11"/>
      <c r="CM623" s="11"/>
      <c r="CN623" s="11"/>
      <c r="CO623" s="11"/>
      <c r="CP623" s="28"/>
      <c r="CQ623" s="28"/>
      <c r="CR623" s="11"/>
      <c r="CS623" s="29"/>
      <c r="CT623" s="11"/>
      <c r="CU623" s="11"/>
      <c r="CV623" s="11"/>
      <c r="CW623" s="11"/>
      <c r="CX623" s="11"/>
      <c r="CY623" s="11"/>
      <c r="CZ623" s="11"/>
      <c r="DA623" s="28"/>
      <c r="DB623" s="28"/>
      <c r="DC623" s="11"/>
      <c r="DD623" s="29"/>
      <c r="DE623" s="11"/>
      <c r="DF623" s="11"/>
      <c r="DG623" s="11"/>
      <c r="DH623" s="11"/>
      <c r="DI623" s="11"/>
      <c r="DJ623" s="11"/>
      <c r="DK623" s="26"/>
      <c r="DL623" s="11"/>
      <c r="DM623" s="29"/>
      <c r="DN623" s="28"/>
      <c r="DO623" s="11"/>
      <c r="DP623" s="11"/>
      <c r="DQ623" s="11"/>
      <c r="DR623" s="29"/>
      <c r="DS623" s="28"/>
      <c r="DT623" s="11"/>
      <c r="DU623" s="26"/>
      <c r="DV623" s="11"/>
      <c r="DW623" s="29"/>
      <c r="DX623" s="28"/>
      <c r="DY623" s="11"/>
      <c r="DZ623" s="26"/>
      <c r="EA623" s="11"/>
      <c r="EB623" s="29"/>
      <c r="EC623" s="28"/>
      <c r="ED623" s="30"/>
      <c r="EE623" s="30" t="str">
        <f ca="1">IFERROR(__xludf.DUMMYFUNCTION("iferror(index(filter('Internal -- Trademark Countries'!E$2:E1000, (AM623 = 'Internal -- Trademark Countries'!B$2:B1000) + (AM623 = 'Internal -- Trademark Countries'!C$2:C1000) + (AM623 = 'Internal -- Trademark Countries'!D$2:D1000)), 1))"),"")</f>
        <v/>
      </c>
      <c r="EF623" s="30" t="e">
        <f ca="1">_xludf.ifs(AM623="", "", COUNTIF('Internal -- Trademark Countries'!B:B,AM623) &gt; 0, "polity_shortest_name", COUNTIF('Internal -- Trademark Countries'!C:C,AM623) &gt; 0, "polity_full_name", COUNTIF('Internal -- Trademark Countries'!D:D,AM623) &gt; 0, "polity_common_name", COUNTIF('Internal -- Trademark Countries'!E:E,AM623) &gt; 0, "shortest_name", COUNTIF('Internal -- Trademark Countries'!A:A,AM623) &gt; 0, "full_name", TRUE, "not a match")</f>
        <v>#NAME?</v>
      </c>
      <c r="EG623" s="30"/>
      <c r="EH623" s="30"/>
      <c r="EI623" s="30"/>
      <c r="EJ623" s="30"/>
      <c r="EK623" s="30" t="str">
        <f t="shared" si="4"/>
        <v/>
      </c>
    </row>
    <row r="624" spans="1:141" ht="16.5">
      <c r="A624" s="11"/>
      <c r="B624" s="11"/>
      <c r="C624" s="11"/>
      <c r="D624" s="11"/>
      <c r="E624" s="11"/>
      <c r="F624" s="11"/>
      <c r="G624" s="11"/>
      <c r="H624" s="11"/>
      <c r="I624" s="11"/>
      <c r="J624" s="11"/>
      <c r="K624" s="27"/>
      <c r="L624" s="11"/>
      <c r="M624" s="11"/>
      <c r="N624" s="11"/>
      <c r="O624" s="11"/>
      <c r="P624" s="15"/>
      <c r="Q624" s="15"/>
      <c r="R624" s="15"/>
      <c r="S624" s="15"/>
      <c r="T624" s="15"/>
      <c r="U624" s="15"/>
      <c r="V624" s="15"/>
      <c r="W624" s="47"/>
      <c r="X624" s="11"/>
      <c r="Y624" s="48"/>
      <c r="Z624" s="11"/>
      <c r="AA624" s="48"/>
      <c r="AB624" s="11"/>
      <c r="AC624" s="48"/>
      <c r="AD624" s="11"/>
      <c r="AE624" s="47"/>
      <c r="AF624" s="11"/>
      <c r="AG624" s="48"/>
      <c r="AH624" s="11"/>
      <c r="AI624" s="48"/>
      <c r="AJ624" s="11"/>
      <c r="AK624" s="48"/>
      <c r="AL624" s="11"/>
      <c r="AM624" s="49"/>
      <c r="AN624" s="49"/>
      <c r="AO624" s="11"/>
      <c r="AP624" s="11"/>
      <c r="AQ624" s="28" t="b">
        <f>IF(COUNTIF(SmartStatus!A$2:A1000, AM624) &gt; 2, TRUE, FALSE)</f>
        <v>0</v>
      </c>
      <c r="AR624" s="29" t="str">
        <f ca="1">IFERROR(__xludf.DUMMYFUNCTION("iferror(if(regexmatch(AO624, ""(?i)^registered""), if(EE624 &lt;&gt; ""polity_shortest_name"", ""CHECK_POLITY"", index(filter(SmartStatus!B$2:B1000, AM624 = SmartStatus!A$2:A1000, not(SmartStatus!C$2:C1000), (isblank(SmartStatus!D$2:D1000)) + ((P624 &lt;&gt; """") * "&amp;"(P624 &lt; SmartStatus!D$2:D1000)), (isblank(SmartStatus!E$2:E1000)) + ((P624 &lt;&gt; """") * (P624 &gt;= SmartStatus!E$2:E1000)), (isblank(SmartStatus!F$2:F1000)) + (((Q624 &lt;&gt; """") * (Q624 &lt; SmartStatus!F$2:F1000)) + ((P624 &lt;&gt; """") * (date(year(P624) + 3, month(P"&amp;"624), day(P624)) &lt; SmartStatus!F$2:F1000))), (isblank(SmartStatus!G$2:G1000)) + (((Q624 &lt;&gt; """") * (Q624 &gt;= SmartStatus!G$2:G1000)) + ((P624 &lt;&gt; """") * (P624 &gt;= SmartStatus!G$2:G1000)))), if(or(regexmatch(B624, ""(?i)^ir [a-z]+ designation$""), N624 &lt;&gt; """&amp;"""), 1, 2))), """"), ""NO_MATCH"")"),"")</f>
        <v/>
      </c>
      <c r="AS624" s="11"/>
      <c r="AT624" s="15"/>
      <c r="AU624" s="11"/>
      <c r="AV624" s="11"/>
      <c r="AW624" s="15"/>
      <c r="AX624" s="15"/>
      <c r="AY624" s="15"/>
      <c r="AZ624" s="11"/>
      <c r="BA624" s="15"/>
      <c r="BB624" s="11"/>
      <c r="BC624" s="11"/>
      <c r="BD624" s="15"/>
      <c r="BE624" s="11"/>
      <c r="BF624" s="11"/>
      <c r="BG624" s="15"/>
      <c r="BH624" s="15"/>
      <c r="BI624" s="15"/>
      <c r="BJ624" s="11"/>
      <c r="BK624" s="15"/>
      <c r="BL624" s="11"/>
      <c r="BM624" s="11"/>
      <c r="BN624" s="15"/>
      <c r="BO624" s="11"/>
      <c r="BP624" s="11"/>
      <c r="BQ624" s="15"/>
      <c r="BR624" s="15"/>
      <c r="BS624" s="15"/>
      <c r="BT624" s="11"/>
      <c r="BU624" s="15"/>
      <c r="BV624" s="11"/>
      <c r="BW624" s="11"/>
      <c r="BX624" s="15"/>
      <c r="BY624" s="11"/>
      <c r="BZ624" s="11"/>
      <c r="CA624" s="15"/>
      <c r="CB624" s="11"/>
      <c r="CC624" s="15"/>
      <c r="CD624" s="11"/>
      <c r="CE624" s="15"/>
      <c r="CF624" s="11"/>
      <c r="CG624" s="11"/>
      <c r="CH624" s="15"/>
      <c r="CI624" s="11"/>
      <c r="CJ624" s="11"/>
      <c r="CK624" s="15"/>
      <c r="CL624" s="11"/>
      <c r="CM624" s="11"/>
      <c r="CN624" s="11"/>
      <c r="CO624" s="11"/>
      <c r="CP624" s="28"/>
      <c r="CQ624" s="28"/>
      <c r="CR624" s="11"/>
      <c r="CS624" s="29"/>
      <c r="CT624" s="11"/>
      <c r="CU624" s="11"/>
      <c r="CV624" s="11"/>
      <c r="CW624" s="11"/>
      <c r="CX624" s="11"/>
      <c r="CY624" s="11"/>
      <c r="CZ624" s="11"/>
      <c r="DA624" s="28"/>
      <c r="DB624" s="28"/>
      <c r="DC624" s="11"/>
      <c r="DD624" s="29"/>
      <c r="DE624" s="11"/>
      <c r="DF624" s="11"/>
      <c r="DG624" s="11"/>
      <c r="DH624" s="11"/>
      <c r="DI624" s="11"/>
      <c r="DJ624" s="11"/>
      <c r="DK624" s="26"/>
      <c r="DL624" s="11"/>
      <c r="DM624" s="29"/>
      <c r="DN624" s="28"/>
      <c r="DO624" s="11"/>
      <c r="DP624" s="11"/>
      <c r="DQ624" s="11"/>
      <c r="DR624" s="29"/>
      <c r="DS624" s="28"/>
      <c r="DT624" s="11"/>
      <c r="DU624" s="26"/>
      <c r="DV624" s="11"/>
      <c r="DW624" s="29"/>
      <c r="DX624" s="28"/>
      <c r="DY624" s="11"/>
      <c r="DZ624" s="26"/>
      <c r="EA624" s="11"/>
      <c r="EB624" s="29"/>
      <c r="EC624" s="28"/>
      <c r="ED624" s="30"/>
      <c r="EE624" s="30" t="str">
        <f ca="1">IFERROR(__xludf.DUMMYFUNCTION("iferror(index(filter('Internal -- Trademark Countries'!E$2:E1000, (AM624 = 'Internal -- Trademark Countries'!B$2:B1000) + (AM624 = 'Internal -- Trademark Countries'!C$2:C1000) + (AM624 = 'Internal -- Trademark Countries'!D$2:D1000)), 1))"),"")</f>
        <v/>
      </c>
      <c r="EF624" s="30" t="e">
        <f ca="1">_xludf.ifs(AM624="", "", COUNTIF('Internal -- Trademark Countries'!B:B,AM624) &gt; 0, "polity_shortest_name", COUNTIF('Internal -- Trademark Countries'!C:C,AM624) &gt; 0, "polity_full_name", COUNTIF('Internal -- Trademark Countries'!D:D,AM624) &gt; 0, "polity_common_name", COUNTIF('Internal -- Trademark Countries'!E:E,AM624) &gt; 0, "shortest_name", COUNTIF('Internal -- Trademark Countries'!A:A,AM624) &gt; 0, "full_name", TRUE, "not a match")</f>
        <v>#NAME?</v>
      </c>
      <c r="EG624" s="30"/>
      <c r="EH624" s="30"/>
      <c r="EI624" s="30"/>
      <c r="EJ624" s="30"/>
      <c r="EK624" s="30" t="str">
        <f t="shared" si="4"/>
        <v/>
      </c>
    </row>
    <row r="625" spans="1:141" ht="16.5">
      <c r="A625" s="11"/>
      <c r="B625" s="11"/>
      <c r="C625" s="11"/>
      <c r="D625" s="11"/>
      <c r="E625" s="11"/>
      <c r="F625" s="11"/>
      <c r="G625" s="11"/>
      <c r="H625" s="11"/>
      <c r="I625" s="11"/>
      <c r="J625" s="11"/>
      <c r="K625" s="27"/>
      <c r="L625" s="11"/>
      <c r="M625" s="11"/>
      <c r="N625" s="11"/>
      <c r="O625" s="11"/>
      <c r="P625" s="15"/>
      <c r="Q625" s="15"/>
      <c r="R625" s="15"/>
      <c r="S625" s="15"/>
      <c r="T625" s="15"/>
      <c r="U625" s="15"/>
      <c r="V625" s="15"/>
      <c r="W625" s="47"/>
      <c r="X625" s="11"/>
      <c r="Y625" s="48"/>
      <c r="Z625" s="11"/>
      <c r="AA625" s="48"/>
      <c r="AB625" s="11"/>
      <c r="AC625" s="48"/>
      <c r="AD625" s="11"/>
      <c r="AE625" s="47"/>
      <c r="AF625" s="11"/>
      <c r="AG625" s="48"/>
      <c r="AH625" s="11"/>
      <c r="AI625" s="48"/>
      <c r="AJ625" s="11"/>
      <c r="AK625" s="48"/>
      <c r="AL625" s="11"/>
      <c r="AM625" s="49"/>
      <c r="AN625" s="49"/>
      <c r="AO625" s="11"/>
      <c r="AP625" s="11"/>
      <c r="AQ625" s="28" t="b">
        <f>IF(COUNTIF(SmartStatus!A$2:A1000, AM625) &gt; 2, TRUE, FALSE)</f>
        <v>0</v>
      </c>
      <c r="AR625" s="29" t="str">
        <f ca="1">IFERROR(__xludf.DUMMYFUNCTION("iferror(if(regexmatch(AO625, ""(?i)^registered""), if(EE625 &lt;&gt; ""polity_shortest_name"", ""CHECK_POLITY"", index(filter(SmartStatus!B$2:B1000, AM625 = SmartStatus!A$2:A1000, not(SmartStatus!C$2:C1000), (isblank(SmartStatus!D$2:D1000)) + ((P625 &lt;&gt; """") * "&amp;"(P625 &lt; SmartStatus!D$2:D1000)), (isblank(SmartStatus!E$2:E1000)) + ((P625 &lt;&gt; """") * (P625 &gt;= SmartStatus!E$2:E1000)), (isblank(SmartStatus!F$2:F1000)) + (((Q625 &lt;&gt; """") * (Q625 &lt; SmartStatus!F$2:F1000)) + ((P625 &lt;&gt; """") * (date(year(P625) + 3, month(P"&amp;"625), day(P625)) &lt; SmartStatus!F$2:F1000))), (isblank(SmartStatus!G$2:G1000)) + (((Q625 &lt;&gt; """") * (Q625 &gt;= SmartStatus!G$2:G1000)) + ((P625 &lt;&gt; """") * (P625 &gt;= SmartStatus!G$2:G1000)))), if(or(regexmatch(B625, ""(?i)^ir [a-z]+ designation$""), N625 &lt;&gt; """&amp;"""), 1, 2))), """"), ""NO_MATCH"")"),"")</f>
        <v/>
      </c>
      <c r="AS625" s="11"/>
      <c r="AT625" s="15"/>
      <c r="AU625" s="11"/>
      <c r="AV625" s="11"/>
      <c r="AW625" s="15"/>
      <c r="AX625" s="15"/>
      <c r="AY625" s="15"/>
      <c r="AZ625" s="11"/>
      <c r="BA625" s="15"/>
      <c r="BB625" s="11"/>
      <c r="BC625" s="11"/>
      <c r="BD625" s="15"/>
      <c r="BE625" s="11"/>
      <c r="BF625" s="11"/>
      <c r="BG625" s="15"/>
      <c r="BH625" s="15"/>
      <c r="BI625" s="15"/>
      <c r="BJ625" s="11"/>
      <c r="BK625" s="15"/>
      <c r="BL625" s="11"/>
      <c r="BM625" s="11"/>
      <c r="BN625" s="15"/>
      <c r="BO625" s="11"/>
      <c r="BP625" s="11"/>
      <c r="BQ625" s="15"/>
      <c r="BR625" s="15"/>
      <c r="BS625" s="15"/>
      <c r="BT625" s="11"/>
      <c r="BU625" s="15"/>
      <c r="BV625" s="11"/>
      <c r="BW625" s="11"/>
      <c r="BX625" s="15"/>
      <c r="BY625" s="11"/>
      <c r="BZ625" s="11"/>
      <c r="CA625" s="15"/>
      <c r="CB625" s="11"/>
      <c r="CC625" s="15"/>
      <c r="CD625" s="11"/>
      <c r="CE625" s="15"/>
      <c r="CF625" s="11"/>
      <c r="CG625" s="11"/>
      <c r="CH625" s="15"/>
      <c r="CI625" s="11"/>
      <c r="CJ625" s="11"/>
      <c r="CK625" s="15"/>
      <c r="CL625" s="11"/>
      <c r="CM625" s="11"/>
      <c r="CN625" s="11"/>
      <c r="CO625" s="11"/>
      <c r="CP625" s="28"/>
      <c r="CQ625" s="28"/>
      <c r="CR625" s="11"/>
      <c r="CS625" s="29"/>
      <c r="CT625" s="11"/>
      <c r="CU625" s="11"/>
      <c r="CV625" s="11"/>
      <c r="CW625" s="11"/>
      <c r="CX625" s="11"/>
      <c r="CY625" s="11"/>
      <c r="CZ625" s="11"/>
      <c r="DA625" s="28"/>
      <c r="DB625" s="28"/>
      <c r="DC625" s="11"/>
      <c r="DD625" s="29"/>
      <c r="DE625" s="11"/>
      <c r="DF625" s="11"/>
      <c r="DG625" s="11"/>
      <c r="DH625" s="11"/>
      <c r="DI625" s="11"/>
      <c r="DJ625" s="11"/>
      <c r="DK625" s="26"/>
      <c r="DL625" s="11"/>
      <c r="DM625" s="29"/>
      <c r="DN625" s="28"/>
      <c r="DO625" s="11"/>
      <c r="DP625" s="11"/>
      <c r="DQ625" s="11"/>
      <c r="DR625" s="29"/>
      <c r="DS625" s="28"/>
      <c r="DT625" s="11"/>
      <c r="DU625" s="26"/>
      <c r="DV625" s="11"/>
      <c r="DW625" s="29"/>
      <c r="DX625" s="28"/>
      <c r="DY625" s="11"/>
      <c r="DZ625" s="26"/>
      <c r="EA625" s="11"/>
      <c r="EB625" s="29"/>
      <c r="EC625" s="28"/>
      <c r="ED625" s="30"/>
      <c r="EE625" s="30" t="str">
        <f ca="1">IFERROR(__xludf.DUMMYFUNCTION("iferror(index(filter('Internal -- Trademark Countries'!E$2:E1000, (AM625 = 'Internal -- Trademark Countries'!B$2:B1000) + (AM625 = 'Internal -- Trademark Countries'!C$2:C1000) + (AM625 = 'Internal -- Trademark Countries'!D$2:D1000)), 1))"),"")</f>
        <v/>
      </c>
      <c r="EF625" s="30" t="e">
        <f ca="1">_xludf.ifs(AM625="", "", COUNTIF('Internal -- Trademark Countries'!B:B,AM625) &gt; 0, "polity_shortest_name", COUNTIF('Internal -- Trademark Countries'!C:C,AM625) &gt; 0, "polity_full_name", COUNTIF('Internal -- Trademark Countries'!D:D,AM625) &gt; 0, "polity_common_name", COUNTIF('Internal -- Trademark Countries'!E:E,AM625) &gt; 0, "shortest_name", COUNTIF('Internal -- Trademark Countries'!A:A,AM625) &gt; 0, "full_name", TRUE, "not a match")</f>
        <v>#NAME?</v>
      </c>
      <c r="EG625" s="30"/>
      <c r="EH625" s="30"/>
      <c r="EI625" s="30"/>
      <c r="EJ625" s="30"/>
      <c r="EK625" s="30" t="str">
        <f t="shared" si="4"/>
        <v/>
      </c>
    </row>
    <row r="626" spans="1:141" ht="16.5">
      <c r="A626" s="11"/>
      <c r="B626" s="11"/>
      <c r="C626" s="11"/>
      <c r="D626" s="11"/>
      <c r="E626" s="11"/>
      <c r="F626" s="11"/>
      <c r="G626" s="11"/>
      <c r="H626" s="11"/>
      <c r="I626" s="11"/>
      <c r="J626" s="11"/>
      <c r="K626" s="27"/>
      <c r="L626" s="11"/>
      <c r="M626" s="11"/>
      <c r="N626" s="11"/>
      <c r="O626" s="11"/>
      <c r="P626" s="15"/>
      <c r="Q626" s="15"/>
      <c r="R626" s="15"/>
      <c r="S626" s="15"/>
      <c r="T626" s="15"/>
      <c r="U626" s="15"/>
      <c r="V626" s="15"/>
      <c r="W626" s="47"/>
      <c r="X626" s="11"/>
      <c r="Y626" s="48"/>
      <c r="Z626" s="11"/>
      <c r="AA626" s="48"/>
      <c r="AB626" s="11"/>
      <c r="AC626" s="48"/>
      <c r="AD626" s="11"/>
      <c r="AE626" s="47"/>
      <c r="AF626" s="11"/>
      <c r="AG626" s="48"/>
      <c r="AH626" s="11"/>
      <c r="AI626" s="48"/>
      <c r="AJ626" s="11"/>
      <c r="AK626" s="48"/>
      <c r="AL626" s="11"/>
      <c r="AM626" s="49"/>
      <c r="AN626" s="49"/>
      <c r="AO626" s="11"/>
      <c r="AP626" s="11"/>
      <c r="AQ626" s="28" t="b">
        <f>IF(COUNTIF(SmartStatus!A$2:A1000, AM626) &gt; 2, TRUE, FALSE)</f>
        <v>0</v>
      </c>
      <c r="AR626" s="29" t="str">
        <f ca="1">IFERROR(__xludf.DUMMYFUNCTION("iferror(if(regexmatch(AO626, ""(?i)^registered""), if(EE626 &lt;&gt; ""polity_shortest_name"", ""CHECK_POLITY"", index(filter(SmartStatus!B$2:B1000, AM626 = SmartStatus!A$2:A1000, not(SmartStatus!C$2:C1000), (isblank(SmartStatus!D$2:D1000)) + ((P626 &lt;&gt; """") * "&amp;"(P626 &lt; SmartStatus!D$2:D1000)), (isblank(SmartStatus!E$2:E1000)) + ((P626 &lt;&gt; """") * (P626 &gt;= SmartStatus!E$2:E1000)), (isblank(SmartStatus!F$2:F1000)) + (((Q626 &lt;&gt; """") * (Q626 &lt; SmartStatus!F$2:F1000)) + ((P626 &lt;&gt; """") * (date(year(P626) + 3, month(P"&amp;"626), day(P626)) &lt; SmartStatus!F$2:F1000))), (isblank(SmartStatus!G$2:G1000)) + (((Q626 &lt;&gt; """") * (Q626 &gt;= SmartStatus!G$2:G1000)) + ((P626 &lt;&gt; """") * (P626 &gt;= SmartStatus!G$2:G1000)))), if(or(regexmatch(B626, ""(?i)^ir [a-z]+ designation$""), N626 &lt;&gt; """&amp;"""), 1, 2))), """"), ""NO_MATCH"")"),"")</f>
        <v/>
      </c>
      <c r="AS626" s="11"/>
      <c r="AT626" s="15"/>
      <c r="AU626" s="11"/>
      <c r="AV626" s="11"/>
      <c r="AW626" s="15"/>
      <c r="AX626" s="15"/>
      <c r="AY626" s="15"/>
      <c r="AZ626" s="11"/>
      <c r="BA626" s="15"/>
      <c r="BB626" s="11"/>
      <c r="BC626" s="11"/>
      <c r="BD626" s="15"/>
      <c r="BE626" s="11"/>
      <c r="BF626" s="11"/>
      <c r="BG626" s="15"/>
      <c r="BH626" s="15"/>
      <c r="BI626" s="15"/>
      <c r="BJ626" s="11"/>
      <c r="BK626" s="15"/>
      <c r="BL626" s="11"/>
      <c r="BM626" s="11"/>
      <c r="BN626" s="15"/>
      <c r="BO626" s="11"/>
      <c r="BP626" s="11"/>
      <c r="BQ626" s="15"/>
      <c r="BR626" s="15"/>
      <c r="BS626" s="15"/>
      <c r="BT626" s="11"/>
      <c r="BU626" s="15"/>
      <c r="BV626" s="11"/>
      <c r="BW626" s="11"/>
      <c r="BX626" s="15"/>
      <c r="BY626" s="11"/>
      <c r="BZ626" s="11"/>
      <c r="CA626" s="15"/>
      <c r="CB626" s="11"/>
      <c r="CC626" s="15"/>
      <c r="CD626" s="11"/>
      <c r="CE626" s="15"/>
      <c r="CF626" s="11"/>
      <c r="CG626" s="11"/>
      <c r="CH626" s="15"/>
      <c r="CI626" s="11"/>
      <c r="CJ626" s="11"/>
      <c r="CK626" s="15"/>
      <c r="CL626" s="11"/>
      <c r="CM626" s="11"/>
      <c r="CN626" s="11"/>
      <c r="CO626" s="11"/>
      <c r="CP626" s="28"/>
      <c r="CQ626" s="28"/>
      <c r="CR626" s="11"/>
      <c r="CS626" s="29"/>
      <c r="CT626" s="11"/>
      <c r="CU626" s="11"/>
      <c r="CV626" s="11"/>
      <c r="CW626" s="11"/>
      <c r="CX626" s="11"/>
      <c r="CY626" s="11"/>
      <c r="CZ626" s="11"/>
      <c r="DA626" s="28"/>
      <c r="DB626" s="28"/>
      <c r="DC626" s="11"/>
      <c r="DD626" s="29"/>
      <c r="DE626" s="11"/>
      <c r="DF626" s="11"/>
      <c r="DG626" s="11"/>
      <c r="DH626" s="11"/>
      <c r="DI626" s="11"/>
      <c r="DJ626" s="11"/>
      <c r="DK626" s="26"/>
      <c r="DL626" s="11"/>
      <c r="DM626" s="29"/>
      <c r="DN626" s="28"/>
      <c r="DO626" s="11"/>
      <c r="DP626" s="11"/>
      <c r="DQ626" s="11"/>
      <c r="DR626" s="29"/>
      <c r="DS626" s="28"/>
      <c r="DT626" s="11"/>
      <c r="DU626" s="26"/>
      <c r="DV626" s="11"/>
      <c r="DW626" s="29"/>
      <c r="DX626" s="28"/>
      <c r="DY626" s="11"/>
      <c r="DZ626" s="26"/>
      <c r="EA626" s="11"/>
      <c r="EB626" s="29"/>
      <c r="EC626" s="28"/>
      <c r="ED626" s="30"/>
      <c r="EE626" s="30" t="str">
        <f ca="1">IFERROR(__xludf.DUMMYFUNCTION("iferror(index(filter('Internal -- Trademark Countries'!E$2:E1000, (AM626 = 'Internal -- Trademark Countries'!B$2:B1000) + (AM626 = 'Internal -- Trademark Countries'!C$2:C1000) + (AM626 = 'Internal -- Trademark Countries'!D$2:D1000)), 1))"),"")</f>
        <v/>
      </c>
      <c r="EF626" s="30" t="e">
        <f ca="1">_xludf.ifs(AM626="", "", COUNTIF('Internal -- Trademark Countries'!B:B,AM626) &gt; 0, "polity_shortest_name", COUNTIF('Internal -- Trademark Countries'!C:C,AM626) &gt; 0, "polity_full_name", COUNTIF('Internal -- Trademark Countries'!D:D,AM626) &gt; 0, "polity_common_name", COUNTIF('Internal -- Trademark Countries'!E:E,AM626) &gt; 0, "shortest_name", COUNTIF('Internal -- Trademark Countries'!A:A,AM626) &gt; 0, "full_name", TRUE, "not a match")</f>
        <v>#NAME?</v>
      </c>
      <c r="EG626" s="30"/>
      <c r="EH626" s="30"/>
      <c r="EI626" s="30"/>
      <c r="EJ626" s="30"/>
      <c r="EK626" s="30" t="str">
        <f t="shared" si="4"/>
        <v/>
      </c>
    </row>
    <row r="627" spans="1:141" ht="16.5">
      <c r="A627" s="11"/>
      <c r="B627" s="11"/>
      <c r="C627" s="11"/>
      <c r="D627" s="11"/>
      <c r="E627" s="11"/>
      <c r="F627" s="11"/>
      <c r="G627" s="11"/>
      <c r="H627" s="11"/>
      <c r="I627" s="11"/>
      <c r="J627" s="11"/>
      <c r="K627" s="27"/>
      <c r="L627" s="11"/>
      <c r="M627" s="11"/>
      <c r="N627" s="11"/>
      <c r="O627" s="11"/>
      <c r="P627" s="15"/>
      <c r="Q627" s="15"/>
      <c r="R627" s="15"/>
      <c r="S627" s="15"/>
      <c r="T627" s="15"/>
      <c r="U627" s="15"/>
      <c r="V627" s="15"/>
      <c r="W627" s="47"/>
      <c r="X627" s="11"/>
      <c r="Y627" s="48"/>
      <c r="Z627" s="11"/>
      <c r="AA627" s="48"/>
      <c r="AB627" s="11"/>
      <c r="AC627" s="48"/>
      <c r="AD627" s="11"/>
      <c r="AE627" s="47"/>
      <c r="AF627" s="11"/>
      <c r="AG627" s="48"/>
      <c r="AH627" s="11"/>
      <c r="AI627" s="48"/>
      <c r="AJ627" s="11"/>
      <c r="AK627" s="48"/>
      <c r="AL627" s="11"/>
      <c r="AM627" s="49"/>
      <c r="AN627" s="49"/>
      <c r="AO627" s="11"/>
      <c r="AP627" s="11"/>
      <c r="AQ627" s="28" t="b">
        <f>IF(COUNTIF(SmartStatus!A$2:A1000, AM627) &gt; 2, TRUE, FALSE)</f>
        <v>0</v>
      </c>
      <c r="AR627" s="29" t="str">
        <f ca="1">IFERROR(__xludf.DUMMYFUNCTION("iferror(if(regexmatch(AO627, ""(?i)^registered""), if(EE627 &lt;&gt; ""polity_shortest_name"", ""CHECK_POLITY"", index(filter(SmartStatus!B$2:B1000, AM627 = SmartStatus!A$2:A1000, not(SmartStatus!C$2:C1000), (isblank(SmartStatus!D$2:D1000)) + ((P627 &lt;&gt; """") * "&amp;"(P627 &lt; SmartStatus!D$2:D1000)), (isblank(SmartStatus!E$2:E1000)) + ((P627 &lt;&gt; """") * (P627 &gt;= SmartStatus!E$2:E1000)), (isblank(SmartStatus!F$2:F1000)) + (((Q627 &lt;&gt; """") * (Q627 &lt; SmartStatus!F$2:F1000)) + ((P627 &lt;&gt; """") * (date(year(P627) + 3, month(P"&amp;"627), day(P627)) &lt; SmartStatus!F$2:F1000))), (isblank(SmartStatus!G$2:G1000)) + (((Q627 &lt;&gt; """") * (Q627 &gt;= SmartStatus!G$2:G1000)) + ((P627 &lt;&gt; """") * (P627 &gt;= SmartStatus!G$2:G1000)))), if(or(regexmatch(B627, ""(?i)^ir [a-z]+ designation$""), N627 &lt;&gt; """&amp;"""), 1, 2))), """"), ""NO_MATCH"")"),"")</f>
        <v/>
      </c>
      <c r="AS627" s="11"/>
      <c r="AT627" s="15"/>
      <c r="AU627" s="11"/>
      <c r="AV627" s="11"/>
      <c r="AW627" s="15"/>
      <c r="AX627" s="15"/>
      <c r="AY627" s="15"/>
      <c r="AZ627" s="11"/>
      <c r="BA627" s="15"/>
      <c r="BB627" s="11"/>
      <c r="BC627" s="11"/>
      <c r="BD627" s="15"/>
      <c r="BE627" s="11"/>
      <c r="BF627" s="11"/>
      <c r="BG627" s="15"/>
      <c r="BH627" s="15"/>
      <c r="BI627" s="15"/>
      <c r="BJ627" s="11"/>
      <c r="BK627" s="15"/>
      <c r="BL627" s="11"/>
      <c r="BM627" s="11"/>
      <c r="BN627" s="15"/>
      <c r="BO627" s="11"/>
      <c r="BP627" s="11"/>
      <c r="BQ627" s="15"/>
      <c r="BR627" s="15"/>
      <c r="BS627" s="15"/>
      <c r="BT627" s="11"/>
      <c r="BU627" s="15"/>
      <c r="BV627" s="11"/>
      <c r="BW627" s="11"/>
      <c r="BX627" s="15"/>
      <c r="BY627" s="11"/>
      <c r="BZ627" s="11"/>
      <c r="CA627" s="15"/>
      <c r="CB627" s="11"/>
      <c r="CC627" s="15"/>
      <c r="CD627" s="11"/>
      <c r="CE627" s="15"/>
      <c r="CF627" s="11"/>
      <c r="CG627" s="11"/>
      <c r="CH627" s="15"/>
      <c r="CI627" s="11"/>
      <c r="CJ627" s="11"/>
      <c r="CK627" s="15"/>
      <c r="CL627" s="11"/>
      <c r="CM627" s="11"/>
      <c r="CN627" s="11"/>
      <c r="CO627" s="11"/>
      <c r="CP627" s="28"/>
      <c r="CQ627" s="28"/>
      <c r="CR627" s="11"/>
      <c r="CS627" s="29"/>
      <c r="CT627" s="11"/>
      <c r="CU627" s="11"/>
      <c r="CV627" s="11"/>
      <c r="CW627" s="11"/>
      <c r="CX627" s="11"/>
      <c r="CY627" s="11"/>
      <c r="CZ627" s="11"/>
      <c r="DA627" s="28"/>
      <c r="DB627" s="28"/>
      <c r="DC627" s="11"/>
      <c r="DD627" s="29"/>
      <c r="DE627" s="11"/>
      <c r="DF627" s="11"/>
      <c r="DG627" s="11"/>
      <c r="DH627" s="11"/>
      <c r="DI627" s="11"/>
      <c r="DJ627" s="11"/>
      <c r="DK627" s="26"/>
      <c r="DL627" s="11"/>
      <c r="DM627" s="29"/>
      <c r="DN627" s="28"/>
      <c r="DO627" s="11"/>
      <c r="DP627" s="11"/>
      <c r="DQ627" s="11"/>
      <c r="DR627" s="29"/>
      <c r="DS627" s="28"/>
      <c r="DT627" s="11"/>
      <c r="DU627" s="26"/>
      <c r="DV627" s="11"/>
      <c r="DW627" s="29"/>
      <c r="DX627" s="28"/>
      <c r="DY627" s="11"/>
      <c r="DZ627" s="26"/>
      <c r="EA627" s="11"/>
      <c r="EB627" s="29"/>
      <c r="EC627" s="28"/>
      <c r="ED627" s="30"/>
      <c r="EE627" s="30" t="str">
        <f ca="1">IFERROR(__xludf.DUMMYFUNCTION("iferror(index(filter('Internal -- Trademark Countries'!E$2:E1000, (AM627 = 'Internal -- Trademark Countries'!B$2:B1000) + (AM627 = 'Internal -- Trademark Countries'!C$2:C1000) + (AM627 = 'Internal -- Trademark Countries'!D$2:D1000)), 1))"),"")</f>
        <v/>
      </c>
      <c r="EF627" s="30" t="e">
        <f ca="1">_xludf.ifs(AM627="", "", COUNTIF('Internal -- Trademark Countries'!B:B,AM627) &gt; 0, "polity_shortest_name", COUNTIF('Internal -- Trademark Countries'!C:C,AM627) &gt; 0, "polity_full_name", COUNTIF('Internal -- Trademark Countries'!D:D,AM627) &gt; 0, "polity_common_name", COUNTIF('Internal -- Trademark Countries'!E:E,AM627) &gt; 0, "shortest_name", COUNTIF('Internal -- Trademark Countries'!A:A,AM627) &gt; 0, "full_name", TRUE, "not a match")</f>
        <v>#NAME?</v>
      </c>
      <c r="EG627" s="30"/>
      <c r="EH627" s="30"/>
      <c r="EI627" s="30"/>
      <c r="EJ627" s="30"/>
      <c r="EK627" s="30" t="str">
        <f t="shared" si="4"/>
        <v/>
      </c>
    </row>
    <row r="628" spans="1:141" ht="16.5">
      <c r="A628" s="11"/>
      <c r="B628" s="11"/>
      <c r="C628" s="11"/>
      <c r="D628" s="11"/>
      <c r="E628" s="11"/>
      <c r="F628" s="11"/>
      <c r="G628" s="11"/>
      <c r="H628" s="11"/>
      <c r="I628" s="11"/>
      <c r="J628" s="11"/>
      <c r="K628" s="27"/>
      <c r="L628" s="11"/>
      <c r="M628" s="11"/>
      <c r="N628" s="11"/>
      <c r="O628" s="11"/>
      <c r="P628" s="15"/>
      <c r="Q628" s="15"/>
      <c r="R628" s="15"/>
      <c r="S628" s="15"/>
      <c r="T628" s="15"/>
      <c r="U628" s="15"/>
      <c r="V628" s="15"/>
      <c r="W628" s="47"/>
      <c r="X628" s="11"/>
      <c r="Y628" s="48"/>
      <c r="Z628" s="11"/>
      <c r="AA628" s="48"/>
      <c r="AB628" s="11"/>
      <c r="AC628" s="48"/>
      <c r="AD628" s="11"/>
      <c r="AE628" s="47"/>
      <c r="AF628" s="11"/>
      <c r="AG628" s="48"/>
      <c r="AH628" s="11"/>
      <c r="AI628" s="48"/>
      <c r="AJ628" s="11"/>
      <c r="AK628" s="48"/>
      <c r="AL628" s="11"/>
      <c r="AM628" s="49"/>
      <c r="AN628" s="49"/>
      <c r="AO628" s="11"/>
      <c r="AP628" s="11"/>
      <c r="AQ628" s="28" t="b">
        <f>IF(COUNTIF(SmartStatus!A$2:A1000, AM628) &gt; 2, TRUE, FALSE)</f>
        <v>0</v>
      </c>
      <c r="AR628" s="29" t="str">
        <f ca="1">IFERROR(__xludf.DUMMYFUNCTION("iferror(if(regexmatch(AO628, ""(?i)^registered""), if(EE628 &lt;&gt; ""polity_shortest_name"", ""CHECK_POLITY"", index(filter(SmartStatus!B$2:B1000, AM628 = SmartStatus!A$2:A1000, not(SmartStatus!C$2:C1000), (isblank(SmartStatus!D$2:D1000)) + ((P628 &lt;&gt; """") * "&amp;"(P628 &lt; SmartStatus!D$2:D1000)), (isblank(SmartStatus!E$2:E1000)) + ((P628 &lt;&gt; """") * (P628 &gt;= SmartStatus!E$2:E1000)), (isblank(SmartStatus!F$2:F1000)) + (((Q628 &lt;&gt; """") * (Q628 &lt; SmartStatus!F$2:F1000)) + ((P628 &lt;&gt; """") * (date(year(P628) + 3, month(P"&amp;"628), day(P628)) &lt; SmartStatus!F$2:F1000))), (isblank(SmartStatus!G$2:G1000)) + (((Q628 &lt;&gt; """") * (Q628 &gt;= SmartStatus!G$2:G1000)) + ((P628 &lt;&gt; """") * (P628 &gt;= SmartStatus!G$2:G1000)))), if(or(regexmatch(B628, ""(?i)^ir [a-z]+ designation$""), N628 &lt;&gt; """&amp;"""), 1, 2))), """"), ""NO_MATCH"")"),"")</f>
        <v/>
      </c>
      <c r="AS628" s="11"/>
      <c r="AT628" s="15"/>
      <c r="AU628" s="11"/>
      <c r="AV628" s="11"/>
      <c r="AW628" s="15"/>
      <c r="AX628" s="15"/>
      <c r="AY628" s="15"/>
      <c r="AZ628" s="11"/>
      <c r="BA628" s="15"/>
      <c r="BB628" s="11"/>
      <c r="BC628" s="11"/>
      <c r="BD628" s="15"/>
      <c r="BE628" s="11"/>
      <c r="BF628" s="11"/>
      <c r="BG628" s="15"/>
      <c r="BH628" s="15"/>
      <c r="BI628" s="15"/>
      <c r="BJ628" s="11"/>
      <c r="BK628" s="15"/>
      <c r="BL628" s="11"/>
      <c r="BM628" s="11"/>
      <c r="BN628" s="15"/>
      <c r="BO628" s="11"/>
      <c r="BP628" s="11"/>
      <c r="BQ628" s="15"/>
      <c r="BR628" s="15"/>
      <c r="BS628" s="15"/>
      <c r="BT628" s="11"/>
      <c r="BU628" s="15"/>
      <c r="BV628" s="11"/>
      <c r="BW628" s="11"/>
      <c r="BX628" s="15"/>
      <c r="BY628" s="11"/>
      <c r="BZ628" s="11"/>
      <c r="CA628" s="15"/>
      <c r="CB628" s="11"/>
      <c r="CC628" s="15"/>
      <c r="CD628" s="11"/>
      <c r="CE628" s="15"/>
      <c r="CF628" s="11"/>
      <c r="CG628" s="11"/>
      <c r="CH628" s="15"/>
      <c r="CI628" s="11"/>
      <c r="CJ628" s="11"/>
      <c r="CK628" s="15"/>
      <c r="CL628" s="11"/>
      <c r="CM628" s="11"/>
      <c r="CN628" s="11"/>
      <c r="CO628" s="11"/>
      <c r="CP628" s="28"/>
      <c r="CQ628" s="28"/>
      <c r="CR628" s="11"/>
      <c r="CS628" s="29"/>
      <c r="CT628" s="11"/>
      <c r="CU628" s="11"/>
      <c r="CV628" s="11"/>
      <c r="CW628" s="11"/>
      <c r="CX628" s="11"/>
      <c r="CY628" s="11"/>
      <c r="CZ628" s="11"/>
      <c r="DA628" s="28"/>
      <c r="DB628" s="28"/>
      <c r="DC628" s="11"/>
      <c r="DD628" s="29"/>
      <c r="DE628" s="11"/>
      <c r="DF628" s="11"/>
      <c r="DG628" s="11"/>
      <c r="DH628" s="11"/>
      <c r="DI628" s="11"/>
      <c r="DJ628" s="11"/>
      <c r="DK628" s="26"/>
      <c r="DL628" s="11"/>
      <c r="DM628" s="29"/>
      <c r="DN628" s="28"/>
      <c r="DO628" s="11"/>
      <c r="DP628" s="11"/>
      <c r="DQ628" s="11"/>
      <c r="DR628" s="29"/>
      <c r="DS628" s="28"/>
      <c r="DT628" s="11"/>
      <c r="DU628" s="26"/>
      <c r="DV628" s="11"/>
      <c r="DW628" s="29"/>
      <c r="DX628" s="28"/>
      <c r="DY628" s="11"/>
      <c r="DZ628" s="26"/>
      <c r="EA628" s="11"/>
      <c r="EB628" s="29"/>
      <c r="EC628" s="28"/>
      <c r="ED628" s="30"/>
      <c r="EE628" s="30" t="str">
        <f ca="1">IFERROR(__xludf.DUMMYFUNCTION("iferror(index(filter('Internal -- Trademark Countries'!E$2:E1000, (AM628 = 'Internal -- Trademark Countries'!B$2:B1000) + (AM628 = 'Internal -- Trademark Countries'!C$2:C1000) + (AM628 = 'Internal -- Trademark Countries'!D$2:D1000)), 1))"),"")</f>
        <v/>
      </c>
      <c r="EF628" s="30" t="e">
        <f ca="1">_xludf.ifs(AM628="", "", COUNTIF('Internal -- Trademark Countries'!B:B,AM628) &gt; 0, "polity_shortest_name", COUNTIF('Internal -- Trademark Countries'!C:C,AM628) &gt; 0, "polity_full_name", COUNTIF('Internal -- Trademark Countries'!D:D,AM628) &gt; 0, "polity_common_name", COUNTIF('Internal -- Trademark Countries'!E:E,AM628) &gt; 0, "shortest_name", COUNTIF('Internal -- Trademark Countries'!A:A,AM628) &gt; 0, "full_name", TRUE, "not a match")</f>
        <v>#NAME?</v>
      </c>
      <c r="EG628" s="30"/>
      <c r="EH628" s="30"/>
      <c r="EI628" s="30"/>
      <c r="EJ628" s="30"/>
      <c r="EK628" s="30" t="str">
        <f t="shared" si="4"/>
        <v/>
      </c>
    </row>
    <row r="629" spans="1:141" ht="16.5">
      <c r="A629" s="11"/>
      <c r="B629" s="11"/>
      <c r="C629" s="11"/>
      <c r="D629" s="11"/>
      <c r="E629" s="11"/>
      <c r="F629" s="11"/>
      <c r="G629" s="11"/>
      <c r="H629" s="11"/>
      <c r="I629" s="11"/>
      <c r="J629" s="11"/>
      <c r="K629" s="27"/>
      <c r="L629" s="11"/>
      <c r="M629" s="11"/>
      <c r="N629" s="11"/>
      <c r="O629" s="11"/>
      <c r="P629" s="15"/>
      <c r="Q629" s="15"/>
      <c r="R629" s="15"/>
      <c r="S629" s="15"/>
      <c r="T629" s="15"/>
      <c r="U629" s="15"/>
      <c r="V629" s="15"/>
      <c r="W629" s="47"/>
      <c r="X629" s="11"/>
      <c r="Y629" s="48"/>
      <c r="Z629" s="11"/>
      <c r="AA629" s="48"/>
      <c r="AB629" s="11"/>
      <c r="AC629" s="48"/>
      <c r="AD629" s="11"/>
      <c r="AE629" s="47"/>
      <c r="AF629" s="11"/>
      <c r="AG629" s="48"/>
      <c r="AH629" s="11"/>
      <c r="AI629" s="48"/>
      <c r="AJ629" s="11"/>
      <c r="AK629" s="48"/>
      <c r="AL629" s="11"/>
      <c r="AM629" s="49"/>
      <c r="AN629" s="49"/>
      <c r="AO629" s="11"/>
      <c r="AP629" s="11"/>
      <c r="AQ629" s="28" t="b">
        <f>IF(COUNTIF(SmartStatus!A$2:A1000, AM629) &gt; 2, TRUE, FALSE)</f>
        <v>0</v>
      </c>
      <c r="AR629" s="29" t="str">
        <f ca="1">IFERROR(__xludf.DUMMYFUNCTION("iferror(if(regexmatch(AO629, ""(?i)^registered""), if(EE629 &lt;&gt; ""polity_shortest_name"", ""CHECK_POLITY"", index(filter(SmartStatus!B$2:B1000, AM629 = SmartStatus!A$2:A1000, not(SmartStatus!C$2:C1000), (isblank(SmartStatus!D$2:D1000)) + ((P629 &lt;&gt; """") * "&amp;"(P629 &lt; SmartStatus!D$2:D1000)), (isblank(SmartStatus!E$2:E1000)) + ((P629 &lt;&gt; """") * (P629 &gt;= SmartStatus!E$2:E1000)), (isblank(SmartStatus!F$2:F1000)) + (((Q629 &lt;&gt; """") * (Q629 &lt; SmartStatus!F$2:F1000)) + ((P629 &lt;&gt; """") * (date(year(P629) + 3, month(P"&amp;"629), day(P629)) &lt; SmartStatus!F$2:F1000))), (isblank(SmartStatus!G$2:G1000)) + (((Q629 &lt;&gt; """") * (Q629 &gt;= SmartStatus!G$2:G1000)) + ((P629 &lt;&gt; """") * (P629 &gt;= SmartStatus!G$2:G1000)))), if(or(regexmatch(B629, ""(?i)^ir [a-z]+ designation$""), N629 &lt;&gt; """&amp;"""), 1, 2))), """"), ""NO_MATCH"")"),"")</f>
        <v/>
      </c>
      <c r="AS629" s="11"/>
      <c r="AT629" s="15"/>
      <c r="AU629" s="11"/>
      <c r="AV629" s="11"/>
      <c r="AW629" s="15"/>
      <c r="AX629" s="15"/>
      <c r="AY629" s="15"/>
      <c r="AZ629" s="11"/>
      <c r="BA629" s="15"/>
      <c r="BB629" s="11"/>
      <c r="BC629" s="11"/>
      <c r="BD629" s="15"/>
      <c r="BE629" s="11"/>
      <c r="BF629" s="11"/>
      <c r="BG629" s="15"/>
      <c r="BH629" s="15"/>
      <c r="BI629" s="15"/>
      <c r="BJ629" s="11"/>
      <c r="BK629" s="15"/>
      <c r="BL629" s="11"/>
      <c r="BM629" s="11"/>
      <c r="BN629" s="15"/>
      <c r="BO629" s="11"/>
      <c r="BP629" s="11"/>
      <c r="BQ629" s="15"/>
      <c r="BR629" s="15"/>
      <c r="BS629" s="15"/>
      <c r="BT629" s="11"/>
      <c r="BU629" s="15"/>
      <c r="BV629" s="11"/>
      <c r="BW629" s="11"/>
      <c r="BX629" s="15"/>
      <c r="BY629" s="11"/>
      <c r="BZ629" s="11"/>
      <c r="CA629" s="15"/>
      <c r="CB629" s="11"/>
      <c r="CC629" s="15"/>
      <c r="CD629" s="11"/>
      <c r="CE629" s="15"/>
      <c r="CF629" s="11"/>
      <c r="CG629" s="11"/>
      <c r="CH629" s="15"/>
      <c r="CI629" s="11"/>
      <c r="CJ629" s="11"/>
      <c r="CK629" s="15"/>
      <c r="CL629" s="11"/>
      <c r="CM629" s="11"/>
      <c r="CN629" s="11"/>
      <c r="CO629" s="11"/>
      <c r="CP629" s="28"/>
      <c r="CQ629" s="28"/>
      <c r="CR629" s="11"/>
      <c r="CS629" s="29"/>
      <c r="CT629" s="11"/>
      <c r="CU629" s="11"/>
      <c r="CV629" s="11"/>
      <c r="CW629" s="11"/>
      <c r="CX629" s="11"/>
      <c r="CY629" s="11"/>
      <c r="CZ629" s="11"/>
      <c r="DA629" s="28"/>
      <c r="DB629" s="28"/>
      <c r="DC629" s="11"/>
      <c r="DD629" s="29"/>
      <c r="DE629" s="11"/>
      <c r="DF629" s="11"/>
      <c r="DG629" s="11"/>
      <c r="DH629" s="11"/>
      <c r="DI629" s="11"/>
      <c r="DJ629" s="11"/>
      <c r="DK629" s="26"/>
      <c r="DL629" s="11"/>
      <c r="DM629" s="29"/>
      <c r="DN629" s="28"/>
      <c r="DO629" s="11"/>
      <c r="DP629" s="11"/>
      <c r="DQ629" s="11"/>
      <c r="DR629" s="29"/>
      <c r="DS629" s="28"/>
      <c r="DT629" s="11"/>
      <c r="DU629" s="26"/>
      <c r="DV629" s="11"/>
      <c r="DW629" s="29"/>
      <c r="DX629" s="28"/>
      <c r="DY629" s="11"/>
      <c r="DZ629" s="26"/>
      <c r="EA629" s="11"/>
      <c r="EB629" s="29"/>
      <c r="EC629" s="28"/>
      <c r="ED629" s="30"/>
      <c r="EE629" s="30" t="str">
        <f ca="1">IFERROR(__xludf.DUMMYFUNCTION("iferror(index(filter('Internal -- Trademark Countries'!E$2:E1000, (AM629 = 'Internal -- Trademark Countries'!B$2:B1000) + (AM629 = 'Internal -- Trademark Countries'!C$2:C1000) + (AM629 = 'Internal -- Trademark Countries'!D$2:D1000)), 1))"),"")</f>
        <v/>
      </c>
      <c r="EF629" s="30" t="e">
        <f ca="1">_xludf.ifs(AM629="", "", COUNTIF('Internal -- Trademark Countries'!B:B,AM629) &gt; 0, "polity_shortest_name", COUNTIF('Internal -- Trademark Countries'!C:C,AM629) &gt; 0, "polity_full_name", COUNTIF('Internal -- Trademark Countries'!D:D,AM629) &gt; 0, "polity_common_name", COUNTIF('Internal -- Trademark Countries'!E:E,AM629) &gt; 0, "shortest_name", COUNTIF('Internal -- Trademark Countries'!A:A,AM629) &gt; 0, "full_name", TRUE, "not a match")</f>
        <v>#NAME?</v>
      </c>
      <c r="EG629" s="30"/>
      <c r="EH629" s="30"/>
      <c r="EI629" s="30"/>
      <c r="EJ629" s="30"/>
      <c r="EK629" s="30" t="str">
        <f t="shared" si="4"/>
        <v/>
      </c>
    </row>
    <row r="630" spans="1:141" ht="16.5">
      <c r="A630" s="11"/>
      <c r="B630" s="11"/>
      <c r="C630" s="11"/>
      <c r="D630" s="11"/>
      <c r="E630" s="11"/>
      <c r="F630" s="11"/>
      <c r="G630" s="11"/>
      <c r="H630" s="11"/>
      <c r="I630" s="11"/>
      <c r="J630" s="11"/>
      <c r="K630" s="27"/>
      <c r="L630" s="11"/>
      <c r="M630" s="11"/>
      <c r="N630" s="11"/>
      <c r="O630" s="11"/>
      <c r="P630" s="15"/>
      <c r="Q630" s="15"/>
      <c r="R630" s="15"/>
      <c r="S630" s="15"/>
      <c r="T630" s="15"/>
      <c r="U630" s="15"/>
      <c r="V630" s="15"/>
      <c r="W630" s="47"/>
      <c r="X630" s="11"/>
      <c r="Y630" s="48"/>
      <c r="Z630" s="11"/>
      <c r="AA630" s="48"/>
      <c r="AB630" s="11"/>
      <c r="AC630" s="48"/>
      <c r="AD630" s="11"/>
      <c r="AE630" s="47"/>
      <c r="AF630" s="11"/>
      <c r="AG630" s="48"/>
      <c r="AH630" s="11"/>
      <c r="AI630" s="48"/>
      <c r="AJ630" s="11"/>
      <c r="AK630" s="48"/>
      <c r="AL630" s="11"/>
      <c r="AM630" s="49"/>
      <c r="AN630" s="49"/>
      <c r="AO630" s="11"/>
      <c r="AP630" s="11"/>
      <c r="AQ630" s="28" t="b">
        <f>IF(COUNTIF(SmartStatus!A$2:A1000, AM630) &gt; 2, TRUE, FALSE)</f>
        <v>0</v>
      </c>
      <c r="AR630" s="29" t="str">
        <f ca="1">IFERROR(__xludf.DUMMYFUNCTION("iferror(if(regexmatch(AO630, ""(?i)^registered""), if(EE630 &lt;&gt; ""polity_shortest_name"", ""CHECK_POLITY"", index(filter(SmartStatus!B$2:B1000, AM630 = SmartStatus!A$2:A1000, not(SmartStatus!C$2:C1000), (isblank(SmartStatus!D$2:D1000)) + ((P630 &lt;&gt; """") * "&amp;"(P630 &lt; SmartStatus!D$2:D1000)), (isblank(SmartStatus!E$2:E1000)) + ((P630 &lt;&gt; """") * (P630 &gt;= SmartStatus!E$2:E1000)), (isblank(SmartStatus!F$2:F1000)) + (((Q630 &lt;&gt; """") * (Q630 &lt; SmartStatus!F$2:F1000)) + ((P630 &lt;&gt; """") * (date(year(P630) + 3, month(P"&amp;"630), day(P630)) &lt; SmartStatus!F$2:F1000))), (isblank(SmartStatus!G$2:G1000)) + (((Q630 &lt;&gt; """") * (Q630 &gt;= SmartStatus!G$2:G1000)) + ((P630 &lt;&gt; """") * (P630 &gt;= SmartStatus!G$2:G1000)))), if(or(regexmatch(B630, ""(?i)^ir [a-z]+ designation$""), N630 &lt;&gt; """&amp;"""), 1, 2))), """"), ""NO_MATCH"")"),"")</f>
        <v/>
      </c>
      <c r="AS630" s="11"/>
      <c r="AT630" s="15"/>
      <c r="AU630" s="11"/>
      <c r="AV630" s="11"/>
      <c r="AW630" s="15"/>
      <c r="AX630" s="15"/>
      <c r="AY630" s="15"/>
      <c r="AZ630" s="11"/>
      <c r="BA630" s="15"/>
      <c r="BB630" s="11"/>
      <c r="BC630" s="11"/>
      <c r="BD630" s="15"/>
      <c r="BE630" s="11"/>
      <c r="BF630" s="11"/>
      <c r="BG630" s="15"/>
      <c r="BH630" s="15"/>
      <c r="BI630" s="15"/>
      <c r="BJ630" s="11"/>
      <c r="BK630" s="15"/>
      <c r="BL630" s="11"/>
      <c r="BM630" s="11"/>
      <c r="BN630" s="15"/>
      <c r="BO630" s="11"/>
      <c r="BP630" s="11"/>
      <c r="BQ630" s="15"/>
      <c r="BR630" s="15"/>
      <c r="BS630" s="15"/>
      <c r="BT630" s="11"/>
      <c r="BU630" s="15"/>
      <c r="BV630" s="11"/>
      <c r="BW630" s="11"/>
      <c r="BX630" s="15"/>
      <c r="BY630" s="11"/>
      <c r="BZ630" s="11"/>
      <c r="CA630" s="15"/>
      <c r="CB630" s="11"/>
      <c r="CC630" s="15"/>
      <c r="CD630" s="11"/>
      <c r="CE630" s="15"/>
      <c r="CF630" s="11"/>
      <c r="CG630" s="11"/>
      <c r="CH630" s="15"/>
      <c r="CI630" s="11"/>
      <c r="CJ630" s="11"/>
      <c r="CK630" s="15"/>
      <c r="CL630" s="11"/>
      <c r="CM630" s="11"/>
      <c r="CN630" s="11"/>
      <c r="CO630" s="11"/>
      <c r="CP630" s="28"/>
      <c r="CQ630" s="28"/>
      <c r="CR630" s="11"/>
      <c r="CS630" s="29"/>
      <c r="CT630" s="11"/>
      <c r="CU630" s="11"/>
      <c r="CV630" s="11"/>
      <c r="CW630" s="11"/>
      <c r="CX630" s="11"/>
      <c r="CY630" s="11"/>
      <c r="CZ630" s="11"/>
      <c r="DA630" s="28"/>
      <c r="DB630" s="28"/>
      <c r="DC630" s="11"/>
      <c r="DD630" s="29"/>
      <c r="DE630" s="11"/>
      <c r="DF630" s="11"/>
      <c r="DG630" s="11"/>
      <c r="DH630" s="11"/>
      <c r="DI630" s="11"/>
      <c r="DJ630" s="11"/>
      <c r="DK630" s="26"/>
      <c r="DL630" s="11"/>
      <c r="DM630" s="29"/>
      <c r="DN630" s="28"/>
      <c r="DO630" s="11"/>
      <c r="DP630" s="11"/>
      <c r="DQ630" s="11"/>
      <c r="DR630" s="29"/>
      <c r="DS630" s="28"/>
      <c r="DT630" s="11"/>
      <c r="DU630" s="26"/>
      <c r="DV630" s="11"/>
      <c r="DW630" s="29"/>
      <c r="DX630" s="28"/>
      <c r="DY630" s="11"/>
      <c r="DZ630" s="26"/>
      <c r="EA630" s="11"/>
      <c r="EB630" s="29"/>
      <c r="EC630" s="28"/>
      <c r="ED630" s="30"/>
      <c r="EE630" s="30" t="str">
        <f ca="1">IFERROR(__xludf.DUMMYFUNCTION("iferror(index(filter('Internal -- Trademark Countries'!E$2:E1000, (AM630 = 'Internal -- Trademark Countries'!B$2:B1000) + (AM630 = 'Internal -- Trademark Countries'!C$2:C1000) + (AM630 = 'Internal -- Trademark Countries'!D$2:D1000)), 1))"),"")</f>
        <v/>
      </c>
      <c r="EF630" s="30" t="e">
        <f ca="1">_xludf.ifs(AM630="", "", COUNTIF('Internal -- Trademark Countries'!B:B,AM630) &gt; 0, "polity_shortest_name", COUNTIF('Internal -- Trademark Countries'!C:C,AM630) &gt; 0, "polity_full_name", COUNTIF('Internal -- Trademark Countries'!D:D,AM630) &gt; 0, "polity_common_name", COUNTIF('Internal -- Trademark Countries'!E:E,AM630) &gt; 0, "shortest_name", COUNTIF('Internal -- Trademark Countries'!A:A,AM630) &gt; 0, "full_name", TRUE, "not a match")</f>
        <v>#NAME?</v>
      </c>
      <c r="EG630" s="30"/>
      <c r="EH630" s="30"/>
      <c r="EI630" s="30"/>
      <c r="EJ630" s="30"/>
      <c r="EK630" s="30" t="str">
        <f t="shared" si="4"/>
        <v/>
      </c>
    </row>
    <row r="631" spans="1:141" ht="16.5">
      <c r="A631" s="11"/>
      <c r="B631" s="11"/>
      <c r="C631" s="11"/>
      <c r="D631" s="11"/>
      <c r="E631" s="11"/>
      <c r="F631" s="11"/>
      <c r="G631" s="11"/>
      <c r="H631" s="11"/>
      <c r="I631" s="11"/>
      <c r="J631" s="11"/>
      <c r="K631" s="27"/>
      <c r="L631" s="11"/>
      <c r="M631" s="11"/>
      <c r="N631" s="11"/>
      <c r="O631" s="11"/>
      <c r="P631" s="15"/>
      <c r="Q631" s="15"/>
      <c r="R631" s="15"/>
      <c r="S631" s="15"/>
      <c r="T631" s="15"/>
      <c r="U631" s="15"/>
      <c r="V631" s="15"/>
      <c r="W631" s="47"/>
      <c r="X631" s="11"/>
      <c r="Y631" s="48"/>
      <c r="Z631" s="11"/>
      <c r="AA631" s="48"/>
      <c r="AB631" s="11"/>
      <c r="AC631" s="48"/>
      <c r="AD631" s="11"/>
      <c r="AE631" s="47"/>
      <c r="AF631" s="11"/>
      <c r="AG631" s="48"/>
      <c r="AH631" s="11"/>
      <c r="AI631" s="48"/>
      <c r="AJ631" s="11"/>
      <c r="AK631" s="48"/>
      <c r="AL631" s="11"/>
      <c r="AM631" s="49"/>
      <c r="AN631" s="49"/>
      <c r="AO631" s="11"/>
      <c r="AP631" s="11"/>
      <c r="AQ631" s="28" t="b">
        <f>IF(COUNTIF(SmartStatus!A$2:A1000, AM631) &gt; 2, TRUE, FALSE)</f>
        <v>0</v>
      </c>
      <c r="AR631" s="29" t="str">
        <f ca="1">IFERROR(__xludf.DUMMYFUNCTION("iferror(if(regexmatch(AO631, ""(?i)^registered""), if(EE631 &lt;&gt; ""polity_shortest_name"", ""CHECK_POLITY"", index(filter(SmartStatus!B$2:B1000, AM631 = SmartStatus!A$2:A1000, not(SmartStatus!C$2:C1000), (isblank(SmartStatus!D$2:D1000)) + ((P631 &lt;&gt; """") * "&amp;"(P631 &lt; SmartStatus!D$2:D1000)), (isblank(SmartStatus!E$2:E1000)) + ((P631 &lt;&gt; """") * (P631 &gt;= SmartStatus!E$2:E1000)), (isblank(SmartStatus!F$2:F1000)) + (((Q631 &lt;&gt; """") * (Q631 &lt; SmartStatus!F$2:F1000)) + ((P631 &lt;&gt; """") * (date(year(P631) + 3, month(P"&amp;"631), day(P631)) &lt; SmartStatus!F$2:F1000))), (isblank(SmartStatus!G$2:G1000)) + (((Q631 &lt;&gt; """") * (Q631 &gt;= SmartStatus!G$2:G1000)) + ((P631 &lt;&gt; """") * (P631 &gt;= SmartStatus!G$2:G1000)))), if(or(regexmatch(B631, ""(?i)^ir [a-z]+ designation$""), N631 &lt;&gt; """&amp;"""), 1, 2))), """"), ""NO_MATCH"")"),"")</f>
        <v/>
      </c>
      <c r="AS631" s="11"/>
      <c r="AT631" s="15"/>
      <c r="AU631" s="11"/>
      <c r="AV631" s="11"/>
      <c r="AW631" s="15"/>
      <c r="AX631" s="15"/>
      <c r="AY631" s="15"/>
      <c r="AZ631" s="11"/>
      <c r="BA631" s="15"/>
      <c r="BB631" s="11"/>
      <c r="BC631" s="11"/>
      <c r="BD631" s="15"/>
      <c r="BE631" s="11"/>
      <c r="BF631" s="11"/>
      <c r="BG631" s="15"/>
      <c r="BH631" s="15"/>
      <c r="BI631" s="15"/>
      <c r="BJ631" s="11"/>
      <c r="BK631" s="15"/>
      <c r="BL631" s="11"/>
      <c r="BM631" s="11"/>
      <c r="BN631" s="15"/>
      <c r="BO631" s="11"/>
      <c r="BP631" s="11"/>
      <c r="BQ631" s="15"/>
      <c r="BR631" s="15"/>
      <c r="BS631" s="15"/>
      <c r="BT631" s="11"/>
      <c r="BU631" s="15"/>
      <c r="BV631" s="11"/>
      <c r="BW631" s="11"/>
      <c r="BX631" s="15"/>
      <c r="BY631" s="11"/>
      <c r="BZ631" s="11"/>
      <c r="CA631" s="15"/>
      <c r="CB631" s="11"/>
      <c r="CC631" s="15"/>
      <c r="CD631" s="11"/>
      <c r="CE631" s="15"/>
      <c r="CF631" s="11"/>
      <c r="CG631" s="11"/>
      <c r="CH631" s="15"/>
      <c r="CI631" s="11"/>
      <c r="CJ631" s="11"/>
      <c r="CK631" s="15"/>
      <c r="CL631" s="11"/>
      <c r="CM631" s="11"/>
      <c r="CN631" s="11"/>
      <c r="CO631" s="11"/>
      <c r="CP631" s="28"/>
      <c r="CQ631" s="28"/>
      <c r="CR631" s="11"/>
      <c r="CS631" s="29"/>
      <c r="CT631" s="11"/>
      <c r="CU631" s="11"/>
      <c r="CV631" s="11"/>
      <c r="CW631" s="11"/>
      <c r="CX631" s="11"/>
      <c r="CY631" s="11"/>
      <c r="CZ631" s="11"/>
      <c r="DA631" s="28"/>
      <c r="DB631" s="28"/>
      <c r="DC631" s="11"/>
      <c r="DD631" s="29"/>
      <c r="DE631" s="11"/>
      <c r="DF631" s="11"/>
      <c r="DG631" s="11"/>
      <c r="DH631" s="11"/>
      <c r="DI631" s="11"/>
      <c r="DJ631" s="11"/>
      <c r="DK631" s="26"/>
      <c r="DL631" s="11"/>
      <c r="DM631" s="29"/>
      <c r="DN631" s="28"/>
      <c r="DO631" s="11"/>
      <c r="DP631" s="11"/>
      <c r="DQ631" s="11"/>
      <c r="DR631" s="29"/>
      <c r="DS631" s="28"/>
      <c r="DT631" s="11"/>
      <c r="DU631" s="26"/>
      <c r="DV631" s="11"/>
      <c r="DW631" s="29"/>
      <c r="DX631" s="28"/>
      <c r="DY631" s="11"/>
      <c r="DZ631" s="26"/>
      <c r="EA631" s="11"/>
      <c r="EB631" s="29"/>
      <c r="EC631" s="28"/>
      <c r="ED631" s="30"/>
      <c r="EE631" s="30" t="str">
        <f ca="1">IFERROR(__xludf.DUMMYFUNCTION("iferror(index(filter('Internal -- Trademark Countries'!E$2:E1000, (AM631 = 'Internal -- Trademark Countries'!B$2:B1000) + (AM631 = 'Internal -- Trademark Countries'!C$2:C1000) + (AM631 = 'Internal -- Trademark Countries'!D$2:D1000)), 1))"),"")</f>
        <v/>
      </c>
      <c r="EF631" s="30" t="e">
        <f ca="1">_xludf.ifs(AM631="", "", COUNTIF('Internal -- Trademark Countries'!B:B,AM631) &gt; 0, "polity_shortest_name", COUNTIF('Internal -- Trademark Countries'!C:C,AM631) &gt; 0, "polity_full_name", COUNTIF('Internal -- Trademark Countries'!D:D,AM631) &gt; 0, "polity_common_name", COUNTIF('Internal -- Trademark Countries'!E:E,AM631) &gt; 0, "shortest_name", COUNTIF('Internal -- Trademark Countries'!A:A,AM631) &gt; 0, "full_name", TRUE, "not a match")</f>
        <v>#NAME?</v>
      </c>
      <c r="EG631" s="30"/>
      <c r="EH631" s="30"/>
      <c r="EI631" s="30"/>
      <c r="EJ631" s="30"/>
      <c r="EK631" s="30" t="str">
        <f t="shared" si="4"/>
        <v/>
      </c>
    </row>
    <row r="632" spans="1:141" ht="16.5">
      <c r="A632" s="11"/>
      <c r="B632" s="11"/>
      <c r="C632" s="11"/>
      <c r="D632" s="11"/>
      <c r="E632" s="11"/>
      <c r="F632" s="11"/>
      <c r="G632" s="11"/>
      <c r="H632" s="11"/>
      <c r="I632" s="11"/>
      <c r="J632" s="11"/>
      <c r="K632" s="27"/>
      <c r="L632" s="11"/>
      <c r="M632" s="11"/>
      <c r="N632" s="11"/>
      <c r="O632" s="11"/>
      <c r="P632" s="15"/>
      <c r="Q632" s="15"/>
      <c r="R632" s="15"/>
      <c r="S632" s="15"/>
      <c r="T632" s="15"/>
      <c r="U632" s="15"/>
      <c r="V632" s="15"/>
      <c r="W632" s="47"/>
      <c r="X632" s="11"/>
      <c r="Y632" s="48"/>
      <c r="Z632" s="11"/>
      <c r="AA632" s="48"/>
      <c r="AB632" s="11"/>
      <c r="AC632" s="48"/>
      <c r="AD632" s="11"/>
      <c r="AE632" s="47"/>
      <c r="AF632" s="11"/>
      <c r="AG632" s="48"/>
      <c r="AH632" s="11"/>
      <c r="AI632" s="48"/>
      <c r="AJ632" s="11"/>
      <c r="AK632" s="48"/>
      <c r="AL632" s="11"/>
      <c r="AM632" s="49"/>
      <c r="AN632" s="49"/>
      <c r="AO632" s="11"/>
      <c r="AP632" s="11"/>
      <c r="AQ632" s="28" t="b">
        <f>IF(COUNTIF(SmartStatus!A$2:A1000, AM632) &gt; 2, TRUE, FALSE)</f>
        <v>0</v>
      </c>
      <c r="AR632" s="29" t="str">
        <f ca="1">IFERROR(__xludf.DUMMYFUNCTION("iferror(if(regexmatch(AO632, ""(?i)^registered""), if(EE632 &lt;&gt; ""polity_shortest_name"", ""CHECK_POLITY"", index(filter(SmartStatus!B$2:B1000, AM632 = SmartStatus!A$2:A1000, not(SmartStatus!C$2:C1000), (isblank(SmartStatus!D$2:D1000)) + ((P632 &lt;&gt; """") * "&amp;"(P632 &lt; SmartStatus!D$2:D1000)), (isblank(SmartStatus!E$2:E1000)) + ((P632 &lt;&gt; """") * (P632 &gt;= SmartStatus!E$2:E1000)), (isblank(SmartStatus!F$2:F1000)) + (((Q632 &lt;&gt; """") * (Q632 &lt; SmartStatus!F$2:F1000)) + ((P632 &lt;&gt; """") * (date(year(P632) + 3, month(P"&amp;"632), day(P632)) &lt; SmartStatus!F$2:F1000))), (isblank(SmartStatus!G$2:G1000)) + (((Q632 &lt;&gt; """") * (Q632 &gt;= SmartStatus!G$2:G1000)) + ((P632 &lt;&gt; """") * (P632 &gt;= SmartStatus!G$2:G1000)))), if(or(regexmatch(B632, ""(?i)^ir [a-z]+ designation$""), N632 &lt;&gt; """&amp;"""), 1, 2))), """"), ""NO_MATCH"")"),"")</f>
        <v/>
      </c>
      <c r="AS632" s="11"/>
      <c r="AT632" s="15"/>
      <c r="AU632" s="11"/>
      <c r="AV632" s="11"/>
      <c r="AW632" s="15"/>
      <c r="AX632" s="15"/>
      <c r="AY632" s="15"/>
      <c r="AZ632" s="11"/>
      <c r="BA632" s="15"/>
      <c r="BB632" s="11"/>
      <c r="BC632" s="11"/>
      <c r="BD632" s="15"/>
      <c r="BE632" s="11"/>
      <c r="BF632" s="11"/>
      <c r="BG632" s="15"/>
      <c r="BH632" s="15"/>
      <c r="BI632" s="15"/>
      <c r="BJ632" s="11"/>
      <c r="BK632" s="15"/>
      <c r="BL632" s="11"/>
      <c r="BM632" s="11"/>
      <c r="BN632" s="15"/>
      <c r="BO632" s="11"/>
      <c r="BP632" s="11"/>
      <c r="BQ632" s="15"/>
      <c r="BR632" s="15"/>
      <c r="BS632" s="15"/>
      <c r="BT632" s="11"/>
      <c r="BU632" s="15"/>
      <c r="BV632" s="11"/>
      <c r="BW632" s="11"/>
      <c r="BX632" s="15"/>
      <c r="BY632" s="11"/>
      <c r="BZ632" s="11"/>
      <c r="CA632" s="15"/>
      <c r="CB632" s="11"/>
      <c r="CC632" s="15"/>
      <c r="CD632" s="11"/>
      <c r="CE632" s="15"/>
      <c r="CF632" s="11"/>
      <c r="CG632" s="11"/>
      <c r="CH632" s="15"/>
      <c r="CI632" s="11"/>
      <c r="CJ632" s="11"/>
      <c r="CK632" s="15"/>
      <c r="CL632" s="11"/>
      <c r="CM632" s="11"/>
      <c r="CN632" s="11"/>
      <c r="CO632" s="11"/>
      <c r="CP632" s="28"/>
      <c r="CQ632" s="28"/>
      <c r="CR632" s="11"/>
      <c r="CS632" s="29"/>
      <c r="CT632" s="11"/>
      <c r="CU632" s="11"/>
      <c r="CV632" s="11"/>
      <c r="CW632" s="11"/>
      <c r="CX632" s="11"/>
      <c r="CY632" s="11"/>
      <c r="CZ632" s="11"/>
      <c r="DA632" s="28"/>
      <c r="DB632" s="28"/>
      <c r="DC632" s="11"/>
      <c r="DD632" s="29"/>
      <c r="DE632" s="11"/>
      <c r="DF632" s="11"/>
      <c r="DG632" s="11"/>
      <c r="DH632" s="11"/>
      <c r="DI632" s="11"/>
      <c r="DJ632" s="11"/>
      <c r="DK632" s="26"/>
      <c r="DL632" s="11"/>
      <c r="DM632" s="29"/>
      <c r="DN632" s="28"/>
      <c r="DO632" s="11"/>
      <c r="DP632" s="11"/>
      <c r="DQ632" s="11"/>
      <c r="DR632" s="29"/>
      <c r="DS632" s="28"/>
      <c r="DT632" s="11"/>
      <c r="DU632" s="26"/>
      <c r="DV632" s="11"/>
      <c r="DW632" s="29"/>
      <c r="DX632" s="28"/>
      <c r="DY632" s="11"/>
      <c r="DZ632" s="26"/>
      <c r="EA632" s="11"/>
      <c r="EB632" s="29"/>
      <c r="EC632" s="28"/>
      <c r="ED632" s="30"/>
      <c r="EE632" s="30" t="str">
        <f ca="1">IFERROR(__xludf.DUMMYFUNCTION("iferror(index(filter('Internal -- Trademark Countries'!E$2:E1000, (AM632 = 'Internal -- Trademark Countries'!B$2:B1000) + (AM632 = 'Internal -- Trademark Countries'!C$2:C1000) + (AM632 = 'Internal -- Trademark Countries'!D$2:D1000)), 1))"),"")</f>
        <v/>
      </c>
      <c r="EF632" s="30" t="e">
        <f ca="1">_xludf.ifs(AM632="", "", COUNTIF('Internal -- Trademark Countries'!B:B,AM632) &gt; 0, "polity_shortest_name", COUNTIF('Internal -- Trademark Countries'!C:C,AM632) &gt; 0, "polity_full_name", COUNTIF('Internal -- Trademark Countries'!D:D,AM632) &gt; 0, "polity_common_name", COUNTIF('Internal -- Trademark Countries'!E:E,AM632) &gt; 0, "shortest_name", COUNTIF('Internal -- Trademark Countries'!A:A,AM632) &gt; 0, "full_name", TRUE, "not a match")</f>
        <v>#NAME?</v>
      </c>
      <c r="EG632" s="30"/>
      <c r="EH632" s="30"/>
      <c r="EI632" s="30"/>
      <c r="EJ632" s="30"/>
      <c r="EK632" s="30" t="str">
        <f t="shared" si="4"/>
        <v/>
      </c>
    </row>
    <row r="633" spans="1:141" ht="16.5">
      <c r="A633" s="11"/>
      <c r="B633" s="11"/>
      <c r="C633" s="11"/>
      <c r="D633" s="11"/>
      <c r="E633" s="11"/>
      <c r="F633" s="11"/>
      <c r="G633" s="11"/>
      <c r="H633" s="11"/>
      <c r="I633" s="11"/>
      <c r="J633" s="11"/>
      <c r="K633" s="27"/>
      <c r="L633" s="11"/>
      <c r="M633" s="11"/>
      <c r="N633" s="11"/>
      <c r="O633" s="11"/>
      <c r="P633" s="15"/>
      <c r="Q633" s="15"/>
      <c r="R633" s="15"/>
      <c r="S633" s="15"/>
      <c r="T633" s="15"/>
      <c r="U633" s="15"/>
      <c r="V633" s="15"/>
      <c r="W633" s="47"/>
      <c r="X633" s="11"/>
      <c r="Y633" s="48"/>
      <c r="Z633" s="11"/>
      <c r="AA633" s="48"/>
      <c r="AB633" s="11"/>
      <c r="AC633" s="48"/>
      <c r="AD633" s="11"/>
      <c r="AE633" s="47"/>
      <c r="AF633" s="11"/>
      <c r="AG633" s="48"/>
      <c r="AH633" s="11"/>
      <c r="AI633" s="48"/>
      <c r="AJ633" s="11"/>
      <c r="AK633" s="48"/>
      <c r="AL633" s="11"/>
      <c r="AM633" s="49"/>
      <c r="AN633" s="49"/>
      <c r="AO633" s="11"/>
      <c r="AP633" s="11"/>
      <c r="AQ633" s="28" t="b">
        <f>IF(COUNTIF(SmartStatus!A$2:A1000, AM633) &gt; 2, TRUE, FALSE)</f>
        <v>0</v>
      </c>
      <c r="AR633" s="29" t="str">
        <f ca="1">IFERROR(__xludf.DUMMYFUNCTION("iferror(if(regexmatch(AO633, ""(?i)^registered""), if(EE633 &lt;&gt; ""polity_shortest_name"", ""CHECK_POLITY"", index(filter(SmartStatus!B$2:B1000, AM633 = SmartStatus!A$2:A1000, not(SmartStatus!C$2:C1000), (isblank(SmartStatus!D$2:D1000)) + ((P633 &lt;&gt; """") * "&amp;"(P633 &lt; SmartStatus!D$2:D1000)), (isblank(SmartStatus!E$2:E1000)) + ((P633 &lt;&gt; """") * (P633 &gt;= SmartStatus!E$2:E1000)), (isblank(SmartStatus!F$2:F1000)) + (((Q633 &lt;&gt; """") * (Q633 &lt; SmartStatus!F$2:F1000)) + ((P633 &lt;&gt; """") * (date(year(P633) + 3, month(P"&amp;"633), day(P633)) &lt; SmartStatus!F$2:F1000))), (isblank(SmartStatus!G$2:G1000)) + (((Q633 &lt;&gt; """") * (Q633 &gt;= SmartStatus!G$2:G1000)) + ((P633 &lt;&gt; """") * (P633 &gt;= SmartStatus!G$2:G1000)))), if(or(regexmatch(B633, ""(?i)^ir [a-z]+ designation$""), N633 &lt;&gt; """&amp;"""), 1, 2))), """"), ""NO_MATCH"")"),"")</f>
        <v/>
      </c>
      <c r="AS633" s="11"/>
      <c r="AT633" s="15"/>
      <c r="AU633" s="11"/>
      <c r="AV633" s="11"/>
      <c r="AW633" s="15"/>
      <c r="AX633" s="15"/>
      <c r="AY633" s="15"/>
      <c r="AZ633" s="11"/>
      <c r="BA633" s="15"/>
      <c r="BB633" s="11"/>
      <c r="BC633" s="11"/>
      <c r="BD633" s="15"/>
      <c r="BE633" s="11"/>
      <c r="BF633" s="11"/>
      <c r="BG633" s="15"/>
      <c r="BH633" s="15"/>
      <c r="BI633" s="15"/>
      <c r="BJ633" s="11"/>
      <c r="BK633" s="15"/>
      <c r="BL633" s="11"/>
      <c r="BM633" s="11"/>
      <c r="BN633" s="15"/>
      <c r="BO633" s="11"/>
      <c r="BP633" s="11"/>
      <c r="BQ633" s="15"/>
      <c r="BR633" s="15"/>
      <c r="BS633" s="15"/>
      <c r="BT633" s="11"/>
      <c r="BU633" s="15"/>
      <c r="BV633" s="11"/>
      <c r="BW633" s="11"/>
      <c r="BX633" s="15"/>
      <c r="BY633" s="11"/>
      <c r="BZ633" s="11"/>
      <c r="CA633" s="15"/>
      <c r="CB633" s="11"/>
      <c r="CC633" s="15"/>
      <c r="CD633" s="11"/>
      <c r="CE633" s="15"/>
      <c r="CF633" s="11"/>
      <c r="CG633" s="11"/>
      <c r="CH633" s="15"/>
      <c r="CI633" s="11"/>
      <c r="CJ633" s="11"/>
      <c r="CK633" s="15"/>
      <c r="CL633" s="11"/>
      <c r="CM633" s="11"/>
      <c r="CN633" s="11"/>
      <c r="CO633" s="11"/>
      <c r="CP633" s="28"/>
      <c r="CQ633" s="28"/>
      <c r="CR633" s="11"/>
      <c r="CS633" s="29"/>
      <c r="CT633" s="11"/>
      <c r="CU633" s="11"/>
      <c r="CV633" s="11"/>
      <c r="CW633" s="11"/>
      <c r="CX633" s="11"/>
      <c r="CY633" s="11"/>
      <c r="CZ633" s="11"/>
      <c r="DA633" s="28"/>
      <c r="DB633" s="28"/>
      <c r="DC633" s="11"/>
      <c r="DD633" s="29"/>
      <c r="DE633" s="11"/>
      <c r="DF633" s="11"/>
      <c r="DG633" s="11"/>
      <c r="DH633" s="11"/>
      <c r="DI633" s="11"/>
      <c r="DJ633" s="11"/>
      <c r="DK633" s="26"/>
      <c r="DL633" s="11"/>
      <c r="DM633" s="29"/>
      <c r="DN633" s="28"/>
      <c r="DO633" s="11"/>
      <c r="DP633" s="11"/>
      <c r="DQ633" s="11"/>
      <c r="DR633" s="29"/>
      <c r="DS633" s="28"/>
      <c r="DT633" s="11"/>
      <c r="DU633" s="26"/>
      <c r="DV633" s="11"/>
      <c r="DW633" s="29"/>
      <c r="DX633" s="28"/>
      <c r="DY633" s="11"/>
      <c r="DZ633" s="26"/>
      <c r="EA633" s="11"/>
      <c r="EB633" s="29"/>
      <c r="EC633" s="28"/>
      <c r="ED633" s="30"/>
      <c r="EE633" s="30" t="str">
        <f ca="1">IFERROR(__xludf.DUMMYFUNCTION("iferror(index(filter('Internal -- Trademark Countries'!E$2:E1000, (AM633 = 'Internal -- Trademark Countries'!B$2:B1000) + (AM633 = 'Internal -- Trademark Countries'!C$2:C1000) + (AM633 = 'Internal -- Trademark Countries'!D$2:D1000)), 1))"),"")</f>
        <v/>
      </c>
      <c r="EF633" s="30" t="e">
        <f ca="1">_xludf.ifs(AM633="", "", COUNTIF('Internal -- Trademark Countries'!B:B,AM633) &gt; 0, "polity_shortest_name", COUNTIF('Internal -- Trademark Countries'!C:C,AM633) &gt; 0, "polity_full_name", COUNTIF('Internal -- Trademark Countries'!D:D,AM633) &gt; 0, "polity_common_name", COUNTIF('Internal -- Trademark Countries'!E:E,AM633) &gt; 0, "shortest_name", COUNTIF('Internal -- Trademark Countries'!A:A,AM633) &gt; 0, "full_name", TRUE, "not a match")</f>
        <v>#NAME?</v>
      </c>
      <c r="EG633" s="30"/>
      <c r="EH633" s="30"/>
      <c r="EI633" s="30"/>
      <c r="EJ633" s="30"/>
      <c r="EK633" s="30" t="str">
        <f t="shared" si="4"/>
        <v/>
      </c>
    </row>
    <row r="634" spans="1:141" ht="16.5">
      <c r="A634" s="11"/>
      <c r="B634" s="11"/>
      <c r="C634" s="11"/>
      <c r="D634" s="11"/>
      <c r="E634" s="11"/>
      <c r="F634" s="11"/>
      <c r="G634" s="11"/>
      <c r="H634" s="11"/>
      <c r="I634" s="11"/>
      <c r="J634" s="11"/>
      <c r="K634" s="27"/>
      <c r="L634" s="11"/>
      <c r="M634" s="11"/>
      <c r="N634" s="11"/>
      <c r="O634" s="11"/>
      <c r="P634" s="15"/>
      <c r="Q634" s="15"/>
      <c r="R634" s="15"/>
      <c r="S634" s="15"/>
      <c r="T634" s="15"/>
      <c r="U634" s="15"/>
      <c r="V634" s="15"/>
      <c r="W634" s="47"/>
      <c r="X634" s="11"/>
      <c r="Y634" s="48"/>
      <c r="Z634" s="11"/>
      <c r="AA634" s="48"/>
      <c r="AB634" s="11"/>
      <c r="AC634" s="48"/>
      <c r="AD634" s="11"/>
      <c r="AE634" s="47"/>
      <c r="AF634" s="11"/>
      <c r="AG634" s="48"/>
      <c r="AH634" s="11"/>
      <c r="AI634" s="48"/>
      <c r="AJ634" s="11"/>
      <c r="AK634" s="48"/>
      <c r="AL634" s="11"/>
      <c r="AM634" s="49"/>
      <c r="AN634" s="49"/>
      <c r="AO634" s="11"/>
      <c r="AP634" s="11"/>
      <c r="AQ634" s="28" t="b">
        <f>IF(COUNTIF(SmartStatus!A$2:A1000, AM634) &gt; 2, TRUE, FALSE)</f>
        <v>0</v>
      </c>
      <c r="AR634" s="29" t="str">
        <f ca="1">IFERROR(__xludf.DUMMYFUNCTION("iferror(if(regexmatch(AO634, ""(?i)^registered""), if(EE634 &lt;&gt; ""polity_shortest_name"", ""CHECK_POLITY"", index(filter(SmartStatus!B$2:B1000, AM634 = SmartStatus!A$2:A1000, not(SmartStatus!C$2:C1000), (isblank(SmartStatus!D$2:D1000)) + ((P634 &lt;&gt; """") * "&amp;"(P634 &lt; SmartStatus!D$2:D1000)), (isblank(SmartStatus!E$2:E1000)) + ((P634 &lt;&gt; """") * (P634 &gt;= SmartStatus!E$2:E1000)), (isblank(SmartStatus!F$2:F1000)) + (((Q634 &lt;&gt; """") * (Q634 &lt; SmartStatus!F$2:F1000)) + ((P634 &lt;&gt; """") * (date(year(P634) + 3, month(P"&amp;"634), day(P634)) &lt; SmartStatus!F$2:F1000))), (isblank(SmartStatus!G$2:G1000)) + (((Q634 &lt;&gt; """") * (Q634 &gt;= SmartStatus!G$2:G1000)) + ((P634 &lt;&gt; """") * (P634 &gt;= SmartStatus!G$2:G1000)))), if(or(regexmatch(B634, ""(?i)^ir [a-z]+ designation$""), N634 &lt;&gt; """&amp;"""), 1, 2))), """"), ""NO_MATCH"")"),"")</f>
        <v/>
      </c>
      <c r="AS634" s="11"/>
      <c r="AT634" s="15"/>
      <c r="AU634" s="11"/>
      <c r="AV634" s="11"/>
      <c r="AW634" s="15"/>
      <c r="AX634" s="15"/>
      <c r="AY634" s="15"/>
      <c r="AZ634" s="11"/>
      <c r="BA634" s="15"/>
      <c r="BB634" s="11"/>
      <c r="BC634" s="11"/>
      <c r="BD634" s="15"/>
      <c r="BE634" s="11"/>
      <c r="BF634" s="11"/>
      <c r="BG634" s="15"/>
      <c r="BH634" s="15"/>
      <c r="BI634" s="15"/>
      <c r="BJ634" s="11"/>
      <c r="BK634" s="15"/>
      <c r="BL634" s="11"/>
      <c r="BM634" s="11"/>
      <c r="BN634" s="15"/>
      <c r="BO634" s="11"/>
      <c r="BP634" s="11"/>
      <c r="BQ634" s="15"/>
      <c r="BR634" s="15"/>
      <c r="BS634" s="15"/>
      <c r="BT634" s="11"/>
      <c r="BU634" s="15"/>
      <c r="BV634" s="11"/>
      <c r="BW634" s="11"/>
      <c r="BX634" s="15"/>
      <c r="BY634" s="11"/>
      <c r="BZ634" s="11"/>
      <c r="CA634" s="15"/>
      <c r="CB634" s="11"/>
      <c r="CC634" s="15"/>
      <c r="CD634" s="11"/>
      <c r="CE634" s="15"/>
      <c r="CF634" s="11"/>
      <c r="CG634" s="11"/>
      <c r="CH634" s="15"/>
      <c r="CI634" s="11"/>
      <c r="CJ634" s="11"/>
      <c r="CK634" s="15"/>
      <c r="CL634" s="11"/>
      <c r="CM634" s="11"/>
      <c r="CN634" s="11"/>
      <c r="CO634" s="11"/>
      <c r="CP634" s="28"/>
      <c r="CQ634" s="28"/>
      <c r="CR634" s="11"/>
      <c r="CS634" s="29"/>
      <c r="CT634" s="11"/>
      <c r="CU634" s="11"/>
      <c r="CV634" s="11"/>
      <c r="CW634" s="11"/>
      <c r="CX634" s="11"/>
      <c r="CY634" s="11"/>
      <c r="CZ634" s="11"/>
      <c r="DA634" s="28"/>
      <c r="DB634" s="28"/>
      <c r="DC634" s="11"/>
      <c r="DD634" s="29"/>
      <c r="DE634" s="11"/>
      <c r="DF634" s="11"/>
      <c r="DG634" s="11"/>
      <c r="DH634" s="11"/>
      <c r="DI634" s="11"/>
      <c r="DJ634" s="11"/>
      <c r="DK634" s="26"/>
      <c r="DL634" s="11"/>
      <c r="DM634" s="29"/>
      <c r="DN634" s="28"/>
      <c r="DO634" s="11"/>
      <c r="DP634" s="11"/>
      <c r="DQ634" s="11"/>
      <c r="DR634" s="29"/>
      <c r="DS634" s="28"/>
      <c r="DT634" s="11"/>
      <c r="DU634" s="26"/>
      <c r="DV634" s="11"/>
      <c r="DW634" s="29"/>
      <c r="DX634" s="28"/>
      <c r="DY634" s="11"/>
      <c r="DZ634" s="26"/>
      <c r="EA634" s="11"/>
      <c r="EB634" s="29"/>
      <c r="EC634" s="28"/>
      <c r="ED634" s="30"/>
      <c r="EE634" s="30" t="str">
        <f ca="1">IFERROR(__xludf.DUMMYFUNCTION("iferror(index(filter('Internal -- Trademark Countries'!E$2:E1000, (AM634 = 'Internal -- Trademark Countries'!B$2:B1000) + (AM634 = 'Internal -- Trademark Countries'!C$2:C1000) + (AM634 = 'Internal -- Trademark Countries'!D$2:D1000)), 1))"),"")</f>
        <v/>
      </c>
      <c r="EF634" s="30" t="e">
        <f ca="1">_xludf.ifs(AM634="", "", COUNTIF('Internal -- Trademark Countries'!B:B,AM634) &gt; 0, "polity_shortest_name", COUNTIF('Internal -- Trademark Countries'!C:C,AM634) &gt; 0, "polity_full_name", COUNTIF('Internal -- Trademark Countries'!D:D,AM634) &gt; 0, "polity_common_name", COUNTIF('Internal -- Trademark Countries'!E:E,AM634) &gt; 0, "shortest_name", COUNTIF('Internal -- Trademark Countries'!A:A,AM634) &gt; 0, "full_name", TRUE, "not a match")</f>
        <v>#NAME?</v>
      </c>
      <c r="EG634" s="30"/>
      <c r="EH634" s="30"/>
      <c r="EI634" s="30"/>
      <c r="EJ634" s="30"/>
      <c r="EK634" s="30" t="str">
        <f t="shared" si="4"/>
        <v/>
      </c>
    </row>
    <row r="635" spans="1:141" ht="16.5">
      <c r="A635" s="11"/>
      <c r="B635" s="11"/>
      <c r="C635" s="11"/>
      <c r="D635" s="11"/>
      <c r="E635" s="11"/>
      <c r="F635" s="11"/>
      <c r="G635" s="11"/>
      <c r="H635" s="11"/>
      <c r="I635" s="11"/>
      <c r="J635" s="11"/>
      <c r="K635" s="27"/>
      <c r="L635" s="11"/>
      <c r="M635" s="11"/>
      <c r="N635" s="11"/>
      <c r="O635" s="11"/>
      <c r="P635" s="15"/>
      <c r="Q635" s="15"/>
      <c r="R635" s="15"/>
      <c r="S635" s="15"/>
      <c r="T635" s="15"/>
      <c r="U635" s="15"/>
      <c r="V635" s="15"/>
      <c r="W635" s="47"/>
      <c r="X635" s="11"/>
      <c r="Y635" s="48"/>
      <c r="Z635" s="11"/>
      <c r="AA635" s="48"/>
      <c r="AB635" s="11"/>
      <c r="AC635" s="48"/>
      <c r="AD635" s="11"/>
      <c r="AE635" s="47"/>
      <c r="AF635" s="11"/>
      <c r="AG635" s="48"/>
      <c r="AH635" s="11"/>
      <c r="AI635" s="48"/>
      <c r="AJ635" s="11"/>
      <c r="AK635" s="48"/>
      <c r="AL635" s="11"/>
      <c r="AM635" s="49"/>
      <c r="AN635" s="49"/>
      <c r="AO635" s="11"/>
      <c r="AP635" s="11"/>
      <c r="AQ635" s="28" t="b">
        <f>IF(COUNTIF(SmartStatus!A$2:A1000, AM635) &gt; 2, TRUE, FALSE)</f>
        <v>0</v>
      </c>
      <c r="AR635" s="29" t="str">
        <f ca="1">IFERROR(__xludf.DUMMYFUNCTION("iferror(if(regexmatch(AO635, ""(?i)^registered""), if(EE635 &lt;&gt; ""polity_shortest_name"", ""CHECK_POLITY"", index(filter(SmartStatus!B$2:B1000, AM635 = SmartStatus!A$2:A1000, not(SmartStatus!C$2:C1000), (isblank(SmartStatus!D$2:D1000)) + ((P635 &lt;&gt; """") * "&amp;"(P635 &lt; SmartStatus!D$2:D1000)), (isblank(SmartStatus!E$2:E1000)) + ((P635 &lt;&gt; """") * (P635 &gt;= SmartStatus!E$2:E1000)), (isblank(SmartStatus!F$2:F1000)) + (((Q635 &lt;&gt; """") * (Q635 &lt; SmartStatus!F$2:F1000)) + ((P635 &lt;&gt; """") * (date(year(P635) + 3, month(P"&amp;"635), day(P635)) &lt; SmartStatus!F$2:F1000))), (isblank(SmartStatus!G$2:G1000)) + (((Q635 &lt;&gt; """") * (Q635 &gt;= SmartStatus!G$2:G1000)) + ((P635 &lt;&gt; """") * (P635 &gt;= SmartStatus!G$2:G1000)))), if(or(regexmatch(B635, ""(?i)^ir [a-z]+ designation$""), N635 &lt;&gt; """&amp;"""), 1, 2))), """"), ""NO_MATCH"")"),"")</f>
        <v/>
      </c>
      <c r="AS635" s="11"/>
      <c r="AT635" s="15"/>
      <c r="AU635" s="11"/>
      <c r="AV635" s="11"/>
      <c r="AW635" s="15"/>
      <c r="AX635" s="15"/>
      <c r="AY635" s="15"/>
      <c r="AZ635" s="11"/>
      <c r="BA635" s="15"/>
      <c r="BB635" s="11"/>
      <c r="BC635" s="11"/>
      <c r="BD635" s="15"/>
      <c r="BE635" s="11"/>
      <c r="BF635" s="11"/>
      <c r="BG635" s="15"/>
      <c r="BH635" s="15"/>
      <c r="BI635" s="15"/>
      <c r="BJ635" s="11"/>
      <c r="BK635" s="15"/>
      <c r="BL635" s="11"/>
      <c r="BM635" s="11"/>
      <c r="BN635" s="15"/>
      <c r="BO635" s="11"/>
      <c r="BP635" s="11"/>
      <c r="BQ635" s="15"/>
      <c r="BR635" s="15"/>
      <c r="BS635" s="15"/>
      <c r="BT635" s="11"/>
      <c r="BU635" s="15"/>
      <c r="BV635" s="11"/>
      <c r="BW635" s="11"/>
      <c r="BX635" s="15"/>
      <c r="BY635" s="11"/>
      <c r="BZ635" s="11"/>
      <c r="CA635" s="15"/>
      <c r="CB635" s="11"/>
      <c r="CC635" s="15"/>
      <c r="CD635" s="11"/>
      <c r="CE635" s="15"/>
      <c r="CF635" s="11"/>
      <c r="CG635" s="11"/>
      <c r="CH635" s="15"/>
      <c r="CI635" s="11"/>
      <c r="CJ635" s="11"/>
      <c r="CK635" s="15"/>
      <c r="CL635" s="11"/>
      <c r="CM635" s="11"/>
      <c r="CN635" s="11"/>
      <c r="CO635" s="11"/>
      <c r="CP635" s="28"/>
      <c r="CQ635" s="28"/>
      <c r="CR635" s="11"/>
      <c r="CS635" s="29"/>
      <c r="CT635" s="11"/>
      <c r="CU635" s="11"/>
      <c r="CV635" s="11"/>
      <c r="CW635" s="11"/>
      <c r="CX635" s="11"/>
      <c r="CY635" s="11"/>
      <c r="CZ635" s="11"/>
      <c r="DA635" s="28"/>
      <c r="DB635" s="28"/>
      <c r="DC635" s="11"/>
      <c r="DD635" s="29"/>
      <c r="DE635" s="11"/>
      <c r="DF635" s="11"/>
      <c r="DG635" s="11"/>
      <c r="DH635" s="11"/>
      <c r="DI635" s="11"/>
      <c r="DJ635" s="11"/>
      <c r="DK635" s="26"/>
      <c r="DL635" s="11"/>
      <c r="DM635" s="29"/>
      <c r="DN635" s="28"/>
      <c r="DO635" s="11"/>
      <c r="DP635" s="11"/>
      <c r="DQ635" s="11"/>
      <c r="DR635" s="29"/>
      <c r="DS635" s="28"/>
      <c r="DT635" s="11"/>
      <c r="DU635" s="26"/>
      <c r="DV635" s="11"/>
      <c r="DW635" s="29"/>
      <c r="DX635" s="28"/>
      <c r="DY635" s="11"/>
      <c r="DZ635" s="26"/>
      <c r="EA635" s="11"/>
      <c r="EB635" s="29"/>
      <c r="EC635" s="28"/>
      <c r="ED635" s="30"/>
      <c r="EE635" s="30" t="str">
        <f ca="1">IFERROR(__xludf.DUMMYFUNCTION("iferror(index(filter('Internal -- Trademark Countries'!E$2:E1000, (AM635 = 'Internal -- Trademark Countries'!B$2:B1000) + (AM635 = 'Internal -- Trademark Countries'!C$2:C1000) + (AM635 = 'Internal -- Trademark Countries'!D$2:D1000)), 1))"),"")</f>
        <v/>
      </c>
      <c r="EF635" s="30" t="e">
        <f ca="1">_xludf.ifs(AM635="", "", COUNTIF('Internal -- Trademark Countries'!B:B,AM635) &gt; 0, "polity_shortest_name", COUNTIF('Internal -- Trademark Countries'!C:C,AM635) &gt; 0, "polity_full_name", COUNTIF('Internal -- Trademark Countries'!D:D,AM635) &gt; 0, "polity_common_name", COUNTIF('Internal -- Trademark Countries'!E:E,AM635) &gt; 0, "shortest_name", COUNTIF('Internal -- Trademark Countries'!A:A,AM635) &gt; 0, "full_name", TRUE, "not a match")</f>
        <v>#NAME?</v>
      </c>
      <c r="EG635" s="30"/>
      <c r="EH635" s="30"/>
      <c r="EI635" s="30"/>
      <c r="EJ635" s="30"/>
      <c r="EK635" s="30" t="str">
        <f t="shared" si="4"/>
        <v/>
      </c>
    </row>
    <row r="636" spans="1:141" ht="16.5">
      <c r="A636" s="11"/>
      <c r="B636" s="11"/>
      <c r="C636" s="11"/>
      <c r="D636" s="11"/>
      <c r="E636" s="11"/>
      <c r="F636" s="11"/>
      <c r="G636" s="11"/>
      <c r="H636" s="11"/>
      <c r="I636" s="11"/>
      <c r="J636" s="11"/>
      <c r="K636" s="27"/>
      <c r="L636" s="11"/>
      <c r="M636" s="11"/>
      <c r="N636" s="11"/>
      <c r="O636" s="11"/>
      <c r="P636" s="15"/>
      <c r="Q636" s="15"/>
      <c r="R636" s="15"/>
      <c r="S636" s="15"/>
      <c r="T636" s="15"/>
      <c r="U636" s="15"/>
      <c r="V636" s="15"/>
      <c r="W636" s="47"/>
      <c r="X636" s="11"/>
      <c r="Y636" s="48"/>
      <c r="Z636" s="11"/>
      <c r="AA636" s="48"/>
      <c r="AB636" s="11"/>
      <c r="AC636" s="48"/>
      <c r="AD636" s="11"/>
      <c r="AE636" s="47"/>
      <c r="AF636" s="11"/>
      <c r="AG636" s="48"/>
      <c r="AH636" s="11"/>
      <c r="AI636" s="48"/>
      <c r="AJ636" s="11"/>
      <c r="AK636" s="48"/>
      <c r="AL636" s="11"/>
      <c r="AM636" s="49"/>
      <c r="AN636" s="49"/>
      <c r="AO636" s="11"/>
      <c r="AP636" s="11"/>
      <c r="AQ636" s="28" t="b">
        <f>IF(COUNTIF(SmartStatus!A$2:A1000, AM636) &gt; 2, TRUE, FALSE)</f>
        <v>0</v>
      </c>
      <c r="AR636" s="29" t="str">
        <f ca="1">IFERROR(__xludf.DUMMYFUNCTION("iferror(if(regexmatch(AO636, ""(?i)^registered""), if(EE636 &lt;&gt; ""polity_shortest_name"", ""CHECK_POLITY"", index(filter(SmartStatus!B$2:B1000, AM636 = SmartStatus!A$2:A1000, not(SmartStatus!C$2:C1000), (isblank(SmartStatus!D$2:D1000)) + ((P636 &lt;&gt; """") * "&amp;"(P636 &lt; SmartStatus!D$2:D1000)), (isblank(SmartStatus!E$2:E1000)) + ((P636 &lt;&gt; """") * (P636 &gt;= SmartStatus!E$2:E1000)), (isblank(SmartStatus!F$2:F1000)) + (((Q636 &lt;&gt; """") * (Q636 &lt; SmartStatus!F$2:F1000)) + ((P636 &lt;&gt; """") * (date(year(P636) + 3, month(P"&amp;"636), day(P636)) &lt; SmartStatus!F$2:F1000))), (isblank(SmartStatus!G$2:G1000)) + (((Q636 &lt;&gt; """") * (Q636 &gt;= SmartStatus!G$2:G1000)) + ((P636 &lt;&gt; """") * (P636 &gt;= SmartStatus!G$2:G1000)))), if(or(regexmatch(B636, ""(?i)^ir [a-z]+ designation$""), N636 &lt;&gt; """&amp;"""), 1, 2))), """"), ""NO_MATCH"")"),"")</f>
        <v/>
      </c>
      <c r="AS636" s="11"/>
      <c r="AT636" s="15"/>
      <c r="AU636" s="11"/>
      <c r="AV636" s="11"/>
      <c r="AW636" s="15"/>
      <c r="AX636" s="15"/>
      <c r="AY636" s="15"/>
      <c r="AZ636" s="11"/>
      <c r="BA636" s="15"/>
      <c r="BB636" s="11"/>
      <c r="BC636" s="11"/>
      <c r="BD636" s="15"/>
      <c r="BE636" s="11"/>
      <c r="BF636" s="11"/>
      <c r="BG636" s="15"/>
      <c r="BH636" s="15"/>
      <c r="BI636" s="15"/>
      <c r="BJ636" s="11"/>
      <c r="BK636" s="15"/>
      <c r="BL636" s="11"/>
      <c r="BM636" s="11"/>
      <c r="BN636" s="15"/>
      <c r="BO636" s="11"/>
      <c r="BP636" s="11"/>
      <c r="BQ636" s="15"/>
      <c r="BR636" s="15"/>
      <c r="BS636" s="15"/>
      <c r="BT636" s="11"/>
      <c r="BU636" s="15"/>
      <c r="BV636" s="11"/>
      <c r="BW636" s="11"/>
      <c r="BX636" s="15"/>
      <c r="BY636" s="11"/>
      <c r="BZ636" s="11"/>
      <c r="CA636" s="15"/>
      <c r="CB636" s="11"/>
      <c r="CC636" s="15"/>
      <c r="CD636" s="11"/>
      <c r="CE636" s="15"/>
      <c r="CF636" s="11"/>
      <c r="CG636" s="11"/>
      <c r="CH636" s="15"/>
      <c r="CI636" s="11"/>
      <c r="CJ636" s="11"/>
      <c r="CK636" s="15"/>
      <c r="CL636" s="11"/>
      <c r="CM636" s="11"/>
      <c r="CN636" s="11"/>
      <c r="CO636" s="11"/>
      <c r="CP636" s="28"/>
      <c r="CQ636" s="28"/>
      <c r="CR636" s="11"/>
      <c r="CS636" s="29"/>
      <c r="CT636" s="11"/>
      <c r="CU636" s="11"/>
      <c r="CV636" s="11"/>
      <c r="CW636" s="11"/>
      <c r="CX636" s="11"/>
      <c r="CY636" s="11"/>
      <c r="CZ636" s="11"/>
      <c r="DA636" s="28"/>
      <c r="DB636" s="28"/>
      <c r="DC636" s="11"/>
      <c r="DD636" s="29"/>
      <c r="DE636" s="11"/>
      <c r="DF636" s="11"/>
      <c r="DG636" s="11"/>
      <c r="DH636" s="11"/>
      <c r="DI636" s="11"/>
      <c r="DJ636" s="11"/>
      <c r="DK636" s="26"/>
      <c r="DL636" s="11"/>
      <c r="DM636" s="29"/>
      <c r="DN636" s="28"/>
      <c r="DO636" s="11"/>
      <c r="DP636" s="11"/>
      <c r="DQ636" s="11"/>
      <c r="DR636" s="29"/>
      <c r="DS636" s="28"/>
      <c r="DT636" s="11"/>
      <c r="DU636" s="26"/>
      <c r="DV636" s="11"/>
      <c r="DW636" s="29"/>
      <c r="DX636" s="28"/>
      <c r="DY636" s="11"/>
      <c r="DZ636" s="26"/>
      <c r="EA636" s="11"/>
      <c r="EB636" s="29"/>
      <c r="EC636" s="28"/>
      <c r="ED636" s="30"/>
      <c r="EE636" s="30" t="str">
        <f ca="1">IFERROR(__xludf.DUMMYFUNCTION("iferror(index(filter('Internal -- Trademark Countries'!E$2:E1000, (AM636 = 'Internal -- Trademark Countries'!B$2:B1000) + (AM636 = 'Internal -- Trademark Countries'!C$2:C1000) + (AM636 = 'Internal -- Trademark Countries'!D$2:D1000)), 1))"),"")</f>
        <v/>
      </c>
      <c r="EF636" s="30" t="e">
        <f ca="1">_xludf.ifs(AM636="", "", COUNTIF('Internal -- Trademark Countries'!B:B,AM636) &gt; 0, "polity_shortest_name", COUNTIF('Internal -- Trademark Countries'!C:C,AM636) &gt; 0, "polity_full_name", COUNTIF('Internal -- Trademark Countries'!D:D,AM636) &gt; 0, "polity_common_name", COUNTIF('Internal -- Trademark Countries'!E:E,AM636) &gt; 0, "shortest_name", COUNTIF('Internal -- Trademark Countries'!A:A,AM636) &gt; 0, "full_name", TRUE, "not a match")</f>
        <v>#NAME?</v>
      </c>
      <c r="EG636" s="30"/>
      <c r="EH636" s="30"/>
      <c r="EI636" s="30"/>
      <c r="EJ636" s="30"/>
      <c r="EK636" s="30" t="str">
        <f t="shared" si="4"/>
        <v/>
      </c>
    </row>
    <row r="637" spans="1:141" ht="16.5">
      <c r="A637" s="11"/>
      <c r="B637" s="11"/>
      <c r="C637" s="11"/>
      <c r="D637" s="11"/>
      <c r="E637" s="11"/>
      <c r="F637" s="11"/>
      <c r="G637" s="11"/>
      <c r="H637" s="11"/>
      <c r="I637" s="11"/>
      <c r="J637" s="11"/>
      <c r="K637" s="27"/>
      <c r="L637" s="11"/>
      <c r="M637" s="11"/>
      <c r="N637" s="11"/>
      <c r="O637" s="11"/>
      <c r="P637" s="15"/>
      <c r="Q637" s="15"/>
      <c r="R637" s="15"/>
      <c r="S637" s="15"/>
      <c r="T637" s="15"/>
      <c r="U637" s="15"/>
      <c r="V637" s="15"/>
      <c r="W637" s="47"/>
      <c r="X637" s="11"/>
      <c r="Y637" s="48"/>
      <c r="Z637" s="11"/>
      <c r="AA637" s="48"/>
      <c r="AB637" s="11"/>
      <c r="AC637" s="48"/>
      <c r="AD637" s="11"/>
      <c r="AE637" s="47"/>
      <c r="AF637" s="11"/>
      <c r="AG637" s="48"/>
      <c r="AH637" s="11"/>
      <c r="AI637" s="48"/>
      <c r="AJ637" s="11"/>
      <c r="AK637" s="48"/>
      <c r="AL637" s="11"/>
      <c r="AM637" s="49"/>
      <c r="AN637" s="49"/>
      <c r="AO637" s="11"/>
      <c r="AP637" s="11"/>
      <c r="AQ637" s="28" t="b">
        <f>IF(COUNTIF(SmartStatus!A$2:A1000, AM637) &gt; 2, TRUE, FALSE)</f>
        <v>0</v>
      </c>
      <c r="AR637" s="29" t="str">
        <f ca="1">IFERROR(__xludf.DUMMYFUNCTION("iferror(if(regexmatch(AO637, ""(?i)^registered""), if(EE637 &lt;&gt; ""polity_shortest_name"", ""CHECK_POLITY"", index(filter(SmartStatus!B$2:B1000, AM637 = SmartStatus!A$2:A1000, not(SmartStatus!C$2:C1000), (isblank(SmartStatus!D$2:D1000)) + ((P637 &lt;&gt; """") * "&amp;"(P637 &lt; SmartStatus!D$2:D1000)), (isblank(SmartStatus!E$2:E1000)) + ((P637 &lt;&gt; """") * (P637 &gt;= SmartStatus!E$2:E1000)), (isblank(SmartStatus!F$2:F1000)) + (((Q637 &lt;&gt; """") * (Q637 &lt; SmartStatus!F$2:F1000)) + ((P637 &lt;&gt; """") * (date(year(P637) + 3, month(P"&amp;"637), day(P637)) &lt; SmartStatus!F$2:F1000))), (isblank(SmartStatus!G$2:G1000)) + (((Q637 &lt;&gt; """") * (Q637 &gt;= SmartStatus!G$2:G1000)) + ((P637 &lt;&gt; """") * (P637 &gt;= SmartStatus!G$2:G1000)))), if(or(regexmatch(B637, ""(?i)^ir [a-z]+ designation$""), N637 &lt;&gt; """&amp;"""), 1, 2))), """"), ""NO_MATCH"")"),"")</f>
        <v/>
      </c>
      <c r="AS637" s="11"/>
      <c r="AT637" s="15"/>
      <c r="AU637" s="11"/>
      <c r="AV637" s="11"/>
      <c r="AW637" s="15"/>
      <c r="AX637" s="15"/>
      <c r="AY637" s="15"/>
      <c r="AZ637" s="11"/>
      <c r="BA637" s="15"/>
      <c r="BB637" s="11"/>
      <c r="BC637" s="11"/>
      <c r="BD637" s="15"/>
      <c r="BE637" s="11"/>
      <c r="BF637" s="11"/>
      <c r="BG637" s="15"/>
      <c r="BH637" s="15"/>
      <c r="BI637" s="15"/>
      <c r="BJ637" s="11"/>
      <c r="BK637" s="15"/>
      <c r="BL637" s="11"/>
      <c r="BM637" s="11"/>
      <c r="BN637" s="15"/>
      <c r="BO637" s="11"/>
      <c r="BP637" s="11"/>
      <c r="BQ637" s="15"/>
      <c r="BR637" s="15"/>
      <c r="BS637" s="15"/>
      <c r="BT637" s="11"/>
      <c r="BU637" s="15"/>
      <c r="BV637" s="11"/>
      <c r="BW637" s="11"/>
      <c r="BX637" s="15"/>
      <c r="BY637" s="11"/>
      <c r="BZ637" s="11"/>
      <c r="CA637" s="15"/>
      <c r="CB637" s="11"/>
      <c r="CC637" s="15"/>
      <c r="CD637" s="11"/>
      <c r="CE637" s="15"/>
      <c r="CF637" s="11"/>
      <c r="CG637" s="11"/>
      <c r="CH637" s="15"/>
      <c r="CI637" s="11"/>
      <c r="CJ637" s="11"/>
      <c r="CK637" s="15"/>
      <c r="CL637" s="11"/>
      <c r="CM637" s="11"/>
      <c r="CN637" s="11"/>
      <c r="CO637" s="11"/>
      <c r="CP637" s="28"/>
      <c r="CQ637" s="28"/>
      <c r="CR637" s="11"/>
      <c r="CS637" s="29"/>
      <c r="CT637" s="11"/>
      <c r="CU637" s="11"/>
      <c r="CV637" s="11"/>
      <c r="CW637" s="11"/>
      <c r="CX637" s="11"/>
      <c r="CY637" s="11"/>
      <c r="CZ637" s="11"/>
      <c r="DA637" s="28"/>
      <c r="DB637" s="28"/>
      <c r="DC637" s="11"/>
      <c r="DD637" s="29"/>
      <c r="DE637" s="11"/>
      <c r="DF637" s="11"/>
      <c r="DG637" s="11"/>
      <c r="DH637" s="11"/>
      <c r="DI637" s="11"/>
      <c r="DJ637" s="11"/>
      <c r="DK637" s="26"/>
      <c r="DL637" s="11"/>
      <c r="DM637" s="29"/>
      <c r="DN637" s="28"/>
      <c r="DO637" s="11"/>
      <c r="DP637" s="11"/>
      <c r="DQ637" s="11"/>
      <c r="DR637" s="29"/>
      <c r="DS637" s="28"/>
      <c r="DT637" s="11"/>
      <c r="DU637" s="26"/>
      <c r="DV637" s="11"/>
      <c r="DW637" s="29"/>
      <c r="DX637" s="28"/>
      <c r="DY637" s="11"/>
      <c r="DZ637" s="26"/>
      <c r="EA637" s="11"/>
      <c r="EB637" s="29"/>
      <c r="EC637" s="28"/>
      <c r="ED637" s="30"/>
      <c r="EE637" s="30" t="str">
        <f ca="1">IFERROR(__xludf.DUMMYFUNCTION("iferror(index(filter('Internal -- Trademark Countries'!E$2:E1000, (AM637 = 'Internal -- Trademark Countries'!B$2:B1000) + (AM637 = 'Internal -- Trademark Countries'!C$2:C1000) + (AM637 = 'Internal -- Trademark Countries'!D$2:D1000)), 1))"),"")</f>
        <v/>
      </c>
      <c r="EF637" s="30" t="e">
        <f ca="1">_xludf.ifs(AM637="", "", COUNTIF('Internal -- Trademark Countries'!B:B,AM637) &gt; 0, "polity_shortest_name", COUNTIF('Internal -- Trademark Countries'!C:C,AM637) &gt; 0, "polity_full_name", COUNTIF('Internal -- Trademark Countries'!D:D,AM637) &gt; 0, "polity_common_name", COUNTIF('Internal -- Trademark Countries'!E:E,AM637) &gt; 0, "shortest_name", COUNTIF('Internal -- Trademark Countries'!A:A,AM637) &gt; 0, "full_name", TRUE, "not a match")</f>
        <v>#NAME?</v>
      </c>
      <c r="EG637" s="30"/>
      <c r="EH637" s="30"/>
      <c r="EI637" s="30"/>
      <c r="EJ637" s="30"/>
      <c r="EK637" s="30" t="str">
        <f t="shared" si="4"/>
        <v/>
      </c>
    </row>
    <row r="638" spans="1:141" ht="16.5">
      <c r="A638" s="11"/>
      <c r="B638" s="11"/>
      <c r="C638" s="11"/>
      <c r="D638" s="11"/>
      <c r="E638" s="11"/>
      <c r="F638" s="11"/>
      <c r="G638" s="11"/>
      <c r="H638" s="11"/>
      <c r="I638" s="11"/>
      <c r="J638" s="11"/>
      <c r="K638" s="27"/>
      <c r="L638" s="11"/>
      <c r="M638" s="11"/>
      <c r="N638" s="11"/>
      <c r="O638" s="11"/>
      <c r="P638" s="15"/>
      <c r="Q638" s="15"/>
      <c r="R638" s="15"/>
      <c r="S638" s="15"/>
      <c r="T638" s="15"/>
      <c r="U638" s="15"/>
      <c r="V638" s="15"/>
      <c r="W638" s="47"/>
      <c r="X638" s="11"/>
      <c r="Y638" s="48"/>
      <c r="Z638" s="11"/>
      <c r="AA638" s="48"/>
      <c r="AB638" s="11"/>
      <c r="AC638" s="48"/>
      <c r="AD638" s="11"/>
      <c r="AE638" s="47"/>
      <c r="AF638" s="11"/>
      <c r="AG638" s="48"/>
      <c r="AH638" s="11"/>
      <c r="AI638" s="48"/>
      <c r="AJ638" s="11"/>
      <c r="AK638" s="48"/>
      <c r="AL638" s="11"/>
      <c r="AM638" s="49"/>
      <c r="AN638" s="49"/>
      <c r="AO638" s="11"/>
      <c r="AP638" s="11"/>
      <c r="AQ638" s="28" t="b">
        <f>IF(COUNTIF(SmartStatus!A$2:A1000, AM638) &gt; 2, TRUE, FALSE)</f>
        <v>0</v>
      </c>
      <c r="AR638" s="29" t="str">
        <f ca="1">IFERROR(__xludf.DUMMYFUNCTION("iferror(if(regexmatch(AO638, ""(?i)^registered""), if(EE638 &lt;&gt; ""polity_shortest_name"", ""CHECK_POLITY"", index(filter(SmartStatus!B$2:B1000, AM638 = SmartStatus!A$2:A1000, not(SmartStatus!C$2:C1000), (isblank(SmartStatus!D$2:D1000)) + ((P638 &lt;&gt; """") * "&amp;"(P638 &lt; SmartStatus!D$2:D1000)), (isblank(SmartStatus!E$2:E1000)) + ((P638 &lt;&gt; """") * (P638 &gt;= SmartStatus!E$2:E1000)), (isblank(SmartStatus!F$2:F1000)) + (((Q638 &lt;&gt; """") * (Q638 &lt; SmartStatus!F$2:F1000)) + ((P638 &lt;&gt; """") * (date(year(P638) + 3, month(P"&amp;"638), day(P638)) &lt; SmartStatus!F$2:F1000))), (isblank(SmartStatus!G$2:G1000)) + (((Q638 &lt;&gt; """") * (Q638 &gt;= SmartStatus!G$2:G1000)) + ((P638 &lt;&gt; """") * (P638 &gt;= SmartStatus!G$2:G1000)))), if(or(regexmatch(B638, ""(?i)^ir [a-z]+ designation$""), N638 &lt;&gt; """&amp;"""), 1, 2))), """"), ""NO_MATCH"")"),"")</f>
        <v/>
      </c>
      <c r="AS638" s="11"/>
      <c r="AT638" s="15"/>
      <c r="AU638" s="11"/>
      <c r="AV638" s="11"/>
      <c r="AW638" s="15"/>
      <c r="AX638" s="15"/>
      <c r="AY638" s="15"/>
      <c r="AZ638" s="11"/>
      <c r="BA638" s="15"/>
      <c r="BB638" s="11"/>
      <c r="BC638" s="11"/>
      <c r="BD638" s="15"/>
      <c r="BE638" s="11"/>
      <c r="BF638" s="11"/>
      <c r="BG638" s="15"/>
      <c r="BH638" s="15"/>
      <c r="BI638" s="15"/>
      <c r="BJ638" s="11"/>
      <c r="BK638" s="15"/>
      <c r="BL638" s="11"/>
      <c r="BM638" s="11"/>
      <c r="BN638" s="15"/>
      <c r="BO638" s="11"/>
      <c r="BP638" s="11"/>
      <c r="BQ638" s="15"/>
      <c r="BR638" s="15"/>
      <c r="BS638" s="15"/>
      <c r="BT638" s="11"/>
      <c r="BU638" s="15"/>
      <c r="BV638" s="11"/>
      <c r="BW638" s="11"/>
      <c r="BX638" s="15"/>
      <c r="BY638" s="11"/>
      <c r="BZ638" s="11"/>
      <c r="CA638" s="15"/>
      <c r="CB638" s="11"/>
      <c r="CC638" s="15"/>
      <c r="CD638" s="11"/>
      <c r="CE638" s="15"/>
      <c r="CF638" s="11"/>
      <c r="CG638" s="11"/>
      <c r="CH638" s="15"/>
      <c r="CI638" s="11"/>
      <c r="CJ638" s="11"/>
      <c r="CK638" s="15"/>
      <c r="CL638" s="11"/>
      <c r="CM638" s="11"/>
      <c r="CN638" s="11"/>
      <c r="CO638" s="11"/>
      <c r="CP638" s="28"/>
      <c r="CQ638" s="28"/>
      <c r="CR638" s="11"/>
      <c r="CS638" s="29"/>
      <c r="CT638" s="11"/>
      <c r="CU638" s="11"/>
      <c r="CV638" s="11"/>
      <c r="CW638" s="11"/>
      <c r="CX638" s="11"/>
      <c r="CY638" s="11"/>
      <c r="CZ638" s="11"/>
      <c r="DA638" s="28"/>
      <c r="DB638" s="28"/>
      <c r="DC638" s="11"/>
      <c r="DD638" s="29"/>
      <c r="DE638" s="11"/>
      <c r="DF638" s="11"/>
      <c r="DG638" s="11"/>
      <c r="DH638" s="11"/>
      <c r="DI638" s="11"/>
      <c r="DJ638" s="11"/>
      <c r="DK638" s="26"/>
      <c r="DL638" s="11"/>
      <c r="DM638" s="29"/>
      <c r="DN638" s="28"/>
      <c r="DO638" s="11"/>
      <c r="DP638" s="11"/>
      <c r="DQ638" s="11"/>
      <c r="DR638" s="29"/>
      <c r="DS638" s="28"/>
      <c r="DT638" s="11"/>
      <c r="DU638" s="26"/>
      <c r="DV638" s="11"/>
      <c r="DW638" s="29"/>
      <c r="DX638" s="28"/>
      <c r="DY638" s="11"/>
      <c r="DZ638" s="26"/>
      <c r="EA638" s="11"/>
      <c r="EB638" s="29"/>
      <c r="EC638" s="28"/>
      <c r="ED638" s="30"/>
      <c r="EE638" s="30" t="str">
        <f ca="1">IFERROR(__xludf.DUMMYFUNCTION("iferror(index(filter('Internal -- Trademark Countries'!E$2:E1000, (AM638 = 'Internal -- Trademark Countries'!B$2:B1000) + (AM638 = 'Internal -- Trademark Countries'!C$2:C1000) + (AM638 = 'Internal -- Trademark Countries'!D$2:D1000)), 1))"),"")</f>
        <v/>
      </c>
      <c r="EF638" s="30" t="e">
        <f ca="1">_xludf.ifs(AM638="", "", COUNTIF('Internal -- Trademark Countries'!B:B,AM638) &gt; 0, "polity_shortest_name", COUNTIF('Internal -- Trademark Countries'!C:C,AM638) &gt; 0, "polity_full_name", COUNTIF('Internal -- Trademark Countries'!D:D,AM638) &gt; 0, "polity_common_name", COUNTIF('Internal -- Trademark Countries'!E:E,AM638) &gt; 0, "shortest_name", COUNTIF('Internal -- Trademark Countries'!A:A,AM638) &gt; 0, "full_name", TRUE, "not a match")</f>
        <v>#NAME?</v>
      </c>
      <c r="EG638" s="30"/>
      <c r="EH638" s="30"/>
      <c r="EI638" s="30"/>
      <c r="EJ638" s="30"/>
      <c r="EK638" s="30" t="str">
        <f t="shared" si="4"/>
        <v/>
      </c>
    </row>
    <row r="639" spans="1:141" ht="16.5">
      <c r="A639" s="11"/>
      <c r="B639" s="11"/>
      <c r="C639" s="11"/>
      <c r="D639" s="11"/>
      <c r="E639" s="11"/>
      <c r="F639" s="11"/>
      <c r="G639" s="11"/>
      <c r="H639" s="11"/>
      <c r="I639" s="11"/>
      <c r="J639" s="11"/>
      <c r="K639" s="27"/>
      <c r="L639" s="11"/>
      <c r="M639" s="11"/>
      <c r="N639" s="11"/>
      <c r="O639" s="11"/>
      <c r="P639" s="15"/>
      <c r="Q639" s="15"/>
      <c r="R639" s="15"/>
      <c r="S639" s="15"/>
      <c r="T639" s="15"/>
      <c r="U639" s="15"/>
      <c r="V639" s="15"/>
      <c r="W639" s="47"/>
      <c r="X639" s="11"/>
      <c r="Y639" s="48"/>
      <c r="Z639" s="11"/>
      <c r="AA639" s="48"/>
      <c r="AB639" s="11"/>
      <c r="AC639" s="48"/>
      <c r="AD639" s="11"/>
      <c r="AE639" s="47"/>
      <c r="AF639" s="11"/>
      <c r="AG639" s="48"/>
      <c r="AH639" s="11"/>
      <c r="AI639" s="48"/>
      <c r="AJ639" s="11"/>
      <c r="AK639" s="48"/>
      <c r="AL639" s="11"/>
      <c r="AM639" s="49"/>
      <c r="AN639" s="49"/>
      <c r="AO639" s="11"/>
      <c r="AP639" s="11"/>
      <c r="AQ639" s="28" t="b">
        <f>IF(COUNTIF(SmartStatus!A$2:A1000, AM639) &gt; 2, TRUE, FALSE)</f>
        <v>0</v>
      </c>
      <c r="AR639" s="29" t="str">
        <f ca="1">IFERROR(__xludf.DUMMYFUNCTION("iferror(if(regexmatch(AO639, ""(?i)^registered""), if(EE639 &lt;&gt; ""polity_shortest_name"", ""CHECK_POLITY"", index(filter(SmartStatus!B$2:B1000, AM639 = SmartStatus!A$2:A1000, not(SmartStatus!C$2:C1000), (isblank(SmartStatus!D$2:D1000)) + ((P639 &lt;&gt; """") * "&amp;"(P639 &lt; SmartStatus!D$2:D1000)), (isblank(SmartStatus!E$2:E1000)) + ((P639 &lt;&gt; """") * (P639 &gt;= SmartStatus!E$2:E1000)), (isblank(SmartStatus!F$2:F1000)) + (((Q639 &lt;&gt; """") * (Q639 &lt; SmartStatus!F$2:F1000)) + ((P639 &lt;&gt; """") * (date(year(P639) + 3, month(P"&amp;"639), day(P639)) &lt; SmartStatus!F$2:F1000))), (isblank(SmartStatus!G$2:G1000)) + (((Q639 &lt;&gt; """") * (Q639 &gt;= SmartStatus!G$2:G1000)) + ((P639 &lt;&gt; """") * (P639 &gt;= SmartStatus!G$2:G1000)))), if(or(regexmatch(B639, ""(?i)^ir [a-z]+ designation$""), N639 &lt;&gt; """&amp;"""), 1, 2))), """"), ""NO_MATCH"")"),"")</f>
        <v/>
      </c>
      <c r="AS639" s="11"/>
      <c r="AT639" s="15"/>
      <c r="AU639" s="11"/>
      <c r="AV639" s="11"/>
      <c r="AW639" s="15"/>
      <c r="AX639" s="15"/>
      <c r="AY639" s="15"/>
      <c r="AZ639" s="11"/>
      <c r="BA639" s="15"/>
      <c r="BB639" s="11"/>
      <c r="BC639" s="11"/>
      <c r="BD639" s="15"/>
      <c r="BE639" s="11"/>
      <c r="BF639" s="11"/>
      <c r="BG639" s="15"/>
      <c r="BH639" s="15"/>
      <c r="BI639" s="15"/>
      <c r="BJ639" s="11"/>
      <c r="BK639" s="15"/>
      <c r="BL639" s="11"/>
      <c r="BM639" s="11"/>
      <c r="BN639" s="15"/>
      <c r="BO639" s="11"/>
      <c r="BP639" s="11"/>
      <c r="BQ639" s="15"/>
      <c r="BR639" s="15"/>
      <c r="BS639" s="15"/>
      <c r="BT639" s="11"/>
      <c r="BU639" s="15"/>
      <c r="BV639" s="11"/>
      <c r="BW639" s="11"/>
      <c r="BX639" s="15"/>
      <c r="BY639" s="11"/>
      <c r="BZ639" s="11"/>
      <c r="CA639" s="15"/>
      <c r="CB639" s="11"/>
      <c r="CC639" s="15"/>
      <c r="CD639" s="11"/>
      <c r="CE639" s="15"/>
      <c r="CF639" s="11"/>
      <c r="CG639" s="11"/>
      <c r="CH639" s="15"/>
      <c r="CI639" s="11"/>
      <c r="CJ639" s="11"/>
      <c r="CK639" s="15"/>
      <c r="CL639" s="11"/>
      <c r="CM639" s="11"/>
      <c r="CN639" s="11"/>
      <c r="CO639" s="11"/>
      <c r="CP639" s="28"/>
      <c r="CQ639" s="28"/>
      <c r="CR639" s="11"/>
      <c r="CS639" s="29"/>
      <c r="CT639" s="11"/>
      <c r="CU639" s="11"/>
      <c r="CV639" s="11"/>
      <c r="CW639" s="11"/>
      <c r="CX639" s="11"/>
      <c r="CY639" s="11"/>
      <c r="CZ639" s="11"/>
      <c r="DA639" s="28"/>
      <c r="DB639" s="28"/>
      <c r="DC639" s="11"/>
      <c r="DD639" s="29"/>
      <c r="DE639" s="11"/>
      <c r="DF639" s="11"/>
      <c r="DG639" s="11"/>
      <c r="DH639" s="11"/>
      <c r="DI639" s="11"/>
      <c r="DJ639" s="11"/>
      <c r="DK639" s="26"/>
      <c r="DL639" s="11"/>
      <c r="DM639" s="29"/>
      <c r="DN639" s="28"/>
      <c r="DO639" s="11"/>
      <c r="DP639" s="11"/>
      <c r="DQ639" s="11"/>
      <c r="DR639" s="29"/>
      <c r="DS639" s="28"/>
      <c r="DT639" s="11"/>
      <c r="DU639" s="26"/>
      <c r="DV639" s="11"/>
      <c r="DW639" s="29"/>
      <c r="DX639" s="28"/>
      <c r="DY639" s="11"/>
      <c r="DZ639" s="26"/>
      <c r="EA639" s="11"/>
      <c r="EB639" s="29"/>
      <c r="EC639" s="28"/>
      <c r="ED639" s="30"/>
      <c r="EE639" s="30" t="str">
        <f ca="1">IFERROR(__xludf.DUMMYFUNCTION("iferror(index(filter('Internal -- Trademark Countries'!E$2:E1000, (AM639 = 'Internal -- Trademark Countries'!B$2:B1000) + (AM639 = 'Internal -- Trademark Countries'!C$2:C1000) + (AM639 = 'Internal -- Trademark Countries'!D$2:D1000)), 1))"),"")</f>
        <v/>
      </c>
      <c r="EF639" s="30" t="e">
        <f ca="1">_xludf.ifs(AM639="", "", COUNTIF('Internal -- Trademark Countries'!B:B,AM639) &gt; 0, "polity_shortest_name", COUNTIF('Internal -- Trademark Countries'!C:C,AM639) &gt; 0, "polity_full_name", COUNTIF('Internal -- Trademark Countries'!D:D,AM639) &gt; 0, "polity_common_name", COUNTIF('Internal -- Trademark Countries'!E:E,AM639) &gt; 0, "shortest_name", COUNTIF('Internal -- Trademark Countries'!A:A,AM639) &gt; 0, "full_name", TRUE, "not a match")</f>
        <v>#NAME?</v>
      </c>
      <c r="EG639" s="30"/>
      <c r="EH639" s="30"/>
      <c r="EI639" s="30"/>
      <c r="EJ639" s="30"/>
      <c r="EK639" s="30" t="str">
        <f t="shared" si="4"/>
        <v/>
      </c>
    </row>
    <row r="640" spans="1:141" ht="16.5">
      <c r="A640" s="11"/>
      <c r="B640" s="11"/>
      <c r="C640" s="11"/>
      <c r="D640" s="11"/>
      <c r="E640" s="11"/>
      <c r="F640" s="11"/>
      <c r="G640" s="11"/>
      <c r="H640" s="11"/>
      <c r="I640" s="11"/>
      <c r="J640" s="11"/>
      <c r="K640" s="27"/>
      <c r="L640" s="11"/>
      <c r="M640" s="11"/>
      <c r="N640" s="11"/>
      <c r="O640" s="11"/>
      <c r="P640" s="15"/>
      <c r="Q640" s="15"/>
      <c r="R640" s="15"/>
      <c r="S640" s="15"/>
      <c r="T640" s="15"/>
      <c r="U640" s="15"/>
      <c r="V640" s="15"/>
      <c r="W640" s="47"/>
      <c r="X640" s="11"/>
      <c r="Y640" s="48"/>
      <c r="Z640" s="11"/>
      <c r="AA640" s="48"/>
      <c r="AB640" s="11"/>
      <c r="AC640" s="48"/>
      <c r="AD640" s="11"/>
      <c r="AE640" s="47"/>
      <c r="AF640" s="11"/>
      <c r="AG640" s="48"/>
      <c r="AH640" s="11"/>
      <c r="AI640" s="48"/>
      <c r="AJ640" s="11"/>
      <c r="AK640" s="48"/>
      <c r="AL640" s="11"/>
      <c r="AM640" s="49"/>
      <c r="AN640" s="49"/>
      <c r="AO640" s="11"/>
      <c r="AP640" s="11"/>
      <c r="AQ640" s="28" t="b">
        <f>IF(COUNTIF(SmartStatus!A$2:A1000, AM640) &gt; 2, TRUE, FALSE)</f>
        <v>0</v>
      </c>
      <c r="AR640" s="29" t="str">
        <f ca="1">IFERROR(__xludf.DUMMYFUNCTION("iferror(if(regexmatch(AO640, ""(?i)^registered""), if(EE640 &lt;&gt; ""polity_shortest_name"", ""CHECK_POLITY"", index(filter(SmartStatus!B$2:B1000, AM640 = SmartStatus!A$2:A1000, not(SmartStatus!C$2:C1000), (isblank(SmartStatus!D$2:D1000)) + ((P640 &lt;&gt; """") * "&amp;"(P640 &lt; SmartStatus!D$2:D1000)), (isblank(SmartStatus!E$2:E1000)) + ((P640 &lt;&gt; """") * (P640 &gt;= SmartStatus!E$2:E1000)), (isblank(SmartStatus!F$2:F1000)) + (((Q640 &lt;&gt; """") * (Q640 &lt; SmartStatus!F$2:F1000)) + ((P640 &lt;&gt; """") * (date(year(P640) + 3, month(P"&amp;"640), day(P640)) &lt; SmartStatus!F$2:F1000))), (isblank(SmartStatus!G$2:G1000)) + (((Q640 &lt;&gt; """") * (Q640 &gt;= SmartStatus!G$2:G1000)) + ((P640 &lt;&gt; """") * (P640 &gt;= SmartStatus!G$2:G1000)))), if(or(regexmatch(B640, ""(?i)^ir [a-z]+ designation$""), N640 &lt;&gt; """&amp;"""), 1, 2))), """"), ""NO_MATCH"")"),"")</f>
        <v/>
      </c>
      <c r="AS640" s="11"/>
      <c r="AT640" s="15"/>
      <c r="AU640" s="11"/>
      <c r="AV640" s="11"/>
      <c r="AW640" s="15"/>
      <c r="AX640" s="15"/>
      <c r="AY640" s="15"/>
      <c r="AZ640" s="11"/>
      <c r="BA640" s="15"/>
      <c r="BB640" s="11"/>
      <c r="BC640" s="11"/>
      <c r="BD640" s="15"/>
      <c r="BE640" s="11"/>
      <c r="BF640" s="11"/>
      <c r="BG640" s="15"/>
      <c r="BH640" s="15"/>
      <c r="BI640" s="15"/>
      <c r="BJ640" s="11"/>
      <c r="BK640" s="15"/>
      <c r="BL640" s="11"/>
      <c r="BM640" s="11"/>
      <c r="BN640" s="15"/>
      <c r="BO640" s="11"/>
      <c r="BP640" s="11"/>
      <c r="BQ640" s="15"/>
      <c r="BR640" s="15"/>
      <c r="BS640" s="15"/>
      <c r="BT640" s="11"/>
      <c r="BU640" s="15"/>
      <c r="BV640" s="11"/>
      <c r="BW640" s="11"/>
      <c r="BX640" s="15"/>
      <c r="BY640" s="11"/>
      <c r="BZ640" s="11"/>
      <c r="CA640" s="15"/>
      <c r="CB640" s="11"/>
      <c r="CC640" s="15"/>
      <c r="CD640" s="11"/>
      <c r="CE640" s="15"/>
      <c r="CF640" s="11"/>
      <c r="CG640" s="11"/>
      <c r="CH640" s="15"/>
      <c r="CI640" s="11"/>
      <c r="CJ640" s="11"/>
      <c r="CK640" s="15"/>
      <c r="CL640" s="11"/>
      <c r="CM640" s="11"/>
      <c r="CN640" s="11"/>
      <c r="CO640" s="11"/>
      <c r="CP640" s="28"/>
      <c r="CQ640" s="28"/>
      <c r="CR640" s="11"/>
      <c r="CS640" s="29"/>
      <c r="CT640" s="11"/>
      <c r="CU640" s="11"/>
      <c r="CV640" s="11"/>
      <c r="CW640" s="11"/>
      <c r="CX640" s="11"/>
      <c r="CY640" s="11"/>
      <c r="CZ640" s="11"/>
      <c r="DA640" s="28"/>
      <c r="DB640" s="28"/>
      <c r="DC640" s="11"/>
      <c r="DD640" s="29"/>
      <c r="DE640" s="11"/>
      <c r="DF640" s="11"/>
      <c r="DG640" s="11"/>
      <c r="DH640" s="11"/>
      <c r="DI640" s="11"/>
      <c r="DJ640" s="11"/>
      <c r="DK640" s="26"/>
      <c r="DL640" s="11"/>
      <c r="DM640" s="29"/>
      <c r="DN640" s="28"/>
      <c r="DO640" s="11"/>
      <c r="DP640" s="11"/>
      <c r="DQ640" s="11"/>
      <c r="DR640" s="29"/>
      <c r="DS640" s="28"/>
      <c r="DT640" s="11"/>
      <c r="DU640" s="26"/>
      <c r="DV640" s="11"/>
      <c r="DW640" s="29"/>
      <c r="DX640" s="28"/>
      <c r="DY640" s="11"/>
      <c r="DZ640" s="26"/>
      <c r="EA640" s="11"/>
      <c r="EB640" s="29"/>
      <c r="EC640" s="28"/>
      <c r="ED640" s="30"/>
      <c r="EE640" s="30" t="str">
        <f ca="1">IFERROR(__xludf.DUMMYFUNCTION("iferror(index(filter('Internal -- Trademark Countries'!E$2:E1000, (AM640 = 'Internal -- Trademark Countries'!B$2:B1000) + (AM640 = 'Internal -- Trademark Countries'!C$2:C1000) + (AM640 = 'Internal -- Trademark Countries'!D$2:D1000)), 1))"),"")</f>
        <v/>
      </c>
      <c r="EF640" s="30" t="e">
        <f ca="1">_xludf.ifs(AM640="", "", COUNTIF('Internal -- Trademark Countries'!B:B,AM640) &gt; 0, "polity_shortest_name", COUNTIF('Internal -- Trademark Countries'!C:C,AM640) &gt; 0, "polity_full_name", COUNTIF('Internal -- Trademark Countries'!D:D,AM640) &gt; 0, "polity_common_name", COUNTIF('Internal -- Trademark Countries'!E:E,AM640) &gt; 0, "shortest_name", COUNTIF('Internal -- Trademark Countries'!A:A,AM640) &gt; 0, "full_name", TRUE, "not a match")</f>
        <v>#NAME?</v>
      </c>
      <c r="EG640" s="30"/>
      <c r="EH640" s="30"/>
      <c r="EI640" s="30"/>
      <c r="EJ640" s="30"/>
      <c r="EK640" s="30" t="str">
        <f t="shared" si="4"/>
        <v/>
      </c>
    </row>
    <row r="641" spans="1:141" ht="16.5">
      <c r="A641" s="11"/>
      <c r="B641" s="11"/>
      <c r="C641" s="11"/>
      <c r="D641" s="11"/>
      <c r="E641" s="11"/>
      <c r="F641" s="11"/>
      <c r="G641" s="11"/>
      <c r="H641" s="11"/>
      <c r="I641" s="11"/>
      <c r="J641" s="11"/>
      <c r="K641" s="27"/>
      <c r="L641" s="11"/>
      <c r="M641" s="11"/>
      <c r="N641" s="11"/>
      <c r="O641" s="11"/>
      <c r="P641" s="15"/>
      <c r="Q641" s="15"/>
      <c r="R641" s="15"/>
      <c r="S641" s="15"/>
      <c r="T641" s="15"/>
      <c r="U641" s="15"/>
      <c r="V641" s="15"/>
      <c r="W641" s="47"/>
      <c r="X641" s="11"/>
      <c r="Y641" s="48"/>
      <c r="Z641" s="11"/>
      <c r="AA641" s="48"/>
      <c r="AB641" s="11"/>
      <c r="AC641" s="48"/>
      <c r="AD641" s="11"/>
      <c r="AE641" s="47"/>
      <c r="AF641" s="11"/>
      <c r="AG641" s="48"/>
      <c r="AH641" s="11"/>
      <c r="AI641" s="48"/>
      <c r="AJ641" s="11"/>
      <c r="AK641" s="48"/>
      <c r="AL641" s="11"/>
      <c r="AM641" s="49"/>
      <c r="AN641" s="49"/>
      <c r="AO641" s="11"/>
      <c r="AP641" s="11"/>
      <c r="AQ641" s="28" t="b">
        <f>IF(COUNTIF(SmartStatus!A$2:A1000, AM641) &gt; 2, TRUE, FALSE)</f>
        <v>0</v>
      </c>
      <c r="AR641" s="29" t="str">
        <f ca="1">IFERROR(__xludf.DUMMYFUNCTION("iferror(if(regexmatch(AO641, ""(?i)^registered""), if(EE641 &lt;&gt; ""polity_shortest_name"", ""CHECK_POLITY"", index(filter(SmartStatus!B$2:B1000, AM641 = SmartStatus!A$2:A1000, not(SmartStatus!C$2:C1000), (isblank(SmartStatus!D$2:D1000)) + ((P641 &lt;&gt; """") * "&amp;"(P641 &lt; SmartStatus!D$2:D1000)), (isblank(SmartStatus!E$2:E1000)) + ((P641 &lt;&gt; """") * (P641 &gt;= SmartStatus!E$2:E1000)), (isblank(SmartStatus!F$2:F1000)) + (((Q641 &lt;&gt; """") * (Q641 &lt; SmartStatus!F$2:F1000)) + ((P641 &lt;&gt; """") * (date(year(P641) + 3, month(P"&amp;"641), day(P641)) &lt; SmartStatus!F$2:F1000))), (isblank(SmartStatus!G$2:G1000)) + (((Q641 &lt;&gt; """") * (Q641 &gt;= SmartStatus!G$2:G1000)) + ((P641 &lt;&gt; """") * (P641 &gt;= SmartStatus!G$2:G1000)))), if(or(regexmatch(B641, ""(?i)^ir [a-z]+ designation$""), N641 &lt;&gt; """&amp;"""), 1, 2))), """"), ""NO_MATCH"")"),"")</f>
        <v/>
      </c>
      <c r="AS641" s="11"/>
      <c r="AT641" s="15"/>
      <c r="AU641" s="11"/>
      <c r="AV641" s="11"/>
      <c r="AW641" s="15"/>
      <c r="AX641" s="15"/>
      <c r="AY641" s="15"/>
      <c r="AZ641" s="11"/>
      <c r="BA641" s="15"/>
      <c r="BB641" s="11"/>
      <c r="BC641" s="11"/>
      <c r="BD641" s="15"/>
      <c r="BE641" s="11"/>
      <c r="BF641" s="11"/>
      <c r="BG641" s="15"/>
      <c r="BH641" s="15"/>
      <c r="BI641" s="15"/>
      <c r="BJ641" s="11"/>
      <c r="BK641" s="15"/>
      <c r="BL641" s="11"/>
      <c r="BM641" s="11"/>
      <c r="BN641" s="15"/>
      <c r="BO641" s="11"/>
      <c r="BP641" s="11"/>
      <c r="BQ641" s="15"/>
      <c r="BR641" s="15"/>
      <c r="BS641" s="15"/>
      <c r="BT641" s="11"/>
      <c r="BU641" s="15"/>
      <c r="BV641" s="11"/>
      <c r="BW641" s="11"/>
      <c r="BX641" s="15"/>
      <c r="BY641" s="11"/>
      <c r="BZ641" s="11"/>
      <c r="CA641" s="15"/>
      <c r="CB641" s="11"/>
      <c r="CC641" s="15"/>
      <c r="CD641" s="11"/>
      <c r="CE641" s="15"/>
      <c r="CF641" s="11"/>
      <c r="CG641" s="11"/>
      <c r="CH641" s="15"/>
      <c r="CI641" s="11"/>
      <c r="CJ641" s="11"/>
      <c r="CK641" s="15"/>
      <c r="CL641" s="11"/>
      <c r="CM641" s="11"/>
      <c r="CN641" s="11"/>
      <c r="CO641" s="11"/>
      <c r="CP641" s="28"/>
      <c r="CQ641" s="28"/>
      <c r="CR641" s="11"/>
      <c r="CS641" s="29"/>
      <c r="CT641" s="11"/>
      <c r="CU641" s="11"/>
      <c r="CV641" s="11"/>
      <c r="CW641" s="11"/>
      <c r="CX641" s="11"/>
      <c r="CY641" s="11"/>
      <c r="CZ641" s="11"/>
      <c r="DA641" s="28"/>
      <c r="DB641" s="28"/>
      <c r="DC641" s="11"/>
      <c r="DD641" s="29"/>
      <c r="DE641" s="11"/>
      <c r="DF641" s="11"/>
      <c r="DG641" s="11"/>
      <c r="DH641" s="11"/>
      <c r="DI641" s="11"/>
      <c r="DJ641" s="11"/>
      <c r="DK641" s="26"/>
      <c r="DL641" s="11"/>
      <c r="DM641" s="29"/>
      <c r="DN641" s="28"/>
      <c r="DO641" s="11"/>
      <c r="DP641" s="11"/>
      <c r="DQ641" s="11"/>
      <c r="DR641" s="29"/>
      <c r="DS641" s="28"/>
      <c r="DT641" s="11"/>
      <c r="DU641" s="26"/>
      <c r="DV641" s="11"/>
      <c r="DW641" s="29"/>
      <c r="DX641" s="28"/>
      <c r="DY641" s="11"/>
      <c r="DZ641" s="26"/>
      <c r="EA641" s="11"/>
      <c r="EB641" s="29"/>
      <c r="EC641" s="28"/>
      <c r="ED641" s="30"/>
      <c r="EE641" s="30" t="str">
        <f ca="1">IFERROR(__xludf.DUMMYFUNCTION("iferror(index(filter('Internal -- Trademark Countries'!E$2:E1000, (AM641 = 'Internal -- Trademark Countries'!B$2:B1000) + (AM641 = 'Internal -- Trademark Countries'!C$2:C1000) + (AM641 = 'Internal -- Trademark Countries'!D$2:D1000)), 1))"),"")</f>
        <v/>
      </c>
      <c r="EF641" s="30" t="e">
        <f ca="1">_xludf.ifs(AM641="", "", COUNTIF('Internal -- Trademark Countries'!B:B,AM641) &gt; 0, "polity_shortest_name", COUNTIF('Internal -- Trademark Countries'!C:C,AM641) &gt; 0, "polity_full_name", COUNTIF('Internal -- Trademark Countries'!D:D,AM641) &gt; 0, "polity_common_name", COUNTIF('Internal -- Trademark Countries'!E:E,AM641) &gt; 0, "shortest_name", COUNTIF('Internal -- Trademark Countries'!A:A,AM641) &gt; 0, "full_name", TRUE, "not a match")</f>
        <v>#NAME?</v>
      </c>
      <c r="EG641" s="30"/>
      <c r="EH641" s="30"/>
      <c r="EI641" s="30"/>
      <c r="EJ641" s="30"/>
      <c r="EK641" s="30" t="str">
        <f t="shared" si="4"/>
        <v/>
      </c>
    </row>
    <row r="642" spans="1:141" ht="16.5">
      <c r="A642" s="11"/>
      <c r="B642" s="11"/>
      <c r="C642" s="11"/>
      <c r="D642" s="11"/>
      <c r="E642" s="11"/>
      <c r="F642" s="11"/>
      <c r="G642" s="11"/>
      <c r="H642" s="11"/>
      <c r="I642" s="11"/>
      <c r="J642" s="11"/>
      <c r="K642" s="27"/>
      <c r="L642" s="11"/>
      <c r="M642" s="11"/>
      <c r="N642" s="11"/>
      <c r="O642" s="11"/>
      <c r="P642" s="15"/>
      <c r="Q642" s="15"/>
      <c r="R642" s="15"/>
      <c r="S642" s="15"/>
      <c r="T642" s="15"/>
      <c r="U642" s="15"/>
      <c r="V642" s="15"/>
      <c r="W642" s="47"/>
      <c r="X642" s="11"/>
      <c r="Y642" s="48"/>
      <c r="Z642" s="11"/>
      <c r="AA642" s="48"/>
      <c r="AB642" s="11"/>
      <c r="AC642" s="48"/>
      <c r="AD642" s="11"/>
      <c r="AE642" s="47"/>
      <c r="AF642" s="11"/>
      <c r="AG642" s="48"/>
      <c r="AH642" s="11"/>
      <c r="AI642" s="48"/>
      <c r="AJ642" s="11"/>
      <c r="AK642" s="48"/>
      <c r="AL642" s="11"/>
      <c r="AM642" s="49"/>
      <c r="AN642" s="49"/>
      <c r="AO642" s="11"/>
      <c r="AP642" s="11"/>
      <c r="AQ642" s="28" t="b">
        <f>IF(COUNTIF(SmartStatus!A$2:A1000, AM642) &gt; 2, TRUE, FALSE)</f>
        <v>0</v>
      </c>
      <c r="AR642" s="29" t="str">
        <f ca="1">IFERROR(__xludf.DUMMYFUNCTION("iferror(if(regexmatch(AO642, ""(?i)^registered""), if(EE642 &lt;&gt; ""polity_shortest_name"", ""CHECK_POLITY"", index(filter(SmartStatus!B$2:B1000, AM642 = SmartStatus!A$2:A1000, not(SmartStatus!C$2:C1000), (isblank(SmartStatus!D$2:D1000)) + ((P642 &lt;&gt; """") * "&amp;"(P642 &lt; SmartStatus!D$2:D1000)), (isblank(SmartStatus!E$2:E1000)) + ((P642 &lt;&gt; """") * (P642 &gt;= SmartStatus!E$2:E1000)), (isblank(SmartStatus!F$2:F1000)) + (((Q642 &lt;&gt; """") * (Q642 &lt; SmartStatus!F$2:F1000)) + ((P642 &lt;&gt; """") * (date(year(P642) + 3, month(P"&amp;"642), day(P642)) &lt; SmartStatus!F$2:F1000))), (isblank(SmartStatus!G$2:G1000)) + (((Q642 &lt;&gt; """") * (Q642 &gt;= SmartStatus!G$2:G1000)) + ((P642 &lt;&gt; """") * (P642 &gt;= SmartStatus!G$2:G1000)))), if(or(regexmatch(B642, ""(?i)^ir [a-z]+ designation$""), N642 &lt;&gt; """&amp;"""), 1, 2))), """"), ""NO_MATCH"")"),"")</f>
        <v/>
      </c>
      <c r="AS642" s="11"/>
      <c r="AT642" s="15"/>
      <c r="AU642" s="11"/>
      <c r="AV642" s="11"/>
      <c r="AW642" s="15"/>
      <c r="AX642" s="15"/>
      <c r="AY642" s="15"/>
      <c r="AZ642" s="11"/>
      <c r="BA642" s="15"/>
      <c r="BB642" s="11"/>
      <c r="BC642" s="11"/>
      <c r="BD642" s="15"/>
      <c r="BE642" s="11"/>
      <c r="BF642" s="11"/>
      <c r="BG642" s="15"/>
      <c r="BH642" s="15"/>
      <c r="BI642" s="15"/>
      <c r="BJ642" s="11"/>
      <c r="BK642" s="15"/>
      <c r="BL642" s="11"/>
      <c r="BM642" s="11"/>
      <c r="BN642" s="15"/>
      <c r="BO642" s="11"/>
      <c r="BP642" s="11"/>
      <c r="BQ642" s="15"/>
      <c r="BR642" s="15"/>
      <c r="BS642" s="15"/>
      <c r="BT642" s="11"/>
      <c r="BU642" s="15"/>
      <c r="BV642" s="11"/>
      <c r="BW642" s="11"/>
      <c r="BX642" s="15"/>
      <c r="BY642" s="11"/>
      <c r="BZ642" s="11"/>
      <c r="CA642" s="15"/>
      <c r="CB642" s="11"/>
      <c r="CC642" s="15"/>
      <c r="CD642" s="11"/>
      <c r="CE642" s="15"/>
      <c r="CF642" s="11"/>
      <c r="CG642" s="11"/>
      <c r="CH642" s="15"/>
      <c r="CI642" s="11"/>
      <c r="CJ642" s="11"/>
      <c r="CK642" s="15"/>
      <c r="CL642" s="11"/>
      <c r="CM642" s="11"/>
      <c r="CN642" s="11"/>
      <c r="CO642" s="11"/>
      <c r="CP642" s="28"/>
      <c r="CQ642" s="28"/>
      <c r="CR642" s="11"/>
      <c r="CS642" s="29"/>
      <c r="CT642" s="11"/>
      <c r="CU642" s="11"/>
      <c r="CV642" s="11"/>
      <c r="CW642" s="11"/>
      <c r="CX642" s="11"/>
      <c r="CY642" s="11"/>
      <c r="CZ642" s="11"/>
      <c r="DA642" s="28"/>
      <c r="DB642" s="28"/>
      <c r="DC642" s="11"/>
      <c r="DD642" s="29"/>
      <c r="DE642" s="11"/>
      <c r="DF642" s="11"/>
      <c r="DG642" s="11"/>
      <c r="DH642" s="11"/>
      <c r="DI642" s="11"/>
      <c r="DJ642" s="11"/>
      <c r="DK642" s="26"/>
      <c r="DL642" s="11"/>
      <c r="DM642" s="29"/>
      <c r="DN642" s="28"/>
      <c r="DO642" s="11"/>
      <c r="DP642" s="11"/>
      <c r="DQ642" s="11"/>
      <c r="DR642" s="29"/>
      <c r="DS642" s="28"/>
      <c r="DT642" s="11"/>
      <c r="DU642" s="26"/>
      <c r="DV642" s="11"/>
      <c r="DW642" s="29"/>
      <c r="DX642" s="28"/>
      <c r="DY642" s="11"/>
      <c r="DZ642" s="26"/>
      <c r="EA642" s="11"/>
      <c r="EB642" s="29"/>
      <c r="EC642" s="28"/>
      <c r="ED642" s="30"/>
      <c r="EE642" s="30" t="str">
        <f ca="1">IFERROR(__xludf.DUMMYFUNCTION("iferror(index(filter('Internal -- Trademark Countries'!E$2:E1000, (AM642 = 'Internal -- Trademark Countries'!B$2:B1000) + (AM642 = 'Internal -- Trademark Countries'!C$2:C1000) + (AM642 = 'Internal -- Trademark Countries'!D$2:D1000)), 1))"),"")</f>
        <v/>
      </c>
      <c r="EF642" s="30" t="e">
        <f ca="1">_xludf.ifs(AM642="", "", COUNTIF('Internal -- Trademark Countries'!B:B,AM642) &gt; 0, "polity_shortest_name", COUNTIF('Internal -- Trademark Countries'!C:C,AM642) &gt; 0, "polity_full_name", COUNTIF('Internal -- Trademark Countries'!D:D,AM642) &gt; 0, "polity_common_name", COUNTIF('Internal -- Trademark Countries'!E:E,AM642) &gt; 0, "shortest_name", COUNTIF('Internal -- Trademark Countries'!A:A,AM642) &gt; 0, "full_name", TRUE, "not a match")</f>
        <v>#NAME?</v>
      </c>
      <c r="EG642" s="30"/>
      <c r="EH642" s="30"/>
      <c r="EI642" s="30"/>
      <c r="EJ642" s="30"/>
      <c r="EK642" s="30" t="str">
        <f t="shared" si="4"/>
        <v/>
      </c>
    </row>
    <row r="643" spans="1:141" ht="16.5">
      <c r="A643" s="11"/>
      <c r="B643" s="11"/>
      <c r="C643" s="11"/>
      <c r="D643" s="11"/>
      <c r="E643" s="11"/>
      <c r="F643" s="11"/>
      <c r="G643" s="11"/>
      <c r="H643" s="11"/>
      <c r="I643" s="11"/>
      <c r="J643" s="11"/>
      <c r="K643" s="27"/>
      <c r="L643" s="11"/>
      <c r="M643" s="11"/>
      <c r="N643" s="11"/>
      <c r="O643" s="11"/>
      <c r="P643" s="15"/>
      <c r="Q643" s="15"/>
      <c r="R643" s="15"/>
      <c r="S643" s="15"/>
      <c r="T643" s="15"/>
      <c r="U643" s="15"/>
      <c r="V643" s="15"/>
      <c r="W643" s="47"/>
      <c r="X643" s="11"/>
      <c r="Y643" s="48"/>
      <c r="Z643" s="11"/>
      <c r="AA643" s="48"/>
      <c r="AB643" s="11"/>
      <c r="AC643" s="48"/>
      <c r="AD643" s="11"/>
      <c r="AE643" s="47"/>
      <c r="AF643" s="11"/>
      <c r="AG643" s="48"/>
      <c r="AH643" s="11"/>
      <c r="AI643" s="48"/>
      <c r="AJ643" s="11"/>
      <c r="AK643" s="48"/>
      <c r="AL643" s="11"/>
      <c r="AM643" s="49"/>
      <c r="AN643" s="49"/>
      <c r="AO643" s="11"/>
      <c r="AP643" s="11"/>
      <c r="AQ643" s="28" t="b">
        <f>IF(COUNTIF(SmartStatus!A$2:A1000, AM643) &gt; 2, TRUE, FALSE)</f>
        <v>0</v>
      </c>
      <c r="AR643" s="29" t="str">
        <f ca="1">IFERROR(__xludf.DUMMYFUNCTION("iferror(if(regexmatch(AO643, ""(?i)^registered""), if(EE643 &lt;&gt; ""polity_shortest_name"", ""CHECK_POLITY"", index(filter(SmartStatus!B$2:B1000, AM643 = SmartStatus!A$2:A1000, not(SmartStatus!C$2:C1000), (isblank(SmartStatus!D$2:D1000)) + ((P643 &lt;&gt; """") * "&amp;"(P643 &lt; SmartStatus!D$2:D1000)), (isblank(SmartStatus!E$2:E1000)) + ((P643 &lt;&gt; """") * (P643 &gt;= SmartStatus!E$2:E1000)), (isblank(SmartStatus!F$2:F1000)) + (((Q643 &lt;&gt; """") * (Q643 &lt; SmartStatus!F$2:F1000)) + ((P643 &lt;&gt; """") * (date(year(P643) + 3, month(P"&amp;"643), day(P643)) &lt; SmartStatus!F$2:F1000))), (isblank(SmartStatus!G$2:G1000)) + (((Q643 &lt;&gt; """") * (Q643 &gt;= SmartStatus!G$2:G1000)) + ((P643 &lt;&gt; """") * (P643 &gt;= SmartStatus!G$2:G1000)))), if(or(regexmatch(B643, ""(?i)^ir [a-z]+ designation$""), N643 &lt;&gt; """&amp;"""), 1, 2))), """"), ""NO_MATCH"")"),"")</f>
        <v/>
      </c>
      <c r="AS643" s="11"/>
      <c r="AT643" s="15"/>
      <c r="AU643" s="11"/>
      <c r="AV643" s="11"/>
      <c r="AW643" s="15"/>
      <c r="AX643" s="15"/>
      <c r="AY643" s="15"/>
      <c r="AZ643" s="11"/>
      <c r="BA643" s="15"/>
      <c r="BB643" s="11"/>
      <c r="BC643" s="11"/>
      <c r="BD643" s="15"/>
      <c r="BE643" s="11"/>
      <c r="BF643" s="11"/>
      <c r="BG643" s="15"/>
      <c r="BH643" s="15"/>
      <c r="BI643" s="15"/>
      <c r="BJ643" s="11"/>
      <c r="BK643" s="15"/>
      <c r="BL643" s="11"/>
      <c r="BM643" s="11"/>
      <c r="BN643" s="15"/>
      <c r="BO643" s="11"/>
      <c r="BP643" s="11"/>
      <c r="BQ643" s="15"/>
      <c r="BR643" s="15"/>
      <c r="BS643" s="15"/>
      <c r="BT643" s="11"/>
      <c r="BU643" s="15"/>
      <c r="BV643" s="11"/>
      <c r="BW643" s="11"/>
      <c r="BX643" s="15"/>
      <c r="BY643" s="11"/>
      <c r="BZ643" s="11"/>
      <c r="CA643" s="15"/>
      <c r="CB643" s="11"/>
      <c r="CC643" s="15"/>
      <c r="CD643" s="11"/>
      <c r="CE643" s="15"/>
      <c r="CF643" s="11"/>
      <c r="CG643" s="11"/>
      <c r="CH643" s="15"/>
      <c r="CI643" s="11"/>
      <c r="CJ643" s="11"/>
      <c r="CK643" s="15"/>
      <c r="CL643" s="11"/>
      <c r="CM643" s="11"/>
      <c r="CN643" s="11"/>
      <c r="CO643" s="11"/>
      <c r="CP643" s="28"/>
      <c r="CQ643" s="28"/>
      <c r="CR643" s="11"/>
      <c r="CS643" s="29"/>
      <c r="CT643" s="11"/>
      <c r="CU643" s="11"/>
      <c r="CV643" s="11"/>
      <c r="CW643" s="11"/>
      <c r="CX643" s="11"/>
      <c r="CY643" s="11"/>
      <c r="CZ643" s="11"/>
      <c r="DA643" s="28"/>
      <c r="DB643" s="28"/>
      <c r="DC643" s="11"/>
      <c r="DD643" s="29"/>
      <c r="DE643" s="11"/>
      <c r="DF643" s="11"/>
      <c r="DG643" s="11"/>
      <c r="DH643" s="11"/>
      <c r="DI643" s="11"/>
      <c r="DJ643" s="11"/>
      <c r="DK643" s="26"/>
      <c r="DL643" s="11"/>
      <c r="DM643" s="29"/>
      <c r="DN643" s="28"/>
      <c r="DO643" s="11"/>
      <c r="DP643" s="11"/>
      <c r="DQ643" s="11"/>
      <c r="DR643" s="29"/>
      <c r="DS643" s="28"/>
      <c r="DT643" s="11"/>
      <c r="DU643" s="26"/>
      <c r="DV643" s="11"/>
      <c r="DW643" s="29"/>
      <c r="DX643" s="28"/>
      <c r="DY643" s="11"/>
      <c r="DZ643" s="26"/>
      <c r="EA643" s="11"/>
      <c r="EB643" s="29"/>
      <c r="EC643" s="28"/>
      <c r="ED643" s="30"/>
      <c r="EE643" s="30" t="str">
        <f ca="1">IFERROR(__xludf.DUMMYFUNCTION("iferror(index(filter('Internal -- Trademark Countries'!E$2:E1000, (AM643 = 'Internal -- Trademark Countries'!B$2:B1000) + (AM643 = 'Internal -- Trademark Countries'!C$2:C1000) + (AM643 = 'Internal -- Trademark Countries'!D$2:D1000)), 1))"),"")</f>
        <v/>
      </c>
      <c r="EF643" s="30" t="e">
        <f ca="1">_xludf.ifs(AM643="", "", COUNTIF('Internal -- Trademark Countries'!B:B,AM643) &gt; 0, "polity_shortest_name", COUNTIF('Internal -- Trademark Countries'!C:C,AM643) &gt; 0, "polity_full_name", COUNTIF('Internal -- Trademark Countries'!D:D,AM643) &gt; 0, "polity_common_name", COUNTIF('Internal -- Trademark Countries'!E:E,AM643) &gt; 0, "shortest_name", COUNTIF('Internal -- Trademark Countries'!A:A,AM643) &gt; 0, "full_name", TRUE, "not a match")</f>
        <v>#NAME?</v>
      </c>
      <c r="EG643" s="30"/>
      <c r="EH643" s="30"/>
      <c r="EI643" s="30"/>
      <c r="EJ643" s="30"/>
      <c r="EK643" s="30" t="str">
        <f t="shared" si="4"/>
        <v/>
      </c>
    </row>
    <row r="644" spans="1:141" ht="16.5">
      <c r="A644" s="11"/>
      <c r="B644" s="11"/>
      <c r="C644" s="11"/>
      <c r="D644" s="11"/>
      <c r="E644" s="11"/>
      <c r="F644" s="11"/>
      <c r="G644" s="11"/>
      <c r="H644" s="11"/>
      <c r="I644" s="11"/>
      <c r="J644" s="11"/>
      <c r="K644" s="27"/>
      <c r="L644" s="11"/>
      <c r="M644" s="11"/>
      <c r="N644" s="11"/>
      <c r="O644" s="11"/>
      <c r="P644" s="15"/>
      <c r="Q644" s="15"/>
      <c r="R644" s="15"/>
      <c r="S644" s="15"/>
      <c r="T644" s="15"/>
      <c r="U644" s="15"/>
      <c r="V644" s="15"/>
      <c r="W644" s="47"/>
      <c r="X644" s="11"/>
      <c r="Y644" s="48"/>
      <c r="Z644" s="11"/>
      <c r="AA644" s="48"/>
      <c r="AB644" s="11"/>
      <c r="AC644" s="48"/>
      <c r="AD644" s="11"/>
      <c r="AE644" s="47"/>
      <c r="AF644" s="11"/>
      <c r="AG644" s="48"/>
      <c r="AH644" s="11"/>
      <c r="AI644" s="48"/>
      <c r="AJ644" s="11"/>
      <c r="AK644" s="48"/>
      <c r="AL644" s="11"/>
      <c r="AM644" s="49"/>
      <c r="AN644" s="49"/>
      <c r="AO644" s="11"/>
      <c r="AP644" s="11"/>
      <c r="AQ644" s="28" t="b">
        <f>IF(COUNTIF(SmartStatus!A$2:A1000, AM644) &gt; 2, TRUE, FALSE)</f>
        <v>0</v>
      </c>
      <c r="AR644" s="29" t="str">
        <f ca="1">IFERROR(__xludf.DUMMYFUNCTION("iferror(if(regexmatch(AO644, ""(?i)^registered""), if(EE644 &lt;&gt; ""polity_shortest_name"", ""CHECK_POLITY"", index(filter(SmartStatus!B$2:B1000, AM644 = SmartStatus!A$2:A1000, not(SmartStatus!C$2:C1000), (isblank(SmartStatus!D$2:D1000)) + ((P644 &lt;&gt; """") * "&amp;"(P644 &lt; SmartStatus!D$2:D1000)), (isblank(SmartStatus!E$2:E1000)) + ((P644 &lt;&gt; """") * (P644 &gt;= SmartStatus!E$2:E1000)), (isblank(SmartStatus!F$2:F1000)) + (((Q644 &lt;&gt; """") * (Q644 &lt; SmartStatus!F$2:F1000)) + ((P644 &lt;&gt; """") * (date(year(P644) + 3, month(P"&amp;"644), day(P644)) &lt; SmartStatus!F$2:F1000))), (isblank(SmartStatus!G$2:G1000)) + (((Q644 &lt;&gt; """") * (Q644 &gt;= SmartStatus!G$2:G1000)) + ((P644 &lt;&gt; """") * (P644 &gt;= SmartStatus!G$2:G1000)))), if(or(regexmatch(B644, ""(?i)^ir [a-z]+ designation$""), N644 &lt;&gt; """&amp;"""), 1, 2))), """"), ""NO_MATCH"")"),"")</f>
        <v/>
      </c>
      <c r="AS644" s="11"/>
      <c r="AT644" s="15"/>
      <c r="AU644" s="11"/>
      <c r="AV644" s="11"/>
      <c r="AW644" s="15"/>
      <c r="AX644" s="15"/>
      <c r="AY644" s="15"/>
      <c r="AZ644" s="11"/>
      <c r="BA644" s="15"/>
      <c r="BB644" s="11"/>
      <c r="BC644" s="11"/>
      <c r="BD644" s="15"/>
      <c r="BE644" s="11"/>
      <c r="BF644" s="11"/>
      <c r="BG644" s="15"/>
      <c r="BH644" s="15"/>
      <c r="BI644" s="15"/>
      <c r="BJ644" s="11"/>
      <c r="BK644" s="15"/>
      <c r="BL644" s="11"/>
      <c r="BM644" s="11"/>
      <c r="BN644" s="15"/>
      <c r="BO644" s="11"/>
      <c r="BP644" s="11"/>
      <c r="BQ644" s="15"/>
      <c r="BR644" s="15"/>
      <c r="BS644" s="15"/>
      <c r="BT644" s="11"/>
      <c r="BU644" s="15"/>
      <c r="BV644" s="11"/>
      <c r="BW644" s="11"/>
      <c r="BX644" s="15"/>
      <c r="BY644" s="11"/>
      <c r="BZ644" s="11"/>
      <c r="CA644" s="15"/>
      <c r="CB644" s="11"/>
      <c r="CC644" s="15"/>
      <c r="CD644" s="11"/>
      <c r="CE644" s="15"/>
      <c r="CF644" s="11"/>
      <c r="CG644" s="11"/>
      <c r="CH644" s="15"/>
      <c r="CI644" s="11"/>
      <c r="CJ644" s="11"/>
      <c r="CK644" s="15"/>
      <c r="CL644" s="11"/>
      <c r="CM644" s="11"/>
      <c r="CN644" s="11"/>
      <c r="CO644" s="11"/>
      <c r="CP644" s="28"/>
      <c r="CQ644" s="28"/>
      <c r="CR644" s="11"/>
      <c r="CS644" s="29"/>
      <c r="CT644" s="11"/>
      <c r="CU644" s="11"/>
      <c r="CV644" s="11"/>
      <c r="CW644" s="11"/>
      <c r="CX644" s="11"/>
      <c r="CY644" s="11"/>
      <c r="CZ644" s="11"/>
      <c r="DA644" s="28"/>
      <c r="DB644" s="28"/>
      <c r="DC644" s="11"/>
      <c r="DD644" s="29"/>
      <c r="DE644" s="11"/>
      <c r="DF644" s="11"/>
      <c r="DG644" s="11"/>
      <c r="DH644" s="11"/>
      <c r="DI644" s="11"/>
      <c r="DJ644" s="11"/>
      <c r="DK644" s="26"/>
      <c r="DL644" s="11"/>
      <c r="DM644" s="29"/>
      <c r="DN644" s="28"/>
      <c r="DO644" s="11"/>
      <c r="DP644" s="11"/>
      <c r="DQ644" s="11"/>
      <c r="DR644" s="29"/>
      <c r="DS644" s="28"/>
      <c r="DT644" s="11"/>
      <c r="DU644" s="26"/>
      <c r="DV644" s="11"/>
      <c r="DW644" s="29"/>
      <c r="DX644" s="28"/>
      <c r="DY644" s="11"/>
      <c r="DZ644" s="26"/>
      <c r="EA644" s="11"/>
      <c r="EB644" s="29"/>
      <c r="EC644" s="28"/>
      <c r="ED644" s="30"/>
      <c r="EE644" s="30" t="str">
        <f ca="1">IFERROR(__xludf.DUMMYFUNCTION("iferror(index(filter('Internal -- Trademark Countries'!E$2:E1000, (AM644 = 'Internal -- Trademark Countries'!B$2:B1000) + (AM644 = 'Internal -- Trademark Countries'!C$2:C1000) + (AM644 = 'Internal -- Trademark Countries'!D$2:D1000)), 1))"),"")</f>
        <v/>
      </c>
      <c r="EF644" s="30" t="e">
        <f ca="1">_xludf.ifs(AM644="", "", COUNTIF('Internal -- Trademark Countries'!B:B,AM644) &gt; 0, "polity_shortest_name", COUNTIF('Internal -- Trademark Countries'!C:C,AM644) &gt; 0, "polity_full_name", COUNTIF('Internal -- Trademark Countries'!D:D,AM644) &gt; 0, "polity_common_name", COUNTIF('Internal -- Trademark Countries'!E:E,AM644) &gt; 0, "shortest_name", COUNTIF('Internal -- Trademark Countries'!A:A,AM644) &gt; 0, "full_name", TRUE, "not a match")</f>
        <v>#NAME?</v>
      </c>
      <c r="EG644" s="30"/>
      <c r="EH644" s="30"/>
      <c r="EI644" s="30"/>
      <c r="EJ644" s="30"/>
      <c r="EK644" s="30" t="str">
        <f t="shared" si="4"/>
        <v/>
      </c>
    </row>
    <row r="645" spans="1:141" ht="16.5">
      <c r="A645" s="11"/>
      <c r="B645" s="11"/>
      <c r="C645" s="11"/>
      <c r="D645" s="11"/>
      <c r="E645" s="11"/>
      <c r="F645" s="11"/>
      <c r="G645" s="11"/>
      <c r="H645" s="11"/>
      <c r="I645" s="11"/>
      <c r="J645" s="11"/>
      <c r="K645" s="27"/>
      <c r="L645" s="11"/>
      <c r="M645" s="11"/>
      <c r="N645" s="11"/>
      <c r="O645" s="11"/>
      <c r="P645" s="15"/>
      <c r="Q645" s="15"/>
      <c r="R645" s="15"/>
      <c r="S645" s="15"/>
      <c r="T645" s="15"/>
      <c r="U645" s="15"/>
      <c r="V645" s="15"/>
      <c r="W645" s="47"/>
      <c r="X645" s="11"/>
      <c r="Y645" s="48"/>
      <c r="Z645" s="11"/>
      <c r="AA645" s="48"/>
      <c r="AB645" s="11"/>
      <c r="AC645" s="48"/>
      <c r="AD645" s="11"/>
      <c r="AE645" s="47"/>
      <c r="AF645" s="11"/>
      <c r="AG645" s="48"/>
      <c r="AH645" s="11"/>
      <c r="AI645" s="48"/>
      <c r="AJ645" s="11"/>
      <c r="AK645" s="48"/>
      <c r="AL645" s="11"/>
      <c r="AM645" s="49"/>
      <c r="AN645" s="49"/>
      <c r="AO645" s="11"/>
      <c r="AP645" s="11"/>
      <c r="AQ645" s="28" t="b">
        <f>IF(COUNTIF(SmartStatus!A$2:A1000, AM645) &gt; 2, TRUE, FALSE)</f>
        <v>0</v>
      </c>
      <c r="AR645" s="29" t="str">
        <f ca="1">IFERROR(__xludf.DUMMYFUNCTION("iferror(if(regexmatch(AO645, ""(?i)^registered""), if(EE645 &lt;&gt; ""polity_shortest_name"", ""CHECK_POLITY"", index(filter(SmartStatus!B$2:B1000, AM645 = SmartStatus!A$2:A1000, not(SmartStatus!C$2:C1000), (isblank(SmartStatus!D$2:D1000)) + ((P645 &lt;&gt; """") * "&amp;"(P645 &lt; SmartStatus!D$2:D1000)), (isblank(SmartStatus!E$2:E1000)) + ((P645 &lt;&gt; """") * (P645 &gt;= SmartStatus!E$2:E1000)), (isblank(SmartStatus!F$2:F1000)) + (((Q645 &lt;&gt; """") * (Q645 &lt; SmartStatus!F$2:F1000)) + ((P645 &lt;&gt; """") * (date(year(P645) + 3, month(P"&amp;"645), day(P645)) &lt; SmartStatus!F$2:F1000))), (isblank(SmartStatus!G$2:G1000)) + (((Q645 &lt;&gt; """") * (Q645 &gt;= SmartStatus!G$2:G1000)) + ((P645 &lt;&gt; """") * (P645 &gt;= SmartStatus!G$2:G1000)))), if(or(regexmatch(B645, ""(?i)^ir [a-z]+ designation$""), N645 &lt;&gt; """&amp;"""), 1, 2))), """"), ""NO_MATCH"")"),"")</f>
        <v/>
      </c>
      <c r="AS645" s="11"/>
      <c r="AT645" s="15"/>
      <c r="AU645" s="11"/>
      <c r="AV645" s="11"/>
      <c r="AW645" s="15"/>
      <c r="AX645" s="15"/>
      <c r="AY645" s="15"/>
      <c r="AZ645" s="11"/>
      <c r="BA645" s="15"/>
      <c r="BB645" s="11"/>
      <c r="BC645" s="11"/>
      <c r="BD645" s="15"/>
      <c r="BE645" s="11"/>
      <c r="BF645" s="11"/>
      <c r="BG645" s="15"/>
      <c r="BH645" s="15"/>
      <c r="BI645" s="15"/>
      <c r="BJ645" s="11"/>
      <c r="BK645" s="15"/>
      <c r="BL645" s="11"/>
      <c r="BM645" s="11"/>
      <c r="BN645" s="15"/>
      <c r="BO645" s="11"/>
      <c r="BP645" s="11"/>
      <c r="BQ645" s="15"/>
      <c r="BR645" s="15"/>
      <c r="BS645" s="15"/>
      <c r="BT645" s="11"/>
      <c r="BU645" s="15"/>
      <c r="BV645" s="11"/>
      <c r="BW645" s="11"/>
      <c r="BX645" s="15"/>
      <c r="BY645" s="11"/>
      <c r="BZ645" s="11"/>
      <c r="CA645" s="15"/>
      <c r="CB645" s="11"/>
      <c r="CC645" s="15"/>
      <c r="CD645" s="11"/>
      <c r="CE645" s="15"/>
      <c r="CF645" s="11"/>
      <c r="CG645" s="11"/>
      <c r="CH645" s="15"/>
      <c r="CI645" s="11"/>
      <c r="CJ645" s="11"/>
      <c r="CK645" s="15"/>
      <c r="CL645" s="11"/>
      <c r="CM645" s="11"/>
      <c r="CN645" s="11"/>
      <c r="CO645" s="11"/>
      <c r="CP645" s="28"/>
      <c r="CQ645" s="28"/>
      <c r="CR645" s="11"/>
      <c r="CS645" s="29"/>
      <c r="CT645" s="11"/>
      <c r="CU645" s="11"/>
      <c r="CV645" s="11"/>
      <c r="CW645" s="11"/>
      <c r="CX645" s="11"/>
      <c r="CY645" s="11"/>
      <c r="CZ645" s="11"/>
      <c r="DA645" s="28"/>
      <c r="DB645" s="28"/>
      <c r="DC645" s="11"/>
      <c r="DD645" s="29"/>
      <c r="DE645" s="11"/>
      <c r="DF645" s="11"/>
      <c r="DG645" s="11"/>
      <c r="DH645" s="11"/>
      <c r="DI645" s="11"/>
      <c r="DJ645" s="11"/>
      <c r="DK645" s="26"/>
      <c r="DL645" s="11"/>
      <c r="DM645" s="29"/>
      <c r="DN645" s="28"/>
      <c r="DO645" s="11"/>
      <c r="DP645" s="11"/>
      <c r="DQ645" s="11"/>
      <c r="DR645" s="29"/>
      <c r="DS645" s="28"/>
      <c r="DT645" s="11"/>
      <c r="DU645" s="26"/>
      <c r="DV645" s="11"/>
      <c r="DW645" s="29"/>
      <c r="DX645" s="28"/>
      <c r="DY645" s="11"/>
      <c r="DZ645" s="26"/>
      <c r="EA645" s="11"/>
      <c r="EB645" s="29"/>
      <c r="EC645" s="28"/>
      <c r="ED645" s="30"/>
      <c r="EE645" s="30" t="str">
        <f ca="1">IFERROR(__xludf.DUMMYFUNCTION("iferror(index(filter('Internal -- Trademark Countries'!E$2:E1000, (AM645 = 'Internal -- Trademark Countries'!B$2:B1000) + (AM645 = 'Internal -- Trademark Countries'!C$2:C1000) + (AM645 = 'Internal -- Trademark Countries'!D$2:D1000)), 1))"),"")</f>
        <v/>
      </c>
      <c r="EF645" s="30" t="e">
        <f ca="1">_xludf.ifs(AM645="", "", COUNTIF('Internal -- Trademark Countries'!B:B,AM645) &gt; 0, "polity_shortest_name", COUNTIF('Internal -- Trademark Countries'!C:C,AM645) &gt; 0, "polity_full_name", COUNTIF('Internal -- Trademark Countries'!D:D,AM645) &gt; 0, "polity_common_name", COUNTIF('Internal -- Trademark Countries'!E:E,AM645) &gt; 0, "shortest_name", COUNTIF('Internal -- Trademark Countries'!A:A,AM645) &gt; 0, "full_name", TRUE, "not a match")</f>
        <v>#NAME?</v>
      </c>
      <c r="EG645" s="30"/>
      <c r="EH645" s="30"/>
      <c r="EI645" s="30"/>
      <c r="EJ645" s="30"/>
      <c r="EK645" s="30" t="str">
        <f t="shared" si="4"/>
        <v/>
      </c>
    </row>
    <row r="646" spans="1:141" ht="16.5">
      <c r="A646" s="11"/>
      <c r="B646" s="11"/>
      <c r="C646" s="11"/>
      <c r="D646" s="11"/>
      <c r="E646" s="11"/>
      <c r="F646" s="11"/>
      <c r="G646" s="11"/>
      <c r="H646" s="11"/>
      <c r="I646" s="11"/>
      <c r="J646" s="11"/>
      <c r="K646" s="27"/>
      <c r="L646" s="11"/>
      <c r="M646" s="11"/>
      <c r="N646" s="11"/>
      <c r="O646" s="11"/>
      <c r="P646" s="15"/>
      <c r="Q646" s="15"/>
      <c r="R646" s="15"/>
      <c r="S646" s="15"/>
      <c r="T646" s="15"/>
      <c r="U646" s="15"/>
      <c r="V646" s="15"/>
      <c r="W646" s="47"/>
      <c r="X646" s="11"/>
      <c r="Y646" s="48"/>
      <c r="Z646" s="11"/>
      <c r="AA646" s="48"/>
      <c r="AB646" s="11"/>
      <c r="AC646" s="48"/>
      <c r="AD646" s="11"/>
      <c r="AE646" s="47"/>
      <c r="AF646" s="11"/>
      <c r="AG646" s="48"/>
      <c r="AH646" s="11"/>
      <c r="AI646" s="48"/>
      <c r="AJ646" s="11"/>
      <c r="AK646" s="48"/>
      <c r="AL646" s="11"/>
      <c r="AM646" s="49"/>
      <c r="AN646" s="49"/>
      <c r="AO646" s="11"/>
      <c r="AP646" s="11"/>
      <c r="AQ646" s="28" t="b">
        <f>IF(COUNTIF(SmartStatus!A$2:A1000, AM646) &gt; 2, TRUE, FALSE)</f>
        <v>0</v>
      </c>
      <c r="AR646" s="29" t="str">
        <f ca="1">IFERROR(__xludf.DUMMYFUNCTION("iferror(if(regexmatch(AO646, ""(?i)^registered""), if(EE646 &lt;&gt; ""polity_shortest_name"", ""CHECK_POLITY"", index(filter(SmartStatus!B$2:B1000, AM646 = SmartStatus!A$2:A1000, not(SmartStatus!C$2:C1000), (isblank(SmartStatus!D$2:D1000)) + ((P646 &lt;&gt; """") * "&amp;"(P646 &lt; SmartStatus!D$2:D1000)), (isblank(SmartStatus!E$2:E1000)) + ((P646 &lt;&gt; """") * (P646 &gt;= SmartStatus!E$2:E1000)), (isblank(SmartStatus!F$2:F1000)) + (((Q646 &lt;&gt; """") * (Q646 &lt; SmartStatus!F$2:F1000)) + ((P646 &lt;&gt; """") * (date(year(P646) + 3, month(P"&amp;"646), day(P646)) &lt; SmartStatus!F$2:F1000))), (isblank(SmartStatus!G$2:G1000)) + (((Q646 &lt;&gt; """") * (Q646 &gt;= SmartStatus!G$2:G1000)) + ((P646 &lt;&gt; """") * (P646 &gt;= SmartStatus!G$2:G1000)))), if(or(regexmatch(B646, ""(?i)^ir [a-z]+ designation$""), N646 &lt;&gt; """&amp;"""), 1, 2))), """"), ""NO_MATCH"")"),"")</f>
        <v/>
      </c>
      <c r="AS646" s="11"/>
      <c r="AT646" s="15"/>
      <c r="AU646" s="11"/>
      <c r="AV646" s="11"/>
      <c r="AW646" s="15"/>
      <c r="AX646" s="15"/>
      <c r="AY646" s="15"/>
      <c r="AZ646" s="11"/>
      <c r="BA646" s="15"/>
      <c r="BB646" s="11"/>
      <c r="BC646" s="11"/>
      <c r="BD646" s="15"/>
      <c r="BE646" s="11"/>
      <c r="BF646" s="11"/>
      <c r="BG646" s="15"/>
      <c r="BH646" s="15"/>
      <c r="BI646" s="15"/>
      <c r="BJ646" s="11"/>
      <c r="BK646" s="15"/>
      <c r="BL646" s="11"/>
      <c r="BM646" s="11"/>
      <c r="BN646" s="15"/>
      <c r="BO646" s="11"/>
      <c r="BP646" s="11"/>
      <c r="BQ646" s="15"/>
      <c r="BR646" s="15"/>
      <c r="BS646" s="15"/>
      <c r="BT646" s="11"/>
      <c r="BU646" s="15"/>
      <c r="BV646" s="11"/>
      <c r="BW646" s="11"/>
      <c r="BX646" s="15"/>
      <c r="BY646" s="11"/>
      <c r="BZ646" s="11"/>
      <c r="CA646" s="15"/>
      <c r="CB646" s="11"/>
      <c r="CC646" s="15"/>
      <c r="CD646" s="11"/>
      <c r="CE646" s="15"/>
      <c r="CF646" s="11"/>
      <c r="CG646" s="11"/>
      <c r="CH646" s="15"/>
      <c r="CI646" s="11"/>
      <c r="CJ646" s="11"/>
      <c r="CK646" s="15"/>
      <c r="CL646" s="11"/>
      <c r="CM646" s="11"/>
      <c r="CN646" s="11"/>
      <c r="CO646" s="11"/>
      <c r="CP646" s="28"/>
      <c r="CQ646" s="28"/>
      <c r="CR646" s="11"/>
      <c r="CS646" s="29"/>
      <c r="CT646" s="11"/>
      <c r="CU646" s="11"/>
      <c r="CV646" s="11"/>
      <c r="CW646" s="11"/>
      <c r="CX646" s="11"/>
      <c r="CY646" s="11"/>
      <c r="CZ646" s="11"/>
      <c r="DA646" s="28"/>
      <c r="DB646" s="28"/>
      <c r="DC646" s="11"/>
      <c r="DD646" s="29"/>
      <c r="DE646" s="11"/>
      <c r="DF646" s="11"/>
      <c r="DG646" s="11"/>
      <c r="DH646" s="11"/>
      <c r="DI646" s="11"/>
      <c r="DJ646" s="11"/>
      <c r="DK646" s="26"/>
      <c r="DL646" s="11"/>
      <c r="DM646" s="29"/>
      <c r="DN646" s="28"/>
      <c r="DO646" s="11"/>
      <c r="DP646" s="11"/>
      <c r="DQ646" s="11"/>
      <c r="DR646" s="29"/>
      <c r="DS646" s="28"/>
      <c r="DT646" s="11"/>
      <c r="DU646" s="26"/>
      <c r="DV646" s="11"/>
      <c r="DW646" s="29"/>
      <c r="DX646" s="28"/>
      <c r="DY646" s="11"/>
      <c r="DZ646" s="26"/>
      <c r="EA646" s="11"/>
      <c r="EB646" s="29"/>
      <c r="EC646" s="28"/>
      <c r="ED646" s="30"/>
      <c r="EE646" s="30" t="str">
        <f ca="1">IFERROR(__xludf.DUMMYFUNCTION("iferror(index(filter('Internal -- Trademark Countries'!E$2:E1000, (AM646 = 'Internal -- Trademark Countries'!B$2:B1000) + (AM646 = 'Internal -- Trademark Countries'!C$2:C1000) + (AM646 = 'Internal -- Trademark Countries'!D$2:D1000)), 1))"),"")</f>
        <v/>
      </c>
      <c r="EF646" s="30" t="e">
        <f ca="1">_xludf.ifs(AM646="", "", COUNTIF('Internal -- Trademark Countries'!B:B,AM646) &gt; 0, "polity_shortest_name", COUNTIF('Internal -- Trademark Countries'!C:C,AM646) &gt; 0, "polity_full_name", COUNTIF('Internal -- Trademark Countries'!D:D,AM646) &gt; 0, "polity_common_name", COUNTIF('Internal -- Trademark Countries'!E:E,AM646) &gt; 0, "shortest_name", COUNTIF('Internal -- Trademark Countries'!A:A,AM646) &gt; 0, "full_name", TRUE, "not a match")</f>
        <v>#NAME?</v>
      </c>
      <c r="EG646" s="30"/>
      <c r="EH646" s="30"/>
      <c r="EI646" s="30"/>
      <c r="EJ646" s="30"/>
      <c r="EK646" s="30" t="str">
        <f t="shared" si="4"/>
        <v/>
      </c>
    </row>
    <row r="647" spans="1:141" ht="16.5">
      <c r="A647" s="11"/>
      <c r="B647" s="11"/>
      <c r="C647" s="11"/>
      <c r="D647" s="11"/>
      <c r="E647" s="11"/>
      <c r="F647" s="11"/>
      <c r="G647" s="11"/>
      <c r="H647" s="11"/>
      <c r="I647" s="11"/>
      <c r="J647" s="11"/>
      <c r="K647" s="27"/>
      <c r="L647" s="11"/>
      <c r="M647" s="11"/>
      <c r="N647" s="11"/>
      <c r="O647" s="11"/>
      <c r="P647" s="15"/>
      <c r="Q647" s="15"/>
      <c r="R647" s="15"/>
      <c r="S647" s="15"/>
      <c r="T647" s="15"/>
      <c r="U647" s="15"/>
      <c r="V647" s="15"/>
      <c r="W647" s="47"/>
      <c r="X647" s="11"/>
      <c r="Y647" s="48"/>
      <c r="Z647" s="11"/>
      <c r="AA647" s="48"/>
      <c r="AB647" s="11"/>
      <c r="AC647" s="48"/>
      <c r="AD647" s="11"/>
      <c r="AE647" s="47"/>
      <c r="AF647" s="11"/>
      <c r="AG647" s="48"/>
      <c r="AH647" s="11"/>
      <c r="AI647" s="48"/>
      <c r="AJ647" s="11"/>
      <c r="AK647" s="48"/>
      <c r="AL647" s="11"/>
      <c r="AM647" s="49"/>
      <c r="AN647" s="49"/>
      <c r="AO647" s="11"/>
      <c r="AP647" s="11"/>
      <c r="AQ647" s="28" t="b">
        <f>IF(COUNTIF(SmartStatus!A$2:A1000, AM647) &gt; 2, TRUE, FALSE)</f>
        <v>0</v>
      </c>
      <c r="AR647" s="29" t="str">
        <f ca="1">IFERROR(__xludf.DUMMYFUNCTION("iferror(if(regexmatch(AO647, ""(?i)^registered""), if(EE647 &lt;&gt; ""polity_shortest_name"", ""CHECK_POLITY"", index(filter(SmartStatus!B$2:B1000, AM647 = SmartStatus!A$2:A1000, not(SmartStatus!C$2:C1000), (isblank(SmartStatus!D$2:D1000)) + ((P647 &lt;&gt; """") * "&amp;"(P647 &lt; SmartStatus!D$2:D1000)), (isblank(SmartStatus!E$2:E1000)) + ((P647 &lt;&gt; """") * (P647 &gt;= SmartStatus!E$2:E1000)), (isblank(SmartStatus!F$2:F1000)) + (((Q647 &lt;&gt; """") * (Q647 &lt; SmartStatus!F$2:F1000)) + ((P647 &lt;&gt; """") * (date(year(P647) + 3, month(P"&amp;"647), day(P647)) &lt; SmartStatus!F$2:F1000))), (isblank(SmartStatus!G$2:G1000)) + (((Q647 &lt;&gt; """") * (Q647 &gt;= SmartStatus!G$2:G1000)) + ((P647 &lt;&gt; """") * (P647 &gt;= SmartStatus!G$2:G1000)))), if(or(regexmatch(B647, ""(?i)^ir [a-z]+ designation$""), N647 &lt;&gt; """&amp;"""), 1, 2))), """"), ""NO_MATCH"")"),"")</f>
        <v/>
      </c>
      <c r="AS647" s="11"/>
      <c r="AT647" s="15"/>
      <c r="AU647" s="11"/>
      <c r="AV647" s="11"/>
      <c r="AW647" s="15"/>
      <c r="AX647" s="15"/>
      <c r="AY647" s="15"/>
      <c r="AZ647" s="11"/>
      <c r="BA647" s="15"/>
      <c r="BB647" s="11"/>
      <c r="BC647" s="11"/>
      <c r="BD647" s="15"/>
      <c r="BE647" s="11"/>
      <c r="BF647" s="11"/>
      <c r="BG647" s="15"/>
      <c r="BH647" s="15"/>
      <c r="BI647" s="15"/>
      <c r="BJ647" s="11"/>
      <c r="BK647" s="15"/>
      <c r="BL647" s="11"/>
      <c r="BM647" s="11"/>
      <c r="BN647" s="15"/>
      <c r="BO647" s="11"/>
      <c r="BP647" s="11"/>
      <c r="BQ647" s="15"/>
      <c r="BR647" s="15"/>
      <c r="BS647" s="15"/>
      <c r="BT647" s="11"/>
      <c r="BU647" s="15"/>
      <c r="BV647" s="11"/>
      <c r="BW647" s="11"/>
      <c r="BX647" s="15"/>
      <c r="BY647" s="11"/>
      <c r="BZ647" s="11"/>
      <c r="CA647" s="15"/>
      <c r="CB647" s="11"/>
      <c r="CC647" s="15"/>
      <c r="CD647" s="11"/>
      <c r="CE647" s="15"/>
      <c r="CF647" s="11"/>
      <c r="CG647" s="11"/>
      <c r="CH647" s="15"/>
      <c r="CI647" s="11"/>
      <c r="CJ647" s="11"/>
      <c r="CK647" s="15"/>
      <c r="CL647" s="11"/>
      <c r="CM647" s="11"/>
      <c r="CN647" s="11"/>
      <c r="CO647" s="11"/>
      <c r="CP647" s="28"/>
      <c r="CQ647" s="28"/>
      <c r="CR647" s="11"/>
      <c r="CS647" s="29"/>
      <c r="CT647" s="11"/>
      <c r="CU647" s="11"/>
      <c r="CV647" s="11"/>
      <c r="CW647" s="11"/>
      <c r="CX647" s="11"/>
      <c r="CY647" s="11"/>
      <c r="CZ647" s="11"/>
      <c r="DA647" s="28"/>
      <c r="DB647" s="28"/>
      <c r="DC647" s="11"/>
      <c r="DD647" s="29"/>
      <c r="DE647" s="11"/>
      <c r="DF647" s="11"/>
      <c r="DG647" s="11"/>
      <c r="DH647" s="11"/>
      <c r="DI647" s="11"/>
      <c r="DJ647" s="11"/>
      <c r="DK647" s="26"/>
      <c r="DL647" s="11"/>
      <c r="DM647" s="29"/>
      <c r="DN647" s="28"/>
      <c r="DO647" s="11"/>
      <c r="DP647" s="11"/>
      <c r="DQ647" s="11"/>
      <c r="DR647" s="29"/>
      <c r="DS647" s="28"/>
      <c r="DT647" s="11"/>
      <c r="DU647" s="26"/>
      <c r="DV647" s="11"/>
      <c r="DW647" s="29"/>
      <c r="DX647" s="28"/>
      <c r="DY647" s="11"/>
      <c r="DZ647" s="26"/>
      <c r="EA647" s="11"/>
      <c r="EB647" s="29"/>
      <c r="EC647" s="28"/>
      <c r="ED647" s="30"/>
      <c r="EE647" s="30" t="str">
        <f ca="1">IFERROR(__xludf.DUMMYFUNCTION("iferror(index(filter('Internal -- Trademark Countries'!E$2:E1000, (AM647 = 'Internal -- Trademark Countries'!B$2:B1000) + (AM647 = 'Internal -- Trademark Countries'!C$2:C1000) + (AM647 = 'Internal -- Trademark Countries'!D$2:D1000)), 1))"),"")</f>
        <v/>
      </c>
      <c r="EF647" s="30" t="e">
        <f ca="1">_xludf.ifs(AM647="", "", COUNTIF('Internal -- Trademark Countries'!B:B,AM647) &gt; 0, "polity_shortest_name", COUNTIF('Internal -- Trademark Countries'!C:C,AM647) &gt; 0, "polity_full_name", COUNTIF('Internal -- Trademark Countries'!D:D,AM647) &gt; 0, "polity_common_name", COUNTIF('Internal -- Trademark Countries'!E:E,AM647) &gt; 0, "shortest_name", COUNTIF('Internal -- Trademark Countries'!A:A,AM647) &gt; 0, "full_name", TRUE, "not a match")</f>
        <v>#NAME?</v>
      </c>
      <c r="EG647" s="30"/>
      <c r="EH647" s="30"/>
      <c r="EI647" s="30"/>
      <c r="EJ647" s="30"/>
      <c r="EK647" s="30" t="str">
        <f t="shared" si="4"/>
        <v/>
      </c>
    </row>
    <row r="648" spans="1:141" ht="16.5">
      <c r="A648" s="11"/>
      <c r="B648" s="11"/>
      <c r="C648" s="11"/>
      <c r="D648" s="11"/>
      <c r="E648" s="11"/>
      <c r="F648" s="11"/>
      <c r="G648" s="11"/>
      <c r="H648" s="11"/>
      <c r="I648" s="11"/>
      <c r="J648" s="11"/>
      <c r="K648" s="27"/>
      <c r="L648" s="11"/>
      <c r="M648" s="11"/>
      <c r="N648" s="11"/>
      <c r="O648" s="11"/>
      <c r="P648" s="15"/>
      <c r="Q648" s="15"/>
      <c r="R648" s="15"/>
      <c r="S648" s="15"/>
      <c r="T648" s="15"/>
      <c r="U648" s="15"/>
      <c r="V648" s="15"/>
      <c r="W648" s="47"/>
      <c r="X648" s="11"/>
      <c r="Y648" s="48"/>
      <c r="Z648" s="11"/>
      <c r="AA648" s="48"/>
      <c r="AB648" s="11"/>
      <c r="AC648" s="48"/>
      <c r="AD648" s="11"/>
      <c r="AE648" s="47"/>
      <c r="AF648" s="11"/>
      <c r="AG648" s="48"/>
      <c r="AH648" s="11"/>
      <c r="AI648" s="48"/>
      <c r="AJ648" s="11"/>
      <c r="AK648" s="48"/>
      <c r="AL648" s="11"/>
      <c r="AM648" s="49"/>
      <c r="AN648" s="49"/>
      <c r="AO648" s="11"/>
      <c r="AP648" s="11"/>
      <c r="AQ648" s="28" t="b">
        <f>IF(COUNTIF(SmartStatus!A$2:A1000, AM648) &gt; 2, TRUE, FALSE)</f>
        <v>0</v>
      </c>
      <c r="AR648" s="29" t="str">
        <f ca="1">IFERROR(__xludf.DUMMYFUNCTION("iferror(if(regexmatch(AO648, ""(?i)^registered""), if(EE648 &lt;&gt; ""polity_shortest_name"", ""CHECK_POLITY"", index(filter(SmartStatus!B$2:B1000, AM648 = SmartStatus!A$2:A1000, not(SmartStatus!C$2:C1000), (isblank(SmartStatus!D$2:D1000)) + ((P648 &lt;&gt; """") * "&amp;"(P648 &lt; SmartStatus!D$2:D1000)), (isblank(SmartStatus!E$2:E1000)) + ((P648 &lt;&gt; """") * (P648 &gt;= SmartStatus!E$2:E1000)), (isblank(SmartStatus!F$2:F1000)) + (((Q648 &lt;&gt; """") * (Q648 &lt; SmartStatus!F$2:F1000)) + ((P648 &lt;&gt; """") * (date(year(P648) + 3, month(P"&amp;"648), day(P648)) &lt; SmartStatus!F$2:F1000))), (isblank(SmartStatus!G$2:G1000)) + (((Q648 &lt;&gt; """") * (Q648 &gt;= SmartStatus!G$2:G1000)) + ((P648 &lt;&gt; """") * (P648 &gt;= SmartStatus!G$2:G1000)))), if(or(regexmatch(B648, ""(?i)^ir [a-z]+ designation$""), N648 &lt;&gt; """&amp;"""), 1, 2))), """"), ""NO_MATCH"")"),"")</f>
        <v/>
      </c>
      <c r="AS648" s="11"/>
      <c r="AT648" s="15"/>
      <c r="AU648" s="11"/>
      <c r="AV648" s="11"/>
      <c r="AW648" s="15"/>
      <c r="AX648" s="15"/>
      <c r="AY648" s="15"/>
      <c r="AZ648" s="11"/>
      <c r="BA648" s="15"/>
      <c r="BB648" s="11"/>
      <c r="BC648" s="11"/>
      <c r="BD648" s="15"/>
      <c r="BE648" s="11"/>
      <c r="BF648" s="11"/>
      <c r="BG648" s="15"/>
      <c r="BH648" s="15"/>
      <c r="BI648" s="15"/>
      <c r="BJ648" s="11"/>
      <c r="BK648" s="15"/>
      <c r="BL648" s="11"/>
      <c r="BM648" s="11"/>
      <c r="BN648" s="15"/>
      <c r="BO648" s="11"/>
      <c r="BP648" s="11"/>
      <c r="BQ648" s="15"/>
      <c r="BR648" s="15"/>
      <c r="BS648" s="15"/>
      <c r="BT648" s="11"/>
      <c r="BU648" s="15"/>
      <c r="BV648" s="11"/>
      <c r="BW648" s="11"/>
      <c r="BX648" s="15"/>
      <c r="BY648" s="11"/>
      <c r="BZ648" s="11"/>
      <c r="CA648" s="15"/>
      <c r="CB648" s="11"/>
      <c r="CC648" s="15"/>
      <c r="CD648" s="11"/>
      <c r="CE648" s="15"/>
      <c r="CF648" s="11"/>
      <c r="CG648" s="11"/>
      <c r="CH648" s="15"/>
      <c r="CI648" s="11"/>
      <c r="CJ648" s="11"/>
      <c r="CK648" s="15"/>
      <c r="CL648" s="11"/>
      <c r="CM648" s="11"/>
      <c r="CN648" s="11"/>
      <c r="CO648" s="11"/>
      <c r="CP648" s="28"/>
      <c r="CQ648" s="28"/>
      <c r="CR648" s="11"/>
      <c r="CS648" s="29"/>
      <c r="CT648" s="11"/>
      <c r="CU648" s="11"/>
      <c r="CV648" s="11"/>
      <c r="CW648" s="11"/>
      <c r="CX648" s="11"/>
      <c r="CY648" s="11"/>
      <c r="CZ648" s="11"/>
      <c r="DA648" s="28"/>
      <c r="DB648" s="28"/>
      <c r="DC648" s="11"/>
      <c r="DD648" s="29"/>
      <c r="DE648" s="11"/>
      <c r="DF648" s="11"/>
      <c r="DG648" s="11"/>
      <c r="DH648" s="11"/>
      <c r="DI648" s="11"/>
      <c r="DJ648" s="11"/>
      <c r="DK648" s="26"/>
      <c r="DL648" s="11"/>
      <c r="DM648" s="29"/>
      <c r="DN648" s="28"/>
      <c r="DO648" s="11"/>
      <c r="DP648" s="11"/>
      <c r="DQ648" s="11"/>
      <c r="DR648" s="29"/>
      <c r="DS648" s="28"/>
      <c r="DT648" s="11"/>
      <c r="DU648" s="26"/>
      <c r="DV648" s="11"/>
      <c r="DW648" s="29"/>
      <c r="DX648" s="28"/>
      <c r="DY648" s="11"/>
      <c r="DZ648" s="26"/>
      <c r="EA648" s="11"/>
      <c r="EB648" s="29"/>
      <c r="EC648" s="28"/>
      <c r="ED648" s="30"/>
      <c r="EE648" s="30" t="str">
        <f ca="1">IFERROR(__xludf.DUMMYFUNCTION("iferror(index(filter('Internal -- Trademark Countries'!E$2:E1000, (AM648 = 'Internal -- Trademark Countries'!B$2:B1000) + (AM648 = 'Internal -- Trademark Countries'!C$2:C1000) + (AM648 = 'Internal -- Trademark Countries'!D$2:D1000)), 1))"),"")</f>
        <v/>
      </c>
      <c r="EF648" s="30" t="e">
        <f ca="1">_xludf.ifs(AM648="", "", COUNTIF('Internal -- Trademark Countries'!B:B,AM648) &gt; 0, "polity_shortest_name", COUNTIF('Internal -- Trademark Countries'!C:C,AM648) &gt; 0, "polity_full_name", COUNTIF('Internal -- Trademark Countries'!D:D,AM648) &gt; 0, "polity_common_name", COUNTIF('Internal -- Trademark Countries'!E:E,AM648) &gt; 0, "shortest_name", COUNTIF('Internal -- Trademark Countries'!A:A,AM648) &gt; 0, "full_name", TRUE, "not a match")</f>
        <v>#NAME?</v>
      </c>
      <c r="EG648" s="30"/>
      <c r="EH648" s="30"/>
      <c r="EI648" s="30"/>
      <c r="EJ648" s="30"/>
      <c r="EK648" s="30" t="str">
        <f t="shared" si="4"/>
        <v/>
      </c>
    </row>
    <row r="649" spans="1:141" ht="16.5">
      <c r="A649" s="11"/>
      <c r="B649" s="11"/>
      <c r="C649" s="11"/>
      <c r="D649" s="11"/>
      <c r="E649" s="11"/>
      <c r="F649" s="11"/>
      <c r="G649" s="11"/>
      <c r="H649" s="11"/>
      <c r="I649" s="11"/>
      <c r="J649" s="11"/>
      <c r="K649" s="27"/>
      <c r="L649" s="11"/>
      <c r="M649" s="11"/>
      <c r="N649" s="11"/>
      <c r="O649" s="11"/>
      <c r="P649" s="15"/>
      <c r="Q649" s="15"/>
      <c r="R649" s="15"/>
      <c r="S649" s="15"/>
      <c r="T649" s="15"/>
      <c r="U649" s="15"/>
      <c r="V649" s="15"/>
      <c r="W649" s="47"/>
      <c r="X649" s="11"/>
      <c r="Y649" s="48"/>
      <c r="Z649" s="11"/>
      <c r="AA649" s="48"/>
      <c r="AB649" s="11"/>
      <c r="AC649" s="48"/>
      <c r="AD649" s="11"/>
      <c r="AE649" s="47"/>
      <c r="AF649" s="11"/>
      <c r="AG649" s="48"/>
      <c r="AH649" s="11"/>
      <c r="AI649" s="48"/>
      <c r="AJ649" s="11"/>
      <c r="AK649" s="48"/>
      <c r="AL649" s="11"/>
      <c r="AM649" s="49"/>
      <c r="AN649" s="49"/>
      <c r="AO649" s="11"/>
      <c r="AP649" s="11"/>
      <c r="AQ649" s="28" t="b">
        <f>IF(COUNTIF(SmartStatus!A$2:A1000, AM649) &gt; 2, TRUE, FALSE)</f>
        <v>0</v>
      </c>
      <c r="AR649" s="29" t="str">
        <f ca="1">IFERROR(__xludf.DUMMYFUNCTION("iferror(if(regexmatch(AO649, ""(?i)^registered""), if(EE649 &lt;&gt; ""polity_shortest_name"", ""CHECK_POLITY"", index(filter(SmartStatus!B$2:B1000, AM649 = SmartStatus!A$2:A1000, not(SmartStatus!C$2:C1000), (isblank(SmartStatus!D$2:D1000)) + ((P649 &lt;&gt; """") * "&amp;"(P649 &lt; SmartStatus!D$2:D1000)), (isblank(SmartStatus!E$2:E1000)) + ((P649 &lt;&gt; """") * (P649 &gt;= SmartStatus!E$2:E1000)), (isblank(SmartStatus!F$2:F1000)) + (((Q649 &lt;&gt; """") * (Q649 &lt; SmartStatus!F$2:F1000)) + ((P649 &lt;&gt; """") * (date(year(P649) + 3, month(P"&amp;"649), day(P649)) &lt; SmartStatus!F$2:F1000))), (isblank(SmartStatus!G$2:G1000)) + (((Q649 &lt;&gt; """") * (Q649 &gt;= SmartStatus!G$2:G1000)) + ((P649 &lt;&gt; """") * (P649 &gt;= SmartStatus!G$2:G1000)))), if(or(regexmatch(B649, ""(?i)^ir [a-z]+ designation$""), N649 &lt;&gt; """&amp;"""), 1, 2))), """"), ""NO_MATCH"")"),"")</f>
        <v/>
      </c>
      <c r="AS649" s="11"/>
      <c r="AT649" s="15"/>
      <c r="AU649" s="11"/>
      <c r="AV649" s="11"/>
      <c r="AW649" s="15"/>
      <c r="AX649" s="15"/>
      <c r="AY649" s="15"/>
      <c r="AZ649" s="11"/>
      <c r="BA649" s="15"/>
      <c r="BB649" s="11"/>
      <c r="BC649" s="11"/>
      <c r="BD649" s="15"/>
      <c r="BE649" s="11"/>
      <c r="BF649" s="11"/>
      <c r="BG649" s="15"/>
      <c r="BH649" s="15"/>
      <c r="BI649" s="15"/>
      <c r="BJ649" s="11"/>
      <c r="BK649" s="15"/>
      <c r="BL649" s="11"/>
      <c r="BM649" s="11"/>
      <c r="BN649" s="15"/>
      <c r="BO649" s="11"/>
      <c r="BP649" s="11"/>
      <c r="BQ649" s="15"/>
      <c r="BR649" s="15"/>
      <c r="BS649" s="15"/>
      <c r="BT649" s="11"/>
      <c r="BU649" s="15"/>
      <c r="BV649" s="11"/>
      <c r="BW649" s="11"/>
      <c r="BX649" s="15"/>
      <c r="BY649" s="11"/>
      <c r="BZ649" s="11"/>
      <c r="CA649" s="15"/>
      <c r="CB649" s="11"/>
      <c r="CC649" s="15"/>
      <c r="CD649" s="11"/>
      <c r="CE649" s="15"/>
      <c r="CF649" s="11"/>
      <c r="CG649" s="11"/>
      <c r="CH649" s="15"/>
      <c r="CI649" s="11"/>
      <c r="CJ649" s="11"/>
      <c r="CK649" s="15"/>
      <c r="CL649" s="11"/>
      <c r="CM649" s="11"/>
      <c r="CN649" s="11"/>
      <c r="CO649" s="11"/>
      <c r="CP649" s="28"/>
      <c r="CQ649" s="28"/>
      <c r="CR649" s="11"/>
      <c r="CS649" s="29"/>
      <c r="CT649" s="11"/>
      <c r="CU649" s="11"/>
      <c r="CV649" s="11"/>
      <c r="CW649" s="11"/>
      <c r="CX649" s="11"/>
      <c r="CY649" s="11"/>
      <c r="CZ649" s="11"/>
      <c r="DA649" s="28"/>
      <c r="DB649" s="28"/>
      <c r="DC649" s="11"/>
      <c r="DD649" s="29"/>
      <c r="DE649" s="11"/>
      <c r="DF649" s="11"/>
      <c r="DG649" s="11"/>
      <c r="DH649" s="11"/>
      <c r="DI649" s="11"/>
      <c r="DJ649" s="11"/>
      <c r="DK649" s="26"/>
      <c r="DL649" s="11"/>
      <c r="DM649" s="29"/>
      <c r="DN649" s="28"/>
      <c r="DO649" s="11"/>
      <c r="DP649" s="11"/>
      <c r="DQ649" s="11"/>
      <c r="DR649" s="29"/>
      <c r="DS649" s="28"/>
      <c r="DT649" s="11"/>
      <c r="DU649" s="26"/>
      <c r="DV649" s="11"/>
      <c r="DW649" s="29"/>
      <c r="DX649" s="28"/>
      <c r="DY649" s="11"/>
      <c r="DZ649" s="26"/>
      <c r="EA649" s="11"/>
      <c r="EB649" s="29"/>
      <c r="EC649" s="28"/>
      <c r="ED649" s="30"/>
      <c r="EE649" s="30" t="str">
        <f ca="1">IFERROR(__xludf.DUMMYFUNCTION("iferror(index(filter('Internal -- Trademark Countries'!E$2:E1000, (AM649 = 'Internal -- Trademark Countries'!B$2:B1000) + (AM649 = 'Internal -- Trademark Countries'!C$2:C1000) + (AM649 = 'Internal -- Trademark Countries'!D$2:D1000)), 1))"),"")</f>
        <v/>
      </c>
      <c r="EF649" s="30" t="e">
        <f ca="1">_xludf.ifs(AM649="", "", COUNTIF('Internal -- Trademark Countries'!B:B,AM649) &gt; 0, "polity_shortest_name", COUNTIF('Internal -- Trademark Countries'!C:C,AM649) &gt; 0, "polity_full_name", COUNTIF('Internal -- Trademark Countries'!D:D,AM649) &gt; 0, "polity_common_name", COUNTIF('Internal -- Trademark Countries'!E:E,AM649) &gt; 0, "shortest_name", COUNTIF('Internal -- Trademark Countries'!A:A,AM649) &gt; 0, "full_name", TRUE, "not a match")</f>
        <v>#NAME?</v>
      </c>
      <c r="EG649" s="30"/>
      <c r="EH649" s="30"/>
      <c r="EI649" s="30"/>
      <c r="EJ649" s="30"/>
      <c r="EK649" s="30" t="str">
        <f t="shared" si="4"/>
        <v/>
      </c>
    </row>
    <row r="650" spans="1:141" ht="16.5">
      <c r="A650" s="11"/>
      <c r="B650" s="11"/>
      <c r="C650" s="11"/>
      <c r="D650" s="11"/>
      <c r="E650" s="11"/>
      <c r="F650" s="11"/>
      <c r="G650" s="11"/>
      <c r="H650" s="11"/>
      <c r="I650" s="11"/>
      <c r="J650" s="11"/>
      <c r="K650" s="27"/>
      <c r="L650" s="11"/>
      <c r="M650" s="11"/>
      <c r="N650" s="11"/>
      <c r="O650" s="11"/>
      <c r="P650" s="15"/>
      <c r="Q650" s="15"/>
      <c r="R650" s="15"/>
      <c r="S650" s="15"/>
      <c r="T650" s="15"/>
      <c r="U650" s="15"/>
      <c r="V650" s="15"/>
      <c r="W650" s="47"/>
      <c r="X650" s="11"/>
      <c r="Y650" s="48"/>
      <c r="Z650" s="11"/>
      <c r="AA650" s="48"/>
      <c r="AB650" s="11"/>
      <c r="AC650" s="48"/>
      <c r="AD650" s="11"/>
      <c r="AE650" s="47"/>
      <c r="AF650" s="11"/>
      <c r="AG650" s="48"/>
      <c r="AH650" s="11"/>
      <c r="AI650" s="48"/>
      <c r="AJ650" s="11"/>
      <c r="AK650" s="48"/>
      <c r="AL650" s="11"/>
      <c r="AM650" s="49"/>
      <c r="AN650" s="49"/>
      <c r="AO650" s="11"/>
      <c r="AP650" s="11"/>
      <c r="AQ650" s="28" t="b">
        <f>IF(COUNTIF(SmartStatus!A$2:A1000, AM650) &gt; 2, TRUE, FALSE)</f>
        <v>0</v>
      </c>
      <c r="AR650" s="29" t="str">
        <f ca="1">IFERROR(__xludf.DUMMYFUNCTION("iferror(if(regexmatch(AO650, ""(?i)^registered""), if(EE650 &lt;&gt; ""polity_shortest_name"", ""CHECK_POLITY"", index(filter(SmartStatus!B$2:B1000, AM650 = SmartStatus!A$2:A1000, not(SmartStatus!C$2:C1000), (isblank(SmartStatus!D$2:D1000)) + ((P650 &lt;&gt; """") * "&amp;"(P650 &lt; SmartStatus!D$2:D1000)), (isblank(SmartStatus!E$2:E1000)) + ((P650 &lt;&gt; """") * (P650 &gt;= SmartStatus!E$2:E1000)), (isblank(SmartStatus!F$2:F1000)) + (((Q650 &lt;&gt; """") * (Q650 &lt; SmartStatus!F$2:F1000)) + ((P650 &lt;&gt; """") * (date(year(P650) + 3, month(P"&amp;"650), day(P650)) &lt; SmartStatus!F$2:F1000))), (isblank(SmartStatus!G$2:G1000)) + (((Q650 &lt;&gt; """") * (Q650 &gt;= SmartStatus!G$2:G1000)) + ((P650 &lt;&gt; """") * (P650 &gt;= SmartStatus!G$2:G1000)))), if(or(regexmatch(B650, ""(?i)^ir [a-z]+ designation$""), N650 &lt;&gt; """&amp;"""), 1, 2))), """"), ""NO_MATCH"")"),"")</f>
        <v/>
      </c>
      <c r="AS650" s="11"/>
      <c r="AT650" s="15"/>
      <c r="AU650" s="11"/>
      <c r="AV650" s="11"/>
      <c r="AW650" s="15"/>
      <c r="AX650" s="15"/>
      <c r="AY650" s="15"/>
      <c r="AZ650" s="11"/>
      <c r="BA650" s="15"/>
      <c r="BB650" s="11"/>
      <c r="BC650" s="11"/>
      <c r="BD650" s="15"/>
      <c r="BE650" s="11"/>
      <c r="BF650" s="11"/>
      <c r="BG650" s="15"/>
      <c r="BH650" s="15"/>
      <c r="BI650" s="15"/>
      <c r="BJ650" s="11"/>
      <c r="BK650" s="15"/>
      <c r="BL650" s="11"/>
      <c r="BM650" s="11"/>
      <c r="BN650" s="15"/>
      <c r="BO650" s="11"/>
      <c r="BP650" s="11"/>
      <c r="BQ650" s="15"/>
      <c r="BR650" s="15"/>
      <c r="BS650" s="15"/>
      <c r="BT650" s="11"/>
      <c r="BU650" s="15"/>
      <c r="BV650" s="11"/>
      <c r="BW650" s="11"/>
      <c r="BX650" s="15"/>
      <c r="BY650" s="11"/>
      <c r="BZ650" s="11"/>
      <c r="CA650" s="15"/>
      <c r="CB650" s="11"/>
      <c r="CC650" s="15"/>
      <c r="CD650" s="11"/>
      <c r="CE650" s="15"/>
      <c r="CF650" s="11"/>
      <c r="CG650" s="11"/>
      <c r="CH650" s="15"/>
      <c r="CI650" s="11"/>
      <c r="CJ650" s="11"/>
      <c r="CK650" s="15"/>
      <c r="CL650" s="11"/>
      <c r="CM650" s="11"/>
      <c r="CN650" s="11"/>
      <c r="CO650" s="11"/>
      <c r="CP650" s="28"/>
      <c r="CQ650" s="28"/>
      <c r="CR650" s="11"/>
      <c r="CS650" s="29"/>
      <c r="CT650" s="11"/>
      <c r="CU650" s="11"/>
      <c r="CV650" s="11"/>
      <c r="CW650" s="11"/>
      <c r="CX650" s="11"/>
      <c r="CY650" s="11"/>
      <c r="CZ650" s="11"/>
      <c r="DA650" s="28"/>
      <c r="DB650" s="28"/>
      <c r="DC650" s="11"/>
      <c r="DD650" s="29"/>
      <c r="DE650" s="11"/>
      <c r="DF650" s="11"/>
      <c r="DG650" s="11"/>
      <c r="DH650" s="11"/>
      <c r="DI650" s="11"/>
      <c r="DJ650" s="11"/>
      <c r="DK650" s="26"/>
      <c r="DL650" s="11"/>
      <c r="DM650" s="29"/>
      <c r="DN650" s="28"/>
      <c r="DO650" s="11"/>
      <c r="DP650" s="11"/>
      <c r="DQ650" s="11"/>
      <c r="DR650" s="29"/>
      <c r="DS650" s="28"/>
      <c r="DT650" s="11"/>
      <c r="DU650" s="26"/>
      <c r="DV650" s="11"/>
      <c r="DW650" s="29"/>
      <c r="DX650" s="28"/>
      <c r="DY650" s="11"/>
      <c r="DZ650" s="26"/>
      <c r="EA650" s="11"/>
      <c r="EB650" s="29"/>
      <c r="EC650" s="28"/>
      <c r="ED650" s="30"/>
      <c r="EE650" s="30" t="str">
        <f ca="1">IFERROR(__xludf.DUMMYFUNCTION("iferror(index(filter('Internal -- Trademark Countries'!E$2:E1000, (AM650 = 'Internal -- Trademark Countries'!B$2:B1000) + (AM650 = 'Internal -- Trademark Countries'!C$2:C1000) + (AM650 = 'Internal -- Trademark Countries'!D$2:D1000)), 1))"),"")</f>
        <v/>
      </c>
      <c r="EF650" s="30" t="e">
        <f ca="1">_xludf.ifs(AM650="", "", COUNTIF('Internal -- Trademark Countries'!B:B,AM650) &gt; 0, "polity_shortest_name", COUNTIF('Internal -- Trademark Countries'!C:C,AM650) &gt; 0, "polity_full_name", COUNTIF('Internal -- Trademark Countries'!D:D,AM650) &gt; 0, "polity_common_name", COUNTIF('Internal -- Trademark Countries'!E:E,AM650) &gt; 0, "shortest_name", COUNTIF('Internal -- Trademark Countries'!A:A,AM650) &gt; 0, "full_name", TRUE, "not a match")</f>
        <v>#NAME?</v>
      </c>
      <c r="EG650" s="30"/>
      <c r="EH650" s="30"/>
      <c r="EI650" s="30"/>
      <c r="EJ650" s="30"/>
      <c r="EK650" s="30" t="str">
        <f t="shared" si="4"/>
        <v/>
      </c>
    </row>
    <row r="651" spans="1:141" ht="16.5">
      <c r="A651" s="11"/>
      <c r="B651" s="11"/>
      <c r="C651" s="11"/>
      <c r="D651" s="11"/>
      <c r="E651" s="11"/>
      <c r="F651" s="11"/>
      <c r="G651" s="11"/>
      <c r="H651" s="11"/>
      <c r="I651" s="11"/>
      <c r="J651" s="11"/>
      <c r="K651" s="27"/>
      <c r="L651" s="11"/>
      <c r="M651" s="11"/>
      <c r="N651" s="11"/>
      <c r="O651" s="11"/>
      <c r="P651" s="15"/>
      <c r="Q651" s="15"/>
      <c r="R651" s="15"/>
      <c r="S651" s="15"/>
      <c r="T651" s="15"/>
      <c r="U651" s="15"/>
      <c r="V651" s="15"/>
      <c r="W651" s="47"/>
      <c r="X651" s="11"/>
      <c r="Y651" s="48"/>
      <c r="Z651" s="11"/>
      <c r="AA651" s="48"/>
      <c r="AB651" s="11"/>
      <c r="AC651" s="48"/>
      <c r="AD651" s="11"/>
      <c r="AE651" s="47"/>
      <c r="AF651" s="11"/>
      <c r="AG651" s="48"/>
      <c r="AH651" s="11"/>
      <c r="AI651" s="48"/>
      <c r="AJ651" s="11"/>
      <c r="AK651" s="48"/>
      <c r="AL651" s="11"/>
      <c r="AM651" s="49"/>
      <c r="AN651" s="49"/>
      <c r="AO651" s="11"/>
      <c r="AP651" s="11"/>
      <c r="AQ651" s="28" t="b">
        <f>IF(COUNTIF(SmartStatus!A$2:A1000, AM651) &gt; 2, TRUE, FALSE)</f>
        <v>0</v>
      </c>
      <c r="AR651" s="29" t="str">
        <f ca="1">IFERROR(__xludf.DUMMYFUNCTION("iferror(if(regexmatch(AO651, ""(?i)^registered""), if(EE651 &lt;&gt; ""polity_shortest_name"", ""CHECK_POLITY"", index(filter(SmartStatus!B$2:B1000, AM651 = SmartStatus!A$2:A1000, not(SmartStatus!C$2:C1000), (isblank(SmartStatus!D$2:D1000)) + ((P651 &lt;&gt; """") * "&amp;"(P651 &lt; SmartStatus!D$2:D1000)), (isblank(SmartStatus!E$2:E1000)) + ((P651 &lt;&gt; """") * (P651 &gt;= SmartStatus!E$2:E1000)), (isblank(SmartStatus!F$2:F1000)) + (((Q651 &lt;&gt; """") * (Q651 &lt; SmartStatus!F$2:F1000)) + ((P651 &lt;&gt; """") * (date(year(P651) + 3, month(P"&amp;"651), day(P651)) &lt; SmartStatus!F$2:F1000))), (isblank(SmartStatus!G$2:G1000)) + (((Q651 &lt;&gt; """") * (Q651 &gt;= SmartStatus!G$2:G1000)) + ((P651 &lt;&gt; """") * (P651 &gt;= SmartStatus!G$2:G1000)))), if(or(regexmatch(B651, ""(?i)^ir [a-z]+ designation$""), N651 &lt;&gt; """&amp;"""), 1, 2))), """"), ""NO_MATCH"")"),"")</f>
        <v/>
      </c>
      <c r="AS651" s="11"/>
      <c r="AT651" s="15"/>
      <c r="AU651" s="11"/>
      <c r="AV651" s="11"/>
      <c r="AW651" s="15"/>
      <c r="AX651" s="15"/>
      <c r="AY651" s="15"/>
      <c r="AZ651" s="11"/>
      <c r="BA651" s="15"/>
      <c r="BB651" s="11"/>
      <c r="BC651" s="11"/>
      <c r="BD651" s="15"/>
      <c r="BE651" s="11"/>
      <c r="BF651" s="11"/>
      <c r="BG651" s="15"/>
      <c r="BH651" s="15"/>
      <c r="BI651" s="15"/>
      <c r="BJ651" s="11"/>
      <c r="BK651" s="15"/>
      <c r="BL651" s="11"/>
      <c r="BM651" s="11"/>
      <c r="BN651" s="15"/>
      <c r="BO651" s="11"/>
      <c r="BP651" s="11"/>
      <c r="BQ651" s="15"/>
      <c r="BR651" s="15"/>
      <c r="BS651" s="15"/>
      <c r="BT651" s="11"/>
      <c r="BU651" s="15"/>
      <c r="BV651" s="11"/>
      <c r="BW651" s="11"/>
      <c r="BX651" s="15"/>
      <c r="BY651" s="11"/>
      <c r="BZ651" s="11"/>
      <c r="CA651" s="15"/>
      <c r="CB651" s="11"/>
      <c r="CC651" s="15"/>
      <c r="CD651" s="11"/>
      <c r="CE651" s="15"/>
      <c r="CF651" s="11"/>
      <c r="CG651" s="11"/>
      <c r="CH651" s="15"/>
      <c r="CI651" s="11"/>
      <c r="CJ651" s="11"/>
      <c r="CK651" s="15"/>
      <c r="CL651" s="11"/>
      <c r="CM651" s="11"/>
      <c r="CN651" s="11"/>
      <c r="CO651" s="11"/>
      <c r="CP651" s="28"/>
      <c r="CQ651" s="28"/>
      <c r="CR651" s="11"/>
      <c r="CS651" s="29"/>
      <c r="CT651" s="11"/>
      <c r="CU651" s="11"/>
      <c r="CV651" s="11"/>
      <c r="CW651" s="11"/>
      <c r="CX651" s="11"/>
      <c r="CY651" s="11"/>
      <c r="CZ651" s="11"/>
      <c r="DA651" s="28"/>
      <c r="DB651" s="28"/>
      <c r="DC651" s="11"/>
      <c r="DD651" s="29"/>
      <c r="DE651" s="11"/>
      <c r="DF651" s="11"/>
      <c r="DG651" s="11"/>
      <c r="DH651" s="11"/>
      <c r="DI651" s="11"/>
      <c r="DJ651" s="11"/>
      <c r="DK651" s="26"/>
      <c r="DL651" s="11"/>
      <c r="DM651" s="29"/>
      <c r="DN651" s="28"/>
      <c r="DO651" s="11"/>
      <c r="DP651" s="11"/>
      <c r="DQ651" s="11"/>
      <c r="DR651" s="29"/>
      <c r="DS651" s="28"/>
      <c r="DT651" s="11"/>
      <c r="DU651" s="26"/>
      <c r="DV651" s="11"/>
      <c r="DW651" s="29"/>
      <c r="DX651" s="28"/>
      <c r="DY651" s="11"/>
      <c r="DZ651" s="26"/>
      <c r="EA651" s="11"/>
      <c r="EB651" s="29"/>
      <c r="EC651" s="28"/>
      <c r="ED651" s="30"/>
      <c r="EE651" s="30" t="str">
        <f ca="1">IFERROR(__xludf.DUMMYFUNCTION("iferror(index(filter('Internal -- Trademark Countries'!E$2:E1000, (AM651 = 'Internal -- Trademark Countries'!B$2:B1000) + (AM651 = 'Internal -- Trademark Countries'!C$2:C1000) + (AM651 = 'Internal -- Trademark Countries'!D$2:D1000)), 1))"),"")</f>
        <v/>
      </c>
      <c r="EF651" s="30" t="e">
        <f ca="1">_xludf.ifs(AM651="", "", COUNTIF('Internal -- Trademark Countries'!B:B,AM651) &gt; 0, "polity_shortest_name", COUNTIF('Internal -- Trademark Countries'!C:C,AM651) &gt; 0, "polity_full_name", COUNTIF('Internal -- Trademark Countries'!D:D,AM651) &gt; 0, "polity_common_name", COUNTIF('Internal -- Trademark Countries'!E:E,AM651) &gt; 0, "shortest_name", COUNTIF('Internal -- Trademark Countries'!A:A,AM651) &gt; 0, "full_name", TRUE, "not a match")</f>
        <v>#NAME?</v>
      </c>
      <c r="EG651" s="30"/>
      <c r="EH651" s="30"/>
      <c r="EI651" s="30"/>
      <c r="EJ651" s="30"/>
      <c r="EK651" s="30" t="str">
        <f t="shared" si="4"/>
        <v/>
      </c>
    </row>
    <row r="652" spans="1:141" ht="16.5">
      <c r="A652" s="11"/>
      <c r="B652" s="11"/>
      <c r="C652" s="11"/>
      <c r="D652" s="11"/>
      <c r="E652" s="11"/>
      <c r="F652" s="11"/>
      <c r="G652" s="11"/>
      <c r="H652" s="11"/>
      <c r="I652" s="11"/>
      <c r="J652" s="11"/>
      <c r="K652" s="27"/>
      <c r="L652" s="11"/>
      <c r="M652" s="11"/>
      <c r="N652" s="11"/>
      <c r="O652" s="11"/>
      <c r="P652" s="15"/>
      <c r="Q652" s="15"/>
      <c r="R652" s="15"/>
      <c r="S652" s="15"/>
      <c r="T652" s="15"/>
      <c r="U652" s="15"/>
      <c r="V652" s="15"/>
      <c r="W652" s="47"/>
      <c r="X652" s="11"/>
      <c r="Y652" s="48"/>
      <c r="Z652" s="11"/>
      <c r="AA652" s="48"/>
      <c r="AB652" s="11"/>
      <c r="AC652" s="48"/>
      <c r="AD652" s="11"/>
      <c r="AE652" s="47"/>
      <c r="AF652" s="11"/>
      <c r="AG652" s="48"/>
      <c r="AH652" s="11"/>
      <c r="AI652" s="48"/>
      <c r="AJ652" s="11"/>
      <c r="AK652" s="48"/>
      <c r="AL652" s="11"/>
      <c r="AM652" s="49"/>
      <c r="AN652" s="49"/>
      <c r="AO652" s="11"/>
      <c r="AP652" s="11"/>
      <c r="AQ652" s="28" t="b">
        <f>IF(COUNTIF(SmartStatus!A$2:A1000, AM652) &gt; 2, TRUE, FALSE)</f>
        <v>0</v>
      </c>
      <c r="AR652" s="29" t="str">
        <f ca="1">IFERROR(__xludf.DUMMYFUNCTION("iferror(if(regexmatch(AO652, ""(?i)^registered""), if(EE652 &lt;&gt; ""polity_shortest_name"", ""CHECK_POLITY"", index(filter(SmartStatus!B$2:B1000, AM652 = SmartStatus!A$2:A1000, not(SmartStatus!C$2:C1000), (isblank(SmartStatus!D$2:D1000)) + ((P652 &lt;&gt; """") * "&amp;"(P652 &lt; SmartStatus!D$2:D1000)), (isblank(SmartStatus!E$2:E1000)) + ((P652 &lt;&gt; """") * (P652 &gt;= SmartStatus!E$2:E1000)), (isblank(SmartStatus!F$2:F1000)) + (((Q652 &lt;&gt; """") * (Q652 &lt; SmartStatus!F$2:F1000)) + ((P652 &lt;&gt; """") * (date(year(P652) + 3, month(P"&amp;"652), day(P652)) &lt; SmartStatus!F$2:F1000))), (isblank(SmartStatus!G$2:G1000)) + (((Q652 &lt;&gt; """") * (Q652 &gt;= SmartStatus!G$2:G1000)) + ((P652 &lt;&gt; """") * (P652 &gt;= SmartStatus!G$2:G1000)))), if(or(regexmatch(B652, ""(?i)^ir [a-z]+ designation$""), N652 &lt;&gt; """&amp;"""), 1, 2))), """"), ""NO_MATCH"")"),"")</f>
        <v/>
      </c>
      <c r="AS652" s="11"/>
      <c r="AT652" s="15"/>
      <c r="AU652" s="11"/>
      <c r="AV652" s="11"/>
      <c r="AW652" s="15"/>
      <c r="AX652" s="15"/>
      <c r="AY652" s="15"/>
      <c r="AZ652" s="11"/>
      <c r="BA652" s="15"/>
      <c r="BB652" s="11"/>
      <c r="BC652" s="11"/>
      <c r="BD652" s="15"/>
      <c r="BE652" s="11"/>
      <c r="BF652" s="11"/>
      <c r="BG652" s="15"/>
      <c r="BH652" s="15"/>
      <c r="BI652" s="15"/>
      <c r="BJ652" s="11"/>
      <c r="BK652" s="15"/>
      <c r="BL652" s="11"/>
      <c r="BM652" s="11"/>
      <c r="BN652" s="15"/>
      <c r="BO652" s="11"/>
      <c r="BP652" s="11"/>
      <c r="BQ652" s="15"/>
      <c r="BR652" s="15"/>
      <c r="BS652" s="15"/>
      <c r="BT652" s="11"/>
      <c r="BU652" s="15"/>
      <c r="BV652" s="11"/>
      <c r="BW652" s="11"/>
      <c r="BX652" s="15"/>
      <c r="BY652" s="11"/>
      <c r="BZ652" s="11"/>
      <c r="CA652" s="15"/>
      <c r="CB652" s="11"/>
      <c r="CC652" s="15"/>
      <c r="CD652" s="11"/>
      <c r="CE652" s="15"/>
      <c r="CF652" s="11"/>
      <c r="CG652" s="11"/>
      <c r="CH652" s="15"/>
      <c r="CI652" s="11"/>
      <c r="CJ652" s="11"/>
      <c r="CK652" s="15"/>
      <c r="CL652" s="11"/>
      <c r="CM652" s="11"/>
      <c r="CN652" s="11"/>
      <c r="CO652" s="11"/>
      <c r="CP652" s="28"/>
      <c r="CQ652" s="28"/>
      <c r="CR652" s="11"/>
      <c r="CS652" s="29"/>
      <c r="CT652" s="11"/>
      <c r="CU652" s="11"/>
      <c r="CV652" s="11"/>
      <c r="CW652" s="11"/>
      <c r="CX652" s="11"/>
      <c r="CY652" s="11"/>
      <c r="CZ652" s="11"/>
      <c r="DA652" s="28"/>
      <c r="DB652" s="28"/>
      <c r="DC652" s="11"/>
      <c r="DD652" s="29"/>
      <c r="DE652" s="11"/>
      <c r="DF652" s="11"/>
      <c r="DG652" s="11"/>
      <c r="DH652" s="11"/>
      <c r="DI652" s="11"/>
      <c r="DJ652" s="11"/>
      <c r="DK652" s="26"/>
      <c r="DL652" s="11"/>
      <c r="DM652" s="29"/>
      <c r="DN652" s="28"/>
      <c r="DO652" s="11"/>
      <c r="DP652" s="11"/>
      <c r="DQ652" s="11"/>
      <c r="DR652" s="29"/>
      <c r="DS652" s="28"/>
      <c r="DT652" s="11"/>
      <c r="DU652" s="26"/>
      <c r="DV652" s="11"/>
      <c r="DW652" s="29"/>
      <c r="DX652" s="28"/>
      <c r="DY652" s="11"/>
      <c r="DZ652" s="26"/>
      <c r="EA652" s="11"/>
      <c r="EB652" s="29"/>
      <c r="EC652" s="28"/>
      <c r="ED652" s="30"/>
      <c r="EE652" s="30" t="str">
        <f ca="1">IFERROR(__xludf.DUMMYFUNCTION("iferror(index(filter('Internal -- Trademark Countries'!E$2:E1000, (AM652 = 'Internal -- Trademark Countries'!B$2:B1000) + (AM652 = 'Internal -- Trademark Countries'!C$2:C1000) + (AM652 = 'Internal -- Trademark Countries'!D$2:D1000)), 1))"),"")</f>
        <v/>
      </c>
      <c r="EF652" s="30" t="e">
        <f ca="1">_xludf.ifs(AM652="", "", COUNTIF('Internal -- Trademark Countries'!B:B,AM652) &gt; 0, "polity_shortest_name", COUNTIF('Internal -- Trademark Countries'!C:C,AM652) &gt; 0, "polity_full_name", COUNTIF('Internal -- Trademark Countries'!D:D,AM652) &gt; 0, "polity_common_name", COUNTIF('Internal -- Trademark Countries'!E:E,AM652) &gt; 0, "shortest_name", COUNTIF('Internal -- Trademark Countries'!A:A,AM652) &gt; 0, "full_name", TRUE, "not a match")</f>
        <v>#NAME?</v>
      </c>
      <c r="EG652" s="30"/>
      <c r="EH652" s="30"/>
      <c r="EI652" s="30"/>
      <c r="EJ652" s="30"/>
      <c r="EK652" s="30" t="str">
        <f t="shared" si="4"/>
        <v/>
      </c>
    </row>
    <row r="653" spans="1:141" ht="16.5">
      <c r="A653" s="11"/>
      <c r="B653" s="11"/>
      <c r="C653" s="11"/>
      <c r="D653" s="11"/>
      <c r="E653" s="11"/>
      <c r="F653" s="11"/>
      <c r="G653" s="11"/>
      <c r="H653" s="11"/>
      <c r="I653" s="11"/>
      <c r="J653" s="11"/>
      <c r="K653" s="27"/>
      <c r="L653" s="11"/>
      <c r="M653" s="11"/>
      <c r="N653" s="11"/>
      <c r="O653" s="11"/>
      <c r="P653" s="15"/>
      <c r="Q653" s="15"/>
      <c r="R653" s="15"/>
      <c r="S653" s="15"/>
      <c r="T653" s="15"/>
      <c r="U653" s="15"/>
      <c r="V653" s="15"/>
      <c r="W653" s="47"/>
      <c r="X653" s="11"/>
      <c r="Y653" s="48"/>
      <c r="Z653" s="11"/>
      <c r="AA653" s="48"/>
      <c r="AB653" s="11"/>
      <c r="AC653" s="48"/>
      <c r="AD653" s="11"/>
      <c r="AE653" s="47"/>
      <c r="AF653" s="11"/>
      <c r="AG653" s="48"/>
      <c r="AH653" s="11"/>
      <c r="AI653" s="48"/>
      <c r="AJ653" s="11"/>
      <c r="AK653" s="48"/>
      <c r="AL653" s="11"/>
      <c r="AM653" s="49"/>
      <c r="AN653" s="49"/>
      <c r="AO653" s="11"/>
      <c r="AP653" s="11"/>
      <c r="AQ653" s="28" t="b">
        <f>IF(COUNTIF(SmartStatus!A$2:A1000, AM653) &gt; 2, TRUE, FALSE)</f>
        <v>0</v>
      </c>
      <c r="AR653" s="29" t="str">
        <f ca="1">IFERROR(__xludf.DUMMYFUNCTION("iferror(if(regexmatch(AO653, ""(?i)^registered""), if(EE653 &lt;&gt; ""polity_shortest_name"", ""CHECK_POLITY"", index(filter(SmartStatus!B$2:B1000, AM653 = SmartStatus!A$2:A1000, not(SmartStatus!C$2:C1000), (isblank(SmartStatus!D$2:D1000)) + ((P653 &lt;&gt; """") * "&amp;"(P653 &lt; SmartStatus!D$2:D1000)), (isblank(SmartStatus!E$2:E1000)) + ((P653 &lt;&gt; """") * (P653 &gt;= SmartStatus!E$2:E1000)), (isblank(SmartStatus!F$2:F1000)) + (((Q653 &lt;&gt; """") * (Q653 &lt; SmartStatus!F$2:F1000)) + ((P653 &lt;&gt; """") * (date(year(P653) + 3, month(P"&amp;"653), day(P653)) &lt; SmartStatus!F$2:F1000))), (isblank(SmartStatus!G$2:G1000)) + (((Q653 &lt;&gt; """") * (Q653 &gt;= SmartStatus!G$2:G1000)) + ((P653 &lt;&gt; """") * (P653 &gt;= SmartStatus!G$2:G1000)))), if(or(regexmatch(B653, ""(?i)^ir [a-z]+ designation$""), N653 &lt;&gt; """&amp;"""), 1, 2))), """"), ""NO_MATCH"")"),"")</f>
        <v/>
      </c>
      <c r="AS653" s="11"/>
      <c r="AT653" s="15"/>
      <c r="AU653" s="11"/>
      <c r="AV653" s="11"/>
      <c r="AW653" s="15"/>
      <c r="AX653" s="15"/>
      <c r="AY653" s="15"/>
      <c r="AZ653" s="11"/>
      <c r="BA653" s="15"/>
      <c r="BB653" s="11"/>
      <c r="BC653" s="11"/>
      <c r="BD653" s="15"/>
      <c r="BE653" s="11"/>
      <c r="BF653" s="11"/>
      <c r="BG653" s="15"/>
      <c r="BH653" s="15"/>
      <c r="BI653" s="15"/>
      <c r="BJ653" s="11"/>
      <c r="BK653" s="15"/>
      <c r="BL653" s="11"/>
      <c r="BM653" s="11"/>
      <c r="BN653" s="15"/>
      <c r="BO653" s="11"/>
      <c r="BP653" s="11"/>
      <c r="BQ653" s="15"/>
      <c r="BR653" s="15"/>
      <c r="BS653" s="15"/>
      <c r="BT653" s="11"/>
      <c r="BU653" s="15"/>
      <c r="BV653" s="11"/>
      <c r="BW653" s="11"/>
      <c r="BX653" s="15"/>
      <c r="BY653" s="11"/>
      <c r="BZ653" s="11"/>
      <c r="CA653" s="15"/>
      <c r="CB653" s="11"/>
      <c r="CC653" s="15"/>
      <c r="CD653" s="11"/>
      <c r="CE653" s="15"/>
      <c r="CF653" s="11"/>
      <c r="CG653" s="11"/>
      <c r="CH653" s="15"/>
      <c r="CI653" s="11"/>
      <c r="CJ653" s="11"/>
      <c r="CK653" s="15"/>
      <c r="CL653" s="11"/>
      <c r="CM653" s="11"/>
      <c r="CN653" s="11"/>
      <c r="CO653" s="11"/>
      <c r="CP653" s="28"/>
      <c r="CQ653" s="28"/>
      <c r="CR653" s="11"/>
      <c r="CS653" s="29"/>
      <c r="CT653" s="11"/>
      <c r="CU653" s="11"/>
      <c r="CV653" s="11"/>
      <c r="CW653" s="11"/>
      <c r="CX653" s="11"/>
      <c r="CY653" s="11"/>
      <c r="CZ653" s="11"/>
      <c r="DA653" s="28"/>
      <c r="DB653" s="28"/>
      <c r="DC653" s="11"/>
      <c r="DD653" s="29"/>
      <c r="DE653" s="11"/>
      <c r="DF653" s="11"/>
      <c r="DG653" s="11"/>
      <c r="DH653" s="11"/>
      <c r="DI653" s="11"/>
      <c r="DJ653" s="11"/>
      <c r="DK653" s="26"/>
      <c r="DL653" s="11"/>
      <c r="DM653" s="29"/>
      <c r="DN653" s="28"/>
      <c r="DO653" s="11"/>
      <c r="DP653" s="11"/>
      <c r="DQ653" s="11"/>
      <c r="DR653" s="29"/>
      <c r="DS653" s="28"/>
      <c r="DT653" s="11"/>
      <c r="DU653" s="26"/>
      <c r="DV653" s="11"/>
      <c r="DW653" s="29"/>
      <c r="DX653" s="28"/>
      <c r="DY653" s="11"/>
      <c r="DZ653" s="26"/>
      <c r="EA653" s="11"/>
      <c r="EB653" s="29"/>
      <c r="EC653" s="28"/>
      <c r="ED653" s="30"/>
      <c r="EE653" s="30" t="str">
        <f ca="1">IFERROR(__xludf.DUMMYFUNCTION("iferror(index(filter('Internal -- Trademark Countries'!E$2:E1000, (AM653 = 'Internal -- Trademark Countries'!B$2:B1000) + (AM653 = 'Internal -- Trademark Countries'!C$2:C1000) + (AM653 = 'Internal -- Trademark Countries'!D$2:D1000)), 1))"),"")</f>
        <v/>
      </c>
      <c r="EF653" s="30" t="e">
        <f ca="1">_xludf.ifs(AM653="", "", COUNTIF('Internal -- Trademark Countries'!B:B,AM653) &gt; 0, "polity_shortest_name", COUNTIF('Internal -- Trademark Countries'!C:C,AM653) &gt; 0, "polity_full_name", COUNTIF('Internal -- Trademark Countries'!D:D,AM653) &gt; 0, "polity_common_name", COUNTIF('Internal -- Trademark Countries'!E:E,AM653) &gt; 0, "shortest_name", COUNTIF('Internal -- Trademark Countries'!A:A,AM653) &gt; 0, "full_name", TRUE, "not a match")</f>
        <v>#NAME?</v>
      </c>
      <c r="EG653" s="30"/>
      <c r="EH653" s="30"/>
      <c r="EI653" s="30"/>
      <c r="EJ653" s="30"/>
      <c r="EK653" s="30" t="str">
        <f t="shared" si="4"/>
        <v/>
      </c>
    </row>
    <row r="654" spans="1:141" ht="16.5">
      <c r="A654" s="11"/>
      <c r="B654" s="11"/>
      <c r="C654" s="11"/>
      <c r="D654" s="11"/>
      <c r="E654" s="11"/>
      <c r="F654" s="11"/>
      <c r="G654" s="11"/>
      <c r="H654" s="11"/>
      <c r="I654" s="11"/>
      <c r="J654" s="11"/>
      <c r="K654" s="27"/>
      <c r="L654" s="11"/>
      <c r="M654" s="11"/>
      <c r="N654" s="11"/>
      <c r="O654" s="11"/>
      <c r="P654" s="15"/>
      <c r="Q654" s="15"/>
      <c r="R654" s="15"/>
      <c r="S654" s="15"/>
      <c r="T654" s="15"/>
      <c r="U654" s="15"/>
      <c r="V654" s="15"/>
      <c r="W654" s="47"/>
      <c r="X654" s="11"/>
      <c r="Y654" s="48"/>
      <c r="Z654" s="11"/>
      <c r="AA654" s="48"/>
      <c r="AB654" s="11"/>
      <c r="AC654" s="48"/>
      <c r="AD654" s="11"/>
      <c r="AE654" s="47"/>
      <c r="AF654" s="11"/>
      <c r="AG654" s="48"/>
      <c r="AH654" s="11"/>
      <c r="AI654" s="48"/>
      <c r="AJ654" s="11"/>
      <c r="AK654" s="48"/>
      <c r="AL654" s="11"/>
      <c r="AM654" s="49"/>
      <c r="AN654" s="49"/>
      <c r="AO654" s="11"/>
      <c r="AP654" s="11"/>
      <c r="AQ654" s="28" t="b">
        <f>IF(COUNTIF(SmartStatus!A$2:A1000, AM654) &gt; 2, TRUE, FALSE)</f>
        <v>0</v>
      </c>
      <c r="AR654" s="29" t="str">
        <f ca="1">IFERROR(__xludf.DUMMYFUNCTION("iferror(if(regexmatch(AO654, ""(?i)^registered""), if(EE654 &lt;&gt; ""polity_shortest_name"", ""CHECK_POLITY"", index(filter(SmartStatus!B$2:B1000, AM654 = SmartStatus!A$2:A1000, not(SmartStatus!C$2:C1000), (isblank(SmartStatus!D$2:D1000)) + ((P654 &lt;&gt; """") * "&amp;"(P654 &lt; SmartStatus!D$2:D1000)), (isblank(SmartStatus!E$2:E1000)) + ((P654 &lt;&gt; """") * (P654 &gt;= SmartStatus!E$2:E1000)), (isblank(SmartStatus!F$2:F1000)) + (((Q654 &lt;&gt; """") * (Q654 &lt; SmartStatus!F$2:F1000)) + ((P654 &lt;&gt; """") * (date(year(P654) + 3, month(P"&amp;"654), day(P654)) &lt; SmartStatus!F$2:F1000))), (isblank(SmartStatus!G$2:G1000)) + (((Q654 &lt;&gt; """") * (Q654 &gt;= SmartStatus!G$2:G1000)) + ((P654 &lt;&gt; """") * (P654 &gt;= SmartStatus!G$2:G1000)))), if(or(regexmatch(B654, ""(?i)^ir [a-z]+ designation$""), N654 &lt;&gt; """&amp;"""), 1, 2))), """"), ""NO_MATCH"")"),"")</f>
        <v/>
      </c>
      <c r="AS654" s="11"/>
      <c r="AT654" s="15"/>
      <c r="AU654" s="11"/>
      <c r="AV654" s="11"/>
      <c r="AW654" s="15"/>
      <c r="AX654" s="15"/>
      <c r="AY654" s="15"/>
      <c r="AZ654" s="11"/>
      <c r="BA654" s="15"/>
      <c r="BB654" s="11"/>
      <c r="BC654" s="11"/>
      <c r="BD654" s="15"/>
      <c r="BE654" s="11"/>
      <c r="BF654" s="11"/>
      <c r="BG654" s="15"/>
      <c r="BH654" s="15"/>
      <c r="BI654" s="15"/>
      <c r="BJ654" s="11"/>
      <c r="BK654" s="15"/>
      <c r="BL654" s="11"/>
      <c r="BM654" s="11"/>
      <c r="BN654" s="15"/>
      <c r="BO654" s="11"/>
      <c r="BP654" s="11"/>
      <c r="BQ654" s="15"/>
      <c r="BR654" s="15"/>
      <c r="BS654" s="15"/>
      <c r="BT654" s="11"/>
      <c r="BU654" s="15"/>
      <c r="BV654" s="11"/>
      <c r="BW654" s="11"/>
      <c r="BX654" s="15"/>
      <c r="BY654" s="11"/>
      <c r="BZ654" s="11"/>
      <c r="CA654" s="15"/>
      <c r="CB654" s="11"/>
      <c r="CC654" s="15"/>
      <c r="CD654" s="11"/>
      <c r="CE654" s="15"/>
      <c r="CF654" s="11"/>
      <c r="CG654" s="11"/>
      <c r="CH654" s="15"/>
      <c r="CI654" s="11"/>
      <c r="CJ654" s="11"/>
      <c r="CK654" s="15"/>
      <c r="CL654" s="11"/>
      <c r="CM654" s="11"/>
      <c r="CN654" s="11"/>
      <c r="CO654" s="11"/>
      <c r="CP654" s="28"/>
      <c r="CQ654" s="28"/>
      <c r="CR654" s="11"/>
      <c r="CS654" s="29"/>
      <c r="CT654" s="11"/>
      <c r="CU654" s="11"/>
      <c r="CV654" s="11"/>
      <c r="CW654" s="11"/>
      <c r="CX654" s="11"/>
      <c r="CY654" s="11"/>
      <c r="CZ654" s="11"/>
      <c r="DA654" s="28"/>
      <c r="DB654" s="28"/>
      <c r="DC654" s="11"/>
      <c r="DD654" s="29"/>
      <c r="DE654" s="11"/>
      <c r="DF654" s="11"/>
      <c r="DG654" s="11"/>
      <c r="DH654" s="11"/>
      <c r="DI654" s="11"/>
      <c r="DJ654" s="11"/>
      <c r="DK654" s="26"/>
      <c r="DL654" s="11"/>
      <c r="DM654" s="29"/>
      <c r="DN654" s="28"/>
      <c r="DO654" s="11"/>
      <c r="DP654" s="11"/>
      <c r="DQ654" s="11"/>
      <c r="DR654" s="29"/>
      <c r="DS654" s="28"/>
      <c r="DT654" s="11"/>
      <c r="DU654" s="26"/>
      <c r="DV654" s="11"/>
      <c r="DW654" s="29"/>
      <c r="DX654" s="28"/>
      <c r="DY654" s="11"/>
      <c r="DZ654" s="26"/>
      <c r="EA654" s="11"/>
      <c r="EB654" s="29"/>
      <c r="EC654" s="28"/>
      <c r="ED654" s="30"/>
      <c r="EE654" s="30" t="str">
        <f ca="1">IFERROR(__xludf.DUMMYFUNCTION("iferror(index(filter('Internal -- Trademark Countries'!E$2:E1000, (AM654 = 'Internal -- Trademark Countries'!B$2:B1000) + (AM654 = 'Internal -- Trademark Countries'!C$2:C1000) + (AM654 = 'Internal -- Trademark Countries'!D$2:D1000)), 1))"),"")</f>
        <v/>
      </c>
      <c r="EF654" s="30" t="e">
        <f ca="1">_xludf.ifs(AM654="", "", COUNTIF('Internal -- Trademark Countries'!B:B,AM654) &gt; 0, "polity_shortest_name", COUNTIF('Internal -- Trademark Countries'!C:C,AM654) &gt; 0, "polity_full_name", COUNTIF('Internal -- Trademark Countries'!D:D,AM654) &gt; 0, "polity_common_name", COUNTIF('Internal -- Trademark Countries'!E:E,AM654) &gt; 0, "shortest_name", COUNTIF('Internal -- Trademark Countries'!A:A,AM654) &gt; 0, "full_name", TRUE, "not a match")</f>
        <v>#NAME?</v>
      </c>
      <c r="EG654" s="30"/>
      <c r="EH654" s="30"/>
      <c r="EI654" s="30"/>
      <c r="EJ654" s="30"/>
      <c r="EK654" s="30" t="str">
        <f t="shared" si="4"/>
        <v/>
      </c>
    </row>
    <row r="655" spans="1:141" ht="16.5">
      <c r="A655" s="11"/>
      <c r="B655" s="11"/>
      <c r="C655" s="11"/>
      <c r="D655" s="11"/>
      <c r="E655" s="11"/>
      <c r="F655" s="11"/>
      <c r="G655" s="11"/>
      <c r="H655" s="11"/>
      <c r="I655" s="11"/>
      <c r="J655" s="11"/>
      <c r="K655" s="27"/>
      <c r="L655" s="11"/>
      <c r="M655" s="11"/>
      <c r="N655" s="11"/>
      <c r="O655" s="11"/>
      <c r="P655" s="15"/>
      <c r="Q655" s="15"/>
      <c r="R655" s="15"/>
      <c r="S655" s="15"/>
      <c r="T655" s="15"/>
      <c r="U655" s="15"/>
      <c r="V655" s="15"/>
      <c r="W655" s="47"/>
      <c r="X655" s="11"/>
      <c r="Y655" s="48"/>
      <c r="Z655" s="11"/>
      <c r="AA655" s="48"/>
      <c r="AB655" s="11"/>
      <c r="AC655" s="48"/>
      <c r="AD655" s="11"/>
      <c r="AE655" s="47"/>
      <c r="AF655" s="11"/>
      <c r="AG655" s="48"/>
      <c r="AH655" s="11"/>
      <c r="AI655" s="48"/>
      <c r="AJ655" s="11"/>
      <c r="AK655" s="48"/>
      <c r="AL655" s="11"/>
      <c r="AM655" s="49"/>
      <c r="AN655" s="49"/>
      <c r="AO655" s="11"/>
      <c r="AP655" s="11"/>
      <c r="AQ655" s="28" t="b">
        <f>IF(COUNTIF(SmartStatus!A$2:A1000, AM655) &gt; 2, TRUE, FALSE)</f>
        <v>0</v>
      </c>
      <c r="AR655" s="29" t="str">
        <f ca="1">IFERROR(__xludf.DUMMYFUNCTION("iferror(if(regexmatch(AO655, ""(?i)^registered""), if(EE655 &lt;&gt; ""polity_shortest_name"", ""CHECK_POLITY"", index(filter(SmartStatus!B$2:B1000, AM655 = SmartStatus!A$2:A1000, not(SmartStatus!C$2:C1000), (isblank(SmartStatus!D$2:D1000)) + ((P655 &lt;&gt; """") * "&amp;"(P655 &lt; SmartStatus!D$2:D1000)), (isblank(SmartStatus!E$2:E1000)) + ((P655 &lt;&gt; """") * (P655 &gt;= SmartStatus!E$2:E1000)), (isblank(SmartStatus!F$2:F1000)) + (((Q655 &lt;&gt; """") * (Q655 &lt; SmartStatus!F$2:F1000)) + ((P655 &lt;&gt; """") * (date(year(P655) + 3, month(P"&amp;"655), day(P655)) &lt; SmartStatus!F$2:F1000))), (isblank(SmartStatus!G$2:G1000)) + (((Q655 &lt;&gt; """") * (Q655 &gt;= SmartStatus!G$2:G1000)) + ((P655 &lt;&gt; """") * (P655 &gt;= SmartStatus!G$2:G1000)))), if(or(regexmatch(B655, ""(?i)^ir [a-z]+ designation$""), N655 &lt;&gt; """&amp;"""), 1, 2))), """"), ""NO_MATCH"")"),"")</f>
        <v/>
      </c>
      <c r="AS655" s="11"/>
      <c r="AT655" s="15"/>
      <c r="AU655" s="11"/>
      <c r="AV655" s="11"/>
      <c r="AW655" s="15"/>
      <c r="AX655" s="15"/>
      <c r="AY655" s="15"/>
      <c r="AZ655" s="11"/>
      <c r="BA655" s="15"/>
      <c r="BB655" s="11"/>
      <c r="BC655" s="11"/>
      <c r="BD655" s="15"/>
      <c r="BE655" s="11"/>
      <c r="BF655" s="11"/>
      <c r="BG655" s="15"/>
      <c r="BH655" s="15"/>
      <c r="BI655" s="15"/>
      <c r="BJ655" s="11"/>
      <c r="BK655" s="15"/>
      <c r="BL655" s="11"/>
      <c r="BM655" s="11"/>
      <c r="BN655" s="15"/>
      <c r="BO655" s="11"/>
      <c r="BP655" s="11"/>
      <c r="BQ655" s="15"/>
      <c r="BR655" s="15"/>
      <c r="BS655" s="15"/>
      <c r="BT655" s="11"/>
      <c r="BU655" s="15"/>
      <c r="BV655" s="11"/>
      <c r="BW655" s="11"/>
      <c r="BX655" s="15"/>
      <c r="BY655" s="11"/>
      <c r="BZ655" s="11"/>
      <c r="CA655" s="15"/>
      <c r="CB655" s="11"/>
      <c r="CC655" s="15"/>
      <c r="CD655" s="11"/>
      <c r="CE655" s="15"/>
      <c r="CF655" s="11"/>
      <c r="CG655" s="11"/>
      <c r="CH655" s="15"/>
      <c r="CI655" s="11"/>
      <c r="CJ655" s="11"/>
      <c r="CK655" s="15"/>
      <c r="CL655" s="11"/>
      <c r="CM655" s="11"/>
      <c r="CN655" s="11"/>
      <c r="CO655" s="11"/>
      <c r="CP655" s="28"/>
      <c r="CQ655" s="28"/>
      <c r="CR655" s="11"/>
      <c r="CS655" s="29"/>
      <c r="CT655" s="11"/>
      <c r="CU655" s="11"/>
      <c r="CV655" s="11"/>
      <c r="CW655" s="11"/>
      <c r="CX655" s="11"/>
      <c r="CY655" s="11"/>
      <c r="CZ655" s="11"/>
      <c r="DA655" s="28"/>
      <c r="DB655" s="28"/>
      <c r="DC655" s="11"/>
      <c r="DD655" s="29"/>
      <c r="DE655" s="11"/>
      <c r="DF655" s="11"/>
      <c r="DG655" s="11"/>
      <c r="DH655" s="11"/>
      <c r="DI655" s="11"/>
      <c r="DJ655" s="11"/>
      <c r="DK655" s="26"/>
      <c r="DL655" s="11"/>
      <c r="DM655" s="29"/>
      <c r="DN655" s="28"/>
      <c r="DO655" s="11"/>
      <c r="DP655" s="11"/>
      <c r="DQ655" s="11"/>
      <c r="DR655" s="29"/>
      <c r="DS655" s="28"/>
      <c r="DT655" s="11"/>
      <c r="DU655" s="26"/>
      <c r="DV655" s="11"/>
      <c r="DW655" s="29"/>
      <c r="DX655" s="28"/>
      <c r="DY655" s="11"/>
      <c r="DZ655" s="26"/>
      <c r="EA655" s="11"/>
      <c r="EB655" s="29"/>
      <c r="EC655" s="28"/>
      <c r="ED655" s="30"/>
      <c r="EE655" s="30" t="str">
        <f ca="1">IFERROR(__xludf.DUMMYFUNCTION("iferror(index(filter('Internal -- Trademark Countries'!E$2:E1000, (AM655 = 'Internal -- Trademark Countries'!B$2:B1000) + (AM655 = 'Internal -- Trademark Countries'!C$2:C1000) + (AM655 = 'Internal -- Trademark Countries'!D$2:D1000)), 1))"),"")</f>
        <v/>
      </c>
      <c r="EF655" s="30" t="e">
        <f ca="1">_xludf.ifs(AM655="", "", COUNTIF('Internal -- Trademark Countries'!B:B,AM655) &gt; 0, "polity_shortest_name", COUNTIF('Internal -- Trademark Countries'!C:C,AM655) &gt; 0, "polity_full_name", COUNTIF('Internal -- Trademark Countries'!D:D,AM655) &gt; 0, "polity_common_name", COUNTIF('Internal -- Trademark Countries'!E:E,AM655) &gt; 0, "shortest_name", COUNTIF('Internal -- Trademark Countries'!A:A,AM655) &gt; 0, "full_name", TRUE, "not a match")</f>
        <v>#NAME?</v>
      </c>
      <c r="EG655" s="30"/>
      <c r="EH655" s="30"/>
      <c r="EI655" s="30"/>
      <c r="EJ655" s="30"/>
      <c r="EK655" s="30" t="str">
        <f t="shared" si="4"/>
        <v/>
      </c>
    </row>
    <row r="656" spans="1:141" ht="16.5">
      <c r="A656" s="11"/>
      <c r="B656" s="11"/>
      <c r="C656" s="11"/>
      <c r="D656" s="11"/>
      <c r="E656" s="11"/>
      <c r="F656" s="11"/>
      <c r="G656" s="11"/>
      <c r="H656" s="11"/>
      <c r="I656" s="11"/>
      <c r="J656" s="11"/>
      <c r="K656" s="27"/>
      <c r="L656" s="11"/>
      <c r="M656" s="11"/>
      <c r="N656" s="11"/>
      <c r="O656" s="11"/>
      <c r="P656" s="15"/>
      <c r="Q656" s="15"/>
      <c r="R656" s="15"/>
      <c r="S656" s="15"/>
      <c r="T656" s="15"/>
      <c r="U656" s="15"/>
      <c r="V656" s="15"/>
      <c r="W656" s="47"/>
      <c r="X656" s="11"/>
      <c r="Y656" s="48"/>
      <c r="Z656" s="11"/>
      <c r="AA656" s="48"/>
      <c r="AB656" s="11"/>
      <c r="AC656" s="48"/>
      <c r="AD656" s="11"/>
      <c r="AE656" s="47"/>
      <c r="AF656" s="11"/>
      <c r="AG656" s="48"/>
      <c r="AH656" s="11"/>
      <c r="AI656" s="48"/>
      <c r="AJ656" s="11"/>
      <c r="AK656" s="48"/>
      <c r="AL656" s="11"/>
      <c r="AM656" s="49"/>
      <c r="AN656" s="49"/>
      <c r="AO656" s="11"/>
      <c r="AP656" s="11"/>
      <c r="AQ656" s="28" t="b">
        <f>IF(COUNTIF(SmartStatus!A$2:A1000, AM656) &gt; 2, TRUE, FALSE)</f>
        <v>0</v>
      </c>
      <c r="AR656" s="29" t="str">
        <f ca="1">IFERROR(__xludf.DUMMYFUNCTION("iferror(if(regexmatch(AO656, ""(?i)^registered""), if(EE656 &lt;&gt; ""polity_shortest_name"", ""CHECK_POLITY"", index(filter(SmartStatus!B$2:B1000, AM656 = SmartStatus!A$2:A1000, not(SmartStatus!C$2:C1000), (isblank(SmartStatus!D$2:D1000)) + ((P656 &lt;&gt; """") * "&amp;"(P656 &lt; SmartStatus!D$2:D1000)), (isblank(SmartStatus!E$2:E1000)) + ((P656 &lt;&gt; """") * (P656 &gt;= SmartStatus!E$2:E1000)), (isblank(SmartStatus!F$2:F1000)) + (((Q656 &lt;&gt; """") * (Q656 &lt; SmartStatus!F$2:F1000)) + ((P656 &lt;&gt; """") * (date(year(P656) + 3, month(P"&amp;"656), day(P656)) &lt; SmartStatus!F$2:F1000))), (isblank(SmartStatus!G$2:G1000)) + (((Q656 &lt;&gt; """") * (Q656 &gt;= SmartStatus!G$2:G1000)) + ((P656 &lt;&gt; """") * (P656 &gt;= SmartStatus!G$2:G1000)))), if(or(regexmatch(B656, ""(?i)^ir [a-z]+ designation$""), N656 &lt;&gt; """&amp;"""), 1, 2))), """"), ""NO_MATCH"")"),"")</f>
        <v/>
      </c>
      <c r="AS656" s="11"/>
      <c r="AT656" s="15"/>
      <c r="AU656" s="11"/>
      <c r="AV656" s="11"/>
      <c r="AW656" s="15"/>
      <c r="AX656" s="15"/>
      <c r="AY656" s="15"/>
      <c r="AZ656" s="11"/>
      <c r="BA656" s="15"/>
      <c r="BB656" s="11"/>
      <c r="BC656" s="11"/>
      <c r="BD656" s="15"/>
      <c r="BE656" s="11"/>
      <c r="BF656" s="11"/>
      <c r="BG656" s="15"/>
      <c r="BH656" s="15"/>
      <c r="BI656" s="15"/>
      <c r="BJ656" s="11"/>
      <c r="BK656" s="15"/>
      <c r="BL656" s="11"/>
      <c r="BM656" s="11"/>
      <c r="BN656" s="15"/>
      <c r="BO656" s="11"/>
      <c r="BP656" s="11"/>
      <c r="BQ656" s="15"/>
      <c r="BR656" s="15"/>
      <c r="BS656" s="15"/>
      <c r="BT656" s="11"/>
      <c r="BU656" s="15"/>
      <c r="BV656" s="11"/>
      <c r="BW656" s="11"/>
      <c r="BX656" s="15"/>
      <c r="BY656" s="11"/>
      <c r="BZ656" s="11"/>
      <c r="CA656" s="15"/>
      <c r="CB656" s="11"/>
      <c r="CC656" s="15"/>
      <c r="CD656" s="11"/>
      <c r="CE656" s="15"/>
      <c r="CF656" s="11"/>
      <c r="CG656" s="11"/>
      <c r="CH656" s="15"/>
      <c r="CI656" s="11"/>
      <c r="CJ656" s="11"/>
      <c r="CK656" s="15"/>
      <c r="CL656" s="11"/>
      <c r="CM656" s="11"/>
      <c r="CN656" s="11"/>
      <c r="CO656" s="11"/>
      <c r="CP656" s="28"/>
      <c r="CQ656" s="28"/>
      <c r="CR656" s="11"/>
      <c r="CS656" s="29"/>
      <c r="CT656" s="11"/>
      <c r="CU656" s="11"/>
      <c r="CV656" s="11"/>
      <c r="CW656" s="11"/>
      <c r="CX656" s="11"/>
      <c r="CY656" s="11"/>
      <c r="CZ656" s="11"/>
      <c r="DA656" s="28"/>
      <c r="DB656" s="28"/>
      <c r="DC656" s="11"/>
      <c r="DD656" s="29"/>
      <c r="DE656" s="11"/>
      <c r="DF656" s="11"/>
      <c r="DG656" s="11"/>
      <c r="DH656" s="11"/>
      <c r="DI656" s="11"/>
      <c r="DJ656" s="11"/>
      <c r="DK656" s="26"/>
      <c r="DL656" s="11"/>
      <c r="DM656" s="29"/>
      <c r="DN656" s="28"/>
      <c r="DO656" s="11"/>
      <c r="DP656" s="11"/>
      <c r="DQ656" s="11"/>
      <c r="DR656" s="29"/>
      <c r="DS656" s="28"/>
      <c r="DT656" s="11"/>
      <c r="DU656" s="26"/>
      <c r="DV656" s="11"/>
      <c r="DW656" s="29"/>
      <c r="DX656" s="28"/>
      <c r="DY656" s="11"/>
      <c r="DZ656" s="26"/>
      <c r="EA656" s="11"/>
      <c r="EB656" s="29"/>
      <c r="EC656" s="28"/>
      <c r="ED656" s="30"/>
      <c r="EE656" s="30" t="str">
        <f ca="1">IFERROR(__xludf.DUMMYFUNCTION("iferror(index(filter('Internal -- Trademark Countries'!E$2:E1000, (AM656 = 'Internal -- Trademark Countries'!B$2:B1000) + (AM656 = 'Internal -- Trademark Countries'!C$2:C1000) + (AM656 = 'Internal -- Trademark Countries'!D$2:D1000)), 1))"),"")</f>
        <v/>
      </c>
      <c r="EF656" s="30" t="e">
        <f ca="1">_xludf.ifs(AM656="", "", COUNTIF('Internal -- Trademark Countries'!B:B,AM656) &gt; 0, "polity_shortest_name", COUNTIF('Internal -- Trademark Countries'!C:C,AM656) &gt; 0, "polity_full_name", COUNTIF('Internal -- Trademark Countries'!D:D,AM656) &gt; 0, "polity_common_name", COUNTIF('Internal -- Trademark Countries'!E:E,AM656) &gt; 0, "shortest_name", COUNTIF('Internal -- Trademark Countries'!A:A,AM656) &gt; 0, "full_name", TRUE, "not a match")</f>
        <v>#NAME?</v>
      </c>
      <c r="EG656" s="30"/>
      <c r="EH656" s="30"/>
      <c r="EI656" s="30"/>
      <c r="EJ656" s="30"/>
      <c r="EK656" s="30" t="str">
        <f t="shared" si="4"/>
        <v/>
      </c>
    </row>
    <row r="657" spans="1:141" ht="16.5">
      <c r="A657" s="11"/>
      <c r="B657" s="11"/>
      <c r="C657" s="11"/>
      <c r="D657" s="11"/>
      <c r="E657" s="11"/>
      <c r="F657" s="11"/>
      <c r="G657" s="11"/>
      <c r="H657" s="11"/>
      <c r="I657" s="11"/>
      <c r="J657" s="11"/>
      <c r="K657" s="27"/>
      <c r="L657" s="11"/>
      <c r="M657" s="11"/>
      <c r="N657" s="11"/>
      <c r="O657" s="11"/>
      <c r="P657" s="15"/>
      <c r="Q657" s="15"/>
      <c r="R657" s="15"/>
      <c r="S657" s="15"/>
      <c r="T657" s="15"/>
      <c r="U657" s="15"/>
      <c r="V657" s="15"/>
      <c r="W657" s="47"/>
      <c r="X657" s="11"/>
      <c r="Y657" s="48"/>
      <c r="Z657" s="11"/>
      <c r="AA657" s="48"/>
      <c r="AB657" s="11"/>
      <c r="AC657" s="48"/>
      <c r="AD657" s="11"/>
      <c r="AE657" s="47"/>
      <c r="AF657" s="11"/>
      <c r="AG657" s="48"/>
      <c r="AH657" s="11"/>
      <c r="AI657" s="48"/>
      <c r="AJ657" s="11"/>
      <c r="AK657" s="48"/>
      <c r="AL657" s="11"/>
      <c r="AM657" s="49"/>
      <c r="AN657" s="49"/>
      <c r="AO657" s="11"/>
      <c r="AP657" s="11"/>
      <c r="AQ657" s="28" t="b">
        <f>IF(COUNTIF(SmartStatus!A$2:A1000, AM657) &gt; 2, TRUE, FALSE)</f>
        <v>0</v>
      </c>
      <c r="AR657" s="29" t="str">
        <f ca="1">IFERROR(__xludf.DUMMYFUNCTION("iferror(if(regexmatch(AO657, ""(?i)^registered""), if(EE657 &lt;&gt; ""polity_shortest_name"", ""CHECK_POLITY"", index(filter(SmartStatus!B$2:B1000, AM657 = SmartStatus!A$2:A1000, not(SmartStatus!C$2:C1000), (isblank(SmartStatus!D$2:D1000)) + ((P657 &lt;&gt; """") * "&amp;"(P657 &lt; SmartStatus!D$2:D1000)), (isblank(SmartStatus!E$2:E1000)) + ((P657 &lt;&gt; """") * (P657 &gt;= SmartStatus!E$2:E1000)), (isblank(SmartStatus!F$2:F1000)) + (((Q657 &lt;&gt; """") * (Q657 &lt; SmartStatus!F$2:F1000)) + ((P657 &lt;&gt; """") * (date(year(P657) + 3, month(P"&amp;"657), day(P657)) &lt; SmartStatus!F$2:F1000))), (isblank(SmartStatus!G$2:G1000)) + (((Q657 &lt;&gt; """") * (Q657 &gt;= SmartStatus!G$2:G1000)) + ((P657 &lt;&gt; """") * (P657 &gt;= SmartStatus!G$2:G1000)))), if(or(regexmatch(B657, ""(?i)^ir [a-z]+ designation$""), N657 &lt;&gt; """&amp;"""), 1, 2))), """"), ""NO_MATCH"")"),"")</f>
        <v/>
      </c>
      <c r="AS657" s="11"/>
      <c r="AT657" s="15"/>
      <c r="AU657" s="11"/>
      <c r="AV657" s="11"/>
      <c r="AW657" s="15"/>
      <c r="AX657" s="15"/>
      <c r="AY657" s="15"/>
      <c r="AZ657" s="11"/>
      <c r="BA657" s="15"/>
      <c r="BB657" s="11"/>
      <c r="BC657" s="11"/>
      <c r="BD657" s="15"/>
      <c r="BE657" s="11"/>
      <c r="BF657" s="11"/>
      <c r="BG657" s="15"/>
      <c r="BH657" s="15"/>
      <c r="BI657" s="15"/>
      <c r="BJ657" s="11"/>
      <c r="BK657" s="15"/>
      <c r="BL657" s="11"/>
      <c r="BM657" s="11"/>
      <c r="BN657" s="15"/>
      <c r="BO657" s="11"/>
      <c r="BP657" s="11"/>
      <c r="BQ657" s="15"/>
      <c r="BR657" s="15"/>
      <c r="BS657" s="15"/>
      <c r="BT657" s="11"/>
      <c r="BU657" s="15"/>
      <c r="BV657" s="11"/>
      <c r="BW657" s="11"/>
      <c r="BX657" s="15"/>
      <c r="BY657" s="11"/>
      <c r="BZ657" s="11"/>
      <c r="CA657" s="15"/>
      <c r="CB657" s="11"/>
      <c r="CC657" s="15"/>
      <c r="CD657" s="11"/>
      <c r="CE657" s="15"/>
      <c r="CF657" s="11"/>
      <c r="CG657" s="11"/>
      <c r="CH657" s="15"/>
      <c r="CI657" s="11"/>
      <c r="CJ657" s="11"/>
      <c r="CK657" s="15"/>
      <c r="CL657" s="11"/>
      <c r="CM657" s="11"/>
      <c r="CN657" s="11"/>
      <c r="CO657" s="11"/>
      <c r="CP657" s="28"/>
      <c r="CQ657" s="28"/>
      <c r="CR657" s="11"/>
      <c r="CS657" s="29"/>
      <c r="CT657" s="11"/>
      <c r="CU657" s="11"/>
      <c r="CV657" s="11"/>
      <c r="CW657" s="11"/>
      <c r="CX657" s="11"/>
      <c r="CY657" s="11"/>
      <c r="CZ657" s="11"/>
      <c r="DA657" s="28"/>
      <c r="DB657" s="28"/>
      <c r="DC657" s="11"/>
      <c r="DD657" s="29"/>
      <c r="DE657" s="11"/>
      <c r="DF657" s="11"/>
      <c r="DG657" s="11"/>
      <c r="DH657" s="11"/>
      <c r="DI657" s="11"/>
      <c r="DJ657" s="11"/>
      <c r="DK657" s="26"/>
      <c r="DL657" s="11"/>
      <c r="DM657" s="29"/>
      <c r="DN657" s="28"/>
      <c r="DO657" s="11"/>
      <c r="DP657" s="11"/>
      <c r="DQ657" s="11"/>
      <c r="DR657" s="29"/>
      <c r="DS657" s="28"/>
      <c r="DT657" s="11"/>
      <c r="DU657" s="26"/>
      <c r="DV657" s="11"/>
      <c r="DW657" s="29"/>
      <c r="DX657" s="28"/>
      <c r="DY657" s="11"/>
      <c r="DZ657" s="26"/>
      <c r="EA657" s="11"/>
      <c r="EB657" s="29"/>
      <c r="EC657" s="28"/>
      <c r="ED657" s="30"/>
      <c r="EE657" s="30" t="str">
        <f ca="1">IFERROR(__xludf.DUMMYFUNCTION("iferror(index(filter('Internal -- Trademark Countries'!E$2:E1000, (AM657 = 'Internal -- Trademark Countries'!B$2:B1000) + (AM657 = 'Internal -- Trademark Countries'!C$2:C1000) + (AM657 = 'Internal -- Trademark Countries'!D$2:D1000)), 1))"),"")</f>
        <v/>
      </c>
      <c r="EF657" s="30" t="e">
        <f ca="1">_xludf.ifs(AM657="", "", COUNTIF('Internal -- Trademark Countries'!B:B,AM657) &gt; 0, "polity_shortest_name", COUNTIF('Internal -- Trademark Countries'!C:C,AM657) &gt; 0, "polity_full_name", COUNTIF('Internal -- Trademark Countries'!D:D,AM657) &gt; 0, "polity_common_name", COUNTIF('Internal -- Trademark Countries'!E:E,AM657) &gt; 0, "shortest_name", COUNTIF('Internal -- Trademark Countries'!A:A,AM657) &gt; 0, "full_name", TRUE, "not a match")</f>
        <v>#NAME?</v>
      </c>
      <c r="EG657" s="30"/>
      <c r="EH657" s="30"/>
      <c r="EI657" s="30"/>
      <c r="EJ657" s="30"/>
      <c r="EK657" s="30" t="str">
        <f t="shared" si="4"/>
        <v/>
      </c>
    </row>
    <row r="658" spans="1:141" ht="16.5">
      <c r="A658" s="11"/>
      <c r="B658" s="11"/>
      <c r="C658" s="11"/>
      <c r="D658" s="11"/>
      <c r="E658" s="11"/>
      <c r="F658" s="11"/>
      <c r="G658" s="11"/>
      <c r="H658" s="11"/>
      <c r="I658" s="11"/>
      <c r="J658" s="11"/>
      <c r="K658" s="27"/>
      <c r="L658" s="11"/>
      <c r="M658" s="11"/>
      <c r="N658" s="11"/>
      <c r="O658" s="11"/>
      <c r="P658" s="15"/>
      <c r="Q658" s="15"/>
      <c r="R658" s="15"/>
      <c r="S658" s="15"/>
      <c r="T658" s="15"/>
      <c r="U658" s="15"/>
      <c r="V658" s="15"/>
      <c r="W658" s="47"/>
      <c r="X658" s="11"/>
      <c r="Y658" s="48"/>
      <c r="Z658" s="11"/>
      <c r="AA658" s="48"/>
      <c r="AB658" s="11"/>
      <c r="AC658" s="48"/>
      <c r="AD658" s="11"/>
      <c r="AE658" s="47"/>
      <c r="AF658" s="11"/>
      <c r="AG658" s="48"/>
      <c r="AH658" s="11"/>
      <c r="AI658" s="48"/>
      <c r="AJ658" s="11"/>
      <c r="AK658" s="48"/>
      <c r="AL658" s="11"/>
      <c r="AM658" s="49"/>
      <c r="AN658" s="49"/>
      <c r="AO658" s="11"/>
      <c r="AP658" s="11"/>
      <c r="AQ658" s="28" t="b">
        <f>IF(COUNTIF(SmartStatus!A$2:A1000, AM658) &gt; 2, TRUE, FALSE)</f>
        <v>0</v>
      </c>
      <c r="AR658" s="29" t="str">
        <f ca="1">IFERROR(__xludf.DUMMYFUNCTION("iferror(if(regexmatch(AO658, ""(?i)^registered""), if(EE658 &lt;&gt; ""polity_shortest_name"", ""CHECK_POLITY"", index(filter(SmartStatus!B$2:B1000, AM658 = SmartStatus!A$2:A1000, not(SmartStatus!C$2:C1000), (isblank(SmartStatus!D$2:D1000)) + ((P658 &lt;&gt; """") * "&amp;"(P658 &lt; SmartStatus!D$2:D1000)), (isblank(SmartStatus!E$2:E1000)) + ((P658 &lt;&gt; """") * (P658 &gt;= SmartStatus!E$2:E1000)), (isblank(SmartStatus!F$2:F1000)) + (((Q658 &lt;&gt; """") * (Q658 &lt; SmartStatus!F$2:F1000)) + ((P658 &lt;&gt; """") * (date(year(P658) + 3, month(P"&amp;"658), day(P658)) &lt; SmartStatus!F$2:F1000))), (isblank(SmartStatus!G$2:G1000)) + (((Q658 &lt;&gt; """") * (Q658 &gt;= SmartStatus!G$2:G1000)) + ((P658 &lt;&gt; """") * (P658 &gt;= SmartStatus!G$2:G1000)))), if(or(regexmatch(B658, ""(?i)^ir [a-z]+ designation$""), N658 &lt;&gt; """&amp;"""), 1, 2))), """"), ""NO_MATCH"")"),"")</f>
        <v/>
      </c>
      <c r="AS658" s="11"/>
      <c r="AT658" s="15"/>
      <c r="AU658" s="11"/>
      <c r="AV658" s="11"/>
      <c r="AW658" s="15"/>
      <c r="AX658" s="15"/>
      <c r="AY658" s="15"/>
      <c r="AZ658" s="11"/>
      <c r="BA658" s="15"/>
      <c r="BB658" s="11"/>
      <c r="BC658" s="11"/>
      <c r="BD658" s="15"/>
      <c r="BE658" s="11"/>
      <c r="BF658" s="11"/>
      <c r="BG658" s="15"/>
      <c r="BH658" s="15"/>
      <c r="BI658" s="15"/>
      <c r="BJ658" s="11"/>
      <c r="BK658" s="15"/>
      <c r="BL658" s="11"/>
      <c r="BM658" s="11"/>
      <c r="BN658" s="15"/>
      <c r="BO658" s="11"/>
      <c r="BP658" s="11"/>
      <c r="BQ658" s="15"/>
      <c r="BR658" s="15"/>
      <c r="BS658" s="15"/>
      <c r="BT658" s="11"/>
      <c r="BU658" s="15"/>
      <c r="BV658" s="11"/>
      <c r="BW658" s="11"/>
      <c r="BX658" s="15"/>
      <c r="BY658" s="11"/>
      <c r="BZ658" s="11"/>
      <c r="CA658" s="15"/>
      <c r="CB658" s="11"/>
      <c r="CC658" s="15"/>
      <c r="CD658" s="11"/>
      <c r="CE658" s="15"/>
      <c r="CF658" s="11"/>
      <c r="CG658" s="11"/>
      <c r="CH658" s="15"/>
      <c r="CI658" s="11"/>
      <c r="CJ658" s="11"/>
      <c r="CK658" s="15"/>
      <c r="CL658" s="11"/>
      <c r="CM658" s="11"/>
      <c r="CN658" s="11"/>
      <c r="CO658" s="11"/>
      <c r="CP658" s="28"/>
      <c r="CQ658" s="28"/>
      <c r="CR658" s="11"/>
      <c r="CS658" s="29"/>
      <c r="CT658" s="11"/>
      <c r="CU658" s="11"/>
      <c r="CV658" s="11"/>
      <c r="CW658" s="11"/>
      <c r="CX658" s="11"/>
      <c r="CY658" s="11"/>
      <c r="CZ658" s="11"/>
      <c r="DA658" s="28"/>
      <c r="DB658" s="28"/>
      <c r="DC658" s="11"/>
      <c r="DD658" s="29"/>
      <c r="DE658" s="11"/>
      <c r="DF658" s="11"/>
      <c r="DG658" s="11"/>
      <c r="DH658" s="11"/>
      <c r="DI658" s="11"/>
      <c r="DJ658" s="11"/>
      <c r="DK658" s="26"/>
      <c r="DL658" s="11"/>
      <c r="DM658" s="29"/>
      <c r="DN658" s="28"/>
      <c r="DO658" s="11"/>
      <c r="DP658" s="11"/>
      <c r="DQ658" s="11"/>
      <c r="DR658" s="29"/>
      <c r="DS658" s="28"/>
      <c r="DT658" s="11"/>
      <c r="DU658" s="26"/>
      <c r="DV658" s="11"/>
      <c r="DW658" s="29"/>
      <c r="DX658" s="28"/>
      <c r="DY658" s="11"/>
      <c r="DZ658" s="26"/>
      <c r="EA658" s="11"/>
      <c r="EB658" s="29"/>
      <c r="EC658" s="28"/>
      <c r="ED658" s="30"/>
      <c r="EE658" s="30" t="str">
        <f ca="1">IFERROR(__xludf.DUMMYFUNCTION("iferror(index(filter('Internal -- Trademark Countries'!E$2:E1000, (AM658 = 'Internal -- Trademark Countries'!B$2:B1000) + (AM658 = 'Internal -- Trademark Countries'!C$2:C1000) + (AM658 = 'Internal -- Trademark Countries'!D$2:D1000)), 1))"),"")</f>
        <v/>
      </c>
      <c r="EF658" s="30" t="e">
        <f ca="1">_xludf.ifs(AM658="", "", COUNTIF('Internal -- Trademark Countries'!B:B,AM658) &gt; 0, "polity_shortest_name", COUNTIF('Internal -- Trademark Countries'!C:C,AM658) &gt; 0, "polity_full_name", COUNTIF('Internal -- Trademark Countries'!D:D,AM658) &gt; 0, "polity_common_name", COUNTIF('Internal -- Trademark Countries'!E:E,AM658) &gt; 0, "shortest_name", COUNTIF('Internal -- Trademark Countries'!A:A,AM658) &gt; 0, "full_name", TRUE, "not a match")</f>
        <v>#NAME?</v>
      </c>
      <c r="EG658" s="30"/>
      <c r="EH658" s="30"/>
      <c r="EI658" s="30"/>
      <c r="EJ658" s="30"/>
      <c r="EK658" s="30" t="str">
        <f t="shared" si="4"/>
        <v/>
      </c>
    </row>
    <row r="659" spans="1:141" ht="16.5">
      <c r="A659" s="11"/>
      <c r="B659" s="11"/>
      <c r="C659" s="11"/>
      <c r="D659" s="11"/>
      <c r="E659" s="11"/>
      <c r="F659" s="11"/>
      <c r="G659" s="11"/>
      <c r="H659" s="11"/>
      <c r="I659" s="11"/>
      <c r="J659" s="11"/>
      <c r="K659" s="27"/>
      <c r="L659" s="11"/>
      <c r="M659" s="11"/>
      <c r="N659" s="11"/>
      <c r="O659" s="11"/>
      <c r="P659" s="15"/>
      <c r="Q659" s="15"/>
      <c r="R659" s="15"/>
      <c r="S659" s="15"/>
      <c r="T659" s="15"/>
      <c r="U659" s="15"/>
      <c r="V659" s="15"/>
      <c r="W659" s="47"/>
      <c r="X659" s="11"/>
      <c r="Y659" s="48"/>
      <c r="Z659" s="11"/>
      <c r="AA659" s="48"/>
      <c r="AB659" s="11"/>
      <c r="AC659" s="48"/>
      <c r="AD659" s="11"/>
      <c r="AE659" s="47"/>
      <c r="AF659" s="11"/>
      <c r="AG659" s="48"/>
      <c r="AH659" s="11"/>
      <c r="AI659" s="48"/>
      <c r="AJ659" s="11"/>
      <c r="AK659" s="48"/>
      <c r="AL659" s="11"/>
      <c r="AM659" s="49"/>
      <c r="AN659" s="49"/>
      <c r="AO659" s="11"/>
      <c r="AP659" s="11"/>
      <c r="AQ659" s="28" t="b">
        <f>IF(COUNTIF(SmartStatus!A$2:A1000, AM659) &gt; 2, TRUE, FALSE)</f>
        <v>0</v>
      </c>
      <c r="AR659" s="29" t="str">
        <f ca="1">IFERROR(__xludf.DUMMYFUNCTION("iferror(if(regexmatch(AO659, ""(?i)^registered""), if(EE659 &lt;&gt; ""polity_shortest_name"", ""CHECK_POLITY"", index(filter(SmartStatus!B$2:B1000, AM659 = SmartStatus!A$2:A1000, not(SmartStatus!C$2:C1000), (isblank(SmartStatus!D$2:D1000)) + ((P659 &lt;&gt; """") * "&amp;"(P659 &lt; SmartStatus!D$2:D1000)), (isblank(SmartStatus!E$2:E1000)) + ((P659 &lt;&gt; """") * (P659 &gt;= SmartStatus!E$2:E1000)), (isblank(SmartStatus!F$2:F1000)) + (((Q659 &lt;&gt; """") * (Q659 &lt; SmartStatus!F$2:F1000)) + ((P659 &lt;&gt; """") * (date(year(P659) + 3, month(P"&amp;"659), day(P659)) &lt; SmartStatus!F$2:F1000))), (isblank(SmartStatus!G$2:G1000)) + (((Q659 &lt;&gt; """") * (Q659 &gt;= SmartStatus!G$2:G1000)) + ((P659 &lt;&gt; """") * (P659 &gt;= SmartStatus!G$2:G1000)))), if(or(regexmatch(B659, ""(?i)^ir [a-z]+ designation$""), N659 &lt;&gt; """&amp;"""), 1, 2))), """"), ""NO_MATCH"")"),"")</f>
        <v/>
      </c>
      <c r="AS659" s="11"/>
      <c r="AT659" s="15"/>
      <c r="AU659" s="11"/>
      <c r="AV659" s="11"/>
      <c r="AW659" s="15"/>
      <c r="AX659" s="15"/>
      <c r="AY659" s="15"/>
      <c r="AZ659" s="11"/>
      <c r="BA659" s="15"/>
      <c r="BB659" s="11"/>
      <c r="BC659" s="11"/>
      <c r="BD659" s="15"/>
      <c r="BE659" s="11"/>
      <c r="BF659" s="11"/>
      <c r="BG659" s="15"/>
      <c r="BH659" s="15"/>
      <c r="BI659" s="15"/>
      <c r="BJ659" s="11"/>
      <c r="BK659" s="15"/>
      <c r="BL659" s="11"/>
      <c r="BM659" s="11"/>
      <c r="BN659" s="15"/>
      <c r="BO659" s="11"/>
      <c r="BP659" s="11"/>
      <c r="BQ659" s="15"/>
      <c r="BR659" s="15"/>
      <c r="BS659" s="15"/>
      <c r="BT659" s="11"/>
      <c r="BU659" s="15"/>
      <c r="BV659" s="11"/>
      <c r="BW659" s="11"/>
      <c r="BX659" s="15"/>
      <c r="BY659" s="11"/>
      <c r="BZ659" s="11"/>
      <c r="CA659" s="15"/>
      <c r="CB659" s="11"/>
      <c r="CC659" s="15"/>
      <c r="CD659" s="11"/>
      <c r="CE659" s="15"/>
      <c r="CF659" s="11"/>
      <c r="CG659" s="11"/>
      <c r="CH659" s="15"/>
      <c r="CI659" s="11"/>
      <c r="CJ659" s="11"/>
      <c r="CK659" s="15"/>
      <c r="CL659" s="11"/>
      <c r="CM659" s="11"/>
      <c r="CN659" s="11"/>
      <c r="CO659" s="11"/>
      <c r="CP659" s="28"/>
      <c r="CQ659" s="28"/>
      <c r="CR659" s="11"/>
      <c r="CS659" s="29"/>
      <c r="CT659" s="11"/>
      <c r="CU659" s="11"/>
      <c r="CV659" s="11"/>
      <c r="CW659" s="11"/>
      <c r="CX659" s="11"/>
      <c r="CY659" s="11"/>
      <c r="CZ659" s="11"/>
      <c r="DA659" s="28"/>
      <c r="DB659" s="28"/>
      <c r="DC659" s="11"/>
      <c r="DD659" s="29"/>
      <c r="DE659" s="11"/>
      <c r="DF659" s="11"/>
      <c r="DG659" s="11"/>
      <c r="DH659" s="11"/>
      <c r="DI659" s="11"/>
      <c r="DJ659" s="11"/>
      <c r="DK659" s="26"/>
      <c r="DL659" s="11"/>
      <c r="DM659" s="29"/>
      <c r="DN659" s="28"/>
      <c r="DO659" s="11"/>
      <c r="DP659" s="11"/>
      <c r="DQ659" s="11"/>
      <c r="DR659" s="29"/>
      <c r="DS659" s="28"/>
      <c r="DT659" s="11"/>
      <c r="DU659" s="26"/>
      <c r="DV659" s="11"/>
      <c r="DW659" s="29"/>
      <c r="DX659" s="28"/>
      <c r="DY659" s="11"/>
      <c r="DZ659" s="26"/>
      <c r="EA659" s="11"/>
      <c r="EB659" s="29"/>
      <c r="EC659" s="28"/>
      <c r="ED659" s="30"/>
      <c r="EE659" s="30" t="str">
        <f ca="1">IFERROR(__xludf.DUMMYFUNCTION("iferror(index(filter('Internal -- Trademark Countries'!E$2:E1000, (AM659 = 'Internal -- Trademark Countries'!B$2:B1000) + (AM659 = 'Internal -- Trademark Countries'!C$2:C1000) + (AM659 = 'Internal -- Trademark Countries'!D$2:D1000)), 1))"),"")</f>
        <v/>
      </c>
      <c r="EF659" s="30" t="e">
        <f ca="1">_xludf.ifs(AM659="", "", COUNTIF('Internal -- Trademark Countries'!B:B,AM659) &gt; 0, "polity_shortest_name", COUNTIF('Internal -- Trademark Countries'!C:C,AM659) &gt; 0, "polity_full_name", COUNTIF('Internal -- Trademark Countries'!D:D,AM659) &gt; 0, "polity_common_name", COUNTIF('Internal -- Trademark Countries'!E:E,AM659) &gt; 0, "shortest_name", COUNTIF('Internal -- Trademark Countries'!A:A,AM659) &gt; 0, "full_name", TRUE, "not a match")</f>
        <v>#NAME?</v>
      </c>
      <c r="EG659" s="30"/>
      <c r="EH659" s="30"/>
      <c r="EI659" s="30"/>
      <c r="EJ659" s="30"/>
      <c r="EK659" s="30" t="str">
        <f t="shared" si="4"/>
        <v/>
      </c>
    </row>
    <row r="660" spans="1:141" ht="16.5">
      <c r="A660" s="11"/>
      <c r="B660" s="11"/>
      <c r="C660" s="11"/>
      <c r="D660" s="11"/>
      <c r="E660" s="11"/>
      <c r="F660" s="11"/>
      <c r="G660" s="11"/>
      <c r="H660" s="11"/>
      <c r="I660" s="11"/>
      <c r="J660" s="11"/>
      <c r="K660" s="27"/>
      <c r="L660" s="11"/>
      <c r="M660" s="11"/>
      <c r="N660" s="11"/>
      <c r="O660" s="11"/>
      <c r="P660" s="15"/>
      <c r="Q660" s="15"/>
      <c r="R660" s="15"/>
      <c r="S660" s="15"/>
      <c r="T660" s="15"/>
      <c r="U660" s="15"/>
      <c r="V660" s="15"/>
      <c r="W660" s="47"/>
      <c r="X660" s="11"/>
      <c r="Y660" s="48"/>
      <c r="Z660" s="11"/>
      <c r="AA660" s="48"/>
      <c r="AB660" s="11"/>
      <c r="AC660" s="48"/>
      <c r="AD660" s="11"/>
      <c r="AE660" s="47"/>
      <c r="AF660" s="11"/>
      <c r="AG660" s="48"/>
      <c r="AH660" s="11"/>
      <c r="AI660" s="48"/>
      <c r="AJ660" s="11"/>
      <c r="AK660" s="48"/>
      <c r="AL660" s="11"/>
      <c r="AM660" s="49"/>
      <c r="AN660" s="49"/>
      <c r="AO660" s="11"/>
      <c r="AP660" s="11"/>
      <c r="AQ660" s="28" t="b">
        <f>IF(COUNTIF(SmartStatus!A$2:A1000, AM660) &gt; 2, TRUE, FALSE)</f>
        <v>0</v>
      </c>
      <c r="AR660" s="29" t="str">
        <f ca="1">IFERROR(__xludf.DUMMYFUNCTION("iferror(if(regexmatch(AO660, ""(?i)^registered""), if(EE660 &lt;&gt; ""polity_shortest_name"", ""CHECK_POLITY"", index(filter(SmartStatus!B$2:B1000, AM660 = SmartStatus!A$2:A1000, not(SmartStatus!C$2:C1000), (isblank(SmartStatus!D$2:D1000)) + ((P660 &lt;&gt; """") * "&amp;"(P660 &lt; SmartStatus!D$2:D1000)), (isblank(SmartStatus!E$2:E1000)) + ((P660 &lt;&gt; """") * (P660 &gt;= SmartStatus!E$2:E1000)), (isblank(SmartStatus!F$2:F1000)) + (((Q660 &lt;&gt; """") * (Q660 &lt; SmartStatus!F$2:F1000)) + ((P660 &lt;&gt; """") * (date(year(P660) + 3, month(P"&amp;"660), day(P660)) &lt; SmartStatus!F$2:F1000))), (isblank(SmartStatus!G$2:G1000)) + (((Q660 &lt;&gt; """") * (Q660 &gt;= SmartStatus!G$2:G1000)) + ((P660 &lt;&gt; """") * (P660 &gt;= SmartStatus!G$2:G1000)))), if(or(regexmatch(B660, ""(?i)^ir [a-z]+ designation$""), N660 &lt;&gt; """&amp;"""), 1, 2))), """"), ""NO_MATCH"")"),"")</f>
        <v/>
      </c>
      <c r="AS660" s="11"/>
      <c r="AT660" s="15"/>
      <c r="AU660" s="11"/>
      <c r="AV660" s="11"/>
      <c r="AW660" s="15"/>
      <c r="AX660" s="15"/>
      <c r="AY660" s="15"/>
      <c r="AZ660" s="11"/>
      <c r="BA660" s="15"/>
      <c r="BB660" s="11"/>
      <c r="BC660" s="11"/>
      <c r="BD660" s="15"/>
      <c r="BE660" s="11"/>
      <c r="BF660" s="11"/>
      <c r="BG660" s="15"/>
      <c r="BH660" s="15"/>
      <c r="BI660" s="15"/>
      <c r="BJ660" s="11"/>
      <c r="BK660" s="15"/>
      <c r="BL660" s="11"/>
      <c r="BM660" s="11"/>
      <c r="BN660" s="15"/>
      <c r="BO660" s="11"/>
      <c r="BP660" s="11"/>
      <c r="BQ660" s="15"/>
      <c r="BR660" s="15"/>
      <c r="BS660" s="15"/>
      <c r="BT660" s="11"/>
      <c r="BU660" s="15"/>
      <c r="BV660" s="11"/>
      <c r="BW660" s="11"/>
      <c r="BX660" s="15"/>
      <c r="BY660" s="11"/>
      <c r="BZ660" s="11"/>
      <c r="CA660" s="15"/>
      <c r="CB660" s="11"/>
      <c r="CC660" s="15"/>
      <c r="CD660" s="11"/>
      <c r="CE660" s="15"/>
      <c r="CF660" s="11"/>
      <c r="CG660" s="11"/>
      <c r="CH660" s="15"/>
      <c r="CI660" s="11"/>
      <c r="CJ660" s="11"/>
      <c r="CK660" s="15"/>
      <c r="CL660" s="11"/>
      <c r="CM660" s="11"/>
      <c r="CN660" s="11"/>
      <c r="CO660" s="11"/>
      <c r="CP660" s="28"/>
      <c r="CQ660" s="28"/>
      <c r="CR660" s="11"/>
      <c r="CS660" s="29"/>
      <c r="CT660" s="11"/>
      <c r="CU660" s="11"/>
      <c r="CV660" s="11"/>
      <c r="CW660" s="11"/>
      <c r="CX660" s="11"/>
      <c r="CY660" s="11"/>
      <c r="CZ660" s="11"/>
      <c r="DA660" s="28"/>
      <c r="DB660" s="28"/>
      <c r="DC660" s="11"/>
      <c r="DD660" s="29"/>
      <c r="DE660" s="11"/>
      <c r="DF660" s="11"/>
      <c r="DG660" s="11"/>
      <c r="DH660" s="11"/>
      <c r="DI660" s="11"/>
      <c r="DJ660" s="11"/>
      <c r="DK660" s="26"/>
      <c r="DL660" s="11"/>
      <c r="DM660" s="29"/>
      <c r="DN660" s="28"/>
      <c r="DO660" s="11"/>
      <c r="DP660" s="11"/>
      <c r="DQ660" s="11"/>
      <c r="DR660" s="29"/>
      <c r="DS660" s="28"/>
      <c r="DT660" s="11"/>
      <c r="DU660" s="26"/>
      <c r="DV660" s="11"/>
      <c r="DW660" s="29"/>
      <c r="DX660" s="28"/>
      <c r="DY660" s="11"/>
      <c r="DZ660" s="26"/>
      <c r="EA660" s="11"/>
      <c r="EB660" s="29"/>
      <c r="EC660" s="28"/>
      <c r="ED660" s="30"/>
      <c r="EE660" s="30" t="str">
        <f ca="1">IFERROR(__xludf.DUMMYFUNCTION("iferror(index(filter('Internal -- Trademark Countries'!E$2:E1000, (AM660 = 'Internal -- Trademark Countries'!B$2:B1000) + (AM660 = 'Internal -- Trademark Countries'!C$2:C1000) + (AM660 = 'Internal -- Trademark Countries'!D$2:D1000)), 1))"),"")</f>
        <v/>
      </c>
      <c r="EF660" s="30" t="e">
        <f ca="1">_xludf.ifs(AM660="", "", COUNTIF('Internal -- Trademark Countries'!B:B,AM660) &gt; 0, "polity_shortest_name", COUNTIF('Internal -- Trademark Countries'!C:C,AM660) &gt; 0, "polity_full_name", COUNTIF('Internal -- Trademark Countries'!D:D,AM660) &gt; 0, "polity_common_name", COUNTIF('Internal -- Trademark Countries'!E:E,AM660) &gt; 0, "shortest_name", COUNTIF('Internal -- Trademark Countries'!A:A,AM660) &gt; 0, "full_name", TRUE, "not a match")</f>
        <v>#NAME?</v>
      </c>
      <c r="EG660" s="30"/>
      <c r="EH660" s="30"/>
      <c r="EI660" s="30"/>
      <c r="EJ660" s="30"/>
      <c r="EK660" s="30" t="str">
        <f t="shared" si="4"/>
        <v/>
      </c>
    </row>
    <row r="661" spans="1:141" ht="16.5">
      <c r="A661" s="11"/>
      <c r="B661" s="11"/>
      <c r="C661" s="11"/>
      <c r="D661" s="11"/>
      <c r="E661" s="11"/>
      <c r="F661" s="11"/>
      <c r="G661" s="11"/>
      <c r="H661" s="11"/>
      <c r="I661" s="11"/>
      <c r="J661" s="11"/>
      <c r="K661" s="27"/>
      <c r="L661" s="11"/>
      <c r="M661" s="11"/>
      <c r="N661" s="11"/>
      <c r="O661" s="11"/>
      <c r="P661" s="15"/>
      <c r="Q661" s="15"/>
      <c r="R661" s="15"/>
      <c r="S661" s="15"/>
      <c r="T661" s="15"/>
      <c r="U661" s="15"/>
      <c r="V661" s="15"/>
      <c r="W661" s="47"/>
      <c r="X661" s="11"/>
      <c r="Y661" s="48"/>
      <c r="Z661" s="11"/>
      <c r="AA661" s="48"/>
      <c r="AB661" s="11"/>
      <c r="AC661" s="48"/>
      <c r="AD661" s="11"/>
      <c r="AE661" s="47"/>
      <c r="AF661" s="11"/>
      <c r="AG661" s="48"/>
      <c r="AH661" s="11"/>
      <c r="AI661" s="48"/>
      <c r="AJ661" s="11"/>
      <c r="AK661" s="48"/>
      <c r="AL661" s="11"/>
      <c r="AM661" s="49"/>
      <c r="AN661" s="49"/>
      <c r="AO661" s="11"/>
      <c r="AP661" s="11"/>
      <c r="AQ661" s="28" t="b">
        <f>IF(COUNTIF(SmartStatus!A$2:A1000, AM661) &gt; 2, TRUE, FALSE)</f>
        <v>0</v>
      </c>
      <c r="AR661" s="29" t="str">
        <f ca="1">IFERROR(__xludf.DUMMYFUNCTION("iferror(if(regexmatch(AO661, ""(?i)^registered""), if(EE661 &lt;&gt; ""polity_shortest_name"", ""CHECK_POLITY"", index(filter(SmartStatus!B$2:B1000, AM661 = SmartStatus!A$2:A1000, not(SmartStatus!C$2:C1000), (isblank(SmartStatus!D$2:D1000)) + ((P661 &lt;&gt; """") * "&amp;"(P661 &lt; SmartStatus!D$2:D1000)), (isblank(SmartStatus!E$2:E1000)) + ((P661 &lt;&gt; """") * (P661 &gt;= SmartStatus!E$2:E1000)), (isblank(SmartStatus!F$2:F1000)) + (((Q661 &lt;&gt; """") * (Q661 &lt; SmartStatus!F$2:F1000)) + ((P661 &lt;&gt; """") * (date(year(P661) + 3, month(P"&amp;"661), day(P661)) &lt; SmartStatus!F$2:F1000))), (isblank(SmartStatus!G$2:G1000)) + (((Q661 &lt;&gt; """") * (Q661 &gt;= SmartStatus!G$2:G1000)) + ((P661 &lt;&gt; """") * (P661 &gt;= SmartStatus!G$2:G1000)))), if(or(regexmatch(B661, ""(?i)^ir [a-z]+ designation$""), N661 &lt;&gt; """&amp;"""), 1, 2))), """"), ""NO_MATCH"")"),"")</f>
        <v/>
      </c>
      <c r="AS661" s="11"/>
      <c r="AT661" s="15"/>
      <c r="AU661" s="11"/>
      <c r="AV661" s="11"/>
      <c r="AW661" s="15"/>
      <c r="AX661" s="15"/>
      <c r="AY661" s="15"/>
      <c r="AZ661" s="11"/>
      <c r="BA661" s="15"/>
      <c r="BB661" s="11"/>
      <c r="BC661" s="11"/>
      <c r="BD661" s="15"/>
      <c r="BE661" s="11"/>
      <c r="BF661" s="11"/>
      <c r="BG661" s="15"/>
      <c r="BH661" s="15"/>
      <c r="BI661" s="15"/>
      <c r="BJ661" s="11"/>
      <c r="BK661" s="15"/>
      <c r="BL661" s="11"/>
      <c r="BM661" s="11"/>
      <c r="BN661" s="15"/>
      <c r="BO661" s="11"/>
      <c r="BP661" s="11"/>
      <c r="BQ661" s="15"/>
      <c r="BR661" s="15"/>
      <c r="BS661" s="15"/>
      <c r="BT661" s="11"/>
      <c r="BU661" s="15"/>
      <c r="BV661" s="11"/>
      <c r="BW661" s="11"/>
      <c r="BX661" s="15"/>
      <c r="BY661" s="11"/>
      <c r="BZ661" s="11"/>
      <c r="CA661" s="15"/>
      <c r="CB661" s="11"/>
      <c r="CC661" s="15"/>
      <c r="CD661" s="11"/>
      <c r="CE661" s="15"/>
      <c r="CF661" s="11"/>
      <c r="CG661" s="11"/>
      <c r="CH661" s="15"/>
      <c r="CI661" s="11"/>
      <c r="CJ661" s="11"/>
      <c r="CK661" s="15"/>
      <c r="CL661" s="11"/>
      <c r="CM661" s="11"/>
      <c r="CN661" s="11"/>
      <c r="CO661" s="11"/>
      <c r="CP661" s="28"/>
      <c r="CQ661" s="28"/>
      <c r="CR661" s="11"/>
      <c r="CS661" s="29"/>
      <c r="CT661" s="11"/>
      <c r="CU661" s="11"/>
      <c r="CV661" s="11"/>
      <c r="CW661" s="11"/>
      <c r="CX661" s="11"/>
      <c r="CY661" s="11"/>
      <c r="CZ661" s="11"/>
      <c r="DA661" s="28"/>
      <c r="DB661" s="28"/>
      <c r="DC661" s="11"/>
      <c r="DD661" s="29"/>
      <c r="DE661" s="11"/>
      <c r="DF661" s="11"/>
      <c r="DG661" s="11"/>
      <c r="DH661" s="11"/>
      <c r="DI661" s="11"/>
      <c r="DJ661" s="11"/>
      <c r="DK661" s="26"/>
      <c r="DL661" s="11"/>
      <c r="DM661" s="29"/>
      <c r="DN661" s="28"/>
      <c r="DO661" s="11"/>
      <c r="DP661" s="11"/>
      <c r="DQ661" s="11"/>
      <c r="DR661" s="29"/>
      <c r="DS661" s="28"/>
      <c r="DT661" s="11"/>
      <c r="DU661" s="26"/>
      <c r="DV661" s="11"/>
      <c r="DW661" s="29"/>
      <c r="DX661" s="28"/>
      <c r="DY661" s="11"/>
      <c r="DZ661" s="26"/>
      <c r="EA661" s="11"/>
      <c r="EB661" s="29"/>
      <c r="EC661" s="28"/>
      <c r="ED661" s="30"/>
      <c r="EE661" s="30" t="str">
        <f ca="1">IFERROR(__xludf.DUMMYFUNCTION("iferror(index(filter('Internal -- Trademark Countries'!E$2:E1000, (AM661 = 'Internal -- Trademark Countries'!B$2:B1000) + (AM661 = 'Internal -- Trademark Countries'!C$2:C1000) + (AM661 = 'Internal -- Trademark Countries'!D$2:D1000)), 1))"),"")</f>
        <v/>
      </c>
      <c r="EF661" s="30" t="e">
        <f ca="1">_xludf.ifs(AM661="", "", COUNTIF('Internal -- Trademark Countries'!B:B,AM661) &gt; 0, "polity_shortest_name", COUNTIF('Internal -- Trademark Countries'!C:C,AM661) &gt; 0, "polity_full_name", COUNTIF('Internal -- Trademark Countries'!D:D,AM661) &gt; 0, "polity_common_name", COUNTIF('Internal -- Trademark Countries'!E:E,AM661) &gt; 0, "shortest_name", COUNTIF('Internal -- Trademark Countries'!A:A,AM661) &gt; 0, "full_name", TRUE, "not a match")</f>
        <v>#NAME?</v>
      </c>
      <c r="EG661" s="30"/>
      <c r="EH661" s="30"/>
      <c r="EI661" s="30"/>
      <c r="EJ661" s="30"/>
      <c r="EK661" s="30" t="str">
        <f t="shared" si="4"/>
        <v/>
      </c>
    </row>
    <row r="662" spans="1:141" ht="16.5">
      <c r="A662" s="11"/>
      <c r="B662" s="11"/>
      <c r="C662" s="11"/>
      <c r="D662" s="11"/>
      <c r="E662" s="11"/>
      <c r="F662" s="11"/>
      <c r="G662" s="11"/>
      <c r="H662" s="11"/>
      <c r="I662" s="11"/>
      <c r="J662" s="11"/>
      <c r="K662" s="27"/>
      <c r="L662" s="11"/>
      <c r="M662" s="11"/>
      <c r="N662" s="11"/>
      <c r="O662" s="11"/>
      <c r="P662" s="15"/>
      <c r="Q662" s="15"/>
      <c r="R662" s="15"/>
      <c r="S662" s="15"/>
      <c r="T662" s="15"/>
      <c r="U662" s="15"/>
      <c r="V662" s="15"/>
      <c r="W662" s="47"/>
      <c r="X662" s="11"/>
      <c r="Y662" s="48"/>
      <c r="Z662" s="11"/>
      <c r="AA662" s="48"/>
      <c r="AB662" s="11"/>
      <c r="AC662" s="48"/>
      <c r="AD662" s="11"/>
      <c r="AE662" s="47"/>
      <c r="AF662" s="11"/>
      <c r="AG662" s="48"/>
      <c r="AH662" s="11"/>
      <c r="AI662" s="48"/>
      <c r="AJ662" s="11"/>
      <c r="AK662" s="48"/>
      <c r="AL662" s="11"/>
      <c r="AM662" s="49"/>
      <c r="AN662" s="49"/>
      <c r="AO662" s="11"/>
      <c r="AP662" s="11"/>
      <c r="AQ662" s="28" t="b">
        <f>IF(COUNTIF(SmartStatus!A$2:A1000, AM662) &gt; 2, TRUE, FALSE)</f>
        <v>0</v>
      </c>
      <c r="AR662" s="29" t="str">
        <f ca="1">IFERROR(__xludf.DUMMYFUNCTION("iferror(if(regexmatch(AO662, ""(?i)^registered""), if(EE662 &lt;&gt; ""polity_shortest_name"", ""CHECK_POLITY"", index(filter(SmartStatus!B$2:B1000, AM662 = SmartStatus!A$2:A1000, not(SmartStatus!C$2:C1000), (isblank(SmartStatus!D$2:D1000)) + ((P662 &lt;&gt; """") * "&amp;"(P662 &lt; SmartStatus!D$2:D1000)), (isblank(SmartStatus!E$2:E1000)) + ((P662 &lt;&gt; """") * (P662 &gt;= SmartStatus!E$2:E1000)), (isblank(SmartStatus!F$2:F1000)) + (((Q662 &lt;&gt; """") * (Q662 &lt; SmartStatus!F$2:F1000)) + ((P662 &lt;&gt; """") * (date(year(P662) + 3, month(P"&amp;"662), day(P662)) &lt; SmartStatus!F$2:F1000))), (isblank(SmartStatus!G$2:G1000)) + (((Q662 &lt;&gt; """") * (Q662 &gt;= SmartStatus!G$2:G1000)) + ((P662 &lt;&gt; """") * (P662 &gt;= SmartStatus!G$2:G1000)))), if(or(regexmatch(B662, ""(?i)^ir [a-z]+ designation$""), N662 &lt;&gt; """&amp;"""), 1, 2))), """"), ""NO_MATCH"")"),"")</f>
        <v/>
      </c>
      <c r="AS662" s="11"/>
      <c r="AT662" s="15"/>
      <c r="AU662" s="11"/>
      <c r="AV662" s="11"/>
      <c r="AW662" s="15"/>
      <c r="AX662" s="15"/>
      <c r="AY662" s="15"/>
      <c r="AZ662" s="11"/>
      <c r="BA662" s="15"/>
      <c r="BB662" s="11"/>
      <c r="BC662" s="11"/>
      <c r="BD662" s="15"/>
      <c r="BE662" s="11"/>
      <c r="BF662" s="11"/>
      <c r="BG662" s="15"/>
      <c r="BH662" s="15"/>
      <c r="BI662" s="15"/>
      <c r="BJ662" s="11"/>
      <c r="BK662" s="15"/>
      <c r="BL662" s="11"/>
      <c r="BM662" s="11"/>
      <c r="BN662" s="15"/>
      <c r="BO662" s="11"/>
      <c r="BP662" s="11"/>
      <c r="BQ662" s="15"/>
      <c r="BR662" s="15"/>
      <c r="BS662" s="15"/>
      <c r="BT662" s="11"/>
      <c r="BU662" s="15"/>
      <c r="BV662" s="11"/>
      <c r="BW662" s="11"/>
      <c r="BX662" s="15"/>
      <c r="BY662" s="11"/>
      <c r="BZ662" s="11"/>
      <c r="CA662" s="15"/>
      <c r="CB662" s="11"/>
      <c r="CC662" s="15"/>
      <c r="CD662" s="11"/>
      <c r="CE662" s="15"/>
      <c r="CF662" s="11"/>
      <c r="CG662" s="11"/>
      <c r="CH662" s="15"/>
      <c r="CI662" s="11"/>
      <c r="CJ662" s="11"/>
      <c r="CK662" s="15"/>
      <c r="CL662" s="11"/>
      <c r="CM662" s="11"/>
      <c r="CN662" s="11"/>
      <c r="CO662" s="11"/>
      <c r="CP662" s="28"/>
      <c r="CQ662" s="28"/>
      <c r="CR662" s="11"/>
      <c r="CS662" s="29"/>
      <c r="CT662" s="11"/>
      <c r="CU662" s="11"/>
      <c r="CV662" s="11"/>
      <c r="CW662" s="11"/>
      <c r="CX662" s="11"/>
      <c r="CY662" s="11"/>
      <c r="CZ662" s="11"/>
      <c r="DA662" s="28"/>
      <c r="DB662" s="28"/>
      <c r="DC662" s="11"/>
      <c r="DD662" s="29"/>
      <c r="DE662" s="11"/>
      <c r="DF662" s="11"/>
      <c r="DG662" s="11"/>
      <c r="DH662" s="11"/>
      <c r="DI662" s="11"/>
      <c r="DJ662" s="11"/>
      <c r="DK662" s="26"/>
      <c r="DL662" s="11"/>
      <c r="DM662" s="29"/>
      <c r="DN662" s="28"/>
      <c r="DO662" s="11"/>
      <c r="DP662" s="11"/>
      <c r="DQ662" s="11"/>
      <c r="DR662" s="29"/>
      <c r="DS662" s="28"/>
      <c r="DT662" s="11"/>
      <c r="DU662" s="26"/>
      <c r="DV662" s="11"/>
      <c r="DW662" s="29"/>
      <c r="DX662" s="28"/>
      <c r="DY662" s="11"/>
      <c r="DZ662" s="26"/>
      <c r="EA662" s="11"/>
      <c r="EB662" s="29"/>
      <c r="EC662" s="28"/>
      <c r="ED662" s="30"/>
      <c r="EE662" s="30" t="str">
        <f ca="1">IFERROR(__xludf.DUMMYFUNCTION("iferror(index(filter('Internal -- Trademark Countries'!E$2:E1000, (AM662 = 'Internal -- Trademark Countries'!B$2:B1000) + (AM662 = 'Internal -- Trademark Countries'!C$2:C1000) + (AM662 = 'Internal -- Trademark Countries'!D$2:D1000)), 1))"),"")</f>
        <v/>
      </c>
      <c r="EF662" s="30" t="e">
        <f ca="1">_xludf.ifs(AM662="", "", COUNTIF('Internal -- Trademark Countries'!B:B,AM662) &gt; 0, "polity_shortest_name", COUNTIF('Internal -- Trademark Countries'!C:C,AM662) &gt; 0, "polity_full_name", COUNTIF('Internal -- Trademark Countries'!D:D,AM662) &gt; 0, "polity_common_name", COUNTIF('Internal -- Trademark Countries'!E:E,AM662) &gt; 0, "shortest_name", COUNTIF('Internal -- Trademark Countries'!A:A,AM662) &gt; 0, "full_name", TRUE, "not a match")</f>
        <v>#NAME?</v>
      </c>
      <c r="EG662" s="30"/>
      <c r="EH662" s="30"/>
      <c r="EI662" s="30"/>
      <c r="EJ662" s="30"/>
      <c r="EK662" s="30" t="str">
        <f t="shared" si="4"/>
        <v/>
      </c>
    </row>
    <row r="663" spans="1:141" ht="16.5">
      <c r="A663" s="11"/>
      <c r="B663" s="11"/>
      <c r="C663" s="11"/>
      <c r="D663" s="11"/>
      <c r="E663" s="11"/>
      <c r="F663" s="11"/>
      <c r="G663" s="11"/>
      <c r="H663" s="11"/>
      <c r="I663" s="11"/>
      <c r="J663" s="11"/>
      <c r="K663" s="27"/>
      <c r="L663" s="11"/>
      <c r="M663" s="11"/>
      <c r="N663" s="11"/>
      <c r="O663" s="11"/>
      <c r="P663" s="15"/>
      <c r="Q663" s="15"/>
      <c r="R663" s="15"/>
      <c r="S663" s="15"/>
      <c r="T663" s="15"/>
      <c r="U663" s="15"/>
      <c r="V663" s="15"/>
      <c r="W663" s="47"/>
      <c r="X663" s="11"/>
      <c r="Y663" s="48"/>
      <c r="Z663" s="11"/>
      <c r="AA663" s="48"/>
      <c r="AB663" s="11"/>
      <c r="AC663" s="48"/>
      <c r="AD663" s="11"/>
      <c r="AE663" s="47"/>
      <c r="AF663" s="11"/>
      <c r="AG663" s="48"/>
      <c r="AH663" s="11"/>
      <c r="AI663" s="48"/>
      <c r="AJ663" s="11"/>
      <c r="AK663" s="48"/>
      <c r="AL663" s="11"/>
      <c r="AM663" s="49"/>
      <c r="AN663" s="49"/>
      <c r="AO663" s="11"/>
      <c r="AP663" s="11"/>
      <c r="AQ663" s="28" t="b">
        <f>IF(COUNTIF(SmartStatus!A$2:A1000, AM663) &gt; 2, TRUE, FALSE)</f>
        <v>0</v>
      </c>
      <c r="AR663" s="29" t="str">
        <f ca="1">IFERROR(__xludf.DUMMYFUNCTION("iferror(if(regexmatch(AO663, ""(?i)^registered""), if(EE663 &lt;&gt; ""polity_shortest_name"", ""CHECK_POLITY"", index(filter(SmartStatus!B$2:B1000, AM663 = SmartStatus!A$2:A1000, not(SmartStatus!C$2:C1000), (isblank(SmartStatus!D$2:D1000)) + ((P663 &lt;&gt; """") * "&amp;"(P663 &lt; SmartStatus!D$2:D1000)), (isblank(SmartStatus!E$2:E1000)) + ((P663 &lt;&gt; """") * (P663 &gt;= SmartStatus!E$2:E1000)), (isblank(SmartStatus!F$2:F1000)) + (((Q663 &lt;&gt; """") * (Q663 &lt; SmartStatus!F$2:F1000)) + ((P663 &lt;&gt; """") * (date(year(P663) + 3, month(P"&amp;"663), day(P663)) &lt; SmartStatus!F$2:F1000))), (isblank(SmartStatus!G$2:G1000)) + (((Q663 &lt;&gt; """") * (Q663 &gt;= SmartStatus!G$2:G1000)) + ((P663 &lt;&gt; """") * (P663 &gt;= SmartStatus!G$2:G1000)))), if(or(regexmatch(B663, ""(?i)^ir [a-z]+ designation$""), N663 &lt;&gt; """&amp;"""), 1, 2))), """"), ""NO_MATCH"")"),"")</f>
        <v/>
      </c>
      <c r="AS663" s="11"/>
      <c r="AT663" s="15"/>
      <c r="AU663" s="11"/>
      <c r="AV663" s="11"/>
      <c r="AW663" s="15"/>
      <c r="AX663" s="15"/>
      <c r="AY663" s="15"/>
      <c r="AZ663" s="11"/>
      <c r="BA663" s="15"/>
      <c r="BB663" s="11"/>
      <c r="BC663" s="11"/>
      <c r="BD663" s="15"/>
      <c r="BE663" s="11"/>
      <c r="BF663" s="11"/>
      <c r="BG663" s="15"/>
      <c r="BH663" s="15"/>
      <c r="BI663" s="15"/>
      <c r="BJ663" s="11"/>
      <c r="BK663" s="15"/>
      <c r="BL663" s="11"/>
      <c r="BM663" s="11"/>
      <c r="BN663" s="15"/>
      <c r="BO663" s="11"/>
      <c r="BP663" s="11"/>
      <c r="BQ663" s="15"/>
      <c r="BR663" s="15"/>
      <c r="BS663" s="15"/>
      <c r="BT663" s="11"/>
      <c r="BU663" s="15"/>
      <c r="BV663" s="11"/>
      <c r="BW663" s="11"/>
      <c r="BX663" s="15"/>
      <c r="BY663" s="11"/>
      <c r="BZ663" s="11"/>
      <c r="CA663" s="15"/>
      <c r="CB663" s="11"/>
      <c r="CC663" s="15"/>
      <c r="CD663" s="11"/>
      <c r="CE663" s="15"/>
      <c r="CF663" s="11"/>
      <c r="CG663" s="11"/>
      <c r="CH663" s="15"/>
      <c r="CI663" s="11"/>
      <c r="CJ663" s="11"/>
      <c r="CK663" s="15"/>
      <c r="CL663" s="11"/>
      <c r="CM663" s="11"/>
      <c r="CN663" s="11"/>
      <c r="CO663" s="11"/>
      <c r="CP663" s="28"/>
      <c r="CQ663" s="28"/>
      <c r="CR663" s="11"/>
      <c r="CS663" s="29"/>
      <c r="CT663" s="11"/>
      <c r="CU663" s="11"/>
      <c r="CV663" s="11"/>
      <c r="CW663" s="11"/>
      <c r="CX663" s="11"/>
      <c r="CY663" s="11"/>
      <c r="CZ663" s="11"/>
      <c r="DA663" s="28"/>
      <c r="DB663" s="28"/>
      <c r="DC663" s="11"/>
      <c r="DD663" s="29"/>
      <c r="DE663" s="11"/>
      <c r="DF663" s="11"/>
      <c r="DG663" s="11"/>
      <c r="DH663" s="11"/>
      <c r="DI663" s="11"/>
      <c r="DJ663" s="11"/>
      <c r="DK663" s="26"/>
      <c r="DL663" s="11"/>
      <c r="DM663" s="29"/>
      <c r="DN663" s="28"/>
      <c r="DO663" s="11"/>
      <c r="DP663" s="11"/>
      <c r="DQ663" s="11"/>
      <c r="DR663" s="29"/>
      <c r="DS663" s="28"/>
      <c r="DT663" s="11"/>
      <c r="DU663" s="26"/>
      <c r="DV663" s="11"/>
      <c r="DW663" s="29"/>
      <c r="DX663" s="28"/>
      <c r="DY663" s="11"/>
      <c r="DZ663" s="26"/>
      <c r="EA663" s="11"/>
      <c r="EB663" s="29"/>
      <c r="EC663" s="28"/>
      <c r="ED663" s="30"/>
      <c r="EE663" s="30" t="str">
        <f ca="1">IFERROR(__xludf.DUMMYFUNCTION("iferror(index(filter('Internal -- Trademark Countries'!E$2:E1000, (AM663 = 'Internal -- Trademark Countries'!B$2:B1000) + (AM663 = 'Internal -- Trademark Countries'!C$2:C1000) + (AM663 = 'Internal -- Trademark Countries'!D$2:D1000)), 1))"),"")</f>
        <v/>
      </c>
      <c r="EF663" s="30" t="e">
        <f ca="1">_xludf.ifs(AM663="", "", COUNTIF('Internal -- Trademark Countries'!B:B,AM663) &gt; 0, "polity_shortest_name", COUNTIF('Internal -- Trademark Countries'!C:C,AM663) &gt; 0, "polity_full_name", COUNTIF('Internal -- Trademark Countries'!D:D,AM663) &gt; 0, "polity_common_name", COUNTIF('Internal -- Trademark Countries'!E:E,AM663) &gt; 0, "shortest_name", COUNTIF('Internal -- Trademark Countries'!A:A,AM663) &gt; 0, "full_name", TRUE, "not a match")</f>
        <v>#NAME?</v>
      </c>
      <c r="EG663" s="30"/>
      <c r="EH663" s="30"/>
      <c r="EI663" s="30"/>
      <c r="EJ663" s="30"/>
      <c r="EK663" s="30" t="str">
        <f t="shared" si="4"/>
        <v/>
      </c>
    </row>
    <row r="664" spans="1:141" ht="16.5">
      <c r="A664" s="11"/>
      <c r="B664" s="11"/>
      <c r="C664" s="11"/>
      <c r="D664" s="11"/>
      <c r="E664" s="11"/>
      <c r="F664" s="11"/>
      <c r="G664" s="11"/>
      <c r="H664" s="11"/>
      <c r="I664" s="11"/>
      <c r="J664" s="11"/>
      <c r="K664" s="27"/>
      <c r="L664" s="11"/>
      <c r="M664" s="11"/>
      <c r="N664" s="11"/>
      <c r="O664" s="11"/>
      <c r="P664" s="15"/>
      <c r="Q664" s="15"/>
      <c r="R664" s="15"/>
      <c r="S664" s="15"/>
      <c r="T664" s="15"/>
      <c r="U664" s="15"/>
      <c r="V664" s="15"/>
      <c r="W664" s="47"/>
      <c r="X664" s="11"/>
      <c r="Y664" s="48"/>
      <c r="Z664" s="11"/>
      <c r="AA664" s="48"/>
      <c r="AB664" s="11"/>
      <c r="AC664" s="48"/>
      <c r="AD664" s="11"/>
      <c r="AE664" s="47"/>
      <c r="AF664" s="11"/>
      <c r="AG664" s="48"/>
      <c r="AH664" s="11"/>
      <c r="AI664" s="48"/>
      <c r="AJ664" s="11"/>
      <c r="AK664" s="48"/>
      <c r="AL664" s="11"/>
      <c r="AM664" s="49"/>
      <c r="AN664" s="49"/>
      <c r="AO664" s="11"/>
      <c r="AP664" s="11"/>
      <c r="AQ664" s="28" t="b">
        <f>IF(COUNTIF(SmartStatus!A$2:A1000, AM664) &gt; 2, TRUE, FALSE)</f>
        <v>0</v>
      </c>
      <c r="AR664" s="29" t="str">
        <f ca="1">IFERROR(__xludf.DUMMYFUNCTION("iferror(if(regexmatch(AO664, ""(?i)^registered""), if(EE664 &lt;&gt; ""polity_shortest_name"", ""CHECK_POLITY"", index(filter(SmartStatus!B$2:B1000, AM664 = SmartStatus!A$2:A1000, not(SmartStatus!C$2:C1000), (isblank(SmartStatus!D$2:D1000)) + ((P664 &lt;&gt; """") * "&amp;"(P664 &lt; SmartStatus!D$2:D1000)), (isblank(SmartStatus!E$2:E1000)) + ((P664 &lt;&gt; """") * (P664 &gt;= SmartStatus!E$2:E1000)), (isblank(SmartStatus!F$2:F1000)) + (((Q664 &lt;&gt; """") * (Q664 &lt; SmartStatus!F$2:F1000)) + ((P664 &lt;&gt; """") * (date(year(P664) + 3, month(P"&amp;"664), day(P664)) &lt; SmartStatus!F$2:F1000))), (isblank(SmartStatus!G$2:G1000)) + (((Q664 &lt;&gt; """") * (Q664 &gt;= SmartStatus!G$2:G1000)) + ((P664 &lt;&gt; """") * (P664 &gt;= SmartStatus!G$2:G1000)))), if(or(regexmatch(B664, ""(?i)^ir [a-z]+ designation$""), N664 &lt;&gt; """&amp;"""), 1, 2))), """"), ""NO_MATCH"")"),"")</f>
        <v/>
      </c>
      <c r="AS664" s="11"/>
      <c r="AT664" s="15"/>
      <c r="AU664" s="11"/>
      <c r="AV664" s="11"/>
      <c r="AW664" s="15"/>
      <c r="AX664" s="15"/>
      <c r="AY664" s="15"/>
      <c r="AZ664" s="11"/>
      <c r="BA664" s="15"/>
      <c r="BB664" s="11"/>
      <c r="BC664" s="11"/>
      <c r="BD664" s="15"/>
      <c r="BE664" s="11"/>
      <c r="BF664" s="11"/>
      <c r="BG664" s="15"/>
      <c r="BH664" s="15"/>
      <c r="BI664" s="15"/>
      <c r="BJ664" s="11"/>
      <c r="BK664" s="15"/>
      <c r="BL664" s="11"/>
      <c r="BM664" s="11"/>
      <c r="BN664" s="15"/>
      <c r="BO664" s="11"/>
      <c r="BP664" s="11"/>
      <c r="BQ664" s="15"/>
      <c r="BR664" s="15"/>
      <c r="BS664" s="15"/>
      <c r="BT664" s="11"/>
      <c r="BU664" s="15"/>
      <c r="BV664" s="11"/>
      <c r="BW664" s="11"/>
      <c r="BX664" s="15"/>
      <c r="BY664" s="11"/>
      <c r="BZ664" s="11"/>
      <c r="CA664" s="15"/>
      <c r="CB664" s="11"/>
      <c r="CC664" s="15"/>
      <c r="CD664" s="11"/>
      <c r="CE664" s="15"/>
      <c r="CF664" s="11"/>
      <c r="CG664" s="11"/>
      <c r="CH664" s="15"/>
      <c r="CI664" s="11"/>
      <c r="CJ664" s="11"/>
      <c r="CK664" s="15"/>
      <c r="CL664" s="11"/>
      <c r="CM664" s="11"/>
      <c r="CN664" s="11"/>
      <c r="CO664" s="11"/>
      <c r="CP664" s="28"/>
      <c r="CQ664" s="28"/>
      <c r="CR664" s="11"/>
      <c r="CS664" s="29"/>
      <c r="CT664" s="11"/>
      <c r="CU664" s="11"/>
      <c r="CV664" s="11"/>
      <c r="CW664" s="11"/>
      <c r="CX664" s="11"/>
      <c r="CY664" s="11"/>
      <c r="CZ664" s="11"/>
      <c r="DA664" s="28"/>
      <c r="DB664" s="28"/>
      <c r="DC664" s="11"/>
      <c r="DD664" s="29"/>
      <c r="DE664" s="11"/>
      <c r="DF664" s="11"/>
      <c r="DG664" s="11"/>
      <c r="DH664" s="11"/>
      <c r="DI664" s="11"/>
      <c r="DJ664" s="11"/>
      <c r="DK664" s="26"/>
      <c r="DL664" s="11"/>
      <c r="DM664" s="29"/>
      <c r="DN664" s="28"/>
      <c r="DO664" s="11"/>
      <c r="DP664" s="11"/>
      <c r="DQ664" s="11"/>
      <c r="DR664" s="29"/>
      <c r="DS664" s="28"/>
      <c r="DT664" s="11"/>
      <c r="DU664" s="26"/>
      <c r="DV664" s="11"/>
      <c r="DW664" s="29"/>
      <c r="DX664" s="28"/>
      <c r="DY664" s="11"/>
      <c r="DZ664" s="26"/>
      <c r="EA664" s="11"/>
      <c r="EB664" s="29"/>
      <c r="EC664" s="28"/>
      <c r="ED664" s="30"/>
      <c r="EE664" s="30" t="str">
        <f ca="1">IFERROR(__xludf.DUMMYFUNCTION("iferror(index(filter('Internal -- Trademark Countries'!E$2:E1000, (AM664 = 'Internal -- Trademark Countries'!B$2:B1000) + (AM664 = 'Internal -- Trademark Countries'!C$2:C1000) + (AM664 = 'Internal -- Trademark Countries'!D$2:D1000)), 1))"),"")</f>
        <v/>
      </c>
      <c r="EF664" s="30" t="e">
        <f ca="1">_xludf.ifs(AM664="", "", COUNTIF('Internal -- Trademark Countries'!B:B,AM664) &gt; 0, "polity_shortest_name", COUNTIF('Internal -- Trademark Countries'!C:C,AM664) &gt; 0, "polity_full_name", COUNTIF('Internal -- Trademark Countries'!D:D,AM664) &gt; 0, "polity_common_name", COUNTIF('Internal -- Trademark Countries'!E:E,AM664) &gt; 0, "shortest_name", COUNTIF('Internal -- Trademark Countries'!A:A,AM664) &gt; 0, "full_name", TRUE, "not a match")</f>
        <v>#NAME?</v>
      </c>
      <c r="EG664" s="30"/>
      <c r="EH664" s="30"/>
      <c r="EI664" s="30"/>
      <c r="EJ664" s="30"/>
      <c r="EK664" s="30" t="str">
        <f t="shared" si="4"/>
        <v/>
      </c>
    </row>
    <row r="665" spans="1:141" ht="16.5">
      <c r="A665" s="11"/>
      <c r="B665" s="11"/>
      <c r="C665" s="11"/>
      <c r="D665" s="11"/>
      <c r="E665" s="11"/>
      <c r="F665" s="11"/>
      <c r="G665" s="11"/>
      <c r="H665" s="11"/>
      <c r="I665" s="11"/>
      <c r="J665" s="11"/>
      <c r="K665" s="27"/>
      <c r="L665" s="11"/>
      <c r="M665" s="11"/>
      <c r="N665" s="11"/>
      <c r="O665" s="11"/>
      <c r="P665" s="15"/>
      <c r="Q665" s="15"/>
      <c r="R665" s="15"/>
      <c r="S665" s="15"/>
      <c r="T665" s="15"/>
      <c r="U665" s="15"/>
      <c r="V665" s="15"/>
      <c r="W665" s="47"/>
      <c r="X665" s="11"/>
      <c r="Y665" s="48"/>
      <c r="Z665" s="11"/>
      <c r="AA665" s="48"/>
      <c r="AB665" s="11"/>
      <c r="AC665" s="48"/>
      <c r="AD665" s="11"/>
      <c r="AE665" s="47"/>
      <c r="AF665" s="11"/>
      <c r="AG665" s="48"/>
      <c r="AH665" s="11"/>
      <c r="AI665" s="48"/>
      <c r="AJ665" s="11"/>
      <c r="AK665" s="48"/>
      <c r="AL665" s="11"/>
      <c r="AM665" s="49"/>
      <c r="AN665" s="49"/>
      <c r="AO665" s="11"/>
      <c r="AP665" s="11"/>
      <c r="AQ665" s="28" t="b">
        <f>IF(COUNTIF(SmartStatus!A$2:A1000, AM665) &gt; 2, TRUE, FALSE)</f>
        <v>0</v>
      </c>
      <c r="AR665" s="29" t="str">
        <f ca="1">IFERROR(__xludf.DUMMYFUNCTION("iferror(if(regexmatch(AO665, ""(?i)^registered""), if(EE665 &lt;&gt; ""polity_shortest_name"", ""CHECK_POLITY"", index(filter(SmartStatus!B$2:B1000, AM665 = SmartStatus!A$2:A1000, not(SmartStatus!C$2:C1000), (isblank(SmartStatus!D$2:D1000)) + ((P665 &lt;&gt; """") * "&amp;"(P665 &lt; SmartStatus!D$2:D1000)), (isblank(SmartStatus!E$2:E1000)) + ((P665 &lt;&gt; """") * (P665 &gt;= SmartStatus!E$2:E1000)), (isblank(SmartStatus!F$2:F1000)) + (((Q665 &lt;&gt; """") * (Q665 &lt; SmartStatus!F$2:F1000)) + ((P665 &lt;&gt; """") * (date(year(P665) + 3, month(P"&amp;"665), day(P665)) &lt; SmartStatus!F$2:F1000))), (isblank(SmartStatus!G$2:G1000)) + (((Q665 &lt;&gt; """") * (Q665 &gt;= SmartStatus!G$2:G1000)) + ((P665 &lt;&gt; """") * (P665 &gt;= SmartStatus!G$2:G1000)))), if(or(regexmatch(B665, ""(?i)^ir [a-z]+ designation$""), N665 &lt;&gt; """&amp;"""), 1, 2))), """"), ""NO_MATCH"")"),"")</f>
        <v/>
      </c>
      <c r="AS665" s="11"/>
      <c r="AT665" s="15"/>
      <c r="AU665" s="11"/>
      <c r="AV665" s="11"/>
      <c r="AW665" s="15"/>
      <c r="AX665" s="15"/>
      <c r="AY665" s="15"/>
      <c r="AZ665" s="11"/>
      <c r="BA665" s="15"/>
      <c r="BB665" s="11"/>
      <c r="BC665" s="11"/>
      <c r="BD665" s="15"/>
      <c r="BE665" s="11"/>
      <c r="BF665" s="11"/>
      <c r="BG665" s="15"/>
      <c r="BH665" s="15"/>
      <c r="BI665" s="15"/>
      <c r="BJ665" s="11"/>
      <c r="BK665" s="15"/>
      <c r="BL665" s="11"/>
      <c r="BM665" s="11"/>
      <c r="BN665" s="15"/>
      <c r="BO665" s="11"/>
      <c r="BP665" s="11"/>
      <c r="BQ665" s="15"/>
      <c r="BR665" s="15"/>
      <c r="BS665" s="15"/>
      <c r="BT665" s="11"/>
      <c r="BU665" s="15"/>
      <c r="BV665" s="11"/>
      <c r="BW665" s="11"/>
      <c r="BX665" s="15"/>
      <c r="BY665" s="11"/>
      <c r="BZ665" s="11"/>
      <c r="CA665" s="15"/>
      <c r="CB665" s="11"/>
      <c r="CC665" s="15"/>
      <c r="CD665" s="11"/>
      <c r="CE665" s="15"/>
      <c r="CF665" s="11"/>
      <c r="CG665" s="11"/>
      <c r="CH665" s="15"/>
      <c r="CI665" s="11"/>
      <c r="CJ665" s="11"/>
      <c r="CK665" s="15"/>
      <c r="CL665" s="11"/>
      <c r="CM665" s="11"/>
      <c r="CN665" s="11"/>
      <c r="CO665" s="11"/>
      <c r="CP665" s="28"/>
      <c r="CQ665" s="28"/>
      <c r="CR665" s="11"/>
      <c r="CS665" s="29"/>
      <c r="CT665" s="11"/>
      <c r="CU665" s="11"/>
      <c r="CV665" s="11"/>
      <c r="CW665" s="11"/>
      <c r="CX665" s="11"/>
      <c r="CY665" s="11"/>
      <c r="CZ665" s="11"/>
      <c r="DA665" s="28"/>
      <c r="DB665" s="28"/>
      <c r="DC665" s="11"/>
      <c r="DD665" s="29"/>
      <c r="DE665" s="11"/>
      <c r="DF665" s="11"/>
      <c r="DG665" s="11"/>
      <c r="DH665" s="11"/>
      <c r="DI665" s="11"/>
      <c r="DJ665" s="11"/>
      <c r="DK665" s="26"/>
      <c r="DL665" s="11"/>
      <c r="DM665" s="29"/>
      <c r="DN665" s="28"/>
      <c r="DO665" s="11"/>
      <c r="DP665" s="11"/>
      <c r="DQ665" s="11"/>
      <c r="DR665" s="29"/>
      <c r="DS665" s="28"/>
      <c r="DT665" s="11"/>
      <c r="DU665" s="26"/>
      <c r="DV665" s="11"/>
      <c r="DW665" s="29"/>
      <c r="DX665" s="28"/>
      <c r="DY665" s="11"/>
      <c r="DZ665" s="26"/>
      <c r="EA665" s="11"/>
      <c r="EB665" s="29"/>
      <c r="EC665" s="28"/>
      <c r="ED665" s="30"/>
      <c r="EE665" s="30" t="str">
        <f ca="1">IFERROR(__xludf.DUMMYFUNCTION("iferror(index(filter('Internal -- Trademark Countries'!E$2:E1000, (AM665 = 'Internal -- Trademark Countries'!B$2:B1000) + (AM665 = 'Internal -- Trademark Countries'!C$2:C1000) + (AM665 = 'Internal -- Trademark Countries'!D$2:D1000)), 1))"),"")</f>
        <v/>
      </c>
      <c r="EF665" s="30" t="e">
        <f ca="1">_xludf.ifs(AM665="", "", COUNTIF('Internal -- Trademark Countries'!B:B,AM665) &gt; 0, "polity_shortest_name", COUNTIF('Internal -- Trademark Countries'!C:C,AM665) &gt; 0, "polity_full_name", COUNTIF('Internal -- Trademark Countries'!D:D,AM665) &gt; 0, "polity_common_name", COUNTIF('Internal -- Trademark Countries'!E:E,AM665) &gt; 0, "shortest_name", COUNTIF('Internal -- Trademark Countries'!A:A,AM665) &gt; 0, "full_name", TRUE, "not a match")</f>
        <v>#NAME?</v>
      </c>
      <c r="EG665" s="30"/>
      <c r="EH665" s="30"/>
      <c r="EI665" s="30"/>
      <c r="EJ665" s="30"/>
      <c r="EK665" s="30" t="str">
        <f t="shared" si="4"/>
        <v/>
      </c>
    </row>
    <row r="666" spans="1:141" ht="16.5">
      <c r="A666" s="11"/>
      <c r="B666" s="11"/>
      <c r="C666" s="11"/>
      <c r="D666" s="11"/>
      <c r="E666" s="11"/>
      <c r="F666" s="11"/>
      <c r="G666" s="11"/>
      <c r="H666" s="11"/>
      <c r="I666" s="11"/>
      <c r="J666" s="11"/>
      <c r="K666" s="27"/>
      <c r="L666" s="11"/>
      <c r="M666" s="11"/>
      <c r="N666" s="11"/>
      <c r="O666" s="11"/>
      <c r="P666" s="15"/>
      <c r="Q666" s="15"/>
      <c r="R666" s="15"/>
      <c r="S666" s="15"/>
      <c r="T666" s="15"/>
      <c r="U666" s="15"/>
      <c r="V666" s="15"/>
      <c r="W666" s="47"/>
      <c r="X666" s="11"/>
      <c r="Y666" s="48"/>
      <c r="Z666" s="11"/>
      <c r="AA666" s="48"/>
      <c r="AB666" s="11"/>
      <c r="AC666" s="48"/>
      <c r="AD666" s="11"/>
      <c r="AE666" s="47"/>
      <c r="AF666" s="11"/>
      <c r="AG666" s="48"/>
      <c r="AH666" s="11"/>
      <c r="AI666" s="48"/>
      <c r="AJ666" s="11"/>
      <c r="AK666" s="48"/>
      <c r="AL666" s="11"/>
      <c r="AM666" s="49"/>
      <c r="AN666" s="49"/>
      <c r="AO666" s="11"/>
      <c r="AP666" s="11"/>
      <c r="AQ666" s="28" t="b">
        <f>IF(COUNTIF(SmartStatus!A$2:A1000, AM666) &gt; 2, TRUE, FALSE)</f>
        <v>0</v>
      </c>
      <c r="AR666" s="29" t="str">
        <f ca="1">IFERROR(__xludf.DUMMYFUNCTION("iferror(if(regexmatch(AO666, ""(?i)^registered""), if(EE666 &lt;&gt; ""polity_shortest_name"", ""CHECK_POLITY"", index(filter(SmartStatus!B$2:B1000, AM666 = SmartStatus!A$2:A1000, not(SmartStatus!C$2:C1000), (isblank(SmartStatus!D$2:D1000)) + ((P666 &lt;&gt; """") * "&amp;"(P666 &lt; SmartStatus!D$2:D1000)), (isblank(SmartStatus!E$2:E1000)) + ((P666 &lt;&gt; """") * (P666 &gt;= SmartStatus!E$2:E1000)), (isblank(SmartStatus!F$2:F1000)) + (((Q666 &lt;&gt; """") * (Q666 &lt; SmartStatus!F$2:F1000)) + ((P666 &lt;&gt; """") * (date(year(P666) + 3, month(P"&amp;"666), day(P666)) &lt; SmartStatus!F$2:F1000))), (isblank(SmartStatus!G$2:G1000)) + (((Q666 &lt;&gt; """") * (Q666 &gt;= SmartStatus!G$2:G1000)) + ((P666 &lt;&gt; """") * (P666 &gt;= SmartStatus!G$2:G1000)))), if(or(regexmatch(B666, ""(?i)^ir [a-z]+ designation$""), N666 &lt;&gt; """&amp;"""), 1, 2))), """"), ""NO_MATCH"")"),"")</f>
        <v/>
      </c>
      <c r="AS666" s="11"/>
      <c r="AT666" s="15"/>
      <c r="AU666" s="11"/>
      <c r="AV666" s="11"/>
      <c r="AW666" s="15"/>
      <c r="AX666" s="15"/>
      <c r="AY666" s="15"/>
      <c r="AZ666" s="11"/>
      <c r="BA666" s="15"/>
      <c r="BB666" s="11"/>
      <c r="BC666" s="11"/>
      <c r="BD666" s="15"/>
      <c r="BE666" s="11"/>
      <c r="BF666" s="11"/>
      <c r="BG666" s="15"/>
      <c r="BH666" s="15"/>
      <c r="BI666" s="15"/>
      <c r="BJ666" s="11"/>
      <c r="BK666" s="15"/>
      <c r="BL666" s="11"/>
      <c r="BM666" s="11"/>
      <c r="BN666" s="15"/>
      <c r="BO666" s="11"/>
      <c r="BP666" s="11"/>
      <c r="BQ666" s="15"/>
      <c r="BR666" s="15"/>
      <c r="BS666" s="15"/>
      <c r="BT666" s="11"/>
      <c r="BU666" s="15"/>
      <c r="BV666" s="11"/>
      <c r="BW666" s="11"/>
      <c r="BX666" s="15"/>
      <c r="BY666" s="11"/>
      <c r="BZ666" s="11"/>
      <c r="CA666" s="15"/>
      <c r="CB666" s="11"/>
      <c r="CC666" s="15"/>
      <c r="CD666" s="11"/>
      <c r="CE666" s="15"/>
      <c r="CF666" s="11"/>
      <c r="CG666" s="11"/>
      <c r="CH666" s="15"/>
      <c r="CI666" s="11"/>
      <c r="CJ666" s="11"/>
      <c r="CK666" s="15"/>
      <c r="CL666" s="11"/>
      <c r="CM666" s="11"/>
      <c r="CN666" s="11"/>
      <c r="CO666" s="11"/>
      <c r="CP666" s="28"/>
      <c r="CQ666" s="28"/>
      <c r="CR666" s="11"/>
      <c r="CS666" s="29"/>
      <c r="CT666" s="11"/>
      <c r="CU666" s="11"/>
      <c r="CV666" s="11"/>
      <c r="CW666" s="11"/>
      <c r="CX666" s="11"/>
      <c r="CY666" s="11"/>
      <c r="CZ666" s="11"/>
      <c r="DA666" s="28"/>
      <c r="DB666" s="28"/>
      <c r="DC666" s="11"/>
      <c r="DD666" s="29"/>
      <c r="DE666" s="11"/>
      <c r="DF666" s="11"/>
      <c r="DG666" s="11"/>
      <c r="DH666" s="11"/>
      <c r="DI666" s="11"/>
      <c r="DJ666" s="11"/>
      <c r="DK666" s="26"/>
      <c r="DL666" s="11"/>
      <c r="DM666" s="29"/>
      <c r="DN666" s="28"/>
      <c r="DO666" s="11"/>
      <c r="DP666" s="11"/>
      <c r="DQ666" s="11"/>
      <c r="DR666" s="29"/>
      <c r="DS666" s="28"/>
      <c r="DT666" s="11"/>
      <c r="DU666" s="26"/>
      <c r="DV666" s="11"/>
      <c r="DW666" s="29"/>
      <c r="DX666" s="28"/>
      <c r="DY666" s="11"/>
      <c r="DZ666" s="26"/>
      <c r="EA666" s="11"/>
      <c r="EB666" s="29"/>
      <c r="EC666" s="28"/>
      <c r="ED666" s="30"/>
      <c r="EE666" s="30" t="str">
        <f ca="1">IFERROR(__xludf.DUMMYFUNCTION("iferror(index(filter('Internal -- Trademark Countries'!E$2:E1000, (AM666 = 'Internal -- Trademark Countries'!B$2:B1000) + (AM666 = 'Internal -- Trademark Countries'!C$2:C1000) + (AM666 = 'Internal -- Trademark Countries'!D$2:D1000)), 1))"),"")</f>
        <v/>
      </c>
      <c r="EF666" s="30" t="e">
        <f ca="1">_xludf.ifs(AM666="", "", COUNTIF('Internal -- Trademark Countries'!B:B,AM666) &gt; 0, "polity_shortest_name", COUNTIF('Internal -- Trademark Countries'!C:C,AM666) &gt; 0, "polity_full_name", COUNTIF('Internal -- Trademark Countries'!D:D,AM666) &gt; 0, "polity_common_name", COUNTIF('Internal -- Trademark Countries'!E:E,AM666) &gt; 0, "shortest_name", COUNTIF('Internal -- Trademark Countries'!A:A,AM666) &gt; 0, "full_name", TRUE, "not a match")</f>
        <v>#NAME?</v>
      </c>
      <c r="EG666" s="30"/>
      <c r="EH666" s="30"/>
      <c r="EI666" s="30"/>
      <c r="EJ666" s="30"/>
      <c r="EK666" s="30" t="str">
        <f t="shared" si="4"/>
        <v/>
      </c>
    </row>
    <row r="667" spans="1:141" ht="16.5">
      <c r="A667" s="11"/>
      <c r="B667" s="11"/>
      <c r="C667" s="11"/>
      <c r="D667" s="11"/>
      <c r="E667" s="11"/>
      <c r="F667" s="11"/>
      <c r="G667" s="11"/>
      <c r="H667" s="11"/>
      <c r="I667" s="11"/>
      <c r="J667" s="11"/>
      <c r="K667" s="27"/>
      <c r="L667" s="11"/>
      <c r="M667" s="11"/>
      <c r="N667" s="11"/>
      <c r="O667" s="11"/>
      <c r="P667" s="15"/>
      <c r="Q667" s="15"/>
      <c r="R667" s="15"/>
      <c r="S667" s="15"/>
      <c r="T667" s="15"/>
      <c r="U667" s="15"/>
      <c r="V667" s="15"/>
      <c r="W667" s="47"/>
      <c r="X667" s="11"/>
      <c r="Y667" s="48"/>
      <c r="Z667" s="11"/>
      <c r="AA667" s="48"/>
      <c r="AB667" s="11"/>
      <c r="AC667" s="48"/>
      <c r="AD667" s="11"/>
      <c r="AE667" s="47"/>
      <c r="AF667" s="11"/>
      <c r="AG667" s="48"/>
      <c r="AH667" s="11"/>
      <c r="AI667" s="48"/>
      <c r="AJ667" s="11"/>
      <c r="AK667" s="48"/>
      <c r="AL667" s="11"/>
      <c r="AM667" s="49"/>
      <c r="AN667" s="49"/>
      <c r="AO667" s="11"/>
      <c r="AP667" s="11"/>
      <c r="AQ667" s="28" t="b">
        <f>IF(COUNTIF(SmartStatus!A$2:A1000, AM667) &gt; 2, TRUE, FALSE)</f>
        <v>0</v>
      </c>
      <c r="AR667" s="29" t="str">
        <f ca="1">IFERROR(__xludf.DUMMYFUNCTION("iferror(if(regexmatch(AO667, ""(?i)^registered""), if(EE667 &lt;&gt; ""polity_shortest_name"", ""CHECK_POLITY"", index(filter(SmartStatus!B$2:B1000, AM667 = SmartStatus!A$2:A1000, not(SmartStatus!C$2:C1000), (isblank(SmartStatus!D$2:D1000)) + ((P667 &lt;&gt; """") * "&amp;"(P667 &lt; SmartStatus!D$2:D1000)), (isblank(SmartStatus!E$2:E1000)) + ((P667 &lt;&gt; """") * (P667 &gt;= SmartStatus!E$2:E1000)), (isblank(SmartStatus!F$2:F1000)) + (((Q667 &lt;&gt; """") * (Q667 &lt; SmartStatus!F$2:F1000)) + ((P667 &lt;&gt; """") * (date(year(P667) + 3, month(P"&amp;"667), day(P667)) &lt; SmartStatus!F$2:F1000))), (isblank(SmartStatus!G$2:G1000)) + (((Q667 &lt;&gt; """") * (Q667 &gt;= SmartStatus!G$2:G1000)) + ((P667 &lt;&gt; """") * (P667 &gt;= SmartStatus!G$2:G1000)))), if(or(regexmatch(B667, ""(?i)^ir [a-z]+ designation$""), N667 &lt;&gt; """&amp;"""), 1, 2))), """"), ""NO_MATCH"")"),"")</f>
        <v/>
      </c>
      <c r="AS667" s="11"/>
      <c r="AT667" s="15"/>
      <c r="AU667" s="11"/>
      <c r="AV667" s="11"/>
      <c r="AW667" s="15"/>
      <c r="AX667" s="15"/>
      <c r="AY667" s="15"/>
      <c r="AZ667" s="11"/>
      <c r="BA667" s="15"/>
      <c r="BB667" s="11"/>
      <c r="BC667" s="11"/>
      <c r="BD667" s="15"/>
      <c r="BE667" s="11"/>
      <c r="BF667" s="11"/>
      <c r="BG667" s="15"/>
      <c r="BH667" s="15"/>
      <c r="BI667" s="15"/>
      <c r="BJ667" s="11"/>
      <c r="BK667" s="15"/>
      <c r="BL667" s="11"/>
      <c r="BM667" s="11"/>
      <c r="BN667" s="15"/>
      <c r="BO667" s="11"/>
      <c r="BP667" s="11"/>
      <c r="BQ667" s="15"/>
      <c r="BR667" s="15"/>
      <c r="BS667" s="15"/>
      <c r="BT667" s="11"/>
      <c r="BU667" s="15"/>
      <c r="BV667" s="11"/>
      <c r="BW667" s="11"/>
      <c r="BX667" s="15"/>
      <c r="BY667" s="11"/>
      <c r="BZ667" s="11"/>
      <c r="CA667" s="15"/>
      <c r="CB667" s="11"/>
      <c r="CC667" s="15"/>
      <c r="CD667" s="11"/>
      <c r="CE667" s="15"/>
      <c r="CF667" s="11"/>
      <c r="CG667" s="11"/>
      <c r="CH667" s="15"/>
      <c r="CI667" s="11"/>
      <c r="CJ667" s="11"/>
      <c r="CK667" s="15"/>
      <c r="CL667" s="11"/>
      <c r="CM667" s="11"/>
      <c r="CN667" s="11"/>
      <c r="CO667" s="11"/>
      <c r="CP667" s="28"/>
      <c r="CQ667" s="28"/>
      <c r="CR667" s="11"/>
      <c r="CS667" s="29"/>
      <c r="CT667" s="11"/>
      <c r="CU667" s="11"/>
      <c r="CV667" s="11"/>
      <c r="CW667" s="11"/>
      <c r="CX667" s="11"/>
      <c r="CY667" s="11"/>
      <c r="CZ667" s="11"/>
      <c r="DA667" s="28"/>
      <c r="DB667" s="28"/>
      <c r="DC667" s="11"/>
      <c r="DD667" s="29"/>
      <c r="DE667" s="11"/>
      <c r="DF667" s="11"/>
      <c r="DG667" s="11"/>
      <c r="DH667" s="11"/>
      <c r="DI667" s="11"/>
      <c r="DJ667" s="11"/>
      <c r="DK667" s="26"/>
      <c r="DL667" s="11"/>
      <c r="DM667" s="29"/>
      <c r="DN667" s="28"/>
      <c r="DO667" s="11"/>
      <c r="DP667" s="11"/>
      <c r="DQ667" s="11"/>
      <c r="DR667" s="29"/>
      <c r="DS667" s="28"/>
      <c r="DT667" s="11"/>
      <c r="DU667" s="26"/>
      <c r="DV667" s="11"/>
      <c r="DW667" s="29"/>
      <c r="DX667" s="28"/>
      <c r="DY667" s="11"/>
      <c r="DZ667" s="26"/>
      <c r="EA667" s="11"/>
      <c r="EB667" s="29"/>
      <c r="EC667" s="28"/>
      <c r="ED667" s="30"/>
      <c r="EE667" s="30" t="str">
        <f ca="1">IFERROR(__xludf.DUMMYFUNCTION("iferror(index(filter('Internal -- Trademark Countries'!E$2:E1000, (AM667 = 'Internal -- Trademark Countries'!B$2:B1000) + (AM667 = 'Internal -- Trademark Countries'!C$2:C1000) + (AM667 = 'Internal -- Trademark Countries'!D$2:D1000)), 1))"),"")</f>
        <v/>
      </c>
      <c r="EF667" s="30" t="e">
        <f ca="1">_xludf.ifs(AM667="", "", COUNTIF('Internal -- Trademark Countries'!B:B,AM667) &gt; 0, "polity_shortest_name", COUNTIF('Internal -- Trademark Countries'!C:C,AM667) &gt; 0, "polity_full_name", COUNTIF('Internal -- Trademark Countries'!D:D,AM667) &gt; 0, "polity_common_name", COUNTIF('Internal -- Trademark Countries'!E:E,AM667) &gt; 0, "shortest_name", COUNTIF('Internal -- Trademark Countries'!A:A,AM667) &gt; 0, "full_name", TRUE, "not a match")</f>
        <v>#NAME?</v>
      </c>
      <c r="EG667" s="30"/>
      <c r="EH667" s="30"/>
      <c r="EI667" s="30"/>
      <c r="EJ667" s="30"/>
      <c r="EK667" s="30" t="str">
        <f t="shared" si="4"/>
        <v/>
      </c>
    </row>
    <row r="668" spans="1:141" ht="16.5">
      <c r="A668" s="11"/>
      <c r="B668" s="11"/>
      <c r="C668" s="11"/>
      <c r="D668" s="11"/>
      <c r="E668" s="11"/>
      <c r="F668" s="11"/>
      <c r="G668" s="11"/>
      <c r="H668" s="11"/>
      <c r="I668" s="11"/>
      <c r="J668" s="11"/>
      <c r="K668" s="27"/>
      <c r="L668" s="11"/>
      <c r="M668" s="11"/>
      <c r="N668" s="11"/>
      <c r="O668" s="11"/>
      <c r="P668" s="15"/>
      <c r="Q668" s="15"/>
      <c r="R668" s="15"/>
      <c r="S668" s="15"/>
      <c r="T668" s="15"/>
      <c r="U668" s="15"/>
      <c r="V668" s="15"/>
      <c r="W668" s="47"/>
      <c r="X668" s="11"/>
      <c r="Y668" s="48"/>
      <c r="Z668" s="11"/>
      <c r="AA668" s="48"/>
      <c r="AB668" s="11"/>
      <c r="AC668" s="48"/>
      <c r="AD668" s="11"/>
      <c r="AE668" s="47"/>
      <c r="AF668" s="11"/>
      <c r="AG668" s="48"/>
      <c r="AH668" s="11"/>
      <c r="AI668" s="48"/>
      <c r="AJ668" s="11"/>
      <c r="AK668" s="48"/>
      <c r="AL668" s="11"/>
      <c r="AM668" s="49"/>
      <c r="AN668" s="49"/>
      <c r="AO668" s="11"/>
      <c r="AP668" s="11"/>
      <c r="AQ668" s="28" t="b">
        <f>IF(COUNTIF(SmartStatus!A$2:A1000, AM668) &gt; 2, TRUE, FALSE)</f>
        <v>0</v>
      </c>
      <c r="AR668" s="29" t="str">
        <f ca="1">IFERROR(__xludf.DUMMYFUNCTION("iferror(if(regexmatch(AO668, ""(?i)^registered""), if(EE668 &lt;&gt; ""polity_shortest_name"", ""CHECK_POLITY"", index(filter(SmartStatus!B$2:B1000, AM668 = SmartStatus!A$2:A1000, not(SmartStatus!C$2:C1000), (isblank(SmartStatus!D$2:D1000)) + ((P668 &lt;&gt; """") * "&amp;"(P668 &lt; SmartStatus!D$2:D1000)), (isblank(SmartStatus!E$2:E1000)) + ((P668 &lt;&gt; """") * (P668 &gt;= SmartStatus!E$2:E1000)), (isblank(SmartStatus!F$2:F1000)) + (((Q668 &lt;&gt; """") * (Q668 &lt; SmartStatus!F$2:F1000)) + ((P668 &lt;&gt; """") * (date(year(P668) + 3, month(P"&amp;"668), day(P668)) &lt; SmartStatus!F$2:F1000))), (isblank(SmartStatus!G$2:G1000)) + (((Q668 &lt;&gt; """") * (Q668 &gt;= SmartStatus!G$2:G1000)) + ((P668 &lt;&gt; """") * (P668 &gt;= SmartStatus!G$2:G1000)))), if(or(regexmatch(B668, ""(?i)^ir [a-z]+ designation$""), N668 &lt;&gt; """&amp;"""), 1, 2))), """"), ""NO_MATCH"")"),"")</f>
        <v/>
      </c>
      <c r="AS668" s="11"/>
      <c r="AT668" s="15"/>
      <c r="AU668" s="11"/>
      <c r="AV668" s="11"/>
      <c r="AW668" s="15"/>
      <c r="AX668" s="15"/>
      <c r="AY668" s="15"/>
      <c r="AZ668" s="11"/>
      <c r="BA668" s="15"/>
      <c r="BB668" s="11"/>
      <c r="BC668" s="11"/>
      <c r="BD668" s="15"/>
      <c r="BE668" s="11"/>
      <c r="BF668" s="11"/>
      <c r="BG668" s="15"/>
      <c r="BH668" s="15"/>
      <c r="BI668" s="15"/>
      <c r="BJ668" s="11"/>
      <c r="BK668" s="15"/>
      <c r="BL668" s="11"/>
      <c r="BM668" s="11"/>
      <c r="BN668" s="15"/>
      <c r="BO668" s="11"/>
      <c r="BP668" s="11"/>
      <c r="BQ668" s="15"/>
      <c r="BR668" s="15"/>
      <c r="BS668" s="15"/>
      <c r="BT668" s="11"/>
      <c r="BU668" s="15"/>
      <c r="BV668" s="11"/>
      <c r="BW668" s="11"/>
      <c r="BX668" s="15"/>
      <c r="BY668" s="11"/>
      <c r="BZ668" s="11"/>
      <c r="CA668" s="15"/>
      <c r="CB668" s="11"/>
      <c r="CC668" s="15"/>
      <c r="CD668" s="11"/>
      <c r="CE668" s="15"/>
      <c r="CF668" s="11"/>
      <c r="CG668" s="11"/>
      <c r="CH668" s="15"/>
      <c r="CI668" s="11"/>
      <c r="CJ668" s="11"/>
      <c r="CK668" s="15"/>
      <c r="CL668" s="11"/>
      <c r="CM668" s="11"/>
      <c r="CN668" s="11"/>
      <c r="CO668" s="11"/>
      <c r="CP668" s="28"/>
      <c r="CQ668" s="28"/>
      <c r="CR668" s="11"/>
      <c r="CS668" s="29"/>
      <c r="CT668" s="11"/>
      <c r="CU668" s="11"/>
      <c r="CV668" s="11"/>
      <c r="CW668" s="11"/>
      <c r="CX668" s="11"/>
      <c r="CY668" s="11"/>
      <c r="CZ668" s="11"/>
      <c r="DA668" s="28"/>
      <c r="DB668" s="28"/>
      <c r="DC668" s="11"/>
      <c r="DD668" s="29"/>
      <c r="DE668" s="11"/>
      <c r="DF668" s="11"/>
      <c r="DG668" s="11"/>
      <c r="DH668" s="11"/>
      <c r="DI668" s="11"/>
      <c r="DJ668" s="11"/>
      <c r="DK668" s="26"/>
      <c r="DL668" s="11"/>
      <c r="DM668" s="29"/>
      <c r="DN668" s="28"/>
      <c r="DO668" s="11"/>
      <c r="DP668" s="11"/>
      <c r="DQ668" s="11"/>
      <c r="DR668" s="29"/>
      <c r="DS668" s="28"/>
      <c r="DT668" s="11"/>
      <c r="DU668" s="26"/>
      <c r="DV668" s="11"/>
      <c r="DW668" s="29"/>
      <c r="DX668" s="28"/>
      <c r="DY668" s="11"/>
      <c r="DZ668" s="26"/>
      <c r="EA668" s="11"/>
      <c r="EB668" s="29"/>
      <c r="EC668" s="28"/>
      <c r="ED668" s="30"/>
      <c r="EE668" s="30" t="str">
        <f ca="1">IFERROR(__xludf.DUMMYFUNCTION("iferror(index(filter('Internal -- Trademark Countries'!E$2:E1000, (AM668 = 'Internal -- Trademark Countries'!B$2:B1000) + (AM668 = 'Internal -- Trademark Countries'!C$2:C1000) + (AM668 = 'Internal -- Trademark Countries'!D$2:D1000)), 1))"),"")</f>
        <v/>
      </c>
      <c r="EF668" s="30" t="e">
        <f ca="1">_xludf.ifs(AM668="", "", COUNTIF('Internal -- Trademark Countries'!B:B,AM668) &gt; 0, "polity_shortest_name", COUNTIF('Internal -- Trademark Countries'!C:C,AM668) &gt; 0, "polity_full_name", COUNTIF('Internal -- Trademark Countries'!D:D,AM668) &gt; 0, "polity_common_name", COUNTIF('Internal -- Trademark Countries'!E:E,AM668) &gt; 0, "shortest_name", COUNTIF('Internal -- Trademark Countries'!A:A,AM668) &gt; 0, "full_name", TRUE, "not a match")</f>
        <v>#NAME?</v>
      </c>
      <c r="EG668" s="30"/>
      <c r="EH668" s="30"/>
      <c r="EI668" s="30"/>
      <c r="EJ668" s="30"/>
      <c r="EK668" s="30" t="str">
        <f t="shared" si="4"/>
        <v/>
      </c>
    </row>
    <row r="669" spans="1:141" ht="16.5">
      <c r="A669" s="11"/>
      <c r="B669" s="11"/>
      <c r="C669" s="11"/>
      <c r="D669" s="11"/>
      <c r="E669" s="11"/>
      <c r="F669" s="11"/>
      <c r="G669" s="11"/>
      <c r="H669" s="11"/>
      <c r="I669" s="11"/>
      <c r="J669" s="11"/>
      <c r="K669" s="27"/>
      <c r="L669" s="11"/>
      <c r="M669" s="11"/>
      <c r="N669" s="11"/>
      <c r="O669" s="11"/>
      <c r="P669" s="15"/>
      <c r="Q669" s="15"/>
      <c r="R669" s="15"/>
      <c r="S669" s="15"/>
      <c r="T669" s="15"/>
      <c r="U669" s="15"/>
      <c r="V669" s="15"/>
      <c r="W669" s="47"/>
      <c r="X669" s="11"/>
      <c r="Y669" s="48"/>
      <c r="Z669" s="11"/>
      <c r="AA669" s="48"/>
      <c r="AB669" s="11"/>
      <c r="AC669" s="48"/>
      <c r="AD669" s="11"/>
      <c r="AE669" s="47"/>
      <c r="AF669" s="11"/>
      <c r="AG669" s="48"/>
      <c r="AH669" s="11"/>
      <c r="AI669" s="48"/>
      <c r="AJ669" s="11"/>
      <c r="AK669" s="48"/>
      <c r="AL669" s="11"/>
      <c r="AM669" s="49"/>
      <c r="AN669" s="49"/>
      <c r="AO669" s="11"/>
      <c r="AP669" s="11"/>
      <c r="AQ669" s="28" t="b">
        <f>IF(COUNTIF(SmartStatus!A$2:A1000, AM669) &gt; 2, TRUE, FALSE)</f>
        <v>0</v>
      </c>
      <c r="AR669" s="29" t="str">
        <f ca="1">IFERROR(__xludf.DUMMYFUNCTION("iferror(if(regexmatch(AO669, ""(?i)^registered""), if(EE669 &lt;&gt; ""polity_shortest_name"", ""CHECK_POLITY"", index(filter(SmartStatus!B$2:B1000, AM669 = SmartStatus!A$2:A1000, not(SmartStatus!C$2:C1000), (isblank(SmartStatus!D$2:D1000)) + ((P669 &lt;&gt; """") * "&amp;"(P669 &lt; SmartStatus!D$2:D1000)), (isblank(SmartStatus!E$2:E1000)) + ((P669 &lt;&gt; """") * (P669 &gt;= SmartStatus!E$2:E1000)), (isblank(SmartStatus!F$2:F1000)) + (((Q669 &lt;&gt; """") * (Q669 &lt; SmartStatus!F$2:F1000)) + ((P669 &lt;&gt; """") * (date(year(P669) + 3, month(P"&amp;"669), day(P669)) &lt; SmartStatus!F$2:F1000))), (isblank(SmartStatus!G$2:G1000)) + (((Q669 &lt;&gt; """") * (Q669 &gt;= SmartStatus!G$2:G1000)) + ((P669 &lt;&gt; """") * (P669 &gt;= SmartStatus!G$2:G1000)))), if(or(regexmatch(B669, ""(?i)^ir [a-z]+ designation$""), N669 &lt;&gt; """&amp;"""), 1, 2))), """"), ""NO_MATCH"")"),"")</f>
        <v/>
      </c>
      <c r="AS669" s="11"/>
      <c r="AT669" s="15"/>
      <c r="AU669" s="11"/>
      <c r="AV669" s="11"/>
      <c r="AW669" s="15"/>
      <c r="AX669" s="15"/>
      <c r="AY669" s="15"/>
      <c r="AZ669" s="11"/>
      <c r="BA669" s="15"/>
      <c r="BB669" s="11"/>
      <c r="BC669" s="11"/>
      <c r="BD669" s="15"/>
      <c r="BE669" s="11"/>
      <c r="BF669" s="11"/>
      <c r="BG669" s="15"/>
      <c r="BH669" s="15"/>
      <c r="BI669" s="15"/>
      <c r="BJ669" s="11"/>
      <c r="BK669" s="15"/>
      <c r="BL669" s="11"/>
      <c r="BM669" s="11"/>
      <c r="BN669" s="15"/>
      <c r="BO669" s="11"/>
      <c r="BP669" s="11"/>
      <c r="BQ669" s="15"/>
      <c r="BR669" s="15"/>
      <c r="BS669" s="15"/>
      <c r="BT669" s="11"/>
      <c r="BU669" s="15"/>
      <c r="BV669" s="11"/>
      <c r="BW669" s="11"/>
      <c r="BX669" s="15"/>
      <c r="BY669" s="11"/>
      <c r="BZ669" s="11"/>
      <c r="CA669" s="15"/>
      <c r="CB669" s="11"/>
      <c r="CC669" s="15"/>
      <c r="CD669" s="11"/>
      <c r="CE669" s="15"/>
      <c r="CF669" s="11"/>
      <c r="CG669" s="11"/>
      <c r="CH669" s="15"/>
      <c r="CI669" s="11"/>
      <c r="CJ669" s="11"/>
      <c r="CK669" s="15"/>
      <c r="CL669" s="11"/>
      <c r="CM669" s="11"/>
      <c r="CN669" s="11"/>
      <c r="CO669" s="11"/>
      <c r="CP669" s="28"/>
      <c r="CQ669" s="28"/>
      <c r="CR669" s="11"/>
      <c r="CS669" s="29"/>
      <c r="CT669" s="11"/>
      <c r="CU669" s="11"/>
      <c r="CV669" s="11"/>
      <c r="CW669" s="11"/>
      <c r="CX669" s="11"/>
      <c r="CY669" s="11"/>
      <c r="CZ669" s="11"/>
      <c r="DA669" s="28"/>
      <c r="DB669" s="28"/>
      <c r="DC669" s="11"/>
      <c r="DD669" s="29"/>
      <c r="DE669" s="11"/>
      <c r="DF669" s="11"/>
      <c r="DG669" s="11"/>
      <c r="DH669" s="11"/>
      <c r="DI669" s="11"/>
      <c r="DJ669" s="11"/>
      <c r="DK669" s="26"/>
      <c r="DL669" s="11"/>
      <c r="DM669" s="29"/>
      <c r="DN669" s="28"/>
      <c r="DO669" s="11"/>
      <c r="DP669" s="11"/>
      <c r="DQ669" s="11"/>
      <c r="DR669" s="29"/>
      <c r="DS669" s="28"/>
      <c r="DT669" s="11"/>
      <c r="DU669" s="26"/>
      <c r="DV669" s="11"/>
      <c r="DW669" s="29"/>
      <c r="DX669" s="28"/>
      <c r="DY669" s="11"/>
      <c r="DZ669" s="26"/>
      <c r="EA669" s="11"/>
      <c r="EB669" s="29"/>
      <c r="EC669" s="28"/>
      <c r="ED669" s="30"/>
      <c r="EE669" s="30" t="str">
        <f ca="1">IFERROR(__xludf.DUMMYFUNCTION("iferror(index(filter('Internal -- Trademark Countries'!E$2:E1000, (AM669 = 'Internal -- Trademark Countries'!B$2:B1000) + (AM669 = 'Internal -- Trademark Countries'!C$2:C1000) + (AM669 = 'Internal -- Trademark Countries'!D$2:D1000)), 1))"),"")</f>
        <v/>
      </c>
      <c r="EF669" s="30" t="e">
        <f ca="1">_xludf.ifs(AM669="", "", COUNTIF('Internal -- Trademark Countries'!B:B,AM669) &gt; 0, "polity_shortest_name", COUNTIF('Internal -- Trademark Countries'!C:C,AM669) &gt; 0, "polity_full_name", COUNTIF('Internal -- Trademark Countries'!D:D,AM669) &gt; 0, "polity_common_name", COUNTIF('Internal -- Trademark Countries'!E:E,AM669) &gt; 0, "shortest_name", COUNTIF('Internal -- Trademark Countries'!A:A,AM669) &gt; 0, "full_name", TRUE, "not a match")</f>
        <v>#NAME?</v>
      </c>
      <c r="EG669" s="30"/>
      <c r="EH669" s="30"/>
      <c r="EI669" s="30"/>
      <c r="EJ669" s="30"/>
      <c r="EK669" s="30" t="str">
        <f t="shared" si="4"/>
        <v/>
      </c>
    </row>
    <row r="670" spans="1:141" ht="16.5">
      <c r="A670" s="11"/>
      <c r="B670" s="11"/>
      <c r="C670" s="11"/>
      <c r="D670" s="11"/>
      <c r="E670" s="11"/>
      <c r="F670" s="11"/>
      <c r="G670" s="11"/>
      <c r="H670" s="11"/>
      <c r="I670" s="11"/>
      <c r="J670" s="11"/>
      <c r="K670" s="27"/>
      <c r="L670" s="11"/>
      <c r="M670" s="11"/>
      <c r="N670" s="11"/>
      <c r="O670" s="11"/>
      <c r="P670" s="15"/>
      <c r="Q670" s="15"/>
      <c r="R670" s="15"/>
      <c r="S670" s="15"/>
      <c r="T670" s="15"/>
      <c r="U670" s="15"/>
      <c r="V670" s="15"/>
      <c r="W670" s="47"/>
      <c r="X670" s="11"/>
      <c r="Y670" s="48"/>
      <c r="Z670" s="11"/>
      <c r="AA670" s="48"/>
      <c r="AB670" s="11"/>
      <c r="AC670" s="48"/>
      <c r="AD670" s="11"/>
      <c r="AE670" s="47"/>
      <c r="AF670" s="11"/>
      <c r="AG670" s="48"/>
      <c r="AH670" s="11"/>
      <c r="AI670" s="48"/>
      <c r="AJ670" s="11"/>
      <c r="AK670" s="48"/>
      <c r="AL670" s="11"/>
      <c r="AM670" s="49"/>
      <c r="AN670" s="49"/>
      <c r="AO670" s="11"/>
      <c r="AP670" s="11"/>
      <c r="AQ670" s="28" t="b">
        <f>IF(COUNTIF(SmartStatus!A$2:A1000, AM670) &gt; 2, TRUE, FALSE)</f>
        <v>0</v>
      </c>
      <c r="AR670" s="29" t="str">
        <f ca="1">IFERROR(__xludf.DUMMYFUNCTION("iferror(if(regexmatch(AO670, ""(?i)^registered""), if(EE670 &lt;&gt; ""polity_shortest_name"", ""CHECK_POLITY"", index(filter(SmartStatus!B$2:B1000, AM670 = SmartStatus!A$2:A1000, not(SmartStatus!C$2:C1000), (isblank(SmartStatus!D$2:D1000)) + ((P670 &lt;&gt; """") * "&amp;"(P670 &lt; SmartStatus!D$2:D1000)), (isblank(SmartStatus!E$2:E1000)) + ((P670 &lt;&gt; """") * (P670 &gt;= SmartStatus!E$2:E1000)), (isblank(SmartStatus!F$2:F1000)) + (((Q670 &lt;&gt; """") * (Q670 &lt; SmartStatus!F$2:F1000)) + ((P670 &lt;&gt; """") * (date(year(P670) + 3, month(P"&amp;"670), day(P670)) &lt; SmartStatus!F$2:F1000))), (isblank(SmartStatus!G$2:G1000)) + (((Q670 &lt;&gt; """") * (Q670 &gt;= SmartStatus!G$2:G1000)) + ((P670 &lt;&gt; """") * (P670 &gt;= SmartStatus!G$2:G1000)))), if(or(regexmatch(B670, ""(?i)^ir [a-z]+ designation$""), N670 &lt;&gt; """&amp;"""), 1, 2))), """"), ""NO_MATCH"")"),"")</f>
        <v/>
      </c>
      <c r="AS670" s="11"/>
      <c r="AT670" s="15"/>
      <c r="AU670" s="11"/>
      <c r="AV670" s="11"/>
      <c r="AW670" s="15"/>
      <c r="AX670" s="15"/>
      <c r="AY670" s="15"/>
      <c r="AZ670" s="11"/>
      <c r="BA670" s="15"/>
      <c r="BB670" s="11"/>
      <c r="BC670" s="11"/>
      <c r="BD670" s="15"/>
      <c r="BE670" s="11"/>
      <c r="BF670" s="11"/>
      <c r="BG670" s="15"/>
      <c r="BH670" s="15"/>
      <c r="BI670" s="15"/>
      <c r="BJ670" s="11"/>
      <c r="BK670" s="15"/>
      <c r="BL670" s="11"/>
      <c r="BM670" s="11"/>
      <c r="BN670" s="15"/>
      <c r="BO670" s="11"/>
      <c r="BP670" s="11"/>
      <c r="BQ670" s="15"/>
      <c r="BR670" s="15"/>
      <c r="BS670" s="15"/>
      <c r="BT670" s="11"/>
      <c r="BU670" s="15"/>
      <c r="BV670" s="11"/>
      <c r="BW670" s="11"/>
      <c r="BX670" s="15"/>
      <c r="BY670" s="11"/>
      <c r="BZ670" s="11"/>
      <c r="CA670" s="15"/>
      <c r="CB670" s="11"/>
      <c r="CC670" s="15"/>
      <c r="CD670" s="11"/>
      <c r="CE670" s="15"/>
      <c r="CF670" s="11"/>
      <c r="CG670" s="11"/>
      <c r="CH670" s="15"/>
      <c r="CI670" s="11"/>
      <c r="CJ670" s="11"/>
      <c r="CK670" s="15"/>
      <c r="CL670" s="11"/>
      <c r="CM670" s="11"/>
      <c r="CN670" s="11"/>
      <c r="CO670" s="11"/>
      <c r="CP670" s="28"/>
      <c r="CQ670" s="28"/>
      <c r="CR670" s="11"/>
      <c r="CS670" s="29"/>
      <c r="CT670" s="11"/>
      <c r="CU670" s="11"/>
      <c r="CV670" s="11"/>
      <c r="CW670" s="11"/>
      <c r="CX670" s="11"/>
      <c r="CY670" s="11"/>
      <c r="CZ670" s="11"/>
      <c r="DA670" s="28"/>
      <c r="DB670" s="28"/>
      <c r="DC670" s="11"/>
      <c r="DD670" s="29"/>
      <c r="DE670" s="11"/>
      <c r="DF670" s="11"/>
      <c r="DG670" s="11"/>
      <c r="DH670" s="11"/>
      <c r="DI670" s="11"/>
      <c r="DJ670" s="11"/>
      <c r="DK670" s="26"/>
      <c r="DL670" s="11"/>
      <c r="DM670" s="29"/>
      <c r="DN670" s="28"/>
      <c r="DO670" s="11"/>
      <c r="DP670" s="11"/>
      <c r="DQ670" s="11"/>
      <c r="DR670" s="29"/>
      <c r="DS670" s="28"/>
      <c r="DT670" s="11"/>
      <c r="DU670" s="26"/>
      <c r="DV670" s="11"/>
      <c r="DW670" s="29"/>
      <c r="DX670" s="28"/>
      <c r="DY670" s="11"/>
      <c r="DZ670" s="26"/>
      <c r="EA670" s="11"/>
      <c r="EB670" s="29"/>
      <c r="EC670" s="28"/>
      <c r="ED670" s="30"/>
      <c r="EE670" s="30" t="str">
        <f ca="1">IFERROR(__xludf.DUMMYFUNCTION("iferror(index(filter('Internal -- Trademark Countries'!E$2:E1000, (AM670 = 'Internal -- Trademark Countries'!B$2:B1000) + (AM670 = 'Internal -- Trademark Countries'!C$2:C1000) + (AM670 = 'Internal -- Trademark Countries'!D$2:D1000)), 1))"),"")</f>
        <v/>
      </c>
      <c r="EF670" s="30" t="e">
        <f ca="1">_xludf.ifs(AM670="", "", COUNTIF('Internal -- Trademark Countries'!B:B,AM670) &gt; 0, "polity_shortest_name", COUNTIF('Internal -- Trademark Countries'!C:C,AM670) &gt; 0, "polity_full_name", COUNTIF('Internal -- Trademark Countries'!D:D,AM670) &gt; 0, "polity_common_name", COUNTIF('Internal -- Trademark Countries'!E:E,AM670) &gt; 0, "shortest_name", COUNTIF('Internal -- Trademark Countries'!A:A,AM670) &gt; 0, "full_name", TRUE, "not a match")</f>
        <v>#NAME?</v>
      </c>
      <c r="EG670" s="30"/>
      <c r="EH670" s="30"/>
      <c r="EI670" s="30"/>
      <c r="EJ670" s="30"/>
      <c r="EK670" s="30" t="str">
        <f t="shared" si="4"/>
        <v/>
      </c>
    </row>
    <row r="671" spans="1:141" ht="16.5">
      <c r="A671" s="11"/>
      <c r="B671" s="11"/>
      <c r="C671" s="11"/>
      <c r="D671" s="11"/>
      <c r="E671" s="11"/>
      <c r="F671" s="11"/>
      <c r="G671" s="11"/>
      <c r="H671" s="11"/>
      <c r="I671" s="11"/>
      <c r="J671" s="11"/>
      <c r="K671" s="27"/>
      <c r="L671" s="11"/>
      <c r="M671" s="11"/>
      <c r="N671" s="11"/>
      <c r="O671" s="11"/>
      <c r="P671" s="15"/>
      <c r="Q671" s="15"/>
      <c r="R671" s="15"/>
      <c r="S671" s="15"/>
      <c r="T671" s="15"/>
      <c r="U671" s="15"/>
      <c r="V671" s="15"/>
      <c r="W671" s="47"/>
      <c r="X671" s="11"/>
      <c r="Y671" s="48"/>
      <c r="Z671" s="11"/>
      <c r="AA671" s="48"/>
      <c r="AB671" s="11"/>
      <c r="AC671" s="48"/>
      <c r="AD671" s="11"/>
      <c r="AE671" s="47"/>
      <c r="AF671" s="11"/>
      <c r="AG671" s="48"/>
      <c r="AH671" s="11"/>
      <c r="AI671" s="48"/>
      <c r="AJ671" s="11"/>
      <c r="AK671" s="48"/>
      <c r="AL671" s="11"/>
      <c r="AM671" s="49"/>
      <c r="AN671" s="49"/>
      <c r="AO671" s="11"/>
      <c r="AP671" s="11"/>
      <c r="AQ671" s="28" t="b">
        <f>IF(COUNTIF(SmartStatus!A$2:A1000, AM671) &gt; 2, TRUE, FALSE)</f>
        <v>0</v>
      </c>
      <c r="AR671" s="29" t="str">
        <f ca="1">IFERROR(__xludf.DUMMYFUNCTION("iferror(if(regexmatch(AO671, ""(?i)^registered""), if(EE671 &lt;&gt; ""polity_shortest_name"", ""CHECK_POLITY"", index(filter(SmartStatus!B$2:B1000, AM671 = SmartStatus!A$2:A1000, not(SmartStatus!C$2:C1000), (isblank(SmartStatus!D$2:D1000)) + ((P671 &lt;&gt; """") * "&amp;"(P671 &lt; SmartStatus!D$2:D1000)), (isblank(SmartStatus!E$2:E1000)) + ((P671 &lt;&gt; """") * (P671 &gt;= SmartStatus!E$2:E1000)), (isblank(SmartStatus!F$2:F1000)) + (((Q671 &lt;&gt; """") * (Q671 &lt; SmartStatus!F$2:F1000)) + ((P671 &lt;&gt; """") * (date(year(P671) + 3, month(P"&amp;"671), day(P671)) &lt; SmartStatus!F$2:F1000))), (isblank(SmartStatus!G$2:G1000)) + (((Q671 &lt;&gt; """") * (Q671 &gt;= SmartStatus!G$2:G1000)) + ((P671 &lt;&gt; """") * (P671 &gt;= SmartStatus!G$2:G1000)))), if(or(regexmatch(B671, ""(?i)^ir [a-z]+ designation$""), N671 &lt;&gt; """&amp;"""), 1, 2))), """"), ""NO_MATCH"")"),"")</f>
        <v/>
      </c>
      <c r="AS671" s="11"/>
      <c r="AT671" s="15"/>
      <c r="AU671" s="11"/>
      <c r="AV671" s="11"/>
      <c r="AW671" s="15"/>
      <c r="AX671" s="15"/>
      <c r="AY671" s="15"/>
      <c r="AZ671" s="11"/>
      <c r="BA671" s="15"/>
      <c r="BB671" s="11"/>
      <c r="BC671" s="11"/>
      <c r="BD671" s="15"/>
      <c r="BE671" s="11"/>
      <c r="BF671" s="11"/>
      <c r="BG671" s="15"/>
      <c r="BH671" s="15"/>
      <c r="BI671" s="15"/>
      <c r="BJ671" s="11"/>
      <c r="BK671" s="15"/>
      <c r="BL671" s="11"/>
      <c r="BM671" s="11"/>
      <c r="BN671" s="15"/>
      <c r="BO671" s="11"/>
      <c r="BP671" s="11"/>
      <c r="BQ671" s="15"/>
      <c r="BR671" s="15"/>
      <c r="BS671" s="15"/>
      <c r="BT671" s="11"/>
      <c r="BU671" s="15"/>
      <c r="BV671" s="11"/>
      <c r="BW671" s="11"/>
      <c r="BX671" s="15"/>
      <c r="BY671" s="11"/>
      <c r="BZ671" s="11"/>
      <c r="CA671" s="15"/>
      <c r="CB671" s="11"/>
      <c r="CC671" s="15"/>
      <c r="CD671" s="11"/>
      <c r="CE671" s="15"/>
      <c r="CF671" s="11"/>
      <c r="CG671" s="11"/>
      <c r="CH671" s="15"/>
      <c r="CI671" s="11"/>
      <c r="CJ671" s="11"/>
      <c r="CK671" s="15"/>
      <c r="CL671" s="11"/>
      <c r="CM671" s="11"/>
      <c r="CN671" s="11"/>
      <c r="CO671" s="11"/>
      <c r="CP671" s="28"/>
      <c r="CQ671" s="28"/>
      <c r="CR671" s="11"/>
      <c r="CS671" s="29"/>
      <c r="CT671" s="11"/>
      <c r="CU671" s="11"/>
      <c r="CV671" s="11"/>
      <c r="CW671" s="11"/>
      <c r="CX671" s="11"/>
      <c r="CY671" s="11"/>
      <c r="CZ671" s="11"/>
      <c r="DA671" s="28"/>
      <c r="DB671" s="28"/>
      <c r="DC671" s="11"/>
      <c r="DD671" s="29"/>
      <c r="DE671" s="11"/>
      <c r="DF671" s="11"/>
      <c r="DG671" s="11"/>
      <c r="DH671" s="11"/>
      <c r="DI671" s="11"/>
      <c r="DJ671" s="11"/>
      <c r="DK671" s="26"/>
      <c r="DL671" s="11"/>
      <c r="DM671" s="29"/>
      <c r="DN671" s="28"/>
      <c r="DO671" s="11"/>
      <c r="DP671" s="11"/>
      <c r="DQ671" s="11"/>
      <c r="DR671" s="29"/>
      <c r="DS671" s="28"/>
      <c r="DT671" s="11"/>
      <c r="DU671" s="26"/>
      <c r="DV671" s="11"/>
      <c r="DW671" s="29"/>
      <c r="DX671" s="28"/>
      <c r="DY671" s="11"/>
      <c r="DZ671" s="26"/>
      <c r="EA671" s="11"/>
      <c r="EB671" s="29"/>
      <c r="EC671" s="28"/>
      <c r="ED671" s="30"/>
      <c r="EE671" s="30" t="str">
        <f ca="1">IFERROR(__xludf.DUMMYFUNCTION("iferror(index(filter('Internal -- Trademark Countries'!E$2:E1000, (AM671 = 'Internal -- Trademark Countries'!B$2:B1000) + (AM671 = 'Internal -- Trademark Countries'!C$2:C1000) + (AM671 = 'Internal -- Trademark Countries'!D$2:D1000)), 1))"),"")</f>
        <v/>
      </c>
      <c r="EF671" s="30" t="e">
        <f ca="1">_xludf.ifs(AM671="", "", COUNTIF('Internal -- Trademark Countries'!B:B,AM671) &gt; 0, "polity_shortest_name", COUNTIF('Internal -- Trademark Countries'!C:C,AM671) &gt; 0, "polity_full_name", COUNTIF('Internal -- Trademark Countries'!D:D,AM671) &gt; 0, "polity_common_name", COUNTIF('Internal -- Trademark Countries'!E:E,AM671) &gt; 0, "shortest_name", COUNTIF('Internal -- Trademark Countries'!A:A,AM671) &gt; 0, "full_name", TRUE, "not a match")</f>
        <v>#NAME?</v>
      </c>
      <c r="EG671" s="30"/>
      <c r="EH671" s="30"/>
      <c r="EI671" s="30"/>
      <c r="EJ671" s="30"/>
      <c r="EK671" s="30" t="str">
        <f t="shared" si="4"/>
        <v/>
      </c>
    </row>
    <row r="672" spans="1:141" ht="16.5">
      <c r="A672" s="11"/>
      <c r="B672" s="11"/>
      <c r="C672" s="11"/>
      <c r="D672" s="11"/>
      <c r="E672" s="11"/>
      <c r="F672" s="11"/>
      <c r="G672" s="11"/>
      <c r="H672" s="11"/>
      <c r="I672" s="11"/>
      <c r="J672" s="11"/>
      <c r="K672" s="27"/>
      <c r="L672" s="11"/>
      <c r="M672" s="11"/>
      <c r="N672" s="11"/>
      <c r="O672" s="11"/>
      <c r="P672" s="15"/>
      <c r="Q672" s="15"/>
      <c r="R672" s="15"/>
      <c r="S672" s="15"/>
      <c r="T672" s="15"/>
      <c r="U672" s="15"/>
      <c r="V672" s="15"/>
      <c r="W672" s="47"/>
      <c r="X672" s="11"/>
      <c r="Y672" s="48"/>
      <c r="Z672" s="11"/>
      <c r="AA672" s="48"/>
      <c r="AB672" s="11"/>
      <c r="AC672" s="48"/>
      <c r="AD672" s="11"/>
      <c r="AE672" s="47"/>
      <c r="AF672" s="11"/>
      <c r="AG672" s="48"/>
      <c r="AH672" s="11"/>
      <c r="AI672" s="48"/>
      <c r="AJ672" s="11"/>
      <c r="AK672" s="48"/>
      <c r="AL672" s="11"/>
      <c r="AM672" s="49"/>
      <c r="AN672" s="49"/>
      <c r="AO672" s="11"/>
      <c r="AP672" s="11"/>
      <c r="AQ672" s="28" t="b">
        <f>IF(COUNTIF(SmartStatus!A$2:A1000, AM672) &gt; 2, TRUE, FALSE)</f>
        <v>0</v>
      </c>
      <c r="AR672" s="29" t="str">
        <f ca="1">IFERROR(__xludf.DUMMYFUNCTION("iferror(if(regexmatch(AO672, ""(?i)^registered""), if(EE672 &lt;&gt; ""polity_shortest_name"", ""CHECK_POLITY"", index(filter(SmartStatus!B$2:B1000, AM672 = SmartStatus!A$2:A1000, not(SmartStatus!C$2:C1000), (isblank(SmartStatus!D$2:D1000)) + ((P672 &lt;&gt; """") * "&amp;"(P672 &lt; SmartStatus!D$2:D1000)), (isblank(SmartStatus!E$2:E1000)) + ((P672 &lt;&gt; """") * (P672 &gt;= SmartStatus!E$2:E1000)), (isblank(SmartStatus!F$2:F1000)) + (((Q672 &lt;&gt; """") * (Q672 &lt; SmartStatus!F$2:F1000)) + ((P672 &lt;&gt; """") * (date(year(P672) + 3, month(P"&amp;"672), day(P672)) &lt; SmartStatus!F$2:F1000))), (isblank(SmartStatus!G$2:G1000)) + (((Q672 &lt;&gt; """") * (Q672 &gt;= SmartStatus!G$2:G1000)) + ((P672 &lt;&gt; """") * (P672 &gt;= SmartStatus!G$2:G1000)))), if(or(regexmatch(B672, ""(?i)^ir [a-z]+ designation$""), N672 &lt;&gt; """&amp;"""), 1, 2))), """"), ""NO_MATCH"")"),"")</f>
        <v/>
      </c>
      <c r="AS672" s="11"/>
      <c r="AT672" s="15"/>
      <c r="AU672" s="11"/>
      <c r="AV672" s="11"/>
      <c r="AW672" s="15"/>
      <c r="AX672" s="15"/>
      <c r="AY672" s="15"/>
      <c r="AZ672" s="11"/>
      <c r="BA672" s="15"/>
      <c r="BB672" s="11"/>
      <c r="BC672" s="11"/>
      <c r="BD672" s="15"/>
      <c r="BE672" s="11"/>
      <c r="BF672" s="11"/>
      <c r="BG672" s="15"/>
      <c r="BH672" s="15"/>
      <c r="BI672" s="15"/>
      <c r="BJ672" s="11"/>
      <c r="BK672" s="15"/>
      <c r="BL672" s="11"/>
      <c r="BM672" s="11"/>
      <c r="BN672" s="15"/>
      <c r="BO672" s="11"/>
      <c r="BP672" s="11"/>
      <c r="BQ672" s="15"/>
      <c r="BR672" s="15"/>
      <c r="BS672" s="15"/>
      <c r="BT672" s="11"/>
      <c r="BU672" s="15"/>
      <c r="BV672" s="11"/>
      <c r="BW672" s="11"/>
      <c r="BX672" s="15"/>
      <c r="BY672" s="11"/>
      <c r="BZ672" s="11"/>
      <c r="CA672" s="15"/>
      <c r="CB672" s="11"/>
      <c r="CC672" s="15"/>
      <c r="CD672" s="11"/>
      <c r="CE672" s="15"/>
      <c r="CF672" s="11"/>
      <c r="CG672" s="11"/>
      <c r="CH672" s="15"/>
      <c r="CI672" s="11"/>
      <c r="CJ672" s="11"/>
      <c r="CK672" s="15"/>
      <c r="CL672" s="11"/>
      <c r="CM672" s="11"/>
      <c r="CN672" s="11"/>
      <c r="CO672" s="11"/>
      <c r="CP672" s="28"/>
      <c r="CQ672" s="28"/>
      <c r="CR672" s="11"/>
      <c r="CS672" s="29"/>
      <c r="CT672" s="11"/>
      <c r="CU672" s="11"/>
      <c r="CV672" s="11"/>
      <c r="CW672" s="11"/>
      <c r="CX672" s="11"/>
      <c r="CY672" s="11"/>
      <c r="CZ672" s="11"/>
      <c r="DA672" s="28"/>
      <c r="DB672" s="28"/>
      <c r="DC672" s="11"/>
      <c r="DD672" s="29"/>
      <c r="DE672" s="11"/>
      <c r="DF672" s="11"/>
      <c r="DG672" s="11"/>
      <c r="DH672" s="11"/>
      <c r="DI672" s="11"/>
      <c r="DJ672" s="11"/>
      <c r="DK672" s="26"/>
      <c r="DL672" s="11"/>
      <c r="DM672" s="29"/>
      <c r="DN672" s="28"/>
      <c r="DO672" s="11"/>
      <c r="DP672" s="11"/>
      <c r="DQ672" s="11"/>
      <c r="DR672" s="29"/>
      <c r="DS672" s="28"/>
      <c r="DT672" s="11"/>
      <c r="DU672" s="26"/>
      <c r="DV672" s="11"/>
      <c r="DW672" s="29"/>
      <c r="DX672" s="28"/>
      <c r="DY672" s="11"/>
      <c r="DZ672" s="26"/>
      <c r="EA672" s="11"/>
      <c r="EB672" s="29"/>
      <c r="EC672" s="28"/>
      <c r="ED672" s="30"/>
      <c r="EE672" s="30" t="str">
        <f ca="1">IFERROR(__xludf.DUMMYFUNCTION("iferror(index(filter('Internal -- Trademark Countries'!E$2:E1000, (AM672 = 'Internal -- Trademark Countries'!B$2:B1000) + (AM672 = 'Internal -- Trademark Countries'!C$2:C1000) + (AM672 = 'Internal -- Trademark Countries'!D$2:D1000)), 1))"),"")</f>
        <v/>
      </c>
      <c r="EF672" s="30" t="e">
        <f ca="1">_xludf.ifs(AM672="", "", COUNTIF('Internal -- Trademark Countries'!B:B,AM672) &gt; 0, "polity_shortest_name", COUNTIF('Internal -- Trademark Countries'!C:C,AM672) &gt; 0, "polity_full_name", COUNTIF('Internal -- Trademark Countries'!D:D,AM672) &gt; 0, "polity_common_name", COUNTIF('Internal -- Trademark Countries'!E:E,AM672) &gt; 0, "shortest_name", COUNTIF('Internal -- Trademark Countries'!A:A,AM672) &gt; 0, "full_name", TRUE, "not a match")</f>
        <v>#NAME?</v>
      </c>
      <c r="EG672" s="30"/>
      <c r="EH672" s="30"/>
      <c r="EI672" s="30"/>
      <c r="EJ672" s="30"/>
      <c r="EK672" s="30" t="str">
        <f t="shared" si="4"/>
        <v/>
      </c>
    </row>
    <row r="673" spans="1:141" ht="16.5">
      <c r="A673" s="11"/>
      <c r="B673" s="11"/>
      <c r="C673" s="11"/>
      <c r="D673" s="11"/>
      <c r="E673" s="11"/>
      <c r="F673" s="11"/>
      <c r="G673" s="11"/>
      <c r="H673" s="11"/>
      <c r="I673" s="11"/>
      <c r="J673" s="11"/>
      <c r="K673" s="27"/>
      <c r="L673" s="11"/>
      <c r="M673" s="11"/>
      <c r="N673" s="11"/>
      <c r="O673" s="11"/>
      <c r="P673" s="15"/>
      <c r="Q673" s="15"/>
      <c r="R673" s="15"/>
      <c r="S673" s="15"/>
      <c r="T673" s="15"/>
      <c r="U673" s="15"/>
      <c r="V673" s="15"/>
      <c r="W673" s="47"/>
      <c r="X673" s="11"/>
      <c r="Y673" s="48"/>
      <c r="Z673" s="11"/>
      <c r="AA673" s="48"/>
      <c r="AB673" s="11"/>
      <c r="AC673" s="48"/>
      <c r="AD673" s="11"/>
      <c r="AE673" s="47"/>
      <c r="AF673" s="11"/>
      <c r="AG673" s="48"/>
      <c r="AH673" s="11"/>
      <c r="AI673" s="48"/>
      <c r="AJ673" s="11"/>
      <c r="AK673" s="48"/>
      <c r="AL673" s="11"/>
      <c r="AM673" s="49"/>
      <c r="AN673" s="49"/>
      <c r="AO673" s="11"/>
      <c r="AP673" s="11"/>
      <c r="AQ673" s="28" t="b">
        <f>IF(COUNTIF(SmartStatus!A$2:A1000, AM673) &gt; 2, TRUE, FALSE)</f>
        <v>0</v>
      </c>
      <c r="AR673" s="29" t="str">
        <f ca="1">IFERROR(__xludf.DUMMYFUNCTION("iferror(if(regexmatch(AO673, ""(?i)^registered""), if(EE673 &lt;&gt; ""polity_shortest_name"", ""CHECK_POLITY"", index(filter(SmartStatus!B$2:B1000, AM673 = SmartStatus!A$2:A1000, not(SmartStatus!C$2:C1000), (isblank(SmartStatus!D$2:D1000)) + ((P673 &lt;&gt; """") * "&amp;"(P673 &lt; SmartStatus!D$2:D1000)), (isblank(SmartStatus!E$2:E1000)) + ((P673 &lt;&gt; """") * (P673 &gt;= SmartStatus!E$2:E1000)), (isblank(SmartStatus!F$2:F1000)) + (((Q673 &lt;&gt; """") * (Q673 &lt; SmartStatus!F$2:F1000)) + ((P673 &lt;&gt; """") * (date(year(P673) + 3, month(P"&amp;"673), day(P673)) &lt; SmartStatus!F$2:F1000))), (isblank(SmartStatus!G$2:G1000)) + (((Q673 &lt;&gt; """") * (Q673 &gt;= SmartStatus!G$2:G1000)) + ((P673 &lt;&gt; """") * (P673 &gt;= SmartStatus!G$2:G1000)))), if(or(regexmatch(B673, ""(?i)^ir [a-z]+ designation$""), N673 &lt;&gt; """&amp;"""), 1, 2))), """"), ""NO_MATCH"")"),"")</f>
        <v/>
      </c>
      <c r="AS673" s="11"/>
      <c r="AT673" s="15"/>
      <c r="AU673" s="11"/>
      <c r="AV673" s="11"/>
      <c r="AW673" s="15"/>
      <c r="AX673" s="15"/>
      <c r="AY673" s="15"/>
      <c r="AZ673" s="11"/>
      <c r="BA673" s="15"/>
      <c r="BB673" s="11"/>
      <c r="BC673" s="11"/>
      <c r="BD673" s="15"/>
      <c r="BE673" s="11"/>
      <c r="BF673" s="11"/>
      <c r="BG673" s="15"/>
      <c r="BH673" s="15"/>
      <c r="BI673" s="15"/>
      <c r="BJ673" s="11"/>
      <c r="BK673" s="15"/>
      <c r="BL673" s="11"/>
      <c r="BM673" s="11"/>
      <c r="BN673" s="15"/>
      <c r="BO673" s="11"/>
      <c r="BP673" s="11"/>
      <c r="BQ673" s="15"/>
      <c r="BR673" s="15"/>
      <c r="BS673" s="15"/>
      <c r="BT673" s="11"/>
      <c r="BU673" s="15"/>
      <c r="BV673" s="11"/>
      <c r="BW673" s="11"/>
      <c r="BX673" s="15"/>
      <c r="BY673" s="11"/>
      <c r="BZ673" s="11"/>
      <c r="CA673" s="15"/>
      <c r="CB673" s="11"/>
      <c r="CC673" s="15"/>
      <c r="CD673" s="11"/>
      <c r="CE673" s="15"/>
      <c r="CF673" s="11"/>
      <c r="CG673" s="11"/>
      <c r="CH673" s="15"/>
      <c r="CI673" s="11"/>
      <c r="CJ673" s="11"/>
      <c r="CK673" s="15"/>
      <c r="CL673" s="11"/>
      <c r="CM673" s="11"/>
      <c r="CN673" s="11"/>
      <c r="CO673" s="11"/>
      <c r="CP673" s="28"/>
      <c r="CQ673" s="28"/>
      <c r="CR673" s="11"/>
      <c r="CS673" s="29"/>
      <c r="CT673" s="11"/>
      <c r="CU673" s="11"/>
      <c r="CV673" s="11"/>
      <c r="CW673" s="11"/>
      <c r="CX673" s="11"/>
      <c r="CY673" s="11"/>
      <c r="CZ673" s="11"/>
      <c r="DA673" s="28"/>
      <c r="DB673" s="28"/>
      <c r="DC673" s="11"/>
      <c r="DD673" s="29"/>
      <c r="DE673" s="11"/>
      <c r="DF673" s="11"/>
      <c r="DG673" s="11"/>
      <c r="DH673" s="11"/>
      <c r="DI673" s="11"/>
      <c r="DJ673" s="11"/>
      <c r="DK673" s="26"/>
      <c r="DL673" s="11"/>
      <c r="DM673" s="29"/>
      <c r="DN673" s="28"/>
      <c r="DO673" s="11"/>
      <c r="DP673" s="11"/>
      <c r="DQ673" s="11"/>
      <c r="DR673" s="29"/>
      <c r="DS673" s="28"/>
      <c r="DT673" s="11"/>
      <c r="DU673" s="26"/>
      <c r="DV673" s="11"/>
      <c r="DW673" s="29"/>
      <c r="DX673" s="28"/>
      <c r="DY673" s="11"/>
      <c r="DZ673" s="26"/>
      <c r="EA673" s="11"/>
      <c r="EB673" s="29"/>
      <c r="EC673" s="28"/>
      <c r="ED673" s="30"/>
      <c r="EE673" s="30" t="str">
        <f ca="1">IFERROR(__xludf.DUMMYFUNCTION("iferror(index(filter('Internal -- Trademark Countries'!E$2:E1000, (AM673 = 'Internal -- Trademark Countries'!B$2:B1000) + (AM673 = 'Internal -- Trademark Countries'!C$2:C1000) + (AM673 = 'Internal -- Trademark Countries'!D$2:D1000)), 1))"),"")</f>
        <v/>
      </c>
      <c r="EF673" s="30" t="e">
        <f ca="1">_xludf.ifs(AM673="", "", COUNTIF('Internal -- Trademark Countries'!B:B,AM673) &gt; 0, "polity_shortest_name", COUNTIF('Internal -- Trademark Countries'!C:C,AM673) &gt; 0, "polity_full_name", COUNTIF('Internal -- Trademark Countries'!D:D,AM673) &gt; 0, "polity_common_name", COUNTIF('Internal -- Trademark Countries'!E:E,AM673) &gt; 0, "shortest_name", COUNTIF('Internal -- Trademark Countries'!A:A,AM673) &gt; 0, "full_name", TRUE, "not a match")</f>
        <v>#NAME?</v>
      </c>
      <c r="EG673" s="30"/>
      <c r="EH673" s="30"/>
      <c r="EI673" s="30"/>
      <c r="EJ673" s="30"/>
      <c r="EK673" s="30" t="str">
        <f t="shared" si="4"/>
        <v/>
      </c>
    </row>
    <row r="674" spans="1:141" ht="16.5">
      <c r="A674" s="11"/>
      <c r="B674" s="11"/>
      <c r="C674" s="11"/>
      <c r="D674" s="11"/>
      <c r="E674" s="11"/>
      <c r="F674" s="11"/>
      <c r="G674" s="11"/>
      <c r="H674" s="11"/>
      <c r="I674" s="11"/>
      <c r="J674" s="11"/>
      <c r="K674" s="27"/>
      <c r="L674" s="11"/>
      <c r="M674" s="11"/>
      <c r="N674" s="11"/>
      <c r="O674" s="11"/>
      <c r="P674" s="15"/>
      <c r="Q674" s="15"/>
      <c r="R674" s="15"/>
      <c r="S674" s="15"/>
      <c r="T674" s="15"/>
      <c r="U674" s="15"/>
      <c r="V674" s="15"/>
      <c r="W674" s="47"/>
      <c r="X674" s="11"/>
      <c r="Y674" s="48"/>
      <c r="Z674" s="11"/>
      <c r="AA674" s="48"/>
      <c r="AB674" s="11"/>
      <c r="AC674" s="48"/>
      <c r="AD674" s="11"/>
      <c r="AE674" s="47"/>
      <c r="AF674" s="11"/>
      <c r="AG674" s="48"/>
      <c r="AH674" s="11"/>
      <c r="AI674" s="48"/>
      <c r="AJ674" s="11"/>
      <c r="AK674" s="48"/>
      <c r="AL674" s="11"/>
      <c r="AM674" s="49"/>
      <c r="AN674" s="49"/>
      <c r="AO674" s="11"/>
      <c r="AP674" s="11"/>
      <c r="AQ674" s="28" t="b">
        <f>IF(COUNTIF(SmartStatus!A$2:A1000, AM674) &gt; 2, TRUE, FALSE)</f>
        <v>0</v>
      </c>
      <c r="AR674" s="29" t="str">
        <f ca="1">IFERROR(__xludf.DUMMYFUNCTION("iferror(if(regexmatch(AO674, ""(?i)^registered""), if(EE674 &lt;&gt; ""polity_shortest_name"", ""CHECK_POLITY"", index(filter(SmartStatus!B$2:B1000, AM674 = SmartStatus!A$2:A1000, not(SmartStatus!C$2:C1000), (isblank(SmartStatus!D$2:D1000)) + ((P674 &lt;&gt; """") * "&amp;"(P674 &lt; SmartStatus!D$2:D1000)), (isblank(SmartStatus!E$2:E1000)) + ((P674 &lt;&gt; """") * (P674 &gt;= SmartStatus!E$2:E1000)), (isblank(SmartStatus!F$2:F1000)) + (((Q674 &lt;&gt; """") * (Q674 &lt; SmartStatus!F$2:F1000)) + ((P674 &lt;&gt; """") * (date(year(P674) + 3, month(P"&amp;"674), day(P674)) &lt; SmartStatus!F$2:F1000))), (isblank(SmartStatus!G$2:G1000)) + (((Q674 &lt;&gt; """") * (Q674 &gt;= SmartStatus!G$2:G1000)) + ((P674 &lt;&gt; """") * (P674 &gt;= SmartStatus!G$2:G1000)))), if(or(regexmatch(B674, ""(?i)^ir [a-z]+ designation$""), N674 &lt;&gt; """&amp;"""), 1, 2))), """"), ""NO_MATCH"")"),"")</f>
        <v/>
      </c>
      <c r="AS674" s="11"/>
      <c r="AT674" s="15"/>
      <c r="AU674" s="11"/>
      <c r="AV674" s="11"/>
      <c r="AW674" s="15"/>
      <c r="AX674" s="15"/>
      <c r="AY674" s="15"/>
      <c r="AZ674" s="11"/>
      <c r="BA674" s="15"/>
      <c r="BB674" s="11"/>
      <c r="BC674" s="11"/>
      <c r="BD674" s="15"/>
      <c r="BE674" s="11"/>
      <c r="BF674" s="11"/>
      <c r="BG674" s="15"/>
      <c r="BH674" s="15"/>
      <c r="BI674" s="15"/>
      <c r="BJ674" s="11"/>
      <c r="BK674" s="15"/>
      <c r="BL674" s="11"/>
      <c r="BM674" s="11"/>
      <c r="BN674" s="15"/>
      <c r="BO674" s="11"/>
      <c r="BP674" s="11"/>
      <c r="BQ674" s="15"/>
      <c r="BR674" s="15"/>
      <c r="BS674" s="15"/>
      <c r="BT674" s="11"/>
      <c r="BU674" s="15"/>
      <c r="BV674" s="11"/>
      <c r="BW674" s="11"/>
      <c r="BX674" s="15"/>
      <c r="BY674" s="11"/>
      <c r="BZ674" s="11"/>
      <c r="CA674" s="15"/>
      <c r="CB674" s="11"/>
      <c r="CC674" s="15"/>
      <c r="CD674" s="11"/>
      <c r="CE674" s="15"/>
      <c r="CF674" s="11"/>
      <c r="CG674" s="11"/>
      <c r="CH674" s="15"/>
      <c r="CI674" s="11"/>
      <c r="CJ674" s="11"/>
      <c r="CK674" s="15"/>
      <c r="CL674" s="11"/>
      <c r="CM674" s="11"/>
      <c r="CN674" s="11"/>
      <c r="CO674" s="11"/>
      <c r="CP674" s="28"/>
      <c r="CQ674" s="28"/>
      <c r="CR674" s="11"/>
      <c r="CS674" s="29"/>
      <c r="CT674" s="11"/>
      <c r="CU674" s="11"/>
      <c r="CV674" s="11"/>
      <c r="CW674" s="11"/>
      <c r="CX674" s="11"/>
      <c r="CY674" s="11"/>
      <c r="CZ674" s="11"/>
      <c r="DA674" s="28"/>
      <c r="DB674" s="28"/>
      <c r="DC674" s="11"/>
      <c r="DD674" s="29"/>
      <c r="DE674" s="11"/>
      <c r="DF674" s="11"/>
      <c r="DG674" s="11"/>
      <c r="DH674" s="11"/>
      <c r="DI674" s="11"/>
      <c r="DJ674" s="11"/>
      <c r="DK674" s="26"/>
      <c r="DL674" s="11"/>
      <c r="DM674" s="29"/>
      <c r="DN674" s="28"/>
      <c r="DO674" s="11"/>
      <c r="DP674" s="11"/>
      <c r="DQ674" s="11"/>
      <c r="DR674" s="29"/>
      <c r="DS674" s="28"/>
      <c r="DT674" s="11"/>
      <c r="DU674" s="26"/>
      <c r="DV674" s="11"/>
      <c r="DW674" s="29"/>
      <c r="DX674" s="28"/>
      <c r="DY674" s="11"/>
      <c r="DZ674" s="26"/>
      <c r="EA674" s="11"/>
      <c r="EB674" s="29"/>
      <c r="EC674" s="28"/>
      <c r="ED674" s="30"/>
      <c r="EE674" s="30" t="str">
        <f ca="1">IFERROR(__xludf.DUMMYFUNCTION("iferror(index(filter('Internal -- Trademark Countries'!E$2:E1000, (AM674 = 'Internal -- Trademark Countries'!B$2:B1000) + (AM674 = 'Internal -- Trademark Countries'!C$2:C1000) + (AM674 = 'Internal -- Trademark Countries'!D$2:D1000)), 1))"),"")</f>
        <v/>
      </c>
      <c r="EF674" s="30" t="e">
        <f ca="1">_xludf.ifs(AM674="", "", COUNTIF('Internal -- Trademark Countries'!B:B,AM674) &gt; 0, "polity_shortest_name", COUNTIF('Internal -- Trademark Countries'!C:C,AM674) &gt; 0, "polity_full_name", COUNTIF('Internal -- Trademark Countries'!D:D,AM674) &gt; 0, "polity_common_name", COUNTIF('Internal -- Trademark Countries'!E:E,AM674) &gt; 0, "shortest_name", COUNTIF('Internal -- Trademark Countries'!A:A,AM674) &gt; 0, "full_name", TRUE, "not a match")</f>
        <v>#NAME?</v>
      </c>
      <c r="EG674" s="30"/>
      <c r="EH674" s="30"/>
      <c r="EI674" s="30"/>
      <c r="EJ674" s="30"/>
      <c r="EK674" s="30" t="str">
        <f t="shared" si="4"/>
        <v/>
      </c>
    </row>
    <row r="675" spans="1:141" ht="16.5">
      <c r="A675" s="11"/>
      <c r="B675" s="11"/>
      <c r="C675" s="11"/>
      <c r="D675" s="11"/>
      <c r="E675" s="11"/>
      <c r="F675" s="11"/>
      <c r="G675" s="11"/>
      <c r="H675" s="11"/>
      <c r="I675" s="11"/>
      <c r="J675" s="11"/>
      <c r="K675" s="27"/>
      <c r="L675" s="11"/>
      <c r="M675" s="11"/>
      <c r="N675" s="11"/>
      <c r="O675" s="11"/>
      <c r="P675" s="15"/>
      <c r="Q675" s="15"/>
      <c r="R675" s="15"/>
      <c r="S675" s="15"/>
      <c r="T675" s="15"/>
      <c r="U675" s="15"/>
      <c r="V675" s="15"/>
      <c r="W675" s="47"/>
      <c r="X675" s="11"/>
      <c r="Y675" s="48"/>
      <c r="Z675" s="11"/>
      <c r="AA675" s="48"/>
      <c r="AB675" s="11"/>
      <c r="AC675" s="48"/>
      <c r="AD675" s="11"/>
      <c r="AE675" s="47"/>
      <c r="AF675" s="11"/>
      <c r="AG675" s="48"/>
      <c r="AH675" s="11"/>
      <c r="AI675" s="48"/>
      <c r="AJ675" s="11"/>
      <c r="AK675" s="48"/>
      <c r="AL675" s="11"/>
      <c r="AM675" s="49"/>
      <c r="AN675" s="49"/>
      <c r="AO675" s="11"/>
      <c r="AP675" s="11"/>
      <c r="AQ675" s="28" t="b">
        <f>IF(COUNTIF(SmartStatus!A$2:A1000, AM675) &gt; 2, TRUE, FALSE)</f>
        <v>0</v>
      </c>
      <c r="AR675" s="29" t="str">
        <f ca="1">IFERROR(__xludf.DUMMYFUNCTION("iferror(if(regexmatch(AO675, ""(?i)^registered""), if(EE675 &lt;&gt; ""polity_shortest_name"", ""CHECK_POLITY"", index(filter(SmartStatus!B$2:B1000, AM675 = SmartStatus!A$2:A1000, not(SmartStatus!C$2:C1000), (isblank(SmartStatus!D$2:D1000)) + ((P675 &lt;&gt; """") * "&amp;"(P675 &lt; SmartStatus!D$2:D1000)), (isblank(SmartStatus!E$2:E1000)) + ((P675 &lt;&gt; """") * (P675 &gt;= SmartStatus!E$2:E1000)), (isblank(SmartStatus!F$2:F1000)) + (((Q675 &lt;&gt; """") * (Q675 &lt; SmartStatus!F$2:F1000)) + ((P675 &lt;&gt; """") * (date(year(P675) + 3, month(P"&amp;"675), day(P675)) &lt; SmartStatus!F$2:F1000))), (isblank(SmartStatus!G$2:G1000)) + (((Q675 &lt;&gt; """") * (Q675 &gt;= SmartStatus!G$2:G1000)) + ((P675 &lt;&gt; """") * (P675 &gt;= SmartStatus!G$2:G1000)))), if(or(regexmatch(B675, ""(?i)^ir [a-z]+ designation$""), N675 &lt;&gt; """&amp;"""), 1, 2))), """"), ""NO_MATCH"")"),"")</f>
        <v/>
      </c>
      <c r="AS675" s="11"/>
      <c r="AT675" s="15"/>
      <c r="AU675" s="11"/>
      <c r="AV675" s="11"/>
      <c r="AW675" s="15"/>
      <c r="AX675" s="15"/>
      <c r="AY675" s="15"/>
      <c r="AZ675" s="11"/>
      <c r="BA675" s="15"/>
      <c r="BB675" s="11"/>
      <c r="BC675" s="11"/>
      <c r="BD675" s="15"/>
      <c r="BE675" s="11"/>
      <c r="BF675" s="11"/>
      <c r="BG675" s="15"/>
      <c r="BH675" s="15"/>
      <c r="BI675" s="15"/>
      <c r="BJ675" s="11"/>
      <c r="BK675" s="15"/>
      <c r="BL675" s="11"/>
      <c r="BM675" s="11"/>
      <c r="BN675" s="15"/>
      <c r="BO675" s="11"/>
      <c r="BP675" s="11"/>
      <c r="BQ675" s="15"/>
      <c r="BR675" s="15"/>
      <c r="BS675" s="15"/>
      <c r="BT675" s="11"/>
      <c r="BU675" s="15"/>
      <c r="BV675" s="11"/>
      <c r="BW675" s="11"/>
      <c r="BX675" s="15"/>
      <c r="BY675" s="11"/>
      <c r="BZ675" s="11"/>
      <c r="CA675" s="15"/>
      <c r="CB675" s="11"/>
      <c r="CC675" s="15"/>
      <c r="CD675" s="11"/>
      <c r="CE675" s="15"/>
      <c r="CF675" s="11"/>
      <c r="CG675" s="11"/>
      <c r="CH675" s="15"/>
      <c r="CI675" s="11"/>
      <c r="CJ675" s="11"/>
      <c r="CK675" s="15"/>
      <c r="CL675" s="11"/>
      <c r="CM675" s="11"/>
      <c r="CN675" s="11"/>
      <c r="CO675" s="11"/>
      <c r="CP675" s="28"/>
      <c r="CQ675" s="28"/>
      <c r="CR675" s="11"/>
      <c r="CS675" s="29"/>
      <c r="CT675" s="11"/>
      <c r="CU675" s="11"/>
      <c r="CV675" s="11"/>
      <c r="CW675" s="11"/>
      <c r="CX675" s="11"/>
      <c r="CY675" s="11"/>
      <c r="CZ675" s="11"/>
      <c r="DA675" s="28"/>
      <c r="DB675" s="28"/>
      <c r="DC675" s="11"/>
      <c r="DD675" s="29"/>
      <c r="DE675" s="11"/>
      <c r="DF675" s="11"/>
      <c r="DG675" s="11"/>
      <c r="DH675" s="11"/>
      <c r="DI675" s="11"/>
      <c r="DJ675" s="11"/>
      <c r="DK675" s="26"/>
      <c r="DL675" s="11"/>
      <c r="DM675" s="29"/>
      <c r="DN675" s="28"/>
      <c r="DO675" s="11"/>
      <c r="DP675" s="11"/>
      <c r="DQ675" s="11"/>
      <c r="DR675" s="29"/>
      <c r="DS675" s="28"/>
      <c r="DT675" s="11"/>
      <c r="DU675" s="26"/>
      <c r="DV675" s="11"/>
      <c r="DW675" s="29"/>
      <c r="DX675" s="28"/>
      <c r="DY675" s="11"/>
      <c r="DZ675" s="26"/>
      <c r="EA675" s="11"/>
      <c r="EB675" s="29"/>
      <c r="EC675" s="28"/>
      <c r="ED675" s="30"/>
      <c r="EE675" s="30" t="str">
        <f ca="1">IFERROR(__xludf.DUMMYFUNCTION("iferror(index(filter('Internal -- Trademark Countries'!E$2:E1000, (AM675 = 'Internal -- Trademark Countries'!B$2:B1000) + (AM675 = 'Internal -- Trademark Countries'!C$2:C1000) + (AM675 = 'Internal -- Trademark Countries'!D$2:D1000)), 1))"),"")</f>
        <v/>
      </c>
      <c r="EF675" s="30" t="e">
        <f ca="1">_xludf.ifs(AM675="", "", COUNTIF('Internal -- Trademark Countries'!B:B,AM675) &gt; 0, "polity_shortest_name", COUNTIF('Internal -- Trademark Countries'!C:C,AM675) &gt; 0, "polity_full_name", COUNTIF('Internal -- Trademark Countries'!D:D,AM675) &gt; 0, "polity_common_name", COUNTIF('Internal -- Trademark Countries'!E:E,AM675) &gt; 0, "shortest_name", COUNTIF('Internal -- Trademark Countries'!A:A,AM675) &gt; 0, "full_name", TRUE, "not a match")</f>
        <v>#NAME?</v>
      </c>
      <c r="EG675" s="30"/>
      <c r="EH675" s="30"/>
      <c r="EI675" s="30"/>
      <c r="EJ675" s="30"/>
      <c r="EK675" s="30" t="str">
        <f t="shared" si="4"/>
        <v/>
      </c>
    </row>
    <row r="676" spans="1:141" ht="16.5">
      <c r="A676" s="11"/>
      <c r="B676" s="11"/>
      <c r="C676" s="11"/>
      <c r="D676" s="11"/>
      <c r="E676" s="11"/>
      <c r="F676" s="11"/>
      <c r="G676" s="11"/>
      <c r="H676" s="11"/>
      <c r="I676" s="11"/>
      <c r="J676" s="11"/>
      <c r="K676" s="27"/>
      <c r="L676" s="11"/>
      <c r="M676" s="11"/>
      <c r="N676" s="11"/>
      <c r="O676" s="11"/>
      <c r="P676" s="15"/>
      <c r="Q676" s="15"/>
      <c r="R676" s="15"/>
      <c r="S676" s="15"/>
      <c r="T676" s="15"/>
      <c r="U676" s="15"/>
      <c r="V676" s="15"/>
      <c r="W676" s="47"/>
      <c r="X676" s="11"/>
      <c r="Y676" s="48"/>
      <c r="Z676" s="11"/>
      <c r="AA676" s="48"/>
      <c r="AB676" s="11"/>
      <c r="AC676" s="48"/>
      <c r="AD676" s="11"/>
      <c r="AE676" s="47"/>
      <c r="AF676" s="11"/>
      <c r="AG676" s="48"/>
      <c r="AH676" s="11"/>
      <c r="AI676" s="48"/>
      <c r="AJ676" s="11"/>
      <c r="AK676" s="48"/>
      <c r="AL676" s="11"/>
      <c r="AM676" s="49"/>
      <c r="AN676" s="49"/>
      <c r="AO676" s="11"/>
      <c r="AP676" s="11"/>
      <c r="AQ676" s="28" t="b">
        <f>IF(COUNTIF(SmartStatus!A$2:A1000, AM676) &gt; 2, TRUE, FALSE)</f>
        <v>0</v>
      </c>
      <c r="AR676" s="29" t="str">
        <f ca="1">IFERROR(__xludf.DUMMYFUNCTION("iferror(if(regexmatch(AO676, ""(?i)^registered""), if(EE676 &lt;&gt; ""polity_shortest_name"", ""CHECK_POLITY"", index(filter(SmartStatus!B$2:B1000, AM676 = SmartStatus!A$2:A1000, not(SmartStatus!C$2:C1000), (isblank(SmartStatus!D$2:D1000)) + ((P676 &lt;&gt; """") * "&amp;"(P676 &lt; SmartStatus!D$2:D1000)), (isblank(SmartStatus!E$2:E1000)) + ((P676 &lt;&gt; """") * (P676 &gt;= SmartStatus!E$2:E1000)), (isblank(SmartStatus!F$2:F1000)) + (((Q676 &lt;&gt; """") * (Q676 &lt; SmartStatus!F$2:F1000)) + ((P676 &lt;&gt; """") * (date(year(P676) + 3, month(P"&amp;"676), day(P676)) &lt; SmartStatus!F$2:F1000))), (isblank(SmartStatus!G$2:G1000)) + (((Q676 &lt;&gt; """") * (Q676 &gt;= SmartStatus!G$2:G1000)) + ((P676 &lt;&gt; """") * (P676 &gt;= SmartStatus!G$2:G1000)))), if(or(regexmatch(B676, ""(?i)^ir [a-z]+ designation$""), N676 &lt;&gt; """&amp;"""), 1, 2))), """"), ""NO_MATCH"")"),"")</f>
        <v/>
      </c>
      <c r="AS676" s="11"/>
      <c r="AT676" s="15"/>
      <c r="AU676" s="11"/>
      <c r="AV676" s="11"/>
      <c r="AW676" s="15"/>
      <c r="AX676" s="15"/>
      <c r="AY676" s="15"/>
      <c r="AZ676" s="11"/>
      <c r="BA676" s="15"/>
      <c r="BB676" s="11"/>
      <c r="BC676" s="11"/>
      <c r="BD676" s="15"/>
      <c r="BE676" s="11"/>
      <c r="BF676" s="11"/>
      <c r="BG676" s="15"/>
      <c r="BH676" s="15"/>
      <c r="BI676" s="15"/>
      <c r="BJ676" s="11"/>
      <c r="BK676" s="15"/>
      <c r="BL676" s="11"/>
      <c r="BM676" s="11"/>
      <c r="BN676" s="15"/>
      <c r="BO676" s="11"/>
      <c r="BP676" s="11"/>
      <c r="BQ676" s="15"/>
      <c r="BR676" s="15"/>
      <c r="BS676" s="15"/>
      <c r="BT676" s="11"/>
      <c r="BU676" s="15"/>
      <c r="BV676" s="11"/>
      <c r="BW676" s="11"/>
      <c r="BX676" s="15"/>
      <c r="BY676" s="11"/>
      <c r="BZ676" s="11"/>
      <c r="CA676" s="15"/>
      <c r="CB676" s="11"/>
      <c r="CC676" s="15"/>
      <c r="CD676" s="11"/>
      <c r="CE676" s="15"/>
      <c r="CF676" s="11"/>
      <c r="CG676" s="11"/>
      <c r="CH676" s="15"/>
      <c r="CI676" s="11"/>
      <c r="CJ676" s="11"/>
      <c r="CK676" s="15"/>
      <c r="CL676" s="11"/>
      <c r="CM676" s="11"/>
      <c r="CN676" s="11"/>
      <c r="CO676" s="11"/>
      <c r="CP676" s="28"/>
      <c r="CQ676" s="28"/>
      <c r="CR676" s="11"/>
      <c r="CS676" s="29"/>
      <c r="CT676" s="11"/>
      <c r="CU676" s="11"/>
      <c r="CV676" s="11"/>
      <c r="CW676" s="11"/>
      <c r="CX676" s="11"/>
      <c r="CY676" s="11"/>
      <c r="CZ676" s="11"/>
      <c r="DA676" s="28"/>
      <c r="DB676" s="28"/>
      <c r="DC676" s="11"/>
      <c r="DD676" s="29"/>
      <c r="DE676" s="11"/>
      <c r="DF676" s="11"/>
      <c r="DG676" s="11"/>
      <c r="DH676" s="11"/>
      <c r="DI676" s="11"/>
      <c r="DJ676" s="11"/>
      <c r="DK676" s="26"/>
      <c r="DL676" s="11"/>
      <c r="DM676" s="29"/>
      <c r="DN676" s="28"/>
      <c r="DO676" s="11"/>
      <c r="DP676" s="11"/>
      <c r="DQ676" s="11"/>
      <c r="DR676" s="29"/>
      <c r="DS676" s="28"/>
      <c r="DT676" s="11"/>
      <c r="DU676" s="26"/>
      <c r="DV676" s="11"/>
      <c r="DW676" s="29"/>
      <c r="DX676" s="28"/>
      <c r="DY676" s="11"/>
      <c r="DZ676" s="26"/>
      <c r="EA676" s="11"/>
      <c r="EB676" s="29"/>
      <c r="EC676" s="28"/>
      <c r="ED676" s="30"/>
      <c r="EE676" s="30" t="str">
        <f ca="1">IFERROR(__xludf.DUMMYFUNCTION("iferror(index(filter('Internal -- Trademark Countries'!E$2:E1000, (AM676 = 'Internal -- Trademark Countries'!B$2:B1000) + (AM676 = 'Internal -- Trademark Countries'!C$2:C1000) + (AM676 = 'Internal -- Trademark Countries'!D$2:D1000)), 1))"),"")</f>
        <v/>
      </c>
      <c r="EF676" s="30" t="e">
        <f ca="1">_xludf.ifs(AM676="", "", COUNTIF('Internal -- Trademark Countries'!B:B,AM676) &gt; 0, "polity_shortest_name", COUNTIF('Internal -- Trademark Countries'!C:C,AM676) &gt; 0, "polity_full_name", COUNTIF('Internal -- Trademark Countries'!D:D,AM676) &gt; 0, "polity_common_name", COUNTIF('Internal -- Trademark Countries'!E:E,AM676) &gt; 0, "shortest_name", COUNTIF('Internal -- Trademark Countries'!A:A,AM676) &gt; 0, "full_name", TRUE, "not a match")</f>
        <v>#NAME?</v>
      </c>
      <c r="EG676" s="30"/>
      <c r="EH676" s="30"/>
      <c r="EI676" s="30"/>
      <c r="EJ676" s="30"/>
      <c r="EK676" s="30" t="str">
        <f t="shared" si="4"/>
        <v/>
      </c>
    </row>
    <row r="677" spans="1:141" ht="16.5">
      <c r="A677" s="11"/>
      <c r="B677" s="11"/>
      <c r="C677" s="11"/>
      <c r="D677" s="11"/>
      <c r="E677" s="11"/>
      <c r="F677" s="11"/>
      <c r="G677" s="11"/>
      <c r="H677" s="11"/>
      <c r="I677" s="11"/>
      <c r="J677" s="11"/>
      <c r="K677" s="27"/>
      <c r="L677" s="11"/>
      <c r="M677" s="11"/>
      <c r="N677" s="11"/>
      <c r="O677" s="11"/>
      <c r="P677" s="15"/>
      <c r="Q677" s="15"/>
      <c r="R677" s="15"/>
      <c r="S677" s="15"/>
      <c r="T677" s="15"/>
      <c r="U677" s="15"/>
      <c r="V677" s="15"/>
      <c r="W677" s="47"/>
      <c r="X677" s="11"/>
      <c r="Y677" s="48"/>
      <c r="Z677" s="11"/>
      <c r="AA677" s="48"/>
      <c r="AB677" s="11"/>
      <c r="AC677" s="48"/>
      <c r="AD677" s="11"/>
      <c r="AE677" s="47"/>
      <c r="AF677" s="11"/>
      <c r="AG677" s="48"/>
      <c r="AH677" s="11"/>
      <c r="AI677" s="48"/>
      <c r="AJ677" s="11"/>
      <c r="AK677" s="48"/>
      <c r="AL677" s="11"/>
      <c r="AM677" s="49"/>
      <c r="AN677" s="49"/>
      <c r="AO677" s="11"/>
      <c r="AP677" s="11"/>
      <c r="AQ677" s="28" t="b">
        <f>IF(COUNTIF(SmartStatus!A$2:A1000, AM677) &gt; 2, TRUE, FALSE)</f>
        <v>0</v>
      </c>
      <c r="AR677" s="29" t="str">
        <f ca="1">IFERROR(__xludf.DUMMYFUNCTION("iferror(if(regexmatch(AO677, ""(?i)^registered""), if(EE677 &lt;&gt; ""polity_shortest_name"", ""CHECK_POLITY"", index(filter(SmartStatus!B$2:B1000, AM677 = SmartStatus!A$2:A1000, not(SmartStatus!C$2:C1000), (isblank(SmartStatus!D$2:D1000)) + ((P677 &lt;&gt; """") * "&amp;"(P677 &lt; SmartStatus!D$2:D1000)), (isblank(SmartStatus!E$2:E1000)) + ((P677 &lt;&gt; """") * (P677 &gt;= SmartStatus!E$2:E1000)), (isblank(SmartStatus!F$2:F1000)) + (((Q677 &lt;&gt; """") * (Q677 &lt; SmartStatus!F$2:F1000)) + ((P677 &lt;&gt; """") * (date(year(P677) + 3, month(P"&amp;"677), day(P677)) &lt; SmartStatus!F$2:F1000))), (isblank(SmartStatus!G$2:G1000)) + (((Q677 &lt;&gt; """") * (Q677 &gt;= SmartStatus!G$2:G1000)) + ((P677 &lt;&gt; """") * (P677 &gt;= SmartStatus!G$2:G1000)))), if(or(regexmatch(B677, ""(?i)^ir [a-z]+ designation$""), N677 &lt;&gt; """&amp;"""), 1, 2))), """"), ""NO_MATCH"")"),"")</f>
        <v/>
      </c>
      <c r="AS677" s="11"/>
      <c r="AT677" s="15"/>
      <c r="AU677" s="11"/>
      <c r="AV677" s="11"/>
      <c r="AW677" s="15"/>
      <c r="AX677" s="15"/>
      <c r="AY677" s="15"/>
      <c r="AZ677" s="11"/>
      <c r="BA677" s="15"/>
      <c r="BB677" s="11"/>
      <c r="BC677" s="11"/>
      <c r="BD677" s="15"/>
      <c r="BE677" s="11"/>
      <c r="BF677" s="11"/>
      <c r="BG677" s="15"/>
      <c r="BH677" s="15"/>
      <c r="BI677" s="15"/>
      <c r="BJ677" s="11"/>
      <c r="BK677" s="15"/>
      <c r="BL677" s="11"/>
      <c r="BM677" s="11"/>
      <c r="BN677" s="15"/>
      <c r="BO677" s="11"/>
      <c r="BP677" s="11"/>
      <c r="BQ677" s="15"/>
      <c r="BR677" s="15"/>
      <c r="BS677" s="15"/>
      <c r="BT677" s="11"/>
      <c r="BU677" s="15"/>
      <c r="BV677" s="11"/>
      <c r="BW677" s="11"/>
      <c r="BX677" s="15"/>
      <c r="BY677" s="11"/>
      <c r="BZ677" s="11"/>
      <c r="CA677" s="15"/>
      <c r="CB677" s="11"/>
      <c r="CC677" s="15"/>
      <c r="CD677" s="11"/>
      <c r="CE677" s="15"/>
      <c r="CF677" s="11"/>
      <c r="CG677" s="11"/>
      <c r="CH677" s="15"/>
      <c r="CI677" s="11"/>
      <c r="CJ677" s="11"/>
      <c r="CK677" s="15"/>
      <c r="CL677" s="11"/>
      <c r="CM677" s="11"/>
      <c r="CN677" s="11"/>
      <c r="CO677" s="11"/>
      <c r="CP677" s="28"/>
      <c r="CQ677" s="28"/>
      <c r="CR677" s="11"/>
      <c r="CS677" s="29"/>
      <c r="CT677" s="11"/>
      <c r="CU677" s="11"/>
      <c r="CV677" s="11"/>
      <c r="CW677" s="11"/>
      <c r="CX677" s="11"/>
      <c r="CY677" s="11"/>
      <c r="CZ677" s="11"/>
      <c r="DA677" s="28"/>
      <c r="DB677" s="28"/>
      <c r="DC677" s="11"/>
      <c r="DD677" s="29"/>
      <c r="DE677" s="11"/>
      <c r="DF677" s="11"/>
      <c r="DG677" s="11"/>
      <c r="DH677" s="11"/>
      <c r="DI677" s="11"/>
      <c r="DJ677" s="11"/>
      <c r="DK677" s="26"/>
      <c r="DL677" s="11"/>
      <c r="DM677" s="29"/>
      <c r="DN677" s="28"/>
      <c r="DO677" s="11"/>
      <c r="DP677" s="11"/>
      <c r="DQ677" s="11"/>
      <c r="DR677" s="29"/>
      <c r="DS677" s="28"/>
      <c r="DT677" s="11"/>
      <c r="DU677" s="26"/>
      <c r="DV677" s="11"/>
      <c r="DW677" s="29"/>
      <c r="DX677" s="28"/>
      <c r="DY677" s="11"/>
      <c r="DZ677" s="26"/>
      <c r="EA677" s="11"/>
      <c r="EB677" s="29"/>
      <c r="EC677" s="28"/>
      <c r="ED677" s="30"/>
      <c r="EE677" s="30" t="str">
        <f ca="1">IFERROR(__xludf.DUMMYFUNCTION("iferror(index(filter('Internal -- Trademark Countries'!E$2:E1000, (AM677 = 'Internal -- Trademark Countries'!B$2:B1000) + (AM677 = 'Internal -- Trademark Countries'!C$2:C1000) + (AM677 = 'Internal -- Trademark Countries'!D$2:D1000)), 1))"),"")</f>
        <v/>
      </c>
      <c r="EF677" s="30" t="e">
        <f ca="1">_xludf.ifs(AM677="", "", COUNTIF('Internal -- Trademark Countries'!B:B,AM677) &gt; 0, "polity_shortest_name", COUNTIF('Internal -- Trademark Countries'!C:C,AM677) &gt; 0, "polity_full_name", COUNTIF('Internal -- Trademark Countries'!D:D,AM677) &gt; 0, "polity_common_name", COUNTIF('Internal -- Trademark Countries'!E:E,AM677) &gt; 0, "shortest_name", COUNTIF('Internal -- Trademark Countries'!A:A,AM677) &gt; 0, "full_name", TRUE, "not a match")</f>
        <v>#NAME?</v>
      </c>
      <c r="EG677" s="30"/>
      <c r="EH677" s="30"/>
      <c r="EI677" s="30"/>
      <c r="EJ677" s="30"/>
      <c r="EK677" s="30" t="str">
        <f t="shared" si="4"/>
        <v/>
      </c>
    </row>
    <row r="678" spans="1:141" ht="16.5">
      <c r="A678" s="11"/>
      <c r="B678" s="11"/>
      <c r="C678" s="11"/>
      <c r="D678" s="11"/>
      <c r="E678" s="11"/>
      <c r="F678" s="11"/>
      <c r="G678" s="11"/>
      <c r="H678" s="11"/>
      <c r="I678" s="11"/>
      <c r="J678" s="11"/>
      <c r="K678" s="27"/>
      <c r="L678" s="11"/>
      <c r="M678" s="11"/>
      <c r="N678" s="11"/>
      <c r="O678" s="11"/>
      <c r="P678" s="15"/>
      <c r="Q678" s="15"/>
      <c r="R678" s="15"/>
      <c r="S678" s="15"/>
      <c r="T678" s="15"/>
      <c r="U678" s="15"/>
      <c r="V678" s="15"/>
      <c r="W678" s="47"/>
      <c r="X678" s="11"/>
      <c r="Y678" s="48"/>
      <c r="Z678" s="11"/>
      <c r="AA678" s="48"/>
      <c r="AB678" s="11"/>
      <c r="AC678" s="48"/>
      <c r="AD678" s="11"/>
      <c r="AE678" s="47"/>
      <c r="AF678" s="11"/>
      <c r="AG678" s="48"/>
      <c r="AH678" s="11"/>
      <c r="AI678" s="48"/>
      <c r="AJ678" s="11"/>
      <c r="AK678" s="48"/>
      <c r="AL678" s="11"/>
      <c r="AM678" s="49"/>
      <c r="AN678" s="49"/>
      <c r="AO678" s="11"/>
      <c r="AP678" s="11"/>
      <c r="AQ678" s="28" t="b">
        <f>IF(COUNTIF(SmartStatus!A$2:A1000, AM678) &gt; 2, TRUE, FALSE)</f>
        <v>0</v>
      </c>
      <c r="AR678" s="29" t="str">
        <f ca="1">IFERROR(__xludf.DUMMYFUNCTION("iferror(if(regexmatch(AO678, ""(?i)^registered""), if(EE678 &lt;&gt; ""polity_shortest_name"", ""CHECK_POLITY"", index(filter(SmartStatus!B$2:B1000, AM678 = SmartStatus!A$2:A1000, not(SmartStatus!C$2:C1000), (isblank(SmartStatus!D$2:D1000)) + ((P678 &lt;&gt; """") * "&amp;"(P678 &lt; SmartStatus!D$2:D1000)), (isblank(SmartStatus!E$2:E1000)) + ((P678 &lt;&gt; """") * (P678 &gt;= SmartStatus!E$2:E1000)), (isblank(SmartStatus!F$2:F1000)) + (((Q678 &lt;&gt; """") * (Q678 &lt; SmartStatus!F$2:F1000)) + ((P678 &lt;&gt; """") * (date(year(P678) + 3, month(P"&amp;"678), day(P678)) &lt; SmartStatus!F$2:F1000))), (isblank(SmartStatus!G$2:G1000)) + (((Q678 &lt;&gt; """") * (Q678 &gt;= SmartStatus!G$2:G1000)) + ((P678 &lt;&gt; """") * (P678 &gt;= SmartStatus!G$2:G1000)))), if(or(regexmatch(B678, ""(?i)^ir [a-z]+ designation$""), N678 &lt;&gt; """&amp;"""), 1, 2))), """"), ""NO_MATCH"")"),"")</f>
        <v/>
      </c>
      <c r="AS678" s="11"/>
      <c r="AT678" s="15"/>
      <c r="AU678" s="11"/>
      <c r="AV678" s="11"/>
      <c r="AW678" s="15"/>
      <c r="AX678" s="15"/>
      <c r="AY678" s="15"/>
      <c r="AZ678" s="11"/>
      <c r="BA678" s="15"/>
      <c r="BB678" s="11"/>
      <c r="BC678" s="11"/>
      <c r="BD678" s="15"/>
      <c r="BE678" s="11"/>
      <c r="BF678" s="11"/>
      <c r="BG678" s="15"/>
      <c r="BH678" s="15"/>
      <c r="BI678" s="15"/>
      <c r="BJ678" s="11"/>
      <c r="BK678" s="15"/>
      <c r="BL678" s="11"/>
      <c r="BM678" s="11"/>
      <c r="BN678" s="15"/>
      <c r="BO678" s="11"/>
      <c r="BP678" s="11"/>
      <c r="BQ678" s="15"/>
      <c r="BR678" s="15"/>
      <c r="BS678" s="15"/>
      <c r="BT678" s="11"/>
      <c r="BU678" s="15"/>
      <c r="BV678" s="11"/>
      <c r="BW678" s="11"/>
      <c r="BX678" s="15"/>
      <c r="BY678" s="11"/>
      <c r="BZ678" s="11"/>
      <c r="CA678" s="15"/>
      <c r="CB678" s="11"/>
      <c r="CC678" s="15"/>
      <c r="CD678" s="11"/>
      <c r="CE678" s="15"/>
      <c r="CF678" s="11"/>
      <c r="CG678" s="11"/>
      <c r="CH678" s="15"/>
      <c r="CI678" s="11"/>
      <c r="CJ678" s="11"/>
      <c r="CK678" s="15"/>
      <c r="CL678" s="11"/>
      <c r="CM678" s="11"/>
      <c r="CN678" s="11"/>
      <c r="CO678" s="11"/>
      <c r="CP678" s="28"/>
      <c r="CQ678" s="28"/>
      <c r="CR678" s="11"/>
      <c r="CS678" s="29"/>
      <c r="CT678" s="11"/>
      <c r="CU678" s="11"/>
      <c r="CV678" s="11"/>
      <c r="CW678" s="11"/>
      <c r="CX678" s="11"/>
      <c r="CY678" s="11"/>
      <c r="CZ678" s="11"/>
      <c r="DA678" s="28"/>
      <c r="DB678" s="28"/>
      <c r="DC678" s="11"/>
      <c r="DD678" s="29"/>
      <c r="DE678" s="11"/>
      <c r="DF678" s="11"/>
      <c r="DG678" s="11"/>
      <c r="DH678" s="11"/>
      <c r="DI678" s="11"/>
      <c r="DJ678" s="11"/>
      <c r="DK678" s="26"/>
      <c r="DL678" s="11"/>
      <c r="DM678" s="29"/>
      <c r="DN678" s="28"/>
      <c r="DO678" s="11"/>
      <c r="DP678" s="11"/>
      <c r="DQ678" s="11"/>
      <c r="DR678" s="29"/>
      <c r="DS678" s="28"/>
      <c r="DT678" s="11"/>
      <c r="DU678" s="26"/>
      <c r="DV678" s="11"/>
      <c r="DW678" s="29"/>
      <c r="DX678" s="28"/>
      <c r="DY678" s="11"/>
      <c r="DZ678" s="26"/>
      <c r="EA678" s="11"/>
      <c r="EB678" s="29"/>
      <c r="EC678" s="28"/>
      <c r="ED678" s="30"/>
      <c r="EE678" s="30" t="str">
        <f ca="1">IFERROR(__xludf.DUMMYFUNCTION("iferror(index(filter('Internal -- Trademark Countries'!E$2:E1000, (AM678 = 'Internal -- Trademark Countries'!B$2:B1000) + (AM678 = 'Internal -- Trademark Countries'!C$2:C1000) + (AM678 = 'Internal -- Trademark Countries'!D$2:D1000)), 1))"),"")</f>
        <v/>
      </c>
      <c r="EF678" s="30" t="e">
        <f ca="1">_xludf.ifs(AM678="", "", COUNTIF('Internal -- Trademark Countries'!B:B,AM678) &gt; 0, "polity_shortest_name", COUNTIF('Internal -- Trademark Countries'!C:C,AM678) &gt; 0, "polity_full_name", COUNTIF('Internal -- Trademark Countries'!D:D,AM678) &gt; 0, "polity_common_name", COUNTIF('Internal -- Trademark Countries'!E:E,AM678) &gt; 0, "shortest_name", COUNTIF('Internal -- Trademark Countries'!A:A,AM678) &gt; 0, "full_name", TRUE, "not a match")</f>
        <v>#NAME?</v>
      </c>
      <c r="EG678" s="30"/>
      <c r="EH678" s="30"/>
      <c r="EI678" s="30"/>
      <c r="EJ678" s="30"/>
      <c r="EK678" s="30" t="str">
        <f t="shared" si="4"/>
        <v/>
      </c>
    </row>
    <row r="679" spans="1:141" ht="16.5">
      <c r="A679" s="11"/>
      <c r="B679" s="11"/>
      <c r="C679" s="11"/>
      <c r="D679" s="11"/>
      <c r="E679" s="11"/>
      <c r="F679" s="11"/>
      <c r="G679" s="11"/>
      <c r="H679" s="11"/>
      <c r="I679" s="11"/>
      <c r="J679" s="11"/>
      <c r="K679" s="27"/>
      <c r="L679" s="11"/>
      <c r="M679" s="11"/>
      <c r="N679" s="11"/>
      <c r="O679" s="11"/>
      <c r="P679" s="15"/>
      <c r="Q679" s="15"/>
      <c r="R679" s="15"/>
      <c r="S679" s="15"/>
      <c r="T679" s="15"/>
      <c r="U679" s="15"/>
      <c r="V679" s="15"/>
      <c r="W679" s="47"/>
      <c r="X679" s="11"/>
      <c r="Y679" s="48"/>
      <c r="Z679" s="11"/>
      <c r="AA679" s="48"/>
      <c r="AB679" s="11"/>
      <c r="AC679" s="48"/>
      <c r="AD679" s="11"/>
      <c r="AE679" s="47"/>
      <c r="AF679" s="11"/>
      <c r="AG679" s="48"/>
      <c r="AH679" s="11"/>
      <c r="AI679" s="48"/>
      <c r="AJ679" s="11"/>
      <c r="AK679" s="48"/>
      <c r="AL679" s="11"/>
      <c r="AM679" s="49"/>
      <c r="AN679" s="49"/>
      <c r="AO679" s="11"/>
      <c r="AP679" s="11"/>
      <c r="AQ679" s="28" t="b">
        <f>IF(COUNTIF(SmartStatus!A$2:A1000, AM679) &gt; 2, TRUE, FALSE)</f>
        <v>0</v>
      </c>
      <c r="AR679" s="29" t="str">
        <f ca="1">IFERROR(__xludf.DUMMYFUNCTION("iferror(if(regexmatch(AO679, ""(?i)^registered""), if(EE679 &lt;&gt; ""polity_shortest_name"", ""CHECK_POLITY"", index(filter(SmartStatus!B$2:B1000, AM679 = SmartStatus!A$2:A1000, not(SmartStatus!C$2:C1000), (isblank(SmartStatus!D$2:D1000)) + ((P679 &lt;&gt; """") * "&amp;"(P679 &lt; SmartStatus!D$2:D1000)), (isblank(SmartStatus!E$2:E1000)) + ((P679 &lt;&gt; """") * (P679 &gt;= SmartStatus!E$2:E1000)), (isblank(SmartStatus!F$2:F1000)) + (((Q679 &lt;&gt; """") * (Q679 &lt; SmartStatus!F$2:F1000)) + ((P679 &lt;&gt; """") * (date(year(P679) + 3, month(P"&amp;"679), day(P679)) &lt; SmartStatus!F$2:F1000))), (isblank(SmartStatus!G$2:G1000)) + (((Q679 &lt;&gt; """") * (Q679 &gt;= SmartStatus!G$2:G1000)) + ((P679 &lt;&gt; """") * (P679 &gt;= SmartStatus!G$2:G1000)))), if(or(regexmatch(B679, ""(?i)^ir [a-z]+ designation$""), N679 &lt;&gt; """&amp;"""), 1, 2))), """"), ""NO_MATCH"")"),"")</f>
        <v/>
      </c>
      <c r="AS679" s="11"/>
      <c r="AT679" s="15"/>
      <c r="AU679" s="11"/>
      <c r="AV679" s="11"/>
      <c r="AW679" s="15"/>
      <c r="AX679" s="15"/>
      <c r="AY679" s="15"/>
      <c r="AZ679" s="11"/>
      <c r="BA679" s="15"/>
      <c r="BB679" s="11"/>
      <c r="BC679" s="11"/>
      <c r="BD679" s="15"/>
      <c r="BE679" s="11"/>
      <c r="BF679" s="11"/>
      <c r="BG679" s="15"/>
      <c r="BH679" s="15"/>
      <c r="BI679" s="15"/>
      <c r="BJ679" s="11"/>
      <c r="BK679" s="15"/>
      <c r="BL679" s="11"/>
      <c r="BM679" s="11"/>
      <c r="BN679" s="15"/>
      <c r="BO679" s="11"/>
      <c r="BP679" s="11"/>
      <c r="BQ679" s="15"/>
      <c r="BR679" s="15"/>
      <c r="BS679" s="15"/>
      <c r="BT679" s="11"/>
      <c r="BU679" s="15"/>
      <c r="BV679" s="11"/>
      <c r="BW679" s="11"/>
      <c r="BX679" s="15"/>
      <c r="BY679" s="11"/>
      <c r="BZ679" s="11"/>
      <c r="CA679" s="15"/>
      <c r="CB679" s="11"/>
      <c r="CC679" s="15"/>
      <c r="CD679" s="11"/>
      <c r="CE679" s="15"/>
      <c r="CF679" s="11"/>
      <c r="CG679" s="11"/>
      <c r="CH679" s="15"/>
      <c r="CI679" s="11"/>
      <c r="CJ679" s="11"/>
      <c r="CK679" s="15"/>
      <c r="CL679" s="11"/>
      <c r="CM679" s="11"/>
      <c r="CN679" s="11"/>
      <c r="CO679" s="11"/>
      <c r="CP679" s="28"/>
      <c r="CQ679" s="28"/>
      <c r="CR679" s="11"/>
      <c r="CS679" s="29"/>
      <c r="CT679" s="11"/>
      <c r="CU679" s="11"/>
      <c r="CV679" s="11"/>
      <c r="CW679" s="11"/>
      <c r="CX679" s="11"/>
      <c r="CY679" s="11"/>
      <c r="CZ679" s="11"/>
      <c r="DA679" s="28"/>
      <c r="DB679" s="28"/>
      <c r="DC679" s="11"/>
      <c r="DD679" s="29"/>
      <c r="DE679" s="11"/>
      <c r="DF679" s="11"/>
      <c r="DG679" s="11"/>
      <c r="DH679" s="11"/>
      <c r="DI679" s="11"/>
      <c r="DJ679" s="11"/>
      <c r="DK679" s="26"/>
      <c r="DL679" s="11"/>
      <c r="DM679" s="29"/>
      <c r="DN679" s="28"/>
      <c r="DO679" s="11"/>
      <c r="DP679" s="11"/>
      <c r="DQ679" s="11"/>
      <c r="DR679" s="29"/>
      <c r="DS679" s="28"/>
      <c r="DT679" s="11"/>
      <c r="DU679" s="26"/>
      <c r="DV679" s="11"/>
      <c r="DW679" s="29"/>
      <c r="DX679" s="28"/>
      <c r="DY679" s="11"/>
      <c r="DZ679" s="26"/>
      <c r="EA679" s="11"/>
      <c r="EB679" s="29"/>
      <c r="EC679" s="28"/>
      <c r="ED679" s="30"/>
      <c r="EE679" s="30" t="str">
        <f ca="1">IFERROR(__xludf.DUMMYFUNCTION("iferror(index(filter('Internal -- Trademark Countries'!E$2:E1000, (AM679 = 'Internal -- Trademark Countries'!B$2:B1000) + (AM679 = 'Internal -- Trademark Countries'!C$2:C1000) + (AM679 = 'Internal -- Trademark Countries'!D$2:D1000)), 1))"),"")</f>
        <v/>
      </c>
      <c r="EF679" s="30" t="e">
        <f ca="1">_xludf.ifs(AM679="", "", COUNTIF('Internal -- Trademark Countries'!B:B,AM679) &gt; 0, "polity_shortest_name", COUNTIF('Internal -- Trademark Countries'!C:C,AM679) &gt; 0, "polity_full_name", COUNTIF('Internal -- Trademark Countries'!D:D,AM679) &gt; 0, "polity_common_name", COUNTIF('Internal -- Trademark Countries'!E:E,AM679) &gt; 0, "shortest_name", COUNTIF('Internal -- Trademark Countries'!A:A,AM679) &gt; 0, "full_name", TRUE, "not a match")</f>
        <v>#NAME?</v>
      </c>
      <c r="EG679" s="30"/>
      <c r="EH679" s="30"/>
      <c r="EI679" s="30"/>
      <c r="EJ679" s="30"/>
      <c r="EK679" s="30" t="str">
        <f t="shared" si="4"/>
        <v/>
      </c>
    </row>
    <row r="680" spans="1:141" ht="16.5">
      <c r="A680" s="11"/>
      <c r="B680" s="11"/>
      <c r="C680" s="11"/>
      <c r="D680" s="11"/>
      <c r="E680" s="11"/>
      <c r="F680" s="11"/>
      <c r="G680" s="11"/>
      <c r="H680" s="11"/>
      <c r="I680" s="11"/>
      <c r="J680" s="11"/>
      <c r="K680" s="27"/>
      <c r="L680" s="11"/>
      <c r="M680" s="11"/>
      <c r="N680" s="11"/>
      <c r="O680" s="11"/>
      <c r="P680" s="15"/>
      <c r="Q680" s="15"/>
      <c r="R680" s="15"/>
      <c r="S680" s="15"/>
      <c r="T680" s="15"/>
      <c r="U680" s="15"/>
      <c r="V680" s="15"/>
      <c r="W680" s="47"/>
      <c r="X680" s="11"/>
      <c r="Y680" s="48"/>
      <c r="Z680" s="11"/>
      <c r="AA680" s="48"/>
      <c r="AB680" s="11"/>
      <c r="AC680" s="48"/>
      <c r="AD680" s="11"/>
      <c r="AE680" s="47"/>
      <c r="AF680" s="11"/>
      <c r="AG680" s="48"/>
      <c r="AH680" s="11"/>
      <c r="AI680" s="48"/>
      <c r="AJ680" s="11"/>
      <c r="AK680" s="48"/>
      <c r="AL680" s="11"/>
      <c r="AM680" s="49"/>
      <c r="AN680" s="49"/>
      <c r="AO680" s="11"/>
      <c r="AP680" s="11"/>
      <c r="AQ680" s="28" t="b">
        <f>IF(COUNTIF(SmartStatus!A$2:A1000, AM680) &gt; 2, TRUE, FALSE)</f>
        <v>0</v>
      </c>
      <c r="AR680" s="29" t="str">
        <f ca="1">IFERROR(__xludf.DUMMYFUNCTION("iferror(if(regexmatch(AO680, ""(?i)^registered""), if(EE680 &lt;&gt; ""polity_shortest_name"", ""CHECK_POLITY"", index(filter(SmartStatus!B$2:B1000, AM680 = SmartStatus!A$2:A1000, not(SmartStatus!C$2:C1000), (isblank(SmartStatus!D$2:D1000)) + ((P680 &lt;&gt; """") * "&amp;"(P680 &lt; SmartStatus!D$2:D1000)), (isblank(SmartStatus!E$2:E1000)) + ((P680 &lt;&gt; """") * (P680 &gt;= SmartStatus!E$2:E1000)), (isblank(SmartStatus!F$2:F1000)) + (((Q680 &lt;&gt; """") * (Q680 &lt; SmartStatus!F$2:F1000)) + ((P680 &lt;&gt; """") * (date(year(P680) + 3, month(P"&amp;"680), day(P680)) &lt; SmartStatus!F$2:F1000))), (isblank(SmartStatus!G$2:G1000)) + (((Q680 &lt;&gt; """") * (Q680 &gt;= SmartStatus!G$2:G1000)) + ((P680 &lt;&gt; """") * (P680 &gt;= SmartStatus!G$2:G1000)))), if(or(regexmatch(B680, ""(?i)^ir [a-z]+ designation$""), N680 &lt;&gt; """&amp;"""), 1, 2))), """"), ""NO_MATCH"")"),"")</f>
        <v/>
      </c>
      <c r="AS680" s="11"/>
      <c r="AT680" s="15"/>
      <c r="AU680" s="11"/>
      <c r="AV680" s="11"/>
      <c r="AW680" s="15"/>
      <c r="AX680" s="15"/>
      <c r="AY680" s="15"/>
      <c r="AZ680" s="11"/>
      <c r="BA680" s="15"/>
      <c r="BB680" s="11"/>
      <c r="BC680" s="11"/>
      <c r="BD680" s="15"/>
      <c r="BE680" s="11"/>
      <c r="BF680" s="11"/>
      <c r="BG680" s="15"/>
      <c r="BH680" s="15"/>
      <c r="BI680" s="15"/>
      <c r="BJ680" s="11"/>
      <c r="BK680" s="15"/>
      <c r="BL680" s="11"/>
      <c r="BM680" s="11"/>
      <c r="BN680" s="15"/>
      <c r="BO680" s="11"/>
      <c r="BP680" s="11"/>
      <c r="BQ680" s="15"/>
      <c r="BR680" s="15"/>
      <c r="BS680" s="15"/>
      <c r="BT680" s="11"/>
      <c r="BU680" s="15"/>
      <c r="BV680" s="11"/>
      <c r="BW680" s="11"/>
      <c r="BX680" s="15"/>
      <c r="BY680" s="11"/>
      <c r="BZ680" s="11"/>
      <c r="CA680" s="15"/>
      <c r="CB680" s="11"/>
      <c r="CC680" s="15"/>
      <c r="CD680" s="11"/>
      <c r="CE680" s="15"/>
      <c r="CF680" s="11"/>
      <c r="CG680" s="11"/>
      <c r="CH680" s="15"/>
      <c r="CI680" s="11"/>
      <c r="CJ680" s="11"/>
      <c r="CK680" s="15"/>
      <c r="CL680" s="11"/>
      <c r="CM680" s="11"/>
      <c r="CN680" s="11"/>
      <c r="CO680" s="11"/>
      <c r="CP680" s="28"/>
      <c r="CQ680" s="28"/>
      <c r="CR680" s="11"/>
      <c r="CS680" s="29"/>
      <c r="CT680" s="11"/>
      <c r="CU680" s="11"/>
      <c r="CV680" s="11"/>
      <c r="CW680" s="11"/>
      <c r="CX680" s="11"/>
      <c r="CY680" s="11"/>
      <c r="CZ680" s="11"/>
      <c r="DA680" s="28"/>
      <c r="DB680" s="28"/>
      <c r="DC680" s="11"/>
      <c r="DD680" s="29"/>
      <c r="DE680" s="11"/>
      <c r="DF680" s="11"/>
      <c r="DG680" s="11"/>
      <c r="DH680" s="11"/>
      <c r="DI680" s="11"/>
      <c r="DJ680" s="11"/>
      <c r="DK680" s="26"/>
      <c r="DL680" s="11"/>
      <c r="DM680" s="29"/>
      <c r="DN680" s="28"/>
      <c r="DO680" s="11"/>
      <c r="DP680" s="11"/>
      <c r="DQ680" s="11"/>
      <c r="DR680" s="29"/>
      <c r="DS680" s="28"/>
      <c r="DT680" s="11"/>
      <c r="DU680" s="26"/>
      <c r="DV680" s="11"/>
      <c r="DW680" s="29"/>
      <c r="DX680" s="28"/>
      <c r="DY680" s="11"/>
      <c r="DZ680" s="26"/>
      <c r="EA680" s="11"/>
      <c r="EB680" s="29"/>
      <c r="EC680" s="28"/>
      <c r="ED680" s="30"/>
      <c r="EE680" s="30" t="str">
        <f ca="1">IFERROR(__xludf.DUMMYFUNCTION("iferror(index(filter('Internal -- Trademark Countries'!E$2:E1000, (AM680 = 'Internal -- Trademark Countries'!B$2:B1000) + (AM680 = 'Internal -- Trademark Countries'!C$2:C1000) + (AM680 = 'Internal -- Trademark Countries'!D$2:D1000)), 1))"),"")</f>
        <v/>
      </c>
      <c r="EF680" s="30" t="e">
        <f ca="1">_xludf.ifs(AM680="", "", COUNTIF('Internal -- Trademark Countries'!B:B,AM680) &gt; 0, "polity_shortest_name", COUNTIF('Internal -- Trademark Countries'!C:C,AM680) &gt; 0, "polity_full_name", COUNTIF('Internal -- Trademark Countries'!D:D,AM680) &gt; 0, "polity_common_name", COUNTIF('Internal -- Trademark Countries'!E:E,AM680) &gt; 0, "shortest_name", COUNTIF('Internal -- Trademark Countries'!A:A,AM680) &gt; 0, "full_name", TRUE, "not a match")</f>
        <v>#NAME?</v>
      </c>
      <c r="EG680" s="30"/>
      <c r="EH680" s="30"/>
      <c r="EI680" s="30"/>
      <c r="EJ680" s="30"/>
      <c r="EK680" s="30" t="str">
        <f t="shared" si="4"/>
        <v/>
      </c>
    </row>
    <row r="681" spans="1:141" ht="16.5">
      <c r="A681" s="11"/>
      <c r="B681" s="11"/>
      <c r="C681" s="11"/>
      <c r="D681" s="11"/>
      <c r="E681" s="11"/>
      <c r="F681" s="11"/>
      <c r="G681" s="11"/>
      <c r="H681" s="11"/>
      <c r="I681" s="11"/>
      <c r="J681" s="11"/>
      <c r="K681" s="27"/>
      <c r="L681" s="11"/>
      <c r="M681" s="11"/>
      <c r="N681" s="11"/>
      <c r="O681" s="11"/>
      <c r="P681" s="15"/>
      <c r="Q681" s="15"/>
      <c r="R681" s="15"/>
      <c r="S681" s="15"/>
      <c r="T681" s="15"/>
      <c r="U681" s="15"/>
      <c r="V681" s="15"/>
      <c r="W681" s="47"/>
      <c r="X681" s="11"/>
      <c r="Y681" s="48"/>
      <c r="Z681" s="11"/>
      <c r="AA681" s="48"/>
      <c r="AB681" s="11"/>
      <c r="AC681" s="48"/>
      <c r="AD681" s="11"/>
      <c r="AE681" s="47"/>
      <c r="AF681" s="11"/>
      <c r="AG681" s="48"/>
      <c r="AH681" s="11"/>
      <c r="AI681" s="48"/>
      <c r="AJ681" s="11"/>
      <c r="AK681" s="48"/>
      <c r="AL681" s="11"/>
      <c r="AM681" s="49"/>
      <c r="AN681" s="49"/>
      <c r="AO681" s="11"/>
      <c r="AP681" s="11"/>
      <c r="AQ681" s="28" t="b">
        <f>IF(COUNTIF(SmartStatus!A$2:A1000, AM681) &gt; 2, TRUE, FALSE)</f>
        <v>0</v>
      </c>
      <c r="AR681" s="29" t="str">
        <f ca="1">IFERROR(__xludf.DUMMYFUNCTION("iferror(if(regexmatch(AO681, ""(?i)^registered""), if(EE681 &lt;&gt; ""polity_shortest_name"", ""CHECK_POLITY"", index(filter(SmartStatus!B$2:B1000, AM681 = SmartStatus!A$2:A1000, not(SmartStatus!C$2:C1000), (isblank(SmartStatus!D$2:D1000)) + ((P681 &lt;&gt; """") * "&amp;"(P681 &lt; SmartStatus!D$2:D1000)), (isblank(SmartStatus!E$2:E1000)) + ((P681 &lt;&gt; """") * (P681 &gt;= SmartStatus!E$2:E1000)), (isblank(SmartStatus!F$2:F1000)) + (((Q681 &lt;&gt; """") * (Q681 &lt; SmartStatus!F$2:F1000)) + ((P681 &lt;&gt; """") * (date(year(P681) + 3, month(P"&amp;"681), day(P681)) &lt; SmartStatus!F$2:F1000))), (isblank(SmartStatus!G$2:G1000)) + (((Q681 &lt;&gt; """") * (Q681 &gt;= SmartStatus!G$2:G1000)) + ((P681 &lt;&gt; """") * (P681 &gt;= SmartStatus!G$2:G1000)))), if(or(regexmatch(B681, ""(?i)^ir [a-z]+ designation$""), N681 &lt;&gt; """&amp;"""), 1, 2))), """"), ""NO_MATCH"")"),"")</f>
        <v/>
      </c>
      <c r="AS681" s="11"/>
      <c r="AT681" s="15"/>
      <c r="AU681" s="11"/>
      <c r="AV681" s="11"/>
      <c r="AW681" s="15"/>
      <c r="AX681" s="15"/>
      <c r="AY681" s="15"/>
      <c r="AZ681" s="11"/>
      <c r="BA681" s="15"/>
      <c r="BB681" s="11"/>
      <c r="BC681" s="11"/>
      <c r="BD681" s="15"/>
      <c r="BE681" s="11"/>
      <c r="BF681" s="11"/>
      <c r="BG681" s="15"/>
      <c r="BH681" s="15"/>
      <c r="BI681" s="15"/>
      <c r="BJ681" s="11"/>
      <c r="BK681" s="15"/>
      <c r="BL681" s="11"/>
      <c r="BM681" s="11"/>
      <c r="BN681" s="15"/>
      <c r="BO681" s="11"/>
      <c r="BP681" s="11"/>
      <c r="BQ681" s="15"/>
      <c r="BR681" s="15"/>
      <c r="BS681" s="15"/>
      <c r="BT681" s="11"/>
      <c r="BU681" s="15"/>
      <c r="BV681" s="11"/>
      <c r="BW681" s="11"/>
      <c r="BX681" s="15"/>
      <c r="BY681" s="11"/>
      <c r="BZ681" s="11"/>
      <c r="CA681" s="15"/>
      <c r="CB681" s="11"/>
      <c r="CC681" s="15"/>
      <c r="CD681" s="11"/>
      <c r="CE681" s="15"/>
      <c r="CF681" s="11"/>
      <c r="CG681" s="11"/>
      <c r="CH681" s="15"/>
      <c r="CI681" s="11"/>
      <c r="CJ681" s="11"/>
      <c r="CK681" s="15"/>
      <c r="CL681" s="11"/>
      <c r="CM681" s="11"/>
      <c r="CN681" s="11"/>
      <c r="CO681" s="11"/>
      <c r="CP681" s="28"/>
      <c r="CQ681" s="28"/>
      <c r="CR681" s="11"/>
      <c r="CS681" s="29"/>
      <c r="CT681" s="11"/>
      <c r="CU681" s="11"/>
      <c r="CV681" s="11"/>
      <c r="CW681" s="11"/>
      <c r="CX681" s="11"/>
      <c r="CY681" s="11"/>
      <c r="CZ681" s="11"/>
      <c r="DA681" s="28"/>
      <c r="DB681" s="28"/>
      <c r="DC681" s="11"/>
      <c r="DD681" s="29"/>
      <c r="DE681" s="11"/>
      <c r="DF681" s="11"/>
      <c r="DG681" s="11"/>
      <c r="DH681" s="11"/>
      <c r="DI681" s="11"/>
      <c r="DJ681" s="11"/>
      <c r="DK681" s="26"/>
      <c r="DL681" s="11"/>
      <c r="DM681" s="29"/>
      <c r="DN681" s="28"/>
      <c r="DO681" s="11"/>
      <c r="DP681" s="11"/>
      <c r="DQ681" s="11"/>
      <c r="DR681" s="29"/>
      <c r="DS681" s="28"/>
      <c r="DT681" s="11"/>
      <c r="DU681" s="26"/>
      <c r="DV681" s="11"/>
      <c r="DW681" s="29"/>
      <c r="DX681" s="28"/>
      <c r="DY681" s="11"/>
      <c r="DZ681" s="26"/>
      <c r="EA681" s="11"/>
      <c r="EB681" s="29"/>
      <c r="EC681" s="28"/>
      <c r="ED681" s="30"/>
      <c r="EE681" s="30" t="str">
        <f ca="1">IFERROR(__xludf.DUMMYFUNCTION("iferror(index(filter('Internal -- Trademark Countries'!E$2:E1000, (AM681 = 'Internal -- Trademark Countries'!B$2:B1000) + (AM681 = 'Internal -- Trademark Countries'!C$2:C1000) + (AM681 = 'Internal -- Trademark Countries'!D$2:D1000)), 1))"),"")</f>
        <v/>
      </c>
      <c r="EF681" s="30" t="e">
        <f ca="1">_xludf.ifs(AM681="", "", COUNTIF('Internal -- Trademark Countries'!B:B,AM681) &gt; 0, "polity_shortest_name", COUNTIF('Internal -- Trademark Countries'!C:C,AM681) &gt; 0, "polity_full_name", COUNTIF('Internal -- Trademark Countries'!D:D,AM681) &gt; 0, "polity_common_name", COUNTIF('Internal -- Trademark Countries'!E:E,AM681) &gt; 0, "shortest_name", COUNTIF('Internal -- Trademark Countries'!A:A,AM681) &gt; 0, "full_name", TRUE, "not a match")</f>
        <v>#NAME?</v>
      </c>
      <c r="EG681" s="30"/>
      <c r="EH681" s="30"/>
      <c r="EI681" s="30"/>
      <c r="EJ681" s="30"/>
      <c r="EK681" s="30" t="str">
        <f t="shared" si="4"/>
        <v/>
      </c>
    </row>
    <row r="682" spans="1:141" ht="16.5">
      <c r="A682" s="11"/>
      <c r="B682" s="11"/>
      <c r="C682" s="11"/>
      <c r="D682" s="11"/>
      <c r="E682" s="11"/>
      <c r="F682" s="11"/>
      <c r="G682" s="11"/>
      <c r="H682" s="11"/>
      <c r="I682" s="11"/>
      <c r="J682" s="11"/>
      <c r="K682" s="27"/>
      <c r="L682" s="11"/>
      <c r="M682" s="11"/>
      <c r="N682" s="11"/>
      <c r="O682" s="11"/>
      <c r="P682" s="15"/>
      <c r="Q682" s="15"/>
      <c r="R682" s="15"/>
      <c r="S682" s="15"/>
      <c r="T682" s="15"/>
      <c r="U682" s="15"/>
      <c r="V682" s="15"/>
      <c r="W682" s="47"/>
      <c r="X682" s="11"/>
      <c r="Y682" s="48"/>
      <c r="Z682" s="11"/>
      <c r="AA682" s="48"/>
      <c r="AB682" s="11"/>
      <c r="AC682" s="48"/>
      <c r="AD682" s="11"/>
      <c r="AE682" s="47"/>
      <c r="AF682" s="11"/>
      <c r="AG682" s="48"/>
      <c r="AH682" s="11"/>
      <c r="AI682" s="48"/>
      <c r="AJ682" s="11"/>
      <c r="AK682" s="48"/>
      <c r="AL682" s="11"/>
      <c r="AM682" s="49"/>
      <c r="AN682" s="49"/>
      <c r="AO682" s="11"/>
      <c r="AP682" s="11"/>
      <c r="AQ682" s="28" t="b">
        <f>IF(COUNTIF(SmartStatus!A$2:A1000, AM682) &gt; 2, TRUE, FALSE)</f>
        <v>0</v>
      </c>
      <c r="AR682" s="29" t="str">
        <f ca="1">IFERROR(__xludf.DUMMYFUNCTION("iferror(if(regexmatch(AO682, ""(?i)^registered""), if(EE682 &lt;&gt; ""polity_shortest_name"", ""CHECK_POLITY"", index(filter(SmartStatus!B$2:B1000, AM682 = SmartStatus!A$2:A1000, not(SmartStatus!C$2:C1000), (isblank(SmartStatus!D$2:D1000)) + ((P682 &lt;&gt; """") * "&amp;"(P682 &lt; SmartStatus!D$2:D1000)), (isblank(SmartStatus!E$2:E1000)) + ((P682 &lt;&gt; """") * (P682 &gt;= SmartStatus!E$2:E1000)), (isblank(SmartStatus!F$2:F1000)) + (((Q682 &lt;&gt; """") * (Q682 &lt; SmartStatus!F$2:F1000)) + ((P682 &lt;&gt; """") * (date(year(P682) + 3, month(P"&amp;"682), day(P682)) &lt; SmartStatus!F$2:F1000))), (isblank(SmartStatus!G$2:G1000)) + (((Q682 &lt;&gt; """") * (Q682 &gt;= SmartStatus!G$2:G1000)) + ((P682 &lt;&gt; """") * (P682 &gt;= SmartStatus!G$2:G1000)))), if(or(regexmatch(B682, ""(?i)^ir [a-z]+ designation$""), N682 &lt;&gt; """&amp;"""), 1, 2))), """"), ""NO_MATCH"")"),"")</f>
        <v/>
      </c>
      <c r="AS682" s="11"/>
      <c r="AT682" s="15"/>
      <c r="AU682" s="11"/>
      <c r="AV682" s="11"/>
      <c r="AW682" s="15"/>
      <c r="AX682" s="15"/>
      <c r="AY682" s="15"/>
      <c r="AZ682" s="11"/>
      <c r="BA682" s="15"/>
      <c r="BB682" s="11"/>
      <c r="BC682" s="11"/>
      <c r="BD682" s="15"/>
      <c r="BE682" s="11"/>
      <c r="BF682" s="11"/>
      <c r="BG682" s="15"/>
      <c r="BH682" s="15"/>
      <c r="BI682" s="15"/>
      <c r="BJ682" s="11"/>
      <c r="BK682" s="15"/>
      <c r="BL682" s="11"/>
      <c r="BM682" s="11"/>
      <c r="BN682" s="15"/>
      <c r="BO682" s="11"/>
      <c r="BP682" s="11"/>
      <c r="BQ682" s="15"/>
      <c r="BR682" s="15"/>
      <c r="BS682" s="15"/>
      <c r="BT682" s="11"/>
      <c r="BU682" s="15"/>
      <c r="BV682" s="11"/>
      <c r="BW682" s="11"/>
      <c r="BX682" s="15"/>
      <c r="BY682" s="11"/>
      <c r="BZ682" s="11"/>
      <c r="CA682" s="15"/>
      <c r="CB682" s="11"/>
      <c r="CC682" s="15"/>
      <c r="CD682" s="11"/>
      <c r="CE682" s="15"/>
      <c r="CF682" s="11"/>
      <c r="CG682" s="11"/>
      <c r="CH682" s="15"/>
      <c r="CI682" s="11"/>
      <c r="CJ682" s="11"/>
      <c r="CK682" s="15"/>
      <c r="CL682" s="11"/>
      <c r="CM682" s="11"/>
      <c r="CN682" s="11"/>
      <c r="CO682" s="11"/>
      <c r="CP682" s="28"/>
      <c r="CQ682" s="28"/>
      <c r="CR682" s="11"/>
      <c r="CS682" s="29"/>
      <c r="CT682" s="11"/>
      <c r="CU682" s="11"/>
      <c r="CV682" s="11"/>
      <c r="CW682" s="11"/>
      <c r="CX682" s="11"/>
      <c r="CY682" s="11"/>
      <c r="CZ682" s="11"/>
      <c r="DA682" s="28"/>
      <c r="DB682" s="28"/>
      <c r="DC682" s="11"/>
      <c r="DD682" s="29"/>
      <c r="DE682" s="11"/>
      <c r="DF682" s="11"/>
      <c r="DG682" s="11"/>
      <c r="DH682" s="11"/>
      <c r="DI682" s="11"/>
      <c r="DJ682" s="11"/>
      <c r="DK682" s="26"/>
      <c r="DL682" s="11"/>
      <c r="DM682" s="29"/>
      <c r="DN682" s="28"/>
      <c r="DO682" s="11"/>
      <c r="DP682" s="11"/>
      <c r="DQ682" s="11"/>
      <c r="DR682" s="29"/>
      <c r="DS682" s="28"/>
      <c r="DT682" s="11"/>
      <c r="DU682" s="26"/>
      <c r="DV682" s="11"/>
      <c r="DW682" s="29"/>
      <c r="DX682" s="28"/>
      <c r="DY682" s="11"/>
      <c r="DZ682" s="26"/>
      <c r="EA682" s="11"/>
      <c r="EB682" s="29"/>
      <c r="EC682" s="28"/>
      <c r="ED682" s="30"/>
      <c r="EE682" s="30" t="str">
        <f ca="1">IFERROR(__xludf.DUMMYFUNCTION("iferror(index(filter('Internal -- Trademark Countries'!E$2:E1000, (AM682 = 'Internal -- Trademark Countries'!B$2:B1000) + (AM682 = 'Internal -- Trademark Countries'!C$2:C1000) + (AM682 = 'Internal -- Trademark Countries'!D$2:D1000)), 1))"),"")</f>
        <v/>
      </c>
      <c r="EF682" s="30" t="e">
        <f ca="1">_xludf.ifs(AM682="", "", COUNTIF('Internal -- Trademark Countries'!B:B,AM682) &gt; 0, "polity_shortest_name", COUNTIF('Internal -- Trademark Countries'!C:C,AM682) &gt; 0, "polity_full_name", COUNTIF('Internal -- Trademark Countries'!D:D,AM682) &gt; 0, "polity_common_name", COUNTIF('Internal -- Trademark Countries'!E:E,AM682) &gt; 0, "shortest_name", COUNTIF('Internal -- Trademark Countries'!A:A,AM682) &gt; 0, "full_name", TRUE, "not a match")</f>
        <v>#NAME?</v>
      </c>
      <c r="EG682" s="30"/>
      <c r="EH682" s="30"/>
      <c r="EI682" s="30"/>
      <c r="EJ682" s="30"/>
      <c r="EK682" s="30" t="str">
        <f t="shared" si="4"/>
        <v/>
      </c>
    </row>
    <row r="683" spans="1:141" ht="16.5">
      <c r="A683" s="11"/>
      <c r="B683" s="11"/>
      <c r="C683" s="11"/>
      <c r="D683" s="11"/>
      <c r="E683" s="11"/>
      <c r="F683" s="11"/>
      <c r="G683" s="11"/>
      <c r="H683" s="11"/>
      <c r="I683" s="11"/>
      <c r="J683" s="11"/>
      <c r="K683" s="27"/>
      <c r="L683" s="11"/>
      <c r="M683" s="11"/>
      <c r="N683" s="11"/>
      <c r="O683" s="11"/>
      <c r="P683" s="15"/>
      <c r="Q683" s="15"/>
      <c r="R683" s="15"/>
      <c r="S683" s="15"/>
      <c r="T683" s="15"/>
      <c r="U683" s="15"/>
      <c r="V683" s="15"/>
      <c r="W683" s="47"/>
      <c r="X683" s="11"/>
      <c r="Y683" s="48"/>
      <c r="Z683" s="11"/>
      <c r="AA683" s="48"/>
      <c r="AB683" s="11"/>
      <c r="AC683" s="48"/>
      <c r="AD683" s="11"/>
      <c r="AE683" s="47"/>
      <c r="AF683" s="11"/>
      <c r="AG683" s="48"/>
      <c r="AH683" s="11"/>
      <c r="AI683" s="48"/>
      <c r="AJ683" s="11"/>
      <c r="AK683" s="48"/>
      <c r="AL683" s="11"/>
      <c r="AM683" s="49"/>
      <c r="AN683" s="49"/>
      <c r="AO683" s="11"/>
      <c r="AP683" s="11"/>
      <c r="AQ683" s="28" t="b">
        <f>IF(COUNTIF(SmartStatus!A$2:A1000, AM683) &gt; 2, TRUE, FALSE)</f>
        <v>0</v>
      </c>
      <c r="AR683" s="29" t="str">
        <f ca="1">IFERROR(__xludf.DUMMYFUNCTION("iferror(if(regexmatch(AO683, ""(?i)^registered""), if(EE683 &lt;&gt; ""polity_shortest_name"", ""CHECK_POLITY"", index(filter(SmartStatus!B$2:B1000, AM683 = SmartStatus!A$2:A1000, not(SmartStatus!C$2:C1000), (isblank(SmartStatus!D$2:D1000)) + ((P683 &lt;&gt; """") * "&amp;"(P683 &lt; SmartStatus!D$2:D1000)), (isblank(SmartStatus!E$2:E1000)) + ((P683 &lt;&gt; """") * (P683 &gt;= SmartStatus!E$2:E1000)), (isblank(SmartStatus!F$2:F1000)) + (((Q683 &lt;&gt; """") * (Q683 &lt; SmartStatus!F$2:F1000)) + ((P683 &lt;&gt; """") * (date(year(P683) + 3, month(P"&amp;"683), day(P683)) &lt; SmartStatus!F$2:F1000))), (isblank(SmartStatus!G$2:G1000)) + (((Q683 &lt;&gt; """") * (Q683 &gt;= SmartStatus!G$2:G1000)) + ((P683 &lt;&gt; """") * (P683 &gt;= SmartStatus!G$2:G1000)))), if(or(regexmatch(B683, ""(?i)^ir [a-z]+ designation$""), N683 &lt;&gt; """&amp;"""), 1, 2))), """"), ""NO_MATCH"")"),"")</f>
        <v/>
      </c>
      <c r="AS683" s="11"/>
      <c r="AT683" s="15"/>
      <c r="AU683" s="11"/>
      <c r="AV683" s="11"/>
      <c r="AW683" s="15"/>
      <c r="AX683" s="15"/>
      <c r="AY683" s="15"/>
      <c r="AZ683" s="11"/>
      <c r="BA683" s="15"/>
      <c r="BB683" s="11"/>
      <c r="BC683" s="11"/>
      <c r="BD683" s="15"/>
      <c r="BE683" s="11"/>
      <c r="BF683" s="11"/>
      <c r="BG683" s="15"/>
      <c r="BH683" s="15"/>
      <c r="BI683" s="15"/>
      <c r="BJ683" s="11"/>
      <c r="BK683" s="15"/>
      <c r="BL683" s="11"/>
      <c r="BM683" s="11"/>
      <c r="BN683" s="15"/>
      <c r="BO683" s="11"/>
      <c r="BP683" s="11"/>
      <c r="BQ683" s="15"/>
      <c r="BR683" s="15"/>
      <c r="BS683" s="15"/>
      <c r="BT683" s="11"/>
      <c r="BU683" s="15"/>
      <c r="BV683" s="11"/>
      <c r="BW683" s="11"/>
      <c r="BX683" s="15"/>
      <c r="BY683" s="11"/>
      <c r="BZ683" s="11"/>
      <c r="CA683" s="15"/>
      <c r="CB683" s="11"/>
      <c r="CC683" s="15"/>
      <c r="CD683" s="11"/>
      <c r="CE683" s="15"/>
      <c r="CF683" s="11"/>
      <c r="CG683" s="11"/>
      <c r="CH683" s="15"/>
      <c r="CI683" s="11"/>
      <c r="CJ683" s="11"/>
      <c r="CK683" s="15"/>
      <c r="CL683" s="11"/>
      <c r="CM683" s="11"/>
      <c r="CN683" s="11"/>
      <c r="CO683" s="11"/>
      <c r="CP683" s="28"/>
      <c r="CQ683" s="28"/>
      <c r="CR683" s="11"/>
      <c r="CS683" s="29"/>
      <c r="CT683" s="11"/>
      <c r="CU683" s="11"/>
      <c r="CV683" s="11"/>
      <c r="CW683" s="11"/>
      <c r="CX683" s="11"/>
      <c r="CY683" s="11"/>
      <c r="CZ683" s="11"/>
      <c r="DA683" s="28"/>
      <c r="DB683" s="28"/>
      <c r="DC683" s="11"/>
      <c r="DD683" s="29"/>
      <c r="DE683" s="11"/>
      <c r="DF683" s="11"/>
      <c r="DG683" s="11"/>
      <c r="DH683" s="11"/>
      <c r="DI683" s="11"/>
      <c r="DJ683" s="11"/>
      <c r="DK683" s="26"/>
      <c r="DL683" s="11"/>
      <c r="DM683" s="29"/>
      <c r="DN683" s="28"/>
      <c r="DO683" s="11"/>
      <c r="DP683" s="11"/>
      <c r="DQ683" s="11"/>
      <c r="DR683" s="29"/>
      <c r="DS683" s="28"/>
      <c r="DT683" s="11"/>
      <c r="DU683" s="26"/>
      <c r="DV683" s="11"/>
      <c r="DW683" s="29"/>
      <c r="DX683" s="28"/>
      <c r="DY683" s="11"/>
      <c r="DZ683" s="26"/>
      <c r="EA683" s="11"/>
      <c r="EB683" s="29"/>
      <c r="EC683" s="28"/>
      <c r="ED683" s="30"/>
      <c r="EE683" s="30" t="str">
        <f ca="1">IFERROR(__xludf.DUMMYFUNCTION("iferror(index(filter('Internal -- Trademark Countries'!E$2:E1000, (AM683 = 'Internal -- Trademark Countries'!B$2:B1000) + (AM683 = 'Internal -- Trademark Countries'!C$2:C1000) + (AM683 = 'Internal -- Trademark Countries'!D$2:D1000)), 1))"),"")</f>
        <v/>
      </c>
      <c r="EF683" s="30" t="e">
        <f ca="1">_xludf.ifs(AM683="", "", COUNTIF('Internal -- Trademark Countries'!B:B,AM683) &gt; 0, "polity_shortest_name", COUNTIF('Internal -- Trademark Countries'!C:C,AM683) &gt; 0, "polity_full_name", COUNTIF('Internal -- Trademark Countries'!D:D,AM683) &gt; 0, "polity_common_name", COUNTIF('Internal -- Trademark Countries'!E:E,AM683) &gt; 0, "shortest_name", COUNTIF('Internal -- Trademark Countries'!A:A,AM683) &gt; 0, "full_name", TRUE, "not a match")</f>
        <v>#NAME?</v>
      </c>
      <c r="EG683" s="30"/>
      <c r="EH683" s="30"/>
      <c r="EI683" s="30"/>
      <c r="EJ683" s="30"/>
      <c r="EK683" s="30" t="str">
        <f t="shared" si="4"/>
        <v/>
      </c>
    </row>
    <row r="684" spans="1:141" ht="16.5">
      <c r="A684" s="11"/>
      <c r="B684" s="11"/>
      <c r="C684" s="11"/>
      <c r="D684" s="11"/>
      <c r="E684" s="11"/>
      <c r="F684" s="11"/>
      <c r="G684" s="11"/>
      <c r="H684" s="11"/>
      <c r="I684" s="11"/>
      <c r="J684" s="11"/>
      <c r="K684" s="27"/>
      <c r="L684" s="11"/>
      <c r="M684" s="11"/>
      <c r="N684" s="11"/>
      <c r="O684" s="11"/>
      <c r="P684" s="15"/>
      <c r="Q684" s="15"/>
      <c r="R684" s="15"/>
      <c r="S684" s="15"/>
      <c r="T684" s="15"/>
      <c r="U684" s="15"/>
      <c r="V684" s="15"/>
      <c r="W684" s="47"/>
      <c r="X684" s="11"/>
      <c r="Y684" s="48"/>
      <c r="Z684" s="11"/>
      <c r="AA684" s="48"/>
      <c r="AB684" s="11"/>
      <c r="AC684" s="48"/>
      <c r="AD684" s="11"/>
      <c r="AE684" s="47"/>
      <c r="AF684" s="11"/>
      <c r="AG684" s="48"/>
      <c r="AH684" s="11"/>
      <c r="AI684" s="48"/>
      <c r="AJ684" s="11"/>
      <c r="AK684" s="48"/>
      <c r="AL684" s="11"/>
      <c r="AM684" s="49"/>
      <c r="AN684" s="49"/>
      <c r="AO684" s="11"/>
      <c r="AP684" s="11"/>
      <c r="AQ684" s="28" t="b">
        <f>IF(COUNTIF(SmartStatus!A$2:A1000, AM684) &gt; 2, TRUE, FALSE)</f>
        <v>0</v>
      </c>
      <c r="AR684" s="29" t="str">
        <f ca="1">IFERROR(__xludf.DUMMYFUNCTION("iferror(if(regexmatch(AO684, ""(?i)^registered""), if(EE684 &lt;&gt; ""polity_shortest_name"", ""CHECK_POLITY"", index(filter(SmartStatus!B$2:B1000, AM684 = SmartStatus!A$2:A1000, not(SmartStatus!C$2:C1000), (isblank(SmartStatus!D$2:D1000)) + ((P684 &lt;&gt; """") * "&amp;"(P684 &lt; SmartStatus!D$2:D1000)), (isblank(SmartStatus!E$2:E1000)) + ((P684 &lt;&gt; """") * (P684 &gt;= SmartStatus!E$2:E1000)), (isblank(SmartStatus!F$2:F1000)) + (((Q684 &lt;&gt; """") * (Q684 &lt; SmartStatus!F$2:F1000)) + ((P684 &lt;&gt; """") * (date(year(P684) + 3, month(P"&amp;"684), day(P684)) &lt; SmartStatus!F$2:F1000))), (isblank(SmartStatus!G$2:G1000)) + (((Q684 &lt;&gt; """") * (Q684 &gt;= SmartStatus!G$2:G1000)) + ((P684 &lt;&gt; """") * (P684 &gt;= SmartStatus!G$2:G1000)))), if(or(regexmatch(B684, ""(?i)^ir [a-z]+ designation$""), N684 &lt;&gt; """&amp;"""), 1, 2))), """"), ""NO_MATCH"")"),"")</f>
        <v/>
      </c>
      <c r="AS684" s="11"/>
      <c r="AT684" s="15"/>
      <c r="AU684" s="11"/>
      <c r="AV684" s="11"/>
      <c r="AW684" s="15"/>
      <c r="AX684" s="15"/>
      <c r="AY684" s="15"/>
      <c r="AZ684" s="11"/>
      <c r="BA684" s="15"/>
      <c r="BB684" s="11"/>
      <c r="BC684" s="11"/>
      <c r="BD684" s="15"/>
      <c r="BE684" s="11"/>
      <c r="BF684" s="11"/>
      <c r="BG684" s="15"/>
      <c r="BH684" s="15"/>
      <c r="BI684" s="15"/>
      <c r="BJ684" s="11"/>
      <c r="BK684" s="15"/>
      <c r="BL684" s="11"/>
      <c r="BM684" s="11"/>
      <c r="BN684" s="15"/>
      <c r="BO684" s="11"/>
      <c r="BP684" s="11"/>
      <c r="BQ684" s="15"/>
      <c r="BR684" s="15"/>
      <c r="BS684" s="15"/>
      <c r="BT684" s="11"/>
      <c r="BU684" s="15"/>
      <c r="BV684" s="11"/>
      <c r="BW684" s="11"/>
      <c r="BX684" s="15"/>
      <c r="BY684" s="11"/>
      <c r="BZ684" s="11"/>
      <c r="CA684" s="15"/>
      <c r="CB684" s="11"/>
      <c r="CC684" s="15"/>
      <c r="CD684" s="11"/>
      <c r="CE684" s="15"/>
      <c r="CF684" s="11"/>
      <c r="CG684" s="11"/>
      <c r="CH684" s="15"/>
      <c r="CI684" s="11"/>
      <c r="CJ684" s="11"/>
      <c r="CK684" s="15"/>
      <c r="CL684" s="11"/>
      <c r="CM684" s="11"/>
      <c r="CN684" s="11"/>
      <c r="CO684" s="11"/>
      <c r="CP684" s="28"/>
      <c r="CQ684" s="28"/>
      <c r="CR684" s="11"/>
      <c r="CS684" s="29"/>
      <c r="CT684" s="11"/>
      <c r="CU684" s="11"/>
      <c r="CV684" s="11"/>
      <c r="CW684" s="11"/>
      <c r="CX684" s="11"/>
      <c r="CY684" s="11"/>
      <c r="CZ684" s="11"/>
      <c r="DA684" s="28"/>
      <c r="DB684" s="28"/>
      <c r="DC684" s="11"/>
      <c r="DD684" s="29"/>
      <c r="DE684" s="11"/>
      <c r="DF684" s="11"/>
      <c r="DG684" s="11"/>
      <c r="DH684" s="11"/>
      <c r="DI684" s="11"/>
      <c r="DJ684" s="11"/>
      <c r="DK684" s="26"/>
      <c r="DL684" s="11"/>
      <c r="DM684" s="29"/>
      <c r="DN684" s="28"/>
      <c r="DO684" s="11"/>
      <c r="DP684" s="11"/>
      <c r="DQ684" s="11"/>
      <c r="DR684" s="29"/>
      <c r="DS684" s="28"/>
      <c r="DT684" s="11"/>
      <c r="DU684" s="26"/>
      <c r="DV684" s="11"/>
      <c r="DW684" s="29"/>
      <c r="DX684" s="28"/>
      <c r="DY684" s="11"/>
      <c r="DZ684" s="26"/>
      <c r="EA684" s="11"/>
      <c r="EB684" s="29"/>
      <c r="EC684" s="28"/>
      <c r="ED684" s="30"/>
      <c r="EE684" s="30" t="str">
        <f ca="1">IFERROR(__xludf.DUMMYFUNCTION("iferror(index(filter('Internal -- Trademark Countries'!E$2:E1000, (AM684 = 'Internal -- Trademark Countries'!B$2:B1000) + (AM684 = 'Internal -- Trademark Countries'!C$2:C1000) + (AM684 = 'Internal -- Trademark Countries'!D$2:D1000)), 1))"),"")</f>
        <v/>
      </c>
      <c r="EF684" s="30" t="e">
        <f ca="1">_xludf.ifs(AM684="", "", COUNTIF('Internal -- Trademark Countries'!B:B,AM684) &gt; 0, "polity_shortest_name", COUNTIF('Internal -- Trademark Countries'!C:C,AM684) &gt; 0, "polity_full_name", COUNTIF('Internal -- Trademark Countries'!D:D,AM684) &gt; 0, "polity_common_name", COUNTIF('Internal -- Trademark Countries'!E:E,AM684) &gt; 0, "shortest_name", COUNTIF('Internal -- Trademark Countries'!A:A,AM684) &gt; 0, "full_name", TRUE, "not a match")</f>
        <v>#NAME?</v>
      </c>
      <c r="EG684" s="30"/>
      <c r="EH684" s="30"/>
      <c r="EI684" s="30"/>
      <c r="EJ684" s="30"/>
      <c r="EK684" s="30" t="str">
        <f t="shared" si="4"/>
        <v/>
      </c>
    </row>
    <row r="685" spans="1:141" ht="16.5">
      <c r="A685" s="11"/>
      <c r="B685" s="11"/>
      <c r="C685" s="11"/>
      <c r="D685" s="11"/>
      <c r="E685" s="11"/>
      <c r="F685" s="11"/>
      <c r="G685" s="11"/>
      <c r="H685" s="11"/>
      <c r="I685" s="11"/>
      <c r="J685" s="11"/>
      <c r="K685" s="27"/>
      <c r="L685" s="11"/>
      <c r="M685" s="11"/>
      <c r="N685" s="11"/>
      <c r="O685" s="11"/>
      <c r="P685" s="15"/>
      <c r="Q685" s="15"/>
      <c r="R685" s="15"/>
      <c r="S685" s="15"/>
      <c r="T685" s="15"/>
      <c r="U685" s="15"/>
      <c r="V685" s="15"/>
      <c r="W685" s="47"/>
      <c r="X685" s="11"/>
      <c r="Y685" s="48"/>
      <c r="Z685" s="11"/>
      <c r="AA685" s="48"/>
      <c r="AB685" s="11"/>
      <c r="AC685" s="48"/>
      <c r="AD685" s="11"/>
      <c r="AE685" s="47"/>
      <c r="AF685" s="11"/>
      <c r="AG685" s="48"/>
      <c r="AH685" s="11"/>
      <c r="AI685" s="48"/>
      <c r="AJ685" s="11"/>
      <c r="AK685" s="48"/>
      <c r="AL685" s="11"/>
      <c r="AM685" s="49"/>
      <c r="AN685" s="49"/>
      <c r="AO685" s="11"/>
      <c r="AP685" s="11"/>
      <c r="AQ685" s="28" t="b">
        <f>IF(COUNTIF(SmartStatus!A$2:A1000, AM685) &gt; 2, TRUE, FALSE)</f>
        <v>0</v>
      </c>
      <c r="AR685" s="29" t="str">
        <f ca="1">IFERROR(__xludf.DUMMYFUNCTION("iferror(if(regexmatch(AO685, ""(?i)^registered""), if(EE685 &lt;&gt; ""polity_shortest_name"", ""CHECK_POLITY"", index(filter(SmartStatus!B$2:B1000, AM685 = SmartStatus!A$2:A1000, not(SmartStatus!C$2:C1000), (isblank(SmartStatus!D$2:D1000)) + ((P685 &lt;&gt; """") * "&amp;"(P685 &lt; SmartStatus!D$2:D1000)), (isblank(SmartStatus!E$2:E1000)) + ((P685 &lt;&gt; """") * (P685 &gt;= SmartStatus!E$2:E1000)), (isblank(SmartStatus!F$2:F1000)) + (((Q685 &lt;&gt; """") * (Q685 &lt; SmartStatus!F$2:F1000)) + ((P685 &lt;&gt; """") * (date(year(P685) + 3, month(P"&amp;"685), day(P685)) &lt; SmartStatus!F$2:F1000))), (isblank(SmartStatus!G$2:G1000)) + (((Q685 &lt;&gt; """") * (Q685 &gt;= SmartStatus!G$2:G1000)) + ((P685 &lt;&gt; """") * (P685 &gt;= SmartStatus!G$2:G1000)))), if(or(regexmatch(B685, ""(?i)^ir [a-z]+ designation$""), N685 &lt;&gt; """&amp;"""), 1, 2))), """"), ""NO_MATCH"")"),"")</f>
        <v/>
      </c>
      <c r="AS685" s="11"/>
      <c r="AT685" s="15"/>
      <c r="AU685" s="11"/>
      <c r="AV685" s="11"/>
      <c r="AW685" s="15"/>
      <c r="AX685" s="15"/>
      <c r="AY685" s="15"/>
      <c r="AZ685" s="11"/>
      <c r="BA685" s="15"/>
      <c r="BB685" s="11"/>
      <c r="BC685" s="11"/>
      <c r="BD685" s="15"/>
      <c r="BE685" s="11"/>
      <c r="BF685" s="11"/>
      <c r="BG685" s="15"/>
      <c r="BH685" s="15"/>
      <c r="BI685" s="15"/>
      <c r="BJ685" s="11"/>
      <c r="BK685" s="15"/>
      <c r="BL685" s="11"/>
      <c r="BM685" s="11"/>
      <c r="BN685" s="15"/>
      <c r="BO685" s="11"/>
      <c r="BP685" s="11"/>
      <c r="BQ685" s="15"/>
      <c r="BR685" s="15"/>
      <c r="BS685" s="15"/>
      <c r="BT685" s="11"/>
      <c r="BU685" s="15"/>
      <c r="BV685" s="11"/>
      <c r="BW685" s="11"/>
      <c r="BX685" s="15"/>
      <c r="BY685" s="11"/>
      <c r="BZ685" s="11"/>
      <c r="CA685" s="15"/>
      <c r="CB685" s="11"/>
      <c r="CC685" s="15"/>
      <c r="CD685" s="11"/>
      <c r="CE685" s="15"/>
      <c r="CF685" s="11"/>
      <c r="CG685" s="11"/>
      <c r="CH685" s="15"/>
      <c r="CI685" s="11"/>
      <c r="CJ685" s="11"/>
      <c r="CK685" s="15"/>
      <c r="CL685" s="11"/>
      <c r="CM685" s="11"/>
      <c r="CN685" s="11"/>
      <c r="CO685" s="11"/>
      <c r="CP685" s="28"/>
      <c r="CQ685" s="28"/>
      <c r="CR685" s="11"/>
      <c r="CS685" s="29"/>
      <c r="CT685" s="11"/>
      <c r="CU685" s="11"/>
      <c r="CV685" s="11"/>
      <c r="CW685" s="11"/>
      <c r="CX685" s="11"/>
      <c r="CY685" s="11"/>
      <c r="CZ685" s="11"/>
      <c r="DA685" s="28"/>
      <c r="DB685" s="28"/>
      <c r="DC685" s="11"/>
      <c r="DD685" s="29"/>
      <c r="DE685" s="11"/>
      <c r="DF685" s="11"/>
      <c r="DG685" s="11"/>
      <c r="DH685" s="11"/>
      <c r="DI685" s="11"/>
      <c r="DJ685" s="11"/>
      <c r="DK685" s="26"/>
      <c r="DL685" s="11"/>
      <c r="DM685" s="29"/>
      <c r="DN685" s="28"/>
      <c r="DO685" s="11"/>
      <c r="DP685" s="11"/>
      <c r="DQ685" s="11"/>
      <c r="DR685" s="29"/>
      <c r="DS685" s="28"/>
      <c r="DT685" s="11"/>
      <c r="DU685" s="26"/>
      <c r="DV685" s="11"/>
      <c r="DW685" s="29"/>
      <c r="DX685" s="28"/>
      <c r="DY685" s="11"/>
      <c r="DZ685" s="26"/>
      <c r="EA685" s="11"/>
      <c r="EB685" s="29"/>
      <c r="EC685" s="28"/>
      <c r="ED685" s="30"/>
      <c r="EE685" s="30" t="str">
        <f ca="1">IFERROR(__xludf.DUMMYFUNCTION("iferror(index(filter('Internal -- Trademark Countries'!E$2:E1000, (AM685 = 'Internal -- Trademark Countries'!B$2:B1000) + (AM685 = 'Internal -- Trademark Countries'!C$2:C1000) + (AM685 = 'Internal -- Trademark Countries'!D$2:D1000)), 1))"),"")</f>
        <v/>
      </c>
      <c r="EF685" s="30" t="e">
        <f ca="1">_xludf.ifs(AM685="", "", COUNTIF('Internal -- Trademark Countries'!B:B,AM685) &gt; 0, "polity_shortest_name", COUNTIF('Internal -- Trademark Countries'!C:C,AM685) &gt; 0, "polity_full_name", COUNTIF('Internal -- Trademark Countries'!D:D,AM685) &gt; 0, "polity_common_name", COUNTIF('Internal -- Trademark Countries'!E:E,AM685) &gt; 0, "shortest_name", COUNTIF('Internal -- Trademark Countries'!A:A,AM685) &gt; 0, "full_name", TRUE, "not a match")</f>
        <v>#NAME?</v>
      </c>
      <c r="EG685" s="30"/>
      <c r="EH685" s="30"/>
      <c r="EI685" s="30"/>
      <c r="EJ685" s="30"/>
      <c r="EK685" s="30" t="str">
        <f t="shared" si="4"/>
        <v/>
      </c>
    </row>
    <row r="686" spans="1:141" ht="16.5">
      <c r="A686" s="11"/>
      <c r="B686" s="11"/>
      <c r="C686" s="11"/>
      <c r="D686" s="11"/>
      <c r="E686" s="11"/>
      <c r="F686" s="11"/>
      <c r="G686" s="11"/>
      <c r="H686" s="11"/>
      <c r="I686" s="11"/>
      <c r="J686" s="11"/>
      <c r="K686" s="27"/>
      <c r="L686" s="11"/>
      <c r="M686" s="11"/>
      <c r="N686" s="11"/>
      <c r="O686" s="11"/>
      <c r="P686" s="15"/>
      <c r="Q686" s="15"/>
      <c r="R686" s="15"/>
      <c r="S686" s="15"/>
      <c r="T686" s="15"/>
      <c r="U686" s="15"/>
      <c r="V686" s="15"/>
      <c r="W686" s="47"/>
      <c r="X686" s="11"/>
      <c r="Y686" s="48"/>
      <c r="Z686" s="11"/>
      <c r="AA686" s="48"/>
      <c r="AB686" s="11"/>
      <c r="AC686" s="48"/>
      <c r="AD686" s="11"/>
      <c r="AE686" s="47"/>
      <c r="AF686" s="11"/>
      <c r="AG686" s="48"/>
      <c r="AH686" s="11"/>
      <c r="AI686" s="48"/>
      <c r="AJ686" s="11"/>
      <c r="AK686" s="48"/>
      <c r="AL686" s="11"/>
      <c r="AM686" s="49"/>
      <c r="AN686" s="49"/>
      <c r="AO686" s="11"/>
      <c r="AP686" s="11"/>
      <c r="AQ686" s="28" t="b">
        <f>IF(COUNTIF(SmartStatus!A$2:A1000, AM686) &gt; 2, TRUE, FALSE)</f>
        <v>0</v>
      </c>
      <c r="AR686" s="29" t="str">
        <f ca="1">IFERROR(__xludf.DUMMYFUNCTION("iferror(if(regexmatch(AO686, ""(?i)^registered""), if(EE686 &lt;&gt; ""polity_shortest_name"", ""CHECK_POLITY"", index(filter(SmartStatus!B$2:B1000, AM686 = SmartStatus!A$2:A1000, not(SmartStatus!C$2:C1000), (isblank(SmartStatus!D$2:D1000)) + ((P686 &lt;&gt; """") * "&amp;"(P686 &lt; SmartStatus!D$2:D1000)), (isblank(SmartStatus!E$2:E1000)) + ((P686 &lt;&gt; """") * (P686 &gt;= SmartStatus!E$2:E1000)), (isblank(SmartStatus!F$2:F1000)) + (((Q686 &lt;&gt; """") * (Q686 &lt; SmartStatus!F$2:F1000)) + ((P686 &lt;&gt; """") * (date(year(P686) + 3, month(P"&amp;"686), day(P686)) &lt; SmartStatus!F$2:F1000))), (isblank(SmartStatus!G$2:G1000)) + (((Q686 &lt;&gt; """") * (Q686 &gt;= SmartStatus!G$2:G1000)) + ((P686 &lt;&gt; """") * (P686 &gt;= SmartStatus!G$2:G1000)))), if(or(regexmatch(B686, ""(?i)^ir [a-z]+ designation$""), N686 &lt;&gt; """&amp;"""), 1, 2))), """"), ""NO_MATCH"")"),"")</f>
        <v/>
      </c>
      <c r="AS686" s="11"/>
      <c r="AT686" s="15"/>
      <c r="AU686" s="11"/>
      <c r="AV686" s="11"/>
      <c r="AW686" s="15"/>
      <c r="AX686" s="15"/>
      <c r="AY686" s="15"/>
      <c r="AZ686" s="11"/>
      <c r="BA686" s="15"/>
      <c r="BB686" s="11"/>
      <c r="BC686" s="11"/>
      <c r="BD686" s="15"/>
      <c r="BE686" s="11"/>
      <c r="BF686" s="11"/>
      <c r="BG686" s="15"/>
      <c r="BH686" s="15"/>
      <c r="BI686" s="15"/>
      <c r="BJ686" s="11"/>
      <c r="BK686" s="15"/>
      <c r="BL686" s="11"/>
      <c r="BM686" s="11"/>
      <c r="BN686" s="15"/>
      <c r="BO686" s="11"/>
      <c r="BP686" s="11"/>
      <c r="BQ686" s="15"/>
      <c r="BR686" s="15"/>
      <c r="BS686" s="15"/>
      <c r="BT686" s="11"/>
      <c r="BU686" s="15"/>
      <c r="BV686" s="11"/>
      <c r="BW686" s="11"/>
      <c r="BX686" s="15"/>
      <c r="BY686" s="11"/>
      <c r="BZ686" s="11"/>
      <c r="CA686" s="15"/>
      <c r="CB686" s="11"/>
      <c r="CC686" s="15"/>
      <c r="CD686" s="11"/>
      <c r="CE686" s="15"/>
      <c r="CF686" s="11"/>
      <c r="CG686" s="11"/>
      <c r="CH686" s="15"/>
      <c r="CI686" s="11"/>
      <c r="CJ686" s="11"/>
      <c r="CK686" s="15"/>
      <c r="CL686" s="11"/>
      <c r="CM686" s="11"/>
      <c r="CN686" s="11"/>
      <c r="CO686" s="11"/>
      <c r="CP686" s="28"/>
      <c r="CQ686" s="28"/>
      <c r="CR686" s="11"/>
      <c r="CS686" s="29"/>
      <c r="CT686" s="11"/>
      <c r="CU686" s="11"/>
      <c r="CV686" s="11"/>
      <c r="CW686" s="11"/>
      <c r="CX686" s="11"/>
      <c r="CY686" s="11"/>
      <c r="CZ686" s="11"/>
      <c r="DA686" s="28"/>
      <c r="DB686" s="28"/>
      <c r="DC686" s="11"/>
      <c r="DD686" s="29"/>
      <c r="DE686" s="11"/>
      <c r="DF686" s="11"/>
      <c r="DG686" s="11"/>
      <c r="DH686" s="11"/>
      <c r="DI686" s="11"/>
      <c r="DJ686" s="11"/>
      <c r="DK686" s="26"/>
      <c r="DL686" s="11"/>
      <c r="DM686" s="29"/>
      <c r="DN686" s="28"/>
      <c r="DO686" s="11"/>
      <c r="DP686" s="11"/>
      <c r="DQ686" s="11"/>
      <c r="DR686" s="29"/>
      <c r="DS686" s="28"/>
      <c r="DT686" s="11"/>
      <c r="DU686" s="26"/>
      <c r="DV686" s="11"/>
      <c r="DW686" s="29"/>
      <c r="DX686" s="28"/>
      <c r="DY686" s="11"/>
      <c r="DZ686" s="26"/>
      <c r="EA686" s="11"/>
      <c r="EB686" s="29"/>
      <c r="EC686" s="28"/>
      <c r="ED686" s="30"/>
      <c r="EE686" s="30" t="str">
        <f ca="1">IFERROR(__xludf.DUMMYFUNCTION("iferror(index(filter('Internal -- Trademark Countries'!E$2:E1000, (AM686 = 'Internal -- Trademark Countries'!B$2:B1000) + (AM686 = 'Internal -- Trademark Countries'!C$2:C1000) + (AM686 = 'Internal -- Trademark Countries'!D$2:D1000)), 1))"),"")</f>
        <v/>
      </c>
      <c r="EF686" s="30" t="e">
        <f ca="1">_xludf.ifs(AM686="", "", COUNTIF('Internal -- Trademark Countries'!B:B,AM686) &gt; 0, "polity_shortest_name", COUNTIF('Internal -- Trademark Countries'!C:C,AM686) &gt; 0, "polity_full_name", COUNTIF('Internal -- Trademark Countries'!D:D,AM686) &gt; 0, "polity_common_name", COUNTIF('Internal -- Trademark Countries'!E:E,AM686) &gt; 0, "shortest_name", COUNTIF('Internal -- Trademark Countries'!A:A,AM686) &gt; 0, "full_name", TRUE, "not a match")</f>
        <v>#NAME?</v>
      </c>
      <c r="EG686" s="30"/>
      <c r="EH686" s="30"/>
      <c r="EI686" s="30"/>
      <c r="EJ686" s="30"/>
      <c r="EK686" s="30" t="str">
        <f t="shared" si="4"/>
        <v/>
      </c>
    </row>
    <row r="687" spans="1:141" ht="16.5">
      <c r="A687" s="11"/>
      <c r="B687" s="11"/>
      <c r="C687" s="11"/>
      <c r="D687" s="11"/>
      <c r="E687" s="11"/>
      <c r="F687" s="11"/>
      <c r="G687" s="11"/>
      <c r="H687" s="11"/>
      <c r="I687" s="11"/>
      <c r="J687" s="11"/>
      <c r="K687" s="27"/>
      <c r="L687" s="11"/>
      <c r="M687" s="11"/>
      <c r="N687" s="11"/>
      <c r="O687" s="11"/>
      <c r="P687" s="15"/>
      <c r="Q687" s="15"/>
      <c r="R687" s="15"/>
      <c r="S687" s="15"/>
      <c r="T687" s="15"/>
      <c r="U687" s="15"/>
      <c r="V687" s="15"/>
      <c r="W687" s="47"/>
      <c r="X687" s="11"/>
      <c r="Y687" s="48"/>
      <c r="Z687" s="11"/>
      <c r="AA687" s="48"/>
      <c r="AB687" s="11"/>
      <c r="AC687" s="48"/>
      <c r="AD687" s="11"/>
      <c r="AE687" s="47"/>
      <c r="AF687" s="11"/>
      <c r="AG687" s="48"/>
      <c r="AH687" s="11"/>
      <c r="AI687" s="48"/>
      <c r="AJ687" s="11"/>
      <c r="AK687" s="48"/>
      <c r="AL687" s="11"/>
      <c r="AM687" s="49"/>
      <c r="AN687" s="49"/>
      <c r="AO687" s="11"/>
      <c r="AP687" s="11"/>
      <c r="AQ687" s="28" t="b">
        <f>IF(COUNTIF(SmartStatus!A$2:A1000, AM687) &gt; 2, TRUE, FALSE)</f>
        <v>0</v>
      </c>
      <c r="AR687" s="29" t="str">
        <f ca="1">IFERROR(__xludf.DUMMYFUNCTION("iferror(if(regexmatch(AO687, ""(?i)^registered""), if(EE687 &lt;&gt; ""polity_shortest_name"", ""CHECK_POLITY"", index(filter(SmartStatus!B$2:B1000, AM687 = SmartStatus!A$2:A1000, not(SmartStatus!C$2:C1000), (isblank(SmartStatus!D$2:D1000)) + ((P687 &lt;&gt; """") * "&amp;"(P687 &lt; SmartStatus!D$2:D1000)), (isblank(SmartStatus!E$2:E1000)) + ((P687 &lt;&gt; """") * (P687 &gt;= SmartStatus!E$2:E1000)), (isblank(SmartStatus!F$2:F1000)) + (((Q687 &lt;&gt; """") * (Q687 &lt; SmartStatus!F$2:F1000)) + ((P687 &lt;&gt; """") * (date(year(P687) + 3, month(P"&amp;"687), day(P687)) &lt; SmartStatus!F$2:F1000))), (isblank(SmartStatus!G$2:G1000)) + (((Q687 &lt;&gt; """") * (Q687 &gt;= SmartStatus!G$2:G1000)) + ((P687 &lt;&gt; """") * (P687 &gt;= SmartStatus!G$2:G1000)))), if(or(regexmatch(B687, ""(?i)^ir [a-z]+ designation$""), N687 &lt;&gt; """&amp;"""), 1, 2))), """"), ""NO_MATCH"")"),"")</f>
        <v/>
      </c>
      <c r="AS687" s="11"/>
      <c r="AT687" s="15"/>
      <c r="AU687" s="11"/>
      <c r="AV687" s="11"/>
      <c r="AW687" s="15"/>
      <c r="AX687" s="15"/>
      <c r="AY687" s="15"/>
      <c r="AZ687" s="11"/>
      <c r="BA687" s="15"/>
      <c r="BB687" s="11"/>
      <c r="BC687" s="11"/>
      <c r="BD687" s="15"/>
      <c r="BE687" s="11"/>
      <c r="BF687" s="11"/>
      <c r="BG687" s="15"/>
      <c r="BH687" s="15"/>
      <c r="BI687" s="15"/>
      <c r="BJ687" s="11"/>
      <c r="BK687" s="15"/>
      <c r="BL687" s="11"/>
      <c r="BM687" s="11"/>
      <c r="BN687" s="15"/>
      <c r="BO687" s="11"/>
      <c r="BP687" s="11"/>
      <c r="BQ687" s="15"/>
      <c r="BR687" s="15"/>
      <c r="BS687" s="15"/>
      <c r="BT687" s="11"/>
      <c r="BU687" s="15"/>
      <c r="BV687" s="11"/>
      <c r="BW687" s="11"/>
      <c r="BX687" s="15"/>
      <c r="BY687" s="11"/>
      <c r="BZ687" s="11"/>
      <c r="CA687" s="15"/>
      <c r="CB687" s="11"/>
      <c r="CC687" s="15"/>
      <c r="CD687" s="11"/>
      <c r="CE687" s="15"/>
      <c r="CF687" s="11"/>
      <c r="CG687" s="11"/>
      <c r="CH687" s="15"/>
      <c r="CI687" s="11"/>
      <c r="CJ687" s="11"/>
      <c r="CK687" s="15"/>
      <c r="CL687" s="11"/>
      <c r="CM687" s="11"/>
      <c r="CN687" s="11"/>
      <c r="CO687" s="11"/>
      <c r="CP687" s="28"/>
      <c r="CQ687" s="28"/>
      <c r="CR687" s="11"/>
      <c r="CS687" s="29"/>
      <c r="CT687" s="11"/>
      <c r="CU687" s="11"/>
      <c r="CV687" s="11"/>
      <c r="CW687" s="11"/>
      <c r="CX687" s="11"/>
      <c r="CY687" s="11"/>
      <c r="CZ687" s="11"/>
      <c r="DA687" s="28"/>
      <c r="DB687" s="28"/>
      <c r="DC687" s="11"/>
      <c r="DD687" s="29"/>
      <c r="DE687" s="11"/>
      <c r="DF687" s="11"/>
      <c r="DG687" s="11"/>
      <c r="DH687" s="11"/>
      <c r="DI687" s="11"/>
      <c r="DJ687" s="11"/>
      <c r="DK687" s="26"/>
      <c r="DL687" s="11"/>
      <c r="DM687" s="29"/>
      <c r="DN687" s="28"/>
      <c r="DO687" s="11"/>
      <c r="DP687" s="11"/>
      <c r="DQ687" s="11"/>
      <c r="DR687" s="29"/>
      <c r="DS687" s="28"/>
      <c r="DT687" s="11"/>
      <c r="DU687" s="26"/>
      <c r="DV687" s="11"/>
      <c r="DW687" s="29"/>
      <c r="DX687" s="28"/>
      <c r="DY687" s="11"/>
      <c r="DZ687" s="26"/>
      <c r="EA687" s="11"/>
      <c r="EB687" s="29"/>
      <c r="EC687" s="28"/>
      <c r="ED687" s="30"/>
      <c r="EE687" s="30" t="str">
        <f ca="1">IFERROR(__xludf.DUMMYFUNCTION("iferror(index(filter('Internal -- Trademark Countries'!E$2:E1000, (AM687 = 'Internal -- Trademark Countries'!B$2:B1000) + (AM687 = 'Internal -- Trademark Countries'!C$2:C1000) + (AM687 = 'Internal -- Trademark Countries'!D$2:D1000)), 1))"),"")</f>
        <v/>
      </c>
      <c r="EF687" s="30" t="e">
        <f ca="1">_xludf.ifs(AM687="", "", COUNTIF('Internal -- Trademark Countries'!B:B,AM687) &gt; 0, "polity_shortest_name", COUNTIF('Internal -- Trademark Countries'!C:C,AM687) &gt; 0, "polity_full_name", COUNTIF('Internal -- Trademark Countries'!D:D,AM687) &gt; 0, "polity_common_name", COUNTIF('Internal -- Trademark Countries'!E:E,AM687) &gt; 0, "shortest_name", COUNTIF('Internal -- Trademark Countries'!A:A,AM687) &gt; 0, "full_name", TRUE, "not a match")</f>
        <v>#NAME?</v>
      </c>
      <c r="EG687" s="30"/>
      <c r="EH687" s="30"/>
      <c r="EI687" s="30"/>
      <c r="EJ687" s="30"/>
      <c r="EK687" s="30" t="str">
        <f t="shared" si="4"/>
        <v/>
      </c>
    </row>
    <row r="688" spans="1:141" ht="16.5">
      <c r="A688" s="11"/>
      <c r="B688" s="11"/>
      <c r="C688" s="11"/>
      <c r="D688" s="11"/>
      <c r="E688" s="11"/>
      <c r="F688" s="11"/>
      <c r="G688" s="11"/>
      <c r="H688" s="11"/>
      <c r="I688" s="11"/>
      <c r="J688" s="11"/>
      <c r="K688" s="27"/>
      <c r="L688" s="11"/>
      <c r="M688" s="11"/>
      <c r="N688" s="11"/>
      <c r="O688" s="11"/>
      <c r="P688" s="15"/>
      <c r="Q688" s="15"/>
      <c r="R688" s="15"/>
      <c r="S688" s="15"/>
      <c r="T688" s="15"/>
      <c r="U688" s="15"/>
      <c r="V688" s="15"/>
      <c r="W688" s="47"/>
      <c r="X688" s="11"/>
      <c r="Y688" s="48"/>
      <c r="Z688" s="11"/>
      <c r="AA688" s="48"/>
      <c r="AB688" s="11"/>
      <c r="AC688" s="48"/>
      <c r="AD688" s="11"/>
      <c r="AE688" s="47"/>
      <c r="AF688" s="11"/>
      <c r="AG688" s="48"/>
      <c r="AH688" s="11"/>
      <c r="AI688" s="48"/>
      <c r="AJ688" s="11"/>
      <c r="AK688" s="48"/>
      <c r="AL688" s="11"/>
      <c r="AM688" s="49"/>
      <c r="AN688" s="49"/>
      <c r="AO688" s="11"/>
      <c r="AP688" s="11"/>
      <c r="AQ688" s="28" t="b">
        <f>IF(COUNTIF(SmartStatus!A$2:A1000, AM688) &gt; 2, TRUE, FALSE)</f>
        <v>0</v>
      </c>
      <c r="AR688" s="29" t="str">
        <f ca="1">IFERROR(__xludf.DUMMYFUNCTION("iferror(if(regexmatch(AO688, ""(?i)^registered""), if(EE688 &lt;&gt; ""polity_shortest_name"", ""CHECK_POLITY"", index(filter(SmartStatus!B$2:B1000, AM688 = SmartStatus!A$2:A1000, not(SmartStatus!C$2:C1000), (isblank(SmartStatus!D$2:D1000)) + ((P688 &lt;&gt; """") * "&amp;"(P688 &lt; SmartStatus!D$2:D1000)), (isblank(SmartStatus!E$2:E1000)) + ((P688 &lt;&gt; """") * (P688 &gt;= SmartStatus!E$2:E1000)), (isblank(SmartStatus!F$2:F1000)) + (((Q688 &lt;&gt; """") * (Q688 &lt; SmartStatus!F$2:F1000)) + ((P688 &lt;&gt; """") * (date(year(P688) + 3, month(P"&amp;"688), day(P688)) &lt; SmartStatus!F$2:F1000))), (isblank(SmartStatus!G$2:G1000)) + (((Q688 &lt;&gt; """") * (Q688 &gt;= SmartStatus!G$2:G1000)) + ((P688 &lt;&gt; """") * (P688 &gt;= SmartStatus!G$2:G1000)))), if(or(regexmatch(B688, ""(?i)^ir [a-z]+ designation$""), N688 &lt;&gt; """&amp;"""), 1, 2))), """"), ""NO_MATCH"")"),"")</f>
        <v/>
      </c>
      <c r="AS688" s="11"/>
      <c r="AT688" s="15"/>
      <c r="AU688" s="11"/>
      <c r="AV688" s="11"/>
      <c r="AW688" s="15"/>
      <c r="AX688" s="15"/>
      <c r="AY688" s="15"/>
      <c r="AZ688" s="11"/>
      <c r="BA688" s="15"/>
      <c r="BB688" s="11"/>
      <c r="BC688" s="11"/>
      <c r="BD688" s="15"/>
      <c r="BE688" s="11"/>
      <c r="BF688" s="11"/>
      <c r="BG688" s="15"/>
      <c r="BH688" s="15"/>
      <c r="BI688" s="15"/>
      <c r="BJ688" s="11"/>
      <c r="BK688" s="15"/>
      <c r="BL688" s="11"/>
      <c r="BM688" s="11"/>
      <c r="BN688" s="15"/>
      <c r="BO688" s="11"/>
      <c r="BP688" s="11"/>
      <c r="BQ688" s="15"/>
      <c r="BR688" s="15"/>
      <c r="BS688" s="15"/>
      <c r="BT688" s="11"/>
      <c r="BU688" s="15"/>
      <c r="BV688" s="11"/>
      <c r="BW688" s="11"/>
      <c r="BX688" s="15"/>
      <c r="BY688" s="11"/>
      <c r="BZ688" s="11"/>
      <c r="CA688" s="15"/>
      <c r="CB688" s="11"/>
      <c r="CC688" s="15"/>
      <c r="CD688" s="11"/>
      <c r="CE688" s="15"/>
      <c r="CF688" s="11"/>
      <c r="CG688" s="11"/>
      <c r="CH688" s="15"/>
      <c r="CI688" s="11"/>
      <c r="CJ688" s="11"/>
      <c r="CK688" s="15"/>
      <c r="CL688" s="11"/>
      <c r="CM688" s="11"/>
      <c r="CN688" s="11"/>
      <c r="CO688" s="11"/>
      <c r="CP688" s="28"/>
      <c r="CQ688" s="28"/>
      <c r="CR688" s="11"/>
      <c r="CS688" s="29"/>
      <c r="CT688" s="11"/>
      <c r="CU688" s="11"/>
      <c r="CV688" s="11"/>
      <c r="CW688" s="11"/>
      <c r="CX688" s="11"/>
      <c r="CY688" s="11"/>
      <c r="CZ688" s="11"/>
      <c r="DA688" s="28"/>
      <c r="DB688" s="28"/>
      <c r="DC688" s="11"/>
      <c r="DD688" s="29"/>
      <c r="DE688" s="11"/>
      <c r="DF688" s="11"/>
      <c r="DG688" s="11"/>
      <c r="DH688" s="11"/>
      <c r="DI688" s="11"/>
      <c r="DJ688" s="11"/>
      <c r="DK688" s="26"/>
      <c r="DL688" s="11"/>
      <c r="DM688" s="29"/>
      <c r="DN688" s="28"/>
      <c r="DO688" s="11"/>
      <c r="DP688" s="11"/>
      <c r="DQ688" s="11"/>
      <c r="DR688" s="29"/>
      <c r="DS688" s="28"/>
      <c r="DT688" s="11"/>
      <c r="DU688" s="26"/>
      <c r="DV688" s="11"/>
      <c r="DW688" s="29"/>
      <c r="DX688" s="28"/>
      <c r="DY688" s="11"/>
      <c r="DZ688" s="26"/>
      <c r="EA688" s="11"/>
      <c r="EB688" s="29"/>
      <c r="EC688" s="28"/>
      <c r="ED688" s="30"/>
      <c r="EE688" s="30" t="str">
        <f ca="1">IFERROR(__xludf.DUMMYFUNCTION("iferror(index(filter('Internal -- Trademark Countries'!E$2:E1000, (AM688 = 'Internal -- Trademark Countries'!B$2:B1000) + (AM688 = 'Internal -- Trademark Countries'!C$2:C1000) + (AM688 = 'Internal -- Trademark Countries'!D$2:D1000)), 1))"),"")</f>
        <v/>
      </c>
      <c r="EF688" s="30" t="e">
        <f ca="1">_xludf.ifs(AM688="", "", COUNTIF('Internal -- Trademark Countries'!B:B,AM688) &gt; 0, "polity_shortest_name", COUNTIF('Internal -- Trademark Countries'!C:C,AM688) &gt; 0, "polity_full_name", COUNTIF('Internal -- Trademark Countries'!D:D,AM688) &gt; 0, "polity_common_name", COUNTIF('Internal -- Trademark Countries'!E:E,AM688) &gt; 0, "shortest_name", COUNTIF('Internal -- Trademark Countries'!A:A,AM688) &gt; 0, "full_name", TRUE, "not a match")</f>
        <v>#NAME?</v>
      </c>
      <c r="EG688" s="30"/>
      <c r="EH688" s="30"/>
      <c r="EI688" s="30"/>
      <c r="EJ688" s="30"/>
      <c r="EK688" s="30" t="str">
        <f t="shared" si="4"/>
        <v/>
      </c>
    </row>
    <row r="689" spans="1:141" ht="16.5">
      <c r="A689" s="11"/>
      <c r="B689" s="11"/>
      <c r="C689" s="11"/>
      <c r="D689" s="11"/>
      <c r="E689" s="11"/>
      <c r="F689" s="11"/>
      <c r="G689" s="11"/>
      <c r="H689" s="11"/>
      <c r="I689" s="11"/>
      <c r="J689" s="11"/>
      <c r="K689" s="27"/>
      <c r="L689" s="11"/>
      <c r="M689" s="11"/>
      <c r="N689" s="11"/>
      <c r="O689" s="11"/>
      <c r="P689" s="15"/>
      <c r="Q689" s="15"/>
      <c r="R689" s="15"/>
      <c r="S689" s="15"/>
      <c r="T689" s="15"/>
      <c r="U689" s="15"/>
      <c r="V689" s="15"/>
      <c r="W689" s="47"/>
      <c r="X689" s="11"/>
      <c r="Y689" s="48"/>
      <c r="Z689" s="11"/>
      <c r="AA689" s="48"/>
      <c r="AB689" s="11"/>
      <c r="AC689" s="48"/>
      <c r="AD689" s="11"/>
      <c r="AE689" s="47"/>
      <c r="AF689" s="11"/>
      <c r="AG689" s="48"/>
      <c r="AH689" s="11"/>
      <c r="AI689" s="48"/>
      <c r="AJ689" s="11"/>
      <c r="AK689" s="48"/>
      <c r="AL689" s="11"/>
      <c r="AM689" s="49"/>
      <c r="AN689" s="49"/>
      <c r="AO689" s="11"/>
      <c r="AP689" s="11"/>
      <c r="AQ689" s="28" t="b">
        <f>IF(COUNTIF(SmartStatus!A$2:A1000, AM689) &gt; 2, TRUE, FALSE)</f>
        <v>0</v>
      </c>
      <c r="AR689" s="29" t="str">
        <f ca="1">IFERROR(__xludf.DUMMYFUNCTION("iferror(if(regexmatch(AO689, ""(?i)^registered""), if(EE689 &lt;&gt; ""polity_shortest_name"", ""CHECK_POLITY"", index(filter(SmartStatus!B$2:B1000, AM689 = SmartStatus!A$2:A1000, not(SmartStatus!C$2:C1000), (isblank(SmartStatus!D$2:D1000)) + ((P689 &lt;&gt; """") * "&amp;"(P689 &lt; SmartStatus!D$2:D1000)), (isblank(SmartStatus!E$2:E1000)) + ((P689 &lt;&gt; """") * (P689 &gt;= SmartStatus!E$2:E1000)), (isblank(SmartStatus!F$2:F1000)) + (((Q689 &lt;&gt; """") * (Q689 &lt; SmartStatus!F$2:F1000)) + ((P689 &lt;&gt; """") * (date(year(P689) + 3, month(P"&amp;"689), day(P689)) &lt; SmartStatus!F$2:F1000))), (isblank(SmartStatus!G$2:G1000)) + (((Q689 &lt;&gt; """") * (Q689 &gt;= SmartStatus!G$2:G1000)) + ((P689 &lt;&gt; """") * (P689 &gt;= SmartStatus!G$2:G1000)))), if(or(regexmatch(B689, ""(?i)^ir [a-z]+ designation$""), N689 &lt;&gt; """&amp;"""), 1, 2))), """"), ""NO_MATCH"")"),"")</f>
        <v/>
      </c>
      <c r="AS689" s="11"/>
      <c r="AT689" s="15"/>
      <c r="AU689" s="11"/>
      <c r="AV689" s="11"/>
      <c r="AW689" s="15"/>
      <c r="AX689" s="15"/>
      <c r="AY689" s="15"/>
      <c r="AZ689" s="11"/>
      <c r="BA689" s="15"/>
      <c r="BB689" s="11"/>
      <c r="BC689" s="11"/>
      <c r="BD689" s="15"/>
      <c r="BE689" s="11"/>
      <c r="BF689" s="11"/>
      <c r="BG689" s="15"/>
      <c r="BH689" s="15"/>
      <c r="BI689" s="15"/>
      <c r="BJ689" s="11"/>
      <c r="BK689" s="15"/>
      <c r="BL689" s="11"/>
      <c r="BM689" s="11"/>
      <c r="BN689" s="15"/>
      <c r="BO689" s="11"/>
      <c r="BP689" s="11"/>
      <c r="BQ689" s="15"/>
      <c r="BR689" s="15"/>
      <c r="BS689" s="15"/>
      <c r="BT689" s="11"/>
      <c r="BU689" s="15"/>
      <c r="BV689" s="11"/>
      <c r="BW689" s="11"/>
      <c r="BX689" s="15"/>
      <c r="BY689" s="11"/>
      <c r="BZ689" s="11"/>
      <c r="CA689" s="15"/>
      <c r="CB689" s="11"/>
      <c r="CC689" s="15"/>
      <c r="CD689" s="11"/>
      <c r="CE689" s="15"/>
      <c r="CF689" s="11"/>
      <c r="CG689" s="11"/>
      <c r="CH689" s="15"/>
      <c r="CI689" s="11"/>
      <c r="CJ689" s="11"/>
      <c r="CK689" s="15"/>
      <c r="CL689" s="11"/>
      <c r="CM689" s="11"/>
      <c r="CN689" s="11"/>
      <c r="CO689" s="11"/>
      <c r="CP689" s="28"/>
      <c r="CQ689" s="28"/>
      <c r="CR689" s="11"/>
      <c r="CS689" s="29"/>
      <c r="CT689" s="11"/>
      <c r="CU689" s="11"/>
      <c r="CV689" s="11"/>
      <c r="CW689" s="11"/>
      <c r="CX689" s="11"/>
      <c r="CY689" s="11"/>
      <c r="CZ689" s="11"/>
      <c r="DA689" s="28"/>
      <c r="DB689" s="28"/>
      <c r="DC689" s="11"/>
      <c r="DD689" s="29"/>
      <c r="DE689" s="11"/>
      <c r="DF689" s="11"/>
      <c r="DG689" s="11"/>
      <c r="DH689" s="11"/>
      <c r="DI689" s="11"/>
      <c r="DJ689" s="11"/>
      <c r="DK689" s="26"/>
      <c r="DL689" s="11"/>
      <c r="DM689" s="29"/>
      <c r="DN689" s="28"/>
      <c r="DO689" s="11"/>
      <c r="DP689" s="11"/>
      <c r="DQ689" s="11"/>
      <c r="DR689" s="29"/>
      <c r="DS689" s="28"/>
      <c r="DT689" s="11"/>
      <c r="DU689" s="26"/>
      <c r="DV689" s="11"/>
      <c r="DW689" s="29"/>
      <c r="DX689" s="28"/>
      <c r="DY689" s="11"/>
      <c r="DZ689" s="26"/>
      <c r="EA689" s="11"/>
      <c r="EB689" s="29"/>
      <c r="EC689" s="28"/>
      <c r="ED689" s="30"/>
      <c r="EE689" s="30" t="str">
        <f ca="1">IFERROR(__xludf.DUMMYFUNCTION("iferror(index(filter('Internal -- Trademark Countries'!E$2:E1000, (AM689 = 'Internal -- Trademark Countries'!B$2:B1000) + (AM689 = 'Internal -- Trademark Countries'!C$2:C1000) + (AM689 = 'Internal -- Trademark Countries'!D$2:D1000)), 1))"),"")</f>
        <v/>
      </c>
      <c r="EF689" s="30" t="e">
        <f ca="1">_xludf.ifs(AM689="", "", COUNTIF('Internal -- Trademark Countries'!B:B,AM689) &gt; 0, "polity_shortest_name", COUNTIF('Internal -- Trademark Countries'!C:C,AM689) &gt; 0, "polity_full_name", COUNTIF('Internal -- Trademark Countries'!D:D,AM689) &gt; 0, "polity_common_name", COUNTIF('Internal -- Trademark Countries'!E:E,AM689) &gt; 0, "shortest_name", COUNTIF('Internal -- Trademark Countries'!A:A,AM689) &gt; 0, "full_name", TRUE, "not a match")</f>
        <v>#NAME?</v>
      </c>
      <c r="EG689" s="30"/>
      <c r="EH689" s="30"/>
      <c r="EI689" s="30"/>
      <c r="EJ689" s="30"/>
      <c r="EK689" s="30" t="str">
        <f t="shared" si="4"/>
        <v/>
      </c>
    </row>
    <row r="690" spans="1:141" ht="16.5">
      <c r="A690" s="11"/>
      <c r="B690" s="11"/>
      <c r="C690" s="11"/>
      <c r="D690" s="11"/>
      <c r="E690" s="11"/>
      <c r="F690" s="11"/>
      <c r="G690" s="11"/>
      <c r="H690" s="11"/>
      <c r="I690" s="11"/>
      <c r="J690" s="11"/>
      <c r="K690" s="27"/>
      <c r="L690" s="11"/>
      <c r="M690" s="11"/>
      <c r="N690" s="11"/>
      <c r="O690" s="11"/>
      <c r="P690" s="15"/>
      <c r="Q690" s="15"/>
      <c r="R690" s="15"/>
      <c r="S690" s="15"/>
      <c r="T690" s="15"/>
      <c r="U690" s="15"/>
      <c r="V690" s="15"/>
      <c r="W690" s="47"/>
      <c r="X690" s="11"/>
      <c r="Y690" s="48"/>
      <c r="Z690" s="11"/>
      <c r="AA690" s="48"/>
      <c r="AB690" s="11"/>
      <c r="AC690" s="48"/>
      <c r="AD690" s="11"/>
      <c r="AE690" s="47"/>
      <c r="AF690" s="11"/>
      <c r="AG690" s="48"/>
      <c r="AH690" s="11"/>
      <c r="AI690" s="48"/>
      <c r="AJ690" s="11"/>
      <c r="AK690" s="48"/>
      <c r="AL690" s="11"/>
      <c r="AM690" s="49"/>
      <c r="AN690" s="49"/>
      <c r="AO690" s="11"/>
      <c r="AP690" s="11"/>
      <c r="AQ690" s="28" t="b">
        <f>IF(COUNTIF(SmartStatus!A$2:A1000, AM690) &gt; 2, TRUE, FALSE)</f>
        <v>0</v>
      </c>
      <c r="AR690" s="29" t="str">
        <f ca="1">IFERROR(__xludf.DUMMYFUNCTION("iferror(if(regexmatch(AO690, ""(?i)^registered""), if(EE690 &lt;&gt; ""polity_shortest_name"", ""CHECK_POLITY"", index(filter(SmartStatus!B$2:B1000, AM690 = SmartStatus!A$2:A1000, not(SmartStatus!C$2:C1000), (isblank(SmartStatus!D$2:D1000)) + ((P690 &lt;&gt; """") * "&amp;"(P690 &lt; SmartStatus!D$2:D1000)), (isblank(SmartStatus!E$2:E1000)) + ((P690 &lt;&gt; """") * (P690 &gt;= SmartStatus!E$2:E1000)), (isblank(SmartStatus!F$2:F1000)) + (((Q690 &lt;&gt; """") * (Q690 &lt; SmartStatus!F$2:F1000)) + ((P690 &lt;&gt; """") * (date(year(P690) + 3, month(P"&amp;"690), day(P690)) &lt; SmartStatus!F$2:F1000))), (isblank(SmartStatus!G$2:G1000)) + (((Q690 &lt;&gt; """") * (Q690 &gt;= SmartStatus!G$2:G1000)) + ((P690 &lt;&gt; """") * (P690 &gt;= SmartStatus!G$2:G1000)))), if(or(regexmatch(B690, ""(?i)^ir [a-z]+ designation$""), N690 &lt;&gt; """&amp;"""), 1, 2))), """"), ""NO_MATCH"")"),"")</f>
        <v/>
      </c>
      <c r="AS690" s="11"/>
      <c r="AT690" s="15"/>
      <c r="AU690" s="11"/>
      <c r="AV690" s="11"/>
      <c r="AW690" s="15"/>
      <c r="AX690" s="15"/>
      <c r="AY690" s="15"/>
      <c r="AZ690" s="11"/>
      <c r="BA690" s="15"/>
      <c r="BB690" s="11"/>
      <c r="BC690" s="11"/>
      <c r="BD690" s="15"/>
      <c r="BE690" s="11"/>
      <c r="BF690" s="11"/>
      <c r="BG690" s="15"/>
      <c r="BH690" s="15"/>
      <c r="BI690" s="15"/>
      <c r="BJ690" s="11"/>
      <c r="BK690" s="15"/>
      <c r="BL690" s="11"/>
      <c r="BM690" s="11"/>
      <c r="BN690" s="15"/>
      <c r="BO690" s="11"/>
      <c r="BP690" s="11"/>
      <c r="BQ690" s="15"/>
      <c r="BR690" s="15"/>
      <c r="BS690" s="15"/>
      <c r="BT690" s="11"/>
      <c r="BU690" s="15"/>
      <c r="BV690" s="11"/>
      <c r="BW690" s="11"/>
      <c r="BX690" s="15"/>
      <c r="BY690" s="11"/>
      <c r="BZ690" s="11"/>
      <c r="CA690" s="15"/>
      <c r="CB690" s="11"/>
      <c r="CC690" s="15"/>
      <c r="CD690" s="11"/>
      <c r="CE690" s="15"/>
      <c r="CF690" s="11"/>
      <c r="CG690" s="11"/>
      <c r="CH690" s="15"/>
      <c r="CI690" s="11"/>
      <c r="CJ690" s="11"/>
      <c r="CK690" s="15"/>
      <c r="CL690" s="11"/>
      <c r="CM690" s="11"/>
      <c r="CN690" s="11"/>
      <c r="CO690" s="11"/>
      <c r="CP690" s="28"/>
      <c r="CQ690" s="28"/>
      <c r="CR690" s="11"/>
      <c r="CS690" s="29"/>
      <c r="CT690" s="11"/>
      <c r="CU690" s="11"/>
      <c r="CV690" s="11"/>
      <c r="CW690" s="11"/>
      <c r="CX690" s="11"/>
      <c r="CY690" s="11"/>
      <c r="CZ690" s="11"/>
      <c r="DA690" s="28"/>
      <c r="DB690" s="28"/>
      <c r="DC690" s="11"/>
      <c r="DD690" s="29"/>
      <c r="DE690" s="11"/>
      <c r="DF690" s="11"/>
      <c r="DG690" s="11"/>
      <c r="DH690" s="11"/>
      <c r="DI690" s="11"/>
      <c r="DJ690" s="11"/>
      <c r="DK690" s="26"/>
      <c r="DL690" s="11"/>
      <c r="DM690" s="29"/>
      <c r="DN690" s="28"/>
      <c r="DO690" s="11"/>
      <c r="DP690" s="11"/>
      <c r="DQ690" s="11"/>
      <c r="DR690" s="29"/>
      <c r="DS690" s="28"/>
      <c r="DT690" s="11"/>
      <c r="DU690" s="26"/>
      <c r="DV690" s="11"/>
      <c r="DW690" s="29"/>
      <c r="DX690" s="28"/>
      <c r="DY690" s="11"/>
      <c r="DZ690" s="26"/>
      <c r="EA690" s="11"/>
      <c r="EB690" s="29"/>
      <c r="EC690" s="28"/>
      <c r="ED690" s="30"/>
      <c r="EE690" s="30" t="str">
        <f ca="1">IFERROR(__xludf.DUMMYFUNCTION("iferror(index(filter('Internal -- Trademark Countries'!E$2:E1000, (AM690 = 'Internal -- Trademark Countries'!B$2:B1000) + (AM690 = 'Internal -- Trademark Countries'!C$2:C1000) + (AM690 = 'Internal -- Trademark Countries'!D$2:D1000)), 1))"),"")</f>
        <v/>
      </c>
      <c r="EF690" s="30" t="e">
        <f ca="1">_xludf.ifs(AM690="", "", COUNTIF('Internal -- Trademark Countries'!B:B,AM690) &gt; 0, "polity_shortest_name", COUNTIF('Internal -- Trademark Countries'!C:C,AM690) &gt; 0, "polity_full_name", COUNTIF('Internal -- Trademark Countries'!D:D,AM690) &gt; 0, "polity_common_name", COUNTIF('Internal -- Trademark Countries'!E:E,AM690) &gt; 0, "shortest_name", COUNTIF('Internal -- Trademark Countries'!A:A,AM690) &gt; 0, "full_name", TRUE, "not a match")</f>
        <v>#NAME?</v>
      </c>
      <c r="EG690" s="30"/>
      <c r="EH690" s="30"/>
      <c r="EI690" s="30"/>
      <c r="EJ690" s="30"/>
      <c r="EK690" s="30" t="str">
        <f t="shared" si="4"/>
        <v/>
      </c>
    </row>
    <row r="691" spans="1:141" ht="16.5">
      <c r="A691" s="11"/>
      <c r="B691" s="11"/>
      <c r="C691" s="11"/>
      <c r="D691" s="11"/>
      <c r="E691" s="11"/>
      <c r="F691" s="11"/>
      <c r="G691" s="11"/>
      <c r="H691" s="11"/>
      <c r="I691" s="11"/>
      <c r="J691" s="11"/>
      <c r="K691" s="27"/>
      <c r="L691" s="11"/>
      <c r="M691" s="11"/>
      <c r="N691" s="11"/>
      <c r="O691" s="11"/>
      <c r="P691" s="15"/>
      <c r="Q691" s="15"/>
      <c r="R691" s="15"/>
      <c r="S691" s="15"/>
      <c r="T691" s="15"/>
      <c r="U691" s="15"/>
      <c r="V691" s="15"/>
      <c r="W691" s="47"/>
      <c r="X691" s="11"/>
      <c r="Y691" s="48"/>
      <c r="Z691" s="11"/>
      <c r="AA691" s="48"/>
      <c r="AB691" s="11"/>
      <c r="AC691" s="48"/>
      <c r="AD691" s="11"/>
      <c r="AE691" s="47"/>
      <c r="AF691" s="11"/>
      <c r="AG691" s="48"/>
      <c r="AH691" s="11"/>
      <c r="AI691" s="48"/>
      <c r="AJ691" s="11"/>
      <c r="AK691" s="48"/>
      <c r="AL691" s="11"/>
      <c r="AM691" s="49"/>
      <c r="AN691" s="49"/>
      <c r="AO691" s="11"/>
      <c r="AP691" s="11"/>
      <c r="AQ691" s="28" t="b">
        <f>IF(COUNTIF(SmartStatus!A$2:A1000, AM691) &gt; 2, TRUE, FALSE)</f>
        <v>0</v>
      </c>
      <c r="AR691" s="29" t="str">
        <f ca="1">IFERROR(__xludf.DUMMYFUNCTION("iferror(if(regexmatch(AO691, ""(?i)^registered""), if(EE691 &lt;&gt; ""polity_shortest_name"", ""CHECK_POLITY"", index(filter(SmartStatus!B$2:B1000, AM691 = SmartStatus!A$2:A1000, not(SmartStatus!C$2:C1000), (isblank(SmartStatus!D$2:D1000)) + ((P691 &lt;&gt; """") * "&amp;"(P691 &lt; SmartStatus!D$2:D1000)), (isblank(SmartStatus!E$2:E1000)) + ((P691 &lt;&gt; """") * (P691 &gt;= SmartStatus!E$2:E1000)), (isblank(SmartStatus!F$2:F1000)) + (((Q691 &lt;&gt; """") * (Q691 &lt; SmartStatus!F$2:F1000)) + ((P691 &lt;&gt; """") * (date(year(P691) + 3, month(P"&amp;"691), day(P691)) &lt; SmartStatus!F$2:F1000))), (isblank(SmartStatus!G$2:G1000)) + (((Q691 &lt;&gt; """") * (Q691 &gt;= SmartStatus!G$2:G1000)) + ((P691 &lt;&gt; """") * (P691 &gt;= SmartStatus!G$2:G1000)))), if(or(regexmatch(B691, ""(?i)^ir [a-z]+ designation$""), N691 &lt;&gt; """&amp;"""), 1, 2))), """"), ""NO_MATCH"")"),"")</f>
        <v/>
      </c>
      <c r="AS691" s="11"/>
      <c r="AT691" s="15"/>
      <c r="AU691" s="11"/>
      <c r="AV691" s="11"/>
      <c r="AW691" s="15"/>
      <c r="AX691" s="15"/>
      <c r="AY691" s="15"/>
      <c r="AZ691" s="11"/>
      <c r="BA691" s="15"/>
      <c r="BB691" s="11"/>
      <c r="BC691" s="11"/>
      <c r="BD691" s="15"/>
      <c r="BE691" s="11"/>
      <c r="BF691" s="11"/>
      <c r="BG691" s="15"/>
      <c r="BH691" s="15"/>
      <c r="BI691" s="15"/>
      <c r="BJ691" s="11"/>
      <c r="BK691" s="15"/>
      <c r="BL691" s="11"/>
      <c r="BM691" s="11"/>
      <c r="BN691" s="15"/>
      <c r="BO691" s="11"/>
      <c r="BP691" s="11"/>
      <c r="BQ691" s="15"/>
      <c r="BR691" s="15"/>
      <c r="BS691" s="15"/>
      <c r="BT691" s="11"/>
      <c r="BU691" s="15"/>
      <c r="BV691" s="11"/>
      <c r="BW691" s="11"/>
      <c r="BX691" s="15"/>
      <c r="BY691" s="11"/>
      <c r="BZ691" s="11"/>
      <c r="CA691" s="15"/>
      <c r="CB691" s="11"/>
      <c r="CC691" s="15"/>
      <c r="CD691" s="11"/>
      <c r="CE691" s="15"/>
      <c r="CF691" s="11"/>
      <c r="CG691" s="11"/>
      <c r="CH691" s="15"/>
      <c r="CI691" s="11"/>
      <c r="CJ691" s="11"/>
      <c r="CK691" s="15"/>
      <c r="CL691" s="11"/>
      <c r="CM691" s="11"/>
      <c r="CN691" s="11"/>
      <c r="CO691" s="11"/>
      <c r="CP691" s="28"/>
      <c r="CQ691" s="28"/>
      <c r="CR691" s="11"/>
      <c r="CS691" s="29"/>
      <c r="CT691" s="11"/>
      <c r="CU691" s="11"/>
      <c r="CV691" s="11"/>
      <c r="CW691" s="11"/>
      <c r="CX691" s="11"/>
      <c r="CY691" s="11"/>
      <c r="CZ691" s="11"/>
      <c r="DA691" s="28"/>
      <c r="DB691" s="28"/>
      <c r="DC691" s="11"/>
      <c r="DD691" s="29"/>
      <c r="DE691" s="11"/>
      <c r="DF691" s="11"/>
      <c r="DG691" s="11"/>
      <c r="DH691" s="11"/>
      <c r="DI691" s="11"/>
      <c r="DJ691" s="11"/>
      <c r="DK691" s="26"/>
      <c r="DL691" s="11"/>
      <c r="DM691" s="29"/>
      <c r="DN691" s="28"/>
      <c r="DO691" s="11"/>
      <c r="DP691" s="11"/>
      <c r="DQ691" s="11"/>
      <c r="DR691" s="29"/>
      <c r="DS691" s="28"/>
      <c r="DT691" s="11"/>
      <c r="DU691" s="26"/>
      <c r="DV691" s="11"/>
      <c r="DW691" s="29"/>
      <c r="DX691" s="28"/>
      <c r="DY691" s="11"/>
      <c r="DZ691" s="26"/>
      <c r="EA691" s="11"/>
      <c r="EB691" s="29"/>
      <c r="EC691" s="28"/>
      <c r="ED691" s="30"/>
      <c r="EE691" s="30" t="str">
        <f ca="1">IFERROR(__xludf.DUMMYFUNCTION("iferror(index(filter('Internal -- Trademark Countries'!E$2:E1000, (AM691 = 'Internal -- Trademark Countries'!B$2:B1000) + (AM691 = 'Internal -- Trademark Countries'!C$2:C1000) + (AM691 = 'Internal -- Trademark Countries'!D$2:D1000)), 1))"),"")</f>
        <v/>
      </c>
      <c r="EF691" s="30" t="e">
        <f ca="1">_xludf.ifs(AM691="", "", COUNTIF('Internal -- Trademark Countries'!B:B,AM691) &gt; 0, "polity_shortest_name", COUNTIF('Internal -- Trademark Countries'!C:C,AM691) &gt; 0, "polity_full_name", COUNTIF('Internal -- Trademark Countries'!D:D,AM691) &gt; 0, "polity_common_name", COUNTIF('Internal -- Trademark Countries'!E:E,AM691) &gt; 0, "shortest_name", COUNTIF('Internal -- Trademark Countries'!A:A,AM691) &gt; 0, "full_name", TRUE, "not a match")</f>
        <v>#NAME?</v>
      </c>
      <c r="EG691" s="30"/>
      <c r="EH691" s="30"/>
      <c r="EI691" s="30"/>
      <c r="EJ691" s="30"/>
      <c r="EK691" s="30" t="str">
        <f t="shared" si="4"/>
        <v/>
      </c>
    </row>
    <row r="692" spans="1:141" ht="16.5">
      <c r="A692" s="11"/>
      <c r="B692" s="11"/>
      <c r="C692" s="11"/>
      <c r="D692" s="11"/>
      <c r="E692" s="11"/>
      <c r="F692" s="11"/>
      <c r="G692" s="11"/>
      <c r="H692" s="11"/>
      <c r="I692" s="11"/>
      <c r="J692" s="11"/>
      <c r="K692" s="27"/>
      <c r="L692" s="11"/>
      <c r="M692" s="11"/>
      <c r="N692" s="11"/>
      <c r="O692" s="11"/>
      <c r="P692" s="15"/>
      <c r="Q692" s="15"/>
      <c r="R692" s="15"/>
      <c r="S692" s="15"/>
      <c r="T692" s="15"/>
      <c r="U692" s="15"/>
      <c r="V692" s="15"/>
      <c r="W692" s="47"/>
      <c r="X692" s="11"/>
      <c r="Y692" s="48"/>
      <c r="Z692" s="11"/>
      <c r="AA692" s="48"/>
      <c r="AB692" s="11"/>
      <c r="AC692" s="48"/>
      <c r="AD692" s="11"/>
      <c r="AE692" s="47"/>
      <c r="AF692" s="11"/>
      <c r="AG692" s="48"/>
      <c r="AH692" s="11"/>
      <c r="AI692" s="48"/>
      <c r="AJ692" s="11"/>
      <c r="AK692" s="48"/>
      <c r="AL692" s="11"/>
      <c r="AM692" s="49"/>
      <c r="AN692" s="49"/>
      <c r="AO692" s="11"/>
      <c r="AP692" s="11"/>
      <c r="AQ692" s="28" t="b">
        <f>IF(COUNTIF(SmartStatus!A$2:A1000, AM692) &gt; 2, TRUE, FALSE)</f>
        <v>0</v>
      </c>
      <c r="AR692" s="29" t="str">
        <f ca="1">IFERROR(__xludf.DUMMYFUNCTION("iferror(if(regexmatch(AO692, ""(?i)^registered""), if(EE692 &lt;&gt; ""polity_shortest_name"", ""CHECK_POLITY"", index(filter(SmartStatus!B$2:B1000, AM692 = SmartStatus!A$2:A1000, not(SmartStatus!C$2:C1000), (isblank(SmartStatus!D$2:D1000)) + ((P692 &lt;&gt; """") * "&amp;"(P692 &lt; SmartStatus!D$2:D1000)), (isblank(SmartStatus!E$2:E1000)) + ((P692 &lt;&gt; """") * (P692 &gt;= SmartStatus!E$2:E1000)), (isblank(SmartStatus!F$2:F1000)) + (((Q692 &lt;&gt; """") * (Q692 &lt; SmartStatus!F$2:F1000)) + ((P692 &lt;&gt; """") * (date(year(P692) + 3, month(P"&amp;"692), day(P692)) &lt; SmartStatus!F$2:F1000))), (isblank(SmartStatus!G$2:G1000)) + (((Q692 &lt;&gt; """") * (Q692 &gt;= SmartStatus!G$2:G1000)) + ((P692 &lt;&gt; """") * (P692 &gt;= SmartStatus!G$2:G1000)))), if(or(regexmatch(B692, ""(?i)^ir [a-z]+ designation$""), N692 &lt;&gt; """&amp;"""), 1, 2))), """"), ""NO_MATCH"")"),"")</f>
        <v/>
      </c>
      <c r="AS692" s="11"/>
      <c r="AT692" s="15"/>
      <c r="AU692" s="11"/>
      <c r="AV692" s="11"/>
      <c r="AW692" s="15"/>
      <c r="AX692" s="15"/>
      <c r="AY692" s="15"/>
      <c r="AZ692" s="11"/>
      <c r="BA692" s="15"/>
      <c r="BB692" s="11"/>
      <c r="BC692" s="11"/>
      <c r="BD692" s="15"/>
      <c r="BE692" s="11"/>
      <c r="BF692" s="11"/>
      <c r="BG692" s="15"/>
      <c r="BH692" s="15"/>
      <c r="BI692" s="15"/>
      <c r="BJ692" s="11"/>
      <c r="BK692" s="15"/>
      <c r="BL692" s="11"/>
      <c r="BM692" s="11"/>
      <c r="BN692" s="15"/>
      <c r="BO692" s="11"/>
      <c r="BP692" s="11"/>
      <c r="BQ692" s="15"/>
      <c r="BR692" s="15"/>
      <c r="BS692" s="15"/>
      <c r="BT692" s="11"/>
      <c r="BU692" s="15"/>
      <c r="BV692" s="11"/>
      <c r="BW692" s="11"/>
      <c r="BX692" s="15"/>
      <c r="BY692" s="11"/>
      <c r="BZ692" s="11"/>
      <c r="CA692" s="15"/>
      <c r="CB692" s="11"/>
      <c r="CC692" s="15"/>
      <c r="CD692" s="11"/>
      <c r="CE692" s="15"/>
      <c r="CF692" s="11"/>
      <c r="CG692" s="11"/>
      <c r="CH692" s="15"/>
      <c r="CI692" s="11"/>
      <c r="CJ692" s="11"/>
      <c r="CK692" s="15"/>
      <c r="CL692" s="11"/>
      <c r="CM692" s="11"/>
      <c r="CN692" s="11"/>
      <c r="CO692" s="11"/>
      <c r="CP692" s="28"/>
      <c r="CQ692" s="28"/>
      <c r="CR692" s="11"/>
      <c r="CS692" s="29"/>
      <c r="CT692" s="11"/>
      <c r="CU692" s="11"/>
      <c r="CV692" s="11"/>
      <c r="CW692" s="11"/>
      <c r="CX692" s="11"/>
      <c r="CY692" s="11"/>
      <c r="CZ692" s="11"/>
      <c r="DA692" s="28"/>
      <c r="DB692" s="28"/>
      <c r="DC692" s="11"/>
      <c r="DD692" s="29"/>
      <c r="DE692" s="11"/>
      <c r="DF692" s="11"/>
      <c r="DG692" s="11"/>
      <c r="DH692" s="11"/>
      <c r="DI692" s="11"/>
      <c r="DJ692" s="11"/>
      <c r="DK692" s="26"/>
      <c r="DL692" s="11"/>
      <c r="DM692" s="29"/>
      <c r="DN692" s="28"/>
      <c r="DO692" s="11"/>
      <c r="DP692" s="11"/>
      <c r="DQ692" s="11"/>
      <c r="DR692" s="29"/>
      <c r="DS692" s="28"/>
      <c r="DT692" s="11"/>
      <c r="DU692" s="26"/>
      <c r="DV692" s="11"/>
      <c r="DW692" s="29"/>
      <c r="DX692" s="28"/>
      <c r="DY692" s="11"/>
      <c r="DZ692" s="26"/>
      <c r="EA692" s="11"/>
      <c r="EB692" s="29"/>
      <c r="EC692" s="28"/>
      <c r="ED692" s="30"/>
      <c r="EE692" s="30" t="str">
        <f ca="1">IFERROR(__xludf.DUMMYFUNCTION("iferror(index(filter('Internal -- Trademark Countries'!E$2:E1000, (AM692 = 'Internal -- Trademark Countries'!B$2:B1000) + (AM692 = 'Internal -- Trademark Countries'!C$2:C1000) + (AM692 = 'Internal -- Trademark Countries'!D$2:D1000)), 1))"),"")</f>
        <v/>
      </c>
      <c r="EF692" s="30" t="e">
        <f ca="1">_xludf.ifs(AM692="", "", COUNTIF('Internal -- Trademark Countries'!B:B,AM692) &gt; 0, "polity_shortest_name", COUNTIF('Internal -- Trademark Countries'!C:C,AM692) &gt; 0, "polity_full_name", COUNTIF('Internal -- Trademark Countries'!D:D,AM692) &gt; 0, "polity_common_name", COUNTIF('Internal -- Trademark Countries'!E:E,AM692) &gt; 0, "shortest_name", COUNTIF('Internal -- Trademark Countries'!A:A,AM692) &gt; 0, "full_name", TRUE, "not a match")</f>
        <v>#NAME?</v>
      </c>
      <c r="EG692" s="30"/>
      <c r="EH692" s="30"/>
      <c r="EI692" s="30"/>
      <c r="EJ692" s="30"/>
      <c r="EK692" s="30" t="str">
        <f t="shared" si="4"/>
        <v/>
      </c>
    </row>
    <row r="693" spans="1:141" ht="16.5">
      <c r="A693" s="11"/>
      <c r="B693" s="11"/>
      <c r="C693" s="11"/>
      <c r="D693" s="11"/>
      <c r="E693" s="11"/>
      <c r="F693" s="11"/>
      <c r="G693" s="11"/>
      <c r="H693" s="11"/>
      <c r="I693" s="11"/>
      <c r="J693" s="11"/>
      <c r="K693" s="27"/>
      <c r="L693" s="11"/>
      <c r="M693" s="11"/>
      <c r="N693" s="11"/>
      <c r="O693" s="11"/>
      <c r="P693" s="15"/>
      <c r="Q693" s="15"/>
      <c r="R693" s="15"/>
      <c r="S693" s="15"/>
      <c r="T693" s="15"/>
      <c r="U693" s="15"/>
      <c r="V693" s="15"/>
      <c r="W693" s="47"/>
      <c r="X693" s="11"/>
      <c r="Y693" s="48"/>
      <c r="Z693" s="11"/>
      <c r="AA693" s="48"/>
      <c r="AB693" s="11"/>
      <c r="AC693" s="48"/>
      <c r="AD693" s="11"/>
      <c r="AE693" s="47"/>
      <c r="AF693" s="11"/>
      <c r="AG693" s="48"/>
      <c r="AH693" s="11"/>
      <c r="AI693" s="48"/>
      <c r="AJ693" s="11"/>
      <c r="AK693" s="48"/>
      <c r="AL693" s="11"/>
      <c r="AM693" s="49"/>
      <c r="AN693" s="49"/>
      <c r="AO693" s="11"/>
      <c r="AP693" s="11"/>
      <c r="AQ693" s="28" t="b">
        <f>IF(COUNTIF(SmartStatus!A$2:A1000, AM693) &gt; 2, TRUE, FALSE)</f>
        <v>0</v>
      </c>
      <c r="AR693" s="29" t="str">
        <f ca="1">IFERROR(__xludf.DUMMYFUNCTION("iferror(if(regexmatch(AO693, ""(?i)^registered""), if(EE693 &lt;&gt; ""polity_shortest_name"", ""CHECK_POLITY"", index(filter(SmartStatus!B$2:B1000, AM693 = SmartStatus!A$2:A1000, not(SmartStatus!C$2:C1000), (isblank(SmartStatus!D$2:D1000)) + ((P693 &lt;&gt; """") * "&amp;"(P693 &lt; SmartStatus!D$2:D1000)), (isblank(SmartStatus!E$2:E1000)) + ((P693 &lt;&gt; """") * (P693 &gt;= SmartStatus!E$2:E1000)), (isblank(SmartStatus!F$2:F1000)) + (((Q693 &lt;&gt; """") * (Q693 &lt; SmartStatus!F$2:F1000)) + ((P693 &lt;&gt; """") * (date(year(P693) + 3, month(P"&amp;"693), day(P693)) &lt; SmartStatus!F$2:F1000))), (isblank(SmartStatus!G$2:G1000)) + (((Q693 &lt;&gt; """") * (Q693 &gt;= SmartStatus!G$2:G1000)) + ((P693 &lt;&gt; """") * (P693 &gt;= SmartStatus!G$2:G1000)))), if(or(regexmatch(B693, ""(?i)^ir [a-z]+ designation$""), N693 &lt;&gt; """&amp;"""), 1, 2))), """"), ""NO_MATCH"")"),"")</f>
        <v/>
      </c>
      <c r="AS693" s="11"/>
      <c r="AT693" s="15"/>
      <c r="AU693" s="11"/>
      <c r="AV693" s="11"/>
      <c r="AW693" s="15"/>
      <c r="AX693" s="15"/>
      <c r="AY693" s="15"/>
      <c r="AZ693" s="11"/>
      <c r="BA693" s="15"/>
      <c r="BB693" s="11"/>
      <c r="BC693" s="11"/>
      <c r="BD693" s="15"/>
      <c r="BE693" s="11"/>
      <c r="BF693" s="11"/>
      <c r="BG693" s="15"/>
      <c r="BH693" s="15"/>
      <c r="BI693" s="15"/>
      <c r="BJ693" s="11"/>
      <c r="BK693" s="15"/>
      <c r="BL693" s="11"/>
      <c r="BM693" s="11"/>
      <c r="BN693" s="15"/>
      <c r="BO693" s="11"/>
      <c r="BP693" s="11"/>
      <c r="BQ693" s="15"/>
      <c r="BR693" s="15"/>
      <c r="BS693" s="15"/>
      <c r="BT693" s="11"/>
      <c r="BU693" s="15"/>
      <c r="BV693" s="11"/>
      <c r="BW693" s="11"/>
      <c r="BX693" s="15"/>
      <c r="BY693" s="11"/>
      <c r="BZ693" s="11"/>
      <c r="CA693" s="15"/>
      <c r="CB693" s="11"/>
      <c r="CC693" s="15"/>
      <c r="CD693" s="11"/>
      <c r="CE693" s="15"/>
      <c r="CF693" s="11"/>
      <c r="CG693" s="11"/>
      <c r="CH693" s="15"/>
      <c r="CI693" s="11"/>
      <c r="CJ693" s="11"/>
      <c r="CK693" s="15"/>
      <c r="CL693" s="11"/>
      <c r="CM693" s="11"/>
      <c r="CN693" s="11"/>
      <c r="CO693" s="11"/>
      <c r="CP693" s="28"/>
      <c r="CQ693" s="28"/>
      <c r="CR693" s="11"/>
      <c r="CS693" s="29"/>
      <c r="CT693" s="11"/>
      <c r="CU693" s="11"/>
      <c r="CV693" s="11"/>
      <c r="CW693" s="11"/>
      <c r="CX693" s="11"/>
      <c r="CY693" s="11"/>
      <c r="CZ693" s="11"/>
      <c r="DA693" s="28"/>
      <c r="DB693" s="28"/>
      <c r="DC693" s="11"/>
      <c r="DD693" s="29"/>
      <c r="DE693" s="11"/>
      <c r="DF693" s="11"/>
      <c r="DG693" s="11"/>
      <c r="DH693" s="11"/>
      <c r="DI693" s="11"/>
      <c r="DJ693" s="11"/>
      <c r="DK693" s="26"/>
      <c r="DL693" s="11"/>
      <c r="DM693" s="29"/>
      <c r="DN693" s="28"/>
      <c r="DO693" s="11"/>
      <c r="DP693" s="11"/>
      <c r="DQ693" s="11"/>
      <c r="DR693" s="29"/>
      <c r="DS693" s="28"/>
      <c r="DT693" s="11"/>
      <c r="DU693" s="26"/>
      <c r="DV693" s="11"/>
      <c r="DW693" s="29"/>
      <c r="DX693" s="28"/>
      <c r="DY693" s="11"/>
      <c r="DZ693" s="26"/>
      <c r="EA693" s="11"/>
      <c r="EB693" s="29"/>
      <c r="EC693" s="28"/>
      <c r="ED693" s="30"/>
      <c r="EE693" s="30" t="str">
        <f ca="1">IFERROR(__xludf.DUMMYFUNCTION("iferror(index(filter('Internal -- Trademark Countries'!E$2:E1000, (AM693 = 'Internal -- Trademark Countries'!B$2:B1000) + (AM693 = 'Internal -- Trademark Countries'!C$2:C1000) + (AM693 = 'Internal -- Trademark Countries'!D$2:D1000)), 1))"),"")</f>
        <v/>
      </c>
      <c r="EF693" s="30" t="e">
        <f ca="1">_xludf.ifs(AM693="", "", COUNTIF('Internal -- Trademark Countries'!B:B,AM693) &gt; 0, "polity_shortest_name", COUNTIF('Internal -- Trademark Countries'!C:C,AM693) &gt; 0, "polity_full_name", COUNTIF('Internal -- Trademark Countries'!D:D,AM693) &gt; 0, "polity_common_name", COUNTIF('Internal -- Trademark Countries'!E:E,AM693) &gt; 0, "shortest_name", COUNTIF('Internal -- Trademark Countries'!A:A,AM693) &gt; 0, "full_name", TRUE, "not a match")</f>
        <v>#NAME?</v>
      </c>
      <c r="EG693" s="30"/>
      <c r="EH693" s="30"/>
      <c r="EI693" s="30"/>
      <c r="EJ693" s="30"/>
      <c r="EK693" s="30" t="str">
        <f t="shared" si="4"/>
        <v/>
      </c>
    </row>
    <row r="694" spans="1:141" ht="16.5">
      <c r="A694" s="11"/>
      <c r="B694" s="11"/>
      <c r="C694" s="11"/>
      <c r="D694" s="11"/>
      <c r="E694" s="11"/>
      <c r="F694" s="11"/>
      <c r="G694" s="11"/>
      <c r="H694" s="11"/>
      <c r="I694" s="11"/>
      <c r="J694" s="11"/>
      <c r="K694" s="27"/>
      <c r="L694" s="11"/>
      <c r="M694" s="11"/>
      <c r="N694" s="11"/>
      <c r="O694" s="11"/>
      <c r="P694" s="15"/>
      <c r="Q694" s="15"/>
      <c r="R694" s="15"/>
      <c r="S694" s="15"/>
      <c r="T694" s="15"/>
      <c r="U694" s="15"/>
      <c r="V694" s="15"/>
      <c r="W694" s="47"/>
      <c r="X694" s="11"/>
      <c r="Y694" s="48"/>
      <c r="Z694" s="11"/>
      <c r="AA694" s="48"/>
      <c r="AB694" s="11"/>
      <c r="AC694" s="48"/>
      <c r="AD694" s="11"/>
      <c r="AE694" s="47"/>
      <c r="AF694" s="11"/>
      <c r="AG694" s="48"/>
      <c r="AH694" s="11"/>
      <c r="AI694" s="48"/>
      <c r="AJ694" s="11"/>
      <c r="AK694" s="48"/>
      <c r="AL694" s="11"/>
      <c r="AM694" s="49"/>
      <c r="AN694" s="49"/>
      <c r="AO694" s="11"/>
      <c r="AP694" s="11"/>
      <c r="AQ694" s="28" t="b">
        <f>IF(COUNTIF(SmartStatus!A$2:A1000, AM694) &gt; 2, TRUE, FALSE)</f>
        <v>0</v>
      </c>
      <c r="AR694" s="29" t="str">
        <f ca="1">IFERROR(__xludf.DUMMYFUNCTION("iferror(if(regexmatch(AO694, ""(?i)^registered""), if(EE694 &lt;&gt; ""polity_shortest_name"", ""CHECK_POLITY"", index(filter(SmartStatus!B$2:B1000, AM694 = SmartStatus!A$2:A1000, not(SmartStatus!C$2:C1000), (isblank(SmartStatus!D$2:D1000)) + ((P694 &lt;&gt; """") * "&amp;"(P694 &lt; SmartStatus!D$2:D1000)), (isblank(SmartStatus!E$2:E1000)) + ((P694 &lt;&gt; """") * (P694 &gt;= SmartStatus!E$2:E1000)), (isblank(SmartStatus!F$2:F1000)) + (((Q694 &lt;&gt; """") * (Q694 &lt; SmartStatus!F$2:F1000)) + ((P694 &lt;&gt; """") * (date(year(P694) + 3, month(P"&amp;"694), day(P694)) &lt; SmartStatus!F$2:F1000))), (isblank(SmartStatus!G$2:G1000)) + (((Q694 &lt;&gt; """") * (Q694 &gt;= SmartStatus!G$2:G1000)) + ((P694 &lt;&gt; """") * (P694 &gt;= SmartStatus!G$2:G1000)))), if(or(regexmatch(B694, ""(?i)^ir [a-z]+ designation$""), N694 &lt;&gt; """&amp;"""), 1, 2))), """"), ""NO_MATCH"")"),"")</f>
        <v/>
      </c>
      <c r="AS694" s="11"/>
      <c r="AT694" s="15"/>
      <c r="AU694" s="11"/>
      <c r="AV694" s="11"/>
      <c r="AW694" s="15"/>
      <c r="AX694" s="15"/>
      <c r="AY694" s="15"/>
      <c r="AZ694" s="11"/>
      <c r="BA694" s="15"/>
      <c r="BB694" s="11"/>
      <c r="BC694" s="11"/>
      <c r="BD694" s="15"/>
      <c r="BE694" s="11"/>
      <c r="BF694" s="11"/>
      <c r="BG694" s="15"/>
      <c r="BH694" s="15"/>
      <c r="BI694" s="15"/>
      <c r="BJ694" s="11"/>
      <c r="BK694" s="15"/>
      <c r="BL694" s="11"/>
      <c r="BM694" s="11"/>
      <c r="BN694" s="15"/>
      <c r="BO694" s="11"/>
      <c r="BP694" s="11"/>
      <c r="BQ694" s="15"/>
      <c r="BR694" s="15"/>
      <c r="BS694" s="15"/>
      <c r="BT694" s="11"/>
      <c r="BU694" s="15"/>
      <c r="BV694" s="11"/>
      <c r="BW694" s="11"/>
      <c r="BX694" s="15"/>
      <c r="BY694" s="11"/>
      <c r="BZ694" s="11"/>
      <c r="CA694" s="15"/>
      <c r="CB694" s="11"/>
      <c r="CC694" s="15"/>
      <c r="CD694" s="11"/>
      <c r="CE694" s="15"/>
      <c r="CF694" s="11"/>
      <c r="CG694" s="11"/>
      <c r="CH694" s="15"/>
      <c r="CI694" s="11"/>
      <c r="CJ694" s="11"/>
      <c r="CK694" s="15"/>
      <c r="CL694" s="11"/>
      <c r="CM694" s="11"/>
      <c r="CN694" s="11"/>
      <c r="CO694" s="11"/>
      <c r="CP694" s="28"/>
      <c r="CQ694" s="28"/>
      <c r="CR694" s="11"/>
      <c r="CS694" s="29"/>
      <c r="CT694" s="11"/>
      <c r="CU694" s="11"/>
      <c r="CV694" s="11"/>
      <c r="CW694" s="11"/>
      <c r="CX694" s="11"/>
      <c r="CY694" s="11"/>
      <c r="CZ694" s="11"/>
      <c r="DA694" s="28"/>
      <c r="DB694" s="28"/>
      <c r="DC694" s="11"/>
      <c r="DD694" s="29"/>
      <c r="DE694" s="11"/>
      <c r="DF694" s="11"/>
      <c r="DG694" s="11"/>
      <c r="DH694" s="11"/>
      <c r="DI694" s="11"/>
      <c r="DJ694" s="11"/>
      <c r="DK694" s="26"/>
      <c r="DL694" s="11"/>
      <c r="DM694" s="29"/>
      <c r="DN694" s="28"/>
      <c r="DO694" s="11"/>
      <c r="DP694" s="11"/>
      <c r="DQ694" s="11"/>
      <c r="DR694" s="29"/>
      <c r="DS694" s="28"/>
      <c r="DT694" s="11"/>
      <c r="DU694" s="26"/>
      <c r="DV694" s="11"/>
      <c r="DW694" s="29"/>
      <c r="DX694" s="28"/>
      <c r="DY694" s="11"/>
      <c r="DZ694" s="26"/>
      <c r="EA694" s="11"/>
      <c r="EB694" s="29"/>
      <c r="EC694" s="28"/>
      <c r="ED694" s="30"/>
      <c r="EE694" s="30" t="str">
        <f ca="1">IFERROR(__xludf.DUMMYFUNCTION("iferror(index(filter('Internal -- Trademark Countries'!E$2:E1000, (AM694 = 'Internal -- Trademark Countries'!B$2:B1000) + (AM694 = 'Internal -- Trademark Countries'!C$2:C1000) + (AM694 = 'Internal -- Trademark Countries'!D$2:D1000)), 1))"),"")</f>
        <v/>
      </c>
      <c r="EF694" s="30" t="e">
        <f ca="1">_xludf.ifs(AM694="", "", COUNTIF('Internal -- Trademark Countries'!B:B,AM694) &gt; 0, "polity_shortest_name", COUNTIF('Internal -- Trademark Countries'!C:C,AM694) &gt; 0, "polity_full_name", COUNTIF('Internal -- Trademark Countries'!D:D,AM694) &gt; 0, "polity_common_name", COUNTIF('Internal -- Trademark Countries'!E:E,AM694) &gt; 0, "shortest_name", COUNTIF('Internal -- Trademark Countries'!A:A,AM694) &gt; 0, "full_name", TRUE, "not a match")</f>
        <v>#NAME?</v>
      </c>
      <c r="EG694" s="30"/>
      <c r="EH694" s="30"/>
      <c r="EI694" s="30"/>
      <c r="EJ694" s="30"/>
      <c r="EK694" s="30" t="str">
        <f t="shared" si="4"/>
        <v/>
      </c>
    </row>
    <row r="695" spans="1:141" ht="16.5">
      <c r="A695" s="11"/>
      <c r="B695" s="11"/>
      <c r="C695" s="11"/>
      <c r="D695" s="11"/>
      <c r="E695" s="11"/>
      <c r="F695" s="11"/>
      <c r="G695" s="11"/>
      <c r="H695" s="11"/>
      <c r="I695" s="11"/>
      <c r="J695" s="11"/>
      <c r="K695" s="27"/>
      <c r="L695" s="11"/>
      <c r="M695" s="11"/>
      <c r="N695" s="11"/>
      <c r="O695" s="11"/>
      <c r="P695" s="15"/>
      <c r="Q695" s="15"/>
      <c r="R695" s="15"/>
      <c r="S695" s="15"/>
      <c r="T695" s="15"/>
      <c r="U695" s="15"/>
      <c r="V695" s="15"/>
      <c r="W695" s="47"/>
      <c r="X695" s="11"/>
      <c r="Y695" s="48"/>
      <c r="Z695" s="11"/>
      <c r="AA695" s="48"/>
      <c r="AB695" s="11"/>
      <c r="AC695" s="48"/>
      <c r="AD695" s="11"/>
      <c r="AE695" s="47"/>
      <c r="AF695" s="11"/>
      <c r="AG695" s="48"/>
      <c r="AH695" s="11"/>
      <c r="AI695" s="48"/>
      <c r="AJ695" s="11"/>
      <c r="AK695" s="48"/>
      <c r="AL695" s="11"/>
      <c r="AM695" s="49"/>
      <c r="AN695" s="49"/>
      <c r="AO695" s="11"/>
      <c r="AP695" s="11"/>
      <c r="AQ695" s="28" t="b">
        <f>IF(COUNTIF(SmartStatus!A$2:A1000, AM695) &gt; 2, TRUE, FALSE)</f>
        <v>0</v>
      </c>
      <c r="AR695" s="29" t="str">
        <f ca="1">IFERROR(__xludf.DUMMYFUNCTION("iferror(if(regexmatch(AO695, ""(?i)^registered""), if(EE695 &lt;&gt; ""polity_shortest_name"", ""CHECK_POLITY"", index(filter(SmartStatus!B$2:B1000, AM695 = SmartStatus!A$2:A1000, not(SmartStatus!C$2:C1000), (isblank(SmartStatus!D$2:D1000)) + ((P695 &lt;&gt; """") * "&amp;"(P695 &lt; SmartStatus!D$2:D1000)), (isblank(SmartStatus!E$2:E1000)) + ((P695 &lt;&gt; """") * (P695 &gt;= SmartStatus!E$2:E1000)), (isblank(SmartStatus!F$2:F1000)) + (((Q695 &lt;&gt; """") * (Q695 &lt; SmartStatus!F$2:F1000)) + ((P695 &lt;&gt; """") * (date(year(P695) + 3, month(P"&amp;"695), day(P695)) &lt; SmartStatus!F$2:F1000))), (isblank(SmartStatus!G$2:G1000)) + (((Q695 &lt;&gt; """") * (Q695 &gt;= SmartStatus!G$2:G1000)) + ((P695 &lt;&gt; """") * (P695 &gt;= SmartStatus!G$2:G1000)))), if(or(regexmatch(B695, ""(?i)^ir [a-z]+ designation$""), N695 &lt;&gt; """&amp;"""), 1, 2))), """"), ""NO_MATCH"")"),"")</f>
        <v/>
      </c>
      <c r="AS695" s="11"/>
      <c r="AT695" s="15"/>
      <c r="AU695" s="11"/>
      <c r="AV695" s="11"/>
      <c r="AW695" s="15"/>
      <c r="AX695" s="15"/>
      <c r="AY695" s="15"/>
      <c r="AZ695" s="11"/>
      <c r="BA695" s="15"/>
      <c r="BB695" s="11"/>
      <c r="BC695" s="11"/>
      <c r="BD695" s="15"/>
      <c r="BE695" s="11"/>
      <c r="BF695" s="11"/>
      <c r="BG695" s="15"/>
      <c r="BH695" s="15"/>
      <c r="BI695" s="15"/>
      <c r="BJ695" s="11"/>
      <c r="BK695" s="15"/>
      <c r="BL695" s="11"/>
      <c r="BM695" s="11"/>
      <c r="BN695" s="15"/>
      <c r="BO695" s="11"/>
      <c r="BP695" s="11"/>
      <c r="BQ695" s="15"/>
      <c r="BR695" s="15"/>
      <c r="BS695" s="15"/>
      <c r="BT695" s="11"/>
      <c r="BU695" s="15"/>
      <c r="BV695" s="11"/>
      <c r="BW695" s="11"/>
      <c r="BX695" s="15"/>
      <c r="BY695" s="11"/>
      <c r="BZ695" s="11"/>
      <c r="CA695" s="15"/>
      <c r="CB695" s="11"/>
      <c r="CC695" s="15"/>
      <c r="CD695" s="11"/>
      <c r="CE695" s="15"/>
      <c r="CF695" s="11"/>
      <c r="CG695" s="11"/>
      <c r="CH695" s="15"/>
      <c r="CI695" s="11"/>
      <c r="CJ695" s="11"/>
      <c r="CK695" s="15"/>
      <c r="CL695" s="11"/>
      <c r="CM695" s="11"/>
      <c r="CN695" s="11"/>
      <c r="CO695" s="11"/>
      <c r="CP695" s="28"/>
      <c r="CQ695" s="28"/>
      <c r="CR695" s="11"/>
      <c r="CS695" s="29"/>
      <c r="CT695" s="11"/>
      <c r="CU695" s="11"/>
      <c r="CV695" s="11"/>
      <c r="CW695" s="11"/>
      <c r="CX695" s="11"/>
      <c r="CY695" s="11"/>
      <c r="CZ695" s="11"/>
      <c r="DA695" s="28"/>
      <c r="DB695" s="28"/>
      <c r="DC695" s="11"/>
      <c r="DD695" s="29"/>
      <c r="DE695" s="11"/>
      <c r="DF695" s="11"/>
      <c r="DG695" s="11"/>
      <c r="DH695" s="11"/>
      <c r="DI695" s="11"/>
      <c r="DJ695" s="11"/>
      <c r="DK695" s="26"/>
      <c r="DL695" s="11"/>
      <c r="DM695" s="29"/>
      <c r="DN695" s="28"/>
      <c r="DO695" s="11"/>
      <c r="DP695" s="11"/>
      <c r="DQ695" s="11"/>
      <c r="DR695" s="29"/>
      <c r="DS695" s="28"/>
      <c r="DT695" s="11"/>
      <c r="DU695" s="26"/>
      <c r="DV695" s="11"/>
      <c r="DW695" s="29"/>
      <c r="DX695" s="28"/>
      <c r="DY695" s="11"/>
      <c r="DZ695" s="26"/>
      <c r="EA695" s="11"/>
      <c r="EB695" s="29"/>
      <c r="EC695" s="28"/>
      <c r="ED695" s="30"/>
      <c r="EE695" s="30" t="str">
        <f ca="1">IFERROR(__xludf.DUMMYFUNCTION("iferror(index(filter('Internal -- Trademark Countries'!E$2:E1000, (AM695 = 'Internal -- Trademark Countries'!B$2:B1000) + (AM695 = 'Internal -- Trademark Countries'!C$2:C1000) + (AM695 = 'Internal -- Trademark Countries'!D$2:D1000)), 1))"),"")</f>
        <v/>
      </c>
      <c r="EF695" s="30" t="e">
        <f ca="1">_xludf.ifs(AM695="", "", COUNTIF('Internal -- Trademark Countries'!B:B,AM695) &gt; 0, "polity_shortest_name", COUNTIF('Internal -- Trademark Countries'!C:C,AM695) &gt; 0, "polity_full_name", COUNTIF('Internal -- Trademark Countries'!D:D,AM695) &gt; 0, "polity_common_name", COUNTIF('Internal -- Trademark Countries'!E:E,AM695) &gt; 0, "shortest_name", COUNTIF('Internal -- Trademark Countries'!A:A,AM695) &gt; 0, "full_name", TRUE, "not a match")</f>
        <v>#NAME?</v>
      </c>
      <c r="EG695" s="30"/>
      <c r="EH695" s="30"/>
      <c r="EI695" s="30"/>
      <c r="EJ695" s="30"/>
      <c r="EK695" s="30" t="str">
        <f t="shared" si="4"/>
        <v/>
      </c>
    </row>
    <row r="696" spans="1:141" ht="16.5">
      <c r="A696" s="11"/>
      <c r="B696" s="11"/>
      <c r="C696" s="11"/>
      <c r="D696" s="11"/>
      <c r="E696" s="11"/>
      <c r="F696" s="11"/>
      <c r="G696" s="11"/>
      <c r="H696" s="11"/>
      <c r="I696" s="11"/>
      <c r="J696" s="11"/>
      <c r="K696" s="27"/>
      <c r="L696" s="11"/>
      <c r="M696" s="11"/>
      <c r="N696" s="11"/>
      <c r="O696" s="11"/>
      <c r="P696" s="15"/>
      <c r="Q696" s="15"/>
      <c r="R696" s="15"/>
      <c r="S696" s="15"/>
      <c r="T696" s="15"/>
      <c r="U696" s="15"/>
      <c r="V696" s="15"/>
      <c r="W696" s="47"/>
      <c r="X696" s="11"/>
      <c r="Y696" s="48"/>
      <c r="Z696" s="11"/>
      <c r="AA696" s="48"/>
      <c r="AB696" s="11"/>
      <c r="AC696" s="48"/>
      <c r="AD696" s="11"/>
      <c r="AE696" s="47"/>
      <c r="AF696" s="11"/>
      <c r="AG696" s="48"/>
      <c r="AH696" s="11"/>
      <c r="AI696" s="48"/>
      <c r="AJ696" s="11"/>
      <c r="AK696" s="48"/>
      <c r="AL696" s="11"/>
      <c r="AM696" s="49"/>
      <c r="AN696" s="49"/>
      <c r="AO696" s="11"/>
      <c r="AP696" s="11"/>
      <c r="AQ696" s="28" t="b">
        <f>IF(COUNTIF(SmartStatus!A$2:A1000, AM696) &gt; 2, TRUE, FALSE)</f>
        <v>0</v>
      </c>
      <c r="AR696" s="29" t="str">
        <f ca="1">IFERROR(__xludf.DUMMYFUNCTION("iferror(if(regexmatch(AO696, ""(?i)^registered""), if(EE696 &lt;&gt; ""polity_shortest_name"", ""CHECK_POLITY"", index(filter(SmartStatus!B$2:B1000, AM696 = SmartStatus!A$2:A1000, not(SmartStatus!C$2:C1000), (isblank(SmartStatus!D$2:D1000)) + ((P696 &lt;&gt; """") * "&amp;"(P696 &lt; SmartStatus!D$2:D1000)), (isblank(SmartStatus!E$2:E1000)) + ((P696 &lt;&gt; """") * (P696 &gt;= SmartStatus!E$2:E1000)), (isblank(SmartStatus!F$2:F1000)) + (((Q696 &lt;&gt; """") * (Q696 &lt; SmartStatus!F$2:F1000)) + ((P696 &lt;&gt; """") * (date(year(P696) + 3, month(P"&amp;"696), day(P696)) &lt; SmartStatus!F$2:F1000))), (isblank(SmartStatus!G$2:G1000)) + (((Q696 &lt;&gt; """") * (Q696 &gt;= SmartStatus!G$2:G1000)) + ((P696 &lt;&gt; """") * (P696 &gt;= SmartStatus!G$2:G1000)))), if(or(regexmatch(B696, ""(?i)^ir [a-z]+ designation$""), N696 &lt;&gt; """&amp;"""), 1, 2))), """"), ""NO_MATCH"")"),"")</f>
        <v/>
      </c>
      <c r="AS696" s="11"/>
      <c r="AT696" s="15"/>
      <c r="AU696" s="11"/>
      <c r="AV696" s="11"/>
      <c r="AW696" s="15"/>
      <c r="AX696" s="15"/>
      <c r="AY696" s="15"/>
      <c r="AZ696" s="11"/>
      <c r="BA696" s="15"/>
      <c r="BB696" s="11"/>
      <c r="BC696" s="11"/>
      <c r="BD696" s="15"/>
      <c r="BE696" s="11"/>
      <c r="BF696" s="11"/>
      <c r="BG696" s="15"/>
      <c r="BH696" s="15"/>
      <c r="BI696" s="15"/>
      <c r="BJ696" s="11"/>
      <c r="BK696" s="15"/>
      <c r="BL696" s="11"/>
      <c r="BM696" s="11"/>
      <c r="BN696" s="15"/>
      <c r="BO696" s="11"/>
      <c r="BP696" s="11"/>
      <c r="BQ696" s="15"/>
      <c r="BR696" s="15"/>
      <c r="BS696" s="15"/>
      <c r="BT696" s="11"/>
      <c r="BU696" s="15"/>
      <c r="BV696" s="11"/>
      <c r="BW696" s="11"/>
      <c r="BX696" s="15"/>
      <c r="BY696" s="11"/>
      <c r="BZ696" s="11"/>
      <c r="CA696" s="15"/>
      <c r="CB696" s="11"/>
      <c r="CC696" s="15"/>
      <c r="CD696" s="11"/>
      <c r="CE696" s="15"/>
      <c r="CF696" s="11"/>
      <c r="CG696" s="11"/>
      <c r="CH696" s="15"/>
      <c r="CI696" s="11"/>
      <c r="CJ696" s="11"/>
      <c r="CK696" s="15"/>
      <c r="CL696" s="11"/>
      <c r="CM696" s="11"/>
      <c r="CN696" s="11"/>
      <c r="CO696" s="11"/>
      <c r="CP696" s="28"/>
      <c r="CQ696" s="28"/>
      <c r="CR696" s="11"/>
      <c r="CS696" s="29"/>
      <c r="CT696" s="11"/>
      <c r="CU696" s="11"/>
      <c r="CV696" s="11"/>
      <c r="CW696" s="11"/>
      <c r="CX696" s="11"/>
      <c r="CY696" s="11"/>
      <c r="CZ696" s="11"/>
      <c r="DA696" s="28"/>
      <c r="DB696" s="28"/>
      <c r="DC696" s="11"/>
      <c r="DD696" s="29"/>
      <c r="DE696" s="11"/>
      <c r="DF696" s="11"/>
      <c r="DG696" s="11"/>
      <c r="DH696" s="11"/>
      <c r="DI696" s="11"/>
      <c r="DJ696" s="11"/>
      <c r="DK696" s="26"/>
      <c r="DL696" s="11"/>
      <c r="DM696" s="29"/>
      <c r="DN696" s="28"/>
      <c r="DO696" s="11"/>
      <c r="DP696" s="11"/>
      <c r="DQ696" s="11"/>
      <c r="DR696" s="29"/>
      <c r="DS696" s="28"/>
      <c r="DT696" s="11"/>
      <c r="DU696" s="26"/>
      <c r="DV696" s="11"/>
      <c r="DW696" s="29"/>
      <c r="DX696" s="28"/>
      <c r="DY696" s="11"/>
      <c r="DZ696" s="26"/>
      <c r="EA696" s="11"/>
      <c r="EB696" s="29"/>
      <c r="EC696" s="28"/>
      <c r="ED696" s="30"/>
      <c r="EE696" s="30" t="str">
        <f ca="1">IFERROR(__xludf.DUMMYFUNCTION("iferror(index(filter('Internal -- Trademark Countries'!E$2:E1000, (AM696 = 'Internal -- Trademark Countries'!B$2:B1000) + (AM696 = 'Internal -- Trademark Countries'!C$2:C1000) + (AM696 = 'Internal -- Trademark Countries'!D$2:D1000)), 1))"),"")</f>
        <v/>
      </c>
      <c r="EF696" s="30" t="e">
        <f ca="1">_xludf.ifs(AM696="", "", COUNTIF('Internal -- Trademark Countries'!B:B,AM696) &gt; 0, "polity_shortest_name", COUNTIF('Internal -- Trademark Countries'!C:C,AM696) &gt; 0, "polity_full_name", COUNTIF('Internal -- Trademark Countries'!D:D,AM696) &gt; 0, "polity_common_name", COUNTIF('Internal -- Trademark Countries'!E:E,AM696) &gt; 0, "shortest_name", COUNTIF('Internal -- Trademark Countries'!A:A,AM696) &gt; 0, "full_name", TRUE, "not a match")</f>
        <v>#NAME?</v>
      </c>
      <c r="EG696" s="30"/>
      <c r="EH696" s="30"/>
      <c r="EI696" s="30"/>
      <c r="EJ696" s="30"/>
      <c r="EK696" s="30" t="str">
        <f t="shared" si="4"/>
        <v/>
      </c>
    </row>
    <row r="697" spans="1:141" ht="16.5">
      <c r="A697" s="11"/>
      <c r="B697" s="11"/>
      <c r="C697" s="11"/>
      <c r="D697" s="11"/>
      <c r="E697" s="11"/>
      <c r="F697" s="11"/>
      <c r="G697" s="11"/>
      <c r="H697" s="11"/>
      <c r="I697" s="11"/>
      <c r="J697" s="11"/>
      <c r="K697" s="27"/>
      <c r="L697" s="11"/>
      <c r="M697" s="11"/>
      <c r="N697" s="11"/>
      <c r="O697" s="11"/>
      <c r="P697" s="15"/>
      <c r="Q697" s="15"/>
      <c r="R697" s="15"/>
      <c r="S697" s="15"/>
      <c r="T697" s="15"/>
      <c r="U697" s="15"/>
      <c r="V697" s="15"/>
      <c r="W697" s="47"/>
      <c r="X697" s="11"/>
      <c r="Y697" s="48"/>
      <c r="Z697" s="11"/>
      <c r="AA697" s="48"/>
      <c r="AB697" s="11"/>
      <c r="AC697" s="48"/>
      <c r="AD697" s="11"/>
      <c r="AE697" s="47"/>
      <c r="AF697" s="11"/>
      <c r="AG697" s="48"/>
      <c r="AH697" s="11"/>
      <c r="AI697" s="48"/>
      <c r="AJ697" s="11"/>
      <c r="AK697" s="48"/>
      <c r="AL697" s="11"/>
      <c r="AM697" s="49"/>
      <c r="AN697" s="49"/>
      <c r="AO697" s="11"/>
      <c r="AP697" s="11"/>
      <c r="AQ697" s="28" t="b">
        <f>IF(COUNTIF(SmartStatus!A$2:A1000, AM697) &gt; 2, TRUE, FALSE)</f>
        <v>0</v>
      </c>
      <c r="AR697" s="29" t="str">
        <f ca="1">IFERROR(__xludf.DUMMYFUNCTION("iferror(if(regexmatch(AO697, ""(?i)^registered""), if(EE697 &lt;&gt; ""polity_shortest_name"", ""CHECK_POLITY"", index(filter(SmartStatus!B$2:B1000, AM697 = SmartStatus!A$2:A1000, not(SmartStatus!C$2:C1000), (isblank(SmartStatus!D$2:D1000)) + ((P697 &lt;&gt; """") * "&amp;"(P697 &lt; SmartStatus!D$2:D1000)), (isblank(SmartStatus!E$2:E1000)) + ((P697 &lt;&gt; """") * (P697 &gt;= SmartStatus!E$2:E1000)), (isblank(SmartStatus!F$2:F1000)) + (((Q697 &lt;&gt; """") * (Q697 &lt; SmartStatus!F$2:F1000)) + ((P697 &lt;&gt; """") * (date(year(P697) + 3, month(P"&amp;"697), day(P697)) &lt; SmartStatus!F$2:F1000))), (isblank(SmartStatus!G$2:G1000)) + (((Q697 &lt;&gt; """") * (Q697 &gt;= SmartStatus!G$2:G1000)) + ((P697 &lt;&gt; """") * (P697 &gt;= SmartStatus!G$2:G1000)))), if(or(regexmatch(B697, ""(?i)^ir [a-z]+ designation$""), N697 &lt;&gt; """&amp;"""), 1, 2))), """"), ""NO_MATCH"")"),"")</f>
        <v/>
      </c>
      <c r="AS697" s="11"/>
      <c r="AT697" s="15"/>
      <c r="AU697" s="11"/>
      <c r="AV697" s="11"/>
      <c r="AW697" s="15"/>
      <c r="AX697" s="15"/>
      <c r="AY697" s="15"/>
      <c r="AZ697" s="11"/>
      <c r="BA697" s="15"/>
      <c r="BB697" s="11"/>
      <c r="BC697" s="11"/>
      <c r="BD697" s="15"/>
      <c r="BE697" s="11"/>
      <c r="BF697" s="11"/>
      <c r="BG697" s="15"/>
      <c r="BH697" s="15"/>
      <c r="BI697" s="15"/>
      <c r="BJ697" s="11"/>
      <c r="BK697" s="15"/>
      <c r="BL697" s="11"/>
      <c r="BM697" s="11"/>
      <c r="BN697" s="15"/>
      <c r="BO697" s="11"/>
      <c r="BP697" s="11"/>
      <c r="BQ697" s="15"/>
      <c r="BR697" s="15"/>
      <c r="BS697" s="15"/>
      <c r="BT697" s="11"/>
      <c r="BU697" s="15"/>
      <c r="BV697" s="11"/>
      <c r="BW697" s="11"/>
      <c r="BX697" s="15"/>
      <c r="BY697" s="11"/>
      <c r="BZ697" s="11"/>
      <c r="CA697" s="15"/>
      <c r="CB697" s="11"/>
      <c r="CC697" s="15"/>
      <c r="CD697" s="11"/>
      <c r="CE697" s="15"/>
      <c r="CF697" s="11"/>
      <c r="CG697" s="11"/>
      <c r="CH697" s="15"/>
      <c r="CI697" s="11"/>
      <c r="CJ697" s="11"/>
      <c r="CK697" s="15"/>
      <c r="CL697" s="11"/>
      <c r="CM697" s="11"/>
      <c r="CN697" s="11"/>
      <c r="CO697" s="11"/>
      <c r="CP697" s="28"/>
      <c r="CQ697" s="28"/>
      <c r="CR697" s="11"/>
      <c r="CS697" s="29"/>
      <c r="CT697" s="11"/>
      <c r="CU697" s="11"/>
      <c r="CV697" s="11"/>
      <c r="CW697" s="11"/>
      <c r="CX697" s="11"/>
      <c r="CY697" s="11"/>
      <c r="CZ697" s="11"/>
      <c r="DA697" s="28"/>
      <c r="DB697" s="28"/>
      <c r="DC697" s="11"/>
      <c r="DD697" s="29"/>
      <c r="DE697" s="11"/>
      <c r="DF697" s="11"/>
      <c r="DG697" s="11"/>
      <c r="DH697" s="11"/>
      <c r="DI697" s="11"/>
      <c r="DJ697" s="11"/>
      <c r="DK697" s="26"/>
      <c r="DL697" s="11"/>
      <c r="DM697" s="29"/>
      <c r="DN697" s="28"/>
      <c r="DO697" s="11"/>
      <c r="DP697" s="11"/>
      <c r="DQ697" s="11"/>
      <c r="DR697" s="29"/>
      <c r="DS697" s="28"/>
      <c r="DT697" s="11"/>
      <c r="DU697" s="26"/>
      <c r="DV697" s="11"/>
      <c r="DW697" s="29"/>
      <c r="DX697" s="28"/>
      <c r="DY697" s="11"/>
      <c r="DZ697" s="26"/>
      <c r="EA697" s="11"/>
      <c r="EB697" s="29"/>
      <c r="EC697" s="28"/>
      <c r="ED697" s="30"/>
      <c r="EE697" s="30" t="str">
        <f ca="1">IFERROR(__xludf.DUMMYFUNCTION("iferror(index(filter('Internal -- Trademark Countries'!E$2:E1000, (AM697 = 'Internal -- Trademark Countries'!B$2:B1000) + (AM697 = 'Internal -- Trademark Countries'!C$2:C1000) + (AM697 = 'Internal -- Trademark Countries'!D$2:D1000)), 1))"),"")</f>
        <v/>
      </c>
      <c r="EF697" s="30" t="e">
        <f ca="1">_xludf.ifs(AM697="", "", COUNTIF('Internal -- Trademark Countries'!B:B,AM697) &gt; 0, "polity_shortest_name", COUNTIF('Internal -- Trademark Countries'!C:C,AM697) &gt; 0, "polity_full_name", COUNTIF('Internal -- Trademark Countries'!D:D,AM697) &gt; 0, "polity_common_name", COUNTIF('Internal -- Trademark Countries'!E:E,AM697) &gt; 0, "shortest_name", COUNTIF('Internal -- Trademark Countries'!A:A,AM697) &gt; 0, "full_name", TRUE, "not a match")</f>
        <v>#NAME?</v>
      </c>
      <c r="EG697" s="30"/>
      <c r="EH697" s="30"/>
      <c r="EI697" s="30"/>
      <c r="EJ697" s="30"/>
      <c r="EK697" s="30" t="str">
        <f t="shared" si="4"/>
        <v/>
      </c>
    </row>
    <row r="698" spans="1:141" ht="16.5">
      <c r="A698" s="11"/>
      <c r="B698" s="11"/>
      <c r="C698" s="11"/>
      <c r="D698" s="11"/>
      <c r="E698" s="11"/>
      <c r="F698" s="11"/>
      <c r="G698" s="11"/>
      <c r="H698" s="11"/>
      <c r="I698" s="11"/>
      <c r="J698" s="11"/>
      <c r="K698" s="27"/>
      <c r="L698" s="11"/>
      <c r="M698" s="11"/>
      <c r="N698" s="11"/>
      <c r="O698" s="11"/>
      <c r="P698" s="15"/>
      <c r="Q698" s="15"/>
      <c r="R698" s="15"/>
      <c r="S698" s="15"/>
      <c r="T698" s="15"/>
      <c r="U698" s="15"/>
      <c r="V698" s="15"/>
      <c r="W698" s="47"/>
      <c r="X698" s="11"/>
      <c r="Y698" s="48"/>
      <c r="Z698" s="11"/>
      <c r="AA698" s="48"/>
      <c r="AB698" s="11"/>
      <c r="AC698" s="48"/>
      <c r="AD698" s="11"/>
      <c r="AE698" s="47"/>
      <c r="AF698" s="11"/>
      <c r="AG698" s="48"/>
      <c r="AH698" s="11"/>
      <c r="AI698" s="48"/>
      <c r="AJ698" s="11"/>
      <c r="AK698" s="48"/>
      <c r="AL698" s="11"/>
      <c r="AM698" s="49"/>
      <c r="AN698" s="49"/>
      <c r="AO698" s="11"/>
      <c r="AP698" s="11"/>
      <c r="AQ698" s="28" t="b">
        <f>IF(COUNTIF(SmartStatus!A$2:A1000, AM698) &gt; 2, TRUE, FALSE)</f>
        <v>0</v>
      </c>
      <c r="AR698" s="29" t="str">
        <f ca="1">IFERROR(__xludf.DUMMYFUNCTION("iferror(if(regexmatch(AO698, ""(?i)^registered""), if(EE698 &lt;&gt; ""polity_shortest_name"", ""CHECK_POLITY"", index(filter(SmartStatus!B$2:B1000, AM698 = SmartStatus!A$2:A1000, not(SmartStatus!C$2:C1000), (isblank(SmartStatus!D$2:D1000)) + ((P698 &lt;&gt; """") * "&amp;"(P698 &lt; SmartStatus!D$2:D1000)), (isblank(SmartStatus!E$2:E1000)) + ((P698 &lt;&gt; """") * (P698 &gt;= SmartStatus!E$2:E1000)), (isblank(SmartStatus!F$2:F1000)) + (((Q698 &lt;&gt; """") * (Q698 &lt; SmartStatus!F$2:F1000)) + ((P698 &lt;&gt; """") * (date(year(P698) + 3, month(P"&amp;"698), day(P698)) &lt; SmartStatus!F$2:F1000))), (isblank(SmartStatus!G$2:G1000)) + (((Q698 &lt;&gt; """") * (Q698 &gt;= SmartStatus!G$2:G1000)) + ((P698 &lt;&gt; """") * (P698 &gt;= SmartStatus!G$2:G1000)))), if(or(regexmatch(B698, ""(?i)^ir [a-z]+ designation$""), N698 &lt;&gt; """&amp;"""), 1, 2))), """"), ""NO_MATCH"")"),"")</f>
        <v/>
      </c>
      <c r="AS698" s="11"/>
      <c r="AT698" s="15"/>
      <c r="AU698" s="11"/>
      <c r="AV698" s="11"/>
      <c r="AW698" s="15"/>
      <c r="AX698" s="15"/>
      <c r="AY698" s="15"/>
      <c r="AZ698" s="11"/>
      <c r="BA698" s="15"/>
      <c r="BB698" s="11"/>
      <c r="BC698" s="11"/>
      <c r="BD698" s="15"/>
      <c r="BE698" s="11"/>
      <c r="BF698" s="11"/>
      <c r="BG698" s="15"/>
      <c r="BH698" s="15"/>
      <c r="BI698" s="15"/>
      <c r="BJ698" s="11"/>
      <c r="BK698" s="15"/>
      <c r="BL698" s="11"/>
      <c r="BM698" s="11"/>
      <c r="BN698" s="15"/>
      <c r="BO698" s="11"/>
      <c r="BP698" s="11"/>
      <c r="BQ698" s="15"/>
      <c r="BR698" s="15"/>
      <c r="BS698" s="15"/>
      <c r="BT698" s="11"/>
      <c r="BU698" s="15"/>
      <c r="BV698" s="11"/>
      <c r="BW698" s="11"/>
      <c r="BX698" s="15"/>
      <c r="BY698" s="11"/>
      <c r="BZ698" s="11"/>
      <c r="CA698" s="15"/>
      <c r="CB698" s="11"/>
      <c r="CC698" s="15"/>
      <c r="CD698" s="11"/>
      <c r="CE698" s="15"/>
      <c r="CF698" s="11"/>
      <c r="CG698" s="11"/>
      <c r="CH698" s="15"/>
      <c r="CI698" s="11"/>
      <c r="CJ698" s="11"/>
      <c r="CK698" s="15"/>
      <c r="CL698" s="11"/>
      <c r="CM698" s="11"/>
      <c r="CN698" s="11"/>
      <c r="CO698" s="11"/>
      <c r="CP698" s="28"/>
      <c r="CQ698" s="28"/>
      <c r="CR698" s="11"/>
      <c r="CS698" s="29"/>
      <c r="CT698" s="11"/>
      <c r="CU698" s="11"/>
      <c r="CV698" s="11"/>
      <c r="CW698" s="11"/>
      <c r="CX698" s="11"/>
      <c r="CY698" s="11"/>
      <c r="CZ698" s="11"/>
      <c r="DA698" s="28"/>
      <c r="DB698" s="28"/>
      <c r="DC698" s="11"/>
      <c r="DD698" s="29"/>
      <c r="DE698" s="11"/>
      <c r="DF698" s="11"/>
      <c r="DG698" s="11"/>
      <c r="DH698" s="11"/>
      <c r="DI698" s="11"/>
      <c r="DJ698" s="11"/>
      <c r="DK698" s="26"/>
      <c r="DL698" s="11"/>
      <c r="DM698" s="29"/>
      <c r="DN698" s="28"/>
      <c r="DO698" s="11"/>
      <c r="DP698" s="11"/>
      <c r="DQ698" s="11"/>
      <c r="DR698" s="29"/>
      <c r="DS698" s="28"/>
      <c r="DT698" s="11"/>
      <c r="DU698" s="26"/>
      <c r="DV698" s="11"/>
      <c r="DW698" s="29"/>
      <c r="DX698" s="28"/>
      <c r="DY698" s="11"/>
      <c r="DZ698" s="26"/>
      <c r="EA698" s="11"/>
      <c r="EB698" s="29"/>
      <c r="EC698" s="28"/>
      <c r="ED698" s="30"/>
      <c r="EE698" s="30" t="str">
        <f ca="1">IFERROR(__xludf.DUMMYFUNCTION("iferror(index(filter('Internal -- Trademark Countries'!E$2:E1000, (AM698 = 'Internal -- Trademark Countries'!B$2:B1000) + (AM698 = 'Internal -- Trademark Countries'!C$2:C1000) + (AM698 = 'Internal -- Trademark Countries'!D$2:D1000)), 1))"),"")</f>
        <v/>
      </c>
      <c r="EF698" s="30" t="e">
        <f ca="1">_xludf.ifs(AM698="", "", COUNTIF('Internal -- Trademark Countries'!B:B,AM698) &gt; 0, "polity_shortest_name", COUNTIF('Internal -- Trademark Countries'!C:C,AM698) &gt; 0, "polity_full_name", COUNTIF('Internal -- Trademark Countries'!D:D,AM698) &gt; 0, "polity_common_name", COUNTIF('Internal -- Trademark Countries'!E:E,AM698) &gt; 0, "shortest_name", COUNTIF('Internal -- Trademark Countries'!A:A,AM698) &gt; 0, "full_name", TRUE, "not a match")</f>
        <v>#NAME?</v>
      </c>
      <c r="EG698" s="30"/>
      <c r="EH698" s="30"/>
      <c r="EI698" s="30"/>
      <c r="EJ698" s="30"/>
      <c r="EK698" s="30" t="str">
        <f t="shared" si="4"/>
        <v/>
      </c>
    </row>
    <row r="699" spans="1:141" ht="16.5">
      <c r="A699" s="11"/>
      <c r="B699" s="11"/>
      <c r="C699" s="11"/>
      <c r="D699" s="11"/>
      <c r="E699" s="11"/>
      <c r="F699" s="11"/>
      <c r="G699" s="11"/>
      <c r="H699" s="11"/>
      <c r="I699" s="11"/>
      <c r="J699" s="11"/>
      <c r="K699" s="27"/>
      <c r="L699" s="11"/>
      <c r="M699" s="11"/>
      <c r="N699" s="11"/>
      <c r="O699" s="11"/>
      <c r="P699" s="15"/>
      <c r="Q699" s="15"/>
      <c r="R699" s="15"/>
      <c r="S699" s="15"/>
      <c r="T699" s="15"/>
      <c r="U699" s="15"/>
      <c r="V699" s="15"/>
      <c r="W699" s="47"/>
      <c r="X699" s="11"/>
      <c r="Y699" s="48"/>
      <c r="Z699" s="11"/>
      <c r="AA699" s="48"/>
      <c r="AB699" s="11"/>
      <c r="AC699" s="48"/>
      <c r="AD699" s="11"/>
      <c r="AE699" s="47"/>
      <c r="AF699" s="11"/>
      <c r="AG699" s="48"/>
      <c r="AH699" s="11"/>
      <c r="AI699" s="48"/>
      <c r="AJ699" s="11"/>
      <c r="AK699" s="48"/>
      <c r="AL699" s="11"/>
      <c r="AM699" s="49"/>
      <c r="AN699" s="49"/>
      <c r="AO699" s="11"/>
      <c r="AP699" s="11"/>
      <c r="AQ699" s="28" t="b">
        <f>IF(COUNTIF(SmartStatus!A$2:A1000, AM699) &gt; 2, TRUE, FALSE)</f>
        <v>0</v>
      </c>
      <c r="AR699" s="29" t="str">
        <f ca="1">IFERROR(__xludf.DUMMYFUNCTION("iferror(if(regexmatch(AO699, ""(?i)^registered""), if(EE699 &lt;&gt; ""polity_shortest_name"", ""CHECK_POLITY"", index(filter(SmartStatus!B$2:B1000, AM699 = SmartStatus!A$2:A1000, not(SmartStatus!C$2:C1000), (isblank(SmartStatus!D$2:D1000)) + ((P699 &lt;&gt; """") * "&amp;"(P699 &lt; SmartStatus!D$2:D1000)), (isblank(SmartStatus!E$2:E1000)) + ((P699 &lt;&gt; """") * (P699 &gt;= SmartStatus!E$2:E1000)), (isblank(SmartStatus!F$2:F1000)) + (((Q699 &lt;&gt; """") * (Q699 &lt; SmartStatus!F$2:F1000)) + ((P699 &lt;&gt; """") * (date(year(P699) + 3, month(P"&amp;"699), day(P699)) &lt; SmartStatus!F$2:F1000))), (isblank(SmartStatus!G$2:G1000)) + (((Q699 &lt;&gt; """") * (Q699 &gt;= SmartStatus!G$2:G1000)) + ((P699 &lt;&gt; """") * (P699 &gt;= SmartStatus!G$2:G1000)))), if(or(regexmatch(B699, ""(?i)^ir [a-z]+ designation$""), N699 &lt;&gt; """&amp;"""), 1, 2))), """"), ""NO_MATCH"")"),"")</f>
        <v/>
      </c>
      <c r="AS699" s="11"/>
      <c r="AT699" s="15"/>
      <c r="AU699" s="11"/>
      <c r="AV699" s="11"/>
      <c r="AW699" s="15"/>
      <c r="AX699" s="15"/>
      <c r="AY699" s="15"/>
      <c r="AZ699" s="11"/>
      <c r="BA699" s="15"/>
      <c r="BB699" s="11"/>
      <c r="BC699" s="11"/>
      <c r="BD699" s="15"/>
      <c r="BE699" s="11"/>
      <c r="BF699" s="11"/>
      <c r="BG699" s="15"/>
      <c r="BH699" s="15"/>
      <c r="BI699" s="15"/>
      <c r="BJ699" s="11"/>
      <c r="BK699" s="15"/>
      <c r="BL699" s="11"/>
      <c r="BM699" s="11"/>
      <c r="BN699" s="15"/>
      <c r="BO699" s="11"/>
      <c r="BP699" s="11"/>
      <c r="BQ699" s="15"/>
      <c r="BR699" s="15"/>
      <c r="BS699" s="15"/>
      <c r="BT699" s="11"/>
      <c r="BU699" s="15"/>
      <c r="BV699" s="11"/>
      <c r="BW699" s="11"/>
      <c r="BX699" s="15"/>
      <c r="BY699" s="11"/>
      <c r="BZ699" s="11"/>
      <c r="CA699" s="15"/>
      <c r="CB699" s="11"/>
      <c r="CC699" s="15"/>
      <c r="CD699" s="11"/>
      <c r="CE699" s="15"/>
      <c r="CF699" s="11"/>
      <c r="CG699" s="11"/>
      <c r="CH699" s="15"/>
      <c r="CI699" s="11"/>
      <c r="CJ699" s="11"/>
      <c r="CK699" s="15"/>
      <c r="CL699" s="11"/>
      <c r="CM699" s="11"/>
      <c r="CN699" s="11"/>
      <c r="CO699" s="11"/>
      <c r="CP699" s="28"/>
      <c r="CQ699" s="28"/>
      <c r="CR699" s="11"/>
      <c r="CS699" s="29"/>
      <c r="CT699" s="11"/>
      <c r="CU699" s="11"/>
      <c r="CV699" s="11"/>
      <c r="CW699" s="11"/>
      <c r="CX699" s="11"/>
      <c r="CY699" s="11"/>
      <c r="CZ699" s="11"/>
      <c r="DA699" s="28"/>
      <c r="DB699" s="28"/>
      <c r="DC699" s="11"/>
      <c r="DD699" s="29"/>
      <c r="DE699" s="11"/>
      <c r="DF699" s="11"/>
      <c r="DG699" s="11"/>
      <c r="DH699" s="11"/>
      <c r="DI699" s="11"/>
      <c r="DJ699" s="11"/>
      <c r="DK699" s="26"/>
      <c r="DL699" s="11"/>
      <c r="DM699" s="29"/>
      <c r="DN699" s="28"/>
      <c r="DO699" s="11"/>
      <c r="DP699" s="11"/>
      <c r="DQ699" s="11"/>
      <c r="DR699" s="29"/>
      <c r="DS699" s="28"/>
      <c r="DT699" s="11"/>
      <c r="DU699" s="26"/>
      <c r="DV699" s="11"/>
      <c r="DW699" s="29"/>
      <c r="DX699" s="28"/>
      <c r="DY699" s="11"/>
      <c r="DZ699" s="26"/>
      <c r="EA699" s="11"/>
      <c r="EB699" s="29"/>
      <c r="EC699" s="28"/>
      <c r="ED699" s="30"/>
      <c r="EE699" s="30" t="str">
        <f ca="1">IFERROR(__xludf.DUMMYFUNCTION("iferror(index(filter('Internal -- Trademark Countries'!E$2:E1000, (AM699 = 'Internal -- Trademark Countries'!B$2:B1000) + (AM699 = 'Internal -- Trademark Countries'!C$2:C1000) + (AM699 = 'Internal -- Trademark Countries'!D$2:D1000)), 1))"),"")</f>
        <v/>
      </c>
      <c r="EF699" s="30" t="e">
        <f ca="1">_xludf.ifs(AM699="", "", COUNTIF('Internal -- Trademark Countries'!B:B,AM699) &gt; 0, "polity_shortest_name", COUNTIF('Internal -- Trademark Countries'!C:C,AM699) &gt; 0, "polity_full_name", COUNTIF('Internal -- Trademark Countries'!D:D,AM699) &gt; 0, "polity_common_name", COUNTIF('Internal -- Trademark Countries'!E:E,AM699) &gt; 0, "shortest_name", COUNTIF('Internal -- Trademark Countries'!A:A,AM699) &gt; 0, "full_name", TRUE, "not a match")</f>
        <v>#NAME?</v>
      </c>
      <c r="EG699" s="30"/>
      <c r="EH699" s="30"/>
      <c r="EI699" s="30"/>
      <c r="EJ699" s="30"/>
      <c r="EK699" s="30" t="str">
        <f t="shared" si="4"/>
        <v/>
      </c>
    </row>
    <row r="700" spans="1:141" ht="16.5">
      <c r="A700" s="11"/>
      <c r="B700" s="11"/>
      <c r="C700" s="11"/>
      <c r="D700" s="11"/>
      <c r="E700" s="11"/>
      <c r="F700" s="11"/>
      <c r="G700" s="11"/>
      <c r="H700" s="11"/>
      <c r="I700" s="11"/>
      <c r="J700" s="11"/>
      <c r="K700" s="27"/>
      <c r="L700" s="11"/>
      <c r="M700" s="11"/>
      <c r="N700" s="11"/>
      <c r="O700" s="11"/>
      <c r="P700" s="15"/>
      <c r="Q700" s="15"/>
      <c r="R700" s="15"/>
      <c r="S700" s="15"/>
      <c r="T700" s="15"/>
      <c r="U700" s="15"/>
      <c r="V700" s="15"/>
      <c r="W700" s="47"/>
      <c r="X700" s="11"/>
      <c r="Y700" s="48"/>
      <c r="Z700" s="11"/>
      <c r="AA700" s="48"/>
      <c r="AB700" s="11"/>
      <c r="AC700" s="48"/>
      <c r="AD700" s="11"/>
      <c r="AE700" s="47"/>
      <c r="AF700" s="11"/>
      <c r="AG700" s="48"/>
      <c r="AH700" s="11"/>
      <c r="AI700" s="48"/>
      <c r="AJ700" s="11"/>
      <c r="AK700" s="48"/>
      <c r="AL700" s="11"/>
      <c r="AM700" s="49"/>
      <c r="AN700" s="49"/>
      <c r="AO700" s="11"/>
      <c r="AP700" s="11"/>
      <c r="AQ700" s="28" t="b">
        <f>IF(COUNTIF(SmartStatus!A$2:A1000, AM700) &gt; 2, TRUE, FALSE)</f>
        <v>0</v>
      </c>
      <c r="AR700" s="29" t="str">
        <f ca="1">IFERROR(__xludf.DUMMYFUNCTION("iferror(if(regexmatch(AO700, ""(?i)^registered""), if(EE700 &lt;&gt; ""polity_shortest_name"", ""CHECK_POLITY"", index(filter(SmartStatus!B$2:B1000, AM700 = SmartStatus!A$2:A1000, not(SmartStatus!C$2:C1000), (isblank(SmartStatus!D$2:D1000)) + ((P700 &lt;&gt; """") * "&amp;"(P700 &lt; SmartStatus!D$2:D1000)), (isblank(SmartStatus!E$2:E1000)) + ((P700 &lt;&gt; """") * (P700 &gt;= SmartStatus!E$2:E1000)), (isblank(SmartStatus!F$2:F1000)) + (((Q700 &lt;&gt; """") * (Q700 &lt; SmartStatus!F$2:F1000)) + ((P700 &lt;&gt; """") * (date(year(P700) + 3, month(P"&amp;"700), day(P700)) &lt; SmartStatus!F$2:F1000))), (isblank(SmartStatus!G$2:G1000)) + (((Q700 &lt;&gt; """") * (Q700 &gt;= SmartStatus!G$2:G1000)) + ((P700 &lt;&gt; """") * (P700 &gt;= SmartStatus!G$2:G1000)))), if(or(regexmatch(B700, ""(?i)^ir [a-z]+ designation$""), N700 &lt;&gt; """&amp;"""), 1, 2))), """"), ""NO_MATCH"")"),"")</f>
        <v/>
      </c>
      <c r="AS700" s="11"/>
      <c r="AT700" s="15"/>
      <c r="AU700" s="11"/>
      <c r="AV700" s="11"/>
      <c r="AW700" s="15"/>
      <c r="AX700" s="15"/>
      <c r="AY700" s="15"/>
      <c r="AZ700" s="11"/>
      <c r="BA700" s="15"/>
      <c r="BB700" s="11"/>
      <c r="BC700" s="11"/>
      <c r="BD700" s="15"/>
      <c r="BE700" s="11"/>
      <c r="BF700" s="11"/>
      <c r="BG700" s="15"/>
      <c r="BH700" s="15"/>
      <c r="BI700" s="15"/>
      <c r="BJ700" s="11"/>
      <c r="BK700" s="15"/>
      <c r="BL700" s="11"/>
      <c r="BM700" s="11"/>
      <c r="BN700" s="15"/>
      <c r="BO700" s="11"/>
      <c r="BP700" s="11"/>
      <c r="BQ700" s="15"/>
      <c r="BR700" s="15"/>
      <c r="BS700" s="15"/>
      <c r="BT700" s="11"/>
      <c r="BU700" s="15"/>
      <c r="BV700" s="11"/>
      <c r="BW700" s="11"/>
      <c r="BX700" s="15"/>
      <c r="BY700" s="11"/>
      <c r="BZ700" s="11"/>
      <c r="CA700" s="15"/>
      <c r="CB700" s="11"/>
      <c r="CC700" s="15"/>
      <c r="CD700" s="11"/>
      <c r="CE700" s="15"/>
      <c r="CF700" s="11"/>
      <c r="CG700" s="11"/>
      <c r="CH700" s="15"/>
      <c r="CI700" s="11"/>
      <c r="CJ700" s="11"/>
      <c r="CK700" s="15"/>
      <c r="CL700" s="11"/>
      <c r="CM700" s="11"/>
      <c r="CN700" s="11"/>
      <c r="CO700" s="11"/>
      <c r="CP700" s="28"/>
      <c r="CQ700" s="28"/>
      <c r="CR700" s="11"/>
      <c r="CS700" s="29"/>
      <c r="CT700" s="11"/>
      <c r="CU700" s="11"/>
      <c r="CV700" s="11"/>
      <c r="CW700" s="11"/>
      <c r="CX700" s="11"/>
      <c r="CY700" s="11"/>
      <c r="CZ700" s="11"/>
      <c r="DA700" s="28"/>
      <c r="DB700" s="28"/>
      <c r="DC700" s="11"/>
      <c r="DD700" s="29"/>
      <c r="DE700" s="11"/>
      <c r="DF700" s="11"/>
      <c r="DG700" s="11"/>
      <c r="DH700" s="11"/>
      <c r="DI700" s="11"/>
      <c r="DJ700" s="11"/>
      <c r="DK700" s="26"/>
      <c r="DL700" s="11"/>
      <c r="DM700" s="29"/>
      <c r="DN700" s="28"/>
      <c r="DO700" s="11"/>
      <c r="DP700" s="11"/>
      <c r="DQ700" s="11"/>
      <c r="DR700" s="29"/>
      <c r="DS700" s="28"/>
      <c r="DT700" s="11"/>
      <c r="DU700" s="26"/>
      <c r="DV700" s="11"/>
      <c r="DW700" s="29"/>
      <c r="DX700" s="28"/>
      <c r="DY700" s="11"/>
      <c r="DZ700" s="26"/>
      <c r="EA700" s="11"/>
      <c r="EB700" s="29"/>
      <c r="EC700" s="28"/>
      <c r="ED700" s="30"/>
      <c r="EE700" s="30" t="str">
        <f ca="1">IFERROR(__xludf.DUMMYFUNCTION("iferror(index(filter('Internal -- Trademark Countries'!E$2:E1000, (AM700 = 'Internal -- Trademark Countries'!B$2:B1000) + (AM700 = 'Internal -- Trademark Countries'!C$2:C1000) + (AM700 = 'Internal -- Trademark Countries'!D$2:D1000)), 1))"),"")</f>
        <v/>
      </c>
      <c r="EF700" s="30" t="e">
        <f ca="1">_xludf.ifs(AM700="", "", COUNTIF('Internal -- Trademark Countries'!B:B,AM700) &gt; 0, "polity_shortest_name", COUNTIF('Internal -- Trademark Countries'!C:C,AM700) &gt; 0, "polity_full_name", COUNTIF('Internal -- Trademark Countries'!D:D,AM700) &gt; 0, "polity_common_name", COUNTIF('Internal -- Trademark Countries'!E:E,AM700) &gt; 0, "shortest_name", COUNTIF('Internal -- Trademark Countries'!A:A,AM700) &gt; 0, "full_name", TRUE, "not a match")</f>
        <v>#NAME?</v>
      </c>
      <c r="EG700" s="30"/>
      <c r="EH700" s="30"/>
      <c r="EI700" s="30"/>
      <c r="EJ700" s="30"/>
      <c r="EK700" s="30" t="str">
        <f t="shared" si="4"/>
        <v/>
      </c>
    </row>
    <row r="701" spans="1:141" ht="16.5">
      <c r="A701" s="11"/>
      <c r="B701" s="11"/>
      <c r="C701" s="11"/>
      <c r="D701" s="11"/>
      <c r="E701" s="11"/>
      <c r="F701" s="11"/>
      <c r="G701" s="11"/>
      <c r="H701" s="11"/>
      <c r="I701" s="11"/>
      <c r="J701" s="11"/>
      <c r="K701" s="27"/>
      <c r="L701" s="11"/>
      <c r="M701" s="11"/>
      <c r="N701" s="11"/>
      <c r="O701" s="11"/>
      <c r="P701" s="15"/>
      <c r="Q701" s="15"/>
      <c r="R701" s="15"/>
      <c r="S701" s="15"/>
      <c r="T701" s="15"/>
      <c r="U701" s="15"/>
      <c r="V701" s="15"/>
      <c r="W701" s="47"/>
      <c r="X701" s="11"/>
      <c r="Y701" s="48"/>
      <c r="Z701" s="11"/>
      <c r="AA701" s="48"/>
      <c r="AB701" s="11"/>
      <c r="AC701" s="48"/>
      <c r="AD701" s="11"/>
      <c r="AE701" s="47"/>
      <c r="AF701" s="11"/>
      <c r="AG701" s="48"/>
      <c r="AH701" s="11"/>
      <c r="AI701" s="48"/>
      <c r="AJ701" s="11"/>
      <c r="AK701" s="48"/>
      <c r="AL701" s="11"/>
      <c r="AM701" s="49"/>
      <c r="AN701" s="49"/>
      <c r="AO701" s="11"/>
      <c r="AP701" s="11"/>
      <c r="AQ701" s="28" t="b">
        <f>IF(COUNTIF(SmartStatus!A$2:A1000, AM701) &gt; 2, TRUE, FALSE)</f>
        <v>0</v>
      </c>
      <c r="AR701" s="29" t="str">
        <f ca="1">IFERROR(__xludf.DUMMYFUNCTION("iferror(if(regexmatch(AO701, ""(?i)^registered""), if(EE701 &lt;&gt; ""polity_shortest_name"", ""CHECK_POLITY"", index(filter(SmartStatus!B$2:B1000, AM701 = SmartStatus!A$2:A1000, not(SmartStatus!C$2:C1000), (isblank(SmartStatus!D$2:D1000)) + ((P701 &lt;&gt; """") * "&amp;"(P701 &lt; SmartStatus!D$2:D1000)), (isblank(SmartStatus!E$2:E1000)) + ((P701 &lt;&gt; """") * (P701 &gt;= SmartStatus!E$2:E1000)), (isblank(SmartStatus!F$2:F1000)) + (((Q701 &lt;&gt; """") * (Q701 &lt; SmartStatus!F$2:F1000)) + ((P701 &lt;&gt; """") * (date(year(P701) + 3, month(P"&amp;"701), day(P701)) &lt; SmartStatus!F$2:F1000))), (isblank(SmartStatus!G$2:G1000)) + (((Q701 &lt;&gt; """") * (Q701 &gt;= SmartStatus!G$2:G1000)) + ((P701 &lt;&gt; """") * (P701 &gt;= SmartStatus!G$2:G1000)))), if(or(regexmatch(B701, ""(?i)^ir [a-z]+ designation$""), N701 &lt;&gt; """&amp;"""), 1, 2))), """"), ""NO_MATCH"")"),"")</f>
        <v/>
      </c>
      <c r="AS701" s="11"/>
      <c r="AT701" s="15"/>
      <c r="AU701" s="11"/>
      <c r="AV701" s="11"/>
      <c r="AW701" s="15"/>
      <c r="AX701" s="15"/>
      <c r="AY701" s="15"/>
      <c r="AZ701" s="11"/>
      <c r="BA701" s="15"/>
      <c r="BB701" s="11"/>
      <c r="BC701" s="11"/>
      <c r="BD701" s="15"/>
      <c r="BE701" s="11"/>
      <c r="BF701" s="11"/>
      <c r="BG701" s="15"/>
      <c r="BH701" s="15"/>
      <c r="BI701" s="15"/>
      <c r="BJ701" s="11"/>
      <c r="BK701" s="15"/>
      <c r="BL701" s="11"/>
      <c r="BM701" s="11"/>
      <c r="BN701" s="15"/>
      <c r="BO701" s="11"/>
      <c r="BP701" s="11"/>
      <c r="BQ701" s="15"/>
      <c r="BR701" s="15"/>
      <c r="BS701" s="15"/>
      <c r="BT701" s="11"/>
      <c r="BU701" s="15"/>
      <c r="BV701" s="11"/>
      <c r="BW701" s="11"/>
      <c r="BX701" s="15"/>
      <c r="BY701" s="11"/>
      <c r="BZ701" s="11"/>
      <c r="CA701" s="15"/>
      <c r="CB701" s="11"/>
      <c r="CC701" s="15"/>
      <c r="CD701" s="11"/>
      <c r="CE701" s="15"/>
      <c r="CF701" s="11"/>
      <c r="CG701" s="11"/>
      <c r="CH701" s="15"/>
      <c r="CI701" s="11"/>
      <c r="CJ701" s="11"/>
      <c r="CK701" s="15"/>
      <c r="CL701" s="11"/>
      <c r="CM701" s="11"/>
      <c r="CN701" s="11"/>
      <c r="CO701" s="11"/>
      <c r="CP701" s="28"/>
      <c r="CQ701" s="28"/>
      <c r="CR701" s="11"/>
      <c r="CS701" s="29"/>
      <c r="CT701" s="11"/>
      <c r="CU701" s="11"/>
      <c r="CV701" s="11"/>
      <c r="CW701" s="11"/>
      <c r="CX701" s="11"/>
      <c r="CY701" s="11"/>
      <c r="CZ701" s="11"/>
      <c r="DA701" s="28"/>
      <c r="DB701" s="28"/>
      <c r="DC701" s="11"/>
      <c r="DD701" s="29"/>
      <c r="DE701" s="11"/>
      <c r="DF701" s="11"/>
      <c r="DG701" s="11"/>
      <c r="DH701" s="11"/>
      <c r="DI701" s="11"/>
      <c r="DJ701" s="11"/>
      <c r="DK701" s="26"/>
      <c r="DL701" s="11"/>
      <c r="DM701" s="29"/>
      <c r="DN701" s="28"/>
      <c r="DO701" s="11"/>
      <c r="DP701" s="11"/>
      <c r="DQ701" s="11"/>
      <c r="DR701" s="29"/>
      <c r="DS701" s="28"/>
      <c r="DT701" s="11"/>
      <c r="DU701" s="26"/>
      <c r="DV701" s="11"/>
      <c r="DW701" s="29"/>
      <c r="DX701" s="28"/>
      <c r="DY701" s="11"/>
      <c r="DZ701" s="26"/>
      <c r="EA701" s="11"/>
      <c r="EB701" s="29"/>
      <c r="EC701" s="28"/>
      <c r="ED701" s="30"/>
      <c r="EE701" s="30" t="str">
        <f ca="1">IFERROR(__xludf.DUMMYFUNCTION("iferror(index(filter('Internal -- Trademark Countries'!E$2:E1000, (AM701 = 'Internal -- Trademark Countries'!B$2:B1000) + (AM701 = 'Internal -- Trademark Countries'!C$2:C1000) + (AM701 = 'Internal -- Trademark Countries'!D$2:D1000)), 1))"),"")</f>
        <v/>
      </c>
      <c r="EF701" s="30" t="e">
        <f ca="1">_xludf.ifs(AM701="", "", COUNTIF('Internal -- Trademark Countries'!B:B,AM701) &gt; 0, "polity_shortest_name", COUNTIF('Internal -- Trademark Countries'!C:C,AM701) &gt; 0, "polity_full_name", COUNTIF('Internal -- Trademark Countries'!D:D,AM701) &gt; 0, "polity_common_name", COUNTIF('Internal -- Trademark Countries'!E:E,AM701) &gt; 0, "shortest_name", COUNTIF('Internal -- Trademark Countries'!A:A,AM701) &gt; 0, "full_name", TRUE, "not a match")</f>
        <v>#NAME?</v>
      </c>
      <c r="EG701" s="30"/>
      <c r="EH701" s="30"/>
      <c r="EI701" s="30"/>
      <c r="EJ701" s="30"/>
      <c r="EK701" s="30" t="str">
        <f t="shared" si="4"/>
        <v/>
      </c>
    </row>
    <row r="702" spans="1:141" ht="16.5">
      <c r="A702" s="11"/>
      <c r="B702" s="11"/>
      <c r="C702" s="11"/>
      <c r="D702" s="11"/>
      <c r="E702" s="11"/>
      <c r="F702" s="11"/>
      <c r="G702" s="11"/>
      <c r="H702" s="11"/>
      <c r="I702" s="11"/>
      <c r="J702" s="11"/>
      <c r="K702" s="27"/>
      <c r="L702" s="11"/>
      <c r="M702" s="11"/>
      <c r="N702" s="11"/>
      <c r="O702" s="11"/>
      <c r="P702" s="15"/>
      <c r="Q702" s="15"/>
      <c r="R702" s="15"/>
      <c r="S702" s="15"/>
      <c r="T702" s="15"/>
      <c r="U702" s="15"/>
      <c r="V702" s="15"/>
      <c r="W702" s="47"/>
      <c r="X702" s="11"/>
      <c r="Y702" s="48"/>
      <c r="Z702" s="11"/>
      <c r="AA702" s="48"/>
      <c r="AB702" s="11"/>
      <c r="AC702" s="48"/>
      <c r="AD702" s="11"/>
      <c r="AE702" s="47"/>
      <c r="AF702" s="11"/>
      <c r="AG702" s="48"/>
      <c r="AH702" s="11"/>
      <c r="AI702" s="48"/>
      <c r="AJ702" s="11"/>
      <c r="AK702" s="48"/>
      <c r="AL702" s="11"/>
      <c r="AM702" s="49"/>
      <c r="AN702" s="49"/>
      <c r="AO702" s="11"/>
      <c r="AP702" s="11"/>
      <c r="AQ702" s="28" t="b">
        <f>IF(COUNTIF(SmartStatus!A$2:A1000, AM702) &gt; 2, TRUE, FALSE)</f>
        <v>0</v>
      </c>
      <c r="AR702" s="29" t="str">
        <f ca="1">IFERROR(__xludf.DUMMYFUNCTION("iferror(if(regexmatch(AO702, ""(?i)^registered""), if(EE702 &lt;&gt; ""polity_shortest_name"", ""CHECK_POLITY"", index(filter(SmartStatus!B$2:B1000, AM702 = SmartStatus!A$2:A1000, not(SmartStatus!C$2:C1000), (isblank(SmartStatus!D$2:D1000)) + ((P702 &lt;&gt; """") * "&amp;"(P702 &lt; SmartStatus!D$2:D1000)), (isblank(SmartStatus!E$2:E1000)) + ((P702 &lt;&gt; """") * (P702 &gt;= SmartStatus!E$2:E1000)), (isblank(SmartStatus!F$2:F1000)) + (((Q702 &lt;&gt; """") * (Q702 &lt; SmartStatus!F$2:F1000)) + ((P702 &lt;&gt; """") * (date(year(P702) + 3, month(P"&amp;"702), day(P702)) &lt; SmartStatus!F$2:F1000))), (isblank(SmartStatus!G$2:G1000)) + (((Q702 &lt;&gt; """") * (Q702 &gt;= SmartStatus!G$2:G1000)) + ((P702 &lt;&gt; """") * (P702 &gt;= SmartStatus!G$2:G1000)))), if(or(regexmatch(B702, ""(?i)^ir [a-z]+ designation$""), N702 &lt;&gt; """&amp;"""), 1, 2))), """"), ""NO_MATCH"")"),"")</f>
        <v/>
      </c>
      <c r="AS702" s="11"/>
      <c r="AT702" s="15"/>
      <c r="AU702" s="11"/>
      <c r="AV702" s="11"/>
      <c r="AW702" s="15"/>
      <c r="AX702" s="15"/>
      <c r="AY702" s="15"/>
      <c r="AZ702" s="11"/>
      <c r="BA702" s="15"/>
      <c r="BB702" s="11"/>
      <c r="BC702" s="11"/>
      <c r="BD702" s="15"/>
      <c r="BE702" s="11"/>
      <c r="BF702" s="11"/>
      <c r="BG702" s="15"/>
      <c r="BH702" s="15"/>
      <c r="BI702" s="15"/>
      <c r="BJ702" s="11"/>
      <c r="BK702" s="15"/>
      <c r="BL702" s="11"/>
      <c r="BM702" s="11"/>
      <c r="BN702" s="15"/>
      <c r="BO702" s="11"/>
      <c r="BP702" s="11"/>
      <c r="BQ702" s="15"/>
      <c r="BR702" s="15"/>
      <c r="BS702" s="15"/>
      <c r="BT702" s="11"/>
      <c r="BU702" s="15"/>
      <c r="BV702" s="11"/>
      <c r="BW702" s="11"/>
      <c r="BX702" s="15"/>
      <c r="BY702" s="11"/>
      <c r="BZ702" s="11"/>
      <c r="CA702" s="15"/>
      <c r="CB702" s="11"/>
      <c r="CC702" s="15"/>
      <c r="CD702" s="11"/>
      <c r="CE702" s="15"/>
      <c r="CF702" s="11"/>
      <c r="CG702" s="11"/>
      <c r="CH702" s="15"/>
      <c r="CI702" s="11"/>
      <c r="CJ702" s="11"/>
      <c r="CK702" s="15"/>
      <c r="CL702" s="11"/>
      <c r="CM702" s="11"/>
      <c r="CN702" s="11"/>
      <c r="CO702" s="11"/>
      <c r="CP702" s="28"/>
      <c r="CQ702" s="28"/>
      <c r="CR702" s="11"/>
      <c r="CS702" s="29"/>
      <c r="CT702" s="11"/>
      <c r="CU702" s="11"/>
      <c r="CV702" s="11"/>
      <c r="CW702" s="11"/>
      <c r="CX702" s="11"/>
      <c r="CY702" s="11"/>
      <c r="CZ702" s="11"/>
      <c r="DA702" s="28"/>
      <c r="DB702" s="28"/>
      <c r="DC702" s="11"/>
      <c r="DD702" s="29"/>
      <c r="DE702" s="11"/>
      <c r="DF702" s="11"/>
      <c r="DG702" s="11"/>
      <c r="DH702" s="11"/>
      <c r="DI702" s="11"/>
      <c r="DJ702" s="11"/>
      <c r="DK702" s="26"/>
      <c r="DL702" s="11"/>
      <c r="DM702" s="29"/>
      <c r="DN702" s="28"/>
      <c r="DO702" s="11"/>
      <c r="DP702" s="11"/>
      <c r="DQ702" s="11"/>
      <c r="DR702" s="29"/>
      <c r="DS702" s="28"/>
      <c r="DT702" s="11"/>
      <c r="DU702" s="26"/>
      <c r="DV702" s="11"/>
      <c r="DW702" s="29"/>
      <c r="DX702" s="28"/>
      <c r="DY702" s="11"/>
      <c r="DZ702" s="26"/>
      <c r="EA702" s="11"/>
      <c r="EB702" s="29"/>
      <c r="EC702" s="28"/>
      <c r="ED702" s="30"/>
      <c r="EE702" s="30" t="str">
        <f ca="1">IFERROR(__xludf.DUMMYFUNCTION("iferror(index(filter('Internal -- Trademark Countries'!E$2:E1000, (AM702 = 'Internal -- Trademark Countries'!B$2:B1000) + (AM702 = 'Internal -- Trademark Countries'!C$2:C1000) + (AM702 = 'Internal -- Trademark Countries'!D$2:D1000)), 1))"),"")</f>
        <v/>
      </c>
      <c r="EF702" s="30" t="e">
        <f ca="1">_xludf.ifs(AM702="", "", COUNTIF('Internal -- Trademark Countries'!B:B,AM702) &gt; 0, "polity_shortest_name", COUNTIF('Internal -- Trademark Countries'!C:C,AM702) &gt; 0, "polity_full_name", COUNTIF('Internal -- Trademark Countries'!D:D,AM702) &gt; 0, "polity_common_name", COUNTIF('Internal -- Trademark Countries'!E:E,AM702) &gt; 0, "shortest_name", COUNTIF('Internal -- Trademark Countries'!A:A,AM702) &gt; 0, "full_name", TRUE, "not a match")</f>
        <v>#NAME?</v>
      </c>
      <c r="EG702" s="30"/>
      <c r="EH702" s="30"/>
      <c r="EI702" s="30"/>
      <c r="EJ702" s="30"/>
      <c r="EK702" s="30" t="str">
        <f t="shared" si="4"/>
        <v/>
      </c>
    </row>
    <row r="703" spans="1:141" ht="16.5">
      <c r="A703" s="11"/>
      <c r="B703" s="11"/>
      <c r="C703" s="11"/>
      <c r="D703" s="11"/>
      <c r="E703" s="11"/>
      <c r="F703" s="11"/>
      <c r="G703" s="11"/>
      <c r="H703" s="11"/>
      <c r="I703" s="11"/>
      <c r="J703" s="11"/>
      <c r="K703" s="27"/>
      <c r="L703" s="11"/>
      <c r="M703" s="11"/>
      <c r="N703" s="11"/>
      <c r="O703" s="11"/>
      <c r="P703" s="15"/>
      <c r="Q703" s="15"/>
      <c r="R703" s="15"/>
      <c r="S703" s="15"/>
      <c r="T703" s="15"/>
      <c r="U703" s="15"/>
      <c r="V703" s="15"/>
      <c r="W703" s="47"/>
      <c r="X703" s="11"/>
      <c r="Y703" s="48"/>
      <c r="Z703" s="11"/>
      <c r="AA703" s="48"/>
      <c r="AB703" s="11"/>
      <c r="AC703" s="48"/>
      <c r="AD703" s="11"/>
      <c r="AE703" s="47"/>
      <c r="AF703" s="11"/>
      <c r="AG703" s="48"/>
      <c r="AH703" s="11"/>
      <c r="AI703" s="48"/>
      <c r="AJ703" s="11"/>
      <c r="AK703" s="48"/>
      <c r="AL703" s="11"/>
      <c r="AM703" s="49"/>
      <c r="AN703" s="49"/>
      <c r="AO703" s="11"/>
      <c r="AP703" s="11"/>
      <c r="AQ703" s="28" t="b">
        <f>IF(COUNTIF(SmartStatus!A$2:A1000, AM703) &gt; 2, TRUE, FALSE)</f>
        <v>0</v>
      </c>
      <c r="AR703" s="29" t="str">
        <f ca="1">IFERROR(__xludf.DUMMYFUNCTION("iferror(if(regexmatch(AO703, ""(?i)^registered""), if(EE703 &lt;&gt; ""polity_shortest_name"", ""CHECK_POLITY"", index(filter(SmartStatus!B$2:B1000, AM703 = SmartStatus!A$2:A1000, not(SmartStatus!C$2:C1000), (isblank(SmartStatus!D$2:D1000)) + ((P703 &lt;&gt; """") * "&amp;"(P703 &lt; SmartStatus!D$2:D1000)), (isblank(SmartStatus!E$2:E1000)) + ((P703 &lt;&gt; """") * (P703 &gt;= SmartStatus!E$2:E1000)), (isblank(SmartStatus!F$2:F1000)) + (((Q703 &lt;&gt; """") * (Q703 &lt; SmartStatus!F$2:F1000)) + ((P703 &lt;&gt; """") * (date(year(P703) + 3, month(P"&amp;"703), day(P703)) &lt; SmartStatus!F$2:F1000))), (isblank(SmartStatus!G$2:G1000)) + (((Q703 &lt;&gt; """") * (Q703 &gt;= SmartStatus!G$2:G1000)) + ((P703 &lt;&gt; """") * (P703 &gt;= SmartStatus!G$2:G1000)))), if(or(regexmatch(B703, ""(?i)^ir [a-z]+ designation$""), N703 &lt;&gt; """&amp;"""), 1, 2))), """"), ""NO_MATCH"")"),"")</f>
        <v/>
      </c>
      <c r="AS703" s="11"/>
      <c r="AT703" s="15"/>
      <c r="AU703" s="11"/>
      <c r="AV703" s="11"/>
      <c r="AW703" s="15"/>
      <c r="AX703" s="15"/>
      <c r="AY703" s="15"/>
      <c r="AZ703" s="11"/>
      <c r="BA703" s="15"/>
      <c r="BB703" s="11"/>
      <c r="BC703" s="11"/>
      <c r="BD703" s="15"/>
      <c r="BE703" s="11"/>
      <c r="BF703" s="11"/>
      <c r="BG703" s="15"/>
      <c r="BH703" s="15"/>
      <c r="BI703" s="15"/>
      <c r="BJ703" s="11"/>
      <c r="BK703" s="15"/>
      <c r="BL703" s="11"/>
      <c r="BM703" s="11"/>
      <c r="BN703" s="15"/>
      <c r="BO703" s="11"/>
      <c r="BP703" s="11"/>
      <c r="BQ703" s="15"/>
      <c r="BR703" s="15"/>
      <c r="BS703" s="15"/>
      <c r="BT703" s="11"/>
      <c r="BU703" s="15"/>
      <c r="BV703" s="11"/>
      <c r="BW703" s="11"/>
      <c r="BX703" s="15"/>
      <c r="BY703" s="11"/>
      <c r="BZ703" s="11"/>
      <c r="CA703" s="15"/>
      <c r="CB703" s="11"/>
      <c r="CC703" s="15"/>
      <c r="CD703" s="11"/>
      <c r="CE703" s="15"/>
      <c r="CF703" s="11"/>
      <c r="CG703" s="11"/>
      <c r="CH703" s="15"/>
      <c r="CI703" s="11"/>
      <c r="CJ703" s="11"/>
      <c r="CK703" s="15"/>
      <c r="CL703" s="11"/>
      <c r="CM703" s="11"/>
      <c r="CN703" s="11"/>
      <c r="CO703" s="11"/>
      <c r="CP703" s="28"/>
      <c r="CQ703" s="28"/>
      <c r="CR703" s="11"/>
      <c r="CS703" s="29"/>
      <c r="CT703" s="11"/>
      <c r="CU703" s="11"/>
      <c r="CV703" s="11"/>
      <c r="CW703" s="11"/>
      <c r="CX703" s="11"/>
      <c r="CY703" s="11"/>
      <c r="CZ703" s="11"/>
      <c r="DA703" s="28"/>
      <c r="DB703" s="28"/>
      <c r="DC703" s="11"/>
      <c r="DD703" s="29"/>
      <c r="DE703" s="11"/>
      <c r="DF703" s="11"/>
      <c r="DG703" s="11"/>
      <c r="DH703" s="11"/>
      <c r="DI703" s="11"/>
      <c r="DJ703" s="11"/>
      <c r="DK703" s="26"/>
      <c r="DL703" s="11"/>
      <c r="DM703" s="29"/>
      <c r="DN703" s="28"/>
      <c r="DO703" s="11"/>
      <c r="DP703" s="11"/>
      <c r="DQ703" s="11"/>
      <c r="DR703" s="29"/>
      <c r="DS703" s="28"/>
      <c r="DT703" s="11"/>
      <c r="DU703" s="26"/>
      <c r="DV703" s="11"/>
      <c r="DW703" s="29"/>
      <c r="DX703" s="28"/>
      <c r="DY703" s="11"/>
      <c r="DZ703" s="26"/>
      <c r="EA703" s="11"/>
      <c r="EB703" s="29"/>
      <c r="EC703" s="28"/>
      <c r="ED703" s="30"/>
      <c r="EE703" s="30" t="str">
        <f ca="1">IFERROR(__xludf.DUMMYFUNCTION("iferror(index(filter('Internal -- Trademark Countries'!E$2:E1000, (AM703 = 'Internal -- Trademark Countries'!B$2:B1000) + (AM703 = 'Internal -- Trademark Countries'!C$2:C1000) + (AM703 = 'Internal -- Trademark Countries'!D$2:D1000)), 1))"),"")</f>
        <v/>
      </c>
      <c r="EF703" s="30" t="e">
        <f ca="1">_xludf.ifs(AM703="", "", COUNTIF('Internal -- Trademark Countries'!B:B,AM703) &gt; 0, "polity_shortest_name", COUNTIF('Internal -- Trademark Countries'!C:C,AM703) &gt; 0, "polity_full_name", COUNTIF('Internal -- Trademark Countries'!D:D,AM703) &gt; 0, "polity_common_name", COUNTIF('Internal -- Trademark Countries'!E:E,AM703) &gt; 0, "shortest_name", COUNTIF('Internal -- Trademark Countries'!A:A,AM703) &gt; 0, "full_name", TRUE, "not a match")</f>
        <v>#NAME?</v>
      </c>
      <c r="EG703" s="30"/>
      <c r="EH703" s="30"/>
      <c r="EI703" s="30"/>
      <c r="EJ703" s="30"/>
      <c r="EK703" s="30" t="str">
        <f t="shared" si="4"/>
        <v/>
      </c>
    </row>
    <row r="704" spans="1:141" ht="16.5">
      <c r="A704" s="11"/>
      <c r="B704" s="11"/>
      <c r="C704" s="11"/>
      <c r="D704" s="11"/>
      <c r="E704" s="11"/>
      <c r="F704" s="11"/>
      <c r="G704" s="11"/>
      <c r="H704" s="11"/>
      <c r="I704" s="11"/>
      <c r="J704" s="11"/>
      <c r="K704" s="27"/>
      <c r="L704" s="11"/>
      <c r="M704" s="11"/>
      <c r="N704" s="11"/>
      <c r="O704" s="11"/>
      <c r="P704" s="15"/>
      <c r="Q704" s="15"/>
      <c r="R704" s="15"/>
      <c r="S704" s="15"/>
      <c r="T704" s="15"/>
      <c r="U704" s="15"/>
      <c r="V704" s="15"/>
      <c r="W704" s="47"/>
      <c r="X704" s="11"/>
      <c r="Y704" s="48"/>
      <c r="Z704" s="11"/>
      <c r="AA704" s="48"/>
      <c r="AB704" s="11"/>
      <c r="AC704" s="48"/>
      <c r="AD704" s="11"/>
      <c r="AE704" s="47"/>
      <c r="AF704" s="11"/>
      <c r="AG704" s="48"/>
      <c r="AH704" s="11"/>
      <c r="AI704" s="48"/>
      <c r="AJ704" s="11"/>
      <c r="AK704" s="48"/>
      <c r="AL704" s="11"/>
      <c r="AM704" s="49"/>
      <c r="AN704" s="49"/>
      <c r="AO704" s="11"/>
      <c r="AP704" s="11"/>
      <c r="AQ704" s="28" t="b">
        <f>IF(COUNTIF(SmartStatus!A$2:A1000, AM704) &gt; 2, TRUE, FALSE)</f>
        <v>0</v>
      </c>
      <c r="AR704" s="29" t="str">
        <f ca="1">IFERROR(__xludf.DUMMYFUNCTION("iferror(if(regexmatch(AO704, ""(?i)^registered""), if(EE704 &lt;&gt; ""polity_shortest_name"", ""CHECK_POLITY"", index(filter(SmartStatus!B$2:B1000, AM704 = SmartStatus!A$2:A1000, not(SmartStatus!C$2:C1000), (isblank(SmartStatus!D$2:D1000)) + ((P704 &lt;&gt; """") * "&amp;"(P704 &lt; SmartStatus!D$2:D1000)), (isblank(SmartStatus!E$2:E1000)) + ((P704 &lt;&gt; """") * (P704 &gt;= SmartStatus!E$2:E1000)), (isblank(SmartStatus!F$2:F1000)) + (((Q704 &lt;&gt; """") * (Q704 &lt; SmartStatus!F$2:F1000)) + ((P704 &lt;&gt; """") * (date(year(P704) + 3, month(P"&amp;"704), day(P704)) &lt; SmartStatus!F$2:F1000))), (isblank(SmartStatus!G$2:G1000)) + (((Q704 &lt;&gt; """") * (Q704 &gt;= SmartStatus!G$2:G1000)) + ((P704 &lt;&gt; """") * (P704 &gt;= SmartStatus!G$2:G1000)))), if(or(regexmatch(B704, ""(?i)^ir [a-z]+ designation$""), N704 &lt;&gt; """&amp;"""), 1, 2))), """"), ""NO_MATCH"")"),"")</f>
        <v/>
      </c>
      <c r="AS704" s="11"/>
      <c r="AT704" s="15"/>
      <c r="AU704" s="11"/>
      <c r="AV704" s="11"/>
      <c r="AW704" s="15"/>
      <c r="AX704" s="15"/>
      <c r="AY704" s="15"/>
      <c r="AZ704" s="11"/>
      <c r="BA704" s="15"/>
      <c r="BB704" s="11"/>
      <c r="BC704" s="11"/>
      <c r="BD704" s="15"/>
      <c r="BE704" s="11"/>
      <c r="BF704" s="11"/>
      <c r="BG704" s="15"/>
      <c r="BH704" s="15"/>
      <c r="BI704" s="15"/>
      <c r="BJ704" s="11"/>
      <c r="BK704" s="15"/>
      <c r="BL704" s="11"/>
      <c r="BM704" s="11"/>
      <c r="BN704" s="15"/>
      <c r="BO704" s="11"/>
      <c r="BP704" s="11"/>
      <c r="BQ704" s="15"/>
      <c r="BR704" s="15"/>
      <c r="BS704" s="15"/>
      <c r="BT704" s="11"/>
      <c r="BU704" s="15"/>
      <c r="BV704" s="11"/>
      <c r="BW704" s="11"/>
      <c r="BX704" s="15"/>
      <c r="BY704" s="11"/>
      <c r="BZ704" s="11"/>
      <c r="CA704" s="15"/>
      <c r="CB704" s="11"/>
      <c r="CC704" s="15"/>
      <c r="CD704" s="11"/>
      <c r="CE704" s="15"/>
      <c r="CF704" s="11"/>
      <c r="CG704" s="11"/>
      <c r="CH704" s="15"/>
      <c r="CI704" s="11"/>
      <c r="CJ704" s="11"/>
      <c r="CK704" s="15"/>
      <c r="CL704" s="11"/>
      <c r="CM704" s="11"/>
      <c r="CN704" s="11"/>
      <c r="CO704" s="11"/>
      <c r="CP704" s="28"/>
      <c r="CQ704" s="28"/>
      <c r="CR704" s="11"/>
      <c r="CS704" s="29"/>
      <c r="CT704" s="11"/>
      <c r="CU704" s="11"/>
      <c r="CV704" s="11"/>
      <c r="CW704" s="11"/>
      <c r="CX704" s="11"/>
      <c r="CY704" s="11"/>
      <c r="CZ704" s="11"/>
      <c r="DA704" s="28"/>
      <c r="DB704" s="28"/>
      <c r="DC704" s="11"/>
      <c r="DD704" s="29"/>
      <c r="DE704" s="11"/>
      <c r="DF704" s="11"/>
      <c r="DG704" s="11"/>
      <c r="DH704" s="11"/>
      <c r="DI704" s="11"/>
      <c r="DJ704" s="11"/>
      <c r="DK704" s="26"/>
      <c r="DL704" s="11"/>
      <c r="DM704" s="29"/>
      <c r="DN704" s="28"/>
      <c r="DO704" s="11"/>
      <c r="DP704" s="11"/>
      <c r="DQ704" s="11"/>
      <c r="DR704" s="29"/>
      <c r="DS704" s="28"/>
      <c r="DT704" s="11"/>
      <c r="DU704" s="26"/>
      <c r="DV704" s="11"/>
      <c r="DW704" s="29"/>
      <c r="DX704" s="28"/>
      <c r="DY704" s="11"/>
      <c r="DZ704" s="26"/>
      <c r="EA704" s="11"/>
      <c r="EB704" s="29"/>
      <c r="EC704" s="28"/>
      <c r="ED704" s="30"/>
      <c r="EE704" s="30" t="str">
        <f ca="1">IFERROR(__xludf.DUMMYFUNCTION("iferror(index(filter('Internal -- Trademark Countries'!E$2:E1000, (AM704 = 'Internal -- Trademark Countries'!B$2:B1000) + (AM704 = 'Internal -- Trademark Countries'!C$2:C1000) + (AM704 = 'Internal -- Trademark Countries'!D$2:D1000)), 1))"),"")</f>
        <v/>
      </c>
      <c r="EF704" s="30" t="e">
        <f ca="1">_xludf.ifs(AM704="", "", COUNTIF('Internal -- Trademark Countries'!B:B,AM704) &gt; 0, "polity_shortest_name", COUNTIF('Internal -- Trademark Countries'!C:C,AM704) &gt; 0, "polity_full_name", COUNTIF('Internal -- Trademark Countries'!D:D,AM704) &gt; 0, "polity_common_name", COUNTIF('Internal -- Trademark Countries'!E:E,AM704) &gt; 0, "shortest_name", COUNTIF('Internal -- Trademark Countries'!A:A,AM704) &gt; 0, "full_name", TRUE, "not a match")</f>
        <v>#NAME?</v>
      </c>
      <c r="EG704" s="30"/>
      <c r="EH704" s="30"/>
      <c r="EI704" s="30"/>
      <c r="EJ704" s="30"/>
      <c r="EK704" s="30" t="str">
        <f t="shared" si="4"/>
        <v/>
      </c>
    </row>
    <row r="705" spans="1:141" ht="16.5">
      <c r="A705" s="11"/>
      <c r="B705" s="11"/>
      <c r="C705" s="11"/>
      <c r="D705" s="11"/>
      <c r="E705" s="11"/>
      <c r="F705" s="11"/>
      <c r="G705" s="11"/>
      <c r="H705" s="11"/>
      <c r="I705" s="11"/>
      <c r="J705" s="11"/>
      <c r="K705" s="27"/>
      <c r="L705" s="11"/>
      <c r="M705" s="11"/>
      <c r="N705" s="11"/>
      <c r="O705" s="11"/>
      <c r="P705" s="15"/>
      <c r="Q705" s="15"/>
      <c r="R705" s="15"/>
      <c r="S705" s="15"/>
      <c r="T705" s="15"/>
      <c r="U705" s="15"/>
      <c r="V705" s="15"/>
      <c r="W705" s="47"/>
      <c r="X705" s="11"/>
      <c r="Y705" s="48"/>
      <c r="Z705" s="11"/>
      <c r="AA705" s="48"/>
      <c r="AB705" s="11"/>
      <c r="AC705" s="48"/>
      <c r="AD705" s="11"/>
      <c r="AE705" s="47"/>
      <c r="AF705" s="11"/>
      <c r="AG705" s="48"/>
      <c r="AH705" s="11"/>
      <c r="AI705" s="48"/>
      <c r="AJ705" s="11"/>
      <c r="AK705" s="48"/>
      <c r="AL705" s="11"/>
      <c r="AM705" s="49"/>
      <c r="AN705" s="49"/>
      <c r="AO705" s="11"/>
      <c r="AP705" s="11"/>
      <c r="AQ705" s="28" t="b">
        <f>IF(COUNTIF(SmartStatus!A$2:A1000, AM705) &gt; 2, TRUE, FALSE)</f>
        <v>0</v>
      </c>
      <c r="AR705" s="29" t="str">
        <f ca="1">IFERROR(__xludf.DUMMYFUNCTION("iferror(if(regexmatch(AO705, ""(?i)^registered""), if(EE705 &lt;&gt; ""polity_shortest_name"", ""CHECK_POLITY"", index(filter(SmartStatus!B$2:B1000, AM705 = SmartStatus!A$2:A1000, not(SmartStatus!C$2:C1000), (isblank(SmartStatus!D$2:D1000)) + ((P705 &lt;&gt; """") * "&amp;"(P705 &lt; SmartStatus!D$2:D1000)), (isblank(SmartStatus!E$2:E1000)) + ((P705 &lt;&gt; """") * (P705 &gt;= SmartStatus!E$2:E1000)), (isblank(SmartStatus!F$2:F1000)) + (((Q705 &lt;&gt; """") * (Q705 &lt; SmartStatus!F$2:F1000)) + ((P705 &lt;&gt; """") * (date(year(P705) + 3, month(P"&amp;"705), day(P705)) &lt; SmartStatus!F$2:F1000))), (isblank(SmartStatus!G$2:G1000)) + (((Q705 &lt;&gt; """") * (Q705 &gt;= SmartStatus!G$2:G1000)) + ((P705 &lt;&gt; """") * (P705 &gt;= SmartStatus!G$2:G1000)))), if(or(regexmatch(B705, ""(?i)^ir [a-z]+ designation$""), N705 &lt;&gt; """&amp;"""), 1, 2))), """"), ""NO_MATCH"")"),"")</f>
        <v/>
      </c>
      <c r="AS705" s="11"/>
      <c r="AT705" s="15"/>
      <c r="AU705" s="11"/>
      <c r="AV705" s="11"/>
      <c r="AW705" s="15"/>
      <c r="AX705" s="15"/>
      <c r="AY705" s="15"/>
      <c r="AZ705" s="11"/>
      <c r="BA705" s="15"/>
      <c r="BB705" s="11"/>
      <c r="BC705" s="11"/>
      <c r="BD705" s="15"/>
      <c r="BE705" s="11"/>
      <c r="BF705" s="11"/>
      <c r="BG705" s="15"/>
      <c r="BH705" s="15"/>
      <c r="BI705" s="15"/>
      <c r="BJ705" s="11"/>
      <c r="BK705" s="15"/>
      <c r="BL705" s="11"/>
      <c r="BM705" s="11"/>
      <c r="BN705" s="15"/>
      <c r="BO705" s="11"/>
      <c r="BP705" s="11"/>
      <c r="BQ705" s="15"/>
      <c r="BR705" s="15"/>
      <c r="BS705" s="15"/>
      <c r="BT705" s="11"/>
      <c r="BU705" s="15"/>
      <c r="BV705" s="11"/>
      <c r="BW705" s="11"/>
      <c r="BX705" s="15"/>
      <c r="BY705" s="11"/>
      <c r="BZ705" s="11"/>
      <c r="CA705" s="15"/>
      <c r="CB705" s="11"/>
      <c r="CC705" s="15"/>
      <c r="CD705" s="11"/>
      <c r="CE705" s="15"/>
      <c r="CF705" s="11"/>
      <c r="CG705" s="11"/>
      <c r="CH705" s="15"/>
      <c r="CI705" s="11"/>
      <c r="CJ705" s="11"/>
      <c r="CK705" s="15"/>
      <c r="CL705" s="11"/>
      <c r="CM705" s="11"/>
      <c r="CN705" s="11"/>
      <c r="CO705" s="11"/>
      <c r="CP705" s="28"/>
      <c r="CQ705" s="28"/>
      <c r="CR705" s="11"/>
      <c r="CS705" s="29"/>
      <c r="CT705" s="11"/>
      <c r="CU705" s="11"/>
      <c r="CV705" s="11"/>
      <c r="CW705" s="11"/>
      <c r="CX705" s="11"/>
      <c r="CY705" s="11"/>
      <c r="CZ705" s="11"/>
      <c r="DA705" s="28"/>
      <c r="DB705" s="28"/>
      <c r="DC705" s="11"/>
      <c r="DD705" s="29"/>
      <c r="DE705" s="11"/>
      <c r="DF705" s="11"/>
      <c r="DG705" s="11"/>
      <c r="DH705" s="11"/>
      <c r="DI705" s="11"/>
      <c r="DJ705" s="11"/>
      <c r="DK705" s="26"/>
      <c r="DL705" s="11"/>
      <c r="DM705" s="29"/>
      <c r="DN705" s="28"/>
      <c r="DO705" s="11"/>
      <c r="DP705" s="11"/>
      <c r="DQ705" s="11"/>
      <c r="DR705" s="29"/>
      <c r="DS705" s="28"/>
      <c r="DT705" s="11"/>
      <c r="DU705" s="26"/>
      <c r="DV705" s="11"/>
      <c r="DW705" s="29"/>
      <c r="DX705" s="28"/>
      <c r="DY705" s="11"/>
      <c r="DZ705" s="26"/>
      <c r="EA705" s="11"/>
      <c r="EB705" s="29"/>
      <c r="EC705" s="28"/>
      <c r="ED705" s="30"/>
      <c r="EE705" s="30" t="str">
        <f ca="1">IFERROR(__xludf.DUMMYFUNCTION("iferror(index(filter('Internal -- Trademark Countries'!E$2:E1000, (AM705 = 'Internal -- Trademark Countries'!B$2:B1000) + (AM705 = 'Internal -- Trademark Countries'!C$2:C1000) + (AM705 = 'Internal -- Trademark Countries'!D$2:D1000)), 1))"),"")</f>
        <v/>
      </c>
      <c r="EF705" s="30" t="e">
        <f ca="1">_xludf.ifs(AM705="", "", COUNTIF('Internal -- Trademark Countries'!B:B,AM705) &gt; 0, "polity_shortest_name", COUNTIF('Internal -- Trademark Countries'!C:C,AM705) &gt; 0, "polity_full_name", COUNTIF('Internal -- Trademark Countries'!D:D,AM705) &gt; 0, "polity_common_name", COUNTIF('Internal -- Trademark Countries'!E:E,AM705) &gt; 0, "shortest_name", COUNTIF('Internal -- Trademark Countries'!A:A,AM705) &gt; 0, "full_name", TRUE, "not a match")</f>
        <v>#NAME?</v>
      </c>
      <c r="EG705" s="30"/>
      <c r="EH705" s="30"/>
      <c r="EI705" s="30"/>
      <c r="EJ705" s="30"/>
      <c r="EK705" s="30" t="str">
        <f t="shared" si="4"/>
        <v/>
      </c>
    </row>
    <row r="706" spans="1:141" ht="16.5">
      <c r="A706" s="11"/>
      <c r="B706" s="11"/>
      <c r="C706" s="11"/>
      <c r="D706" s="11"/>
      <c r="E706" s="11"/>
      <c r="F706" s="11"/>
      <c r="G706" s="11"/>
      <c r="H706" s="11"/>
      <c r="I706" s="11"/>
      <c r="J706" s="11"/>
      <c r="K706" s="27"/>
      <c r="L706" s="11"/>
      <c r="M706" s="11"/>
      <c r="N706" s="11"/>
      <c r="O706" s="11"/>
      <c r="P706" s="15"/>
      <c r="Q706" s="15"/>
      <c r="R706" s="15"/>
      <c r="S706" s="15"/>
      <c r="T706" s="15"/>
      <c r="U706" s="15"/>
      <c r="V706" s="15"/>
      <c r="W706" s="47"/>
      <c r="X706" s="11"/>
      <c r="Y706" s="48"/>
      <c r="Z706" s="11"/>
      <c r="AA706" s="48"/>
      <c r="AB706" s="11"/>
      <c r="AC706" s="48"/>
      <c r="AD706" s="11"/>
      <c r="AE706" s="47"/>
      <c r="AF706" s="11"/>
      <c r="AG706" s="48"/>
      <c r="AH706" s="11"/>
      <c r="AI706" s="48"/>
      <c r="AJ706" s="11"/>
      <c r="AK706" s="48"/>
      <c r="AL706" s="11"/>
      <c r="AM706" s="49"/>
      <c r="AN706" s="49"/>
      <c r="AO706" s="11"/>
      <c r="AP706" s="11"/>
      <c r="AQ706" s="28" t="b">
        <f>IF(COUNTIF(SmartStatus!A$2:A1000, AM706) &gt; 2, TRUE, FALSE)</f>
        <v>0</v>
      </c>
      <c r="AR706" s="29" t="str">
        <f ca="1">IFERROR(__xludf.DUMMYFUNCTION("iferror(if(regexmatch(AO706, ""(?i)^registered""), if(EE706 &lt;&gt; ""polity_shortest_name"", ""CHECK_POLITY"", index(filter(SmartStatus!B$2:B1000, AM706 = SmartStatus!A$2:A1000, not(SmartStatus!C$2:C1000), (isblank(SmartStatus!D$2:D1000)) + ((P706 &lt;&gt; """") * "&amp;"(P706 &lt; SmartStatus!D$2:D1000)), (isblank(SmartStatus!E$2:E1000)) + ((P706 &lt;&gt; """") * (P706 &gt;= SmartStatus!E$2:E1000)), (isblank(SmartStatus!F$2:F1000)) + (((Q706 &lt;&gt; """") * (Q706 &lt; SmartStatus!F$2:F1000)) + ((P706 &lt;&gt; """") * (date(year(P706) + 3, month(P"&amp;"706), day(P706)) &lt; SmartStatus!F$2:F1000))), (isblank(SmartStatus!G$2:G1000)) + (((Q706 &lt;&gt; """") * (Q706 &gt;= SmartStatus!G$2:G1000)) + ((P706 &lt;&gt; """") * (P706 &gt;= SmartStatus!G$2:G1000)))), if(or(regexmatch(B706, ""(?i)^ir [a-z]+ designation$""), N706 &lt;&gt; """&amp;"""), 1, 2))), """"), ""NO_MATCH"")"),"")</f>
        <v/>
      </c>
      <c r="AS706" s="11"/>
      <c r="AT706" s="15"/>
      <c r="AU706" s="11"/>
      <c r="AV706" s="11"/>
      <c r="AW706" s="15"/>
      <c r="AX706" s="15"/>
      <c r="AY706" s="15"/>
      <c r="AZ706" s="11"/>
      <c r="BA706" s="15"/>
      <c r="BB706" s="11"/>
      <c r="BC706" s="11"/>
      <c r="BD706" s="15"/>
      <c r="BE706" s="11"/>
      <c r="BF706" s="11"/>
      <c r="BG706" s="15"/>
      <c r="BH706" s="15"/>
      <c r="BI706" s="15"/>
      <c r="BJ706" s="11"/>
      <c r="BK706" s="15"/>
      <c r="BL706" s="11"/>
      <c r="BM706" s="11"/>
      <c r="BN706" s="15"/>
      <c r="BO706" s="11"/>
      <c r="BP706" s="11"/>
      <c r="BQ706" s="15"/>
      <c r="BR706" s="15"/>
      <c r="BS706" s="15"/>
      <c r="BT706" s="11"/>
      <c r="BU706" s="15"/>
      <c r="BV706" s="11"/>
      <c r="BW706" s="11"/>
      <c r="BX706" s="15"/>
      <c r="BY706" s="11"/>
      <c r="BZ706" s="11"/>
      <c r="CA706" s="15"/>
      <c r="CB706" s="11"/>
      <c r="CC706" s="15"/>
      <c r="CD706" s="11"/>
      <c r="CE706" s="15"/>
      <c r="CF706" s="11"/>
      <c r="CG706" s="11"/>
      <c r="CH706" s="15"/>
      <c r="CI706" s="11"/>
      <c r="CJ706" s="11"/>
      <c r="CK706" s="15"/>
      <c r="CL706" s="11"/>
      <c r="CM706" s="11"/>
      <c r="CN706" s="11"/>
      <c r="CO706" s="11"/>
      <c r="CP706" s="28"/>
      <c r="CQ706" s="28"/>
      <c r="CR706" s="11"/>
      <c r="CS706" s="29"/>
      <c r="CT706" s="11"/>
      <c r="CU706" s="11"/>
      <c r="CV706" s="11"/>
      <c r="CW706" s="11"/>
      <c r="CX706" s="11"/>
      <c r="CY706" s="11"/>
      <c r="CZ706" s="11"/>
      <c r="DA706" s="28"/>
      <c r="DB706" s="28"/>
      <c r="DC706" s="11"/>
      <c r="DD706" s="29"/>
      <c r="DE706" s="11"/>
      <c r="DF706" s="11"/>
      <c r="DG706" s="11"/>
      <c r="DH706" s="11"/>
      <c r="DI706" s="11"/>
      <c r="DJ706" s="11"/>
      <c r="DK706" s="26"/>
      <c r="DL706" s="11"/>
      <c r="DM706" s="29"/>
      <c r="DN706" s="28"/>
      <c r="DO706" s="11"/>
      <c r="DP706" s="11"/>
      <c r="DQ706" s="11"/>
      <c r="DR706" s="29"/>
      <c r="DS706" s="28"/>
      <c r="DT706" s="11"/>
      <c r="DU706" s="26"/>
      <c r="DV706" s="11"/>
      <c r="DW706" s="29"/>
      <c r="DX706" s="28"/>
      <c r="DY706" s="11"/>
      <c r="DZ706" s="26"/>
      <c r="EA706" s="11"/>
      <c r="EB706" s="29"/>
      <c r="EC706" s="28"/>
      <c r="ED706" s="30"/>
      <c r="EE706" s="30" t="str">
        <f ca="1">IFERROR(__xludf.DUMMYFUNCTION("iferror(index(filter('Internal -- Trademark Countries'!E$2:E1000, (AM706 = 'Internal -- Trademark Countries'!B$2:B1000) + (AM706 = 'Internal -- Trademark Countries'!C$2:C1000) + (AM706 = 'Internal -- Trademark Countries'!D$2:D1000)), 1))"),"")</f>
        <v/>
      </c>
      <c r="EF706" s="30" t="e">
        <f ca="1">_xludf.ifs(AM706="", "", COUNTIF('Internal -- Trademark Countries'!B:B,AM706) &gt; 0, "polity_shortest_name", COUNTIF('Internal -- Trademark Countries'!C:C,AM706) &gt; 0, "polity_full_name", COUNTIF('Internal -- Trademark Countries'!D:D,AM706) &gt; 0, "polity_common_name", COUNTIF('Internal -- Trademark Countries'!E:E,AM706) &gt; 0, "shortest_name", COUNTIF('Internal -- Trademark Countries'!A:A,AM706) &gt; 0, "full_name", TRUE, "not a match")</f>
        <v>#NAME?</v>
      </c>
      <c r="EG706" s="30"/>
      <c r="EH706" s="30"/>
      <c r="EI706" s="30"/>
      <c r="EJ706" s="30"/>
      <c r="EK706" s="30" t="str">
        <f t="shared" si="4"/>
        <v/>
      </c>
    </row>
    <row r="707" spans="1:141" ht="16.5">
      <c r="A707" s="11"/>
      <c r="B707" s="11"/>
      <c r="C707" s="11"/>
      <c r="D707" s="11"/>
      <c r="E707" s="11"/>
      <c r="F707" s="11"/>
      <c r="G707" s="11"/>
      <c r="H707" s="11"/>
      <c r="I707" s="11"/>
      <c r="J707" s="11"/>
      <c r="K707" s="27"/>
      <c r="L707" s="11"/>
      <c r="M707" s="11"/>
      <c r="N707" s="11"/>
      <c r="O707" s="11"/>
      <c r="P707" s="15"/>
      <c r="Q707" s="15"/>
      <c r="R707" s="15"/>
      <c r="S707" s="15"/>
      <c r="T707" s="15"/>
      <c r="U707" s="15"/>
      <c r="V707" s="15"/>
      <c r="W707" s="47"/>
      <c r="X707" s="11"/>
      <c r="Y707" s="48"/>
      <c r="Z707" s="11"/>
      <c r="AA707" s="48"/>
      <c r="AB707" s="11"/>
      <c r="AC707" s="48"/>
      <c r="AD707" s="11"/>
      <c r="AE707" s="47"/>
      <c r="AF707" s="11"/>
      <c r="AG707" s="48"/>
      <c r="AH707" s="11"/>
      <c r="AI707" s="48"/>
      <c r="AJ707" s="11"/>
      <c r="AK707" s="48"/>
      <c r="AL707" s="11"/>
      <c r="AM707" s="49"/>
      <c r="AN707" s="49"/>
      <c r="AO707" s="11"/>
      <c r="AP707" s="11"/>
      <c r="AQ707" s="28" t="b">
        <f>IF(COUNTIF(SmartStatus!A$2:A1000, AM707) &gt; 2, TRUE, FALSE)</f>
        <v>0</v>
      </c>
      <c r="AR707" s="29" t="str">
        <f ca="1">IFERROR(__xludf.DUMMYFUNCTION("iferror(if(regexmatch(AO707, ""(?i)^registered""), if(EE707 &lt;&gt; ""polity_shortest_name"", ""CHECK_POLITY"", index(filter(SmartStatus!B$2:B1000, AM707 = SmartStatus!A$2:A1000, not(SmartStatus!C$2:C1000), (isblank(SmartStatus!D$2:D1000)) + ((P707 &lt;&gt; """") * "&amp;"(P707 &lt; SmartStatus!D$2:D1000)), (isblank(SmartStatus!E$2:E1000)) + ((P707 &lt;&gt; """") * (P707 &gt;= SmartStatus!E$2:E1000)), (isblank(SmartStatus!F$2:F1000)) + (((Q707 &lt;&gt; """") * (Q707 &lt; SmartStatus!F$2:F1000)) + ((P707 &lt;&gt; """") * (date(year(P707) + 3, month(P"&amp;"707), day(P707)) &lt; SmartStatus!F$2:F1000))), (isblank(SmartStatus!G$2:G1000)) + (((Q707 &lt;&gt; """") * (Q707 &gt;= SmartStatus!G$2:G1000)) + ((P707 &lt;&gt; """") * (P707 &gt;= SmartStatus!G$2:G1000)))), if(or(regexmatch(B707, ""(?i)^ir [a-z]+ designation$""), N707 &lt;&gt; """&amp;"""), 1, 2))), """"), ""NO_MATCH"")"),"")</f>
        <v/>
      </c>
      <c r="AS707" s="11"/>
      <c r="AT707" s="15"/>
      <c r="AU707" s="11"/>
      <c r="AV707" s="11"/>
      <c r="AW707" s="15"/>
      <c r="AX707" s="15"/>
      <c r="AY707" s="15"/>
      <c r="AZ707" s="11"/>
      <c r="BA707" s="15"/>
      <c r="BB707" s="11"/>
      <c r="BC707" s="11"/>
      <c r="BD707" s="15"/>
      <c r="BE707" s="11"/>
      <c r="BF707" s="11"/>
      <c r="BG707" s="15"/>
      <c r="BH707" s="15"/>
      <c r="BI707" s="15"/>
      <c r="BJ707" s="11"/>
      <c r="BK707" s="15"/>
      <c r="BL707" s="11"/>
      <c r="BM707" s="11"/>
      <c r="BN707" s="15"/>
      <c r="BO707" s="11"/>
      <c r="BP707" s="11"/>
      <c r="BQ707" s="15"/>
      <c r="BR707" s="15"/>
      <c r="BS707" s="15"/>
      <c r="BT707" s="11"/>
      <c r="BU707" s="15"/>
      <c r="BV707" s="11"/>
      <c r="BW707" s="11"/>
      <c r="BX707" s="15"/>
      <c r="BY707" s="11"/>
      <c r="BZ707" s="11"/>
      <c r="CA707" s="15"/>
      <c r="CB707" s="11"/>
      <c r="CC707" s="15"/>
      <c r="CD707" s="11"/>
      <c r="CE707" s="15"/>
      <c r="CF707" s="11"/>
      <c r="CG707" s="11"/>
      <c r="CH707" s="15"/>
      <c r="CI707" s="11"/>
      <c r="CJ707" s="11"/>
      <c r="CK707" s="15"/>
      <c r="CL707" s="11"/>
      <c r="CM707" s="11"/>
      <c r="CN707" s="11"/>
      <c r="CO707" s="11"/>
      <c r="CP707" s="28"/>
      <c r="CQ707" s="28"/>
      <c r="CR707" s="11"/>
      <c r="CS707" s="29"/>
      <c r="CT707" s="11"/>
      <c r="CU707" s="11"/>
      <c r="CV707" s="11"/>
      <c r="CW707" s="11"/>
      <c r="CX707" s="11"/>
      <c r="CY707" s="11"/>
      <c r="CZ707" s="11"/>
      <c r="DA707" s="28"/>
      <c r="DB707" s="28"/>
      <c r="DC707" s="11"/>
      <c r="DD707" s="29"/>
      <c r="DE707" s="11"/>
      <c r="DF707" s="11"/>
      <c r="DG707" s="11"/>
      <c r="DH707" s="11"/>
      <c r="DI707" s="11"/>
      <c r="DJ707" s="11"/>
      <c r="DK707" s="26"/>
      <c r="DL707" s="11"/>
      <c r="DM707" s="29"/>
      <c r="DN707" s="28"/>
      <c r="DO707" s="11"/>
      <c r="DP707" s="11"/>
      <c r="DQ707" s="11"/>
      <c r="DR707" s="29"/>
      <c r="DS707" s="28"/>
      <c r="DT707" s="11"/>
      <c r="DU707" s="26"/>
      <c r="DV707" s="11"/>
      <c r="DW707" s="29"/>
      <c r="DX707" s="28"/>
      <c r="DY707" s="11"/>
      <c r="DZ707" s="26"/>
      <c r="EA707" s="11"/>
      <c r="EB707" s="29"/>
      <c r="EC707" s="28"/>
      <c r="ED707" s="30"/>
      <c r="EE707" s="30" t="str">
        <f ca="1">IFERROR(__xludf.DUMMYFUNCTION("iferror(index(filter('Internal -- Trademark Countries'!E$2:E1000, (AM707 = 'Internal -- Trademark Countries'!B$2:B1000) + (AM707 = 'Internal -- Trademark Countries'!C$2:C1000) + (AM707 = 'Internal -- Trademark Countries'!D$2:D1000)), 1))"),"")</f>
        <v/>
      </c>
      <c r="EF707" s="30" t="e">
        <f ca="1">_xludf.ifs(AM707="", "", COUNTIF('Internal -- Trademark Countries'!B:B,AM707) &gt; 0, "polity_shortest_name", COUNTIF('Internal -- Trademark Countries'!C:C,AM707) &gt; 0, "polity_full_name", COUNTIF('Internal -- Trademark Countries'!D:D,AM707) &gt; 0, "polity_common_name", COUNTIF('Internal -- Trademark Countries'!E:E,AM707) &gt; 0, "shortest_name", COUNTIF('Internal -- Trademark Countries'!A:A,AM707) &gt; 0, "full_name", TRUE, "not a match")</f>
        <v>#NAME?</v>
      </c>
      <c r="EG707" s="30"/>
      <c r="EH707" s="30"/>
      <c r="EI707" s="30"/>
      <c r="EJ707" s="30"/>
      <c r="EK707" s="30" t="str">
        <f t="shared" si="4"/>
        <v/>
      </c>
    </row>
    <row r="708" spans="1:141" ht="16.5">
      <c r="A708" s="11"/>
      <c r="B708" s="11"/>
      <c r="C708" s="11"/>
      <c r="D708" s="11"/>
      <c r="E708" s="11"/>
      <c r="F708" s="11"/>
      <c r="G708" s="11"/>
      <c r="H708" s="11"/>
      <c r="I708" s="11"/>
      <c r="J708" s="11"/>
      <c r="K708" s="27"/>
      <c r="L708" s="11"/>
      <c r="M708" s="11"/>
      <c r="N708" s="11"/>
      <c r="O708" s="11"/>
      <c r="P708" s="15"/>
      <c r="Q708" s="15"/>
      <c r="R708" s="15"/>
      <c r="S708" s="15"/>
      <c r="T708" s="15"/>
      <c r="U708" s="15"/>
      <c r="V708" s="15"/>
      <c r="W708" s="47"/>
      <c r="X708" s="11"/>
      <c r="Y708" s="48"/>
      <c r="Z708" s="11"/>
      <c r="AA708" s="48"/>
      <c r="AB708" s="11"/>
      <c r="AC708" s="48"/>
      <c r="AD708" s="11"/>
      <c r="AE708" s="47"/>
      <c r="AF708" s="11"/>
      <c r="AG708" s="48"/>
      <c r="AH708" s="11"/>
      <c r="AI708" s="48"/>
      <c r="AJ708" s="11"/>
      <c r="AK708" s="48"/>
      <c r="AL708" s="11"/>
      <c r="AM708" s="49"/>
      <c r="AN708" s="49"/>
      <c r="AO708" s="11"/>
      <c r="AP708" s="11"/>
      <c r="AQ708" s="28" t="b">
        <f>IF(COUNTIF(SmartStatus!A$2:A1000, AM708) &gt; 2, TRUE, FALSE)</f>
        <v>0</v>
      </c>
      <c r="AR708" s="29" t="str">
        <f ca="1">IFERROR(__xludf.DUMMYFUNCTION("iferror(if(regexmatch(AO708, ""(?i)^registered""), if(EE708 &lt;&gt; ""polity_shortest_name"", ""CHECK_POLITY"", index(filter(SmartStatus!B$2:B1000, AM708 = SmartStatus!A$2:A1000, not(SmartStatus!C$2:C1000), (isblank(SmartStatus!D$2:D1000)) + ((P708 &lt;&gt; """") * "&amp;"(P708 &lt; SmartStatus!D$2:D1000)), (isblank(SmartStatus!E$2:E1000)) + ((P708 &lt;&gt; """") * (P708 &gt;= SmartStatus!E$2:E1000)), (isblank(SmartStatus!F$2:F1000)) + (((Q708 &lt;&gt; """") * (Q708 &lt; SmartStatus!F$2:F1000)) + ((P708 &lt;&gt; """") * (date(year(P708) + 3, month(P"&amp;"708), day(P708)) &lt; SmartStatus!F$2:F1000))), (isblank(SmartStatus!G$2:G1000)) + (((Q708 &lt;&gt; """") * (Q708 &gt;= SmartStatus!G$2:G1000)) + ((P708 &lt;&gt; """") * (P708 &gt;= SmartStatus!G$2:G1000)))), if(or(regexmatch(B708, ""(?i)^ir [a-z]+ designation$""), N708 &lt;&gt; """&amp;"""), 1, 2))), """"), ""NO_MATCH"")"),"")</f>
        <v/>
      </c>
      <c r="AS708" s="11"/>
      <c r="AT708" s="15"/>
      <c r="AU708" s="11"/>
      <c r="AV708" s="11"/>
      <c r="AW708" s="15"/>
      <c r="AX708" s="15"/>
      <c r="AY708" s="15"/>
      <c r="AZ708" s="11"/>
      <c r="BA708" s="15"/>
      <c r="BB708" s="11"/>
      <c r="BC708" s="11"/>
      <c r="BD708" s="15"/>
      <c r="BE708" s="11"/>
      <c r="BF708" s="11"/>
      <c r="BG708" s="15"/>
      <c r="BH708" s="15"/>
      <c r="BI708" s="15"/>
      <c r="BJ708" s="11"/>
      <c r="BK708" s="15"/>
      <c r="BL708" s="11"/>
      <c r="BM708" s="11"/>
      <c r="BN708" s="15"/>
      <c r="BO708" s="11"/>
      <c r="BP708" s="11"/>
      <c r="BQ708" s="15"/>
      <c r="BR708" s="15"/>
      <c r="BS708" s="15"/>
      <c r="BT708" s="11"/>
      <c r="BU708" s="15"/>
      <c r="BV708" s="11"/>
      <c r="BW708" s="11"/>
      <c r="BX708" s="15"/>
      <c r="BY708" s="11"/>
      <c r="BZ708" s="11"/>
      <c r="CA708" s="15"/>
      <c r="CB708" s="11"/>
      <c r="CC708" s="15"/>
      <c r="CD708" s="11"/>
      <c r="CE708" s="15"/>
      <c r="CF708" s="11"/>
      <c r="CG708" s="11"/>
      <c r="CH708" s="15"/>
      <c r="CI708" s="11"/>
      <c r="CJ708" s="11"/>
      <c r="CK708" s="15"/>
      <c r="CL708" s="11"/>
      <c r="CM708" s="11"/>
      <c r="CN708" s="11"/>
      <c r="CO708" s="11"/>
      <c r="CP708" s="28"/>
      <c r="CQ708" s="28"/>
      <c r="CR708" s="11"/>
      <c r="CS708" s="29"/>
      <c r="CT708" s="11"/>
      <c r="CU708" s="11"/>
      <c r="CV708" s="11"/>
      <c r="CW708" s="11"/>
      <c r="CX708" s="11"/>
      <c r="CY708" s="11"/>
      <c r="CZ708" s="11"/>
      <c r="DA708" s="28"/>
      <c r="DB708" s="28"/>
      <c r="DC708" s="11"/>
      <c r="DD708" s="29"/>
      <c r="DE708" s="11"/>
      <c r="DF708" s="11"/>
      <c r="DG708" s="11"/>
      <c r="DH708" s="11"/>
      <c r="DI708" s="11"/>
      <c r="DJ708" s="11"/>
      <c r="DK708" s="26"/>
      <c r="DL708" s="11"/>
      <c r="DM708" s="29"/>
      <c r="DN708" s="28"/>
      <c r="DO708" s="11"/>
      <c r="DP708" s="11"/>
      <c r="DQ708" s="11"/>
      <c r="DR708" s="29"/>
      <c r="DS708" s="28"/>
      <c r="DT708" s="11"/>
      <c r="DU708" s="26"/>
      <c r="DV708" s="11"/>
      <c r="DW708" s="29"/>
      <c r="DX708" s="28"/>
      <c r="DY708" s="11"/>
      <c r="DZ708" s="26"/>
      <c r="EA708" s="11"/>
      <c r="EB708" s="29"/>
      <c r="EC708" s="28"/>
      <c r="ED708" s="30"/>
      <c r="EE708" s="30" t="str">
        <f ca="1">IFERROR(__xludf.DUMMYFUNCTION("iferror(index(filter('Internal -- Trademark Countries'!E$2:E1000, (AM708 = 'Internal -- Trademark Countries'!B$2:B1000) + (AM708 = 'Internal -- Trademark Countries'!C$2:C1000) + (AM708 = 'Internal -- Trademark Countries'!D$2:D1000)), 1))"),"")</f>
        <v/>
      </c>
      <c r="EF708" s="30" t="e">
        <f ca="1">_xludf.ifs(AM708="", "", COUNTIF('Internal -- Trademark Countries'!B:B,AM708) &gt; 0, "polity_shortest_name", COUNTIF('Internal -- Trademark Countries'!C:C,AM708) &gt; 0, "polity_full_name", COUNTIF('Internal -- Trademark Countries'!D:D,AM708) &gt; 0, "polity_common_name", COUNTIF('Internal -- Trademark Countries'!E:E,AM708) &gt; 0, "shortest_name", COUNTIF('Internal -- Trademark Countries'!A:A,AM708) &gt; 0, "full_name", TRUE, "not a match")</f>
        <v>#NAME?</v>
      </c>
      <c r="EG708" s="30"/>
      <c r="EH708" s="30"/>
      <c r="EI708" s="30"/>
      <c r="EJ708" s="30"/>
      <c r="EK708" s="30" t="str">
        <f t="shared" si="4"/>
        <v/>
      </c>
    </row>
    <row r="709" spans="1:141" ht="16.5">
      <c r="A709" s="11"/>
      <c r="B709" s="11"/>
      <c r="C709" s="11"/>
      <c r="D709" s="11"/>
      <c r="E709" s="11"/>
      <c r="F709" s="11"/>
      <c r="G709" s="11"/>
      <c r="H709" s="11"/>
      <c r="I709" s="11"/>
      <c r="J709" s="11"/>
      <c r="K709" s="27"/>
      <c r="L709" s="11"/>
      <c r="M709" s="11"/>
      <c r="N709" s="11"/>
      <c r="O709" s="11"/>
      <c r="P709" s="15"/>
      <c r="Q709" s="15"/>
      <c r="R709" s="15"/>
      <c r="S709" s="15"/>
      <c r="T709" s="15"/>
      <c r="U709" s="15"/>
      <c r="V709" s="15"/>
      <c r="W709" s="47"/>
      <c r="X709" s="11"/>
      <c r="Y709" s="48"/>
      <c r="Z709" s="11"/>
      <c r="AA709" s="48"/>
      <c r="AB709" s="11"/>
      <c r="AC709" s="48"/>
      <c r="AD709" s="11"/>
      <c r="AE709" s="47"/>
      <c r="AF709" s="11"/>
      <c r="AG709" s="48"/>
      <c r="AH709" s="11"/>
      <c r="AI709" s="48"/>
      <c r="AJ709" s="11"/>
      <c r="AK709" s="48"/>
      <c r="AL709" s="11"/>
      <c r="AM709" s="49"/>
      <c r="AN709" s="49"/>
      <c r="AO709" s="11"/>
      <c r="AP709" s="11"/>
      <c r="AQ709" s="28" t="b">
        <f>IF(COUNTIF(SmartStatus!A$2:A1000, AM709) &gt; 2, TRUE, FALSE)</f>
        <v>0</v>
      </c>
      <c r="AR709" s="29" t="str">
        <f ca="1">IFERROR(__xludf.DUMMYFUNCTION("iferror(if(regexmatch(AO709, ""(?i)^registered""), if(EE709 &lt;&gt; ""polity_shortest_name"", ""CHECK_POLITY"", index(filter(SmartStatus!B$2:B1000, AM709 = SmartStatus!A$2:A1000, not(SmartStatus!C$2:C1000), (isblank(SmartStatus!D$2:D1000)) + ((P709 &lt;&gt; """") * "&amp;"(P709 &lt; SmartStatus!D$2:D1000)), (isblank(SmartStatus!E$2:E1000)) + ((P709 &lt;&gt; """") * (P709 &gt;= SmartStatus!E$2:E1000)), (isblank(SmartStatus!F$2:F1000)) + (((Q709 &lt;&gt; """") * (Q709 &lt; SmartStatus!F$2:F1000)) + ((P709 &lt;&gt; """") * (date(year(P709) + 3, month(P"&amp;"709), day(P709)) &lt; SmartStatus!F$2:F1000))), (isblank(SmartStatus!G$2:G1000)) + (((Q709 &lt;&gt; """") * (Q709 &gt;= SmartStatus!G$2:G1000)) + ((P709 &lt;&gt; """") * (P709 &gt;= SmartStatus!G$2:G1000)))), if(or(regexmatch(B709, ""(?i)^ir [a-z]+ designation$""), N709 &lt;&gt; """&amp;"""), 1, 2))), """"), ""NO_MATCH"")"),"")</f>
        <v/>
      </c>
      <c r="AS709" s="11"/>
      <c r="AT709" s="15"/>
      <c r="AU709" s="11"/>
      <c r="AV709" s="11"/>
      <c r="AW709" s="15"/>
      <c r="AX709" s="15"/>
      <c r="AY709" s="15"/>
      <c r="AZ709" s="11"/>
      <c r="BA709" s="15"/>
      <c r="BB709" s="11"/>
      <c r="BC709" s="11"/>
      <c r="BD709" s="15"/>
      <c r="BE709" s="11"/>
      <c r="BF709" s="11"/>
      <c r="BG709" s="15"/>
      <c r="BH709" s="15"/>
      <c r="BI709" s="15"/>
      <c r="BJ709" s="11"/>
      <c r="BK709" s="15"/>
      <c r="BL709" s="11"/>
      <c r="BM709" s="11"/>
      <c r="BN709" s="15"/>
      <c r="BO709" s="11"/>
      <c r="BP709" s="11"/>
      <c r="BQ709" s="15"/>
      <c r="BR709" s="15"/>
      <c r="BS709" s="15"/>
      <c r="BT709" s="11"/>
      <c r="BU709" s="15"/>
      <c r="BV709" s="11"/>
      <c r="BW709" s="11"/>
      <c r="BX709" s="15"/>
      <c r="BY709" s="11"/>
      <c r="BZ709" s="11"/>
      <c r="CA709" s="15"/>
      <c r="CB709" s="11"/>
      <c r="CC709" s="15"/>
      <c r="CD709" s="11"/>
      <c r="CE709" s="15"/>
      <c r="CF709" s="11"/>
      <c r="CG709" s="11"/>
      <c r="CH709" s="15"/>
      <c r="CI709" s="11"/>
      <c r="CJ709" s="11"/>
      <c r="CK709" s="15"/>
      <c r="CL709" s="11"/>
      <c r="CM709" s="11"/>
      <c r="CN709" s="11"/>
      <c r="CO709" s="11"/>
      <c r="CP709" s="28"/>
      <c r="CQ709" s="28"/>
      <c r="CR709" s="11"/>
      <c r="CS709" s="29"/>
      <c r="CT709" s="11"/>
      <c r="CU709" s="11"/>
      <c r="CV709" s="11"/>
      <c r="CW709" s="11"/>
      <c r="CX709" s="11"/>
      <c r="CY709" s="11"/>
      <c r="CZ709" s="11"/>
      <c r="DA709" s="28"/>
      <c r="DB709" s="28"/>
      <c r="DC709" s="11"/>
      <c r="DD709" s="29"/>
      <c r="DE709" s="11"/>
      <c r="DF709" s="11"/>
      <c r="DG709" s="11"/>
      <c r="DH709" s="11"/>
      <c r="DI709" s="11"/>
      <c r="DJ709" s="11"/>
      <c r="DK709" s="26"/>
      <c r="DL709" s="11"/>
      <c r="DM709" s="29"/>
      <c r="DN709" s="28"/>
      <c r="DO709" s="11"/>
      <c r="DP709" s="11"/>
      <c r="DQ709" s="11"/>
      <c r="DR709" s="29"/>
      <c r="DS709" s="28"/>
      <c r="DT709" s="11"/>
      <c r="DU709" s="26"/>
      <c r="DV709" s="11"/>
      <c r="DW709" s="29"/>
      <c r="DX709" s="28"/>
      <c r="DY709" s="11"/>
      <c r="DZ709" s="26"/>
      <c r="EA709" s="11"/>
      <c r="EB709" s="29"/>
      <c r="EC709" s="28"/>
      <c r="ED709" s="30"/>
      <c r="EE709" s="30" t="str">
        <f ca="1">IFERROR(__xludf.DUMMYFUNCTION("iferror(index(filter('Internal -- Trademark Countries'!E$2:E1000, (AM709 = 'Internal -- Trademark Countries'!B$2:B1000) + (AM709 = 'Internal -- Trademark Countries'!C$2:C1000) + (AM709 = 'Internal -- Trademark Countries'!D$2:D1000)), 1))"),"")</f>
        <v/>
      </c>
      <c r="EF709" s="30" t="e">
        <f ca="1">_xludf.ifs(AM709="", "", COUNTIF('Internal -- Trademark Countries'!B:B,AM709) &gt; 0, "polity_shortest_name", COUNTIF('Internal -- Trademark Countries'!C:C,AM709) &gt; 0, "polity_full_name", COUNTIF('Internal -- Trademark Countries'!D:D,AM709) &gt; 0, "polity_common_name", COUNTIF('Internal -- Trademark Countries'!E:E,AM709) &gt; 0, "shortest_name", COUNTIF('Internal -- Trademark Countries'!A:A,AM709) &gt; 0, "full_name", TRUE, "not a match")</f>
        <v>#NAME?</v>
      </c>
      <c r="EG709" s="30"/>
      <c r="EH709" s="30"/>
      <c r="EI709" s="30"/>
      <c r="EJ709" s="30"/>
      <c r="EK709" s="30" t="str">
        <f t="shared" si="4"/>
        <v/>
      </c>
    </row>
    <row r="710" spans="1:141" ht="16.5">
      <c r="A710" s="11"/>
      <c r="B710" s="11"/>
      <c r="C710" s="11"/>
      <c r="D710" s="11"/>
      <c r="E710" s="11"/>
      <c r="F710" s="11"/>
      <c r="G710" s="11"/>
      <c r="H710" s="11"/>
      <c r="I710" s="11"/>
      <c r="J710" s="11"/>
      <c r="K710" s="27"/>
      <c r="L710" s="11"/>
      <c r="M710" s="11"/>
      <c r="N710" s="11"/>
      <c r="O710" s="11"/>
      <c r="P710" s="15"/>
      <c r="Q710" s="15"/>
      <c r="R710" s="15"/>
      <c r="S710" s="15"/>
      <c r="T710" s="15"/>
      <c r="U710" s="15"/>
      <c r="V710" s="15"/>
      <c r="W710" s="47"/>
      <c r="X710" s="11"/>
      <c r="Y710" s="48"/>
      <c r="Z710" s="11"/>
      <c r="AA710" s="48"/>
      <c r="AB710" s="11"/>
      <c r="AC710" s="48"/>
      <c r="AD710" s="11"/>
      <c r="AE710" s="47"/>
      <c r="AF710" s="11"/>
      <c r="AG710" s="48"/>
      <c r="AH710" s="11"/>
      <c r="AI710" s="48"/>
      <c r="AJ710" s="11"/>
      <c r="AK710" s="48"/>
      <c r="AL710" s="11"/>
      <c r="AM710" s="49"/>
      <c r="AN710" s="49"/>
      <c r="AO710" s="11"/>
      <c r="AP710" s="11"/>
      <c r="AQ710" s="28" t="b">
        <f>IF(COUNTIF(SmartStatus!A$2:A1000, AM710) &gt; 2, TRUE, FALSE)</f>
        <v>0</v>
      </c>
      <c r="AR710" s="29" t="str">
        <f ca="1">IFERROR(__xludf.DUMMYFUNCTION("iferror(if(regexmatch(AO710, ""(?i)^registered""), if(EE710 &lt;&gt; ""polity_shortest_name"", ""CHECK_POLITY"", index(filter(SmartStatus!B$2:B1000, AM710 = SmartStatus!A$2:A1000, not(SmartStatus!C$2:C1000), (isblank(SmartStatus!D$2:D1000)) + ((P710 &lt;&gt; """") * "&amp;"(P710 &lt; SmartStatus!D$2:D1000)), (isblank(SmartStatus!E$2:E1000)) + ((P710 &lt;&gt; """") * (P710 &gt;= SmartStatus!E$2:E1000)), (isblank(SmartStatus!F$2:F1000)) + (((Q710 &lt;&gt; """") * (Q710 &lt; SmartStatus!F$2:F1000)) + ((P710 &lt;&gt; """") * (date(year(P710) + 3, month(P"&amp;"710), day(P710)) &lt; SmartStatus!F$2:F1000))), (isblank(SmartStatus!G$2:G1000)) + (((Q710 &lt;&gt; """") * (Q710 &gt;= SmartStatus!G$2:G1000)) + ((P710 &lt;&gt; """") * (P710 &gt;= SmartStatus!G$2:G1000)))), if(or(regexmatch(B710, ""(?i)^ir [a-z]+ designation$""), N710 &lt;&gt; """&amp;"""), 1, 2))), """"), ""NO_MATCH"")"),"")</f>
        <v/>
      </c>
      <c r="AS710" s="11"/>
      <c r="AT710" s="15"/>
      <c r="AU710" s="11"/>
      <c r="AV710" s="11"/>
      <c r="AW710" s="15"/>
      <c r="AX710" s="15"/>
      <c r="AY710" s="15"/>
      <c r="AZ710" s="11"/>
      <c r="BA710" s="15"/>
      <c r="BB710" s="11"/>
      <c r="BC710" s="11"/>
      <c r="BD710" s="15"/>
      <c r="BE710" s="11"/>
      <c r="BF710" s="11"/>
      <c r="BG710" s="15"/>
      <c r="BH710" s="15"/>
      <c r="BI710" s="15"/>
      <c r="BJ710" s="11"/>
      <c r="BK710" s="15"/>
      <c r="BL710" s="11"/>
      <c r="BM710" s="11"/>
      <c r="BN710" s="15"/>
      <c r="BO710" s="11"/>
      <c r="BP710" s="11"/>
      <c r="BQ710" s="15"/>
      <c r="BR710" s="15"/>
      <c r="BS710" s="15"/>
      <c r="BT710" s="11"/>
      <c r="BU710" s="15"/>
      <c r="BV710" s="11"/>
      <c r="BW710" s="11"/>
      <c r="BX710" s="15"/>
      <c r="BY710" s="11"/>
      <c r="BZ710" s="11"/>
      <c r="CA710" s="15"/>
      <c r="CB710" s="11"/>
      <c r="CC710" s="15"/>
      <c r="CD710" s="11"/>
      <c r="CE710" s="15"/>
      <c r="CF710" s="11"/>
      <c r="CG710" s="11"/>
      <c r="CH710" s="15"/>
      <c r="CI710" s="11"/>
      <c r="CJ710" s="11"/>
      <c r="CK710" s="15"/>
      <c r="CL710" s="11"/>
      <c r="CM710" s="11"/>
      <c r="CN710" s="11"/>
      <c r="CO710" s="11"/>
      <c r="CP710" s="28"/>
      <c r="CQ710" s="28"/>
      <c r="CR710" s="11"/>
      <c r="CS710" s="29"/>
      <c r="CT710" s="11"/>
      <c r="CU710" s="11"/>
      <c r="CV710" s="11"/>
      <c r="CW710" s="11"/>
      <c r="CX710" s="11"/>
      <c r="CY710" s="11"/>
      <c r="CZ710" s="11"/>
      <c r="DA710" s="28"/>
      <c r="DB710" s="28"/>
      <c r="DC710" s="11"/>
      <c r="DD710" s="29"/>
      <c r="DE710" s="11"/>
      <c r="DF710" s="11"/>
      <c r="DG710" s="11"/>
      <c r="DH710" s="11"/>
      <c r="DI710" s="11"/>
      <c r="DJ710" s="11"/>
      <c r="DK710" s="26"/>
      <c r="DL710" s="11"/>
      <c r="DM710" s="29"/>
      <c r="DN710" s="28"/>
      <c r="DO710" s="11"/>
      <c r="DP710" s="11"/>
      <c r="DQ710" s="11"/>
      <c r="DR710" s="29"/>
      <c r="DS710" s="28"/>
      <c r="DT710" s="11"/>
      <c r="DU710" s="26"/>
      <c r="DV710" s="11"/>
      <c r="DW710" s="29"/>
      <c r="DX710" s="28"/>
      <c r="DY710" s="11"/>
      <c r="DZ710" s="26"/>
      <c r="EA710" s="11"/>
      <c r="EB710" s="29"/>
      <c r="EC710" s="28"/>
      <c r="ED710" s="30"/>
      <c r="EE710" s="30" t="str">
        <f ca="1">IFERROR(__xludf.DUMMYFUNCTION("iferror(index(filter('Internal -- Trademark Countries'!E$2:E1000, (AM710 = 'Internal -- Trademark Countries'!B$2:B1000) + (AM710 = 'Internal -- Trademark Countries'!C$2:C1000) + (AM710 = 'Internal -- Trademark Countries'!D$2:D1000)), 1))"),"")</f>
        <v/>
      </c>
      <c r="EF710" s="30" t="e">
        <f ca="1">_xludf.ifs(AM710="", "", COUNTIF('Internal -- Trademark Countries'!B:B,AM710) &gt; 0, "polity_shortest_name", COUNTIF('Internal -- Trademark Countries'!C:C,AM710) &gt; 0, "polity_full_name", COUNTIF('Internal -- Trademark Countries'!D:D,AM710) &gt; 0, "polity_common_name", COUNTIF('Internal -- Trademark Countries'!E:E,AM710) &gt; 0, "shortest_name", COUNTIF('Internal -- Trademark Countries'!A:A,AM710) &gt; 0, "full_name", TRUE, "not a match")</f>
        <v>#NAME?</v>
      </c>
      <c r="EG710" s="30"/>
      <c r="EH710" s="30"/>
      <c r="EI710" s="30"/>
      <c r="EJ710" s="30"/>
      <c r="EK710" s="30" t="str">
        <f t="shared" si="4"/>
        <v/>
      </c>
    </row>
    <row r="711" spans="1:141" ht="16.5">
      <c r="A711" s="11"/>
      <c r="B711" s="11"/>
      <c r="C711" s="11"/>
      <c r="D711" s="11"/>
      <c r="E711" s="11"/>
      <c r="F711" s="11"/>
      <c r="G711" s="11"/>
      <c r="H711" s="11"/>
      <c r="I711" s="11"/>
      <c r="J711" s="11"/>
      <c r="K711" s="27"/>
      <c r="L711" s="11"/>
      <c r="M711" s="11"/>
      <c r="N711" s="11"/>
      <c r="O711" s="11"/>
      <c r="P711" s="15"/>
      <c r="Q711" s="15"/>
      <c r="R711" s="15"/>
      <c r="S711" s="15"/>
      <c r="T711" s="15"/>
      <c r="U711" s="15"/>
      <c r="V711" s="15"/>
      <c r="W711" s="47"/>
      <c r="X711" s="11"/>
      <c r="Y711" s="48"/>
      <c r="Z711" s="11"/>
      <c r="AA711" s="48"/>
      <c r="AB711" s="11"/>
      <c r="AC711" s="48"/>
      <c r="AD711" s="11"/>
      <c r="AE711" s="47"/>
      <c r="AF711" s="11"/>
      <c r="AG711" s="48"/>
      <c r="AH711" s="11"/>
      <c r="AI711" s="48"/>
      <c r="AJ711" s="11"/>
      <c r="AK711" s="48"/>
      <c r="AL711" s="11"/>
      <c r="AM711" s="49"/>
      <c r="AN711" s="49"/>
      <c r="AO711" s="11"/>
      <c r="AP711" s="11"/>
      <c r="AQ711" s="28" t="b">
        <f>IF(COUNTIF(SmartStatus!A$2:A1000, AM711) &gt; 2, TRUE, FALSE)</f>
        <v>0</v>
      </c>
      <c r="AR711" s="29" t="str">
        <f ca="1">IFERROR(__xludf.DUMMYFUNCTION("iferror(if(regexmatch(AO711, ""(?i)^registered""), if(EE711 &lt;&gt; ""polity_shortest_name"", ""CHECK_POLITY"", index(filter(SmartStatus!B$2:B1000, AM711 = SmartStatus!A$2:A1000, not(SmartStatus!C$2:C1000), (isblank(SmartStatus!D$2:D1000)) + ((P711 &lt;&gt; """") * "&amp;"(P711 &lt; SmartStatus!D$2:D1000)), (isblank(SmartStatus!E$2:E1000)) + ((P711 &lt;&gt; """") * (P711 &gt;= SmartStatus!E$2:E1000)), (isblank(SmartStatus!F$2:F1000)) + (((Q711 &lt;&gt; """") * (Q711 &lt; SmartStatus!F$2:F1000)) + ((P711 &lt;&gt; """") * (date(year(P711) + 3, month(P"&amp;"711), day(P711)) &lt; SmartStatus!F$2:F1000))), (isblank(SmartStatus!G$2:G1000)) + (((Q711 &lt;&gt; """") * (Q711 &gt;= SmartStatus!G$2:G1000)) + ((P711 &lt;&gt; """") * (P711 &gt;= SmartStatus!G$2:G1000)))), if(or(regexmatch(B711, ""(?i)^ir [a-z]+ designation$""), N711 &lt;&gt; """&amp;"""), 1, 2))), """"), ""NO_MATCH"")"),"")</f>
        <v/>
      </c>
      <c r="AS711" s="11"/>
      <c r="AT711" s="15"/>
      <c r="AU711" s="11"/>
      <c r="AV711" s="11"/>
      <c r="AW711" s="15"/>
      <c r="AX711" s="15"/>
      <c r="AY711" s="15"/>
      <c r="AZ711" s="11"/>
      <c r="BA711" s="15"/>
      <c r="BB711" s="11"/>
      <c r="BC711" s="11"/>
      <c r="BD711" s="15"/>
      <c r="BE711" s="11"/>
      <c r="BF711" s="11"/>
      <c r="BG711" s="15"/>
      <c r="BH711" s="15"/>
      <c r="BI711" s="15"/>
      <c r="BJ711" s="11"/>
      <c r="BK711" s="15"/>
      <c r="BL711" s="11"/>
      <c r="BM711" s="11"/>
      <c r="BN711" s="15"/>
      <c r="BO711" s="11"/>
      <c r="BP711" s="11"/>
      <c r="BQ711" s="15"/>
      <c r="BR711" s="15"/>
      <c r="BS711" s="15"/>
      <c r="BT711" s="11"/>
      <c r="BU711" s="15"/>
      <c r="BV711" s="11"/>
      <c r="BW711" s="11"/>
      <c r="BX711" s="15"/>
      <c r="BY711" s="11"/>
      <c r="BZ711" s="11"/>
      <c r="CA711" s="15"/>
      <c r="CB711" s="11"/>
      <c r="CC711" s="15"/>
      <c r="CD711" s="11"/>
      <c r="CE711" s="15"/>
      <c r="CF711" s="11"/>
      <c r="CG711" s="11"/>
      <c r="CH711" s="15"/>
      <c r="CI711" s="11"/>
      <c r="CJ711" s="11"/>
      <c r="CK711" s="15"/>
      <c r="CL711" s="11"/>
      <c r="CM711" s="11"/>
      <c r="CN711" s="11"/>
      <c r="CO711" s="11"/>
      <c r="CP711" s="28"/>
      <c r="CQ711" s="28"/>
      <c r="CR711" s="11"/>
      <c r="CS711" s="29"/>
      <c r="CT711" s="11"/>
      <c r="CU711" s="11"/>
      <c r="CV711" s="11"/>
      <c r="CW711" s="11"/>
      <c r="CX711" s="11"/>
      <c r="CY711" s="11"/>
      <c r="CZ711" s="11"/>
      <c r="DA711" s="28"/>
      <c r="DB711" s="28"/>
      <c r="DC711" s="11"/>
      <c r="DD711" s="29"/>
      <c r="DE711" s="11"/>
      <c r="DF711" s="11"/>
      <c r="DG711" s="11"/>
      <c r="DH711" s="11"/>
      <c r="DI711" s="11"/>
      <c r="DJ711" s="11"/>
      <c r="DK711" s="26"/>
      <c r="DL711" s="11"/>
      <c r="DM711" s="29"/>
      <c r="DN711" s="28"/>
      <c r="DO711" s="11"/>
      <c r="DP711" s="11"/>
      <c r="DQ711" s="11"/>
      <c r="DR711" s="29"/>
      <c r="DS711" s="28"/>
      <c r="DT711" s="11"/>
      <c r="DU711" s="26"/>
      <c r="DV711" s="11"/>
      <c r="DW711" s="29"/>
      <c r="DX711" s="28"/>
      <c r="DY711" s="11"/>
      <c r="DZ711" s="26"/>
      <c r="EA711" s="11"/>
      <c r="EB711" s="29"/>
      <c r="EC711" s="28"/>
      <c r="ED711" s="30"/>
      <c r="EE711" s="30" t="str">
        <f ca="1">IFERROR(__xludf.DUMMYFUNCTION("iferror(index(filter('Internal -- Trademark Countries'!E$2:E1000, (AM711 = 'Internal -- Trademark Countries'!B$2:B1000) + (AM711 = 'Internal -- Trademark Countries'!C$2:C1000) + (AM711 = 'Internal -- Trademark Countries'!D$2:D1000)), 1))"),"")</f>
        <v/>
      </c>
      <c r="EF711" s="30" t="e">
        <f ca="1">_xludf.ifs(AM711="", "", COUNTIF('Internal -- Trademark Countries'!B:B,AM711) &gt; 0, "polity_shortest_name", COUNTIF('Internal -- Trademark Countries'!C:C,AM711) &gt; 0, "polity_full_name", COUNTIF('Internal -- Trademark Countries'!D:D,AM711) &gt; 0, "polity_common_name", COUNTIF('Internal -- Trademark Countries'!E:E,AM711) &gt; 0, "shortest_name", COUNTIF('Internal -- Trademark Countries'!A:A,AM711) &gt; 0, "full_name", TRUE, "not a match")</f>
        <v>#NAME?</v>
      </c>
      <c r="EG711" s="30"/>
      <c r="EH711" s="30"/>
      <c r="EI711" s="30"/>
      <c r="EJ711" s="30"/>
      <c r="EK711" s="30" t="str">
        <f t="shared" si="4"/>
        <v/>
      </c>
    </row>
    <row r="712" spans="1:141" ht="16.5">
      <c r="A712" s="11"/>
      <c r="B712" s="11"/>
      <c r="C712" s="11"/>
      <c r="D712" s="11"/>
      <c r="E712" s="11"/>
      <c r="F712" s="11"/>
      <c r="G712" s="11"/>
      <c r="H712" s="11"/>
      <c r="I712" s="11"/>
      <c r="J712" s="11"/>
      <c r="K712" s="27"/>
      <c r="L712" s="11"/>
      <c r="M712" s="11"/>
      <c r="N712" s="11"/>
      <c r="O712" s="11"/>
      <c r="P712" s="15"/>
      <c r="Q712" s="15"/>
      <c r="R712" s="15"/>
      <c r="S712" s="15"/>
      <c r="T712" s="15"/>
      <c r="U712" s="15"/>
      <c r="V712" s="15"/>
      <c r="W712" s="47"/>
      <c r="X712" s="11"/>
      <c r="Y712" s="48"/>
      <c r="Z712" s="11"/>
      <c r="AA712" s="48"/>
      <c r="AB712" s="11"/>
      <c r="AC712" s="48"/>
      <c r="AD712" s="11"/>
      <c r="AE712" s="47"/>
      <c r="AF712" s="11"/>
      <c r="AG712" s="48"/>
      <c r="AH712" s="11"/>
      <c r="AI712" s="48"/>
      <c r="AJ712" s="11"/>
      <c r="AK712" s="48"/>
      <c r="AL712" s="11"/>
      <c r="AM712" s="49"/>
      <c r="AN712" s="49"/>
      <c r="AO712" s="11"/>
      <c r="AP712" s="11"/>
      <c r="AQ712" s="28" t="b">
        <f>IF(COUNTIF(SmartStatus!A$2:A1000, AM712) &gt; 2, TRUE, FALSE)</f>
        <v>0</v>
      </c>
      <c r="AR712" s="29" t="str">
        <f ca="1">IFERROR(__xludf.DUMMYFUNCTION("iferror(if(regexmatch(AO712, ""(?i)^registered""), if(EE712 &lt;&gt; ""polity_shortest_name"", ""CHECK_POLITY"", index(filter(SmartStatus!B$2:B1000, AM712 = SmartStatus!A$2:A1000, not(SmartStatus!C$2:C1000), (isblank(SmartStatus!D$2:D1000)) + ((P712 &lt;&gt; """") * "&amp;"(P712 &lt; SmartStatus!D$2:D1000)), (isblank(SmartStatus!E$2:E1000)) + ((P712 &lt;&gt; """") * (P712 &gt;= SmartStatus!E$2:E1000)), (isblank(SmartStatus!F$2:F1000)) + (((Q712 &lt;&gt; """") * (Q712 &lt; SmartStatus!F$2:F1000)) + ((P712 &lt;&gt; """") * (date(year(P712) + 3, month(P"&amp;"712), day(P712)) &lt; SmartStatus!F$2:F1000))), (isblank(SmartStatus!G$2:G1000)) + (((Q712 &lt;&gt; """") * (Q712 &gt;= SmartStatus!G$2:G1000)) + ((P712 &lt;&gt; """") * (P712 &gt;= SmartStatus!G$2:G1000)))), if(or(regexmatch(B712, ""(?i)^ir [a-z]+ designation$""), N712 &lt;&gt; """&amp;"""), 1, 2))), """"), ""NO_MATCH"")"),"")</f>
        <v/>
      </c>
      <c r="AS712" s="11"/>
      <c r="AT712" s="15"/>
      <c r="AU712" s="11"/>
      <c r="AV712" s="11"/>
      <c r="AW712" s="15"/>
      <c r="AX712" s="15"/>
      <c r="AY712" s="15"/>
      <c r="AZ712" s="11"/>
      <c r="BA712" s="15"/>
      <c r="BB712" s="11"/>
      <c r="BC712" s="11"/>
      <c r="BD712" s="15"/>
      <c r="BE712" s="11"/>
      <c r="BF712" s="11"/>
      <c r="BG712" s="15"/>
      <c r="BH712" s="15"/>
      <c r="BI712" s="15"/>
      <c r="BJ712" s="11"/>
      <c r="BK712" s="15"/>
      <c r="BL712" s="11"/>
      <c r="BM712" s="11"/>
      <c r="BN712" s="15"/>
      <c r="BO712" s="11"/>
      <c r="BP712" s="11"/>
      <c r="BQ712" s="15"/>
      <c r="BR712" s="15"/>
      <c r="BS712" s="15"/>
      <c r="BT712" s="11"/>
      <c r="BU712" s="15"/>
      <c r="BV712" s="11"/>
      <c r="BW712" s="11"/>
      <c r="BX712" s="15"/>
      <c r="BY712" s="11"/>
      <c r="BZ712" s="11"/>
      <c r="CA712" s="15"/>
      <c r="CB712" s="11"/>
      <c r="CC712" s="15"/>
      <c r="CD712" s="11"/>
      <c r="CE712" s="15"/>
      <c r="CF712" s="11"/>
      <c r="CG712" s="11"/>
      <c r="CH712" s="15"/>
      <c r="CI712" s="11"/>
      <c r="CJ712" s="11"/>
      <c r="CK712" s="15"/>
      <c r="CL712" s="11"/>
      <c r="CM712" s="11"/>
      <c r="CN712" s="11"/>
      <c r="CO712" s="11"/>
      <c r="CP712" s="28"/>
      <c r="CQ712" s="28"/>
      <c r="CR712" s="11"/>
      <c r="CS712" s="29"/>
      <c r="CT712" s="11"/>
      <c r="CU712" s="11"/>
      <c r="CV712" s="11"/>
      <c r="CW712" s="11"/>
      <c r="CX712" s="11"/>
      <c r="CY712" s="11"/>
      <c r="CZ712" s="11"/>
      <c r="DA712" s="28"/>
      <c r="DB712" s="28"/>
      <c r="DC712" s="11"/>
      <c r="DD712" s="29"/>
      <c r="DE712" s="11"/>
      <c r="DF712" s="11"/>
      <c r="DG712" s="11"/>
      <c r="DH712" s="11"/>
      <c r="DI712" s="11"/>
      <c r="DJ712" s="11"/>
      <c r="DK712" s="26"/>
      <c r="DL712" s="11"/>
      <c r="DM712" s="29"/>
      <c r="DN712" s="28"/>
      <c r="DO712" s="11"/>
      <c r="DP712" s="11"/>
      <c r="DQ712" s="11"/>
      <c r="DR712" s="29"/>
      <c r="DS712" s="28"/>
      <c r="DT712" s="11"/>
      <c r="DU712" s="26"/>
      <c r="DV712" s="11"/>
      <c r="DW712" s="29"/>
      <c r="DX712" s="28"/>
      <c r="DY712" s="11"/>
      <c r="DZ712" s="26"/>
      <c r="EA712" s="11"/>
      <c r="EB712" s="29"/>
      <c r="EC712" s="28"/>
      <c r="ED712" s="30"/>
      <c r="EE712" s="30" t="str">
        <f ca="1">IFERROR(__xludf.DUMMYFUNCTION("iferror(index(filter('Internal -- Trademark Countries'!E$2:E1000, (AM712 = 'Internal -- Trademark Countries'!B$2:B1000) + (AM712 = 'Internal -- Trademark Countries'!C$2:C1000) + (AM712 = 'Internal -- Trademark Countries'!D$2:D1000)), 1))"),"")</f>
        <v/>
      </c>
      <c r="EF712" s="30" t="e">
        <f ca="1">_xludf.ifs(AM712="", "", COUNTIF('Internal -- Trademark Countries'!B:B,AM712) &gt; 0, "polity_shortest_name", COUNTIF('Internal -- Trademark Countries'!C:C,AM712) &gt; 0, "polity_full_name", COUNTIF('Internal -- Trademark Countries'!D:D,AM712) &gt; 0, "polity_common_name", COUNTIF('Internal -- Trademark Countries'!E:E,AM712) &gt; 0, "shortest_name", COUNTIF('Internal -- Trademark Countries'!A:A,AM712) &gt; 0, "full_name", TRUE, "not a match")</f>
        <v>#NAME?</v>
      </c>
      <c r="EG712" s="30"/>
      <c r="EH712" s="30"/>
      <c r="EI712" s="30"/>
      <c r="EJ712" s="30"/>
      <c r="EK712" s="30" t="str">
        <f t="shared" si="4"/>
        <v/>
      </c>
    </row>
    <row r="713" spans="1:141" ht="16.5">
      <c r="A713" s="11"/>
      <c r="B713" s="11"/>
      <c r="C713" s="11"/>
      <c r="D713" s="11"/>
      <c r="E713" s="11"/>
      <c r="F713" s="11"/>
      <c r="G713" s="11"/>
      <c r="H713" s="11"/>
      <c r="I713" s="11"/>
      <c r="J713" s="11"/>
      <c r="K713" s="27"/>
      <c r="L713" s="11"/>
      <c r="M713" s="11"/>
      <c r="N713" s="11"/>
      <c r="O713" s="11"/>
      <c r="P713" s="15"/>
      <c r="Q713" s="15"/>
      <c r="R713" s="15"/>
      <c r="S713" s="15"/>
      <c r="T713" s="15"/>
      <c r="U713" s="15"/>
      <c r="V713" s="15"/>
      <c r="W713" s="47"/>
      <c r="X713" s="11"/>
      <c r="Y713" s="48"/>
      <c r="Z713" s="11"/>
      <c r="AA713" s="48"/>
      <c r="AB713" s="11"/>
      <c r="AC713" s="48"/>
      <c r="AD713" s="11"/>
      <c r="AE713" s="47"/>
      <c r="AF713" s="11"/>
      <c r="AG713" s="48"/>
      <c r="AH713" s="11"/>
      <c r="AI713" s="48"/>
      <c r="AJ713" s="11"/>
      <c r="AK713" s="48"/>
      <c r="AL713" s="11"/>
      <c r="AM713" s="49"/>
      <c r="AN713" s="49"/>
      <c r="AO713" s="11"/>
      <c r="AP713" s="11"/>
      <c r="AQ713" s="28" t="b">
        <f>IF(COUNTIF(SmartStatus!A$2:A1000, AM713) &gt; 2, TRUE, FALSE)</f>
        <v>0</v>
      </c>
      <c r="AR713" s="29" t="str">
        <f ca="1">IFERROR(__xludf.DUMMYFUNCTION("iferror(if(regexmatch(AO713, ""(?i)^registered""), if(EE713 &lt;&gt; ""polity_shortest_name"", ""CHECK_POLITY"", index(filter(SmartStatus!B$2:B1000, AM713 = SmartStatus!A$2:A1000, not(SmartStatus!C$2:C1000), (isblank(SmartStatus!D$2:D1000)) + ((P713 &lt;&gt; """") * "&amp;"(P713 &lt; SmartStatus!D$2:D1000)), (isblank(SmartStatus!E$2:E1000)) + ((P713 &lt;&gt; """") * (P713 &gt;= SmartStatus!E$2:E1000)), (isblank(SmartStatus!F$2:F1000)) + (((Q713 &lt;&gt; """") * (Q713 &lt; SmartStatus!F$2:F1000)) + ((P713 &lt;&gt; """") * (date(year(P713) + 3, month(P"&amp;"713), day(P713)) &lt; SmartStatus!F$2:F1000))), (isblank(SmartStatus!G$2:G1000)) + (((Q713 &lt;&gt; """") * (Q713 &gt;= SmartStatus!G$2:G1000)) + ((P713 &lt;&gt; """") * (P713 &gt;= SmartStatus!G$2:G1000)))), if(or(regexmatch(B713, ""(?i)^ir [a-z]+ designation$""), N713 &lt;&gt; """&amp;"""), 1, 2))), """"), ""NO_MATCH"")"),"")</f>
        <v/>
      </c>
      <c r="AS713" s="11"/>
      <c r="AT713" s="15"/>
      <c r="AU713" s="11"/>
      <c r="AV713" s="11"/>
      <c r="AW713" s="15"/>
      <c r="AX713" s="15"/>
      <c r="AY713" s="15"/>
      <c r="AZ713" s="11"/>
      <c r="BA713" s="15"/>
      <c r="BB713" s="11"/>
      <c r="BC713" s="11"/>
      <c r="BD713" s="15"/>
      <c r="BE713" s="11"/>
      <c r="BF713" s="11"/>
      <c r="BG713" s="15"/>
      <c r="BH713" s="15"/>
      <c r="BI713" s="15"/>
      <c r="BJ713" s="11"/>
      <c r="BK713" s="15"/>
      <c r="BL713" s="11"/>
      <c r="BM713" s="11"/>
      <c r="BN713" s="15"/>
      <c r="BO713" s="11"/>
      <c r="BP713" s="11"/>
      <c r="BQ713" s="15"/>
      <c r="BR713" s="15"/>
      <c r="BS713" s="15"/>
      <c r="BT713" s="11"/>
      <c r="BU713" s="15"/>
      <c r="BV713" s="11"/>
      <c r="BW713" s="11"/>
      <c r="BX713" s="15"/>
      <c r="BY713" s="11"/>
      <c r="BZ713" s="11"/>
      <c r="CA713" s="15"/>
      <c r="CB713" s="11"/>
      <c r="CC713" s="15"/>
      <c r="CD713" s="11"/>
      <c r="CE713" s="15"/>
      <c r="CF713" s="11"/>
      <c r="CG713" s="11"/>
      <c r="CH713" s="15"/>
      <c r="CI713" s="11"/>
      <c r="CJ713" s="11"/>
      <c r="CK713" s="15"/>
      <c r="CL713" s="11"/>
      <c r="CM713" s="11"/>
      <c r="CN713" s="11"/>
      <c r="CO713" s="11"/>
      <c r="CP713" s="28"/>
      <c r="CQ713" s="28"/>
      <c r="CR713" s="11"/>
      <c r="CS713" s="29"/>
      <c r="CT713" s="11"/>
      <c r="CU713" s="11"/>
      <c r="CV713" s="11"/>
      <c r="CW713" s="11"/>
      <c r="CX713" s="11"/>
      <c r="CY713" s="11"/>
      <c r="CZ713" s="11"/>
      <c r="DA713" s="28"/>
      <c r="DB713" s="28"/>
      <c r="DC713" s="11"/>
      <c r="DD713" s="29"/>
      <c r="DE713" s="11"/>
      <c r="DF713" s="11"/>
      <c r="DG713" s="11"/>
      <c r="DH713" s="11"/>
      <c r="DI713" s="11"/>
      <c r="DJ713" s="11"/>
      <c r="DK713" s="26"/>
      <c r="DL713" s="11"/>
      <c r="DM713" s="29"/>
      <c r="DN713" s="28"/>
      <c r="DO713" s="11"/>
      <c r="DP713" s="11"/>
      <c r="DQ713" s="11"/>
      <c r="DR713" s="29"/>
      <c r="DS713" s="28"/>
      <c r="DT713" s="11"/>
      <c r="DU713" s="26"/>
      <c r="DV713" s="11"/>
      <c r="DW713" s="29"/>
      <c r="DX713" s="28"/>
      <c r="DY713" s="11"/>
      <c r="DZ713" s="26"/>
      <c r="EA713" s="11"/>
      <c r="EB713" s="29"/>
      <c r="EC713" s="28"/>
      <c r="ED713" s="30"/>
      <c r="EE713" s="30" t="str">
        <f ca="1">IFERROR(__xludf.DUMMYFUNCTION("iferror(index(filter('Internal -- Trademark Countries'!E$2:E1000, (AM713 = 'Internal -- Trademark Countries'!B$2:B1000) + (AM713 = 'Internal -- Trademark Countries'!C$2:C1000) + (AM713 = 'Internal -- Trademark Countries'!D$2:D1000)), 1))"),"")</f>
        <v/>
      </c>
      <c r="EF713" s="30" t="e">
        <f ca="1">_xludf.ifs(AM713="", "", COUNTIF('Internal -- Trademark Countries'!B:B,AM713) &gt; 0, "polity_shortest_name", COUNTIF('Internal -- Trademark Countries'!C:C,AM713) &gt; 0, "polity_full_name", COUNTIF('Internal -- Trademark Countries'!D:D,AM713) &gt; 0, "polity_common_name", COUNTIF('Internal -- Trademark Countries'!E:E,AM713) &gt; 0, "shortest_name", COUNTIF('Internal -- Trademark Countries'!A:A,AM713) &gt; 0, "full_name", TRUE, "not a match")</f>
        <v>#NAME?</v>
      </c>
      <c r="EG713" s="30"/>
      <c r="EH713" s="30"/>
      <c r="EI713" s="30"/>
      <c r="EJ713" s="30"/>
      <c r="EK713" s="30" t="str">
        <f t="shared" si="4"/>
        <v/>
      </c>
    </row>
    <row r="714" spans="1:141" ht="16.5">
      <c r="A714" s="11"/>
      <c r="B714" s="11"/>
      <c r="C714" s="11"/>
      <c r="D714" s="11"/>
      <c r="E714" s="11"/>
      <c r="F714" s="11"/>
      <c r="G714" s="11"/>
      <c r="H714" s="11"/>
      <c r="I714" s="11"/>
      <c r="J714" s="11"/>
      <c r="K714" s="27"/>
      <c r="L714" s="11"/>
      <c r="M714" s="11"/>
      <c r="N714" s="11"/>
      <c r="O714" s="11"/>
      <c r="P714" s="15"/>
      <c r="Q714" s="15"/>
      <c r="R714" s="15"/>
      <c r="S714" s="15"/>
      <c r="T714" s="15"/>
      <c r="U714" s="15"/>
      <c r="V714" s="15"/>
      <c r="W714" s="47"/>
      <c r="X714" s="11"/>
      <c r="Y714" s="48"/>
      <c r="Z714" s="11"/>
      <c r="AA714" s="48"/>
      <c r="AB714" s="11"/>
      <c r="AC714" s="48"/>
      <c r="AD714" s="11"/>
      <c r="AE714" s="47"/>
      <c r="AF714" s="11"/>
      <c r="AG714" s="48"/>
      <c r="AH714" s="11"/>
      <c r="AI714" s="48"/>
      <c r="AJ714" s="11"/>
      <c r="AK714" s="48"/>
      <c r="AL714" s="11"/>
      <c r="AM714" s="49"/>
      <c r="AN714" s="49"/>
      <c r="AO714" s="11"/>
      <c r="AP714" s="11"/>
      <c r="AQ714" s="28" t="b">
        <f>IF(COUNTIF(SmartStatus!A$2:A1000, AM714) &gt; 2, TRUE, FALSE)</f>
        <v>0</v>
      </c>
      <c r="AR714" s="29" t="str">
        <f ca="1">IFERROR(__xludf.DUMMYFUNCTION("iferror(if(regexmatch(AO714, ""(?i)^registered""), if(EE714 &lt;&gt; ""polity_shortest_name"", ""CHECK_POLITY"", index(filter(SmartStatus!B$2:B1000, AM714 = SmartStatus!A$2:A1000, not(SmartStatus!C$2:C1000), (isblank(SmartStatus!D$2:D1000)) + ((P714 &lt;&gt; """") * "&amp;"(P714 &lt; SmartStatus!D$2:D1000)), (isblank(SmartStatus!E$2:E1000)) + ((P714 &lt;&gt; """") * (P714 &gt;= SmartStatus!E$2:E1000)), (isblank(SmartStatus!F$2:F1000)) + (((Q714 &lt;&gt; """") * (Q714 &lt; SmartStatus!F$2:F1000)) + ((P714 &lt;&gt; """") * (date(year(P714) + 3, month(P"&amp;"714), day(P714)) &lt; SmartStatus!F$2:F1000))), (isblank(SmartStatus!G$2:G1000)) + (((Q714 &lt;&gt; """") * (Q714 &gt;= SmartStatus!G$2:G1000)) + ((P714 &lt;&gt; """") * (P714 &gt;= SmartStatus!G$2:G1000)))), if(or(regexmatch(B714, ""(?i)^ir [a-z]+ designation$""), N714 &lt;&gt; """&amp;"""), 1, 2))), """"), ""NO_MATCH"")"),"")</f>
        <v/>
      </c>
      <c r="AS714" s="11"/>
      <c r="AT714" s="15"/>
      <c r="AU714" s="11"/>
      <c r="AV714" s="11"/>
      <c r="AW714" s="15"/>
      <c r="AX714" s="15"/>
      <c r="AY714" s="15"/>
      <c r="AZ714" s="11"/>
      <c r="BA714" s="15"/>
      <c r="BB714" s="11"/>
      <c r="BC714" s="11"/>
      <c r="BD714" s="15"/>
      <c r="BE714" s="11"/>
      <c r="BF714" s="11"/>
      <c r="BG714" s="15"/>
      <c r="BH714" s="15"/>
      <c r="BI714" s="15"/>
      <c r="BJ714" s="11"/>
      <c r="BK714" s="15"/>
      <c r="BL714" s="11"/>
      <c r="BM714" s="11"/>
      <c r="BN714" s="15"/>
      <c r="BO714" s="11"/>
      <c r="BP714" s="11"/>
      <c r="BQ714" s="15"/>
      <c r="BR714" s="15"/>
      <c r="BS714" s="15"/>
      <c r="BT714" s="11"/>
      <c r="BU714" s="15"/>
      <c r="BV714" s="11"/>
      <c r="BW714" s="11"/>
      <c r="BX714" s="15"/>
      <c r="BY714" s="11"/>
      <c r="BZ714" s="11"/>
      <c r="CA714" s="15"/>
      <c r="CB714" s="11"/>
      <c r="CC714" s="15"/>
      <c r="CD714" s="11"/>
      <c r="CE714" s="15"/>
      <c r="CF714" s="11"/>
      <c r="CG714" s="11"/>
      <c r="CH714" s="15"/>
      <c r="CI714" s="11"/>
      <c r="CJ714" s="11"/>
      <c r="CK714" s="15"/>
      <c r="CL714" s="11"/>
      <c r="CM714" s="11"/>
      <c r="CN714" s="11"/>
      <c r="CO714" s="11"/>
      <c r="CP714" s="28"/>
      <c r="CQ714" s="28"/>
      <c r="CR714" s="11"/>
      <c r="CS714" s="29"/>
      <c r="CT714" s="11"/>
      <c r="CU714" s="11"/>
      <c r="CV714" s="11"/>
      <c r="CW714" s="11"/>
      <c r="CX714" s="11"/>
      <c r="CY714" s="11"/>
      <c r="CZ714" s="11"/>
      <c r="DA714" s="28"/>
      <c r="DB714" s="28"/>
      <c r="DC714" s="11"/>
      <c r="DD714" s="29"/>
      <c r="DE714" s="11"/>
      <c r="DF714" s="11"/>
      <c r="DG714" s="11"/>
      <c r="DH714" s="11"/>
      <c r="DI714" s="11"/>
      <c r="DJ714" s="11"/>
      <c r="DK714" s="26"/>
      <c r="DL714" s="11"/>
      <c r="DM714" s="29"/>
      <c r="DN714" s="28"/>
      <c r="DO714" s="11"/>
      <c r="DP714" s="11"/>
      <c r="DQ714" s="11"/>
      <c r="DR714" s="29"/>
      <c r="DS714" s="28"/>
      <c r="DT714" s="11"/>
      <c r="DU714" s="26"/>
      <c r="DV714" s="11"/>
      <c r="DW714" s="29"/>
      <c r="DX714" s="28"/>
      <c r="DY714" s="11"/>
      <c r="DZ714" s="26"/>
      <c r="EA714" s="11"/>
      <c r="EB714" s="29"/>
      <c r="EC714" s="28"/>
      <c r="ED714" s="30"/>
      <c r="EE714" s="30" t="str">
        <f ca="1">IFERROR(__xludf.DUMMYFUNCTION("iferror(index(filter('Internal -- Trademark Countries'!E$2:E1000, (AM714 = 'Internal -- Trademark Countries'!B$2:B1000) + (AM714 = 'Internal -- Trademark Countries'!C$2:C1000) + (AM714 = 'Internal -- Trademark Countries'!D$2:D1000)), 1))"),"")</f>
        <v/>
      </c>
      <c r="EF714" s="30" t="e">
        <f ca="1">_xludf.ifs(AM714="", "", COUNTIF('Internal -- Trademark Countries'!B:B,AM714) &gt; 0, "polity_shortest_name", COUNTIF('Internal -- Trademark Countries'!C:C,AM714) &gt; 0, "polity_full_name", COUNTIF('Internal -- Trademark Countries'!D:D,AM714) &gt; 0, "polity_common_name", COUNTIF('Internal -- Trademark Countries'!E:E,AM714) &gt; 0, "shortest_name", COUNTIF('Internal -- Trademark Countries'!A:A,AM714) &gt; 0, "full_name", TRUE, "not a match")</f>
        <v>#NAME?</v>
      </c>
      <c r="EG714" s="30"/>
      <c r="EH714" s="30"/>
      <c r="EI714" s="30"/>
      <c r="EJ714" s="30"/>
      <c r="EK714" s="30" t="str">
        <f t="shared" si="4"/>
        <v/>
      </c>
    </row>
    <row r="715" spans="1:141" ht="16.5">
      <c r="A715" s="11"/>
      <c r="B715" s="11"/>
      <c r="C715" s="11"/>
      <c r="D715" s="11"/>
      <c r="E715" s="11"/>
      <c r="F715" s="11"/>
      <c r="G715" s="11"/>
      <c r="H715" s="11"/>
      <c r="I715" s="11"/>
      <c r="J715" s="11"/>
      <c r="K715" s="27"/>
      <c r="L715" s="11"/>
      <c r="M715" s="11"/>
      <c r="N715" s="11"/>
      <c r="O715" s="11"/>
      <c r="P715" s="15"/>
      <c r="Q715" s="15"/>
      <c r="R715" s="15"/>
      <c r="S715" s="15"/>
      <c r="T715" s="15"/>
      <c r="U715" s="15"/>
      <c r="V715" s="15"/>
      <c r="W715" s="47"/>
      <c r="X715" s="11"/>
      <c r="Y715" s="48"/>
      <c r="Z715" s="11"/>
      <c r="AA715" s="48"/>
      <c r="AB715" s="11"/>
      <c r="AC715" s="48"/>
      <c r="AD715" s="11"/>
      <c r="AE715" s="47"/>
      <c r="AF715" s="11"/>
      <c r="AG715" s="48"/>
      <c r="AH715" s="11"/>
      <c r="AI715" s="48"/>
      <c r="AJ715" s="11"/>
      <c r="AK715" s="48"/>
      <c r="AL715" s="11"/>
      <c r="AM715" s="49"/>
      <c r="AN715" s="49"/>
      <c r="AO715" s="11"/>
      <c r="AP715" s="11"/>
      <c r="AQ715" s="28" t="b">
        <f>IF(COUNTIF(SmartStatus!A$2:A1000, AM715) &gt; 2, TRUE, FALSE)</f>
        <v>0</v>
      </c>
      <c r="AR715" s="29" t="str">
        <f ca="1">IFERROR(__xludf.DUMMYFUNCTION("iferror(if(regexmatch(AO715, ""(?i)^registered""), if(EE715 &lt;&gt; ""polity_shortest_name"", ""CHECK_POLITY"", index(filter(SmartStatus!B$2:B1000, AM715 = SmartStatus!A$2:A1000, not(SmartStatus!C$2:C1000), (isblank(SmartStatus!D$2:D1000)) + ((P715 &lt;&gt; """") * "&amp;"(P715 &lt; SmartStatus!D$2:D1000)), (isblank(SmartStatus!E$2:E1000)) + ((P715 &lt;&gt; """") * (P715 &gt;= SmartStatus!E$2:E1000)), (isblank(SmartStatus!F$2:F1000)) + (((Q715 &lt;&gt; """") * (Q715 &lt; SmartStatus!F$2:F1000)) + ((P715 &lt;&gt; """") * (date(year(P715) + 3, month(P"&amp;"715), day(P715)) &lt; SmartStatus!F$2:F1000))), (isblank(SmartStatus!G$2:G1000)) + (((Q715 &lt;&gt; """") * (Q715 &gt;= SmartStatus!G$2:G1000)) + ((P715 &lt;&gt; """") * (P715 &gt;= SmartStatus!G$2:G1000)))), if(or(regexmatch(B715, ""(?i)^ir [a-z]+ designation$""), N715 &lt;&gt; """&amp;"""), 1, 2))), """"), ""NO_MATCH"")"),"")</f>
        <v/>
      </c>
      <c r="AS715" s="11"/>
      <c r="AT715" s="15"/>
      <c r="AU715" s="11"/>
      <c r="AV715" s="11"/>
      <c r="AW715" s="15"/>
      <c r="AX715" s="15"/>
      <c r="AY715" s="15"/>
      <c r="AZ715" s="11"/>
      <c r="BA715" s="15"/>
      <c r="BB715" s="11"/>
      <c r="BC715" s="11"/>
      <c r="BD715" s="15"/>
      <c r="BE715" s="11"/>
      <c r="BF715" s="11"/>
      <c r="BG715" s="15"/>
      <c r="BH715" s="15"/>
      <c r="BI715" s="15"/>
      <c r="BJ715" s="11"/>
      <c r="BK715" s="15"/>
      <c r="BL715" s="11"/>
      <c r="BM715" s="11"/>
      <c r="BN715" s="15"/>
      <c r="BO715" s="11"/>
      <c r="BP715" s="11"/>
      <c r="BQ715" s="15"/>
      <c r="BR715" s="15"/>
      <c r="BS715" s="15"/>
      <c r="BT715" s="11"/>
      <c r="BU715" s="15"/>
      <c r="BV715" s="11"/>
      <c r="BW715" s="11"/>
      <c r="BX715" s="15"/>
      <c r="BY715" s="11"/>
      <c r="BZ715" s="11"/>
      <c r="CA715" s="15"/>
      <c r="CB715" s="11"/>
      <c r="CC715" s="15"/>
      <c r="CD715" s="11"/>
      <c r="CE715" s="15"/>
      <c r="CF715" s="11"/>
      <c r="CG715" s="11"/>
      <c r="CH715" s="15"/>
      <c r="CI715" s="11"/>
      <c r="CJ715" s="11"/>
      <c r="CK715" s="15"/>
      <c r="CL715" s="11"/>
      <c r="CM715" s="11"/>
      <c r="CN715" s="11"/>
      <c r="CO715" s="11"/>
      <c r="CP715" s="28"/>
      <c r="CQ715" s="28"/>
      <c r="CR715" s="11"/>
      <c r="CS715" s="29"/>
      <c r="CT715" s="11"/>
      <c r="CU715" s="11"/>
      <c r="CV715" s="11"/>
      <c r="CW715" s="11"/>
      <c r="CX715" s="11"/>
      <c r="CY715" s="11"/>
      <c r="CZ715" s="11"/>
      <c r="DA715" s="28"/>
      <c r="DB715" s="28"/>
      <c r="DC715" s="11"/>
      <c r="DD715" s="29"/>
      <c r="DE715" s="11"/>
      <c r="DF715" s="11"/>
      <c r="DG715" s="11"/>
      <c r="DH715" s="11"/>
      <c r="DI715" s="11"/>
      <c r="DJ715" s="11"/>
      <c r="DK715" s="26"/>
      <c r="DL715" s="11"/>
      <c r="DM715" s="29"/>
      <c r="DN715" s="28"/>
      <c r="DO715" s="11"/>
      <c r="DP715" s="11"/>
      <c r="DQ715" s="11"/>
      <c r="DR715" s="29"/>
      <c r="DS715" s="28"/>
      <c r="DT715" s="11"/>
      <c r="DU715" s="26"/>
      <c r="DV715" s="11"/>
      <c r="DW715" s="29"/>
      <c r="DX715" s="28"/>
      <c r="DY715" s="11"/>
      <c r="DZ715" s="26"/>
      <c r="EA715" s="11"/>
      <c r="EB715" s="29"/>
      <c r="EC715" s="28"/>
      <c r="ED715" s="30"/>
      <c r="EE715" s="30" t="str">
        <f ca="1">IFERROR(__xludf.DUMMYFUNCTION("iferror(index(filter('Internal -- Trademark Countries'!E$2:E1000, (AM715 = 'Internal -- Trademark Countries'!B$2:B1000) + (AM715 = 'Internal -- Trademark Countries'!C$2:C1000) + (AM715 = 'Internal -- Trademark Countries'!D$2:D1000)), 1))"),"")</f>
        <v/>
      </c>
      <c r="EF715" s="30" t="e">
        <f ca="1">_xludf.ifs(AM715="", "", COUNTIF('Internal -- Trademark Countries'!B:B,AM715) &gt; 0, "polity_shortest_name", COUNTIF('Internal -- Trademark Countries'!C:C,AM715) &gt; 0, "polity_full_name", COUNTIF('Internal -- Trademark Countries'!D:D,AM715) &gt; 0, "polity_common_name", COUNTIF('Internal -- Trademark Countries'!E:E,AM715) &gt; 0, "shortest_name", COUNTIF('Internal -- Trademark Countries'!A:A,AM715) &gt; 0, "full_name", TRUE, "not a match")</f>
        <v>#NAME?</v>
      </c>
      <c r="EG715" s="30"/>
      <c r="EH715" s="30"/>
      <c r="EI715" s="30"/>
      <c r="EJ715" s="30"/>
      <c r="EK715" s="30" t="str">
        <f t="shared" si="4"/>
        <v/>
      </c>
    </row>
    <row r="716" spans="1:141" ht="16.5">
      <c r="A716" s="11"/>
      <c r="B716" s="11"/>
      <c r="C716" s="11"/>
      <c r="D716" s="11"/>
      <c r="E716" s="11"/>
      <c r="F716" s="11"/>
      <c r="G716" s="11"/>
      <c r="H716" s="11"/>
      <c r="I716" s="11"/>
      <c r="J716" s="11"/>
      <c r="K716" s="27"/>
      <c r="L716" s="11"/>
      <c r="M716" s="11"/>
      <c r="N716" s="11"/>
      <c r="O716" s="11"/>
      <c r="P716" s="15"/>
      <c r="Q716" s="15"/>
      <c r="R716" s="15"/>
      <c r="S716" s="15"/>
      <c r="T716" s="15"/>
      <c r="U716" s="15"/>
      <c r="V716" s="15"/>
      <c r="W716" s="47"/>
      <c r="X716" s="11"/>
      <c r="Y716" s="48"/>
      <c r="Z716" s="11"/>
      <c r="AA716" s="48"/>
      <c r="AB716" s="11"/>
      <c r="AC716" s="48"/>
      <c r="AD716" s="11"/>
      <c r="AE716" s="47"/>
      <c r="AF716" s="11"/>
      <c r="AG716" s="48"/>
      <c r="AH716" s="11"/>
      <c r="AI716" s="48"/>
      <c r="AJ716" s="11"/>
      <c r="AK716" s="48"/>
      <c r="AL716" s="11"/>
      <c r="AM716" s="49"/>
      <c r="AN716" s="49"/>
      <c r="AO716" s="11"/>
      <c r="AP716" s="11"/>
      <c r="AQ716" s="28" t="b">
        <f>IF(COUNTIF(SmartStatus!A$2:A1000, AM716) &gt; 2, TRUE, FALSE)</f>
        <v>0</v>
      </c>
      <c r="AR716" s="29" t="str">
        <f ca="1">IFERROR(__xludf.DUMMYFUNCTION("iferror(if(regexmatch(AO716, ""(?i)^registered""), if(EE716 &lt;&gt; ""polity_shortest_name"", ""CHECK_POLITY"", index(filter(SmartStatus!B$2:B1000, AM716 = SmartStatus!A$2:A1000, not(SmartStatus!C$2:C1000), (isblank(SmartStatus!D$2:D1000)) + ((P716 &lt;&gt; """") * "&amp;"(P716 &lt; SmartStatus!D$2:D1000)), (isblank(SmartStatus!E$2:E1000)) + ((P716 &lt;&gt; """") * (P716 &gt;= SmartStatus!E$2:E1000)), (isblank(SmartStatus!F$2:F1000)) + (((Q716 &lt;&gt; """") * (Q716 &lt; SmartStatus!F$2:F1000)) + ((P716 &lt;&gt; """") * (date(year(P716) + 3, month(P"&amp;"716), day(P716)) &lt; SmartStatus!F$2:F1000))), (isblank(SmartStatus!G$2:G1000)) + (((Q716 &lt;&gt; """") * (Q716 &gt;= SmartStatus!G$2:G1000)) + ((P716 &lt;&gt; """") * (P716 &gt;= SmartStatus!G$2:G1000)))), if(or(regexmatch(B716, ""(?i)^ir [a-z]+ designation$""), N716 &lt;&gt; """&amp;"""), 1, 2))), """"), ""NO_MATCH"")"),"")</f>
        <v/>
      </c>
      <c r="AS716" s="11"/>
      <c r="AT716" s="15"/>
      <c r="AU716" s="11"/>
      <c r="AV716" s="11"/>
      <c r="AW716" s="15"/>
      <c r="AX716" s="15"/>
      <c r="AY716" s="15"/>
      <c r="AZ716" s="11"/>
      <c r="BA716" s="15"/>
      <c r="BB716" s="11"/>
      <c r="BC716" s="11"/>
      <c r="BD716" s="15"/>
      <c r="BE716" s="11"/>
      <c r="BF716" s="11"/>
      <c r="BG716" s="15"/>
      <c r="BH716" s="15"/>
      <c r="BI716" s="15"/>
      <c r="BJ716" s="11"/>
      <c r="BK716" s="15"/>
      <c r="BL716" s="11"/>
      <c r="BM716" s="11"/>
      <c r="BN716" s="15"/>
      <c r="BO716" s="11"/>
      <c r="BP716" s="11"/>
      <c r="BQ716" s="15"/>
      <c r="BR716" s="15"/>
      <c r="BS716" s="15"/>
      <c r="BT716" s="11"/>
      <c r="BU716" s="15"/>
      <c r="BV716" s="11"/>
      <c r="BW716" s="11"/>
      <c r="BX716" s="15"/>
      <c r="BY716" s="11"/>
      <c r="BZ716" s="11"/>
      <c r="CA716" s="15"/>
      <c r="CB716" s="11"/>
      <c r="CC716" s="15"/>
      <c r="CD716" s="11"/>
      <c r="CE716" s="15"/>
      <c r="CF716" s="11"/>
      <c r="CG716" s="11"/>
      <c r="CH716" s="15"/>
      <c r="CI716" s="11"/>
      <c r="CJ716" s="11"/>
      <c r="CK716" s="15"/>
      <c r="CL716" s="11"/>
      <c r="CM716" s="11"/>
      <c r="CN716" s="11"/>
      <c r="CO716" s="11"/>
      <c r="CP716" s="28"/>
      <c r="CQ716" s="28"/>
      <c r="CR716" s="11"/>
      <c r="CS716" s="29"/>
      <c r="CT716" s="11"/>
      <c r="CU716" s="11"/>
      <c r="CV716" s="11"/>
      <c r="CW716" s="11"/>
      <c r="CX716" s="11"/>
      <c r="CY716" s="11"/>
      <c r="CZ716" s="11"/>
      <c r="DA716" s="28"/>
      <c r="DB716" s="28"/>
      <c r="DC716" s="11"/>
      <c r="DD716" s="29"/>
      <c r="DE716" s="11"/>
      <c r="DF716" s="11"/>
      <c r="DG716" s="11"/>
      <c r="DH716" s="11"/>
      <c r="DI716" s="11"/>
      <c r="DJ716" s="11"/>
      <c r="DK716" s="26"/>
      <c r="DL716" s="11"/>
      <c r="DM716" s="29"/>
      <c r="DN716" s="28"/>
      <c r="DO716" s="11"/>
      <c r="DP716" s="11"/>
      <c r="DQ716" s="11"/>
      <c r="DR716" s="29"/>
      <c r="DS716" s="28"/>
      <c r="DT716" s="11"/>
      <c r="DU716" s="26"/>
      <c r="DV716" s="11"/>
      <c r="DW716" s="29"/>
      <c r="DX716" s="28"/>
      <c r="DY716" s="11"/>
      <c r="DZ716" s="26"/>
      <c r="EA716" s="11"/>
      <c r="EB716" s="29"/>
      <c r="EC716" s="28"/>
      <c r="ED716" s="30"/>
      <c r="EE716" s="30" t="str">
        <f ca="1">IFERROR(__xludf.DUMMYFUNCTION("iferror(index(filter('Internal -- Trademark Countries'!E$2:E1000, (AM716 = 'Internal -- Trademark Countries'!B$2:B1000) + (AM716 = 'Internal -- Trademark Countries'!C$2:C1000) + (AM716 = 'Internal -- Trademark Countries'!D$2:D1000)), 1))"),"")</f>
        <v/>
      </c>
      <c r="EF716" s="30" t="e">
        <f ca="1">_xludf.ifs(AM716="", "", COUNTIF('Internal -- Trademark Countries'!B:B,AM716) &gt; 0, "polity_shortest_name", COUNTIF('Internal -- Trademark Countries'!C:C,AM716) &gt; 0, "polity_full_name", COUNTIF('Internal -- Trademark Countries'!D:D,AM716) &gt; 0, "polity_common_name", COUNTIF('Internal -- Trademark Countries'!E:E,AM716) &gt; 0, "shortest_name", COUNTIF('Internal -- Trademark Countries'!A:A,AM716) &gt; 0, "full_name", TRUE, "not a match")</f>
        <v>#NAME?</v>
      </c>
      <c r="EG716" s="30"/>
      <c r="EH716" s="30"/>
      <c r="EI716" s="30"/>
      <c r="EJ716" s="30"/>
      <c r="EK716" s="30" t="str">
        <f t="shared" si="4"/>
        <v/>
      </c>
    </row>
    <row r="717" spans="1:141" ht="16.5">
      <c r="A717" s="11"/>
      <c r="B717" s="11"/>
      <c r="C717" s="11"/>
      <c r="D717" s="11"/>
      <c r="E717" s="11"/>
      <c r="F717" s="11"/>
      <c r="G717" s="11"/>
      <c r="H717" s="11"/>
      <c r="I717" s="11"/>
      <c r="J717" s="11"/>
      <c r="K717" s="27"/>
      <c r="L717" s="11"/>
      <c r="M717" s="11"/>
      <c r="N717" s="11"/>
      <c r="O717" s="11"/>
      <c r="P717" s="15"/>
      <c r="Q717" s="15"/>
      <c r="R717" s="15"/>
      <c r="S717" s="15"/>
      <c r="T717" s="15"/>
      <c r="U717" s="15"/>
      <c r="V717" s="15"/>
      <c r="W717" s="47"/>
      <c r="X717" s="11"/>
      <c r="Y717" s="48"/>
      <c r="Z717" s="11"/>
      <c r="AA717" s="48"/>
      <c r="AB717" s="11"/>
      <c r="AC717" s="48"/>
      <c r="AD717" s="11"/>
      <c r="AE717" s="47"/>
      <c r="AF717" s="11"/>
      <c r="AG717" s="48"/>
      <c r="AH717" s="11"/>
      <c r="AI717" s="48"/>
      <c r="AJ717" s="11"/>
      <c r="AK717" s="48"/>
      <c r="AL717" s="11"/>
      <c r="AM717" s="49"/>
      <c r="AN717" s="49"/>
      <c r="AO717" s="11"/>
      <c r="AP717" s="11"/>
      <c r="AQ717" s="28" t="b">
        <f>IF(COUNTIF(SmartStatus!A$2:A1000, AM717) &gt; 2, TRUE, FALSE)</f>
        <v>0</v>
      </c>
      <c r="AR717" s="29" t="str">
        <f ca="1">IFERROR(__xludf.DUMMYFUNCTION("iferror(if(regexmatch(AO717, ""(?i)^registered""), if(EE717 &lt;&gt; ""polity_shortest_name"", ""CHECK_POLITY"", index(filter(SmartStatus!B$2:B1000, AM717 = SmartStatus!A$2:A1000, not(SmartStatus!C$2:C1000), (isblank(SmartStatus!D$2:D1000)) + ((P717 &lt;&gt; """") * "&amp;"(P717 &lt; SmartStatus!D$2:D1000)), (isblank(SmartStatus!E$2:E1000)) + ((P717 &lt;&gt; """") * (P717 &gt;= SmartStatus!E$2:E1000)), (isblank(SmartStatus!F$2:F1000)) + (((Q717 &lt;&gt; """") * (Q717 &lt; SmartStatus!F$2:F1000)) + ((P717 &lt;&gt; """") * (date(year(P717) + 3, month(P"&amp;"717), day(P717)) &lt; SmartStatus!F$2:F1000))), (isblank(SmartStatus!G$2:G1000)) + (((Q717 &lt;&gt; """") * (Q717 &gt;= SmartStatus!G$2:G1000)) + ((P717 &lt;&gt; """") * (P717 &gt;= SmartStatus!G$2:G1000)))), if(or(regexmatch(B717, ""(?i)^ir [a-z]+ designation$""), N717 &lt;&gt; """&amp;"""), 1, 2))), """"), ""NO_MATCH"")"),"")</f>
        <v/>
      </c>
      <c r="AS717" s="11"/>
      <c r="AT717" s="15"/>
      <c r="AU717" s="11"/>
      <c r="AV717" s="11"/>
      <c r="AW717" s="15"/>
      <c r="AX717" s="15"/>
      <c r="AY717" s="15"/>
      <c r="AZ717" s="11"/>
      <c r="BA717" s="15"/>
      <c r="BB717" s="11"/>
      <c r="BC717" s="11"/>
      <c r="BD717" s="15"/>
      <c r="BE717" s="11"/>
      <c r="BF717" s="11"/>
      <c r="BG717" s="15"/>
      <c r="BH717" s="15"/>
      <c r="BI717" s="15"/>
      <c r="BJ717" s="11"/>
      <c r="BK717" s="15"/>
      <c r="BL717" s="11"/>
      <c r="BM717" s="11"/>
      <c r="BN717" s="15"/>
      <c r="BO717" s="11"/>
      <c r="BP717" s="11"/>
      <c r="BQ717" s="15"/>
      <c r="BR717" s="15"/>
      <c r="BS717" s="15"/>
      <c r="BT717" s="11"/>
      <c r="BU717" s="15"/>
      <c r="BV717" s="11"/>
      <c r="BW717" s="11"/>
      <c r="BX717" s="15"/>
      <c r="BY717" s="11"/>
      <c r="BZ717" s="11"/>
      <c r="CA717" s="15"/>
      <c r="CB717" s="11"/>
      <c r="CC717" s="15"/>
      <c r="CD717" s="11"/>
      <c r="CE717" s="15"/>
      <c r="CF717" s="11"/>
      <c r="CG717" s="11"/>
      <c r="CH717" s="15"/>
      <c r="CI717" s="11"/>
      <c r="CJ717" s="11"/>
      <c r="CK717" s="15"/>
      <c r="CL717" s="11"/>
      <c r="CM717" s="11"/>
      <c r="CN717" s="11"/>
      <c r="CO717" s="11"/>
      <c r="CP717" s="28"/>
      <c r="CQ717" s="28"/>
      <c r="CR717" s="11"/>
      <c r="CS717" s="29"/>
      <c r="CT717" s="11"/>
      <c r="CU717" s="11"/>
      <c r="CV717" s="11"/>
      <c r="CW717" s="11"/>
      <c r="CX717" s="11"/>
      <c r="CY717" s="11"/>
      <c r="CZ717" s="11"/>
      <c r="DA717" s="28"/>
      <c r="DB717" s="28"/>
      <c r="DC717" s="11"/>
      <c r="DD717" s="29"/>
      <c r="DE717" s="11"/>
      <c r="DF717" s="11"/>
      <c r="DG717" s="11"/>
      <c r="DH717" s="11"/>
      <c r="DI717" s="11"/>
      <c r="DJ717" s="11"/>
      <c r="DK717" s="26"/>
      <c r="DL717" s="11"/>
      <c r="DM717" s="29"/>
      <c r="DN717" s="28"/>
      <c r="DO717" s="11"/>
      <c r="DP717" s="11"/>
      <c r="DQ717" s="11"/>
      <c r="DR717" s="29"/>
      <c r="DS717" s="28"/>
      <c r="DT717" s="11"/>
      <c r="DU717" s="26"/>
      <c r="DV717" s="11"/>
      <c r="DW717" s="29"/>
      <c r="DX717" s="28"/>
      <c r="DY717" s="11"/>
      <c r="DZ717" s="26"/>
      <c r="EA717" s="11"/>
      <c r="EB717" s="29"/>
      <c r="EC717" s="28"/>
      <c r="ED717" s="30"/>
      <c r="EE717" s="30" t="str">
        <f ca="1">IFERROR(__xludf.DUMMYFUNCTION("iferror(index(filter('Internal -- Trademark Countries'!E$2:E1000, (AM717 = 'Internal -- Trademark Countries'!B$2:B1000) + (AM717 = 'Internal -- Trademark Countries'!C$2:C1000) + (AM717 = 'Internal -- Trademark Countries'!D$2:D1000)), 1))"),"")</f>
        <v/>
      </c>
      <c r="EF717" s="30" t="e">
        <f ca="1">_xludf.ifs(AM717="", "", COUNTIF('Internal -- Trademark Countries'!B:B,AM717) &gt; 0, "polity_shortest_name", COUNTIF('Internal -- Trademark Countries'!C:C,AM717) &gt; 0, "polity_full_name", COUNTIF('Internal -- Trademark Countries'!D:D,AM717) &gt; 0, "polity_common_name", COUNTIF('Internal -- Trademark Countries'!E:E,AM717) &gt; 0, "shortest_name", COUNTIF('Internal -- Trademark Countries'!A:A,AM717) &gt; 0, "full_name", TRUE, "not a match")</f>
        <v>#NAME?</v>
      </c>
      <c r="EG717" s="30"/>
      <c r="EH717" s="30"/>
      <c r="EI717" s="30"/>
      <c r="EJ717" s="30"/>
      <c r="EK717" s="30" t="str">
        <f t="shared" si="4"/>
        <v/>
      </c>
    </row>
    <row r="718" spans="1:141" ht="16.5">
      <c r="A718" s="11"/>
      <c r="B718" s="11"/>
      <c r="C718" s="11"/>
      <c r="D718" s="11"/>
      <c r="E718" s="11"/>
      <c r="F718" s="11"/>
      <c r="G718" s="11"/>
      <c r="H718" s="11"/>
      <c r="I718" s="11"/>
      <c r="J718" s="11"/>
      <c r="K718" s="27"/>
      <c r="L718" s="11"/>
      <c r="M718" s="11"/>
      <c r="N718" s="11"/>
      <c r="O718" s="11"/>
      <c r="P718" s="15"/>
      <c r="Q718" s="15"/>
      <c r="R718" s="15"/>
      <c r="S718" s="15"/>
      <c r="T718" s="15"/>
      <c r="U718" s="15"/>
      <c r="V718" s="15"/>
      <c r="W718" s="47"/>
      <c r="X718" s="11"/>
      <c r="Y718" s="48"/>
      <c r="Z718" s="11"/>
      <c r="AA718" s="48"/>
      <c r="AB718" s="11"/>
      <c r="AC718" s="48"/>
      <c r="AD718" s="11"/>
      <c r="AE718" s="47"/>
      <c r="AF718" s="11"/>
      <c r="AG718" s="48"/>
      <c r="AH718" s="11"/>
      <c r="AI718" s="48"/>
      <c r="AJ718" s="11"/>
      <c r="AK718" s="48"/>
      <c r="AL718" s="11"/>
      <c r="AM718" s="49"/>
      <c r="AN718" s="49"/>
      <c r="AO718" s="11"/>
      <c r="AP718" s="11"/>
      <c r="AQ718" s="28" t="b">
        <f>IF(COUNTIF(SmartStatus!A$2:A1000, AM718) &gt; 2, TRUE, FALSE)</f>
        <v>0</v>
      </c>
      <c r="AR718" s="29" t="str">
        <f ca="1">IFERROR(__xludf.DUMMYFUNCTION("iferror(if(regexmatch(AO718, ""(?i)^registered""), if(EE718 &lt;&gt; ""polity_shortest_name"", ""CHECK_POLITY"", index(filter(SmartStatus!B$2:B1000, AM718 = SmartStatus!A$2:A1000, not(SmartStatus!C$2:C1000), (isblank(SmartStatus!D$2:D1000)) + ((P718 &lt;&gt; """") * "&amp;"(P718 &lt; SmartStatus!D$2:D1000)), (isblank(SmartStatus!E$2:E1000)) + ((P718 &lt;&gt; """") * (P718 &gt;= SmartStatus!E$2:E1000)), (isblank(SmartStatus!F$2:F1000)) + (((Q718 &lt;&gt; """") * (Q718 &lt; SmartStatus!F$2:F1000)) + ((P718 &lt;&gt; """") * (date(year(P718) + 3, month(P"&amp;"718), day(P718)) &lt; SmartStatus!F$2:F1000))), (isblank(SmartStatus!G$2:G1000)) + (((Q718 &lt;&gt; """") * (Q718 &gt;= SmartStatus!G$2:G1000)) + ((P718 &lt;&gt; """") * (P718 &gt;= SmartStatus!G$2:G1000)))), if(or(regexmatch(B718, ""(?i)^ir [a-z]+ designation$""), N718 &lt;&gt; """&amp;"""), 1, 2))), """"), ""NO_MATCH"")"),"")</f>
        <v/>
      </c>
      <c r="AS718" s="11"/>
      <c r="AT718" s="15"/>
      <c r="AU718" s="11"/>
      <c r="AV718" s="11"/>
      <c r="AW718" s="15"/>
      <c r="AX718" s="15"/>
      <c r="AY718" s="15"/>
      <c r="AZ718" s="11"/>
      <c r="BA718" s="15"/>
      <c r="BB718" s="11"/>
      <c r="BC718" s="11"/>
      <c r="BD718" s="15"/>
      <c r="BE718" s="11"/>
      <c r="BF718" s="11"/>
      <c r="BG718" s="15"/>
      <c r="BH718" s="15"/>
      <c r="BI718" s="15"/>
      <c r="BJ718" s="11"/>
      <c r="BK718" s="15"/>
      <c r="BL718" s="11"/>
      <c r="BM718" s="11"/>
      <c r="BN718" s="15"/>
      <c r="BO718" s="11"/>
      <c r="BP718" s="11"/>
      <c r="BQ718" s="15"/>
      <c r="BR718" s="15"/>
      <c r="BS718" s="15"/>
      <c r="BT718" s="11"/>
      <c r="BU718" s="15"/>
      <c r="BV718" s="11"/>
      <c r="BW718" s="11"/>
      <c r="BX718" s="15"/>
      <c r="BY718" s="11"/>
      <c r="BZ718" s="11"/>
      <c r="CA718" s="15"/>
      <c r="CB718" s="11"/>
      <c r="CC718" s="15"/>
      <c r="CD718" s="11"/>
      <c r="CE718" s="15"/>
      <c r="CF718" s="11"/>
      <c r="CG718" s="11"/>
      <c r="CH718" s="15"/>
      <c r="CI718" s="11"/>
      <c r="CJ718" s="11"/>
      <c r="CK718" s="15"/>
      <c r="CL718" s="11"/>
      <c r="CM718" s="11"/>
      <c r="CN718" s="11"/>
      <c r="CO718" s="11"/>
      <c r="CP718" s="28"/>
      <c r="CQ718" s="28"/>
      <c r="CR718" s="11"/>
      <c r="CS718" s="29"/>
      <c r="CT718" s="11"/>
      <c r="CU718" s="11"/>
      <c r="CV718" s="11"/>
      <c r="CW718" s="11"/>
      <c r="CX718" s="11"/>
      <c r="CY718" s="11"/>
      <c r="CZ718" s="11"/>
      <c r="DA718" s="28"/>
      <c r="DB718" s="28"/>
      <c r="DC718" s="11"/>
      <c r="DD718" s="29"/>
      <c r="DE718" s="11"/>
      <c r="DF718" s="11"/>
      <c r="DG718" s="11"/>
      <c r="DH718" s="11"/>
      <c r="DI718" s="11"/>
      <c r="DJ718" s="11"/>
      <c r="DK718" s="26"/>
      <c r="DL718" s="11"/>
      <c r="DM718" s="29"/>
      <c r="DN718" s="28"/>
      <c r="DO718" s="11"/>
      <c r="DP718" s="11"/>
      <c r="DQ718" s="11"/>
      <c r="DR718" s="29"/>
      <c r="DS718" s="28"/>
      <c r="DT718" s="11"/>
      <c r="DU718" s="26"/>
      <c r="DV718" s="11"/>
      <c r="DW718" s="29"/>
      <c r="DX718" s="28"/>
      <c r="DY718" s="11"/>
      <c r="DZ718" s="26"/>
      <c r="EA718" s="11"/>
      <c r="EB718" s="29"/>
      <c r="EC718" s="28"/>
      <c r="ED718" s="30"/>
      <c r="EE718" s="30" t="str">
        <f ca="1">IFERROR(__xludf.DUMMYFUNCTION("iferror(index(filter('Internal -- Trademark Countries'!E$2:E1000, (AM718 = 'Internal -- Trademark Countries'!B$2:B1000) + (AM718 = 'Internal -- Trademark Countries'!C$2:C1000) + (AM718 = 'Internal -- Trademark Countries'!D$2:D1000)), 1))"),"")</f>
        <v/>
      </c>
      <c r="EF718" s="30" t="e">
        <f ca="1">_xludf.ifs(AM718="", "", COUNTIF('Internal -- Trademark Countries'!B:B,AM718) &gt; 0, "polity_shortest_name", COUNTIF('Internal -- Trademark Countries'!C:C,AM718) &gt; 0, "polity_full_name", COUNTIF('Internal -- Trademark Countries'!D:D,AM718) &gt; 0, "polity_common_name", COUNTIF('Internal -- Trademark Countries'!E:E,AM718) &gt; 0, "shortest_name", COUNTIF('Internal -- Trademark Countries'!A:A,AM718) &gt; 0, "full_name", TRUE, "not a match")</f>
        <v>#NAME?</v>
      </c>
      <c r="EG718" s="30"/>
      <c r="EH718" s="30"/>
      <c r="EI718" s="30"/>
      <c r="EJ718" s="30"/>
      <c r="EK718" s="30" t="str">
        <f t="shared" si="4"/>
        <v/>
      </c>
    </row>
    <row r="719" spans="1:141" ht="16.5">
      <c r="A719" s="11"/>
      <c r="B719" s="11"/>
      <c r="C719" s="11"/>
      <c r="D719" s="11"/>
      <c r="E719" s="11"/>
      <c r="F719" s="11"/>
      <c r="G719" s="11"/>
      <c r="H719" s="11"/>
      <c r="I719" s="11"/>
      <c r="J719" s="11"/>
      <c r="K719" s="27"/>
      <c r="L719" s="11"/>
      <c r="M719" s="11"/>
      <c r="N719" s="11"/>
      <c r="O719" s="11"/>
      <c r="P719" s="15"/>
      <c r="Q719" s="15"/>
      <c r="R719" s="15"/>
      <c r="S719" s="15"/>
      <c r="T719" s="15"/>
      <c r="U719" s="15"/>
      <c r="V719" s="15"/>
      <c r="W719" s="47"/>
      <c r="X719" s="11"/>
      <c r="Y719" s="48"/>
      <c r="Z719" s="11"/>
      <c r="AA719" s="48"/>
      <c r="AB719" s="11"/>
      <c r="AC719" s="48"/>
      <c r="AD719" s="11"/>
      <c r="AE719" s="47"/>
      <c r="AF719" s="11"/>
      <c r="AG719" s="48"/>
      <c r="AH719" s="11"/>
      <c r="AI719" s="48"/>
      <c r="AJ719" s="11"/>
      <c r="AK719" s="48"/>
      <c r="AL719" s="11"/>
      <c r="AM719" s="49"/>
      <c r="AN719" s="49"/>
      <c r="AO719" s="11"/>
      <c r="AP719" s="11"/>
      <c r="AQ719" s="28" t="b">
        <f>IF(COUNTIF(SmartStatus!A$2:A1000, AM719) &gt; 2, TRUE, FALSE)</f>
        <v>0</v>
      </c>
      <c r="AR719" s="29" t="str">
        <f ca="1">IFERROR(__xludf.DUMMYFUNCTION("iferror(if(regexmatch(AO719, ""(?i)^registered""), if(EE719 &lt;&gt; ""polity_shortest_name"", ""CHECK_POLITY"", index(filter(SmartStatus!B$2:B1000, AM719 = SmartStatus!A$2:A1000, not(SmartStatus!C$2:C1000), (isblank(SmartStatus!D$2:D1000)) + ((P719 &lt;&gt; """") * "&amp;"(P719 &lt; SmartStatus!D$2:D1000)), (isblank(SmartStatus!E$2:E1000)) + ((P719 &lt;&gt; """") * (P719 &gt;= SmartStatus!E$2:E1000)), (isblank(SmartStatus!F$2:F1000)) + (((Q719 &lt;&gt; """") * (Q719 &lt; SmartStatus!F$2:F1000)) + ((P719 &lt;&gt; """") * (date(year(P719) + 3, month(P"&amp;"719), day(P719)) &lt; SmartStatus!F$2:F1000))), (isblank(SmartStatus!G$2:G1000)) + (((Q719 &lt;&gt; """") * (Q719 &gt;= SmartStatus!G$2:G1000)) + ((P719 &lt;&gt; """") * (P719 &gt;= SmartStatus!G$2:G1000)))), if(or(regexmatch(B719, ""(?i)^ir [a-z]+ designation$""), N719 &lt;&gt; """&amp;"""), 1, 2))), """"), ""NO_MATCH"")"),"")</f>
        <v/>
      </c>
      <c r="AS719" s="11"/>
      <c r="AT719" s="15"/>
      <c r="AU719" s="11"/>
      <c r="AV719" s="11"/>
      <c r="AW719" s="15"/>
      <c r="AX719" s="15"/>
      <c r="AY719" s="15"/>
      <c r="AZ719" s="11"/>
      <c r="BA719" s="15"/>
      <c r="BB719" s="11"/>
      <c r="BC719" s="11"/>
      <c r="BD719" s="15"/>
      <c r="BE719" s="11"/>
      <c r="BF719" s="11"/>
      <c r="BG719" s="15"/>
      <c r="BH719" s="15"/>
      <c r="BI719" s="15"/>
      <c r="BJ719" s="11"/>
      <c r="BK719" s="15"/>
      <c r="BL719" s="11"/>
      <c r="BM719" s="11"/>
      <c r="BN719" s="15"/>
      <c r="BO719" s="11"/>
      <c r="BP719" s="11"/>
      <c r="BQ719" s="15"/>
      <c r="BR719" s="15"/>
      <c r="BS719" s="15"/>
      <c r="BT719" s="11"/>
      <c r="BU719" s="15"/>
      <c r="BV719" s="11"/>
      <c r="BW719" s="11"/>
      <c r="BX719" s="15"/>
      <c r="BY719" s="11"/>
      <c r="BZ719" s="11"/>
      <c r="CA719" s="15"/>
      <c r="CB719" s="11"/>
      <c r="CC719" s="15"/>
      <c r="CD719" s="11"/>
      <c r="CE719" s="15"/>
      <c r="CF719" s="11"/>
      <c r="CG719" s="11"/>
      <c r="CH719" s="15"/>
      <c r="CI719" s="11"/>
      <c r="CJ719" s="11"/>
      <c r="CK719" s="15"/>
      <c r="CL719" s="11"/>
      <c r="CM719" s="11"/>
      <c r="CN719" s="11"/>
      <c r="CO719" s="11"/>
      <c r="CP719" s="28"/>
      <c r="CQ719" s="28"/>
      <c r="CR719" s="11"/>
      <c r="CS719" s="29"/>
      <c r="CT719" s="11"/>
      <c r="CU719" s="11"/>
      <c r="CV719" s="11"/>
      <c r="CW719" s="11"/>
      <c r="CX719" s="11"/>
      <c r="CY719" s="11"/>
      <c r="CZ719" s="11"/>
      <c r="DA719" s="28"/>
      <c r="DB719" s="28"/>
      <c r="DC719" s="11"/>
      <c r="DD719" s="29"/>
      <c r="DE719" s="11"/>
      <c r="DF719" s="11"/>
      <c r="DG719" s="11"/>
      <c r="DH719" s="11"/>
      <c r="DI719" s="11"/>
      <c r="DJ719" s="11"/>
      <c r="DK719" s="26"/>
      <c r="DL719" s="11"/>
      <c r="DM719" s="29"/>
      <c r="DN719" s="28"/>
      <c r="DO719" s="11"/>
      <c r="DP719" s="11"/>
      <c r="DQ719" s="11"/>
      <c r="DR719" s="29"/>
      <c r="DS719" s="28"/>
      <c r="DT719" s="11"/>
      <c r="DU719" s="26"/>
      <c r="DV719" s="11"/>
      <c r="DW719" s="29"/>
      <c r="DX719" s="28"/>
      <c r="DY719" s="11"/>
      <c r="DZ719" s="26"/>
      <c r="EA719" s="11"/>
      <c r="EB719" s="29"/>
      <c r="EC719" s="28"/>
      <c r="ED719" s="30"/>
      <c r="EE719" s="30" t="str">
        <f ca="1">IFERROR(__xludf.DUMMYFUNCTION("iferror(index(filter('Internal -- Trademark Countries'!E$2:E1000, (AM719 = 'Internal -- Trademark Countries'!B$2:B1000) + (AM719 = 'Internal -- Trademark Countries'!C$2:C1000) + (AM719 = 'Internal -- Trademark Countries'!D$2:D1000)), 1))"),"")</f>
        <v/>
      </c>
      <c r="EF719" s="30" t="e">
        <f ca="1">_xludf.ifs(AM719="", "", COUNTIF('Internal -- Trademark Countries'!B:B,AM719) &gt; 0, "polity_shortest_name", COUNTIF('Internal -- Trademark Countries'!C:C,AM719) &gt; 0, "polity_full_name", COUNTIF('Internal -- Trademark Countries'!D:D,AM719) &gt; 0, "polity_common_name", COUNTIF('Internal -- Trademark Countries'!E:E,AM719) &gt; 0, "shortest_name", COUNTIF('Internal -- Trademark Countries'!A:A,AM719) &gt; 0, "full_name", TRUE, "not a match")</f>
        <v>#NAME?</v>
      </c>
      <c r="EG719" s="30"/>
      <c r="EH719" s="30"/>
      <c r="EI719" s="30"/>
      <c r="EJ719" s="30"/>
      <c r="EK719" s="30" t="str">
        <f t="shared" si="4"/>
        <v/>
      </c>
    </row>
    <row r="720" spans="1:141" ht="16.5">
      <c r="A720" s="11"/>
      <c r="B720" s="11"/>
      <c r="C720" s="11"/>
      <c r="D720" s="11"/>
      <c r="E720" s="11"/>
      <c r="F720" s="11"/>
      <c r="G720" s="11"/>
      <c r="H720" s="11"/>
      <c r="I720" s="11"/>
      <c r="J720" s="11"/>
      <c r="K720" s="27"/>
      <c r="L720" s="11"/>
      <c r="M720" s="11"/>
      <c r="N720" s="11"/>
      <c r="O720" s="11"/>
      <c r="P720" s="15"/>
      <c r="Q720" s="15"/>
      <c r="R720" s="15"/>
      <c r="S720" s="15"/>
      <c r="T720" s="15"/>
      <c r="U720" s="15"/>
      <c r="V720" s="15"/>
      <c r="W720" s="47"/>
      <c r="X720" s="11"/>
      <c r="Y720" s="48"/>
      <c r="Z720" s="11"/>
      <c r="AA720" s="48"/>
      <c r="AB720" s="11"/>
      <c r="AC720" s="48"/>
      <c r="AD720" s="11"/>
      <c r="AE720" s="47"/>
      <c r="AF720" s="11"/>
      <c r="AG720" s="48"/>
      <c r="AH720" s="11"/>
      <c r="AI720" s="48"/>
      <c r="AJ720" s="11"/>
      <c r="AK720" s="48"/>
      <c r="AL720" s="11"/>
      <c r="AM720" s="49"/>
      <c r="AN720" s="49"/>
      <c r="AO720" s="11"/>
      <c r="AP720" s="11"/>
      <c r="AQ720" s="28" t="b">
        <f>IF(COUNTIF(SmartStatus!A$2:A1000, AM720) &gt; 2, TRUE, FALSE)</f>
        <v>0</v>
      </c>
      <c r="AR720" s="29" t="str">
        <f ca="1">IFERROR(__xludf.DUMMYFUNCTION("iferror(if(regexmatch(AO720, ""(?i)^registered""), if(EE720 &lt;&gt; ""polity_shortest_name"", ""CHECK_POLITY"", index(filter(SmartStatus!B$2:B1000, AM720 = SmartStatus!A$2:A1000, not(SmartStatus!C$2:C1000), (isblank(SmartStatus!D$2:D1000)) + ((P720 &lt;&gt; """") * "&amp;"(P720 &lt; SmartStatus!D$2:D1000)), (isblank(SmartStatus!E$2:E1000)) + ((P720 &lt;&gt; """") * (P720 &gt;= SmartStatus!E$2:E1000)), (isblank(SmartStatus!F$2:F1000)) + (((Q720 &lt;&gt; """") * (Q720 &lt; SmartStatus!F$2:F1000)) + ((P720 &lt;&gt; """") * (date(year(P720) + 3, month(P"&amp;"720), day(P720)) &lt; SmartStatus!F$2:F1000))), (isblank(SmartStatus!G$2:G1000)) + (((Q720 &lt;&gt; """") * (Q720 &gt;= SmartStatus!G$2:G1000)) + ((P720 &lt;&gt; """") * (P720 &gt;= SmartStatus!G$2:G1000)))), if(or(regexmatch(B720, ""(?i)^ir [a-z]+ designation$""), N720 &lt;&gt; """&amp;"""), 1, 2))), """"), ""NO_MATCH"")"),"")</f>
        <v/>
      </c>
      <c r="AS720" s="11"/>
      <c r="AT720" s="15"/>
      <c r="AU720" s="11"/>
      <c r="AV720" s="11"/>
      <c r="AW720" s="15"/>
      <c r="AX720" s="15"/>
      <c r="AY720" s="15"/>
      <c r="AZ720" s="11"/>
      <c r="BA720" s="15"/>
      <c r="BB720" s="11"/>
      <c r="BC720" s="11"/>
      <c r="BD720" s="15"/>
      <c r="BE720" s="11"/>
      <c r="BF720" s="11"/>
      <c r="BG720" s="15"/>
      <c r="BH720" s="15"/>
      <c r="BI720" s="15"/>
      <c r="BJ720" s="11"/>
      <c r="BK720" s="15"/>
      <c r="BL720" s="11"/>
      <c r="BM720" s="11"/>
      <c r="BN720" s="15"/>
      <c r="BO720" s="11"/>
      <c r="BP720" s="11"/>
      <c r="BQ720" s="15"/>
      <c r="BR720" s="15"/>
      <c r="BS720" s="15"/>
      <c r="BT720" s="11"/>
      <c r="BU720" s="15"/>
      <c r="BV720" s="11"/>
      <c r="BW720" s="11"/>
      <c r="BX720" s="15"/>
      <c r="BY720" s="11"/>
      <c r="BZ720" s="11"/>
      <c r="CA720" s="15"/>
      <c r="CB720" s="11"/>
      <c r="CC720" s="15"/>
      <c r="CD720" s="11"/>
      <c r="CE720" s="15"/>
      <c r="CF720" s="11"/>
      <c r="CG720" s="11"/>
      <c r="CH720" s="15"/>
      <c r="CI720" s="11"/>
      <c r="CJ720" s="11"/>
      <c r="CK720" s="15"/>
      <c r="CL720" s="11"/>
      <c r="CM720" s="11"/>
      <c r="CN720" s="11"/>
      <c r="CO720" s="11"/>
      <c r="CP720" s="28"/>
      <c r="CQ720" s="28"/>
      <c r="CR720" s="11"/>
      <c r="CS720" s="29"/>
      <c r="CT720" s="11"/>
      <c r="CU720" s="11"/>
      <c r="CV720" s="11"/>
      <c r="CW720" s="11"/>
      <c r="CX720" s="11"/>
      <c r="CY720" s="11"/>
      <c r="CZ720" s="11"/>
      <c r="DA720" s="28"/>
      <c r="DB720" s="28"/>
      <c r="DC720" s="11"/>
      <c r="DD720" s="29"/>
      <c r="DE720" s="11"/>
      <c r="DF720" s="11"/>
      <c r="DG720" s="11"/>
      <c r="DH720" s="11"/>
      <c r="DI720" s="11"/>
      <c r="DJ720" s="11"/>
      <c r="DK720" s="26"/>
      <c r="DL720" s="11"/>
      <c r="DM720" s="29"/>
      <c r="DN720" s="28"/>
      <c r="DO720" s="11"/>
      <c r="DP720" s="11"/>
      <c r="DQ720" s="11"/>
      <c r="DR720" s="29"/>
      <c r="DS720" s="28"/>
      <c r="DT720" s="11"/>
      <c r="DU720" s="26"/>
      <c r="DV720" s="11"/>
      <c r="DW720" s="29"/>
      <c r="DX720" s="28"/>
      <c r="DY720" s="11"/>
      <c r="DZ720" s="26"/>
      <c r="EA720" s="11"/>
      <c r="EB720" s="29"/>
      <c r="EC720" s="28"/>
      <c r="ED720" s="30"/>
      <c r="EE720" s="30" t="str">
        <f ca="1">IFERROR(__xludf.DUMMYFUNCTION("iferror(index(filter('Internal -- Trademark Countries'!E$2:E1000, (AM720 = 'Internal -- Trademark Countries'!B$2:B1000) + (AM720 = 'Internal -- Trademark Countries'!C$2:C1000) + (AM720 = 'Internal -- Trademark Countries'!D$2:D1000)), 1))"),"")</f>
        <v/>
      </c>
      <c r="EF720" s="30" t="e">
        <f ca="1">_xludf.ifs(AM720="", "", COUNTIF('Internal -- Trademark Countries'!B:B,AM720) &gt; 0, "polity_shortest_name", COUNTIF('Internal -- Trademark Countries'!C:C,AM720) &gt; 0, "polity_full_name", COUNTIF('Internal -- Trademark Countries'!D:D,AM720) &gt; 0, "polity_common_name", COUNTIF('Internal -- Trademark Countries'!E:E,AM720) &gt; 0, "shortest_name", COUNTIF('Internal -- Trademark Countries'!A:A,AM720) &gt; 0, "full_name", TRUE, "not a match")</f>
        <v>#NAME?</v>
      </c>
      <c r="EG720" s="30"/>
      <c r="EH720" s="30"/>
      <c r="EI720" s="30"/>
      <c r="EJ720" s="30"/>
      <c r="EK720" s="30" t="str">
        <f t="shared" si="4"/>
        <v/>
      </c>
    </row>
    <row r="721" spans="1:141" ht="16.5">
      <c r="A721" s="11"/>
      <c r="B721" s="11"/>
      <c r="C721" s="11"/>
      <c r="D721" s="11"/>
      <c r="E721" s="11"/>
      <c r="F721" s="11"/>
      <c r="G721" s="11"/>
      <c r="H721" s="11"/>
      <c r="I721" s="11"/>
      <c r="J721" s="11"/>
      <c r="K721" s="27"/>
      <c r="L721" s="11"/>
      <c r="M721" s="11"/>
      <c r="N721" s="11"/>
      <c r="O721" s="11"/>
      <c r="P721" s="15"/>
      <c r="Q721" s="15"/>
      <c r="R721" s="15"/>
      <c r="S721" s="15"/>
      <c r="T721" s="15"/>
      <c r="U721" s="15"/>
      <c r="V721" s="15"/>
      <c r="W721" s="47"/>
      <c r="X721" s="11"/>
      <c r="Y721" s="48"/>
      <c r="Z721" s="11"/>
      <c r="AA721" s="48"/>
      <c r="AB721" s="11"/>
      <c r="AC721" s="48"/>
      <c r="AD721" s="11"/>
      <c r="AE721" s="47"/>
      <c r="AF721" s="11"/>
      <c r="AG721" s="48"/>
      <c r="AH721" s="11"/>
      <c r="AI721" s="48"/>
      <c r="AJ721" s="11"/>
      <c r="AK721" s="48"/>
      <c r="AL721" s="11"/>
      <c r="AM721" s="49"/>
      <c r="AN721" s="49"/>
      <c r="AO721" s="11"/>
      <c r="AP721" s="11"/>
      <c r="AQ721" s="28" t="b">
        <f>IF(COUNTIF(SmartStatus!A$2:A1000, AM721) &gt; 2, TRUE, FALSE)</f>
        <v>0</v>
      </c>
      <c r="AR721" s="29" t="str">
        <f ca="1">IFERROR(__xludf.DUMMYFUNCTION("iferror(if(regexmatch(AO721, ""(?i)^registered""), if(EE721 &lt;&gt; ""polity_shortest_name"", ""CHECK_POLITY"", index(filter(SmartStatus!B$2:B1000, AM721 = SmartStatus!A$2:A1000, not(SmartStatus!C$2:C1000), (isblank(SmartStatus!D$2:D1000)) + ((P721 &lt;&gt; """") * "&amp;"(P721 &lt; SmartStatus!D$2:D1000)), (isblank(SmartStatus!E$2:E1000)) + ((P721 &lt;&gt; """") * (P721 &gt;= SmartStatus!E$2:E1000)), (isblank(SmartStatus!F$2:F1000)) + (((Q721 &lt;&gt; """") * (Q721 &lt; SmartStatus!F$2:F1000)) + ((P721 &lt;&gt; """") * (date(year(P721) + 3, month(P"&amp;"721), day(P721)) &lt; SmartStatus!F$2:F1000))), (isblank(SmartStatus!G$2:G1000)) + (((Q721 &lt;&gt; """") * (Q721 &gt;= SmartStatus!G$2:G1000)) + ((P721 &lt;&gt; """") * (P721 &gt;= SmartStatus!G$2:G1000)))), if(or(regexmatch(B721, ""(?i)^ir [a-z]+ designation$""), N721 &lt;&gt; """&amp;"""), 1, 2))), """"), ""NO_MATCH"")"),"")</f>
        <v/>
      </c>
      <c r="AS721" s="11"/>
      <c r="AT721" s="15"/>
      <c r="AU721" s="11"/>
      <c r="AV721" s="11"/>
      <c r="AW721" s="15"/>
      <c r="AX721" s="15"/>
      <c r="AY721" s="15"/>
      <c r="AZ721" s="11"/>
      <c r="BA721" s="15"/>
      <c r="BB721" s="11"/>
      <c r="BC721" s="11"/>
      <c r="BD721" s="15"/>
      <c r="BE721" s="11"/>
      <c r="BF721" s="11"/>
      <c r="BG721" s="15"/>
      <c r="BH721" s="15"/>
      <c r="BI721" s="15"/>
      <c r="BJ721" s="11"/>
      <c r="BK721" s="15"/>
      <c r="BL721" s="11"/>
      <c r="BM721" s="11"/>
      <c r="BN721" s="15"/>
      <c r="BO721" s="11"/>
      <c r="BP721" s="11"/>
      <c r="BQ721" s="15"/>
      <c r="BR721" s="15"/>
      <c r="BS721" s="15"/>
      <c r="BT721" s="11"/>
      <c r="BU721" s="15"/>
      <c r="BV721" s="11"/>
      <c r="BW721" s="11"/>
      <c r="BX721" s="15"/>
      <c r="BY721" s="11"/>
      <c r="BZ721" s="11"/>
      <c r="CA721" s="15"/>
      <c r="CB721" s="11"/>
      <c r="CC721" s="15"/>
      <c r="CD721" s="11"/>
      <c r="CE721" s="15"/>
      <c r="CF721" s="11"/>
      <c r="CG721" s="11"/>
      <c r="CH721" s="15"/>
      <c r="CI721" s="11"/>
      <c r="CJ721" s="11"/>
      <c r="CK721" s="15"/>
      <c r="CL721" s="11"/>
      <c r="CM721" s="11"/>
      <c r="CN721" s="11"/>
      <c r="CO721" s="11"/>
      <c r="CP721" s="28"/>
      <c r="CQ721" s="28"/>
      <c r="CR721" s="11"/>
      <c r="CS721" s="29"/>
      <c r="CT721" s="11"/>
      <c r="CU721" s="11"/>
      <c r="CV721" s="11"/>
      <c r="CW721" s="11"/>
      <c r="CX721" s="11"/>
      <c r="CY721" s="11"/>
      <c r="CZ721" s="11"/>
      <c r="DA721" s="28"/>
      <c r="DB721" s="28"/>
      <c r="DC721" s="11"/>
      <c r="DD721" s="29"/>
      <c r="DE721" s="11"/>
      <c r="DF721" s="11"/>
      <c r="DG721" s="11"/>
      <c r="DH721" s="11"/>
      <c r="DI721" s="11"/>
      <c r="DJ721" s="11"/>
      <c r="DK721" s="26"/>
      <c r="DL721" s="11"/>
      <c r="DM721" s="29"/>
      <c r="DN721" s="28"/>
      <c r="DO721" s="11"/>
      <c r="DP721" s="11"/>
      <c r="DQ721" s="11"/>
      <c r="DR721" s="29"/>
      <c r="DS721" s="28"/>
      <c r="DT721" s="11"/>
      <c r="DU721" s="26"/>
      <c r="DV721" s="11"/>
      <c r="DW721" s="29"/>
      <c r="DX721" s="28"/>
      <c r="DY721" s="11"/>
      <c r="DZ721" s="26"/>
      <c r="EA721" s="11"/>
      <c r="EB721" s="29"/>
      <c r="EC721" s="28"/>
      <c r="ED721" s="30"/>
      <c r="EE721" s="30" t="str">
        <f ca="1">IFERROR(__xludf.DUMMYFUNCTION("iferror(index(filter('Internal -- Trademark Countries'!E$2:E1000, (AM721 = 'Internal -- Trademark Countries'!B$2:B1000) + (AM721 = 'Internal -- Trademark Countries'!C$2:C1000) + (AM721 = 'Internal -- Trademark Countries'!D$2:D1000)), 1))"),"")</f>
        <v/>
      </c>
      <c r="EF721" s="30" t="e">
        <f ca="1">_xludf.ifs(AM721="", "", COUNTIF('Internal -- Trademark Countries'!B:B,AM721) &gt; 0, "polity_shortest_name", COUNTIF('Internal -- Trademark Countries'!C:C,AM721) &gt; 0, "polity_full_name", COUNTIF('Internal -- Trademark Countries'!D:D,AM721) &gt; 0, "polity_common_name", COUNTIF('Internal -- Trademark Countries'!E:E,AM721) &gt; 0, "shortest_name", COUNTIF('Internal -- Trademark Countries'!A:A,AM721) &gt; 0, "full_name", TRUE, "not a match")</f>
        <v>#NAME?</v>
      </c>
      <c r="EG721" s="30"/>
      <c r="EH721" s="30"/>
      <c r="EI721" s="30"/>
      <c r="EJ721" s="30"/>
      <c r="EK721" s="30" t="str">
        <f t="shared" si="4"/>
        <v/>
      </c>
    </row>
    <row r="722" spans="1:141" ht="16.5">
      <c r="A722" s="11"/>
      <c r="B722" s="11"/>
      <c r="C722" s="11"/>
      <c r="D722" s="11"/>
      <c r="E722" s="11"/>
      <c r="F722" s="11"/>
      <c r="G722" s="11"/>
      <c r="H722" s="11"/>
      <c r="I722" s="11"/>
      <c r="J722" s="11"/>
      <c r="K722" s="27"/>
      <c r="L722" s="11"/>
      <c r="M722" s="11"/>
      <c r="N722" s="11"/>
      <c r="O722" s="11"/>
      <c r="P722" s="15"/>
      <c r="Q722" s="15"/>
      <c r="R722" s="15"/>
      <c r="S722" s="15"/>
      <c r="T722" s="15"/>
      <c r="U722" s="15"/>
      <c r="V722" s="15"/>
      <c r="W722" s="47"/>
      <c r="X722" s="11"/>
      <c r="Y722" s="48"/>
      <c r="Z722" s="11"/>
      <c r="AA722" s="48"/>
      <c r="AB722" s="11"/>
      <c r="AC722" s="48"/>
      <c r="AD722" s="11"/>
      <c r="AE722" s="47"/>
      <c r="AF722" s="11"/>
      <c r="AG722" s="48"/>
      <c r="AH722" s="11"/>
      <c r="AI722" s="48"/>
      <c r="AJ722" s="11"/>
      <c r="AK722" s="48"/>
      <c r="AL722" s="11"/>
      <c r="AM722" s="49"/>
      <c r="AN722" s="49"/>
      <c r="AO722" s="11"/>
      <c r="AP722" s="11"/>
      <c r="AQ722" s="28" t="b">
        <f>IF(COUNTIF(SmartStatus!A$2:A1000, AM722) &gt; 2, TRUE, FALSE)</f>
        <v>0</v>
      </c>
      <c r="AR722" s="29" t="str">
        <f ca="1">IFERROR(__xludf.DUMMYFUNCTION("iferror(if(regexmatch(AO722, ""(?i)^registered""), if(EE722 &lt;&gt; ""polity_shortest_name"", ""CHECK_POLITY"", index(filter(SmartStatus!B$2:B1000, AM722 = SmartStatus!A$2:A1000, not(SmartStatus!C$2:C1000), (isblank(SmartStatus!D$2:D1000)) + ((P722 &lt;&gt; """") * "&amp;"(P722 &lt; SmartStatus!D$2:D1000)), (isblank(SmartStatus!E$2:E1000)) + ((P722 &lt;&gt; """") * (P722 &gt;= SmartStatus!E$2:E1000)), (isblank(SmartStatus!F$2:F1000)) + (((Q722 &lt;&gt; """") * (Q722 &lt; SmartStatus!F$2:F1000)) + ((P722 &lt;&gt; """") * (date(year(P722) + 3, month(P"&amp;"722), day(P722)) &lt; SmartStatus!F$2:F1000))), (isblank(SmartStatus!G$2:G1000)) + (((Q722 &lt;&gt; """") * (Q722 &gt;= SmartStatus!G$2:G1000)) + ((P722 &lt;&gt; """") * (P722 &gt;= SmartStatus!G$2:G1000)))), if(or(regexmatch(B722, ""(?i)^ir [a-z]+ designation$""), N722 &lt;&gt; """&amp;"""), 1, 2))), """"), ""NO_MATCH"")"),"")</f>
        <v/>
      </c>
      <c r="AS722" s="11"/>
      <c r="AT722" s="15"/>
      <c r="AU722" s="11"/>
      <c r="AV722" s="11"/>
      <c r="AW722" s="15"/>
      <c r="AX722" s="15"/>
      <c r="AY722" s="15"/>
      <c r="AZ722" s="11"/>
      <c r="BA722" s="15"/>
      <c r="BB722" s="11"/>
      <c r="BC722" s="11"/>
      <c r="BD722" s="15"/>
      <c r="BE722" s="11"/>
      <c r="BF722" s="11"/>
      <c r="BG722" s="15"/>
      <c r="BH722" s="15"/>
      <c r="BI722" s="15"/>
      <c r="BJ722" s="11"/>
      <c r="BK722" s="15"/>
      <c r="BL722" s="11"/>
      <c r="BM722" s="11"/>
      <c r="BN722" s="15"/>
      <c r="BO722" s="11"/>
      <c r="BP722" s="11"/>
      <c r="BQ722" s="15"/>
      <c r="BR722" s="15"/>
      <c r="BS722" s="15"/>
      <c r="BT722" s="11"/>
      <c r="BU722" s="15"/>
      <c r="BV722" s="11"/>
      <c r="BW722" s="11"/>
      <c r="BX722" s="15"/>
      <c r="BY722" s="11"/>
      <c r="BZ722" s="11"/>
      <c r="CA722" s="15"/>
      <c r="CB722" s="11"/>
      <c r="CC722" s="15"/>
      <c r="CD722" s="11"/>
      <c r="CE722" s="15"/>
      <c r="CF722" s="11"/>
      <c r="CG722" s="11"/>
      <c r="CH722" s="15"/>
      <c r="CI722" s="11"/>
      <c r="CJ722" s="11"/>
      <c r="CK722" s="15"/>
      <c r="CL722" s="11"/>
      <c r="CM722" s="11"/>
      <c r="CN722" s="11"/>
      <c r="CO722" s="11"/>
      <c r="CP722" s="28"/>
      <c r="CQ722" s="28"/>
      <c r="CR722" s="11"/>
      <c r="CS722" s="29"/>
      <c r="CT722" s="11"/>
      <c r="CU722" s="11"/>
      <c r="CV722" s="11"/>
      <c r="CW722" s="11"/>
      <c r="CX722" s="11"/>
      <c r="CY722" s="11"/>
      <c r="CZ722" s="11"/>
      <c r="DA722" s="28"/>
      <c r="DB722" s="28"/>
      <c r="DC722" s="11"/>
      <c r="DD722" s="29"/>
      <c r="DE722" s="11"/>
      <c r="DF722" s="11"/>
      <c r="DG722" s="11"/>
      <c r="DH722" s="11"/>
      <c r="DI722" s="11"/>
      <c r="DJ722" s="11"/>
      <c r="DK722" s="26"/>
      <c r="DL722" s="11"/>
      <c r="DM722" s="29"/>
      <c r="DN722" s="28"/>
      <c r="DO722" s="11"/>
      <c r="DP722" s="11"/>
      <c r="DQ722" s="11"/>
      <c r="DR722" s="29"/>
      <c r="DS722" s="28"/>
      <c r="DT722" s="11"/>
      <c r="DU722" s="26"/>
      <c r="DV722" s="11"/>
      <c r="DW722" s="29"/>
      <c r="DX722" s="28"/>
      <c r="DY722" s="11"/>
      <c r="DZ722" s="26"/>
      <c r="EA722" s="11"/>
      <c r="EB722" s="29"/>
      <c r="EC722" s="28"/>
      <c r="ED722" s="30"/>
      <c r="EE722" s="30" t="str">
        <f ca="1">IFERROR(__xludf.DUMMYFUNCTION("iferror(index(filter('Internal -- Trademark Countries'!E$2:E1000, (AM722 = 'Internal -- Trademark Countries'!B$2:B1000) + (AM722 = 'Internal -- Trademark Countries'!C$2:C1000) + (AM722 = 'Internal -- Trademark Countries'!D$2:D1000)), 1))"),"")</f>
        <v/>
      </c>
      <c r="EF722" s="30" t="e">
        <f ca="1">_xludf.ifs(AM722="", "", COUNTIF('Internal -- Trademark Countries'!B:B,AM722) &gt; 0, "polity_shortest_name", COUNTIF('Internal -- Trademark Countries'!C:C,AM722) &gt; 0, "polity_full_name", COUNTIF('Internal -- Trademark Countries'!D:D,AM722) &gt; 0, "polity_common_name", COUNTIF('Internal -- Trademark Countries'!E:E,AM722) &gt; 0, "shortest_name", COUNTIF('Internal -- Trademark Countries'!A:A,AM722) &gt; 0, "full_name", TRUE, "not a match")</f>
        <v>#NAME?</v>
      </c>
      <c r="EG722" s="30"/>
      <c r="EH722" s="30"/>
      <c r="EI722" s="30"/>
      <c r="EJ722" s="30"/>
      <c r="EK722" s="30" t="str">
        <f t="shared" si="4"/>
        <v/>
      </c>
    </row>
    <row r="723" spans="1:141" ht="16.5">
      <c r="A723" s="11"/>
      <c r="B723" s="11"/>
      <c r="C723" s="11"/>
      <c r="D723" s="11"/>
      <c r="E723" s="11"/>
      <c r="F723" s="11"/>
      <c r="G723" s="11"/>
      <c r="H723" s="11"/>
      <c r="I723" s="11"/>
      <c r="J723" s="11"/>
      <c r="K723" s="27"/>
      <c r="L723" s="11"/>
      <c r="M723" s="11"/>
      <c r="N723" s="11"/>
      <c r="O723" s="11"/>
      <c r="P723" s="15"/>
      <c r="Q723" s="15"/>
      <c r="R723" s="15"/>
      <c r="S723" s="15"/>
      <c r="T723" s="15"/>
      <c r="U723" s="15"/>
      <c r="V723" s="15"/>
      <c r="W723" s="47"/>
      <c r="X723" s="11"/>
      <c r="Y723" s="48"/>
      <c r="Z723" s="11"/>
      <c r="AA723" s="48"/>
      <c r="AB723" s="11"/>
      <c r="AC723" s="48"/>
      <c r="AD723" s="11"/>
      <c r="AE723" s="47"/>
      <c r="AF723" s="11"/>
      <c r="AG723" s="48"/>
      <c r="AH723" s="11"/>
      <c r="AI723" s="48"/>
      <c r="AJ723" s="11"/>
      <c r="AK723" s="48"/>
      <c r="AL723" s="11"/>
      <c r="AM723" s="49"/>
      <c r="AN723" s="49"/>
      <c r="AO723" s="11"/>
      <c r="AP723" s="11"/>
      <c r="AQ723" s="28" t="b">
        <f>IF(COUNTIF(SmartStatus!A$2:A1000, AM723) &gt; 2, TRUE, FALSE)</f>
        <v>0</v>
      </c>
      <c r="AR723" s="29" t="str">
        <f ca="1">IFERROR(__xludf.DUMMYFUNCTION("iferror(if(regexmatch(AO723, ""(?i)^registered""), if(EE723 &lt;&gt; ""polity_shortest_name"", ""CHECK_POLITY"", index(filter(SmartStatus!B$2:B1000, AM723 = SmartStatus!A$2:A1000, not(SmartStatus!C$2:C1000), (isblank(SmartStatus!D$2:D1000)) + ((P723 &lt;&gt; """") * "&amp;"(P723 &lt; SmartStatus!D$2:D1000)), (isblank(SmartStatus!E$2:E1000)) + ((P723 &lt;&gt; """") * (P723 &gt;= SmartStatus!E$2:E1000)), (isblank(SmartStatus!F$2:F1000)) + (((Q723 &lt;&gt; """") * (Q723 &lt; SmartStatus!F$2:F1000)) + ((P723 &lt;&gt; """") * (date(year(P723) + 3, month(P"&amp;"723), day(P723)) &lt; SmartStatus!F$2:F1000))), (isblank(SmartStatus!G$2:G1000)) + (((Q723 &lt;&gt; """") * (Q723 &gt;= SmartStatus!G$2:G1000)) + ((P723 &lt;&gt; """") * (P723 &gt;= SmartStatus!G$2:G1000)))), if(or(regexmatch(B723, ""(?i)^ir [a-z]+ designation$""), N723 &lt;&gt; """&amp;"""), 1, 2))), """"), ""NO_MATCH"")"),"")</f>
        <v/>
      </c>
      <c r="AS723" s="11"/>
      <c r="AT723" s="15"/>
      <c r="AU723" s="11"/>
      <c r="AV723" s="11"/>
      <c r="AW723" s="15"/>
      <c r="AX723" s="15"/>
      <c r="AY723" s="15"/>
      <c r="AZ723" s="11"/>
      <c r="BA723" s="15"/>
      <c r="BB723" s="11"/>
      <c r="BC723" s="11"/>
      <c r="BD723" s="15"/>
      <c r="BE723" s="11"/>
      <c r="BF723" s="11"/>
      <c r="BG723" s="15"/>
      <c r="BH723" s="15"/>
      <c r="BI723" s="15"/>
      <c r="BJ723" s="11"/>
      <c r="BK723" s="15"/>
      <c r="BL723" s="11"/>
      <c r="BM723" s="11"/>
      <c r="BN723" s="15"/>
      <c r="BO723" s="11"/>
      <c r="BP723" s="11"/>
      <c r="BQ723" s="15"/>
      <c r="BR723" s="15"/>
      <c r="BS723" s="15"/>
      <c r="BT723" s="11"/>
      <c r="BU723" s="15"/>
      <c r="BV723" s="11"/>
      <c r="BW723" s="11"/>
      <c r="BX723" s="15"/>
      <c r="BY723" s="11"/>
      <c r="BZ723" s="11"/>
      <c r="CA723" s="15"/>
      <c r="CB723" s="11"/>
      <c r="CC723" s="15"/>
      <c r="CD723" s="11"/>
      <c r="CE723" s="15"/>
      <c r="CF723" s="11"/>
      <c r="CG723" s="11"/>
      <c r="CH723" s="15"/>
      <c r="CI723" s="11"/>
      <c r="CJ723" s="11"/>
      <c r="CK723" s="15"/>
      <c r="CL723" s="11"/>
      <c r="CM723" s="11"/>
      <c r="CN723" s="11"/>
      <c r="CO723" s="11"/>
      <c r="CP723" s="28"/>
      <c r="CQ723" s="28"/>
      <c r="CR723" s="11"/>
      <c r="CS723" s="29"/>
      <c r="CT723" s="11"/>
      <c r="CU723" s="11"/>
      <c r="CV723" s="11"/>
      <c r="CW723" s="11"/>
      <c r="CX723" s="11"/>
      <c r="CY723" s="11"/>
      <c r="CZ723" s="11"/>
      <c r="DA723" s="28"/>
      <c r="DB723" s="28"/>
      <c r="DC723" s="11"/>
      <c r="DD723" s="29"/>
      <c r="DE723" s="11"/>
      <c r="DF723" s="11"/>
      <c r="DG723" s="11"/>
      <c r="DH723" s="11"/>
      <c r="DI723" s="11"/>
      <c r="DJ723" s="11"/>
      <c r="DK723" s="26"/>
      <c r="DL723" s="11"/>
      <c r="DM723" s="29"/>
      <c r="DN723" s="28"/>
      <c r="DO723" s="11"/>
      <c r="DP723" s="11"/>
      <c r="DQ723" s="11"/>
      <c r="DR723" s="29"/>
      <c r="DS723" s="28"/>
      <c r="DT723" s="11"/>
      <c r="DU723" s="26"/>
      <c r="DV723" s="11"/>
      <c r="DW723" s="29"/>
      <c r="DX723" s="28"/>
      <c r="DY723" s="11"/>
      <c r="DZ723" s="26"/>
      <c r="EA723" s="11"/>
      <c r="EB723" s="29"/>
      <c r="EC723" s="28"/>
      <c r="ED723" s="30"/>
      <c r="EE723" s="30" t="str">
        <f ca="1">IFERROR(__xludf.DUMMYFUNCTION("iferror(index(filter('Internal -- Trademark Countries'!E$2:E1000, (AM723 = 'Internal -- Trademark Countries'!B$2:B1000) + (AM723 = 'Internal -- Trademark Countries'!C$2:C1000) + (AM723 = 'Internal -- Trademark Countries'!D$2:D1000)), 1))"),"")</f>
        <v/>
      </c>
      <c r="EF723" s="30" t="e">
        <f ca="1">_xludf.ifs(AM723="", "", COUNTIF('Internal -- Trademark Countries'!B:B,AM723) &gt; 0, "polity_shortest_name", COUNTIF('Internal -- Trademark Countries'!C:C,AM723) &gt; 0, "polity_full_name", COUNTIF('Internal -- Trademark Countries'!D:D,AM723) &gt; 0, "polity_common_name", COUNTIF('Internal -- Trademark Countries'!E:E,AM723) &gt; 0, "shortest_name", COUNTIF('Internal -- Trademark Countries'!A:A,AM723) &gt; 0, "full_name", TRUE, "not a match")</f>
        <v>#NAME?</v>
      </c>
      <c r="EG723" s="30"/>
      <c r="EH723" s="30"/>
      <c r="EI723" s="30"/>
      <c r="EJ723" s="30"/>
      <c r="EK723" s="30" t="str">
        <f t="shared" si="4"/>
        <v/>
      </c>
    </row>
    <row r="724" spans="1:141" ht="16.5">
      <c r="A724" s="11"/>
      <c r="B724" s="11"/>
      <c r="C724" s="11"/>
      <c r="D724" s="11"/>
      <c r="E724" s="11"/>
      <c r="F724" s="11"/>
      <c r="G724" s="11"/>
      <c r="H724" s="11"/>
      <c r="I724" s="11"/>
      <c r="J724" s="11"/>
      <c r="K724" s="27"/>
      <c r="L724" s="11"/>
      <c r="M724" s="11"/>
      <c r="N724" s="11"/>
      <c r="O724" s="11"/>
      <c r="P724" s="15"/>
      <c r="Q724" s="15"/>
      <c r="R724" s="15"/>
      <c r="S724" s="15"/>
      <c r="T724" s="15"/>
      <c r="U724" s="15"/>
      <c r="V724" s="15"/>
      <c r="W724" s="47"/>
      <c r="X724" s="11"/>
      <c r="Y724" s="48"/>
      <c r="Z724" s="11"/>
      <c r="AA724" s="48"/>
      <c r="AB724" s="11"/>
      <c r="AC724" s="48"/>
      <c r="AD724" s="11"/>
      <c r="AE724" s="47"/>
      <c r="AF724" s="11"/>
      <c r="AG724" s="48"/>
      <c r="AH724" s="11"/>
      <c r="AI724" s="48"/>
      <c r="AJ724" s="11"/>
      <c r="AK724" s="48"/>
      <c r="AL724" s="11"/>
      <c r="AM724" s="49"/>
      <c r="AN724" s="49"/>
      <c r="AO724" s="11"/>
      <c r="AP724" s="11"/>
      <c r="AQ724" s="28" t="b">
        <f>IF(COUNTIF(SmartStatus!A$2:A1000, AM724) &gt; 2, TRUE, FALSE)</f>
        <v>0</v>
      </c>
      <c r="AR724" s="29" t="str">
        <f ca="1">IFERROR(__xludf.DUMMYFUNCTION("iferror(if(regexmatch(AO724, ""(?i)^registered""), if(EE724 &lt;&gt; ""polity_shortest_name"", ""CHECK_POLITY"", index(filter(SmartStatus!B$2:B1000, AM724 = SmartStatus!A$2:A1000, not(SmartStatus!C$2:C1000), (isblank(SmartStatus!D$2:D1000)) + ((P724 &lt;&gt; """") * "&amp;"(P724 &lt; SmartStatus!D$2:D1000)), (isblank(SmartStatus!E$2:E1000)) + ((P724 &lt;&gt; """") * (P724 &gt;= SmartStatus!E$2:E1000)), (isblank(SmartStatus!F$2:F1000)) + (((Q724 &lt;&gt; """") * (Q724 &lt; SmartStatus!F$2:F1000)) + ((P724 &lt;&gt; """") * (date(year(P724) + 3, month(P"&amp;"724), day(P724)) &lt; SmartStatus!F$2:F1000))), (isblank(SmartStatus!G$2:G1000)) + (((Q724 &lt;&gt; """") * (Q724 &gt;= SmartStatus!G$2:G1000)) + ((P724 &lt;&gt; """") * (P724 &gt;= SmartStatus!G$2:G1000)))), if(or(regexmatch(B724, ""(?i)^ir [a-z]+ designation$""), N724 &lt;&gt; """&amp;"""), 1, 2))), """"), ""NO_MATCH"")"),"")</f>
        <v/>
      </c>
      <c r="AS724" s="11"/>
      <c r="AT724" s="15"/>
      <c r="AU724" s="11"/>
      <c r="AV724" s="11"/>
      <c r="AW724" s="15"/>
      <c r="AX724" s="15"/>
      <c r="AY724" s="15"/>
      <c r="AZ724" s="11"/>
      <c r="BA724" s="15"/>
      <c r="BB724" s="11"/>
      <c r="BC724" s="11"/>
      <c r="BD724" s="15"/>
      <c r="BE724" s="11"/>
      <c r="BF724" s="11"/>
      <c r="BG724" s="15"/>
      <c r="BH724" s="15"/>
      <c r="BI724" s="15"/>
      <c r="BJ724" s="11"/>
      <c r="BK724" s="15"/>
      <c r="BL724" s="11"/>
      <c r="BM724" s="11"/>
      <c r="BN724" s="15"/>
      <c r="BO724" s="11"/>
      <c r="BP724" s="11"/>
      <c r="BQ724" s="15"/>
      <c r="BR724" s="15"/>
      <c r="BS724" s="15"/>
      <c r="BT724" s="11"/>
      <c r="BU724" s="15"/>
      <c r="BV724" s="11"/>
      <c r="BW724" s="11"/>
      <c r="BX724" s="15"/>
      <c r="BY724" s="11"/>
      <c r="BZ724" s="11"/>
      <c r="CA724" s="15"/>
      <c r="CB724" s="11"/>
      <c r="CC724" s="15"/>
      <c r="CD724" s="11"/>
      <c r="CE724" s="15"/>
      <c r="CF724" s="11"/>
      <c r="CG724" s="11"/>
      <c r="CH724" s="15"/>
      <c r="CI724" s="11"/>
      <c r="CJ724" s="11"/>
      <c r="CK724" s="15"/>
      <c r="CL724" s="11"/>
      <c r="CM724" s="11"/>
      <c r="CN724" s="11"/>
      <c r="CO724" s="11"/>
      <c r="CP724" s="28"/>
      <c r="CQ724" s="28"/>
      <c r="CR724" s="11"/>
      <c r="CS724" s="29"/>
      <c r="CT724" s="11"/>
      <c r="CU724" s="11"/>
      <c r="CV724" s="11"/>
      <c r="CW724" s="11"/>
      <c r="CX724" s="11"/>
      <c r="CY724" s="11"/>
      <c r="CZ724" s="11"/>
      <c r="DA724" s="28"/>
      <c r="DB724" s="28"/>
      <c r="DC724" s="11"/>
      <c r="DD724" s="29"/>
      <c r="DE724" s="11"/>
      <c r="DF724" s="11"/>
      <c r="DG724" s="11"/>
      <c r="DH724" s="11"/>
      <c r="DI724" s="11"/>
      <c r="DJ724" s="11"/>
      <c r="DK724" s="26"/>
      <c r="DL724" s="11"/>
      <c r="DM724" s="29"/>
      <c r="DN724" s="28"/>
      <c r="DO724" s="11"/>
      <c r="DP724" s="11"/>
      <c r="DQ724" s="11"/>
      <c r="DR724" s="29"/>
      <c r="DS724" s="28"/>
      <c r="DT724" s="11"/>
      <c r="DU724" s="26"/>
      <c r="DV724" s="11"/>
      <c r="DW724" s="29"/>
      <c r="DX724" s="28"/>
      <c r="DY724" s="11"/>
      <c r="DZ724" s="26"/>
      <c r="EA724" s="11"/>
      <c r="EB724" s="29"/>
      <c r="EC724" s="28"/>
      <c r="ED724" s="30"/>
      <c r="EE724" s="30" t="str">
        <f ca="1">IFERROR(__xludf.DUMMYFUNCTION("iferror(index(filter('Internal -- Trademark Countries'!E$2:E1000, (AM724 = 'Internal -- Trademark Countries'!B$2:B1000) + (AM724 = 'Internal -- Trademark Countries'!C$2:C1000) + (AM724 = 'Internal -- Trademark Countries'!D$2:D1000)), 1))"),"")</f>
        <v/>
      </c>
      <c r="EF724" s="30" t="e">
        <f ca="1">_xludf.ifs(AM724="", "", COUNTIF('Internal -- Trademark Countries'!B:B,AM724) &gt; 0, "polity_shortest_name", COUNTIF('Internal -- Trademark Countries'!C:C,AM724) &gt; 0, "polity_full_name", COUNTIF('Internal -- Trademark Countries'!D:D,AM724) &gt; 0, "polity_common_name", COUNTIF('Internal -- Trademark Countries'!E:E,AM724) &gt; 0, "shortest_name", COUNTIF('Internal -- Trademark Countries'!A:A,AM724) &gt; 0, "full_name", TRUE, "not a match")</f>
        <v>#NAME?</v>
      </c>
      <c r="EG724" s="30"/>
      <c r="EH724" s="30"/>
      <c r="EI724" s="30"/>
      <c r="EJ724" s="30"/>
      <c r="EK724" s="30" t="str">
        <f t="shared" si="4"/>
        <v/>
      </c>
    </row>
    <row r="725" spans="1:141" ht="16.5">
      <c r="A725" s="11"/>
      <c r="B725" s="11"/>
      <c r="C725" s="11"/>
      <c r="D725" s="11"/>
      <c r="E725" s="11"/>
      <c r="F725" s="11"/>
      <c r="G725" s="11"/>
      <c r="H725" s="11"/>
      <c r="I725" s="11"/>
      <c r="J725" s="11"/>
      <c r="K725" s="27"/>
      <c r="L725" s="11"/>
      <c r="M725" s="11"/>
      <c r="N725" s="11"/>
      <c r="O725" s="11"/>
      <c r="P725" s="15"/>
      <c r="Q725" s="15"/>
      <c r="R725" s="15"/>
      <c r="S725" s="15"/>
      <c r="T725" s="15"/>
      <c r="U725" s="15"/>
      <c r="V725" s="15"/>
      <c r="W725" s="47"/>
      <c r="X725" s="11"/>
      <c r="Y725" s="48"/>
      <c r="Z725" s="11"/>
      <c r="AA725" s="48"/>
      <c r="AB725" s="11"/>
      <c r="AC725" s="48"/>
      <c r="AD725" s="11"/>
      <c r="AE725" s="47"/>
      <c r="AF725" s="11"/>
      <c r="AG725" s="48"/>
      <c r="AH725" s="11"/>
      <c r="AI725" s="48"/>
      <c r="AJ725" s="11"/>
      <c r="AK725" s="48"/>
      <c r="AL725" s="11"/>
      <c r="AM725" s="49"/>
      <c r="AN725" s="49"/>
      <c r="AO725" s="11"/>
      <c r="AP725" s="11"/>
      <c r="AQ725" s="28" t="b">
        <f>IF(COUNTIF(SmartStatus!A$2:A1000, AM725) &gt; 2, TRUE, FALSE)</f>
        <v>0</v>
      </c>
      <c r="AR725" s="29" t="str">
        <f ca="1">IFERROR(__xludf.DUMMYFUNCTION("iferror(if(regexmatch(AO725, ""(?i)^registered""), if(EE725 &lt;&gt; ""polity_shortest_name"", ""CHECK_POLITY"", index(filter(SmartStatus!B$2:B1000, AM725 = SmartStatus!A$2:A1000, not(SmartStatus!C$2:C1000), (isblank(SmartStatus!D$2:D1000)) + ((P725 &lt;&gt; """") * "&amp;"(P725 &lt; SmartStatus!D$2:D1000)), (isblank(SmartStatus!E$2:E1000)) + ((P725 &lt;&gt; """") * (P725 &gt;= SmartStatus!E$2:E1000)), (isblank(SmartStatus!F$2:F1000)) + (((Q725 &lt;&gt; """") * (Q725 &lt; SmartStatus!F$2:F1000)) + ((P725 &lt;&gt; """") * (date(year(P725) + 3, month(P"&amp;"725), day(P725)) &lt; SmartStatus!F$2:F1000))), (isblank(SmartStatus!G$2:G1000)) + (((Q725 &lt;&gt; """") * (Q725 &gt;= SmartStatus!G$2:G1000)) + ((P725 &lt;&gt; """") * (P725 &gt;= SmartStatus!G$2:G1000)))), if(or(regexmatch(B725, ""(?i)^ir [a-z]+ designation$""), N725 &lt;&gt; """&amp;"""), 1, 2))), """"), ""NO_MATCH"")"),"")</f>
        <v/>
      </c>
      <c r="AS725" s="11"/>
      <c r="AT725" s="15"/>
      <c r="AU725" s="11"/>
      <c r="AV725" s="11"/>
      <c r="AW725" s="15"/>
      <c r="AX725" s="15"/>
      <c r="AY725" s="15"/>
      <c r="AZ725" s="11"/>
      <c r="BA725" s="15"/>
      <c r="BB725" s="11"/>
      <c r="BC725" s="11"/>
      <c r="BD725" s="15"/>
      <c r="BE725" s="11"/>
      <c r="BF725" s="11"/>
      <c r="BG725" s="15"/>
      <c r="BH725" s="15"/>
      <c r="BI725" s="15"/>
      <c r="BJ725" s="11"/>
      <c r="BK725" s="15"/>
      <c r="BL725" s="11"/>
      <c r="BM725" s="11"/>
      <c r="BN725" s="15"/>
      <c r="BO725" s="11"/>
      <c r="BP725" s="11"/>
      <c r="BQ725" s="15"/>
      <c r="BR725" s="15"/>
      <c r="BS725" s="15"/>
      <c r="BT725" s="11"/>
      <c r="BU725" s="15"/>
      <c r="BV725" s="11"/>
      <c r="BW725" s="11"/>
      <c r="BX725" s="15"/>
      <c r="BY725" s="11"/>
      <c r="BZ725" s="11"/>
      <c r="CA725" s="15"/>
      <c r="CB725" s="11"/>
      <c r="CC725" s="15"/>
      <c r="CD725" s="11"/>
      <c r="CE725" s="15"/>
      <c r="CF725" s="11"/>
      <c r="CG725" s="11"/>
      <c r="CH725" s="15"/>
      <c r="CI725" s="11"/>
      <c r="CJ725" s="11"/>
      <c r="CK725" s="15"/>
      <c r="CL725" s="11"/>
      <c r="CM725" s="11"/>
      <c r="CN725" s="11"/>
      <c r="CO725" s="11"/>
      <c r="CP725" s="28"/>
      <c r="CQ725" s="28"/>
      <c r="CR725" s="11"/>
      <c r="CS725" s="29"/>
      <c r="CT725" s="11"/>
      <c r="CU725" s="11"/>
      <c r="CV725" s="11"/>
      <c r="CW725" s="11"/>
      <c r="CX725" s="11"/>
      <c r="CY725" s="11"/>
      <c r="CZ725" s="11"/>
      <c r="DA725" s="28"/>
      <c r="DB725" s="28"/>
      <c r="DC725" s="11"/>
      <c r="DD725" s="29"/>
      <c r="DE725" s="11"/>
      <c r="DF725" s="11"/>
      <c r="DG725" s="11"/>
      <c r="DH725" s="11"/>
      <c r="DI725" s="11"/>
      <c r="DJ725" s="11"/>
      <c r="DK725" s="26"/>
      <c r="DL725" s="11"/>
      <c r="DM725" s="29"/>
      <c r="DN725" s="28"/>
      <c r="DO725" s="11"/>
      <c r="DP725" s="11"/>
      <c r="DQ725" s="11"/>
      <c r="DR725" s="29"/>
      <c r="DS725" s="28"/>
      <c r="DT725" s="11"/>
      <c r="DU725" s="26"/>
      <c r="DV725" s="11"/>
      <c r="DW725" s="29"/>
      <c r="DX725" s="28"/>
      <c r="DY725" s="11"/>
      <c r="DZ725" s="26"/>
      <c r="EA725" s="11"/>
      <c r="EB725" s="29"/>
      <c r="EC725" s="28"/>
      <c r="ED725" s="30"/>
      <c r="EE725" s="30" t="str">
        <f ca="1">IFERROR(__xludf.DUMMYFUNCTION("iferror(index(filter('Internal -- Trademark Countries'!E$2:E1000, (AM725 = 'Internal -- Trademark Countries'!B$2:B1000) + (AM725 = 'Internal -- Trademark Countries'!C$2:C1000) + (AM725 = 'Internal -- Trademark Countries'!D$2:D1000)), 1))"),"")</f>
        <v/>
      </c>
      <c r="EF725" s="30" t="e">
        <f ca="1">_xludf.ifs(AM725="", "", COUNTIF('Internal -- Trademark Countries'!B:B,AM725) &gt; 0, "polity_shortest_name", COUNTIF('Internal -- Trademark Countries'!C:C,AM725) &gt; 0, "polity_full_name", COUNTIF('Internal -- Trademark Countries'!D:D,AM725) &gt; 0, "polity_common_name", COUNTIF('Internal -- Trademark Countries'!E:E,AM725) &gt; 0, "shortest_name", COUNTIF('Internal -- Trademark Countries'!A:A,AM725) &gt; 0, "full_name", TRUE, "not a match")</f>
        <v>#NAME?</v>
      </c>
      <c r="EG725" s="30"/>
      <c r="EH725" s="30"/>
      <c r="EI725" s="30"/>
      <c r="EJ725" s="30"/>
      <c r="EK725" s="30" t="str">
        <f t="shared" si="4"/>
        <v/>
      </c>
    </row>
    <row r="726" spans="1:141" ht="16.5">
      <c r="A726" s="11"/>
      <c r="B726" s="11"/>
      <c r="C726" s="11"/>
      <c r="D726" s="11"/>
      <c r="E726" s="11"/>
      <c r="F726" s="11"/>
      <c r="G726" s="11"/>
      <c r="H726" s="11"/>
      <c r="I726" s="11"/>
      <c r="J726" s="11"/>
      <c r="K726" s="27"/>
      <c r="L726" s="11"/>
      <c r="M726" s="11"/>
      <c r="N726" s="11"/>
      <c r="O726" s="11"/>
      <c r="P726" s="15"/>
      <c r="Q726" s="15"/>
      <c r="R726" s="15"/>
      <c r="S726" s="15"/>
      <c r="T726" s="15"/>
      <c r="U726" s="15"/>
      <c r="V726" s="15"/>
      <c r="W726" s="47"/>
      <c r="X726" s="11"/>
      <c r="Y726" s="48"/>
      <c r="Z726" s="11"/>
      <c r="AA726" s="48"/>
      <c r="AB726" s="11"/>
      <c r="AC726" s="48"/>
      <c r="AD726" s="11"/>
      <c r="AE726" s="47"/>
      <c r="AF726" s="11"/>
      <c r="AG726" s="48"/>
      <c r="AH726" s="11"/>
      <c r="AI726" s="48"/>
      <c r="AJ726" s="11"/>
      <c r="AK726" s="48"/>
      <c r="AL726" s="11"/>
      <c r="AM726" s="49"/>
      <c r="AN726" s="49"/>
      <c r="AO726" s="11"/>
      <c r="AP726" s="11"/>
      <c r="AQ726" s="28" t="b">
        <f>IF(COUNTIF(SmartStatus!A$2:A1000, AM726) &gt; 2, TRUE, FALSE)</f>
        <v>0</v>
      </c>
      <c r="AR726" s="29" t="str">
        <f ca="1">IFERROR(__xludf.DUMMYFUNCTION("iferror(if(regexmatch(AO726, ""(?i)^registered""), if(EE726 &lt;&gt; ""polity_shortest_name"", ""CHECK_POLITY"", index(filter(SmartStatus!B$2:B1000, AM726 = SmartStatus!A$2:A1000, not(SmartStatus!C$2:C1000), (isblank(SmartStatus!D$2:D1000)) + ((P726 &lt;&gt; """") * "&amp;"(P726 &lt; SmartStatus!D$2:D1000)), (isblank(SmartStatus!E$2:E1000)) + ((P726 &lt;&gt; """") * (P726 &gt;= SmartStatus!E$2:E1000)), (isblank(SmartStatus!F$2:F1000)) + (((Q726 &lt;&gt; """") * (Q726 &lt; SmartStatus!F$2:F1000)) + ((P726 &lt;&gt; """") * (date(year(P726) + 3, month(P"&amp;"726), day(P726)) &lt; SmartStatus!F$2:F1000))), (isblank(SmartStatus!G$2:G1000)) + (((Q726 &lt;&gt; """") * (Q726 &gt;= SmartStatus!G$2:G1000)) + ((P726 &lt;&gt; """") * (P726 &gt;= SmartStatus!G$2:G1000)))), if(or(regexmatch(B726, ""(?i)^ir [a-z]+ designation$""), N726 &lt;&gt; """&amp;"""), 1, 2))), """"), ""NO_MATCH"")"),"")</f>
        <v/>
      </c>
      <c r="AS726" s="11"/>
      <c r="AT726" s="15"/>
      <c r="AU726" s="11"/>
      <c r="AV726" s="11"/>
      <c r="AW726" s="15"/>
      <c r="AX726" s="15"/>
      <c r="AY726" s="15"/>
      <c r="AZ726" s="11"/>
      <c r="BA726" s="15"/>
      <c r="BB726" s="11"/>
      <c r="BC726" s="11"/>
      <c r="BD726" s="15"/>
      <c r="BE726" s="11"/>
      <c r="BF726" s="11"/>
      <c r="BG726" s="15"/>
      <c r="BH726" s="15"/>
      <c r="BI726" s="15"/>
      <c r="BJ726" s="11"/>
      <c r="BK726" s="15"/>
      <c r="BL726" s="11"/>
      <c r="BM726" s="11"/>
      <c r="BN726" s="15"/>
      <c r="BO726" s="11"/>
      <c r="BP726" s="11"/>
      <c r="BQ726" s="15"/>
      <c r="BR726" s="15"/>
      <c r="BS726" s="15"/>
      <c r="BT726" s="11"/>
      <c r="BU726" s="15"/>
      <c r="BV726" s="11"/>
      <c r="BW726" s="11"/>
      <c r="BX726" s="15"/>
      <c r="BY726" s="11"/>
      <c r="BZ726" s="11"/>
      <c r="CA726" s="15"/>
      <c r="CB726" s="11"/>
      <c r="CC726" s="15"/>
      <c r="CD726" s="11"/>
      <c r="CE726" s="15"/>
      <c r="CF726" s="11"/>
      <c r="CG726" s="11"/>
      <c r="CH726" s="15"/>
      <c r="CI726" s="11"/>
      <c r="CJ726" s="11"/>
      <c r="CK726" s="15"/>
      <c r="CL726" s="11"/>
      <c r="CM726" s="11"/>
      <c r="CN726" s="11"/>
      <c r="CO726" s="11"/>
      <c r="CP726" s="28"/>
      <c r="CQ726" s="28"/>
      <c r="CR726" s="11"/>
      <c r="CS726" s="29"/>
      <c r="CT726" s="11"/>
      <c r="CU726" s="11"/>
      <c r="CV726" s="11"/>
      <c r="CW726" s="11"/>
      <c r="CX726" s="11"/>
      <c r="CY726" s="11"/>
      <c r="CZ726" s="11"/>
      <c r="DA726" s="28"/>
      <c r="DB726" s="28"/>
      <c r="DC726" s="11"/>
      <c r="DD726" s="29"/>
      <c r="DE726" s="11"/>
      <c r="DF726" s="11"/>
      <c r="DG726" s="11"/>
      <c r="DH726" s="11"/>
      <c r="DI726" s="11"/>
      <c r="DJ726" s="11"/>
      <c r="DK726" s="26"/>
      <c r="DL726" s="11"/>
      <c r="DM726" s="29"/>
      <c r="DN726" s="28"/>
      <c r="DO726" s="11"/>
      <c r="DP726" s="11"/>
      <c r="DQ726" s="11"/>
      <c r="DR726" s="29"/>
      <c r="DS726" s="28"/>
      <c r="DT726" s="11"/>
      <c r="DU726" s="26"/>
      <c r="DV726" s="11"/>
      <c r="DW726" s="29"/>
      <c r="DX726" s="28"/>
      <c r="DY726" s="11"/>
      <c r="DZ726" s="26"/>
      <c r="EA726" s="11"/>
      <c r="EB726" s="29"/>
      <c r="EC726" s="28"/>
      <c r="ED726" s="30"/>
      <c r="EE726" s="30" t="str">
        <f ca="1">IFERROR(__xludf.DUMMYFUNCTION("iferror(index(filter('Internal -- Trademark Countries'!E$2:E1000, (AM726 = 'Internal -- Trademark Countries'!B$2:B1000) + (AM726 = 'Internal -- Trademark Countries'!C$2:C1000) + (AM726 = 'Internal -- Trademark Countries'!D$2:D1000)), 1))"),"")</f>
        <v/>
      </c>
      <c r="EF726" s="30" t="e">
        <f ca="1">_xludf.ifs(AM726="", "", COUNTIF('Internal -- Trademark Countries'!B:B,AM726) &gt; 0, "polity_shortest_name", COUNTIF('Internal -- Trademark Countries'!C:C,AM726) &gt; 0, "polity_full_name", COUNTIF('Internal -- Trademark Countries'!D:D,AM726) &gt; 0, "polity_common_name", COUNTIF('Internal -- Trademark Countries'!E:E,AM726) &gt; 0, "shortest_name", COUNTIF('Internal -- Trademark Countries'!A:A,AM726) &gt; 0, "full_name", TRUE, "not a match")</f>
        <v>#NAME?</v>
      </c>
      <c r="EG726" s="30"/>
      <c r="EH726" s="30"/>
      <c r="EI726" s="30"/>
      <c r="EJ726" s="30"/>
      <c r="EK726" s="30" t="str">
        <f t="shared" si="4"/>
        <v/>
      </c>
    </row>
    <row r="727" spans="1:141" ht="16.5">
      <c r="A727" s="11"/>
      <c r="B727" s="11"/>
      <c r="C727" s="11"/>
      <c r="D727" s="11"/>
      <c r="E727" s="11"/>
      <c r="F727" s="11"/>
      <c r="G727" s="11"/>
      <c r="H727" s="11"/>
      <c r="I727" s="11"/>
      <c r="J727" s="11"/>
      <c r="K727" s="27"/>
      <c r="L727" s="11"/>
      <c r="M727" s="11"/>
      <c r="N727" s="11"/>
      <c r="O727" s="11"/>
      <c r="P727" s="15"/>
      <c r="Q727" s="15"/>
      <c r="R727" s="15"/>
      <c r="S727" s="15"/>
      <c r="T727" s="15"/>
      <c r="U727" s="15"/>
      <c r="V727" s="15"/>
      <c r="W727" s="47"/>
      <c r="X727" s="11"/>
      <c r="Y727" s="48"/>
      <c r="Z727" s="11"/>
      <c r="AA727" s="48"/>
      <c r="AB727" s="11"/>
      <c r="AC727" s="48"/>
      <c r="AD727" s="11"/>
      <c r="AE727" s="47"/>
      <c r="AF727" s="11"/>
      <c r="AG727" s="48"/>
      <c r="AH727" s="11"/>
      <c r="AI727" s="48"/>
      <c r="AJ727" s="11"/>
      <c r="AK727" s="48"/>
      <c r="AL727" s="11"/>
      <c r="AM727" s="49"/>
      <c r="AN727" s="49"/>
      <c r="AO727" s="11"/>
      <c r="AP727" s="11"/>
      <c r="AQ727" s="28" t="b">
        <f>IF(COUNTIF(SmartStatus!A$2:A1000, AM727) &gt; 2, TRUE, FALSE)</f>
        <v>0</v>
      </c>
      <c r="AR727" s="29" t="str">
        <f ca="1">IFERROR(__xludf.DUMMYFUNCTION("iferror(if(regexmatch(AO727, ""(?i)^registered""), if(EE727 &lt;&gt; ""polity_shortest_name"", ""CHECK_POLITY"", index(filter(SmartStatus!B$2:B1000, AM727 = SmartStatus!A$2:A1000, not(SmartStatus!C$2:C1000), (isblank(SmartStatus!D$2:D1000)) + ((P727 &lt;&gt; """") * "&amp;"(P727 &lt; SmartStatus!D$2:D1000)), (isblank(SmartStatus!E$2:E1000)) + ((P727 &lt;&gt; """") * (P727 &gt;= SmartStatus!E$2:E1000)), (isblank(SmartStatus!F$2:F1000)) + (((Q727 &lt;&gt; """") * (Q727 &lt; SmartStatus!F$2:F1000)) + ((P727 &lt;&gt; """") * (date(year(P727) + 3, month(P"&amp;"727), day(P727)) &lt; SmartStatus!F$2:F1000))), (isblank(SmartStatus!G$2:G1000)) + (((Q727 &lt;&gt; """") * (Q727 &gt;= SmartStatus!G$2:G1000)) + ((P727 &lt;&gt; """") * (P727 &gt;= SmartStatus!G$2:G1000)))), if(or(regexmatch(B727, ""(?i)^ir [a-z]+ designation$""), N727 &lt;&gt; """&amp;"""), 1, 2))), """"), ""NO_MATCH"")"),"")</f>
        <v/>
      </c>
      <c r="AS727" s="11"/>
      <c r="AT727" s="15"/>
      <c r="AU727" s="11"/>
      <c r="AV727" s="11"/>
      <c r="AW727" s="15"/>
      <c r="AX727" s="15"/>
      <c r="AY727" s="15"/>
      <c r="AZ727" s="11"/>
      <c r="BA727" s="15"/>
      <c r="BB727" s="11"/>
      <c r="BC727" s="11"/>
      <c r="BD727" s="15"/>
      <c r="BE727" s="11"/>
      <c r="BF727" s="11"/>
      <c r="BG727" s="15"/>
      <c r="BH727" s="15"/>
      <c r="BI727" s="15"/>
      <c r="BJ727" s="11"/>
      <c r="BK727" s="15"/>
      <c r="BL727" s="11"/>
      <c r="BM727" s="11"/>
      <c r="BN727" s="15"/>
      <c r="BO727" s="11"/>
      <c r="BP727" s="11"/>
      <c r="BQ727" s="15"/>
      <c r="BR727" s="15"/>
      <c r="BS727" s="15"/>
      <c r="BT727" s="11"/>
      <c r="BU727" s="15"/>
      <c r="BV727" s="11"/>
      <c r="BW727" s="11"/>
      <c r="BX727" s="15"/>
      <c r="BY727" s="11"/>
      <c r="BZ727" s="11"/>
      <c r="CA727" s="15"/>
      <c r="CB727" s="11"/>
      <c r="CC727" s="15"/>
      <c r="CD727" s="11"/>
      <c r="CE727" s="15"/>
      <c r="CF727" s="11"/>
      <c r="CG727" s="11"/>
      <c r="CH727" s="15"/>
      <c r="CI727" s="11"/>
      <c r="CJ727" s="11"/>
      <c r="CK727" s="15"/>
      <c r="CL727" s="11"/>
      <c r="CM727" s="11"/>
      <c r="CN727" s="11"/>
      <c r="CO727" s="11"/>
      <c r="CP727" s="28"/>
      <c r="CQ727" s="28"/>
      <c r="CR727" s="11"/>
      <c r="CS727" s="29"/>
      <c r="CT727" s="11"/>
      <c r="CU727" s="11"/>
      <c r="CV727" s="11"/>
      <c r="CW727" s="11"/>
      <c r="CX727" s="11"/>
      <c r="CY727" s="11"/>
      <c r="CZ727" s="11"/>
      <c r="DA727" s="28"/>
      <c r="DB727" s="28"/>
      <c r="DC727" s="11"/>
      <c r="DD727" s="29"/>
      <c r="DE727" s="11"/>
      <c r="DF727" s="11"/>
      <c r="DG727" s="11"/>
      <c r="DH727" s="11"/>
      <c r="DI727" s="11"/>
      <c r="DJ727" s="11"/>
      <c r="DK727" s="26"/>
      <c r="DL727" s="11"/>
      <c r="DM727" s="29"/>
      <c r="DN727" s="28"/>
      <c r="DO727" s="11"/>
      <c r="DP727" s="11"/>
      <c r="DQ727" s="11"/>
      <c r="DR727" s="29"/>
      <c r="DS727" s="28"/>
      <c r="DT727" s="11"/>
      <c r="DU727" s="26"/>
      <c r="DV727" s="11"/>
      <c r="DW727" s="29"/>
      <c r="DX727" s="28"/>
      <c r="DY727" s="11"/>
      <c r="DZ727" s="26"/>
      <c r="EA727" s="11"/>
      <c r="EB727" s="29"/>
      <c r="EC727" s="28"/>
      <c r="ED727" s="30"/>
      <c r="EE727" s="30" t="str">
        <f ca="1">IFERROR(__xludf.DUMMYFUNCTION("iferror(index(filter('Internal -- Trademark Countries'!E$2:E1000, (AM727 = 'Internal -- Trademark Countries'!B$2:B1000) + (AM727 = 'Internal -- Trademark Countries'!C$2:C1000) + (AM727 = 'Internal -- Trademark Countries'!D$2:D1000)), 1))"),"")</f>
        <v/>
      </c>
      <c r="EF727" s="30" t="e">
        <f ca="1">_xludf.ifs(AM727="", "", COUNTIF('Internal -- Trademark Countries'!B:B,AM727) &gt; 0, "polity_shortest_name", COUNTIF('Internal -- Trademark Countries'!C:C,AM727) &gt; 0, "polity_full_name", COUNTIF('Internal -- Trademark Countries'!D:D,AM727) &gt; 0, "polity_common_name", COUNTIF('Internal -- Trademark Countries'!E:E,AM727) &gt; 0, "shortest_name", COUNTIF('Internal -- Trademark Countries'!A:A,AM727) &gt; 0, "full_name", TRUE, "not a match")</f>
        <v>#NAME?</v>
      </c>
      <c r="EG727" s="30"/>
      <c r="EH727" s="30"/>
      <c r="EI727" s="30"/>
      <c r="EJ727" s="30"/>
      <c r="EK727" s="30" t="str">
        <f t="shared" si="4"/>
        <v/>
      </c>
    </row>
    <row r="728" spans="1:141" ht="16.5">
      <c r="A728" s="11"/>
      <c r="B728" s="11"/>
      <c r="C728" s="11"/>
      <c r="D728" s="11"/>
      <c r="E728" s="11"/>
      <c r="F728" s="11"/>
      <c r="G728" s="11"/>
      <c r="H728" s="11"/>
      <c r="I728" s="11"/>
      <c r="J728" s="11"/>
      <c r="K728" s="27"/>
      <c r="L728" s="11"/>
      <c r="M728" s="11"/>
      <c r="N728" s="11"/>
      <c r="O728" s="11"/>
      <c r="P728" s="15"/>
      <c r="Q728" s="15"/>
      <c r="R728" s="15"/>
      <c r="S728" s="15"/>
      <c r="T728" s="15"/>
      <c r="U728" s="15"/>
      <c r="V728" s="15"/>
      <c r="W728" s="47"/>
      <c r="X728" s="11"/>
      <c r="Y728" s="48"/>
      <c r="Z728" s="11"/>
      <c r="AA728" s="48"/>
      <c r="AB728" s="11"/>
      <c r="AC728" s="48"/>
      <c r="AD728" s="11"/>
      <c r="AE728" s="47"/>
      <c r="AF728" s="11"/>
      <c r="AG728" s="48"/>
      <c r="AH728" s="11"/>
      <c r="AI728" s="48"/>
      <c r="AJ728" s="11"/>
      <c r="AK728" s="48"/>
      <c r="AL728" s="11"/>
      <c r="AM728" s="49"/>
      <c r="AN728" s="49"/>
      <c r="AO728" s="11"/>
      <c r="AP728" s="11"/>
      <c r="AQ728" s="28" t="b">
        <f>IF(COUNTIF(SmartStatus!A$2:A1000, AM728) &gt; 2, TRUE, FALSE)</f>
        <v>0</v>
      </c>
      <c r="AR728" s="29" t="str">
        <f ca="1">IFERROR(__xludf.DUMMYFUNCTION("iferror(if(regexmatch(AO728, ""(?i)^registered""), if(EE728 &lt;&gt; ""polity_shortest_name"", ""CHECK_POLITY"", index(filter(SmartStatus!B$2:B1000, AM728 = SmartStatus!A$2:A1000, not(SmartStatus!C$2:C1000), (isblank(SmartStatus!D$2:D1000)) + ((P728 &lt;&gt; """") * "&amp;"(P728 &lt; SmartStatus!D$2:D1000)), (isblank(SmartStatus!E$2:E1000)) + ((P728 &lt;&gt; """") * (P728 &gt;= SmartStatus!E$2:E1000)), (isblank(SmartStatus!F$2:F1000)) + (((Q728 &lt;&gt; """") * (Q728 &lt; SmartStatus!F$2:F1000)) + ((P728 &lt;&gt; """") * (date(year(P728) + 3, month(P"&amp;"728), day(P728)) &lt; SmartStatus!F$2:F1000))), (isblank(SmartStatus!G$2:G1000)) + (((Q728 &lt;&gt; """") * (Q728 &gt;= SmartStatus!G$2:G1000)) + ((P728 &lt;&gt; """") * (P728 &gt;= SmartStatus!G$2:G1000)))), if(or(regexmatch(B728, ""(?i)^ir [a-z]+ designation$""), N728 &lt;&gt; """&amp;"""), 1, 2))), """"), ""NO_MATCH"")"),"")</f>
        <v/>
      </c>
      <c r="AS728" s="11"/>
      <c r="AT728" s="15"/>
      <c r="AU728" s="11"/>
      <c r="AV728" s="11"/>
      <c r="AW728" s="15"/>
      <c r="AX728" s="15"/>
      <c r="AY728" s="15"/>
      <c r="AZ728" s="11"/>
      <c r="BA728" s="15"/>
      <c r="BB728" s="11"/>
      <c r="BC728" s="11"/>
      <c r="BD728" s="15"/>
      <c r="BE728" s="11"/>
      <c r="BF728" s="11"/>
      <c r="BG728" s="15"/>
      <c r="BH728" s="15"/>
      <c r="BI728" s="15"/>
      <c r="BJ728" s="11"/>
      <c r="BK728" s="15"/>
      <c r="BL728" s="11"/>
      <c r="BM728" s="11"/>
      <c r="BN728" s="15"/>
      <c r="BO728" s="11"/>
      <c r="BP728" s="11"/>
      <c r="BQ728" s="15"/>
      <c r="BR728" s="15"/>
      <c r="BS728" s="15"/>
      <c r="BT728" s="11"/>
      <c r="BU728" s="15"/>
      <c r="BV728" s="11"/>
      <c r="BW728" s="11"/>
      <c r="BX728" s="15"/>
      <c r="BY728" s="11"/>
      <c r="BZ728" s="11"/>
      <c r="CA728" s="15"/>
      <c r="CB728" s="11"/>
      <c r="CC728" s="15"/>
      <c r="CD728" s="11"/>
      <c r="CE728" s="15"/>
      <c r="CF728" s="11"/>
      <c r="CG728" s="11"/>
      <c r="CH728" s="15"/>
      <c r="CI728" s="11"/>
      <c r="CJ728" s="11"/>
      <c r="CK728" s="15"/>
      <c r="CL728" s="11"/>
      <c r="CM728" s="11"/>
      <c r="CN728" s="11"/>
      <c r="CO728" s="11"/>
      <c r="CP728" s="28"/>
      <c r="CQ728" s="28"/>
      <c r="CR728" s="11"/>
      <c r="CS728" s="29"/>
      <c r="CT728" s="11"/>
      <c r="CU728" s="11"/>
      <c r="CV728" s="11"/>
      <c r="CW728" s="11"/>
      <c r="CX728" s="11"/>
      <c r="CY728" s="11"/>
      <c r="CZ728" s="11"/>
      <c r="DA728" s="28"/>
      <c r="DB728" s="28"/>
      <c r="DC728" s="11"/>
      <c r="DD728" s="29"/>
      <c r="DE728" s="11"/>
      <c r="DF728" s="11"/>
      <c r="DG728" s="11"/>
      <c r="DH728" s="11"/>
      <c r="DI728" s="11"/>
      <c r="DJ728" s="11"/>
      <c r="DK728" s="26"/>
      <c r="DL728" s="11"/>
      <c r="DM728" s="29"/>
      <c r="DN728" s="28"/>
      <c r="DO728" s="11"/>
      <c r="DP728" s="11"/>
      <c r="DQ728" s="11"/>
      <c r="DR728" s="29"/>
      <c r="DS728" s="28"/>
      <c r="DT728" s="11"/>
      <c r="DU728" s="26"/>
      <c r="DV728" s="11"/>
      <c r="DW728" s="29"/>
      <c r="DX728" s="28"/>
      <c r="DY728" s="11"/>
      <c r="DZ728" s="26"/>
      <c r="EA728" s="11"/>
      <c r="EB728" s="29"/>
      <c r="EC728" s="28"/>
      <c r="ED728" s="30"/>
      <c r="EE728" s="30" t="str">
        <f ca="1">IFERROR(__xludf.DUMMYFUNCTION("iferror(index(filter('Internal -- Trademark Countries'!E$2:E1000, (AM728 = 'Internal -- Trademark Countries'!B$2:B1000) + (AM728 = 'Internal -- Trademark Countries'!C$2:C1000) + (AM728 = 'Internal -- Trademark Countries'!D$2:D1000)), 1))"),"")</f>
        <v/>
      </c>
      <c r="EF728" s="30" t="e">
        <f ca="1">_xludf.ifs(AM728="", "", COUNTIF('Internal -- Trademark Countries'!B:B,AM728) &gt; 0, "polity_shortest_name", COUNTIF('Internal -- Trademark Countries'!C:C,AM728) &gt; 0, "polity_full_name", COUNTIF('Internal -- Trademark Countries'!D:D,AM728) &gt; 0, "polity_common_name", COUNTIF('Internal -- Trademark Countries'!E:E,AM728) &gt; 0, "shortest_name", COUNTIF('Internal -- Trademark Countries'!A:A,AM728) &gt; 0, "full_name", TRUE, "not a match")</f>
        <v>#NAME?</v>
      </c>
      <c r="EG728" s="30"/>
      <c r="EH728" s="30"/>
      <c r="EI728" s="30"/>
      <c r="EJ728" s="30"/>
      <c r="EK728" s="30" t="str">
        <f t="shared" si="4"/>
        <v/>
      </c>
    </row>
    <row r="729" spans="1:141" ht="16.5">
      <c r="A729" s="11"/>
      <c r="B729" s="11"/>
      <c r="C729" s="11"/>
      <c r="D729" s="11"/>
      <c r="E729" s="11"/>
      <c r="F729" s="11"/>
      <c r="G729" s="11"/>
      <c r="H729" s="11"/>
      <c r="I729" s="11"/>
      <c r="J729" s="11"/>
      <c r="K729" s="27"/>
      <c r="L729" s="11"/>
      <c r="M729" s="11"/>
      <c r="N729" s="11"/>
      <c r="O729" s="11"/>
      <c r="P729" s="15"/>
      <c r="Q729" s="15"/>
      <c r="R729" s="15"/>
      <c r="S729" s="15"/>
      <c r="T729" s="15"/>
      <c r="U729" s="15"/>
      <c r="V729" s="15"/>
      <c r="W729" s="47"/>
      <c r="X729" s="11"/>
      <c r="Y729" s="48"/>
      <c r="Z729" s="11"/>
      <c r="AA729" s="48"/>
      <c r="AB729" s="11"/>
      <c r="AC729" s="48"/>
      <c r="AD729" s="11"/>
      <c r="AE729" s="47"/>
      <c r="AF729" s="11"/>
      <c r="AG729" s="48"/>
      <c r="AH729" s="11"/>
      <c r="AI729" s="48"/>
      <c r="AJ729" s="11"/>
      <c r="AK729" s="48"/>
      <c r="AL729" s="11"/>
      <c r="AM729" s="49"/>
      <c r="AN729" s="49"/>
      <c r="AO729" s="11"/>
      <c r="AP729" s="11"/>
      <c r="AQ729" s="28" t="b">
        <f>IF(COUNTIF(SmartStatus!A$2:A1000, AM729) &gt; 2, TRUE, FALSE)</f>
        <v>0</v>
      </c>
      <c r="AR729" s="29" t="str">
        <f ca="1">IFERROR(__xludf.DUMMYFUNCTION("iferror(if(regexmatch(AO729, ""(?i)^registered""), if(EE729 &lt;&gt; ""polity_shortest_name"", ""CHECK_POLITY"", index(filter(SmartStatus!B$2:B1000, AM729 = SmartStatus!A$2:A1000, not(SmartStatus!C$2:C1000), (isblank(SmartStatus!D$2:D1000)) + ((P729 &lt;&gt; """") * "&amp;"(P729 &lt; SmartStatus!D$2:D1000)), (isblank(SmartStatus!E$2:E1000)) + ((P729 &lt;&gt; """") * (P729 &gt;= SmartStatus!E$2:E1000)), (isblank(SmartStatus!F$2:F1000)) + (((Q729 &lt;&gt; """") * (Q729 &lt; SmartStatus!F$2:F1000)) + ((P729 &lt;&gt; """") * (date(year(P729) + 3, month(P"&amp;"729), day(P729)) &lt; SmartStatus!F$2:F1000))), (isblank(SmartStatus!G$2:G1000)) + (((Q729 &lt;&gt; """") * (Q729 &gt;= SmartStatus!G$2:G1000)) + ((P729 &lt;&gt; """") * (P729 &gt;= SmartStatus!G$2:G1000)))), if(or(regexmatch(B729, ""(?i)^ir [a-z]+ designation$""), N729 &lt;&gt; """&amp;"""), 1, 2))), """"), ""NO_MATCH"")"),"")</f>
        <v/>
      </c>
      <c r="AS729" s="11"/>
      <c r="AT729" s="15"/>
      <c r="AU729" s="11"/>
      <c r="AV729" s="11"/>
      <c r="AW729" s="15"/>
      <c r="AX729" s="15"/>
      <c r="AY729" s="15"/>
      <c r="AZ729" s="11"/>
      <c r="BA729" s="15"/>
      <c r="BB729" s="11"/>
      <c r="BC729" s="11"/>
      <c r="BD729" s="15"/>
      <c r="BE729" s="11"/>
      <c r="BF729" s="11"/>
      <c r="BG729" s="15"/>
      <c r="BH729" s="15"/>
      <c r="BI729" s="15"/>
      <c r="BJ729" s="11"/>
      <c r="BK729" s="15"/>
      <c r="BL729" s="11"/>
      <c r="BM729" s="11"/>
      <c r="BN729" s="15"/>
      <c r="BO729" s="11"/>
      <c r="BP729" s="11"/>
      <c r="BQ729" s="15"/>
      <c r="BR729" s="15"/>
      <c r="BS729" s="15"/>
      <c r="BT729" s="11"/>
      <c r="BU729" s="15"/>
      <c r="BV729" s="11"/>
      <c r="BW729" s="11"/>
      <c r="BX729" s="15"/>
      <c r="BY729" s="11"/>
      <c r="BZ729" s="11"/>
      <c r="CA729" s="15"/>
      <c r="CB729" s="11"/>
      <c r="CC729" s="15"/>
      <c r="CD729" s="11"/>
      <c r="CE729" s="15"/>
      <c r="CF729" s="11"/>
      <c r="CG729" s="11"/>
      <c r="CH729" s="15"/>
      <c r="CI729" s="11"/>
      <c r="CJ729" s="11"/>
      <c r="CK729" s="15"/>
      <c r="CL729" s="11"/>
      <c r="CM729" s="11"/>
      <c r="CN729" s="11"/>
      <c r="CO729" s="11"/>
      <c r="CP729" s="28"/>
      <c r="CQ729" s="28"/>
      <c r="CR729" s="11"/>
      <c r="CS729" s="29"/>
      <c r="CT729" s="11"/>
      <c r="CU729" s="11"/>
      <c r="CV729" s="11"/>
      <c r="CW729" s="11"/>
      <c r="CX729" s="11"/>
      <c r="CY729" s="11"/>
      <c r="CZ729" s="11"/>
      <c r="DA729" s="28"/>
      <c r="DB729" s="28"/>
      <c r="DC729" s="11"/>
      <c r="DD729" s="29"/>
      <c r="DE729" s="11"/>
      <c r="DF729" s="11"/>
      <c r="DG729" s="11"/>
      <c r="DH729" s="11"/>
      <c r="DI729" s="11"/>
      <c r="DJ729" s="11"/>
      <c r="DK729" s="26"/>
      <c r="DL729" s="11"/>
      <c r="DM729" s="29"/>
      <c r="DN729" s="28"/>
      <c r="DO729" s="11"/>
      <c r="DP729" s="11"/>
      <c r="DQ729" s="11"/>
      <c r="DR729" s="29"/>
      <c r="DS729" s="28"/>
      <c r="DT729" s="11"/>
      <c r="DU729" s="26"/>
      <c r="DV729" s="11"/>
      <c r="DW729" s="29"/>
      <c r="DX729" s="28"/>
      <c r="DY729" s="11"/>
      <c r="DZ729" s="26"/>
      <c r="EA729" s="11"/>
      <c r="EB729" s="29"/>
      <c r="EC729" s="28"/>
      <c r="ED729" s="30"/>
      <c r="EE729" s="30" t="str">
        <f ca="1">IFERROR(__xludf.DUMMYFUNCTION("iferror(index(filter('Internal -- Trademark Countries'!E$2:E1000, (AM729 = 'Internal -- Trademark Countries'!B$2:B1000) + (AM729 = 'Internal -- Trademark Countries'!C$2:C1000) + (AM729 = 'Internal -- Trademark Countries'!D$2:D1000)), 1))"),"")</f>
        <v/>
      </c>
      <c r="EF729" s="30" t="e">
        <f ca="1">_xludf.ifs(AM729="", "", COUNTIF('Internal -- Trademark Countries'!B:B,AM729) &gt; 0, "polity_shortest_name", COUNTIF('Internal -- Trademark Countries'!C:C,AM729) &gt; 0, "polity_full_name", COUNTIF('Internal -- Trademark Countries'!D:D,AM729) &gt; 0, "polity_common_name", COUNTIF('Internal -- Trademark Countries'!E:E,AM729) &gt; 0, "shortest_name", COUNTIF('Internal -- Trademark Countries'!A:A,AM729) &gt; 0, "full_name", TRUE, "not a match")</f>
        <v>#NAME?</v>
      </c>
      <c r="EG729" s="30"/>
      <c r="EH729" s="30"/>
      <c r="EI729" s="30"/>
      <c r="EJ729" s="30"/>
      <c r="EK729" s="30" t="str">
        <f t="shared" si="4"/>
        <v/>
      </c>
    </row>
    <row r="730" spans="1:141" ht="16.5">
      <c r="A730" s="11"/>
      <c r="B730" s="11"/>
      <c r="C730" s="11"/>
      <c r="D730" s="11"/>
      <c r="E730" s="11"/>
      <c r="F730" s="11"/>
      <c r="G730" s="11"/>
      <c r="H730" s="11"/>
      <c r="I730" s="11"/>
      <c r="J730" s="11"/>
      <c r="K730" s="27"/>
      <c r="L730" s="11"/>
      <c r="M730" s="11"/>
      <c r="N730" s="11"/>
      <c r="O730" s="11"/>
      <c r="P730" s="15"/>
      <c r="Q730" s="15"/>
      <c r="R730" s="15"/>
      <c r="S730" s="15"/>
      <c r="T730" s="15"/>
      <c r="U730" s="15"/>
      <c r="V730" s="15"/>
      <c r="W730" s="47"/>
      <c r="X730" s="11"/>
      <c r="Y730" s="48"/>
      <c r="Z730" s="11"/>
      <c r="AA730" s="48"/>
      <c r="AB730" s="11"/>
      <c r="AC730" s="48"/>
      <c r="AD730" s="11"/>
      <c r="AE730" s="47"/>
      <c r="AF730" s="11"/>
      <c r="AG730" s="48"/>
      <c r="AH730" s="11"/>
      <c r="AI730" s="48"/>
      <c r="AJ730" s="11"/>
      <c r="AK730" s="48"/>
      <c r="AL730" s="11"/>
      <c r="AM730" s="49"/>
      <c r="AN730" s="49"/>
      <c r="AO730" s="11"/>
      <c r="AP730" s="11"/>
      <c r="AQ730" s="28" t="b">
        <f>IF(COUNTIF(SmartStatus!A$2:A1000, AM730) &gt; 2, TRUE, FALSE)</f>
        <v>0</v>
      </c>
      <c r="AR730" s="29" t="str">
        <f ca="1">IFERROR(__xludf.DUMMYFUNCTION("iferror(if(regexmatch(AO730, ""(?i)^registered""), if(EE730 &lt;&gt; ""polity_shortest_name"", ""CHECK_POLITY"", index(filter(SmartStatus!B$2:B1000, AM730 = SmartStatus!A$2:A1000, not(SmartStatus!C$2:C1000), (isblank(SmartStatus!D$2:D1000)) + ((P730 &lt;&gt; """") * "&amp;"(P730 &lt; SmartStatus!D$2:D1000)), (isblank(SmartStatus!E$2:E1000)) + ((P730 &lt;&gt; """") * (P730 &gt;= SmartStatus!E$2:E1000)), (isblank(SmartStatus!F$2:F1000)) + (((Q730 &lt;&gt; """") * (Q730 &lt; SmartStatus!F$2:F1000)) + ((P730 &lt;&gt; """") * (date(year(P730) + 3, month(P"&amp;"730), day(P730)) &lt; SmartStatus!F$2:F1000))), (isblank(SmartStatus!G$2:G1000)) + (((Q730 &lt;&gt; """") * (Q730 &gt;= SmartStatus!G$2:G1000)) + ((P730 &lt;&gt; """") * (P730 &gt;= SmartStatus!G$2:G1000)))), if(or(regexmatch(B730, ""(?i)^ir [a-z]+ designation$""), N730 &lt;&gt; """&amp;"""), 1, 2))), """"), ""NO_MATCH"")"),"")</f>
        <v/>
      </c>
      <c r="AS730" s="11"/>
      <c r="AT730" s="15"/>
      <c r="AU730" s="11"/>
      <c r="AV730" s="11"/>
      <c r="AW730" s="15"/>
      <c r="AX730" s="15"/>
      <c r="AY730" s="15"/>
      <c r="AZ730" s="11"/>
      <c r="BA730" s="15"/>
      <c r="BB730" s="11"/>
      <c r="BC730" s="11"/>
      <c r="BD730" s="15"/>
      <c r="BE730" s="11"/>
      <c r="BF730" s="11"/>
      <c r="BG730" s="15"/>
      <c r="BH730" s="15"/>
      <c r="BI730" s="15"/>
      <c r="BJ730" s="11"/>
      <c r="BK730" s="15"/>
      <c r="BL730" s="11"/>
      <c r="BM730" s="11"/>
      <c r="BN730" s="15"/>
      <c r="BO730" s="11"/>
      <c r="BP730" s="11"/>
      <c r="BQ730" s="15"/>
      <c r="BR730" s="15"/>
      <c r="BS730" s="15"/>
      <c r="BT730" s="11"/>
      <c r="BU730" s="15"/>
      <c r="BV730" s="11"/>
      <c r="BW730" s="11"/>
      <c r="BX730" s="15"/>
      <c r="BY730" s="11"/>
      <c r="BZ730" s="11"/>
      <c r="CA730" s="15"/>
      <c r="CB730" s="11"/>
      <c r="CC730" s="15"/>
      <c r="CD730" s="11"/>
      <c r="CE730" s="15"/>
      <c r="CF730" s="11"/>
      <c r="CG730" s="11"/>
      <c r="CH730" s="15"/>
      <c r="CI730" s="11"/>
      <c r="CJ730" s="11"/>
      <c r="CK730" s="15"/>
      <c r="CL730" s="11"/>
      <c r="CM730" s="11"/>
      <c r="CN730" s="11"/>
      <c r="CO730" s="11"/>
      <c r="CP730" s="28"/>
      <c r="CQ730" s="28"/>
      <c r="CR730" s="11"/>
      <c r="CS730" s="29"/>
      <c r="CT730" s="11"/>
      <c r="CU730" s="11"/>
      <c r="CV730" s="11"/>
      <c r="CW730" s="11"/>
      <c r="CX730" s="11"/>
      <c r="CY730" s="11"/>
      <c r="CZ730" s="11"/>
      <c r="DA730" s="28"/>
      <c r="DB730" s="28"/>
      <c r="DC730" s="11"/>
      <c r="DD730" s="29"/>
      <c r="DE730" s="11"/>
      <c r="DF730" s="11"/>
      <c r="DG730" s="11"/>
      <c r="DH730" s="11"/>
      <c r="DI730" s="11"/>
      <c r="DJ730" s="11"/>
      <c r="DK730" s="26"/>
      <c r="DL730" s="11"/>
      <c r="DM730" s="29"/>
      <c r="DN730" s="28"/>
      <c r="DO730" s="11"/>
      <c r="DP730" s="11"/>
      <c r="DQ730" s="11"/>
      <c r="DR730" s="29"/>
      <c r="DS730" s="28"/>
      <c r="DT730" s="11"/>
      <c r="DU730" s="26"/>
      <c r="DV730" s="11"/>
      <c r="DW730" s="29"/>
      <c r="DX730" s="28"/>
      <c r="DY730" s="11"/>
      <c r="DZ730" s="26"/>
      <c r="EA730" s="11"/>
      <c r="EB730" s="29"/>
      <c r="EC730" s="28"/>
      <c r="ED730" s="30"/>
      <c r="EE730" s="30" t="str">
        <f ca="1">IFERROR(__xludf.DUMMYFUNCTION("iferror(index(filter('Internal -- Trademark Countries'!E$2:E1000, (AM730 = 'Internal -- Trademark Countries'!B$2:B1000) + (AM730 = 'Internal -- Trademark Countries'!C$2:C1000) + (AM730 = 'Internal -- Trademark Countries'!D$2:D1000)), 1))"),"")</f>
        <v/>
      </c>
      <c r="EF730" s="30" t="e">
        <f ca="1">_xludf.ifs(AM730="", "", COUNTIF('Internal -- Trademark Countries'!B:B,AM730) &gt; 0, "polity_shortest_name", COUNTIF('Internal -- Trademark Countries'!C:C,AM730) &gt; 0, "polity_full_name", COUNTIF('Internal -- Trademark Countries'!D:D,AM730) &gt; 0, "polity_common_name", COUNTIF('Internal -- Trademark Countries'!E:E,AM730) &gt; 0, "shortest_name", COUNTIF('Internal -- Trademark Countries'!A:A,AM730) &gt; 0, "full_name", TRUE, "not a match")</f>
        <v>#NAME?</v>
      </c>
      <c r="EG730" s="30"/>
      <c r="EH730" s="30"/>
      <c r="EI730" s="30"/>
      <c r="EJ730" s="30"/>
      <c r="EK730" s="30" t="str">
        <f t="shared" si="4"/>
        <v/>
      </c>
    </row>
    <row r="731" spans="1:141" ht="16.5">
      <c r="A731" s="11"/>
      <c r="B731" s="11"/>
      <c r="C731" s="11"/>
      <c r="D731" s="11"/>
      <c r="E731" s="11"/>
      <c r="F731" s="11"/>
      <c r="G731" s="11"/>
      <c r="H731" s="11"/>
      <c r="I731" s="11"/>
      <c r="J731" s="11"/>
      <c r="K731" s="27"/>
      <c r="L731" s="11"/>
      <c r="M731" s="11"/>
      <c r="N731" s="11"/>
      <c r="O731" s="11"/>
      <c r="P731" s="15"/>
      <c r="Q731" s="15"/>
      <c r="R731" s="15"/>
      <c r="S731" s="15"/>
      <c r="T731" s="15"/>
      <c r="U731" s="15"/>
      <c r="V731" s="15"/>
      <c r="W731" s="47"/>
      <c r="X731" s="11"/>
      <c r="Y731" s="48"/>
      <c r="Z731" s="11"/>
      <c r="AA731" s="48"/>
      <c r="AB731" s="11"/>
      <c r="AC731" s="48"/>
      <c r="AD731" s="11"/>
      <c r="AE731" s="47"/>
      <c r="AF731" s="11"/>
      <c r="AG731" s="48"/>
      <c r="AH731" s="11"/>
      <c r="AI731" s="48"/>
      <c r="AJ731" s="11"/>
      <c r="AK731" s="48"/>
      <c r="AL731" s="11"/>
      <c r="AM731" s="49"/>
      <c r="AN731" s="49"/>
      <c r="AO731" s="11"/>
      <c r="AP731" s="11"/>
      <c r="AQ731" s="28" t="b">
        <f>IF(COUNTIF(SmartStatus!A$2:A1000, AM731) &gt; 2, TRUE, FALSE)</f>
        <v>0</v>
      </c>
      <c r="AR731" s="29" t="str">
        <f ca="1">IFERROR(__xludf.DUMMYFUNCTION("iferror(if(regexmatch(AO731, ""(?i)^registered""), if(EE731 &lt;&gt; ""polity_shortest_name"", ""CHECK_POLITY"", index(filter(SmartStatus!B$2:B1000, AM731 = SmartStatus!A$2:A1000, not(SmartStatus!C$2:C1000), (isblank(SmartStatus!D$2:D1000)) + ((P731 &lt;&gt; """") * "&amp;"(P731 &lt; SmartStatus!D$2:D1000)), (isblank(SmartStatus!E$2:E1000)) + ((P731 &lt;&gt; """") * (P731 &gt;= SmartStatus!E$2:E1000)), (isblank(SmartStatus!F$2:F1000)) + (((Q731 &lt;&gt; """") * (Q731 &lt; SmartStatus!F$2:F1000)) + ((P731 &lt;&gt; """") * (date(year(P731) + 3, month(P"&amp;"731), day(P731)) &lt; SmartStatus!F$2:F1000))), (isblank(SmartStatus!G$2:G1000)) + (((Q731 &lt;&gt; """") * (Q731 &gt;= SmartStatus!G$2:G1000)) + ((P731 &lt;&gt; """") * (P731 &gt;= SmartStatus!G$2:G1000)))), if(or(regexmatch(B731, ""(?i)^ir [a-z]+ designation$""), N731 &lt;&gt; """&amp;"""), 1, 2))), """"), ""NO_MATCH"")"),"")</f>
        <v/>
      </c>
      <c r="AS731" s="11"/>
      <c r="AT731" s="15"/>
      <c r="AU731" s="11"/>
      <c r="AV731" s="11"/>
      <c r="AW731" s="15"/>
      <c r="AX731" s="15"/>
      <c r="AY731" s="15"/>
      <c r="AZ731" s="11"/>
      <c r="BA731" s="15"/>
      <c r="BB731" s="11"/>
      <c r="BC731" s="11"/>
      <c r="BD731" s="15"/>
      <c r="BE731" s="11"/>
      <c r="BF731" s="11"/>
      <c r="BG731" s="15"/>
      <c r="BH731" s="15"/>
      <c r="BI731" s="15"/>
      <c r="BJ731" s="11"/>
      <c r="BK731" s="15"/>
      <c r="BL731" s="11"/>
      <c r="BM731" s="11"/>
      <c r="BN731" s="15"/>
      <c r="BO731" s="11"/>
      <c r="BP731" s="11"/>
      <c r="BQ731" s="15"/>
      <c r="BR731" s="15"/>
      <c r="BS731" s="15"/>
      <c r="BT731" s="11"/>
      <c r="BU731" s="15"/>
      <c r="BV731" s="11"/>
      <c r="BW731" s="11"/>
      <c r="BX731" s="15"/>
      <c r="BY731" s="11"/>
      <c r="BZ731" s="11"/>
      <c r="CA731" s="15"/>
      <c r="CB731" s="11"/>
      <c r="CC731" s="15"/>
      <c r="CD731" s="11"/>
      <c r="CE731" s="15"/>
      <c r="CF731" s="11"/>
      <c r="CG731" s="11"/>
      <c r="CH731" s="15"/>
      <c r="CI731" s="11"/>
      <c r="CJ731" s="11"/>
      <c r="CK731" s="15"/>
      <c r="CL731" s="11"/>
      <c r="CM731" s="11"/>
      <c r="CN731" s="11"/>
      <c r="CO731" s="11"/>
      <c r="CP731" s="28"/>
      <c r="CQ731" s="28"/>
      <c r="CR731" s="11"/>
      <c r="CS731" s="29"/>
      <c r="CT731" s="11"/>
      <c r="CU731" s="11"/>
      <c r="CV731" s="11"/>
      <c r="CW731" s="11"/>
      <c r="CX731" s="11"/>
      <c r="CY731" s="11"/>
      <c r="CZ731" s="11"/>
      <c r="DA731" s="28"/>
      <c r="DB731" s="28"/>
      <c r="DC731" s="11"/>
      <c r="DD731" s="29"/>
      <c r="DE731" s="11"/>
      <c r="DF731" s="11"/>
      <c r="DG731" s="11"/>
      <c r="DH731" s="11"/>
      <c r="DI731" s="11"/>
      <c r="DJ731" s="11"/>
      <c r="DK731" s="26"/>
      <c r="DL731" s="11"/>
      <c r="DM731" s="29"/>
      <c r="DN731" s="28"/>
      <c r="DO731" s="11"/>
      <c r="DP731" s="11"/>
      <c r="DQ731" s="11"/>
      <c r="DR731" s="29"/>
      <c r="DS731" s="28"/>
      <c r="DT731" s="11"/>
      <c r="DU731" s="26"/>
      <c r="DV731" s="11"/>
      <c r="DW731" s="29"/>
      <c r="DX731" s="28"/>
      <c r="DY731" s="11"/>
      <c r="DZ731" s="26"/>
      <c r="EA731" s="11"/>
      <c r="EB731" s="29"/>
      <c r="EC731" s="28"/>
      <c r="ED731" s="30"/>
      <c r="EE731" s="30" t="str">
        <f ca="1">IFERROR(__xludf.DUMMYFUNCTION("iferror(index(filter('Internal -- Trademark Countries'!E$2:E1000, (AM731 = 'Internal -- Trademark Countries'!B$2:B1000) + (AM731 = 'Internal -- Trademark Countries'!C$2:C1000) + (AM731 = 'Internal -- Trademark Countries'!D$2:D1000)), 1))"),"")</f>
        <v/>
      </c>
      <c r="EF731" s="30" t="e">
        <f ca="1">_xludf.ifs(AM731="", "", COUNTIF('Internal -- Trademark Countries'!B:B,AM731) &gt; 0, "polity_shortest_name", COUNTIF('Internal -- Trademark Countries'!C:C,AM731) &gt; 0, "polity_full_name", COUNTIF('Internal -- Trademark Countries'!D:D,AM731) &gt; 0, "polity_common_name", COUNTIF('Internal -- Trademark Countries'!E:E,AM731) &gt; 0, "shortest_name", COUNTIF('Internal -- Trademark Countries'!A:A,AM731) &gt; 0, "full_name", TRUE, "not a match")</f>
        <v>#NAME?</v>
      </c>
      <c r="EG731" s="30"/>
      <c r="EH731" s="30"/>
      <c r="EI731" s="30"/>
      <c r="EJ731" s="30"/>
      <c r="EK731" s="30" t="str">
        <f t="shared" si="4"/>
        <v/>
      </c>
    </row>
    <row r="732" spans="1:141" ht="16.5">
      <c r="A732" s="11"/>
      <c r="B732" s="11"/>
      <c r="C732" s="11"/>
      <c r="D732" s="11"/>
      <c r="E732" s="11"/>
      <c r="F732" s="11"/>
      <c r="G732" s="11"/>
      <c r="H732" s="11"/>
      <c r="I732" s="11"/>
      <c r="J732" s="11"/>
      <c r="K732" s="27"/>
      <c r="L732" s="11"/>
      <c r="M732" s="11"/>
      <c r="N732" s="11"/>
      <c r="O732" s="11"/>
      <c r="P732" s="15"/>
      <c r="Q732" s="15"/>
      <c r="R732" s="15"/>
      <c r="S732" s="15"/>
      <c r="T732" s="15"/>
      <c r="U732" s="15"/>
      <c r="V732" s="15"/>
      <c r="W732" s="47"/>
      <c r="X732" s="11"/>
      <c r="Y732" s="48"/>
      <c r="Z732" s="11"/>
      <c r="AA732" s="48"/>
      <c r="AB732" s="11"/>
      <c r="AC732" s="48"/>
      <c r="AD732" s="11"/>
      <c r="AE732" s="47"/>
      <c r="AF732" s="11"/>
      <c r="AG732" s="48"/>
      <c r="AH732" s="11"/>
      <c r="AI732" s="48"/>
      <c r="AJ732" s="11"/>
      <c r="AK732" s="48"/>
      <c r="AL732" s="11"/>
      <c r="AM732" s="49"/>
      <c r="AN732" s="49"/>
      <c r="AO732" s="11"/>
      <c r="AP732" s="11"/>
      <c r="AQ732" s="28" t="b">
        <f>IF(COUNTIF(SmartStatus!A$2:A1000, AM732) &gt; 2, TRUE, FALSE)</f>
        <v>0</v>
      </c>
      <c r="AR732" s="29" t="str">
        <f ca="1">IFERROR(__xludf.DUMMYFUNCTION("iferror(if(regexmatch(AO732, ""(?i)^registered""), if(EE732 &lt;&gt; ""polity_shortest_name"", ""CHECK_POLITY"", index(filter(SmartStatus!B$2:B1000, AM732 = SmartStatus!A$2:A1000, not(SmartStatus!C$2:C1000), (isblank(SmartStatus!D$2:D1000)) + ((P732 &lt;&gt; """") * "&amp;"(P732 &lt; SmartStatus!D$2:D1000)), (isblank(SmartStatus!E$2:E1000)) + ((P732 &lt;&gt; """") * (P732 &gt;= SmartStatus!E$2:E1000)), (isblank(SmartStatus!F$2:F1000)) + (((Q732 &lt;&gt; """") * (Q732 &lt; SmartStatus!F$2:F1000)) + ((P732 &lt;&gt; """") * (date(year(P732) + 3, month(P"&amp;"732), day(P732)) &lt; SmartStatus!F$2:F1000))), (isblank(SmartStatus!G$2:G1000)) + (((Q732 &lt;&gt; """") * (Q732 &gt;= SmartStatus!G$2:G1000)) + ((P732 &lt;&gt; """") * (P732 &gt;= SmartStatus!G$2:G1000)))), if(or(regexmatch(B732, ""(?i)^ir [a-z]+ designation$""), N732 &lt;&gt; """&amp;"""), 1, 2))), """"), ""NO_MATCH"")"),"")</f>
        <v/>
      </c>
      <c r="AS732" s="11"/>
      <c r="AT732" s="15"/>
      <c r="AU732" s="11"/>
      <c r="AV732" s="11"/>
      <c r="AW732" s="15"/>
      <c r="AX732" s="15"/>
      <c r="AY732" s="15"/>
      <c r="AZ732" s="11"/>
      <c r="BA732" s="15"/>
      <c r="BB732" s="11"/>
      <c r="BC732" s="11"/>
      <c r="BD732" s="15"/>
      <c r="BE732" s="11"/>
      <c r="BF732" s="11"/>
      <c r="BG732" s="15"/>
      <c r="BH732" s="15"/>
      <c r="BI732" s="15"/>
      <c r="BJ732" s="11"/>
      <c r="BK732" s="15"/>
      <c r="BL732" s="11"/>
      <c r="BM732" s="11"/>
      <c r="BN732" s="15"/>
      <c r="BO732" s="11"/>
      <c r="BP732" s="11"/>
      <c r="BQ732" s="15"/>
      <c r="BR732" s="15"/>
      <c r="BS732" s="15"/>
      <c r="BT732" s="11"/>
      <c r="BU732" s="15"/>
      <c r="BV732" s="11"/>
      <c r="BW732" s="11"/>
      <c r="BX732" s="15"/>
      <c r="BY732" s="11"/>
      <c r="BZ732" s="11"/>
      <c r="CA732" s="15"/>
      <c r="CB732" s="11"/>
      <c r="CC732" s="15"/>
      <c r="CD732" s="11"/>
      <c r="CE732" s="15"/>
      <c r="CF732" s="11"/>
      <c r="CG732" s="11"/>
      <c r="CH732" s="15"/>
      <c r="CI732" s="11"/>
      <c r="CJ732" s="11"/>
      <c r="CK732" s="15"/>
      <c r="CL732" s="11"/>
      <c r="CM732" s="11"/>
      <c r="CN732" s="11"/>
      <c r="CO732" s="11"/>
      <c r="CP732" s="28"/>
      <c r="CQ732" s="28"/>
      <c r="CR732" s="11"/>
      <c r="CS732" s="29"/>
      <c r="CT732" s="11"/>
      <c r="CU732" s="11"/>
      <c r="CV732" s="11"/>
      <c r="CW732" s="11"/>
      <c r="CX732" s="11"/>
      <c r="CY732" s="11"/>
      <c r="CZ732" s="11"/>
      <c r="DA732" s="28"/>
      <c r="DB732" s="28"/>
      <c r="DC732" s="11"/>
      <c r="DD732" s="29"/>
      <c r="DE732" s="11"/>
      <c r="DF732" s="11"/>
      <c r="DG732" s="11"/>
      <c r="DH732" s="11"/>
      <c r="DI732" s="11"/>
      <c r="DJ732" s="11"/>
      <c r="DK732" s="26"/>
      <c r="DL732" s="11"/>
      <c r="DM732" s="29"/>
      <c r="DN732" s="28"/>
      <c r="DO732" s="11"/>
      <c r="DP732" s="11"/>
      <c r="DQ732" s="11"/>
      <c r="DR732" s="29"/>
      <c r="DS732" s="28"/>
      <c r="DT732" s="11"/>
      <c r="DU732" s="26"/>
      <c r="DV732" s="11"/>
      <c r="DW732" s="29"/>
      <c r="DX732" s="28"/>
      <c r="DY732" s="11"/>
      <c r="DZ732" s="26"/>
      <c r="EA732" s="11"/>
      <c r="EB732" s="29"/>
      <c r="EC732" s="28"/>
      <c r="ED732" s="30"/>
      <c r="EE732" s="30" t="str">
        <f ca="1">IFERROR(__xludf.DUMMYFUNCTION("iferror(index(filter('Internal -- Trademark Countries'!E$2:E1000, (AM732 = 'Internal -- Trademark Countries'!B$2:B1000) + (AM732 = 'Internal -- Trademark Countries'!C$2:C1000) + (AM732 = 'Internal -- Trademark Countries'!D$2:D1000)), 1))"),"")</f>
        <v/>
      </c>
      <c r="EF732" s="30" t="e">
        <f ca="1">_xludf.ifs(AM732="", "", COUNTIF('Internal -- Trademark Countries'!B:B,AM732) &gt; 0, "polity_shortest_name", COUNTIF('Internal -- Trademark Countries'!C:C,AM732) &gt; 0, "polity_full_name", COUNTIF('Internal -- Trademark Countries'!D:D,AM732) &gt; 0, "polity_common_name", COUNTIF('Internal -- Trademark Countries'!E:E,AM732) &gt; 0, "shortest_name", COUNTIF('Internal -- Trademark Countries'!A:A,AM732) &gt; 0, "full_name", TRUE, "not a match")</f>
        <v>#NAME?</v>
      </c>
      <c r="EG732" s="30"/>
      <c r="EH732" s="30"/>
      <c r="EI732" s="30"/>
      <c r="EJ732" s="30"/>
      <c r="EK732" s="30" t="str">
        <f t="shared" si="4"/>
        <v/>
      </c>
    </row>
    <row r="733" spans="1:141" ht="16.5">
      <c r="A733" s="11"/>
      <c r="B733" s="11"/>
      <c r="C733" s="11"/>
      <c r="D733" s="11"/>
      <c r="E733" s="11"/>
      <c r="F733" s="11"/>
      <c r="G733" s="11"/>
      <c r="H733" s="11"/>
      <c r="I733" s="11"/>
      <c r="J733" s="11"/>
      <c r="K733" s="27"/>
      <c r="L733" s="11"/>
      <c r="M733" s="11"/>
      <c r="N733" s="11"/>
      <c r="O733" s="11"/>
      <c r="P733" s="15"/>
      <c r="Q733" s="15"/>
      <c r="R733" s="15"/>
      <c r="S733" s="15"/>
      <c r="T733" s="15"/>
      <c r="U733" s="15"/>
      <c r="V733" s="15"/>
      <c r="W733" s="47"/>
      <c r="X733" s="11"/>
      <c r="Y733" s="48"/>
      <c r="Z733" s="11"/>
      <c r="AA733" s="48"/>
      <c r="AB733" s="11"/>
      <c r="AC733" s="48"/>
      <c r="AD733" s="11"/>
      <c r="AE733" s="47"/>
      <c r="AF733" s="11"/>
      <c r="AG733" s="48"/>
      <c r="AH733" s="11"/>
      <c r="AI733" s="48"/>
      <c r="AJ733" s="11"/>
      <c r="AK733" s="48"/>
      <c r="AL733" s="11"/>
      <c r="AM733" s="49"/>
      <c r="AN733" s="49"/>
      <c r="AO733" s="11"/>
      <c r="AP733" s="11"/>
      <c r="AQ733" s="28" t="b">
        <f>IF(COUNTIF(SmartStatus!A$2:A1000, AM733) &gt; 2, TRUE, FALSE)</f>
        <v>0</v>
      </c>
      <c r="AR733" s="29" t="str">
        <f ca="1">IFERROR(__xludf.DUMMYFUNCTION("iferror(if(regexmatch(AO733, ""(?i)^registered""), if(EE733 &lt;&gt; ""polity_shortest_name"", ""CHECK_POLITY"", index(filter(SmartStatus!B$2:B1000, AM733 = SmartStatus!A$2:A1000, not(SmartStatus!C$2:C1000), (isblank(SmartStatus!D$2:D1000)) + ((P733 &lt;&gt; """") * "&amp;"(P733 &lt; SmartStatus!D$2:D1000)), (isblank(SmartStatus!E$2:E1000)) + ((P733 &lt;&gt; """") * (P733 &gt;= SmartStatus!E$2:E1000)), (isblank(SmartStatus!F$2:F1000)) + (((Q733 &lt;&gt; """") * (Q733 &lt; SmartStatus!F$2:F1000)) + ((P733 &lt;&gt; """") * (date(year(P733) + 3, month(P"&amp;"733), day(P733)) &lt; SmartStatus!F$2:F1000))), (isblank(SmartStatus!G$2:G1000)) + (((Q733 &lt;&gt; """") * (Q733 &gt;= SmartStatus!G$2:G1000)) + ((P733 &lt;&gt; """") * (P733 &gt;= SmartStatus!G$2:G1000)))), if(or(regexmatch(B733, ""(?i)^ir [a-z]+ designation$""), N733 &lt;&gt; """&amp;"""), 1, 2))), """"), ""NO_MATCH"")"),"")</f>
        <v/>
      </c>
      <c r="AS733" s="11"/>
      <c r="AT733" s="15"/>
      <c r="AU733" s="11"/>
      <c r="AV733" s="11"/>
      <c r="AW733" s="15"/>
      <c r="AX733" s="15"/>
      <c r="AY733" s="15"/>
      <c r="AZ733" s="11"/>
      <c r="BA733" s="15"/>
      <c r="BB733" s="11"/>
      <c r="BC733" s="11"/>
      <c r="BD733" s="15"/>
      <c r="BE733" s="11"/>
      <c r="BF733" s="11"/>
      <c r="BG733" s="15"/>
      <c r="BH733" s="15"/>
      <c r="BI733" s="15"/>
      <c r="BJ733" s="11"/>
      <c r="BK733" s="15"/>
      <c r="BL733" s="11"/>
      <c r="BM733" s="11"/>
      <c r="BN733" s="15"/>
      <c r="BO733" s="11"/>
      <c r="BP733" s="11"/>
      <c r="BQ733" s="15"/>
      <c r="BR733" s="15"/>
      <c r="BS733" s="15"/>
      <c r="BT733" s="11"/>
      <c r="BU733" s="15"/>
      <c r="BV733" s="11"/>
      <c r="BW733" s="11"/>
      <c r="BX733" s="15"/>
      <c r="BY733" s="11"/>
      <c r="BZ733" s="11"/>
      <c r="CA733" s="15"/>
      <c r="CB733" s="11"/>
      <c r="CC733" s="15"/>
      <c r="CD733" s="11"/>
      <c r="CE733" s="15"/>
      <c r="CF733" s="11"/>
      <c r="CG733" s="11"/>
      <c r="CH733" s="15"/>
      <c r="CI733" s="11"/>
      <c r="CJ733" s="11"/>
      <c r="CK733" s="15"/>
      <c r="CL733" s="11"/>
      <c r="CM733" s="11"/>
      <c r="CN733" s="11"/>
      <c r="CO733" s="11"/>
      <c r="CP733" s="28"/>
      <c r="CQ733" s="28"/>
      <c r="CR733" s="11"/>
      <c r="CS733" s="29"/>
      <c r="CT733" s="11"/>
      <c r="CU733" s="11"/>
      <c r="CV733" s="11"/>
      <c r="CW733" s="11"/>
      <c r="CX733" s="11"/>
      <c r="CY733" s="11"/>
      <c r="CZ733" s="11"/>
      <c r="DA733" s="28"/>
      <c r="DB733" s="28"/>
      <c r="DC733" s="11"/>
      <c r="DD733" s="29"/>
      <c r="DE733" s="11"/>
      <c r="DF733" s="11"/>
      <c r="DG733" s="11"/>
      <c r="DH733" s="11"/>
      <c r="DI733" s="11"/>
      <c r="DJ733" s="11"/>
      <c r="DK733" s="26"/>
      <c r="DL733" s="11"/>
      <c r="DM733" s="29"/>
      <c r="DN733" s="28"/>
      <c r="DO733" s="11"/>
      <c r="DP733" s="11"/>
      <c r="DQ733" s="11"/>
      <c r="DR733" s="29"/>
      <c r="DS733" s="28"/>
      <c r="DT733" s="11"/>
      <c r="DU733" s="26"/>
      <c r="DV733" s="11"/>
      <c r="DW733" s="29"/>
      <c r="DX733" s="28"/>
      <c r="DY733" s="11"/>
      <c r="DZ733" s="26"/>
      <c r="EA733" s="11"/>
      <c r="EB733" s="29"/>
      <c r="EC733" s="28"/>
      <c r="ED733" s="30"/>
      <c r="EE733" s="30" t="str">
        <f ca="1">IFERROR(__xludf.DUMMYFUNCTION("iferror(index(filter('Internal -- Trademark Countries'!E$2:E1000, (AM733 = 'Internal -- Trademark Countries'!B$2:B1000) + (AM733 = 'Internal -- Trademark Countries'!C$2:C1000) + (AM733 = 'Internal -- Trademark Countries'!D$2:D1000)), 1))"),"")</f>
        <v/>
      </c>
      <c r="EF733" s="30" t="e">
        <f ca="1">_xludf.ifs(AM733="", "", COUNTIF('Internal -- Trademark Countries'!B:B,AM733) &gt; 0, "polity_shortest_name", COUNTIF('Internal -- Trademark Countries'!C:C,AM733) &gt; 0, "polity_full_name", COUNTIF('Internal -- Trademark Countries'!D:D,AM733) &gt; 0, "polity_common_name", COUNTIF('Internal -- Trademark Countries'!E:E,AM733) &gt; 0, "shortest_name", COUNTIF('Internal -- Trademark Countries'!A:A,AM733) &gt; 0, "full_name", TRUE, "not a match")</f>
        <v>#NAME?</v>
      </c>
      <c r="EG733" s="30"/>
      <c r="EH733" s="30"/>
      <c r="EI733" s="30"/>
      <c r="EJ733" s="30"/>
      <c r="EK733" s="30" t="str">
        <f t="shared" si="4"/>
        <v/>
      </c>
    </row>
    <row r="734" spans="1:141" ht="16.5">
      <c r="A734" s="11"/>
      <c r="B734" s="11"/>
      <c r="C734" s="11"/>
      <c r="D734" s="11"/>
      <c r="E734" s="11"/>
      <c r="F734" s="11"/>
      <c r="G734" s="11"/>
      <c r="H734" s="11"/>
      <c r="I734" s="11"/>
      <c r="J734" s="11"/>
      <c r="K734" s="27"/>
      <c r="L734" s="11"/>
      <c r="M734" s="11"/>
      <c r="N734" s="11"/>
      <c r="O734" s="11"/>
      <c r="P734" s="15"/>
      <c r="Q734" s="15"/>
      <c r="R734" s="15"/>
      <c r="S734" s="15"/>
      <c r="T734" s="15"/>
      <c r="U734" s="15"/>
      <c r="V734" s="15"/>
      <c r="W734" s="47"/>
      <c r="X734" s="11"/>
      <c r="Y734" s="48"/>
      <c r="Z734" s="11"/>
      <c r="AA734" s="48"/>
      <c r="AB734" s="11"/>
      <c r="AC734" s="48"/>
      <c r="AD734" s="11"/>
      <c r="AE734" s="47"/>
      <c r="AF734" s="11"/>
      <c r="AG734" s="48"/>
      <c r="AH734" s="11"/>
      <c r="AI734" s="48"/>
      <c r="AJ734" s="11"/>
      <c r="AK734" s="48"/>
      <c r="AL734" s="11"/>
      <c r="AM734" s="49"/>
      <c r="AN734" s="49"/>
      <c r="AO734" s="11"/>
      <c r="AP734" s="11"/>
      <c r="AQ734" s="28" t="b">
        <f>IF(COUNTIF(SmartStatus!A$2:A1000, AM734) &gt; 2, TRUE, FALSE)</f>
        <v>0</v>
      </c>
      <c r="AR734" s="29" t="str">
        <f ca="1">IFERROR(__xludf.DUMMYFUNCTION("iferror(if(regexmatch(AO734, ""(?i)^registered""), if(EE734 &lt;&gt; ""polity_shortest_name"", ""CHECK_POLITY"", index(filter(SmartStatus!B$2:B1000, AM734 = SmartStatus!A$2:A1000, not(SmartStatus!C$2:C1000), (isblank(SmartStatus!D$2:D1000)) + ((P734 &lt;&gt; """") * "&amp;"(P734 &lt; SmartStatus!D$2:D1000)), (isblank(SmartStatus!E$2:E1000)) + ((P734 &lt;&gt; """") * (P734 &gt;= SmartStatus!E$2:E1000)), (isblank(SmartStatus!F$2:F1000)) + (((Q734 &lt;&gt; """") * (Q734 &lt; SmartStatus!F$2:F1000)) + ((P734 &lt;&gt; """") * (date(year(P734) + 3, month(P"&amp;"734), day(P734)) &lt; SmartStatus!F$2:F1000))), (isblank(SmartStatus!G$2:G1000)) + (((Q734 &lt;&gt; """") * (Q734 &gt;= SmartStatus!G$2:G1000)) + ((P734 &lt;&gt; """") * (P734 &gt;= SmartStatus!G$2:G1000)))), if(or(regexmatch(B734, ""(?i)^ir [a-z]+ designation$""), N734 &lt;&gt; """&amp;"""), 1, 2))), """"), ""NO_MATCH"")"),"")</f>
        <v/>
      </c>
      <c r="AS734" s="11"/>
      <c r="AT734" s="15"/>
      <c r="AU734" s="11"/>
      <c r="AV734" s="11"/>
      <c r="AW734" s="15"/>
      <c r="AX734" s="15"/>
      <c r="AY734" s="15"/>
      <c r="AZ734" s="11"/>
      <c r="BA734" s="15"/>
      <c r="BB734" s="11"/>
      <c r="BC734" s="11"/>
      <c r="BD734" s="15"/>
      <c r="BE734" s="11"/>
      <c r="BF734" s="11"/>
      <c r="BG734" s="15"/>
      <c r="BH734" s="15"/>
      <c r="BI734" s="15"/>
      <c r="BJ734" s="11"/>
      <c r="BK734" s="15"/>
      <c r="BL734" s="11"/>
      <c r="BM734" s="11"/>
      <c r="BN734" s="15"/>
      <c r="BO734" s="11"/>
      <c r="BP734" s="11"/>
      <c r="BQ734" s="15"/>
      <c r="BR734" s="15"/>
      <c r="BS734" s="15"/>
      <c r="BT734" s="11"/>
      <c r="BU734" s="15"/>
      <c r="BV734" s="11"/>
      <c r="BW734" s="11"/>
      <c r="BX734" s="15"/>
      <c r="BY734" s="11"/>
      <c r="BZ734" s="11"/>
      <c r="CA734" s="15"/>
      <c r="CB734" s="11"/>
      <c r="CC734" s="15"/>
      <c r="CD734" s="11"/>
      <c r="CE734" s="15"/>
      <c r="CF734" s="11"/>
      <c r="CG734" s="11"/>
      <c r="CH734" s="15"/>
      <c r="CI734" s="11"/>
      <c r="CJ734" s="11"/>
      <c r="CK734" s="15"/>
      <c r="CL734" s="11"/>
      <c r="CM734" s="11"/>
      <c r="CN734" s="11"/>
      <c r="CO734" s="11"/>
      <c r="CP734" s="28"/>
      <c r="CQ734" s="28"/>
      <c r="CR734" s="11"/>
      <c r="CS734" s="29"/>
      <c r="CT734" s="11"/>
      <c r="CU734" s="11"/>
      <c r="CV734" s="11"/>
      <c r="CW734" s="11"/>
      <c r="CX734" s="11"/>
      <c r="CY734" s="11"/>
      <c r="CZ734" s="11"/>
      <c r="DA734" s="28"/>
      <c r="DB734" s="28"/>
      <c r="DC734" s="11"/>
      <c r="DD734" s="29"/>
      <c r="DE734" s="11"/>
      <c r="DF734" s="11"/>
      <c r="DG734" s="11"/>
      <c r="DH734" s="11"/>
      <c r="DI734" s="11"/>
      <c r="DJ734" s="11"/>
      <c r="DK734" s="26"/>
      <c r="DL734" s="11"/>
      <c r="DM734" s="29"/>
      <c r="DN734" s="28"/>
      <c r="DO734" s="11"/>
      <c r="DP734" s="11"/>
      <c r="DQ734" s="11"/>
      <c r="DR734" s="29"/>
      <c r="DS734" s="28"/>
      <c r="DT734" s="11"/>
      <c r="DU734" s="26"/>
      <c r="DV734" s="11"/>
      <c r="DW734" s="29"/>
      <c r="DX734" s="28"/>
      <c r="DY734" s="11"/>
      <c r="DZ734" s="26"/>
      <c r="EA734" s="11"/>
      <c r="EB734" s="29"/>
      <c r="EC734" s="28"/>
      <c r="ED734" s="30"/>
      <c r="EE734" s="30" t="str">
        <f ca="1">IFERROR(__xludf.DUMMYFUNCTION("iferror(index(filter('Internal -- Trademark Countries'!E$2:E1000, (AM734 = 'Internal -- Trademark Countries'!B$2:B1000) + (AM734 = 'Internal -- Trademark Countries'!C$2:C1000) + (AM734 = 'Internal -- Trademark Countries'!D$2:D1000)), 1))"),"")</f>
        <v/>
      </c>
      <c r="EF734" s="30" t="e">
        <f ca="1">_xludf.ifs(AM734="", "", COUNTIF('Internal -- Trademark Countries'!B:B,AM734) &gt; 0, "polity_shortest_name", COUNTIF('Internal -- Trademark Countries'!C:C,AM734) &gt; 0, "polity_full_name", COUNTIF('Internal -- Trademark Countries'!D:D,AM734) &gt; 0, "polity_common_name", COUNTIF('Internal -- Trademark Countries'!E:E,AM734) &gt; 0, "shortest_name", COUNTIF('Internal -- Trademark Countries'!A:A,AM734) &gt; 0, "full_name", TRUE, "not a match")</f>
        <v>#NAME?</v>
      </c>
      <c r="EG734" s="30"/>
      <c r="EH734" s="30"/>
      <c r="EI734" s="30"/>
      <c r="EJ734" s="30"/>
      <c r="EK734" s="30" t="str">
        <f t="shared" si="4"/>
        <v/>
      </c>
    </row>
    <row r="735" spans="1:141" ht="16.5">
      <c r="A735" s="11"/>
      <c r="B735" s="11"/>
      <c r="C735" s="11"/>
      <c r="D735" s="11"/>
      <c r="E735" s="11"/>
      <c r="F735" s="11"/>
      <c r="G735" s="11"/>
      <c r="H735" s="11"/>
      <c r="I735" s="11"/>
      <c r="J735" s="11"/>
      <c r="K735" s="27"/>
      <c r="L735" s="11"/>
      <c r="M735" s="11"/>
      <c r="N735" s="11"/>
      <c r="O735" s="11"/>
      <c r="P735" s="15"/>
      <c r="Q735" s="15"/>
      <c r="R735" s="15"/>
      <c r="S735" s="15"/>
      <c r="T735" s="15"/>
      <c r="U735" s="15"/>
      <c r="V735" s="15"/>
      <c r="W735" s="47"/>
      <c r="X735" s="11"/>
      <c r="Y735" s="48"/>
      <c r="Z735" s="11"/>
      <c r="AA735" s="48"/>
      <c r="AB735" s="11"/>
      <c r="AC735" s="48"/>
      <c r="AD735" s="11"/>
      <c r="AE735" s="47"/>
      <c r="AF735" s="11"/>
      <c r="AG735" s="48"/>
      <c r="AH735" s="11"/>
      <c r="AI735" s="48"/>
      <c r="AJ735" s="11"/>
      <c r="AK735" s="48"/>
      <c r="AL735" s="11"/>
      <c r="AM735" s="49"/>
      <c r="AN735" s="49"/>
      <c r="AO735" s="11"/>
      <c r="AP735" s="11"/>
      <c r="AQ735" s="28" t="b">
        <f>IF(COUNTIF(SmartStatus!A$2:A1000, AM735) &gt; 2, TRUE, FALSE)</f>
        <v>0</v>
      </c>
      <c r="AR735" s="29" t="str">
        <f ca="1">IFERROR(__xludf.DUMMYFUNCTION("iferror(if(regexmatch(AO735, ""(?i)^registered""), if(EE735 &lt;&gt; ""polity_shortest_name"", ""CHECK_POLITY"", index(filter(SmartStatus!B$2:B1000, AM735 = SmartStatus!A$2:A1000, not(SmartStatus!C$2:C1000), (isblank(SmartStatus!D$2:D1000)) + ((P735 &lt;&gt; """") * "&amp;"(P735 &lt; SmartStatus!D$2:D1000)), (isblank(SmartStatus!E$2:E1000)) + ((P735 &lt;&gt; """") * (P735 &gt;= SmartStatus!E$2:E1000)), (isblank(SmartStatus!F$2:F1000)) + (((Q735 &lt;&gt; """") * (Q735 &lt; SmartStatus!F$2:F1000)) + ((P735 &lt;&gt; """") * (date(year(P735) + 3, month(P"&amp;"735), day(P735)) &lt; SmartStatus!F$2:F1000))), (isblank(SmartStatus!G$2:G1000)) + (((Q735 &lt;&gt; """") * (Q735 &gt;= SmartStatus!G$2:G1000)) + ((P735 &lt;&gt; """") * (P735 &gt;= SmartStatus!G$2:G1000)))), if(or(regexmatch(B735, ""(?i)^ir [a-z]+ designation$""), N735 &lt;&gt; """&amp;"""), 1, 2))), """"), ""NO_MATCH"")"),"")</f>
        <v/>
      </c>
      <c r="AS735" s="11"/>
      <c r="AT735" s="15"/>
      <c r="AU735" s="11"/>
      <c r="AV735" s="11"/>
      <c r="AW735" s="15"/>
      <c r="AX735" s="15"/>
      <c r="AY735" s="15"/>
      <c r="AZ735" s="11"/>
      <c r="BA735" s="15"/>
      <c r="BB735" s="11"/>
      <c r="BC735" s="11"/>
      <c r="BD735" s="15"/>
      <c r="BE735" s="11"/>
      <c r="BF735" s="11"/>
      <c r="BG735" s="15"/>
      <c r="BH735" s="15"/>
      <c r="BI735" s="15"/>
      <c r="BJ735" s="11"/>
      <c r="BK735" s="15"/>
      <c r="BL735" s="11"/>
      <c r="BM735" s="11"/>
      <c r="BN735" s="15"/>
      <c r="BO735" s="11"/>
      <c r="BP735" s="11"/>
      <c r="BQ735" s="15"/>
      <c r="BR735" s="15"/>
      <c r="BS735" s="15"/>
      <c r="BT735" s="11"/>
      <c r="BU735" s="15"/>
      <c r="BV735" s="11"/>
      <c r="BW735" s="11"/>
      <c r="BX735" s="15"/>
      <c r="BY735" s="11"/>
      <c r="BZ735" s="11"/>
      <c r="CA735" s="15"/>
      <c r="CB735" s="11"/>
      <c r="CC735" s="15"/>
      <c r="CD735" s="11"/>
      <c r="CE735" s="15"/>
      <c r="CF735" s="11"/>
      <c r="CG735" s="11"/>
      <c r="CH735" s="15"/>
      <c r="CI735" s="11"/>
      <c r="CJ735" s="11"/>
      <c r="CK735" s="15"/>
      <c r="CL735" s="11"/>
      <c r="CM735" s="11"/>
      <c r="CN735" s="11"/>
      <c r="CO735" s="11"/>
      <c r="CP735" s="28"/>
      <c r="CQ735" s="28"/>
      <c r="CR735" s="11"/>
      <c r="CS735" s="29"/>
      <c r="CT735" s="11"/>
      <c r="CU735" s="11"/>
      <c r="CV735" s="11"/>
      <c r="CW735" s="11"/>
      <c r="CX735" s="11"/>
      <c r="CY735" s="11"/>
      <c r="CZ735" s="11"/>
      <c r="DA735" s="28"/>
      <c r="DB735" s="28"/>
      <c r="DC735" s="11"/>
      <c r="DD735" s="29"/>
      <c r="DE735" s="11"/>
      <c r="DF735" s="11"/>
      <c r="DG735" s="11"/>
      <c r="DH735" s="11"/>
      <c r="DI735" s="11"/>
      <c r="DJ735" s="11"/>
      <c r="DK735" s="26"/>
      <c r="DL735" s="11"/>
      <c r="DM735" s="29"/>
      <c r="DN735" s="28"/>
      <c r="DO735" s="11"/>
      <c r="DP735" s="11"/>
      <c r="DQ735" s="11"/>
      <c r="DR735" s="29"/>
      <c r="DS735" s="28"/>
      <c r="DT735" s="11"/>
      <c r="DU735" s="26"/>
      <c r="DV735" s="11"/>
      <c r="DW735" s="29"/>
      <c r="DX735" s="28"/>
      <c r="DY735" s="11"/>
      <c r="DZ735" s="26"/>
      <c r="EA735" s="11"/>
      <c r="EB735" s="29"/>
      <c r="EC735" s="28"/>
      <c r="ED735" s="30"/>
      <c r="EE735" s="30" t="str">
        <f ca="1">IFERROR(__xludf.DUMMYFUNCTION("iferror(index(filter('Internal -- Trademark Countries'!E$2:E1000, (AM735 = 'Internal -- Trademark Countries'!B$2:B1000) + (AM735 = 'Internal -- Trademark Countries'!C$2:C1000) + (AM735 = 'Internal -- Trademark Countries'!D$2:D1000)), 1))"),"")</f>
        <v/>
      </c>
      <c r="EF735" s="30" t="e">
        <f ca="1">_xludf.ifs(AM735="", "", COUNTIF('Internal -- Trademark Countries'!B:B,AM735) &gt; 0, "polity_shortest_name", COUNTIF('Internal -- Trademark Countries'!C:C,AM735) &gt; 0, "polity_full_name", COUNTIF('Internal -- Trademark Countries'!D:D,AM735) &gt; 0, "polity_common_name", COUNTIF('Internal -- Trademark Countries'!E:E,AM735) &gt; 0, "shortest_name", COUNTIF('Internal -- Trademark Countries'!A:A,AM735) &gt; 0, "full_name", TRUE, "not a match")</f>
        <v>#NAME?</v>
      </c>
      <c r="EG735" s="30"/>
      <c r="EH735" s="30"/>
      <c r="EI735" s="30"/>
      <c r="EJ735" s="30"/>
      <c r="EK735" s="30" t="str">
        <f t="shared" si="4"/>
        <v/>
      </c>
    </row>
    <row r="736" spans="1:141" ht="16.5">
      <c r="A736" s="11"/>
      <c r="B736" s="11"/>
      <c r="C736" s="11"/>
      <c r="D736" s="11"/>
      <c r="E736" s="11"/>
      <c r="F736" s="11"/>
      <c r="G736" s="11"/>
      <c r="H736" s="11"/>
      <c r="I736" s="11"/>
      <c r="J736" s="11"/>
      <c r="K736" s="27"/>
      <c r="L736" s="11"/>
      <c r="M736" s="11"/>
      <c r="N736" s="11"/>
      <c r="O736" s="11"/>
      <c r="P736" s="15"/>
      <c r="Q736" s="15"/>
      <c r="R736" s="15"/>
      <c r="S736" s="15"/>
      <c r="T736" s="15"/>
      <c r="U736" s="15"/>
      <c r="V736" s="15"/>
      <c r="W736" s="47"/>
      <c r="X736" s="11"/>
      <c r="Y736" s="48"/>
      <c r="Z736" s="11"/>
      <c r="AA736" s="48"/>
      <c r="AB736" s="11"/>
      <c r="AC736" s="48"/>
      <c r="AD736" s="11"/>
      <c r="AE736" s="47"/>
      <c r="AF736" s="11"/>
      <c r="AG736" s="48"/>
      <c r="AH736" s="11"/>
      <c r="AI736" s="48"/>
      <c r="AJ736" s="11"/>
      <c r="AK736" s="48"/>
      <c r="AL736" s="11"/>
      <c r="AM736" s="49"/>
      <c r="AN736" s="49"/>
      <c r="AO736" s="11"/>
      <c r="AP736" s="11"/>
      <c r="AQ736" s="28" t="b">
        <f>IF(COUNTIF(SmartStatus!A$2:A1000, AM736) &gt; 2, TRUE, FALSE)</f>
        <v>0</v>
      </c>
      <c r="AR736" s="29" t="str">
        <f ca="1">IFERROR(__xludf.DUMMYFUNCTION("iferror(if(regexmatch(AO736, ""(?i)^registered""), if(EE736 &lt;&gt; ""polity_shortest_name"", ""CHECK_POLITY"", index(filter(SmartStatus!B$2:B1000, AM736 = SmartStatus!A$2:A1000, not(SmartStatus!C$2:C1000), (isblank(SmartStatus!D$2:D1000)) + ((P736 &lt;&gt; """") * "&amp;"(P736 &lt; SmartStatus!D$2:D1000)), (isblank(SmartStatus!E$2:E1000)) + ((P736 &lt;&gt; """") * (P736 &gt;= SmartStatus!E$2:E1000)), (isblank(SmartStatus!F$2:F1000)) + (((Q736 &lt;&gt; """") * (Q736 &lt; SmartStatus!F$2:F1000)) + ((P736 &lt;&gt; """") * (date(year(P736) + 3, month(P"&amp;"736), day(P736)) &lt; SmartStatus!F$2:F1000))), (isblank(SmartStatus!G$2:G1000)) + (((Q736 &lt;&gt; """") * (Q736 &gt;= SmartStatus!G$2:G1000)) + ((P736 &lt;&gt; """") * (P736 &gt;= SmartStatus!G$2:G1000)))), if(or(regexmatch(B736, ""(?i)^ir [a-z]+ designation$""), N736 &lt;&gt; """&amp;"""), 1, 2))), """"), ""NO_MATCH"")"),"")</f>
        <v/>
      </c>
      <c r="AS736" s="11"/>
      <c r="AT736" s="15"/>
      <c r="AU736" s="11"/>
      <c r="AV736" s="11"/>
      <c r="AW736" s="15"/>
      <c r="AX736" s="15"/>
      <c r="AY736" s="15"/>
      <c r="AZ736" s="11"/>
      <c r="BA736" s="15"/>
      <c r="BB736" s="11"/>
      <c r="BC736" s="11"/>
      <c r="BD736" s="15"/>
      <c r="BE736" s="11"/>
      <c r="BF736" s="11"/>
      <c r="BG736" s="15"/>
      <c r="BH736" s="15"/>
      <c r="BI736" s="15"/>
      <c r="BJ736" s="11"/>
      <c r="BK736" s="15"/>
      <c r="BL736" s="11"/>
      <c r="BM736" s="11"/>
      <c r="BN736" s="15"/>
      <c r="BO736" s="11"/>
      <c r="BP736" s="11"/>
      <c r="BQ736" s="15"/>
      <c r="BR736" s="15"/>
      <c r="BS736" s="15"/>
      <c r="BT736" s="11"/>
      <c r="BU736" s="15"/>
      <c r="BV736" s="11"/>
      <c r="BW736" s="11"/>
      <c r="BX736" s="15"/>
      <c r="BY736" s="11"/>
      <c r="BZ736" s="11"/>
      <c r="CA736" s="15"/>
      <c r="CB736" s="11"/>
      <c r="CC736" s="15"/>
      <c r="CD736" s="11"/>
      <c r="CE736" s="15"/>
      <c r="CF736" s="11"/>
      <c r="CG736" s="11"/>
      <c r="CH736" s="15"/>
      <c r="CI736" s="11"/>
      <c r="CJ736" s="11"/>
      <c r="CK736" s="15"/>
      <c r="CL736" s="11"/>
      <c r="CM736" s="11"/>
      <c r="CN736" s="11"/>
      <c r="CO736" s="11"/>
      <c r="CP736" s="28"/>
      <c r="CQ736" s="28"/>
      <c r="CR736" s="11"/>
      <c r="CS736" s="29"/>
      <c r="CT736" s="11"/>
      <c r="CU736" s="11"/>
      <c r="CV736" s="11"/>
      <c r="CW736" s="11"/>
      <c r="CX736" s="11"/>
      <c r="CY736" s="11"/>
      <c r="CZ736" s="11"/>
      <c r="DA736" s="28"/>
      <c r="DB736" s="28"/>
      <c r="DC736" s="11"/>
      <c r="DD736" s="29"/>
      <c r="DE736" s="11"/>
      <c r="DF736" s="11"/>
      <c r="DG736" s="11"/>
      <c r="DH736" s="11"/>
      <c r="DI736" s="11"/>
      <c r="DJ736" s="11"/>
      <c r="DK736" s="26"/>
      <c r="DL736" s="11"/>
      <c r="DM736" s="29"/>
      <c r="DN736" s="28"/>
      <c r="DO736" s="11"/>
      <c r="DP736" s="11"/>
      <c r="DQ736" s="11"/>
      <c r="DR736" s="29"/>
      <c r="DS736" s="28"/>
      <c r="DT736" s="11"/>
      <c r="DU736" s="26"/>
      <c r="DV736" s="11"/>
      <c r="DW736" s="29"/>
      <c r="DX736" s="28"/>
      <c r="DY736" s="11"/>
      <c r="DZ736" s="26"/>
      <c r="EA736" s="11"/>
      <c r="EB736" s="29"/>
      <c r="EC736" s="28"/>
      <c r="ED736" s="30"/>
      <c r="EE736" s="30" t="str">
        <f ca="1">IFERROR(__xludf.DUMMYFUNCTION("iferror(index(filter('Internal -- Trademark Countries'!E$2:E1000, (AM736 = 'Internal -- Trademark Countries'!B$2:B1000) + (AM736 = 'Internal -- Trademark Countries'!C$2:C1000) + (AM736 = 'Internal -- Trademark Countries'!D$2:D1000)), 1))"),"")</f>
        <v/>
      </c>
      <c r="EF736" s="30" t="e">
        <f ca="1">_xludf.ifs(AM736="", "", COUNTIF('Internal -- Trademark Countries'!B:B,AM736) &gt; 0, "polity_shortest_name", COUNTIF('Internal -- Trademark Countries'!C:C,AM736) &gt; 0, "polity_full_name", COUNTIF('Internal -- Trademark Countries'!D:D,AM736) &gt; 0, "polity_common_name", COUNTIF('Internal -- Trademark Countries'!E:E,AM736) &gt; 0, "shortest_name", COUNTIF('Internal -- Trademark Countries'!A:A,AM736) &gt; 0, "full_name", TRUE, "not a match")</f>
        <v>#NAME?</v>
      </c>
      <c r="EG736" s="30"/>
      <c r="EH736" s="30"/>
      <c r="EI736" s="30"/>
      <c r="EJ736" s="30"/>
      <c r="EK736" s="30" t="str">
        <f t="shared" si="4"/>
        <v/>
      </c>
    </row>
    <row r="737" spans="1:141" ht="16.5">
      <c r="A737" s="11"/>
      <c r="B737" s="11"/>
      <c r="C737" s="11"/>
      <c r="D737" s="11"/>
      <c r="E737" s="11"/>
      <c r="F737" s="11"/>
      <c r="G737" s="11"/>
      <c r="H737" s="11"/>
      <c r="I737" s="11"/>
      <c r="J737" s="11"/>
      <c r="K737" s="27"/>
      <c r="L737" s="11"/>
      <c r="M737" s="11"/>
      <c r="N737" s="11"/>
      <c r="O737" s="11"/>
      <c r="P737" s="15"/>
      <c r="Q737" s="15"/>
      <c r="R737" s="15"/>
      <c r="S737" s="15"/>
      <c r="T737" s="15"/>
      <c r="U737" s="15"/>
      <c r="V737" s="15"/>
      <c r="W737" s="47"/>
      <c r="X737" s="11"/>
      <c r="Y737" s="48"/>
      <c r="Z737" s="11"/>
      <c r="AA737" s="48"/>
      <c r="AB737" s="11"/>
      <c r="AC737" s="48"/>
      <c r="AD737" s="11"/>
      <c r="AE737" s="47"/>
      <c r="AF737" s="11"/>
      <c r="AG737" s="48"/>
      <c r="AH737" s="11"/>
      <c r="AI737" s="48"/>
      <c r="AJ737" s="11"/>
      <c r="AK737" s="48"/>
      <c r="AL737" s="11"/>
      <c r="AM737" s="49"/>
      <c r="AN737" s="49"/>
      <c r="AO737" s="11"/>
      <c r="AP737" s="11"/>
      <c r="AQ737" s="28" t="b">
        <f>IF(COUNTIF(SmartStatus!A$2:A1000, AM737) &gt; 2, TRUE, FALSE)</f>
        <v>0</v>
      </c>
      <c r="AR737" s="29" t="str">
        <f ca="1">IFERROR(__xludf.DUMMYFUNCTION("iferror(if(regexmatch(AO737, ""(?i)^registered""), if(EE737 &lt;&gt; ""polity_shortest_name"", ""CHECK_POLITY"", index(filter(SmartStatus!B$2:B1000, AM737 = SmartStatus!A$2:A1000, not(SmartStatus!C$2:C1000), (isblank(SmartStatus!D$2:D1000)) + ((P737 &lt;&gt; """") * "&amp;"(P737 &lt; SmartStatus!D$2:D1000)), (isblank(SmartStatus!E$2:E1000)) + ((P737 &lt;&gt; """") * (P737 &gt;= SmartStatus!E$2:E1000)), (isblank(SmartStatus!F$2:F1000)) + (((Q737 &lt;&gt; """") * (Q737 &lt; SmartStatus!F$2:F1000)) + ((P737 &lt;&gt; """") * (date(year(P737) + 3, month(P"&amp;"737), day(P737)) &lt; SmartStatus!F$2:F1000))), (isblank(SmartStatus!G$2:G1000)) + (((Q737 &lt;&gt; """") * (Q737 &gt;= SmartStatus!G$2:G1000)) + ((P737 &lt;&gt; """") * (P737 &gt;= SmartStatus!G$2:G1000)))), if(or(regexmatch(B737, ""(?i)^ir [a-z]+ designation$""), N737 &lt;&gt; """&amp;"""), 1, 2))), """"), ""NO_MATCH"")"),"")</f>
        <v/>
      </c>
      <c r="AS737" s="11"/>
      <c r="AT737" s="15"/>
      <c r="AU737" s="11"/>
      <c r="AV737" s="11"/>
      <c r="AW737" s="15"/>
      <c r="AX737" s="15"/>
      <c r="AY737" s="15"/>
      <c r="AZ737" s="11"/>
      <c r="BA737" s="15"/>
      <c r="BB737" s="11"/>
      <c r="BC737" s="11"/>
      <c r="BD737" s="15"/>
      <c r="BE737" s="11"/>
      <c r="BF737" s="11"/>
      <c r="BG737" s="15"/>
      <c r="BH737" s="15"/>
      <c r="BI737" s="15"/>
      <c r="BJ737" s="11"/>
      <c r="BK737" s="15"/>
      <c r="BL737" s="11"/>
      <c r="BM737" s="11"/>
      <c r="BN737" s="15"/>
      <c r="BO737" s="11"/>
      <c r="BP737" s="11"/>
      <c r="BQ737" s="15"/>
      <c r="BR737" s="15"/>
      <c r="BS737" s="15"/>
      <c r="BT737" s="11"/>
      <c r="BU737" s="15"/>
      <c r="BV737" s="11"/>
      <c r="BW737" s="11"/>
      <c r="BX737" s="15"/>
      <c r="BY737" s="11"/>
      <c r="BZ737" s="11"/>
      <c r="CA737" s="15"/>
      <c r="CB737" s="11"/>
      <c r="CC737" s="15"/>
      <c r="CD737" s="11"/>
      <c r="CE737" s="15"/>
      <c r="CF737" s="11"/>
      <c r="CG737" s="11"/>
      <c r="CH737" s="15"/>
      <c r="CI737" s="11"/>
      <c r="CJ737" s="11"/>
      <c r="CK737" s="15"/>
      <c r="CL737" s="11"/>
      <c r="CM737" s="11"/>
      <c r="CN737" s="11"/>
      <c r="CO737" s="11"/>
      <c r="CP737" s="28"/>
      <c r="CQ737" s="28"/>
      <c r="CR737" s="11"/>
      <c r="CS737" s="29"/>
      <c r="CT737" s="11"/>
      <c r="CU737" s="11"/>
      <c r="CV737" s="11"/>
      <c r="CW737" s="11"/>
      <c r="CX737" s="11"/>
      <c r="CY737" s="11"/>
      <c r="CZ737" s="11"/>
      <c r="DA737" s="28"/>
      <c r="DB737" s="28"/>
      <c r="DC737" s="11"/>
      <c r="DD737" s="29"/>
      <c r="DE737" s="11"/>
      <c r="DF737" s="11"/>
      <c r="DG737" s="11"/>
      <c r="DH737" s="11"/>
      <c r="DI737" s="11"/>
      <c r="DJ737" s="11"/>
      <c r="DK737" s="26"/>
      <c r="DL737" s="11"/>
      <c r="DM737" s="29"/>
      <c r="DN737" s="28"/>
      <c r="DO737" s="11"/>
      <c r="DP737" s="11"/>
      <c r="DQ737" s="11"/>
      <c r="DR737" s="29"/>
      <c r="DS737" s="28"/>
      <c r="DT737" s="11"/>
      <c r="DU737" s="26"/>
      <c r="DV737" s="11"/>
      <c r="DW737" s="29"/>
      <c r="DX737" s="28"/>
      <c r="DY737" s="11"/>
      <c r="DZ737" s="26"/>
      <c r="EA737" s="11"/>
      <c r="EB737" s="29"/>
      <c r="EC737" s="28"/>
      <c r="ED737" s="30"/>
      <c r="EE737" s="30" t="str">
        <f ca="1">IFERROR(__xludf.DUMMYFUNCTION("iferror(index(filter('Internal -- Trademark Countries'!E$2:E1000, (AM737 = 'Internal -- Trademark Countries'!B$2:B1000) + (AM737 = 'Internal -- Trademark Countries'!C$2:C1000) + (AM737 = 'Internal -- Trademark Countries'!D$2:D1000)), 1))"),"")</f>
        <v/>
      </c>
      <c r="EF737" s="30" t="e">
        <f ca="1">_xludf.ifs(AM737="", "", COUNTIF('Internal -- Trademark Countries'!B:B,AM737) &gt; 0, "polity_shortest_name", COUNTIF('Internal -- Trademark Countries'!C:C,AM737) &gt; 0, "polity_full_name", COUNTIF('Internal -- Trademark Countries'!D:D,AM737) &gt; 0, "polity_common_name", COUNTIF('Internal -- Trademark Countries'!E:E,AM737) &gt; 0, "shortest_name", COUNTIF('Internal -- Trademark Countries'!A:A,AM737) &gt; 0, "full_name", TRUE, "not a match")</f>
        <v>#NAME?</v>
      </c>
      <c r="EG737" s="30"/>
      <c r="EH737" s="30"/>
      <c r="EI737" s="30"/>
      <c r="EJ737" s="30"/>
      <c r="EK737" s="30" t="str">
        <f t="shared" si="4"/>
        <v/>
      </c>
    </row>
    <row r="738" spans="1:141" ht="16.5">
      <c r="A738" s="11"/>
      <c r="B738" s="11"/>
      <c r="C738" s="11"/>
      <c r="D738" s="11"/>
      <c r="E738" s="11"/>
      <c r="F738" s="11"/>
      <c r="G738" s="11"/>
      <c r="H738" s="11"/>
      <c r="I738" s="11"/>
      <c r="J738" s="11"/>
      <c r="K738" s="27"/>
      <c r="L738" s="11"/>
      <c r="M738" s="11"/>
      <c r="N738" s="11"/>
      <c r="O738" s="11"/>
      <c r="P738" s="15"/>
      <c r="Q738" s="15"/>
      <c r="R738" s="15"/>
      <c r="S738" s="15"/>
      <c r="T738" s="15"/>
      <c r="U738" s="15"/>
      <c r="V738" s="15"/>
      <c r="W738" s="47"/>
      <c r="X738" s="11"/>
      <c r="Y738" s="48"/>
      <c r="Z738" s="11"/>
      <c r="AA738" s="48"/>
      <c r="AB738" s="11"/>
      <c r="AC738" s="48"/>
      <c r="AD738" s="11"/>
      <c r="AE738" s="47"/>
      <c r="AF738" s="11"/>
      <c r="AG738" s="48"/>
      <c r="AH738" s="11"/>
      <c r="AI738" s="48"/>
      <c r="AJ738" s="11"/>
      <c r="AK738" s="48"/>
      <c r="AL738" s="11"/>
      <c r="AM738" s="49"/>
      <c r="AN738" s="49"/>
      <c r="AO738" s="11"/>
      <c r="AP738" s="11"/>
      <c r="AQ738" s="28" t="b">
        <f>IF(COUNTIF(SmartStatus!A$2:A1000, AM738) &gt; 2, TRUE, FALSE)</f>
        <v>0</v>
      </c>
      <c r="AR738" s="29" t="str">
        <f ca="1">IFERROR(__xludf.DUMMYFUNCTION("iferror(if(regexmatch(AO738, ""(?i)^registered""), if(EE738 &lt;&gt; ""polity_shortest_name"", ""CHECK_POLITY"", index(filter(SmartStatus!B$2:B1000, AM738 = SmartStatus!A$2:A1000, not(SmartStatus!C$2:C1000), (isblank(SmartStatus!D$2:D1000)) + ((P738 &lt;&gt; """") * "&amp;"(P738 &lt; SmartStatus!D$2:D1000)), (isblank(SmartStatus!E$2:E1000)) + ((P738 &lt;&gt; """") * (P738 &gt;= SmartStatus!E$2:E1000)), (isblank(SmartStatus!F$2:F1000)) + (((Q738 &lt;&gt; """") * (Q738 &lt; SmartStatus!F$2:F1000)) + ((P738 &lt;&gt; """") * (date(year(P738) + 3, month(P"&amp;"738), day(P738)) &lt; SmartStatus!F$2:F1000))), (isblank(SmartStatus!G$2:G1000)) + (((Q738 &lt;&gt; """") * (Q738 &gt;= SmartStatus!G$2:G1000)) + ((P738 &lt;&gt; """") * (P738 &gt;= SmartStatus!G$2:G1000)))), if(or(regexmatch(B738, ""(?i)^ir [a-z]+ designation$""), N738 &lt;&gt; """&amp;"""), 1, 2))), """"), ""NO_MATCH"")"),"")</f>
        <v/>
      </c>
      <c r="AS738" s="11"/>
      <c r="AT738" s="15"/>
      <c r="AU738" s="11"/>
      <c r="AV738" s="11"/>
      <c r="AW738" s="15"/>
      <c r="AX738" s="15"/>
      <c r="AY738" s="15"/>
      <c r="AZ738" s="11"/>
      <c r="BA738" s="15"/>
      <c r="BB738" s="11"/>
      <c r="BC738" s="11"/>
      <c r="BD738" s="15"/>
      <c r="BE738" s="11"/>
      <c r="BF738" s="11"/>
      <c r="BG738" s="15"/>
      <c r="BH738" s="15"/>
      <c r="BI738" s="15"/>
      <c r="BJ738" s="11"/>
      <c r="BK738" s="15"/>
      <c r="BL738" s="11"/>
      <c r="BM738" s="11"/>
      <c r="BN738" s="15"/>
      <c r="BO738" s="11"/>
      <c r="BP738" s="11"/>
      <c r="BQ738" s="15"/>
      <c r="BR738" s="15"/>
      <c r="BS738" s="15"/>
      <c r="BT738" s="11"/>
      <c r="BU738" s="15"/>
      <c r="BV738" s="11"/>
      <c r="BW738" s="11"/>
      <c r="BX738" s="15"/>
      <c r="BY738" s="11"/>
      <c r="BZ738" s="11"/>
      <c r="CA738" s="15"/>
      <c r="CB738" s="11"/>
      <c r="CC738" s="15"/>
      <c r="CD738" s="11"/>
      <c r="CE738" s="15"/>
      <c r="CF738" s="11"/>
      <c r="CG738" s="11"/>
      <c r="CH738" s="15"/>
      <c r="CI738" s="11"/>
      <c r="CJ738" s="11"/>
      <c r="CK738" s="15"/>
      <c r="CL738" s="11"/>
      <c r="CM738" s="11"/>
      <c r="CN738" s="11"/>
      <c r="CO738" s="11"/>
      <c r="CP738" s="28"/>
      <c r="CQ738" s="28"/>
      <c r="CR738" s="11"/>
      <c r="CS738" s="29"/>
      <c r="CT738" s="11"/>
      <c r="CU738" s="11"/>
      <c r="CV738" s="11"/>
      <c r="CW738" s="11"/>
      <c r="CX738" s="11"/>
      <c r="CY738" s="11"/>
      <c r="CZ738" s="11"/>
      <c r="DA738" s="28"/>
      <c r="DB738" s="28"/>
      <c r="DC738" s="11"/>
      <c r="DD738" s="29"/>
      <c r="DE738" s="11"/>
      <c r="DF738" s="11"/>
      <c r="DG738" s="11"/>
      <c r="DH738" s="11"/>
      <c r="DI738" s="11"/>
      <c r="DJ738" s="11"/>
      <c r="DK738" s="26"/>
      <c r="DL738" s="11"/>
      <c r="DM738" s="29"/>
      <c r="DN738" s="28"/>
      <c r="DO738" s="11"/>
      <c r="DP738" s="11"/>
      <c r="DQ738" s="11"/>
      <c r="DR738" s="29"/>
      <c r="DS738" s="28"/>
      <c r="DT738" s="11"/>
      <c r="DU738" s="26"/>
      <c r="DV738" s="11"/>
      <c r="DW738" s="29"/>
      <c r="DX738" s="28"/>
      <c r="DY738" s="11"/>
      <c r="DZ738" s="26"/>
      <c r="EA738" s="11"/>
      <c r="EB738" s="29"/>
      <c r="EC738" s="28"/>
      <c r="ED738" s="30"/>
      <c r="EE738" s="30" t="str">
        <f ca="1">IFERROR(__xludf.DUMMYFUNCTION("iferror(index(filter('Internal -- Trademark Countries'!E$2:E1000, (AM738 = 'Internal -- Trademark Countries'!B$2:B1000) + (AM738 = 'Internal -- Trademark Countries'!C$2:C1000) + (AM738 = 'Internal -- Trademark Countries'!D$2:D1000)), 1))"),"")</f>
        <v/>
      </c>
      <c r="EF738" s="30" t="e">
        <f ca="1">_xludf.ifs(AM738="", "", COUNTIF('Internal -- Trademark Countries'!B:B,AM738) &gt; 0, "polity_shortest_name", COUNTIF('Internal -- Trademark Countries'!C:C,AM738) &gt; 0, "polity_full_name", COUNTIF('Internal -- Trademark Countries'!D:D,AM738) &gt; 0, "polity_common_name", COUNTIF('Internal -- Trademark Countries'!E:E,AM738) &gt; 0, "shortest_name", COUNTIF('Internal -- Trademark Countries'!A:A,AM738) &gt; 0, "full_name", TRUE, "not a match")</f>
        <v>#NAME?</v>
      </c>
      <c r="EG738" s="30"/>
      <c r="EH738" s="30"/>
      <c r="EI738" s="30"/>
      <c r="EJ738" s="30"/>
      <c r="EK738" s="30" t="str">
        <f t="shared" si="4"/>
        <v/>
      </c>
    </row>
    <row r="739" spans="1:141" ht="16.5">
      <c r="A739" s="11"/>
      <c r="B739" s="11"/>
      <c r="C739" s="11"/>
      <c r="D739" s="11"/>
      <c r="E739" s="11"/>
      <c r="F739" s="11"/>
      <c r="G739" s="11"/>
      <c r="H739" s="11"/>
      <c r="I739" s="11"/>
      <c r="J739" s="11"/>
      <c r="K739" s="27"/>
      <c r="L739" s="11"/>
      <c r="M739" s="11"/>
      <c r="N739" s="11"/>
      <c r="O739" s="11"/>
      <c r="P739" s="15"/>
      <c r="Q739" s="15"/>
      <c r="R739" s="15"/>
      <c r="S739" s="15"/>
      <c r="T739" s="15"/>
      <c r="U739" s="15"/>
      <c r="V739" s="15"/>
      <c r="W739" s="47"/>
      <c r="X739" s="11"/>
      <c r="Y739" s="48"/>
      <c r="Z739" s="11"/>
      <c r="AA739" s="48"/>
      <c r="AB739" s="11"/>
      <c r="AC739" s="48"/>
      <c r="AD739" s="11"/>
      <c r="AE739" s="47"/>
      <c r="AF739" s="11"/>
      <c r="AG739" s="48"/>
      <c r="AH739" s="11"/>
      <c r="AI739" s="48"/>
      <c r="AJ739" s="11"/>
      <c r="AK739" s="48"/>
      <c r="AL739" s="11"/>
      <c r="AM739" s="49"/>
      <c r="AN739" s="49"/>
      <c r="AO739" s="11"/>
      <c r="AP739" s="11"/>
      <c r="AQ739" s="28" t="b">
        <f>IF(COUNTIF(SmartStatus!A$2:A1000, AM739) &gt; 2, TRUE, FALSE)</f>
        <v>0</v>
      </c>
      <c r="AR739" s="29" t="str">
        <f ca="1">IFERROR(__xludf.DUMMYFUNCTION("iferror(if(regexmatch(AO739, ""(?i)^registered""), if(EE739 &lt;&gt; ""polity_shortest_name"", ""CHECK_POLITY"", index(filter(SmartStatus!B$2:B1000, AM739 = SmartStatus!A$2:A1000, not(SmartStatus!C$2:C1000), (isblank(SmartStatus!D$2:D1000)) + ((P739 &lt;&gt; """") * "&amp;"(P739 &lt; SmartStatus!D$2:D1000)), (isblank(SmartStatus!E$2:E1000)) + ((P739 &lt;&gt; """") * (P739 &gt;= SmartStatus!E$2:E1000)), (isblank(SmartStatus!F$2:F1000)) + (((Q739 &lt;&gt; """") * (Q739 &lt; SmartStatus!F$2:F1000)) + ((P739 &lt;&gt; """") * (date(year(P739) + 3, month(P"&amp;"739), day(P739)) &lt; SmartStatus!F$2:F1000))), (isblank(SmartStatus!G$2:G1000)) + (((Q739 &lt;&gt; """") * (Q739 &gt;= SmartStatus!G$2:G1000)) + ((P739 &lt;&gt; """") * (P739 &gt;= SmartStatus!G$2:G1000)))), if(or(regexmatch(B739, ""(?i)^ir [a-z]+ designation$""), N739 &lt;&gt; """&amp;"""), 1, 2))), """"), ""NO_MATCH"")"),"")</f>
        <v/>
      </c>
      <c r="AS739" s="11"/>
      <c r="AT739" s="15"/>
      <c r="AU739" s="11"/>
      <c r="AV739" s="11"/>
      <c r="AW739" s="15"/>
      <c r="AX739" s="15"/>
      <c r="AY739" s="15"/>
      <c r="AZ739" s="11"/>
      <c r="BA739" s="15"/>
      <c r="BB739" s="11"/>
      <c r="BC739" s="11"/>
      <c r="BD739" s="15"/>
      <c r="BE739" s="11"/>
      <c r="BF739" s="11"/>
      <c r="BG739" s="15"/>
      <c r="BH739" s="15"/>
      <c r="BI739" s="15"/>
      <c r="BJ739" s="11"/>
      <c r="BK739" s="15"/>
      <c r="BL739" s="11"/>
      <c r="BM739" s="11"/>
      <c r="BN739" s="15"/>
      <c r="BO739" s="11"/>
      <c r="BP739" s="11"/>
      <c r="BQ739" s="15"/>
      <c r="BR739" s="15"/>
      <c r="BS739" s="15"/>
      <c r="BT739" s="11"/>
      <c r="BU739" s="15"/>
      <c r="BV739" s="11"/>
      <c r="BW739" s="11"/>
      <c r="BX739" s="15"/>
      <c r="BY739" s="11"/>
      <c r="BZ739" s="11"/>
      <c r="CA739" s="15"/>
      <c r="CB739" s="11"/>
      <c r="CC739" s="15"/>
      <c r="CD739" s="11"/>
      <c r="CE739" s="15"/>
      <c r="CF739" s="11"/>
      <c r="CG739" s="11"/>
      <c r="CH739" s="15"/>
      <c r="CI739" s="11"/>
      <c r="CJ739" s="11"/>
      <c r="CK739" s="15"/>
      <c r="CL739" s="11"/>
      <c r="CM739" s="11"/>
      <c r="CN739" s="11"/>
      <c r="CO739" s="11"/>
      <c r="CP739" s="28"/>
      <c r="CQ739" s="28"/>
      <c r="CR739" s="11"/>
      <c r="CS739" s="29"/>
      <c r="CT739" s="11"/>
      <c r="CU739" s="11"/>
      <c r="CV739" s="11"/>
      <c r="CW739" s="11"/>
      <c r="CX739" s="11"/>
      <c r="CY739" s="11"/>
      <c r="CZ739" s="11"/>
      <c r="DA739" s="28"/>
      <c r="DB739" s="28"/>
      <c r="DC739" s="11"/>
      <c r="DD739" s="29"/>
      <c r="DE739" s="11"/>
      <c r="DF739" s="11"/>
      <c r="DG739" s="11"/>
      <c r="DH739" s="11"/>
      <c r="DI739" s="11"/>
      <c r="DJ739" s="11"/>
      <c r="DK739" s="26"/>
      <c r="DL739" s="11"/>
      <c r="DM739" s="29"/>
      <c r="DN739" s="28"/>
      <c r="DO739" s="11"/>
      <c r="DP739" s="11"/>
      <c r="DQ739" s="11"/>
      <c r="DR739" s="29"/>
      <c r="DS739" s="28"/>
      <c r="DT739" s="11"/>
      <c r="DU739" s="26"/>
      <c r="DV739" s="11"/>
      <c r="DW739" s="29"/>
      <c r="DX739" s="28"/>
      <c r="DY739" s="11"/>
      <c r="DZ739" s="26"/>
      <c r="EA739" s="11"/>
      <c r="EB739" s="29"/>
      <c r="EC739" s="28"/>
      <c r="ED739" s="30"/>
      <c r="EE739" s="30" t="str">
        <f ca="1">IFERROR(__xludf.DUMMYFUNCTION("iferror(index(filter('Internal -- Trademark Countries'!E$2:E1000, (AM739 = 'Internal -- Trademark Countries'!B$2:B1000) + (AM739 = 'Internal -- Trademark Countries'!C$2:C1000) + (AM739 = 'Internal -- Trademark Countries'!D$2:D1000)), 1))"),"")</f>
        <v/>
      </c>
      <c r="EF739" s="30" t="e">
        <f ca="1">_xludf.ifs(AM739="", "", COUNTIF('Internal -- Trademark Countries'!B:B,AM739) &gt; 0, "polity_shortest_name", COUNTIF('Internal -- Trademark Countries'!C:C,AM739) &gt; 0, "polity_full_name", COUNTIF('Internal -- Trademark Countries'!D:D,AM739) &gt; 0, "polity_common_name", COUNTIF('Internal -- Trademark Countries'!E:E,AM739) &gt; 0, "shortest_name", COUNTIF('Internal -- Trademark Countries'!A:A,AM739) &gt; 0, "full_name", TRUE, "not a match")</f>
        <v>#NAME?</v>
      </c>
      <c r="EG739" s="30"/>
      <c r="EH739" s="30"/>
      <c r="EI739" s="30"/>
      <c r="EJ739" s="30"/>
      <c r="EK739" s="30" t="str">
        <f t="shared" si="4"/>
        <v/>
      </c>
    </row>
    <row r="740" spans="1:141" ht="16.5">
      <c r="A740" s="11"/>
      <c r="B740" s="11"/>
      <c r="C740" s="11"/>
      <c r="D740" s="11"/>
      <c r="E740" s="11"/>
      <c r="F740" s="11"/>
      <c r="G740" s="11"/>
      <c r="H740" s="11"/>
      <c r="I740" s="11"/>
      <c r="J740" s="11"/>
      <c r="K740" s="27"/>
      <c r="L740" s="11"/>
      <c r="M740" s="11"/>
      <c r="N740" s="11"/>
      <c r="O740" s="11"/>
      <c r="P740" s="15"/>
      <c r="Q740" s="15"/>
      <c r="R740" s="15"/>
      <c r="S740" s="15"/>
      <c r="T740" s="15"/>
      <c r="U740" s="15"/>
      <c r="V740" s="15"/>
      <c r="W740" s="47"/>
      <c r="X740" s="11"/>
      <c r="Y740" s="48"/>
      <c r="Z740" s="11"/>
      <c r="AA740" s="48"/>
      <c r="AB740" s="11"/>
      <c r="AC740" s="48"/>
      <c r="AD740" s="11"/>
      <c r="AE740" s="47"/>
      <c r="AF740" s="11"/>
      <c r="AG740" s="48"/>
      <c r="AH740" s="11"/>
      <c r="AI740" s="48"/>
      <c r="AJ740" s="11"/>
      <c r="AK740" s="48"/>
      <c r="AL740" s="11"/>
      <c r="AM740" s="49"/>
      <c r="AN740" s="49"/>
      <c r="AO740" s="11"/>
      <c r="AP740" s="11"/>
      <c r="AQ740" s="28" t="b">
        <f>IF(COUNTIF(SmartStatus!A$2:A1000, AM740) &gt; 2, TRUE, FALSE)</f>
        <v>0</v>
      </c>
      <c r="AR740" s="29" t="str">
        <f ca="1">IFERROR(__xludf.DUMMYFUNCTION("iferror(if(regexmatch(AO740, ""(?i)^registered""), if(EE740 &lt;&gt; ""polity_shortest_name"", ""CHECK_POLITY"", index(filter(SmartStatus!B$2:B1000, AM740 = SmartStatus!A$2:A1000, not(SmartStatus!C$2:C1000), (isblank(SmartStatus!D$2:D1000)) + ((P740 &lt;&gt; """") * "&amp;"(P740 &lt; SmartStatus!D$2:D1000)), (isblank(SmartStatus!E$2:E1000)) + ((P740 &lt;&gt; """") * (P740 &gt;= SmartStatus!E$2:E1000)), (isblank(SmartStatus!F$2:F1000)) + (((Q740 &lt;&gt; """") * (Q740 &lt; SmartStatus!F$2:F1000)) + ((P740 &lt;&gt; """") * (date(year(P740) + 3, month(P"&amp;"740), day(P740)) &lt; SmartStatus!F$2:F1000))), (isblank(SmartStatus!G$2:G1000)) + (((Q740 &lt;&gt; """") * (Q740 &gt;= SmartStatus!G$2:G1000)) + ((P740 &lt;&gt; """") * (P740 &gt;= SmartStatus!G$2:G1000)))), if(or(regexmatch(B740, ""(?i)^ir [a-z]+ designation$""), N740 &lt;&gt; """&amp;"""), 1, 2))), """"), ""NO_MATCH"")"),"")</f>
        <v/>
      </c>
      <c r="AS740" s="11"/>
      <c r="AT740" s="15"/>
      <c r="AU740" s="11"/>
      <c r="AV740" s="11"/>
      <c r="AW740" s="15"/>
      <c r="AX740" s="15"/>
      <c r="AY740" s="15"/>
      <c r="AZ740" s="11"/>
      <c r="BA740" s="15"/>
      <c r="BB740" s="11"/>
      <c r="BC740" s="11"/>
      <c r="BD740" s="15"/>
      <c r="BE740" s="11"/>
      <c r="BF740" s="11"/>
      <c r="BG740" s="15"/>
      <c r="BH740" s="15"/>
      <c r="BI740" s="15"/>
      <c r="BJ740" s="11"/>
      <c r="BK740" s="15"/>
      <c r="BL740" s="11"/>
      <c r="BM740" s="11"/>
      <c r="BN740" s="15"/>
      <c r="BO740" s="11"/>
      <c r="BP740" s="11"/>
      <c r="BQ740" s="15"/>
      <c r="BR740" s="15"/>
      <c r="BS740" s="15"/>
      <c r="BT740" s="11"/>
      <c r="BU740" s="15"/>
      <c r="BV740" s="11"/>
      <c r="BW740" s="11"/>
      <c r="BX740" s="15"/>
      <c r="BY740" s="11"/>
      <c r="BZ740" s="11"/>
      <c r="CA740" s="15"/>
      <c r="CB740" s="11"/>
      <c r="CC740" s="15"/>
      <c r="CD740" s="11"/>
      <c r="CE740" s="15"/>
      <c r="CF740" s="11"/>
      <c r="CG740" s="11"/>
      <c r="CH740" s="15"/>
      <c r="CI740" s="11"/>
      <c r="CJ740" s="11"/>
      <c r="CK740" s="15"/>
      <c r="CL740" s="11"/>
      <c r="CM740" s="11"/>
      <c r="CN740" s="11"/>
      <c r="CO740" s="11"/>
      <c r="CP740" s="28"/>
      <c r="CQ740" s="28"/>
      <c r="CR740" s="11"/>
      <c r="CS740" s="29"/>
      <c r="CT740" s="11"/>
      <c r="CU740" s="11"/>
      <c r="CV740" s="11"/>
      <c r="CW740" s="11"/>
      <c r="CX740" s="11"/>
      <c r="CY740" s="11"/>
      <c r="CZ740" s="11"/>
      <c r="DA740" s="28"/>
      <c r="DB740" s="28"/>
      <c r="DC740" s="11"/>
      <c r="DD740" s="29"/>
      <c r="DE740" s="11"/>
      <c r="DF740" s="11"/>
      <c r="DG740" s="11"/>
      <c r="DH740" s="11"/>
      <c r="DI740" s="11"/>
      <c r="DJ740" s="11"/>
      <c r="DK740" s="26"/>
      <c r="DL740" s="11"/>
      <c r="DM740" s="29"/>
      <c r="DN740" s="28"/>
      <c r="DO740" s="11"/>
      <c r="DP740" s="11"/>
      <c r="DQ740" s="11"/>
      <c r="DR740" s="29"/>
      <c r="DS740" s="28"/>
      <c r="DT740" s="11"/>
      <c r="DU740" s="26"/>
      <c r="DV740" s="11"/>
      <c r="DW740" s="29"/>
      <c r="DX740" s="28"/>
      <c r="DY740" s="11"/>
      <c r="DZ740" s="26"/>
      <c r="EA740" s="11"/>
      <c r="EB740" s="29"/>
      <c r="EC740" s="28"/>
      <c r="ED740" s="30"/>
      <c r="EE740" s="30" t="str">
        <f ca="1">IFERROR(__xludf.DUMMYFUNCTION("iferror(index(filter('Internal -- Trademark Countries'!E$2:E1000, (AM740 = 'Internal -- Trademark Countries'!B$2:B1000) + (AM740 = 'Internal -- Trademark Countries'!C$2:C1000) + (AM740 = 'Internal -- Trademark Countries'!D$2:D1000)), 1))"),"")</f>
        <v/>
      </c>
      <c r="EF740" s="30" t="e">
        <f ca="1">_xludf.ifs(AM740="", "", COUNTIF('Internal -- Trademark Countries'!B:B,AM740) &gt; 0, "polity_shortest_name", COUNTIF('Internal -- Trademark Countries'!C:C,AM740) &gt; 0, "polity_full_name", COUNTIF('Internal -- Trademark Countries'!D:D,AM740) &gt; 0, "polity_common_name", COUNTIF('Internal -- Trademark Countries'!E:E,AM740) &gt; 0, "shortest_name", COUNTIF('Internal -- Trademark Countries'!A:A,AM740) &gt; 0, "full_name", TRUE, "not a match")</f>
        <v>#NAME?</v>
      </c>
      <c r="EG740" s="30"/>
      <c r="EH740" s="30"/>
      <c r="EI740" s="30"/>
      <c r="EJ740" s="30"/>
      <c r="EK740" s="30" t="str">
        <f t="shared" si="4"/>
        <v/>
      </c>
    </row>
    <row r="741" spans="1:141" ht="16.5">
      <c r="A741" s="11"/>
      <c r="B741" s="11"/>
      <c r="C741" s="11"/>
      <c r="D741" s="11"/>
      <c r="E741" s="11"/>
      <c r="F741" s="11"/>
      <c r="G741" s="11"/>
      <c r="H741" s="11"/>
      <c r="I741" s="11"/>
      <c r="J741" s="11"/>
      <c r="K741" s="27"/>
      <c r="L741" s="11"/>
      <c r="M741" s="11"/>
      <c r="N741" s="11"/>
      <c r="O741" s="11"/>
      <c r="P741" s="15"/>
      <c r="Q741" s="15"/>
      <c r="R741" s="15"/>
      <c r="S741" s="15"/>
      <c r="T741" s="15"/>
      <c r="U741" s="15"/>
      <c r="V741" s="15"/>
      <c r="W741" s="47"/>
      <c r="X741" s="11"/>
      <c r="Y741" s="48"/>
      <c r="Z741" s="11"/>
      <c r="AA741" s="48"/>
      <c r="AB741" s="11"/>
      <c r="AC741" s="48"/>
      <c r="AD741" s="11"/>
      <c r="AE741" s="47"/>
      <c r="AF741" s="11"/>
      <c r="AG741" s="48"/>
      <c r="AH741" s="11"/>
      <c r="AI741" s="48"/>
      <c r="AJ741" s="11"/>
      <c r="AK741" s="48"/>
      <c r="AL741" s="11"/>
      <c r="AM741" s="49"/>
      <c r="AN741" s="49"/>
      <c r="AO741" s="11"/>
      <c r="AP741" s="11"/>
      <c r="AQ741" s="28" t="b">
        <f>IF(COUNTIF(SmartStatus!A$2:A1000, AM741) &gt; 2, TRUE, FALSE)</f>
        <v>0</v>
      </c>
      <c r="AR741" s="29" t="str">
        <f ca="1">IFERROR(__xludf.DUMMYFUNCTION("iferror(if(regexmatch(AO741, ""(?i)^registered""), if(EE741 &lt;&gt; ""polity_shortest_name"", ""CHECK_POLITY"", index(filter(SmartStatus!B$2:B1000, AM741 = SmartStatus!A$2:A1000, not(SmartStatus!C$2:C1000), (isblank(SmartStatus!D$2:D1000)) + ((P741 &lt;&gt; """") * "&amp;"(P741 &lt; SmartStatus!D$2:D1000)), (isblank(SmartStatus!E$2:E1000)) + ((P741 &lt;&gt; """") * (P741 &gt;= SmartStatus!E$2:E1000)), (isblank(SmartStatus!F$2:F1000)) + (((Q741 &lt;&gt; """") * (Q741 &lt; SmartStatus!F$2:F1000)) + ((P741 &lt;&gt; """") * (date(year(P741) + 3, month(P"&amp;"741), day(P741)) &lt; SmartStatus!F$2:F1000))), (isblank(SmartStatus!G$2:G1000)) + (((Q741 &lt;&gt; """") * (Q741 &gt;= SmartStatus!G$2:G1000)) + ((P741 &lt;&gt; """") * (P741 &gt;= SmartStatus!G$2:G1000)))), if(or(regexmatch(B741, ""(?i)^ir [a-z]+ designation$""), N741 &lt;&gt; """&amp;"""), 1, 2))), """"), ""NO_MATCH"")"),"")</f>
        <v/>
      </c>
      <c r="AS741" s="11"/>
      <c r="AT741" s="15"/>
      <c r="AU741" s="11"/>
      <c r="AV741" s="11"/>
      <c r="AW741" s="15"/>
      <c r="AX741" s="15"/>
      <c r="AY741" s="15"/>
      <c r="AZ741" s="11"/>
      <c r="BA741" s="15"/>
      <c r="BB741" s="11"/>
      <c r="BC741" s="11"/>
      <c r="BD741" s="15"/>
      <c r="BE741" s="11"/>
      <c r="BF741" s="11"/>
      <c r="BG741" s="15"/>
      <c r="BH741" s="15"/>
      <c r="BI741" s="15"/>
      <c r="BJ741" s="11"/>
      <c r="BK741" s="15"/>
      <c r="BL741" s="11"/>
      <c r="BM741" s="11"/>
      <c r="BN741" s="15"/>
      <c r="BO741" s="11"/>
      <c r="BP741" s="11"/>
      <c r="BQ741" s="15"/>
      <c r="BR741" s="15"/>
      <c r="BS741" s="15"/>
      <c r="BT741" s="11"/>
      <c r="BU741" s="15"/>
      <c r="BV741" s="11"/>
      <c r="BW741" s="11"/>
      <c r="BX741" s="15"/>
      <c r="BY741" s="11"/>
      <c r="BZ741" s="11"/>
      <c r="CA741" s="15"/>
      <c r="CB741" s="11"/>
      <c r="CC741" s="15"/>
      <c r="CD741" s="11"/>
      <c r="CE741" s="15"/>
      <c r="CF741" s="11"/>
      <c r="CG741" s="11"/>
      <c r="CH741" s="15"/>
      <c r="CI741" s="11"/>
      <c r="CJ741" s="11"/>
      <c r="CK741" s="15"/>
      <c r="CL741" s="11"/>
      <c r="CM741" s="11"/>
      <c r="CN741" s="11"/>
      <c r="CO741" s="11"/>
      <c r="CP741" s="28"/>
      <c r="CQ741" s="28"/>
      <c r="CR741" s="11"/>
      <c r="CS741" s="29"/>
      <c r="CT741" s="11"/>
      <c r="CU741" s="11"/>
      <c r="CV741" s="11"/>
      <c r="CW741" s="11"/>
      <c r="CX741" s="11"/>
      <c r="CY741" s="11"/>
      <c r="CZ741" s="11"/>
      <c r="DA741" s="28"/>
      <c r="DB741" s="28"/>
      <c r="DC741" s="11"/>
      <c r="DD741" s="29"/>
      <c r="DE741" s="11"/>
      <c r="DF741" s="11"/>
      <c r="DG741" s="11"/>
      <c r="DH741" s="11"/>
      <c r="DI741" s="11"/>
      <c r="DJ741" s="11"/>
      <c r="DK741" s="26"/>
      <c r="DL741" s="11"/>
      <c r="DM741" s="29"/>
      <c r="DN741" s="28"/>
      <c r="DO741" s="11"/>
      <c r="DP741" s="11"/>
      <c r="DQ741" s="11"/>
      <c r="DR741" s="29"/>
      <c r="DS741" s="28"/>
      <c r="DT741" s="11"/>
      <c r="DU741" s="26"/>
      <c r="DV741" s="11"/>
      <c r="DW741" s="29"/>
      <c r="DX741" s="28"/>
      <c r="DY741" s="11"/>
      <c r="DZ741" s="26"/>
      <c r="EA741" s="11"/>
      <c r="EB741" s="29"/>
      <c r="EC741" s="28"/>
      <c r="ED741" s="30"/>
      <c r="EE741" s="30" t="str">
        <f ca="1">IFERROR(__xludf.DUMMYFUNCTION("iferror(index(filter('Internal -- Trademark Countries'!E$2:E1000, (AM741 = 'Internal -- Trademark Countries'!B$2:B1000) + (AM741 = 'Internal -- Trademark Countries'!C$2:C1000) + (AM741 = 'Internal -- Trademark Countries'!D$2:D1000)), 1))"),"")</f>
        <v/>
      </c>
      <c r="EF741" s="30" t="e">
        <f ca="1">_xludf.ifs(AM741="", "", COUNTIF('Internal -- Trademark Countries'!B:B,AM741) &gt; 0, "polity_shortest_name", COUNTIF('Internal -- Trademark Countries'!C:C,AM741) &gt; 0, "polity_full_name", COUNTIF('Internal -- Trademark Countries'!D:D,AM741) &gt; 0, "polity_common_name", COUNTIF('Internal -- Trademark Countries'!E:E,AM741) &gt; 0, "shortest_name", COUNTIF('Internal -- Trademark Countries'!A:A,AM741) &gt; 0, "full_name", TRUE, "not a match")</f>
        <v>#NAME?</v>
      </c>
      <c r="EG741" s="30"/>
      <c r="EH741" s="30"/>
      <c r="EI741" s="30"/>
      <c r="EJ741" s="30"/>
      <c r="EK741" s="30" t="str">
        <f t="shared" si="4"/>
        <v/>
      </c>
    </row>
    <row r="742" spans="1:141" ht="16.5">
      <c r="A742" s="11"/>
      <c r="B742" s="11"/>
      <c r="C742" s="11"/>
      <c r="D742" s="11"/>
      <c r="E742" s="11"/>
      <c r="F742" s="11"/>
      <c r="G742" s="11"/>
      <c r="H742" s="11"/>
      <c r="I742" s="11"/>
      <c r="J742" s="11"/>
      <c r="K742" s="27"/>
      <c r="L742" s="11"/>
      <c r="M742" s="11"/>
      <c r="N742" s="11"/>
      <c r="O742" s="11"/>
      <c r="P742" s="15"/>
      <c r="Q742" s="15"/>
      <c r="R742" s="15"/>
      <c r="S742" s="15"/>
      <c r="T742" s="15"/>
      <c r="U742" s="15"/>
      <c r="V742" s="15"/>
      <c r="W742" s="47"/>
      <c r="X742" s="11"/>
      <c r="Y742" s="48"/>
      <c r="Z742" s="11"/>
      <c r="AA742" s="48"/>
      <c r="AB742" s="11"/>
      <c r="AC742" s="48"/>
      <c r="AD742" s="11"/>
      <c r="AE742" s="47"/>
      <c r="AF742" s="11"/>
      <c r="AG742" s="48"/>
      <c r="AH742" s="11"/>
      <c r="AI742" s="48"/>
      <c r="AJ742" s="11"/>
      <c r="AK742" s="48"/>
      <c r="AL742" s="11"/>
      <c r="AM742" s="49"/>
      <c r="AN742" s="49"/>
      <c r="AO742" s="11"/>
      <c r="AP742" s="11"/>
      <c r="AQ742" s="28" t="b">
        <f>IF(COUNTIF(SmartStatus!A$2:A1000, AM742) &gt; 2, TRUE, FALSE)</f>
        <v>0</v>
      </c>
      <c r="AR742" s="29" t="str">
        <f ca="1">IFERROR(__xludf.DUMMYFUNCTION("iferror(if(regexmatch(AO742, ""(?i)^registered""), if(EE742 &lt;&gt; ""polity_shortest_name"", ""CHECK_POLITY"", index(filter(SmartStatus!B$2:B1000, AM742 = SmartStatus!A$2:A1000, not(SmartStatus!C$2:C1000), (isblank(SmartStatus!D$2:D1000)) + ((P742 &lt;&gt; """") * "&amp;"(P742 &lt; SmartStatus!D$2:D1000)), (isblank(SmartStatus!E$2:E1000)) + ((P742 &lt;&gt; """") * (P742 &gt;= SmartStatus!E$2:E1000)), (isblank(SmartStatus!F$2:F1000)) + (((Q742 &lt;&gt; """") * (Q742 &lt; SmartStatus!F$2:F1000)) + ((P742 &lt;&gt; """") * (date(year(P742) + 3, month(P"&amp;"742), day(P742)) &lt; SmartStatus!F$2:F1000))), (isblank(SmartStatus!G$2:G1000)) + (((Q742 &lt;&gt; """") * (Q742 &gt;= SmartStatus!G$2:G1000)) + ((P742 &lt;&gt; """") * (P742 &gt;= SmartStatus!G$2:G1000)))), if(or(regexmatch(B742, ""(?i)^ir [a-z]+ designation$""), N742 &lt;&gt; """&amp;"""), 1, 2))), """"), ""NO_MATCH"")"),"")</f>
        <v/>
      </c>
      <c r="AS742" s="11"/>
      <c r="AT742" s="15"/>
      <c r="AU742" s="11"/>
      <c r="AV742" s="11"/>
      <c r="AW742" s="15"/>
      <c r="AX742" s="15"/>
      <c r="AY742" s="15"/>
      <c r="AZ742" s="11"/>
      <c r="BA742" s="15"/>
      <c r="BB742" s="11"/>
      <c r="BC742" s="11"/>
      <c r="BD742" s="15"/>
      <c r="BE742" s="11"/>
      <c r="BF742" s="11"/>
      <c r="BG742" s="15"/>
      <c r="BH742" s="15"/>
      <c r="BI742" s="15"/>
      <c r="BJ742" s="11"/>
      <c r="BK742" s="15"/>
      <c r="BL742" s="11"/>
      <c r="BM742" s="11"/>
      <c r="BN742" s="15"/>
      <c r="BO742" s="11"/>
      <c r="BP742" s="11"/>
      <c r="BQ742" s="15"/>
      <c r="BR742" s="15"/>
      <c r="BS742" s="15"/>
      <c r="BT742" s="11"/>
      <c r="BU742" s="15"/>
      <c r="BV742" s="11"/>
      <c r="BW742" s="11"/>
      <c r="BX742" s="15"/>
      <c r="BY742" s="11"/>
      <c r="BZ742" s="11"/>
      <c r="CA742" s="15"/>
      <c r="CB742" s="11"/>
      <c r="CC742" s="15"/>
      <c r="CD742" s="11"/>
      <c r="CE742" s="15"/>
      <c r="CF742" s="11"/>
      <c r="CG742" s="11"/>
      <c r="CH742" s="15"/>
      <c r="CI742" s="11"/>
      <c r="CJ742" s="11"/>
      <c r="CK742" s="15"/>
      <c r="CL742" s="11"/>
      <c r="CM742" s="11"/>
      <c r="CN742" s="11"/>
      <c r="CO742" s="11"/>
      <c r="CP742" s="28"/>
      <c r="CQ742" s="28"/>
      <c r="CR742" s="11"/>
      <c r="CS742" s="29"/>
      <c r="CT742" s="11"/>
      <c r="CU742" s="11"/>
      <c r="CV742" s="11"/>
      <c r="CW742" s="11"/>
      <c r="CX742" s="11"/>
      <c r="CY742" s="11"/>
      <c r="CZ742" s="11"/>
      <c r="DA742" s="28"/>
      <c r="DB742" s="28"/>
      <c r="DC742" s="11"/>
      <c r="DD742" s="29"/>
      <c r="DE742" s="11"/>
      <c r="DF742" s="11"/>
      <c r="DG742" s="11"/>
      <c r="DH742" s="11"/>
      <c r="DI742" s="11"/>
      <c r="DJ742" s="11"/>
      <c r="DK742" s="26"/>
      <c r="DL742" s="11"/>
      <c r="DM742" s="29"/>
      <c r="DN742" s="28"/>
      <c r="DO742" s="11"/>
      <c r="DP742" s="11"/>
      <c r="DQ742" s="11"/>
      <c r="DR742" s="29"/>
      <c r="DS742" s="28"/>
      <c r="DT742" s="11"/>
      <c r="DU742" s="26"/>
      <c r="DV742" s="11"/>
      <c r="DW742" s="29"/>
      <c r="DX742" s="28"/>
      <c r="DY742" s="11"/>
      <c r="DZ742" s="26"/>
      <c r="EA742" s="11"/>
      <c r="EB742" s="29"/>
      <c r="EC742" s="28"/>
      <c r="ED742" s="30"/>
      <c r="EE742" s="30" t="str">
        <f ca="1">IFERROR(__xludf.DUMMYFUNCTION("iferror(index(filter('Internal -- Trademark Countries'!E$2:E1000, (AM742 = 'Internal -- Trademark Countries'!B$2:B1000) + (AM742 = 'Internal -- Trademark Countries'!C$2:C1000) + (AM742 = 'Internal -- Trademark Countries'!D$2:D1000)), 1))"),"")</f>
        <v/>
      </c>
      <c r="EF742" s="30" t="e">
        <f ca="1">_xludf.ifs(AM742="", "", COUNTIF('Internal -- Trademark Countries'!B:B,AM742) &gt; 0, "polity_shortest_name", COUNTIF('Internal -- Trademark Countries'!C:C,AM742) &gt; 0, "polity_full_name", COUNTIF('Internal -- Trademark Countries'!D:D,AM742) &gt; 0, "polity_common_name", COUNTIF('Internal -- Trademark Countries'!E:E,AM742) &gt; 0, "shortest_name", COUNTIF('Internal -- Trademark Countries'!A:A,AM742) &gt; 0, "full_name", TRUE, "not a match")</f>
        <v>#NAME?</v>
      </c>
      <c r="EG742" s="30"/>
      <c r="EH742" s="30"/>
      <c r="EI742" s="30"/>
      <c r="EJ742" s="30"/>
      <c r="EK742" s="30" t="str">
        <f t="shared" si="4"/>
        <v/>
      </c>
    </row>
    <row r="743" spans="1:141" ht="16.5">
      <c r="A743" s="11"/>
      <c r="B743" s="11"/>
      <c r="C743" s="11"/>
      <c r="D743" s="11"/>
      <c r="E743" s="11"/>
      <c r="F743" s="11"/>
      <c r="G743" s="11"/>
      <c r="H743" s="11"/>
      <c r="I743" s="11"/>
      <c r="J743" s="11"/>
      <c r="K743" s="27"/>
      <c r="L743" s="11"/>
      <c r="M743" s="11"/>
      <c r="N743" s="11"/>
      <c r="O743" s="11"/>
      <c r="P743" s="15"/>
      <c r="Q743" s="15"/>
      <c r="R743" s="15"/>
      <c r="S743" s="15"/>
      <c r="T743" s="15"/>
      <c r="U743" s="15"/>
      <c r="V743" s="15"/>
      <c r="W743" s="47"/>
      <c r="X743" s="11"/>
      <c r="Y743" s="48"/>
      <c r="Z743" s="11"/>
      <c r="AA743" s="48"/>
      <c r="AB743" s="11"/>
      <c r="AC743" s="48"/>
      <c r="AD743" s="11"/>
      <c r="AE743" s="47"/>
      <c r="AF743" s="11"/>
      <c r="AG743" s="48"/>
      <c r="AH743" s="11"/>
      <c r="AI743" s="48"/>
      <c r="AJ743" s="11"/>
      <c r="AK743" s="48"/>
      <c r="AL743" s="11"/>
      <c r="AM743" s="49"/>
      <c r="AN743" s="49"/>
      <c r="AO743" s="11"/>
      <c r="AP743" s="11"/>
      <c r="AQ743" s="28" t="b">
        <f>IF(COUNTIF(SmartStatus!A$2:A1000, AM743) &gt; 2, TRUE, FALSE)</f>
        <v>0</v>
      </c>
      <c r="AR743" s="29" t="str">
        <f ca="1">IFERROR(__xludf.DUMMYFUNCTION("iferror(if(regexmatch(AO743, ""(?i)^registered""), if(EE743 &lt;&gt; ""polity_shortest_name"", ""CHECK_POLITY"", index(filter(SmartStatus!B$2:B1000, AM743 = SmartStatus!A$2:A1000, not(SmartStatus!C$2:C1000), (isblank(SmartStatus!D$2:D1000)) + ((P743 &lt;&gt; """") * "&amp;"(P743 &lt; SmartStatus!D$2:D1000)), (isblank(SmartStatus!E$2:E1000)) + ((P743 &lt;&gt; """") * (P743 &gt;= SmartStatus!E$2:E1000)), (isblank(SmartStatus!F$2:F1000)) + (((Q743 &lt;&gt; """") * (Q743 &lt; SmartStatus!F$2:F1000)) + ((P743 &lt;&gt; """") * (date(year(P743) + 3, month(P"&amp;"743), day(P743)) &lt; SmartStatus!F$2:F1000))), (isblank(SmartStatus!G$2:G1000)) + (((Q743 &lt;&gt; """") * (Q743 &gt;= SmartStatus!G$2:G1000)) + ((P743 &lt;&gt; """") * (P743 &gt;= SmartStatus!G$2:G1000)))), if(or(regexmatch(B743, ""(?i)^ir [a-z]+ designation$""), N743 &lt;&gt; """&amp;"""), 1, 2))), """"), ""NO_MATCH"")"),"")</f>
        <v/>
      </c>
      <c r="AS743" s="11"/>
      <c r="AT743" s="15"/>
      <c r="AU743" s="11"/>
      <c r="AV743" s="11"/>
      <c r="AW743" s="15"/>
      <c r="AX743" s="15"/>
      <c r="AY743" s="15"/>
      <c r="AZ743" s="11"/>
      <c r="BA743" s="15"/>
      <c r="BB743" s="11"/>
      <c r="BC743" s="11"/>
      <c r="BD743" s="15"/>
      <c r="BE743" s="11"/>
      <c r="BF743" s="11"/>
      <c r="BG743" s="15"/>
      <c r="BH743" s="15"/>
      <c r="BI743" s="15"/>
      <c r="BJ743" s="11"/>
      <c r="BK743" s="15"/>
      <c r="BL743" s="11"/>
      <c r="BM743" s="11"/>
      <c r="BN743" s="15"/>
      <c r="BO743" s="11"/>
      <c r="BP743" s="11"/>
      <c r="BQ743" s="15"/>
      <c r="BR743" s="15"/>
      <c r="BS743" s="15"/>
      <c r="BT743" s="11"/>
      <c r="BU743" s="15"/>
      <c r="BV743" s="11"/>
      <c r="BW743" s="11"/>
      <c r="BX743" s="15"/>
      <c r="BY743" s="11"/>
      <c r="BZ743" s="11"/>
      <c r="CA743" s="15"/>
      <c r="CB743" s="11"/>
      <c r="CC743" s="15"/>
      <c r="CD743" s="11"/>
      <c r="CE743" s="15"/>
      <c r="CF743" s="11"/>
      <c r="CG743" s="11"/>
      <c r="CH743" s="15"/>
      <c r="CI743" s="11"/>
      <c r="CJ743" s="11"/>
      <c r="CK743" s="15"/>
      <c r="CL743" s="11"/>
      <c r="CM743" s="11"/>
      <c r="CN743" s="11"/>
      <c r="CO743" s="11"/>
      <c r="CP743" s="28"/>
      <c r="CQ743" s="28"/>
      <c r="CR743" s="11"/>
      <c r="CS743" s="29"/>
      <c r="CT743" s="11"/>
      <c r="CU743" s="11"/>
      <c r="CV743" s="11"/>
      <c r="CW743" s="11"/>
      <c r="CX743" s="11"/>
      <c r="CY743" s="11"/>
      <c r="CZ743" s="11"/>
      <c r="DA743" s="28"/>
      <c r="DB743" s="28"/>
      <c r="DC743" s="11"/>
      <c r="DD743" s="29"/>
      <c r="DE743" s="11"/>
      <c r="DF743" s="11"/>
      <c r="DG743" s="11"/>
      <c r="DH743" s="11"/>
      <c r="DI743" s="11"/>
      <c r="DJ743" s="11"/>
      <c r="DK743" s="26"/>
      <c r="DL743" s="11"/>
      <c r="DM743" s="29"/>
      <c r="DN743" s="28"/>
      <c r="DO743" s="11"/>
      <c r="DP743" s="11"/>
      <c r="DQ743" s="11"/>
      <c r="DR743" s="29"/>
      <c r="DS743" s="28"/>
      <c r="DT743" s="11"/>
      <c r="DU743" s="26"/>
      <c r="DV743" s="11"/>
      <c r="DW743" s="29"/>
      <c r="DX743" s="28"/>
      <c r="DY743" s="11"/>
      <c r="DZ743" s="26"/>
      <c r="EA743" s="11"/>
      <c r="EB743" s="29"/>
      <c r="EC743" s="28"/>
      <c r="ED743" s="30"/>
      <c r="EE743" s="30" t="str">
        <f ca="1">IFERROR(__xludf.DUMMYFUNCTION("iferror(index(filter('Internal -- Trademark Countries'!E$2:E1000, (AM743 = 'Internal -- Trademark Countries'!B$2:B1000) + (AM743 = 'Internal -- Trademark Countries'!C$2:C1000) + (AM743 = 'Internal -- Trademark Countries'!D$2:D1000)), 1))"),"")</f>
        <v/>
      </c>
      <c r="EF743" s="30" t="e">
        <f ca="1">_xludf.ifs(AM743="", "", COUNTIF('Internal -- Trademark Countries'!B:B,AM743) &gt; 0, "polity_shortest_name", COUNTIF('Internal -- Trademark Countries'!C:C,AM743) &gt; 0, "polity_full_name", COUNTIF('Internal -- Trademark Countries'!D:D,AM743) &gt; 0, "polity_common_name", COUNTIF('Internal -- Trademark Countries'!E:E,AM743) &gt; 0, "shortest_name", COUNTIF('Internal -- Trademark Countries'!A:A,AM743) &gt; 0, "full_name", TRUE, "not a match")</f>
        <v>#NAME?</v>
      </c>
      <c r="EG743" s="30"/>
      <c r="EH743" s="30"/>
      <c r="EI743" s="30"/>
      <c r="EJ743" s="30"/>
      <c r="EK743" s="30" t="str">
        <f t="shared" si="4"/>
        <v/>
      </c>
    </row>
    <row r="744" spans="1:141" ht="16.5">
      <c r="A744" s="11"/>
      <c r="B744" s="11"/>
      <c r="C744" s="11"/>
      <c r="D744" s="11"/>
      <c r="E744" s="11"/>
      <c r="F744" s="11"/>
      <c r="G744" s="11"/>
      <c r="H744" s="11"/>
      <c r="I744" s="11"/>
      <c r="J744" s="11"/>
      <c r="K744" s="27"/>
      <c r="L744" s="11"/>
      <c r="M744" s="11"/>
      <c r="N744" s="11"/>
      <c r="O744" s="11"/>
      <c r="P744" s="15"/>
      <c r="Q744" s="15"/>
      <c r="R744" s="15"/>
      <c r="S744" s="15"/>
      <c r="T744" s="15"/>
      <c r="U744" s="15"/>
      <c r="V744" s="15"/>
      <c r="W744" s="47"/>
      <c r="X744" s="11"/>
      <c r="Y744" s="48"/>
      <c r="Z744" s="11"/>
      <c r="AA744" s="48"/>
      <c r="AB744" s="11"/>
      <c r="AC744" s="48"/>
      <c r="AD744" s="11"/>
      <c r="AE744" s="47"/>
      <c r="AF744" s="11"/>
      <c r="AG744" s="48"/>
      <c r="AH744" s="11"/>
      <c r="AI744" s="48"/>
      <c r="AJ744" s="11"/>
      <c r="AK744" s="48"/>
      <c r="AL744" s="11"/>
      <c r="AM744" s="49"/>
      <c r="AN744" s="49"/>
      <c r="AO744" s="11"/>
      <c r="AP744" s="11"/>
      <c r="AQ744" s="28" t="b">
        <f>IF(COUNTIF(SmartStatus!A$2:A1000, AM744) &gt; 2, TRUE, FALSE)</f>
        <v>0</v>
      </c>
      <c r="AR744" s="29" t="str">
        <f ca="1">IFERROR(__xludf.DUMMYFUNCTION("iferror(if(regexmatch(AO744, ""(?i)^registered""), if(EE744 &lt;&gt; ""polity_shortest_name"", ""CHECK_POLITY"", index(filter(SmartStatus!B$2:B1000, AM744 = SmartStatus!A$2:A1000, not(SmartStatus!C$2:C1000), (isblank(SmartStatus!D$2:D1000)) + ((P744 &lt;&gt; """") * "&amp;"(P744 &lt; SmartStatus!D$2:D1000)), (isblank(SmartStatus!E$2:E1000)) + ((P744 &lt;&gt; """") * (P744 &gt;= SmartStatus!E$2:E1000)), (isblank(SmartStatus!F$2:F1000)) + (((Q744 &lt;&gt; """") * (Q744 &lt; SmartStatus!F$2:F1000)) + ((P744 &lt;&gt; """") * (date(year(P744) + 3, month(P"&amp;"744), day(P744)) &lt; SmartStatus!F$2:F1000))), (isblank(SmartStatus!G$2:G1000)) + (((Q744 &lt;&gt; """") * (Q744 &gt;= SmartStatus!G$2:G1000)) + ((P744 &lt;&gt; """") * (P744 &gt;= SmartStatus!G$2:G1000)))), if(or(regexmatch(B744, ""(?i)^ir [a-z]+ designation$""), N744 &lt;&gt; """&amp;"""), 1, 2))), """"), ""NO_MATCH"")"),"")</f>
        <v/>
      </c>
      <c r="AS744" s="11"/>
      <c r="AT744" s="15"/>
      <c r="AU744" s="11"/>
      <c r="AV744" s="11"/>
      <c r="AW744" s="15"/>
      <c r="AX744" s="15"/>
      <c r="AY744" s="15"/>
      <c r="AZ744" s="11"/>
      <c r="BA744" s="15"/>
      <c r="BB744" s="11"/>
      <c r="BC744" s="11"/>
      <c r="BD744" s="15"/>
      <c r="BE744" s="11"/>
      <c r="BF744" s="11"/>
      <c r="BG744" s="15"/>
      <c r="BH744" s="15"/>
      <c r="BI744" s="15"/>
      <c r="BJ744" s="11"/>
      <c r="BK744" s="15"/>
      <c r="BL744" s="11"/>
      <c r="BM744" s="11"/>
      <c r="BN744" s="15"/>
      <c r="BO744" s="11"/>
      <c r="BP744" s="11"/>
      <c r="BQ744" s="15"/>
      <c r="BR744" s="15"/>
      <c r="BS744" s="15"/>
      <c r="BT744" s="11"/>
      <c r="BU744" s="15"/>
      <c r="BV744" s="11"/>
      <c r="BW744" s="11"/>
      <c r="BX744" s="15"/>
      <c r="BY744" s="11"/>
      <c r="BZ744" s="11"/>
      <c r="CA744" s="15"/>
      <c r="CB744" s="11"/>
      <c r="CC744" s="15"/>
      <c r="CD744" s="11"/>
      <c r="CE744" s="15"/>
      <c r="CF744" s="11"/>
      <c r="CG744" s="11"/>
      <c r="CH744" s="15"/>
      <c r="CI744" s="11"/>
      <c r="CJ744" s="11"/>
      <c r="CK744" s="15"/>
      <c r="CL744" s="11"/>
      <c r="CM744" s="11"/>
      <c r="CN744" s="11"/>
      <c r="CO744" s="11"/>
      <c r="CP744" s="28"/>
      <c r="CQ744" s="28"/>
      <c r="CR744" s="11"/>
      <c r="CS744" s="29"/>
      <c r="CT744" s="11"/>
      <c r="CU744" s="11"/>
      <c r="CV744" s="11"/>
      <c r="CW744" s="11"/>
      <c r="CX744" s="11"/>
      <c r="CY744" s="11"/>
      <c r="CZ744" s="11"/>
      <c r="DA744" s="28"/>
      <c r="DB744" s="28"/>
      <c r="DC744" s="11"/>
      <c r="DD744" s="29"/>
      <c r="DE744" s="11"/>
      <c r="DF744" s="11"/>
      <c r="DG744" s="11"/>
      <c r="DH744" s="11"/>
      <c r="DI744" s="11"/>
      <c r="DJ744" s="11"/>
      <c r="DK744" s="26"/>
      <c r="DL744" s="11"/>
      <c r="DM744" s="29"/>
      <c r="DN744" s="28"/>
      <c r="DO744" s="11"/>
      <c r="DP744" s="11"/>
      <c r="DQ744" s="11"/>
      <c r="DR744" s="29"/>
      <c r="DS744" s="28"/>
      <c r="DT744" s="11"/>
      <c r="DU744" s="26"/>
      <c r="DV744" s="11"/>
      <c r="DW744" s="29"/>
      <c r="DX744" s="28"/>
      <c r="DY744" s="11"/>
      <c r="DZ744" s="26"/>
      <c r="EA744" s="11"/>
      <c r="EB744" s="29"/>
      <c r="EC744" s="28"/>
      <c r="ED744" s="30"/>
      <c r="EE744" s="30" t="str">
        <f ca="1">IFERROR(__xludf.DUMMYFUNCTION("iferror(index(filter('Internal -- Trademark Countries'!E$2:E1000, (AM744 = 'Internal -- Trademark Countries'!B$2:B1000) + (AM744 = 'Internal -- Trademark Countries'!C$2:C1000) + (AM744 = 'Internal -- Trademark Countries'!D$2:D1000)), 1))"),"")</f>
        <v/>
      </c>
      <c r="EF744" s="30" t="e">
        <f ca="1">_xludf.ifs(AM744="", "", COUNTIF('Internal -- Trademark Countries'!B:B,AM744) &gt; 0, "polity_shortest_name", COUNTIF('Internal -- Trademark Countries'!C:C,AM744) &gt; 0, "polity_full_name", COUNTIF('Internal -- Trademark Countries'!D:D,AM744) &gt; 0, "polity_common_name", COUNTIF('Internal -- Trademark Countries'!E:E,AM744) &gt; 0, "shortest_name", COUNTIF('Internal -- Trademark Countries'!A:A,AM744) &gt; 0, "full_name", TRUE, "not a match")</f>
        <v>#NAME?</v>
      </c>
      <c r="EG744" s="30"/>
      <c r="EH744" s="30"/>
      <c r="EI744" s="30"/>
      <c r="EJ744" s="30"/>
      <c r="EK744" s="30" t="str">
        <f t="shared" si="4"/>
        <v/>
      </c>
    </row>
    <row r="745" spans="1:141" ht="16.5">
      <c r="A745" s="11"/>
      <c r="B745" s="11"/>
      <c r="C745" s="11"/>
      <c r="D745" s="11"/>
      <c r="E745" s="11"/>
      <c r="F745" s="11"/>
      <c r="G745" s="11"/>
      <c r="H745" s="11"/>
      <c r="I745" s="11"/>
      <c r="J745" s="11"/>
      <c r="K745" s="27"/>
      <c r="L745" s="11"/>
      <c r="M745" s="11"/>
      <c r="N745" s="11"/>
      <c r="O745" s="11"/>
      <c r="P745" s="15"/>
      <c r="Q745" s="15"/>
      <c r="R745" s="15"/>
      <c r="S745" s="15"/>
      <c r="T745" s="15"/>
      <c r="U745" s="15"/>
      <c r="V745" s="15"/>
      <c r="W745" s="47"/>
      <c r="X745" s="11"/>
      <c r="Y745" s="48"/>
      <c r="Z745" s="11"/>
      <c r="AA745" s="48"/>
      <c r="AB745" s="11"/>
      <c r="AC745" s="48"/>
      <c r="AD745" s="11"/>
      <c r="AE745" s="47"/>
      <c r="AF745" s="11"/>
      <c r="AG745" s="48"/>
      <c r="AH745" s="11"/>
      <c r="AI745" s="48"/>
      <c r="AJ745" s="11"/>
      <c r="AK745" s="48"/>
      <c r="AL745" s="11"/>
      <c r="AM745" s="49"/>
      <c r="AN745" s="49"/>
      <c r="AO745" s="11"/>
      <c r="AP745" s="11"/>
      <c r="AQ745" s="28" t="b">
        <f>IF(COUNTIF(SmartStatus!A$2:A1000, AM745) &gt; 2, TRUE, FALSE)</f>
        <v>0</v>
      </c>
      <c r="AR745" s="29" t="str">
        <f ca="1">IFERROR(__xludf.DUMMYFUNCTION("iferror(if(regexmatch(AO745, ""(?i)^registered""), if(EE745 &lt;&gt; ""polity_shortest_name"", ""CHECK_POLITY"", index(filter(SmartStatus!B$2:B1000, AM745 = SmartStatus!A$2:A1000, not(SmartStatus!C$2:C1000), (isblank(SmartStatus!D$2:D1000)) + ((P745 &lt;&gt; """") * "&amp;"(P745 &lt; SmartStatus!D$2:D1000)), (isblank(SmartStatus!E$2:E1000)) + ((P745 &lt;&gt; """") * (P745 &gt;= SmartStatus!E$2:E1000)), (isblank(SmartStatus!F$2:F1000)) + (((Q745 &lt;&gt; """") * (Q745 &lt; SmartStatus!F$2:F1000)) + ((P745 &lt;&gt; """") * (date(year(P745) + 3, month(P"&amp;"745), day(P745)) &lt; SmartStatus!F$2:F1000))), (isblank(SmartStatus!G$2:G1000)) + (((Q745 &lt;&gt; """") * (Q745 &gt;= SmartStatus!G$2:G1000)) + ((P745 &lt;&gt; """") * (P745 &gt;= SmartStatus!G$2:G1000)))), if(or(regexmatch(B745, ""(?i)^ir [a-z]+ designation$""), N745 &lt;&gt; """&amp;"""), 1, 2))), """"), ""NO_MATCH"")"),"")</f>
        <v/>
      </c>
      <c r="AS745" s="11"/>
      <c r="AT745" s="15"/>
      <c r="AU745" s="11"/>
      <c r="AV745" s="11"/>
      <c r="AW745" s="15"/>
      <c r="AX745" s="15"/>
      <c r="AY745" s="15"/>
      <c r="AZ745" s="11"/>
      <c r="BA745" s="15"/>
      <c r="BB745" s="11"/>
      <c r="BC745" s="11"/>
      <c r="BD745" s="15"/>
      <c r="BE745" s="11"/>
      <c r="BF745" s="11"/>
      <c r="BG745" s="15"/>
      <c r="BH745" s="15"/>
      <c r="BI745" s="15"/>
      <c r="BJ745" s="11"/>
      <c r="BK745" s="15"/>
      <c r="BL745" s="11"/>
      <c r="BM745" s="11"/>
      <c r="BN745" s="15"/>
      <c r="BO745" s="11"/>
      <c r="BP745" s="11"/>
      <c r="BQ745" s="15"/>
      <c r="BR745" s="15"/>
      <c r="BS745" s="15"/>
      <c r="BT745" s="11"/>
      <c r="BU745" s="15"/>
      <c r="BV745" s="11"/>
      <c r="BW745" s="11"/>
      <c r="BX745" s="15"/>
      <c r="BY745" s="11"/>
      <c r="BZ745" s="11"/>
      <c r="CA745" s="15"/>
      <c r="CB745" s="11"/>
      <c r="CC745" s="15"/>
      <c r="CD745" s="11"/>
      <c r="CE745" s="15"/>
      <c r="CF745" s="11"/>
      <c r="CG745" s="11"/>
      <c r="CH745" s="15"/>
      <c r="CI745" s="11"/>
      <c r="CJ745" s="11"/>
      <c r="CK745" s="15"/>
      <c r="CL745" s="11"/>
      <c r="CM745" s="11"/>
      <c r="CN745" s="11"/>
      <c r="CO745" s="11"/>
      <c r="CP745" s="28"/>
      <c r="CQ745" s="28"/>
      <c r="CR745" s="11"/>
      <c r="CS745" s="29"/>
      <c r="CT745" s="11"/>
      <c r="CU745" s="11"/>
      <c r="CV745" s="11"/>
      <c r="CW745" s="11"/>
      <c r="CX745" s="11"/>
      <c r="CY745" s="11"/>
      <c r="CZ745" s="11"/>
      <c r="DA745" s="28"/>
      <c r="DB745" s="28"/>
      <c r="DC745" s="11"/>
      <c r="DD745" s="29"/>
      <c r="DE745" s="11"/>
      <c r="DF745" s="11"/>
      <c r="DG745" s="11"/>
      <c r="DH745" s="11"/>
      <c r="DI745" s="11"/>
      <c r="DJ745" s="11"/>
      <c r="DK745" s="26"/>
      <c r="DL745" s="11"/>
      <c r="DM745" s="29"/>
      <c r="DN745" s="28"/>
      <c r="DO745" s="11"/>
      <c r="DP745" s="11"/>
      <c r="DQ745" s="11"/>
      <c r="DR745" s="29"/>
      <c r="DS745" s="28"/>
      <c r="DT745" s="11"/>
      <c r="DU745" s="26"/>
      <c r="DV745" s="11"/>
      <c r="DW745" s="29"/>
      <c r="DX745" s="28"/>
      <c r="DY745" s="11"/>
      <c r="DZ745" s="26"/>
      <c r="EA745" s="11"/>
      <c r="EB745" s="29"/>
      <c r="EC745" s="28"/>
      <c r="ED745" s="30"/>
      <c r="EE745" s="30" t="str">
        <f ca="1">IFERROR(__xludf.DUMMYFUNCTION("iferror(index(filter('Internal -- Trademark Countries'!E$2:E1000, (AM745 = 'Internal -- Trademark Countries'!B$2:B1000) + (AM745 = 'Internal -- Trademark Countries'!C$2:C1000) + (AM745 = 'Internal -- Trademark Countries'!D$2:D1000)), 1))"),"")</f>
        <v/>
      </c>
      <c r="EF745" s="30" t="e">
        <f ca="1">_xludf.ifs(AM745="", "", COUNTIF('Internal -- Trademark Countries'!B:B,AM745) &gt; 0, "polity_shortest_name", COUNTIF('Internal -- Trademark Countries'!C:C,AM745) &gt; 0, "polity_full_name", COUNTIF('Internal -- Trademark Countries'!D:D,AM745) &gt; 0, "polity_common_name", COUNTIF('Internal -- Trademark Countries'!E:E,AM745) &gt; 0, "shortest_name", COUNTIF('Internal -- Trademark Countries'!A:A,AM745) &gt; 0, "full_name", TRUE, "not a match")</f>
        <v>#NAME?</v>
      </c>
      <c r="EG745" s="30"/>
      <c r="EH745" s="30"/>
      <c r="EI745" s="30"/>
      <c r="EJ745" s="30"/>
      <c r="EK745" s="30" t="str">
        <f t="shared" si="4"/>
        <v/>
      </c>
    </row>
    <row r="746" spans="1:141" ht="16.5">
      <c r="A746" s="11"/>
      <c r="B746" s="11"/>
      <c r="C746" s="11"/>
      <c r="D746" s="11"/>
      <c r="E746" s="11"/>
      <c r="F746" s="11"/>
      <c r="G746" s="11"/>
      <c r="H746" s="11"/>
      <c r="I746" s="11"/>
      <c r="J746" s="11"/>
      <c r="K746" s="27"/>
      <c r="L746" s="11"/>
      <c r="M746" s="11"/>
      <c r="N746" s="11"/>
      <c r="O746" s="11"/>
      <c r="P746" s="15"/>
      <c r="Q746" s="15"/>
      <c r="R746" s="15"/>
      <c r="S746" s="15"/>
      <c r="T746" s="15"/>
      <c r="U746" s="15"/>
      <c r="V746" s="15"/>
      <c r="W746" s="47"/>
      <c r="X746" s="11"/>
      <c r="Y746" s="48"/>
      <c r="Z746" s="11"/>
      <c r="AA746" s="48"/>
      <c r="AB746" s="11"/>
      <c r="AC746" s="48"/>
      <c r="AD746" s="11"/>
      <c r="AE746" s="47"/>
      <c r="AF746" s="11"/>
      <c r="AG746" s="48"/>
      <c r="AH746" s="11"/>
      <c r="AI746" s="48"/>
      <c r="AJ746" s="11"/>
      <c r="AK746" s="48"/>
      <c r="AL746" s="11"/>
      <c r="AM746" s="49"/>
      <c r="AN746" s="49"/>
      <c r="AO746" s="11"/>
      <c r="AP746" s="11"/>
      <c r="AQ746" s="28" t="b">
        <f>IF(COUNTIF(SmartStatus!A$2:A1000, AM746) &gt; 2, TRUE, FALSE)</f>
        <v>0</v>
      </c>
      <c r="AR746" s="29" t="str">
        <f ca="1">IFERROR(__xludf.DUMMYFUNCTION("iferror(if(regexmatch(AO746, ""(?i)^registered""), if(EE746 &lt;&gt; ""polity_shortest_name"", ""CHECK_POLITY"", index(filter(SmartStatus!B$2:B1000, AM746 = SmartStatus!A$2:A1000, not(SmartStatus!C$2:C1000), (isblank(SmartStatus!D$2:D1000)) + ((P746 &lt;&gt; """") * "&amp;"(P746 &lt; SmartStatus!D$2:D1000)), (isblank(SmartStatus!E$2:E1000)) + ((P746 &lt;&gt; """") * (P746 &gt;= SmartStatus!E$2:E1000)), (isblank(SmartStatus!F$2:F1000)) + (((Q746 &lt;&gt; """") * (Q746 &lt; SmartStatus!F$2:F1000)) + ((P746 &lt;&gt; """") * (date(year(P746) + 3, month(P"&amp;"746), day(P746)) &lt; SmartStatus!F$2:F1000))), (isblank(SmartStatus!G$2:G1000)) + (((Q746 &lt;&gt; """") * (Q746 &gt;= SmartStatus!G$2:G1000)) + ((P746 &lt;&gt; """") * (P746 &gt;= SmartStatus!G$2:G1000)))), if(or(regexmatch(B746, ""(?i)^ir [a-z]+ designation$""), N746 &lt;&gt; """&amp;"""), 1, 2))), """"), ""NO_MATCH"")"),"")</f>
        <v/>
      </c>
      <c r="AS746" s="11"/>
      <c r="AT746" s="15"/>
      <c r="AU746" s="11"/>
      <c r="AV746" s="11"/>
      <c r="AW746" s="15"/>
      <c r="AX746" s="15"/>
      <c r="AY746" s="15"/>
      <c r="AZ746" s="11"/>
      <c r="BA746" s="15"/>
      <c r="BB746" s="11"/>
      <c r="BC746" s="11"/>
      <c r="BD746" s="15"/>
      <c r="BE746" s="11"/>
      <c r="BF746" s="11"/>
      <c r="BG746" s="15"/>
      <c r="BH746" s="15"/>
      <c r="BI746" s="15"/>
      <c r="BJ746" s="11"/>
      <c r="BK746" s="15"/>
      <c r="BL746" s="11"/>
      <c r="BM746" s="11"/>
      <c r="BN746" s="15"/>
      <c r="BO746" s="11"/>
      <c r="BP746" s="11"/>
      <c r="BQ746" s="15"/>
      <c r="BR746" s="15"/>
      <c r="BS746" s="15"/>
      <c r="BT746" s="11"/>
      <c r="BU746" s="15"/>
      <c r="BV746" s="11"/>
      <c r="BW746" s="11"/>
      <c r="BX746" s="15"/>
      <c r="BY746" s="11"/>
      <c r="BZ746" s="11"/>
      <c r="CA746" s="15"/>
      <c r="CB746" s="11"/>
      <c r="CC746" s="15"/>
      <c r="CD746" s="11"/>
      <c r="CE746" s="15"/>
      <c r="CF746" s="11"/>
      <c r="CG746" s="11"/>
      <c r="CH746" s="15"/>
      <c r="CI746" s="11"/>
      <c r="CJ746" s="11"/>
      <c r="CK746" s="15"/>
      <c r="CL746" s="11"/>
      <c r="CM746" s="11"/>
      <c r="CN746" s="11"/>
      <c r="CO746" s="11"/>
      <c r="CP746" s="28"/>
      <c r="CQ746" s="28"/>
      <c r="CR746" s="11"/>
      <c r="CS746" s="29"/>
      <c r="CT746" s="11"/>
      <c r="CU746" s="11"/>
      <c r="CV746" s="11"/>
      <c r="CW746" s="11"/>
      <c r="CX746" s="11"/>
      <c r="CY746" s="11"/>
      <c r="CZ746" s="11"/>
      <c r="DA746" s="28"/>
      <c r="DB746" s="28"/>
      <c r="DC746" s="11"/>
      <c r="DD746" s="29"/>
      <c r="DE746" s="11"/>
      <c r="DF746" s="11"/>
      <c r="DG746" s="11"/>
      <c r="DH746" s="11"/>
      <c r="DI746" s="11"/>
      <c r="DJ746" s="11"/>
      <c r="DK746" s="26"/>
      <c r="DL746" s="11"/>
      <c r="DM746" s="29"/>
      <c r="DN746" s="28"/>
      <c r="DO746" s="11"/>
      <c r="DP746" s="11"/>
      <c r="DQ746" s="11"/>
      <c r="DR746" s="29"/>
      <c r="DS746" s="28"/>
      <c r="DT746" s="11"/>
      <c r="DU746" s="26"/>
      <c r="DV746" s="11"/>
      <c r="DW746" s="29"/>
      <c r="DX746" s="28"/>
      <c r="DY746" s="11"/>
      <c r="DZ746" s="26"/>
      <c r="EA746" s="11"/>
      <c r="EB746" s="29"/>
      <c r="EC746" s="28"/>
      <c r="ED746" s="30"/>
      <c r="EE746" s="30" t="str">
        <f ca="1">IFERROR(__xludf.DUMMYFUNCTION("iferror(index(filter('Internal -- Trademark Countries'!E$2:E1000, (AM746 = 'Internal -- Trademark Countries'!B$2:B1000) + (AM746 = 'Internal -- Trademark Countries'!C$2:C1000) + (AM746 = 'Internal -- Trademark Countries'!D$2:D1000)), 1))"),"")</f>
        <v/>
      </c>
      <c r="EF746" s="30" t="e">
        <f ca="1">_xludf.ifs(AM746="", "", COUNTIF('Internal -- Trademark Countries'!B:B,AM746) &gt; 0, "polity_shortest_name", COUNTIF('Internal -- Trademark Countries'!C:C,AM746) &gt; 0, "polity_full_name", COUNTIF('Internal -- Trademark Countries'!D:D,AM746) &gt; 0, "polity_common_name", COUNTIF('Internal -- Trademark Countries'!E:E,AM746) &gt; 0, "shortest_name", COUNTIF('Internal -- Trademark Countries'!A:A,AM746) &gt; 0, "full_name", TRUE, "not a match")</f>
        <v>#NAME?</v>
      </c>
      <c r="EG746" s="30"/>
      <c r="EH746" s="30"/>
      <c r="EI746" s="30"/>
      <c r="EJ746" s="30"/>
      <c r="EK746" s="30" t="str">
        <f t="shared" si="4"/>
        <v/>
      </c>
    </row>
    <row r="747" spans="1:141" ht="16.5">
      <c r="A747" s="11"/>
      <c r="B747" s="11"/>
      <c r="C747" s="11"/>
      <c r="D747" s="11"/>
      <c r="E747" s="11"/>
      <c r="F747" s="11"/>
      <c r="G747" s="11"/>
      <c r="H747" s="11"/>
      <c r="I747" s="11"/>
      <c r="J747" s="11"/>
      <c r="K747" s="27"/>
      <c r="L747" s="11"/>
      <c r="M747" s="11"/>
      <c r="N747" s="11"/>
      <c r="O747" s="11"/>
      <c r="P747" s="15"/>
      <c r="Q747" s="15"/>
      <c r="R747" s="15"/>
      <c r="S747" s="15"/>
      <c r="T747" s="15"/>
      <c r="U747" s="15"/>
      <c r="V747" s="15"/>
      <c r="W747" s="47"/>
      <c r="X747" s="11"/>
      <c r="Y747" s="48"/>
      <c r="Z747" s="11"/>
      <c r="AA747" s="48"/>
      <c r="AB747" s="11"/>
      <c r="AC747" s="48"/>
      <c r="AD747" s="11"/>
      <c r="AE747" s="47"/>
      <c r="AF747" s="11"/>
      <c r="AG747" s="48"/>
      <c r="AH747" s="11"/>
      <c r="AI747" s="48"/>
      <c r="AJ747" s="11"/>
      <c r="AK747" s="48"/>
      <c r="AL747" s="11"/>
      <c r="AM747" s="49"/>
      <c r="AN747" s="49"/>
      <c r="AO747" s="11"/>
      <c r="AP747" s="11"/>
      <c r="AQ747" s="28" t="b">
        <f>IF(COUNTIF(SmartStatus!A$2:A1000, AM747) &gt; 2, TRUE, FALSE)</f>
        <v>0</v>
      </c>
      <c r="AR747" s="29" t="str">
        <f ca="1">IFERROR(__xludf.DUMMYFUNCTION("iferror(if(regexmatch(AO747, ""(?i)^registered""), if(EE747 &lt;&gt; ""polity_shortest_name"", ""CHECK_POLITY"", index(filter(SmartStatus!B$2:B1000, AM747 = SmartStatus!A$2:A1000, not(SmartStatus!C$2:C1000), (isblank(SmartStatus!D$2:D1000)) + ((P747 &lt;&gt; """") * "&amp;"(P747 &lt; SmartStatus!D$2:D1000)), (isblank(SmartStatus!E$2:E1000)) + ((P747 &lt;&gt; """") * (P747 &gt;= SmartStatus!E$2:E1000)), (isblank(SmartStatus!F$2:F1000)) + (((Q747 &lt;&gt; """") * (Q747 &lt; SmartStatus!F$2:F1000)) + ((P747 &lt;&gt; """") * (date(year(P747) + 3, month(P"&amp;"747), day(P747)) &lt; SmartStatus!F$2:F1000))), (isblank(SmartStatus!G$2:G1000)) + (((Q747 &lt;&gt; """") * (Q747 &gt;= SmartStatus!G$2:G1000)) + ((P747 &lt;&gt; """") * (P747 &gt;= SmartStatus!G$2:G1000)))), if(or(regexmatch(B747, ""(?i)^ir [a-z]+ designation$""), N747 &lt;&gt; """&amp;"""), 1, 2))), """"), ""NO_MATCH"")"),"")</f>
        <v/>
      </c>
      <c r="AS747" s="11"/>
      <c r="AT747" s="15"/>
      <c r="AU747" s="11"/>
      <c r="AV747" s="11"/>
      <c r="AW747" s="15"/>
      <c r="AX747" s="15"/>
      <c r="AY747" s="15"/>
      <c r="AZ747" s="11"/>
      <c r="BA747" s="15"/>
      <c r="BB747" s="11"/>
      <c r="BC747" s="11"/>
      <c r="BD747" s="15"/>
      <c r="BE747" s="11"/>
      <c r="BF747" s="11"/>
      <c r="BG747" s="15"/>
      <c r="BH747" s="15"/>
      <c r="BI747" s="15"/>
      <c r="BJ747" s="11"/>
      <c r="BK747" s="15"/>
      <c r="BL747" s="11"/>
      <c r="BM747" s="11"/>
      <c r="BN747" s="15"/>
      <c r="BO747" s="11"/>
      <c r="BP747" s="11"/>
      <c r="BQ747" s="15"/>
      <c r="BR747" s="15"/>
      <c r="BS747" s="15"/>
      <c r="BT747" s="11"/>
      <c r="BU747" s="15"/>
      <c r="BV747" s="11"/>
      <c r="BW747" s="11"/>
      <c r="BX747" s="15"/>
      <c r="BY747" s="11"/>
      <c r="BZ747" s="11"/>
      <c r="CA747" s="15"/>
      <c r="CB747" s="11"/>
      <c r="CC747" s="15"/>
      <c r="CD747" s="11"/>
      <c r="CE747" s="15"/>
      <c r="CF747" s="11"/>
      <c r="CG747" s="11"/>
      <c r="CH747" s="15"/>
      <c r="CI747" s="11"/>
      <c r="CJ747" s="11"/>
      <c r="CK747" s="15"/>
      <c r="CL747" s="11"/>
      <c r="CM747" s="11"/>
      <c r="CN747" s="11"/>
      <c r="CO747" s="11"/>
      <c r="CP747" s="28"/>
      <c r="CQ747" s="28"/>
      <c r="CR747" s="11"/>
      <c r="CS747" s="29"/>
      <c r="CT747" s="11"/>
      <c r="CU747" s="11"/>
      <c r="CV747" s="11"/>
      <c r="CW747" s="11"/>
      <c r="CX747" s="11"/>
      <c r="CY747" s="11"/>
      <c r="CZ747" s="11"/>
      <c r="DA747" s="28"/>
      <c r="DB747" s="28"/>
      <c r="DC747" s="11"/>
      <c r="DD747" s="29"/>
      <c r="DE747" s="11"/>
      <c r="DF747" s="11"/>
      <c r="DG747" s="11"/>
      <c r="DH747" s="11"/>
      <c r="DI747" s="11"/>
      <c r="DJ747" s="11"/>
      <c r="DK747" s="26"/>
      <c r="DL747" s="11"/>
      <c r="DM747" s="29"/>
      <c r="DN747" s="28"/>
      <c r="DO747" s="11"/>
      <c r="DP747" s="11"/>
      <c r="DQ747" s="11"/>
      <c r="DR747" s="29"/>
      <c r="DS747" s="28"/>
      <c r="DT747" s="11"/>
      <c r="DU747" s="26"/>
      <c r="DV747" s="11"/>
      <c r="DW747" s="29"/>
      <c r="DX747" s="28"/>
      <c r="DY747" s="11"/>
      <c r="DZ747" s="26"/>
      <c r="EA747" s="11"/>
      <c r="EB747" s="29"/>
      <c r="EC747" s="28"/>
      <c r="ED747" s="30"/>
      <c r="EE747" s="30" t="str">
        <f ca="1">IFERROR(__xludf.DUMMYFUNCTION("iferror(index(filter('Internal -- Trademark Countries'!E$2:E1000, (AM747 = 'Internal -- Trademark Countries'!B$2:B1000) + (AM747 = 'Internal -- Trademark Countries'!C$2:C1000) + (AM747 = 'Internal -- Trademark Countries'!D$2:D1000)), 1))"),"")</f>
        <v/>
      </c>
      <c r="EF747" s="30" t="e">
        <f ca="1">_xludf.ifs(AM747="", "", COUNTIF('Internal -- Trademark Countries'!B:B,AM747) &gt; 0, "polity_shortest_name", COUNTIF('Internal -- Trademark Countries'!C:C,AM747) &gt; 0, "polity_full_name", COUNTIF('Internal -- Trademark Countries'!D:D,AM747) &gt; 0, "polity_common_name", COUNTIF('Internal -- Trademark Countries'!E:E,AM747) &gt; 0, "shortest_name", COUNTIF('Internal -- Trademark Countries'!A:A,AM747) &gt; 0, "full_name", TRUE, "not a match")</f>
        <v>#NAME?</v>
      </c>
      <c r="EG747" s="30"/>
      <c r="EH747" s="30"/>
      <c r="EI747" s="30"/>
      <c r="EJ747" s="30"/>
      <c r="EK747" s="30" t="str">
        <f t="shared" si="4"/>
        <v/>
      </c>
    </row>
    <row r="748" spans="1:141" ht="16.5">
      <c r="A748" s="11"/>
      <c r="B748" s="11"/>
      <c r="C748" s="11"/>
      <c r="D748" s="11"/>
      <c r="E748" s="11"/>
      <c r="F748" s="11"/>
      <c r="G748" s="11"/>
      <c r="H748" s="11"/>
      <c r="I748" s="11"/>
      <c r="J748" s="11"/>
      <c r="K748" s="27"/>
      <c r="L748" s="11"/>
      <c r="M748" s="11"/>
      <c r="N748" s="11"/>
      <c r="O748" s="11"/>
      <c r="P748" s="15"/>
      <c r="Q748" s="15"/>
      <c r="R748" s="15"/>
      <c r="S748" s="15"/>
      <c r="T748" s="15"/>
      <c r="U748" s="15"/>
      <c r="V748" s="15"/>
      <c r="W748" s="47"/>
      <c r="X748" s="11"/>
      <c r="Y748" s="48"/>
      <c r="Z748" s="11"/>
      <c r="AA748" s="48"/>
      <c r="AB748" s="11"/>
      <c r="AC748" s="48"/>
      <c r="AD748" s="11"/>
      <c r="AE748" s="47"/>
      <c r="AF748" s="11"/>
      <c r="AG748" s="48"/>
      <c r="AH748" s="11"/>
      <c r="AI748" s="48"/>
      <c r="AJ748" s="11"/>
      <c r="AK748" s="48"/>
      <c r="AL748" s="11"/>
      <c r="AM748" s="49"/>
      <c r="AN748" s="49"/>
      <c r="AO748" s="11"/>
      <c r="AP748" s="11"/>
      <c r="AQ748" s="28" t="b">
        <f>IF(COUNTIF(SmartStatus!A$2:A1000, AM748) &gt; 2, TRUE, FALSE)</f>
        <v>0</v>
      </c>
      <c r="AR748" s="29" t="str">
        <f ca="1">IFERROR(__xludf.DUMMYFUNCTION("iferror(if(regexmatch(AO748, ""(?i)^registered""), if(EE748 &lt;&gt; ""polity_shortest_name"", ""CHECK_POLITY"", index(filter(SmartStatus!B$2:B1000, AM748 = SmartStatus!A$2:A1000, not(SmartStatus!C$2:C1000), (isblank(SmartStatus!D$2:D1000)) + ((P748 &lt;&gt; """") * "&amp;"(P748 &lt; SmartStatus!D$2:D1000)), (isblank(SmartStatus!E$2:E1000)) + ((P748 &lt;&gt; """") * (P748 &gt;= SmartStatus!E$2:E1000)), (isblank(SmartStatus!F$2:F1000)) + (((Q748 &lt;&gt; """") * (Q748 &lt; SmartStatus!F$2:F1000)) + ((P748 &lt;&gt; """") * (date(year(P748) + 3, month(P"&amp;"748), day(P748)) &lt; SmartStatus!F$2:F1000))), (isblank(SmartStatus!G$2:G1000)) + (((Q748 &lt;&gt; """") * (Q748 &gt;= SmartStatus!G$2:G1000)) + ((P748 &lt;&gt; """") * (P748 &gt;= SmartStatus!G$2:G1000)))), if(or(regexmatch(B748, ""(?i)^ir [a-z]+ designation$""), N748 &lt;&gt; """&amp;"""), 1, 2))), """"), ""NO_MATCH"")"),"")</f>
        <v/>
      </c>
      <c r="AS748" s="11"/>
      <c r="AT748" s="15"/>
      <c r="AU748" s="11"/>
      <c r="AV748" s="11"/>
      <c r="AW748" s="15"/>
      <c r="AX748" s="15"/>
      <c r="AY748" s="15"/>
      <c r="AZ748" s="11"/>
      <c r="BA748" s="15"/>
      <c r="BB748" s="11"/>
      <c r="BC748" s="11"/>
      <c r="BD748" s="15"/>
      <c r="BE748" s="11"/>
      <c r="BF748" s="11"/>
      <c r="BG748" s="15"/>
      <c r="BH748" s="15"/>
      <c r="BI748" s="15"/>
      <c r="BJ748" s="11"/>
      <c r="BK748" s="15"/>
      <c r="BL748" s="11"/>
      <c r="BM748" s="11"/>
      <c r="BN748" s="15"/>
      <c r="BO748" s="11"/>
      <c r="BP748" s="11"/>
      <c r="BQ748" s="15"/>
      <c r="BR748" s="15"/>
      <c r="BS748" s="15"/>
      <c r="BT748" s="11"/>
      <c r="BU748" s="15"/>
      <c r="BV748" s="11"/>
      <c r="BW748" s="11"/>
      <c r="BX748" s="15"/>
      <c r="BY748" s="11"/>
      <c r="BZ748" s="11"/>
      <c r="CA748" s="15"/>
      <c r="CB748" s="11"/>
      <c r="CC748" s="15"/>
      <c r="CD748" s="11"/>
      <c r="CE748" s="15"/>
      <c r="CF748" s="11"/>
      <c r="CG748" s="11"/>
      <c r="CH748" s="15"/>
      <c r="CI748" s="11"/>
      <c r="CJ748" s="11"/>
      <c r="CK748" s="15"/>
      <c r="CL748" s="11"/>
      <c r="CM748" s="11"/>
      <c r="CN748" s="11"/>
      <c r="CO748" s="11"/>
      <c r="CP748" s="28"/>
      <c r="CQ748" s="28"/>
      <c r="CR748" s="11"/>
      <c r="CS748" s="29"/>
      <c r="CT748" s="11"/>
      <c r="CU748" s="11"/>
      <c r="CV748" s="11"/>
      <c r="CW748" s="11"/>
      <c r="CX748" s="11"/>
      <c r="CY748" s="11"/>
      <c r="CZ748" s="11"/>
      <c r="DA748" s="28"/>
      <c r="DB748" s="28"/>
      <c r="DC748" s="11"/>
      <c r="DD748" s="29"/>
      <c r="DE748" s="11"/>
      <c r="DF748" s="11"/>
      <c r="DG748" s="11"/>
      <c r="DH748" s="11"/>
      <c r="DI748" s="11"/>
      <c r="DJ748" s="11"/>
      <c r="DK748" s="26"/>
      <c r="DL748" s="11"/>
      <c r="DM748" s="29"/>
      <c r="DN748" s="28"/>
      <c r="DO748" s="11"/>
      <c r="DP748" s="11"/>
      <c r="DQ748" s="11"/>
      <c r="DR748" s="29"/>
      <c r="DS748" s="28"/>
      <c r="DT748" s="11"/>
      <c r="DU748" s="26"/>
      <c r="DV748" s="11"/>
      <c r="DW748" s="29"/>
      <c r="DX748" s="28"/>
      <c r="DY748" s="11"/>
      <c r="DZ748" s="26"/>
      <c r="EA748" s="11"/>
      <c r="EB748" s="29"/>
      <c r="EC748" s="28"/>
      <c r="ED748" s="30"/>
      <c r="EE748" s="30" t="str">
        <f ca="1">IFERROR(__xludf.DUMMYFUNCTION("iferror(index(filter('Internal -- Trademark Countries'!E$2:E1000, (AM748 = 'Internal -- Trademark Countries'!B$2:B1000) + (AM748 = 'Internal -- Trademark Countries'!C$2:C1000) + (AM748 = 'Internal -- Trademark Countries'!D$2:D1000)), 1))"),"")</f>
        <v/>
      </c>
      <c r="EF748" s="30" t="e">
        <f ca="1">_xludf.ifs(AM748="", "", COUNTIF('Internal -- Trademark Countries'!B:B,AM748) &gt; 0, "polity_shortest_name", COUNTIF('Internal -- Trademark Countries'!C:C,AM748) &gt; 0, "polity_full_name", COUNTIF('Internal -- Trademark Countries'!D:D,AM748) &gt; 0, "polity_common_name", COUNTIF('Internal -- Trademark Countries'!E:E,AM748) &gt; 0, "shortest_name", COUNTIF('Internal -- Trademark Countries'!A:A,AM748) &gt; 0, "full_name", TRUE, "not a match")</f>
        <v>#NAME?</v>
      </c>
      <c r="EG748" s="30"/>
      <c r="EH748" s="30"/>
      <c r="EI748" s="30"/>
      <c r="EJ748" s="30"/>
      <c r="EK748" s="30" t="str">
        <f t="shared" si="4"/>
        <v/>
      </c>
    </row>
    <row r="749" spans="1:141" ht="16.5">
      <c r="A749" s="11"/>
      <c r="B749" s="11"/>
      <c r="C749" s="11"/>
      <c r="D749" s="11"/>
      <c r="E749" s="11"/>
      <c r="F749" s="11"/>
      <c r="G749" s="11"/>
      <c r="H749" s="11"/>
      <c r="I749" s="11"/>
      <c r="J749" s="11"/>
      <c r="K749" s="27"/>
      <c r="L749" s="11"/>
      <c r="M749" s="11"/>
      <c r="N749" s="11"/>
      <c r="O749" s="11"/>
      <c r="P749" s="15"/>
      <c r="Q749" s="15"/>
      <c r="R749" s="15"/>
      <c r="S749" s="15"/>
      <c r="T749" s="15"/>
      <c r="U749" s="15"/>
      <c r="V749" s="15"/>
      <c r="W749" s="47"/>
      <c r="X749" s="11"/>
      <c r="Y749" s="48"/>
      <c r="Z749" s="11"/>
      <c r="AA749" s="48"/>
      <c r="AB749" s="11"/>
      <c r="AC749" s="48"/>
      <c r="AD749" s="11"/>
      <c r="AE749" s="47"/>
      <c r="AF749" s="11"/>
      <c r="AG749" s="48"/>
      <c r="AH749" s="11"/>
      <c r="AI749" s="48"/>
      <c r="AJ749" s="11"/>
      <c r="AK749" s="48"/>
      <c r="AL749" s="11"/>
      <c r="AM749" s="49"/>
      <c r="AN749" s="49"/>
      <c r="AO749" s="11"/>
      <c r="AP749" s="11"/>
      <c r="AQ749" s="28" t="b">
        <f>IF(COUNTIF(SmartStatus!A$2:A1000, AM749) &gt; 2, TRUE, FALSE)</f>
        <v>0</v>
      </c>
      <c r="AR749" s="29" t="str">
        <f ca="1">IFERROR(__xludf.DUMMYFUNCTION("iferror(if(regexmatch(AO749, ""(?i)^registered""), if(EE749 &lt;&gt; ""polity_shortest_name"", ""CHECK_POLITY"", index(filter(SmartStatus!B$2:B1000, AM749 = SmartStatus!A$2:A1000, not(SmartStatus!C$2:C1000), (isblank(SmartStatus!D$2:D1000)) + ((P749 &lt;&gt; """") * "&amp;"(P749 &lt; SmartStatus!D$2:D1000)), (isblank(SmartStatus!E$2:E1000)) + ((P749 &lt;&gt; """") * (P749 &gt;= SmartStatus!E$2:E1000)), (isblank(SmartStatus!F$2:F1000)) + (((Q749 &lt;&gt; """") * (Q749 &lt; SmartStatus!F$2:F1000)) + ((P749 &lt;&gt; """") * (date(year(P749) + 3, month(P"&amp;"749), day(P749)) &lt; SmartStatus!F$2:F1000))), (isblank(SmartStatus!G$2:G1000)) + (((Q749 &lt;&gt; """") * (Q749 &gt;= SmartStatus!G$2:G1000)) + ((P749 &lt;&gt; """") * (P749 &gt;= SmartStatus!G$2:G1000)))), if(or(regexmatch(B749, ""(?i)^ir [a-z]+ designation$""), N749 &lt;&gt; """&amp;"""), 1, 2))), """"), ""NO_MATCH"")"),"")</f>
        <v/>
      </c>
      <c r="AS749" s="11"/>
      <c r="AT749" s="15"/>
      <c r="AU749" s="11"/>
      <c r="AV749" s="11"/>
      <c r="AW749" s="15"/>
      <c r="AX749" s="15"/>
      <c r="AY749" s="15"/>
      <c r="AZ749" s="11"/>
      <c r="BA749" s="15"/>
      <c r="BB749" s="11"/>
      <c r="BC749" s="11"/>
      <c r="BD749" s="15"/>
      <c r="BE749" s="11"/>
      <c r="BF749" s="11"/>
      <c r="BG749" s="15"/>
      <c r="BH749" s="15"/>
      <c r="BI749" s="15"/>
      <c r="BJ749" s="11"/>
      <c r="BK749" s="15"/>
      <c r="BL749" s="11"/>
      <c r="BM749" s="11"/>
      <c r="BN749" s="15"/>
      <c r="BO749" s="11"/>
      <c r="BP749" s="11"/>
      <c r="BQ749" s="15"/>
      <c r="BR749" s="15"/>
      <c r="BS749" s="15"/>
      <c r="BT749" s="11"/>
      <c r="BU749" s="15"/>
      <c r="BV749" s="11"/>
      <c r="BW749" s="11"/>
      <c r="BX749" s="15"/>
      <c r="BY749" s="11"/>
      <c r="BZ749" s="11"/>
      <c r="CA749" s="15"/>
      <c r="CB749" s="11"/>
      <c r="CC749" s="15"/>
      <c r="CD749" s="11"/>
      <c r="CE749" s="15"/>
      <c r="CF749" s="11"/>
      <c r="CG749" s="11"/>
      <c r="CH749" s="15"/>
      <c r="CI749" s="11"/>
      <c r="CJ749" s="11"/>
      <c r="CK749" s="15"/>
      <c r="CL749" s="11"/>
      <c r="CM749" s="11"/>
      <c r="CN749" s="11"/>
      <c r="CO749" s="11"/>
      <c r="CP749" s="28"/>
      <c r="CQ749" s="28"/>
      <c r="CR749" s="11"/>
      <c r="CS749" s="29"/>
      <c r="CT749" s="11"/>
      <c r="CU749" s="11"/>
      <c r="CV749" s="11"/>
      <c r="CW749" s="11"/>
      <c r="CX749" s="11"/>
      <c r="CY749" s="11"/>
      <c r="CZ749" s="11"/>
      <c r="DA749" s="28"/>
      <c r="DB749" s="28"/>
      <c r="DC749" s="11"/>
      <c r="DD749" s="29"/>
      <c r="DE749" s="11"/>
      <c r="DF749" s="11"/>
      <c r="DG749" s="11"/>
      <c r="DH749" s="11"/>
      <c r="DI749" s="11"/>
      <c r="DJ749" s="11"/>
      <c r="DK749" s="26"/>
      <c r="DL749" s="11"/>
      <c r="DM749" s="29"/>
      <c r="DN749" s="28"/>
      <c r="DO749" s="11"/>
      <c r="DP749" s="11"/>
      <c r="DQ749" s="11"/>
      <c r="DR749" s="29"/>
      <c r="DS749" s="28"/>
      <c r="DT749" s="11"/>
      <c r="DU749" s="26"/>
      <c r="DV749" s="11"/>
      <c r="DW749" s="29"/>
      <c r="DX749" s="28"/>
      <c r="DY749" s="11"/>
      <c r="DZ749" s="26"/>
      <c r="EA749" s="11"/>
      <c r="EB749" s="29"/>
      <c r="EC749" s="28"/>
      <c r="ED749" s="30"/>
      <c r="EE749" s="30" t="str">
        <f ca="1">IFERROR(__xludf.DUMMYFUNCTION("iferror(index(filter('Internal -- Trademark Countries'!E$2:E1000, (AM749 = 'Internal -- Trademark Countries'!B$2:B1000) + (AM749 = 'Internal -- Trademark Countries'!C$2:C1000) + (AM749 = 'Internal -- Trademark Countries'!D$2:D1000)), 1))"),"")</f>
        <v/>
      </c>
      <c r="EF749" s="30" t="e">
        <f ca="1">_xludf.ifs(AM749="", "", COUNTIF('Internal -- Trademark Countries'!B:B,AM749) &gt; 0, "polity_shortest_name", COUNTIF('Internal -- Trademark Countries'!C:C,AM749) &gt; 0, "polity_full_name", COUNTIF('Internal -- Trademark Countries'!D:D,AM749) &gt; 0, "polity_common_name", COUNTIF('Internal -- Trademark Countries'!E:E,AM749) &gt; 0, "shortest_name", COUNTIF('Internal -- Trademark Countries'!A:A,AM749) &gt; 0, "full_name", TRUE, "not a match")</f>
        <v>#NAME?</v>
      </c>
      <c r="EG749" s="30"/>
      <c r="EH749" s="30"/>
      <c r="EI749" s="30"/>
      <c r="EJ749" s="30"/>
      <c r="EK749" s="30" t="str">
        <f t="shared" si="4"/>
        <v/>
      </c>
    </row>
    <row r="750" spans="1:141" ht="16.5">
      <c r="A750" s="11"/>
      <c r="B750" s="11"/>
      <c r="C750" s="11"/>
      <c r="D750" s="11"/>
      <c r="E750" s="11"/>
      <c r="F750" s="11"/>
      <c r="G750" s="11"/>
      <c r="H750" s="11"/>
      <c r="I750" s="11"/>
      <c r="J750" s="11"/>
      <c r="K750" s="27"/>
      <c r="L750" s="11"/>
      <c r="M750" s="11"/>
      <c r="N750" s="11"/>
      <c r="O750" s="11"/>
      <c r="P750" s="15"/>
      <c r="Q750" s="15"/>
      <c r="R750" s="15"/>
      <c r="S750" s="15"/>
      <c r="T750" s="15"/>
      <c r="U750" s="15"/>
      <c r="V750" s="15"/>
      <c r="W750" s="47"/>
      <c r="X750" s="11"/>
      <c r="Y750" s="48"/>
      <c r="Z750" s="11"/>
      <c r="AA750" s="48"/>
      <c r="AB750" s="11"/>
      <c r="AC750" s="48"/>
      <c r="AD750" s="11"/>
      <c r="AE750" s="47"/>
      <c r="AF750" s="11"/>
      <c r="AG750" s="48"/>
      <c r="AH750" s="11"/>
      <c r="AI750" s="48"/>
      <c r="AJ750" s="11"/>
      <c r="AK750" s="48"/>
      <c r="AL750" s="11"/>
      <c r="AM750" s="49"/>
      <c r="AN750" s="49"/>
      <c r="AO750" s="11"/>
      <c r="AP750" s="11"/>
      <c r="AQ750" s="28" t="b">
        <f>IF(COUNTIF(SmartStatus!A$2:A1000, AM750) &gt; 2, TRUE, FALSE)</f>
        <v>0</v>
      </c>
      <c r="AR750" s="29" t="str">
        <f ca="1">IFERROR(__xludf.DUMMYFUNCTION("iferror(if(regexmatch(AO750, ""(?i)^registered""), if(EE750 &lt;&gt; ""polity_shortest_name"", ""CHECK_POLITY"", index(filter(SmartStatus!B$2:B1000, AM750 = SmartStatus!A$2:A1000, not(SmartStatus!C$2:C1000), (isblank(SmartStatus!D$2:D1000)) + ((P750 &lt;&gt; """") * "&amp;"(P750 &lt; SmartStatus!D$2:D1000)), (isblank(SmartStatus!E$2:E1000)) + ((P750 &lt;&gt; """") * (P750 &gt;= SmartStatus!E$2:E1000)), (isblank(SmartStatus!F$2:F1000)) + (((Q750 &lt;&gt; """") * (Q750 &lt; SmartStatus!F$2:F1000)) + ((P750 &lt;&gt; """") * (date(year(P750) + 3, month(P"&amp;"750), day(P750)) &lt; SmartStatus!F$2:F1000))), (isblank(SmartStatus!G$2:G1000)) + (((Q750 &lt;&gt; """") * (Q750 &gt;= SmartStatus!G$2:G1000)) + ((P750 &lt;&gt; """") * (P750 &gt;= SmartStatus!G$2:G1000)))), if(or(regexmatch(B750, ""(?i)^ir [a-z]+ designation$""), N750 &lt;&gt; """&amp;"""), 1, 2))), """"), ""NO_MATCH"")"),"")</f>
        <v/>
      </c>
      <c r="AS750" s="11"/>
      <c r="AT750" s="15"/>
      <c r="AU750" s="11"/>
      <c r="AV750" s="11"/>
      <c r="AW750" s="15"/>
      <c r="AX750" s="15"/>
      <c r="AY750" s="15"/>
      <c r="AZ750" s="11"/>
      <c r="BA750" s="15"/>
      <c r="BB750" s="11"/>
      <c r="BC750" s="11"/>
      <c r="BD750" s="15"/>
      <c r="BE750" s="11"/>
      <c r="BF750" s="11"/>
      <c r="BG750" s="15"/>
      <c r="BH750" s="15"/>
      <c r="BI750" s="15"/>
      <c r="BJ750" s="11"/>
      <c r="BK750" s="15"/>
      <c r="BL750" s="11"/>
      <c r="BM750" s="11"/>
      <c r="BN750" s="15"/>
      <c r="BO750" s="11"/>
      <c r="BP750" s="11"/>
      <c r="BQ750" s="15"/>
      <c r="BR750" s="15"/>
      <c r="BS750" s="15"/>
      <c r="BT750" s="11"/>
      <c r="BU750" s="15"/>
      <c r="BV750" s="11"/>
      <c r="BW750" s="11"/>
      <c r="BX750" s="15"/>
      <c r="BY750" s="11"/>
      <c r="BZ750" s="11"/>
      <c r="CA750" s="15"/>
      <c r="CB750" s="11"/>
      <c r="CC750" s="15"/>
      <c r="CD750" s="11"/>
      <c r="CE750" s="15"/>
      <c r="CF750" s="11"/>
      <c r="CG750" s="11"/>
      <c r="CH750" s="15"/>
      <c r="CI750" s="11"/>
      <c r="CJ750" s="11"/>
      <c r="CK750" s="15"/>
      <c r="CL750" s="11"/>
      <c r="CM750" s="11"/>
      <c r="CN750" s="11"/>
      <c r="CO750" s="11"/>
      <c r="CP750" s="28"/>
      <c r="CQ750" s="28"/>
      <c r="CR750" s="11"/>
      <c r="CS750" s="29"/>
      <c r="CT750" s="11"/>
      <c r="CU750" s="11"/>
      <c r="CV750" s="11"/>
      <c r="CW750" s="11"/>
      <c r="CX750" s="11"/>
      <c r="CY750" s="11"/>
      <c r="CZ750" s="11"/>
      <c r="DA750" s="28"/>
      <c r="DB750" s="28"/>
      <c r="DC750" s="11"/>
      <c r="DD750" s="29"/>
      <c r="DE750" s="11"/>
      <c r="DF750" s="11"/>
      <c r="DG750" s="11"/>
      <c r="DH750" s="11"/>
      <c r="DI750" s="11"/>
      <c r="DJ750" s="11"/>
      <c r="DK750" s="26"/>
      <c r="DL750" s="11"/>
      <c r="DM750" s="29"/>
      <c r="DN750" s="28"/>
      <c r="DO750" s="11"/>
      <c r="DP750" s="11"/>
      <c r="DQ750" s="11"/>
      <c r="DR750" s="29"/>
      <c r="DS750" s="28"/>
      <c r="DT750" s="11"/>
      <c r="DU750" s="26"/>
      <c r="DV750" s="11"/>
      <c r="DW750" s="29"/>
      <c r="DX750" s="28"/>
      <c r="DY750" s="11"/>
      <c r="DZ750" s="26"/>
      <c r="EA750" s="11"/>
      <c r="EB750" s="29"/>
      <c r="EC750" s="28"/>
      <c r="ED750" s="30"/>
      <c r="EE750" s="30" t="str">
        <f ca="1">IFERROR(__xludf.DUMMYFUNCTION("iferror(index(filter('Internal -- Trademark Countries'!E$2:E1000, (AM750 = 'Internal -- Trademark Countries'!B$2:B1000) + (AM750 = 'Internal -- Trademark Countries'!C$2:C1000) + (AM750 = 'Internal -- Trademark Countries'!D$2:D1000)), 1))"),"")</f>
        <v/>
      </c>
      <c r="EF750" s="30" t="e">
        <f ca="1">_xludf.ifs(AM750="", "", COUNTIF('Internal -- Trademark Countries'!B:B,AM750) &gt; 0, "polity_shortest_name", COUNTIF('Internal -- Trademark Countries'!C:C,AM750) &gt; 0, "polity_full_name", COUNTIF('Internal -- Trademark Countries'!D:D,AM750) &gt; 0, "polity_common_name", COUNTIF('Internal -- Trademark Countries'!E:E,AM750) &gt; 0, "shortest_name", COUNTIF('Internal -- Trademark Countries'!A:A,AM750) &gt; 0, "full_name", TRUE, "not a match")</f>
        <v>#NAME?</v>
      </c>
      <c r="EG750" s="30"/>
      <c r="EH750" s="30"/>
      <c r="EI750" s="30"/>
      <c r="EJ750" s="30"/>
      <c r="EK750" s="30" t="str">
        <f t="shared" si="4"/>
        <v/>
      </c>
    </row>
    <row r="751" spans="1:141" ht="16.5">
      <c r="A751" s="11"/>
      <c r="B751" s="11"/>
      <c r="C751" s="11"/>
      <c r="D751" s="11"/>
      <c r="E751" s="11"/>
      <c r="F751" s="11"/>
      <c r="G751" s="11"/>
      <c r="H751" s="11"/>
      <c r="I751" s="11"/>
      <c r="J751" s="11"/>
      <c r="K751" s="27"/>
      <c r="L751" s="11"/>
      <c r="M751" s="11"/>
      <c r="N751" s="11"/>
      <c r="O751" s="11"/>
      <c r="P751" s="15"/>
      <c r="Q751" s="15"/>
      <c r="R751" s="15"/>
      <c r="S751" s="15"/>
      <c r="T751" s="15"/>
      <c r="U751" s="15"/>
      <c r="V751" s="15"/>
      <c r="W751" s="47"/>
      <c r="X751" s="11"/>
      <c r="Y751" s="48"/>
      <c r="Z751" s="11"/>
      <c r="AA751" s="48"/>
      <c r="AB751" s="11"/>
      <c r="AC751" s="48"/>
      <c r="AD751" s="11"/>
      <c r="AE751" s="47"/>
      <c r="AF751" s="11"/>
      <c r="AG751" s="48"/>
      <c r="AH751" s="11"/>
      <c r="AI751" s="48"/>
      <c r="AJ751" s="11"/>
      <c r="AK751" s="48"/>
      <c r="AL751" s="11"/>
      <c r="AM751" s="49"/>
      <c r="AN751" s="49"/>
      <c r="AO751" s="11"/>
      <c r="AP751" s="11"/>
      <c r="AQ751" s="28" t="b">
        <f>IF(COUNTIF(SmartStatus!A$2:A1000, AM751) &gt; 2, TRUE, FALSE)</f>
        <v>0</v>
      </c>
      <c r="AR751" s="29" t="str">
        <f ca="1">IFERROR(__xludf.DUMMYFUNCTION("iferror(if(regexmatch(AO751, ""(?i)^registered""), if(EE751 &lt;&gt; ""polity_shortest_name"", ""CHECK_POLITY"", index(filter(SmartStatus!B$2:B1000, AM751 = SmartStatus!A$2:A1000, not(SmartStatus!C$2:C1000), (isblank(SmartStatus!D$2:D1000)) + ((P751 &lt;&gt; """") * "&amp;"(P751 &lt; SmartStatus!D$2:D1000)), (isblank(SmartStatus!E$2:E1000)) + ((P751 &lt;&gt; """") * (P751 &gt;= SmartStatus!E$2:E1000)), (isblank(SmartStatus!F$2:F1000)) + (((Q751 &lt;&gt; """") * (Q751 &lt; SmartStatus!F$2:F1000)) + ((P751 &lt;&gt; """") * (date(year(P751) + 3, month(P"&amp;"751), day(P751)) &lt; SmartStatus!F$2:F1000))), (isblank(SmartStatus!G$2:G1000)) + (((Q751 &lt;&gt; """") * (Q751 &gt;= SmartStatus!G$2:G1000)) + ((P751 &lt;&gt; """") * (P751 &gt;= SmartStatus!G$2:G1000)))), if(or(regexmatch(B751, ""(?i)^ir [a-z]+ designation$""), N751 &lt;&gt; """&amp;"""), 1, 2))), """"), ""NO_MATCH"")"),"")</f>
        <v/>
      </c>
      <c r="AS751" s="11"/>
      <c r="AT751" s="15"/>
      <c r="AU751" s="11"/>
      <c r="AV751" s="11"/>
      <c r="AW751" s="15"/>
      <c r="AX751" s="15"/>
      <c r="AY751" s="15"/>
      <c r="AZ751" s="11"/>
      <c r="BA751" s="15"/>
      <c r="BB751" s="11"/>
      <c r="BC751" s="11"/>
      <c r="BD751" s="15"/>
      <c r="BE751" s="11"/>
      <c r="BF751" s="11"/>
      <c r="BG751" s="15"/>
      <c r="BH751" s="15"/>
      <c r="BI751" s="15"/>
      <c r="BJ751" s="11"/>
      <c r="BK751" s="15"/>
      <c r="BL751" s="11"/>
      <c r="BM751" s="11"/>
      <c r="BN751" s="15"/>
      <c r="BO751" s="11"/>
      <c r="BP751" s="11"/>
      <c r="BQ751" s="15"/>
      <c r="BR751" s="15"/>
      <c r="BS751" s="15"/>
      <c r="BT751" s="11"/>
      <c r="BU751" s="15"/>
      <c r="BV751" s="11"/>
      <c r="BW751" s="11"/>
      <c r="BX751" s="15"/>
      <c r="BY751" s="11"/>
      <c r="BZ751" s="11"/>
      <c r="CA751" s="15"/>
      <c r="CB751" s="11"/>
      <c r="CC751" s="15"/>
      <c r="CD751" s="11"/>
      <c r="CE751" s="15"/>
      <c r="CF751" s="11"/>
      <c r="CG751" s="11"/>
      <c r="CH751" s="15"/>
      <c r="CI751" s="11"/>
      <c r="CJ751" s="11"/>
      <c r="CK751" s="15"/>
      <c r="CL751" s="11"/>
      <c r="CM751" s="11"/>
      <c r="CN751" s="11"/>
      <c r="CO751" s="11"/>
      <c r="CP751" s="28"/>
      <c r="CQ751" s="28"/>
      <c r="CR751" s="11"/>
      <c r="CS751" s="29"/>
      <c r="CT751" s="11"/>
      <c r="CU751" s="11"/>
      <c r="CV751" s="11"/>
      <c r="CW751" s="11"/>
      <c r="CX751" s="11"/>
      <c r="CY751" s="11"/>
      <c r="CZ751" s="11"/>
      <c r="DA751" s="28"/>
      <c r="DB751" s="28"/>
      <c r="DC751" s="11"/>
      <c r="DD751" s="29"/>
      <c r="DE751" s="11"/>
      <c r="DF751" s="11"/>
      <c r="DG751" s="11"/>
      <c r="DH751" s="11"/>
      <c r="DI751" s="11"/>
      <c r="DJ751" s="11"/>
      <c r="DK751" s="26"/>
      <c r="DL751" s="11"/>
      <c r="DM751" s="29"/>
      <c r="DN751" s="28"/>
      <c r="DO751" s="11"/>
      <c r="DP751" s="11"/>
      <c r="DQ751" s="11"/>
      <c r="DR751" s="29"/>
      <c r="DS751" s="28"/>
      <c r="DT751" s="11"/>
      <c r="DU751" s="26"/>
      <c r="DV751" s="11"/>
      <c r="DW751" s="29"/>
      <c r="DX751" s="28"/>
      <c r="DY751" s="11"/>
      <c r="DZ751" s="26"/>
      <c r="EA751" s="11"/>
      <c r="EB751" s="29"/>
      <c r="EC751" s="28"/>
      <c r="ED751" s="30"/>
      <c r="EE751" s="30" t="str">
        <f ca="1">IFERROR(__xludf.DUMMYFUNCTION("iferror(index(filter('Internal -- Trademark Countries'!E$2:E1000, (AM751 = 'Internal -- Trademark Countries'!B$2:B1000) + (AM751 = 'Internal -- Trademark Countries'!C$2:C1000) + (AM751 = 'Internal -- Trademark Countries'!D$2:D1000)), 1))"),"")</f>
        <v/>
      </c>
      <c r="EF751" s="30" t="e">
        <f ca="1">_xludf.ifs(AM751="", "", COUNTIF('Internal -- Trademark Countries'!B:B,AM751) &gt; 0, "polity_shortest_name", COUNTIF('Internal -- Trademark Countries'!C:C,AM751) &gt; 0, "polity_full_name", COUNTIF('Internal -- Trademark Countries'!D:D,AM751) &gt; 0, "polity_common_name", COUNTIF('Internal -- Trademark Countries'!E:E,AM751) &gt; 0, "shortest_name", COUNTIF('Internal -- Trademark Countries'!A:A,AM751) &gt; 0, "full_name", TRUE, "not a match")</f>
        <v>#NAME?</v>
      </c>
      <c r="EG751" s="30"/>
      <c r="EH751" s="30"/>
      <c r="EI751" s="30"/>
      <c r="EJ751" s="30"/>
      <c r="EK751" s="30" t="str">
        <f t="shared" si="4"/>
        <v/>
      </c>
    </row>
    <row r="752" spans="1:141" ht="16.5">
      <c r="A752" s="11"/>
      <c r="B752" s="11"/>
      <c r="C752" s="11"/>
      <c r="D752" s="11"/>
      <c r="E752" s="11"/>
      <c r="F752" s="11"/>
      <c r="G752" s="11"/>
      <c r="H752" s="11"/>
      <c r="I752" s="11"/>
      <c r="J752" s="11"/>
      <c r="K752" s="27"/>
      <c r="L752" s="11"/>
      <c r="M752" s="11"/>
      <c r="N752" s="11"/>
      <c r="O752" s="11"/>
      <c r="P752" s="15"/>
      <c r="Q752" s="15"/>
      <c r="R752" s="15"/>
      <c r="S752" s="15"/>
      <c r="T752" s="15"/>
      <c r="U752" s="15"/>
      <c r="V752" s="15"/>
      <c r="W752" s="47"/>
      <c r="X752" s="11"/>
      <c r="Y752" s="48"/>
      <c r="Z752" s="11"/>
      <c r="AA752" s="48"/>
      <c r="AB752" s="11"/>
      <c r="AC752" s="48"/>
      <c r="AD752" s="11"/>
      <c r="AE752" s="47"/>
      <c r="AF752" s="11"/>
      <c r="AG752" s="48"/>
      <c r="AH752" s="11"/>
      <c r="AI752" s="48"/>
      <c r="AJ752" s="11"/>
      <c r="AK752" s="48"/>
      <c r="AL752" s="11"/>
      <c r="AM752" s="49"/>
      <c r="AN752" s="49"/>
      <c r="AO752" s="11"/>
      <c r="AP752" s="11"/>
      <c r="AQ752" s="28" t="b">
        <f>IF(COUNTIF(SmartStatus!A$2:A1000, AM752) &gt; 2, TRUE, FALSE)</f>
        <v>0</v>
      </c>
      <c r="AR752" s="29" t="str">
        <f ca="1">IFERROR(__xludf.DUMMYFUNCTION("iferror(if(regexmatch(AO752, ""(?i)^registered""), if(EE752 &lt;&gt; ""polity_shortest_name"", ""CHECK_POLITY"", index(filter(SmartStatus!B$2:B1000, AM752 = SmartStatus!A$2:A1000, not(SmartStatus!C$2:C1000), (isblank(SmartStatus!D$2:D1000)) + ((P752 &lt;&gt; """") * "&amp;"(P752 &lt; SmartStatus!D$2:D1000)), (isblank(SmartStatus!E$2:E1000)) + ((P752 &lt;&gt; """") * (P752 &gt;= SmartStatus!E$2:E1000)), (isblank(SmartStatus!F$2:F1000)) + (((Q752 &lt;&gt; """") * (Q752 &lt; SmartStatus!F$2:F1000)) + ((P752 &lt;&gt; """") * (date(year(P752) + 3, month(P"&amp;"752), day(P752)) &lt; SmartStatus!F$2:F1000))), (isblank(SmartStatus!G$2:G1000)) + (((Q752 &lt;&gt; """") * (Q752 &gt;= SmartStatus!G$2:G1000)) + ((P752 &lt;&gt; """") * (P752 &gt;= SmartStatus!G$2:G1000)))), if(or(regexmatch(B752, ""(?i)^ir [a-z]+ designation$""), N752 &lt;&gt; """&amp;"""), 1, 2))), """"), ""NO_MATCH"")"),"")</f>
        <v/>
      </c>
      <c r="AS752" s="11"/>
      <c r="AT752" s="15"/>
      <c r="AU752" s="11"/>
      <c r="AV752" s="11"/>
      <c r="AW752" s="15"/>
      <c r="AX752" s="15"/>
      <c r="AY752" s="15"/>
      <c r="AZ752" s="11"/>
      <c r="BA752" s="15"/>
      <c r="BB752" s="11"/>
      <c r="BC752" s="11"/>
      <c r="BD752" s="15"/>
      <c r="BE752" s="11"/>
      <c r="BF752" s="11"/>
      <c r="BG752" s="15"/>
      <c r="BH752" s="15"/>
      <c r="BI752" s="15"/>
      <c r="BJ752" s="11"/>
      <c r="BK752" s="15"/>
      <c r="BL752" s="11"/>
      <c r="BM752" s="11"/>
      <c r="BN752" s="15"/>
      <c r="BO752" s="11"/>
      <c r="BP752" s="11"/>
      <c r="BQ752" s="15"/>
      <c r="BR752" s="15"/>
      <c r="BS752" s="15"/>
      <c r="BT752" s="11"/>
      <c r="BU752" s="15"/>
      <c r="BV752" s="11"/>
      <c r="BW752" s="11"/>
      <c r="BX752" s="15"/>
      <c r="BY752" s="11"/>
      <c r="BZ752" s="11"/>
      <c r="CA752" s="15"/>
      <c r="CB752" s="11"/>
      <c r="CC752" s="15"/>
      <c r="CD752" s="11"/>
      <c r="CE752" s="15"/>
      <c r="CF752" s="11"/>
      <c r="CG752" s="11"/>
      <c r="CH752" s="15"/>
      <c r="CI752" s="11"/>
      <c r="CJ752" s="11"/>
      <c r="CK752" s="15"/>
      <c r="CL752" s="11"/>
      <c r="CM752" s="11"/>
      <c r="CN752" s="11"/>
      <c r="CO752" s="11"/>
      <c r="CP752" s="28"/>
      <c r="CQ752" s="28"/>
      <c r="CR752" s="11"/>
      <c r="CS752" s="29"/>
      <c r="CT752" s="11"/>
      <c r="CU752" s="11"/>
      <c r="CV752" s="11"/>
      <c r="CW752" s="11"/>
      <c r="CX752" s="11"/>
      <c r="CY752" s="11"/>
      <c r="CZ752" s="11"/>
      <c r="DA752" s="28"/>
      <c r="DB752" s="28"/>
      <c r="DC752" s="11"/>
      <c r="DD752" s="29"/>
      <c r="DE752" s="11"/>
      <c r="DF752" s="11"/>
      <c r="DG752" s="11"/>
      <c r="DH752" s="11"/>
      <c r="DI752" s="11"/>
      <c r="DJ752" s="11"/>
      <c r="DK752" s="26"/>
      <c r="DL752" s="11"/>
      <c r="DM752" s="29"/>
      <c r="DN752" s="28"/>
      <c r="DO752" s="11"/>
      <c r="DP752" s="11"/>
      <c r="DQ752" s="11"/>
      <c r="DR752" s="29"/>
      <c r="DS752" s="28"/>
      <c r="DT752" s="11"/>
      <c r="DU752" s="26"/>
      <c r="DV752" s="11"/>
      <c r="DW752" s="29"/>
      <c r="DX752" s="28"/>
      <c r="DY752" s="11"/>
      <c r="DZ752" s="26"/>
      <c r="EA752" s="11"/>
      <c r="EB752" s="29"/>
      <c r="EC752" s="28"/>
      <c r="ED752" s="30"/>
      <c r="EE752" s="30" t="str">
        <f ca="1">IFERROR(__xludf.DUMMYFUNCTION("iferror(index(filter('Internal -- Trademark Countries'!E$2:E1000, (AM752 = 'Internal -- Trademark Countries'!B$2:B1000) + (AM752 = 'Internal -- Trademark Countries'!C$2:C1000) + (AM752 = 'Internal -- Trademark Countries'!D$2:D1000)), 1))"),"")</f>
        <v/>
      </c>
      <c r="EF752" s="30" t="e">
        <f ca="1">_xludf.ifs(AM752="", "", COUNTIF('Internal -- Trademark Countries'!B:B,AM752) &gt; 0, "polity_shortest_name", COUNTIF('Internal -- Trademark Countries'!C:C,AM752) &gt; 0, "polity_full_name", COUNTIF('Internal -- Trademark Countries'!D:D,AM752) &gt; 0, "polity_common_name", COUNTIF('Internal -- Trademark Countries'!E:E,AM752) &gt; 0, "shortest_name", COUNTIF('Internal -- Trademark Countries'!A:A,AM752) &gt; 0, "full_name", TRUE, "not a match")</f>
        <v>#NAME?</v>
      </c>
      <c r="EG752" s="30"/>
      <c r="EH752" s="30"/>
      <c r="EI752" s="30"/>
      <c r="EJ752" s="30"/>
      <c r="EK752" s="30" t="str">
        <f t="shared" si="4"/>
        <v/>
      </c>
    </row>
    <row r="753" spans="1:141" ht="16.5">
      <c r="A753" s="11"/>
      <c r="B753" s="11"/>
      <c r="C753" s="11"/>
      <c r="D753" s="11"/>
      <c r="E753" s="11"/>
      <c r="F753" s="11"/>
      <c r="G753" s="11"/>
      <c r="H753" s="11"/>
      <c r="I753" s="11"/>
      <c r="J753" s="11"/>
      <c r="K753" s="27"/>
      <c r="L753" s="11"/>
      <c r="M753" s="11"/>
      <c r="N753" s="11"/>
      <c r="O753" s="11"/>
      <c r="P753" s="15"/>
      <c r="Q753" s="15"/>
      <c r="R753" s="15"/>
      <c r="S753" s="15"/>
      <c r="T753" s="15"/>
      <c r="U753" s="15"/>
      <c r="V753" s="15"/>
      <c r="W753" s="47"/>
      <c r="X753" s="11"/>
      <c r="Y753" s="48"/>
      <c r="Z753" s="11"/>
      <c r="AA753" s="48"/>
      <c r="AB753" s="11"/>
      <c r="AC753" s="48"/>
      <c r="AD753" s="11"/>
      <c r="AE753" s="47"/>
      <c r="AF753" s="11"/>
      <c r="AG753" s="48"/>
      <c r="AH753" s="11"/>
      <c r="AI753" s="48"/>
      <c r="AJ753" s="11"/>
      <c r="AK753" s="48"/>
      <c r="AL753" s="11"/>
      <c r="AM753" s="49"/>
      <c r="AN753" s="49"/>
      <c r="AO753" s="11"/>
      <c r="AP753" s="11"/>
      <c r="AQ753" s="28" t="b">
        <f>IF(COUNTIF(SmartStatus!A$2:A1000, AM753) &gt; 2, TRUE, FALSE)</f>
        <v>0</v>
      </c>
      <c r="AR753" s="29" t="str">
        <f ca="1">IFERROR(__xludf.DUMMYFUNCTION("iferror(if(regexmatch(AO753, ""(?i)^registered""), if(EE753 &lt;&gt; ""polity_shortest_name"", ""CHECK_POLITY"", index(filter(SmartStatus!B$2:B1000, AM753 = SmartStatus!A$2:A1000, not(SmartStatus!C$2:C1000), (isblank(SmartStatus!D$2:D1000)) + ((P753 &lt;&gt; """") * "&amp;"(P753 &lt; SmartStatus!D$2:D1000)), (isblank(SmartStatus!E$2:E1000)) + ((P753 &lt;&gt; """") * (P753 &gt;= SmartStatus!E$2:E1000)), (isblank(SmartStatus!F$2:F1000)) + (((Q753 &lt;&gt; """") * (Q753 &lt; SmartStatus!F$2:F1000)) + ((P753 &lt;&gt; """") * (date(year(P753) + 3, month(P"&amp;"753), day(P753)) &lt; SmartStatus!F$2:F1000))), (isblank(SmartStatus!G$2:G1000)) + (((Q753 &lt;&gt; """") * (Q753 &gt;= SmartStatus!G$2:G1000)) + ((P753 &lt;&gt; """") * (P753 &gt;= SmartStatus!G$2:G1000)))), if(or(regexmatch(B753, ""(?i)^ir [a-z]+ designation$""), N753 &lt;&gt; """&amp;"""), 1, 2))), """"), ""NO_MATCH"")"),"")</f>
        <v/>
      </c>
      <c r="AS753" s="11"/>
      <c r="AT753" s="15"/>
      <c r="AU753" s="11"/>
      <c r="AV753" s="11"/>
      <c r="AW753" s="15"/>
      <c r="AX753" s="15"/>
      <c r="AY753" s="15"/>
      <c r="AZ753" s="11"/>
      <c r="BA753" s="15"/>
      <c r="BB753" s="11"/>
      <c r="BC753" s="11"/>
      <c r="BD753" s="15"/>
      <c r="BE753" s="11"/>
      <c r="BF753" s="11"/>
      <c r="BG753" s="15"/>
      <c r="BH753" s="15"/>
      <c r="BI753" s="15"/>
      <c r="BJ753" s="11"/>
      <c r="BK753" s="15"/>
      <c r="BL753" s="11"/>
      <c r="BM753" s="11"/>
      <c r="BN753" s="15"/>
      <c r="BO753" s="11"/>
      <c r="BP753" s="11"/>
      <c r="BQ753" s="15"/>
      <c r="BR753" s="15"/>
      <c r="BS753" s="15"/>
      <c r="BT753" s="11"/>
      <c r="BU753" s="15"/>
      <c r="BV753" s="11"/>
      <c r="BW753" s="11"/>
      <c r="BX753" s="15"/>
      <c r="BY753" s="11"/>
      <c r="BZ753" s="11"/>
      <c r="CA753" s="15"/>
      <c r="CB753" s="11"/>
      <c r="CC753" s="15"/>
      <c r="CD753" s="11"/>
      <c r="CE753" s="15"/>
      <c r="CF753" s="11"/>
      <c r="CG753" s="11"/>
      <c r="CH753" s="15"/>
      <c r="CI753" s="11"/>
      <c r="CJ753" s="11"/>
      <c r="CK753" s="15"/>
      <c r="CL753" s="11"/>
      <c r="CM753" s="11"/>
      <c r="CN753" s="11"/>
      <c r="CO753" s="11"/>
      <c r="CP753" s="28"/>
      <c r="CQ753" s="28"/>
      <c r="CR753" s="11"/>
      <c r="CS753" s="29"/>
      <c r="CT753" s="11"/>
      <c r="CU753" s="11"/>
      <c r="CV753" s="11"/>
      <c r="CW753" s="11"/>
      <c r="CX753" s="11"/>
      <c r="CY753" s="11"/>
      <c r="CZ753" s="11"/>
      <c r="DA753" s="28"/>
      <c r="DB753" s="28"/>
      <c r="DC753" s="11"/>
      <c r="DD753" s="29"/>
      <c r="DE753" s="11"/>
      <c r="DF753" s="11"/>
      <c r="DG753" s="11"/>
      <c r="DH753" s="11"/>
      <c r="DI753" s="11"/>
      <c r="DJ753" s="11"/>
      <c r="DK753" s="26"/>
      <c r="DL753" s="11"/>
      <c r="DM753" s="29"/>
      <c r="DN753" s="28"/>
      <c r="DO753" s="11"/>
      <c r="DP753" s="11"/>
      <c r="DQ753" s="11"/>
      <c r="DR753" s="29"/>
      <c r="DS753" s="28"/>
      <c r="DT753" s="11"/>
      <c r="DU753" s="26"/>
      <c r="DV753" s="11"/>
      <c r="DW753" s="29"/>
      <c r="DX753" s="28"/>
      <c r="DY753" s="11"/>
      <c r="DZ753" s="26"/>
      <c r="EA753" s="11"/>
      <c r="EB753" s="29"/>
      <c r="EC753" s="28"/>
      <c r="ED753" s="30"/>
      <c r="EE753" s="30" t="str">
        <f ca="1">IFERROR(__xludf.DUMMYFUNCTION("iferror(index(filter('Internal -- Trademark Countries'!E$2:E1000, (AM753 = 'Internal -- Trademark Countries'!B$2:B1000) + (AM753 = 'Internal -- Trademark Countries'!C$2:C1000) + (AM753 = 'Internal -- Trademark Countries'!D$2:D1000)), 1))"),"")</f>
        <v/>
      </c>
      <c r="EF753" s="30" t="e">
        <f ca="1">_xludf.ifs(AM753="", "", COUNTIF('Internal -- Trademark Countries'!B:B,AM753) &gt; 0, "polity_shortest_name", COUNTIF('Internal -- Trademark Countries'!C:C,AM753) &gt; 0, "polity_full_name", COUNTIF('Internal -- Trademark Countries'!D:D,AM753) &gt; 0, "polity_common_name", COUNTIF('Internal -- Trademark Countries'!E:E,AM753) &gt; 0, "shortest_name", COUNTIF('Internal -- Trademark Countries'!A:A,AM753) &gt; 0, "full_name", TRUE, "not a match")</f>
        <v>#NAME?</v>
      </c>
      <c r="EG753" s="30"/>
      <c r="EH753" s="30"/>
      <c r="EI753" s="30"/>
      <c r="EJ753" s="30"/>
      <c r="EK753" s="30" t="str">
        <f t="shared" si="4"/>
        <v/>
      </c>
    </row>
    <row r="754" spans="1:141" ht="16.5">
      <c r="A754" s="11"/>
      <c r="B754" s="11"/>
      <c r="C754" s="11"/>
      <c r="D754" s="11"/>
      <c r="E754" s="11"/>
      <c r="F754" s="11"/>
      <c r="G754" s="11"/>
      <c r="H754" s="11"/>
      <c r="I754" s="11"/>
      <c r="J754" s="11"/>
      <c r="K754" s="27"/>
      <c r="L754" s="11"/>
      <c r="M754" s="11"/>
      <c r="N754" s="11"/>
      <c r="O754" s="11"/>
      <c r="P754" s="15"/>
      <c r="Q754" s="15"/>
      <c r="R754" s="15"/>
      <c r="S754" s="15"/>
      <c r="T754" s="15"/>
      <c r="U754" s="15"/>
      <c r="V754" s="15"/>
      <c r="W754" s="47"/>
      <c r="X754" s="11"/>
      <c r="Y754" s="48"/>
      <c r="Z754" s="11"/>
      <c r="AA754" s="48"/>
      <c r="AB754" s="11"/>
      <c r="AC754" s="48"/>
      <c r="AD754" s="11"/>
      <c r="AE754" s="47"/>
      <c r="AF754" s="11"/>
      <c r="AG754" s="48"/>
      <c r="AH754" s="11"/>
      <c r="AI754" s="48"/>
      <c r="AJ754" s="11"/>
      <c r="AK754" s="48"/>
      <c r="AL754" s="11"/>
      <c r="AM754" s="49"/>
      <c r="AN754" s="49"/>
      <c r="AO754" s="11"/>
      <c r="AP754" s="11"/>
      <c r="AQ754" s="28" t="b">
        <f>IF(COUNTIF(SmartStatus!A$2:A1000, AM754) &gt; 2, TRUE, FALSE)</f>
        <v>0</v>
      </c>
      <c r="AR754" s="29" t="str">
        <f ca="1">IFERROR(__xludf.DUMMYFUNCTION("iferror(if(regexmatch(AO754, ""(?i)^registered""), if(EE754 &lt;&gt; ""polity_shortest_name"", ""CHECK_POLITY"", index(filter(SmartStatus!B$2:B1000, AM754 = SmartStatus!A$2:A1000, not(SmartStatus!C$2:C1000), (isblank(SmartStatus!D$2:D1000)) + ((P754 &lt;&gt; """") * "&amp;"(P754 &lt; SmartStatus!D$2:D1000)), (isblank(SmartStatus!E$2:E1000)) + ((P754 &lt;&gt; """") * (P754 &gt;= SmartStatus!E$2:E1000)), (isblank(SmartStatus!F$2:F1000)) + (((Q754 &lt;&gt; """") * (Q754 &lt; SmartStatus!F$2:F1000)) + ((P754 &lt;&gt; """") * (date(year(P754) + 3, month(P"&amp;"754), day(P754)) &lt; SmartStatus!F$2:F1000))), (isblank(SmartStatus!G$2:G1000)) + (((Q754 &lt;&gt; """") * (Q754 &gt;= SmartStatus!G$2:G1000)) + ((P754 &lt;&gt; """") * (P754 &gt;= SmartStatus!G$2:G1000)))), if(or(regexmatch(B754, ""(?i)^ir [a-z]+ designation$""), N754 &lt;&gt; """&amp;"""), 1, 2))), """"), ""NO_MATCH"")"),"")</f>
        <v/>
      </c>
      <c r="AS754" s="11"/>
      <c r="AT754" s="15"/>
      <c r="AU754" s="11"/>
      <c r="AV754" s="11"/>
      <c r="AW754" s="15"/>
      <c r="AX754" s="15"/>
      <c r="AY754" s="15"/>
      <c r="AZ754" s="11"/>
      <c r="BA754" s="15"/>
      <c r="BB754" s="11"/>
      <c r="BC754" s="11"/>
      <c r="BD754" s="15"/>
      <c r="BE754" s="11"/>
      <c r="BF754" s="11"/>
      <c r="BG754" s="15"/>
      <c r="BH754" s="15"/>
      <c r="BI754" s="15"/>
      <c r="BJ754" s="11"/>
      <c r="BK754" s="15"/>
      <c r="BL754" s="11"/>
      <c r="BM754" s="11"/>
      <c r="BN754" s="15"/>
      <c r="BO754" s="11"/>
      <c r="BP754" s="11"/>
      <c r="BQ754" s="15"/>
      <c r="BR754" s="15"/>
      <c r="BS754" s="15"/>
      <c r="BT754" s="11"/>
      <c r="BU754" s="15"/>
      <c r="BV754" s="11"/>
      <c r="BW754" s="11"/>
      <c r="BX754" s="15"/>
      <c r="BY754" s="11"/>
      <c r="BZ754" s="11"/>
      <c r="CA754" s="15"/>
      <c r="CB754" s="11"/>
      <c r="CC754" s="15"/>
      <c r="CD754" s="11"/>
      <c r="CE754" s="15"/>
      <c r="CF754" s="11"/>
      <c r="CG754" s="11"/>
      <c r="CH754" s="15"/>
      <c r="CI754" s="11"/>
      <c r="CJ754" s="11"/>
      <c r="CK754" s="15"/>
      <c r="CL754" s="11"/>
      <c r="CM754" s="11"/>
      <c r="CN754" s="11"/>
      <c r="CO754" s="11"/>
      <c r="CP754" s="28"/>
      <c r="CQ754" s="28"/>
      <c r="CR754" s="11"/>
      <c r="CS754" s="29"/>
      <c r="CT754" s="11"/>
      <c r="CU754" s="11"/>
      <c r="CV754" s="11"/>
      <c r="CW754" s="11"/>
      <c r="CX754" s="11"/>
      <c r="CY754" s="11"/>
      <c r="CZ754" s="11"/>
      <c r="DA754" s="28"/>
      <c r="DB754" s="28"/>
      <c r="DC754" s="11"/>
      <c r="DD754" s="29"/>
      <c r="DE754" s="11"/>
      <c r="DF754" s="11"/>
      <c r="DG754" s="11"/>
      <c r="DH754" s="11"/>
      <c r="DI754" s="11"/>
      <c r="DJ754" s="11"/>
      <c r="DK754" s="26"/>
      <c r="DL754" s="11"/>
      <c r="DM754" s="29"/>
      <c r="DN754" s="28"/>
      <c r="DO754" s="11"/>
      <c r="DP754" s="11"/>
      <c r="DQ754" s="11"/>
      <c r="DR754" s="29"/>
      <c r="DS754" s="28"/>
      <c r="DT754" s="11"/>
      <c r="DU754" s="26"/>
      <c r="DV754" s="11"/>
      <c r="DW754" s="29"/>
      <c r="DX754" s="28"/>
      <c r="DY754" s="11"/>
      <c r="DZ754" s="26"/>
      <c r="EA754" s="11"/>
      <c r="EB754" s="29"/>
      <c r="EC754" s="28"/>
      <c r="ED754" s="30"/>
      <c r="EE754" s="30" t="str">
        <f ca="1">IFERROR(__xludf.DUMMYFUNCTION("iferror(index(filter('Internal -- Trademark Countries'!E$2:E1000, (AM754 = 'Internal -- Trademark Countries'!B$2:B1000) + (AM754 = 'Internal -- Trademark Countries'!C$2:C1000) + (AM754 = 'Internal -- Trademark Countries'!D$2:D1000)), 1))"),"")</f>
        <v/>
      </c>
      <c r="EF754" s="30" t="e">
        <f ca="1">_xludf.ifs(AM754="", "", COUNTIF('Internal -- Trademark Countries'!B:B,AM754) &gt; 0, "polity_shortest_name", COUNTIF('Internal -- Trademark Countries'!C:C,AM754) &gt; 0, "polity_full_name", COUNTIF('Internal -- Trademark Countries'!D:D,AM754) &gt; 0, "polity_common_name", COUNTIF('Internal -- Trademark Countries'!E:E,AM754) &gt; 0, "shortest_name", COUNTIF('Internal -- Trademark Countries'!A:A,AM754) &gt; 0, "full_name", TRUE, "not a match")</f>
        <v>#NAME?</v>
      </c>
      <c r="EG754" s="30"/>
      <c r="EH754" s="30"/>
      <c r="EI754" s="30"/>
      <c r="EJ754" s="30"/>
      <c r="EK754" s="30" t="str">
        <f t="shared" si="4"/>
        <v/>
      </c>
    </row>
    <row r="755" spans="1:141" ht="16.5">
      <c r="A755" s="11"/>
      <c r="B755" s="11"/>
      <c r="C755" s="11"/>
      <c r="D755" s="11"/>
      <c r="E755" s="11"/>
      <c r="F755" s="11"/>
      <c r="G755" s="11"/>
      <c r="H755" s="11"/>
      <c r="I755" s="11"/>
      <c r="J755" s="11"/>
      <c r="K755" s="27"/>
      <c r="L755" s="11"/>
      <c r="M755" s="11"/>
      <c r="N755" s="11"/>
      <c r="O755" s="11"/>
      <c r="P755" s="15"/>
      <c r="Q755" s="15"/>
      <c r="R755" s="15"/>
      <c r="S755" s="15"/>
      <c r="T755" s="15"/>
      <c r="U755" s="15"/>
      <c r="V755" s="15"/>
      <c r="W755" s="47"/>
      <c r="X755" s="11"/>
      <c r="Y755" s="48"/>
      <c r="Z755" s="11"/>
      <c r="AA755" s="48"/>
      <c r="AB755" s="11"/>
      <c r="AC755" s="48"/>
      <c r="AD755" s="11"/>
      <c r="AE755" s="47"/>
      <c r="AF755" s="11"/>
      <c r="AG755" s="48"/>
      <c r="AH755" s="11"/>
      <c r="AI755" s="48"/>
      <c r="AJ755" s="11"/>
      <c r="AK755" s="48"/>
      <c r="AL755" s="11"/>
      <c r="AM755" s="49"/>
      <c r="AN755" s="49"/>
      <c r="AO755" s="11"/>
      <c r="AP755" s="11"/>
      <c r="AQ755" s="28" t="b">
        <f>IF(COUNTIF(SmartStatus!A$2:A1000, AM755) &gt; 2, TRUE, FALSE)</f>
        <v>0</v>
      </c>
      <c r="AR755" s="29" t="str">
        <f ca="1">IFERROR(__xludf.DUMMYFUNCTION("iferror(if(regexmatch(AO755, ""(?i)^registered""), if(EE755 &lt;&gt; ""polity_shortest_name"", ""CHECK_POLITY"", index(filter(SmartStatus!B$2:B1000, AM755 = SmartStatus!A$2:A1000, not(SmartStatus!C$2:C1000), (isblank(SmartStatus!D$2:D1000)) + ((P755 &lt;&gt; """") * "&amp;"(P755 &lt; SmartStatus!D$2:D1000)), (isblank(SmartStatus!E$2:E1000)) + ((P755 &lt;&gt; """") * (P755 &gt;= SmartStatus!E$2:E1000)), (isblank(SmartStatus!F$2:F1000)) + (((Q755 &lt;&gt; """") * (Q755 &lt; SmartStatus!F$2:F1000)) + ((P755 &lt;&gt; """") * (date(year(P755) + 3, month(P"&amp;"755), day(P755)) &lt; SmartStatus!F$2:F1000))), (isblank(SmartStatus!G$2:G1000)) + (((Q755 &lt;&gt; """") * (Q755 &gt;= SmartStatus!G$2:G1000)) + ((P755 &lt;&gt; """") * (P755 &gt;= SmartStatus!G$2:G1000)))), if(or(regexmatch(B755, ""(?i)^ir [a-z]+ designation$""), N755 &lt;&gt; """&amp;"""), 1, 2))), """"), ""NO_MATCH"")"),"")</f>
        <v/>
      </c>
      <c r="AS755" s="11"/>
      <c r="AT755" s="15"/>
      <c r="AU755" s="11"/>
      <c r="AV755" s="11"/>
      <c r="AW755" s="15"/>
      <c r="AX755" s="15"/>
      <c r="AY755" s="15"/>
      <c r="AZ755" s="11"/>
      <c r="BA755" s="15"/>
      <c r="BB755" s="11"/>
      <c r="BC755" s="11"/>
      <c r="BD755" s="15"/>
      <c r="BE755" s="11"/>
      <c r="BF755" s="11"/>
      <c r="BG755" s="15"/>
      <c r="BH755" s="15"/>
      <c r="BI755" s="15"/>
      <c r="BJ755" s="11"/>
      <c r="BK755" s="15"/>
      <c r="BL755" s="11"/>
      <c r="BM755" s="11"/>
      <c r="BN755" s="15"/>
      <c r="BO755" s="11"/>
      <c r="BP755" s="11"/>
      <c r="BQ755" s="15"/>
      <c r="BR755" s="15"/>
      <c r="BS755" s="15"/>
      <c r="BT755" s="11"/>
      <c r="BU755" s="15"/>
      <c r="BV755" s="11"/>
      <c r="BW755" s="11"/>
      <c r="BX755" s="15"/>
      <c r="BY755" s="11"/>
      <c r="BZ755" s="11"/>
      <c r="CA755" s="15"/>
      <c r="CB755" s="11"/>
      <c r="CC755" s="15"/>
      <c r="CD755" s="11"/>
      <c r="CE755" s="15"/>
      <c r="CF755" s="11"/>
      <c r="CG755" s="11"/>
      <c r="CH755" s="15"/>
      <c r="CI755" s="11"/>
      <c r="CJ755" s="11"/>
      <c r="CK755" s="15"/>
      <c r="CL755" s="11"/>
      <c r="CM755" s="11"/>
      <c r="CN755" s="11"/>
      <c r="CO755" s="11"/>
      <c r="CP755" s="28"/>
      <c r="CQ755" s="28"/>
      <c r="CR755" s="11"/>
      <c r="CS755" s="29"/>
      <c r="CT755" s="11"/>
      <c r="CU755" s="11"/>
      <c r="CV755" s="11"/>
      <c r="CW755" s="11"/>
      <c r="CX755" s="11"/>
      <c r="CY755" s="11"/>
      <c r="CZ755" s="11"/>
      <c r="DA755" s="28"/>
      <c r="DB755" s="28"/>
      <c r="DC755" s="11"/>
      <c r="DD755" s="29"/>
      <c r="DE755" s="11"/>
      <c r="DF755" s="11"/>
      <c r="DG755" s="11"/>
      <c r="DH755" s="11"/>
      <c r="DI755" s="11"/>
      <c r="DJ755" s="11"/>
      <c r="DK755" s="26"/>
      <c r="DL755" s="11"/>
      <c r="DM755" s="29"/>
      <c r="DN755" s="28"/>
      <c r="DO755" s="11"/>
      <c r="DP755" s="11"/>
      <c r="DQ755" s="11"/>
      <c r="DR755" s="29"/>
      <c r="DS755" s="28"/>
      <c r="DT755" s="11"/>
      <c r="DU755" s="26"/>
      <c r="DV755" s="11"/>
      <c r="DW755" s="29"/>
      <c r="DX755" s="28"/>
      <c r="DY755" s="11"/>
      <c r="DZ755" s="26"/>
      <c r="EA755" s="11"/>
      <c r="EB755" s="29"/>
      <c r="EC755" s="28"/>
      <c r="ED755" s="30"/>
      <c r="EE755" s="30" t="str">
        <f ca="1">IFERROR(__xludf.DUMMYFUNCTION("iferror(index(filter('Internal -- Trademark Countries'!E$2:E1000, (AM755 = 'Internal -- Trademark Countries'!B$2:B1000) + (AM755 = 'Internal -- Trademark Countries'!C$2:C1000) + (AM755 = 'Internal -- Trademark Countries'!D$2:D1000)), 1))"),"")</f>
        <v/>
      </c>
      <c r="EF755" s="30" t="e">
        <f ca="1">_xludf.ifs(AM755="", "", COUNTIF('Internal -- Trademark Countries'!B:B,AM755) &gt; 0, "polity_shortest_name", COUNTIF('Internal -- Trademark Countries'!C:C,AM755) &gt; 0, "polity_full_name", COUNTIF('Internal -- Trademark Countries'!D:D,AM755) &gt; 0, "polity_common_name", COUNTIF('Internal -- Trademark Countries'!E:E,AM755) &gt; 0, "shortest_name", COUNTIF('Internal -- Trademark Countries'!A:A,AM755) &gt; 0, "full_name", TRUE, "not a match")</f>
        <v>#NAME?</v>
      </c>
      <c r="EG755" s="30"/>
      <c r="EH755" s="30"/>
      <c r="EI755" s="30"/>
      <c r="EJ755" s="30"/>
      <c r="EK755" s="30" t="str">
        <f t="shared" si="4"/>
        <v/>
      </c>
    </row>
    <row r="756" spans="1:141" ht="16.5">
      <c r="A756" s="11"/>
      <c r="B756" s="11"/>
      <c r="C756" s="11"/>
      <c r="D756" s="11"/>
      <c r="E756" s="11"/>
      <c r="F756" s="11"/>
      <c r="G756" s="11"/>
      <c r="H756" s="11"/>
      <c r="I756" s="11"/>
      <c r="J756" s="11"/>
      <c r="K756" s="27"/>
      <c r="L756" s="11"/>
      <c r="M756" s="11"/>
      <c r="N756" s="11"/>
      <c r="O756" s="11"/>
      <c r="P756" s="15"/>
      <c r="Q756" s="15"/>
      <c r="R756" s="15"/>
      <c r="S756" s="15"/>
      <c r="T756" s="15"/>
      <c r="U756" s="15"/>
      <c r="V756" s="15"/>
      <c r="W756" s="47"/>
      <c r="X756" s="11"/>
      <c r="Y756" s="48"/>
      <c r="Z756" s="11"/>
      <c r="AA756" s="48"/>
      <c r="AB756" s="11"/>
      <c r="AC756" s="48"/>
      <c r="AD756" s="11"/>
      <c r="AE756" s="47"/>
      <c r="AF756" s="11"/>
      <c r="AG756" s="48"/>
      <c r="AH756" s="11"/>
      <c r="AI756" s="48"/>
      <c r="AJ756" s="11"/>
      <c r="AK756" s="48"/>
      <c r="AL756" s="11"/>
      <c r="AM756" s="49"/>
      <c r="AN756" s="49"/>
      <c r="AO756" s="11"/>
      <c r="AP756" s="11"/>
      <c r="AQ756" s="28" t="b">
        <f>IF(COUNTIF(SmartStatus!A$2:A1000, AM756) &gt; 2, TRUE, FALSE)</f>
        <v>0</v>
      </c>
      <c r="AR756" s="29" t="str">
        <f ca="1">IFERROR(__xludf.DUMMYFUNCTION("iferror(if(regexmatch(AO756, ""(?i)^registered""), if(EE756 &lt;&gt; ""polity_shortest_name"", ""CHECK_POLITY"", index(filter(SmartStatus!B$2:B1000, AM756 = SmartStatus!A$2:A1000, not(SmartStatus!C$2:C1000), (isblank(SmartStatus!D$2:D1000)) + ((P756 &lt;&gt; """") * "&amp;"(P756 &lt; SmartStatus!D$2:D1000)), (isblank(SmartStatus!E$2:E1000)) + ((P756 &lt;&gt; """") * (P756 &gt;= SmartStatus!E$2:E1000)), (isblank(SmartStatus!F$2:F1000)) + (((Q756 &lt;&gt; """") * (Q756 &lt; SmartStatus!F$2:F1000)) + ((P756 &lt;&gt; """") * (date(year(P756) + 3, month(P"&amp;"756), day(P756)) &lt; SmartStatus!F$2:F1000))), (isblank(SmartStatus!G$2:G1000)) + (((Q756 &lt;&gt; """") * (Q756 &gt;= SmartStatus!G$2:G1000)) + ((P756 &lt;&gt; """") * (P756 &gt;= SmartStatus!G$2:G1000)))), if(or(regexmatch(B756, ""(?i)^ir [a-z]+ designation$""), N756 &lt;&gt; """&amp;"""), 1, 2))), """"), ""NO_MATCH"")"),"")</f>
        <v/>
      </c>
      <c r="AS756" s="11"/>
      <c r="AT756" s="15"/>
      <c r="AU756" s="11"/>
      <c r="AV756" s="11"/>
      <c r="AW756" s="15"/>
      <c r="AX756" s="15"/>
      <c r="AY756" s="15"/>
      <c r="AZ756" s="11"/>
      <c r="BA756" s="15"/>
      <c r="BB756" s="11"/>
      <c r="BC756" s="11"/>
      <c r="BD756" s="15"/>
      <c r="BE756" s="11"/>
      <c r="BF756" s="11"/>
      <c r="BG756" s="15"/>
      <c r="BH756" s="15"/>
      <c r="BI756" s="15"/>
      <c r="BJ756" s="11"/>
      <c r="BK756" s="15"/>
      <c r="BL756" s="11"/>
      <c r="BM756" s="11"/>
      <c r="BN756" s="15"/>
      <c r="BO756" s="11"/>
      <c r="BP756" s="11"/>
      <c r="BQ756" s="15"/>
      <c r="BR756" s="15"/>
      <c r="BS756" s="15"/>
      <c r="BT756" s="11"/>
      <c r="BU756" s="15"/>
      <c r="BV756" s="11"/>
      <c r="BW756" s="11"/>
      <c r="BX756" s="15"/>
      <c r="BY756" s="11"/>
      <c r="BZ756" s="11"/>
      <c r="CA756" s="15"/>
      <c r="CB756" s="11"/>
      <c r="CC756" s="15"/>
      <c r="CD756" s="11"/>
      <c r="CE756" s="15"/>
      <c r="CF756" s="11"/>
      <c r="CG756" s="11"/>
      <c r="CH756" s="15"/>
      <c r="CI756" s="11"/>
      <c r="CJ756" s="11"/>
      <c r="CK756" s="15"/>
      <c r="CL756" s="11"/>
      <c r="CM756" s="11"/>
      <c r="CN756" s="11"/>
      <c r="CO756" s="11"/>
      <c r="CP756" s="28"/>
      <c r="CQ756" s="28"/>
      <c r="CR756" s="11"/>
      <c r="CS756" s="29"/>
      <c r="CT756" s="11"/>
      <c r="CU756" s="11"/>
      <c r="CV756" s="11"/>
      <c r="CW756" s="11"/>
      <c r="CX756" s="11"/>
      <c r="CY756" s="11"/>
      <c r="CZ756" s="11"/>
      <c r="DA756" s="28"/>
      <c r="DB756" s="28"/>
      <c r="DC756" s="11"/>
      <c r="DD756" s="29"/>
      <c r="DE756" s="11"/>
      <c r="DF756" s="11"/>
      <c r="DG756" s="11"/>
      <c r="DH756" s="11"/>
      <c r="DI756" s="11"/>
      <c r="DJ756" s="11"/>
      <c r="DK756" s="26"/>
      <c r="DL756" s="11"/>
      <c r="DM756" s="29"/>
      <c r="DN756" s="28"/>
      <c r="DO756" s="11"/>
      <c r="DP756" s="11"/>
      <c r="DQ756" s="11"/>
      <c r="DR756" s="29"/>
      <c r="DS756" s="28"/>
      <c r="DT756" s="11"/>
      <c r="DU756" s="26"/>
      <c r="DV756" s="11"/>
      <c r="DW756" s="29"/>
      <c r="DX756" s="28"/>
      <c r="DY756" s="11"/>
      <c r="DZ756" s="26"/>
      <c r="EA756" s="11"/>
      <c r="EB756" s="29"/>
      <c r="EC756" s="28"/>
      <c r="ED756" s="30"/>
      <c r="EE756" s="30" t="str">
        <f ca="1">IFERROR(__xludf.DUMMYFUNCTION("iferror(index(filter('Internal -- Trademark Countries'!E$2:E1000, (AM756 = 'Internal -- Trademark Countries'!B$2:B1000) + (AM756 = 'Internal -- Trademark Countries'!C$2:C1000) + (AM756 = 'Internal -- Trademark Countries'!D$2:D1000)), 1))"),"")</f>
        <v/>
      </c>
      <c r="EF756" s="30" t="e">
        <f ca="1">_xludf.ifs(AM756="", "", COUNTIF('Internal -- Trademark Countries'!B:B,AM756) &gt; 0, "polity_shortest_name", COUNTIF('Internal -- Trademark Countries'!C:C,AM756) &gt; 0, "polity_full_name", COUNTIF('Internal -- Trademark Countries'!D:D,AM756) &gt; 0, "polity_common_name", COUNTIF('Internal -- Trademark Countries'!E:E,AM756) &gt; 0, "shortest_name", COUNTIF('Internal -- Trademark Countries'!A:A,AM756) &gt; 0, "full_name", TRUE, "not a match")</f>
        <v>#NAME?</v>
      </c>
      <c r="EG756" s="30"/>
      <c r="EH756" s="30"/>
      <c r="EI756" s="30"/>
      <c r="EJ756" s="30"/>
      <c r="EK756" s="30" t="str">
        <f t="shared" si="4"/>
        <v/>
      </c>
    </row>
    <row r="757" spans="1:141" ht="16.5">
      <c r="A757" s="11"/>
      <c r="B757" s="11"/>
      <c r="C757" s="11"/>
      <c r="D757" s="11"/>
      <c r="E757" s="11"/>
      <c r="F757" s="11"/>
      <c r="G757" s="11"/>
      <c r="H757" s="11"/>
      <c r="I757" s="11"/>
      <c r="J757" s="11"/>
      <c r="K757" s="27"/>
      <c r="L757" s="11"/>
      <c r="M757" s="11"/>
      <c r="N757" s="11"/>
      <c r="O757" s="11"/>
      <c r="P757" s="15"/>
      <c r="Q757" s="15"/>
      <c r="R757" s="15"/>
      <c r="S757" s="15"/>
      <c r="T757" s="15"/>
      <c r="U757" s="15"/>
      <c r="V757" s="15"/>
      <c r="W757" s="47"/>
      <c r="X757" s="11"/>
      <c r="Y757" s="48"/>
      <c r="Z757" s="11"/>
      <c r="AA757" s="48"/>
      <c r="AB757" s="11"/>
      <c r="AC757" s="48"/>
      <c r="AD757" s="11"/>
      <c r="AE757" s="47"/>
      <c r="AF757" s="11"/>
      <c r="AG757" s="48"/>
      <c r="AH757" s="11"/>
      <c r="AI757" s="48"/>
      <c r="AJ757" s="11"/>
      <c r="AK757" s="48"/>
      <c r="AL757" s="11"/>
      <c r="AM757" s="49"/>
      <c r="AN757" s="49"/>
      <c r="AO757" s="11"/>
      <c r="AP757" s="11"/>
      <c r="AQ757" s="28" t="b">
        <f>IF(COUNTIF(SmartStatus!A$2:A1000, AM757) &gt; 2, TRUE, FALSE)</f>
        <v>0</v>
      </c>
      <c r="AR757" s="29" t="str">
        <f ca="1">IFERROR(__xludf.DUMMYFUNCTION("iferror(if(regexmatch(AO757, ""(?i)^registered""), if(EE757 &lt;&gt; ""polity_shortest_name"", ""CHECK_POLITY"", index(filter(SmartStatus!B$2:B1000, AM757 = SmartStatus!A$2:A1000, not(SmartStatus!C$2:C1000), (isblank(SmartStatus!D$2:D1000)) + ((P757 &lt;&gt; """") * "&amp;"(P757 &lt; SmartStatus!D$2:D1000)), (isblank(SmartStatus!E$2:E1000)) + ((P757 &lt;&gt; """") * (P757 &gt;= SmartStatus!E$2:E1000)), (isblank(SmartStatus!F$2:F1000)) + (((Q757 &lt;&gt; """") * (Q757 &lt; SmartStatus!F$2:F1000)) + ((P757 &lt;&gt; """") * (date(year(P757) + 3, month(P"&amp;"757), day(P757)) &lt; SmartStatus!F$2:F1000))), (isblank(SmartStatus!G$2:G1000)) + (((Q757 &lt;&gt; """") * (Q757 &gt;= SmartStatus!G$2:G1000)) + ((P757 &lt;&gt; """") * (P757 &gt;= SmartStatus!G$2:G1000)))), if(or(regexmatch(B757, ""(?i)^ir [a-z]+ designation$""), N757 &lt;&gt; """&amp;"""), 1, 2))), """"), ""NO_MATCH"")"),"")</f>
        <v/>
      </c>
      <c r="AS757" s="11"/>
      <c r="AT757" s="15"/>
      <c r="AU757" s="11"/>
      <c r="AV757" s="11"/>
      <c r="AW757" s="15"/>
      <c r="AX757" s="15"/>
      <c r="AY757" s="15"/>
      <c r="AZ757" s="11"/>
      <c r="BA757" s="15"/>
      <c r="BB757" s="11"/>
      <c r="BC757" s="11"/>
      <c r="BD757" s="15"/>
      <c r="BE757" s="11"/>
      <c r="BF757" s="11"/>
      <c r="BG757" s="15"/>
      <c r="BH757" s="15"/>
      <c r="BI757" s="15"/>
      <c r="BJ757" s="11"/>
      <c r="BK757" s="15"/>
      <c r="BL757" s="11"/>
      <c r="BM757" s="11"/>
      <c r="BN757" s="15"/>
      <c r="BO757" s="11"/>
      <c r="BP757" s="11"/>
      <c r="BQ757" s="15"/>
      <c r="BR757" s="15"/>
      <c r="BS757" s="15"/>
      <c r="BT757" s="11"/>
      <c r="BU757" s="15"/>
      <c r="BV757" s="11"/>
      <c r="BW757" s="11"/>
      <c r="BX757" s="15"/>
      <c r="BY757" s="11"/>
      <c r="BZ757" s="11"/>
      <c r="CA757" s="15"/>
      <c r="CB757" s="11"/>
      <c r="CC757" s="15"/>
      <c r="CD757" s="11"/>
      <c r="CE757" s="15"/>
      <c r="CF757" s="11"/>
      <c r="CG757" s="11"/>
      <c r="CH757" s="15"/>
      <c r="CI757" s="11"/>
      <c r="CJ757" s="11"/>
      <c r="CK757" s="15"/>
      <c r="CL757" s="11"/>
      <c r="CM757" s="11"/>
      <c r="CN757" s="11"/>
      <c r="CO757" s="11"/>
      <c r="CP757" s="28"/>
      <c r="CQ757" s="28"/>
      <c r="CR757" s="11"/>
      <c r="CS757" s="29"/>
      <c r="CT757" s="11"/>
      <c r="CU757" s="11"/>
      <c r="CV757" s="11"/>
      <c r="CW757" s="11"/>
      <c r="CX757" s="11"/>
      <c r="CY757" s="11"/>
      <c r="CZ757" s="11"/>
      <c r="DA757" s="28"/>
      <c r="DB757" s="28"/>
      <c r="DC757" s="11"/>
      <c r="DD757" s="29"/>
      <c r="DE757" s="11"/>
      <c r="DF757" s="11"/>
      <c r="DG757" s="11"/>
      <c r="DH757" s="11"/>
      <c r="DI757" s="11"/>
      <c r="DJ757" s="11"/>
      <c r="DK757" s="26"/>
      <c r="DL757" s="11"/>
      <c r="DM757" s="29"/>
      <c r="DN757" s="28"/>
      <c r="DO757" s="11"/>
      <c r="DP757" s="11"/>
      <c r="DQ757" s="11"/>
      <c r="DR757" s="29"/>
      <c r="DS757" s="28"/>
      <c r="DT757" s="11"/>
      <c r="DU757" s="26"/>
      <c r="DV757" s="11"/>
      <c r="DW757" s="29"/>
      <c r="DX757" s="28"/>
      <c r="DY757" s="11"/>
      <c r="DZ757" s="26"/>
      <c r="EA757" s="11"/>
      <c r="EB757" s="29"/>
      <c r="EC757" s="28"/>
      <c r="ED757" s="30"/>
      <c r="EE757" s="30" t="str">
        <f ca="1">IFERROR(__xludf.DUMMYFUNCTION("iferror(index(filter('Internal -- Trademark Countries'!E$2:E1000, (AM757 = 'Internal -- Trademark Countries'!B$2:B1000) + (AM757 = 'Internal -- Trademark Countries'!C$2:C1000) + (AM757 = 'Internal -- Trademark Countries'!D$2:D1000)), 1))"),"")</f>
        <v/>
      </c>
      <c r="EF757" s="30" t="e">
        <f ca="1">_xludf.ifs(AM757="", "", COUNTIF('Internal -- Trademark Countries'!B:B,AM757) &gt; 0, "polity_shortest_name", COUNTIF('Internal -- Trademark Countries'!C:C,AM757) &gt; 0, "polity_full_name", COUNTIF('Internal -- Trademark Countries'!D:D,AM757) &gt; 0, "polity_common_name", COUNTIF('Internal -- Trademark Countries'!E:E,AM757) &gt; 0, "shortest_name", COUNTIF('Internal -- Trademark Countries'!A:A,AM757) &gt; 0, "full_name", TRUE, "not a match")</f>
        <v>#NAME?</v>
      </c>
      <c r="EG757" s="30"/>
      <c r="EH757" s="30"/>
      <c r="EI757" s="30"/>
      <c r="EJ757" s="30"/>
      <c r="EK757" s="30" t="str">
        <f t="shared" si="4"/>
        <v/>
      </c>
    </row>
    <row r="758" spans="1:141" ht="16.5">
      <c r="A758" s="11"/>
      <c r="B758" s="11"/>
      <c r="C758" s="11"/>
      <c r="D758" s="11"/>
      <c r="E758" s="11"/>
      <c r="F758" s="11"/>
      <c r="G758" s="11"/>
      <c r="H758" s="11"/>
      <c r="I758" s="11"/>
      <c r="J758" s="11"/>
      <c r="K758" s="27"/>
      <c r="L758" s="11"/>
      <c r="M758" s="11"/>
      <c r="N758" s="11"/>
      <c r="O758" s="11"/>
      <c r="P758" s="15"/>
      <c r="Q758" s="15"/>
      <c r="R758" s="15"/>
      <c r="S758" s="15"/>
      <c r="T758" s="15"/>
      <c r="U758" s="15"/>
      <c r="V758" s="15"/>
      <c r="W758" s="47"/>
      <c r="X758" s="11"/>
      <c r="Y758" s="48"/>
      <c r="Z758" s="11"/>
      <c r="AA758" s="48"/>
      <c r="AB758" s="11"/>
      <c r="AC758" s="48"/>
      <c r="AD758" s="11"/>
      <c r="AE758" s="47"/>
      <c r="AF758" s="11"/>
      <c r="AG758" s="48"/>
      <c r="AH758" s="11"/>
      <c r="AI758" s="48"/>
      <c r="AJ758" s="11"/>
      <c r="AK758" s="48"/>
      <c r="AL758" s="11"/>
      <c r="AM758" s="49"/>
      <c r="AN758" s="49"/>
      <c r="AO758" s="11"/>
      <c r="AP758" s="11"/>
      <c r="AQ758" s="28" t="b">
        <f>IF(COUNTIF(SmartStatus!A$2:A1000, AM758) &gt; 2, TRUE, FALSE)</f>
        <v>0</v>
      </c>
      <c r="AR758" s="29" t="str">
        <f ca="1">IFERROR(__xludf.DUMMYFUNCTION("iferror(if(regexmatch(AO758, ""(?i)^registered""), if(EE758 &lt;&gt; ""polity_shortest_name"", ""CHECK_POLITY"", index(filter(SmartStatus!B$2:B1000, AM758 = SmartStatus!A$2:A1000, not(SmartStatus!C$2:C1000), (isblank(SmartStatus!D$2:D1000)) + ((P758 &lt;&gt; """") * "&amp;"(P758 &lt; SmartStatus!D$2:D1000)), (isblank(SmartStatus!E$2:E1000)) + ((P758 &lt;&gt; """") * (P758 &gt;= SmartStatus!E$2:E1000)), (isblank(SmartStatus!F$2:F1000)) + (((Q758 &lt;&gt; """") * (Q758 &lt; SmartStatus!F$2:F1000)) + ((P758 &lt;&gt; """") * (date(year(P758) + 3, month(P"&amp;"758), day(P758)) &lt; SmartStatus!F$2:F1000))), (isblank(SmartStatus!G$2:G1000)) + (((Q758 &lt;&gt; """") * (Q758 &gt;= SmartStatus!G$2:G1000)) + ((P758 &lt;&gt; """") * (P758 &gt;= SmartStatus!G$2:G1000)))), if(or(regexmatch(B758, ""(?i)^ir [a-z]+ designation$""), N758 &lt;&gt; """&amp;"""), 1, 2))), """"), ""NO_MATCH"")"),"")</f>
        <v/>
      </c>
      <c r="AS758" s="11"/>
      <c r="AT758" s="15"/>
      <c r="AU758" s="11"/>
      <c r="AV758" s="11"/>
      <c r="AW758" s="15"/>
      <c r="AX758" s="15"/>
      <c r="AY758" s="15"/>
      <c r="AZ758" s="11"/>
      <c r="BA758" s="15"/>
      <c r="BB758" s="11"/>
      <c r="BC758" s="11"/>
      <c r="BD758" s="15"/>
      <c r="BE758" s="11"/>
      <c r="BF758" s="11"/>
      <c r="BG758" s="15"/>
      <c r="BH758" s="15"/>
      <c r="BI758" s="15"/>
      <c r="BJ758" s="11"/>
      <c r="BK758" s="15"/>
      <c r="BL758" s="11"/>
      <c r="BM758" s="11"/>
      <c r="BN758" s="15"/>
      <c r="BO758" s="11"/>
      <c r="BP758" s="11"/>
      <c r="BQ758" s="15"/>
      <c r="BR758" s="15"/>
      <c r="BS758" s="15"/>
      <c r="BT758" s="11"/>
      <c r="BU758" s="15"/>
      <c r="BV758" s="11"/>
      <c r="BW758" s="11"/>
      <c r="BX758" s="15"/>
      <c r="BY758" s="11"/>
      <c r="BZ758" s="11"/>
      <c r="CA758" s="15"/>
      <c r="CB758" s="11"/>
      <c r="CC758" s="15"/>
      <c r="CD758" s="11"/>
      <c r="CE758" s="15"/>
      <c r="CF758" s="11"/>
      <c r="CG758" s="11"/>
      <c r="CH758" s="15"/>
      <c r="CI758" s="11"/>
      <c r="CJ758" s="11"/>
      <c r="CK758" s="15"/>
      <c r="CL758" s="11"/>
      <c r="CM758" s="11"/>
      <c r="CN758" s="11"/>
      <c r="CO758" s="11"/>
      <c r="CP758" s="28"/>
      <c r="CQ758" s="28"/>
      <c r="CR758" s="11"/>
      <c r="CS758" s="29"/>
      <c r="CT758" s="11"/>
      <c r="CU758" s="11"/>
      <c r="CV758" s="11"/>
      <c r="CW758" s="11"/>
      <c r="CX758" s="11"/>
      <c r="CY758" s="11"/>
      <c r="CZ758" s="11"/>
      <c r="DA758" s="28"/>
      <c r="DB758" s="28"/>
      <c r="DC758" s="11"/>
      <c r="DD758" s="29"/>
      <c r="DE758" s="11"/>
      <c r="DF758" s="11"/>
      <c r="DG758" s="11"/>
      <c r="DH758" s="11"/>
      <c r="DI758" s="11"/>
      <c r="DJ758" s="11"/>
      <c r="DK758" s="26"/>
      <c r="DL758" s="11"/>
      <c r="DM758" s="29"/>
      <c r="DN758" s="28"/>
      <c r="DO758" s="11"/>
      <c r="DP758" s="11"/>
      <c r="DQ758" s="11"/>
      <c r="DR758" s="29"/>
      <c r="DS758" s="28"/>
      <c r="DT758" s="11"/>
      <c r="DU758" s="26"/>
      <c r="DV758" s="11"/>
      <c r="DW758" s="29"/>
      <c r="DX758" s="28"/>
      <c r="DY758" s="11"/>
      <c r="DZ758" s="26"/>
      <c r="EA758" s="11"/>
      <c r="EB758" s="29"/>
      <c r="EC758" s="28"/>
      <c r="ED758" s="30"/>
      <c r="EE758" s="30" t="str">
        <f ca="1">IFERROR(__xludf.DUMMYFUNCTION("iferror(index(filter('Internal -- Trademark Countries'!E$2:E1000, (AM758 = 'Internal -- Trademark Countries'!B$2:B1000) + (AM758 = 'Internal -- Trademark Countries'!C$2:C1000) + (AM758 = 'Internal -- Trademark Countries'!D$2:D1000)), 1))"),"")</f>
        <v/>
      </c>
      <c r="EF758" s="30" t="e">
        <f ca="1">_xludf.ifs(AM758="", "", COUNTIF('Internal -- Trademark Countries'!B:B,AM758) &gt; 0, "polity_shortest_name", COUNTIF('Internal -- Trademark Countries'!C:C,AM758) &gt; 0, "polity_full_name", COUNTIF('Internal -- Trademark Countries'!D:D,AM758) &gt; 0, "polity_common_name", COUNTIF('Internal -- Trademark Countries'!E:E,AM758) &gt; 0, "shortest_name", COUNTIF('Internal -- Trademark Countries'!A:A,AM758) &gt; 0, "full_name", TRUE, "not a match")</f>
        <v>#NAME?</v>
      </c>
      <c r="EG758" s="30"/>
      <c r="EH758" s="30"/>
      <c r="EI758" s="30"/>
      <c r="EJ758" s="30"/>
      <c r="EK758" s="30" t="str">
        <f t="shared" si="4"/>
        <v/>
      </c>
    </row>
    <row r="759" spans="1:141" ht="16.5">
      <c r="A759" s="11"/>
      <c r="B759" s="11"/>
      <c r="C759" s="11"/>
      <c r="D759" s="11"/>
      <c r="E759" s="11"/>
      <c r="F759" s="11"/>
      <c r="G759" s="11"/>
      <c r="H759" s="11"/>
      <c r="I759" s="11"/>
      <c r="J759" s="11"/>
      <c r="K759" s="27"/>
      <c r="L759" s="11"/>
      <c r="M759" s="11"/>
      <c r="N759" s="11"/>
      <c r="O759" s="11"/>
      <c r="P759" s="15"/>
      <c r="Q759" s="15"/>
      <c r="R759" s="15"/>
      <c r="S759" s="15"/>
      <c r="T759" s="15"/>
      <c r="U759" s="15"/>
      <c r="V759" s="15"/>
      <c r="W759" s="47"/>
      <c r="X759" s="11"/>
      <c r="Y759" s="48"/>
      <c r="Z759" s="11"/>
      <c r="AA759" s="48"/>
      <c r="AB759" s="11"/>
      <c r="AC759" s="48"/>
      <c r="AD759" s="11"/>
      <c r="AE759" s="47"/>
      <c r="AF759" s="11"/>
      <c r="AG759" s="48"/>
      <c r="AH759" s="11"/>
      <c r="AI759" s="48"/>
      <c r="AJ759" s="11"/>
      <c r="AK759" s="48"/>
      <c r="AL759" s="11"/>
      <c r="AM759" s="49"/>
      <c r="AN759" s="49"/>
      <c r="AO759" s="11"/>
      <c r="AP759" s="11"/>
      <c r="AQ759" s="28" t="b">
        <f>IF(COUNTIF(SmartStatus!A$2:A1000, AM759) &gt; 2, TRUE, FALSE)</f>
        <v>0</v>
      </c>
      <c r="AR759" s="29" t="str">
        <f ca="1">IFERROR(__xludf.DUMMYFUNCTION("iferror(if(regexmatch(AO759, ""(?i)^registered""), if(EE759 &lt;&gt; ""polity_shortest_name"", ""CHECK_POLITY"", index(filter(SmartStatus!B$2:B1000, AM759 = SmartStatus!A$2:A1000, not(SmartStatus!C$2:C1000), (isblank(SmartStatus!D$2:D1000)) + ((P759 &lt;&gt; """") * "&amp;"(P759 &lt; SmartStatus!D$2:D1000)), (isblank(SmartStatus!E$2:E1000)) + ((P759 &lt;&gt; """") * (P759 &gt;= SmartStatus!E$2:E1000)), (isblank(SmartStatus!F$2:F1000)) + (((Q759 &lt;&gt; """") * (Q759 &lt; SmartStatus!F$2:F1000)) + ((P759 &lt;&gt; """") * (date(year(P759) + 3, month(P"&amp;"759), day(P759)) &lt; SmartStatus!F$2:F1000))), (isblank(SmartStatus!G$2:G1000)) + (((Q759 &lt;&gt; """") * (Q759 &gt;= SmartStatus!G$2:G1000)) + ((P759 &lt;&gt; """") * (P759 &gt;= SmartStatus!G$2:G1000)))), if(or(regexmatch(B759, ""(?i)^ir [a-z]+ designation$""), N759 &lt;&gt; """&amp;"""), 1, 2))), """"), ""NO_MATCH"")"),"")</f>
        <v/>
      </c>
      <c r="AS759" s="11"/>
      <c r="AT759" s="15"/>
      <c r="AU759" s="11"/>
      <c r="AV759" s="11"/>
      <c r="AW759" s="15"/>
      <c r="AX759" s="15"/>
      <c r="AY759" s="15"/>
      <c r="AZ759" s="11"/>
      <c r="BA759" s="15"/>
      <c r="BB759" s="11"/>
      <c r="BC759" s="11"/>
      <c r="BD759" s="15"/>
      <c r="BE759" s="11"/>
      <c r="BF759" s="11"/>
      <c r="BG759" s="15"/>
      <c r="BH759" s="15"/>
      <c r="BI759" s="15"/>
      <c r="BJ759" s="11"/>
      <c r="BK759" s="15"/>
      <c r="BL759" s="11"/>
      <c r="BM759" s="11"/>
      <c r="BN759" s="15"/>
      <c r="BO759" s="11"/>
      <c r="BP759" s="11"/>
      <c r="BQ759" s="15"/>
      <c r="BR759" s="15"/>
      <c r="BS759" s="15"/>
      <c r="BT759" s="11"/>
      <c r="BU759" s="15"/>
      <c r="BV759" s="11"/>
      <c r="BW759" s="11"/>
      <c r="BX759" s="15"/>
      <c r="BY759" s="11"/>
      <c r="BZ759" s="11"/>
      <c r="CA759" s="15"/>
      <c r="CB759" s="11"/>
      <c r="CC759" s="15"/>
      <c r="CD759" s="11"/>
      <c r="CE759" s="15"/>
      <c r="CF759" s="11"/>
      <c r="CG759" s="11"/>
      <c r="CH759" s="15"/>
      <c r="CI759" s="11"/>
      <c r="CJ759" s="11"/>
      <c r="CK759" s="15"/>
      <c r="CL759" s="11"/>
      <c r="CM759" s="11"/>
      <c r="CN759" s="11"/>
      <c r="CO759" s="11"/>
      <c r="CP759" s="28"/>
      <c r="CQ759" s="28"/>
      <c r="CR759" s="11"/>
      <c r="CS759" s="29"/>
      <c r="CT759" s="11"/>
      <c r="CU759" s="11"/>
      <c r="CV759" s="11"/>
      <c r="CW759" s="11"/>
      <c r="CX759" s="11"/>
      <c r="CY759" s="11"/>
      <c r="CZ759" s="11"/>
      <c r="DA759" s="28"/>
      <c r="DB759" s="28"/>
      <c r="DC759" s="11"/>
      <c r="DD759" s="29"/>
      <c r="DE759" s="11"/>
      <c r="DF759" s="11"/>
      <c r="DG759" s="11"/>
      <c r="DH759" s="11"/>
      <c r="DI759" s="11"/>
      <c r="DJ759" s="11"/>
      <c r="DK759" s="26"/>
      <c r="DL759" s="11"/>
      <c r="DM759" s="29"/>
      <c r="DN759" s="28"/>
      <c r="DO759" s="11"/>
      <c r="DP759" s="11"/>
      <c r="DQ759" s="11"/>
      <c r="DR759" s="29"/>
      <c r="DS759" s="28"/>
      <c r="DT759" s="11"/>
      <c r="DU759" s="26"/>
      <c r="DV759" s="11"/>
      <c r="DW759" s="29"/>
      <c r="DX759" s="28"/>
      <c r="DY759" s="11"/>
      <c r="DZ759" s="26"/>
      <c r="EA759" s="11"/>
      <c r="EB759" s="29"/>
      <c r="EC759" s="28"/>
      <c r="ED759" s="30"/>
      <c r="EE759" s="30" t="str">
        <f ca="1">IFERROR(__xludf.DUMMYFUNCTION("iferror(index(filter('Internal -- Trademark Countries'!E$2:E1000, (AM759 = 'Internal -- Trademark Countries'!B$2:B1000) + (AM759 = 'Internal -- Trademark Countries'!C$2:C1000) + (AM759 = 'Internal -- Trademark Countries'!D$2:D1000)), 1))"),"")</f>
        <v/>
      </c>
      <c r="EF759" s="30" t="e">
        <f ca="1">_xludf.ifs(AM759="", "", COUNTIF('Internal -- Trademark Countries'!B:B,AM759) &gt; 0, "polity_shortest_name", COUNTIF('Internal -- Trademark Countries'!C:C,AM759) &gt; 0, "polity_full_name", COUNTIF('Internal -- Trademark Countries'!D:D,AM759) &gt; 0, "polity_common_name", COUNTIF('Internal -- Trademark Countries'!E:E,AM759) &gt; 0, "shortest_name", COUNTIF('Internal -- Trademark Countries'!A:A,AM759) &gt; 0, "full_name", TRUE, "not a match")</f>
        <v>#NAME?</v>
      </c>
      <c r="EG759" s="30"/>
      <c r="EH759" s="30"/>
      <c r="EI759" s="30"/>
      <c r="EJ759" s="30"/>
      <c r="EK759" s="30" t="str">
        <f t="shared" si="4"/>
        <v/>
      </c>
    </row>
    <row r="760" spans="1:141" ht="16.5">
      <c r="A760" s="11"/>
      <c r="B760" s="11"/>
      <c r="C760" s="11"/>
      <c r="D760" s="11"/>
      <c r="E760" s="11"/>
      <c r="F760" s="11"/>
      <c r="G760" s="11"/>
      <c r="H760" s="11"/>
      <c r="I760" s="11"/>
      <c r="J760" s="11"/>
      <c r="K760" s="27"/>
      <c r="L760" s="11"/>
      <c r="M760" s="11"/>
      <c r="N760" s="11"/>
      <c r="O760" s="11"/>
      <c r="P760" s="15"/>
      <c r="Q760" s="15"/>
      <c r="R760" s="15"/>
      <c r="S760" s="15"/>
      <c r="T760" s="15"/>
      <c r="U760" s="15"/>
      <c r="V760" s="15"/>
      <c r="W760" s="47"/>
      <c r="X760" s="11"/>
      <c r="Y760" s="48"/>
      <c r="Z760" s="11"/>
      <c r="AA760" s="48"/>
      <c r="AB760" s="11"/>
      <c r="AC760" s="48"/>
      <c r="AD760" s="11"/>
      <c r="AE760" s="47"/>
      <c r="AF760" s="11"/>
      <c r="AG760" s="48"/>
      <c r="AH760" s="11"/>
      <c r="AI760" s="48"/>
      <c r="AJ760" s="11"/>
      <c r="AK760" s="48"/>
      <c r="AL760" s="11"/>
      <c r="AM760" s="49"/>
      <c r="AN760" s="49"/>
      <c r="AO760" s="11"/>
      <c r="AP760" s="11"/>
      <c r="AQ760" s="28" t="b">
        <f>IF(COUNTIF(SmartStatus!A$2:A1000, AM760) &gt; 2, TRUE, FALSE)</f>
        <v>0</v>
      </c>
      <c r="AR760" s="29" t="str">
        <f ca="1">IFERROR(__xludf.DUMMYFUNCTION("iferror(if(regexmatch(AO760, ""(?i)^registered""), if(EE760 &lt;&gt; ""polity_shortest_name"", ""CHECK_POLITY"", index(filter(SmartStatus!B$2:B1000, AM760 = SmartStatus!A$2:A1000, not(SmartStatus!C$2:C1000), (isblank(SmartStatus!D$2:D1000)) + ((P760 &lt;&gt; """") * "&amp;"(P760 &lt; SmartStatus!D$2:D1000)), (isblank(SmartStatus!E$2:E1000)) + ((P760 &lt;&gt; """") * (P760 &gt;= SmartStatus!E$2:E1000)), (isblank(SmartStatus!F$2:F1000)) + (((Q760 &lt;&gt; """") * (Q760 &lt; SmartStatus!F$2:F1000)) + ((P760 &lt;&gt; """") * (date(year(P760) + 3, month(P"&amp;"760), day(P760)) &lt; SmartStatus!F$2:F1000))), (isblank(SmartStatus!G$2:G1000)) + (((Q760 &lt;&gt; """") * (Q760 &gt;= SmartStatus!G$2:G1000)) + ((P760 &lt;&gt; """") * (P760 &gt;= SmartStatus!G$2:G1000)))), if(or(regexmatch(B760, ""(?i)^ir [a-z]+ designation$""), N760 &lt;&gt; """&amp;"""), 1, 2))), """"), ""NO_MATCH"")"),"")</f>
        <v/>
      </c>
      <c r="AS760" s="11"/>
      <c r="AT760" s="15"/>
      <c r="AU760" s="11"/>
      <c r="AV760" s="11"/>
      <c r="AW760" s="15"/>
      <c r="AX760" s="15"/>
      <c r="AY760" s="15"/>
      <c r="AZ760" s="11"/>
      <c r="BA760" s="15"/>
      <c r="BB760" s="11"/>
      <c r="BC760" s="11"/>
      <c r="BD760" s="15"/>
      <c r="BE760" s="11"/>
      <c r="BF760" s="11"/>
      <c r="BG760" s="15"/>
      <c r="BH760" s="15"/>
      <c r="BI760" s="15"/>
      <c r="BJ760" s="11"/>
      <c r="BK760" s="15"/>
      <c r="BL760" s="11"/>
      <c r="BM760" s="11"/>
      <c r="BN760" s="15"/>
      <c r="BO760" s="11"/>
      <c r="BP760" s="11"/>
      <c r="BQ760" s="15"/>
      <c r="BR760" s="15"/>
      <c r="BS760" s="15"/>
      <c r="BT760" s="11"/>
      <c r="BU760" s="15"/>
      <c r="BV760" s="11"/>
      <c r="BW760" s="11"/>
      <c r="BX760" s="15"/>
      <c r="BY760" s="11"/>
      <c r="BZ760" s="11"/>
      <c r="CA760" s="15"/>
      <c r="CB760" s="11"/>
      <c r="CC760" s="15"/>
      <c r="CD760" s="11"/>
      <c r="CE760" s="15"/>
      <c r="CF760" s="11"/>
      <c r="CG760" s="11"/>
      <c r="CH760" s="15"/>
      <c r="CI760" s="11"/>
      <c r="CJ760" s="11"/>
      <c r="CK760" s="15"/>
      <c r="CL760" s="11"/>
      <c r="CM760" s="11"/>
      <c r="CN760" s="11"/>
      <c r="CO760" s="11"/>
      <c r="CP760" s="28"/>
      <c r="CQ760" s="28"/>
      <c r="CR760" s="11"/>
      <c r="CS760" s="29"/>
      <c r="CT760" s="11"/>
      <c r="CU760" s="11"/>
      <c r="CV760" s="11"/>
      <c r="CW760" s="11"/>
      <c r="CX760" s="11"/>
      <c r="CY760" s="11"/>
      <c r="CZ760" s="11"/>
      <c r="DA760" s="28"/>
      <c r="DB760" s="28"/>
      <c r="DC760" s="11"/>
      <c r="DD760" s="29"/>
      <c r="DE760" s="11"/>
      <c r="DF760" s="11"/>
      <c r="DG760" s="11"/>
      <c r="DH760" s="11"/>
      <c r="DI760" s="11"/>
      <c r="DJ760" s="11"/>
      <c r="DK760" s="26"/>
      <c r="DL760" s="11"/>
      <c r="DM760" s="29"/>
      <c r="DN760" s="28"/>
      <c r="DO760" s="11"/>
      <c r="DP760" s="11"/>
      <c r="DQ760" s="11"/>
      <c r="DR760" s="29"/>
      <c r="DS760" s="28"/>
      <c r="DT760" s="11"/>
      <c r="DU760" s="26"/>
      <c r="DV760" s="11"/>
      <c r="DW760" s="29"/>
      <c r="DX760" s="28"/>
      <c r="DY760" s="11"/>
      <c r="DZ760" s="26"/>
      <c r="EA760" s="11"/>
      <c r="EB760" s="29"/>
      <c r="EC760" s="28"/>
      <c r="ED760" s="30"/>
      <c r="EE760" s="30" t="str">
        <f ca="1">IFERROR(__xludf.DUMMYFUNCTION("iferror(index(filter('Internal -- Trademark Countries'!E$2:E1000, (AM760 = 'Internal -- Trademark Countries'!B$2:B1000) + (AM760 = 'Internal -- Trademark Countries'!C$2:C1000) + (AM760 = 'Internal -- Trademark Countries'!D$2:D1000)), 1))"),"")</f>
        <v/>
      </c>
      <c r="EF760" s="30" t="e">
        <f ca="1">_xludf.ifs(AM760="", "", COUNTIF('Internal -- Trademark Countries'!B:B,AM760) &gt; 0, "polity_shortest_name", COUNTIF('Internal -- Trademark Countries'!C:C,AM760) &gt; 0, "polity_full_name", COUNTIF('Internal -- Trademark Countries'!D:D,AM760) &gt; 0, "polity_common_name", COUNTIF('Internal -- Trademark Countries'!E:E,AM760) &gt; 0, "shortest_name", COUNTIF('Internal -- Trademark Countries'!A:A,AM760) &gt; 0, "full_name", TRUE, "not a match")</f>
        <v>#NAME?</v>
      </c>
      <c r="EG760" s="30"/>
      <c r="EH760" s="30"/>
      <c r="EI760" s="30"/>
      <c r="EJ760" s="30"/>
      <c r="EK760" s="30" t="str">
        <f t="shared" si="4"/>
        <v/>
      </c>
    </row>
    <row r="761" spans="1:141" ht="16.5">
      <c r="A761" s="11"/>
      <c r="B761" s="11"/>
      <c r="C761" s="11"/>
      <c r="D761" s="11"/>
      <c r="E761" s="11"/>
      <c r="F761" s="11"/>
      <c r="G761" s="11"/>
      <c r="H761" s="11"/>
      <c r="I761" s="11"/>
      <c r="J761" s="11"/>
      <c r="K761" s="27"/>
      <c r="L761" s="11"/>
      <c r="M761" s="11"/>
      <c r="N761" s="11"/>
      <c r="O761" s="11"/>
      <c r="P761" s="15"/>
      <c r="Q761" s="15"/>
      <c r="R761" s="15"/>
      <c r="S761" s="15"/>
      <c r="T761" s="15"/>
      <c r="U761" s="15"/>
      <c r="V761" s="15"/>
      <c r="W761" s="47"/>
      <c r="X761" s="11"/>
      <c r="Y761" s="48"/>
      <c r="Z761" s="11"/>
      <c r="AA761" s="48"/>
      <c r="AB761" s="11"/>
      <c r="AC761" s="48"/>
      <c r="AD761" s="11"/>
      <c r="AE761" s="47"/>
      <c r="AF761" s="11"/>
      <c r="AG761" s="48"/>
      <c r="AH761" s="11"/>
      <c r="AI761" s="48"/>
      <c r="AJ761" s="11"/>
      <c r="AK761" s="48"/>
      <c r="AL761" s="11"/>
      <c r="AM761" s="49"/>
      <c r="AN761" s="49"/>
      <c r="AO761" s="11"/>
      <c r="AP761" s="11"/>
      <c r="AQ761" s="28" t="b">
        <f>IF(COUNTIF(SmartStatus!A$2:A1000, AM761) &gt; 2, TRUE, FALSE)</f>
        <v>0</v>
      </c>
      <c r="AR761" s="29" t="str">
        <f ca="1">IFERROR(__xludf.DUMMYFUNCTION("iferror(if(regexmatch(AO761, ""(?i)^registered""), if(EE761 &lt;&gt; ""polity_shortest_name"", ""CHECK_POLITY"", index(filter(SmartStatus!B$2:B1000, AM761 = SmartStatus!A$2:A1000, not(SmartStatus!C$2:C1000), (isblank(SmartStatus!D$2:D1000)) + ((P761 &lt;&gt; """") * "&amp;"(P761 &lt; SmartStatus!D$2:D1000)), (isblank(SmartStatus!E$2:E1000)) + ((P761 &lt;&gt; """") * (P761 &gt;= SmartStatus!E$2:E1000)), (isblank(SmartStatus!F$2:F1000)) + (((Q761 &lt;&gt; """") * (Q761 &lt; SmartStatus!F$2:F1000)) + ((P761 &lt;&gt; """") * (date(year(P761) + 3, month(P"&amp;"761), day(P761)) &lt; SmartStatus!F$2:F1000))), (isblank(SmartStatus!G$2:G1000)) + (((Q761 &lt;&gt; """") * (Q761 &gt;= SmartStatus!G$2:G1000)) + ((P761 &lt;&gt; """") * (P761 &gt;= SmartStatus!G$2:G1000)))), if(or(regexmatch(B761, ""(?i)^ir [a-z]+ designation$""), N761 &lt;&gt; """&amp;"""), 1, 2))), """"), ""NO_MATCH"")"),"")</f>
        <v/>
      </c>
      <c r="AS761" s="11"/>
      <c r="AT761" s="15"/>
      <c r="AU761" s="11"/>
      <c r="AV761" s="11"/>
      <c r="AW761" s="15"/>
      <c r="AX761" s="15"/>
      <c r="AY761" s="15"/>
      <c r="AZ761" s="11"/>
      <c r="BA761" s="15"/>
      <c r="BB761" s="11"/>
      <c r="BC761" s="11"/>
      <c r="BD761" s="15"/>
      <c r="BE761" s="11"/>
      <c r="BF761" s="11"/>
      <c r="BG761" s="15"/>
      <c r="BH761" s="15"/>
      <c r="BI761" s="15"/>
      <c r="BJ761" s="11"/>
      <c r="BK761" s="15"/>
      <c r="BL761" s="11"/>
      <c r="BM761" s="11"/>
      <c r="BN761" s="15"/>
      <c r="BO761" s="11"/>
      <c r="BP761" s="11"/>
      <c r="BQ761" s="15"/>
      <c r="BR761" s="15"/>
      <c r="BS761" s="15"/>
      <c r="BT761" s="11"/>
      <c r="BU761" s="15"/>
      <c r="BV761" s="11"/>
      <c r="BW761" s="11"/>
      <c r="BX761" s="15"/>
      <c r="BY761" s="11"/>
      <c r="BZ761" s="11"/>
      <c r="CA761" s="15"/>
      <c r="CB761" s="11"/>
      <c r="CC761" s="15"/>
      <c r="CD761" s="11"/>
      <c r="CE761" s="15"/>
      <c r="CF761" s="11"/>
      <c r="CG761" s="11"/>
      <c r="CH761" s="15"/>
      <c r="CI761" s="11"/>
      <c r="CJ761" s="11"/>
      <c r="CK761" s="15"/>
      <c r="CL761" s="11"/>
      <c r="CM761" s="11"/>
      <c r="CN761" s="11"/>
      <c r="CO761" s="11"/>
      <c r="CP761" s="28"/>
      <c r="CQ761" s="28"/>
      <c r="CR761" s="11"/>
      <c r="CS761" s="29"/>
      <c r="CT761" s="11"/>
      <c r="CU761" s="11"/>
      <c r="CV761" s="11"/>
      <c r="CW761" s="11"/>
      <c r="CX761" s="11"/>
      <c r="CY761" s="11"/>
      <c r="CZ761" s="11"/>
      <c r="DA761" s="28"/>
      <c r="DB761" s="28"/>
      <c r="DC761" s="11"/>
      <c r="DD761" s="29"/>
      <c r="DE761" s="11"/>
      <c r="DF761" s="11"/>
      <c r="DG761" s="11"/>
      <c r="DH761" s="11"/>
      <c r="DI761" s="11"/>
      <c r="DJ761" s="11"/>
      <c r="DK761" s="26"/>
      <c r="DL761" s="11"/>
      <c r="DM761" s="29"/>
      <c r="DN761" s="28"/>
      <c r="DO761" s="11"/>
      <c r="DP761" s="11"/>
      <c r="DQ761" s="11"/>
      <c r="DR761" s="29"/>
      <c r="DS761" s="28"/>
      <c r="DT761" s="11"/>
      <c r="DU761" s="26"/>
      <c r="DV761" s="11"/>
      <c r="DW761" s="29"/>
      <c r="DX761" s="28"/>
      <c r="DY761" s="11"/>
      <c r="DZ761" s="26"/>
      <c r="EA761" s="11"/>
      <c r="EB761" s="29"/>
      <c r="EC761" s="28"/>
      <c r="ED761" s="30"/>
      <c r="EE761" s="30" t="str">
        <f ca="1">IFERROR(__xludf.DUMMYFUNCTION("iferror(index(filter('Internal -- Trademark Countries'!E$2:E1000, (AM761 = 'Internal -- Trademark Countries'!B$2:B1000) + (AM761 = 'Internal -- Trademark Countries'!C$2:C1000) + (AM761 = 'Internal -- Trademark Countries'!D$2:D1000)), 1))"),"")</f>
        <v/>
      </c>
      <c r="EF761" s="30" t="e">
        <f ca="1">_xludf.ifs(AM761="", "", COUNTIF('Internal -- Trademark Countries'!B:B,AM761) &gt; 0, "polity_shortest_name", COUNTIF('Internal -- Trademark Countries'!C:C,AM761) &gt; 0, "polity_full_name", COUNTIF('Internal -- Trademark Countries'!D:D,AM761) &gt; 0, "polity_common_name", COUNTIF('Internal -- Trademark Countries'!E:E,AM761) &gt; 0, "shortest_name", COUNTIF('Internal -- Trademark Countries'!A:A,AM761) &gt; 0, "full_name", TRUE, "not a match")</f>
        <v>#NAME?</v>
      </c>
      <c r="EG761" s="30"/>
      <c r="EH761" s="30"/>
      <c r="EI761" s="30"/>
      <c r="EJ761" s="30"/>
      <c r="EK761" s="30" t="str">
        <f t="shared" si="4"/>
        <v/>
      </c>
    </row>
    <row r="762" spans="1:141" ht="16.5">
      <c r="A762" s="11"/>
      <c r="B762" s="11"/>
      <c r="C762" s="11"/>
      <c r="D762" s="11"/>
      <c r="E762" s="11"/>
      <c r="F762" s="11"/>
      <c r="G762" s="11"/>
      <c r="H762" s="11"/>
      <c r="I762" s="11"/>
      <c r="J762" s="11"/>
      <c r="K762" s="27"/>
      <c r="L762" s="11"/>
      <c r="M762" s="11"/>
      <c r="N762" s="11"/>
      <c r="O762" s="11"/>
      <c r="P762" s="15"/>
      <c r="Q762" s="15"/>
      <c r="R762" s="15"/>
      <c r="S762" s="15"/>
      <c r="T762" s="15"/>
      <c r="U762" s="15"/>
      <c r="V762" s="15"/>
      <c r="W762" s="47"/>
      <c r="X762" s="11"/>
      <c r="Y762" s="48"/>
      <c r="Z762" s="11"/>
      <c r="AA762" s="48"/>
      <c r="AB762" s="11"/>
      <c r="AC762" s="48"/>
      <c r="AD762" s="11"/>
      <c r="AE762" s="47"/>
      <c r="AF762" s="11"/>
      <c r="AG762" s="48"/>
      <c r="AH762" s="11"/>
      <c r="AI762" s="48"/>
      <c r="AJ762" s="11"/>
      <c r="AK762" s="48"/>
      <c r="AL762" s="11"/>
      <c r="AM762" s="49"/>
      <c r="AN762" s="49"/>
      <c r="AO762" s="11"/>
      <c r="AP762" s="11"/>
      <c r="AQ762" s="28" t="b">
        <f>IF(COUNTIF(SmartStatus!A$2:A1000, AM762) &gt; 2, TRUE, FALSE)</f>
        <v>0</v>
      </c>
      <c r="AR762" s="29" t="str">
        <f ca="1">IFERROR(__xludf.DUMMYFUNCTION("iferror(if(regexmatch(AO762, ""(?i)^registered""), if(EE762 &lt;&gt; ""polity_shortest_name"", ""CHECK_POLITY"", index(filter(SmartStatus!B$2:B1000, AM762 = SmartStatus!A$2:A1000, not(SmartStatus!C$2:C1000), (isblank(SmartStatus!D$2:D1000)) + ((P762 &lt;&gt; """") * "&amp;"(P762 &lt; SmartStatus!D$2:D1000)), (isblank(SmartStatus!E$2:E1000)) + ((P762 &lt;&gt; """") * (P762 &gt;= SmartStatus!E$2:E1000)), (isblank(SmartStatus!F$2:F1000)) + (((Q762 &lt;&gt; """") * (Q762 &lt; SmartStatus!F$2:F1000)) + ((P762 &lt;&gt; """") * (date(year(P762) + 3, month(P"&amp;"762), day(P762)) &lt; SmartStatus!F$2:F1000))), (isblank(SmartStatus!G$2:G1000)) + (((Q762 &lt;&gt; """") * (Q762 &gt;= SmartStatus!G$2:G1000)) + ((P762 &lt;&gt; """") * (P762 &gt;= SmartStatus!G$2:G1000)))), if(or(regexmatch(B762, ""(?i)^ir [a-z]+ designation$""), N762 &lt;&gt; """&amp;"""), 1, 2))), """"), ""NO_MATCH"")"),"")</f>
        <v/>
      </c>
      <c r="AS762" s="11"/>
      <c r="AT762" s="15"/>
      <c r="AU762" s="11"/>
      <c r="AV762" s="11"/>
      <c r="AW762" s="15"/>
      <c r="AX762" s="15"/>
      <c r="AY762" s="15"/>
      <c r="AZ762" s="11"/>
      <c r="BA762" s="15"/>
      <c r="BB762" s="11"/>
      <c r="BC762" s="11"/>
      <c r="BD762" s="15"/>
      <c r="BE762" s="11"/>
      <c r="BF762" s="11"/>
      <c r="BG762" s="15"/>
      <c r="BH762" s="15"/>
      <c r="BI762" s="15"/>
      <c r="BJ762" s="11"/>
      <c r="BK762" s="15"/>
      <c r="BL762" s="11"/>
      <c r="BM762" s="11"/>
      <c r="BN762" s="15"/>
      <c r="BO762" s="11"/>
      <c r="BP762" s="11"/>
      <c r="BQ762" s="15"/>
      <c r="BR762" s="15"/>
      <c r="BS762" s="15"/>
      <c r="BT762" s="11"/>
      <c r="BU762" s="15"/>
      <c r="BV762" s="11"/>
      <c r="BW762" s="11"/>
      <c r="BX762" s="15"/>
      <c r="BY762" s="11"/>
      <c r="BZ762" s="11"/>
      <c r="CA762" s="15"/>
      <c r="CB762" s="11"/>
      <c r="CC762" s="15"/>
      <c r="CD762" s="11"/>
      <c r="CE762" s="15"/>
      <c r="CF762" s="11"/>
      <c r="CG762" s="11"/>
      <c r="CH762" s="15"/>
      <c r="CI762" s="11"/>
      <c r="CJ762" s="11"/>
      <c r="CK762" s="15"/>
      <c r="CL762" s="11"/>
      <c r="CM762" s="11"/>
      <c r="CN762" s="11"/>
      <c r="CO762" s="11"/>
      <c r="CP762" s="28"/>
      <c r="CQ762" s="28"/>
      <c r="CR762" s="11"/>
      <c r="CS762" s="29"/>
      <c r="CT762" s="11"/>
      <c r="CU762" s="11"/>
      <c r="CV762" s="11"/>
      <c r="CW762" s="11"/>
      <c r="CX762" s="11"/>
      <c r="CY762" s="11"/>
      <c r="CZ762" s="11"/>
      <c r="DA762" s="28"/>
      <c r="DB762" s="28"/>
      <c r="DC762" s="11"/>
      <c r="DD762" s="29"/>
      <c r="DE762" s="11"/>
      <c r="DF762" s="11"/>
      <c r="DG762" s="11"/>
      <c r="DH762" s="11"/>
      <c r="DI762" s="11"/>
      <c r="DJ762" s="11"/>
      <c r="DK762" s="26"/>
      <c r="DL762" s="11"/>
      <c r="DM762" s="29"/>
      <c r="DN762" s="28"/>
      <c r="DO762" s="11"/>
      <c r="DP762" s="11"/>
      <c r="DQ762" s="11"/>
      <c r="DR762" s="29"/>
      <c r="DS762" s="28"/>
      <c r="DT762" s="11"/>
      <c r="DU762" s="26"/>
      <c r="DV762" s="11"/>
      <c r="DW762" s="29"/>
      <c r="DX762" s="28"/>
      <c r="DY762" s="11"/>
      <c r="DZ762" s="26"/>
      <c r="EA762" s="11"/>
      <c r="EB762" s="29"/>
      <c r="EC762" s="28"/>
      <c r="ED762" s="30"/>
      <c r="EE762" s="30" t="str">
        <f ca="1">IFERROR(__xludf.DUMMYFUNCTION("iferror(index(filter('Internal -- Trademark Countries'!E$2:E1000, (AM762 = 'Internal -- Trademark Countries'!B$2:B1000) + (AM762 = 'Internal -- Trademark Countries'!C$2:C1000) + (AM762 = 'Internal -- Trademark Countries'!D$2:D1000)), 1))"),"")</f>
        <v/>
      </c>
      <c r="EF762" s="30" t="e">
        <f ca="1">_xludf.ifs(AM762="", "", COUNTIF('Internal -- Trademark Countries'!B:B,AM762) &gt; 0, "polity_shortest_name", COUNTIF('Internal -- Trademark Countries'!C:C,AM762) &gt; 0, "polity_full_name", COUNTIF('Internal -- Trademark Countries'!D:D,AM762) &gt; 0, "polity_common_name", COUNTIF('Internal -- Trademark Countries'!E:E,AM762) &gt; 0, "shortest_name", COUNTIF('Internal -- Trademark Countries'!A:A,AM762) &gt; 0, "full_name", TRUE, "not a match")</f>
        <v>#NAME?</v>
      </c>
      <c r="EG762" s="30"/>
      <c r="EH762" s="30"/>
      <c r="EI762" s="30"/>
      <c r="EJ762" s="30"/>
      <c r="EK762" s="30" t="str">
        <f t="shared" si="4"/>
        <v/>
      </c>
    </row>
    <row r="763" spans="1:141" ht="16.5">
      <c r="A763" s="11"/>
      <c r="B763" s="11"/>
      <c r="C763" s="11"/>
      <c r="D763" s="11"/>
      <c r="E763" s="11"/>
      <c r="F763" s="11"/>
      <c r="G763" s="11"/>
      <c r="H763" s="11"/>
      <c r="I763" s="11"/>
      <c r="J763" s="11"/>
      <c r="K763" s="27"/>
      <c r="L763" s="11"/>
      <c r="M763" s="11"/>
      <c r="N763" s="11"/>
      <c r="O763" s="11"/>
      <c r="P763" s="15"/>
      <c r="Q763" s="15"/>
      <c r="R763" s="15"/>
      <c r="S763" s="15"/>
      <c r="T763" s="15"/>
      <c r="U763" s="15"/>
      <c r="V763" s="15"/>
      <c r="W763" s="47"/>
      <c r="X763" s="11"/>
      <c r="Y763" s="48"/>
      <c r="Z763" s="11"/>
      <c r="AA763" s="48"/>
      <c r="AB763" s="11"/>
      <c r="AC763" s="48"/>
      <c r="AD763" s="11"/>
      <c r="AE763" s="47"/>
      <c r="AF763" s="11"/>
      <c r="AG763" s="48"/>
      <c r="AH763" s="11"/>
      <c r="AI763" s="48"/>
      <c r="AJ763" s="11"/>
      <c r="AK763" s="48"/>
      <c r="AL763" s="11"/>
      <c r="AM763" s="49"/>
      <c r="AN763" s="49"/>
      <c r="AO763" s="11"/>
      <c r="AP763" s="11"/>
      <c r="AQ763" s="28" t="b">
        <f>IF(COUNTIF(SmartStatus!A$2:A1000, AM763) &gt; 2, TRUE, FALSE)</f>
        <v>0</v>
      </c>
      <c r="AR763" s="29" t="str">
        <f ca="1">IFERROR(__xludf.DUMMYFUNCTION("iferror(if(regexmatch(AO763, ""(?i)^registered""), if(EE763 &lt;&gt; ""polity_shortest_name"", ""CHECK_POLITY"", index(filter(SmartStatus!B$2:B1000, AM763 = SmartStatus!A$2:A1000, not(SmartStatus!C$2:C1000), (isblank(SmartStatus!D$2:D1000)) + ((P763 &lt;&gt; """") * "&amp;"(P763 &lt; SmartStatus!D$2:D1000)), (isblank(SmartStatus!E$2:E1000)) + ((P763 &lt;&gt; """") * (P763 &gt;= SmartStatus!E$2:E1000)), (isblank(SmartStatus!F$2:F1000)) + (((Q763 &lt;&gt; """") * (Q763 &lt; SmartStatus!F$2:F1000)) + ((P763 &lt;&gt; """") * (date(year(P763) + 3, month(P"&amp;"763), day(P763)) &lt; SmartStatus!F$2:F1000))), (isblank(SmartStatus!G$2:G1000)) + (((Q763 &lt;&gt; """") * (Q763 &gt;= SmartStatus!G$2:G1000)) + ((P763 &lt;&gt; """") * (P763 &gt;= SmartStatus!G$2:G1000)))), if(or(regexmatch(B763, ""(?i)^ir [a-z]+ designation$""), N763 &lt;&gt; """&amp;"""), 1, 2))), """"), ""NO_MATCH"")"),"")</f>
        <v/>
      </c>
      <c r="AS763" s="11"/>
      <c r="AT763" s="15"/>
      <c r="AU763" s="11"/>
      <c r="AV763" s="11"/>
      <c r="AW763" s="15"/>
      <c r="AX763" s="15"/>
      <c r="AY763" s="15"/>
      <c r="AZ763" s="11"/>
      <c r="BA763" s="15"/>
      <c r="BB763" s="11"/>
      <c r="BC763" s="11"/>
      <c r="BD763" s="15"/>
      <c r="BE763" s="11"/>
      <c r="BF763" s="11"/>
      <c r="BG763" s="15"/>
      <c r="BH763" s="15"/>
      <c r="BI763" s="15"/>
      <c r="BJ763" s="11"/>
      <c r="BK763" s="15"/>
      <c r="BL763" s="11"/>
      <c r="BM763" s="11"/>
      <c r="BN763" s="15"/>
      <c r="BO763" s="11"/>
      <c r="BP763" s="11"/>
      <c r="BQ763" s="15"/>
      <c r="BR763" s="15"/>
      <c r="BS763" s="15"/>
      <c r="BT763" s="11"/>
      <c r="BU763" s="15"/>
      <c r="BV763" s="11"/>
      <c r="BW763" s="11"/>
      <c r="BX763" s="15"/>
      <c r="BY763" s="11"/>
      <c r="BZ763" s="11"/>
      <c r="CA763" s="15"/>
      <c r="CB763" s="11"/>
      <c r="CC763" s="15"/>
      <c r="CD763" s="11"/>
      <c r="CE763" s="15"/>
      <c r="CF763" s="11"/>
      <c r="CG763" s="11"/>
      <c r="CH763" s="15"/>
      <c r="CI763" s="11"/>
      <c r="CJ763" s="11"/>
      <c r="CK763" s="15"/>
      <c r="CL763" s="11"/>
      <c r="CM763" s="11"/>
      <c r="CN763" s="11"/>
      <c r="CO763" s="11"/>
      <c r="CP763" s="28"/>
      <c r="CQ763" s="28"/>
      <c r="CR763" s="11"/>
      <c r="CS763" s="29"/>
      <c r="CT763" s="11"/>
      <c r="CU763" s="11"/>
      <c r="CV763" s="11"/>
      <c r="CW763" s="11"/>
      <c r="CX763" s="11"/>
      <c r="CY763" s="11"/>
      <c r="CZ763" s="11"/>
      <c r="DA763" s="28"/>
      <c r="DB763" s="28"/>
      <c r="DC763" s="11"/>
      <c r="DD763" s="29"/>
      <c r="DE763" s="11"/>
      <c r="DF763" s="11"/>
      <c r="DG763" s="11"/>
      <c r="DH763" s="11"/>
      <c r="DI763" s="11"/>
      <c r="DJ763" s="11"/>
      <c r="DK763" s="26"/>
      <c r="DL763" s="11"/>
      <c r="DM763" s="29"/>
      <c r="DN763" s="28"/>
      <c r="DO763" s="11"/>
      <c r="DP763" s="11"/>
      <c r="DQ763" s="11"/>
      <c r="DR763" s="29"/>
      <c r="DS763" s="28"/>
      <c r="DT763" s="11"/>
      <c r="DU763" s="26"/>
      <c r="DV763" s="11"/>
      <c r="DW763" s="29"/>
      <c r="DX763" s="28"/>
      <c r="DY763" s="11"/>
      <c r="DZ763" s="26"/>
      <c r="EA763" s="11"/>
      <c r="EB763" s="29"/>
      <c r="EC763" s="28"/>
      <c r="ED763" s="30"/>
      <c r="EE763" s="30" t="str">
        <f ca="1">IFERROR(__xludf.DUMMYFUNCTION("iferror(index(filter('Internal -- Trademark Countries'!E$2:E1000, (AM763 = 'Internal -- Trademark Countries'!B$2:B1000) + (AM763 = 'Internal -- Trademark Countries'!C$2:C1000) + (AM763 = 'Internal -- Trademark Countries'!D$2:D1000)), 1))"),"")</f>
        <v/>
      </c>
      <c r="EF763" s="30" t="e">
        <f ca="1">_xludf.ifs(AM763="", "", COUNTIF('Internal -- Trademark Countries'!B:B,AM763) &gt; 0, "polity_shortest_name", COUNTIF('Internal -- Trademark Countries'!C:C,AM763) &gt; 0, "polity_full_name", COUNTIF('Internal -- Trademark Countries'!D:D,AM763) &gt; 0, "polity_common_name", COUNTIF('Internal -- Trademark Countries'!E:E,AM763) &gt; 0, "shortest_name", COUNTIF('Internal -- Trademark Countries'!A:A,AM763) &gt; 0, "full_name", TRUE, "not a match")</f>
        <v>#NAME?</v>
      </c>
      <c r="EG763" s="30"/>
      <c r="EH763" s="30"/>
      <c r="EI763" s="30"/>
      <c r="EJ763" s="30"/>
      <c r="EK763" s="30" t="str">
        <f t="shared" si="4"/>
        <v/>
      </c>
    </row>
    <row r="764" spans="1:141" ht="16.5">
      <c r="A764" s="11"/>
      <c r="B764" s="11"/>
      <c r="C764" s="11"/>
      <c r="D764" s="11"/>
      <c r="E764" s="11"/>
      <c r="F764" s="11"/>
      <c r="G764" s="11"/>
      <c r="H764" s="11"/>
      <c r="I764" s="11"/>
      <c r="J764" s="11"/>
      <c r="K764" s="27"/>
      <c r="L764" s="11"/>
      <c r="M764" s="11"/>
      <c r="N764" s="11"/>
      <c r="O764" s="11"/>
      <c r="P764" s="15"/>
      <c r="Q764" s="15"/>
      <c r="R764" s="15"/>
      <c r="S764" s="15"/>
      <c r="T764" s="15"/>
      <c r="U764" s="15"/>
      <c r="V764" s="15"/>
      <c r="W764" s="47"/>
      <c r="X764" s="11"/>
      <c r="Y764" s="48"/>
      <c r="Z764" s="11"/>
      <c r="AA764" s="48"/>
      <c r="AB764" s="11"/>
      <c r="AC764" s="48"/>
      <c r="AD764" s="11"/>
      <c r="AE764" s="47"/>
      <c r="AF764" s="11"/>
      <c r="AG764" s="48"/>
      <c r="AH764" s="11"/>
      <c r="AI764" s="48"/>
      <c r="AJ764" s="11"/>
      <c r="AK764" s="48"/>
      <c r="AL764" s="11"/>
      <c r="AM764" s="49"/>
      <c r="AN764" s="49"/>
      <c r="AO764" s="11"/>
      <c r="AP764" s="11"/>
      <c r="AQ764" s="28" t="b">
        <f>IF(COUNTIF(SmartStatus!A$2:A1000, AM764) &gt; 2, TRUE, FALSE)</f>
        <v>0</v>
      </c>
      <c r="AR764" s="29" t="str">
        <f ca="1">IFERROR(__xludf.DUMMYFUNCTION("iferror(if(regexmatch(AO764, ""(?i)^registered""), if(EE764 &lt;&gt; ""polity_shortest_name"", ""CHECK_POLITY"", index(filter(SmartStatus!B$2:B1000, AM764 = SmartStatus!A$2:A1000, not(SmartStatus!C$2:C1000), (isblank(SmartStatus!D$2:D1000)) + ((P764 &lt;&gt; """") * "&amp;"(P764 &lt; SmartStatus!D$2:D1000)), (isblank(SmartStatus!E$2:E1000)) + ((P764 &lt;&gt; """") * (P764 &gt;= SmartStatus!E$2:E1000)), (isblank(SmartStatus!F$2:F1000)) + (((Q764 &lt;&gt; """") * (Q764 &lt; SmartStatus!F$2:F1000)) + ((P764 &lt;&gt; """") * (date(year(P764) + 3, month(P"&amp;"764), day(P764)) &lt; SmartStatus!F$2:F1000))), (isblank(SmartStatus!G$2:G1000)) + (((Q764 &lt;&gt; """") * (Q764 &gt;= SmartStatus!G$2:G1000)) + ((P764 &lt;&gt; """") * (P764 &gt;= SmartStatus!G$2:G1000)))), if(or(regexmatch(B764, ""(?i)^ir [a-z]+ designation$""), N764 &lt;&gt; """&amp;"""), 1, 2))), """"), ""NO_MATCH"")"),"")</f>
        <v/>
      </c>
      <c r="AS764" s="11"/>
      <c r="AT764" s="15"/>
      <c r="AU764" s="11"/>
      <c r="AV764" s="11"/>
      <c r="AW764" s="15"/>
      <c r="AX764" s="15"/>
      <c r="AY764" s="15"/>
      <c r="AZ764" s="11"/>
      <c r="BA764" s="15"/>
      <c r="BB764" s="11"/>
      <c r="BC764" s="11"/>
      <c r="BD764" s="15"/>
      <c r="BE764" s="11"/>
      <c r="BF764" s="11"/>
      <c r="BG764" s="15"/>
      <c r="BH764" s="15"/>
      <c r="BI764" s="15"/>
      <c r="BJ764" s="11"/>
      <c r="BK764" s="15"/>
      <c r="BL764" s="11"/>
      <c r="BM764" s="11"/>
      <c r="BN764" s="15"/>
      <c r="BO764" s="11"/>
      <c r="BP764" s="11"/>
      <c r="BQ764" s="15"/>
      <c r="BR764" s="15"/>
      <c r="BS764" s="15"/>
      <c r="BT764" s="11"/>
      <c r="BU764" s="15"/>
      <c r="BV764" s="11"/>
      <c r="BW764" s="11"/>
      <c r="BX764" s="15"/>
      <c r="BY764" s="11"/>
      <c r="BZ764" s="11"/>
      <c r="CA764" s="15"/>
      <c r="CB764" s="11"/>
      <c r="CC764" s="15"/>
      <c r="CD764" s="11"/>
      <c r="CE764" s="15"/>
      <c r="CF764" s="11"/>
      <c r="CG764" s="11"/>
      <c r="CH764" s="15"/>
      <c r="CI764" s="11"/>
      <c r="CJ764" s="11"/>
      <c r="CK764" s="15"/>
      <c r="CL764" s="11"/>
      <c r="CM764" s="11"/>
      <c r="CN764" s="11"/>
      <c r="CO764" s="11"/>
      <c r="CP764" s="28"/>
      <c r="CQ764" s="28"/>
      <c r="CR764" s="11"/>
      <c r="CS764" s="29"/>
      <c r="CT764" s="11"/>
      <c r="CU764" s="11"/>
      <c r="CV764" s="11"/>
      <c r="CW764" s="11"/>
      <c r="CX764" s="11"/>
      <c r="CY764" s="11"/>
      <c r="CZ764" s="11"/>
      <c r="DA764" s="28"/>
      <c r="DB764" s="28"/>
      <c r="DC764" s="11"/>
      <c r="DD764" s="29"/>
      <c r="DE764" s="11"/>
      <c r="DF764" s="11"/>
      <c r="DG764" s="11"/>
      <c r="DH764" s="11"/>
      <c r="DI764" s="11"/>
      <c r="DJ764" s="11"/>
      <c r="DK764" s="26"/>
      <c r="DL764" s="11"/>
      <c r="DM764" s="29"/>
      <c r="DN764" s="28"/>
      <c r="DO764" s="11"/>
      <c r="DP764" s="11"/>
      <c r="DQ764" s="11"/>
      <c r="DR764" s="29"/>
      <c r="DS764" s="28"/>
      <c r="DT764" s="11"/>
      <c r="DU764" s="26"/>
      <c r="DV764" s="11"/>
      <c r="DW764" s="29"/>
      <c r="DX764" s="28"/>
      <c r="DY764" s="11"/>
      <c r="DZ764" s="26"/>
      <c r="EA764" s="11"/>
      <c r="EB764" s="29"/>
      <c r="EC764" s="28"/>
      <c r="ED764" s="30"/>
      <c r="EE764" s="30" t="str">
        <f ca="1">IFERROR(__xludf.DUMMYFUNCTION("iferror(index(filter('Internal -- Trademark Countries'!E$2:E1000, (AM764 = 'Internal -- Trademark Countries'!B$2:B1000) + (AM764 = 'Internal -- Trademark Countries'!C$2:C1000) + (AM764 = 'Internal -- Trademark Countries'!D$2:D1000)), 1))"),"")</f>
        <v/>
      </c>
      <c r="EF764" s="30" t="e">
        <f ca="1">_xludf.ifs(AM764="", "", COUNTIF('Internal -- Trademark Countries'!B:B,AM764) &gt; 0, "polity_shortest_name", COUNTIF('Internal -- Trademark Countries'!C:C,AM764) &gt; 0, "polity_full_name", COUNTIF('Internal -- Trademark Countries'!D:D,AM764) &gt; 0, "polity_common_name", COUNTIF('Internal -- Trademark Countries'!E:E,AM764) &gt; 0, "shortest_name", COUNTIF('Internal -- Trademark Countries'!A:A,AM764) &gt; 0, "full_name", TRUE, "not a match")</f>
        <v>#NAME?</v>
      </c>
      <c r="EG764" s="30"/>
      <c r="EH764" s="30"/>
      <c r="EI764" s="30"/>
      <c r="EJ764" s="30"/>
      <c r="EK764" s="30" t="str">
        <f t="shared" si="4"/>
        <v/>
      </c>
    </row>
    <row r="765" spans="1:141" ht="16.5">
      <c r="A765" s="11"/>
      <c r="B765" s="11"/>
      <c r="C765" s="11"/>
      <c r="D765" s="11"/>
      <c r="E765" s="11"/>
      <c r="F765" s="11"/>
      <c r="G765" s="11"/>
      <c r="H765" s="11"/>
      <c r="I765" s="11"/>
      <c r="J765" s="11"/>
      <c r="K765" s="27"/>
      <c r="L765" s="11"/>
      <c r="M765" s="11"/>
      <c r="N765" s="11"/>
      <c r="O765" s="11"/>
      <c r="P765" s="15"/>
      <c r="Q765" s="15"/>
      <c r="R765" s="15"/>
      <c r="S765" s="15"/>
      <c r="T765" s="15"/>
      <c r="U765" s="15"/>
      <c r="V765" s="15"/>
      <c r="W765" s="47"/>
      <c r="X765" s="11"/>
      <c r="Y765" s="48"/>
      <c r="Z765" s="11"/>
      <c r="AA765" s="48"/>
      <c r="AB765" s="11"/>
      <c r="AC765" s="48"/>
      <c r="AD765" s="11"/>
      <c r="AE765" s="47"/>
      <c r="AF765" s="11"/>
      <c r="AG765" s="48"/>
      <c r="AH765" s="11"/>
      <c r="AI765" s="48"/>
      <c r="AJ765" s="11"/>
      <c r="AK765" s="48"/>
      <c r="AL765" s="11"/>
      <c r="AM765" s="49"/>
      <c r="AN765" s="49"/>
      <c r="AO765" s="11"/>
      <c r="AP765" s="11"/>
      <c r="AQ765" s="28" t="b">
        <f>IF(COUNTIF(SmartStatus!A$2:A1000, AM765) &gt; 2, TRUE, FALSE)</f>
        <v>0</v>
      </c>
      <c r="AR765" s="29" t="str">
        <f ca="1">IFERROR(__xludf.DUMMYFUNCTION("iferror(if(regexmatch(AO765, ""(?i)^registered""), if(EE765 &lt;&gt; ""polity_shortest_name"", ""CHECK_POLITY"", index(filter(SmartStatus!B$2:B1000, AM765 = SmartStatus!A$2:A1000, not(SmartStatus!C$2:C1000), (isblank(SmartStatus!D$2:D1000)) + ((P765 &lt;&gt; """") * "&amp;"(P765 &lt; SmartStatus!D$2:D1000)), (isblank(SmartStatus!E$2:E1000)) + ((P765 &lt;&gt; """") * (P765 &gt;= SmartStatus!E$2:E1000)), (isblank(SmartStatus!F$2:F1000)) + (((Q765 &lt;&gt; """") * (Q765 &lt; SmartStatus!F$2:F1000)) + ((P765 &lt;&gt; """") * (date(year(P765) + 3, month(P"&amp;"765), day(P765)) &lt; SmartStatus!F$2:F1000))), (isblank(SmartStatus!G$2:G1000)) + (((Q765 &lt;&gt; """") * (Q765 &gt;= SmartStatus!G$2:G1000)) + ((P765 &lt;&gt; """") * (P765 &gt;= SmartStatus!G$2:G1000)))), if(or(regexmatch(B765, ""(?i)^ir [a-z]+ designation$""), N765 &lt;&gt; """&amp;"""), 1, 2))), """"), ""NO_MATCH"")"),"")</f>
        <v/>
      </c>
      <c r="AS765" s="11"/>
      <c r="AT765" s="15"/>
      <c r="AU765" s="11"/>
      <c r="AV765" s="11"/>
      <c r="AW765" s="15"/>
      <c r="AX765" s="15"/>
      <c r="AY765" s="15"/>
      <c r="AZ765" s="11"/>
      <c r="BA765" s="15"/>
      <c r="BB765" s="11"/>
      <c r="BC765" s="11"/>
      <c r="BD765" s="15"/>
      <c r="BE765" s="11"/>
      <c r="BF765" s="11"/>
      <c r="BG765" s="15"/>
      <c r="BH765" s="15"/>
      <c r="BI765" s="15"/>
      <c r="BJ765" s="11"/>
      <c r="BK765" s="15"/>
      <c r="BL765" s="11"/>
      <c r="BM765" s="11"/>
      <c r="BN765" s="15"/>
      <c r="BO765" s="11"/>
      <c r="BP765" s="11"/>
      <c r="BQ765" s="15"/>
      <c r="BR765" s="15"/>
      <c r="BS765" s="15"/>
      <c r="BT765" s="11"/>
      <c r="BU765" s="15"/>
      <c r="BV765" s="11"/>
      <c r="BW765" s="11"/>
      <c r="BX765" s="15"/>
      <c r="BY765" s="11"/>
      <c r="BZ765" s="11"/>
      <c r="CA765" s="15"/>
      <c r="CB765" s="11"/>
      <c r="CC765" s="15"/>
      <c r="CD765" s="11"/>
      <c r="CE765" s="15"/>
      <c r="CF765" s="11"/>
      <c r="CG765" s="11"/>
      <c r="CH765" s="15"/>
      <c r="CI765" s="11"/>
      <c r="CJ765" s="11"/>
      <c r="CK765" s="15"/>
      <c r="CL765" s="11"/>
      <c r="CM765" s="11"/>
      <c r="CN765" s="11"/>
      <c r="CO765" s="11"/>
      <c r="CP765" s="28"/>
      <c r="CQ765" s="28"/>
      <c r="CR765" s="11"/>
      <c r="CS765" s="29"/>
      <c r="CT765" s="11"/>
      <c r="CU765" s="11"/>
      <c r="CV765" s="11"/>
      <c r="CW765" s="11"/>
      <c r="CX765" s="11"/>
      <c r="CY765" s="11"/>
      <c r="CZ765" s="11"/>
      <c r="DA765" s="28"/>
      <c r="DB765" s="28"/>
      <c r="DC765" s="11"/>
      <c r="DD765" s="29"/>
      <c r="DE765" s="11"/>
      <c r="DF765" s="11"/>
      <c r="DG765" s="11"/>
      <c r="DH765" s="11"/>
      <c r="DI765" s="11"/>
      <c r="DJ765" s="11"/>
      <c r="DK765" s="26"/>
      <c r="DL765" s="11"/>
      <c r="DM765" s="29"/>
      <c r="DN765" s="28"/>
      <c r="DO765" s="11"/>
      <c r="DP765" s="11"/>
      <c r="DQ765" s="11"/>
      <c r="DR765" s="29"/>
      <c r="DS765" s="28"/>
      <c r="DT765" s="11"/>
      <c r="DU765" s="26"/>
      <c r="DV765" s="11"/>
      <c r="DW765" s="29"/>
      <c r="DX765" s="28"/>
      <c r="DY765" s="11"/>
      <c r="DZ765" s="26"/>
      <c r="EA765" s="11"/>
      <c r="EB765" s="29"/>
      <c r="EC765" s="28"/>
      <c r="ED765" s="30"/>
      <c r="EE765" s="30" t="str">
        <f ca="1">IFERROR(__xludf.DUMMYFUNCTION("iferror(index(filter('Internal -- Trademark Countries'!E$2:E1000, (AM765 = 'Internal -- Trademark Countries'!B$2:B1000) + (AM765 = 'Internal -- Trademark Countries'!C$2:C1000) + (AM765 = 'Internal -- Trademark Countries'!D$2:D1000)), 1))"),"")</f>
        <v/>
      </c>
      <c r="EF765" s="30" t="e">
        <f ca="1">_xludf.ifs(AM765="", "", COUNTIF('Internal -- Trademark Countries'!B:B,AM765) &gt; 0, "polity_shortest_name", COUNTIF('Internal -- Trademark Countries'!C:C,AM765) &gt; 0, "polity_full_name", COUNTIF('Internal -- Trademark Countries'!D:D,AM765) &gt; 0, "polity_common_name", COUNTIF('Internal -- Trademark Countries'!E:E,AM765) &gt; 0, "shortest_name", COUNTIF('Internal -- Trademark Countries'!A:A,AM765) &gt; 0, "full_name", TRUE, "not a match")</f>
        <v>#NAME?</v>
      </c>
      <c r="EG765" s="30"/>
      <c r="EH765" s="30"/>
      <c r="EI765" s="30"/>
      <c r="EJ765" s="30"/>
      <c r="EK765" s="30" t="str">
        <f t="shared" si="4"/>
        <v/>
      </c>
    </row>
    <row r="766" spans="1:141" ht="16.5">
      <c r="A766" s="11"/>
      <c r="B766" s="11"/>
      <c r="C766" s="11"/>
      <c r="D766" s="11"/>
      <c r="E766" s="11"/>
      <c r="F766" s="11"/>
      <c r="G766" s="11"/>
      <c r="H766" s="11"/>
      <c r="I766" s="11"/>
      <c r="J766" s="11"/>
      <c r="K766" s="27"/>
      <c r="L766" s="11"/>
      <c r="M766" s="11"/>
      <c r="N766" s="11"/>
      <c r="O766" s="11"/>
      <c r="P766" s="15"/>
      <c r="Q766" s="15"/>
      <c r="R766" s="15"/>
      <c r="S766" s="15"/>
      <c r="T766" s="15"/>
      <c r="U766" s="15"/>
      <c r="V766" s="15"/>
      <c r="W766" s="47"/>
      <c r="X766" s="11"/>
      <c r="Y766" s="48"/>
      <c r="Z766" s="11"/>
      <c r="AA766" s="48"/>
      <c r="AB766" s="11"/>
      <c r="AC766" s="48"/>
      <c r="AD766" s="11"/>
      <c r="AE766" s="47"/>
      <c r="AF766" s="11"/>
      <c r="AG766" s="48"/>
      <c r="AH766" s="11"/>
      <c r="AI766" s="48"/>
      <c r="AJ766" s="11"/>
      <c r="AK766" s="48"/>
      <c r="AL766" s="11"/>
      <c r="AM766" s="49"/>
      <c r="AN766" s="49"/>
      <c r="AO766" s="11"/>
      <c r="AP766" s="11"/>
      <c r="AQ766" s="28" t="b">
        <f>IF(COUNTIF(SmartStatus!A$2:A1000, AM766) &gt; 2, TRUE, FALSE)</f>
        <v>0</v>
      </c>
      <c r="AR766" s="29" t="str">
        <f ca="1">IFERROR(__xludf.DUMMYFUNCTION("iferror(if(regexmatch(AO766, ""(?i)^registered""), if(EE766 &lt;&gt; ""polity_shortest_name"", ""CHECK_POLITY"", index(filter(SmartStatus!B$2:B1000, AM766 = SmartStatus!A$2:A1000, not(SmartStatus!C$2:C1000), (isblank(SmartStatus!D$2:D1000)) + ((P766 &lt;&gt; """") * "&amp;"(P766 &lt; SmartStatus!D$2:D1000)), (isblank(SmartStatus!E$2:E1000)) + ((P766 &lt;&gt; """") * (P766 &gt;= SmartStatus!E$2:E1000)), (isblank(SmartStatus!F$2:F1000)) + (((Q766 &lt;&gt; """") * (Q766 &lt; SmartStatus!F$2:F1000)) + ((P766 &lt;&gt; """") * (date(year(P766) + 3, month(P"&amp;"766), day(P766)) &lt; SmartStatus!F$2:F1000))), (isblank(SmartStatus!G$2:G1000)) + (((Q766 &lt;&gt; """") * (Q766 &gt;= SmartStatus!G$2:G1000)) + ((P766 &lt;&gt; """") * (P766 &gt;= SmartStatus!G$2:G1000)))), if(or(regexmatch(B766, ""(?i)^ir [a-z]+ designation$""), N766 &lt;&gt; """&amp;"""), 1, 2))), """"), ""NO_MATCH"")"),"")</f>
        <v/>
      </c>
      <c r="AS766" s="11"/>
      <c r="AT766" s="15"/>
      <c r="AU766" s="11"/>
      <c r="AV766" s="11"/>
      <c r="AW766" s="15"/>
      <c r="AX766" s="15"/>
      <c r="AY766" s="15"/>
      <c r="AZ766" s="11"/>
      <c r="BA766" s="15"/>
      <c r="BB766" s="11"/>
      <c r="BC766" s="11"/>
      <c r="BD766" s="15"/>
      <c r="BE766" s="11"/>
      <c r="BF766" s="11"/>
      <c r="BG766" s="15"/>
      <c r="BH766" s="15"/>
      <c r="BI766" s="15"/>
      <c r="BJ766" s="11"/>
      <c r="BK766" s="15"/>
      <c r="BL766" s="11"/>
      <c r="BM766" s="11"/>
      <c r="BN766" s="15"/>
      <c r="BO766" s="11"/>
      <c r="BP766" s="11"/>
      <c r="BQ766" s="15"/>
      <c r="BR766" s="15"/>
      <c r="BS766" s="15"/>
      <c r="BT766" s="11"/>
      <c r="BU766" s="15"/>
      <c r="BV766" s="11"/>
      <c r="BW766" s="11"/>
      <c r="BX766" s="15"/>
      <c r="BY766" s="11"/>
      <c r="BZ766" s="11"/>
      <c r="CA766" s="15"/>
      <c r="CB766" s="11"/>
      <c r="CC766" s="15"/>
      <c r="CD766" s="11"/>
      <c r="CE766" s="15"/>
      <c r="CF766" s="11"/>
      <c r="CG766" s="11"/>
      <c r="CH766" s="15"/>
      <c r="CI766" s="11"/>
      <c r="CJ766" s="11"/>
      <c r="CK766" s="15"/>
      <c r="CL766" s="11"/>
      <c r="CM766" s="11"/>
      <c r="CN766" s="11"/>
      <c r="CO766" s="11"/>
      <c r="CP766" s="28"/>
      <c r="CQ766" s="28"/>
      <c r="CR766" s="11"/>
      <c r="CS766" s="29"/>
      <c r="CT766" s="11"/>
      <c r="CU766" s="11"/>
      <c r="CV766" s="11"/>
      <c r="CW766" s="11"/>
      <c r="CX766" s="11"/>
      <c r="CY766" s="11"/>
      <c r="CZ766" s="11"/>
      <c r="DA766" s="28"/>
      <c r="DB766" s="28"/>
      <c r="DC766" s="11"/>
      <c r="DD766" s="29"/>
      <c r="DE766" s="11"/>
      <c r="DF766" s="11"/>
      <c r="DG766" s="11"/>
      <c r="DH766" s="11"/>
      <c r="DI766" s="11"/>
      <c r="DJ766" s="11"/>
      <c r="DK766" s="26"/>
      <c r="DL766" s="11"/>
      <c r="DM766" s="29"/>
      <c r="DN766" s="28"/>
      <c r="DO766" s="11"/>
      <c r="DP766" s="11"/>
      <c r="DQ766" s="11"/>
      <c r="DR766" s="29"/>
      <c r="DS766" s="28"/>
      <c r="DT766" s="11"/>
      <c r="DU766" s="26"/>
      <c r="DV766" s="11"/>
      <c r="DW766" s="29"/>
      <c r="DX766" s="28"/>
      <c r="DY766" s="11"/>
      <c r="DZ766" s="26"/>
      <c r="EA766" s="11"/>
      <c r="EB766" s="29"/>
      <c r="EC766" s="28"/>
      <c r="ED766" s="30"/>
      <c r="EE766" s="30" t="str">
        <f ca="1">IFERROR(__xludf.DUMMYFUNCTION("iferror(index(filter('Internal -- Trademark Countries'!E$2:E1000, (AM766 = 'Internal -- Trademark Countries'!B$2:B1000) + (AM766 = 'Internal -- Trademark Countries'!C$2:C1000) + (AM766 = 'Internal -- Trademark Countries'!D$2:D1000)), 1))"),"")</f>
        <v/>
      </c>
      <c r="EF766" s="30" t="e">
        <f ca="1">_xludf.ifs(AM766="", "", COUNTIF('Internal -- Trademark Countries'!B:B,AM766) &gt; 0, "polity_shortest_name", COUNTIF('Internal -- Trademark Countries'!C:C,AM766) &gt; 0, "polity_full_name", COUNTIF('Internal -- Trademark Countries'!D:D,AM766) &gt; 0, "polity_common_name", COUNTIF('Internal -- Trademark Countries'!E:E,AM766) &gt; 0, "shortest_name", COUNTIF('Internal -- Trademark Countries'!A:A,AM766) &gt; 0, "full_name", TRUE, "not a match")</f>
        <v>#NAME?</v>
      </c>
      <c r="EG766" s="30"/>
      <c r="EH766" s="30"/>
      <c r="EI766" s="30"/>
      <c r="EJ766" s="30"/>
      <c r="EK766" s="30" t="str">
        <f t="shared" si="4"/>
        <v/>
      </c>
    </row>
    <row r="767" spans="1:141" ht="16.5">
      <c r="A767" s="11"/>
      <c r="B767" s="11"/>
      <c r="C767" s="11"/>
      <c r="D767" s="11"/>
      <c r="E767" s="11"/>
      <c r="F767" s="11"/>
      <c r="G767" s="11"/>
      <c r="H767" s="11"/>
      <c r="I767" s="11"/>
      <c r="J767" s="11"/>
      <c r="K767" s="27"/>
      <c r="L767" s="11"/>
      <c r="M767" s="11"/>
      <c r="N767" s="11"/>
      <c r="O767" s="11"/>
      <c r="P767" s="15"/>
      <c r="Q767" s="15"/>
      <c r="R767" s="15"/>
      <c r="S767" s="15"/>
      <c r="T767" s="15"/>
      <c r="U767" s="15"/>
      <c r="V767" s="15"/>
      <c r="W767" s="47"/>
      <c r="X767" s="11"/>
      <c r="Y767" s="48"/>
      <c r="Z767" s="11"/>
      <c r="AA767" s="48"/>
      <c r="AB767" s="11"/>
      <c r="AC767" s="48"/>
      <c r="AD767" s="11"/>
      <c r="AE767" s="47"/>
      <c r="AF767" s="11"/>
      <c r="AG767" s="48"/>
      <c r="AH767" s="11"/>
      <c r="AI767" s="48"/>
      <c r="AJ767" s="11"/>
      <c r="AK767" s="48"/>
      <c r="AL767" s="11"/>
      <c r="AM767" s="49"/>
      <c r="AN767" s="49"/>
      <c r="AO767" s="11"/>
      <c r="AP767" s="11"/>
      <c r="AQ767" s="28" t="b">
        <f>IF(COUNTIF(SmartStatus!A$2:A1000, AM767) &gt; 2, TRUE, FALSE)</f>
        <v>0</v>
      </c>
      <c r="AR767" s="29" t="str">
        <f ca="1">IFERROR(__xludf.DUMMYFUNCTION("iferror(if(regexmatch(AO767, ""(?i)^registered""), if(EE767 &lt;&gt; ""polity_shortest_name"", ""CHECK_POLITY"", index(filter(SmartStatus!B$2:B1000, AM767 = SmartStatus!A$2:A1000, not(SmartStatus!C$2:C1000), (isblank(SmartStatus!D$2:D1000)) + ((P767 &lt;&gt; """") * "&amp;"(P767 &lt; SmartStatus!D$2:D1000)), (isblank(SmartStatus!E$2:E1000)) + ((P767 &lt;&gt; """") * (P767 &gt;= SmartStatus!E$2:E1000)), (isblank(SmartStatus!F$2:F1000)) + (((Q767 &lt;&gt; """") * (Q767 &lt; SmartStatus!F$2:F1000)) + ((P767 &lt;&gt; """") * (date(year(P767) + 3, month(P"&amp;"767), day(P767)) &lt; SmartStatus!F$2:F1000))), (isblank(SmartStatus!G$2:G1000)) + (((Q767 &lt;&gt; """") * (Q767 &gt;= SmartStatus!G$2:G1000)) + ((P767 &lt;&gt; """") * (P767 &gt;= SmartStatus!G$2:G1000)))), if(or(regexmatch(B767, ""(?i)^ir [a-z]+ designation$""), N767 &lt;&gt; """&amp;"""), 1, 2))), """"), ""NO_MATCH"")"),"")</f>
        <v/>
      </c>
      <c r="AS767" s="11"/>
      <c r="AT767" s="15"/>
      <c r="AU767" s="11"/>
      <c r="AV767" s="11"/>
      <c r="AW767" s="15"/>
      <c r="AX767" s="15"/>
      <c r="AY767" s="15"/>
      <c r="AZ767" s="11"/>
      <c r="BA767" s="15"/>
      <c r="BB767" s="11"/>
      <c r="BC767" s="11"/>
      <c r="BD767" s="15"/>
      <c r="BE767" s="11"/>
      <c r="BF767" s="11"/>
      <c r="BG767" s="15"/>
      <c r="BH767" s="15"/>
      <c r="BI767" s="15"/>
      <c r="BJ767" s="11"/>
      <c r="BK767" s="15"/>
      <c r="BL767" s="11"/>
      <c r="BM767" s="11"/>
      <c r="BN767" s="15"/>
      <c r="BO767" s="11"/>
      <c r="BP767" s="11"/>
      <c r="BQ767" s="15"/>
      <c r="BR767" s="15"/>
      <c r="BS767" s="15"/>
      <c r="BT767" s="11"/>
      <c r="BU767" s="15"/>
      <c r="BV767" s="11"/>
      <c r="BW767" s="11"/>
      <c r="BX767" s="15"/>
      <c r="BY767" s="11"/>
      <c r="BZ767" s="11"/>
      <c r="CA767" s="15"/>
      <c r="CB767" s="11"/>
      <c r="CC767" s="15"/>
      <c r="CD767" s="11"/>
      <c r="CE767" s="15"/>
      <c r="CF767" s="11"/>
      <c r="CG767" s="11"/>
      <c r="CH767" s="15"/>
      <c r="CI767" s="11"/>
      <c r="CJ767" s="11"/>
      <c r="CK767" s="15"/>
      <c r="CL767" s="11"/>
      <c r="CM767" s="11"/>
      <c r="CN767" s="11"/>
      <c r="CO767" s="11"/>
      <c r="CP767" s="28"/>
      <c r="CQ767" s="28"/>
      <c r="CR767" s="11"/>
      <c r="CS767" s="29"/>
      <c r="CT767" s="11"/>
      <c r="CU767" s="11"/>
      <c r="CV767" s="11"/>
      <c r="CW767" s="11"/>
      <c r="CX767" s="11"/>
      <c r="CY767" s="11"/>
      <c r="CZ767" s="11"/>
      <c r="DA767" s="28"/>
      <c r="DB767" s="28"/>
      <c r="DC767" s="11"/>
      <c r="DD767" s="29"/>
      <c r="DE767" s="11"/>
      <c r="DF767" s="11"/>
      <c r="DG767" s="11"/>
      <c r="DH767" s="11"/>
      <c r="DI767" s="11"/>
      <c r="DJ767" s="11"/>
      <c r="DK767" s="26"/>
      <c r="DL767" s="11"/>
      <c r="DM767" s="29"/>
      <c r="DN767" s="28"/>
      <c r="DO767" s="11"/>
      <c r="DP767" s="11"/>
      <c r="DQ767" s="11"/>
      <c r="DR767" s="29"/>
      <c r="DS767" s="28"/>
      <c r="DT767" s="11"/>
      <c r="DU767" s="26"/>
      <c r="DV767" s="11"/>
      <c r="DW767" s="29"/>
      <c r="DX767" s="28"/>
      <c r="DY767" s="11"/>
      <c r="DZ767" s="26"/>
      <c r="EA767" s="11"/>
      <c r="EB767" s="29"/>
      <c r="EC767" s="28"/>
      <c r="ED767" s="30"/>
      <c r="EE767" s="30" t="str">
        <f ca="1">IFERROR(__xludf.DUMMYFUNCTION("iferror(index(filter('Internal -- Trademark Countries'!E$2:E1000, (AM767 = 'Internal -- Trademark Countries'!B$2:B1000) + (AM767 = 'Internal -- Trademark Countries'!C$2:C1000) + (AM767 = 'Internal -- Trademark Countries'!D$2:D1000)), 1))"),"")</f>
        <v/>
      </c>
      <c r="EF767" s="30" t="e">
        <f ca="1">_xludf.ifs(AM767="", "", COUNTIF('Internal -- Trademark Countries'!B:B,AM767) &gt; 0, "polity_shortest_name", COUNTIF('Internal -- Trademark Countries'!C:C,AM767) &gt; 0, "polity_full_name", COUNTIF('Internal -- Trademark Countries'!D:D,AM767) &gt; 0, "polity_common_name", COUNTIF('Internal -- Trademark Countries'!E:E,AM767) &gt; 0, "shortest_name", COUNTIF('Internal -- Trademark Countries'!A:A,AM767) &gt; 0, "full_name", TRUE, "not a match")</f>
        <v>#NAME?</v>
      </c>
      <c r="EG767" s="30"/>
      <c r="EH767" s="30"/>
      <c r="EI767" s="30"/>
      <c r="EJ767" s="30"/>
      <c r="EK767" s="30" t="str">
        <f t="shared" ref="EK767:EK1000" si="5">IF(AT767="","",IF(AT767&lt;DATE(2000,1,1),"20th Century Deadline 1",IF(AT767&gt;DATE(2099,12,31),"22nd Century Deadline 1","")))</f>
        <v/>
      </c>
    </row>
    <row r="768" spans="1:141" ht="16.5">
      <c r="A768" s="11"/>
      <c r="B768" s="11"/>
      <c r="C768" s="11"/>
      <c r="D768" s="11"/>
      <c r="E768" s="11"/>
      <c r="F768" s="11"/>
      <c r="G768" s="11"/>
      <c r="H768" s="11"/>
      <c r="I768" s="11"/>
      <c r="J768" s="11"/>
      <c r="K768" s="27"/>
      <c r="L768" s="11"/>
      <c r="M768" s="11"/>
      <c r="N768" s="11"/>
      <c r="O768" s="11"/>
      <c r="P768" s="15"/>
      <c r="Q768" s="15"/>
      <c r="R768" s="15"/>
      <c r="S768" s="15"/>
      <c r="T768" s="15"/>
      <c r="U768" s="15"/>
      <c r="V768" s="15"/>
      <c r="W768" s="47"/>
      <c r="X768" s="11"/>
      <c r="Y768" s="48"/>
      <c r="Z768" s="11"/>
      <c r="AA768" s="48"/>
      <c r="AB768" s="11"/>
      <c r="AC768" s="48"/>
      <c r="AD768" s="11"/>
      <c r="AE768" s="47"/>
      <c r="AF768" s="11"/>
      <c r="AG768" s="48"/>
      <c r="AH768" s="11"/>
      <c r="AI768" s="48"/>
      <c r="AJ768" s="11"/>
      <c r="AK768" s="48"/>
      <c r="AL768" s="11"/>
      <c r="AM768" s="49"/>
      <c r="AN768" s="49"/>
      <c r="AO768" s="11"/>
      <c r="AP768" s="11"/>
      <c r="AQ768" s="28" t="b">
        <f>IF(COUNTIF(SmartStatus!A$2:A1000, AM768) &gt; 2, TRUE, FALSE)</f>
        <v>0</v>
      </c>
      <c r="AR768" s="29" t="str">
        <f ca="1">IFERROR(__xludf.DUMMYFUNCTION("iferror(if(regexmatch(AO768, ""(?i)^registered""), if(EE768 &lt;&gt; ""polity_shortest_name"", ""CHECK_POLITY"", index(filter(SmartStatus!B$2:B1000, AM768 = SmartStatus!A$2:A1000, not(SmartStatus!C$2:C1000), (isblank(SmartStatus!D$2:D1000)) + ((P768 &lt;&gt; """") * "&amp;"(P768 &lt; SmartStatus!D$2:D1000)), (isblank(SmartStatus!E$2:E1000)) + ((P768 &lt;&gt; """") * (P768 &gt;= SmartStatus!E$2:E1000)), (isblank(SmartStatus!F$2:F1000)) + (((Q768 &lt;&gt; """") * (Q768 &lt; SmartStatus!F$2:F1000)) + ((P768 &lt;&gt; """") * (date(year(P768) + 3, month(P"&amp;"768), day(P768)) &lt; SmartStatus!F$2:F1000))), (isblank(SmartStatus!G$2:G1000)) + (((Q768 &lt;&gt; """") * (Q768 &gt;= SmartStatus!G$2:G1000)) + ((P768 &lt;&gt; """") * (P768 &gt;= SmartStatus!G$2:G1000)))), if(or(regexmatch(B768, ""(?i)^ir [a-z]+ designation$""), N768 &lt;&gt; """&amp;"""), 1, 2))), """"), ""NO_MATCH"")"),"")</f>
        <v/>
      </c>
      <c r="AS768" s="11"/>
      <c r="AT768" s="15"/>
      <c r="AU768" s="11"/>
      <c r="AV768" s="11"/>
      <c r="AW768" s="15"/>
      <c r="AX768" s="15"/>
      <c r="AY768" s="15"/>
      <c r="AZ768" s="11"/>
      <c r="BA768" s="15"/>
      <c r="BB768" s="11"/>
      <c r="BC768" s="11"/>
      <c r="BD768" s="15"/>
      <c r="BE768" s="11"/>
      <c r="BF768" s="11"/>
      <c r="BG768" s="15"/>
      <c r="BH768" s="15"/>
      <c r="BI768" s="15"/>
      <c r="BJ768" s="11"/>
      <c r="BK768" s="15"/>
      <c r="BL768" s="11"/>
      <c r="BM768" s="11"/>
      <c r="BN768" s="15"/>
      <c r="BO768" s="11"/>
      <c r="BP768" s="11"/>
      <c r="BQ768" s="15"/>
      <c r="BR768" s="15"/>
      <c r="BS768" s="15"/>
      <c r="BT768" s="11"/>
      <c r="BU768" s="15"/>
      <c r="BV768" s="11"/>
      <c r="BW768" s="11"/>
      <c r="BX768" s="15"/>
      <c r="BY768" s="11"/>
      <c r="BZ768" s="11"/>
      <c r="CA768" s="15"/>
      <c r="CB768" s="11"/>
      <c r="CC768" s="15"/>
      <c r="CD768" s="11"/>
      <c r="CE768" s="15"/>
      <c r="CF768" s="11"/>
      <c r="CG768" s="11"/>
      <c r="CH768" s="15"/>
      <c r="CI768" s="11"/>
      <c r="CJ768" s="11"/>
      <c r="CK768" s="15"/>
      <c r="CL768" s="11"/>
      <c r="CM768" s="11"/>
      <c r="CN768" s="11"/>
      <c r="CO768" s="11"/>
      <c r="CP768" s="28"/>
      <c r="CQ768" s="28"/>
      <c r="CR768" s="11"/>
      <c r="CS768" s="29"/>
      <c r="CT768" s="11"/>
      <c r="CU768" s="11"/>
      <c r="CV768" s="11"/>
      <c r="CW768" s="11"/>
      <c r="CX768" s="11"/>
      <c r="CY768" s="11"/>
      <c r="CZ768" s="11"/>
      <c r="DA768" s="28"/>
      <c r="DB768" s="28"/>
      <c r="DC768" s="11"/>
      <c r="DD768" s="29"/>
      <c r="DE768" s="11"/>
      <c r="DF768" s="11"/>
      <c r="DG768" s="11"/>
      <c r="DH768" s="11"/>
      <c r="DI768" s="11"/>
      <c r="DJ768" s="11"/>
      <c r="DK768" s="26"/>
      <c r="DL768" s="11"/>
      <c r="DM768" s="29"/>
      <c r="DN768" s="28"/>
      <c r="DO768" s="11"/>
      <c r="DP768" s="11"/>
      <c r="DQ768" s="11"/>
      <c r="DR768" s="29"/>
      <c r="DS768" s="28"/>
      <c r="DT768" s="11"/>
      <c r="DU768" s="26"/>
      <c r="DV768" s="11"/>
      <c r="DW768" s="29"/>
      <c r="DX768" s="28"/>
      <c r="DY768" s="11"/>
      <c r="DZ768" s="26"/>
      <c r="EA768" s="11"/>
      <c r="EB768" s="29"/>
      <c r="EC768" s="28"/>
      <c r="ED768" s="30"/>
      <c r="EE768" s="30" t="str">
        <f ca="1">IFERROR(__xludf.DUMMYFUNCTION("iferror(index(filter('Internal -- Trademark Countries'!E$2:E1000, (AM768 = 'Internal -- Trademark Countries'!B$2:B1000) + (AM768 = 'Internal -- Trademark Countries'!C$2:C1000) + (AM768 = 'Internal -- Trademark Countries'!D$2:D1000)), 1))"),"")</f>
        <v/>
      </c>
      <c r="EF768" s="30" t="e">
        <f ca="1">_xludf.ifs(AM768="", "", COUNTIF('Internal -- Trademark Countries'!B:B,AM768) &gt; 0, "polity_shortest_name", COUNTIF('Internal -- Trademark Countries'!C:C,AM768) &gt; 0, "polity_full_name", COUNTIF('Internal -- Trademark Countries'!D:D,AM768) &gt; 0, "polity_common_name", COUNTIF('Internal -- Trademark Countries'!E:E,AM768) &gt; 0, "shortest_name", COUNTIF('Internal -- Trademark Countries'!A:A,AM768) &gt; 0, "full_name", TRUE, "not a match")</f>
        <v>#NAME?</v>
      </c>
      <c r="EG768" s="30"/>
      <c r="EH768" s="30"/>
      <c r="EI768" s="30"/>
      <c r="EJ768" s="30"/>
      <c r="EK768" s="30" t="str">
        <f t="shared" si="5"/>
        <v/>
      </c>
    </row>
    <row r="769" spans="1:141" ht="16.5">
      <c r="A769" s="11"/>
      <c r="B769" s="11"/>
      <c r="C769" s="11"/>
      <c r="D769" s="11"/>
      <c r="E769" s="11"/>
      <c r="F769" s="11"/>
      <c r="G769" s="11"/>
      <c r="H769" s="11"/>
      <c r="I769" s="11"/>
      <c r="J769" s="11"/>
      <c r="K769" s="27"/>
      <c r="L769" s="11"/>
      <c r="M769" s="11"/>
      <c r="N769" s="11"/>
      <c r="O769" s="11"/>
      <c r="P769" s="15"/>
      <c r="Q769" s="15"/>
      <c r="R769" s="15"/>
      <c r="S769" s="15"/>
      <c r="T769" s="15"/>
      <c r="U769" s="15"/>
      <c r="V769" s="15"/>
      <c r="W769" s="47"/>
      <c r="X769" s="11"/>
      <c r="Y769" s="48"/>
      <c r="Z769" s="11"/>
      <c r="AA769" s="48"/>
      <c r="AB769" s="11"/>
      <c r="AC769" s="48"/>
      <c r="AD769" s="11"/>
      <c r="AE769" s="47"/>
      <c r="AF769" s="11"/>
      <c r="AG769" s="48"/>
      <c r="AH769" s="11"/>
      <c r="AI769" s="48"/>
      <c r="AJ769" s="11"/>
      <c r="AK769" s="48"/>
      <c r="AL769" s="11"/>
      <c r="AM769" s="49"/>
      <c r="AN769" s="49"/>
      <c r="AO769" s="11"/>
      <c r="AP769" s="11"/>
      <c r="AQ769" s="28" t="b">
        <f>IF(COUNTIF(SmartStatus!A$2:A1000, AM769) &gt; 2, TRUE, FALSE)</f>
        <v>0</v>
      </c>
      <c r="AR769" s="29" t="str">
        <f ca="1">IFERROR(__xludf.DUMMYFUNCTION("iferror(if(regexmatch(AO769, ""(?i)^registered""), if(EE769 &lt;&gt; ""polity_shortest_name"", ""CHECK_POLITY"", index(filter(SmartStatus!B$2:B1000, AM769 = SmartStatus!A$2:A1000, not(SmartStatus!C$2:C1000), (isblank(SmartStatus!D$2:D1000)) + ((P769 &lt;&gt; """") * "&amp;"(P769 &lt; SmartStatus!D$2:D1000)), (isblank(SmartStatus!E$2:E1000)) + ((P769 &lt;&gt; """") * (P769 &gt;= SmartStatus!E$2:E1000)), (isblank(SmartStatus!F$2:F1000)) + (((Q769 &lt;&gt; """") * (Q769 &lt; SmartStatus!F$2:F1000)) + ((P769 &lt;&gt; """") * (date(year(P769) + 3, month(P"&amp;"769), day(P769)) &lt; SmartStatus!F$2:F1000))), (isblank(SmartStatus!G$2:G1000)) + (((Q769 &lt;&gt; """") * (Q769 &gt;= SmartStatus!G$2:G1000)) + ((P769 &lt;&gt; """") * (P769 &gt;= SmartStatus!G$2:G1000)))), if(or(regexmatch(B769, ""(?i)^ir [a-z]+ designation$""), N769 &lt;&gt; """&amp;"""), 1, 2))), """"), ""NO_MATCH"")"),"")</f>
        <v/>
      </c>
      <c r="AS769" s="11"/>
      <c r="AT769" s="15"/>
      <c r="AU769" s="11"/>
      <c r="AV769" s="11"/>
      <c r="AW769" s="15"/>
      <c r="AX769" s="15"/>
      <c r="AY769" s="15"/>
      <c r="AZ769" s="11"/>
      <c r="BA769" s="15"/>
      <c r="BB769" s="11"/>
      <c r="BC769" s="11"/>
      <c r="BD769" s="15"/>
      <c r="BE769" s="11"/>
      <c r="BF769" s="11"/>
      <c r="BG769" s="15"/>
      <c r="BH769" s="15"/>
      <c r="BI769" s="15"/>
      <c r="BJ769" s="11"/>
      <c r="BK769" s="15"/>
      <c r="BL769" s="11"/>
      <c r="BM769" s="11"/>
      <c r="BN769" s="15"/>
      <c r="BO769" s="11"/>
      <c r="BP769" s="11"/>
      <c r="BQ769" s="15"/>
      <c r="BR769" s="15"/>
      <c r="BS769" s="15"/>
      <c r="BT769" s="11"/>
      <c r="BU769" s="15"/>
      <c r="BV769" s="11"/>
      <c r="BW769" s="11"/>
      <c r="BX769" s="15"/>
      <c r="BY769" s="11"/>
      <c r="BZ769" s="11"/>
      <c r="CA769" s="15"/>
      <c r="CB769" s="11"/>
      <c r="CC769" s="15"/>
      <c r="CD769" s="11"/>
      <c r="CE769" s="15"/>
      <c r="CF769" s="11"/>
      <c r="CG769" s="11"/>
      <c r="CH769" s="15"/>
      <c r="CI769" s="11"/>
      <c r="CJ769" s="11"/>
      <c r="CK769" s="15"/>
      <c r="CL769" s="11"/>
      <c r="CM769" s="11"/>
      <c r="CN769" s="11"/>
      <c r="CO769" s="11"/>
      <c r="CP769" s="28"/>
      <c r="CQ769" s="28"/>
      <c r="CR769" s="11"/>
      <c r="CS769" s="29"/>
      <c r="CT769" s="11"/>
      <c r="CU769" s="11"/>
      <c r="CV769" s="11"/>
      <c r="CW769" s="11"/>
      <c r="CX769" s="11"/>
      <c r="CY769" s="11"/>
      <c r="CZ769" s="11"/>
      <c r="DA769" s="28"/>
      <c r="DB769" s="28"/>
      <c r="DC769" s="11"/>
      <c r="DD769" s="29"/>
      <c r="DE769" s="11"/>
      <c r="DF769" s="11"/>
      <c r="DG769" s="11"/>
      <c r="DH769" s="11"/>
      <c r="DI769" s="11"/>
      <c r="DJ769" s="11"/>
      <c r="DK769" s="26"/>
      <c r="DL769" s="11"/>
      <c r="DM769" s="29"/>
      <c r="DN769" s="28"/>
      <c r="DO769" s="11"/>
      <c r="DP769" s="11"/>
      <c r="DQ769" s="11"/>
      <c r="DR769" s="29"/>
      <c r="DS769" s="28"/>
      <c r="DT769" s="11"/>
      <c r="DU769" s="26"/>
      <c r="DV769" s="11"/>
      <c r="DW769" s="29"/>
      <c r="DX769" s="28"/>
      <c r="DY769" s="11"/>
      <c r="DZ769" s="26"/>
      <c r="EA769" s="11"/>
      <c r="EB769" s="29"/>
      <c r="EC769" s="28"/>
      <c r="ED769" s="30"/>
      <c r="EE769" s="30" t="str">
        <f ca="1">IFERROR(__xludf.DUMMYFUNCTION("iferror(index(filter('Internal -- Trademark Countries'!E$2:E1000, (AM769 = 'Internal -- Trademark Countries'!B$2:B1000) + (AM769 = 'Internal -- Trademark Countries'!C$2:C1000) + (AM769 = 'Internal -- Trademark Countries'!D$2:D1000)), 1))"),"")</f>
        <v/>
      </c>
      <c r="EF769" s="30" t="e">
        <f ca="1">_xludf.ifs(AM769="", "", COUNTIF('Internal -- Trademark Countries'!B:B,AM769) &gt; 0, "polity_shortest_name", COUNTIF('Internal -- Trademark Countries'!C:C,AM769) &gt; 0, "polity_full_name", COUNTIF('Internal -- Trademark Countries'!D:D,AM769) &gt; 0, "polity_common_name", COUNTIF('Internal -- Trademark Countries'!E:E,AM769) &gt; 0, "shortest_name", COUNTIF('Internal -- Trademark Countries'!A:A,AM769) &gt; 0, "full_name", TRUE, "not a match")</f>
        <v>#NAME?</v>
      </c>
      <c r="EG769" s="30"/>
      <c r="EH769" s="30"/>
      <c r="EI769" s="30"/>
      <c r="EJ769" s="30"/>
      <c r="EK769" s="30" t="str">
        <f t="shared" si="5"/>
        <v/>
      </c>
    </row>
    <row r="770" spans="1:141" ht="16.5">
      <c r="A770" s="11"/>
      <c r="B770" s="11"/>
      <c r="C770" s="11"/>
      <c r="D770" s="11"/>
      <c r="E770" s="11"/>
      <c r="F770" s="11"/>
      <c r="G770" s="11"/>
      <c r="H770" s="11"/>
      <c r="I770" s="11"/>
      <c r="J770" s="11"/>
      <c r="K770" s="27"/>
      <c r="L770" s="11"/>
      <c r="M770" s="11"/>
      <c r="N770" s="11"/>
      <c r="O770" s="11"/>
      <c r="P770" s="15"/>
      <c r="Q770" s="15"/>
      <c r="R770" s="15"/>
      <c r="S770" s="15"/>
      <c r="T770" s="15"/>
      <c r="U770" s="15"/>
      <c r="V770" s="15"/>
      <c r="W770" s="47"/>
      <c r="X770" s="11"/>
      <c r="Y770" s="48"/>
      <c r="Z770" s="11"/>
      <c r="AA770" s="48"/>
      <c r="AB770" s="11"/>
      <c r="AC770" s="48"/>
      <c r="AD770" s="11"/>
      <c r="AE770" s="47"/>
      <c r="AF770" s="11"/>
      <c r="AG770" s="48"/>
      <c r="AH770" s="11"/>
      <c r="AI770" s="48"/>
      <c r="AJ770" s="11"/>
      <c r="AK770" s="48"/>
      <c r="AL770" s="11"/>
      <c r="AM770" s="49"/>
      <c r="AN770" s="49"/>
      <c r="AO770" s="11"/>
      <c r="AP770" s="11"/>
      <c r="AQ770" s="28" t="b">
        <f>IF(COUNTIF(SmartStatus!A$2:A1000, AM770) &gt; 2, TRUE, FALSE)</f>
        <v>0</v>
      </c>
      <c r="AR770" s="29" t="str">
        <f ca="1">IFERROR(__xludf.DUMMYFUNCTION("iferror(if(regexmatch(AO770, ""(?i)^registered""), if(EE770 &lt;&gt; ""polity_shortest_name"", ""CHECK_POLITY"", index(filter(SmartStatus!B$2:B1000, AM770 = SmartStatus!A$2:A1000, not(SmartStatus!C$2:C1000), (isblank(SmartStatus!D$2:D1000)) + ((P770 &lt;&gt; """") * "&amp;"(P770 &lt; SmartStatus!D$2:D1000)), (isblank(SmartStatus!E$2:E1000)) + ((P770 &lt;&gt; """") * (P770 &gt;= SmartStatus!E$2:E1000)), (isblank(SmartStatus!F$2:F1000)) + (((Q770 &lt;&gt; """") * (Q770 &lt; SmartStatus!F$2:F1000)) + ((P770 &lt;&gt; """") * (date(year(P770) + 3, month(P"&amp;"770), day(P770)) &lt; SmartStatus!F$2:F1000))), (isblank(SmartStatus!G$2:G1000)) + (((Q770 &lt;&gt; """") * (Q770 &gt;= SmartStatus!G$2:G1000)) + ((P770 &lt;&gt; """") * (P770 &gt;= SmartStatus!G$2:G1000)))), if(or(regexmatch(B770, ""(?i)^ir [a-z]+ designation$""), N770 &lt;&gt; """&amp;"""), 1, 2))), """"), ""NO_MATCH"")"),"")</f>
        <v/>
      </c>
      <c r="AS770" s="11"/>
      <c r="AT770" s="15"/>
      <c r="AU770" s="11"/>
      <c r="AV770" s="11"/>
      <c r="AW770" s="15"/>
      <c r="AX770" s="15"/>
      <c r="AY770" s="15"/>
      <c r="AZ770" s="11"/>
      <c r="BA770" s="15"/>
      <c r="BB770" s="11"/>
      <c r="BC770" s="11"/>
      <c r="BD770" s="15"/>
      <c r="BE770" s="11"/>
      <c r="BF770" s="11"/>
      <c r="BG770" s="15"/>
      <c r="BH770" s="15"/>
      <c r="BI770" s="15"/>
      <c r="BJ770" s="11"/>
      <c r="BK770" s="15"/>
      <c r="BL770" s="11"/>
      <c r="BM770" s="11"/>
      <c r="BN770" s="15"/>
      <c r="BO770" s="11"/>
      <c r="BP770" s="11"/>
      <c r="BQ770" s="15"/>
      <c r="BR770" s="15"/>
      <c r="BS770" s="15"/>
      <c r="BT770" s="11"/>
      <c r="BU770" s="15"/>
      <c r="BV770" s="11"/>
      <c r="BW770" s="11"/>
      <c r="BX770" s="15"/>
      <c r="BY770" s="11"/>
      <c r="BZ770" s="11"/>
      <c r="CA770" s="15"/>
      <c r="CB770" s="11"/>
      <c r="CC770" s="15"/>
      <c r="CD770" s="11"/>
      <c r="CE770" s="15"/>
      <c r="CF770" s="11"/>
      <c r="CG770" s="11"/>
      <c r="CH770" s="15"/>
      <c r="CI770" s="11"/>
      <c r="CJ770" s="11"/>
      <c r="CK770" s="15"/>
      <c r="CL770" s="11"/>
      <c r="CM770" s="11"/>
      <c r="CN770" s="11"/>
      <c r="CO770" s="11"/>
      <c r="CP770" s="28"/>
      <c r="CQ770" s="28"/>
      <c r="CR770" s="11"/>
      <c r="CS770" s="29"/>
      <c r="CT770" s="11"/>
      <c r="CU770" s="11"/>
      <c r="CV770" s="11"/>
      <c r="CW770" s="11"/>
      <c r="CX770" s="11"/>
      <c r="CY770" s="11"/>
      <c r="CZ770" s="11"/>
      <c r="DA770" s="28"/>
      <c r="DB770" s="28"/>
      <c r="DC770" s="11"/>
      <c r="DD770" s="29"/>
      <c r="DE770" s="11"/>
      <c r="DF770" s="11"/>
      <c r="DG770" s="11"/>
      <c r="DH770" s="11"/>
      <c r="DI770" s="11"/>
      <c r="DJ770" s="11"/>
      <c r="DK770" s="26"/>
      <c r="DL770" s="11"/>
      <c r="DM770" s="29"/>
      <c r="DN770" s="28"/>
      <c r="DO770" s="11"/>
      <c r="DP770" s="11"/>
      <c r="DQ770" s="11"/>
      <c r="DR770" s="29"/>
      <c r="DS770" s="28"/>
      <c r="DT770" s="11"/>
      <c r="DU770" s="26"/>
      <c r="DV770" s="11"/>
      <c r="DW770" s="29"/>
      <c r="DX770" s="28"/>
      <c r="DY770" s="11"/>
      <c r="DZ770" s="26"/>
      <c r="EA770" s="11"/>
      <c r="EB770" s="29"/>
      <c r="EC770" s="28"/>
      <c r="ED770" s="30"/>
      <c r="EE770" s="30" t="str">
        <f ca="1">IFERROR(__xludf.DUMMYFUNCTION("iferror(index(filter('Internal -- Trademark Countries'!E$2:E1000, (AM770 = 'Internal -- Trademark Countries'!B$2:B1000) + (AM770 = 'Internal -- Trademark Countries'!C$2:C1000) + (AM770 = 'Internal -- Trademark Countries'!D$2:D1000)), 1))"),"")</f>
        <v/>
      </c>
      <c r="EF770" s="30" t="e">
        <f ca="1">_xludf.ifs(AM770="", "", COUNTIF('Internal -- Trademark Countries'!B:B,AM770) &gt; 0, "polity_shortest_name", COUNTIF('Internal -- Trademark Countries'!C:C,AM770) &gt; 0, "polity_full_name", COUNTIF('Internal -- Trademark Countries'!D:D,AM770) &gt; 0, "polity_common_name", COUNTIF('Internal -- Trademark Countries'!E:E,AM770) &gt; 0, "shortest_name", COUNTIF('Internal -- Trademark Countries'!A:A,AM770) &gt; 0, "full_name", TRUE, "not a match")</f>
        <v>#NAME?</v>
      </c>
      <c r="EG770" s="30"/>
      <c r="EH770" s="30"/>
      <c r="EI770" s="30"/>
      <c r="EJ770" s="30"/>
      <c r="EK770" s="30" t="str">
        <f t="shared" si="5"/>
        <v/>
      </c>
    </row>
    <row r="771" spans="1:141" ht="16.5">
      <c r="A771" s="11"/>
      <c r="B771" s="11"/>
      <c r="C771" s="11"/>
      <c r="D771" s="11"/>
      <c r="E771" s="11"/>
      <c r="F771" s="11"/>
      <c r="G771" s="11"/>
      <c r="H771" s="11"/>
      <c r="I771" s="11"/>
      <c r="J771" s="11"/>
      <c r="K771" s="27"/>
      <c r="L771" s="11"/>
      <c r="M771" s="11"/>
      <c r="N771" s="11"/>
      <c r="O771" s="11"/>
      <c r="P771" s="15"/>
      <c r="Q771" s="15"/>
      <c r="R771" s="15"/>
      <c r="S771" s="15"/>
      <c r="T771" s="15"/>
      <c r="U771" s="15"/>
      <c r="V771" s="15"/>
      <c r="W771" s="47"/>
      <c r="X771" s="11"/>
      <c r="Y771" s="48"/>
      <c r="Z771" s="11"/>
      <c r="AA771" s="48"/>
      <c r="AB771" s="11"/>
      <c r="AC771" s="48"/>
      <c r="AD771" s="11"/>
      <c r="AE771" s="47"/>
      <c r="AF771" s="11"/>
      <c r="AG771" s="48"/>
      <c r="AH771" s="11"/>
      <c r="AI771" s="48"/>
      <c r="AJ771" s="11"/>
      <c r="AK771" s="48"/>
      <c r="AL771" s="11"/>
      <c r="AM771" s="49"/>
      <c r="AN771" s="49"/>
      <c r="AO771" s="11"/>
      <c r="AP771" s="11"/>
      <c r="AQ771" s="28" t="b">
        <f>IF(COUNTIF(SmartStatus!A$2:A1000, AM771) &gt; 2, TRUE, FALSE)</f>
        <v>0</v>
      </c>
      <c r="AR771" s="29" t="str">
        <f ca="1">IFERROR(__xludf.DUMMYFUNCTION("iferror(if(regexmatch(AO771, ""(?i)^registered""), if(EE771 &lt;&gt; ""polity_shortest_name"", ""CHECK_POLITY"", index(filter(SmartStatus!B$2:B1000, AM771 = SmartStatus!A$2:A1000, not(SmartStatus!C$2:C1000), (isblank(SmartStatus!D$2:D1000)) + ((P771 &lt;&gt; """") * "&amp;"(P771 &lt; SmartStatus!D$2:D1000)), (isblank(SmartStatus!E$2:E1000)) + ((P771 &lt;&gt; """") * (P771 &gt;= SmartStatus!E$2:E1000)), (isblank(SmartStatus!F$2:F1000)) + (((Q771 &lt;&gt; """") * (Q771 &lt; SmartStatus!F$2:F1000)) + ((P771 &lt;&gt; """") * (date(year(P771) + 3, month(P"&amp;"771), day(P771)) &lt; SmartStatus!F$2:F1000))), (isblank(SmartStatus!G$2:G1000)) + (((Q771 &lt;&gt; """") * (Q771 &gt;= SmartStatus!G$2:G1000)) + ((P771 &lt;&gt; """") * (P771 &gt;= SmartStatus!G$2:G1000)))), if(or(regexmatch(B771, ""(?i)^ir [a-z]+ designation$""), N771 &lt;&gt; """&amp;"""), 1, 2))), """"), ""NO_MATCH"")"),"")</f>
        <v/>
      </c>
      <c r="AS771" s="11"/>
      <c r="AT771" s="15"/>
      <c r="AU771" s="11"/>
      <c r="AV771" s="11"/>
      <c r="AW771" s="15"/>
      <c r="AX771" s="15"/>
      <c r="AY771" s="15"/>
      <c r="AZ771" s="11"/>
      <c r="BA771" s="15"/>
      <c r="BB771" s="11"/>
      <c r="BC771" s="11"/>
      <c r="BD771" s="15"/>
      <c r="BE771" s="11"/>
      <c r="BF771" s="11"/>
      <c r="BG771" s="15"/>
      <c r="BH771" s="15"/>
      <c r="BI771" s="15"/>
      <c r="BJ771" s="11"/>
      <c r="BK771" s="15"/>
      <c r="BL771" s="11"/>
      <c r="BM771" s="11"/>
      <c r="BN771" s="15"/>
      <c r="BO771" s="11"/>
      <c r="BP771" s="11"/>
      <c r="BQ771" s="15"/>
      <c r="BR771" s="15"/>
      <c r="BS771" s="15"/>
      <c r="BT771" s="11"/>
      <c r="BU771" s="15"/>
      <c r="BV771" s="11"/>
      <c r="BW771" s="11"/>
      <c r="BX771" s="15"/>
      <c r="BY771" s="11"/>
      <c r="BZ771" s="11"/>
      <c r="CA771" s="15"/>
      <c r="CB771" s="11"/>
      <c r="CC771" s="15"/>
      <c r="CD771" s="11"/>
      <c r="CE771" s="15"/>
      <c r="CF771" s="11"/>
      <c r="CG771" s="11"/>
      <c r="CH771" s="15"/>
      <c r="CI771" s="11"/>
      <c r="CJ771" s="11"/>
      <c r="CK771" s="15"/>
      <c r="CL771" s="11"/>
      <c r="CM771" s="11"/>
      <c r="CN771" s="11"/>
      <c r="CO771" s="11"/>
      <c r="CP771" s="28"/>
      <c r="CQ771" s="28"/>
      <c r="CR771" s="11"/>
      <c r="CS771" s="29"/>
      <c r="CT771" s="11"/>
      <c r="CU771" s="11"/>
      <c r="CV771" s="11"/>
      <c r="CW771" s="11"/>
      <c r="CX771" s="11"/>
      <c r="CY771" s="11"/>
      <c r="CZ771" s="11"/>
      <c r="DA771" s="28"/>
      <c r="DB771" s="28"/>
      <c r="DC771" s="11"/>
      <c r="DD771" s="29"/>
      <c r="DE771" s="11"/>
      <c r="DF771" s="11"/>
      <c r="DG771" s="11"/>
      <c r="DH771" s="11"/>
      <c r="DI771" s="11"/>
      <c r="DJ771" s="11"/>
      <c r="DK771" s="26"/>
      <c r="DL771" s="11"/>
      <c r="DM771" s="29"/>
      <c r="DN771" s="28"/>
      <c r="DO771" s="11"/>
      <c r="DP771" s="11"/>
      <c r="DQ771" s="11"/>
      <c r="DR771" s="29"/>
      <c r="DS771" s="28"/>
      <c r="DT771" s="11"/>
      <c r="DU771" s="26"/>
      <c r="DV771" s="11"/>
      <c r="DW771" s="29"/>
      <c r="DX771" s="28"/>
      <c r="DY771" s="11"/>
      <c r="DZ771" s="26"/>
      <c r="EA771" s="11"/>
      <c r="EB771" s="29"/>
      <c r="EC771" s="28"/>
      <c r="ED771" s="30"/>
      <c r="EE771" s="30" t="str">
        <f ca="1">IFERROR(__xludf.DUMMYFUNCTION("iferror(index(filter('Internal -- Trademark Countries'!E$2:E1000, (AM771 = 'Internal -- Trademark Countries'!B$2:B1000) + (AM771 = 'Internal -- Trademark Countries'!C$2:C1000) + (AM771 = 'Internal -- Trademark Countries'!D$2:D1000)), 1))"),"")</f>
        <v/>
      </c>
      <c r="EF771" s="30" t="e">
        <f ca="1">_xludf.ifs(AM771="", "", COUNTIF('Internal -- Trademark Countries'!B:B,AM771) &gt; 0, "polity_shortest_name", COUNTIF('Internal -- Trademark Countries'!C:C,AM771) &gt; 0, "polity_full_name", COUNTIF('Internal -- Trademark Countries'!D:D,AM771) &gt; 0, "polity_common_name", COUNTIF('Internal -- Trademark Countries'!E:E,AM771) &gt; 0, "shortest_name", COUNTIF('Internal -- Trademark Countries'!A:A,AM771) &gt; 0, "full_name", TRUE, "not a match")</f>
        <v>#NAME?</v>
      </c>
      <c r="EG771" s="30"/>
      <c r="EH771" s="30"/>
      <c r="EI771" s="30"/>
      <c r="EJ771" s="30"/>
      <c r="EK771" s="30" t="str">
        <f t="shared" si="5"/>
        <v/>
      </c>
    </row>
    <row r="772" spans="1:141" ht="16.5">
      <c r="A772" s="11"/>
      <c r="B772" s="11"/>
      <c r="C772" s="11"/>
      <c r="D772" s="11"/>
      <c r="E772" s="11"/>
      <c r="F772" s="11"/>
      <c r="G772" s="11"/>
      <c r="H772" s="11"/>
      <c r="I772" s="11"/>
      <c r="J772" s="11"/>
      <c r="K772" s="27"/>
      <c r="L772" s="11"/>
      <c r="M772" s="11"/>
      <c r="N772" s="11"/>
      <c r="O772" s="11"/>
      <c r="P772" s="15"/>
      <c r="Q772" s="15"/>
      <c r="R772" s="15"/>
      <c r="S772" s="15"/>
      <c r="T772" s="15"/>
      <c r="U772" s="15"/>
      <c r="V772" s="15"/>
      <c r="W772" s="47"/>
      <c r="X772" s="11"/>
      <c r="Y772" s="48"/>
      <c r="Z772" s="11"/>
      <c r="AA772" s="48"/>
      <c r="AB772" s="11"/>
      <c r="AC772" s="48"/>
      <c r="AD772" s="11"/>
      <c r="AE772" s="47"/>
      <c r="AF772" s="11"/>
      <c r="AG772" s="48"/>
      <c r="AH772" s="11"/>
      <c r="AI772" s="48"/>
      <c r="AJ772" s="11"/>
      <c r="AK772" s="48"/>
      <c r="AL772" s="11"/>
      <c r="AM772" s="49"/>
      <c r="AN772" s="49"/>
      <c r="AO772" s="11"/>
      <c r="AP772" s="11"/>
      <c r="AQ772" s="28" t="b">
        <f>IF(COUNTIF(SmartStatus!A$2:A1000, AM772) &gt; 2, TRUE, FALSE)</f>
        <v>0</v>
      </c>
      <c r="AR772" s="29" t="str">
        <f ca="1">IFERROR(__xludf.DUMMYFUNCTION("iferror(if(regexmatch(AO772, ""(?i)^registered""), if(EE772 &lt;&gt; ""polity_shortest_name"", ""CHECK_POLITY"", index(filter(SmartStatus!B$2:B1000, AM772 = SmartStatus!A$2:A1000, not(SmartStatus!C$2:C1000), (isblank(SmartStatus!D$2:D1000)) + ((P772 &lt;&gt; """") * "&amp;"(P772 &lt; SmartStatus!D$2:D1000)), (isblank(SmartStatus!E$2:E1000)) + ((P772 &lt;&gt; """") * (P772 &gt;= SmartStatus!E$2:E1000)), (isblank(SmartStatus!F$2:F1000)) + (((Q772 &lt;&gt; """") * (Q772 &lt; SmartStatus!F$2:F1000)) + ((P772 &lt;&gt; """") * (date(year(P772) + 3, month(P"&amp;"772), day(P772)) &lt; SmartStatus!F$2:F1000))), (isblank(SmartStatus!G$2:G1000)) + (((Q772 &lt;&gt; """") * (Q772 &gt;= SmartStatus!G$2:G1000)) + ((P772 &lt;&gt; """") * (P772 &gt;= SmartStatus!G$2:G1000)))), if(or(regexmatch(B772, ""(?i)^ir [a-z]+ designation$""), N772 &lt;&gt; """&amp;"""), 1, 2))), """"), ""NO_MATCH"")"),"")</f>
        <v/>
      </c>
      <c r="AS772" s="11"/>
      <c r="AT772" s="15"/>
      <c r="AU772" s="11"/>
      <c r="AV772" s="11"/>
      <c r="AW772" s="15"/>
      <c r="AX772" s="15"/>
      <c r="AY772" s="15"/>
      <c r="AZ772" s="11"/>
      <c r="BA772" s="15"/>
      <c r="BB772" s="11"/>
      <c r="BC772" s="11"/>
      <c r="BD772" s="15"/>
      <c r="BE772" s="11"/>
      <c r="BF772" s="11"/>
      <c r="BG772" s="15"/>
      <c r="BH772" s="15"/>
      <c r="BI772" s="15"/>
      <c r="BJ772" s="11"/>
      <c r="BK772" s="15"/>
      <c r="BL772" s="11"/>
      <c r="BM772" s="11"/>
      <c r="BN772" s="15"/>
      <c r="BO772" s="11"/>
      <c r="BP772" s="11"/>
      <c r="BQ772" s="15"/>
      <c r="BR772" s="15"/>
      <c r="BS772" s="15"/>
      <c r="BT772" s="11"/>
      <c r="BU772" s="15"/>
      <c r="BV772" s="11"/>
      <c r="BW772" s="11"/>
      <c r="BX772" s="15"/>
      <c r="BY772" s="11"/>
      <c r="BZ772" s="11"/>
      <c r="CA772" s="15"/>
      <c r="CB772" s="11"/>
      <c r="CC772" s="15"/>
      <c r="CD772" s="11"/>
      <c r="CE772" s="15"/>
      <c r="CF772" s="11"/>
      <c r="CG772" s="11"/>
      <c r="CH772" s="15"/>
      <c r="CI772" s="11"/>
      <c r="CJ772" s="11"/>
      <c r="CK772" s="15"/>
      <c r="CL772" s="11"/>
      <c r="CM772" s="11"/>
      <c r="CN772" s="11"/>
      <c r="CO772" s="11"/>
      <c r="CP772" s="28"/>
      <c r="CQ772" s="28"/>
      <c r="CR772" s="11"/>
      <c r="CS772" s="29"/>
      <c r="CT772" s="11"/>
      <c r="CU772" s="11"/>
      <c r="CV772" s="11"/>
      <c r="CW772" s="11"/>
      <c r="CX772" s="11"/>
      <c r="CY772" s="11"/>
      <c r="CZ772" s="11"/>
      <c r="DA772" s="28"/>
      <c r="DB772" s="28"/>
      <c r="DC772" s="11"/>
      <c r="DD772" s="29"/>
      <c r="DE772" s="11"/>
      <c r="DF772" s="11"/>
      <c r="DG772" s="11"/>
      <c r="DH772" s="11"/>
      <c r="DI772" s="11"/>
      <c r="DJ772" s="11"/>
      <c r="DK772" s="26"/>
      <c r="DL772" s="11"/>
      <c r="DM772" s="29"/>
      <c r="DN772" s="28"/>
      <c r="DO772" s="11"/>
      <c r="DP772" s="11"/>
      <c r="DQ772" s="11"/>
      <c r="DR772" s="29"/>
      <c r="DS772" s="28"/>
      <c r="DT772" s="11"/>
      <c r="DU772" s="26"/>
      <c r="DV772" s="11"/>
      <c r="DW772" s="29"/>
      <c r="DX772" s="28"/>
      <c r="DY772" s="11"/>
      <c r="DZ772" s="26"/>
      <c r="EA772" s="11"/>
      <c r="EB772" s="29"/>
      <c r="EC772" s="28"/>
      <c r="ED772" s="30"/>
      <c r="EE772" s="30" t="str">
        <f ca="1">IFERROR(__xludf.DUMMYFUNCTION("iferror(index(filter('Internal -- Trademark Countries'!E$2:E1000, (AM772 = 'Internal -- Trademark Countries'!B$2:B1000) + (AM772 = 'Internal -- Trademark Countries'!C$2:C1000) + (AM772 = 'Internal -- Trademark Countries'!D$2:D1000)), 1))"),"")</f>
        <v/>
      </c>
      <c r="EF772" s="30" t="e">
        <f ca="1">_xludf.ifs(AM772="", "", COUNTIF('Internal -- Trademark Countries'!B:B,AM772) &gt; 0, "polity_shortest_name", COUNTIF('Internal -- Trademark Countries'!C:C,AM772) &gt; 0, "polity_full_name", COUNTIF('Internal -- Trademark Countries'!D:D,AM772) &gt; 0, "polity_common_name", COUNTIF('Internal -- Trademark Countries'!E:E,AM772) &gt; 0, "shortest_name", COUNTIF('Internal -- Trademark Countries'!A:A,AM772) &gt; 0, "full_name", TRUE, "not a match")</f>
        <v>#NAME?</v>
      </c>
      <c r="EG772" s="30"/>
      <c r="EH772" s="30"/>
      <c r="EI772" s="30"/>
      <c r="EJ772" s="30"/>
      <c r="EK772" s="30" t="str">
        <f t="shared" si="5"/>
        <v/>
      </c>
    </row>
    <row r="773" spans="1:141" ht="16.5">
      <c r="A773" s="11"/>
      <c r="B773" s="11"/>
      <c r="C773" s="11"/>
      <c r="D773" s="11"/>
      <c r="E773" s="11"/>
      <c r="F773" s="11"/>
      <c r="G773" s="11"/>
      <c r="H773" s="11"/>
      <c r="I773" s="11"/>
      <c r="J773" s="11"/>
      <c r="K773" s="27"/>
      <c r="L773" s="11"/>
      <c r="M773" s="11"/>
      <c r="N773" s="11"/>
      <c r="O773" s="11"/>
      <c r="P773" s="15"/>
      <c r="Q773" s="15"/>
      <c r="R773" s="15"/>
      <c r="S773" s="15"/>
      <c r="T773" s="15"/>
      <c r="U773" s="15"/>
      <c r="V773" s="15"/>
      <c r="W773" s="47"/>
      <c r="X773" s="11"/>
      <c r="Y773" s="48"/>
      <c r="Z773" s="11"/>
      <c r="AA773" s="48"/>
      <c r="AB773" s="11"/>
      <c r="AC773" s="48"/>
      <c r="AD773" s="11"/>
      <c r="AE773" s="47"/>
      <c r="AF773" s="11"/>
      <c r="AG773" s="48"/>
      <c r="AH773" s="11"/>
      <c r="AI773" s="48"/>
      <c r="AJ773" s="11"/>
      <c r="AK773" s="48"/>
      <c r="AL773" s="11"/>
      <c r="AM773" s="49"/>
      <c r="AN773" s="49"/>
      <c r="AO773" s="11"/>
      <c r="AP773" s="11"/>
      <c r="AQ773" s="28" t="b">
        <f>IF(COUNTIF(SmartStatus!A$2:A1000, AM773) &gt; 2, TRUE, FALSE)</f>
        <v>0</v>
      </c>
      <c r="AR773" s="29" t="str">
        <f ca="1">IFERROR(__xludf.DUMMYFUNCTION("iferror(if(regexmatch(AO773, ""(?i)^registered""), if(EE773 &lt;&gt; ""polity_shortest_name"", ""CHECK_POLITY"", index(filter(SmartStatus!B$2:B1000, AM773 = SmartStatus!A$2:A1000, not(SmartStatus!C$2:C1000), (isblank(SmartStatus!D$2:D1000)) + ((P773 &lt;&gt; """") * "&amp;"(P773 &lt; SmartStatus!D$2:D1000)), (isblank(SmartStatus!E$2:E1000)) + ((P773 &lt;&gt; """") * (P773 &gt;= SmartStatus!E$2:E1000)), (isblank(SmartStatus!F$2:F1000)) + (((Q773 &lt;&gt; """") * (Q773 &lt; SmartStatus!F$2:F1000)) + ((P773 &lt;&gt; """") * (date(year(P773) + 3, month(P"&amp;"773), day(P773)) &lt; SmartStatus!F$2:F1000))), (isblank(SmartStatus!G$2:G1000)) + (((Q773 &lt;&gt; """") * (Q773 &gt;= SmartStatus!G$2:G1000)) + ((P773 &lt;&gt; """") * (P773 &gt;= SmartStatus!G$2:G1000)))), if(or(regexmatch(B773, ""(?i)^ir [a-z]+ designation$""), N773 &lt;&gt; """&amp;"""), 1, 2))), """"), ""NO_MATCH"")"),"")</f>
        <v/>
      </c>
      <c r="AS773" s="11"/>
      <c r="AT773" s="15"/>
      <c r="AU773" s="11"/>
      <c r="AV773" s="11"/>
      <c r="AW773" s="15"/>
      <c r="AX773" s="15"/>
      <c r="AY773" s="15"/>
      <c r="AZ773" s="11"/>
      <c r="BA773" s="15"/>
      <c r="BB773" s="11"/>
      <c r="BC773" s="11"/>
      <c r="BD773" s="15"/>
      <c r="BE773" s="11"/>
      <c r="BF773" s="11"/>
      <c r="BG773" s="15"/>
      <c r="BH773" s="15"/>
      <c r="BI773" s="15"/>
      <c r="BJ773" s="11"/>
      <c r="BK773" s="15"/>
      <c r="BL773" s="11"/>
      <c r="BM773" s="11"/>
      <c r="BN773" s="15"/>
      <c r="BO773" s="11"/>
      <c r="BP773" s="11"/>
      <c r="BQ773" s="15"/>
      <c r="BR773" s="15"/>
      <c r="BS773" s="15"/>
      <c r="BT773" s="11"/>
      <c r="BU773" s="15"/>
      <c r="BV773" s="11"/>
      <c r="BW773" s="11"/>
      <c r="BX773" s="15"/>
      <c r="BY773" s="11"/>
      <c r="BZ773" s="11"/>
      <c r="CA773" s="15"/>
      <c r="CB773" s="11"/>
      <c r="CC773" s="15"/>
      <c r="CD773" s="11"/>
      <c r="CE773" s="15"/>
      <c r="CF773" s="11"/>
      <c r="CG773" s="11"/>
      <c r="CH773" s="15"/>
      <c r="CI773" s="11"/>
      <c r="CJ773" s="11"/>
      <c r="CK773" s="15"/>
      <c r="CL773" s="11"/>
      <c r="CM773" s="11"/>
      <c r="CN773" s="11"/>
      <c r="CO773" s="11"/>
      <c r="CP773" s="28"/>
      <c r="CQ773" s="28"/>
      <c r="CR773" s="11"/>
      <c r="CS773" s="29"/>
      <c r="CT773" s="11"/>
      <c r="CU773" s="11"/>
      <c r="CV773" s="11"/>
      <c r="CW773" s="11"/>
      <c r="CX773" s="11"/>
      <c r="CY773" s="11"/>
      <c r="CZ773" s="11"/>
      <c r="DA773" s="28"/>
      <c r="DB773" s="28"/>
      <c r="DC773" s="11"/>
      <c r="DD773" s="29"/>
      <c r="DE773" s="11"/>
      <c r="DF773" s="11"/>
      <c r="DG773" s="11"/>
      <c r="DH773" s="11"/>
      <c r="DI773" s="11"/>
      <c r="DJ773" s="11"/>
      <c r="DK773" s="26"/>
      <c r="DL773" s="11"/>
      <c r="DM773" s="29"/>
      <c r="DN773" s="28"/>
      <c r="DO773" s="11"/>
      <c r="DP773" s="11"/>
      <c r="DQ773" s="11"/>
      <c r="DR773" s="29"/>
      <c r="DS773" s="28"/>
      <c r="DT773" s="11"/>
      <c r="DU773" s="26"/>
      <c r="DV773" s="11"/>
      <c r="DW773" s="29"/>
      <c r="DX773" s="28"/>
      <c r="DY773" s="11"/>
      <c r="DZ773" s="26"/>
      <c r="EA773" s="11"/>
      <c r="EB773" s="29"/>
      <c r="EC773" s="28"/>
      <c r="ED773" s="30"/>
      <c r="EE773" s="30" t="str">
        <f ca="1">IFERROR(__xludf.DUMMYFUNCTION("iferror(index(filter('Internal -- Trademark Countries'!E$2:E1000, (AM773 = 'Internal -- Trademark Countries'!B$2:B1000) + (AM773 = 'Internal -- Trademark Countries'!C$2:C1000) + (AM773 = 'Internal -- Trademark Countries'!D$2:D1000)), 1))"),"")</f>
        <v/>
      </c>
      <c r="EF773" s="30" t="e">
        <f ca="1">_xludf.ifs(AM773="", "", COUNTIF('Internal -- Trademark Countries'!B:B,AM773) &gt; 0, "polity_shortest_name", COUNTIF('Internal -- Trademark Countries'!C:C,AM773) &gt; 0, "polity_full_name", COUNTIF('Internal -- Trademark Countries'!D:D,AM773) &gt; 0, "polity_common_name", COUNTIF('Internal -- Trademark Countries'!E:E,AM773) &gt; 0, "shortest_name", COUNTIF('Internal -- Trademark Countries'!A:A,AM773) &gt; 0, "full_name", TRUE, "not a match")</f>
        <v>#NAME?</v>
      </c>
      <c r="EG773" s="30"/>
      <c r="EH773" s="30"/>
      <c r="EI773" s="30"/>
      <c r="EJ773" s="30"/>
      <c r="EK773" s="30" t="str">
        <f t="shared" si="5"/>
        <v/>
      </c>
    </row>
    <row r="774" spans="1:141" ht="16.5">
      <c r="A774" s="11"/>
      <c r="B774" s="11"/>
      <c r="C774" s="11"/>
      <c r="D774" s="11"/>
      <c r="E774" s="11"/>
      <c r="F774" s="11"/>
      <c r="G774" s="11"/>
      <c r="H774" s="11"/>
      <c r="I774" s="11"/>
      <c r="J774" s="11"/>
      <c r="K774" s="27"/>
      <c r="L774" s="11"/>
      <c r="M774" s="11"/>
      <c r="N774" s="11"/>
      <c r="O774" s="11"/>
      <c r="P774" s="15"/>
      <c r="Q774" s="15"/>
      <c r="R774" s="15"/>
      <c r="S774" s="15"/>
      <c r="T774" s="15"/>
      <c r="U774" s="15"/>
      <c r="V774" s="15"/>
      <c r="W774" s="47"/>
      <c r="X774" s="11"/>
      <c r="Y774" s="48"/>
      <c r="Z774" s="11"/>
      <c r="AA774" s="48"/>
      <c r="AB774" s="11"/>
      <c r="AC774" s="48"/>
      <c r="AD774" s="11"/>
      <c r="AE774" s="47"/>
      <c r="AF774" s="11"/>
      <c r="AG774" s="48"/>
      <c r="AH774" s="11"/>
      <c r="AI774" s="48"/>
      <c r="AJ774" s="11"/>
      <c r="AK774" s="48"/>
      <c r="AL774" s="11"/>
      <c r="AM774" s="49"/>
      <c r="AN774" s="49"/>
      <c r="AO774" s="11"/>
      <c r="AP774" s="11"/>
      <c r="AQ774" s="28" t="b">
        <f>IF(COUNTIF(SmartStatus!A$2:A1000, AM774) &gt; 2, TRUE, FALSE)</f>
        <v>0</v>
      </c>
      <c r="AR774" s="29" t="str">
        <f ca="1">IFERROR(__xludf.DUMMYFUNCTION("iferror(if(regexmatch(AO774, ""(?i)^registered""), if(EE774 &lt;&gt; ""polity_shortest_name"", ""CHECK_POLITY"", index(filter(SmartStatus!B$2:B1000, AM774 = SmartStatus!A$2:A1000, not(SmartStatus!C$2:C1000), (isblank(SmartStatus!D$2:D1000)) + ((P774 &lt;&gt; """") * "&amp;"(P774 &lt; SmartStatus!D$2:D1000)), (isblank(SmartStatus!E$2:E1000)) + ((P774 &lt;&gt; """") * (P774 &gt;= SmartStatus!E$2:E1000)), (isblank(SmartStatus!F$2:F1000)) + (((Q774 &lt;&gt; """") * (Q774 &lt; SmartStatus!F$2:F1000)) + ((P774 &lt;&gt; """") * (date(year(P774) + 3, month(P"&amp;"774), day(P774)) &lt; SmartStatus!F$2:F1000))), (isblank(SmartStatus!G$2:G1000)) + (((Q774 &lt;&gt; """") * (Q774 &gt;= SmartStatus!G$2:G1000)) + ((P774 &lt;&gt; """") * (P774 &gt;= SmartStatus!G$2:G1000)))), if(or(regexmatch(B774, ""(?i)^ir [a-z]+ designation$""), N774 &lt;&gt; """&amp;"""), 1, 2))), """"), ""NO_MATCH"")"),"")</f>
        <v/>
      </c>
      <c r="AS774" s="11"/>
      <c r="AT774" s="15"/>
      <c r="AU774" s="11"/>
      <c r="AV774" s="11"/>
      <c r="AW774" s="15"/>
      <c r="AX774" s="15"/>
      <c r="AY774" s="15"/>
      <c r="AZ774" s="11"/>
      <c r="BA774" s="15"/>
      <c r="BB774" s="11"/>
      <c r="BC774" s="11"/>
      <c r="BD774" s="15"/>
      <c r="BE774" s="11"/>
      <c r="BF774" s="11"/>
      <c r="BG774" s="15"/>
      <c r="BH774" s="15"/>
      <c r="BI774" s="15"/>
      <c r="BJ774" s="11"/>
      <c r="BK774" s="15"/>
      <c r="BL774" s="11"/>
      <c r="BM774" s="11"/>
      <c r="BN774" s="15"/>
      <c r="BO774" s="11"/>
      <c r="BP774" s="11"/>
      <c r="BQ774" s="15"/>
      <c r="BR774" s="15"/>
      <c r="BS774" s="15"/>
      <c r="BT774" s="11"/>
      <c r="BU774" s="15"/>
      <c r="BV774" s="11"/>
      <c r="BW774" s="11"/>
      <c r="BX774" s="15"/>
      <c r="BY774" s="11"/>
      <c r="BZ774" s="11"/>
      <c r="CA774" s="15"/>
      <c r="CB774" s="11"/>
      <c r="CC774" s="15"/>
      <c r="CD774" s="11"/>
      <c r="CE774" s="15"/>
      <c r="CF774" s="11"/>
      <c r="CG774" s="11"/>
      <c r="CH774" s="15"/>
      <c r="CI774" s="11"/>
      <c r="CJ774" s="11"/>
      <c r="CK774" s="15"/>
      <c r="CL774" s="11"/>
      <c r="CM774" s="11"/>
      <c r="CN774" s="11"/>
      <c r="CO774" s="11"/>
      <c r="CP774" s="28"/>
      <c r="CQ774" s="28"/>
      <c r="CR774" s="11"/>
      <c r="CS774" s="29"/>
      <c r="CT774" s="11"/>
      <c r="CU774" s="11"/>
      <c r="CV774" s="11"/>
      <c r="CW774" s="11"/>
      <c r="CX774" s="11"/>
      <c r="CY774" s="11"/>
      <c r="CZ774" s="11"/>
      <c r="DA774" s="28"/>
      <c r="DB774" s="28"/>
      <c r="DC774" s="11"/>
      <c r="DD774" s="29"/>
      <c r="DE774" s="11"/>
      <c r="DF774" s="11"/>
      <c r="DG774" s="11"/>
      <c r="DH774" s="11"/>
      <c r="DI774" s="11"/>
      <c r="DJ774" s="11"/>
      <c r="DK774" s="26"/>
      <c r="DL774" s="11"/>
      <c r="DM774" s="29"/>
      <c r="DN774" s="28"/>
      <c r="DO774" s="11"/>
      <c r="DP774" s="11"/>
      <c r="DQ774" s="11"/>
      <c r="DR774" s="29"/>
      <c r="DS774" s="28"/>
      <c r="DT774" s="11"/>
      <c r="DU774" s="26"/>
      <c r="DV774" s="11"/>
      <c r="DW774" s="29"/>
      <c r="DX774" s="28"/>
      <c r="DY774" s="11"/>
      <c r="DZ774" s="26"/>
      <c r="EA774" s="11"/>
      <c r="EB774" s="29"/>
      <c r="EC774" s="28"/>
      <c r="ED774" s="30"/>
      <c r="EE774" s="30" t="str">
        <f ca="1">IFERROR(__xludf.DUMMYFUNCTION("iferror(index(filter('Internal -- Trademark Countries'!E$2:E1000, (AM774 = 'Internal -- Trademark Countries'!B$2:B1000) + (AM774 = 'Internal -- Trademark Countries'!C$2:C1000) + (AM774 = 'Internal -- Trademark Countries'!D$2:D1000)), 1))"),"")</f>
        <v/>
      </c>
      <c r="EF774" s="30" t="e">
        <f ca="1">_xludf.ifs(AM774="", "", COUNTIF('Internal -- Trademark Countries'!B:B,AM774) &gt; 0, "polity_shortest_name", COUNTIF('Internal -- Trademark Countries'!C:C,AM774) &gt; 0, "polity_full_name", COUNTIF('Internal -- Trademark Countries'!D:D,AM774) &gt; 0, "polity_common_name", COUNTIF('Internal -- Trademark Countries'!E:E,AM774) &gt; 0, "shortest_name", COUNTIF('Internal -- Trademark Countries'!A:A,AM774) &gt; 0, "full_name", TRUE, "not a match")</f>
        <v>#NAME?</v>
      </c>
      <c r="EG774" s="30"/>
      <c r="EH774" s="30"/>
      <c r="EI774" s="30"/>
      <c r="EJ774" s="30"/>
      <c r="EK774" s="30" t="str">
        <f t="shared" si="5"/>
        <v/>
      </c>
    </row>
    <row r="775" spans="1:141" ht="16.5">
      <c r="A775" s="11"/>
      <c r="B775" s="11"/>
      <c r="C775" s="11"/>
      <c r="D775" s="11"/>
      <c r="E775" s="11"/>
      <c r="F775" s="11"/>
      <c r="G775" s="11"/>
      <c r="H775" s="11"/>
      <c r="I775" s="11"/>
      <c r="J775" s="11"/>
      <c r="K775" s="27"/>
      <c r="L775" s="11"/>
      <c r="M775" s="11"/>
      <c r="N775" s="11"/>
      <c r="O775" s="11"/>
      <c r="P775" s="15"/>
      <c r="Q775" s="15"/>
      <c r="R775" s="15"/>
      <c r="S775" s="15"/>
      <c r="T775" s="15"/>
      <c r="U775" s="15"/>
      <c r="V775" s="15"/>
      <c r="W775" s="47"/>
      <c r="X775" s="11"/>
      <c r="Y775" s="48"/>
      <c r="Z775" s="11"/>
      <c r="AA775" s="48"/>
      <c r="AB775" s="11"/>
      <c r="AC775" s="48"/>
      <c r="AD775" s="11"/>
      <c r="AE775" s="47"/>
      <c r="AF775" s="11"/>
      <c r="AG775" s="48"/>
      <c r="AH775" s="11"/>
      <c r="AI775" s="48"/>
      <c r="AJ775" s="11"/>
      <c r="AK775" s="48"/>
      <c r="AL775" s="11"/>
      <c r="AM775" s="49"/>
      <c r="AN775" s="49"/>
      <c r="AO775" s="11"/>
      <c r="AP775" s="11"/>
      <c r="AQ775" s="28" t="b">
        <f>IF(COUNTIF(SmartStatus!A$2:A1000, AM775) &gt; 2, TRUE, FALSE)</f>
        <v>0</v>
      </c>
      <c r="AR775" s="29" t="str">
        <f ca="1">IFERROR(__xludf.DUMMYFUNCTION("iferror(if(regexmatch(AO775, ""(?i)^registered""), if(EE775 &lt;&gt; ""polity_shortest_name"", ""CHECK_POLITY"", index(filter(SmartStatus!B$2:B1000, AM775 = SmartStatus!A$2:A1000, not(SmartStatus!C$2:C1000), (isblank(SmartStatus!D$2:D1000)) + ((P775 &lt;&gt; """") * "&amp;"(P775 &lt; SmartStatus!D$2:D1000)), (isblank(SmartStatus!E$2:E1000)) + ((P775 &lt;&gt; """") * (P775 &gt;= SmartStatus!E$2:E1000)), (isblank(SmartStatus!F$2:F1000)) + (((Q775 &lt;&gt; """") * (Q775 &lt; SmartStatus!F$2:F1000)) + ((P775 &lt;&gt; """") * (date(year(P775) + 3, month(P"&amp;"775), day(P775)) &lt; SmartStatus!F$2:F1000))), (isblank(SmartStatus!G$2:G1000)) + (((Q775 &lt;&gt; """") * (Q775 &gt;= SmartStatus!G$2:G1000)) + ((P775 &lt;&gt; """") * (P775 &gt;= SmartStatus!G$2:G1000)))), if(or(regexmatch(B775, ""(?i)^ir [a-z]+ designation$""), N775 &lt;&gt; """&amp;"""), 1, 2))), """"), ""NO_MATCH"")"),"")</f>
        <v/>
      </c>
      <c r="AS775" s="11"/>
      <c r="AT775" s="15"/>
      <c r="AU775" s="11"/>
      <c r="AV775" s="11"/>
      <c r="AW775" s="15"/>
      <c r="AX775" s="15"/>
      <c r="AY775" s="15"/>
      <c r="AZ775" s="11"/>
      <c r="BA775" s="15"/>
      <c r="BB775" s="11"/>
      <c r="BC775" s="11"/>
      <c r="BD775" s="15"/>
      <c r="BE775" s="11"/>
      <c r="BF775" s="11"/>
      <c r="BG775" s="15"/>
      <c r="BH775" s="15"/>
      <c r="BI775" s="15"/>
      <c r="BJ775" s="11"/>
      <c r="BK775" s="15"/>
      <c r="BL775" s="11"/>
      <c r="BM775" s="11"/>
      <c r="BN775" s="15"/>
      <c r="BO775" s="11"/>
      <c r="BP775" s="11"/>
      <c r="BQ775" s="15"/>
      <c r="BR775" s="15"/>
      <c r="BS775" s="15"/>
      <c r="BT775" s="11"/>
      <c r="BU775" s="15"/>
      <c r="BV775" s="11"/>
      <c r="BW775" s="11"/>
      <c r="BX775" s="15"/>
      <c r="BY775" s="11"/>
      <c r="BZ775" s="11"/>
      <c r="CA775" s="15"/>
      <c r="CB775" s="11"/>
      <c r="CC775" s="15"/>
      <c r="CD775" s="11"/>
      <c r="CE775" s="15"/>
      <c r="CF775" s="11"/>
      <c r="CG775" s="11"/>
      <c r="CH775" s="15"/>
      <c r="CI775" s="11"/>
      <c r="CJ775" s="11"/>
      <c r="CK775" s="15"/>
      <c r="CL775" s="11"/>
      <c r="CM775" s="11"/>
      <c r="CN775" s="11"/>
      <c r="CO775" s="11"/>
      <c r="CP775" s="28"/>
      <c r="CQ775" s="28"/>
      <c r="CR775" s="11"/>
      <c r="CS775" s="29"/>
      <c r="CT775" s="11"/>
      <c r="CU775" s="11"/>
      <c r="CV775" s="11"/>
      <c r="CW775" s="11"/>
      <c r="CX775" s="11"/>
      <c r="CY775" s="11"/>
      <c r="CZ775" s="11"/>
      <c r="DA775" s="28"/>
      <c r="DB775" s="28"/>
      <c r="DC775" s="11"/>
      <c r="DD775" s="29"/>
      <c r="DE775" s="11"/>
      <c r="DF775" s="11"/>
      <c r="DG775" s="11"/>
      <c r="DH775" s="11"/>
      <c r="DI775" s="11"/>
      <c r="DJ775" s="11"/>
      <c r="DK775" s="26"/>
      <c r="DL775" s="11"/>
      <c r="DM775" s="29"/>
      <c r="DN775" s="28"/>
      <c r="DO775" s="11"/>
      <c r="DP775" s="11"/>
      <c r="DQ775" s="11"/>
      <c r="DR775" s="29"/>
      <c r="DS775" s="28"/>
      <c r="DT775" s="11"/>
      <c r="DU775" s="26"/>
      <c r="DV775" s="11"/>
      <c r="DW775" s="29"/>
      <c r="DX775" s="28"/>
      <c r="DY775" s="11"/>
      <c r="DZ775" s="26"/>
      <c r="EA775" s="11"/>
      <c r="EB775" s="29"/>
      <c r="EC775" s="28"/>
      <c r="ED775" s="30"/>
      <c r="EE775" s="30" t="str">
        <f ca="1">IFERROR(__xludf.DUMMYFUNCTION("iferror(index(filter('Internal -- Trademark Countries'!E$2:E1000, (AM775 = 'Internal -- Trademark Countries'!B$2:B1000) + (AM775 = 'Internal -- Trademark Countries'!C$2:C1000) + (AM775 = 'Internal -- Trademark Countries'!D$2:D1000)), 1))"),"")</f>
        <v/>
      </c>
      <c r="EF775" s="30" t="e">
        <f ca="1">_xludf.ifs(AM775="", "", COUNTIF('Internal -- Trademark Countries'!B:B,AM775) &gt; 0, "polity_shortest_name", COUNTIF('Internal -- Trademark Countries'!C:C,AM775) &gt; 0, "polity_full_name", COUNTIF('Internal -- Trademark Countries'!D:D,AM775) &gt; 0, "polity_common_name", COUNTIF('Internal -- Trademark Countries'!E:E,AM775) &gt; 0, "shortest_name", COUNTIF('Internal -- Trademark Countries'!A:A,AM775) &gt; 0, "full_name", TRUE, "not a match")</f>
        <v>#NAME?</v>
      </c>
      <c r="EG775" s="30"/>
      <c r="EH775" s="30"/>
      <c r="EI775" s="30"/>
      <c r="EJ775" s="30"/>
      <c r="EK775" s="30" t="str">
        <f t="shared" si="5"/>
        <v/>
      </c>
    </row>
    <row r="776" spans="1:141" ht="16.5">
      <c r="A776" s="11"/>
      <c r="B776" s="11"/>
      <c r="C776" s="11"/>
      <c r="D776" s="11"/>
      <c r="E776" s="11"/>
      <c r="F776" s="11"/>
      <c r="G776" s="11"/>
      <c r="H776" s="11"/>
      <c r="I776" s="11"/>
      <c r="J776" s="11"/>
      <c r="K776" s="27"/>
      <c r="L776" s="11"/>
      <c r="M776" s="11"/>
      <c r="N776" s="11"/>
      <c r="O776" s="11"/>
      <c r="P776" s="15"/>
      <c r="Q776" s="15"/>
      <c r="R776" s="15"/>
      <c r="S776" s="15"/>
      <c r="T776" s="15"/>
      <c r="U776" s="15"/>
      <c r="V776" s="15"/>
      <c r="W776" s="47"/>
      <c r="X776" s="11"/>
      <c r="Y776" s="48"/>
      <c r="Z776" s="11"/>
      <c r="AA776" s="48"/>
      <c r="AB776" s="11"/>
      <c r="AC776" s="48"/>
      <c r="AD776" s="11"/>
      <c r="AE776" s="47"/>
      <c r="AF776" s="11"/>
      <c r="AG776" s="48"/>
      <c r="AH776" s="11"/>
      <c r="AI776" s="48"/>
      <c r="AJ776" s="11"/>
      <c r="AK776" s="48"/>
      <c r="AL776" s="11"/>
      <c r="AM776" s="49"/>
      <c r="AN776" s="49"/>
      <c r="AO776" s="11"/>
      <c r="AP776" s="11"/>
      <c r="AQ776" s="28" t="b">
        <f>IF(COUNTIF(SmartStatus!A$2:A1000, AM776) &gt; 2, TRUE, FALSE)</f>
        <v>0</v>
      </c>
      <c r="AR776" s="29" t="str">
        <f ca="1">IFERROR(__xludf.DUMMYFUNCTION("iferror(if(regexmatch(AO776, ""(?i)^registered""), if(EE776 &lt;&gt; ""polity_shortest_name"", ""CHECK_POLITY"", index(filter(SmartStatus!B$2:B1000, AM776 = SmartStatus!A$2:A1000, not(SmartStatus!C$2:C1000), (isblank(SmartStatus!D$2:D1000)) + ((P776 &lt;&gt; """") * "&amp;"(P776 &lt; SmartStatus!D$2:D1000)), (isblank(SmartStatus!E$2:E1000)) + ((P776 &lt;&gt; """") * (P776 &gt;= SmartStatus!E$2:E1000)), (isblank(SmartStatus!F$2:F1000)) + (((Q776 &lt;&gt; """") * (Q776 &lt; SmartStatus!F$2:F1000)) + ((P776 &lt;&gt; """") * (date(year(P776) + 3, month(P"&amp;"776), day(P776)) &lt; SmartStatus!F$2:F1000))), (isblank(SmartStatus!G$2:G1000)) + (((Q776 &lt;&gt; """") * (Q776 &gt;= SmartStatus!G$2:G1000)) + ((P776 &lt;&gt; """") * (P776 &gt;= SmartStatus!G$2:G1000)))), if(or(regexmatch(B776, ""(?i)^ir [a-z]+ designation$""), N776 &lt;&gt; """&amp;"""), 1, 2))), """"), ""NO_MATCH"")"),"")</f>
        <v/>
      </c>
      <c r="AS776" s="11"/>
      <c r="AT776" s="15"/>
      <c r="AU776" s="11"/>
      <c r="AV776" s="11"/>
      <c r="AW776" s="15"/>
      <c r="AX776" s="15"/>
      <c r="AY776" s="15"/>
      <c r="AZ776" s="11"/>
      <c r="BA776" s="15"/>
      <c r="BB776" s="11"/>
      <c r="BC776" s="11"/>
      <c r="BD776" s="15"/>
      <c r="BE776" s="11"/>
      <c r="BF776" s="11"/>
      <c r="BG776" s="15"/>
      <c r="BH776" s="15"/>
      <c r="BI776" s="15"/>
      <c r="BJ776" s="11"/>
      <c r="BK776" s="15"/>
      <c r="BL776" s="11"/>
      <c r="BM776" s="11"/>
      <c r="BN776" s="15"/>
      <c r="BO776" s="11"/>
      <c r="BP776" s="11"/>
      <c r="BQ776" s="15"/>
      <c r="BR776" s="15"/>
      <c r="BS776" s="15"/>
      <c r="BT776" s="11"/>
      <c r="BU776" s="15"/>
      <c r="BV776" s="11"/>
      <c r="BW776" s="11"/>
      <c r="BX776" s="15"/>
      <c r="BY776" s="11"/>
      <c r="BZ776" s="11"/>
      <c r="CA776" s="15"/>
      <c r="CB776" s="11"/>
      <c r="CC776" s="15"/>
      <c r="CD776" s="11"/>
      <c r="CE776" s="15"/>
      <c r="CF776" s="11"/>
      <c r="CG776" s="11"/>
      <c r="CH776" s="15"/>
      <c r="CI776" s="11"/>
      <c r="CJ776" s="11"/>
      <c r="CK776" s="15"/>
      <c r="CL776" s="11"/>
      <c r="CM776" s="11"/>
      <c r="CN776" s="11"/>
      <c r="CO776" s="11"/>
      <c r="CP776" s="28"/>
      <c r="CQ776" s="28"/>
      <c r="CR776" s="11"/>
      <c r="CS776" s="29"/>
      <c r="CT776" s="11"/>
      <c r="CU776" s="11"/>
      <c r="CV776" s="11"/>
      <c r="CW776" s="11"/>
      <c r="CX776" s="11"/>
      <c r="CY776" s="11"/>
      <c r="CZ776" s="11"/>
      <c r="DA776" s="28"/>
      <c r="DB776" s="28"/>
      <c r="DC776" s="11"/>
      <c r="DD776" s="29"/>
      <c r="DE776" s="11"/>
      <c r="DF776" s="11"/>
      <c r="DG776" s="11"/>
      <c r="DH776" s="11"/>
      <c r="DI776" s="11"/>
      <c r="DJ776" s="11"/>
      <c r="DK776" s="26"/>
      <c r="DL776" s="11"/>
      <c r="DM776" s="29"/>
      <c r="DN776" s="28"/>
      <c r="DO776" s="11"/>
      <c r="DP776" s="11"/>
      <c r="DQ776" s="11"/>
      <c r="DR776" s="29"/>
      <c r="DS776" s="28"/>
      <c r="DT776" s="11"/>
      <c r="DU776" s="26"/>
      <c r="DV776" s="11"/>
      <c r="DW776" s="29"/>
      <c r="DX776" s="28"/>
      <c r="DY776" s="11"/>
      <c r="DZ776" s="26"/>
      <c r="EA776" s="11"/>
      <c r="EB776" s="29"/>
      <c r="EC776" s="28"/>
      <c r="ED776" s="30"/>
      <c r="EE776" s="30" t="str">
        <f ca="1">IFERROR(__xludf.DUMMYFUNCTION("iferror(index(filter('Internal -- Trademark Countries'!E$2:E1000, (AM776 = 'Internal -- Trademark Countries'!B$2:B1000) + (AM776 = 'Internal -- Trademark Countries'!C$2:C1000) + (AM776 = 'Internal -- Trademark Countries'!D$2:D1000)), 1))"),"")</f>
        <v/>
      </c>
      <c r="EF776" s="30" t="e">
        <f ca="1">_xludf.ifs(AM776="", "", COUNTIF('Internal -- Trademark Countries'!B:B,AM776) &gt; 0, "polity_shortest_name", COUNTIF('Internal -- Trademark Countries'!C:C,AM776) &gt; 0, "polity_full_name", COUNTIF('Internal -- Trademark Countries'!D:D,AM776) &gt; 0, "polity_common_name", COUNTIF('Internal -- Trademark Countries'!E:E,AM776) &gt; 0, "shortest_name", COUNTIF('Internal -- Trademark Countries'!A:A,AM776) &gt; 0, "full_name", TRUE, "not a match")</f>
        <v>#NAME?</v>
      </c>
      <c r="EG776" s="30"/>
      <c r="EH776" s="30"/>
      <c r="EI776" s="30"/>
      <c r="EJ776" s="30"/>
      <c r="EK776" s="30" t="str">
        <f t="shared" si="5"/>
        <v/>
      </c>
    </row>
    <row r="777" spans="1:141" ht="16.5">
      <c r="A777" s="11"/>
      <c r="B777" s="11"/>
      <c r="C777" s="11"/>
      <c r="D777" s="11"/>
      <c r="E777" s="11"/>
      <c r="F777" s="11"/>
      <c r="G777" s="11"/>
      <c r="H777" s="11"/>
      <c r="I777" s="11"/>
      <c r="J777" s="11"/>
      <c r="K777" s="27"/>
      <c r="L777" s="11"/>
      <c r="M777" s="11"/>
      <c r="N777" s="11"/>
      <c r="O777" s="11"/>
      <c r="P777" s="15"/>
      <c r="Q777" s="15"/>
      <c r="R777" s="15"/>
      <c r="S777" s="15"/>
      <c r="T777" s="15"/>
      <c r="U777" s="15"/>
      <c r="V777" s="15"/>
      <c r="W777" s="47"/>
      <c r="X777" s="11"/>
      <c r="Y777" s="48"/>
      <c r="Z777" s="11"/>
      <c r="AA777" s="48"/>
      <c r="AB777" s="11"/>
      <c r="AC777" s="48"/>
      <c r="AD777" s="11"/>
      <c r="AE777" s="47"/>
      <c r="AF777" s="11"/>
      <c r="AG777" s="48"/>
      <c r="AH777" s="11"/>
      <c r="AI777" s="48"/>
      <c r="AJ777" s="11"/>
      <c r="AK777" s="48"/>
      <c r="AL777" s="11"/>
      <c r="AM777" s="49"/>
      <c r="AN777" s="49"/>
      <c r="AO777" s="11"/>
      <c r="AP777" s="11"/>
      <c r="AQ777" s="28" t="b">
        <f>IF(COUNTIF(SmartStatus!A$2:A1000, AM777) &gt; 2, TRUE, FALSE)</f>
        <v>0</v>
      </c>
      <c r="AR777" s="29" t="str">
        <f ca="1">IFERROR(__xludf.DUMMYFUNCTION("iferror(if(regexmatch(AO777, ""(?i)^registered""), if(EE777 &lt;&gt; ""polity_shortest_name"", ""CHECK_POLITY"", index(filter(SmartStatus!B$2:B1000, AM777 = SmartStatus!A$2:A1000, not(SmartStatus!C$2:C1000), (isblank(SmartStatus!D$2:D1000)) + ((P777 &lt;&gt; """") * "&amp;"(P777 &lt; SmartStatus!D$2:D1000)), (isblank(SmartStatus!E$2:E1000)) + ((P777 &lt;&gt; """") * (P777 &gt;= SmartStatus!E$2:E1000)), (isblank(SmartStatus!F$2:F1000)) + (((Q777 &lt;&gt; """") * (Q777 &lt; SmartStatus!F$2:F1000)) + ((P777 &lt;&gt; """") * (date(year(P777) + 3, month(P"&amp;"777), day(P777)) &lt; SmartStatus!F$2:F1000))), (isblank(SmartStatus!G$2:G1000)) + (((Q777 &lt;&gt; """") * (Q777 &gt;= SmartStatus!G$2:G1000)) + ((P777 &lt;&gt; """") * (P777 &gt;= SmartStatus!G$2:G1000)))), if(or(regexmatch(B777, ""(?i)^ir [a-z]+ designation$""), N777 &lt;&gt; """&amp;"""), 1, 2))), """"), ""NO_MATCH"")"),"")</f>
        <v/>
      </c>
      <c r="AS777" s="11"/>
      <c r="AT777" s="15"/>
      <c r="AU777" s="11"/>
      <c r="AV777" s="11"/>
      <c r="AW777" s="15"/>
      <c r="AX777" s="15"/>
      <c r="AY777" s="15"/>
      <c r="AZ777" s="11"/>
      <c r="BA777" s="15"/>
      <c r="BB777" s="11"/>
      <c r="BC777" s="11"/>
      <c r="BD777" s="15"/>
      <c r="BE777" s="11"/>
      <c r="BF777" s="11"/>
      <c r="BG777" s="15"/>
      <c r="BH777" s="15"/>
      <c r="BI777" s="15"/>
      <c r="BJ777" s="11"/>
      <c r="BK777" s="15"/>
      <c r="BL777" s="11"/>
      <c r="BM777" s="11"/>
      <c r="BN777" s="15"/>
      <c r="BO777" s="11"/>
      <c r="BP777" s="11"/>
      <c r="BQ777" s="15"/>
      <c r="BR777" s="15"/>
      <c r="BS777" s="15"/>
      <c r="BT777" s="11"/>
      <c r="BU777" s="15"/>
      <c r="BV777" s="11"/>
      <c r="BW777" s="11"/>
      <c r="BX777" s="15"/>
      <c r="BY777" s="11"/>
      <c r="BZ777" s="11"/>
      <c r="CA777" s="15"/>
      <c r="CB777" s="11"/>
      <c r="CC777" s="15"/>
      <c r="CD777" s="11"/>
      <c r="CE777" s="15"/>
      <c r="CF777" s="11"/>
      <c r="CG777" s="11"/>
      <c r="CH777" s="15"/>
      <c r="CI777" s="11"/>
      <c r="CJ777" s="11"/>
      <c r="CK777" s="15"/>
      <c r="CL777" s="11"/>
      <c r="CM777" s="11"/>
      <c r="CN777" s="11"/>
      <c r="CO777" s="11"/>
      <c r="CP777" s="28"/>
      <c r="CQ777" s="28"/>
      <c r="CR777" s="11"/>
      <c r="CS777" s="29"/>
      <c r="CT777" s="11"/>
      <c r="CU777" s="11"/>
      <c r="CV777" s="11"/>
      <c r="CW777" s="11"/>
      <c r="CX777" s="11"/>
      <c r="CY777" s="11"/>
      <c r="CZ777" s="11"/>
      <c r="DA777" s="28"/>
      <c r="DB777" s="28"/>
      <c r="DC777" s="11"/>
      <c r="DD777" s="29"/>
      <c r="DE777" s="11"/>
      <c r="DF777" s="11"/>
      <c r="DG777" s="11"/>
      <c r="DH777" s="11"/>
      <c r="DI777" s="11"/>
      <c r="DJ777" s="11"/>
      <c r="DK777" s="26"/>
      <c r="DL777" s="11"/>
      <c r="DM777" s="29"/>
      <c r="DN777" s="28"/>
      <c r="DO777" s="11"/>
      <c r="DP777" s="11"/>
      <c r="DQ777" s="11"/>
      <c r="DR777" s="29"/>
      <c r="DS777" s="28"/>
      <c r="DT777" s="11"/>
      <c r="DU777" s="26"/>
      <c r="DV777" s="11"/>
      <c r="DW777" s="29"/>
      <c r="DX777" s="28"/>
      <c r="DY777" s="11"/>
      <c r="DZ777" s="26"/>
      <c r="EA777" s="11"/>
      <c r="EB777" s="29"/>
      <c r="EC777" s="28"/>
      <c r="ED777" s="30"/>
      <c r="EE777" s="30" t="str">
        <f ca="1">IFERROR(__xludf.DUMMYFUNCTION("iferror(index(filter('Internal -- Trademark Countries'!E$2:E1000, (AM777 = 'Internal -- Trademark Countries'!B$2:B1000) + (AM777 = 'Internal -- Trademark Countries'!C$2:C1000) + (AM777 = 'Internal -- Trademark Countries'!D$2:D1000)), 1))"),"")</f>
        <v/>
      </c>
      <c r="EF777" s="30" t="e">
        <f ca="1">_xludf.ifs(AM777="", "", COUNTIF('Internal -- Trademark Countries'!B:B,AM777) &gt; 0, "polity_shortest_name", COUNTIF('Internal -- Trademark Countries'!C:C,AM777) &gt; 0, "polity_full_name", COUNTIF('Internal -- Trademark Countries'!D:D,AM777) &gt; 0, "polity_common_name", COUNTIF('Internal -- Trademark Countries'!E:E,AM777) &gt; 0, "shortest_name", COUNTIF('Internal -- Trademark Countries'!A:A,AM777) &gt; 0, "full_name", TRUE, "not a match")</f>
        <v>#NAME?</v>
      </c>
      <c r="EG777" s="30"/>
      <c r="EH777" s="30"/>
      <c r="EI777" s="30"/>
      <c r="EJ777" s="30"/>
      <c r="EK777" s="30" t="str">
        <f t="shared" si="5"/>
        <v/>
      </c>
    </row>
    <row r="778" spans="1:141" ht="16.5">
      <c r="A778" s="11"/>
      <c r="B778" s="11"/>
      <c r="C778" s="11"/>
      <c r="D778" s="11"/>
      <c r="E778" s="11"/>
      <c r="F778" s="11"/>
      <c r="G778" s="11"/>
      <c r="H778" s="11"/>
      <c r="I778" s="11"/>
      <c r="J778" s="11"/>
      <c r="K778" s="27"/>
      <c r="L778" s="11"/>
      <c r="M778" s="11"/>
      <c r="N778" s="11"/>
      <c r="O778" s="11"/>
      <c r="P778" s="15"/>
      <c r="Q778" s="15"/>
      <c r="R778" s="15"/>
      <c r="S778" s="15"/>
      <c r="T778" s="15"/>
      <c r="U778" s="15"/>
      <c r="V778" s="15"/>
      <c r="W778" s="47"/>
      <c r="X778" s="11"/>
      <c r="Y778" s="48"/>
      <c r="Z778" s="11"/>
      <c r="AA778" s="48"/>
      <c r="AB778" s="11"/>
      <c r="AC778" s="48"/>
      <c r="AD778" s="11"/>
      <c r="AE778" s="47"/>
      <c r="AF778" s="11"/>
      <c r="AG778" s="48"/>
      <c r="AH778" s="11"/>
      <c r="AI778" s="48"/>
      <c r="AJ778" s="11"/>
      <c r="AK778" s="48"/>
      <c r="AL778" s="11"/>
      <c r="AM778" s="49"/>
      <c r="AN778" s="49"/>
      <c r="AO778" s="11"/>
      <c r="AP778" s="11"/>
      <c r="AQ778" s="28" t="b">
        <f>IF(COUNTIF(SmartStatus!A$2:A1000, AM778) &gt; 2, TRUE, FALSE)</f>
        <v>0</v>
      </c>
      <c r="AR778" s="29" t="str">
        <f ca="1">IFERROR(__xludf.DUMMYFUNCTION("iferror(if(regexmatch(AO778, ""(?i)^registered""), if(EE778 &lt;&gt; ""polity_shortest_name"", ""CHECK_POLITY"", index(filter(SmartStatus!B$2:B1000, AM778 = SmartStatus!A$2:A1000, not(SmartStatus!C$2:C1000), (isblank(SmartStatus!D$2:D1000)) + ((P778 &lt;&gt; """") * "&amp;"(P778 &lt; SmartStatus!D$2:D1000)), (isblank(SmartStatus!E$2:E1000)) + ((P778 &lt;&gt; """") * (P778 &gt;= SmartStatus!E$2:E1000)), (isblank(SmartStatus!F$2:F1000)) + (((Q778 &lt;&gt; """") * (Q778 &lt; SmartStatus!F$2:F1000)) + ((P778 &lt;&gt; """") * (date(year(P778) + 3, month(P"&amp;"778), day(P778)) &lt; SmartStatus!F$2:F1000))), (isblank(SmartStatus!G$2:G1000)) + (((Q778 &lt;&gt; """") * (Q778 &gt;= SmartStatus!G$2:G1000)) + ((P778 &lt;&gt; """") * (P778 &gt;= SmartStatus!G$2:G1000)))), if(or(regexmatch(B778, ""(?i)^ir [a-z]+ designation$""), N778 &lt;&gt; """&amp;"""), 1, 2))), """"), ""NO_MATCH"")"),"")</f>
        <v/>
      </c>
      <c r="AS778" s="11"/>
      <c r="AT778" s="15"/>
      <c r="AU778" s="11"/>
      <c r="AV778" s="11"/>
      <c r="AW778" s="15"/>
      <c r="AX778" s="15"/>
      <c r="AY778" s="15"/>
      <c r="AZ778" s="11"/>
      <c r="BA778" s="15"/>
      <c r="BB778" s="11"/>
      <c r="BC778" s="11"/>
      <c r="BD778" s="15"/>
      <c r="BE778" s="11"/>
      <c r="BF778" s="11"/>
      <c r="BG778" s="15"/>
      <c r="BH778" s="15"/>
      <c r="BI778" s="15"/>
      <c r="BJ778" s="11"/>
      <c r="BK778" s="15"/>
      <c r="BL778" s="11"/>
      <c r="BM778" s="11"/>
      <c r="BN778" s="15"/>
      <c r="BO778" s="11"/>
      <c r="BP778" s="11"/>
      <c r="BQ778" s="15"/>
      <c r="BR778" s="15"/>
      <c r="BS778" s="15"/>
      <c r="BT778" s="11"/>
      <c r="BU778" s="15"/>
      <c r="BV778" s="11"/>
      <c r="BW778" s="11"/>
      <c r="BX778" s="15"/>
      <c r="BY778" s="11"/>
      <c r="BZ778" s="11"/>
      <c r="CA778" s="15"/>
      <c r="CB778" s="11"/>
      <c r="CC778" s="15"/>
      <c r="CD778" s="11"/>
      <c r="CE778" s="15"/>
      <c r="CF778" s="11"/>
      <c r="CG778" s="11"/>
      <c r="CH778" s="15"/>
      <c r="CI778" s="11"/>
      <c r="CJ778" s="11"/>
      <c r="CK778" s="15"/>
      <c r="CL778" s="11"/>
      <c r="CM778" s="11"/>
      <c r="CN778" s="11"/>
      <c r="CO778" s="11"/>
      <c r="CP778" s="28"/>
      <c r="CQ778" s="28"/>
      <c r="CR778" s="11"/>
      <c r="CS778" s="29"/>
      <c r="CT778" s="11"/>
      <c r="CU778" s="11"/>
      <c r="CV778" s="11"/>
      <c r="CW778" s="11"/>
      <c r="CX778" s="11"/>
      <c r="CY778" s="11"/>
      <c r="CZ778" s="11"/>
      <c r="DA778" s="28"/>
      <c r="DB778" s="28"/>
      <c r="DC778" s="11"/>
      <c r="DD778" s="29"/>
      <c r="DE778" s="11"/>
      <c r="DF778" s="11"/>
      <c r="DG778" s="11"/>
      <c r="DH778" s="11"/>
      <c r="DI778" s="11"/>
      <c r="DJ778" s="11"/>
      <c r="DK778" s="26"/>
      <c r="DL778" s="11"/>
      <c r="DM778" s="29"/>
      <c r="DN778" s="28"/>
      <c r="DO778" s="11"/>
      <c r="DP778" s="11"/>
      <c r="DQ778" s="11"/>
      <c r="DR778" s="29"/>
      <c r="DS778" s="28"/>
      <c r="DT778" s="11"/>
      <c r="DU778" s="26"/>
      <c r="DV778" s="11"/>
      <c r="DW778" s="29"/>
      <c r="DX778" s="28"/>
      <c r="DY778" s="11"/>
      <c r="DZ778" s="26"/>
      <c r="EA778" s="11"/>
      <c r="EB778" s="29"/>
      <c r="EC778" s="28"/>
      <c r="ED778" s="30"/>
      <c r="EE778" s="30" t="str">
        <f ca="1">IFERROR(__xludf.DUMMYFUNCTION("iferror(index(filter('Internal -- Trademark Countries'!E$2:E1000, (AM778 = 'Internal -- Trademark Countries'!B$2:B1000) + (AM778 = 'Internal -- Trademark Countries'!C$2:C1000) + (AM778 = 'Internal -- Trademark Countries'!D$2:D1000)), 1))"),"")</f>
        <v/>
      </c>
      <c r="EF778" s="30" t="e">
        <f ca="1">_xludf.ifs(AM778="", "", COUNTIF('Internal -- Trademark Countries'!B:B,AM778) &gt; 0, "polity_shortest_name", COUNTIF('Internal -- Trademark Countries'!C:C,AM778) &gt; 0, "polity_full_name", COUNTIF('Internal -- Trademark Countries'!D:D,AM778) &gt; 0, "polity_common_name", COUNTIF('Internal -- Trademark Countries'!E:E,AM778) &gt; 0, "shortest_name", COUNTIF('Internal -- Trademark Countries'!A:A,AM778) &gt; 0, "full_name", TRUE, "not a match")</f>
        <v>#NAME?</v>
      </c>
      <c r="EG778" s="30"/>
      <c r="EH778" s="30"/>
      <c r="EI778" s="30"/>
      <c r="EJ778" s="30"/>
      <c r="EK778" s="30" t="str">
        <f t="shared" si="5"/>
        <v/>
      </c>
    </row>
    <row r="779" spans="1:141" ht="16.5">
      <c r="A779" s="11"/>
      <c r="B779" s="11"/>
      <c r="C779" s="11"/>
      <c r="D779" s="11"/>
      <c r="E779" s="11"/>
      <c r="F779" s="11"/>
      <c r="G779" s="11"/>
      <c r="H779" s="11"/>
      <c r="I779" s="11"/>
      <c r="J779" s="11"/>
      <c r="K779" s="27"/>
      <c r="L779" s="11"/>
      <c r="M779" s="11"/>
      <c r="N779" s="11"/>
      <c r="O779" s="11"/>
      <c r="P779" s="15"/>
      <c r="Q779" s="15"/>
      <c r="R779" s="15"/>
      <c r="S779" s="15"/>
      <c r="T779" s="15"/>
      <c r="U779" s="15"/>
      <c r="V779" s="15"/>
      <c r="W779" s="47"/>
      <c r="X779" s="11"/>
      <c r="Y779" s="48"/>
      <c r="Z779" s="11"/>
      <c r="AA779" s="48"/>
      <c r="AB779" s="11"/>
      <c r="AC779" s="48"/>
      <c r="AD779" s="11"/>
      <c r="AE779" s="47"/>
      <c r="AF779" s="11"/>
      <c r="AG779" s="48"/>
      <c r="AH779" s="11"/>
      <c r="AI779" s="48"/>
      <c r="AJ779" s="11"/>
      <c r="AK779" s="48"/>
      <c r="AL779" s="11"/>
      <c r="AM779" s="49"/>
      <c r="AN779" s="49"/>
      <c r="AO779" s="11"/>
      <c r="AP779" s="11"/>
      <c r="AQ779" s="28" t="b">
        <f>IF(COUNTIF(SmartStatus!A$2:A1000, AM779) &gt; 2, TRUE, FALSE)</f>
        <v>0</v>
      </c>
      <c r="AR779" s="29" t="str">
        <f ca="1">IFERROR(__xludf.DUMMYFUNCTION("iferror(if(regexmatch(AO779, ""(?i)^registered""), if(EE779 &lt;&gt; ""polity_shortest_name"", ""CHECK_POLITY"", index(filter(SmartStatus!B$2:B1000, AM779 = SmartStatus!A$2:A1000, not(SmartStatus!C$2:C1000), (isblank(SmartStatus!D$2:D1000)) + ((P779 &lt;&gt; """") * "&amp;"(P779 &lt; SmartStatus!D$2:D1000)), (isblank(SmartStatus!E$2:E1000)) + ((P779 &lt;&gt; """") * (P779 &gt;= SmartStatus!E$2:E1000)), (isblank(SmartStatus!F$2:F1000)) + (((Q779 &lt;&gt; """") * (Q779 &lt; SmartStatus!F$2:F1000)) + ((P779 &lt;&gt; """") * (date(year(P779) + 3, month(P"&amp;"779), day(P779)) &lt; SmartStatus!F$2:F1000))), (isblank(SmartStatus!G$2:G1000)) + (((Q779 &lt;&gt; """") * (Q779 &gt;= SmartStatus!G$2:G1000)) + ((P779 &lt;&gt; """") * (P779 &gt;= SmartStatus!G$2:G1000)))), if(or(regexmatch(B779, ""(?i)^ir [a-z]+ designation$""), N779 &lt;&gt; """&amp;"""), 1, 2))), """"), ""NO_MATCH"")"),"")</f>
        <v/>
      </c>
      <c r="AS779" s="11"/>
      <c r="AT779" s="15"/>
      <c r="AU779" s="11"/>
      <c r="AV779" s="11"/>
      <c r="AW779" s="15"/>
      <c r="AX779" s="15"/>
      <c r="AY779" s="15"/>
      <c r="AZ779" s="11"/>
      <c r="BA779" s="15"/>
      <c r="BB779" s="11"/>
      <c r="BC779" s="11"/>
      <c r="BD779" s="15"/>
      <c r="BE779" s="11"/>
      <c r="BF779" s="11"/>
      <c r="BG779" s="15"/>
      <c r="BH779" s="15"/>
      <c r="BI779" s="15"/>
      <c r="BJ779" s="11"/>
      <c r="BK779" s="15"/>
      <c r="BL779" s="11"/>
      <c r="BM779" s="11"/>
      <c r="BN779" s="15"/>
      <c r="BO779" s="11"/>
      <c r="BP779" s="11"/>
      <c r="BQ779" s="15"/>
      <c r="BR779" s="15"/>
      <c r="BS779" s="15"/>
      <c r="BT779" s="11"/>
      <c r="BU779" s="15"/>
      <c r="BV779" s="11"/>
      <c r="BW779" s="11"/>
      <c r="BX779" s="15"/>
      <c r="BY779" s="11"/>
      <c r="BZ779" s="11"/>
      <c r="CA779" s="15"/>
      <c r="CB779" s="11"/>
      <c r="CC779" s="15"/>
      <c r="CD779" s="11"/>
      <c r="CE779" s="15"/>
      <c r="CF779" s="11"/>
      <c r="CG779" s="11"/>
      <c r="CH779" s="15"/>
      <c r="CI779" s="11"/>
      <c r="CJ779" s="11"/>
      <c r="CK779" s="15"/>
      <c r="CL779" s="11"/>
      <c r="CM779" s="11"/>
      <c r="CN779" s="11"/>
      <c r="CO779" s="11"/>
      <c r="CP779" s="28"/>
      <c r="CQ779" s="28"/>
      <c r="CR779" s="11"/>
      <c r="CS779" s="29"/>
      <c r="CT779" s="11"/>
      <c r="CU779" s="11"/>
      <c r="CV779" s="11"/>
      <c r="CW779" s="11"/>
      <c r="CX779" s="11"/>
      <c r="CY779" s="11"/>
      <c r="CZ779" s="11"/>
      <c r="DA779" s="28"/>
      <c r="DB779" s="28"/>
      <c r="DC779" s="11"/>
      <c r="DD779" s="29"/>
      <c r="DE779" s="11"/>
      <c r="DF779" s="11"/>
      <c r="DG779" s="11"/>
      <c r="DH779" s="11"/>
      <c r="DI779" s="11"/>
      <c r="DJ779" s="11"/>
      <c r="DK779" s="26"/>
      <c r="DL779" s="11"/>
      <c r="DM779" s="29"/>
      <c r="DN779" s="28"/>
      <c r="DO779" s="11"/>
      <c r="DP779" s="11"/>
      <c r="DQ779" s="11"/>
      <c r="DR779" s="29"/>
      <c r="DS779" s="28"/>
      <c r="DT779" s="11"/>
      <c r="DU779" s="26"/>
      <c r="DV779" s="11"/>
      <c r="DW779" s="29"/>
      <c r="DX779" s="28"/>
      <c r="DY779" s="11"/>
      <c r="DZ779" s="26"/>
      <c r="EA779" s="11"/>
      <c r="EB779" s="29"/>
      <c r="EC779" s="28"/>
      <c r="ED779" s="30"/>
      <c r="EE779" s="30" t="str">
        <f ca="1">IFERROR(__xludf.DUMMYFUNCTION("iferror(index(filter('Internal -- Trademark Countries'!E$2:E1000, (AM779 = 'Internal -- Trademark Countries'!B$2:B1000) + (AM779 = 'Internal -- Trademark Countries'!C$2:C1000) + (AM779 = 'Internal -- Trademark Countries'!D$2:D1000)), 1))"),"")</f>
        <v/>
      </c>
      <c r="EF779" s="30" t="e">
        <f ca="1">_xludf.ifs(AM779="", "", COUNTIF('Internal -- Trademark Countries'!B:B,AM779) &gt; 0, "polity_shortest_name", COUNTIF('Internal -- Trademark Countries'!C:C,AM779) &gt; 0, "polity_full_name", COUNTIF('Internal -- Trademark Countries'!D:D,AM779) &gt; 0, "polity_common_name", COUNTIF('Internal -- Trademark Countries'!E:E,AM779) &gt; 0, "shortest_name", COUNTIF('Internal -- Trademark Countries'!A:A,AM779) &gt; 0, "full_name", TRUE, "not a match")</f>
        <v>#NAME?</v>
      </c>
      <c r="EG779" s="30"/>
      <c r="EH779" s="30"/>
      <c r="EI779" s="30"/>
      <c r="EJ779" s="30"/>
      <c r="EK779" s="30" t="str">
        <f t="shared" si="5"/>
        <v/>
      </c>
    </row>
    <row r="780" spans="1:141" ht="16.5">
      <c r="A780" s="11"/>
      <c r="B780" s="11"/>
      <c r="C780" s="11"/>
      <c r="D780" s="11"/>
      <c r="E780" s="11"/>
      <c r="F780" s="11"/>
      <c r="G780" s="11"/>
      <c r="H780" s="11"/>
      <c r="I780" s="11"/>
      <c r="J780" s="11"/>
      <c r="K780" s="27"/>
      <c r="L780" s="11"/>
      <c r="M780" s="11"/>
      <c r="N780" s="11"/>
      <c r="O780" s="11"/>
      <c r="P780" s="15"/>
      <c r="Q780" s="15"/>
      <c r="R780" s="15"/>
      <c r="S780" s="15"/>
      <c r="T780" s="15"/>
      <c r="U780" s="15"/>
      <c r="V780" s="15"/>
      <c r="W780" s="47"/>
      <c r="X780" s="11"/>
      <c r="Y780" s="48"/>
      <c r="Z780" s="11"/>
      <c r="AA780" s="48"/>
      <c r="AB780" s="11"/>
      <c r="AC780" s="48"/>
      <c r="AD780" s="11"/>
      <c r="AE780" s="47"/>
      <c r="AF780" s="11"/>
      <c r="AG780" s="48"/>
      <c r="AH780" s="11"/>
      <c r="AI780" s="48"/>
      <c r="AJ780" s="11"/>
      <c r="AK780" s="48"/>
      <c r="AL780" s="11"/>
      <c r="AM780" s="49"/>
      <c r="AN780" s="49"/>
      <c r="AO780" s="11"/>
      <c r="AP780" s="11"/>
      <c r="AQ780" s="28" t="b">
        <f>IF(COUNTIF(SmartStatus!A$2:A1000, AM780) &gt; 2, TRUE, FALSE)</f>
        <v>0</v>
      </c>
      <c r="AR780" s="29" t="str">
        <f ca="1">IFERROR(__xludf.DUMMYFUNCTION("iferror(if(regexmatch(AO780, ""(?i)^registered""), if(EE780 &lt;&gt; ""polity_shortest_name"", ""CHECK_POLITY"", index(filter(SmartStatus!B$2:B1000, AM780 = SmartStatus!A$2:A1000, not(SmartStatus!C$2:C1000), (isblank(SmartStatus!D$2:D1000)) + ((P780 &lt;&gt; """") * "&amp;"(P780 &lt; SmartStatus!D$2:D1000)), (isblank(SmartStatus!E$2:E1000)) + ((P780 &lt;&gt; """") * (P780 &gt;= SmartStatus!E$2:E1000)), (isblank(SmartStatus!F$2:F1000)) + (((Q780 &lt;&gt; """") * (Q780 &lt; SmartStatus!F$2:F1000)) + ((P780 &lt;&gt; """") * (date(year(P780) + 3, month(P"&amp;"780), day(P780)) &lt; SmartStatus!F$2:F1000))), (isblank(SmartStatus!G$2:G1000)) + (((Q780 &lt;&gt; """") * (Q780 &gt;= SmartStatus!G$2:G1000)) + ((P780 &lt;&gt; """") * (P780 &gt;= SmartStatus!G$2:G1000)))), if(or(regexmatch(B780, ""(?i)^ir [a-z]+ designation$""), N780 &lt;&gt; """&amp;"""), 1, 2))), """"), ""NO_MATCH"")"),"")</f>
        <v/>
      </c>
      <c r="AS780" s="11"/>
      <c r="AT780" s="15"/>
      <c r="AU780" s="11"/>
      <c r="AV780" s="11"/>
      <c r="AW780" s="15"/>
      <c r="AX780" s="15"/>
      <c r="AY780" s="15"/>
      <c r="AZ780" s="11"/>
      <c r="BA780" s="15"/>
      <c r="BB780" s="11"/>
      <c r="BC780" s="11"/>
      <c r="BD780" s="15"/>
      <c r="BE780" s="11"/>
      <c r="BF780" s="11"/>
      <c r="BG780" s="15"/>
      <c r="BH780" s="15"/>
      <c r="BI780" s="15"/>
      <c r="BJ780" s="11"/>
      <c r="BK780" s="15"/>
      <c r="BL780" s="11"/>
      <c r="BM780" s="11"/>
      <c r="BN780" s="15"/>
      <c r="BO780" s="11"/>
      <c r="BP780" s="11"/>
      <c r="BQ780" s="15"/>
      <c r="BR780" s="15"/>
      <c r="BS780" s="15"/>
      <c r="BT780" s="11"/>
      <c r="BU780" s="15"/>
      <c r="BV780" s="11"/>
      <c r="BW780" s="11"/>
      <c r="BX780" s="15"/>
      <c r="BY780" s="11"/>
      <c r="BZ780" s="11"/>
      <c r="CA780" s="15"/>
      <c r="CB780" s="11"/>
      <c r="CC780" s="15"/>
      <c r="CD780" s="11"/>
      <c r="CE780" s="15"/>
      <c r="CF780" s="11"/>
      <c r="CG780" s="11"/>
      <c r="CH780" s="15"/>
      <c r="CI780" s="11"/>
      <c r="CJ780" s="11"/>
      <c r="CK780" s="15"/>
      <c r="CL780" s="11"/>
      <c r="CM780" s="11"/>
      <c r="CN780" s="11"/>
      <c r="CO780" s="11"/>
      <c r="CP780" s="28"/>
      <c r="CQ780" s="28"/>
      <c r="CR780" s="11"/>
      <c r="CS780" s="29"/>
      <c r="CT780" s="11"/>
      <c r="CU780" s="11"/>
      <c r="CV780" s="11"/>
      <c r="CW780" s="11"/>
      <c r="CX780" s="11"/>
      <c r="CY780" s="11"/>
      <c r="CZ780" s="11"/>
      <c r="DA780" s="28"/>
      <c r="DB780" s="28"/>
      <c r="DC780" s="11"/>
      <c r="DD780" s="29"/>
      <c r="DE780" s="11"/>
      <c r="DF780" s="11"/>
      <c r="DG780" s="11"/>
      <c r="DH780" s="11"/>
      <c r="DI780" s="11"/>
      <c r="DJ780" s="11"/>
      <c r="DK780" s="26"/>
      <c r="DL780" s="11"/>
      <c r="DM780" s="29"/>
      <c r="DN780" s="28"/>
      <c r="DO780" s="11"/>
      <c r="DP780" s="11"/>
      <c r="DQ780" s="11"/>
      <c r="DR780" s="29"/>
      <c r="DS780" s="28"/>
      <c r="DT780" s="11"/>
      <c r="DU780" s="26"/>
      <c r="DV780" s="11"/>
      <c r="DW780" s="29"/>
      <c r="DX780" s="28"/>
      <c r="DY780" s="11"/>
      <c r="DZ780" s="26"/>
      <c r="EA780" s="11"/>
      <c r="EB780" s="29"/>
      <c r="EC780" s="28"/>
      <c r="ED780" s="30"/>
      <c r="EE780" s="30" t="str">
        <f ca="1">IFERROR(__xludf.DUMMYFUNCTION("iferror(index(filter('Internal -- Trademark Countries'!E$2:E1000, (AM780 = 'Internal -- Trademark Countries'!B$2:B1000) + (AM780 = 'Internal -- Trademark Countries'!C$2:C1000) + (AM780 = 'Internal -- Trademark Countries'!D$2:D1000)), 1))"),"")</f>
        <v/>
      </c>
      <c r="EF780" s="30" t="e">
        <f ca="1">_xludf.ifs(AM780="", "", COUNTIF('Internal -- Trademark Countries'!B:B,AM780) &gt; 0, "polity_shortest_name", COUNTIF('Internal -- Trademark Countries'!C:C,AM780) &gt; 0, "polity_full_name", COUNTIF('Internal -- Trademark Countries'!D:D,AM780) &gt; 0, "polity_common_name", COUNTIF('Internal -- Trademark Countries'!E:E,AM780) &gt; 0, "shortest_name", COUNTIF('Internal -- Trademark Countries'!A:A,AM780) &gt; 0, "full_name", TRUE, "not a match")</f>
        <v>#NAME?</v>
      </c>
      <c r="EG780" s="30"/>
      <c r="EH780" s="30"/>
      <c r="EI780" s="30"/>
      <c r="EJ780" s="30"/>
      <c r="EK780" s="30" t="str">
        <f t="shared" si="5"/>
        <v/>
      </c>
    </row>
    <row r="781" spans="1:141" ht="16.5">
      <c r="A781" s="11"/>
      <c r="B781" s="11"/>
      <c r="C781" s="11"/>
      <c r="D781" s="11"/>
      <c r="E781" s="11"/>
      <c r="F781" s="11"/>
      <c r="G781" s="11"/>
      <c r="H781" s="11"/>
      <c r="I781" s="11"/>
      <c r="J781" s="11"/>
      <c r="K781" s="27"/>
      <c r="L781" s="11"/>
      <c r="M781" s="11"/>
      <c r="N781" s="11"/>
      <c r="O781" s="11"/>
      <c r="P781" s="15"/>
      <c r="Q781" s="15"/>
      <c r="R781" s="15"/>
      <c r="S781" s="15"/>
      <c r="T781" s="15"/>
      <c r="U781" s="15"/>
      <c r="V781" s="15"/>
      <c r="W781" s="47"/>
      <c r="X781" s="11"/>
      <c r="Y781" s="48"/>
      <c r="Z781" s="11"/>
      <c r="AA781" s="48"/>
      <c r="AB781" s="11"/>
      <c r="AC781" s="48"/>
      <c r="AD781" s="11"/>
      <c r="AE781" s="47"/>
      <c r="AF781" s="11"/>
      <c r="AG781" s="48"/>
      <c r="AH781" s="11"/>
      <c r="AI781" s="48"/>
      <c r="AJ781" s="11"/>
      <c r="AK781" s="48"/>
      <c r="AL781" s="11"/>
      <c r="AM781" s="49"/>
      <c r="AN781" s="49"/>
      <c r="AO781" s="11"/>
      <c r="AP781" s="11"/>
      <c r="AQ781" s="28" t="b">
        <f>IF(COUNTIF(SmartStatus!A$2:A1000, AM781) &gt; 2, TRUE, FALSE)</f>
        <v>0</v>
      </c>
      <c r="AR781" s="29" t="str">
        <f ca="1">IFERROR(__xludf.DUMMYFUNCTION("iferror(if(regexmatch(AO781, ""(?i)^registered""), if(EE781 &lt;&gt; ""polity_shortest_name"", ""CHECK_POLITY"", index(filter(SmartStatus!B$2:B1000, AM781 = SmartStatus!A$2:A1000, not(SmartStatus!C$2:C1000), (isblank(SmartStatus!D$2:D1000)) + ((P781 &lt;&gt; """") * "&amp;"(P781 &lt; SmartStatus!D$2:D1000)), (isblank(SmartStatus!E$2:E1000)) + ((P781 &lt;&gt; """") * (P781 &gt;= SmartStatus!E$2:E1000)), (isblank(SmartStatus!F$2:F1000)) + (((Q781 &lt;&gt; """") * (Q781 &lt; SmartStatus!F$2:F1000)) + ((P781 &lt;&gt; """") * (date(year(P781) + 3, month(P"&amp;"781), day(P781)) &lt; SmartStatus!F$2:F1000))), (isblank(SmartStatus!G$2:G1000)) + (((Q781 &lt;&gt; """") * (Q781 &gt;= SmartStatus!G$2:G1000)) + ((P781 &lt;&gt; """") * (P781 &gt;= SmartStatus!G$2:G1000)))), if(or(regexmatch(B781, ""(?i)^ir [a-z]+ designation$""), N781 &lt;&gt; """&amp;"""), 1, 2))), """"), ""NO_MATCH"")"),"")</f>
        <v/>
      </c>
      <c r="AS781" s="11"/>
      <c r="AT781" s="15"/>
      <c r="AU781" s="11"/>
      <c r="AV781" s="11"/>
      <c r="AW781" s="15"/>
      <c r="AX781" s="15"/>
      <c r="AY781" s="15"/>
      <c r="AZ781" s="11"/>
      <c r="BA781" s="15"/>
      <c r="BB781" s="11"/>
      <c r="BC781" s="11"/>
      <c r="BD781" s="15"/>
      <c r="BE781" s="11"/>
      <c r="BF781" s="11"/>
      <c r="BG781" s="15"/>
      <c r="BH781" s="15"/>
      <c r="BI781" s="15"/>
      <c r="BJ781" s="11"/>
      <c r="BK781" s="15"/>
      <c r="BL781" s="11"/>
      <c r="BM781" s="11"/>
      <c r="BN781" s="15"/>
      <c r="BO781" s="11"/>
      <c r="BP781" s="11"/>
      <c r="BQ781" s="15"/>
      <c r="BR781" s="15"/>
      <c r="BS781" s="15"/>
      <c r="BT781" s="11"/>
      <c r="BU781" s="15"/>
      <c r="BV781" s="11"/>
      <c r="BW781" s="11"/>
      <c r="BX781" s="15"/>
      <c r="BY781" s="11"/>
      <c r="BZ781" s="11"/>
      <c r="CA781" s="15"/>
      <c r="CB781" s="11"/>
      <c r="CC781" s="15"/>
      <c r="CD781" s="11"/>
      <c r="CE781" s="15"/>
      <c r="CF781" s="11"/>
      <c r="CG781" s="11"/>
      <c r="CH781" s="15"/>
      <c r="CI781" s="11"/>
      <c r="CJ781" s="11"/>
      <c r="CK781" s="15"/>
      <c r="CL781" s="11"/>
      <c r="CM781" s="11"/>
      <c r="CN781" s="11"/>
      <c r="CO781" s="11"/>
      <c r="CP781" s="28"/>
      <c r="CQ781" s="28"/>
      <c r="CR781" s="11"/>
      <c r="CS781" s="29"/>
      <c r="CT781" s="11"/>
      <c r="CU781" s="11"/>
      <c r="CV781" s="11"/>
      <c r="CW781" s="11"/>
      <c r="CX781" s="11"/>
      <c r="CY781" s="11"/>
      <c r="CZ781" s="11"/>
      <c r="DA781" s="28"/>
      <c r="DB781" s="28"/>
      <c r="DC781" s="11"/>
      <c r="DD781" s="29"/>
      <c r="DE781" s="11"/>
      <c r="DF781" s="11"/>
      <c r="DG781" s="11"/>
      <c r="DH781" s="11"/>
      <c r="DI781" s="11"/>
      <c r="DJ781" s="11"/>
      <c r="DK781" s="26"/>
      <c r="DL781" s="11"/>
      <c r="DM781" s="29"/>
      <c r="DN781" s="28"/>
      <c r="DO781" s="11"/>
      <c r="DP781" s="11"/>
      <c r="DQ781" s="11"/>
      <c r="DR781" s="29"/>
      <c r="DS781" s="28"/>
      <c r="DT781" s="11"/>
      <c r="DU781" s="26"/>
      <c r="DV781" s="11"/>
      <c r="DW781" s="29"/>
      <c r="DX781" s="28"/>
      <c r="DY781" s="11"/>
      <c r="DZ781" s="26"/>
      <c r="EA781" s="11"/>
      <c r="EB781" s="29"/>
      <c r="EC781" s="28"/>
      <c r="ED781" s="30"/>
      <c r="EE781" s="30" t="str">
        <f ca="1">IFERROR(__xludf.DUMMYFUNCTION("iferror(index(filter('Internal -- Trademark Countries'!E$2:E1000, (AM781 = 'Internal -- Trademark Countries'!B$2:B1000) + (AM781 = 'Internal -- Trademark Countries'!C$2:C1000) + (AM781 = 'Internal -- Trademark Countries'!D$2:D1000)), 1))"),"")</f>
        <v/>
      </c>
      <c r="EF781" s="30" t="e">
        <f ca="1">_xludf.ifs(AM781="", "", COUNTIF('Internal -- Trademark Countries'!B:B,AM781) &gt; 0, "polity_shortest_name", COUNTIF('Internal -- Trademark Countries'!C:C,AM781) &gt; 0, "polity_full_name", COUNTIF('Internal -- Trademark Countries'!D:D,AM781) &gt; 0, "polity_common_name", COUNTIF('Internal -- Trademark Countries'!E:E,AM781) &gt; 0, "shortest_name", COUNTIF('Internal -- Trademark Countries'!A:A,AM781) &gt; 0, "full_name", TRUE, "not a match")</f>
        <v>#NAME?</v>
      </c>
      <c r="EG781" s="30"/>
      <c r="EH781" s="30"/>
      <c r="EI781" s="30"/>
      <c r="EJ781" s="30"/>
      <c r="EK781" s="30" t="str">
        <f t="shared" si="5"/>
        <v/>
      </c>
    </row>
    <row r="782" spans="1:141" ht="16.5">
      <c r="A782" s="11"/>
      <c r="B782" s="11"/>
      <c r="C782" s="11"/>
      <c r="D782" s="11"/>
      <c r="E782" s="11"/>
      <c r="F782" s="11"/>
      <c r="G782" s="11"/>
      <c r="H782" s="11"/>
      <c r="I782" s="11"/>
      <c r="J782" s="11"/>
      <c r="K782" s="27"/>
      <c r="L782" s="11"/>
      <c r="M782" s="11"/>
      <c r="N782" s="11"/>
      <c r="O782" s="11"/>
      <c r="P782" s="15"/>
      <c r="Q782" s="15"/>
      <c r="R782" s="15"/>
      <c r="S782" s="15"/>
      <c r="T782" s="15"/>
      <c r="U782" s="15"/>
      <c r="V782" s="15"/>
      <c r="W782" s="47"/>
      <c r="X782" s="11"/>
      <c r="Y782" s="48"/>
      <c r="Z782" s="11"/>
      <c r="AA782" s="48"/>
      <c r="AB782" s="11"/>
      <c r="AC782" s="48"/>
      <c r="AD782" s="11"/>
      <c r="AE782" s="47"/>
      <c r="AF782" s="11"/>
      <c r="AG782" s="48"/>
      <c r="AH782" s="11"/>
      <c r="AI782" s="48"/>
      <c r="AJ782" s="11"/>
      <c r="AK782" s="48"/>
      <c r="AL782" s="11"/>
      <c r="AM782" s="49"/>
      <c r="AN782" s="49"/>
      <c r="AO782" s="11"/>
      <c r="AP782" s="11"/>
      <c r="AQ782" s="28" t="b">
        <f>IF(COUNTIF(SmartStatus!A$2:A1000, AM782) &gt; 2, TRUE, FALSE)</f>
        <v>0</v>
      </c>
      <c r="AR782" s="29" t="str">
        <f ca="1">IFERROR(__xludf.DUMMYFUNCTION("iferror(if(regexmatch(AO782, ""(?i)^registered""), if(EE782 &lt;&gt; ""polity_shortest_name"", ""CHECK_POLITY"", index(filter(SmartStatus!B$2:B1000, AM782 = SmartStatus!A$2:A1000, not(SmartStatus!C$2:C1000), (isblank(SmartStatus!D$2:D1000)) + ((P782 &lt;&gt; """") * "&amp;"(P782 &lt; SmartStatus!D$2:D1000)), (isblank(SmartStatus!E$2:E1000)) + ((P782 &lt;&gt; """") * (P782 &gt;= SmartStatus!E$2:E1000)), (isblank(SmartStatus!F$2:F1000)) + (((Q782 &lt;&gt; """") * (Q782 &lt; SmartStatus!F$2:F1000)) + ((P782 &lt;&gt; """") * (date(year(P782) + 3, month(P"&amp;"782), day(P782)) &lt; SmartStatus!F$2:F1000))), (isblank(SmartStatus!G$2:G1000)) + (((Q782 &lt;&gt; """") * (Q782 &gt;= SmartStatus!G$2:G1000)) + ((P782 &lt;&gt; """") * (P782 &gt;= SmartStatus!G$2:G1000)))), if(or(regexmatch(B782, ""(?i)^ir [a-z]+ designation$""), N782 &lt;&gt; """&amp;"""), 1, 2))), """"), ""NO_MATCH"")"),"")</f>
        <v/>
      </c>
      <c r="AS782" s="11"/>
      <c r="AT782" s="15"/>
      <c r="AU782" s="11"/>
      <c r="AV782" s="11"/>
      <c r="AW782" s="15"/>
      <c r="AX782" s="15"/>
      <c r="AY782" s="15"/>
      <c r="AZ782" s="11"/>
      <c r="BA782" s="15"/>
      <c r="BB782" s="11"/>
      <c r="BC782" s="11"/>
      <c r="BD782" s="15"/>
      <c r="BE782" s="11"/>
      <c r="BF782" s="11"/>
      <c r="BG782" s="15"/>
      <c r="BH782" s="15"/>
      <c r="BI782" s="15"/>
      <c r="BJ782" s="11"/>
      <c r="BK782" s="15"/>
      <c r="BL782" s="11"/>
      <c r="BM782" s="11"/>
      <c r="BN782" s="15"/>
      <c r="BO782" s="11"/>
      <c r="BP782" s="11"/>
      <c r="BQ782" s="15"/>
      <c r="BR782" s="15"/>
      <c r="BS782" s="15"/>
      <c r="BT782" s="11"/>
      <c r="BU782" s="15"/>
      <c r="BV782" s="11"/>
      <c r="BW782" s="11"/>
      <c r="BX782" s="15"/>
      <c r="BY782" s="11"/>
      <c r="BZ782" s="11"/>
      <c r="CA782" s="15"/>
      <c r="CB782" s="11"/>
      <c r="CC782" s="15"/>
      <c r="CD782" s="11"/>
      <c r="CE782" s="15"/>
      <c r="CF782" s="11"/>
      <c r="CG782" s="11"/>
      <c r="CH782" s="15"/>
      <c r="CI782" s="11"/>
      <c r="CJ782" s="11"/>
      <c r="CK782" s="15"/>
      <c r="CL782" s="11"/>
      <c r="CM782" s="11"/>
      <c r="CN782" s="11"/>
      <c r="CO782" s="11"/>
      <c r="CP782" s="28"/>
      <c r="CQ782" s="28"/>
      <c r="CR782" s="11"/>
      <c r="CS782" s="29"/>
      <c r="CT782" s="11"/>
      <c r="CU782" s="11"/>
      <c r="CV782" s="11"/>
      <c r="CW782" s="11"/>
      <c r="CX782" s="11"/>
      <c r="CY782" s="11"/>
      <c r="CZ782" s="11"/>
      <c r="DA782" s="28"/>
      <c r="DB782" s="28"/>
      <c r="DC782" s="11"/>
      <c r="DD782" s="29"/>
      <c r="DE782" s="11"/>
      <c r="DF782" s="11"/>
      <c r="DG782" s="11"/>
      <c r="DH782" s="11"/>
      <c r="DI782" s="11"/>
      <c r="DJ782" s="11"/>
      <c r="DK782" s="26"/>
      <c r="DL782" s="11"/>
      <c r="DM782" s="29"/>
      <c r="DN782" s="28"/>
      <c r="DO782" s="11"/>
      <c r="DP782" s="11"/>
      <c r="DQ782" s="11"/>
      <c r="DR782" s="29"/>
      <c r="DS782" s="28"/>
      <c r="DT782" s="11"/>
      <c r="DU782" s="26"/>
      <c r="DV782" s="11"/>
      <c r="DW782" s="29"/>
      <c r="DX782" s="28"/>
      <c r="DY782" s="11"/>
      <c r="DZ782" s="26"/>
      <c r="EA782" s="11"/>
      <c r="EB782" s="29"/>
      <c r="EC782" s="28"/>
      <c r="ED782" s="30"/>
      <c r="EE782" s="30" t="str">
        <f ca="1">IFERROR(__xludf.DUMMYFUNCTION("iferror(index(filter('Internal -- Trademark Countries'!E$2:E1000, (AM782 = 'Internal -- Trademark Countries'!B$2:B1000) + (AM782 = 'Internal -- Trademark Countries'!C$2:C1000) + (AM782 = 'Internal -- Trademark Countries'!D$2:D1000)), 1))"),"")</f>
        <v/>
      </c>
      <c r="EF782" s="30" t="e">
        <f ca="1">_xludf.ifs(AM782="", "", COUNTIF('Internal -- Trademark Countries'!B:B,AM782) &gt; 0, "polity_shortest_name", COUNTIF('Internal -- Trademark Countries'!C:C,AM782) &gt; 0, "polity_full_name", COUNTIF('Internal -- Trademark Countries'!D:D,AM782) &gt; 0, "polity_common_name", COUNTIF('Internal -- Trademark Countries'!E:E,AM782) &gt; 0, "shortest_name", COUNTIF('Internal -- Trademark Countries'!A:A,AM782) &gt; 0, "full_name", TRUE, "not a match")</f>
        <v>#NAME?</v>
      </c>
      <c r="EG782" s="30"/>
      <c r="EH782" s="30"/>
      <c r="EI782" s="30"/>
      <c r="EJ782" s="30"/>
      <c r="EK782" s="30" t="str">
        <f t="shared" si="5"/>
        <v/>
      </c>
    </row>
    <row r="783" spans="1:141" ht="16.5">
      <c r="A783" s="11"/>
      <c r="B783" s="11"/>
      <c r="C783" s="11"/>
      <c r="D783" s="11"/>
      <c r="E783" s="11"/>
      <c r="F783" s="11"/>
      <c r="G783" s="11"/>
      <c r="H783" s="11"/>
      <c r="I783" s="11"/>
      <c r="J783" s="11"/>
      <c r="K783" s="27"/>
      <c r="L783" s="11"/>
      <c r="M783" s="11"/>
      <c r="N783" s="11"/>
      <c r="O783" s="11"/>
      <c r="P783" s="15"/>
      <c r="Q783" s="15"/>
      <c r="R783" s="15"/>
      <c r="S783" s="15"/>
      <c r="T783" s="15"/>
      <c r="U783" s="15"/>
      <c r="V783" s="15"/>
      <c r="W783" s="47"/>
      <c r="X783" s="11"/>
      <c r="Y783" s="48"/>
      <c r="Z783" s="11"/>
      <c r="AA783" s="48"/>
      <c r="AB783" s="11"/>
      <c r="AC783" s="48"/>
      <c r="AD783" s="11"/>
      <c r="AE783" s="47"/>
      <c r="AF783" s="11"/>
      <c r="AG783" s="48"/>
      <c r="AH783" s="11"/>
      <c r="AI783" s="48"/>
      <c r="AJ783" s="11"/>
      <c r="AK783" s="48"/>
      <c r="AL783" s="11"/>
      <c r="AM783" s="49"/>
      <c r="AN783" s="49"/>
      <c r="AO783" s="11"/>
      <c r="AP783" s="11"/>
      <c r="AQ783" s="28" t="b">
        <f>IF(COUNTIF(SmartStatus!A$2:A1000, AM783) &gt; 2, TRUE, FALSE)</f>
        <v>0</v>
      </c>
      <c r="AR783" s="29" t="str">
        <f ca="1">IFERROR(__xludf.DUMMYFUNCTION("iferror(if(regexmatch(AO783, ""(?i)^registered""), if(EE783 &lt;&gt; ""polity_shortest_name"", ""CHECK_POLITY"", index(filter(SmartStatus!B$2:B1000, AM783 = SmartStatus!A$2:A1000, not(SmartStatus!C$2:C1000), (isblank(SmartStatus!D$2:D1000)) + ((P783 &lt;&gt; """") * "&amp;"(P783 &lt; SmartStatus!D$2:D1000)), (isblank(SmartStatus!E$2:E1000)) + ((P783 &lt;&gt; """") * (P783 &gt;= SmartStatus!E$2:E1000)), (isblank(SmartStatus!F$2:F1000)) + (((Q783 &lt;&gt; """") * (Q783 &lt; SmartStatus!F$2:F1000)) + ((P783 &lt;&gt; """") * (date(year(P783) + 3, month(P"&amp;"783), day(P783)) &lt; SmartStatus!F$2:F1000))), (isblank(SmartStatus!G$2:G1000)) + (((Q783 &lt;&gt; """") * (Q783 &gt;= SmartStatus!G$2:G1000)) + ((P783 &lt;&gt; """") * (P783 &gt;= SmartStatus!G$2:G1000)))), if(or(regexmatch(B783, ""(?i)^ir [a-z]+ designation$""), N783 &lt;&gt; """&amp;"""), 1, 2))), """"), ""NO_MATCH"")"),"")</f>
        <v/>
      </c>
      <c r="AS783" s="11"/>
      <c r="AT783" s="15"/>
      <c r="AU783" s="11"/>
      <c r="AV783" s="11"/>
      <c r="AW783" s="15"/>
      <c r="AX783" s="15"/>
      <c r="AY783" s="15"/>
      <c r="AZ783" s="11"/>
      <c r="BA783" s="15"/>
      <c r="BB783" s="11"/>
      <c r="BC783" s="11"/>
      <c r="BD783" s="15"/>
      <c r="BE783" s="11"/>
      <c r="BF783" s="11"/>
      <c r="BG783" s="15"/>
      <c r="BH783" s="15"/>
      <c r="BI783" s="15"/>
      <c r="BJ783" s="11"/>
      <c r="BK783" s="15"/>
      <c r="BL783" s="11"/>
      <c r="BM783" s="11"/>
      <c r="BN783" s="15"/>
      <c r="BO783" s="11"/>
      <c r="BP783" s="11"/>
      <c r="BQ783" s="15"/>
      <c r="BR783" s="15"/>
      <c r="BS783" s="15"/>
      <c r="BT783" s="11"/>
      <c r="BU783" s="15"/>
      <c r="BV783" s="11"/>
      <c r="BW783" s="11"/>
      <c r="BX783" s="15"/>
      <c r="BY783" s="11"/>
      <c r="BZ783" s="11"/>
      <c r="CA783" s="15"/>
      <c r="CB783" s="11"/>
      <c r="CC783" s="15"/>
      <c r="CD783" s="11"/>
      <c r="CE783" s="15"/>
      <c r="CF783" s="11"/>
      <c r="CG783" s="11"/>
      <c r="CH783" s="15"/>
      <c r="CI783" s="11"/>
      <c r="CJ783" s="11"/>
      <c r="CK783" s="15"/>
      <c r="CL783" s="11"/>
      <c r="CM783" s="11"/>
      <c r="CN783" s="11"/>
      <c r="CO783" s="11"/>
      <c r="CP783" s="28"/>
      <c r="CQ783" s="28"/>
      <c r="CR783" s="11"/>
      <c r="CS783" s="29"/>
      <c r="CT783" s="11"/>
      <c r="CU783" s="11"/>
      <c r="CV783" s="11"/>
      <c r="CW783" s="11"/>
      <c r="CX783" s="11"/>
      <c r="CY783" s="11"/>
      <c r="CZ783" s="11"/>
      <c r="DA783" s="28"/>
      <c r="DB783" s="28"/>
      <c r="DC783" s="11"/>
      <c r="DD783" s="29"/>
      <c r="DE783" s="11"/>
      <c r="DF783" s="11"/>
      <c r="DG783" s="11"/>
      <c r="DH783" s="11"/>
      <c r="DI783" s="11"/>
      <c r="DJ783" s="11"/>
      <c r="DK783" s="26"/>
      <c r="DL783" s="11"/>
      <c r="DM783" s="29"/>
      <c r="DN783" s="28"/>
      <c r="DO783" s="11"/>
      <c r="DP783" s="11"/>
      <c r="DQ783" s="11"/>
      <c r="DR783" s="29"/>
      <c r="DS783" s="28"/>
      <c r="DT783" s="11"/>
      <c r="DU783" s="26"/>
      <c r="DV783" s="11"/>
      <c r="DW783" s="29"/>
      <c r="DX783" s="28"/>
      <c r="DY783" s="11"/>
      <c r="DZ783" s="26"/>
      <c r="EA783" s="11"/>
      <c r="EB783" s="29"/>
      <c r="EC783" s="28"/>
      <c r="ED783" s="30"/>
      <c r="EE783" s="30" t="str">
        <f ca="1">IFERROR(__xludf.DUMMYFUNCTION("iferror(index(filter('Internal -- Trademark Countries'!E$2:E1000, (AM783 = 'Internal -- Trademark Countries'!B$2:B1000) + (AM783 = 'Internal -- Trademark Countries'!C$2:C1000) + (AM783 = 'Internal -- Trademark Countries'!D$2:D1000)), 1))"),"")</f>
        <v/>
      </c>
      <c r="EF783" s="30" t="e">
        <f ca="1">_xludf.ifs(AM783="", "", COUNTIF('Internal -- Trademark Countries'!B:B,AM783) &gt; 0, "polity_shortest_name", COUNTIF('Internal -- Trademark Countries'!C:C,AM783) &gt; 0, "polity_full_name", COUNTIF('Internal -- Trademark Countries'!D:D,AM783) &gt; 0, "polity_common_name", COUNTIF('Internal -- Trademark Countries'!E:E,AM783) &gt; 0, "shortest_name", COUNTIF('Internal -- Trademark Countries'!A:A,AM783) &gt; 0, "full_name", TRUE, "not a match")</f>
        <v>#NAME?</v>
      </c>
      <c r="EG783" s="30"/>
      <c r="EH783" s="30"/>
      <c r="EI783" s="30"/>
      <c r="EJ783" s="30"/>
      <c r="EK783" s="30" t="str">
        <f t="shared" si="5"/>
        <v/>
      </c>
    </row>
    <row r="784" spans="1:141" ht="16.5">
      <c r="A784" s="11"/>
      <c r="B784" s="11"/>
      <c r="C784" s="11"/>
      <c r="D784" s="11"/>
      <c r="E784" s="11"/>
      <c r="F784" s="11"/>
      <c r="G784" s="11"/>
      <c r="H784" s="11"/>
      <c r="I784" s="11"/>
      <c r="J784" s="11"/>
      <c r="K784" s="27"/>
      <c r="L784" s="11"/>
      <c r="M784" s="11"/>
      <c r="N784" s="11"/>
      <c r="O784" s="11"/>
      <c r="P784" s="15"/>
      <c r="Q784" s="15"/>
      <c r="R784" s="15"/>
      <c r="S784" s="15"/>
      <c r="T784" s="15"/>
      <c r="U784" s="15"/>
      <c r="V784" s="15"/>
      <c r="W784" s="47"/>
      <c r="X784" s="11"/>
      <c r="Y784" s="48"/>
      <c r="Z784" s="11"/>
      <c r="AA784" s="48"/>
      <c r="AB784" s="11"/>
      <c r="AC784" s="48"/>
      <c r="AD784" s="11"/>
      <c r="AE784" s="47"/>
      <c r="AF784" s="11"/>
      <c r="AG784" s="48"/>
      <c r="AH784" s="11"/>
      <c r="AI784" s="48"/>
      <c r="AJ784" s="11"/>
      <c r="AK784" s="48"/>
      <c r="AL784" s="11"/>
      <c r="AM784" s="49"/>
      <c r="AN784" s="49"/>
      <c r="AO784" s="11"/>
      <c r="AP784" s="11"/>
      <c r="AQ784" s="28" t="b">
        <f>IF(COUNTIF(SmartStatus!A$2:A1000, AM784) &gt; 2, TRUE, FALSE)</f>
        <v>0</v>
      </c>
      <c r="AR784" s="29" t="str">
        <f ca="1">IFERROR(__xludf.DUMMYFUNCTION("iferror(if(regexmatch(AO784, ""(?i)^registered""), if(EE784 &lt;&gt; ""polity_shortest_name"", ""CHECK_POLITY"", index(filter(SmartStatus!B$2:B1000, AM784 = SmartStatus!A$2:A1000, not(SmartStatus!C$2:C1000), (isblank(SmartStatus!D$2:D1000)) + ((P784 &lt;&gt; """") * "&amp;"(P784 &lt; SmartStatus!D$2:D1000)), (isblank(SmartStatus!E$2:E1000)) + ((P784 &lt;&gt; """") * (P784 &gt;= SmartStatus!E$2:E1000)), (isblank(SmartStatus!F$2:F1000)) + (((Q784 &lt;&gt; """") * (Q784 &lt; SmartStatus!F$2:F1000)) + ((P784 &lt;&gt; """") * (date(year(P784) + 3, month(P"&amp;"784), day(P784)) &lt; SmartStatus!F$2:F1000))), (isblank(SmartStatus!G$2:G1000)) + (((Q784 &lt;&gt; """") * (Q784 &gt;= SmartStatus!G$2:G1000)) + ((P784 &lt;&gt; """") * (P784 &gt;= SmartStatus!G$2:G1000)))), if(or(regexmatch(B784, ""(?i)^ir [a-z]+ designation$""), N784 &lt;&gt; """&amp;"""), 1, 2))), """"), ""NO_MATCH"")"),"")</f>
        <v/>
      </c>
      <c r="AS784" s="11"/>
      <c r="AT784" s="15"/>
      <c r="AU784" s="11"/>
      <c r="AV784" s="11"/>
      <c r="AW784" s="15"/>
      <c r="AX784" s="15"/>
      <c r="AY784" s="15"/>
      <c r="AZ784" s="11"/>
      <c r="BA784" s="15"/>
      <c r="BB784" s="11"/>
      <c r="BC784" s="11"/>
      <c r="BD784" s="15"/>
      <c r="BE784" s="11"/>
      <c r="BF784" s="11"/>
      <c r="BG784" s="15"/>
      <c r="BH784" s="15"/>
      <c r="BI784" s="15"/>
      <c r="BJ784" s="11"/>
      <c r="BK784" s="15"/>
      <c r="BL784" s="11"/>
      <c r="BM784" s="11"/>
      <c r="BN784" s="15"/>
      <c r="BO784" s="11"/>
      <c r="BP784" s="11"/>
      <c r="BQ784" s="15"/>
      <c r="BR784" s="15"/>
      <c r="BS784" s="15"/>
      <c r="BT784" s="11"/>
      <c r="BU784" s="15"/>
      <c r="BV784" s="11"/>
      <c r="BW784" s="11"/>
      <c r="BX784" s="15"/>
      <c r="BY784" s="11"/>
      <c r="BZ784" s="11"/>
      <c r="CA784" s="15"/>
      <c r="CB784" s="11"/>
      <c r="CC784" s="15"/>
      <c r="CD784" s="11"/>
      <c r="CE784" s="15"/>
      <c r="CF784" s="11"/>
      <c r="CG784" s="11"/>
      <c r="CH784" s="15"/>
      <c r="CI784" s="11"/>
      <c r="CJ784" s="11"/>
      <c r="CK784" s="15"/>
      <c r="CL784" s="11"/>
      <c r="CM784" s="11"/>
      <c r="CN784" s="11"/>
      <c r="CO784" s="11"/>
      <c r="CP784" s="28"/>
      <c r="CQ784" s="28"/>
      <c r="CR784" s="11"/>
      <c r="CS784" s="29"/>
      <c r="CT784" s="11"/>
      <c r="CU784" s="11"/>
      <c r="CV784" s="11"/>
      <c r="CW784" s="11"/>
      <c r="CX784" s="11"/>
      <c r="CY784" s="11"/>
      <c r="CZ784" s="11"/>
      <c r="DA784" s="28"/>
      <c r="DB784" s="28"/>
      <c r="DC784" s="11"/>
      <c r="DD784" s="29"/>
      <c r="DE784" s="11"/>
      <c r="DF784" s="11"/>
      <c r="DG784" s="11"/>
      <c r="DH784" s="11"/>
      <c r="DI784" s="11"/>
      <c r="DJ784" s="11"/>
      <c r="DK784" s="26"/>
      <c r="DL784" s="11"/>
      <c r="DM784" s="29"/>
      <c r="DN784" s="28"/>
      <c r="DO784" s="11"/>
      <c r="DP784" s="11"/>
      <c r="DQ784" s="11"/>
      <c r="DR784" s="29"/>
      <c r="DS784" s="28"/>
      <c r="DT784" s="11"/>
      <c r="DU784" s="26"/>
      <c r="DV784" s="11"/>
      <c r="DW784" s="29"/>
      <c r="DX784" s="28"/>
      <c r="DY784" s="11"/>
      <c r="DZ784" s="26"/>
      <c r="EA784" s="11"/>
      <c r="EB784" s="29"/>
      <c r="EC784" s="28"/>
      <c r="ED784" s="30"/>
      <c r="EE784" s="30" t="str">
        <f ca="1">IFERROR(__xludf.DUMMYFUNCTION("iferror(index(filter('Internal -- Trademark Countries'!E$2:E1000, (AM784 = 'Internal -- Trademark Countries'!B$2:B1000) + (AM784 = 'Internal -- Trademark Countries'!C$2:C1000) + (AM784 = 'Internal -- Trademark Countries'!D$2:D1000)), 1))"),"")</f>
        <v/>
      </c>
      <c r="EF784" s="30" t="e">
        <f ca="1">_xludf.ifs(AM784="", "", COUNTIF('Internal -- Trademark Countries'!B:B,AM784) &gt; 0, "polity_shortest_name", COUNTIF('Internal -- Trademark Countries'!C:C,AM784) &gt; 0, "polity_full_name", COUNTIF('Internal -- Trademark Countries'!D:D,AM784) &gt; 0, "polity_common_name", COUNTIF('Internal -- Trademark Countries'!E:E,AM784) &gt; 0, "shortest_name", COUNTIF('Internal -- Trademark Countries'!A:A,AM784) &gt; 0, "full_name", TRUE, "not a match")</f>
        <v>#NAME?</v>
      </c>
      <c r="EG784" s="30"/>
      <c r="EH784" s="30"/>
      <c r="EI784" s="30"/>
      <c r="EJ784" s="30"/>
      <c r="EK784" s="30" t="str">
        <f t="shared" si="5"/>
        <v/>
      </c>
    </row>
    <row r="785" spans="1:141" ht="16.5">
      <c r="A785" s="11"/>
      <c r="B785" s="11"/>
      <c r="C785" s="11"/>
      <c r="D785" s="11"/>
      <c r="E785" s="11"/>
      <c r="F785" s="11"/>
      <c r="G785" s="11"/>
      <c r="H785" s="11"/>
      <c r="I785" s="11"/>
      <c r="J785" s="11"/>
      <c r="K785" s="27"/>
      <c r="L785" s="11"/>
      <c r="M785" s="11"/>
      <c r="N785" s="11"/>
      <c r="O785" s="11"/>
      <c r="P785" s="15"/>
      <c r="Q785" s="15"/>
      <c r="R785" s="15"/>
      <c r="S785" s="15"/>
      <c r="T785" s="15"/>
      <c r="U785" s="15"/>
      <c r="V785" s="15"/>
      <c r="W785" s="47"/>
      <c r="X785" s="11"/>
      <c r="Y785" s="48"/>
      <c r="Z785" s="11"/>
      <c r="AA785" s="48"/>
      <c r="AB785" s="11"/>
      <c r="AC785" s="48"/>
      <c r="AD785" s="11"/>
      <c r="AE785" s="47"/>
      <c r="AF785" s="11"/>
      <c r="AG785" s="48"/>
      <c r="AH785" s="11"/>
      <c r="AI785" s="48"/>
      <c r="AJ785" s="11"/>
      <c r="AK785" s="48"/>
      <c r="AL785" s="11"/>
      <c r="AM785" s="49"/>
      <c r="AN785" s="49"/>
      <c r="AO785" s="11"/>
      <c r="AP785" s="11"/>
      <c r="AQ785" s="28" t="b">
        <f>IF(COUNTIF(SmartStatus!A$2:A1000, AM785) &gt; 2, TRUE, FALSE)</f>
        <v>0</v>
      </c>
      <c r="AR785" s="29" t="str">
        <f ca="1">IFERROR(__xludf.DUMMYFUNCTION("iferror(if(regexmatch(AO785, ""(?i)^registered""), if(EE785 &lt;&gt; ""polity_shortest_name"", ""CHECK_POLITY"", index(filter(SmartStatus!B$2:B1000, AM785 = SmartStatus!A$2:A1000, not(SmartStatus!C$2:C1000), (isblank(SmartStatus!D$2:D1000)) + ((P785 &lt;&gt; """") * "&amp;"(P785 &lt; SmartStatus!D$2:D1000)), (isblank(SmartStatus!E$2:E1000)) + ((P785 &lt;&gt; """") * (P785 &gt;= SmartStatus!E$2:E1000)), (isblank(SmartStatus!F$2:F1000)) + (((Q785 &lt;&gt; """") * (Q785 &lt; SmartStatus!F$2:F1000)) + ((P785 &lt;&gt; """") * (date(year(P785) + 3, month(P"&amp;"785), day(P785)) &lt; SmartStatus!F$2:F1000))), (isblank(SmartStatus!G$2:G1000)) + (((Q785 &lt;&gt; """") * (Q785 &gt;= SmartStatus!G$2:G1000)) + ((P785 &lt;&gt; """") * (P785 &gt;= SmartStatus!G$2:G1000)))), if(or(regexmatch(B785, ""(?i)^ir [a-z]+ designation$""), N785 &lt;&gt; """&amp;"""), 1, 2))), """"), ""NO_MATCH"")"),"")</f>
        <v/>
      </c>
      <c r="AS785" s="11"/>
      <c r="AT785" s="15"/>
      <c r="AU785" s="11"/>
      <c r="AV785" s="11"/>
      <c r="AW785" s="15"/>
      <c r="AX785" s="15"/>
      <c r="AY785" s="15"/>
      <c r="AZ785" s="11"/>
      <c r="BA785" s="15"/>
      <c r="BB785" s="11"/>
      <c r="BC785" s="11"/>
      <c r="BD785" s="15"/>
      <c r="BE785" s="11"/>
      <c r="BF785" s="11"/>
      <c r="BG785" s="15"/>
      <c r="BH785" s="15"/>
      <c r="BI785" s="15"/>
      <c r="BJ785" s="11"/>
      <c r="BK785" s="15"/>
      <c r="BL785" s="11"/>
      <c r="BM785" s="11"/>
      <c r="BN785" s="15"/>
      <c r="BO785" s="11"/>
      <c r="BP785" s="11"/>
      <c r="BQ785" s="15"/>
      <c r="BR785" s="15"/>
      <c r="BS785" s="15"/>
      <c r="BT785" s="11"/>
      <c r="BU785" s="15"/>
      <c r="BV785" s="11"/>
      <c r="BW785" s="11"/>
      <c r="BX785" s="15"/>
      <c r="BY785" s="11"/>
      <c r="BZ785" s="11"/>
      <c r="CA785" s="15"/>
      <c r="CB785" s="11"/>
      <c r="CC785" s="15"/>
      <c r="CD785" s="11"/>
      <c r="CE785" s="15"/>
      <c r="CF785" s="11"/>
      <c r="CG785" s="11"/>
      <c r="CH785" s="15"/>
      <c r="CI785" s="11"/>
      <c r="CJ785" s="11"/>
      <c r="CK785" s="15"/>
      <c r="CL785" s="11"/>
      <c r="CM785" s="11"/>
      <c r="CN785" s="11"/>
      <c r="CO785" s="11"/>
      <c r="CP785" s="28"/>
      <c r="CQ785" s="28"/>
      <c r="CR785" s="11"/>
      <c r="CS785" s="29"/>
      <c r="CT785" s="11"/>
      <c r="CU785" s="11"/>
      <c r="CV785" s="11"/>
      <c r="CW785" s="11"/>
      <c r="CX785" s="11"/>
      <c r="CY785" s="11"/>
      <c r="CZ785" s="11"/>
      <c r="DA785" s="28"/>
      <c r="DB785" s="28"/>
      <c r="DC785" s="11"/>
      <c r="DD785" s="29"/>
      <c r="DE785" s="11"/>
      <c r="DF785" s="11"/>
      <c r="DG785" s="11"/>
      <c r="DH785" s="11"/>
      <c r="DI785" s="11"/>
      <c r="DJ785" s="11"/>
      <c r="DK785" s="26"/>
      <c r="DL785" s="11"/>
      <c r="DM785" s="29"/>
      <c r="DN785" s="28"/>
      <c r="DO785" s="11"/>
      <c r="DP785" s="11"/>
      <c r="DQ785" s="11"/>
      <c r="DR785" s="29"/>
      <c r="DS785" s="28"/>
      <c r="DT785" s="11"/>
      <c r="DU785" s="26"/>
      <c r="DV785" s="11"/>
      <c r="DW785" s="29"/>
      <c r="DX785" s="28"/>
      <c r="DY785" s="11"/>
      <c r="DZ785" s="26"/>
      <c r="EA785" s="11"/>
      <c r="EB785" s="29"/>
      <c r="EC785" s="28"/>
      <c r="ED785" s="30"/>
      <c r="EE785" s="30" t="str">
        <f ca="1">IFERROR(__xludf.DUMMYFUNCTION("iferror(index(filter('Internal -- Trademark Countries'!E$2:E1000, (AM785 = 'Internal -- Trademark Countries'!B$2:B1000) + (AM785 = 'Internal -- Trademark Countries'!C$2:C1000) + (AM785 = 'Internal -- Trademark Countries'!D$2:D1000)), 1))"),"")</f>
        <v/>
      </c>
      <c r="EF785" s="30" t="e">
        <f ca="1">_xludf.ifs(AM785="", "", COUNTIF('Internal -- Trademark Countries'!B:B,AM785) &gt; 0, "polity_shortest_name", COUNTIF('Internal -- Trademark Countries'!C:C,AM785) &gt; 0, "polity_full_name", COUNTIF('Internal -- Trademark Countries'!D:D,AM785) &gt; 0, "polity_common_name", COUNTIF('Internal -- Trademark Countries'!E:E,AM785) &gt; 0, "shortest_name", COUNTIF('Internal -- Trademark Countries'!A:A,AM785) &gt; 0, "full_name", TRUE, "not a match")</f>
        <v>#NAME?</v>
      </c>
      <c r="EG785" s="30"/>
      <c r="EH785" s="30"/>
      <c r="EI785" s="30"/>
      <c r="EJ785" s="30"/>
      <c r="EK785" s="30" t="str">
        <f t="shared" si="5"/>
        <v/>
      </c>
    </row>
    <row r="786" spans="1:141" ht="16.5">
      <c r="A786" s="11"/>
      <c r="B786" s="11"/>
      <c r="C786" s="11"/>
      <c r="D786" s="11"/>
      <c r="E786" s="11"/>
      <c r="F786" s="11"/>
      <c r="G786" s="11"/>
      <c r="H786" s="11"/>
      <c r="I786" s="11"/>
      <c r="J786" s="11"/>
      <c r="K786" s="27"/>
      <c r="L786" s="11"/>
      <c r="M786" s="11"/>
      <c r="N786" s="11"/>
      <c r="O786" s="11"/>
      <c r="P786" s="15"/>
      <c r="Q786" s="15"/>
      <c r="R786" s="15"/>
      <c r="S786" s="15"/>
      <c r="T786" s="15"/>
      <c r="U786" s="15"/>
      <c r="V786" s="15"/>
      <c r="W786" s="47"/>
      <c r="X786" s="11"/>
      <c r="Y786" s="48"/>
      <c r="Z786" s="11"/>
      <c r="AA786" s="48"/>
      <c r="AB786" s="11"/>
      <c r="AC786" s="48"/>
      <c r="AD786" s="11"/>
      <c r="AE786" s="47"/>
      <c r="AF786" s="11"/>
      <c r="AG786" s="48"/>
      <c r="AH786" s="11"/>
      <c r="AI786" s="48"/>
      <c r="AJ786" s="11"/>
      <c r="AK786" s="48"/>
      <c r="AL786" s="11"/>
      <c r="AM786" s="49"/>
      <c r="AN786" s="49"/>
      <c r="AO786" s="11"/>
      <c r="AP786" s="11"/>
      <c r="AQ786" s="28" t="b">
        <f>IF(COUNTIF(SmartStatus!A$2:A1000, AM786) &gt; 2, TRUE, FALSE)</f>
        <v>0</v>
      </c>
      <c r="AR786" s="29" t="str">
        <f ca="1">IFERROR(__xludf.DUMMYFUNCTION("iferror(if(regexmatch(AO786, ""(?i)^registered""), if(EE786 &lt;&gt; ""polity_shortest_name"", ""CHECK_POLITY"", index(filter(SmartStatus!B$2:B1000, AM786 = SmartStatus!A$2:A1000, not(SmartStatus!C$2:C1000), (isblank(SmartStatus!D$2:D1000)) + ((P786 &lt;&gt; """") * "&amp;"(P786 &lt; SmartStatus!D$2:D1000)), (isblank(SmartStatus!E$2:E1000)) + ((P786 &lt;&gt; """") * (P786 &gt;= SmartStatus!E$2:E1000)), (isblank(SmartStatus!F$2:F1000)) + (((Q786 &lt;&gt; """") * (Q786 &lt; SmartStatus!F$2:F1000)) + ((P786 &lt;&gt; """") * (date(year(P786) + 3, month(P"&amp;"786), day(P786)) &lt; SmartStatus!F$2:F1000))), (isblank(SmartStatus!G$2:G1000)) + (((Q786 &lt;&gt; """") * (Q786 &gt;= SmartStatus!G$2:G1000)) + ((P786 &lt;&gt; """") * (P786 &gt;= SmartStatus!G$2:G1000)))), if(or(regexmatch(B786, ""(?i)^ir [a-z]+ designation$""), N786 &lt;&gt; """&amp;"""), 1, 2))), """"), ""NO_MATCH"")"),"")</f>
        <v/>
      </c>
      <c r="AS786" s="11"/>
      <c r="AT786" s="15"/>
      <c r="AU786" s="11"/>
      <c r="AV786" s="11"/>
      <c r="AW786" s="15"/>
      <c r="AX786" s="15"/>
      <c r="AY786" s="15"/>
      <c r="AZ786" s="11"/>
      <c r="BA786" s="15"/>
      <c r="BB786" s="11"/>
      <c r="BC786" s="11"/>
      <c r="BD786" s="15"/>
      <c r="BE786" s="11"/>
      <c r="BF786" s="11"/>
      <c r="BG786" s="15"/>
      <c r="BH786" s="15"/>
      <c r="BI786" s="15"/>
      <c r="BJ786" s="11"/>
      <c r="BK786" s="15"/>
      <c r="BL786" s="11"/>
      <c r="BM786" s="11"/>
      <c r="BN786" s="15"/>
      <c r="BO786" s="11"/>
      <c r="BP786" s="11"/>
      <c r="BQ786" s="15"/>
      <c r="BR786" s="15"/>
      <c r="BS786" s="15"/>
      <c r="BT786" s="11"/>
      <c r="BU786" s="15"/>
      <c r="BV786" s="11"/>
      <c r="BW786" s="11"/>
      <c r="BX786" s="15"/>
      <c r="BY786" s="11"/>
      <c r="BZ786" s="11"/>
      <c r="CA786" s="15"/>
      <c r="CB786" s="11"/>
      <c r="CC786" s="15"/>
      <c r="CD786" s="11"/>
      <c r="CE786" s="15"/>
      <c r="CF786" s="11"/>
      <c r="CG786" s="11"/>
      <c r="CH786" s="15"/>
      <c r="CI786" s="11"/>
      <c r="CJ786" s="11"/>
      <c r="CK786" s="15"/>
      <c r="CL786" s="11"/>
      <c r="CM786" s="11"/>
      <c r="CN786" s="11"/>
      <c r="CO786" s="11"/>
      <c r="CP786" s="28"/>
      <c r="CQ786" s="28"/>
      <c r="CR786" s="11"/>
      <c r="CS786" s="29"/>
      <c r="CT786" s="11"/>
      <c r="CU786" s="11"/>
      <c r="CV786" s="11"/>
      <c r="CW786" s="11"/>
      <c r="CX786" s="11"/>
      <c r="CY786" s="11"/>
      <c r="CZ786" s="11"/>
      <c r="DA786" s="28"/>
      <c r="DB786" s="28"/>
      <c r="DC786" s="11"/>
      <c r="DD786" s="29"/>
      <c r="DE786" s="11"/>
      <c r="DF786" s="11"/>
      <c r="DG786" s="11"/>
      <c r="DH786" s="11"/>
      <c r="DI786" s="11"/>
      <c r="DJ786" s="11"/>
      <c r="DK786" s="26"/>
      <c r="DL786" s="11"/>
      <c r="DM786" s="29"/>
      <c r="DN786" s="28"/>
      <c r="DO786" s="11"/>
      <c r="DP786" s="11"/>
      <c r="DQ786" s="11"/>
      <c r="DR786" s="29"/>
      <c r="DS786" s="28"/>
      <c r="DT786" s="11"/>
      <c r="DU786" s="26"/>
      <c r="DV786" s="11"/>
      <c r="DW786" s="29"/>
      <c r="DX786" s="28"/>
      <c r="DY786" s="11"/>
      <c r="DZ786" s="26"/>
      <c r="EA786" s="11"/>
      <c r="EB786" s="29"/>
      <c r="EC786" s="28"/>
      <c r="ED786" s="30"/>
      <c r="EE786" s="30" t="str">
        <f ca="1">IFERROR(__xludf.DUMMYFUNCTION("iferror(index(filter('Internal -- Trademark Countries'!E$2:E1000, (AM786 = 'Internal -- Trademark Countries'!B$2:B1000) + (AM786 = 'Internal -- Trademark Countries'!C$2:C1000) + (AM786 = 'Internal -- Trademark Countries'!D$2:D1000)), 1))"),"")</f>
        <v/>
      </c>
      <c r="EF786" s="30" t="e">
        <f ca="1">_xludf.ifs(AM786="", "", COUNTIF('Internal -- Trademark Countries'!B:B,AM786) &gt; 0, "polity_shortest_name", COUNTIF('Internal -- Trademark Countries'!C:C,AM786) &gt; 0, "polity_full_name", COUNTIF('Internal -- Trademark Countries'!D:D,AM786) &gt; 0, "polity_common_name", COUNTIF('Internal -- Trademark Countries'!E:E,AM786) &gt; 0, "shortest_name", COUNTIF('Internal -- Trademark Countries'!A:A,AM786) &gt; 0, "full_name", TRUE, "not a match")</f>
        <v>#NAME?</v>
      </c>
      <c r="EG786" s="30"/>
      <c r="EH786" s="30"/>
      <c r="EI786" s="30"/>
      <c r="EJ786" s="30"/>
      <c r="EK786" s="30" t="str">
        <f t="shared" si="5"/>
        <v/>
      </c>
    </row>
    <row r="787" spans="1:141" ht="16.5">
      <c r="A787" s="11"/>
      <c r="B787" s="11"/>
      <c r="C787" s="11"/>
      <c r="D787" s="11"/>
      <c r="E787" s="11"/>
      <c r="F787" s="11"/>
      <c r="G787" s="11"/>
      <c r="H787" s="11"/>
      <c r="I787" s="11"/>
      <c r="J787" s="11"/>
      <c r="K787" s="27"/>
      <c r="L787" s="11"/>
      <c r="M787" s="11"/>
      <c r="N787" s="11"/>
      <c r="O787" s="11"/>
      <c r="P787" s="15"/>
      <c r="Q787" s="15"/>
      <c r="R787" s="15"/>
      <c r="S787" s="15"/>
      <c r="T787" s="15"/>
      <c r="U787" s="15"/>
      <c r="V787" s="15"/>
      <c r="W787" s="47"/>
      <c r="X787" s="11"/>
      <c r="Y787" s="48"/>
      <c r="Z787" s="11"/>
      <c r="AA787" s="48"/>
      <c r="AB787" s="11"/>
      <c r="AC787" s="48"/>
      <c r="AD787" s="11"/>
      <c r="AE787" s="47"/>
      <c r="AF787" s="11"/>
      <c r="AG787" s="48"/>
      <c r="AH787" s="11"/>
      <c r="AI787" s="48"/>
      <c r="AJ787" s="11"/>
      <c r="AK787" s="48"/>
      <c r="AL787" s="11"/>
      <c r="AM787" s="49"/>
      <c r="AN787" s="49"/>
      <c r="AO787" s="11"/>
      <c r="AP787" s="11"/>
      <c r="AQ787" s="28" t="b">
        <f>IF(COUNTIF(SmartStatus!A$2:A1000, AM787) &gt; 2, TRUE, FALSE)</f>
        <v>0</v>
      </c>
      <c r="AR787" s="29" t="str">
        <f ca="1">IFERROR(__xludf.DUMMYFUNCTION("iferror(if(regexmatch(AO787, ""(?i)^registered""), if(EE787 &lt;&gt; ""polity_shortest_name"", ""CHECK_POLITY"", index(filter(SmartStatus!B$2:B1000, AM787 = SmartStatus!A$2:A1000, not(SmartStatus!C$2:C1000), (isblank(SmartStatus!D$2:D1000)) + ((P787 &lt;&gt; """") * "&amp;"(P787 &lt; SmartStatus!D$2:D1000)), (isblank(SmartStatus!E$2:E1000)) + ((P787 &lt;&gt; """") * (P787 &gt;= SmartStatus!E$2:E1000)), (isblank(SmartStatus!F$2:F1000)) + (((Q787 &lt;&gt; """") * (Q787 &lt; SmartStatus!F$2:F1000)) + ((P787 &lt;&gt; """") * (date(year(P787) + 3, month(P"&amp;"787), day(P787)) &lt; SmartStatus!F$2:F1000))), (isblank(SmartStatus!G$2:G1000)) + (((Q787 &lt;&gt; """") * (Q787 &gt;= SmartStatus!G$2:G1000)) + ((P787 &lt;&gt; """") * (P787 &gt;= SmartStatus!G$2:G1000)))), if(or(regexmatch(B787, ""(?i)^ir [a-z]+ designation$""), N787 &lt;&gt; """&amp;"""), 1, 2))), """"), ""NO_MATCH"")"),"")</f>
        <v/>
      </c>
      <c r="AS787" s="11"/>
      <c r="AT787" s="15"/>
      <c r="AU787" s="11"/>
      <c r="AV787" s="11"/>
      <c r="AW787" s="15"/>
      <c r="AX787" s="15"/>
      <c r="AY787" s="15"/>
      <c r="AZ787" s="11"/>
      <c r="BA787" s="15"/>
      <c r="BB787" s="11"/>
      <c r="BC787" s="11"/>
      <c r="BD787" s="15"/>
      <c r="BE787" s="11"/>
      <c r="BF787" s="11"/>
      <c r="BG787" s="15"/>
      <c r="BH787" s="15"/>
      <c r="BI787" s="15"/>
      <c r="BJ787" s="11"/>
      <c r="BK787" s="15"/>
      <c r="BL787" s="11"/>
      <c r="BM787" s="11"/>
      <c r="BN787" s="15"/>
      <c r="BO787" s="11"/>
      <c r="BP787" s="11"/>
      <c r="BQ787" s="15"/>
      <c r="BR787" s="15"/>
      <c r="BS787" s="15"/>
      <c r="BT787" s="11"/>
      <c r="BU787" s="15"/>
      <c r="BV787" s="11"/>
      <c r="BW787" s="11"/>
      <c r="BX787" s="15"/>
      <c r="BY787" s="11"/>
      <c r="BZ787" s="11"/>
      <c r="CA787" s="15"/>
      <c r="CB787" s="11"/>
      <c r="CC787" s="15"/>
      <c r="CD787" s="11"/>
      <c r="CE787" s="15"/>
      <c r="CF787" s="11"/>
      <c r="CG787" s="11"/>
      <c r="CH787" s="15"/>
      <c r="CI787" s="11"/>
      <c r="CJ787" s="11"/>
      <c r="CK787" s="15"/>
      <c r="CL787" s="11"/>
      <c r="CM787" s="11"/>
      <c r="CN787" s="11"/>
      <c r="CO787" s="11"/>
      <c r="CP787" s="28"/>
      <c r="CQ787" s="28"/>
      <c r="CR787" s="11"/>
      <c r="CS787" s="29"/>
      <c r="CT787" s="11"/>
      <c r="CU787" s="11"/>
      <c r="CV787" s="11"/>
      <c r="CW787" s="11"/>
      <c r="CX787" s="11"/>
      <c r="CY787" s="11"/>
      <c r="CZ787" s="11"/>
      <c r="DA787" s="28"/>
      <c r="DB787" s="28"/>
      <c r="DC787" s="11"/>
      <c r="DD787" s="29"/>
      <c r="DE787" s="11"/>
      <c r="DF787" s="11"/>
      <c r="DG787" s="11"/>
      <c r="DH787" s="11"/>
      <c r="DI787" s="11"/>
      <c r="DJ787" s="11"/>
      <c r="DK787" s="26"/>
      <c r="DL787" s="11"/>
      <c r="DM787" s="29"/>
      <c r="DN787" s="28"/>
      <c r="DO787" s="11"/>
      <c r="DP787" s="11"/>
      <c r="DQ787" s="11"/>
      <c r="DR787" s="29"/>
      <c r="DS787" s="28"/>
      <c r="DT787" s="11"/>
      <c r="DU787" s="26"/>
      <c r="DV787" s="11"/>
      <c r="DW787" s="29"/>
      <c r="DX787" s="28"/>
      <c r="DY787" s="11"/>
      <c r="DZ787" s="26"/>
      <c r="EA787" s="11"/>
      <c r="EB787" s="29"/>
      <c r="EC787" s="28"/>
      <c r="ED787" s="30"/>
      <c r="EE787" s="30" t="str">
        <f ca="1">IFERROR(__xludf.DUMMYFUNCTION("iferror(index(filter('Internal -- Trademark Countries'!E$2:E1000, (AM787 = 'Internal -- Trademark Countries'!B$2:B1000) + (AM787 = 'Internal -- Trademark Countries'!C$2:C1000) + (AM787 = 'Internal -- Trademark Countries'!D$2:D1000)), 1))"),"")</f>
        <v/>
      </c>
      <c r="EF787" s="30" t="e">
        <f ca="1">_xludf.ifs(AM787="", "", COUNTIF('Internal -- Trademark Countries'!B:B,AM787) &gt; 0, "polity_shortest_name", COUNTIF('Internal -- Trademark Countries'!C:C,AM787) &gt; 0, "polity_full_name", COUNTIF('Internal -- Trademark Countries'!D:D,AM787) &gt; 0, "polity_common_name", COUNTIF('Internal -- Trademark Countries'!E:E,AM787) &gt; 0, "shortest_name", COUNTIF('Internal -- Trademark Countries'!A:A,AM787) &gt; 0, "full_name", TRUE, "not a match")</f>
        <v>#NAME?</v>
      </c>
      <c r="EG787" s="30"/>
      <c r="EH787" s="30"/>
      <c r="EI787" s="30"/>
      <c r="EJ787" s="30"/>
      <c r="EK787" s="30" t="str">
        <f t="shared" si="5"/>
        <v/>
      </c>
    </row>
    <row r="788" spans="1:141" ht="16.5">
      <c r="A788" s="11"/>
      <c r="B788" s="11"/>
      <c r="C788" s="11"/>
      <c r="D788" s="11"/>
      <c r="E788" s="11"/>
      <c r="F788" s="11"/>
      <c r="G788" s="11"/>
      <c r="H788" s="11"/>
      <c r="I788" s="11"/>
      <c r="J788" s="11"/>
      <c r="K788" s="27"/>
      <c r="L788" s="11"/>
      <c r="M788" s="11"/>
      <c r="N788" s="11"/>
      <c r="O788" s="11"/>
      <c r="P788" s="15"/>
      <c r="Q788" s="15"/>
      <c r="R788" s="15"/>
      <c r="S788" s="15"/>
      <c r="T788" s="15"/>
      <c r="U788" s="15"/>
      <c r="V788" s="15"/>
      <c r="W788" s="47"/>
      <c r="X788" s="11"/>
      <c r="Y788" s="48"/>
      <c r="Z788" s="11"/>
      <c r="AA788" s="48"/>
      <c r="AB788" s="11"/>
      <c r="AC788" s="48"/>
      <c r="AD788" s="11"/>
      <c r="AE788" s="47"/>
      <c r="AF788" s="11"/>
      <c r="AG788" s="48"/>
      <c r="AH788" s="11"/>
      <c r="AI788" s="48"/>
      <c r="AJ788" s="11"/>
      <c r="AK788" s="48"/>
      <c r="AL788" s="11"/>
      <c r="AM788" s="49"/>
      <c r="AN788" s="49"/>
      <c r="AO788" s="11"/>
      <c r="AP788" s="11"/>
      <c r="AQ788" s="28" t="b">
        <f>IF(COUNTIF(SmartStatus!A$2:A1000, AM788) &gt; 2, TRUE, FALSE)</f>
        <v>0</v>
      </c>
      <c r="AR788" s="29" t="str">
        <f ca="1">IFERROR(__xludf.DUMMYFUNCTION("iferror(if(regexmatch(AO788, ""(?i)^registered""), if(EE788 &lt;&gt; ""polity_shortest_name"", ""CHECK_POLITY"", index(filter(SmartStatus!B$2:B1000, AM788 = SmartStatus!A$2:A1000, not(SmartStatus!C$2:C1000), (isblank(SmartStatus!D$2:D1000)) + ((P788 &lt;&gt; """") * "&amp;"(P788 &lt; SmartStatus!D$2:D1000)), (isblank(SmartStatus!E$2:E1000)) + ((P788 &lt;&gt; """") * (P788 &gt;= SmartStatus!E$2:E1000)), (isblank(SmartStatus!F$2:F1000)) + (((Q788 &lt;&gt; """") * (Q788 &lt; SmartStatus!F$2:F1000)) + ((P788 &lt;&gt; """") * (date(year(P788) + 3, month(P"&amp;"788), day(P788)) &lt; SmartStatus!F$2:F1000))), (isblank(SmartStatus!G$2:G1000)) + (((Q788 &lt;&gt; """") * (Q788 &gt;= SmartStatus!G$2:G1000)) + ((P788 &lt;&gt; """") * (P788 &gt;= SmartStatus!G$2:G1000)))), if(or(regexmatch(B788, ""(?i)^ir [a-z]+ designation$""), N788 &lt;&gt; """&amp;"""), 1, 2))), """"), ""NO_MATCH"")"),"")</f>
        <v/>
      </c>
      <c r="AS788" s="11"/>
      <c r="AT788" s="15"/>
      <c r="AU788" s="11"/>
      <c r="AV788" s="11"/>
      <c r="AW788" s="15"/>
      <c r="AX788" s="15"/>
      <c r="AY788" s="15"/>
      <c r="AZ788" s="11"/>
      <c r="BA788" s="15"/>
      <c r="BB788" s="11"/>
      <c r="BC788" s="11"/>
      <c r="BD788" s="15"/>
      <c r="BE788" s="11"/>
      <c r="BF788" s="11"/>
      <c r="BG788" s="15"/>
      <c r="BH788" s="15"/>
      <c r="BI788" s="15"/>
      <c r="BJ788" s="11"/>
      <c r="BK788" s="15"/>
      <c r="BL788" s="11"/>
      <c r="BM788" s="11"/>
      <c r="BN788" s="15"/>
      <c r="BO788" s="11"/>
      <c r="BP788" s="11"/>
      <c r="BQ788" s="15"/>
      <c r="BR788" s="15"/>
      <c r="BS788" s="15"/>
      <c r="BT788" s="11"/>
      <c r="BU788" s="15"/>
      <c r="BV788" s="11"/>
      <c r="BW788" s="11"/>
      <c r="BX788" s="15"/>
      <c r="BY788" s="11"/>
      <c r="BZ788" s="11"/>
      <c r="CA788" s="15"/>
      <c r="CB788" s="11"/>
      <c r="CC788" s="15"/>
      <c r="CD788" s="11"/>
      <c r="CE788" s="15"/>
      <c r="CF788" s="11"/>
      <c r="CG788" s="11"/>
      <c r="CH788" s="15"/>
      <c r="CI788" s="11"/>
      <c r="CJ788" s="11"/>
      <c r="CK788" s="15"/>
      <c r="CL788" s="11"/>
      <c r="CM788" s="11"/>
      <c r="CN788" s="11"/>
      <c r="CO788" s="11"/>
      <c r="CP788" s="28"/>
      <c r="CQ788" s="28"/>
      <c r="CR788" s="11"/>
      <c r="CS788" s="29"/>
      <c r="CT788" s="11"/>
      <c r="CU788" s="11"/>
      <c r="CV788" s="11"/>
      <c r="CW788" s="11"/>
      <c r="CX788" s="11"/>
      <c r="CY788" s="11"/>
      <c r="CZ788" s="11"/>
      <c r="DA788" s="28"/>
      <c r="DB788" s="28"/>
      <c r="DC788" s="11"/>
      <c r="DD788" s="29"/>
      <c r="DE788" s="11"/>
      <c r="DF788" s="11"/>
      <c r="DG788" s="11"/>
      <c r="DH788" s="11"/>
      <c r="DI788" s="11"/>
      <c r="DJ788" s="11"/>
      <c r="DK788" s="26"/>
      <c r="DL788" s="11"/>
      <c r="DM788" s="29"/>
      <c r="DN788" s="28"/>
      <c r="DO788" s="11"/>
      <c r="DP788" s="11"/>
      <c r="DQ788" s="11"/>
      <c r="DR788" s="29"/>
      <c r="DS788" s="28"/>
      <c r="DT788" s="11"/>
      <c r="DU788" s="26"/>
      <c r="DV788" s="11"/>
      <c r="DW788" s="29"/>
      <c r="DX788" s="28"/>
      <c r="DY788" s="11"/>
      <c r="DZ788" s="26"/>
      <c r="EA788" s="11"/>
      <c r="EB788" s="29"/>
      <c r="EC788" s="28"/>
      <c r="ED788" s="30"/>
      <c r="EE788" s="30" t="str">
        <f ca="1">IFERROR(__xludf.DUMMYFUNCTION("iferror(index(filter('Internal -- Trademark Countries'!E$2:E1000, (AM788 = 'Internal -- Trademark Countries'!B$2:B1000) + (AM788 = 'Internal -- Trademark Countries'!C$2:C1000) + (AM788 = 'Internal -- Trademark Countries'!D$2:D1000)), 1))"),"")</f>
        <v/>
      </c>
      <c r="EF788" s="30" t="e">
        <f ca="1">_xludf.ifs(AM788="", "", COUNTIF('Internal -- Trademark Countries'!B:B,AM788) &gt; 0, "polity_shortest_name", COUNTIF('Internal -- Trademark Countries'!C:C,AM788) &gt; 0, "polity_full_name", COUNTIF('Internal -- Trademark Countries'!D:D,AM788) &gt; 0, "polity_common_name", COUNTIF('Internal -- Trademark Countries'!E:E,AM788) &gt; 0, "shortest_name", COUNTIF('Internal -- Trademark Countries'!A:A,AM788) &gt; 0, "full_name", TRUE, "not a match")</f>
        <v>#NAME?</v>
      </c>
      <c r="EG788" s="30"/>
      <c r="EH788" s="30"/>
      <c r="EI788" s="30"/>
      <c r="EJ788" s="30"/>
      <c r="EK788" s="30" t="str">
        <f t="shared" si="5"/>
        <v/>
      </c>
    </row>
    <row r="789" spans="1:141" ht="16.5">
      <c r="A789" s="11"/>
      <c r="B789" s="11"/>
      <c r="C789" s="11"/>
      <c r="D789" s="11"/>
      <c r="E789" s="11"/>
      <c r="F789" s="11"/>
      <c r="G789" s="11"/>
      <c r="H789" s="11"/>
      <c r="I789" s="11"/>
      <c r="J789" s="11"/>
      <c r="K789" s="27"/>
      <c r="L789" s="11"/>
      <c r="M789" s="11"/>
      <c r="N789" s="11"/>
      <c r="O789" s="11"/>
      <c r="P789" s="15"/>
      <c r="Q789" s="15"/>
      <c r="R789" s="15"/>
      <c r="S789" s="15"/>
      <c r="T789" s="15"/>
      <c r="U789" s="15"/>
      <c r="V789" s="15"/>
      <c r="W789" s="47"/>
      <c r="X789" s="11"/>
      <c r="Y789" s="48"/>
      <c r="Z789" s="11"/>
      <c r="AA789" s="48"/>
      <c r="AB789" s="11"/>
      <c r="AC789" s="48"/>
      <c r="AD789" s="11"/>
      <c r="AE789" s="47"/>
      <c r="AF789" s="11"/>
      <c r="AG789" s="48"/>
      <c r="AH789" s="11"/>
      <c r="AI789" s="48"/>
      <c r="AJ789" s="11"/>
      <c r="AK789" s="48"/>
      <c r="AL789" s="11"/>
      <c r="AM789" s="49"/>
      <c r="AN789" s="49"/>
      <c r="AO789" s="11"/>
      <c r="AP789" s="11"/>
      <c r="AQ789" s="28" t="b">
        <f>IF(COUNTIF(SmartStatus!A$2:A1000, AM789) &gt; 2, TRUE, FALSE)</f>
        <v>0</v>
      </c>
      <c r="AR789" s="29" t="str">
        <f ca="1">IFERROR(__xludf.DUMMYFUNCTION("iferror(if(regexmatch(AO789, ""(?i)^registered""), if(EE789 &lt;&gt; ""polity_shortest_name"", ""CHECK_POLITY"", index(filter(SmartStatus!B$2:B1000, AM789 = SmartStatus!A$2:A1000, not(SmartStatus!C$2:C1000), (isblank(SmartStatus!D$2:D1000)) + ((P789 &lt;&gt; """") * "&amp;"(P789 &lt; SmartStatus!D$2:D1000)), (isblank(SmartStatus!E$2:E1000)) + ((P789 &lt;&gt; """") * (P789 &gt;= SmartStatus!E$2:E1000)), (isblank(SmartStatus!F$2:F1000)) + (((Q789 &lt;&gt; """") * (Q789 &lt; SmartStatus!F$2:F1000)) + ((P789 &lt;&gt; """") * (date(year(P789) + 3, month(P"&amp;"789), day(P789)) &lt; SmartStatus!F$2:F1000))), (isblank(SmartStatus!G$2:G1000)) + (((Q789 &lt;&gt; """") * (Q789 &gt;= SmartStatus!G$2:G1000)) + ((P789 &lt;&gt; """") * (P789 &gt;= SmartStatus!G$2:G1000)))), if(or(regexmatch(B789, ""(?i)^ir [a-z]+ designation$""), N789 &lt;&gt; """&amp;"""), 1, 2))), """"), ""NO_MATCH"")"),"")</f>
        <v/>
      </c>
      <c r="AS789" s="11"/>
      <c r="AT789" s="15"/>
      <c r="AU789" s="11"/>
      <c r="AV789" s="11"/>
      <c r="AW789" s="15"/>
      <c r="AX789" s="15"/>
      <c r="AY789" s="15"/>
      <c r="AZ789" s="11"/>
      <c r="BA789" s="15"/>
      <c r="BB789" s="11"/>
      <c r="BC789" s="11"/>
      <c r="BD789" s="15"/>
      <c r="BE789" s="11"/>
      <c r="BF789" s="11"/>
      <c r="BG789" s="15"/>
      <c r="BH789" s="15"/>
      <c r="BI789" s="15"/>
      <c r="BJ789" s="11"/>
      <c r="BK789" s="15"/>
      <c r="BL789" s="11"/>
      <c r="BM789" s="11"/>
      <c r="BN789" s="15"/>
      <c r="BO789" s="11"/>
      <c r="BP789" s="11"/>
      <c r="BQ789" s="15"/>
      <c r="BR789" s="15"/>
      <c r="BS789" s="15"/>
      <c r="BT789" s="11"/>
      <c r="BU789" s="15"/>
      <c r="BV789" s="11"/>
      <c r="BW789" s="11"/>
      <c r="BX789" s="15"/>
      <c r="BY789" s="11"/>
      <c r="BZ789" s="11"/>
      <c r="CA789" s="15"/>
      <c r="CB789" s="11"/>
      <c r="CC789" s="15"/>
      <c r="CD789" s="11"/>
      <c r="CE789" s="15"/>
      <c r="CF789" s="11"/>
      <c r="CG789" s="11"/>
      <c r="CH789" s="15"/>
      <c r="CI789" s="11"/>
      <c r="CJ789" s="11"/>
      <c r="CK789" s="15"/>
      <c r="CL789" s="11"/>
      <c r="CM789" s="11"/>
      <c r="CN789" s="11"/>
      <c r="CO789" s="11"/>
      <c r="CP789" s="28"/>
      <c r="CQ789" s="28"/>
      <c r="CR789" s="11"/>
      <c r="CS789" s="29"/>
      <c r="CT789" s="11"/>
      <c r="CU789" s="11"/>
      <c r="CV789" s="11"/>
      <c r="CW789" s="11"/>
      <c r="CX789" s="11"/>
      <c r="CY789" s="11"/>
      <c r="CZ789" s="11"/>
      <c r="DA789" s="28"/>
      <c r="DB789" s="28"/>
      <c r="DC789" s="11"/>
      <c r="DD789" s="29"/>
      <c r="DE789" s="11"/>
      <c r="DF789" s="11"/>
      <c r="DG789" s="11"/>
      <c r="DH789" s="11"/>
      <c r="DI789" s="11"/>
      <c r="DJ789" s="11"/>
      <c r="DK789" s="26"/>
      <c r="DL789" s="11"/>
      <c r="DM789" s="29"/>
      <c r="DN789" s="28"/>
      <c r="DO789" s="11"/>
      <c r="DP789" s="11"/>
      <c r="DQ789" s="11"/>
      <c r="DR789" s="29"/>
      <c r="DS789" s="28"/>
      <c r="DT789" s="11"/>
      <c r="DU789" s="26"/>
      <c r="DV789" s="11"/>
      <c r="DW789" s="29"/>
      <c r="DX789" s="28"/>
      <c r="DY789" s="11"/>
      <c r="DZ789" s="26"/>
      <c r="EA789" s="11"/>
      <c r="EB789" s="29"/>
      <c r="EC789" s="28"/>
      <c r="ED789" s="30"/>
      <c r="EE789" s="30" t="str">
        <f ca="1">IFERROR(__xludf.DUMMYFUNCTION("iferror(index(filter('Internal -- Trademark Countries'!E$2:E1000, (AM789 = 'Internal -- Trademark Countries'!B$2:B1000) + (AM789 = 'Internal -- Trademark Countries'!C$2:C1000) + (AM789 = 'Internal -- Trademark Countries'!D$2:D1000)), 1))"),"")</f>
        <v/>
      </c>
      <c r="EF789" s="30" t="e">
        <f ca="1">_xludf.ifs(AM789="", "", COUNTIF('Internal -- Trademark Countries'!B:B,AM789) &gt; 0, "polity_shortest_name", COUNTIF('Internal -- Trademark Countries'!C:C,AM789) &gt; 0, "polity_full_name", COUNTIF('Internal -- Trademark Countries'!D:D,AM789) &gt; 0, "polity_common_name", COUNTIF('Internal -- Trademark Countries'!E:E,AM789) &gt; 0, "shortest_name", COUNTIF('Internal -- Trademark Countries'!A:A,AM789) &gt; 0, "full_name", TRUE, "not a match")</f>
        <v>#NAME?</v>
      </c>
      <c r="EG789" s="30"/>
      <c r="EH789" s="30"/>
      <c r="EI789" s="30"/>
      <c r="EJ789" s="30"/>
      <c r="EK789" s="30" t="str">
        <f t="shared" si="5"/>
        <v/>
      </c>
    </row>
    <row r="790" spans="1:141" ht="16.5">
      <c r="A790" s="11"/>
      <c r="B790" s="11"/>
      <c r="C790" s="11"/>
      <c r="D790" s="11"/>
      <c r="E790" s="11"/>
      <c r="F790" s="11"/>
      <c r="G790" s="11"/>
      <c r="H790" s="11"/>
      <c r="I790" s="11"/>
      <c r="J790" s="11"/>
      <c r="K790" s="27"/>
      <c r="L790" s="11"/>
      <c r="M790" s="11"/>
      <c r="N790" s="11"/>
      <c r="O790" s="11"/>
      <c r="P790" s="15"/>
      <c r="Q790" s="15"/>
      <c r="R790" s="15"/>
      <c r="S790" s="15"/>
      <c r="T790" s="15"/>
      <c r="U790" s="15"/>
      <c r="V790" s="15"/>
      <c r="W790" s="47"/>
      <c r="X790" s="11"/>
      <c r="Y790" s="48"/>
      <c r="Z790" s="11"/>
      <c r="AA790" s="48"/>
      <c r="AB790" s="11"/>
      <c r="AC790" s="48"/>
      <c r="AD790" s="11"/>
      <c r="AE790" s="47"/>
      <c r="AF790" s="11"/>
      <c r="AG790" s="48"/>
      <c r="AH790" s="11"/>
      <c r="AI790" s="48"/>
      <c r="AJ790" s="11"/>
      <c r="AK790" s="48"/>
      <c r="AL790" s="11"/>
      <c r="AM790" s="49"/>
      <c r="AN790" s="49"/>
      <c r="AO790" s="11"/>
      <c r="AP790" s="11"/>
      <c r="AQ790" s="28" t="b">
        <f>IF(COUNTIF(SmartStatus!A$2:A1000, AM790) &gt; 2, TRUE, FALSE)</f>
        <v>0</v>
      </c>
      <c r="AR790" s="29" t="str">
        <f ca="1">IFERROR(__xludf.DUMMYFUNCTION("iferror(if(regexmatch(AO790, ""(?i)^registered""), if(EE790 &lt;&gt; ""polity_shortest_name"", ""CHECK_POLITY"", index(filter(SmartStatus!B$2:B1000, AM790 = SmartStatus!A$2:A1000, not(SmartStatus!C$2:C1000), (isblank(SmartStatus!D$2:D1000)) + ((P790 &lt;&gt; """") * "&amp;"(P790 &lt; SmartStatus!D$2:D1000)), (isblank(SmartStatus!E$2:E1000)) + ((P790 &lt;&gt; """") * (P790 &gt;= SmartStatus!E$2:E1000)), (isblank(SmartStatus!F$2:F1000)) + (((Q790 &lt;&gt; """") * (Q790 &lt; SmartStatus!F$2:F1000)) + ((P790 &lt;&gt; """") * (date(year(P790) + 3, month(P"&amp;"790), day(P790)) &lt; SmartStatus!F$2:F1000))), (isblank(SmartStatus!G$2:G1000)) + (((Q790 &lt;&gt; """") * (Q790 &gt;= SmartStatus!G$2:G1000)) + ((P790 &lt;&gt; """") * (P790 &gt;= SmartStatus!G$2:G1000)))), if(or(regexmatch(B790, ""(?i)^ir [a-z]+ designation$""), N790 &lt;&gt; """&amp;"""), 1, 2))), """"), ""NO_MATCH"")"),"")</f>
        <v/>
      </c>
      <c r="AS790" s="11"/>
      <c r="AT790" s="15"/>
      <c r="AU790" s="11"/>
      <c r="AV790" s="11"/>
      <c r="AW790" s="15"/>
      <c r="AX790" s="15"/>
      <c r="AY790" s="15"/>
      <c r="AZ790" s="11"/>
      <c r="BA790" s="15"/>
      <c r="BB790" s="11"/>
      <c r="BC790" s="11"/>
      <c r="BD790" s="15"/>
      <c r="BE790" s="11"/>
      <c r="BF790" s="11"/>
      <c r="BG790" s="15"/>
      <c r="BH790" s="15"/>
      <c r="BI790" s="15"/>
      <c r="BJ790" s="11"/>
      <c r="BK790" s="15"/>
      <c r="BL790" s="11"/>
      <c r="BM790" s="11"/>
      <c r="BN790" s="15"/>
      <c r="BO790" s="11"/>
      <c r="BP790" s="11"/>
      <c r="BQ790" s="15"/>
      <c r="BR790" s="15"/>
      <c r="BS790" s="15"/>
      <c r="BT790" s="11"/>
      <c r="BU790" s="15"/>
      <c r="BV790" s="11"/>
      <c r="BW790" s="11"/>
      <c r="BX790" s="15"/>
      <c r="BY790" s="11"/>
      <c r="BZ790" s="11"/>
      <c r="CA790" s="15"/>
      <c r="CB790" s="11"/>
      <c r="CC790" s="15"/>
      <c r="CD790" s="11"/>
      <c r="CE790" s="15"/>
      <c r="CF790" s="11"/>
      <c r="CG790" s="11"/>
      <c r="CH790" s="15"/>
      <c r="CI790" s="11"/>
      <c r="CJ790" s="11"/>
      <c r="CK790" s="15"/>
      <c r="CL790" s="11"/>
      <c r="CM790" s="11"/>
      <c r="CN790" s="11"/>
      <c r="CO790" s="11"/>
      <c r="CP790" s="28"/>
      <c r="CQ790" s="28"/>
      <c r="CR790" s="11"/>
      <c r="CS790" s="29"/>
      <c r="CT790" s="11"/>
      <c r="CU790" s="11"/>
      <c r="CV790" s="11"/>
      <c r="CW790" s="11"/>
      <c r="CX790" s="11"/>
      <c r="CY790" s="11"/>
      <c r="CZ790" s="11"/>
      <c r="DA790" s="28"/>
      <c r="DB790" s="28"/>
      <c r="DC790" s="11"/>
      <c r="DD790" s="29"/>
      <c r="DE790" s="11"/>
      <c r="DF790" s="11"/>
      <c r="DG790" s="11"/>
      <c r="DH790" s="11"/>
      <c r="DI790" s="11"/>
      <c r="DJ790" s="11"/>
      <c r="DK790" s="26"/>
      <c r="DL790" s="11"/>
      <c r="DM790" s="29"/>
      <c r="DN790" s="28"/>
      <c r="DO790" s="11"/>
      <c r="DP790" s="11"/>
      <c r="DQ790" s="11"/>
      <c r="DR790" s="29"/>
      <c r="DS790" s="28"/>
      <c r="DT790" s="11"/>
      <c r="DU790" s="26"/>
      <c r="DV790" s="11"/>
      <c r="DW790" s="29"/>
      <c r="DX790" s="28"/>
      <c r="DY790" s="11"/>
      <c r="DZ790" s="26"/>
      <c r="EA790" s="11"/>
      <c r="EB790" s="29"/>
      <c r="EC790" s="28"/>
      <c r="ED790" s="30"/>
      <c r="EE790" s="30" t="str">
        <f ca="1">IFERROR(__xludf.DUMMYFUNCTION("iferror(index(filter('Internal -- Trademark Countries'!E$2:E1000, (AM790 = 'Internal -- Trademark Countries'!B$2:B1000) + (AM790 = 'Internal -- Trademark Countries'!C$2:C1000) + (AM790 = 'Internal -- Trademark Countries'!D$2:D1000)), 1))"),"")</f>
        <v/>
      </c>
      <c r="EF790" s="30" t="e">
        <f ca="1">_xludf.ifs(AM790="", "", COUNTIF('Internal -- Trademark Countries'!B:B,AM790) &gt; 0, "polity_shortest_name", COUNTIF('Internal -- Trademark Countries'!C:C,AM790) &gt; 0, "polity_full_name", COUNTIF('Internal -- Trademark Countries'!D:D,AM790) &gt; 0, "polity_common_name", COUNTIF('Internal -- Trademark Countries'!E:E,AM790) &gt; 0, "shortest_name", COUNTIF('Internal -- Trademark Countries'!A:A,AM790) &gt; 0, "full_name", TRUE, "not a match")</f>
        <v>#NAME?</v>
      </c>
      <c r="EG790" s="30"/>
      <c r="EH790" s="30"/>
      <c r="EI790" s="30"/>
      <c r="EJ790" s="30"/>
      <c r="EK790" s="30" t="str">
        <f t="shared" si="5"/>
        <v/>
      </c>
    </row>
    <row r="791" spans="1:141" ht="16.5">
      <c r="A791" s="11"/>
      <c r="B791" s="11"/>
      <c r="C791" s="11"/>
      <c r="D791" s="11"/>
      <c r="E791" s="11"/>
      <c r="F791" s="11"/>
      <c r="G791" s="11"/>
      <c r="H791" s="11"/>
      <c r="I791" s="11"/>
      <c r="J791" s="11"/>
      <c r="K791" s="27"/>
      <c r="L791" s="11"/>
      <c r="M791" s="11"/>
      <c r="N791" s="11"/>
      <c r="O791" s="11"/>
      <c r="P791" s="15"/>
      <c r="Q791" s="15"/>
      <c r="R791" s="15"/>
      <c r="S791" s="15"/>
      <c r="T791" s="15"/>
      <c r="U791" s="15"/>
      <c r="V791" s="15"/>
      <c r="W791" s="47"/>
      <c r="X791" s="11"/>
      <c r="Y791" s="48"/>
      <c r="Z791" s="11"/>
      <c r="AA791" s="48"/>
      <c r="AB791" s="11"/>
      <c r="AC791" s="48"/>
      <c r="AD791" s="11"/>
      <c r="AE791" s="47"/>
      <c r="AF791" s="11"/>
      <c r="AG791" s="48"/>
      <c r="AH791" s="11"/>
      <c r="AI791" s="48"/>
      <c r="AJ791" s="11"/>
      <c r="AK791" s="48"/>
      <c r="AL791" s="11"/>
      <c r="AM791" s="49"/>
      <c r="AN791" s="49"/>
      <c r="AO791" s="11"/>
      <c r="AP791" s="11"/>
      <c r="AQ791" s="28" t="b">
        <f>IF(COUNTIF(SmartStatus!A$2:A1000, AM791) &gt; 2, TRUE, FALSE)</f>
        <v>0</v>
      </c>
      <c r="AR791" s="29" t="str">
        <f ca="1">IFERROR(__xludf.DUMMYFUNCTION("iferror(if(regexmatch(AO791, ""(?i)^registered""), if(EE791 &lt;&gt; ""polity_shortest_name"", ""CHECK_POLITY"", index(filter(SmartStatus!B$2:B1000, AM791 = SmartStatus!A$2:A1000, not(SmartStatus!C$2:C1000), (isblank(SmartStatus!D$2:D1000)) + ((P791 &lt;&gt; """") * "&amp;"(P791 &lt; SmartStatus!D$2:D1000)), (isblank(SmartStatus!E$2:E1000)) + ((P791 &lt;&gt; """") * (P791 &gt;= SmartStatus!E$2:E1000)), (isblank(SmartStatus!F$2:F1000)) + (((Q791 &lt;&gt; """") * (Q791 &lt; SmartStatus!F$2:F1000)) + ((P791 &lt;&gt; """") * (date(year(P791) + 3, month(P"&amp;"791), day(P791)) &lt; SmartStatus!F$2:F1000))), (isblank(SmartStatus!G$2:G1000)) + (((Q791 &lt;&gt; """") * (Q791 &gt;= SmartStatus!G$2:G1000)) + ((P791 &lt;&gt; """") * (P791 &gt;= SmartStatus!G$2:G1000)))), if(or(regexmatch(B791, ""(?i)^ir [a-z]+ designation$""), N791 &lt;&gt; """&amp;"""), 1, 2))), """"), ""NO_MATCH"")"),"")</f>
        <v/>
      </c>
      <c r="AS791" s="11"/>
      <c r="AT791" s="15"/>
      <c r="AU791" s="11"/>
      <c r="AV791" s="11"/>
      <c r="AW791" s="15"/>
      <c r="AX791" s="15"/>
      <c r="AY791" s="15"/>
      <c r="AZ791" s="11"/>
      <c r="BA791" s="15"/>
      <c r="BB791" s="11"/>
      <c r="BC791" s="11"/>
      <c r="BD791" s="15"/>
      <c r="BE791" s="11"/>
      <c r="BF791" s="11"/>
      <c r="BG791" s="15"/>
      <c r="BH791" s="15"/>
      <c r="BI791" s="15"/>
      <c r="BJ791" s="11"/>
      <c r="BK791" s="15"/>
      <c r="BL791" s="11"/>
      <c r="BM791" s="11"/>
      <c r="BN791" s="15"/>
      <c r="BO791" s="11"/>
      <c r="BP791" s="11"/>
      <c r="BQ791" s="15"/>
      <c r="BR791" s="15"/>
      <c r="BS791" s="15"/>
      <c r="BT791" s="11"/>
      <c r="BU791" s="15"/>
      <c r="BV791" s="11"/>
      <c r="BW791" s="11"/>
      <c r="BX791" s="15"/>
      <c r="BY791" s="11"/>
      <c r="BZ791" s="11"/>
      <c r="CA791" s="15"/>
      <c r="CB791" s="11"/>
      <c r="CC791" s="15"/>
      <c r="CD791" s="11"/>
      <c r="CE791" s="15"/>
      <c r="CF791" s="11"/>
      <c r="CG791" s="11"/>
      <c r="CH791" s="15"/>
      <c r="CI791" s="11"/>
      <c r="CJ791" s="11"/>
      <c r="CK791" s="15"/>
      <c r="CL791" s="11"/>
      <c r="CM791" s="11"/>
      <c r="CN791" s="11"/>
      <c r="CO791" s="11"/>
      <c r="CP791" s="28"/>
      <c r="CQ791" s="28"/>
      <c r="CR791" s="11"/>
      <c r="CS791" s="29"/>
      <c r="CT791" s="11"/>
      <c r="CU791" s="11"/>
      <c r="CV791" s="11"/>
      <c r="CW791" s="11"/>
      <c r="CX791" s="11"/>
      <c r="CY791" s="11"/>
      <c r="CZ791" s="11"/>
      <c r="DA791" s="28"/>
      <c r="DB791" s="28"/>
      <c r="DC791" s="11"/>
      <c r="DD791" s="29"/>
      <c r="DE791" s="11"/>
      <c r="DF791" s="11"/>
      <c r="DG791" s="11"/>
      <c r="DH791" s="11"/>
      <c r="DI791" s="11"/>
      <c r="DJ791" s="11"/>
      <c r="DK791" s="26"/>
      <c r="DL791" s="11"/>
      <c r="DM791" s="29"/>
      <c r="DN791" s="28"/>
      <c r="DO791" s="11"/>
      <c r="DP791" s="11"/>
      <c r="DQ791" s="11"/>
      <c r="DR791" s="29"/>
      <c r="DS791" s="28"/>
      <c r="DT791" s="11"/>
      <c r="DU791" s="26"/>
      <c r="DV791" s="11"/>
      <c r="DW791" s="29"/>
      <c r="DX791" s="28"/>
      <c r="DY791" s="11"/>
      <c r="DZ791" s="26"/>
      <c r="EA791" s="11"/>
      <c r="EB791" s="29"/>
      <c r="EC791" s="28"/>
      <c r="ED791" s="30"/>
      <c r="EE791" s="30" t="str">
        <f ca="1">IFERROR(__xludf.DUMMYFUNCTION("iferror(index(filter('Internal -- Trademark Countries'!E$2:E1000, (AM791 = 'Internal -- Trademark Countries'!B$2:B1000) + (AM791 = 'Internal -- Trademark Countries'!C$2:C1000) + (AM791 = 'Internal -- Trademark Countries'!D$2:D1000)), 1))"),"")</f>
        <v/>
      </c>
      <c r="EF791" s="30" t="e">
        <f ca="1">_xludf.ifs(AM791="", "", COUNTIF('Internal -- Trademark Countries'!B:B,AM791) &gt; 0, "polity_shortest_name", COUNTIF('Internal -- Trademark Countries'!C:C,AM791) &gt; 0, "polity_full_name", COUNTIF('Internal -- Trademark Countries'!D:D,AM791) &gt; 0, "polity_common_name", COUNTIF('Internal -- Trademark Countries'!E:E,AM791) &gt; 0, "shortest_name", COUNTIF('Internal -- Trademark Countries'!A:A,AM791) &gt; 0, "full_name", TRUE, "not a match")</f>
        <v>#NAME?</v>
      </c>
      <c r="EG791" s="30"/>
      <c r="EH791" s="30"/>
      <c r="EI791" s="30"/>
      <c r="EJ791" s="30"/>
      <c r="EK791" s="30" t="str">
        <f t="shared" si="5"/>
        <v/>
      </c>
    </row>
    <row r="792" spans="1:141" ht="16.5">
      <c r="A792" s="11"/>
      <c r="B792" s="11"/>
      <c r="C792" s="11"/>
      <c r="D792" s="11"/>
      <c r="E792" s="11"/>
      <c r="F792" s="11"/>
      <c r="G792" s="11"/>
      <c r="H792" s="11"/>
      <c r="I792" s="11"/>
      <c r="J792" s="11"/>
      <c r="K792" s="27"/>
      <c r="L792" s="11"/>
      <c r="M792" s="11"/>
      <c r="N792" s="11"/>
      <c r="O792" s="11"/>
      <c r="P792" s="15"/>
      <c r="Q792" s="15"/>
      <c r="R792" s="15"/>
      <c r="S792" s="15"/>
      <c r="T792" s="15"/>
      <c r="U792" s="15"/>
      <c r="V792" s="15"/>
      <c r="W792" s="47"/>
      <c r="X792" s="11"/>
      <c r="Y792" s="48"/>
      <c r="Z792" s="11"/>
      <c r="AA792" s="48"/>
      <c r="AB792" s="11"/>
      <c r="AC792" s="48"/>
      <c r="AD792" s="11"/>
      <c r="AE792" s="47"/>
      <c r="AF792" s="11"/>
      <c r="AG792" s="48"/>
      <c r="AH792" s="11"/>
      <c r="AI792" s="48"/>
      <c r="AJ792" s="11"/>
      <c r="AK792" s="48"/>
      <c r="AL792" s="11"/>
      <c r="AM792" s="49"/>
      <c r="AN792" s="49"/>
      <c r="AO792" s="11"/>
      <c r="AP792" s="11"/>
      <c r="AQ792" s="28" t="b">
        <f>IF(COUNTIF(SmartStatus!A$2:A1000, AM792) &gt; 2, TRUE, FALSE)</f>
        <v>0</v>
      </c>
      <c r="AR792" s="29" t="str">
        <f ca="1">IFERROR(__xludf.DUMMYFUNCTION("iferror(if(regexmatch(AO792, ""(?i)^registered""), if(EE792 &lt;&gt; ""polity_shortest_name"", ""CHECK_POLITY"", index(filter(SmartStatus!B$2:B1000, AM792 = SmartStatus!A$2:A1000, not(SmartStatus!C$2:C1000), (isblank(SmartStatus!D$2:D1000)) + ((P792 &lt;&gt; """") * "&amp;"(P792 &lt; SmartStatus!D$2:D1000)), (isblank(SmartStatus!E$2:E1000)) + ((P792 &lt;&gt; """") * (P792 &gt;= SmartStatus!E$2:E1000)), (isblank(SmartStatus!F$2:F1000)) + (((Q792 &lt;&gt; """") * (Q792 &lt; SmartStatus!F$2:F1000)) + ((P792 &lt;&gt; """") * (date(year(P792) + 3, month(P"&amp;"792), day(P792)) &lt; SmartStatus!F$2:F1000))), (isblank(SmartStatus!G$2:G1000)) + (((Q792 &lt;&gt; """") * (Q792 &gt;= SmartStatus!G$2:G1000)) + ((P792 &lt;&gt; """") * (P792 &gt;= SmartStatus!G$2:G1000)))), if(or(regexmatch(B792, ""(?i)^ir [a-z]+ designation$""), N792 &lt;&gt; """&amp;"""), 1, 2))), """"), ""NO_MATCH"")"),"")</f>
        <v/>
      </c>
      <c r="AS792" s="11"/>
      <c r="AT792" s="15"/>
      <c r="AU792" s="11"/>
      <c r="AV792" s="11"/>
      <c r="AW792" s="15"/>
      <c r="AX792" s="15"/>
      <c r="AY792" s="15"/>
      <c r="AZ792" s="11"/>
      <c r="BA792" s="15"/>
      <c r="BB792" s="11"/>
      <c r="BC792" s="11"/>
      <c r="BD792" s="15"/>
      <c r="BE792" s="11"/>
      <c r="BF792" s="11"/>
      <c r="BG792" s="15"/>
      <c r="BH792" s="15"/>
      <c r="BI792" s="15"/>
      <c r="BJ792" s="11"/>
      <c r="BK792" s="15"/>
      <c r="BL792" s="11"/>
      <c r="BM792" s="11"/>
      <c r="BN792" s="15"/>
      <c r="BO792" s="11"/>
      <c r="BP792" s="11"/>
      <c r="BQ792" s="15"/>
      <c r="BR792" s="15"/>
      <c r="BS792" s="15"/>
      <c r="BT792" s="11"/>
      <c r="BU792" s="15"/>
      <c r="BV792" s="11"/>
      <c r="BW792" s="11"/>
      <c r="BX792" s="15"/>
      <c r="BY792" s="11"/>
      <c r="BZ792" s="11"/>
      <c r="CA792" s="15"/>
      <c r="CB792" s="11"/>
      <c r="CC792" s="15"/>
      <c r="CD792" s="11"/>
      <c r="CE792" s="15"/>
      <c r="CF792" s="11"/>
      <c r="CG792" s="11"/>
      <c r="CH792" s="15"/>
      <c r="CI792" s="11"/>
      <c r="CJ792" s="11"/>
      <c r="CK792" s="15"/>
      <c r="CL792" s="11"/>
      <c r="CM792" s="11"/>
      <c r="CN792" s="11"/>
      <c r="CO792" s="11"/>
      <c r="CP792" s="28"/>
      <c r="CQ792" s="28"/>
      <c r="CR792" s="11"/>
      <c r="CS792" s="29"/>
      <c r="CT792" s="11"/>
      <c r="CU792" s="11"/>
      <c r="CV792" s="11"/>
      <c r="CW792" s="11"/>
      <c r="CX792" s="11"/>
      <c r="CY792" s="11"/>
      <c r="CZ792" s="11"/>
      <c r="DA792" s="28"/>
      <c r="DB792" s="28"/>
      <c r="DC792" s="11"/>
      <c r="DD792" s="29"/>
      <c r="DE792" s="11"/>
      <c r="DF792" s="11"/>
      <c r="DG792" s="11"/>
      <c r="DH792" s="11"/>
      <c r="DI792" s="11"/>
      <c r="DJ792" s="11"/>
      <c r="DK792" s="26"/>
      <c r="DL792" s="11"/>
      <c r="DM792" s="29"/>
      <c r="DN792" s="28"/>
      <c r="DO792" s="11"/>
      <c r="DP792" s="11"/>
      <c r="DQ792" s="11"/>
      <c r="DR792" s="29"/>
      <c r="DS792" s="28"/>
      <c r="DT792" s="11"/>
      <c r="DU792" s="26"/>
      <c r="DV792" s="11"/>
      <c r="DW792" s="29"/>
      <c r="DX792" s="28"/>
      <c r="DY792" s="11"/>
      <c r="DZ792" s="26"/>
      <c r="EA792" s="11"/>
      <c r="EB792" s="29"/>
      <c r="EC792" s="28"/>
      <c r="ED792" s="30"/>
      <c r="EE792" s="30" t="str">
        <f ca="1">IFERROR(__xludf.DUMMYFUNCTION("iferror(index(filter('Internal -- Trademark Countries'!E$2:E1000, (AM792 = 'Internal -- Trademark Countries'!B$2:B1000) + (AM792 = 'Internal -- Trademark Countries'!C$2:C1000) + (AM792 = 'Internal -- Trademark Countries'!D$2:D1000)), 1))"),"")</f>
        <v/>
      </c>
      <c r="EF792" s="30" t="e">
        <f ca="1">_xludf.ifs(AM792="", "", COUNTIF('Internal -- Trademark Countries'!B:B,AM792) &gt; 0, "polity_shortest_name", COUNTIF('Internal -- Trademark Countries'!C:C,AM792) &gt; 0, "polity_full_name", COUNTIF('Internal -- Trademark Countries'!D:D,AM792) &gt; 0, "polity_common_name", COUNTIF('Internal -- Trademark Countries'!E:E,AM792) &gt; 0, "shortest_name", COUNTIF('Internal -- Trademark Countries'!A:A,AM792) &gt; 0, "full_name", TRUE, "not a match")</f>
        <v>#NAME?</v>
      </c>
      <c r="EG792" s="30"/>
      <c r="EH792" s="30"/>
      <c r="EI792" s="30"/>
      <c r="EJ792" s="30"/>
      <c r="EK792" s="30" t="str">
        <f t="shared" si="5"/>
        <v/>
      </c>
    </row>
    <row r="793" spans="1:141" ht="16.5">
      <c r="A793" s="11"/>
      <c r="B793" s="11"/>
      <c r="C793" s="11"/>
      <c r="D793" s="11"/>
      <c r="E793" s="11"/>
      <c r="F793" s="11"/>
      <c r="G793" s="11"/>
      <c r="H793" s="11"/>
      <c r="I793" s="11"/>
      <c r="J793" s="11"/>
      <c r="K793" s="27"/>
      <c r="L793" s="11"/>
      <c r="M793" s="11"/>
      <c r="N793" s="11"/>
      <c r="O793" s="11"/>
      <c r="P793" s="15"/>
      <c r="Q793" s="15"/>
      <c r="R793" s="15"/>
      <c r="S793" s="15"/>
      <c r="T793" s="15"/>
      <c r="U793" s="15"/>
      <c r="V793" s="15"/>
      <c r="W793" s="47"/>
      <c r="X793" s="11"/>
      <c r="Y793" s="48"/>
      <c r="Z793" s="11"/>
      <c r="AA793" s="48"/>
      <c r="AB793" s="11"/>
      <c r="AC793" s="48"/>
      <c r="AD793" s="11"/>
      <c r="AE793" s="47"/>
      <c r="AF793" s="11"/>
      <c r="AG793" s="48"/>
      <c r="AH793" s="11"/>
      <c r="AI793" s="48"/>
      <c r="AJ793" s="11"/>
      <c r="AK793" s="48"/>
      <c r="AL793" s="11"/>
      <c r="AM793" s="49"/>
      <c r="AN793" s="49"/>
      <c r="AO793" s="11"/>
      <c r="AP793" s="11"/>
      <c r="AQ793" s="28" t="b">
        <f>IF(COUNTIF(SmartStatus!A$2:A1000, AM793) &gt; 2, TRUE, FALSE)</f>
        <v>0</v>
      </c>
      <c r="AR793" s="29" t="str">
        <f ca="1">IFERROR(__xludf.DUMMYFUNCTION("iferror(if(regexmatch(AO793, ""(?i)^registered""), if(EE793 &lt;&gt; ""polity_shortest_name"", ""CHECK_POLITY"", index(filter(SmartStatus!B$2:B1000, AM793 = SmartStatus!A$2:A1000, not(SmartStatus!C$2:C1000), (isblank(SmartStatus!D$2:D1000)) + ((P793 &lt;&gt; """") * "&amp;"(P793 &lt; SmartStatus!D$2:D1000)), (isblank(SmartStatus!E$2:E1000)) + ((P793 &lt;&gt; """") * (P793 &gt;= SmartStatus!E$2:E1000)), (isblank(SmartStatus!F$2:F1000)) + (((Q793 &lt;&gt; """") * (Q793 &lt; SmartStatus!F$2:F1000)) + ((P793 &lt;&gt; """") * (date(year(P793) + 3, month(P"&amp;"793), day(P793)) &lt; SmartStatus!F$2:F1000))), (isblank(SmartStatus!G$2:G1000)) + (((Q793 &lt;&gt; """") * (Q793 &gt;= SmartStatus!G$2:G1000)) + ((P793 &lt;&gt; """") * (P793 &gt;= SmartStatus!G$2:G1000)))), if(or(regexmatch(B793, ""(?i)^ir [a-z]+ designation$""), N793 &lt;&gt; """&amp;"""), 1, 2))), """"), ""NO_MATCH"")"),"")</f>
        <v/>
      </c>
      <c r="AS793" s="11"/>
      <c r="AT793" s="15"/>
      <c r="AU793" s="11"/>
      <c r="AV793" s="11"/>
      <c r="AW793" s="15"/>
      <c r="AX793" s="15"/>
      <c r="AY793" s="15"/>
      <c r="AZ793" s="11"/>
      <c r="BA793" s="15"/>
      <c r="BB793" s="11"/>
      <c r="BC793" s="11"/>
      <c r="BD793" s="15"/>
      <c r="BE793" s="11"/>
      <c r="BF793" s="11"/>
      <c r="BG793" s="15"/>
      <c r="BH793" s="15"/>
      <c r="BI793" s="15"/>
      <c r="BJ793" s="11"/>
      <c r="BK793" s="15"/>
      <c r="BL793" s="11"/>
      <c r="BM793" s="11"/>
      <c r="BN793" s="15"/>
      <c r="BO793" s="11"/>
      <c r="BP793" s="11"/>
      <c r="BQ793" s="15"/>
      <c r="BR793" s="15"/>
      <c r="BS793" s="15"/>
      <c r="BT793" s="11"/>
      <c r="BU793" s="15"/>
      <c r="BV793" s="11"/>
      <c r="BW793" s="11"/>
      <c r="BX793" s="15"/>
      <c r="BY793" s="11"/>
      <c r="BZ793" s="11"/>
      <c r="CA793" s="15"/>
      <c r="CB793" s="11"/>
      <c r="CC793" s="15"/>
      <c r="CD793" s="11"/>
      <c r="CE793" s="15"/>
      <c r="CF793" s="11"/>
      <c r="CG793" s="11"/>
      <c r="CH793" s="15"/>
      <c r="CI793" s="11"/>
      <c r="CJ793" s="11"/>
      <c r="CK793" s="15"/>
      <c r="CL793" s="11"/>
      <c r="CM793" s="11"/>
      <c r="CN793" s="11"/>
      <c r="CO793" s="11"/>
      <c r="CP793" s="28"/>
      <c r="CQ793" s="28"/>
      <c r="CR793" s="11"/>
      <c r="CS793" s="29"/>
      <c r="CT793" s="11"/>
      <c r="CU793" s="11"/>
      <c r="CV793" s="11"/>
      <c r="CW793" s="11"/>
      <c r="CX793" s="11"/>
      <c r="CY793" s="11"/>
      <c r="CZ793" s="11"/>
      <c r="DA793" s="28"/>
      <c r="DB793" s="28"/>
      <c r="DC793" s="11"/>
      <c r="DD793" s="29"/>
      <c r="DE793" s="11"/>
      <c r="DF793" s="11"/>
      <c r="DG793" s="11"/>
      <c r="DH793" s="11"/>
      <c r="DI793" s="11"/>
      <c r="DJ793" s="11"/>
      <c r="DK793" s="26"/>
      <c r="DL793" s="11"/>
      <c r="DM793" s="29"/>
      <c r="DN793" s="28"/>
      <c r="DO793" s="11"/>
      <c r="DP793" s="11"/>
      <c r="DQ793" s="11"/>
      <c r="DR793" s="29"/>
      <c r="DS793" s="28"/>
      <c r="DT793" s="11"/>
      <c r="DU793" s="26"/>
      <c r="DV793" s="11"/>
      <c r="DW793" s="29"/>
      <c r="DX793" s="28"/>
      <c r="DY793" s="11"/>
      <c r="DZ793" s="26"/>
      <c r="EA793" s="11"/>
      <c r="EB793" s="29"/>
      <c r="EC793" s="28"/>
      <c r="ED793" s="30"/>
      <c r="EE793" s="30" t="str">
        <f ca="1">IFERROR(__xludf.DUMMYFUNCTION("iferror(index(filter('Internal -- Trademark Countries'!E$2:E1000, (AM793 = 'Internal -- Trademark Countries'!B$2:B1000) + (AM793 = 'Internal -- Trademark Countries'!C$2:C1000) + (AM793 = 'Internal -- Trademark Countries'!D$2:D1000)), 1))"),"")</f>
        <v/>
      </c>
      <c r="EF793" s="30" t="e">
        <f ca="1">_xludf.ifs(AM793="", "", COUNTIF('Internal -- Trademark Countries'!B:B,AM793) &gt; 0, "polity_shortest_name", COUNTIF('Internal -- Trademark Countries'!C:C,AM793) &gt; 0, "polity_full_name", COUNTIF('Internal -- Trademark Countries'!D:D,AM793) &gt; 0, "polity_common_name", COUNTIF('Internal -- Trademark Countries'!E:E,AM793) &gt; 0, "shortest_name", COUNTIF('Internal -- Trademark Countries'!A:A,AM793) &gt; 0, "full_name", TRUE, "not a match")</f>
        <v>#NAME?</v>
      </c>
      <c r="EG793" s="30"/>
      <c r="EH793" s="30"/>
      <c r="EI793" s="30"/>
      <c r="EJ793" s="30"/>
      <c r="EK793" s="30" t="str">
        <f t="shared" si="5"/>
        <v/>
      </c>
    </row>
    <row r="794" spans="1:141" ht="16.5">
      <c r="A794" s="11"/>
      <c r="B794" s="11"/>
      <c r="C794" s="11"/>
      <c r="D794" s="11"/>
      <c r="E794" s="11"/>
      <c r="F794" s="11"/>
      <c r="G794" s="11"/>
      <c r="H794" s="11"/>
      <c r="I794" s="11"/>
      <c r="J794" s="11"/>
      <c r="K794" s="27"/>
      <c r="L794" s="11"/>
      <c r="M794" s="11"/>
      <c r="N794" s="11"/>
      <c r="O794" s="11"/>
      <c r="P794" s="15"/>
      <c r="Q794" s="15"/>
      <c r="R794" s="15"/>
      <c r="S794" s="15"/>
      <c r="T794" s="15"/>
      <c r="U794" s="15"/>
      <c r="V794" s="15"/>
      <c r="W794" s="47"/>
      <c r="X794" s="11"/>
      <c r="Y794" s="48"/>
      <c r="Z794" s="11"/>
      <c r="AA794" s="48"/>
      <c r="AB794" s="11"/>
      <c r="AC794" s="48"/>
      <c r="AD794" s="11"/>
      <c r="AE794" s="47"/>
      <c r="AF794" s="11"/>
      <c r="AG794" s="48"/>
      <c r="AH794" s="11"/>
      <c r="AI794" s="48"/>
      <c r="AJ794" s="11"/>
      <c r="AK794" s="48"/>
      <c r="AL794" s="11"/>
      <c r="AM794" s="49"/>
      <c r="AN794" s="49"/>
      <c r="AO794" s="11"/>
      <c r="AP794" s="11"/>
      <c r="AQ794" s="28" t="b">
        <f>IF(COUNTIF(SmartStatus!A$2:A1000, AM794) &gt; 2, TRUE, FALSE)</f>
        <v>0</v>
      </c>
      <c r="AR794" s="29" t="str">
        <f ca="1">IFERROR(__xludf.DUMMYFUNCTION("iferror(if(regexmatch(AO794, ""(?i)^registered""), if(EE794 &lt;&gt; ""polity_shortest_name"", ""CHECK_POLITY"", index(filter(SmartStatus!B$2:B1000, AM794 = SmartStatus!A$2:A1000, not(SmartStatus!C$2:C1000), (isblank(SmartStatus!D$2:D1000)) + ((P794 &lt;&gt; """") * "&amp;"(P794 &lt; SmartStatus!D$2:D1000)), (isblank(SmartStatus!E$2:E1000)) + ((P794 &lt;&gt; """") * (P794 &gt;= SmartStatus!E$2:E1000)), (isblank(SmartStatus!F$2:F1000)) + (((Q794 &lt;&gt; """") * (Q794 &lt; SmartStatus!F$2:F1000)) + ((P794 &lt;&gt; """") * (date(year(P794) + 3, month(P"&amp;"794), day(P794)) &lt; SmartStatus!F$2:F1000))), (isblank(SmartStatus!G$2:G1000)) + (((Q794 &lt;&gt; """") * (Q794 &gt;= SmartStatus!G$2:G1000)) + ((P794 &lt;&gt; """") * (P794 &gt;= SmartStatus!G$2:G1000)))), if(or(regexmatch(B794, ""(?i)^ir [a-z]+ designation$""), N794 &lt;&gt; """&amp;"""), 1, 2))), """"), ""NO_MATCH"")"),"")</f>
        <v/>
      </c>
      <c r="AS794" s="11"/>
      <c r="AT794" s="15"/>
      <c r="AU794" s="11"/>
      <c r="AV794" s="11"/>
      <c r="AW794" s="15"/>
      <c r="AX794" s="15"/>
      <c r="AY794" s="15"/>
      <c r="AZ794" s="11"/>
      <c r="BA794" s="15"/>
      <c r="BB794" s="11"/>
      <c r="BC794" s="11"/>
      <c r="BD794" s="15"/>
      <c r="BE794" s="11"/>
      <c r="BF794" s="11"/>
      <c r="BG794" s="15"/>
      <c r="BH794" s="15"/>
      <c r="BI794" s="15"/>
      <c r="BJ794" s="11"/>
      <c r="BK794" s="15"/>
      <c r="BL794" s="11"/>
      <c r="BM794" s="11"/>
      <c r="BN794" s="15"/>
      <c r="BO794" s="11"/>
      <c r="BP794" s="11"/>
      <c r="BQ794" s="15"/>
      <c r="BR794" s="15"/>
      <c r="BS794" s="15"/>
      <c r="BT794" s="11"/>
      <c r="BU794" s="15"/>
      <c r="BV794" s="11"/>
      <c r="BW794" s="11"/>
      <c r="BX794" s="15"/>
      <c r="BY794" s="11"/>
      <c r="BZ794" s="11"/>
      <c r="CA794" s="15"/>
      <c r="CB794" s="11"/>
      <c r="CC794" s="15"/>
      <c r="CD794" s="11"/>
      <c r="CE794" s="15"/>
      <c r="CF794" s="11"/>
      <c r="CG794" s="11"/>
      <c r="CH794" s="15"/>
      <c r="CI794" s="11"/>
      <c r="CJ794" s="11"/>
      <c r="CK794" s="15"/>
      <c r="CL794" s="11"/>
      <c r="CM794" s="11"/>
      <c r="CN794" s="11"/>
      <c r="CO794" s="11"/>
      <c r="CP794" s="28"/>
      <c r="CQ794" s="28"/>
      <c r="CR794" s="11"/>
      <c r="CS794" s="29"/>
      <c r="CT794" s="11"/>
      <c r="CU794" s="11"/>
      <c r="CV794" s="11"/>
      <c r="CW794" s="11"/>
      <c r="CX794" s="11"/>
      <c r="CY794" s="11"/>
      <c r="CZ794" s="11"/>
      <c r="DA794" s="28"/>
      <c r="DB794" s="28"/>
      <c r="DC794" s="11"/>
      <c r="DD794" s="29"/>
      <c r="DE794" s="11"/>
      <c r="DF794" s="11"/>
      <c r="DG794" s="11"/>
      <c r="DH794" s="11"/>
      <c r="DI794" s="11"/>
      <c r="DJ794" s="11"/>
      <c r="DK794" s="26"/>
      <c r="DL794" s="11"/>
      <c r="DM794" s="29"/>
      <c r="DN794" s="28"/>
      <c r="DO794" s="11"/>
      <c r="DP794" s="11"/>
      <c r="DQ794" s="11"/>
      <c r="DR794" s="29"/>
      <c r="DS794" s="28"/>
      <c r="DT794" s="11"/>
      <c r="DU794" s="26"/>
      <c r="DV794" s="11"/>
      <c r="DW794" s="29"/>
      <c r="DX794" s="28"/>
      <c r="DY794" s="11"/>
      <c r="DZ794" s="26"/>
      <c r="EA794" s="11"/>
      <c r="EB794" s="29"/>
      <c r="EC794" s="28"/>
      <c r="ED794" s="30"/>
      <c r="EE794" s="30" t="str">
        <f ca="1">IFERROR(__xludf.DUMMYFUNCTION("iferror(index(filter('Internal -- Trademark Countries'!E$2:E1000, (AM794 = 'Internal -- Trademark Countries'!B$2:B1000) + (AM794 = 'Internal -- Trademark Countries'!C$2:C1000) + (AM794 = 'Internal -- Trademark Countries'!D$2:D1000)), 1))"),"")</f>
        <v/>
      </c>
      <c r="EF794" s="30" t="e">
        <f ca="1">_xludf.ifs(AM794="", "", COUNTIF('Internal -- Trademark Countries'!B:B,AM794) &gt; 0, "polity_shortest_name", COUNTIF('Internal -- Trademark Countries'!C:C,AM794) &gt; 0, "polity_full_name", COUNTIF('Internal -- Trademark Countries'!D:D,AM794) &gt; 0, "polity_common_name", COUNTIF('Internal -- Trademark Countries'!E:E,AM794) &gt; 0, "shortest_name", COUNTIF('Internal -- Trademark Countries'!A:A,AM794) &gt; 0, "full_name", TRUE, "not a match")</f>
        <v>#NAME?</v>
      </c>
      <c r="EG794" s="30"/>
      <c r="EH794" s="30"/>
      <c r="EI794" s="30"/>
      <c r="EJ794" s="30"/>
      <c r="EK794" s="30" t="str">
        <f t="shared" si="5"/>
        <v/>
      </c>
    </row>
    <row r="795" spans="1:141" ht="16.5">
      <c r="A795" s="11"/>
      <c r="B795" s="11"/>
      <c r="C795" s="11"/>
      <c r="D795" s="11"/>
      <c r="E795" s="11"/>
      <c r="F795" s="11"/>
      <c r="G795" s="11"/>
      <c r="H795" s="11"/>
      <c r="I795" s="11"/>
      <c r="J795" s="11"/>
      <c r="K795" s="27"/>
      <c r="L795" s="11"/>
      <c r="M795" s="11"/>
      <c r="N795" s="11"/>
      <c r="O795" s="11"/>
      <c r="P795" s="15"/>
      <c r="Q795" s="15"/>
      <c r="R795" s="15"/>
      <c r="S795" s="15"/>
      <c r="T795" s="15"/>
      <c r="U795" s="15"/>
      <c r="V795" s="15"/>
      <c r="W795" s="47"/>
      <c r="X795" s="11"/>
      <c r="Y795" s="48"/>
      <c r="Z795" s="11"/>
      <c r="AA795" s="48"/>
      <c r="AB795" s="11"/>
      <c r="AC795" s="48"/>
      <c r="AD795" s="11"/>
      <c r="AE795" s="47"/>
      <c r="AF795" s="11"/>
      <c r="AG795" s="48"/>
      <c r="AH795" s="11"/>
      <c r="AI795" s="48"/>
      <c r="AJ795" s="11"/>
      <c r="AK795" s="48"/>
      <c r="AL795" s="11"/>
      <c r="AM795" s="49"/>
      <c r="AN795" s="49"/>
      <c r="AO795" s="11"/>
      <c r="AP795" s="11"/>
      <c r="AQ795" s="28" t="b">
        <f>IF(COUNTIF(SmartStatus!A$2:A1000, AM795) &gt; 2, TRUE, FALSE)</f>
        <v>0</v>
      </c>
      <c r="AR795" s="29" t="str">
        <f ca="1">IFERROR(__xludf.DUMMYFUNCTION("iferror(if(regexmatch(AO795, ""(?i)^registered""), if(EE795 &lt;&gt; ""polity_shortest_name"", ""CHECK_POLITY"", index(filter(SmartStatus!B$2:B1000, AM795 = SmartStatus!A$2:A1000, not(SmartStatus!C$2:C1000), (isblank(SmartStatus!D$2:D1000)) + ((P795 &lt;&gt; """") * "&amp;"(P795 &lt; SmartStatus!D$2:D1000)), (isblank(SmartStatus!E$2:E1000)) + ((P795 &lt;&gt; """") * (P795 &gt;= SmartStatus!E$2:E1000)), (isblank(SmartStatus!F$2:F1000)) + (((Q795 &lt;&gt; """") * (Q795 &lt; SmartStatus!F$2:F1000)) + ((P795 &lt;&gt; """") * (date(year(P795) + 3, month(P"&amp;"795), day(P795)) &lt; SmartStatus!F$2:F1000))), (isblank(SmartStatus!G$2:G1000)) + (((Q795 &lt;&gt; """") * (Q795 &gt;= SmartStatus!G$2:G1000)) + ((P795 &lt;&gt; """") * (P795 &gt;= SmartStatus!G$2:G1000)))), if(or(regexmatch(B795, ""(?i)^ir [a-z]+ designation$""), N795 &lt;&gt; """&amp;"""), 1, 2))), """"), ""NO_MATCH"")"),"")</f>
        <v/>
      </c>
      <c r="AS795" s="11"/>
      <c r="AT795" s="15"/>
      <c r="AU795" s="11"/>
      <c r="AV795" s="11"/>
      <c r="AW795" s="15"/>
      <c r="AX795" s="15"/>
      <c r="AY795" s="15"/>
      <c r="AZ795" s="11"/>
      <c r="BA795" s="15"/>
      <c r="BB795" s="11"/>
      <c r="BC795" s="11"/>
      <c r="BD795" s="15"/>
      <c r="BE795" s="11"/>
      <c r="BF795" s="11"/>
      <c r="BG795" s="15"/>
      <c r="BH795" s="15"/>
      <c r="BI795" s="15"/>
      <c r="BJ795" s="11"/>
      <c r="BK795" s="15"/>
      <c r="BL795" s="11"/>
      <c r="BM795" s="11"/>
      <c r="BN795" s="15"/>
      <c r="BO795" s="11"/>
      <c r="BP795" s="11"/>
      <c r="BQ795" s="15"/>
      <c r="BR795" s="15"/>
      <c r="BS795" s="15"/>
      <c r="BT795" s="11"/>
      <c r="BU795" s="15"/>
      <c r="BV795" s="11"/>
      <c r="BW795" s="11"/>
      <c r="BX795" s="15"/>
      <c r="BY795" s="11"/>
      <c r="BZ795" s="11"/>
      <c r="CA795" s="15"/>
      <c r="CB795" s="11"/>
      <c r="CC795" s="15"/>
      <c r="CD795" s="11"/>
      <c r="CE795" s="15"/>
      <c r="CF795" s="11"/>
      <c r="CG795" s="11"/>
      <c r="CH795" s="15"/>
      <c r="CI795" s="11"/>
      <c r="CJ795" s="11"/>
      <c r="CK795" s="15"/>
      <c r="CL795" s="11"/>
      <c r="CM795" s="11"/>
      <c r="CN795" s="11"/>
      <c r="CO795" s="11"/>
      <c r="CP795" s="28"/>
      <c r="CQ795" s="28"/>
      <c r="CR795" s="11"/>
      <c r="CS795" s="29"/>
      <c r="CT795" s="11"/>
      <c r="CU795" s="11"/>
      <c r="CV795" s="11"/>
      <c r="CW795" s="11"/>
      <c r="CX795" s="11"/>
      <c r="CY795" s="11"/>
      <c r="CZ795" s="11"/>
      <c r="DA795" s="28"/>
      <c r="DB795" s="28"/>
      <c r="DC795" s="11"/>
      <c r="DD795" s="29"/>
      <c r="DE795" s="11"/>
      <c r="DF795" s="11"/>
      <c r="DG795" s="11"/>
      <c r="DH795" s="11"/>
      <c r="DI795" s="11"/>
      <c r="DJ795" s="11"/>
      <c r="DK795" s="26"/>
      <c r="DL795" s="11"/>
      <c r="DM795" s="29"/>
      <c r="DN795" s="28"/>
      <c r="DO795" s="11"/>
      <c r="DP795" s="11"/>
      <c r="DQ795" s="11"/>
      <c r="DR795" s="29"/>
      <c r="DS795" s="28"/>
      <c r="DT795" s="11"/>
      <c r="DU795" s="26"/>
      <c r="DV795" s="11"/>
      <c r="DW795" s="29"/>
      <c r="DX795" s="28"/>
      <c r="DY795" s="11"/>
      <c r="DZ795" s="26"/>
      <c r="EA795" s="11"/>
      <c r="EB795" s="29"/>
      <c r="EC795" s="28"/>
      <c r="ED795" s="30"/>
      <c r="EE795" s="30" t="str">
        <f ca="1">IFERROR(__xludf.DUMMYFUNCTION("iferror(index(filter('Internal -- Trademark Countries'!E$2:E1000, (AM795 = 'Internal -- Trademark Countries'!B$2:B1000) + (AM795 = 'Internal -- Trademark Countries'!C$2:C1000) + (AM795 = 'Internal -- Trademark Countries'!D$2:D1000)), 1))"),"")</f>
        <v/>
      </c>
      <c r="EF795" s="30" t="e">
        <f ca="1">_xludf.ifs(AM795="", "", COUNTIF('Internal -- Trademark Countries'!B:B,AM795) &gt; 0, "polity_shortest_name", COUNTIF('Internal -- Trademark Countries'!C:C,AM795) &gt; 0, "polity_full_name", COUNTIF('Internal -- Trademark Countries'!D:D,AM795) &gt; 0, "polity_common_name", COUNTIF('Internal -- Trademark Countries'!E:E,AM795) &gt; 0, "shortest_name", COUNTIF('Internal -- Trademark Countries'!A:A,AM795) &gt; 0, "full_name", TRUE, "not a match")</f>
        <v>#NAME?</v>
      </c>
      <c r="EG795" s="30"/>
      <c r="EH795" s="30"/>
      <c r="EI795" s="30"/>
      <c r="EJ795" s="30"/>
      <c r="EK795" s="30" t="str">
        <f t="shared" si="5"/>
        <v/>
      </c>
    </row>
    <row r="796" spans="1:141" ht="16.5">
      <c r="A796" s="11"/>
      <c r="B796" s="11"/>
      <c r="C796" s="11"/>
      <c r="D796" s="11"/>
      <c r="E796" s="11"/>
      <c r="F796" s="11"/>
      <c r="G796" s="11"/>
      <c r="H796" s="11"/>
      <c r="I796" s="11"/>
      <c r="J796" s="11"/>
      <c r="K796" s="27"/>
      <c r="L796" s="11"/>
      <c r="M796" s="11"/>
      <c r="N796" s="11"/>
      <c r="O796" s="11"/>
      <c r="P796" s="15"/>
      <c r="Q796" s="15"/>
      <c r="R796" s="15"/>
      <c r="S796" s="15"/>
      <c r="T796" s="15"/>
      <c r="U796" s="15"/>
      <c r="V796" s="15"/>
      <c r="W796" s="47"/>
      <c r="X796" s="11"/>
      <c r="Y796" s="48"/>
      <c r="Z796" s="11"/>
      <c r="AA796" s="48"/>
      <c r="AB796" s="11"/>
      <c r="AC796" s="48"/>
      <c r="AD796" s="11"/>
      <c r="AE796" s="47"/>
      <c r="AF796" s="11"/>
      <c r="AG796" s="48"/>
      <c r="AH796" s="11"/>
      <c r="AI796" s="48"/>
      <c r="AJ796" s="11"/>
      <c r="AK796" s="48"/>
      <c r="AL796" s="11"/>
      <c r="AM796" s="49"/>
      <c r="AN796" s="49"/>
      <c r="AO796" s="11"/>
      <c r="AP796" s="11"/>
      <c r="AQ796" s="28" t="b">
        <f>IF(COUNTIF(SmartStatus!A$2:A1000, AM796) &gt; 2, TRUE, FALSE)</f>
        <v>0</v>
      </c>
      <c r="AR796" s="29" t="str">
        <f ca="1">IFERROR(__xludf.DUMMYFUNCTION("iferror(if(regexmatch(AO796, ""(?i)^registered""), if(EE796 &lt;&gt; ""polity_shortest_name"", ""CHECK_POLITY"", index(filter(SmartStatus!B$2:B1000, AM796 = SmartStatus!A$2:A1000, not(SmartStatus!C$2:C1000), (isblank(SmartStatus!D$2:D1000)) + ((P796 &lt;&gt; """") * "&amp;"(P796 &lt; SmartStatus!D$2:D1000)), (isblank(SmartStatus!E$2:E1000)) + ((P796 &lt;&gt; """") * (P796 &gt;= SmartStatus!E$2:E1000)), (isblank(SmartStatus!F$2:F1000)) + (((Q796 &lt;&gt; """") * (Q796 &lt; SmartStatus!F$2:F1000)) + ((P796 &lt;&gt; """") * (date(year(P796) + 3, month(P"&amp;"796), day(P796)) &lt; SmartStatus!F$2:F1000))), (isblank(SmartStatus!G$2:G1000)) + (((Q796 &lt;&gt; """") * (Q796 &gt;= SmartStatus!G$2:G1000)) + ((P796 &lt;&gt; """") * (P796 &gt;= SmartStatus!G$2:G1000)))), if(or(regexmatch(B796, ""(?i)^ir [a-z]+ designation$""), N796 &lt;&gt; """&amp;"""), 1, 2))), """"), ""NO_MATCH"")"),"")</f>
        <v/>
      </c>
      <c r="AS796" s="11"/>
      <c r="AT796" s="15"/>
      <c r="AU796" s="11"/>
      <c r="AV796" s="11"/>
      <c r="AW796" s="15"/>
      <c r="AX796" s="15"/>
      <c r="AY796" s="15"/>
      <c r="AZ796" s="11"/>
      <c r="BA796" s="15"/>
      <c r="BB796" s="11"/>
      <c r="BC796" s="11"/>
      <c r="BD796" s="15"/>
      <c r="BE796" s="11"/>
      <c r="BF796" s="11"/>
      <c r="BG796" s="15"/>
      <c r="BH796" s="15"/>
      <c r="BI796" s="15"/>
      <c r="BJ796" s="11"/>
      <c r="BK796" s="15"/>
      <c r="BL796" s="11"/>
      <c r="BM796" s="11"/>
      <c r="BN796" s="15"/>
      <c r="BO796" s="11"/>
      <c r="BP796" s="11"/>
      <c r="BQ796" s="15"/>
      <c r="BR796" s="15"/>
      <c r="BS796" s="15"/>
      <c r="BT796" s="11"/>
      <c r="BU796" s="15"/>
      <c r="BV796" s="11"/>
      <c r="BW796" s="11"/>
      <c r="BX796" s="15"/>
      <c r="BY796" s="11"/>
      <c r="BZ796" s="11"/>
      <c r="CA796" s="15"/>
      <c r="CB796" s="11"/>
      <c r="CC796" s="15"/>
      <c r="CD796" s="11"/>
      <c r="CE796" s="15"/>
      <c r="CF796" s="11"/>
      <c r="CG796" s="11"/>
      <c r="CH796" s="15"/>
      <c r="CI796" s="11"/>
      <c r="CJ796" s="11"/>
      <c r="CK796" s="15"/>
      <c r="CL796" s="11"/>
      <c r="CM796" s="11"/>
      <c r="CN796" s="11"/>
      <c r="CO796" s="11"/>
      <c r="CP796" s="28"/>
      <c r="CQ796" s="28"/>
      <c r="CR796" s="11"/>
      <c r="CS796" s="29"/>
      <c r="CT796" s="11"/>
      <c r="CU796" s="11"/>
      <c r="CV796" s="11"/>
      <c r="CW796" s="11"/>
      <c r="CX796" s="11"/>
      <c r="CY796" s="11"/>
      <c r="CZ796" s="11"/>
      <c r="DA796" s="28"/>
      <c r="DB796" s="28"/>
      <c r="DC796" s="11"/>
      <c r="DD796" s="29"/>
      <c r="DE796" s="11"/>
      <c r="DF796" s="11"/>
      <c r="DG796" s="11"/>
      <c r="DH796" s="11"/>
      <c r="DI796" s="11"/>
      <c r="DJ796" s="11"/>
      <c r="DK796" s="26"/>
      <c r="DL796" s="11"/>
      <c r="DM796" s="29"/>
      <c r="DN796" s="28"/>
      <c r="DO796" s="11"/>
      <c r="DP796" s="11"/>
      <c r="DQ796" s="11"/>
      <c r="DR796" s="29"/>
      <c r="DS796" s="28"/>
      <c r="DT796" s="11"/>
      <c r="DU796" s="26"/>
      <c r="DV796" s="11"/>
      <c r="DW796" s="29"/>
      <c r="DX796" s="28"/>
      <c r="DY796" s="11"/>
      <c r="DZ796" s="26"/>
      <c r="EA796" s="11"/>
      <c r="EB796" s="29"/>
      <c r="EC796" s="28"/>
      <c r="ED796" s="30"/>
      <c r="EE796" s="30" t="str">
        <f ca="1">IFERROR(__xludf.DUMMYFUNCTION("iferror(index(filter('Internal -- Trademark Countries'!E$2:E1000, (AM796 = 'Internal -- Trademark Countries'!B$2:B1000) + (AM796 = 'Internal -- Trademark Countries'!C$2:C1000) + (AM796 = 'Internal -- Trademark Countries'!D$2:D1000)), 1))"),"")</f>
        <v/>
      </c>
      <c r="EF796" s="30" t="e">
        <f ca="1">_xludf.ifs(AM796="", "", COUNTIF('Internal -- Trademark Countries'!B:B,AM796) &gt; 0, "polity_shortest_name", COUNTIF('Internal -- Trademark Countries'!C:C,AM796) &gt; 0, "polity_full_name", COUNTIF('Internal -- Trademark Countries'!D:D,AM796) &gt; 0, "polity_common_name", COUNTIF('Internal -- Trademark Countries'!E:E,AM796) &gt; 0, "shortest_name", COUNTIF('Internal -- Trademark Countries'!A:A,AM796) &gt; 0, "full_name", TRUE, "not a match")</f>
        <v>#NAME?</v>
      </c>
      <c r="EG796" s="30"/>
      <c r="EH796" s="30"/>
      <c r="EI796" s="30"/>
      <c r="EJ796" s="30"/>
      <c r="EK796" s="30" t="str">
        <f t="shared" si="5"/>
        <v/>
      </c>
    </row>
    <row r="797" spans="1:141" ht="16.5">
      <c r="A797" s="11"/>
      <c r="B797" s="11"/>
      <c r="C797" s="11"/>
      <c r="D797" s="11"/>
      <c r="E797" s="11"/>
      <c r="F797" s="11"/>
      <c r="G797" s="11"/>
      <c r="H797" s="11"/>
      <c r="I797" s="11"/>
      <c r="J797" s="11"/>
      <c r="K797" s="27"/>
      <c r="L797" s="11"/>
      <c r="M797" s="11"/>
      <c r="N797" s="11"/>
      <c r="O797" s="11"/>
      <c r="P797" s="15"/>
      <c r="Q797" s="15"/>
      <c r="R797" s="15"/>
      <c r="S797" s="15"/>
      <c r="T797" s="15"/>
      <c r="U797" s="15"/>
      <c r="V797" s="15"/>
      <c r="W797" s="47"/>
      <c r="X797" s="11"/>
      <c r="Y797" s="48"/>
      <c r="Z797" s="11"/>
      <c r="AA797" s="48"/>
      <c r="AB797" s="11"/>
      <c r="AC797" s="48"/>
      <c r="AD797" s="11"/>
      <c r="AE797" s="47"/>
      <c r="AF797" s="11"/>
      <c r="AG797" s="48"/>
      <c r="AH797" s="11"/>
      <c r="AI797" s="48"/>
      <c r="AJ797" s="11"/>
      <c r="AK797" s="48"/>
      <c r="AL797" s="11"/>
      <c r="AM797" s="49"/>
      <c r="AN797" s="49"/>
      <c r="AO797" s="11"/>
      <c r="AP797" s="11"/>
      <c r="AQ797" s="28" t="b">
        <f>IF(COUNTIF(SmartStatus!A$2:A1000, AM797) &gt; 2, TRUE, FALSE)</f>
        <v>0</v>
      </c>
      <c r="AR797" s="29" t="str">
        <f ca="1">IFERROR(__xludf.DUMMYFUNCTION("iferror(if(regexmatch(AO797, ""(?i)^registered""), if(EE797 &lt;&gt; ""polity_shortest_name"", ""CHECK_POLITY"", index(filter(SmartStatus!B$2:B1000, AM797 = SmartStatus!A$2:A1000, not(SmartStatus!C$2:C1000), (isblank(SmartStatus!D$2:D1000)) + ((P797 &lt;&gt; """") * "&amp;"(P797 &lt; SmartStatus!D$2:D1000)), (isblank(SmartStatus!E$2:E1000)) + ((P797 &lt;&gt; """") * (P797 &gt;= SmartStatus!E$2:E1000)), (isblank(SmartStatus!F$2:F1000)) + (((Q797 &lt;&gt; """") * (Q797 &lt; SmartStatus!F$2:F1000)) + ((P797 &lt;&gt; """") * (date(year(P797) + 3, month(P"&amp;"797), day(P797)) &lt; SmartStatus!F$2:F1000))), (isblank(SmartStatus!G$2:G1000)) + (((Q797 &lt;&gt; """") * (Q797 &gt;= SmartStatus!G$2:G1000)) + ((P797 &lt;&gt; """") * (P797 &gt;= SmartStatus!G$2:G1000)))), if(or(regexmatch(B797, ""(?i)^ir [a-z]+ designation$""), N797 &lt;&gt; """&amp;"""), 1, 2))), """"), ""NO_MATCH"")"),"")</f>
        <v/>
      </c>
      <c r="AS797" s="11"/>
      <c r="AT797" s="15"/>
      <c r="AU797" s="11"/>
      <c r="AV797" s="11"/>
      <c r="AW797" s="15"/>
      <c r="AX797" s="15"/>
      <c r="AY797" s="15"/>
      <c r="AZ797" s="11"/>
      <c r="BA797" s="15"/>
      <c r="BB797" s="11"/>
      <c r="BC797" s="11"/>
      <c r="BD797" s="15"/>
      <c r="BE797" s="11"/>
      <c r="BF797" s="11"/>
      <c r="BG797" s="15"/>
      <c r="BH797" s="15"/>
      <c r="BI797" s="15"/>
      <c r="BJ797" s="11"/>
      <c r="BK797" s="15"/>
      <c r="BL797" s="11"/>
      <c r="BM797" s="11"/>
      <c r="BN797" s="15"/>
      <c r="BO797" s="11"/>
      <c r="BP797" s="11"/>
      <c r="BQ797" s="15"/>
      <c r="BR797" s="15"/>
      <c r="BS797" s="15"/>
      <c r="BT797" s="11"/>
      <c r="BU797" s="15"/>
      <c r="BV797" s="11"/>
      <c r="BW797" s="11"/>
      <c r="BX797" s="15"/>
      <c r="BY797" s="11"/>
      <c r="BZ797" s="11"/>
      <c r="CA797" s="15"/>
      <c r="CB797" s="11"/>
      <c r="CC797" s="15"/>
      <c r="CD797" s="11"/>
      <c r="CE797" s="15"/>
      <c r="CF797" s="11"/>
      <c r="CG797" s="11"/>
      <c r="CH797" s="15"/>
      <c r="CI797" s="11"/>
      <c r="CJ797" s="11"/>
      <c r="CK797" s="15"/>
      <c r="CL797" s="11"/>
      <c r="CM797" s="11"/>
      <c r="CN797" s="11"/>
      <c r="CO797" s="11"/>
      <c r="CP797" s="28"/>
      <c r="CQ797" s="28"/>
      <c r="CR797" s="11"/>
      <c r="CS797" s="29"/>
      <c r="CT797" s="11"/>
      <c r="CU797" s="11"/>
      <c r="CV797" s="11"/>
      <c r="CW797" s="11"/>
      <c r="CX797" s="11"/>
      <c r="CY797" s="11"/>
      <c r="CZ797" s="11"/>
      <c r="DA797" s="28"/>
      <c r="DB797" s="28"/>
      <c r="DC797" s="11"/>
      <c r="DD797" s="29"/>
      <c r="DE797" s="11"/>
      <c r="DF797" s="11"/>
      <c r="DG797" s="11"/>
      <c r="DH797" s="11"/>
      <c r="DI797" s="11"/>
      <c r="DJ797" s="11"/>
      <c r="DK797" s="26"/>
      <c r="DL797" s="11"/>
      <c r="DM797" s="29"/>
      <c r="DN797" s="28"/>
      <c r="DO797" s="11"/>
      <c r="DP797" s="11"/>
      <c r="DQ797" s="11"/>
      <c r="DR797" s="29"/>
      <c r="DS797" s="28"/>
      <c r="DT797" s="11"/>
      <c r="DU797" s="26"/>
      <c r="DV797" s="11"/>
      <c r="DW797" s="29"/>
      <c r="DX797" s="28"/>
      <c r="DY797" s="11"/>
      <c r="DZ797" s="26"/>
      <c r="EA797" s="11"/>
      <c r="EB797" s="29"/>
      <c r="EC797" s="28"/>
      <c r="ED797" s="30"/>
      <c r="EE797" s="30" t="str">
        <f ca="1">IFERROR(__xludf.DUMMYFUNCTION("iferror(index(filter('Internal -- Trademark Countries'!E$2:E1000, (AM797 = 'Internal -- Trademark Countries'!B$2:B1000) + (AM797 = 'Internal -- Trademark Countries'!C$2:C1000) + (AM797 = 'Internal -- Trademark Countries'!D$2:D1000)), 1))"),"")</f>
        <v/>
      </c>
      <c r="EF797" s="30" t="e">
        <f ca="1">_xludf.ifs(AM797="", "", COUNTIF('Internal -- Trademark Countries'!B:B,AM797) &gt; 0, "polity_shortest_name", COUNTIF('Internal -- Trademark Countries'!C:C,AM797) &gt; 0, "polity_full_name", COUNTIF('Internal -- Trademark Countries'!D:D,AM797) &gt; 0, "polity_common_name", COUNTIF('Internal -- Trademark Countries'!E:E,AM797) &gt; 0, "shortest_name", COUNTIF('Internal -- Trademark Countries'!A:A,AM797) &gt; 0, "full_name", TRUE, "not a match")</f>
        <v>#NAME?</v>
      </c>
      <c r="EG797" s="30"/>
      <c r="EH797" s="30"/>
      <c r="EI797" s="30"/>
      <c r="EJ797" s="30"/>
      <c r="EK797" s="30" t="str">
        <f t="shared" si="5"/>
        <v/>
      </c>
    </row>
    <row r="798" spans="1:141" ht="16.5">
      <c r="A798" s="11"/>
      <c r="B798" s="11"/>
      <c r="C798" s="11"/>
      <c r="D798" s="11"/>
      <c r="E798" s="11"/>
      <c r="F798" s="11"/>
      <c r="G798" s="11"/>
      <c r="H798" s="11"/>
      <c r="I798" s="11"/>
      <c r="J798" s="11"/>
      <c r="K798" s="27"/>
      <c r="L798" s="11"/>
      <c r="M798" s="11"/>
      <c r="N798" s="11"/>
      <c r="O798" s="11"/>
      <c r="P798" s="15"/>
      <c r="Q798" s="15"/>
      <c r="R798" s="15"/>
      <c r="S798" s="15"/>
      <c r="T798" s="15"/>
      <c r="U798" s="15"/>
      <c r="V798" s="15"/>
      <c r="W798" s="47"/>
      <c r="X798" s="11"/>
      <c r="Y798" s="48"/>
      <c r="Z798" s="11"/>
      <c r="AA798" s="48"/>
      <c r="AB798" s="11"/>
      <c r="AC798" s="48"/>
      <c r="AD798" s="11"/>
      <c r="AE798" s="47"/>
      <c r="AF798" s="11"/>
      <c r="AG798" s="48"/>
      <c r="AH798" s="11"/>
      <c r="AI798" s="48"/>
      <c r="AJ798" s="11"/>
      <c r="AK798" s="48"/>
      <c r="AL798" s="11"/>
      <c r="AM798" s="49"/>
      <c r="AN798" s="49"/>
      <c r="AO798" s="11"/>
      <c r="AP798" s="11"/>
      <c r="AQ798" s="28" t="b">
        <f>IF(COUNTIF(SmartStatus!A$2:A1000, AM798) &gt; 2, TRUE, FALSE)</f>
        <v>0</v>
      </c>
      <c r="AR798" s="29" t="str">
        <f ca="1">IFERROR(__xludf.DUMMYFUNCTION("iferror(if(regexmatch(AO798, ""(?i)^registered""), if(EE798 &lt;&gt; ""polity_shortest_name"", ""CHECK_POLITY"", index(filter(SmartStatus!B$2:B1000, AM798 = SmartStatus!A$2:A1000, not(SmartStatus!C$2:C1000), (isblank(SmartStatus!D$2:D1000)) + ((P798 &lt;&gt; """") * "&amp;"(P798 &lt; SmartStatus!D$2:D1000)), (isblank(SmartStatus!E$2:E1000)) + ((P798 &lt;&gt; """") * (P798 &gt;= SmartStatus!E$2:E1000)), (isblank(SmartStatus!F$2:F1000)) + (((Q798 &lt;&gt; """") * (Q798 &lt; SmartStatus!F$2:F1000)) + ((P798 &lt;&gt; """") * (date(year(P798) + 3, month(P"&amp;"798), day(P798)) &lt; SmartStatus!F$2:F1000))), (isblank(SmartStatus!G$2:G1000)) + (((Q798 &lt;&gt; """") * (Q798 &gt;= SmartStatus!G$2:G1000)) + ((P798 &lt;&gt; """") * (P798 &gt;= SmartStatus!G$2:G1000)))), if(or(regexmatch(B798, ""(?i)^ir [a-z]+ designation$""), N798 &lt;&gt; """&amp;"""), 1, 2))), """"), ""NO_MATCH"")"),"")</f>
        <v/>
      </c>
      <c r="AS798" s="11"/>
      <c r="AT798" s="15"/>
      <c r="AU798" s="11"/>
      <c r="AV798" s="11"/>
      <c r="AW798" s="15"/>
      <c r="AX798" s="15"/>
      <c r="AY798" s="15"/>
      <c r="AZ798" s="11"/>
      <c r="BA798" s="15"/>
      <c r="BB798" s="11"/>
      <c r="BC798" s="11"/>
      <c r="BD798" s="15"/>
      <c r="BE798" s="11"/>
      <c r="BF798" s="11"/>
      <c r="BG798" s="15"/>
      <c r="BH798" s="15"/>
      <c r="BI798" s="15"/>
      <c r="BJ798" s="11"/>
      <c r="BK798" s="15"/>
      <c r="BL798" s="11"/>
      <c r="BM798" s="11"/>
      <c r="BN798" s="15"/>
      <c r="BO798" s="11"/>
      <c r="BP798" s="11"/>
      <c r="BQ798" s="15"/>
      <c r="BR798" s="15"/>
      <c r="BS798" s="15"/>
      <c r="BT798" s="11"/>
      <c r="BU798" s="15"/>
      <c r="BV798" s="11"/>
      <c r="BW798" s="11"/>
      <c r="BX798" s="15"/>
      <c r="BY798" s="11"/>
      <c r="BZ798" s="11"/>
      <c r="CA798" s="15"/>
      <c r="CB798" s="11"/>
      <c r="CC798" s="15"/>
      <c r="CD798" s="11"/>
      <c r="CE798" s="15"/>
      <c r="CF798" s="11"/>
      <c r="CG798" s="11"/>
      <c r="CH798" s="15"/>
      <c r="CI798" s="11"/>
      <c r="CJ798" s="11"/>
      <c r="CK798" s="15"/>
      <c r="CL798" s="11"/>
      <c r="CM798" s="11"/>
      <c r="CN798" s="11"/>
      <c r="CO798" s="11"/>
      <c r="CP798" s="28"/>
      <c r="CQ798" s="28"/>
      <c r="CR798" s="11"/>
      <c r="CS798" s="29"/>
      <c r="CT798" s="11"/>
      <c r="CU798" s="11"/>
      <c r="CV798" s="11"/>
      <c r="CW798" s="11"/>
      <c r="CX798" s="11"/>
      <c r="CY798" s="11"/>
      <c r="CZ798" s="11"/>
      <c r="DA798" s="28"/>
      <c r="DB798" s="28"/>
      <c r="DC798" s="11"/>
      <c r="DD798" s="29"/>
      <c r="DE798" s="11"/>
      <c r="DF798" s="11"/>
      <c r="DG798" s="11"/>
      <c r="DH798" s="11"/>
      <c r="DI798" s="11"/>
      <c r="DJ798" s="11"/>
      <c r="DK798" s="26"/>
      <c r="DL798" s="11"/>
      <c r="DM798" s="29"/>
      <c r="DN798" s="28"/>
      <c r="DO798" s="11"/>
      <c r="DP798" s="11"/>
      <c r="DQ798" s="11"/>
      <c r="DR798" s="29"/>
      <c r="DS798" s="28"/>
      <c r="DT798" s="11"/>
      <c r="DU798" s="26"/>
      <c r="DV798" s="11"/>
      <c r="DW798" s="29"/>
      <c r="DX798" s="28"/>
      <c r="DY798" s="11"/>
      <c r="DZ798" s="26"/>
      <c r="EA798" s="11"/>
      <c r="EB798" s="29"/>
      <c r="EC798" s="28"/>
      <c r="ED798" s="30"/>
      <c r="EE798" s="30" t="str">
        <f ca="1">IFERROR(__xludf.DUMMYFUNCTION("iferror(index(filter('Internal -- Trademark Countries'!E$2:E1000, (AM798 = 'Internal -- Trademark Countries'!B$2:B1000) + (AM798 = 'Internal -- Trademark Countries'!C$2:C1000) + (AM798 = 'Internal -- Trademark Countries'!D$2:D1000)), 1))"),"")</f>
        <v/>
      </c>
      <c r="EF798" s="30" t="e">
        <f ca="1">_xludf.ifs(AM798="", "", COUNTIF('Internal -- Trademark Countries'!B:B,AM798) &gt; 0, "polity_shortest_name", COUNTIF('Internal -- Trademark Countries'!C:C,AM798) &gt; 0, "polity_full_name", COUNTIF('Internal -- Trademark Countries'!D:D,AM798) &gt; 0, "polity_common_name", COUNTIF('Internal -- Trademark Countries'!E:E,AM798) &gt; 0, "shortest_name", COUNTIF('Internal -- Trademark Countries'!A:A,AM798) &gt; 0, "full_name", TRUE, "not a match")</f>
        <v>#NAME?</v>
      </c>
      <c r="EG798" s="30"/>
      <c r="EH798" s="30"/>
      <c r="EI798" s="30"/>
      <c r="EJ798" s="30"/>
      <c r="EK798" s="30" t="str">
        <f t="shared" si="5"/>
        <v/>
      </c>
    </row>
    <row r="799" spans="1:141" ht="16.5">
      <c r="A799" s="11"/>
      <c r="B799" s="11"/>
      <c r="C799" s="11"/>
      <c r="D799" s="11"/>
      <c r="E799" s="11"/>
      <c r="F799" s="11"/>
      <c r="G799" s="11"/>
      <c r="H799" s="11"/>
      <c r="I799" s="11"/>
      <c r="J799" s="11"/>
      <c r="K799" s="27"/>
      <c r="L799" s="11"/>
      <c r="M799" s="11"/>
      <c r="N799" s="11"/>
      <c r="O799" s="11"/>
      <c r="P799" s="15"/>
      <c r="Q799" s="15"/>
      <c r="R799" s="15"/>
      <c r="S799" s="15"/>
      <c r="T799" s="15"/>
      <c r="U799" s="15"/>
      <c r="V799" s="15"/>
      <c r="W799" s="47"/>
      <c r="X799" s="11"/>
      <c r="Y799" s="48"/>
      <c r="Z799" s="11"/>
      <c r="AA799" s="48"/>
      <c r="AB799" s="11"/>
      <c r="AC799" s="48"/>
      <c r="AD799" s="11"/>
      <c r="AE799" s="47"/>
      <c r="AF799" s="11"/>
      <c r="AG799" s="48"/>
      <c r="AH799" s="11"/>
      <c r="AI799" s="48"/>
      <c r="AJ799" s="11"/>
      <c r="AK799" s="48"/>
      <c r="AL799" s="11"/>
      <c r="AM799" s="49"/>
      <c r="AN799" s="49"/>
      <c r="AO799" s="11"/>
      <c r="AP799" s="11"/>
      <c r="AQ799" s="28" t="b">
        <f>IF(COUNTIF(SmartStatus!A$2:A1000, AM799) &gt; 2, TRUE, FALSE)</f>
        <v>0</v>
      </c>
      <c r="AR799" s="29" t="str">
        <f ca="1">IFERROR(__xludf.DUMMYFUNCTION("iferror(if(regexmatch(AO799, ""(?i)^registered""), if(EE799 &lt;&gt; ""polity_shortest_name"", ""CHECK_POLITY"", index(filter(SmartStatus!B$2:B1000, AM799 = SmartStatus!A$2:A1000, not(SmartStatus!C$2:C1000), (isblank(SmartStatus!D$2:D1000)) + ((P799 &lt;&gt; """") * "&amp;"(P799 &lt; SmartStatus!D$2:D1000)), (isblank(SmartStatus!E$2:E1000)) + ((P799 &lt;&gt; """") * (P799 &gt;= SmartStatus!E$2:E1000)), (isblank(SmartStatus!F$2:F1000)) + (((Q799 &lt;&gt; """") * (Q799 &lt; SmartStatus!F$2:F1000)) + ((P799 &lt;&gt; """") * (date(year(P799) + 3, month(P"&amp;"799), day(P799)) &lt; SmartStatus!F$2:F1000))), (isblank(SmartStatus!G$2:G1000)) + (((Q799 &lt;&gt; """") * (Q799 &gt;= SmartStatus!G$2:G1000)) + ((P799 &lt;&gt; """") * (P799 &gt;= SmartStatus!G$2:G1000)))), if(or(regexmatch(B799, ""(?i)^ir [a-z]+ designation$""), N799 &lt;&gt; """&amp;"""), 1, 2))), """"), ""NO_MATCH"")"),"")</f>
        <v/>
      </c>
      <c r="AS799" s="11"/>
      <c r="AT799" s="15"/>
      <c r="AU799" s="11"/>
      <c r="AV799" s="11"/>
      <c r="AW799" s="15"/>
      <c r="AX799" s="15"/>
      <c r="AY799" s="15"/>
      <c r="AZ799" s="11"/>
      <c r="BA799" s="15"/>
      <c r="BB799" s="11"/>
      <c r="BC799" s="11"/>
      <c r="BD799" s="15"/>
      <c r="BE799" s="11"/>
      <c r="BF799" s="11"/>
      <c r="BG799" s="15"/>
      <c r="BH799" s="15"/>
      <c r="BI799" s="15"/>
      <c r="BJ799" s="11"/>
      <c r="BK799" s="15"/>
      <c r="BL799" s="11"/>
      <c r="BM799" s="11"/>
      <c r="BN799" s="15"/>
      <c r="BO799" s="11"/>
      <c r="BP799" s="11"/>
      <c r="BQ799" s="15"/>
      <c r="BR799" s="15"/>
      <c r="BS799" s="15"/>
      <c r="BT799" s="11"/>
      <c r="BU799" s="15"/>
      <c r="BV799" s="11"/>
      <c r="BW799" s="11"/>
      <c r="BX799" s="15"/>
      <c r="BY799" s="11"/>
      <c r="BZ799" s="11"/>
      <c r="CA799" s="15"/>
      <c r="CB799" s="11"/>
      <c r="CC799" s="15"/>
      <c r="CD799" s="11"/>
      <c r="CE799" s="15"/>
      <c r="CF799" s="11"/>
      <c r="CG799" s="11"/>
      <c r="CH799" s="15"/>
      <c r="CI799" s="11"/>
      <c r="CJ799" s="11"/>
      <c r="CK799" s="15"/>
      <c r="CL799" s="11"/>
      <c r="CM799" s="11"/>
      <c r="CN799" s="11"/>
      <c r="CO799" s="11"/>
      <c r="CP799" s="28"/>
      <c r="CQ799" s="28"/>
      <c r="CR799" s="11"/>
      <c r="CS799" s="29"/>
      <c r="CT799" s="11"/>
      <c r="CU799" s="11"/>
      <c r="CV799" s="11"/>
      <c r="CW799" s="11"/>
      <c r="CX799" s="11"/>
      <c r="CY799" s="11"/>
      <c r="CZ799" s="11"/>
      <c r="DA799" s="28"/>
      <c r="DB799" s="28"/>
      <c r="DC799" s="11"/>
      <c r="DD799" s="29"/>
      <c r="DE799" s="11"/>
      <c r="DF799" s="11"/>
      <c r="DG799" s="11"/>
      <c r="DH799" s="11"/>
      <c r="DI799" s="11"/>
      <c r="DJ799" s="11"/>
      <c r="DK799" s="26"/>
      <c r="DL799" s="11"/>
      <c r="DM799" s="29"/>
      <c r="DN799" s="28"/>
      <c r="DO799" s="11"/>
      <c r="DP799" s="11"/>
      <c r="DQ799" s="11"/>
      <c r="DR799" s="29"/>
      <c r="DS799" s="28"/>
      <c r="DT799" s="11"/>
      <c r="DU799" s="26"/>
      <c r="DV799" s="11"/>
      <c r="DW799" s="29"/>
      <c r="DX799" s="28"/>
      <c r="DY799" s="11"/>
      <c r="DZ799" s="26"/>
      <c r="EA799" s="11"/>
      <c r="EB799" s="29"/>
      <c r="EC799" s="28"/>
      <c r="ED799" s="30"/>
      <c r="EE799" s="30" t="str">
        <f ca="1">IFERROR(__xludf.DUMMYFUNCTION("iferror(index(filter('Internal -- Trademark Countries'!E$2:E1000, (AM799 = 'Internal -- Trademark Countries'!B$2:B1000) + (AM799 = 'Internal -- Trademark Countries'!C$2:C1000) + (AM799 = 'Internal -- Trademark Countries'!D$2:D1000)), 1))"),"")</f>
        <v/>
      </c>
      <c r="EF799" s="30" t="e">
        <f ca="1">_xludf.ifs(AM799="", "", COUNTIF('Internal -- Trademark Countries'!B:B,AM799) &gt; 0, "polity_shortest_name", COUNTIF('Internal -- Trademark Countries'!C:C,AM799) &gt; 0, "polity_full_name", COUNTIF('Internal -- Trademark Countries'!D:D,AM799) &gt; 0, "polity_common_name", COUNTIF('Internal -- Trademark Countries'!E:E,AM799) &gt; 0, "shortest_name", COUNTIF('Internal -- Trademark Countries'!A:A,AM799) &gt; 0, "full_name", TRUE, "not a match")</f>
        <v>#NAME?</v>
      </c>
      <c r="EG799" s="30"/>
      <c r="EH799" s="30"/>
      <c r="EI799" s="30"/>
      <c r="EJ799" s="30"/>
      <c r="EK799" s="30" t="str">
        <f t="shared" si="5"/>
        <v/>
      </c>
    </row>
    <row r="800" spans="1:141" ht="16.5">
      <c r="A800" s="11"/>
      <c r="B800" s="11"/>
      <c r="C800" s="11"/>
      <c r="D800" s="11"/>
      <c r="E800" s="11"/>
      <c r="F800" s="11"/>
      <c r="G800" s="11"/>
      <c r="H800" s="11"/>
      <c r="I800" s="11"/>
      <c r="J800" s="11"/>
      <c r="K800" s="27"/>
      <c r="L800" s="11"/>
      <c r="M800" s="11"/>
      <c r="N800" s="11"/>
      <c r="O800" s="11"/>
      <c r="P800" s="15"/>
      <c r="Q800" s="15"/>
      <c r="R800" s="15"/>
      <c r="S800" s="15"/>
      <c r="T800" s="15"/>
      <c r="U800" s="15"/>
      <c r="V800" s="15"/>
      <c r="W800" s="47"/>
      <c r="X800" s="11"/>
      <c r="Y800" s="48"/>
      <c r="Z800" s="11"/>
      <c r="AA800" s="48"/>
      <c r="AB800" s="11"/>
      <c r="AC800" s="48"/>
      <c r="AD800" s="11"/>
      <c r="AE800" s="47"/>
      <c r="AF800" s="11"/>
      <c r="AG800" s="48"/>
      <c r="AH800" s="11"/>
      <c r="AI800" s="48"/>
      <c r="AJ800" s="11"/>
      <c r="AK800" s="48"/>
      <c r="AL800" s="11"/>
      <c r="AM800" s="49"/>
      <c r="AN800" s="49"/>
      <c r="AO800" s="11"/>
      <c r="AP800" s="11"/>
      <c r="AQ800" s="28" t="b">
        <f>IF(COUNTIF(SmartStatus!A$2:A1000, AM800) &gt; 2, TRUE, FALSE)</f>
        <v>0</v>
      </c>
      <c r="AR800" s="29" t="str">
        <f ca="1">IFERROR(__xludf.DUMMYFUNCTION("iferror(if(regexmatch(AO800, ""(?i)^registered""), if(EE800 &lt;&gt; ""polity_shortest_name"", ""CHECK_POLITY"", index(filter(SmartStatus!B$2:B1000, AM800 = SmartStatus!A$2:A1000, not(SmartStatus!C$2:C1000), (isblank(SmartStatus!D$2:D1000)) + ((P800 &lt;&gt; """") * "&amp;"(P800 &lt; SmartStatus!D$2:D1000)), (isblank(SmartStatus!E$2:E1000)) + ((P800 &lt;&gt; """") * (P800 &gt;= SmartStatus!E$2:E1000)), (isblank(SmartStatus!F$2:F1000)) + (((Q800 &lt;&gt; """") * (Q800 &lt; SmartStatus!F$2:F1000)) + ((P800 &lt;&gt; """") * (date(year(P800) + 3, month(P"&amp;"800), day(P800)) &lt; SmartStatus!F$2:F1000))), (isblank(SmartStatus!G$2:G1000)) + (((Q800 &lt;&gt; """") * (Q800 &gt;= SmartStatus!G$2:G1000)) + ((P800 &lt;&gt; """") * (P800 &gt;= SmartStatus!G$2:G1000)))), if(or(regexmatch(B800, ""(?i)^ir [a-z]+ designation$""), N800 &lt;&gt; """&amp;"""), 1, 2))), """"), ""NO_MATCH"")"),"")</f>
        <v/>
      </c>
      <c r="AS800" s="11"/>
      <c r="AT800" s="15"/>
      <c r="AU800" s="11"/>
      <c r="AV800" s="11"/>
      <c r="AW800" s="15"/>
      <c r="AX800" s="15"/>
      <c r="AY800" s="15"/>
      <c r="AZ800" s="11"/>
      <c r="BA800" s="15"/>
      <c r="BB800" s="11"/>
      <c r="BC800" s="11"/>
      <c r="BD800" s="15"/>
      <c r="BE800" s="11"/>
      <c r="BF800" s="11"/>
      <c r="BG800" s="15"/>
      <c r="BH800" s="15"/>
      <c r="BI800" s="15"/>
      <c r="BJ800" s="11"/>
      <c r="BK800" s="15"/>
      <c r="BL800" s="11"/>
      <c r="BM800" s="11"/>
      <c r="BN800" s="15"/>
      <c r="BO800" s="11"/>
      <c r="BP800" s="11"/>
      <c r="BQ800" s="15"/>
      <c r="BR800" s="15"/>
      <c r="BS800" s="15"/>
      <c r="BT800" s="11"/>
      <c r="BU800" s="15"/>
      <c r="BV800" s="11"/>
      <c r="BW800" s="11"/>
      <c r="BX800" s="15"/>
      <c r="BY800" s="11"/>
      <c r="BZ800" s="11"/>
      <c r="CA800" s="15"/>
      <c r="CB800" s="11"/>
      <c r="CC800" s="15"/>
      <c r="CD800" s="11"/>
      <c r="CE800" s="15"/>
      <c r="CF800" s="11"/>
      <c r="CG800" s="11"/>
      <c r="CH800" s="15"/>
      <c r="CI800" s="11"/>
      <c r="CJ800" s="11"/>
      <c r="CK800" s="15"/>
      <c r="CL800" s="11"/>
      <c r="CM800" s="11"/>
      <c r="CN800" s="11"/>
      <c r="CO800" s="11"/>
      <c r="CP800" s="28"/>
      <c r="CQ800" s="28"/>
      <c r="CR800" s="11"/>
      <c r="CS800" s="29"/>
      <c r="CT800" s="11"/>
      <c r="CU800" s="11"/>
      <c r="CV800" s="11"/>
      <c r="CW800" s="11"/>
      <c r="CX800" s="11"/>
      <c r="CY800" s="11"/>
      <c r="CZ800" s="11"/>
      <c r="DA800" s="28"/>
      <c r="DB800" s="28"/>
      <c r="DC800" s="11"/>
      <c r="DD800" s="29"/>
      <c r="DE800" s="11"/>
      <c r="DF800" s="11"/>
      <c r="DG800" s="11"/>
      <c r="DH800" s="11"/>
      <c r="DI800" s="11"/>
      <c r="DJ800" s="11"/>
      <c r="DK800" s="26"/>
      <c r="DL800" s="11"/>
      <c r="DM800" s="29"/>
      <c r="DN800" s="28"/>
      <c r="DO800" s="11"/>
      <c r="DP800" s="11"/>
      <c r="DQ800" s="11"/>
      <c r="DR800" s="29"/>
      <c r="DS800" s="28"/>
      <c r="DT800" s="11"/>
      <c r="DU800" s="26"/>
      <c r="DV800" s="11"/>
      <c r="DW800" s="29"/>
      <c r="DX800" s="28"/>
      <c r="DY800" s="11"/>
      <c r="DZ800" s="26"/>
      <c r="EA800" s="11"/>
      <c r="EB800" s="29"/>
      <c r="EC800" s="28"/>
      <c r="ED800" s="30"/>
      <c r="EE800" s="30" t="str">
        <f ca="1">IFERROR(__xludf.DUMMYFUNCTION("iferror(index(filter('Internal -- Trademark Countries'!E$2:E1000, (AM800 = 'Internal -- Trademark Countries'!B$2:B1000) + (AM800 = 'Internal -- Trademark Countries'!C$2:C1000) + (AM800 = 'Internal -- Trademark Countries'!D$2:D1000)), 1))"),"")</f>
        <v/>
      </c>
      <c r="EF800" s="30" t="e">
        <f ca="1">_xludf.ifs(AM800="", "", COUNTIF('Internal -- Trademark Countries'!B:B,AM800) &gt; 0, "polity_shortest_name", COUNTIF('Internal -- Trademark Countries'!C:C,AM800) &gt; 0, "polity_full_name", COUNTIF('Internal -- Trademark Countries'!D:D,AM800) &gt; 0, "polity_common_name", COUNTIF('Internal -- Trademark Countries'!E:E,AM800) &gt; 0, "shortest_name", COUNTIF('Internal -- Trademark Countries'!A:A,AM800) &gt; 0, "full_name", TRUE, "not a match")</f>
        <v>#NAME?</v>
      </c>
      <c r="EG800" s="30"/>
      <c r="EH800" s="30"/>
      <c r="EI800" s="30"/>
      <c r="EJ800" s="30"/>
      <c r="EK800" s="30" t="str">
        <f t="shared" si="5"/>
        <v/>
      </c>
    </row>
    <row r="801" spans="1:141" ht="16.5">
      <c r="A801" s="11"/>
      <c r="B801" s="11"/>
      <c r="C801" s="11"/>
      <c r="D801" s="11"/>
      <c r="E801" s="11"/>
      <c r="F801" s="11"/>
      <c r="G801" s="11"/>
      <c r="H801" s="11"/>
      <c r="I801" s="11"/>
      <c r="J801" s="11"/>
      <c r="K801" s="27"/>
      <c r="L801" s="11"/>
      <c r="M801" s="11"/>
      <c r="N801" s="11"/>
      <c r="O801" s="11"/>
      <c r="P801" s="15"/>
      <c r="Q801" s="15"/>
      <c r="R801" s="15"/>
      <c r="S801" s="15"/>
      <c r="T801" s="15"/>
      <c r="U801" s="15"/>
      <c r="V801" s="15"/>
      <c r="W801" s="47"/>
      <c r="X801" s="11"/>
      <c r="Y801" s="48"/>
      <c r="Z801" s="11"/>
      <c r="AA801" s="48"/>
      <c r="AB801" s="11"/>
      <c r="AC801" s="48"/>
      <c r="AD801" s="11"/>
      <c r="AE801" s="47"/>
      <c r="AF801" s="11"/>
      <c r="AG801" s="48"/>
      <c r="AH801" s="11"/>
      <c r="AI801" s="48"/>
      <c r="AJ801" s="11"/>
      <c r="AK801" s="48"/>
      <c r="AL801" s="11"/>
      <c r="AM801" s="49"/>
      <c r="AN801" s="49"/>
      <c r="AO801" s="11"/>
      <c r="AP801" s="11"/>
      <c r="AQ801" s="28" t="b">
        <f>IF(COUNTIF(SmartStatus!A$2:A1000, AM801) &gt; 2, TRUE, FALSE)</f>
        <v>0</v>
      </c>
      <c r="AR801" s="29" t="str">
        <f ca="1">IFERROR(__xludf.DUMMYFUNCTION("iferror(if(regexmatch(AO801, ""(?i)^registered""), if(EE801 &lt;&gt; ""polity_shortest_name"", ""CHECK_POLITY"", index(filter(SmartStatus!B$2:B1000, AM801 = SmartStatus!A$2:A1000, not(SmartStatus!C$2:C1000), (isblank(SmartStatus!D$2:D1000)) + ((P801 &lt;&gt; """") * "&amp;"(P801 &lt; SmartStatus!D$2:D1000)), (isblank(SmartStatus!E$2:E1000)) + ((P801 &lt;&gt; """") * (P801 &gt;= SmartStatus!E$2:E1000)), (isblank(SmartStatus!F$2:F1000)) + (((Q801 &lt;&gt; """") * (Q801 &lt; SmartStatus!F$2:F1000)) + ((P801 &lt;&gt; """") * (date(year(P801) + 3, month(P"&amp;"801), day(P801)) &lt; SmartStatus!F$2:F1000))), (isblank(SmartStatus!G$2:G1000)) + (((Q801 &lt;&gt; """") * (Q801 &gt;= SmartStatus!G$2:G1000)) + ((P801 &lt;&gt; """") * (P801 &gt;= SmartStatus!G$2:G1000)))), if(or(regexmatch(B801, ""(?i)^ir [a-z]+ designation$""), N801 &lt;&gt; """&amp;"""), 1, 2))), """"), ""NO_MATCH"")"),"")</f>
        <v/>
      </c>
      <c r="AS801" s="11"/>
      <c r="AT801" s="15"/>
      <c r="AU801" s="11"/>
      <c r="AV801" s="11"/>
      <c r="AW801" s="15"/>
      <c r="AX801" s="15"/>
      <c r="AY801" s="15"/>
      <c r="AZ801" s="11"/>
      <c r="BA801" s="15"/>
      <c r="BB801" s="11"/>
      <c r="BC801" s="11"/>
      <c r="BD801" s="15"/>
      <c r="BE801" s="11"/>
      <c r="BF801" s="11"/>
      <c r="BG801" s="15"/>
      <c r="BH801" s="15"/>
      <c r="BI801" s="15"/>
      <c r="BJ801" s="11"/>
      <c r="BK801" s="15"/>
      <c r="BL801" s="11"/>
      <c r="BM801" s="11"/>
      <c r="BN801" s="15"/>
      <c r="BO801" s="11"/>
      <c r="BP801" s="11"/>
      <c r="BQ801" s="15"/>
      <c r="BR801" s="15"/>
      <c r="BS801" s="15"/>
      <c r="BT801" s="11"/>
      <c r="BU801" s="15"/>
      <c r="BV801" s="11"/>
      <c r="BW801" s="11"/>
      <c r="BX801" s="15"/>
      <c r="BY801" s="11"/>
      <c r="BZ801" s="11"/>
      <c r="CA801" s="15"/>
      <c r="CB801" s="11"/>
      <c r="CC801" s="15"/>
      <c r="CD801" s="11"/>
      <c r="CE801" s="15"/>
      <c r="CF801" s="11"/>
      <c r="CG801" s="11"/>
      <c r="CH801" s="15"/>
      <c r="CI801" s="11"/>
      <c r="CJ801" s="11"/>
      <c r="CK801" s="15"/>
      <c r="CL801" s="11"/>
      <c r="CM801" s="11"/>
      <c r="CN801" s="11"/>
      <c r="CO801" s="11"/>
      <c r="CP801" s="28"/>
      <c r="CQ801" s="28"/>
      <c r="CR801" s="11"/>
      <c r="CS801" s="29"/>
      <c r="CT801" s="11"/>
      <c r="CU801" s="11"/>
      <c r="CV801" s="11"/>
      <c r="CW801" s="11"/>
      <c r="CX801" s="11"/>
      <c r="CY801" s="11"/>
      <c r="CZ801" s="11"/>
      <c r="DA801" s="28"/>
      <c r="DB801" s="28"/>
      <c r="DC801" s="11"/>
      <c r="DD801" s="29"/>
      <c r="DE801" s="11"/>
      <c r="DF801" s="11"/>
      <c r="DG801" s="11"/>
      <c r="DH801" s="11"/>
      <c r="DI801" s="11"/>
      <c r="DJ801" s="11"/>
      <c r="DK801" s="26"/>
      <c r="DL801" s="11"/>
      <c r="DM801" s="29"/>
      <c r="DN801" s="28"/>
      <c r="DO801" s="11"/>
      <c r="DP801" s="11"/>
      <c r="DQ801" s="11"/>
      <c r="DR801" s="29"/>
      <c r="DS801" s="28"/>
      <c r="DT801" s="11"/>
      <c r="DU801" s="26"/>
      <c r="DV801" s="11"/>
      <c r="DW801" s="29"/>
      <c r="DX801" s="28"/>
      <c r="DY801" s="11"/>
      <c r="DZ801" s="26"/>
      <c r="EA801" s="11"/>
      <c r="EB801" s="29"/>
      <c r="EC801" s="28"/>
      <c r="ED801" s="30"/>
      <c r="EE801" s="30" t="str">
        <f ca="1">IFERROR(__xludf.DUMMYFUNCTION("iferror(index(filter('Internal -- Trademark Countries'!E$2:E1000, (AM801 = 'Internal -- Trademark Countries'!B$2:B1000) + (AM801 = 'Internal -- Trademark Countries'!C$2:C1000) + (AM801 = 'Internal -- Trademark Countries'!D$2:D1000)), 1))"),"")</f>
        <v/>
      </c>
      <c r="EF801" s="30" t="e">
        <f ca="1">_xludf.ifs(AM801="", "", COUNTIF('Internal -- Trademark Countries'!B:B,AM801) &gt; 0, "polity_shortest_name", COUNTIF('Internal -- Trademark Countries'!C:C,AM801) &gt; 0, "polity_full_name", COUNTIF('Internal -- Trademark Countries'!D:D,AM801) &gt; 0, "polity_common_name", COUNTIF('Internal -- Trademark Countries'!E:E,AM801) &gt; 0, "shortest_name", COUNTIF('Internal -- Trademark Countries'!A:A,AM801) &gt; 0, "full_name", TRUE, "not a match")</f>
        <v>#NAME?</v>
      </c>
      <c r="EG801" s="30"/>
      <c r="EH801" s="30"/>
      <c r="EI801" s="30"/>
      <c r="EJ801" s="30"/>
      <c r="EK801" s="30" t="str">
        <f t="shared" si="5"/>
        <v/>
      </c>
    </row>
    <row r="802" spans="1:141" ht="16.5">
      <c r="A802" s="11"/>
      <c r="B802" s="11"/>
      <c r="C802" s="11"/>
      <c r="D802" s="11"/>
      <c r="E802" s="11"/>
      <c r="F802" s="11"/>
      <c r="G802" s="11"/>
      <c r="H802" s="11"/>
      <c r="I802" s="11"/>
      <c r="J802" s="11"/>
      <c r="K802" s="27"/>
      <c r="L802" s="11"/>
      <c r="M802" s="11"/>
      <c r="N802" s="11"/>
      <c r="O802" s="11"/>
      <c r="P802" s="15"/>
      <c r="Q802" s="15"/>
      <c r="R802" s="15"/>
      <c r="S802" s="15"/>
      <c r="T802" s="15"/>
      <c r="U802" s="15"/>
      <c r="V802" s="15"/>
      <c r="W802" s="47"/>
      <c r="X802" s="11"/>
      <c r="Y802" s="48"/>
      <c r="Z802" s="11"/>
      <c r="AA802" s="48"/>
      <c r="AB802" s="11"/>
      <c r="AC802" s="48"/>
      <c r="AD802" s="11"/>
      <c r="AE802" s="47"/>
      <c r="AF802" s="11"/>
      <c r="AG802" s="48"/>
      <c r="AH802" s="11"/>
      <c r="AI802" s="48"/>
      <c r="AJ802" s="11"/>
      <c r="AK802" s="48"/>
      <c r="AL802" s="11"/>
      <c r="AM802" s="49"/>
      <c r="AN802" s="49"/>
      <c r="AO802" s="11"/>
      <c r="AP802" s="11"/>
      <c r="AQ802" s="28" t="b">
        <f>IF(COUNTIF(SmartStatus!A$2:A1000, AM802) &gt; 2, TRUE, FALSE)</f>
        <v>0</v>
      </c>
      <c r="AR802" s="29" t="str">
        <f ca="1">IFERROR(__xludf.DUMMYFUNCTION("iferror(if(regexmatch(AO802, ""(?i)^registered""), if(EE802 &lt;&gt; ""polity_shortest_name"", ""CHECK_POLITY"", index(filter(SmartStatus!B$2:B1000, AM802 = SmartStatus!A$2:A1000, not(SmartStatus!C$2:C1000), (isblank(SmartStatus!D$2:D1000)) + ((P802 &lt;&gt; """") * "&amp;"(P802 &lt; SmartStatus!D$2:D1000)), (isblank(SmartStatus!E$2:E1000)) + ((P802 &lt;&gt; """") * (P802 &gt;= SmartStatus!E$2:E1000)), (isblank(SmartStatus!F$2:F1000)) + (((Q802 &lt;&gt; """") * (Q802 &lt; SmartStatus!F$2:F1000)) + ((P802 &lt;&gt; """") * (date(year(P802) + 3, month(P"&amp;"802), day(P802)) &lt; SmartStatus!F$2:F1000))), (isblank(SmartStatus!G$2:G1000)) + (((Q802 &lt;&gt; """") * (Q802 &gt;= SmartStatus!G$2:G1000)) + ((P802 &lt;&gt; """") * (P802 &gt;= SmartStatus!G$2:G1000)))), if(or(regexmatch(B802, ""(?i)^ir [a-z]+ designation$""), N802 &lt;&gt; """&amp;"""), 1, 2))), """"), ""NO_MATCH"")"),"")</f>
        <v/>
      </c>
      <c r="AS802" s="11"/>
      <c r="AT802" s="15"/>
      <c r="AU802" s="11"/>
      <c r="AV802" s="11"/>
      <c r="AW802" s="15"/>
      <c r="AX802" s="15"/>
      <c r="AY802" s="15"/>
      <c r="AZ802" s="11"/>
      <c r="BA802" s="15"/>
      <c r="BB802" s="11"/>
      <c r="BC802" s="11"/>
      <c r="BD802" s="15"/>
      <c r="BE802" s="11"/>
      <c r="BF802" s="11"/>
      <c r="BG802" s="15"/>
      <c r="BH802" s="15"/>
      <c r="BI802" s="15"/>
      <c r="BJ802" s="11"/>
      <c r="BK802" s="15"/>
      <c r="BL802" s="11"/>
      <c r="BM802" s="11"/>
      <c r="BN802" s="15"/>
      <c r="BO802" s="11"/>
      <c r="BP802" s="11"/>
      <c r="BQ802" s="15"/>
      <c r="BR802" s="15"/>
      <c r="BS802" s="15"/>
      <c r="BT802" s="11"/>
      <c r="BU802" s="15"/>
      <c r="BV802" s="11"/>
      <c r="BW802" s="11"/>
      <c r="BX802" s="15"/>
      <c r="BY802" s="11"/>
      <c r="BZ802" s="11"/>
      <c r="CA802" s="15"/>
      <c r="CB802" s="11"/>
      <c r="CC802" s="15"/>
      <c r="CD802" s="11"/>
      <c r="CE802" s="15"/>
      <c r="CF802" s="11"/>
      <c r="CG802" s="11"/>
      <c r="CH802" s="15"/>
      <c r="CI802" s="11"/>
      <c r="CJ802" s="11"/>
      <c r="CK802" s="15"/>
      <c r="CL802" s="11"/>
      <c r="CM802" s="11"/>
      <c r="CN802" s="11"/>
      <c r="CO802" s="11"/>
      <c r="CP802" s="28"/>
      <c r="CQ802" s="28"/>
      <c r="CR802" s="11"/>
      <c r="CS802" s="29"/>
      <c r="CT802" s="11"/>
      <c r="CU802" s="11"/>
      <c r="CV802" s="11"/>
      <c r="CW802" s="11"/>
      <c r="CX802" s="11"/>
      <c r="CY802" s="11"/>
      <c r="CZ802" s="11"/>
      <c r="DA802" s="28"/>
      <c r="DB802" s="28"/>
      <c r="DC802" s="11"/>
      <c r="DD802" s="29"/>
      <c r="DE802" s="11"/>
      <c r="DF802" s="11"/>
      <c r="DG802" s="11"/>
      <c r="DH802" s="11"/>
      <c r="DI802" s="11"/>
      <c r="DJ802" s="11"/>
      <c r="DK802" s="26"/>
      <c r="DL802" s="11"/>
      <c r="DM802" s="29"/>
      <c r="DN802" s="28"/>
      <c r="DO802" s="11"/>
      <c r="DP802" s="11"/>
      <c r="DQ802" s="11"/>
      <c r="DR802" s="29"/>
      <c r="DS802" s="28"/>
      <c r="DT802" s="11"/>
      <c r="DU802" s="26"/>
      <c r="DV802" s="11"/>
      <c r="DW802" s="29"/>
      <c r="DX802" s="28"/>
      <c r="DY802" s="11"/>
      <c r="DZ802" s="26"/>
      <c r="EA802" s="11"/>
      <c r="EB802" s="29"/>
      <c r="EC802" s="28"/>
      <c r="ED802" s="30"/>
      <c r="EE802" s="30" t="str">
        <f ca="1">IFERROR(__xludf.DUMMYFUNCTION("iferror(index(filter('Internal -- Trademark Countries'!E$2:E1000, (AM802 = 'Internal -- Trademark Countries'!B$2:B1000) + (AM802 = 'Internal -- Trademark Countries'!C$2:C1000) + (AM802 = 'Internal -- Trademark Countries'!D$2:D1000)), 1))"),"")</f>
        <v/>
      </c>
      <c r="EF802" s="30" t="e">
        <f ca="1">_xludf.ifs(AM802="", "", COUNTIF('Internal -- Trademark Countries'!B:B,AM802) &gt; 0, "polity_shortest_name", COUNTIF('Internal -- Trademark Countries'!C:C,AM802) &gt; 0, "polity_full_name", COUNTIF('Internal -- Trademark Countries'!D:D,AM802) &gt; 0, "polity_common_name", COUNTIF('Internal -- Trademark Countries'!E:E,AM802) &gt; 0, "shortest_name", COUNTIF('Internal -- Trademark Countries'!A:A,AM802) &gt; 0, "full_name", TRUE, "not a match")</f>
        <v>#NAME?</v>
      </c>
      <c r="EG802" s="30"/>
      <c r="EH802" s="30"/>
      <c r="EI802" s="30"/>
      <c r="EJ802" s="30"/>
      <c r="EK802" s="30" t="str">
        <f t="shared" si="5"/>
        <v/>
      </c>
    </row>
    <row r="803" spans="1:141" ht="16.5">
      <c r="A803" s="11"/>
      <c r="B803" s="11"/>
      <c r="C803" s="11"/>
      <c r="D803" s="11"/>
      <c r="E803" s="11"/>
      <c r="F803" s="11"/>
      <c r="G803" s="11"/>
      <c r="H803" s="11"/>
      <c r="I803" s="11"/>
      <c r="J803" s="11"/>
      <c r="K803" s="27"/>
      <c r="L803" s="11"/>
      <c r="M803" s="11"/>
      <c r="N803" s="11"/>
      <c r="O803" s="11"/>
      <c r="P803" s="15"/>
      <c r="Q803" s="15"/>
      <c r="R803" s="15"/>
      <c r="S803" s="15"/>
      <c r="T803" s="15"/>
      <c r="U803" s="15"/>
      <c r="V803" s="15"/>
      <c r="W803" s="47"/>
      <c r="X803" s="11"/>
      <c r="Y803" s="48"/>
      <c r="Z803" s="11"/>
      <c r="AA803" s="48"/>
      <c r="AB803" s="11"/>
      <c r="AC803" s="48"/>
      <c r="AD803" s="11"/>
      <c r="AE803" s="47"/>
      <c r="AF803" s="11"/>
      <c r="AG803" s="48"/>
      <c r="AH803" s="11"/>
      <c r="AI803" s="48"/>
      <c r="AJ803" s="11"/>
      <c r="AK803" s="48"/>
      <c r="AL803" s="11"/>
      <c r="AM803" s="49"/>
      <c r="AN803" s="49"/>
      <c r="AO803" s="11"/>
      <c r="AP803" s="11"/>
      <c r="AQ803" s="28" t="b">
        <f>IF(COUNTIF(SmartStatus!A$2:A1000, AM803) &gt; 2, TRUE, FALSE)</f>
        <v>0</v>
      </c>
      <c r="AR803" s="29" t="str">
        <f ca="1">IFERROR(__xludf.DUMMYFUNCTION("iferror(if(regexmatch(AO803, ""(?i)^registered""), if(EE803 &lt;&gt; ""polity_shortest_name"", ""CHECK_POLITY"", index(filter(SmartStatus!B$2:B1000, AM803 = SmartStatus!A$2:A1000, not(SmartStatus!C$2:C1000), (isblank(SmartStatus!D$2:D1000)) + ((P803 &lt;&gt; """") * "&amp;"(P803 &lt; SmartStatus!D$2:D1000)), (isblank(SmartStatus!E$2:E1000)) + ((P803 &lt;&gt; """") * (P803 &gt;= SmartStatus!E$2:E1000)), (isblank(SmartStatus!F$2:F1000)) + (((Q803 &lt;&gt; """") * (Q803 &lt; SmartStatus!F$2:F1000)) + ((P803 &lt;&gt; """") * (date(year(P803) + 3, month(P"&amp;"803), day(P803)) &lt; SmartStatus!F$2:F1000))), (isblank(SmartStatus!G$2:G1000)) + (((Q803 &lt;&gt; """") * (Q803 &gt;= SmartStatus!G$2:G1000)) + ((P803 &lt;&gt; """") * (P803 &gt;= SmartStatus!G$2:G1000)))), if(or(regexmatch(B803, ""(?i)^ir [a-z]+ designation$""), N803 &lt;&gt; """&amp;"""), 1, 2))), """"), ""NO_MATCH"")"),"")</f>
        <v/>
      </c>
      <c r="AS803" s="11"/>
      <c r="AT803" s="15"/>
      <c r="AU803" s="11"/>
      <c r="AV803" s="11"/>
      <c r="AW803" s="15"/>
      <c r="AX803" s="15"/>
      <c r="AY803" s="15"/>
      <c r="AZ803" s="11"/>
      <c r="BA803" s="15"/>
      <c r="BB803" s="11"/>
      <c r="BC803" s="11"/>
      <c r="BD803" s="15"/>
      <c r="BE803" s="11"/>
      <c r="BF803" s="11"/>
      <c r="BG803" s="15"/>
      <c r="BH803" s="15"/>
      <c r="BI803" s="15"/>
      <c r="BJ803" s="11"/>
      <c r="BK803" s="15"/>
      <c r="BL803" s="11"/>
      <c r="BM803" s="11"/>
      <c r="BN803" s="15"/>
      <c r="BO803" s="11"/>
      <c r="BP803" s="11"/>
      <c r="BQ803" s="15"/>
      <c r="BR803" s="15"/>
      <c r="BS803" s="15"/>
      <c r="BT803" s="11"/>
      <c r="BU803" s="15"/>
      <c r="BV803" s="11"/>
      <c r="BW803" s="11"/>
      <c r="BX803" s="15"/>
      <c r="BY803" s="11"/>
      <c r="BZ803" s="11"/>
      <c r="CA803" s="15"/>
      <c r="CB803" s="11"/>
      <c r="CC803" s="15"/>
      <c r="CD803" s="11"/>
      <c r="CE803" s="15"/>
      <c r="CF803" s="11"/>
      <c r="CG803" s="11"/>
      <c r="CH803" s="15"/>
      <c r="CI803" s="11"/>
      <c r="CJ803" s="11"/>
      <c r="CK803" s="15"/>
      <c r="CL803" s="11"/>
      <c r="CM803" s="11"/>
      <c r="CN803" s="11"/>
      <c r="CO803" s="11"/>
      <c r="CP803" s="28"/>
      <c r="CQ803" s="28"/>
      <c r="CR803" s="11"/>
      <c r="CS803" s="29"/>
      <c r="CT803" s="11"/>
      <c r="CU803" s="11"/>
      <c r="CV803" s="11"/>
      <c r="CW803" s="11"/>
      <c r="CX803" s="11"/>
      <c r="CY803" s="11"/>
      <c r="CZ803" s="11"/>
      <c r="DA803" s="28"/>
      <c r="DB803" s="28"/>
      <c r="DC803" s="11"/>
      <c r="DD803" s="29"/>
      <c r="DE803" s="11"/>
      <c r="DF803" s="11"/>
      <c r="DG803" s="11"/>
      <c r="DH803" s="11"/>
      <c r="DI803" s="11"/>
      <c r="DJ803" s="11"/>
      <c r="DK803" s="26"/>
      <c r="DL803" s="11"/>
      <c r="DM803" s="29"/>
      <c r="DN803" s="28"/>
      <c r="DO803" s="11"/>
      <c r="DP803" s="11"/>
      <c r="DQ803" s="11"/>
      <c r="DR803" s="29"/>
      <c r="DS803" s="28"/>
      <c r="DT803" s="11"/>
      <c r="DU803" s="26"/>
      <c r="DV803" s="11"/>
      <c r="DW803" s="29"/>
      <c r="DX803" s="28"/>
      <c r="DY803" s="11"/>
      <c r="DZ803" s="26"/>
      <c r="EA803" s="11"/>
      <c r="EB803" s="29"/>
      <c r="EC803" s="28"/>
      <c r="ED803" s="30"/>
      <c r="EE803" s="30" t="str">
        <f ca="1">IFERROR(__xludf.DUMMYFUNCTION("iferror(index(filter('Internal -- Trademark Countries'!E$2:E1000, (AM803 = 'Internal -- Trademark Countries'!B$2:B1000) + (AM803 = 'Internal -- Trademark Countries'!C$2:C1000) + (AM803 = 'Internal -- Trademark Countries'!D$2:D1000)), 1))"),"")</f>
        <v/>
      </c>
      <c r="EF803" s="30" t="e">
        <f ca="1">_xludf.ifs(AM803="", "", COUNTIF('Internal -- Trademark Countries'!B:B,AM803) &gt; 0, "polity_shortest_name", COUNTIF('Internal -- Trademark Countries'!C:C,AM803) &gt; 0, "polity_full_name", COUNTIF('Internal -- Trademark Countries'!D:D,AM803) &gt; 0, "polity_common_name", COUNTIF('Internal -- Trademark Countries'!E:E,AM803) &gt; 0, "shortest_name", COUNTIF('Internal -- Trademark Countries'!A:A,AM803) &gt; 0, "full_name", TRUE, "not a match")</f>
        <v>#NAME?</v>
      </c>
      <c r="EG803" s="30"/>
      <c r="EH803" s="30"/>
      <c r="EI803" s="30"/>
      <c r="EJ803" s="30"/>
      <c r="EK803" s="30" t="str">
        <f t="shared" si="5"/>
        <v/>
      </c>
    </row>
    <row r="804" spans="1:141" ht="16.5">
      <c r="A804" s="11"/>
      <c r="B804" s="11"/>
      <c r="C804" s="11"/>
      <c r="D804" s="11"/>
      <c r="E804" s="11"/>
      <c r="F804" s="11"/>
      <c r="G804" s="11"/>
      <c r="H804" s="11"/>
      <c r="I804" s="11"/>
      <c r="J804" s="11"/>
      <c r="K804" s="27"/>
      <c r="L804" s="11"/>
      <c r="M804" s="11"/>
      <c r="N804" s="11"/>
      <c r="O804" s="11"/>
      <c r="P804" s="15"/>
      <c r="Q804" s="15"/>
      <c r="R804" s="15"/>
      <c r="S804" s="15"/>
      <c r="T804" s="15"/>
      <c r="U804" s="15"/>
      <c r="V804" s="15"/>
      <c r="W804" s="47"/>
      <c r="X804" s="11"/>
      <c r="Y804" s="48"/>
      <c r="Z804" s="11"/>
      <c r="AA804" s="48"/>
      <c r="AB804" s="11"/>
      <c r="AC804" s="48"/>
      <c r="AD804" s="11"/>
      <c r="AE804" s="47"/>
      <c r="AF804" s="11"/>
      <c r="AG804" s="48"/>
      <c r="AH804" s="11"/>
      <c r="AI804" s="48"/>
      <c r="AJ804" s="11"/>
      <c r="AK804" s="48"/>
      <c r="AL804" s="11"/>
      <c r="AM804" s="49"/>
      <c r="AN804" s="49"/>
      <c r="AO804" s="11"/>
      <c r="AP804" s="11"/>
      <c r="AQ804" s="28" t="b">
        <f>IF(COUNTIF(SmartStatus!A$2:A1000, AM804) &gt; 2, TRUE, FALSE)</f>
        <v>0</v>
      </c>
      <c r="AR804" s="29" t="str">
        <f ca="1">IFERROR(__xludf.DUMMYFUNCTION("iferror(if(regexmatch(AO804, ""(?i)^registered""), if(EE804 &lt;&gt; ""polity_shortest_name"", ""CHECK_POLITY"", index(filter(SmartStatus!B$2:B1000, AM804 = SmartStatus!A$2:A1000, not(SmartStatus!C$2:C1000), (isblank(SmartStatus!D$2:D1000)) + ((P804 &lt;&gt; """") * "&amp;"(P804 &lt; SmartStatus!D$2:D1000)), (isblank(SmartStatus!E$2:E1000)) + ((P804 &lt;&gt; """") * (P804 &gt;= SmartStatus!E$2:E1000)), (isblank(SmartStatus!F$2:F1000)) + (((Q804 &lt;&gt; """") * (Q804 &lt; SmartStatus!F$2:F1000)) + ((P804 &lt;&gt; """") * (date(year(P804) + 3, month(P"&amp;"804), day(P804)) &lt; SmartStatus!F$2:F1000))), (isblank(SmartStatus!G$2:G1000)) + (((Q804 &lt;&gt; """") * (Q804 &gt;= SmartStatus!G$2:G1000)) + ((P804 &lt;&gt; """") * (P804 &gt;= SmartStatus!G$2:G1000)))), if(or(regexmatch(B804, ""(?i)^ir [a-z]+ designation$""), N804 &lt;&gt; """&amp;"""), 1, 2))), """"), ""NO_MATCH"")"),"")</f>
        <v/>
      </c>
      <c r="AS804" s="11"/>
      <c r="AT804" s="15"/>
      <c r="AU804" s="11"/>
      <c r="AV804" s="11"/>
      <c r="AW804" s="15"/>
      <c r="AX804" s="15"/>
      <c r="AY804" s="15"/>
      <c r="AZ804" s="11"/>
      <c r="BA804" s="15"/>
      <c r="BB804" s="11"/>
      <c r="BC804" s="11"/>
      <c r="BD804" s="15"/>
      <c r="BE804" s="11"/>
      <c r="BF804" s="11"/>
      <c r="BG804" s="15"/>
      <c r="BH804" s="15"/>
      <c r="BI804" s="15"/>
      <c r="BJ804" s="11"/>
      <c r="BK804" s="15"/>
      <c r="BL804" s="11"/>
      <c r="BM804" s="11"/>
      <c r="BN804" s="15"/>
      <c r="BO804" s="11"/>
      <c r="BP804" s="11"/>
      <c r="BQ804" s="15"/>
      <c r="BR804" s="15"/>
      <c r="BS804" s="15"/>
      <c r="BT804" s="11"/>
      <c r="BU804" s="15"/>
      <c r="BV804" s="11"/>
      <c r="BW804" s="11"/>
      <c r="BX804" s="15"/>
      <c r="BY804" s="11"/>
      <c r="BZ804" s="11"/>
      <c r="CA804" s="15"/>
      <c r="CB804" s="11"/>
      <c r="CC804" s="15"/>
      <c r="CD804" s="11"/>
      <c r="CE804" s="15"/>
      <c r="CF804" s="11"/>
      <c r="CG804" s="11"/>
      <c r="CH804" s="15"/>
      <c r="CI804" s="11"/>
      <c r="CJ804" s="11"/>
      <c r="CK804" s="15"/>
      <c r="CL804" s="11"/>
      <c r="CM804" s="11"/>
      <c r="CN804" s="11"/>
      <c r="CO804" s="11"/>
      <c r="CP804" s="28"/>
      <c r="CQ804" s="28"/>
      <c r="CR804" s="11"/>
      <c r="CS804" s="29"/>
      <c r="CT804" s="11"/>
      <c r="CU804" s="11"/>
      <c r="CV804" s="11"/>
      <c r="CW804" s="11"/>
      <c r="CX804" s="11"/>
      <c r="CY804" s="11"/>
      <c r="CZ804" s="11"/>
      <c r="DA804" s="28"/>
      <c r="DB804" s="28"/>
      <c r="DC804" s="11"/>
      <c r="DD804" s="29"/>
      <c r="DE804" s="11"/>
      <c r="DF804" s="11"/>
      <c r="DG804" s="11"/>
      <c r="DH804" s="11"/>
      <c r="DI804" s="11"/>
      <c r="DJ804" s="11"/>
      <c r="DK804" s="26"/>
      <c r="DL804" s="11"/>
      <c r="DM804" s="29"/>
      <c r="DN804" s="28"/>
      <c r="DO804" s="11"/>
      <c r="DP804" s="11"/>
      <c r="DQ804" s="11"/>
      <c r="DR804" s="29"/>
      <c r="DS804" s="28"/>
      <c r="DT804" s="11"/>
      <c r="DU804" s="26"/>
      <c r="DV804" s="11"/>
      <c r="DW804" s="29"/>
      <c r="DX804" s="28"/>
      <c r="DY804" s="11"/>
      <c r="DZ804" s="26"/>
      <c r="EA804" s="11"/>
      <c r="EB804" s="29"/>
      <c r="EC804" s="28"/>
      <c r="ED804" s="30"/>
      <c r="EE804" s="30" t="str">
        <f ca="1">IFERROR(__xludf.DUMMYFUNCTION("iferror(index(filter('Internal -- Trademark Countries'!E$2:E1000, (AM804 = 'Internal -- Trademark Countries'!B$2:B1000) + (AM804 = 'Internal -- Trademark Countries'!C$2:C1000) + (AM804 = 'Internal -- Trademark Countries'!D$2:D1000)), 1))"),"")</f>
        <v/>
      </c>
      <c r="EF804" s="30" t="e">
        <f ca="1">_xludf.ifs(AM804="", "", COUNTIF('Internal -- Trademark Countries'!B:B,AM804) &gt; 0, "polity_shortest_name", COUNTIF('Internal -- Trademark Countries'!C:C,AM804) &gt; 0, "polity_full_name", COUNTIF('Internal -- Trademark Countries'!D:D,AM804) &gt; 0, "polity_common_name", COUNTIF('Internal -- Trademark Countries'!E:E,AM804) &gt; 0, "shortest_name", COUNTIF('Internal -- Trademark Countries'!A:A,AM804) &gt; 0, "full_name", TRUE, "not a match")</f>
        <v>#NAME?</v>
      </c>
      <c r="EG804" s="30"/>
      <c r="EH804" s="30"/>
      <c r="EI804" s="30"/>
      <c r="EJ804" s="30"/>
      <c r="EK804" s="30" t="str">
        <f t="shared" si="5"/>
        <v/>
      </c>
    </row>
    <row r="805" spans="1:141" ht="16.5">
      <c r="A805" s="11"/>
      <c r="B805" s="11"/>
      <c r="C805" s="11"/>
      <c r="D805" s="11"/>
      <c r="E805" s="11"/>
      <c r="F805" s="11"/>
      <c r="G805" s="11"/>
      <c r="H805" s="11"/>
      <c r="I805" s="11"/>
      <c r="J805" s="11"/>
      <c r="K805" s="27"/>
      <c r="L805" s="11"/>
      <c r="M805" s="11"/>
      <c r="N805" s="11"/>
      <c r="O805" s="11"/>
      <c r="P805" s="15"/>
      <c r="Q805" s="15"/>
      <c r="R805" s="15"/>
      <c r="S805" s="15"/>
      <c r="T805" s="15"/>
      <c r="U805" s="15"/>
      <c r="V805" s="15"/>
      <c r="W805" s="47"/>
      <c r="X805" s="11"/>
      <c r="Y805" s="48"/>
      <c r="Z805" s="11"/>
      <c r="AA805" s="48"/>
      <c r="AB805" s="11"/>
      <c r="AC805" s="48"/>
      <c r="AD805" s="11"/>
      <c r="AE805" s="47"/>
      <c r="AF805" s="11"/>
      <c r="AG805" s="48"/>
      <c r="AH805" s="11"/>
      <c r="AI805" s="48"/>
      <c r="AJ805" s="11"/>
      <c r="AK805" s="48"/>
      <c r="AL805" s="11"/>
      <c r="AM805" s="49"/>
      <c r="AN805" s="49"/>
      <c r="AO805" s="11"/>
      <c r="AP805" s="11"/>
      <c r="AQ805" s="28" t="b">
        <f>IF(COUNTIF(SmartStatus!A$2:A1000, AM805) &gt; 2, TRUE, FALSE)</f>
        <v>0</v>
      </c>
      <c r="AR805" s="29" t="str">
        <f ca="1">IFERROR(__xludf.DUMMYFUNCTION("iferror(if(regexmatch(AO805, ""(?i)^registered""), if(EE805 &lt;&gt; ""polity_shortest_name"", ""CHECK_POLITY"", index(filter(SmartStatus!B$2:B1000, AM805 = SmartStatus!A$2:A1000, not(SmartStatus!C$2:C1000), (isblank(SmartStatus!D$2:D1000)) + ((P805 &lt;&gt; """") * "&amp;"(P805 &lt; SmartStatus!D$2:D1000)), (isblank(SmartStatus!E$2:E1000)) + ((P805 &lt;&gt; """") * (P805 &gt;= SmartStatus!E$2:E1000)), (isblank(SmartStatus!F$2:F1000)) + (((Q805 &lt;&gt; """") * (Q805 &lt; SmartStatus!F$2:F1000)) + ((P805 &lt;&gt; """") * (date(year(P805) + 3, month(P"&amp;"805), day(P805)) &lt; SmartStatus!F$2:F1000))), (isblank(SmartStatus!G$2:G1000)) + (((Q805 &lt;&gt; """") * (Q805 &gt;= SmartStatus!G$2:G1000)) + ((P805 &lt;&gt; """") * (P805 &gt;= SmartStatus!G$2:G1000)))), if(or(regexmatch(B805, ""(?i)^ir [a-z]+ designation$""), N805 &lt;&gt; """&amp;"""), 1, 2))), """"), ""NO_MATCH"")"),"")</f>
        <v/>
      </c>
      <c r="AS805" s="11"/>
      <c r="AT805" s="15"/>
      <c r="AU805" s="11"/>
      <c r="AV805" s="11"/>
      <c r="AW805" s="15"/>
      <c r="AX805" s="15"/>
      <c r="AY805" s="15"/>
      <c r="AZ805" s="11"/>
      <c r="BA805" s="15"/>
      <c r="BB805" s="11"/>
      <c r="BC805" s="11"/>
      <c r="BD805" s="15"/>
      <c r="BE805" s="11"/>
      <c r="BF805" s="11"/>
      <c r="BG805" s="15"/>
      <c r="BH805" s="15"/>
      <c r="BI805" s="15"/>
      <c r="BJ805" s="11"/>
      <c r="BK805" s="15"/>
      <c r="BL805" s="11"/>
      <c r="BM805" s="11"/>
      <c r="BN805" s="15"/>
      <c r="BO805" s="11"/>
      <c r="BP805" s="11"/>
      <c r="BQ805" s="15"/>
      <c r="BR805" s="15"/>
      <c r="BS805" s="15"/>
      <c r="BT805" s="11"/>
      <c r="BU805" s="15"/>
      <c r="BV805" s="11"/>
      <c r="BW805" s="11"/>
      <c r="BX805" s="15"/>
      <c r="BY805" s="11"/>
      <c r="BZ805" s="11"/>
      <c r="CA805" s="15"/>
      <c r="CB805" s="11"/>
      <c r="CC805" s="15"/>
      <c r="CD805" s="11"/>
      <c r="CE805" s="15"/>
      <c r="CF805" s="11"/>
      <c r="CG805" s="11"/>
      <c r="CH805" s="15"/>
      <c r="CI805" s="11"/>
      <c r="CJ805" s="11"/>
      <c r="CK805" s="15"/>
      <c r="CL805" s="11"/>
      <c r="CM805" s="11"/>
      <c r="CN805" s="11"/>
      <c r="CO805" s="11"/>
      <c r="CP805" s="28"/>
      <c r="CQ805" s="28"/>
      <c r="CR805" s="11"/>
      <c r="CS805" s="29"/>
      <c r="CT805" s="11"/>
      <c r="CU805" s="11"/>
      <c r="CV805" s="11"/>
      <c r="CW805" s="11"/>
      <c r="CX805" s="11"/>
      <c r="CY805" s="11"/>
      <c r="CZ805" s="11"/>
      <c r="DA805" s="28"/>
      <c r="DB805" s="28"/>
      <c r="DC805" s="11"/>
      <c r="DD805" s="29"/>
      <c r="DE805" s="11"/>
      <c r="DF805" s="11"/>
      <c r="DG805" s="11"/>
      <c r="DH805" s="11"/>
      <c r="DI805" s="11"/>
      <c r="DJ805" s="11"/>
      <c r="DK805" s="26"/>
      <c r="DL805" s="11"/>
      <c r="DM805" s="29"/>
      <c r="DN805" s="28"/>
      <c r="DO805" s="11"/>
      <c r="DP805" s="11"/>
      <c r="DQ805" s="11"/>
      <c r="DR805" s="29"/>
      <c r="DS805" s="28"/>
      <c r="DT805" s="11"/>
      <c r="DU805" s="26"/>
      <c r="DV805" s="11"/>
      <c r="DW805" s="29"/>
      <c r="DX805" s="28"/>
      <c r="DY805" s="11"/>
      <c r="DZ805" s="26"/>
      <c r="EA805" s="11"/>
      <c r="EB805" s="29"/>
      <c r="EC805" s="28"/>
      <c r="ED805" s="30"/>
      <c r="EE805" s="30" t="str">
        <f ca="1">IFERROR(__xludf.DUMMYFUNCTION("iferror(index(filter('Internal -- Trademark Countries'!E$2:E1000, (AM805 = 'Internal -- Trademark Countries'!B$2:B1000) + (AM805 = 'Internal -- Trademark Countries'!C$2:C1000) + (AM805 = 'Internal -- Trademark Countries'!D$2:D1000)), 1))"),"")</f>
        <v/>
      </c>
      <c r="EF805" s="30" t="e">
        <f ca="1">_xludf.ifs(AM805="", "", COUNTIF('Internal -- Trademark Countries'!B:B,AM805) &gt; 0, "polity_shortest_name", COUNTIF('Internal -- Trademark Countries'!C:C,AM805) &gt; 0, "polity_full_name", COUNTIF('Internal -- Trademark Countries'!D:D,AM805) &gt; 0, "polity_common_name", COUNTIF('Internal -- Trademark Countries'!E:E,AM805) &gt; 0, "shortest_name", COUNTIF('Internal -- Trademark Countries'!A:A,AM805) &gt; 0, "full_name", TRUE, "not a match")</f>
        <v>#NAME?</v>
      </c>
      <c r="EG805" s="30"/>
      <c r="EH805" s="30"/>
      <c r="EI805" s="30"/>
      <c r="EJ805" s="30"/>
      <c r="EK805" s="30" t="str">
        <f t="shared" si="5"/>
        <v/>
      </c>
    </row>
    <row r="806" spans="1:141" ht="16.5">
      <c r="A806" s="11"/>
      <c r="B806" s="11"/>
      <c r="C806" s="11"/>
      <c r="D806" s="11"/>
      <c r="E806" s="11"/>
      <c r="F806" s="11"/>
      <c r="G806" s="11"/>
      <c r="H806" s="11"/>
      <c r="I806" s="11"/>
      <c r="J806" s="11"/>
      <c r="K806" s="27"/>
      <c r="L806" s="11"/>
      <c r="M806" s="11"/>
      <c r="N806" s="11"/>
      <c r="O806" s="11"/>
      <c r="P806" s="15"/>
      <c r="Q806" s="15"/>
      <c r="R806" s="15"/>
      <c r="S806" s="15"/>
      <c r="T806" s="15"/>
      <c r="U806" s="15"/>
      <c r="V806" s="15"/>
      <c r="W806" s="47"/>
      <c r="X806" s="11"/>
      <c r="Y806" s="48"/>
      <c r="Z806" s="11"/>
      <c r="AA806" s="48"/>
      <c r="AB806" s="11"/>
      <c r="AC806" s="48"/>
      <c r="AD806" s="11"/>
      <c r="AE806" s="47"/>
      <c r="AF806" s="11"/>
      <c r="AG806" s="48"/>
      <c r="AH806" s="11"/>
      <c r="AI806" s="48"/>
      <c r="AJ806" s="11"/>
      <c r="AK806" s="48"/>
      <c r="AL806" s="11"/>
      <c r="AM806" s="49"/>
      <c r="AN806" s="49"/>
      <c r="AO806" s="11"/>
      <c r="AP806" s="11"/>
      <c r="AQ806" s="28" t="b">
        <f>IF(COUNTIF(SmartStatus!A$2:A1000, AM806) &gt; 2, TRUE, FALSE)</f>
        <v>0</v>
      </c>
      <c r="AR806" s="29" t="str">
        <f ca="1">IFERROR(__xludf.DUMMYFUNCTION("iferror(if(regexmatch(AO806, ""(?i)^registered""), if(EE806 &lt;&gt; ""polity_shortest_name"", ""CHECK_POLITY"", index(filter(SmartStatus!B$2:B1000, AM806 = SmartStatus!A$2:A1000, not(SmartStatus!C$2:C1000), (isblank(SmartStatus!D$2:D1000)) + ((P806 &lt;&gt; """") * "&amp;"(P806 &lt; SmartStatus!D$2:D1000)), (isblank(SmartStatus!E$2:E1000)) + ((P806 &lt;&gt; """") * (P806 &gt;= SmartStatus!E$2:E1000)), (isblank(SmartStatus!F$2:F1000)) + (((Q806 &lt;&gt; """") * (Q806 &lt; SmartStatus!F$2:F1000)) + ((P806 &lt;&gt; """") * (date(year(P806) + 3, month(P"&amp;"806), day(P806)) &lt; SmartStatus!F$2:F1000))), (isblank(SmartStatus!G$2:G1000)) + (((Q806 &lt;&gt; """") * (Q806 &gt;= SmartStatus!G$2:G1000)) + ((P806 &lt;&gt; """") * (P806 &gt;= SmartStatus!G$2:G1000)))), if(or(regexmatch(B806, ""(?i)^ir [a-z]+ designation$""), N806 &lt;&gt; """&amp;"""), 1, 2))), """"), ""NO_MATCH"")"),"")</f>
        <v/>
      </c>
      <c r="AS806" s="11"/>
      <c r="AT806" s="15"/>
      <c r="AU806" s="11"/>
      <c r="AV806" s="11"/>
      <c r="AW806" s="15"/>
      <c r="AX806" s="15"/>
      <c r="AY806" s="15"/>
      <c r="AZ806" s="11"/>
      <c r="BA806" s="15"/>
      <c r="BB806" s="11"/>
      <c r="BC806" s="11"/>
      <c r="BD806" s="15"/>
      <c r="BE806" s="11"/>
      <c r="BF806" s="11"/>
      <c r="BG806" s="15"/>
      <c r="BH806" s="15"/>
      <c r="BI806" s="15"/>
      <c r="BJ806" s="11"/>
      <c r="BK806" s="15"/>
      <c r="BL806" s="11"/>
      <c r="BM806" s="11"/>
      <c r="BN806" s="15"/>
      <c r="BO806" s="11"/>
      <c r="BP806" s="11"/>
      <c r="BQ806" s="15"/>
      <c r="BR806" s="15"/>
      <c r="BS806" s="15"/>
      <c r="BT806" s="11"/>
      <c r="BU806" s="15"/>
      <c r="BV806" s="11"/>
      <c r="BW806" s="11"/>
      <c r="BX806" s="15"/>
      <c r="BY806" s="11"/>
      <c r="BZ806" s="11"/>
      <c r="CA806" s="15"/>
      <c r="CB806" s="11"/>
      <c r="CC806" s="15"/>
      <c r="CD806" s="11"/>
      <c r="CE806" s="15"/>
      <c r="CF806" s="11"/>
      <c r="CG806" s="11"/>
      <c r="CH806" s="15"/>
      <c r="CI806" s="11"/>
      <c r="CJ806" s="11"/>
      <c r="CK806" s="15"/>
      <c r="CL806" s="11"/>
      <c r="CM806" s="11"/>
      <c r="CN806" s="11"/>
      <c r="CO806" s="11"/>
      <c r="CP806" s="28"/>
      <c r="CQ806" s="28"/>
      <c r="CR806" s="11"/>
      <c r="CS806" s="29"/>
      <c r="CT806" s="11"/>
      <c r="CU806" s="11"/>
      <c r="CV806" s="11"/>
      <c r="CW806" s="11"/>
      <c r="CX806" s="11"/>
      <c r="CY806" s="11"/>
      <c r="CZ806" s="11"/>
      <c r="DA806" s="28"/>
      <c r="DB806" s="28"/>
      <c r="DC806" s="11"/>
      <c r="DD806" s="29"/>
      <c r="DE806" s="11"/>
      <c r="DF806" s="11"/>
      <c r="DG806" s="11"/>
      <c r="DH806" s="11"/>
      <c r="DI806" s="11"/>
      <c r="DJ806" s="11"/>
      <c r="DK806" s="26"/>
      <c r="DL806" s="11"/>
      <c r="DM806" s="29"/>
      <c r="DN806" s="28"/>
      <c r="DO806" s="11"/>
      <c r="DP806" s="11"/>
      <c r="DQ806" s="11"/>
      <c r="DR806" s="29"/>
      <c r="DS806" s="28"/>
      <c r="DT806" s="11"/>
      <c r="DU806" s="26"/>
      <c r="DV806" s="11"/>
      <c r="DW806" s="29"/>
      <c r="DX806" s="28"/>
      <c r="DY806" s="11"/>
      <c r="DZ806" s="26"/>
      <c r="EA806" s="11"/>
      <c r="EB806" s="29"/>
      <c r="EC806" s="28"/>
      <c r="ED806" s="30"/>
      <c r="EE806" s="30" t="str">
        <f ca="1">IFERROR(__xludf.DUMMYFUNCTION("iferror(index(filter('Internal -- Trademark Countries'!E$2:E1000, (AM806 = 'Internal -- Trademark Countries'!B$2:B1000) + (AM806 = 'Internal -- Trademark Countries'!C$2:C1000) + (AM806 = 'Internal -- Trademark Countries'!D$2:D1000)), 1))"),"")</f>
        <v/>
      </c>
      <c r="EF806" s="30" t="e">
        <f ca="1">_xludf.ifs(AM806="", "", COUNTIF('Internal -- Trademark Countries'!B:B,AM806) &gt; 0, "polity_shortest_name", COUNTIF('Internal -- Trademark Countries'!C:C,AM806) &gt; 0, "polity_full_name", COUNTIF('Internal -- Trademark Countries'!D:D,AM806) &gt; 0, "polity_common_name", COUNTIF('Internal -- Trademark Countries'!E:E,AM806) &gt; 0, "shortest_name", COUNTIF('Internal -- Trademark Countries'!A:A,AM806) &gt; 0, "full_name", TRUE, "not a match")</f>
        <v>#NAME?</v>
      </c>
      <c r="EG806" s="30"/>
      <c r="EH806" s="30"/>
      <c r="EI806" s="30"/>
      <c r="EJ806" s="30"/>
      <c r="EK806" s="30" t="str">
        <f t="shared" si="5"/>
        <v/>
      </c>
    </row>
    <row r="807" spans="1:141" ht="16.5">
      <c r="A807" s="11"/>
      <c r="B807" s="11"/>
      <c r="C807" s="11"/>
      <c r="D807" s="11"/>
      <c r="E807" s="11"/>
      <c r="F807" s="11"/>
      <c r="G807" s="11"/>
      <c r="H807" s="11"/>
      <c r="I807" s="11"/>
      <c r="J807" s="11"/>
      <c r="K807" s="27"/>
      <c r="L807" s="11"/>
      <c r="M807" s="11"/>
      <c r="N807" s="11"/>
      <c r="O807" s="11"/>
      <c r="P807" s="15"/>
      <c r="Q807" s="15"/>
      <c r="R807" s="15"/>
      <c r="S807" s="15"/>
      <c r="T807" s="15"/>
      <c r="U807" s="15"/>
      <c r="V807" s="15"/>
      <c r="W807" s="47"/>
      <c r="X807" s="11"/>
      <c r="Y807" s="48"/>
      <c r="Z807" s="11"/>
      <c r="AA807" s="48"/>
      <c r="AB807" s="11"/>
      <c r="AC807" s="48"/>
      <c r="AD807" s="11"/>
      <c r="AE807" s="47"/>
      <c r="AF807" s="11"/>
      <c r="AG807" s="48"/>
      <c r="AH807" s="11"/>
      <c r="AI807" s="48"/>
      <c r="AJ807" s="11"/>
      <c r="AK807" s="48"/>
      <c r="AL807" s="11"/>
      <c r="AM807" s="49"/>
      <c r="AN807" s="49"/>
      <c r="AO807" s="11"/>
      <c r="AP807" s="11"/>
      <c r="AQ807" s="28" t="b">
        <f>IF(COUNTIF(SmartStatus!A$2:A1000, AM807) &gt; 2, TRUE, FALSE)</f>
        <v>0</v>
      </c>
      <c r="AR807" s="29" t="str">
        <f ca="1">IFERROR(__xludf.DUMMYFUNCTION("iferror(if(regexmatch(AO807, ""(?i)^registered""), if(EE807 &lt;&gt; ""polity_shortest_name"", ""CHECK_POLITY"", index(filter(SmartStatus!B$2:B1000, AM807 = SmartStatus!A$2:A1000, not(SmartStatus!C$2:C1000), (isblank(SmartStatus!D$2:D1000)) + ((P807 &lt;&gt; """") * "&amp;"(P807 &lt; SmartStatus!D$2:D1000)), (isblank(SmartStatus!E$2:E1000)) + ((P807 &lt;&gt; """") * (P807 &gt;= SmartStatus!E$2:E1000)), (isblank(SmartStatus!F$2:F1000)) + (((Q807 &lt;&gt; """") * (Q807 &lt; SmartStatus!F$2:F1000)) + ((P807 &lt;&gt; """") * (date(year(P807) + 3, month(P"&amp;"807), day(P807)) &lt; SmartStatus!F$2:F1000))), (isblank(SmartStatus!G$2:G1000)) + (((Q807 &lt;&gt; """") * (Q807 &gt;= SmartStatus!G$2:G1000)) + ((P807 &lt;&gt; """") * (P807 &gt;= SmartStatus!G$2:G1000)))), if(or(regexmatch(B807, ""(?i)^ir [a-z]+ designation$""), N807 &lt;&gt; """&amp;"""), 1, 2))), """"), ""NO_MATCH"")"),"")</f>
        <v/>
      </c>
      <c r="AS807" s="11"/>
      <c r="AT807" s="15"/>
      <c r="AU807" s="11"/>
      <c r="AV807" s="11"/>
      <c r="AW807" s="15"/>
      <c r="AX807" s="15"/>
      <c r="AY807" s="15"/>
      <c r="AZ807" s="11"/>
      <c r="BA807" s="15"/>
      <c r="BB807" s="11"/>
      <c r="BC807" s="11"/>
      <c r="BD807" s="15"/>
      <c r="BE807" s="11"/>
      <c r="BF807" s="11"/>
      <c r="BG807" s="15"/>
      <c r="BH807" s="15"/>
      <c r="BI807" s="15"/>
      <c r="BJ807" s="11"/>
      <c r="BK807" s="15"/>
      <c r="BL807" s="11"/>
      <c r="BM807" s="11"/>
      <c r="BN807" s="15"/>
      <c r="BO807" s="11"/>
      <c r="BP807" s="11"/>
      <c r="BQ807" s="15"/>
      <c r="BR807" s="15"/>
      <c r="BS807" s="15"/>
      <c r="BT807" s="11"/>
      <c r="BU807" s="15"/>
      <c r="BV807" s="11"/>
      <c r="BW807" s="11"/>
      <c r="BX807" s="15"/>
      <c r="BY807" s="11"/>
      <c r="BZ807" s="11"/>
      <c r="CA807" s="15"/>
      <c r="CB807" s="11"/>
      <c r="CC807" s="15"/>
      <c r="CD807" s="11"/>
      <c r="CE807" s="15"/>
      <c r="CF807" s="11"/>
      <c r="CG807" s="11"/>
      <c r="CH807" s="15"/>
      <c r="CI807" s="11"/>
      <c r="CJ807" s="11"/>
      <c r="CK807" s="15"/>
      <c r="CL807" s="11"/>
      <c r="CM807" s="11"/>
      <c r="CN807" s="11"/>
      <c r="CO807" s="11"/>
      <c r="CP807" s="28"/>
      <c r="CQ807" s="28"/>
      <c r="CR807" s="11"/>
      <c r="CS807" s="29"/>
      <c r="CT807" s="11"/>
      <c r="CU807" s="11"/>
      <c r="CV807" s="11"/>
      <c r="CW807" s="11"/>
      <c r="CX807" s="11"/>
      <c r="CY807" s="11"/>
      <c r="CZ807" s="11"/>
      <c r="DA807" s="28"/>
      <c r="DB807" s="28"/>
      <c r="DC807" s="11"/>
      <c r="DD807" s="29"/>
      <c r="DE807" s="11"/>
      <c r="DF807" s="11"/>
      <c r="DG807" s="11"/>
      <c r="DH807" s="11"/>
      <c r="DI807" s="11"/>
      <c r="DJ807" s="11"/>
      <c r="DK807" s="26"/>
      <c r="DL807" s="11"/>
      <c r="DM807" s="29"/>
      <c r="DN807" s="28"/>
      <c r="DO807" s="11"/>
      <c r="DP807" s="11"/>
      <c r="DQ807" s="11"/>
      <c r="DR807" s="29"/>
      <c r="DS807" s="28"/>
      <c r="DT807" s="11"/>
      <c r="DU807" s="26"/>
      <c r="DV807" s="11"/>
      <c r="DW807" s="29"/>
      <c r="DX807" s="28"/>
      <c r="DY807" s="11"/>
      <c r="DZ807" s="26"/>
      <c r="EA807" s="11"/>
      <c r="EB807" s="29"/>
      <c r="EC807" s="28"/>
      <c r="ED807" s="30"/>
      <c r="EE807" s="30" t="str">
        <f ca="1">IFERROR(__xludf.DUMMYFUNCTION("iferror(index(filter('Internal -- Trademark Countries'!E$2:E1000, (AM807 = 'Internal -- Trademark Countries'!B$2:B1000) + (AM807 = 'Internal -- Trademark Countries'!C$2:C1000) + (AM807 = 'Internal -- Trademark Countries'!D$2:D1000)), 1))"),"")</f>
        <v/>
      </c>
      <c r="EF807" s="30" t="e">
        <f ca="1">_xludf.ifs(AM807="", "", COUNTIF('Internal -- Trademark Countries'!B:B,AM807) &gt; 0, "polity_shortest_name", COUNTIF('Internal -- Trademark Countries'!C:C,AM807) &gt; 0, "polity_full_name", COUNTIF('Internal -- Trademark Countries'!D:D,AM807) &gt; 0, "polity_common_name", COUNTIF('Internal -- Trademark Countries'!E:E,AM807) &gt; 0, "shortest_name", COUNTIF('Internal -- Trademark Countries'!A:A,AM807) &gt; 0, "full_name", TRUE, "not a match")</f>
        <v>#NAME?</v>
      </c>
      <c r="EG807" s="30"/>
      <c r="EH807" s="30"/>
      <c r="EI807" s="30"/>
      <c r="EJ807" s="30"/>
      <c r="EK807" s="30" t="str">
        <f t="shared" si="5"/>
        <v/>
      </c>
    </row>
    <row r="808" spans="1:141" ht="16.5">
      <c r="A808" s="11"/>
      <c r="B808" s="11"/>
      <c r="C808" s="11"/>
      <c r="D808" s="11"/>
      <c r="E808" s="11"/>
      <c r="F808" s="11"/>
      <c r="G808" s="11"/>
      <c r="H808" s="11"/>
      <c r="I808" s="11"/>
      <c r="J808" s="11"/>
      <c r="K808" s="27"/>
      <c r="L808" s="11"/>
      <c r="M808" s="11"/>
      <c r="N808" s="11"/>
      <c r="O808" s="11"/>
      <c r="P808" s="15"/>
      <c r="Q808" s="15"/>
      <c r="R808" s="15"/>
      <c r="S808" s="15"/>
      <c r="T808" s="15"/>
      <c r="U808" s="15"/>
      <c r="V808" s="15"/>
      <c r="W808" s="47"/>
      <c r="X808" s="11"/>
      <c r="Y808" s="48"/>
      <c r="Z808" s="11"/>
      <c r="AA808" s="48"/>
      <c r="AB808" s="11"/>
      <c r="AC808" s="48"/>
      <c r="AD808" s="11"/>
      <c r="AE808" s="47"/>
      <c r="AF808" s="11"/>
      <c r="AG808" s="48"/>
      <c r="AH808" s="11"/>
      <c r="AI808" s="48"/>
      <c r="AJ808" s="11"/>
      <c r="AK808" s="48"/>
      <c r="AL808" s="11"/>
      <c r="AM808" s="49"/>
      <c r="AN808" s="49"/>
      <c r="AO808" s="11"/>
      <c r="AP808" s="11"/>
      <c r="AQ808" s="28" t="b">
        <f>IF(COUNTIF(SmartStatus!A$2:A1000, AM808) &gt; 2, TRUE, FALSE)</f>
        <v>0</v>
      </c>
      <c r="AR808" s="29" t="str">
        <f ca="1">IFERROR(__xludf.DUMMYFUNCTION("iferror(if(regexmatch(AO808, ""(?i)^registered""), if(EE808 &lt;&gt; ""polity_shortest_name"", ""CHECK_POLITY"", index(filter(SmartStatus!B$2:B1000, AM808 = SmartStatus!A$2:A1000, not(SmartStatus!C$2:C1000), (isblank(SmartStatus!D$2:D1000)) + ((P808 &lt;&gt; """") * "&amp;"(P808 &lt; SmartStatus!D$2:D1000)), (isblank(SmartStatus!E$2:E1000)) + ((P808 &lt;&gt; """") * (P808 &gt;= SmartStatus!E$2:E1000)), (isblank(SmartStatus!F$2:F1000)) + (((Q808 &lt;&gt; """") * (Q808 &lt; SmartStatus!F$2:F1000)) + ((P808 &lt;&gt; """") * (date(year(P808) + 3, month(P"&amp;"808), day(P808)) &lt; SmartStatus!F$2:F1000))), (isblank(SmartStatus!G$2:G1000)) + (((Q808 &lt;&gt; """") * (Q808 &gt;= SmartStatus!G$2:G1000)) + ((P808 &lt;&gt; """") * (P808 &gt;= SmartStatus!G$2:G1000)))), if(or(regexmatch(B808, ""(?i)^ir [a-z]+ designation$""), N808 &lt;&gt; """&amp;"""), 1, 2))), """"), ""NO_MATCH"")"),"")</f>
        <v/>
      </c>
      <c r="AS808" s="11"/>
      <c r="AT808" s="15"/>
      <c r="AU808" s="11"/>
      <c r="AV808" s="11"/>
      <c r="AW808" s="15"/>
      <c r="AX808" s="15"/>
      <c r="AY808" s="15"/>
      <c r="AZ808" s="11"/>
      <c r="BA808" s="15"/>
      <c r="BB808" s="11"/>
      <c r="BC808" s="11"/>
      <c r="BD808" s="15"/>
      <c r="BE808" s="11"/>
      <c r="BF808" s="11"/>
      <c r="BG808" s="15"/>
      <c r="BH808" s="15"/>
      <c r="BI808" s="15"/>
      <c r="BJ808" s="11"/>
      <c r="BK808" s="15"/>
      <c r="BL808" s="11"/>
      <c r="BM808" s="11"/>
      <c r="BN808" s="15"/>
      <c r="BO808" s="11"/>
      <c r="BP808" s="11"/>
      <c r="BQ808" s="15"/>
      <c r="BR808" s="15"/>
      <c r="BS808" s="15"/>
      <c r="BT808" s="11"/>
      <c r="BU808" s="15"/>
      <c r="BV808" s="11"/>
      <c r="BW808" s="11"/>
      <c r="BX808" s="15"/>
      <c r="BY808" s="11"/>
      <c r="BZ808" s="11"/>
      <c r="CA808" s="15"/>
      <c r="CB808" s="11"/>
      <c r="CC808" s="15"/>
      <c r="CD808" s="11"/>
      <c r="CE808" s="15"/>
      <c r="CF808" s="11"/>
      <c r="CG808" s="11"/>
      <c r="CH808" s="15"/>
      <c r="CI808" s="11"/>
      <c r="CJ808" s="11"/>
      <c r="CK808" s="15"/>
      <c r="CL808" s="11"/>
      <c r="CM808" s="11"/>
      <c r="CN808" s="11"/>
      <c r="CO808" s="11"/>
      <c r="CP808" s="28"/>
      <c r="CQ808" s="28"/>
      <c r="CR808" s="11"/>
      <c r="CS808" s="29"/>
      <c r="CT808" s="11"/>
      <c r="CU808" s="11"/>
      <c r="CV808" s="11"/>
      <c r="CW808" s="11"/>
      <c r="CX808" s="11"/>
      <c r="CY808" s="11"/>
      <c r="CZ808" s="11"/>
      <c r="DA808" s="28"/>
      <c r="DB808" s="28"/>
      <c r="DC808" s="11"/>
      <c r="DD808" s="29"/>
      <c r="DE808" s="11"/>
      <c r="DF808" s="11"/>
      <c r="DG808" s="11"/>
      <c r="DH808" s="11"/>
      <c r="DI808" s="11"/>
      <c r="DJ808" s="11"/>
      <c r="DK808" s="26"/>
      <c r="DL808" s="11"/>
      <c r="DM808" s="29"/>
      <c r="DN808" s="28"/>
      <c r="DO808" s="11"/>
      <c r="DP808" s="11"/>
      <c r="DQ808" s="11"/>
      <c r="DR808" s="29"/>
      <c r="DS808" s="28"/>
      <c r="DT808" s="11"/>
      <c r="DU808" s="26"/>
      <c r="DV808" s="11"/>
      <c r="DW808" s="29"/>
      <c r="DX808" s="28"/>
      <c r="DY808" s="11"/>
      <c r="DZ808" s="26"/>
      <c r="EA808" s="11"/>
      <c r="EB808" s="29"/>
      <c r="EC808" s="28"/>
      <c r="ED808" s="30"/>
      <c r="EE808" s="30" t="str">
        <f ca="1">IFERROR(__xludf.DUMMYFUNCTION("iferror(index(filter('Internal -- Trademark Countries'!E$2:E1000, (AM808 = 'Internal -- Trademark Countries'!B$2:B1000) + (AM808 = 'Internal -- Trademark Countries'!C$2:C1000) + (AM808 = 'Internal -- Trademark Countries'!D$2:D1000)), 1))"),"")</f>
        <v/>
      </c>
      <c r="EF808" s="30" t="e">
        <f ca="1">_xludf.ifs(AM808="", "", COUNTIF('Internal -- Trademark Countries'!B:B,AM808) &gt; 0, "polity_shortest_name", COUNTIF('Internal -- Trademark Countries'!C:C,AM808) &gt; 0, "polity_full_name", COUNTIF('Internal -- Trademark Countries'!D:D,AM808) &gt; 0, "polity_common_name", COUNTIF('Internal -- Trademark Countries'!E:E,AM808) &gt; 0, "shortest_name", COUNTIF('Internal -- Trademark Countries'!A:A,AM808) &gt; 0, "full_name", TRUE, "not a match")</f>
        <v>#NAME?</v>
      </c>
      <c r="EG808" s="30"/>
      <c r="EH808" s="30"/>
      <c r="EI808" s="30"/>
      <c r="EJ808" s="30"/>
      <c r="EK808" s="30" t="str">
        <f t="shared" si="5"/>
        <v/>
      </c>
    </row>
    <row r="809" spans="1:141" ht="16.5">
      <c r="A809" s="11"/>
      <c r="B809" s="11"/>
      <c r="C809" s="11"/>
      <c r="D809" s="11"/>
      <c r="E809" s="11"/>
      <c r="F809" s="11"/>
      <c r="G809" s="11"/>
      <c r="H809" s="11"/>
      <c r="I809" s="11"/>
      <c r="J809" s="11"/>
      <c r="K809" s="27"/>
      <c r="L809" s="11"/>
      <c r="M809" s="11"/>
      <c r="N809" s="11"/>
      <c r="O809" s="11"/>
      <c r="P809" s="15"/>
      <c r="Q809" s="15"/>
      <c r="R809" s="15"/>
      <c r="S809" s="15"/>
      <c r="T809" s="15"/>
      <c r="U809" s="15"/>
      <c r="V809" s="15"/>
      <c r="W809" s="47"/>
      <c r="X809" s="11"/>
      <c r="Y809" s="48"/>
      <c r="Z809" s="11"/>
      <c r="AA809" s="48"/>
      <c r="AB809" s="11"/>
      <c r="AC809" s="48"/>
      <c r="AD809" s="11"/>
      <c r="AE809" s="47"/>
      <c r="AF809" s="11"/>
      <c r="AG809" s="48"/>
      <c r="AH809" s="11"/>
      <c r="AI809" s="48"/>
      <c r="AJ809" s="11"/>
      <c r="AK809" s="48"/>
      <c r="AL809" s="11"/>
      <c r="AM809" s="49"/>
      <c r="AN809" s="49"/>
      <c r="AO809" s="11"/>
      <c r="AP809" s="11"/>
      <c r="AQ809" s="28" t="b">
        <f>IF(COUNTIF(SmartStatus!A$2:A1000, AM809) &gt; 2, TRUE, FALSE)</f>
        <v>0</v>
      </c>
      <c r="AR809" s="29" t="str">
        <f ca="1">IFERROR(__xludf.DUMMYFUNCTION("iferror(if(regexmatch(AO809, ""(?i)^registered""), if(EE809 &lt;&gt; ""polity_shortest_name"", ""CHECK_POLITY"", index(filter(SmartStatus!B$2:B1000, AM809 = SmartStatus!A$2:A1000, not(SmartStatus!C$2:C1000), (isblank(SmartStatus!D$2:D1000)) + ((P809 &lt;&gt; """") * "&amp;"(P809 &lt; SmartStatus!D$2:D1000)), (isblank(SmartStatus!E$2:E1000)) + ((P809 &lt;&gt; """") * (P809 &gt;= SmartStatus!E$2:E1000)), (isblank(SmartStatus!F$2:F1000)) + (((Q809 &lt;&gt; """") * (Q809 &lt; SmartStatus!F$2:F1000)) + ((P809 &lt;&gt; """") * (date(year(P809) + 3, month(P"&amp;"809), day(P809)) &lt; SmartStatus!F$2:F1000))), (isblank(SmartStatus!G$2:G1000)) + (((Q809 &lt;&gt; """") * (Q809 &gt;= SmartStatus!G$2:G1000)) + ((P809 &lt;&gt; """") * (P809 &gt;= SmartStatus!G$2:G1000)))), if(or(regexmatch(B809, ""(?i)^ir [a-z]+ designation$""), N809 &lt;&gt; """&amp;"""), 1, 2))), """"), ""NO_MATCH"")"),"")</f>
        <v/>
      </c>
      <c r="AS809" s="11"/>
      <c r="AT809" s="15"/>
      <c r="AU809" s="11"/>
      <c r="AV809" s="11"/>
      <c r="AW809" s="15"/>
      <c r="AX809" s="15"/>
      <c r="AY809" s="15"/>
      <c r="AZ809" s="11"/>
      <c r="BA809" s="15"/>
      <c r="BB809" s="11"/>
      <c r="BC809" s="11"/>
      <c r="BD809" s="15"/>
      <c r="BE809" s="11"/>
      <c r="BF809" s="11"/>
      <c r="BG809" s="15"/>
      <c r="BH809" s="15"/>
      <c r="BI809" s="15"/>
      <c r="BJ809" s="11"/>
      <c r="BK809" s="15"/>
      <c r="BL809" s="11"/>
      <c r="BM809" s="11"/>
      <c r="BN809" s="15"/>
      <c r="BO809" s="11"/>
      <c r="BP809" s="11"/>
      <c r="BQ809" s="15"/>
      <c r="BR809" s="15"/>
      <c r="BS809" s="15"/>
      <c r="BT809" s="11"/>
      <c r="BU809" s="15"/>
      <c r="BV809" s="11"/>
      <c r="BW809" s="11"/>
      <c r="BX809" s="15"/>
      <c r="BY809" s="11"/>
      <c r="BZ809" s="11"/>
      <c r="CA809" s="15"/>
      <c r="CB809" s="11"/>
      <c r="CC809" s="15"/>
      <c r="CD809" s="11"/>
      <c r="CE809" s="15"/>
      <c r="CF809" s="11"/>
      <c r="CG809" s="11"/>
      <c r="CH809" s="15"/>
      <c r="CI809" s="11"/>
      <c r="CJ809" s="11"/>
      <c r="CK809" s="15"/>
      <c r="CL809" s="11"/>
      <c r="CM809" s="11"/>
      <c r="CN809" s="11"/>
      <c r="CO809" s="11"/>
      <c r="CP809" s="28"/>
      <c r="CQ809" s="28"/>
      <c r="CR809" s="11"/>
      <c r="CS809" s="29"/>
      <c r="CT809" s="11"/>
      <c r="CU809" s="11"/>
      <c r="CV809" s="11"/>
      <c r="CW809" s="11"/>
      <c r="CX809" s="11"/>
      <c r="CY809" s="11"/>
      <c r="CZ809" s="11"/>
      <c r="DA809" s="28"/>
      <c r="DB809" s="28"/>
      <c r="DC809" s="11"/>
      <c r="DD809" s="29"/>
      <c r="DE809" s="11"/>
      <c r="DF809" s="11"/>
      <c r="DG809" s="11"/>
      <c r="DH809" s="11"/>
      <c r="DI809" s="11"/>
      <c r="DJ809" s="11"/>
      <c r="DK809" s="26"/>
      <c r="DL809" s="11"/>
      <c r="DM809" s="29"/>
      <c r="DN809" s="28"/>
      <c r="DO809" s="11"/>
      <c r="DP809" s="11"/>
      <c r="DQ809" s="11"/>
      <c r="DR809" s="29"/>
      <c r="DS809" s="28"/>
      <c r="DT809" s="11"/>
      <c r="DU809" s="26"/>
      <c r="DV809" s="11"/>
      <c r="DW809" s="29"/>
      <c r="DX809" s="28"/>
      <c r="DY809" s="11"/>
      <c r="DZ809" s="26"/>
      <c r="EA809" s="11"/>
      <c r="EB809" s="29"/>
      <c r="EC809" s="28"/>
      <c r="ED809" s="30"/>
      <c r="EE809" s="30" t="str">
        <f ca="1">IFERROR(__xludf.DUMMYFUNCTION("iferror(index(filter('Internal -- Trademark Countries'!E$2:E1000, (AM809 = 'Internal -- Trademark Countries'!B$2:B1000) + (AM809 = 'Internal -- Trademark Countries'!C$2:C1000) + (AM809 = 'Internal -- Trademark Countries'!D$2:D1000)), 1))"),"")</f>
        <v/>
      </c>
      <c r="EF809" s="30" t="e">
        <f ca="1">_xludf.ifs(AM809="", "", COUNTIF('Internal -- Trademark Countries'!B:B,AM809) &gt; 0, "polity_shortest_name", COUNTIF('Internal -- Trademark Countries'!C:C,AM809) &gt; 0, "polity_full_name", COUNTIF('Internal -- Trademark Countries'!D:D,AM809) &gt; 0, "polity_common_name", COUNTIF('Internal -- Trademark Countries'!E:E,AM809) &gt; 0, "shortest_name", COUNTIF('Internal -- Trademark Countries'!A:A,AM809) &gt; 0, "full_name", TRUE, "not a match")</f>
        <v>#NAME?</v>
      </c>
      <c r="EG809" s="30"/>
      <c r="EH809" s="30"/>
      <c r="EI809" s="30"/>
      <c r="EJ809" s="30"/>
      <c r="EK809" s="30" t="str">
        <f t="shared" si="5"/>
        <v/>
      </c>
    </row>
    <row r="810" spans="1:141" ht="16.5">
      <c r="A810" s="11"/>
      <c r="B810" s="11"/>
      <c r="C810" s="11"/>
      <c r="D810" s="11"/>
      <c r="E810" s="11"/>
      <c r="F810" s="11"/>
      <c r="G810" s="11"/>
      <c r="H810" s="11"/>
      <c r="I810" s="11"/>
      <c r="J810" s="11"/>
      <c r="K810" s="27"/>
      <c r="L810" s="11"/>
      <c r="M810" s="11"/>
      <c r="N810" s="11"/>
      <c r="O810" s="11"/>
      <c r="P810" s="15"/>
      <c r="Q810" s="15"/>
      <c r="R810" s="15"/>
      <c r="S810" s="15"/>
      <c r="T810" s="15"/>
      <c r="U810" s="15"/>
      <c r="V810" s="15"/>
      <c r="W810" s="47"/>
      <c r="X810" s="11"/>
      <c r="Y810" s="48"/>
      <c r="Z810" s="11"/>
      <c r="AA810" s="48"/>
      <c r="AB810" s="11"/>
      <c r="AC810" s="48"/>
      <c r="AD810" s="11"/>
      <c r="AE810" s="47"/>
      <c r="AF810" s="11"/>
      <c r="AG810" s="48"/>
      <c r="AH810" s="11"/>
      <c r="AI810" s="48"/>
      <c r="AJ810" s="11"/>
      <c r="AK810" s="48"/>
      <c r="AL810" s="11"/>
      <c r="AM810" s="49"/>
      <c r="AN810" s="49"/>
      <c r="AO810" s="11"/>
      <c r="AP810" s="11"/>
      <c r="AQ810" s="28" t="b">
        <f>IF(COUNTIF(SmartStatus!A$2:A1000, AM810) &gt; 2, TRUE, FALSE)</f>
        <v>0</v>
      </c>
      <c r="AR810" s="29" t="str">
        <f ca="1">IFERROR(__xludf.DUMMYFUNCTION("iferror(if(regexmatch(AO810, ""(?i)^registered""), if(EE810 &lt;&gt; ""polity_shortest_name"", ""CHECK_POLITY"", index(filter(SmartStatus!B$2:B1000, AM810 = SmartStatus!A$2:A1000, not(SmartStatus!C$2:C1000), (isblank(SmartStatus!D$2:D1000)) + ((P810 &lt;&gt; """") * "&amp;"(P810 &lt; SmartStatus!D$2:D1000)), (isblank(SmartStatus!E$2:E1000)) + ((P810 &lt;&gt; """") * (P810 &gt;= SmartStatus!E$2:E1000)), (isblank(SmartStatus!F$2:F1000)) + (((Q810 &lt;&gt; """") * (Q810 &lt; SmartStatus!F$2:F1000)) + ((P810 &lt;&gt; """") * (date(year(P810) + 3, month(P"&amp;"810), day(P810)) &lt; SmartStatus!F$2:F1000))), (isblank(SmartStatus!G$2:G1000)) + (((Q810 &lt;&gt; """") * (Q810 &gt;= SmartStatus!G$2:G1000)) + ((P810 &lt;&gt; """") * (P810 &gt;= SmartStatus!G$2:G1000)))), if(or(regexmatch(B810, ""(?i)^ir [a-z]+ designation$""), N810 &lt;&gt; """&amp;"""), 1, 2))), """"), ""NO_MATCH"")"),"")</f>
        <v/>
      </c>
      <c r="AS810" s="11"/>
      <c r="AT810" s="15"/>
      <c r="AU810" s="11"/>
      <c r="AV810" s="11"/>
      <c r="AW810" s="15"/>
      <c r="AX810" s="15"/>
      <c r="AY810" s="15"/>
      <c r="AZ810" s="11"/>
      <c r="BA810" s="15"/>
      <c r="BB810" s="11"/>
      <c r="BC810" s="11"/>
      <c r="BD810" s="15"/>
      <c r="BE810" s="11"/>
      <c r="BF810" s="11"/>
      <c r="BG810" s="15"/>
      <c r="BH810" s="15"/>
      <c r="BI810" s="15"/>
      <c r="BJ810" s="11"/>
      <c r="BK810" s="15"/>
      <c r="BL810" s="11"/>
      <c r="BM810" s="11"/>
      <c r="BN810" s="15"/>
      <c r="BO810" s="11"/>
      <c r="BP810" s="11"/>
      <c r="BQ810" s="15"/>
      <c r="BR810" s="15"/>
      <c r="BS810" s="15"/>
      <c r="BT810" s="11"/>
      <c r="BU810" s="15"/>
      <c r="BV810" s="11"/>
      <c r="BW810" s="11"/>
      <c r="BX810" s="15"/>
      <c r="BY810" s="11"/>
      <c r="BZ810" s="11"/>
      <c r="CA810" s="15"/>
      <c r="CB810" s="11"/>
      <c r="CC810" s="15"/>
      <c r="CD810" s="11"/>
      <c r="CE810" s="15"/>
      <c r="CF810" s="11"/>
      <c r="CG810" s="11"/>
      <c r="CH810" s="15"/>
      <c r="CI810" s="11"/>
      <c r="CJ810" s="11"/>
      <c r="CK810" s="15"/>
      <c r="CL810" s="11"/>
      <c r="CM810" s="11"/>
      <c r="CN810" s="11"/>
      <c r="CO810" s="11"/>
      <c r="CP810" s="28"/>
      <c r="CQ810" s="28"/>
      <c r="CR810" s="11"/>
      <c r="CS810" s="29"/>
      <c r="CT810" s="11"/>
      <c r="CU810" s="11"/>
      <c r="CV810" s="11"/>
      <c r="CW810" s="11"/>
      <c r="CX810" s="11"/>
      <c r="CY810" s="11"/>
      <c r="CZ810" s="11"/>
      <c r="DA810" s="28"/>
      <c r="DB810" s="28"/>
      <c r="DC810" s="11"/>
      <c r="DD810" s="29"/>
      <c r="DE810" s="11"/>
      <c r="DF810" s="11"/>
      <c r="DG810" s="11"/>
      <c r="DH810" s="11"/>
      <c r="DI810" s="11"/>
      <c r="DJ810" s="11"/>
      <c r="DK810" s="26"/>
      <c r="DL810" s="11"/>
      <c r="DM810" s="29"/>
      <c r="DN810" s="28"/>
      <c r="DO810" s="11"/>
      <c r="DP810" s="11"/>
      <c r="DQ810" s="11"/>
      <c r="DR810" s="29"/>
      <c r="DS810" s="28"/>
      <c r="DT810" s="11"/>
      <c r="DU810" s="26"/>
      <c r="DV810" s="11"/>
      <c r="DW810" s="29"/>
      <c r="DX810" s="28"/>
      <c r="DY810" s="11"/>
      <c r="DZ810" s="26"/>
      <c r="EA810" s="11"/>
      <c r="EB810" s="29"/>
      <c r="EC810" s="28"/>
      <c r="ED810" s="30"/>
      <c r="EE810" s="30" t="str">
        <f ca="1">IFERROR(__xludf.DUMMYFUNCTION("iferror(index(filter('Internal -- Trademark Countries'!E$2:E1000, (AM810 = 'Internal -- Trademark Countries'!B$2:B1000) + (AM810 = 'Internal -- Trademark Countries'!C$2:C1000) + (AM810 = 'Internal -- Trademark Countries'!D$2:D1000)), 1))"),"")</f>
        <v/>
      </c>
      <c r="EF810" s="30" t="e">
        <f ca="1">_xludf.ifs(AM810="", "", COUNTIF('Internal -- Trademark Countries'!B:B,AM810) &gt; 0, "polity_shortest_name", COUNTIF('Internal -- Trademark Countries'!C:C,AM810) &gt; 0, "polity_full_name", COUNTIF('Internal -- Trademark Countries'!D:D,AM810) &gt; 0, "polity_common_name", COUNTIF('Internal -- Trademark Countries'!E:E,AM810) &gt; 0, "shortest_name", COUNTIF('Internal -- Trademark Countries'!A:A,AM810) &gt; 0, "full_name", TRUE, "not a match")</f>
        <v>#NAME?</v>
      </c>
      <c r="EG810" s="30"/>
      <c r="EH810" s="30"/>
      <c r="EI810" s="30"/>
      <c r="EJ810" s="30"/>
      <c r="EK810" s="30" t="str">
        <f t="shared" si="5"/>
        <v/>
      </c>
    </row>
    <row r="811" spans="1:141" ht="16.5">
      <c r="A811" s="11"/>
      <c r="B811" s="11"/>
      <c r="C811" s="11"/>
      <c r="D811" s="11"/>
      <c r="E811" s="11"/>
      <c r="F811" s="11"/>
      <c r="G811" s="11"/>
      <c r="H811" s="11"/>
      <c r="I811" s="11"/>
      <c r="J811" s="11"/>
      <c r="K811" s="27"/>
      <c r="L811" s="11"/>
      <c r="M811" s="11"/>
      <c r="N811" s="11"/>
      <c r="O811" s="11"/>
      <c r="P811" s="15"/>
      <c r="Q811" s="15"/>
      <c r="R811" s="15"/>
      <c r="S811" s="15"/>
      <c r="T811" s="15"/>
      <c r="U811" s="15"/>
      <c r="V811" s="15"/>
      <c r="W811" s="47"/>
      <c r="X811" s="11"/>
      <c r="Y811" s="48"/>
      <c r="Z811" s="11"/>
      <c r="AA811" s="48"/>
      <c r="AB811" s="11"/>
      <c r="AC811" s="48"/>
      <c r="AD811" s="11"/>
      <c r="AE811" s="47"/>
      <c r="AF811" s="11"/>
      <c r="AG811" s="48"/>
      <c r="AH811" s="11"/>
      <c r="AI811" s="48"/>
      <c r="AJ811" s="11"/>
      <c r="AK811" s="48"/>
      <c r="AL811" s="11"/>
      <c r="AM811" s="49"/>
      <c r="AN811" s="49"/>
      <c r="AO811" s="11"/>
      <c r="AP811" s="11"/>
      <c r="AQ811" s="28" t="b">
        <f>IF(COUNTIF(SmartStatus!A$2:A1000, AM811) &gt; 2, TRUE, FALSE)</f>
        <v>0</v>
      </c>
      <c r="AR811" s="29" t="str">
        <f ca="1">IFERROR(__xludf.DUMMYFUNCTION("iferror(if(regexmatch(AO811, ""(?i)^registered""), if(EE811 &lt;&gt; ""polity_shortest_name"", ""CHECK_POLITY"", index(filter(SmartStatus!B$2:B1000, AM811 = SmartStatus!A$2:A1000, not(SmartStatus!C$2:C1000), (isblank(SmartStatus!D$2:D1000)) + ((P811 &lt;&gt; """") * "&amp;"(P811 &lt; SmartStatus!D$2:D1000)), (isblank(SmartStatus!E$2:E1000)) + ((P811 &lt;&gt; """") * (P811 &gt;= SmartStatus!E$2:E1000)), (isblank(SmartStatus!F$2:F1000)) + (((Q811 &lt;&gt; """") * (Q811 &lt; SmartStatus!F$2:F1000)) + ((P811 &lt;&gt; """") * (date(year(P811) + 3, month(P"&amp;"811), day(P811)) &lt; SmartStatus!F$2:F1000))), (isblank(SmartStatus!G$2:G1000)) + (((Q811 &lt;&gt; """") * (Q811 &gt;= SmartStatus!G$2:G1000)) + ((P811 &lt;&gt; """") * (P811 &gt;= SmartStatus!G$2:G1000)))), if(or(regexmatch(B811, ""(?i)^ir [a-z]+ designation$""), N811 &lt;&gt; """&amp;"""), 1, 2))), """"), ""NO_MATCH"")"),"")</f>
        <v/>
      </c>
      <c r="AS811" s="11"/>
      <c r="AT811" s="15"/>
      <c r="AU811" s="11"/>
      <c r="AV811" s="11"/>
      <c r="AW811" s="15"/>
      <c r="AX811" s="15"/>
      <c r="AY811" s="15"/>
      <c r="AZ811" s="11"/>
      <c r="BA811" s="15"/>
      <c r="BB811" s="11"/>
      <c r="BC811" s="11"/>
      <c r="BD811" s="15"/>
      <c r="BE811" s="11"/>
      <c r="BF811" s="11"/>
      <c r="BG811" s="15"/>
      <c r="BH811" s="15"/>
      <c r="BI811" s="15"/>
      <c r="BJ811" s="11"/>
      <c r="BK811" s="15"/>
      <c r="BL811" s="11"/>
      <c r="BM811" s="11"/>
      <c r="BN811" s="15"/>
      <c r="BO811" s="11"/>
      <c r="BP811" s="11"/>
      <c r="BQ811" s="15"/>
      <c r="BR811" s="15"/>
      <c r="BS811" s="15"/>
      <c r="BT811" s="11"/>
      <c r="BU811" s="15"/>
      <c r="BV811" s="11"/>
      <c r="BW811" s="11"/>
      <c r="BX811" s="15"/>
      <c r="BY811" s="11"/>
      <c r="BZ811" s="11"/>
      <c r="CA811" s="15"/>
      <c r="CB811" s="11"/>
      <c r="CC811" s="15"/>
      <c r="CD811" s="11"/>
      <c r="CE811" s="15"/>
      <c r="CF811" s="11"/>
      <c r="CG811" s="11"/>
      <c r="CH811" s="15"/>
      <c r="CI811" s="11"/>
      <c r="CJ811" s="11"/>
      <c r="CK811" s="15"/>
      <c r="CL811" s="11"/>
      <c r="CM811" s="11"/>
      <c r="CN811" s="11"/>
      <c r="CO811" s="11"/>
      <c r="CP811" s="28"/>
      <c r="CQ811" s="28"/>
      <c r="CR811" s="11"/>
      <c r="CS811" s="29"/>
      <c r="CT811" s="11"/>
      <c r="CU811" s="11"/>
      <c r="CV811" s="11"/>
      <c r="CW811" s="11"/>
      <c r="CX811" s="11"/>
      <c r="CY811" s="11"/>
      <c r="CZ811" s="11"/>
      <c r="DA811" s="28"/>
      <c r="DB811" s="28"/>
      <c r="DC811" s="11"/>
      <c r="DD811" s="29"/>
      <c r="DE811" s="11"/>
      <c r="DF811" s="11"/>
      <c r="DG811" s="11"/>
      <c r="DH811" s="11"/>
      <c r="DI811" s="11"/>
      <c r="DJ811" s="11"/>
      <c r="DK811" s="26"/>
      <c r="DL811" s="11"/>
      <c r="DM811" s="29"/>
      <c r="DN811" s="28"/>
      <c r="DO811" s="11"/>
      <c r="DP811" s="11"/>
      <c r="DQ811" s="11"/>
      <c r="DR811" s="29"/>
      <c r="DS811" s="28"/>
      <c r="DT811" s="11"/>
      <c r="DU811" s="26"/>
      <c r="DV811" s="11"/>
      <c r="DW811" s="29"/>
      <c r="DX811" s="28"/>
      <c r="DY811" s="11"/>
      <c r="DZ811" s="26"/>
      <c r="EA811" s="11"/>
      <c r="EB811" s="29"/>
      <c r="EC811" s="28"/>
      <c r="ED811" s="30"/>
      <c r="EE811" s="30" t="str">
        <f ca="1">IFERROR(__xludf.DUMMYFUNCTION("iferror(index(filter('Internal -- Trademark Countries'!E$2:E1000, (AM811 = 'Internal -- Trademark Countries'!B$2:B1000) + (AM811 = 'Internal -- Trademark Countries'!C$2:C1000) + (AM811 = 'Internal -- Trademark Countries'!D$2:D1000)), 1))"),"")</f>
        <v/>
      </c>
      <c r="EF811" s="30" t="e">
        <f ca="1">_xludf.ifs(AM811="", "", COUNTIF('Internal -- Trademark Countries'!B:B,AM811) &gt; 0, "polity_shortest_name", COUNTIF('Internal -- Trademark Countries'!C:C,AM811) &gt; 0, "polity_full_name", COUNTIF('Internal -- Trademark Countries'!D:D,AM811) &gt; 0, "polity_common_name", COUNTIF('Internal -- Trademark Countries'!E:E,AM811) &gt; 0, "shortest_name", COUNTIF('Internal -- Trademark Countries'!A:A,AM811) &gt; 0, "full_name", TRUE, "not a match")</f>
        <v>#NAME?</v>
      </c>
      <c r="EG811" s="30"/>
      <c r="EH811" s="30"/>
      <c r="EI811" s="30"/>
      <c r="EJ811" s="30"/>
      <c r="EK811" s="30" t="str">
        <f t="shared" si="5"/>
        <v/>
      </c>
    </row>
    <row r="812" spans="1:141" ht="16.5">
      <c r="A812" s="11"/>
      <c r="B812" s="11"/>
      <c r="C812" s="11"/>
      <c r="D812" s="11"/>
      <c r="E812" s="11"/>
      <c r="F812" s="11"/>
      <c r="G812" s="11"/>
      <c r="H812" s="11"/>
      <c r="I812" s="11"/>
      <c r="J812" s="11"/>
      <c r="K812" s="27"/>
      <c r="L812" s="11"/>
      <c r="M812" s="11"/>
      <c r="N812" s="11"/>
      <c r="O812" s="11"/>
      <c r="P812" s="15"/>
      <c r="Q812" s="15"/>
      <c r="R812" s="15"/>
      <c r="S812" s="15"/>
      <c r="T812" s="15"/>
      <c r="U812" s="15"/>
      <c r="V812" s="15"/>
      <c r="W812" s="47"/>
      <c r="X812" s="11"/>
      <c r="Y812" s="48"/>
      <c r="Z812" s="11"/>
      <c r="AA812" s="48"/>
      <c r="AB812" s="11"/>
      <c r="AC812" s="48"/>
      <c r="AD812" s="11"/>
      <c r="AE812" s="47"/>
      <c r="AF812" s="11"/>
      <c r="AG812" s="48"/>
      <c r="AH812" s="11"/>
      <c r="AI812" s="48"/>
      <c r="AJ812" s="11"/>
      <c r="AK812" s="48"/>
      <c r="AL812" s="11"/>
      <c r="AM812" s="49"/>
      <c r="AN812" s="49"/>
      <c r="AO812" s="11"/>
      <c r="AP812" s="11"/>
      <c r="AQ812" s="28" t="b">
        <f>IF(COUNTIF(SmartStatus!A$2:A1000, AM812) &gt; 2, TRUE, FALSE)</f>
        <v>0</v>
      </c>
      <c r="AR812" s="29" t="str">
        <f ca="1">IFERROR(__xludf.DUMMYFUNCTION("iferror(if(regexmatch(AO812, ""(?i)^registered""), if(EE812 &lt;&gt; ""polity_shortest_name"", ""CHECK_POLITY"", index(filter(SmartStatus!B$2:B1000, AM812 = SmartStatus!A$2:A1000, not(SmartStatus!C$2:C1000), (isblank(SmartStatus!D$2:D1000)) + ((P812 &lt;&gt; """") * "&amp;"(P812 &lt; SmartStatus!D$2:D1000)), (isblank(SmartStatus!E$2:E1000)) + ((P812 &lt;&gt; """") * (P812 &gt;= SmartStatus!E$2:E1000)), (isblank(SmartStatus!F$2:F1000)) + (((Q812 &lt;&gt; """") * (Q812 &lt; SmartStatus!F$2:F1000)) + ((P812 &lt;&gt; """") * (date(year(P812) + 3, month(P"&amp;"812), day(P812)) &lt; SmartStatus!F$2:F1000))), (isblank(SmartStatus!G$2:G1000)) + (((Q812 &lt;&gt; """") * (Q812 &gt;= SmartStatus!G$2:G1000)) + ((P812 &lt;&gt; """") * (P812 &gt;= SmartStatus!G$2:G1000)))), if(or(regexmatch(B812, ""(?i)^ir [a-z]+ designation$""), N812 &lt;&gt; """&amp;"""), 1, 2))), """"), ""NO_MATCH"")"),"")</f>
        <v/>
      </c>
      <c r="AS812" s="11"/>
      <c r="AT812" s="15"/>
      <c r="AU812" s="11"/>
      <c r="AV812" s="11"/>
      <c r="AW812" s="15"/>
      <c r="AX812" s="15"/>
      <c r="AY812" s="15"/>
      <c r="AZ812" s="11"/>
      <c r="BA812" s="15"/>
      <c r="BB812" s="11"/>
      <c r="BC812" s="11"/>
      <c r="BD812" s="15"/>
      <c r="BE812" s="11"/>
      <c r="BF812" s="11"/>
      <c r="BG812" s="15"/>
      <c r="BH812" s="15"/>
      <c r="BI812" s="15"/>
      <c r="BJ812" s="11"/>
      <c r="BK812" s="15"/>
      <c r="BL812" s="11"/>
      <c r="BM812" s="11"/>
      <c r="BN812" s="15"/>
      <c r="BO812" s="11"/>
      <c r="BP812" s="11"/>
      <c r="BQ812" s="15"/>
      <c r="BR812" s="15"/>
      <c r="BS812" s="15"/>
      <c r="BT812" s="11"/>
      <c r="BU812" s="15"/>
      <c r="BV812" s="11"/>
      <c r="BW812" s="11"/>
      <c r="BX812" s="15"/>
      <c r="BY812" s="11"/>
      <c r="BZ812" s="11"/>
      <c r="CA812" s="15"/>
      <c r="CB812" s="11"/>
      <c r="CC812" s="15"/>
      <c r="CD812" s="11"/>
      <c r="CE812" s="15"/>
      <c r="CF812" s="11"/>
      <c r="CG812" s="11"/>
      <c r="CH812" s="15"/>
      <c r="CI812" s="11"/>
      <c r="CJ812" s="11"/>
      <c r="CK812" s="15"/>
      <c r="CL812" s="11"/>
      <c r="CM812" s="11"/>
      <c r="CN812" s="11"/>
      <c r="CO812" s="11"/>
      <c r="CP812" s="28"/>
      <c r="CQ812" s="28"/>
      <c r="CR812" s="11"/>
      <c r="CS812" s="29"/>
      <c r="CT812" s="11"/>
      <c r="CU812" s="11"/>
      <c r="CV812" s="11"/>
      <c r="CW812" s="11"/>
      <c r="CX812" s="11"/>
      <c r="CY812" s="11"/>
      <c r="CZ812" s="11"/>
      <c r="DA812" s="28"/>
      <c r="DB812" s="28"/>
      <c r="DC812" s="11"/>
      <c r="DD812" s="29"/>
      <c r="DE812" s="11"/>
      <c r="DF812" s="11"/>
      <c r="DG812" s="11"/>
      <c r="DH812" s="11"/>
      <c r="DI812" s="11"/>
      <c r="DJ812" s="11"/>
      <c r="DK812" s="26"/>
      <c r="DL812" s="11"/>
      <c r="DM812" s="29"/>
      <c r="DN812" s="28"/>
      <c r="DO812" s="11"/>
      <c r="DP812" s="11"/>
      <c r="DQ812" s="11"/>
      <c r="DR812" s="29"/>
      <c r="DS812" s="28"/>
      <c r="DT812" s="11"/>
      <c r="DU812" s="26"/>
      <c r="DV812" s="11"/>
      <c r="DW812" s="29"/>
      <c r="DX812" s="28"/>
      <c r="DY812" s="11"/>
      <c r="DZ812" s="26"/>
      <c r="EA812" s="11"/>
      <c r="EB812" s="29"/>
      <c r="EC812" s="28"/>
      <c r="ED812" s="30"/>
      <c r="EE812" s="30" t="str">
        <f ca="1">IFERROR(__xludf.DUMMYFUNCTION("iferror(index(filter('Internal -- Trademark Countries'!E$2:E1000, (AM812 = 'Internal -- Trademark Countries'!B$2:B1000) + (AM812 = 'Internal -- Trademark Countries'!C$2:C1000) + (AM812 = 'Internal -- Trademark Countries'!D$2:D1000)), 1))"),"")</f>
        <v/>
      </c>
      <c r="EF812" s="30" t="e">
        <f ca="1">_xludf.ifs(AM812="", "", COUNTIF('Internal -- Trademark Countries'!B:B,AM812) &gt; 0, "polity_shortest_name", COUNTIF('Internal -- Trademark Countries'!C:C,AM812) &gt; 0, "polity_full_name", COUNTIF('Internal -- Trademark Countries'!D:D,AM812) &gt; 0, "polity_common_name", COUNTIF('Internal -- Trademark Countries'!E:E,AM812) &gt; 0, "shortest_name", COUNTIF('Internal -- Trademark Countries'!A:A,AM812) &gt; 0, "full_name", TRUE, "not a match")</f>
        <v>#NAME?</v>
      </c>
      <c r="EG812" s="30"/>
      <c r="EH812" s="30"/>
      <c r="EI812" s="30"/>
      <c r="EJ812" s="30"/>
      <c r="EK812" s="30" t="str">
        <f t="shared" si="5"/>
        <v/>
      </c>
    </row>
    <row r="813" spans="1:141" ht="16.5">
      <c r="A813" s="11"/>
      <c r="B813" s="11"/>
      <c r="C813" s="11"/>
      <c r="D813" s="11"/>
      <c r="E813" s="11"/>
      <c r="F813" s="11"/>
      <c r="G813" s="11"/>
      <c r="H813" s="11"/>
      <c r="I813" s="11"/>
      <c r="J813" s="11"/>
      <c r="K813" s="27"/>
      <c r="L813" s="11"/>
      <c r="M813" s="11"/>
      <c r="N813" s="11"/>
      <c r="O813" s="11"/>
      <c r="P813" s="15"/>
      <c r="Q813" s="15"/>
      <c r="R813" s="15"/>
      <c r="S813" s="15"/>
      <c r="T813" s="15"/>
      <c r="U813" s="15"/>
      <c r="V813" s="15"/>
      <c r="W813" s="47"/>
      <c r="X813" s="11"/>
      <c r="Y813" s="48"/>
      <c r="Z813" s="11"/>
      <c r="AA813" s="48"/>
      <c r="AB813" s="11"/>
      <c r="AC813" s="48"/>
      <c r="AD813" s="11"/>
      <c r="AE813" s="47"/>
      <c r="AF813" s="11"/>
      <c r="AG813" s="48"/>
      <c r="AH813" s="11"/>
      <c r="AI813" s="48"/>
      <c r="AJ813" s="11"/>
      <c r="AK813" s="48"/>
      <c r="AL813" s="11"/>
      <c r="AM813" s="49"/>
      <c r="AN813" s="49"/>
      <c r="AO813" s="11"/>
      <c r="AP813" s="11"/>
      <c r="AQ813" s="28" t="b">
        <f>IF(COUNTIF(SmartStatus!A$2:A1000, AM813) &gt; 2, TRUE, FALSE)</f>
        <v>0</v>
      </c>
      <c r="AR813" s="29" t="str">
        <f ca="1">IFERROR(__xludf.DUMMYFUNCTION("iferror(if(regexmatch(AO813, ""(?i)^registered""), if(EE813 &lt;&gt; ""polity_shortest_name"", ""CHECK_POLITY"", index(filter(SmartStatus!B$2:B1000, AM813 = SmartStatus!A$2:A1000, not(SmartStatus!C$2:C1000), (isblank(SmartStatus!D$2:D1000)) + ((P813 &lt;&gt; """") * "&amp;"(P813 &lt; SmartStatus!D$2:D1000)), (isblank(SmartStatus!E$2:E1000)) + ((P813 &lt;&gt; """") * (P813 &gt;= SmartStatus!E$2:E1000)), (isblank(SmartStatus!F$2:F1000)) + (((Q813 &lt;&gt; """") * (Q813 &lt; SmartStatus!F$2:F1000)) + ((P813 &lt;&gt; """") * (date(year(P813) + 3, month(P"&amp;"813), day(P813)) &lt; SmartStatus!F$2:F1000))), (isblank(SmartStatus!G$2:G1000)) + (((Q813 &lt;&gt; """") * (Q813 &gt;= SmartStatus!G$2:G1000)) + ((P813 &lt;&gt; """") * (P813 &gt;= SmartStatus!G$2:G1000)))), if(or(regexmatch(B813, ""(?i)^ir [a-z]+ designation$""), N813 &lt;&gt; """&amp;"""), 1, 2))), """"), ""NO_MATCH"")"),"")</f>
        <v/>
      </c>
      <c r="AS813" s="11"/>
      <c r="AT813" s="15"/>
      <c r="AU813" s="11"/>
      <c r="AV813" s="11"/>
      <c r="AW813" s="15"/>
      <c r="AX813" s="15"/>
      <c r="AY813" s="15"/>
      <c r="AZ813" s="11"/>
      <c r="BA813" s="15"/>
      <c r="BB813" s="11"/>
      <c r="BC813" s="11"/>
      <c r="BD813" s="15"/>
      <c r="BE813" s="11"/>
      <c r="BF813" s="11"/>
      <c r="BG813" s="15"/>
      <c r="BH813" s="15"/>
      <c r="BI813" s="15"/>
      <c r="BJ813" s="11"/>
      <c r="BK813" s="15"/>
      <c r="BL813" s="11"/>
      <c r="BM813" s="11"/>
      <c r="BN813" s="15"/>
      <c r="BO813" s="11"/>
      <c r="BP813" s="11"/>
      <c r="BQ813" s="15"/>
      <c r="BR813" s="15"/>
      <c r="BS813" s="15"/>
      <c r="BT813" s="11"/>
      <c r="BU813" s="15"/>
      <c r="BV813" s="11"/>
      <c r="BW813" s="11"/>
      <c r="BX813" s="15"/>
      <c r="BY813" s="11"/>
      <c r="BZ813" s="11"/>
      <c r="CA813" s="15"/>
      <c r="CB813" s="11"/>
      <c r="CC813" s="15"/>
      <c r="CD813" s="11"/>
      <c r="CE813" s="15"/>
      <c r="CF813" s="11"/>
      <c r="CG813" s="11"/>
      <c r="CH813" s="15"/>
      <c r="CI813" s="11"/>
      <c r="CJ813" s="11"/>
      <c r="CK813" s="15"/>
      <c r="CL813" s="11"/>
      <c r="CM813" s="11"/>
      <c r="CN813" s="11"/>
      <c r="CO813" s="11"/>
      <c r="CP813" s="28"/>
      <c r="CQ813" s="28"/>
      <c r="CR813" s="11"/>
      <c r="CS813" s="29"/>
      <c r="CT813" s="11"/>
      <c r="CU813" s="11"/>
      <c r="CV813" s="11"/>
      <c r="CW813" s="11"/>
      <c r="CX813" s="11"/>
      <c r="CY813" s="11"/>
      <c r="CZ813" s="11"/>
      <c r="DA813" s="28"/>
      <c r="DB813" s="28"/>
      <c r="DC813" s="11"/>
      <c r="DD813" s="29"/>
      <c r="DE813" s="11"/>
      <c r="DF813" s="11"/>
      <c r="DG813" s="11"/>
      <c r="DH813" s="11"/>
      <c r="DI813" s="11"/>
      <c r="DJ813" s="11"/>
      <c r="DK813" s="26"/>
      <c r="DL813" s="11"/>
      <c r="DM813" s="29"/>
      <c r="DN813" s="28"/>
      <c r="DO813" s="11"/>
      <c r="DP813" s="11"/>
      <c r="DQ813" s="11"/>
      <c r="DR813" s="29"/>
      <c r="DS813" s="28"/>
      <c r="DT813" s="11"/>
      <c r="DU813" s="26"/>
      <c r="DV813" s="11"/>
      <c r="DW813" s="29"/>
      <c r="DX813" s="28"/>
      <c r="DY813" s="11"/>
      <c r="DZ813" s="26"/>
      <c r="EA813" s="11"/>
      <c r="EB813" s="29"/>
      <c r="EC813" s="28"/>
      <c r="ED813" s="30"/>
      <c r="EE813" s="30" t="str">
        <f ca="1">IFERROR(__xludf.DUMMYFUNCTION("iferror(index(filter('Internal -- Trademark Countries'!E$2:E1000, (AM813 = 'Internal -- Trademark Countries'!B$2:B1000) + (AM813 = 'Internal -- Trademark Countries'!C$2:C1000) + (AM813 = 'Internal -- Trademark Countries'!D$2:D1000)), 1))"),"")</f>
        <v/>
      </c>
      <c r="EF813" s="30" t="e">
        <f ca="1">_xludf.ifs(AM813="", "", COUNTIF('Internal -- Trademark Countries'!B:B,AM813) &gt; 0, "polity_shortest_name", COUNTIF('Internal -- Trademark Countries'!C:C,AM813) &gt; 0, "polity_full_name", COUNTIF('Internal -- Trademark Countries'!D:D,AM813) &gt; 0, "polity_common_name", COUNTIF('Internal -- Trademark Countries'!E:E,AM813) &gt; 0, "shortest_name", COUNTIF('Internal -- Trademark Countries'!A:A,AM813) &gt; 0, "full_name", TRUE, "not a match")</f>
        <v>#NAME?</v>
      </c>
      <c r="EG813" s="30"/>
      <c r="EH813" s="30"/>
      <c r="EI813" s="30"/>
      <c r="EJ813" s="30"/>
      <c r="EK813" s="30" t="str">
        <f t="shared" si="5"/>
        <v/>
      </c>
    </row>
    <row r="814" spans="1:141" ht="16.5">
      <c r="A814" s="11"/>
      <c r="B814" s="11"/>
      <c r="C814" s="11"/>
      <c r="D814" s="11"/>
      <c r="E814" s="11"/>
      <c r="F814" s="11"/>
      <c r="G814" s="11"/>
      <c r="H814" s="11"/>
      <c r="I814" s="11"/>
      <c r="J814" s="11"/>
      <c r="K814" s="27"/>
      <c r="L814" s="11"/>
      <c r="M814" s="11"/>
      <c r="N814" s="11"/>
      <c r="O814" s="11"/>
      <c r="P814" s="15"/>
      <c r="Q814" s="15"/>
      <c r="R814" s="15"/>
      <c r="S814" s="15"/>
      <c r="T814" s="15"/>
      <c r="U814" s="15"/>
      <c r="V814" s="15"/>
      <c r="W814" s="47"/>
      <c r="X814" s="11"/>
      <c r="Y814" s="48"/>
      <c r="Z814" s="11"/>
      <c r="AA814" s="48"/>
      <c r="AB814" s="11"/>
      <c r="AC814" s="48"/>
      <c r="AD814" s="11"/>
      <c r="AE814" s="47"/>
      <c r="AF814" s="11"/>
      <c r="AG814" s="48"/>
      <c r="AH814" s="11"/>
      <c r="AI814" s="48"/>
      <c r="AJ814" s="11"/>
      <c r="AK814" s="48"/>
      <c r="AL814" s="11"/>
      <c r="AM814" s="49"/>
      <c r="AN814" s="49"/>
      <c r="AO814" s="11"/>
      <c r="AP814" s="11"/>
      <c r="AQ814" s="28" t="b">
        <f>IF(COUNTIF(SmartStatus!A$2:A1000, AM814) &gt; 2, TRUE, FALSE)</f>
        <v>0</v>
      </c>
      <c r="AR814" s="29" t="str">
        <f ca="1">IFERROR(__xludf.DUMMYFUNCTION("iferror(if(regexmatch(AO814, ""(?i)^registered""), if(EE814 &lt;&gt; ""polity_shortest_name"", ""CHECK_POLITY"", index(filter(SmartStatus!B$2:B1000, AM814 = SmartStatus!A$2:A1000, not(SmartStatus!C$2:C1000), (isblank(SmartStatus!D$2:D1000)) + ((P814 &lt;&gt; """") * "&amp;"(P814 &lt; SmartStatus!D$2:D1000)), (isblank(SmartStatus!E$2:E1000)) + ((P814 &lt;&gt; """") * (P814 &gt;= SmartStatus!E$2:E1000)), (isblank(SmartStatus!F$2:F1000)) + (((Q814 &lt;&gt; """") * (Q814 &lt; SmartStatus!F$2:F1000)) + ((P814 &lt;&gt; """") * (date(year(P814) + 3, month(P"&amp;"814), day(P814)) &lt; SmartStatus!F$2:F1000))), (isblank(SmartStatus!G$2:G1000)) + (((Q814 &lt;&gt; """") * (Q814 &gt;= SmartStatus!G$2:G1000)) + ((P814 &lt;&gt; """") * (P814 &gt;= SmartStatus!G$2:G1000)))), if(or(regexmatch(B814, ""(?i)^ir [a-z]+ designation$""), N814 &lt;&gt; """&amp;"""), 1, 2))), """"), ""NO_MATCH"")"),"")</f>
        <v/>
      </c>
      <c r="AS814" s="11"/>
      <c r="AT814" s="15"/>
      <c r="AU814" s="11"/>
      <c r="AV814" s="11"/>
      <c r="AW814" s="15"/>
      <c r="AX814" s="15"/>
      <c r="AY814" s="15"/>
      <c r="AZ814" s="11"/>
      <c r="BA814" s="15"/>
      <c r="BB814" s="11"/>
      <c r="BC814" s="11"/>
      <c r="BD814" s="15"/>
      <c r="BE814" s="11"/>
      <c r="BF814" s="11"/>
      <c r="BG814" s="15"/>
      <c r="BH814" s="15"/>
      <c r="BI814" s="15"/>
      <c r="BJ814" s="11"/>
      <c r="BK814" s="15"/>
      <c r="BL814" s="11"/>
      <c r="BM814" s="11"/>
      <c r="BN814" s="15"/>
      <c r="BO814" s="11"/>
      <c r="BP814" s="11"/>
      <c r="BQ814" s="15"/>
      <c r="BR814" s="15"/>
      <c r="BS814" s="15"/>
      <c r="BT814" s="11"/>
      <c r="BU814" s="15"/>
      <c r="BV814" s="11"/>
      <c r="BW814" s="11"/>
      <c r="BX814" s="15"/>
      <c r="BY814" s="11"/>
      <c r="BZ814" s="11"/>
      <c r="CA814" s="15"/>
      <c r="CB814" s="11"/>
      <c r="CC814" s="15"/>
      <c r="CD814" s="11"/>
      <c r="CE814" s="15"/>
      <c r="CF814" s="11"/>
      <c r="CG814" s="11"/>
      <c r="CH814" s="15"/>
      <c r="CI814" s="11"/>
      <c r="CJ814" s="11"/>
      <c r="CK814" s="15"/>
      <c r="CL814" s="11"/>
      <c r="CM814" s="11"/>
      <c r="CN814" s="11"/>
      <c r="CO814" s="11"/>
      <c r="CP814" s="28"/>
      <c r="CQ814" s="28"/>
      <c r="CR814" s="11"/>
      <c r="CS814" s="29"/>
      <c r="CT814" s="11"/>
      <c r="CU814" s="11"/>
      <c r="CV814" s="11"/>
      <c r="CW814" s="11"/>
      <c r="CX814" s="11"/>
      <c r="CY814" s="11"/>
      <c r="CZ814" s="11"/>
      <c r="DA814" s="28"/>
      <c r="DB814" s="28"/>
      <c r="DC814" s="11"/>
      <c r="DD814" s="29"/>
      <c r="DE814" s="11"/>
      <c r="DF814" s="11"/>
      <c r="DG814" s="11"/>
      <c r="DH814" s="11"/>
      <c r="DI814" s="11"/>
      <c r="DJ814" s="11"/>
      <c r="DK814" s="26"/>
      <c r="DL814" s="11"/>
      <c r="DM814" s="29"/>
      <c r="DN814" s="28"/>
      <c r="DO814" s="11"/>
      <c r="DP814" s="11"/>
      <c r="DQ814" s="11"/>
      <c r="DR814" s="29"/>
      <c r="DS814" s="28"/>
      <c r="DT814" s="11"/>
      <c r="DU814" s="26"/>
      <c r="DV814" s="11"/>
      <c r="DW814" s="29"/>
      <c r="DX814" s="28"/>
      <c r="DY814" s="11"/>
      <c r="DZ814" s="26"/>
      <c r="EA814" s="11"/>
      <c r="EB814" s="29"/>
      <c r="EC814" s="28"/>
      <c r="ED814" s="30"/>
      <c r="EE814" s="30" t="str">
        <f ca="1">IFERROR(__xludf.DUMMYFUNCTION("iferror(index(filter('Internal -- Trademark Countries'!E$2:E1000, (AM814 = 'Internal -- Trademark Countries'!B$2:B1000) + (AM814 = 'Internal -- Trademark Countries'!C$2:C1000) + (AM814 = 'Internal -- Trademark Countries'!D$2:D1000)), 1))"),"")</f>
        <v/>
      </c>
      <c r="EF814" s="30" t="e">
        <f ca="1">_xludf.ifs(AM814="", "", COUNTIF('Internal -- Trademark Countries'!B:B,AM814) &gt; 0, "polity_shortest_name", COUNTIF('Internal -- Trademark Countries'!C:C,AM814) &gt; 0, "polity_full_name", COUNTIF('Internal -- Trademark Countries'!D:D,AM814) &gt; 0, "polity_common_name", COUNTIF('Internal -- Trademark Countries'!E:E,AM814) &gt; 0, "shortest_name", COUNTIF('Internal -- Trademark Countries'!A:A,AM814) &gt; 0, "full_name", TRUE, "not a match")</f>
        <v>#NAME?</v>
      </c>
      <c r="EG814" s="30"/>
      <c r="EH814" s="30"/>
      <c r="EI814" s="30"/>
      <c r="EJ814" s="30"/>
      <c r="EK814" s="30" t="str">
        <f t="shared" si="5"/>
        <v/>
      </c>
    </row>
    <row r="815" spans="1:141" ht="16.5">
      <c r="A815" s="11"/>
      <c r="B815" s="11"/>
      <c r="C815" s="11"/>
      <c r="D815" s="11"/>
      <c r="E815" s="11"/>
      <c r="F815" s="11"/>
      <c r="G815" s="11"/>
      <c r="H815" s="11"/>
      <c r="I815" s="11"/>
      <c r="J815" s="11"/>
      <c r="K815" s="27"/>
      <c r="L815" s="11"/>
      <c r="M815" s="11"/>
      <c r="N815" s="11"/>
      <c r="O815" s="11"/>
      <c r="P815" s="15"/>
      <c r="Q815" s="15"/>
      <c r="R815" s="15"/>
      <c r="S815" s="15"/>
      <c r="T815" s="15"/>
      <c r="U815" s="15"/>
      <c r="V815" s="15"/>
      <c r="W815" s="47"/>
      <c r="X815" s="11"/>
      <c r="Y815" s="48"/>
      <c r="Z815" s="11"/>
      <c r="AA815" s="48"/>
      <c r="AB815" s="11"/>
      <c r="AC815" s="48"/>
      <c r="AD815" s="11"/>
      <c r="AE815" s="47"/>
      <c r="AF815" s="11"/>
      <c r="AG815" s="48"/>
      <c r="AH815" s="11"/>
      <c r="AI815" s="48"/>
      <c r="AJ815" s="11"/>
      <c r="AK815" s="48"/>
      <c r="AL815" s="11"/>
      <c r="AM815" s="49"/>
      <c r="AN815" s="49"/>
      <c r="AO815" s="11"/>
      <c r="AP815" s="11"/>
      <c r="AQ815" s="28" t="b">
        <f>IF(COUNTIF(SmartStatus!A$2:A1000, AM815) &gt; 2, TRUE, FALSE)</f>
        <v>0</v>
      </c>
      <c r="AR815" s="29" t="str">
        <f ca="1">IFERROR(__xludf.DUMMYFUNCTION("iferror(if(regexmatch(AO815, ""(?i)^registered""), if(EE815 &lt;&gt; ""polity_shortest_name"", ""CHECK_POLITY"", index(filter(SmartStatus!B$2:B1000, AM815 = SmartStatus!A$2:A1000, not(SmartStatus!C$2:C1000), (isblank(SmartStatus!D$2:D1000)) + ((P815 &lt;&gt; """") * "&amp;"(P815 &lt; SmartStatus!D$2:D1000)), (isblank(SmartStatus!E$2:E1000)) + ((P815 &lt;&gt; """") * (P815 &gt;= SmartStatus!E$2:E1000)), (isblank(SmartStatus!F$2:F1000)) + (((Q815 &lt;&gt; """") * (Q815 &lt; SmartStatus!F$2:F1000)) + ((P815 &lt;&gt; """") * (date(year(P815) + 3, month(P"&amp;"815), day(P815)) &lt; SmartStatus!F$2:F1000))), (isblank(SmartStatus!G$2:G1000)) + (((Q815 &lt;&gt; """") * (Q815 &gt;= SmartStatus!G$2:G1000)) + ((P815 &lt;&gt; """") * (P815 &gt;= SmartStatus!G$2:G1000)))), if(or(regexmatch(B815, ""(?i)^ir [a-z]+ designation$""), N815 &lt;&gt; """&amp;"""), 1, 2))), """"), ""NO_MATCH"")"),"")</f>
        <v/>
      </c>
      <c r="AS815" s="11"/>
      <c r="AT815" s="15"/>
      <c r="AU815" s="11"/>
      <c r="AV815" s="11"/>
      <c r="AW815" s="15"/>
      <c r="AX815" s="15"/>
      <c r="AY815" s="15"/>
      <c r="AZ815" s="11"/>
      <c r="BA815" s="15"/>
      <c r="BB815" s="11"/>
      <c r="BC815" s="11"/>
      <c r="BD815" s="15"/>
      <c r="BE815" s="11"/>
      <c r="BF815" s="11"/>
      <c r="BG815" s="15"/>
      <c r="BH815" s="15"/>
      <c r="BI815" s="15"/>
      <c r="BJ815" s="11"/>
      <c r="BK815" s="15"/>
      <c r="BL815" s="11"/>
      <c r="BM815" s="11"/>
      <c r="BN815" s="15"/>
      <c r="BO815" s="11"/>
      <c r="BP815" s="11"/>
      <c r="BQ815" s="15"/>
      <c r="BR815" s="15"/>
      <c r="BS815" s="15"/>
      <c r="BT815" s="11"/>
      <c r="BU815" s="15"/>
      <c r="BV815" s="11"/>
      <c r="BW815" s="11"/>
      <c r="BX815" s="15"/>
      <c r="BY815" s="11"/>
      <c r="BZ815" s="11"/>
      <c r="CA815" s="15"/>
      <c r="CB815" s="11"/>
      <c r="CC815" s="15"/>
      <c r="CD815" s="11"/>
      <c r="CE815" s="15"/>
      <c r="CF815" s="11"/>
      <c r="CG815" s="11"/>
      <c r="CH815" s="15"/>
      <c r="CI815" s="11"/>
      <c r="CJ815" s="11"/>
      <c r="CK815" s="15"/>
      <c r="CL815" s="11"/>
      <c r="CM815" s="11"/>
      <c r="CN815" s="11"/>
      <c r="CO815" s="11"/>
      <c r="CP815" s="28"/>
      <c r="CQ815" s="28"/>
      <c r="CR815" s="11"/>
      <c r="CS815" s="29"/>
      <c r="CT815" s="11"/>
      <c r="CU815" s="11"/>
      <c r="CV815" s="11"/>
      <c r="CW815" s="11"/>
      <c r="CX815" s="11"/>
      <c r="CY815" s="11"/>
      <c r="CZ815" s="11"/>
      <c r="DA815" s="28"/>
      <c r="DB815" s="28"/>
      <c r="DC815" s="11"/>
      <c r="DD815" s="29"/>
      <c r="DE815" s="11"/>
      <c r="DF815" s="11"/>
      <c r="DG815" s="11"/>
      <c r="DH815" s="11"/>
      <c r="DI815" s="11"/>
      <c r="DJ815" s="11"/>
      <c r="DK815" s="26"/>
      <c r="DL815" s="11"/>
      <c r="DM815" s="29"/>
      <c r="DN815" s="28"/>
      <c r="DO815" s="11"/>
      <c r="DP815" s="11"/>
      <c r="DQ815" s="11"/>
      <c r="DR815" s="29"/>
      <c r="DS815" s="28"/>
      <c r="DT815" s="11"/>
      <c r="DU815" s="26"/>
      <c r="DV815" s="11"/>
      <c r="DW815" s="29"/>
      <c r="DX815" s="28"/>
      <c r="DY815" s="11"/>
      <c r="DZ815" s="26"/>
      <c r="EA815" s="11"/>
      <c r="EB815" s="29"/>
      <c r="EC815" s="28"/>
      <c r="ED815" s="30"/>
      <c r="EE815" s="30" t="str">
        <f ca="1">IFERROR(__xludf.DUMMYFUNCTION("iferror(index(filter('Internal -- Trademark Countries'!E$2:E1000, (AM815 = 'Internal -- Trademark Countries'!B$2:B1000) + (AM815 = 'Internal -- Trademark Countries'!C$2:C1000) + (AM815 = 'Internal -- Trademark Countries'!D$2:D1000)), 1))"),"")</f>
        <v/>
      </c>
      <c r="EF815" s="30" t="e">
        <f ca="1">_xludf.ifs(AM815="", "", COUNTIF('Internal -- Trademark Countries'!B:B,AM815) &gt; 0, "polity_shortest_name", COUNTIF('Internal -- Trademark Countries'!C:C,AM815) &gt; 0, "polity_full_name", COUNTIF('Internal -- Trademark Countries'!D:D,AM815) &gt; 0, "polity_common_name", COUNTIF('Internal -- Trademark Countries'!E:E,AM815) &gt; 0, "shortest_name", COUNTIF('Internal -- Trademark Countries'!A:A,AM815) &gt; 0, "full_name", TRUE, "not a match")</f>
        <v>#NAME?</v>
      </c>
      <c r="EG815" s="30"/>
      <c r="EH815" s="30"/>
      <c r="EI815" s="30"/>
      <c r="EJ815" s="30"/>
      <c r="EK815" s="30" t="str">
        <f t="shared" si="5"/>
        <v/>
      </c>
    </row>
    <row r="816" spans="1:141" ht="16.5">
      <c r="A816" s="11"/>
      <c r="B816" s="11"/>
      <c r="C816" s="11"/>
      <c r="D816" s="11"/>
      <c r="E816" s="11"/>
      <c r="F816" s="11"/>
      <c r="G816" s="11"/>
      <c r="H816" s="11"/>
      <c r="I816" s="11"/>
      <c r="J816" s="11"/>
      <c r="K816" s="27"/>
      <c r="L816" s="11"/>
      <c r="M816" s="11"/>
      <c r="N816" s="11"/>
      <c r="O816" s="11"/>
      <c r="P816" s="15"/>
      <c r="Q816" s="15"/>
      <c r="R816" s="15"/>
      <c r="S816" s="15"/>
      <c r="T816" s="15"/>
      <c r="U816" s="15"/>
      <c r="V816" s="15"/>
      <c r="W816" s="47"/>
      <c r="X816" s="11"/>
      <c r="Y816" s="48"/>
      <c r="Z816" s="11"/>
      <c r="AA816" s="48"/>
      <c r="AB816" s="11"/>
      <c r="AC816" s="48"/>
      <c r="AD816" s="11"/>
      <c r="AE816" s="47"/>
      <c r="AF816" s="11"/>
      <c r="AG816" s="48"/>
      <c r="AH816" s="11"/>
      <c r="AI816" s="48"/>
      <c r="AJ816" s="11"/>
      <c r="AK816" s="48"/>
      <c r="AL816" s="11"/>
      <c r="AM816" s="49"/>
      <c r="AN816" s="49"/>
      <c r="AO816" s="11"/>
      <c r="AP816" s="11"/>
      <c r="AQ816" s="28" t="b">
        <f>IF(COUNTIF(SmartStatus!A$2:A1000, AM816) &gt; 2, TRUE, FALSE)</f>
        <v>0</v>
      </c>
      <c r="AR816" s="29" t="str">
        <f ca="1">IFERROR(__xludf.DUMMYFUNCTION("iferror(if(regexmatch(AO816, ""(?i)^registered""), if(EE816 &lt;&gt; ""polity_shortest_name"", ""CHECK_POLITY"", index(filter(SmartStatus!B$2:B1000, AM816 = SmartStatus!A$2:A1000, not(SmartStatus!C$2:C1000), (isblank(SmartStatus!D$2:D1000)) + ((P816 &lt;&gt; """") * "&amp;"(P816 &lt; SmartStatus!D$2:D1000)), (isblank(SmartStatus!E$2:E1000)) + ((P816 &lt;&gt; """") * (P816 &gt;= SmartStatus!E$2:E1000)), (isblank(SmartStatus!F$2:F1000)) + (((Q816 &lt;&gt; """") * (Q816 &lt; SmartStatus!F$2:F1000)) + ((P816 &lt;&gt; """") * (date(year(P816) + 3, month(P"&amp;"816), day(P816)) &lt; SmartStatus!F$2:F1000))), (isblank(SmartStatus!G$2:G1000)) + (((Q816 &lt;&gt; """") * (Q816 &gt;= SmartStatus!G$2:G1000)) + ((P816 &lt;&gt; """") * (P816 &gt;= SmartStatus!G$2:G1000)))), if(or(regexmatch(B816, ""(?i)^ir [a-z]+ designation$""), N816 &lt;&gt; """&amp;"""), 1, 2))), """"), ""NO_MATCH"")"),"")</f>
        <v/>
      </c>
      <c r="AS816" s="11"/>
      <c r="AT816" s="15"/>
      <c r="AU816" s="11"/>
      <c r="AV816" s="11"/>
      <c r="AW816" s="15"/>
      <c r="AX816" s="15"/>
      <c r="AY816" s="15"/>
      <c r="AZ816" s="11"/>
      <c r="BA816" s="15"/>
      <c r="BB816" s="11"/>
      <c r="BC816" s="11"/>
      <c r="BD816" s="15"/>
      <c r="BE816" s="11"/>
      <c r="BF816" s="11"/>
      <c r="BG816" s="15"/>
      <c r="BH816" s="15"/>
      <c r="BI816" s="15"/>
      <c r="BJ816" s="11"/>
      <c r="BK816" s="15"/>
      <c r="BL816" s="11"/>
      <c r="BM816" s="11"/>
      <c r="BN816" s="15"/>
      <c r="BO816" s="11"/>
      <c r="BP816" s="11"/>
      <c r="BQ816" s="15"/>
      <c r="BR816" s="15"/>
      <c r="BS816" s="15"/>
      <c r="BT816" s="11"/>
      <c r="BU816" s="15"/>
      <c r="BV816" s="11"/>
      <c r="BW816" s="11"/>
      <c r="BX816" s="15"/>
      <c r="BY816" s="11"/>
      <c r="BZ816" s="11"/>
      <c r="CA816" s="15"/>
      <c r="CB816" s="11"/>
      <c r="CC816" s="15"/>
      <c r="CD816" s="11"/>
      <c r="CE816" s="15"/>
      <c r="CF816" s="11"/>
      <c r="CG816" s="11"/>
      <c r="CH816" s="15"/>
      <c r="CI816" s="11"/>
      <c r="CJ816" s="11"/>
      <c r="CK816" s="15"/>
      <c r="CL816" s="11"/>
      <c r="CM816" s="11"/>
      <c r="CN816" s="11"/>
      <c r="CO816" s="11"/>
      <c r="CP816" s="28"/>
      <c r="CQ816" s="28"/>
      <c r="CR816" s="11"/>
      <c r="CS816" s="29"/>
      <c r="CT816" s="11"/>
      <c r="CU816" s="11"/>
      <c r="CV816" s="11"/>
      <c r="CW816" s="11"/>
      <c r="CX816" s="11"/>
      <c r="CY816" s="11"/>
      <c r="CZ816" s="11"/>
      <c r="DA816" s="28"/>
      <c r="DB816" s="28"/>
      <c r="DC816" s="11"/>
      <c r="DD816" s="29"/>
      <c r="DE816" s="11"/>
      <c r="DF816" s="11"/>
      <c r="DG816" s="11"/>
      <c r="DH816" s="11"/>
      <c r="DI816" s="11"/>
      <c r="DJ816" s="11"/>
      <c r="DK816" s="26"/>
      <c r="DL816" s="11"/>
      <c r="DM816" s="29"/>
      <c r="DN816" s="28"/>
      <c r="DO816" s="11"/>
      <c r="DP816" s="11"/>
      <c r="DQ816" s="11"/>
      <c r="DR816" s="29"/>
      <c r="DS816" s="28"/>
      <c r="DT816" s="11"/>
      <c r="DU816" s="26"/>
      <c r="DV816" s="11"/>
      <c r="DW816" s="29"/>
      <c r="DX816" s="28"/>
      <c r="DY816" s="11"/>
      <c r="DZ816" s="26"/>
      <c r="EA816" s="11"/>
      <c r="EB816" s="29"/>
      <c r="EC816" s="28"/>
      <c r="ED816" s="30"/>
      <c r="EE816" s="30" t="str">
        <f ca="1">IFERROR(__xludf.DUMMYFUNCTION("iferror(index(filter('Internal -- Trademark Countries'!E$2:E1000, (AM816 = 'Internal -- Trademark Countries'!B$2:B1000) + (AM816 = 'Internal -- Trademark Countries'!C$2:C1000) + (AM816 = 'Internal -- Trademark Countries'!D$2:D1000)), 1))"),"")</f>
        <v/>
      </c>
      <c r="EF816" s="30" t="e">
        <f ca="1">_xludf.ifs(AM816="", "", COUNTIF('Internal -- Trademark Countries'!B:B,AM816) &gt; 0, "polity_shortest_name", COUNTIF('Internal -- Trademark Countries'!C:C,AM816) &gt; 0, "polity_full_name", COUNTIF('Internal -- Trademark Countries'!D:D,AM816) &gt; 0, "polity_common_name", COUNTIF('Internal -- Trademark Countries'!E:E,AM816) &gt; 0, "shortest_name", COUNTIF('Internal -- Trademark Countries'!A:A,AM816) &gt; 0, "full_name", TRUE, "not a match")</f>
        <v>#NAME?</v>
      </c>
      <c r="EG816" s="30"/>
      <c r="EH816" s="30"/>
      <c r="EI816" s="30"/>
      <c r="EJ816" s="30"/>
      <c r="EK816" s="30" t="str">
        <f t="shared" si="5"/>
        <v/>
      </c>
    </row>
    <row r="817" spans="1:141" ht="16.5">
      <c r="A817" s="11"/>
      <c r="B817" s="11"/>
      <c r="C817" s="11"/>
      <c r="D817" s="11"/>
      <c r="E817" s="11"/>
      <c r="F817" s="11"/>
      <c r="G817" s="11"/>
      <c r="H817" s="11"/>
      <c r="I817" s="11"/>
      <c r="J817" s="11"/>
      <c r="K817" s="27"/>
      <c r="L817" s="11"/>
      <c r="M817" s="11"/>
      <c r="N817" s="11"/>
      <c r="O817" s="11"/>
      <c r="P817" s="15"/>
      <c r="Q817" s="15"/>
      <c r="R817" s="15"/>
      <c r="S817" s="15"/>
      <c r="T817" s="15"/>
      <c r="U817" s="15"/>
      <c r="V817" s="15"/>
      <c r="W817" s="47"/>
      <c r="X817" s="11"/>
      <c r="Y817" s="48"/>
      <c r="Z817" s="11"/>
      <c r="AA817" s="48"/>
      <c r="AB817" s="11"/>
      <c r="AC817" s="48"/>
      <c r="AD817" s="11"/>
      <c r="AE817" s="47"/>
      <c r="AF817" s="11"/>
      <c r="AG817" s="48"/>
      <c r="AH817" s="11"/>
      <c r="AI817" s="48"/>
      <c r="AJ817" s="11"/>
      <c r="AK817" s="48"/>
      <c r="AL817" s="11"/>
      <c r="AM817" s="49"/>
      <c r="AN817" s="49"/>
      <c r="AO817" s="11"/>
      <c r="AP817" s="11"/>
      <c r="AQ817" s="28" t="b">
        <f>IF(COUNTIF(SmartStatus!A$2:A1000, AM817) &gt; 2, TRUE, FALSE)</f>
        <v>0</v>
      </c>
      <c r="AR817" s="29" t="str">
        <f ca="1">IFERROR(__xludf.DUMMYFUNCTION("iferror(if(regexmatch(AO817, ""(?i)^registered""), if(EE817 &lt;&gt; ""polity_shortest_name"", ""CHECK_POLITY"", index(filter(SmartStatus!B$2:B1000, AM817 = SmartStatus!A$2:A1000, not(SmartStatus!C$2:C1000), (isblank(SmartStatus!D$2:D1000)) + ((P817 &lt;&gt; """") * "&amp;"(P817 &lt; SmartStatus!D$2:D1000)), (isblank(SmartStatus!E$2:E1000)) + ((P817 &lt;&gt; """") * (P817 &gt;= SmartStatus!E$2:E1000)), (isblank(SmartStatus!F$2:F1000)) + (((Q817 &lt;&gt; """") * (Q817 &lt; SmartStatus!F$2:F1000)) + ((P817 &lt;&gt; """") * (date(year(P817) + 3, month(P"&amp;"817), day(P817)) &lt; SmartStatus!F$2:F1000))), (isblank(SmartStatus!G$2:G1000)) + (((Q817 &lt;&gt; """") * (Q817 &gt;= SmartStatus!G$2:G1000)) + ((P817 &lt;&gt; """") * (P817 &gt;= SmartStatus!G$2:G1000)))), if(or(regexmatch(B817, ""(?i)^ir [a-z]+ designation$""), N817 &lt;&gt; """&amp;"""), 1, 2))), """"), ""NO_MATCH"")"),"")</f>
        <v/>
      </c>
      <c r="AS817" s="11"/>
      <c r="AT817" s="15"/>
      <c r="AU817" s="11"/>
      <c r="AV817" s="11"/>
      <c r="AW817" s="15"/>
      <c r="AX817" s="15"/>
      <c r="AY817" s="15"/>
      <c r="AZ817" s="11"/>
      <c r="BA817" s="15"/>
      <c r="BB817" s="11"/>
      <c r="BC817" s="11"/>
      <c r="BD817" s="15"/>
      <c r="BE817" s="11"/>
      <c r="BF817" s="11"/>
      <c r="BG817" s="15"/>
      <c r="BH817" s="15"/>
      <c r="BI817" s="15"/>
      <c r="BJ817" s="11"/>
      <c r="BK817" s="15"/>
      <c r="BL817" s="11"/>
      <c r="BM817" s="11"/>
      <c r="BN817" s="15"/>
      <c r="BO817" s="11"/>
      <c r="BP817" s="11"/>
      <c r="BQ817" s="15"/>
      <c r="BR817" s="15"/>
      <c r="BS817" s="15"/>
      <c r="BT817" s="11"/>
      <c r="BU817" s="15"/>
      <c r="BV817" s="11"/>
      <c r="BW817" s="11"/>
      <c r="BX817" s="15"/>
      <c r="BY817" s="11"/>
      <c r="BZ817" s="11"/>
      <c r="CA817" s="15"/>
      <c r="CB817" s="11"/>
      <c r="CC817" s="15"/>
      <c r="CD817" s="11"/>
      <c r="CE817" s="15"/>
      <c r="CF817" s="11"/>
      <c r="CG817" s="11"/>
      <c r="CH817" s="15"/>
      <c r="CI817" s="11"/>
      <c r="CJ817" s="11"/>
      <c r="CK817" s="15"/>
      <c r="CL817" s="11"/>
      <c r="CM817" s="11"/>
      <c r="CN817" s="11"/>
      <c r="CO817" s="11"/>
      <c r="CP817" s="28"/>
      <c r="CQ817" s="28"/>
      <c r="CR817" s="11"/>
      <c r="CS817" s="29"/>
      <c r="CT817" s="11"/>
      <c r="CU817" s="11"/>
      <c r="CV817" s="11"/>
      <c r="CW817" s="11"/>
      <c r="CX817" s="11"/>
      <c r="CY817" s="11"/>
      <c r="CZ817" s="11"/>
      <c r="DA817" s="28"/>
      <c r="DB817" s="28"/>
      <c r="DC817" s="11"/>
      <c r="DD817" s="29"/>
      <c r="DE817" s="11"/>
      <c r="DF817" s="11"/>
      <c r="DG817" s="11"/>
      <c r="DH817" s="11"/>
      <c r="DI817" s="11"/>
      <c r="DJ817" s="11"/>
      <c r="DK817" s="26"/>
      <c r="DL817" s="11"/>
      <c r="DM817" s="29"/>
      <c r="DN817" s="28"/>
      <c r="DO817" s="11"/>
      <c r="DP817" s="11"/>
      <c r="DQ817" s="11"/>
      <c r="DR817" s="29"/>
      <c r="DS817" s="28"/>
      <c r="DT817" s="11"/>
      <c r="DU817" s="26"/>
      <c r="DV817" s="11"/>
      <c r="DW817" s="29"/>
      <c r="DX817" s="28"/>
      <c r="DY817" s="11"/>
      <c r="DZ817" s="26"/>
      <c r="EA817" s="11"/>
      <c r="EB817" s="29"/>
      <c r="EC817" s="28"/>
      <c r="ED817" s="30"/>
      <c r="EE817" s="30" t="str">
        <f ca="1">IFERROR(__xludf.DUMMYFUNCTION("iferror(index(filter('Internal -- Trademark Countries'!E$2:E1000, (AM817 = 'Internal -- Trademark Countries'!B$2:B1000) + (AM817 = 'Internal -- Trademark Countries'!C$2:C1000) + (AM817 = 'Internal -- Trademark Countries'!D$2:D1000)), 1))"),"")</f>
        <v/>
      </c>
      <c r="EF817" s="30" t="e">
        <f ca="1">_xludf.ifs(AM817="", "", COUNTIF('Internal -- Trademark Countries'!B:B,AM817) &gt; 0, "polity_shortest_name", COUNTIF('Internal -- Trademark Countries'!C:C,AM817) &gt; 0, "polity_full_name", COUNTIF('Internal -- Trademark Countries'!D:D,AM817) &gt; 0, "polity_common_name", COUNTIF('Internal -- Trademark Countries'!E:E,AM817) &gt; 0, "shortest_name", COUNTIF('Internal -- Trademark Countries'!A:A,AM817) &gt; 0, "full_name", TRUE, "not a match")</f>
        <v>#NAME?</v>
      </c>
      <c r="EG817" s="30"/>
      <c r="EH817" s="30"/>
      <c r="EI817" s="30"/>
      <c r="EJ817" s="30"/>
      <c r="EK817" s="30" t="str">
        <f t="shared" si="5"/>
        <v/>
      </c>
    </row>
    <row r="818" spans="1:141" ht="16.5">
      <c r="A818" s="11"/>
      <c r="B818" s="11"/>
      <c r="C818" s="11"/>
      <c r="D818" s="11"/>
      <c r="E818" s="11"/>
      <c r="F818" s="11"/>
      <c r="G818" s="11"/>
      <c r="H818" s="11"/>
      <c r="I818" s="11"/>
      <c r="J818" s="11"/>
      <c r="K818" s="27"/>
      <c r="L818" s="11"/>
      <c r="M818" s="11"/>
      <c r="N818" s="11"/>
      <c r="O818" s="11"/>
      <c r="P818" s="15"/>
      <c r="Q818" s="15"/>
      <c r="R818" s="15"/>
      <c r="S818" s="15"/>
      <c r="T818" s="15"/>
      <c r="U818" s="15"/>
      <c r="V818" s="15"/>
      <c r="W818" s="47"/>
      <c r="X818" s="11"/>
      <c r="Y818" s="48"/>
      <c r="Z818" s="11"/>
      <c r="AA818" s="48"/>
      <c r="AB818" s="11"/>
      <c r="AC818" s="48"/>
      <c r="AD818" s="11"/>
      <c r="AE818" s="47"/>
      <c r="AF818" s="11"/>
      <c r="AG818" s="48"/>
      <c r="AH818" s="11"/>
      <c r="AI818" s="48"/>
      <c r="AJ818" s="11"/>
      <c r="AK818" s="48"/>
      <c r="AL818" s="11"/>
      <c r="AM818" s="49"/>
      <c r="AN818" s="49"/>
      <c r="AO818" s="11"/>
      <c r="AP818" s="11"/>
      <c r="AQ818" s="28" t="b">
        <f>IF(COUNTIF(SmartStatus!A$2:A1000, AM818) &gt; 2, TRUE, FALSE)</f>
        <v>0</v>
      </c>
      <c r="AR818" s="29" t="str">
        <f ca="1">IFERROR(__xludf.DUMMYFUNCTION("iferror(if(regexmatch(AO818, ""(?i)^registered""), if(EE818 &lt;&gt; ""polity_shortest_name"", ""CHECK_POLITY"", index(filter(SmartStatus!B$2:B1000, AM818 = SmartStatus!A$2:A1000, not(SmartStatus!C$2:C1000), (isblank(SmartStatus!D$2:D1000)) + ((P818 &lt;&gt; """") * "&amp;"(P818 &lt; SmartStatus!D$2:D1000)), (isblank(SmartStatus!E$2:E1000)) + ((P818 &lt;&gt; """") * (P818 &gt;= SmartStatus!E$2:E1000)), (isblank(SmartStatus!F$2:F1000)) + (((Q818 &lt;&gt; """") * (Q818 &lt; SmartStatus!F$2:F1000)) + ((P818 &lt;&gt; """") * (date(year(P818) + 3, month(P"&amp;"818), day(P818)) &lt; SmartStatus!F$2:F1000))), (isblank(SmartStatus!G$2:G1000)) + (((Q818 &lt;&gt; """") * (Q818 &gt;= SmartStatus!G$2:G1000)) + ((P818 &lt;&gt; """") * (P818 &gt;= SmartStatus!G$2:G1000)))), if(or(regexmatch(B818, ""(?i)^ir [a-z]+ designation$""), N818 &lt;&gt; """&amp;"""), 1, 2))), """"), ""NO_MATCH"")"),"")</f>
        <v/>
      </c>
      <c r="AS818" s="11"/>
      <c r="AT818" s="15"/>
      <c r="AU818" s="11"/>
      <c r="AV818" s="11"/>
      <c r="AW818" s="15"/>
      <c r="AX818" s="15"/>
      <c r="AY818" s="15"/>
      <c r="AZ818" s="11"/>
      <c r="BA818" s="15"/>
      <c r="BB818" s="11"/>
      <c r="BC818" s="11"/>
      <c r="BD818" s="15"/>
      <c r="BE818" s="11"/>
      <c r="BF818" s="11"/>
      <c r="BG818" s="15"/>
      <c r="BH818" s="15"/>
      <c r="BI818" s="15"/>
      <c r="BJ818" s="11"/>
      <c r="BK818" s="15"/>
      <c r="BL818" s="11"/>
      <c r="BM818" s="11"/>
      <c r="BN818" s="15"/>
      <c r="BO818" s="11"/>
      <c r="BP818" s="11"/>
      <c r="BQ818" s="15"/>
      <c r="BR818" s="15"/>
      <c r="BS818" s="15"/>
      <c r="BT818" s="11"/>
      <c r="BU818" s="15"/>
      <c r="BV818" s="11"/>
      <c r="BW818" s="11"/>
      <c r="BX818" s="15"/>
      <c r="BY818" s="11"/>
      <c r="BZ818" s="11"/>
      <c r="CA818" s="15"/>
      <c r="CB818" s="11"/>
      <c r="CC818" s="15"/>
      <c r="CD818" s="11"/>
      <c r="CE818" s="15"/>
      <c r="CF818" s="11"/>
      <c r="CG818" s="11"/>
      <c r="CH818" s="15"/>
      <c r="CI818" s="11"/>
      <c r="CJ818" s="11"/>
      <c r="CK818" s="15"/>
      <c r="CL818" s="11"/>
      <c r="CM818" s="11"/>
      <c r="CN818" s="11"/>
      <c r="CO818" s="11"/>
      <c r="CP818" s="28"/>
      <c r="CQ818" s="28"/>
      <c r="CR818" s="11"/>
      <c r="CS818" s="29"/>
      <c r="CT818" s="11"/>
      <c r="CU818" s="11"/>
      <c r="CV818" s="11"/>
      <c r="CW818" s="11"/>
      <c r="CX818" s="11"/>
      <c r="CY818" s="11"/>
      <c r="CZ818" s="11"/>
      <c r="DA818" s="28"/>
      <c r="DB818" s="28"/>
      <c r="DC818" s="11"/>
      <c r="DD818" s="29"/>
      <c r="DE818" s="11"/>
      <c r="DF818" s="11"/>
      <c r="DG818" s="11"/>
      <c r="DH818" s="11"/>
      <c r="DI818" s="11"/>
      <c r="DJ818" s="11"/>
      <c r="DK818" s="26"/>
      <c r="DL818" s="11"/>
      <c r="DM818" s="29"/>
      <c r="DN818" s="28"/>
      <c r="DO818" s="11"/>
      <c r="DP818" s="11"/>
      <c r="DQ818" s="11"/>
      <c r="DR818" s="29"/>
      <c r="DS818" s="28"/>
      <c r="DT818" s="11"/>
      <c r="DU818" s="26"/>
      <c r="DV818" s="11"/>
      <c r="DW818" s="29"/>
      <c r="DX818" s="28"/>
      <c r="DY818" s="11"/>
      <c r="DZ818" s="26"/>
      <c r="EA818" s="11"/>
      <c r="EB818" s="29"/>
      <c r="EC818" s="28"/>
      <c r="ED818" s="30"/>
      <c r="EE818" s="30" t="str">
        <f ca="1">IFERROR(__xludf.DUMMYFUNCTION("iferror(index(filter('Internal -- Trademark Countries'!E$2:E1000, (AM818 = 'Internal -- Trademark Countries'!B$2:B1000) + (AM818 = 'Internal -- Trademark Countries'!C$2:C1000) + (AM818 = 'Internal -- Trademark Countries'!D$2:D1000)), 1))"),"")</f>
        <v/>
      </c>
      <c r="EF818" s="30" t="e">
        <f ca="1">_xludf.ifs(AM818="", "", COUNTIF('Internal -- Trademark Countries'!B:B,AM818) &gt; 0, "polity_shortest_name", COUNTIF('Internal -- Trademark Countries'!C:C,AM818) &gt; 0, "polity_full_name", COUNTIF('Internal -- Trademark Countries'!D:D,AM818) &gt; 0, "polity_common_name", COUNTIF('Internal -- Trademark Countries'!E:E,AM818) &gt; 0, "shortest_name", COUNTIF('Internal -- Trademark Countries'!A:A,AM818) &gt; 0, "full_name", TRUE, "not a match")</f>
        <v>#NAME?</v>
      </c>
      <c r="EG818" s="30"/>
      <c r="EH818" s="30"/>
      <c r="EI818" s="30"/>
      <c r="EJ818" s="30"/>
      <c r="EK818" s="30" t="str">
        <f t="shared" si="5"/>
        <v/>
      </c>
    </row>
    <row r="819" spans="1:141" ht="16.5">
      <c r="A819" s="11"/>
      <c r="B819" s="11"/>
      <c r="C819" s="11"/>
      <c r="D819" s="11"/>
      <c r="E819" s="11"/>
      <c r="F819" s="11"/>
      <c r="G819" s="11"/>
      <c r="H819" s="11"/>
      <c r="I819" s="11"/>
      <c r="J819" s="11"/>
      <c r="K819" s="27"/>
      <c r="L819" s="11"/>
      <c r="M819" s="11"/>
      <c r="N819" s="11"/>
      <c r="O819" s="11"/>
      <c r="P819" s="15"/>
      <c r="Q819" s="15"/>
      <c r="R819" s="15"/>
      <c r="S819" s="15"/>
      <c r="T819" s="15"/>
      <c r="U819" s="15"/>
      <c r="V819" s="15"/>
      <c r="W819" s="47"/>
      <c r="X819" s="11"/>
      <c r="Y819" s="48"/>
      <c r="Z819" s="11"/>
      <c r="AA819" s="48"/>
      <c r="AB819" s="11"/>
      <c r="AC819" s="48"/>
      <c r="AD819" s="11"/>
      <c r="AE819" s="47"/>
      <c r="AF819" s="11"/>
      <c r="AG819" s="48"/>
      <c r="AH819" s="11"/>
      <c r="AI819" s="48"/>
      <c r="AJ819" s="11"/>
      <c r="AK819" s="48"/>
      <c r="AL819" s="11"/>
      <c r="AM819" s="49"/>
      <c r="AN819" s="49"/>
      <c r="AO819" s="11"/>
      <c r="AP819" s="11"/>
      <c r="AQ819" s="28" t="b">
        <f>IF(COUNTIF(SmartStatus!A$2:A1000, AM819) &gt; 2, TRUE, FALSE)</f>
        <v>0</v>
      </c>
      <c r="AR819" s="29" t="str">
        <f ca="1">IFERROR(__xludf.DUMMYFUNCTION("iferror(if(regexmatch(AO819, ""(?i)^registered""), if(EE819 &lt;&gt; ""polity_shortest_name"", ""CHECK_POLITY"", index(filter(SmartStatus!B$2:B1000, AM819 = SmartStatus!A$2:A1000, not(SmartStatus!C$2:C1000), (isblank(SmartStatus!D$2:D1000)) + ((P819 &lt;&gt; """") * "&amp;"(P819 &lt; SmartStatus!D$2:D1000)), (isblank(SmartStatus!E$2:E1000)) + ((P819 &lt;&gt; """") * (P819 &gt;= SmartStatus!E$2:E1000)), (isblank(SmartStatus!F$2:F1000)) + (((Q819 &lt;&gt; """") * (Q819 &lt; SmartStatus!F$2:F1000)) + ((P819 &lt;&gt; """") * (date(year(P819) + 3, month(P"&amp;"819), day(P819)) &lt; SmartStatus!F$2:F1000))), (isblank(SmartStatus!G$2:G1000)) + (((Q819 &lt;&gt; """") * (Q819 &gt;= SmartStatus!G$2:G1000)) + ((P819 &lt;&gt; """") * (P819 &gt;= SmartStatus!G$2:G1000)))), if(or(regexmatch(B819, ""(?i)^ir [a-z]+ designation$""), N819 &lt;&gt; """&amp;"""), 1, 2))), """"), ""NO_MATCH"")"),"")</f>
        <v/>
      </c>
      <c r="AS819" s="11"/>
      <c r="AT819" s="15"/>
      <c r="AU819" s="11"/>
      <c r="AV819" s="11"/>
      <c r="AW819" s="15"/>
      <c r="AX819" s="15"/>
      <c r="AY819" s="15"/>
      <c r="AZ819" s="11"/>
      <c r="BA819" s="15"/>
      <c r="BB819" s="11"/>
      <c r="BC819" s="11"/>
      <c r="BD819" s="15"/>
      <c r="BE819" s="11"/>
      <c r="BF819" s="11"/>
      <c r="BG819" s="15"/>
      <c r="BH819" s="15"/>
      <c r="BI819" s="15"/>
      <c r="BJ819" s="11"/>
      <c r="BK819" s="15"/>
      <c r="BL819" s="11"/>
      <c r="BM819" s="11"/>
      <c r="BN819" s="15"/>
      <c r="BO819" s="11"/>
      <c r="BP819" s="11"/>
      <c r="BQ819" s="15"/>
      <c r="BR819" s="15"/>
      <c r="BS819" s="15"/>
      <c r="BT819" s="11"/>
      <c r="BU819" s="15"/>
      <c r="BV819" s="11"/>
      <c r="BW819" s="11"/>
      <c r="BX819" s="15"/>
      <c r="BY819" s="11"/>
      <c r="BZ819" s="11"/>
      <c r="CA819" s="15"/>
      <c r="CB819" s="11"/>
      <c r="CC819" s="15"/>
      <c r="CD819" s="11"/>
      <c r="CE819" s="15"/>
      <c r="CF819" s="11"/>
      <c r="CG819" s="11"/>
      <c r="CH819" s="15"/>
      <c r="CI819" s="11"/>
      <c r="CJ819" s="11"/>
      <c r="CK819" s="15"/>
      <c r="CL819" s="11"/>
      <c r="CM819" s="11"/>
      <c r="CN819" s="11"/>
      <c r="CO819" s="11"/>
      <c r="CP819" s="28"/>
      <c r="CQ819" s="28"/>
      <c r="CR819" s="11"/>
      <c r="CS819" s="29"/>
      <c r="CT819" s="11"/>
      <c r="CU819" s="11"/>
      <c r="CV819" s="11"/>
      <c r="CW819" s="11"/>
      <c r="CX819" s="11"/>
      <c r="CY819" s="11"/>
      <c r="CZ819" s="11"/>
      <c r="DA819" s="28"/>
      <c r="DB819" s="28"/>
      <c r="DC819" s="11"/>
      <c r="DD819" s="29"/>
      <c r="DE819" s="11"/>
      <c r="DF819" s="11"/>
      <c r="DG819" s="11"/>
      <c r="DH819" s="11"/>
      <c r="DI819" s="11"/>
      <c r="DJ819" s="11"/>
      <c r="DK819" s="26"/>
      <c r="DL819" s="11"/>
      <c r="DM819" s="29"/>
      <c r="DN819" s="28"/>
      <c r="DO819" s="11"/>
      <c r="DP819" s="11"/>
      <c r="DQ819" s="11"/>
      <c r="DR819" s="29"/>
      <c r="DS819" s="28"/>
      <c r="DT819" s="11"/>
      <c r="DU819" s="26"/>
      <c r="DV819" s="11"/>
      <c r="DW819" s="29"/>
      <c r="DX819" s="28"/>
      <c r="DY819" s="11"/>
      <c r="DZ819" s="26"/>
      <c r="EA819" s="11"/>
      <c r="EB819" s="29"/>
      <c r="EC819" s="28"/>
      <c r="ED819" s="30"/>
      <c r="EE819" s="30" t="str">
        <f ca="1">IFERROR(__xludf.DUMMYFUNCTION("iferror(index(filter('Internal -- Trademark Countries'!E$2:E1000, (AM819 = 'Internal -- Trademark Countries'!B$2:B1000) + (AM819 = 'Internal -- Trademark Countries'!C$2:C1000) + (AM819 = 'Internal -- Trademark Countries'!D$2:D1000)), 1))"),"")</f>
        <v/>
      </c>
      <c r="EF819" s="30" t="e">
        <f ca="1">_xludf.ifs(AM819="", "", COUNTIF('Internal -- Trademark Countries'!B:B,AM819) &gt; 0, "polity_shortest_name", COUNTIF('Internal -- Trademark Countries'!C:C,AM819) &gt; 0, "polity_full_name", COUNTIF('Internal -- Trademark Countries'!D:D,AM819) &gt; 0, "polity_common_name", COUNTIF('Internal -- Trademark Countries'!E:E,AM819) &gt; 0, "shortest_name", COUNTIF('Internal -- Trademark Countries'!A:A,AM819) &gt; 0, "full_name", TRUE, "not a match")</f>
        <v>#NAME?</v>
      </c>
      <c r="EG819" s="30"/>
      <c r="EH819" s="30"/>
      <c r="EI819" s="30"/>
      <c r="EJ819" s="30"/>
      <c r="EK819" s="30" t="str">
        <f t="shared" si="5"/>
        <v/>
      </c>
    </row>
    <row r="820" spans="1:141" ht="16.5">
      <c r="A820" s="11"/>
      <c r="B820" s="11"/>
      <c r="C820" s="11"/>
      <c r="D820" s="11"/>
      <c r="E820" s="11"/>
      <c r="F820" s="11"/>
      <c r="G820" s="11"/>
      <c r="H820" s="11"/>
      <c r="I820" s="11"/>
      <c r="J820" s="11"/>
      <c r="K820" s="27"/>
      <c r="L820" s="11"/>
      <c r="M820" s="11"/>
      <c r="N820" s="11"/>
      <c r="O820" s="11"/>
      <c r="P820" s="15"/>
      <c r="Q820" s="15"/>
      <c r="R820" s="15"/>
      <c r="S820" s="15"/>
      <c r="T820" s="15"/>
      <c r="U820" s="15"/>
      <c r="V820" s="15"/>
      <c r="W820" s="47"/>
      <c r="X820" s="11"/>
      <c r="Y820" s="48"/>
      <c r="Z820" s="11"/>
      <c r="AA820" s="48"/>
      <c r="AB820" s="11"/>
      <c r="AC820" s="48"/>
      <c r="AD820" s="11"/>
      <c r="AE820" s="47"/>
      <c r="AF820" s="11"/>
      <c r="AG820" s="48"/>
      <c r="AH820" s="11"/>
      <c r="AI820" s="48"/>
      <c r="AJ820" s="11"/>
      <c r="AK820" s="48"/>
      <c r="AL820" s="11"/>
      <c r="AM820" s="49"/>
      <c r="AN820" s="49"/>
      <c r="AO820" s="11"/>
      <c r="AP820" s="11"/>
      <c r="AQ820" s="28" t="b">
        <f>IF(COUNTIF(SmartStatus!A$2:A1000, AM820) &gt; 2, TRUE, FALSE)</f>
        <v>0</v>
      </c>
      <c r="AR820" s="29" t="str">
        <f ca="1">IFERROR(__xludf.DUMMYFUNCTION("iferror(if(regexmatch(AO820, ""(?i)^registered""), if(EE820 &lt;&gt; ""polity_shortest_name"", ""CHECK_POLITY"", index(filter(SmartStatus!B$2:B1000, AM820 = SmartStatus!A$2:A1000, not(SmartStatus!C$2:C1000), (isblank(SmartStatus!D$2:D1000)) + ((P820 &lt;&gt; """") * "&amp;"(P820 &lt; SmartStatus!D$2:D1000)), (isblank(SmartStatus!E$2:E1000)) + ((P820 &lt;&gt; """") * (P820 &gt;= SmartStatus!E$2:E1000)), (isblank(SmartStatus!F$2:F1000)) + (((Q820 &lt;&gt; """") * (Q820 &lt; SmartStatus!F$2:F1000)) + ((P820 &lt;&gt; """") * (date(year(P820) + 3, month(P"&amp;"820), day(P820)) &lt; SmartStatus!F$2:F1000))), (isblank(SmartStatus!G$2:G1000)) + (((Q820 &lt;&gt; """") * (Q820 &gt;= SmartStatus!G$2:G1000)) + ((P820 &lt;&gt; """") * (P820 &gt;= SmartStatus!G$2:G1000)))), if(or(regexmatch(B820, ""(?i)^ir [a-z]+ designation$""), N820 &lt;&gt; """&amp;"""), 1, 2))), """"), ""NO_MATCH"")"),"")</f>
        <v/>
      </c>
      <c r="AS820" s="11"/>
      <c r="AT820" s="15"/>
      <c r="AU820" s="11"/>
      <c r="AV820" s="11"/>
      <c r="AW820" s="15"/>
      <c r="AX820" s="15"/>
      <c r="AY820" s="15"/>
      <c r="AZ820" s="11"/>
      <c r="BA820" s="15"/>
      <c r="BB820" s="11"/>
      <c r="BC820" s="11"/>
      <c r="BD820" s="15"/>
      <c r="BE820" s="11"/>
      <c r="BF820" s="11"/>
      <c r="BG820" s="15"/>
      <c r="BH820" s="15"/>
      <c r="BI820" s="15"/>
      <c r="BJ820" s="11"/>
      <c r="BK820" s="15"/>
      <c r="BL820" s="11"/>
      <c r="BM820" s="11"/>
      <c r="BN820" s="15"/>
      <c r="BO820" s="11"/>
      <c r="BP820" s="11"/>
      <c r="BQ820" s="15"/>
      <c r="BR820" s="15"/>
      <c r="BS820" s="15"/>
      <c r="BT820" s="11"/>
      <c r="BU820" s="15"/>
      <c r="BV820" s="11"/>
      <c r="BW820" s="11"/>
      <c r="BX820" s="15"/>
      <c r="BY820" s="11"/>
      <c r="BZ820" s="11"/>
      <c r="CA820" s="15"/>
      <c r="CB820" s="11"/>
      <c r="CC820" s="15"/>
      <c r="CD820" s="11"/>
      <c r="CE820" s="15"/>
      <c r="CF820" s="11"/>
      <c r="CG820" s="11"/>
      <c r="CH820" s="15"/>
      <c r="CI820" s="11"/>
      <c r="CJ820" s="11"/>
      <c r="CK820" s="15"/>
      <c r="CL820" s="11"/>
      <c r="CM820" s="11"/>
      <c r="CN820" s="11"/>
      <c r="CO820" s="11"/>
      <c r="CP820" s="28"/>
      <c r="CQ820" s="28"/>
      <c r="CR820" s="11"/>
      <c r="CS820" s="29"/>
      <c r="CT820" s="11"/>
      <c r="CU820" s="11"/>
      <c r="CV820" s="11"/>
      <c r="CW820" s="11"/>
      <c r="CX820" s="11"/>
      <c r="CY820" s="11"/>
      <c r="CZ820" s="11"/>
      <c r="DA820" s="28"/>
      <c r="DB820" s="28"/>
      <c r="DC820" s="11"/>
      <c r="DD820" s="29"/>
      <c r="DE820" s="11"/>
      <c r="DF820" s="11"/>
      <c r="DG820" s="11"/>
      <c r="DH820" s="11"/>
      <c r="DI820" s="11"/>
      <c r="DJ820" s="11"/>
      <c r="DK820" s="26"/>
      <c r="DL820" s="11"/>
      <c r="DM820" s="29"/>
      <c r="DN820" s="28"/>
      <c r="DO820" s="11"/>
      <c r="DP820" s="11"/>
      <c r="DQ820" s="11"/>
      <c r="DR820" s="29"/>
      <c r="DS820" s="28"/>
      <c r="DT820" s="11"/>
      <c r="DU820" s="26"/>
      <c r="DV820" s="11"/>
      <c r="DW820" s="29"/>
      <c r="DX820" s="28"/>
      <c r="DY820" s="11"/>
      <c r="DZ820" s="26"/>
      <c r="EA820" s="11"/>
      <c r="EB820" s="29"/>
      <c r="EC820" s="28"/>
      <c r="ED820" s="30"/>
      <c r="EE820" s="30" t="str">
        <f ca="1">IFERROR(__xludf.DUMMYFUNCTION("iferror(index(filter('Internal -- Trademark Countries'!E$2:E1000, (AM820 = 'Internal -- Trademark Countries'!B$2:B1000) + (AM820 = 'Internal -- Trademark Countries'!C$2:C1000) + (AM820 = 'Internal -- Trademark Countries'!D$2:D1000)), 1))"),"")</f>
        <v/>
      </c>
      <c r="EF820" s="30" t="e">
        <f ca="1">_xludf.ifs(AM820="", "", COUNTIF('Internal -- Trademark Countries'!B:B,AM820) &gt; 0, "polity_shortest_name", COUNTIF('Internal -- Trademark Countries'!C:C,AM820) &gt; 0, "polity_full_name", COUNTIF('Internal -- Trademark Countries'!D:D,AM820) &gt; 0, "polity_common_name", COUNTIF('Internal -- Trademark Countries'!E:E,AM820) &gt; 0, "shortest_name", COUNTIF('Internal -- Trademark Countries'!A:A,AM820) &gt; 0, "full_name", TRUE, "not a match")</f>
        <v>#NAME?</v>
      </c>
      <c r="EG820" s="30"/>
      <c r="EH820" s="30"/>
      <c r="EI820" s="30"/>
      <c r="EJ820" s="30"/>
      <c r="EK820" s="30" t="str">
        <f t="shared" si="5"/>
        <v/>
      </c>
    </row>
    <row r="821" spans="1:141" ht="16.5">
      <c r="A821" s="11"/>
      <c r="B821" s="11"/>
      <c r="C821" s="11"/>
      <c r="D821" s="11"/>
      <c r="E821" s="11"/>
      <c r="F821" s="11"/>
      <c r="G821" s="11"/>
      <c r="H821" s="11"/>
      <c r="I821" s="11"/>
      <c r="J821" s="11"/>
      <c r="K821" s="27"/>
      <c r="L821" s="11"/>
      <c r="M821" s="11"/>
      <c r="N821" s="11"/>
      <c r="O821" s="11"/>
      <c r="P821" s="15"/>
      <c r="Q821" s="15"/>
      <c r="R821" s="15"/>
      <c r="S821" s="15"/>
      <c r="T821" s="15"/>
      <c r="U821" s="15"/>
      <c r="V821" s="15"/>
      <c r="W821" s="47"/>
      <c r="X821" s="11"/>
      <c r="Y821" s="48"/>
      <c r="Z821" s="11"/>
      <c r="AA821" s="48"/>
      <c r="AB821" s="11"/>
      <c r="AC821" s="48"/>
      <c r="AD821" s="11"/>
      <c r="AE821" s="47"/>
      <c r="AF821" s="11"/>
      <c r="AG821" s="48"/>
      <c r="AH821" s="11"/>
      <c r="AI821" s="48"/>
      <c r="AJ821" s="11"/>
      <c r="AK821" s="48"/>
      <c r="AL821" s="11"/>
      <c r="AM821" s="49"/>
      <c r="AN821" s="49"/>
      <c r="AO821" s="11"/>
      <c r="AP821" s="11"/>
      <c r="AQ821" s="28" t="b">
        <f>IF(COUNTIF(SmartStatus!A$2:A1000, AM821) &gt; 2, TRUE, FALSE)</f>
        <v>0</v>
      </c>
      <c r="AR821" s="29" t="str">
        <f ca="1">IFERROR(__xludf.DUMMYFUNCTION("iferror(if(regexmatch(AO821, ""(?i)^registered""), if(EE821 &lt;&gt; ""polity_shortest_name"", ""CHECK_POLITY"", index(filter(SmartStatus!B$2:B1000, AM821 = SmartStatus!A$2:A1000, not(SmartStatus!C$2:C1000), (isblank(SmartStatus!D$2:D1000)) + ((P821 &lt;&gt; """") * "&amp;"(P821 &lt; SmartStatus!D$2:D1000)), (isblank(SmartStatus!E$2:E1000)) + ((P821 &lt;&gt; """") * (P821 &gt;= SmartStatus!E$2:E1000)), (isblank(SmartStatus!F$2:F1000)) + (((Q821 &lt;&gt; """") * (Q821 &lt; SmartStatus!F$2:F1000)) + ((P821 &lt;&gt; """") * (date(year(P821) + 3, month(P"&amp;"821), day(P821)) &lt; SmartStatus!F$2:F1000))), (isblank(SmartStatus!G$2:G1000)) + (((Q821 &lt;&gt; """") * (Q821 &gt;= SmartStatus!G$2:G1000)) + ((P821 &lt;&gt; """") * (P821 &gt;= SmartStatus!G$2:G1000)))), if(or(regexmatch(B821, ""(?i)^ir [a-z]+ designation$""), N821 &lt;&gt; """&amp;"""), 1, 2))), """"), ""NO_MATCH"")"),"")</f>
        <v/>
      </c>
      <c r="AS821" s="11"/>
      <c r="AT821" s="15"/>
      <c r="AU821" s="11"/>
      <c r="AV821" s="11"/>
      <c r="AW821" s="15"/>
      <c r="AX821" s="15"/>
      <c r="AY821" s="15"/>
      <c r="AZ821" s="11"/>
      <c r="BA821" s="15"/>
      <c r="BB821" s="11"/>
      <c r="BC821" s="11"/>
      <c r="BD821" s="15"/>
      <c r="BE821" s="11"/>
      <c r="BF821" s="11"/>
      <c r="BG821" s="15"/>
      <c r="BH821" s="15"/>
      <c r="BI821" s="15"/>
      <c r="BJ821" s="11"/>
      <c r="BK821" s="15"/>
      <c r="BL821" s="11"/>
      <c r="BM821" s="11"/>
      <c r="BN821" s="15"/>
      <c r="BO821" s="11"/>
      <c r="BP821" s="11"/>
      <c r="BQ821" s="15"/>
      <c r="BR821" s="15"/>
      <c r="BS821" s="15"/>
      <c r="BT821" s="11"/>
      <c r="BU821" s="15"/>
      <c r="BV821" s="11"/>
      <c r="BW821" s="11"/>
      <c r="BX821" s="15"/>
      <c r="BY821" s="11"/>
      <c r="BZ821" s="11"/>
      <c r="CA821" s="15"/>
      <c r="CB821" s="11"/>
      <c r="CC821" s="15"/>
      <c r="CD821" s="11"/>
      <c r="CE821" s="15"/>
      <c r="CF821" s="11"/>
      <c r="CG821" s="11"/>
      <c r="CH821" s="15"/>
      <c r="CI821" s="11"/>
      <c r="CJ821" s="11"/>
      <c r="CK821" s="15"/>
      <c r="CL821" s="11"/>
      <c r="CM821" s="11"/>
      <c r="CN821" s="11"/>
      <c r="CO821" s="11"/>
      <c r="CP821" s="28"/>
      <c r="CQ821" s="28"/>
      <c r="CR821" s="11"/>
      <c r="CS821" s="29"/>
      <c r="CT821" s="11"/>
      <c r="CU821" s="11"/>
      <c r="CV821" s="11"/>
      <c r="CW821" s="11"/>
      <c r="CX821" s="11"/>
      <c r="CY821" s="11"/>
      <c r="CZ821" s="11"/>
      <c r="DA821" s="28"/>
      <c r="DB821" s="28"/>
      <c r="DC821" s="11"/>
      <c r="DD821" s="29"/>
      <c r="DE821" s="11"/>
      <c r="DF821" s="11"/>
      <c r="DG821" s="11"/>
      <c r="DH821" s="11"/>
      <c r="DI821" s="11"/>
      <c r="DJ821" s="11"/>
      <c r="DK821" s="26"/>
      <c r="DL821" s="11"/>
      <c r="DM821" s="29"/>
      <c r="DN821" s="28"/>
      <c r="DO821" s="11"/>
      <c r="DP821" s="11"/>
      <c r="DQ821" s="11"/>
      <c r="DR821" s="29"/>
      <c r="DS821" s="28"/>
      <c r="DT821" s="11"/>
      <c r="DU821" s="26"/>
      <c r="DV821" s="11"/>
      <c r="DW821" s="29"/>
      <c r="DX821" s="28"/>
      <c r="DY821" s="11"/>
      <c r="DZ821" s="26"/>
      <c r="EA821" s="11"/>
      <c r="EB821" s="29"/>
      <c r="EC821" s="28"/>
      <c r="ED821" s="30"/>
      <c r="EE821" s="30" t="str">
        <f ca="1">IFERROR(__xludf.DUMMYFUNCTION("iferror(index(filter('Internal -- Trademark Countries'!E$2:E1000, (AM821 = 'Internal -- Trademark Countries'!B$2:B1000) + (AM821 = 'Internal -- Trademark Countries'!C$2:C1000) + (AM821 = 'Internal -- Trademark Countries'!D$2:D1000)), 1))"),"")</f>
        <v/>
      </c>
      <c r="EF821" s="30" t="e">
        <f ca="1">_xludf.ifs(AM821="", "", COUNTIF('Internal -- Trademark Countries'!B:B,AM821) &gt; 0, "polity_shortest_name", COUNTIF('Internal -- Trademark Countries'!C:C,AM821) &gt; 0, "polity_full_name", COUNTIF('Internal -- Trademark Countries'!D:D,AM821) &gt; 0, "polity_common_name", COUNTIF('Internal -- Trademark Countries'!E:E,AM821) &gt; 0, "shortest_name", COUNTIF('Internal -- Trademark Countries'!A:A,AM821) &gt; 0, "full_name", TRUE, "not a match")</f>
        <v>#NAME?</v>
      </c>
      <c r="EG821" s="30"/>
      <c r="EH821" s="30"/>
      <c r="EI821" s="30"/>
      <c r="EJ821" s="30"/>
      <c r="EK821" s="30" t="str">
        <f t="shared" si="5"/>
        <v/>
      </c>
    </row>
    <row r="822" spans="1:141" ht="16.5">
      <c r="A822" s="11"/>
      <c r="B822" s="11"/>
      <c r="C822" s="11"/>
      <c r="D822" s="11"/>
      <c r="E822" s="11"/>
      <c r="F822" s="11"/>
      <c r="G822" s="11"/>
      <c r="H822" s="11"/>
      <c r="I822" s="11"/>
      <c r="J822" s="11"/>
      <c r="K822" s="27"/>
      <c r="L822" s="11"/>
      <c r="M822" s="11"/>
      <c r="N822" s="11"/>
      <c r="O822" s="11"/>
      <c r="P822" s="15"/>
      <c r="Q822" s="15"/>
      <c r="R822" s="15"/>
      <c r="S822" s="15"/>
      <c r="T822" s="15"/>
      <c r="U822" s="15"/>
      <c r="V822" s="15"/>
      <c r="W822" s="47"/>
      <c r="X822" s="11"/>
      <c r="Y822" s="48"/>
      <c r="Z822" s="11"/>
      <c r="AA822" s="48"/>
      <c r="AB822" s="11"/>
      <c r="AC822" s="48"/>
      <c r="AD822" s="11"/>
      <c r="AE822" s="47"/>
      <c r="AF822" s="11"/>
      <c r="AG822" s="48"/>
      <c r="AH822" s="11"/>
      <c r="AI822" s="48"/>
      <c r="AJ822" s="11"/>
      <c r="AK822" s="48"/>
      <c r="AL822" s="11"/>
      <c r="AM822" s="49"/>
      <c r="AN822" s="49"/>
      <c r="AO822" s="11"/>
      <c r="AP822" s="11"/>
      <c r="AQ822" s="28" t="b">
        <f>IF(COUNTIF(SmartStatus!A$2:A1000, AM822) &gt; 2, TRUE, FALSE)</f>
        <v>0</v>
      </c>
      <c r="AR822" s="29" t="str">
        <f ca="1">IFERROR(__xludf.DUMMYFUNCTION("iferror(if(regexmatch(AO822, ""(?i)^registered""), if(EE822 &lt;&gt; ""polity_shortest_name"", ""CHECK_POLITY"", index(filter(SmartStatus!B$2:B1000, AM822 = SmartStatus!A$2:A1000, not(SmartStatus!C$2:C1000), (isblank(SmartStatus!D$2:D1000)) + ((P822 &lt;&gt; """") * "&amp;"(P822 &lt; SmartStatus!D$2:D1000)), (isblank(SmartStatus!E$2:E1000)) + ((P822 &lt;&gt; """") * (P822 &gt;= SmartStatus!E$2:E1000)), (isblank(SmartStatus!F$2:F1000)) + (((Q822 &lt;&gt; """") * (Q822 &lt; SmartStatus!F$2:F1000)) + ((P822 &lt;&gt; """") * (date(year(P822) + 3, month(P"&amp;"822), day(P822)) &lt; SmartStatus!F$2:F1000))), (isblank(SmartStatus!G$2:G1000)) + (((Q822 &lt;&gt; """") * (Q822 &gt;= SmartStatus!G$2:G1000)) + ((P822 &lt;&gt; """") * (P822 &gt;= SmartStatus!G$2:G1000)))), if(or(regexmatch(B822, ""(?i)^ir [a-z]+ designation$""), N822 &lt;&gt; """&amp;"""), 1, 2))), """"), ""NO_MATCH"")"),"")</f>
        <v/>
      </c>
      <c r="AS822" s="11"/>
      <c r="AT822" s="15"/>
      <c r="AU822" s="11"/>
      <c r="AV822" s="11"/>
      <c r="AW822" s="15"/>
      <c r="AX822" s="15"/>
      <c r="AY822" s="15"/>
      <c r="AZ822" s="11"/>
      <c r="BA822" s="15"/>
      <c r="BB822" s="11"/>
      <c r="BC822" s="11"/>
      <c r="BD822" s="15"/>
      <c r="BE822" s="11"/>
      <c r="BF822" s="11"/>
      <c r="BG822" s="15"/>
      <c r="BH822" s="15"/>
      <c r="BI822" s="15"/>
      <c r="BJ822" s="11"/>
      <c r="BK822" s="15"/>
      <c r="BL822" s="11"/>
      <c r="BM822" s="11"/>
      <c r="BN822" s="15"/>
      <c r="BO822" s="11"/>
      <c r="BP822" s="11"/>
      <c r="BQ822" s="15"/>
      <c r="BR822" s="15"/>
      <c r="BS822" s="15"/>
      <c r="BT822" s="11"/>
      <c r="BU822" s="15"/>
      <c r="BV822" s="11"/>
      <c r="BW822" s="11"/>
      <c r="BX822" s="15"/>
      <c r="BY822" s="11"/>
      <c r="BZ822" s="11"/>
      <c r="CA822" s="15"/>
      <c r="CB822" s="11"/>
      <c r="CC822" s="15"/>
      <c r="CD822" s="11"/>
      <c r="CE822" s="15"/>
      <c r="CF822" s="11"/>
      <c r="CG822" s="11"/>
      <c r="CH822" s="15"/>
      <c r="CI822" s="11"/>
      <c r="CJ822" s="11"/>
      <c r="CK822" s="15"/>
      <c r="CL822" s="11"/>
      <c r="CM822" s="11"/>
      <c r="CN822" s="11"/>
      <c r="CO822" s="11"/>
      <c r="CP822" s="28"/>
      <c r="CQ822" s="28"/>
      <c r="CR822" s="11"/>
      <c r="CS822" s="29"/>
      <c r="CT822" s="11"/>
      <c r="CU822" s="11"/>
      <c r="CV822" s="11"/>
      <c r="CW822" s="11"/>
      <c r="CX822" s="11"/>
      <c r="CY822" s="11"/>
      <c r="CZ822" s="11"/>
      <c r="DA822" s="28"/>
      <c r="DB822" s="28"/>
      <c r="DC822" s="11"/>
      <c r="DD822" s="29"/>
      <c r="DE822" s="11"/>
      <c r="DF822" s="11"/>
      <c r="DG822" s="11"/>
      <c r="DH822" s="11"/>
      <c r="DI822" s="11"/>
      <c r="DJ822" s="11"/>
      <c r="DK822" s="26"/>
      <c r="DL822" s="11"/>
      <c r="DM822" s="29"/>
      <c r="DN822" s="28"/>
      <c r="DO822" s="11"/>
      <c r="DP822" s="11"/>
      <c r="DQ822" s="11"/>
      <c r="DR822" s="29"/>
      <c r="DS822" s="28"/>
      <c r="DT822" s="11"/>
      <c r="DU822" s="26"/>
      <c r="DV822" s="11"/>
      <c r="DW822" s="29"/>
      <c r="DX822" s="28"/>
      <c r="DY822" s="11"/>
      <c r="DZ822" s="26"/>
      <c r="EA822" s="11"/>
      <c r="EB822" s="29"/>
      <c r="EC822" s="28"/>
      <c r="ED822" s="30"/>
      <c r="EE822" s="30" t="str">
        <f ca="1">IFERROR(__xludf.DUMMYFUNCTION("iferror(index(filter('Internal -- Trademark Countries'!E$2:E1000, (AM822 = 'Internal -- Trademark Countries'!B$2:B1000) + (AM822 = 'Internal -- Trademark Countries'!C$2:C1000) + (AM822 = 'Internal -- Trademark Countries'!D$2:D1000)), 1))"),"")</f>
        <v/>
      </c>
      <c r="EF822" s="30" t="e">
        <f ca="1">_xludf.ifs(AM822="", "", COUNTIF('Internal -- Trademark Countries'!B:B,AM822) &gt; 0, "polity_shortest_name", COUNTIF('Internal -- Trademark Countries'!C:C,AM822) &gt; 0, "polity_full_name", COUNTIF('Internal -- Trademark Countries'!D:D,AM822) &gt; 0, "polity_common_name", COUNTIF('Internal -- Trademark Countries'!E:E,AM822) &gt; 0, "shortest_name", COUNTIF('Internal -- Trademark Countries'!A:A,AM822) &gt; 0, "full_name", TRUE, "not a match")</f>
        <v>#NAME?</v>
      </c>
      <c r="EG822" s="30"/>
      <c r="EH822" s="30"/>
      <c r="EI822" s="30"/>
      <c r="EJ822" s="30"/>
      <c r="EK822" s="30" t="str">
        <f t="shared" si="5"/>
        <v/>
      </c>
    </row>
    <row r="823" spans="1:141" ht="16.5">
      <c r="A823" s="11"/>
      <c r="B823" s="11"/>
      <c r="C823" s="11"/>
      <c r="D823" s="11"/>
      <c r="E823" s="11"/>
      <c r="F823" s="11"/>
      <c r="G823" s="11"/>
      <c r="H823" s="11"/>
      <c r="I823" s="11"/>
      <c r="J823" s="11"/>
      <c r="K823" s="27"/>
      <c r="L823" s="11"/>
      <c r="M823" s="11"/>
      <c r="N823" s="11"/>
      <c r="O823" s="11"/>
      <c r="P823" s="15"/>
      <c r="Q823" s="15"/>
      <c r="R823" s="15"/>
      <c r="S823" s="15"/>
      <c r="T823" s="15"/>
      <c r="U823" s="15"/>
      <c r="V823" s="15"/>
      <c r="W823" s="47"/>
      <c r="X823" s="11"/>
      <c r="Y823" s="48"/>
      <c r="Z823" s="11"/>
      <c r="AA823" s="48"/>
      <c r="AB823" s="11"/>
      <c r="AC823" s="48"/>
      <c r="AD823" s="11"/>
      <c r="AE823" s="47"/>
      <c r="AF823" s="11"/>
      <c r="AG823" s="48"/>
      <c r="AH823" s="11"/>
      <c r="AI823" s="48"/>
      <c r="AJ823" s="11"/>
      <c r="AK823" s="48"/>
      <c r="AL823" s="11"/>
      <c r="AM823" s="49"/>
      <c r="AN823" s="49"/>
      <c r="AO823" s="11"/>
      <c r="AP823" s="11"/>
      <c r="AQ823" s="28" t="b">
        <f>IF(COUNTIF(SmartStatus!A$2:A1000, AM823) &gt; 2, TRUE, FALSE)</f>
        <v>0</v>
      </c>
      <c r="AR823" s="29" t="str">
        <f ca="1">IFERROR(__xludf.DUMMYFUNCTION("iferror(if(regexmatch(AO823, ""(?i)^registered""), if(EE823 &lt;&gt; ""polity_shortest_name"", ""CHECK_POLITY"", index(filter(SmartStatus!B$2:B1000, AM823 = SmartStatus!A$2:A1000, not(SmartStatus!C$2:C1000), (isblank(SmartStatus!D$2:D1000)) + ((P823 &lt;&gt; """") * "&amp;"(P823 &lt; SmartStatus!D$2:D1000)), (isblank(SmartStatus!E$2:E1000)) + ((P823 &lt;&gt; """") * (P823 &gt;= SmartStatus!E$2:E1000)), (isblank(SmartStatus!F$2:F1000)) + (((Q823 &lt;&gt; """") * (Q823 &lt; SmartStatus!F$2:F1000)) + ((P823 &lt;&gt; """") * (date(year(P823) + 3, month(P"&amp;"823), day(P823)) &lt; SmartStatus!F$2:F1000))), (isblank(SmartStatus!G$2:G1000)) + (((Q823 &lt;&gt; """") * (Q823 &gt;= SmartStatus!G$2:G1000)) + ((P823 &lt;&gt; """") * (P823 &gt;= SmartStatus!G$2:G1000)))), if(or(regexmatch(B823, ""(?i)^ir [a-z]+ designation$""), N823 &lt;&gt; """&amp;"""), 1, 2))), """"), ""NO_MATCH"")"),"")</f>
        <v/>
      </c>
      <c r="AS823" s="11"/>
      <c r="AT823" s="15"/>
      <c r="AU823" s="11"/>
      <c r="AV823" s="11"/>
      <c r="AW823" s="15"/>
      <c r="AX823" s="15"/>
      <c r="AY823" s="15"/>
      <c r="AZ823" s="11"/>
      <c r="BA823" s="15"/>
      <c r="BB823" s="11"/>
      <c r="BC823" s="11"/>
      <c r="BD823" s="15"/>
      <c r="BE823" s="11"/>
      <c r="BF823" s="11"/>
      <c r="BG823" s="15"/>
      <c r="BH823" s="15"/>
      <c r="BI823" s="15"/>
      <c r="BJ823" s="11"/>
      <c r="BK823" s="15"/>
      <c r="BL823" s="11"/>
      <c r="BM823" s="11"/>
      <c r="BN823" s="15"/>
      <c r="BO823" s="11"/>
      <c r="BP823" s="11"/>
      <c r="BQ823" s="15"/>
      <c r="BR823" s="15"/>
      <c r="BS823" s="15"/>
      <c r="BT823" s="11"/>
      <c r="BU823" s="15"/>
      <c r="BV823" s="11"/>
      <c r="BW823" s="11"/>
      <c r="BX823" s="15"/>
      <c r="BY823" s="11"/>
      <c r="BZ823" s="11"/>
      <c r="CA823" s="15"/>
      <c r="CB823" s="11"/>
      <c r="CC823" s="15"/>
      <c r="CD823" s="11"/>
      <c r="CE823" s="15"/>
      <c r="CF823" s="11"/>
      <c r="CG823" s="11"/>
      <c r="CH823" s="15"/>
      <c r="CI823" s="11"/>
      <c r="CJ823" s="11"/>
      <c r="CK823" s="15"/>
      <c r="CL823" s="11"/>
      <c r="CM823" s="11"/>
      <c r="CN823" s="11"/>
      <c r="CO823" s="11"/>
      <c r="CP823" s="28"/>
      <c r="CQ823" s="28"/>
      <c r="CR823" s="11"/>
      <c r="CS823" s="29"/>
      <c r="CT823" s="11"/>
      <c r="CU823" s="11"/>
      <c r="CV823" s="11"/>
      <c r="CW823" s="11"/>
      <c r="CX823" s="11"/>
      <c r="CY823" s="11"/>
      <c r="CZ823" s="11"/>
      <c r="DA823" s="28"/>
      <c r="DB823" s="28"/>
      <c r="DC823" s="11"/>
      <c r="DD823" s="29"/>
      <c r="DE823" s="11"/>
      <c r="DF823" s="11"/>
      <c r="DG823" s="11"/>
      <c r="DH823" s="11"/>
      <c r="DI823" s="11"/>
      <c r="DJ823" s="11"/>
      <c r="DK823" s="26"/>
      <c r="DL823" s="11"/>
      <c r="DM823" s="29"/>
      <c r="DN823" s="28"/>
      <c r="DO823" s="11"/>
      <c r="DP823" s="11"/>
      <c r="DQ823" s="11"/>
      <c r="DR823" s="29"/>
      <c r="DS823" s="28"/>
      <c r="DT823" s="11"/>
      <c r="DU823" s="26"/>
      <c r="DV823" s="11"/>
      <c r="DW823" s="29"/>
      <c r="DX823" s="28"/>
      <c r="DY823" s="11"/>
      <c r="DZ823" s="26"/>
      <c r="EA823" s="11"/>
      <c r="EB823" s="29"/>
      <c r="EC823" s="28"/>
      <c r="ED823" s="30"/>
      <c r="EE823" s="30" t="str">
        <f ca="1">IFERROR(__xludf.DUMMYFUNCTION("iferror(index(filter('Internal -- Trademark Countries'!E$2:E1000, (AM823 = 'Internal -- Trademark Countries'!B$2:B1000) + (AM823 = 'Internal -- Trademark Countries'!C$2:C1000) + (AM823 = 'Internal -- Trademark Countries'!D$2:D1000)), 1))"),"")</f>
        <v/>
      </c>
      <c r="EF823" s="30" t="e">
        <f ca="1">_xludf.ifs(AM823="", "", COUNTIF('Internal -- Trademark Countries'!B:B,AM823) &gt; 0, "polity_shortest_name", COUNTIF('Internal -- Trademark Countries'!C:C,AM823) &gt; 0, "polity_full_name", COUNTIF('Internal -- Trademark Countries'!D:D,AM823) &gt; 0, "polity_common_name", COUNTIF('Internal -- Trademark Countries'!E:E,AM823) &gt; 0, "shortest_name", COUNTIF('Internal -- Trademark Countries'!A:A,AM823) &gt; 0, "full_name", TRUE, "not a match")</f>
        <v>#NAME?</v>
      </c>
      <c r="EG823" s="30"/>
      <c r="EH823" s="30"/>
      <c r="EI823" s="30"/>
      <c r="EJ823" s="30"/>
      <c r="EK823" s="30" t="str">
        <f t="shared" si="5"/>
        <v/>
      </c>
    </row>
    <row r="824" spans="1:141" ht="16.5">
      <c r="A824" s="11"/>
      <c r="B824" s="11"/>
      <c r="C824" s="11"/>
      <c r="D824" s="11"/>
      <c r="E824" s="11"/>
      <c r="F824" s="11"/>
      <c r="G824" s="11"/>
      <c r="H824" s="11"/>
      <c r="I824" s="11"/>
      <c r="J824" s="11"/>
      <c r="K824" s="27"/>
      <c r="L824" s="11"/>
      <c r="M824" s="11"/>
      <c r="N824" s="11"/>
      <c r="O824" s="11"/>
      <c r="P824" s="15"/>
      <c r="Q824" s="15"/>
      <c r="R824" s="15"/>
      <c r="S824" s="15"/>
      <c r="T824" s="15"/>
      <c r="U824" s="15"/>
      <c r="V824" s="15"/>
      <c r="W824" s="47"/>
      <c r="X824" s="11"/>
      <c r="Y824" s="48"/>
      <c r="Z824" s="11"/>
      <c r="AA824" s="48"/>
      <c r="AB824" s="11"/>
      <c r="AC824" s="48"/>
      <c r="AD824" s="11"/>
      <c r="AE824" s="47"/>
      <c r="AF824" s="11"/>
      <c r="AG824" s="48"/>
      <c r="AH824" s="11"/>
      <c r="AI824" s="48"/>
      <c r="AJ824" s="11"/>
      <c r="AK824" s="48"/>
      <c r="AL824" s="11"/>
      <c r="AM824" s="49"/>
      <c r="AN824" s="49"/>
      <c r="AO824" s="11"/>
      <c r="AP824" s="11"/>
      <c r="AQ824" s="28" t="b">
        <f>IF(COUNTIF(SmartStatus!A$2:A1000, AM824) &gt; 2, TRUE, FALSE)</f>
        <v>0</v>
      </c>
      <c r="AR824" s="29" t="str">
        <f ca="1">IFERROR(__xludf.DUMMYFUNCTION("iferror(if(regexmatch(AO824, ""(?i)^registered""), if(EE824 &lt;&gt; ""polity_shortest_name"", ""CHECK_POLITY"", index(filter(SmartStatus!B$2:B1000, AM824 = SmartStatus!A$2:A1000, not(SmartStatus!C$2:C1000), (isblank(SmartStatus!D$2:D1000)) + ((P824 &lt;&gt; """") * "&amp;"(P824 &lt; SmartStatus!D$2:D1000)), (isblank(SmartStatus!E$2:E1000)) + ((P824 &lt;&gt; """") * (P824 &gt;= SmartStatus!E$2:E1000)), (isblank(SmartStatus!F$2:F1000)) + (((Q824 &lt;&gt; """") * (Q824 &lt; SmartStatus!F$2:F1000)) + ((P824 &lt;&gt; """") * (date(year(P824) + 3, month(P"&amp;"824), day(P824)) &lt; SmartStatus!F$2:F1000))), (isblank(SmartStatus!G$2:G1000)) + (((Q824 &lt;&gt; """") * (Q824 &gt;= SmartStatus!G$2:G1000)) + ((P824 &lt;&gt; """") * (P824 &gt;= SmartStatus!G$2:G1000)))), if(or(regexmatch(B824, ""(?i)^ir [a-z]+ designation$""), N824 &lt;&gt; """&amp;"""), 1, 2))), """"), ""NO_MATCH"")"),"")</f>
        <v/>
      </c>
      <c r="AS824" s="11"/>
      <c r="AT824" s="15"/>
      <c r="AU824" s="11"/>
      <c r="AV824" s="11"/>
      <c r="AW824" s="15"/>
      <c r="AX824" s="15"/>
      <c r="AY824" s="15"/>
      <c r="AZ824" s="11"/>
      <c r="BA824" s="15"/>
      <c r="BB824" s="11"/>
      <c r="BC824" s="11"/>
      <c r="BD824" s="15"/>
      <c r="BE824" s="11"/>
      <c r="BF824" s="11"/>
      <c r="BG824" s="15"/>
      <c r="BH824" s="15"/>
      <c r="BI824" s="15"/>
      <c r="BJ824" s="11"/>
      <c r="BK824" s="15"/>
      <c r="BL824" s="11"/>
      <c r="BM824" s="11"/>
      <c r="BN824" s="15"/>
      <c r="BO824" s="11"/>
      <c r="BP824" s="11"/>
      <c r="BQ824" s="15"/>
      <c r="BR824" s="15"/>
      <c r="BS824" s="15"/>
      <c r="BT824" s="11"/>
      <c r="BU824" s="15"/>
      <c r="BV824" s="11"/>
      <c r="BW824" s="11"/>
      <c r="BX824" s="15"/>
      <c r="BY824" s="11"/>
      <c r="BZ824" s="11"/>
      <c r="CA824" s="15"/>
      <c r="CB824" s="11"/>
      <c r="CC824" s="15"/>
      <c r="CD824" s="11"/>
      <c r="CE824" s="15"/>
      <c r="CF824" s="11"/>
      <c r="CG824" s="11"/>
      <c r="CH824" s="15"/>
      <c r="CI824" s="11"/>
      <c r="CJ824" s="11"/>
      <c r="CK824" s="15"/>
      <c r="CL824" s="11"/>
      <c r="CM824" s="11"/>
      <c r="CN824" s="11"/>
      <c r="CO824" s="11"/>
      <c r="CP824" s="28"/>
      <c r="CQ824" s="28"/>
      <c r="CR824" s="11"/>
      <c r="CS824" s="29"/>
      <c r="CT824" s="11"/>
      <c r="CU824" s="11"/>
      <c r="CV824" s="11"/>
      <c r="CW824" s="11"/>
      <c r="CX824" s="11"/>
      <c r="CY824" s="11"/>
      <c r="CZ824" s="11"/>
      <c r="DA824" s="28"/>
      <c r="DB824" s="28"/>
      <c r="DC824" s="11"/>
      <c r="DD824" s="29"/>
      <c r="DE824" s="11"/>
      <c r="DF824" s="11"/>
      <c r="DG824" s="11"/>
      <c r="DH824" s="11"/>
      <c r="DI824" s="11"/>
      <c r="DJ824" s="11"/>
      <c r="DK824" s="26"/>
      <c r="DL824" s="11"/>
      <c r="DM824" s="29"/>
      <c r="DN824" s="28"/>
      <c r="DO824" s="11"/>
      <c r="DP824" s="11"/>
      <c r="DQ824" s="11"/>
      <c r="DR824" s="29"/>
      <c r="DS824" s="28"/>
      <c r="DT824" s="11"/>
      <c r="DU824" s="26"/>
      <c r="DV824" s="11"/>
      <c r="DW824" s="29"/>
      <c r="DX824" s="28"/>
      <c r="DY824" s="11"/>
      <c r="DZ824" s="26"/>
      <c r="EA824" s="11"/>
      <c r="EB824" s="29"/>
      <c r="EC824" s="28"/>
      <c r="ED824" s="30"/>
      <c r="EE824" s="30" t="str">
        <f ca="1">IFERROR(__xludf.DUMMYFUNCTION("iferror(index(filter('Internal -- Trademark Countries'!E$2:E1000, (AM824 = 'Internal -- Trademark Countries'!B$2:B1000) + (AM824 = 'Internal -- Trademark Countries'!C$2:C1000) + (AM824 = 'Internal -- Trademark Countries'!D$2:D1000)), 1))"),"")</f>
        <v/>
      </c>
      <c r="EF824" s="30" t="e">
        <f ca="1">_xludf.ifs(AM824="", "", COUNTIF('Internal -- Trademark Countries'!B:B,AM824) &gt; 0, "polity_shortest_name", COUNTIF('Internal -- Trademark Countries'!C:C,AM824) &gt; 0, "polity_full_name", COUNTIF('Internal -- Trademark Countries'!D:D,AM824) &gt; 0, "polity_common_name", COUNTIF('Internal -- Trademark Countries'!E:E,AM824) &gt; 0, "shortest_name", COUNTIF('Internal -- Trademark Countries'!A:A,AM824) &gt; 0, "full_name", TRUE, "not a match")</f>
        <v>#NAME?</v>
      </c>
      <c r="EG824" s="30"/>
      <c r="EH824" s="30"/>
      <c r="EI824" s="30"/>
      <c r="EJ824" s="30"/>
      <c r="EK824" s="30" t="str">
        <f t="shared" si="5"/>
        <v/>
      </c>
    </row>
    <row r="825" spans="1:141" ht="16.5">
      <c r="A825" s="11"/>
      <c r="B825" s="11"/>
      <c r="C825" s="11"/>
      <c r="D825" s="11"/>
      <c r="E825" s="11"/>
      <c r="F825" s="11"/>
      <c r="G825" s="11"/>
      <c r="H825" s="11"/>
      <c r="I825" s="11"/>
      <c r="J825" s="11"/>
      <c r="K825" s="27"/>
      <c r="L825" s="11"/>
      <c r="M825" s="11"/>
      <c r="N825" s="11"/>
      <c r="O825" s="11"/>
      <c r="P825" s="15"/>
      <c r="Q825" s="15"/>
      <c r="R825" s="15"/>
      <c r="S825" s="15"/>
      <c r="T825" s="15"/>
      <c r="U825" s="15"/>
      <c r="V825" s="15"/>
      <c r="W825" s="47"/>
      <c r="X825" s="11"/>
      <c r="Y825" s="48"/>
      <c r="Z825" s="11"/>
      <c r="AA825" s="48"/>
      <c r="AB825" s="11"/>
      <c r="AC825" s="48"/>
      <c r="AD825" s="11"/>
      <c r="AE825" s="47"/>
      <c r="AF825" s="11"/>
      <c r="AG825" s="48"/>
      <c r="AH825" s="11"/>
      <c r="AI825" s="48"/>
      <c r="AJ825" s="11"/>
      <c r="AK825" s="48"/>
      <c r="AL825" s="11"/>
      <c r="AM825" s="49"/>
      <c r="AN825" s="49"/>
      <c r="AO825" s="11"/>
      <c r="AP825" s="11"/>
      <c r="AQ825" s="28" t="b">
        <f>IF(COUNTIF(SmartStatus!A$2:A1000, AM825) &gt; 2, TRUE, FALSE)</f>
        <v>0</v>
      </c>
      <c r="AR825" s="29" t="str">
        <f ca="1">IFERROR(__xludf.DUMMYFUNCTION("iferror(if(regexmatch(AO825, ""(?i)^registered""), if(EE825 &lt;&gt; ""polity_shortest_name"", ""CHECK_POLITY"", index(filter(SmartStatus!B$2:B1000, AM825 = SmartStatus!A$2:A1000, not(SmartStatus!C$2:C1000), (isblank(SmartStatus!D$2:D1000)) + ((P825 &lt;&gt; """") * "&amp;"(P825 &lt; SmartStatus!D$2:D1000)), (isblank(SmartStatus!E$2:E1000)) + ((P825 &lt;&gt; """") * (P825 &gt;= SmartStatus!E$2:E1000)), (isblank(SmartStatus!F$2:F1000)) + (((Q825 &lt;&gt; """") * (Q825 &lt; SmartStatus!F$2:F1000)) + ((P825 &lt;&gt; """") * (date(year(P825) + 3, month(P"&amp;"825), day(P825)) &lt; SmartStatus!F$2:F1000))), (isblank(SmartStatus!G$2:G1000)) + (((Q825 &lt;&gt; """") * (Q825 &gt;= SmartStatus!G$2:G1000)) + ((P825 &lt;&gt; """") * (P825 &gt;= SmartStatus!G$2:G1000)))), if(or(regexmatch(B825, ""(?i)^ir [a-z]+ designation$""), N825 &lt;&gt; """&amp;"""), 1, 2))), """"), ""NO_MATCH"")"),"")</f>
        <v/>
      </c>
      <c r="AS825" s="11"/>
      <c r="AT825" s="15"/>
      <c r="AU825" s="11"/>
      <c r="AV825" s="11"/>
      <c r="AW825" s="15"/>
      <c r="AX825" s="15"/>
      <c r="AY825" s="15"/>
      <c r="AZ825" s="11"/>
      <c r="BA825" s="15"/>
      <c r="BB825" s="11"/>
      <c r="BC825" s="11"/>
      <c r="BD825" s="15"/>
      <c r="BE825" s="11"/>
      <c r="BF825" s="11"/>
      <c r="BG825" s="15"/>
      <c r="BH825" s="15"/>
      <c r="BI825" s="15"/>
      <c r="BJ825" s="11"/>
      <c r="BK825" s="15"/>
      <c r="BL825" s="11"/>
      <c r="BM825" s="11"/>
      <c r="BN825" s="15"/>
      <c r="BO825" s="11"/>
      <c r="BP825" s="11"/>
      <c r="BQ825" s="15"/>
      <c r="BR825" s="15"/>
      <c r="BS825" s="15"/>
      <c r="BT825" s="11"/>
      <c r="BU825" s="15"/>
      <c r="BV825" s="11"/>
      <c r="BW825" s="11"/>
      <c r="BX825" s="15"/>
      <c r="BY825" s="11"/>
      <c r="BZ825" s="11"/>
      <c r="CA825" s="15"/>
      <c r="CB825" s="11"/>
      <c r="CC825" s="15"/>
      <c r="CD825" s="11"/>
      <c r="CE825" s="15"/>
      <c r="CF825" s="11"/>
      <c r="CG825" s="11"/>
      <c r="CH825" s="15"/>
      <c r="CI825" s="11"/>
      <c r="CJ825" s="11"/>
      <c r="CK825" s="15"/>
      <c r="CL825" s="11"/>
      <c r="CM825" s="11"/>
      <c r="CN825" s="11"/>
      <c r="CO825" s="11"/>
      <c r="CP825" s="28"/>
      <c r="CQ825" s="28"/>
      <c r="CR825" s="11"/>
      <c r="CS825" s="29"/>
      <c r="CT825" s="11"/>
      <c r="CU825" s="11"/>
      <c r="CV825" s="11"/>
      <c r="CW825" s="11"/>
      <c r="CX825" s="11"/>
      <c r="CY825" s="11"/>
      <c r="CZ825" s="11"/>
      <c r="DA825" s="28"/>
      <c r="DB825" s="28"/>
      <c r="DC825" s="11"/>
      <c r="DD825" s="29"/>
      <c r="DE825" s="11"/>
      <c r="DF825" s="11"/>
      <c r="DG825" s="11"/>
      <c r="DH825" s="11"/>
      <c r="DI825" s="11"/>
      <c r="DJ825" s="11"/>
      <c r="DK825" s="26"/>
      <c r="DL825" s="11"/>
      <c r="DM825" s="29"/>
      <c r="DN825" s="28"/>
      <c r="DO825" s="11"/>
      <c r="DP825" s="11"/>
      <c r="DQ825" s="11"/>
      <c r="DR825" s="29"/>
      <c r="DS825" s="28"/>
      <c r="DT825" s="11"/>
      <c r="DU825" s="26"/>
      <c r="DV825" s="11"/>
      <c r="DW825" s="29"/>
      <c r="DX825" s="28"/>
      <c r="DY825" s="11"/>
      <c r="DZ825" s="26"/>
      <c r="EA825" s="11"/>
      <c r="EB825" s="29"/>
      <c r="EC825" s="28"/>
      <c r="ED825" s="30"/>
      <c r="EE825" s="30" t="str">
        <f ca="1">IFERROR(__xludf.DUMMYFUNCTION("iferror(index(filter('Internal -- Trademark Countries'!E$2:E1000, (AM825 = 'Internal -- Trademark Countries'!B$2:B1000) + (AM825 = 'Internal -- Trademark Countries'!C$2:C1000) + (AM825 = 'Internal -- Trademark Countries'!D$2:D1000)), 1))"),"")</f>
        <v/>
      </c>
      <c r="EF825" s="30" t="e">
        <f ca="1">_xludf.ifs(AM825="", "", COUNTIF('Internal -- Trademark Countries'!B:B,AM825) &gt; 0, "polity_shortest_name", COUNTIF('Internal -- Trademark Countries'!C:C,AM825) &gt; 0, "polity_full_name", COUNTIF('Internal -- Trademark Countries'!D:D,AM825) &gt; 0, "polity_common_name", COUNTIF('Internal -- Trademark Countries'!E:E,AM825) &gt; 0, "shortest_name", COUNTIF('Internal -- Trademark Countries'!A:A,AM825) &gt; 0, "full_name", TRUE, "not a match")</f>
        <v>#NAME?</v>
      </c>
      <c r="EG825" s="30"/>
      <c r="EH825" s="30"/>
      <c r="EI825" s="30"/>
      <c r="EJ825" s="30"/>
      <c r="EK825" s="30" t="str">
        <f t="shared" si="5"/>
        <v/>
      </c>
    </row>
    <row r="826" spans="1:141" ht="16.5">
      <c r="A826" s="11"/>
      <c r="B826" s="11"/>
      <c r="C826" s="11"/>
      <c r="D826" s="11"/>
      <c r="E826" s="11"/>
      <c r="F826" s="11"/>
      <c r="G826" s="11"/>
      <c r="H826" s="11"/>
      <c r="I826" s="11"/>
      <c r="J826" s="11"/>
      <c r="K826" s="27"/>
      <c r="L826" s="11"/>
      <c r="M826" s="11"/>
      <c r="N826" s="11"/>
      <c r="O826" s="11"/>
      <c r="P826" s="15"/>
      <c r="Q826" s="15"/>
      <c r="R826" s="15"/>
      <c r="S826" s="15"/>
      <c r="T826" s="15"/>
      <c r="U826" s="15"/>
      <c r="V826" s="15"/>
      <c r="W826" s="47"/>
      <c r="X826" s="11"/>
      <c r="Y826" s="48"/>
      <c r="Z826" s="11"/>
      <c r="AA826" s="48"/>
      <c r="AB826" s="11"/>
      <c r="AC826" s="48"/>
      <c r="AD826" s="11"/>
      <c r="AE826" s="47"/>
      <c r="AF826" s="11"/>
      <c r="AG826" s="48"/>
      <c r="AH826" s="11"/>
      <c r="AI826" s="48"/>
      <c r="AJ826" s="11"/>
      <c r="AK826" s="48"/>
      <c r="AL826" s="11"/>
      <c r="AM826" s="49"/>
      <c r="AN826" s="49"/>
      <c r="AO826" s="11"/>
      <c r="AP826" s="11"/>
      <c r="AQ826" s="28" t="b">
        <f>IF(COUNTIF(SmartStatus!A$2:A1000, AM826) &gt; 2, TRUE, FALSE)</f>
        <v>0</v>
      </c>
      <c r="AR826" s="29" t="str">
        <f ca="1">IFERROR(__xludf.DUMMYFUNCTION("iferror(if(regexmatch(AO826, ""(?i)^registered""), if(EE826 &lt;&gt; ""polity_shortest_name"", ""CHECK_POLITY"", index(filter(SmartStatus!B$2:B1000, AM826 = SmartStatus!A$2:A1000, not(SmartStatus!C$2:C1000), (isblank(SmartStatus!D$2:D1000)) + ((P826 &lt;&gt; """") * "&amp;"(P826 &lt; SmartStatus!D$2:D1000)), (isblank(SmartStatus!E$2:E1000)) + ((P826 &lt;&gt; """") * (P826 &gt;= SmartStatus!E$2:E1000)), (isblank(SmartStatus!F$2:F1000)) + (((Q826 &lt;&gt; """") * (Q826 &lt; SmartStatus!F$2:F1000)) + ((P826 &lt;&gt; """") * (date(year(P826) + 3, month(P"&amp;"826), day(P826)) &lt; SmartStatus!F$2:F1000))), (isblank(SmartStatus!G$2:G1000)) + (((Q826 &lt;&gt; """") * (Q826 &gt;= SmartStatus!G$2:G1000)) + ((P826 &lt;&gt; """") * (P826 &gt;= SmartStatus!G$2:G1000)))), if(or(regexmatch(B826, ""(?i)^ir [a-z]+ designation$""), N826 &lt;&gt; """&amp;"""), 1, 2))), """"), ""NO_MATCH"")"),"")</f>
        <v/>
      </c>
      <c r="AS826" s="11"/>
      <c r="AT826" s="15"/>
      <c r="AU826" s="11"/>
      <c r="AV826" s="11"/>
      <c r="AW826" s="15"/>
      <c r="AX826" s="15"/>
      <c r="AY826" s="15"/>
      <c r="AZ826" s="11"/>
      <c r="BA826" s="15"/>
      <c r="BB826" s="11"/>
      <c r="BC826" s="11"/>
      <c r="BD826" s="15"/>
      <c r="BE826" s="11"/>
      <c r="BF826" s="11"/>
      <c r="BG826" s="15"/>
      <c r="BH826" s="15"/>
      <c r="BI826" s="15"/>
      <c r="BJ826" s="11"/>
      <c r="BK826" s="15"/>
      <c r="BL826" s="11"/>
      <c r="BM826" s="11"/>
      <c r="BN826" s="15"/>
      <c r="BO826" s="11"/>
      <c r="BP826" s="11"/>
      <c r="BQ826" s="15"/>
      <c r="BR826" s="15"/>
      <c r="BS826" s="15"/>
      <c r="BT826" s="11"/>
      <c r="BU826" s="15"/>
      <c r="BV826" s="11"/>
      <c r="BW826" s="11"/>
      <c r="BX826" s="15"/>
      <c r="BY826" s="11"/>
      <c r="BZ826" s="11"/>
      <c r="CA826" s="15"/>
      <c r="CB826" s="11"/>
      <c r="CC826" s="15"/>
      <c r="CD826" s="11"/>
      <c r="CE826" s="15"/>
      <c r="CF826" s="11"/>
      <c r="CG826" s="11"/>
      <c r="CH826" s="15"/>
      <c r="CI826" s="11"/>
      <c r="CJ826" s="11"/>
      <c r="CK826" s="15"/>
      <c r="CL826" s="11"/>
      <c r="CM826" s="11"/>
      <c r="CN826" s="11"/>
      <c r="CO826" s="11"/>
      <c r="CP826" s="28"/>
      <c r="CQ826" s="28"/>
      <c r="CR826" s="11"/>
      <c r="CS826" s="29"/>
      <c r="CT826" s="11"/>
      <c r="CU826" s="11"/>
      <c r="CV826" s="11"/>
      <c r="CW826" s="11"/>
      <c r="CX826" s="11"/>
      <c r="CY826" s="11"/>
      <c r="CZ826" s="11"/>
      <c r="DA826" s="28"/>
      <c r="DB826" s="28"/>
      <c r="DC826" s="11"/>
      <c r="DD826" s="29"/>
      <c r="DE826" s="11"/>
      <c r="DF826" s="11"/>
      <c r="DG826" s="11"/>
      <c r="DH826" s="11"/>
      <c r="DI826" s="11"/>
      <c r="DJ826" s="11"/>
      <c r="DK826" s="26"/>
      <c r="DL826" s="11"/>
      <c r="DM826" s="29"/>
      <c r="DN826" s="28"/>
      <c r="DO826" s="11"/>
      <c r="DP826" s="11"/>
      <c r="DQ826" s="11"/>
      <c r="DR826" s="29"/>
      <c r="DS826" s="28"/>
      <c r="DT826" s="11"/>
      <c r="DU826" s="26"/>
      <c r="DV826" s="11"/>
      <c r="DW826" s="29"/>
      <c r="DX826" s="28"/>
      <c r="DY826" s="11"/>
      <c r="DZ826" s="26"/>
      <c r="EA826" s="11"/>
      <c r="EB826" s="29"/>
      <c r="EC826" s="28"/>
      <c r="ED826" s="30"/>
      <c r="EE826" s="30" t="str">
        <f ca="1">IFERROR(__xludf.DUMMYFUNCTION("iferror(index(filter('Internal -- Trademark Countries'!E$2:E1000, (AM826 = 'Internal -- Trademark Countries'!B$2:B1000) + (AM826 = 'Internal -- Trademark Countries'!C$2:C1000) + (AM826 = 'Internal -- Trademark Countries'!D$2:D1000)), 1))"),"")</f>
        <v/>
      </c>
      <c r="EF826" s="30" t="e">
        <f ca="1">_xludf.ifs(AM826="", "", COUNTIF('Internal -- Trademark Countries'!B:B,AM826) &gt; 0, "polity_shortest_name", COUNTIF('Internal -- Trademark Countries'!C:C,AM826) &gt; 0, "polity_full_name", COUNTIF('Internal -- Trademark Countries'!D:D,AM826) &gt; 0, "polity_common_name", COUNTIF('Internal -- Trademark Countries'!E:E,AM826) &gt; 0, "shortest_name", COUNTIF('Internal -- Trademark Countries'!A:A,AM826) &gt; 0, "full_name", TRUE, "not a match")</f>
        <v>#NAME?</v>
      </c>
      <c r="EG826" s="30"/>
      <c r="EH826" s="30"/>
      <c r="EI826" s="30"/>
      <c r="EJ826" s="30"/>
      <c r="EK826" s="30" t="str">
        <f t="shared" si="5"/>
        <v/>
      </c>
    </row>
    <row r="827" spans="1:141" ht="16.5">
      <c r="A827" s="11"/>
      <c r="B827" s="11"/>
      <c r="C827" s="11"/>
      <c r="D827" s="11"/>
      <c r="E827" s="11"/>
      <c r="F827" s="11"/>
      <c r="G827" s="11"/>
      <c r="H827" s="11"/>
      <c r="I827" s="11"/>
      <c r="J827" s="11"/>
      <c r="K827" s="27"/>
      <c r="L827" s="11"/>
      <c r="M827" s="11"/>
      <c r="N827" s="11"/>
      <c r="O827" s="11"/>
      <c r="P827" s="15"/>
      <c r="Q827" s="15"/>
      <c r="R827" s="15"/>
      <c r="S827" s="15"/>
      <c r="T827" s="15"/>
      <c r="U827" s="15"/>
      <c r="V827" s="15"/>
      <c r="W827" s="47"/>
      <c r="X827" s="11"/>
      <c r="Y827" s="48"/>
      <c r="Z827" s="11"/>
      <c r="AA827" s="48"/>
      <c r="AB827" s="11"/>
      <c r="AC827" s="48"/>
      <c r="AD827" s="11"/>
      <c r="AE827" s="47"/>
      <c r="AF827" s="11"/>
      <c r="AG827" s="48"/>
      <c r="AH827" s="11"/>
      <c r="AI827" s="48"/>
      <c r="AJ827" s="11"/>
      <c r="AK827" s="48"/>
      <c r="AL827" s="11"/>
      <c r="AM827" s="49"/>
      <c r="AN827" s="49"/>
      <c r="AO827" s="11"/>
      <c r="AP827" s="11"/>
      <c r="AQ827" s="28" t="b">
        <f>IF(COUNTIF(SmartStatus!A$2:A1000, AM827) &gt; 2, TRUE, FALSE)</f>
        <v>0</v>
      </c>
      <c r="AR827" s="29" t="str">
        <f ca="1">IFERROR(__xludf.DUMMYFUNCTION("iferror(if(regexmatch(AO827, ""(?i)^registered""), if(EE827 &lt;&gt; ""polity_shortest_name"", ""CHECK_POLITY"", index(filter(SmartStatus!B$2:B1000, AM827 = SmartStatus!A$2:A1000, not(SmartStatus!C$2:C1000), (isblank(SmartStatus!D$2:D1000)) + ((P827 &lt;&gt; """") * "&amp;"(P827 &lt; SmartStatus!D$2:D1000)), (isblank(SmartStatus!E$2:E1000)) + ((P827 &lt;&gt; """") * (P827 &gt;= SmartStatus!E$2:E1000)), (isblank(SmartStatus!F$2:F1000)) + (((Q827 &lt;&gt; """") * (Q827 &lt; SmartStatus!F$2:F1000)) + ((P827 &lt;&gt; """") * (date(year(P827) + 3, month(P"&amp;"827), day(P827)) &lt; SmartStatus!F$2:F1000))), (isblank(SmartStatus!G$2:G1000)) + (((Q827 &lt;&gt; """") * (Q827 &gt;= SmartStatus!G$2:G1000)) + ((P827 &lt;&gt; """") * (P827 &gt;= SmartStatus!G$2:G1000)))), if(or(regexmatch(B827, ""(?i)^ir [a-z]+ designation$""), N827 &lt;&gt; """&amp;"""), 1, 2))), """"), ""NO_MATCH"")"),"")</f>
        <v/>
      </c>
      <c r="AS827" s="11"/>
      <c r="AT827" s="15"/>
      <c r="AU827" s="11"/>
      <c r="AV827" s="11"/>
      <c r="AW827" s="15"/>
      <c r="AX827" s="15"/>
      <c r="AY827" s="15"/>
      <c r="AZ827" s="11"/>
      <c r="BA827" s="15"/>
      <c r="BB827" s="11"/>
      <c r="BC827" s="11"/>
      <c r="BD827" s="15"/>
      <c r="BE827" s="11"/>
      <c r="BF827" s="11"/>
      <c r="BG827" s="15"/>
      <c r="BH827" s="15"/>
      <c r="BI827" s="15"/>
      <c r="BJ827" s="11"/>
      <c r="BK827" s="15"/>
      <c r="BL827" s="11"/>
      <c r="BM827" s="11"/>
      <c r="BN827" s="15"/>
      <c r="BO827" s="11"/>
      <c r="BP827" s="11"/>
      <c r="BQ827" s="15"/>
      <c r="BR827" s="15"/>
      <c r="BS827" s="15"/>
      <c r="BT827" s="11"/>
      <c r="BU827" s="15"/>
      <c r="BV827" s="11"/>
      <c r="BW827" s="11"/>
      <c r="BX827" s="15"/>
      <c r="BY827" s="11"/>
      <c r="BZ827" s="11"/>
      <c r="CA827" s="15"/>
      <c r="CB827" s="11"/>
      <c r="CC827" s="15"/>
      <c r="CD827" s="11"/>
      <c r="CE827" s="15"/>
      <c r="CF827" s="11"/>
      <c r="CG827" s="11"/>
      <c r="CH827" s="15"/>
      <c r="CI827" s="11"/>
      <c r="CJ827" s="11"/>
      <c r="CK827" s="15"/>
      <c r="CL827" s="11"/>
      <c r="CM827" s="11"/>
      <c r="CN827" s="11"/>
      <c r="CO827" s="11"/>
      <c r="CP827" s="28"/>
      <c r="CQ827" s="28"/>
      <c r="CR827" s="11"/>
      <c r="CS827" s="29"/>
      <c r="CT827" s="11"/>
      <c r="CU827" s="11"/>
      <c r="CV827" s="11"/>
      <c r="CW827" s="11"/>
      <c r="CX827" s="11"/>
      <c r="CY827" s="11"/>
      <c r="CZ827" s="11"/>
      <c r="DA827" s="28"/>
      <c r="DB827" s="28"/>
      <c r="DC827" s="11"/>
      <c r="DD827" s="29"/>
      <c r="DE827" s="11"/>
      <c r="DF827" s="11"/>
      <c r="DG827" s="11"/>
      <c r="DH827" s="11"/>
      <c r="DI827" s="11"/>
      <c r="DJ827" s="11"/>
      <c r="DK827" s="26"/>
      <c r="DL827" s="11"/>
      <c r="DM827" s="29"/>
      <c r="DN827" s="28"/>
      <c r="DO827" s="11"/>
      <c r="DP827" s="11"/>
      <c r="DQ827" s="11"/>
      <c r="DR827" s="29"/>
      <c r="DS827" s="28"/>
      <c r="DT827" s="11"/>
      <c r="DU827" s="26"/>
      <c r="DV827" s="11"/>
      <c r="DW827" s="29"/>
      <c r="DX827" s="28"/>
      <c r="DY827" s="11"/>
      <c r="DZ827" s="26"/>
      <c r="EA827" s="11"/>
      <c r="EB827" s="29"/>
      <c r="EC827" s="28"/>
      <c r="ED827" s="30"/>
      <c r="EE827" s="30" t="str">
        <f ca="1">IFERROR(__xludf.DUMMYFUNCTION("iferror(index(filter('Internal -- Trademark Countries'!E$2:E1000, (AM827 = 'Internal -- Trademark Countries'!B$2:B1000) + (AM827 = 'Internal -- Trademark Countries'!C$2:C1000) + (AM827 = 'Internal -- Trademark Countries'!D$2:D1000)), 1))"),"")</f>
        <v/>
      </c>
      <c r="EF827" s="30" t="e">
        <f ca="1">_xludf.ifs(AM827="", "", COUNTIF('Internal -- Trademark Countries'!B:B,AM827) &gt; 0, "polity_shortest_name", COUNTIF('Internal -- Trademark Countries'!C:C,AM827) &gt; 0, "polity_full_name", COUNTIF('Internal -- Trademark Countries'!D:D,AM827) &gt; 0, "polity_common_name", COUNTIF('Internal -- Trademark Countries'!E:E,AM827) &gt; 0, "shortest_name", COUNTIF('Internal -- Trademark Countries'!A:A,AM827) &gt; 0, "full_name", TRUE, "not a match")</f>
        <v>#NAME?</v>
      </c>
      <c r="EG827" s="30"/>
      <c r="EH827" s="30"/>
      <c r="EI827" s="30"/>
      <c r="EJ827" s="30"/>
      <c r="EK827" s="30" t="str">
        <f t="shared" si="5"/>
        <v/>
      </c>
    </row>
    <row r="828" spans="1:141" ht="16.5">
      <c r="A828" s="11"/>
      <c r="B828" s="11"/>
      <c r="C828" s="11"/>
      <c r="D828" s="11"/>
      <c r="E828" s="11"/>
      <c r="F828" s="11"/>
      <c r="G828" s="11"/>
      <c r="H828" s="11"/>
      <c r="I828" s="11"/>
      <c r="J828" s="11"/>
      <c r="K828" s="27"/>
      <c r="L828" s="11"/>
      <c r="M828" s="11"/>
      <c r="N828" s="11"/>
      <c r="O828" s="11"/>
      <c r="P828" s="15"/>
      <c r="Q828" s="15"/>
      <c r="R828" s="15"/>
      <c r="S828" s="15"/>
      <c r="T828" s="15"/>
      <c r="U828" s="15"/>
      <c r="V828" s="15"/>
      <c r="W828" s="47"/>
      <c r="X828" s="11"/>
      <c r="Y828" s="48"/>
      <c r="Z828" s="11"/>
      <c r="AA828" s="48"/>
      <c r="AB828" s="11"/>
      <c r="AC828" s="48"/>
      <c r="AD828" s="11"/>
      <c r="AE828" s="47"/>
      <c r="AF828" s="11"/>
      <c r="AG828" s="48"/>
      <c r="AH828" s="11"/>
      <c r="AI828" s="48"/>
      <c r="AJ828" s="11"/>
      <c r="AK828" s="48"/>
      <c r="AL828" s="11"/>
      <c r="AM828" s="49"/>
      <c r="AN828" s="49"/>
      <c r="AO828" s="11"/>
      <c r="AP828" s="11"/>
      <c r="AQ828" s="28" t="b">
        <f>IF(COUNTIF(SmartStatus!A$2:A1000, AM828) &gt; 2, TRUE, FALSE)</f>
        <v>0</v>
      </c>
      <c r="AR828" s="29" t="str">
        <f ca="1">IFERROR(__xludf.DUMMYFUNCTION("iferror(if(regexmatch(AO828, ""(?i)^registered""), if(EE828 &lt;&gt; ""polity_shortest_name"", ""CHECK_POLITY"", index(filter(SmartStatus!B$2:B1000, AM828 = SmartStatus!A$2:A1000, not(SmartStatus!C$2:C1000), (isblank(SmartStatus!D$2:D1000)) + ((P828 &lt;&gt; """") * "&amp;"(P828 &lt; SmartStatus!D$2:D1000)), (isblank(SmartStatus!E$2:E1000)) + ((P828 &lt;&gt; """") * (P828 &gt;= SmartStatus!E$2:E1000)), (isblank(SmartStatus!F$2:F1000)) + (((Q828 &lt;&gt; """") * (Q828 &lt; SmartStatus!F$2:F1000)) + ((P828 &lt;&gt; """") * (date(year(P828) + 3, month(P"&amp;"828), day(P828)) &lt; SmartStatus!F$2:F1000))), (isblank(SmartStatus!G$2:G1000)) + (((Q828 &lt;&gt; """") * (Q828 &gt;= SmartStatus!G$2:G1000)) + ((P828 &lt;&gt; """") * (P828 &gt;= SmartStatus!G$2:G1000)))), if(or(regexmatch(B828, ""(?i)^ir [a-z]+ designation$""), N828 &lt;&gt; """&amp;"""), 1, 2))), """"), ""NO_MATCH"")"),"")</f>
        <v/>
      </c>
      <c r="AS828" s="11"/>
      <c r="AT828" s="15"/>
      <c r="AU828" s="11"/>
      <c r="AV828" s="11"/>
      <c r="AW828" s="15"/>
      <c r="AX828" s="15"/>
      <c r="AY828" s="15"/>
      <c r="AZ828" s="11"/>
      <c r="BA828" s="15"/>
      <c r="BB828" s="11"/>
      <c r="BC828" s="11"/>
      <c r="BD828" s="15"/>
      <c r="BE828" s="11"/>
      <c r="BF828" s="11"/>
      <c r="BG828" s="15"/>
      <c r="BH828" s="15"/>
      <c r="BI828" s="15"/>
      <c r="BJ828" s="11"/>
      <c r="BK828" s="15"/>
      <c r="BL828" s="11"/>
      <c r="BM828" s="11"/>
      <c r="BN828" s="15"/>
      <c r="BO828" s="11"/>
      <c r="BP828" s="11"/>
      <c r="BQ828" s="15"/>
      <c r="BR828" s="15"/>
      <c r="BS828" s="15"/>
      <c r="BT828" s="11"/>
      <c r="BU828" s="15"/>
      <c r="BV828" s="11"/>
      <c r="BW828" s="11"/>
      <c r="BX828" s="15"/>
      <c r="BY828" s="11"/>
      <c r="BZ828" s="11"/>
      <c r="CA828" s="15"/>
      <c r="CB828" s="11"/>
      <c r="CC828" s="15"/>
      <c r="CD828" s="11"/>
      <c r="CE828" s="15"/>
      <c r="CF828" s="11"/>
      <c r="CG828" s="11"/>
      <c r="CH828" s="15"/>
      <c r="CI828" s="11"/>
      <c r="CJ828" s="11"/>
      <c r="CK828" s="15"/>
      <c r="CL828" s="11"/>
      <c r="CM828" s="11"/>
      <c r="CN828" s="11"/>
      <c r="CO828" s="11"/>
      <c r="CP828" s="28"/>
      <c r="CQ828" s="28"/>
      <c r="CR828" s="11"/>
      <c r="CS828" s="29"/>
      <c r="CT828" s="11"/>
      <c r="CU828" s="11"/>
      <c r="CV828" s="11"/>
      <c r="CW828" s="11"/>
      <c r="CX828" s="11"/>
      <c r="CY828" s="11"/>
      <c r="CZ828" s="11"/>
      <c r="DA828" s="28"/>
      <c r="DB828" s="28"/>
      <c r="DC828" s="11"/>
      <c r="DD828" s="29"/>
      <c r="DE828" s="11"/>
      <c r="DF828" s="11"/>
      <c r="DG828" s="11"/>
      <c r="DH828" s="11"/>
      <c r="DI828" s="11"/>
      <c r="DJ828" s="11"/>
      <c r="DK828" s="26"/>
      <c r="DL828" s="11"/>
      <c r="DM828" s="29"/>
      <c r="DN828" s="28"/>
      <c r="DO828" s="11"/>
      <c r="DP828" s="11"/>
      <c r="DQ828" s="11"/>
      <c r="DR828" s="29"/>
      <c r="DS828" s="28"/>
      <c r="DT828" s="11"/>
      <c r="DU828" s="26"/>
      <c r="DV828" s="11"/>
      <c r="DW828" s="29"/>
      <c r="DX828" s="28"/>
      <c r="DY828" s="11"/>
      <c r="DZ828" s="26"/>
      <c r="EA828" s="11"/>
      <c r="EB828" s="29"/>
      <c r="EC828" s="28"/>
      <c r="ED828" s="30"/>
      <c r="EE828" s="30" t="str">
        <f ca="1">IFERROR(__xludf.DUMMYFUNCTION("iferror(index(filter('Internal -- Trademark Countries'!E$2:E1000, (AM828 = 'Internal -- Trademark Countries'!B$2:B1000) + (AM828 = 'Internal -- Trademark Countries'!C$2:C1000) + (AM828 = 'Internal -- Trademark Countries'!D$2:D1000)), 1))"),"")</f>
        <v/>
      </c>
      <c r="EF828" s="30" t="e">
        <f ca="1">_xludf.ifs(AM828="", "", COUNTIF('Internal -- Trademark Countries'!B:B,AM828) &gt; 0, "polity_shortest_name", COUNTIF('Internal -- Trademark Countries'!C:C,AM828) &gt; 0, "polity_full_name", COUNTIF('Internal -- Trademark Countries'!D:D,AM828) &gt; 0, "polity_common_name", COUNTIF('Internal -- Trademark Countries'!E:E,AM828) &gt; 0, "shortest_name", COUNTIF('Internal -- Trademark Countries'!A:A,AM828) &gt; 0, "full_name", TRUE, "not a match")</f>
        <v>#NAME?</v>
      </c>
      <c r="EG828" s="30"/>
      <c r="EH828" s="30"/>
      <c r="EI828" s="30"/>
      <c r="EJ828" s="30"/>
      <c r="EK828" s="30" t="str">
        <f t="shared" si="5"/>
        <v/>
      </c>
    </row>
    <row r="829" spans="1:141" ht="16.5">
      <c r="A829" s="11"/>
      <c r="B829" s="11"/>
      <c r="C829" s="11"/>
      <c r="D829" s="11"/>
      <c r="E829" s="11"/>
      <c r="F829" s="11"/>
      <c r="G829" s="11"/>
      <c r="H829" s="11"/>
      <c r="I829" s="11"/>
      <c r="J829" s="11"/>
      <c r="K829" s="27"/>
      <c r="L829" s="11"/>
      <c r="M829" s="11"/>
      <c r="N829" s="11"/>
      <c r="O829" s="11"/>
      <c r="P829" s="15"/>
      <c r="Q829" s="15"/>
      <c r="R829" s="15"/>
      <c r="S829" s="15"/>
      <c r="T829" s="15"/>
      <c r="U829" s="15"/>
      <c r="V829" s="15"/>
      <c r="W829" s="47"/>
      <c r="X829" s="11"/>
      <c r="Y829" s="48"/>
      <c r="Z829" s="11"/>
      <c r="AA829" s="48"/>
      <c r="AB829" s="11"/>
      <c r="AC829" s="48"/>
      <c r="AD829" s="11"/>
      <c r="AE829" s="47"/>
      <c r="AF829" s="11"/>
      <c r="AG829" s="48"/>
      <c r="AH829" s="11"/>
      <c r="AI829" s="48"/>
      <c r="AJ829" s="11"/>
      <c r="AK829" s="48"/>
      <c r="AL829" s="11"/>
      <c r="AM829" s="49"/>
      <c r="AN829" s="49"/>
      <c r="AO829" s="11"/>
      <c r="AP829" s="11"/>
      <c r="AQ829" s="28" t="b">
        <f>IF(COUNTIF(SmartStatus!A$2:A1000, AM829) &gt; 2, TRUE, FALSE)</f>
        <v>0</v>
      </c>
      <c r="AR829" s="29" t="str">
        <f ca="1">IFERROR(__xludf.DUMMYFUNCTION("iferror(if(regexmatch(AO829, ""(?i)^registered""), if(EE829 &lt;&gt; ""polity_shortest_name"", ""CHECK_POLITY"", index(filter(SmartStatus!B$2:B1000, AM829 = SmartStatus!A$2:A1000, not(SmartStatus!C$2:C1000), (isblank(SmartStatus!D$2:D1000)) + ((P829 &lt;&gt; """") * "&amp;"(P829 &lt; SmartStatus!D$2:D1000)), (isblank(SmartStatus!E$2:E1000)) + ((P829 &lt;&gt; """") * (P829 &gt;= SmartStatus!E$2:E1000)), (isblank(SmartStatus!F$2:F1000)) + (((Q829 &lt;&gt; """") * (Q829 &lt; SmartStatus!F$2:F1000)) + ((P829 &lt;&gt; """") * (date(year(P829) + 3, month(P"&amp;"829), day(P829)) &lt; SmartStatus!F$2:F1000))), (isblank(SmartStatus!G$2:G1000)) + (((Q829 &lt;&gt; """") * (Q829 &gt;= SmartStatus!G$2:G1000)) + ((P829 &lt;&gt; """") * (P829 &gt;= SmartStatus!G$2:G1000)))), if(or(regexmatch(B829, ""(?i)^ir [a-z]+ designation$""), N829 &lt;&gt; """&amp;"""), 1, 2))), """"), ""NO_MATCH"")"),"")</f>
        <v/>
      </c>
      <c r="AS829" s="11"/>
      <c r="AT829" s="15"/>
      <c r="AU829" s="11"/>
      <c r="AV829" s="11"/>
      <c r="AW829" s="15"/>
      <c r="AX829" s="15"/>
      <c r="AY829" s="15"/>
      <c r="AZ829" s="11"/>
      <c r="BA829" s="15"/>
      <c r="BB829" s="11"/>
      <c r="BC829" s="11"/>
      <c r="BD829" s="15"/>
      <c r="BE829" s="11"/>
      <c r="BF829" s="11"/>
      <c r="BG829" s="15"/>
      <c r="BH829" s="15"/>
      <c r="BI829" s="15"/>
      <c r="BJ829" s="11"/>
      <c r="BK829" s="15"/>
      <c r="BL829" s="11"/>
      <c r="BM829" s="11"/>
      <c r="BN829" s="15"/>
      <c r="BO829" s="11"/>
      <c r="BP829" s="11"/>
      <c r="BQ829" s="15"/>
      <c r="BR829" s="15"/>
      <c r="BS829" s="15"/>
      <c r="BT829" s="11"/>
      <c r="BU829" s="15"/>
      <c r="BV829" s="11"/>
      <c r="BW829" s="11"/>
      <c r="BX829" s="15"/>
      <c r="BY829" s="11"/>
      <c r="BZ829" s="11"/>
      <c r="CA829" s="15"/>
      <c r="CB829" s="11"/>
      <c r="CC829" s="15"/>
      <c r="CD829" s="11"/>
      <c r="CE829" s="15"/>
      <c r="CF829" s="11"/>
      <c r="CG829" s="11"/>
      <c r="CH829" s="15"/>
      <c r="CI829" s="11"/>
      <c r="CJ829" s="11"/>
      <c r="CK829" s="15"/>
      <c r="CL829" s="11"/>
      <c r="CM829" s="11"/>
      <c r="CN829" s="11"/>
      <c r="CO829" s="11"/>
      <c r="CP829" s="28"/>
      <c r="CQ829" s="28"/>
      <c r="CR829" s="11"/>
      <c r="CS829" s="29"/>
      <c r="CT829" s="11"/>
      <c r="CU829" s="11"/>
      <c r="CV829" s="11"/>
      <c r="CW829" s="11"/>
      <c r="CX829" s="11"/>
      <c r="CY829" s="11"/>
      <c r="CZ829" s="11"/>
      <c r="DA829" s="28"/>
      <c r="DB829" s="28"/>
      <c r="DC829" s="11"/>
      <c r="DD829" s="29"/>
      <c r="DE829" s="11"/>
      <c r="DF829" s="11"/>
      <c r="DG829" s="11"/>
      <c r="DH829" s="11"/>
      <c r="DI829" s="11"/>
      <c r="DJ829" s="11"/>
      <c r="DK829" s="26"/>
      <c r="DL829" s="11"/>
      <c r="DM829" s="29"/>
      <c r="DN829" s="28"/>
      <c r="DO829" s="11"/>
      <c r="DP829" s="11"/>
      <c r="DQ829" s="11"/>
      <c r="DR829" s="29"/>
      <c r="DS829" s="28"/>
      <c r="DT829" s="11"/>
      <c r="DU829" s="26"/>
      <c r="DV829" s="11"/>
      <c r="DW829" s="29"/>
      <c r="DX829" s="28"/>
      <c r="DY829" s="11"/>
      <c r="DZ829" s="26"/>
      <c r="EA829" s="11"/>
      <c r="EB829" s="29"/>
      <c r="EC829" s="28"/>
      <c r="ED829" s="30"/>
      <c r="EE829" s="30" t="str">
        <f ca="1">IFERROR(__xludf.DUMMYFUNCTION("iferror(index(filter('Internal -- Trademark Countries'!E$2:E1000, (AM829 = 'Internal -- Trademark Countries'!B$2:B1000) + (AM829 = 'Internal -- Trademark Countries'!C$2:C1000) + (AM829 = 'Internal -- Trademark Countries'!D$2:D1000)), 1))"),"")</f>
        <v/>
      </c>
      <c r="EF829" s="30" t="e">
        <f ca="1">_xludf.ifs(AM829="", "", COUNTIF('Internal -- Trademark Countries'!B:B,AM829) &gt; 0, "polity_shortest_name", COUNTIF('Internal -- Trademark Countries'!C:C,AM829) &gt; 0, "polity_full_name", COUNTIF('Internal -- Trademark Countries'!D:D,AM829) &gt; 0, "polity_common_name", COUNTIF('Internal -- Trademark Countries'!E:E,AM829) &gt; 0, "shortest_name", COUNTIF('Internal -- Trademark Countries'!A:A,AM829) &gt; 0, "full_name", TRUE, "not a match")</f>
        <v>#NAME?</v>
      </c>
      <c r="EG829" s="30"/>
      <c r="EH829" s="30"/>
      <c r="EI829" s="30"/>
      <c r="EJ829" s="30"/>
      <c r="EK829" s="30" t="str">
        <f t="shared" si="5"/>
        <v/>
      </c>
    </row>
    <row r="830" spans="1:141" ht="16.5">
      <c r="A830" s="11"/>
      <c r="B830" s="11"/>
      <c r="C830" s="11"/>
      <c r="D830" s="11"/>
      <c r="E830" s="11"/>
      <c r="F830" s="11"/>
      <c r="G830" s="11"/>
      <c r="H830" s="11"/>
      <c r="I830" s="11"/>
      <c r="J830" s="11"/>
      <c r="K830" s="27"/>
      <c r="L830" s="11"/>
      <c r="M830" s="11"/>
      <c r="N830" s="11"/>
      <c r="O830" s="11"/>
      <c r="P830" s="15"/>
      <c r="Q830" s="15"/>
      <c r="R830" s="15"/>
      <c r="S830" s="15"/>
      <c r="T830" s="15"/>
      <c r="U830" s="15"/>
      <c r="V830" s="15"/>
      <c r="W830" s="47"/>
      <c r="X830" s="11"/>
      <c r="Y830" s="48"/>
      <c r="Z830" s="11"/>
      <c r="AA830" s="48"/>
      <c r="AB830" s="11"/>
      <c r="AC830" s="48"/>
      <c r="AD830" s="11"/>
      <c r="AE830" s="47"/>
      <c r="AF830" s="11"/>
      <c r="AG830" s="48"/>
      <c r="AH830" s="11"/>
      <c r="AI830" s="48"/>
      <c r="AJ830" s="11"/>
      <c r="AK830" s="48"/>
      <c r="AL830" s="11"/>
      <c r="AM830" s="49"/>
      <c r="AN830" s="49"/>
      <c r="AO830" s="11"/>
      <c r="AP830" s="11"/>
      <c r="AQ830" s="28" t="b">
        <f>IF(COUNTIF(SmartStatus!A$2:A1000, AM830) &gt; 2, TRUE, FALSE)</f>
        <v>0</v>
      </c>
      <c r="AR830" s="29" t="str">
        <f ca="1">IFERROR(__xludf.DUMMYFUNCTION("iferror(if(regexmatch(AO830, ""(?i)^registered""), if(EE830 &lt;&gt; ""polity_shortest_name"", ""CHECK_POLITY"", index(filter(SmartStatus!B$2:B1000, AM830 = SmartStatus!A$2:A1000, not(SmartStatus!C$2:C1000), (isblank(SmartStatus!D$2:D1000)) + ((P830 &lt;&gt; """") * "&amp;"(P830 &lt; SmartStatus!D$2:D1000)), (isblank(SmartStatus!E$2:E1000)) + ((P830 &lt;&gt; """") * (P830 &gt;= SmartStatus!E$2:E1000)), (isblank(SmartStatus!F$2:F1000)) + (((Q830 &lt;&gt; """") * (Q830 &lt; SmartStatus!F$2:F1000)) + ((P830 &lt;&gt; """") * (date(year(P830) + 3, month(P"&amp;"830), day(P830)) &lt; SmartStatus!F$2:F1000))), (isblank(SmartStatus!G$2:G1000)) + (((Q830 &lt;&gt; """") * (Q830 &gt;= SmartStatus!G$2:G1000)) + ((P830 &lt;&gt; """") * (P830 &gt;= SmartStatus!G$2:G1000)))), if(or(regexmatch(B830, ""(?i)^ir [a-z]+ designation$""), N830 &lt;&gt; """&amp;"""), 1, 2))), """"), ""NO_MATCH"")"),"")</f>
        <v/>
      </c>
      <c r="AS830" s="11"/>
      <c r="AT830" s="15"/>
      <c r="AU830" s="11"/>
      <c r="AV830" s="11"/>
      <c r="AW830" s="15"/>
      <c r="AX830" s="15"/>
      <c r="AY830" s="15"/>
      <c r="AZ830" s="11"/>
      <c r="BA830" s="15"/>
      <c r="BB830" s="11"/>
      <c r="BC830" s="11"/>
      <c r="BD830" s="15"/>
      <c r="BE830" s="11"/>
      <c r="BF830" s="11"/>
      <c r="BG830" s="15"/>
      <c r="BH830" s="15"/>
      <c r="BI830" s="15"/>
      <c r="BJ830" s="11"/>
      <c r="BK830" s="15"/>
      <c r="BL830" s="11"/>
      <c r="BM830" s="11"/>
      <c r="BN830" s="15"/>
      <c r="BO830" s="11"/>
      <c r="BP830" s="11"/>
      <c r="BQ830" s="15"/>
      <c r="BR830" s="15"/>
      <c r="BS830" s="15"/>
      <c r="BT830" s="11"/>
      <c r="BU830" s="15"/>
      <c r="BV830" s="11"/>
      <c r="BW830" s="11"/>
      <c r="BX830" s="15"/>
      <c r="BY830" s="11"/>
      <c r="BZ830" s="11"/>
      <c r="CA830" s="15"/>
      <c r="CB830" s="11"/>
      <c r="CC830" s="15"/>
      <c r="CD830" s="11"/>
      <c r="CE830" s="15"/>
      <c r="CF830" s="11"/>
      <c r="CG830" s="11"/>
      <c r="CH830" s="15"/>
      <c r="CI830" s="11"/>
      <c r="CJ830" s="11"/>
      <c r="CK830" s="15"/>
      <c r="CL830" s="11"/>
      <c r="CM830" s="11"/>
      <c r="CN830" s="11"/>
      <c r="CO830" s="11"/>
      <c r="CP830" s="28"/>
      <c r="CQ830" s="28"/>
      <c r="CR830" s="11"/>
      <c r="CS830" s="29"/>
      <c r="CT830" s="11"/>
      <c r="CU830" s="11"/>
      <c r="CV830" s="11"/>
      <c r="CW830" s="11"/>
      <c r="CX830" s="11"/>
      <c r="CY830" s="11"/>
      <c r="CZ830" s="11"/>
      <c r="DA830" s="28"/>
      <c r="DB830" s="28"/>
      <c r="DC830" s="11"/>
      <c r="DD830" s="29"/>
      <c r="DE830" s="11"/>
      <c r="DF830" s="11"/>
      <c r="DG830" s="11"/>
      <c r="DH830" s="11"/>
      <c r="DI830" s="11"/>
      <c r="DJ830" s="11"/>
      <c r="DK830" s="26"/>
      <c r="DL830" s="11"/>
      <c r="DM830" s="29"/>
      <c r="DN830" s="28"/>
      <c r="DO830" s="11"/>
      <c r="DP830" s="11"/>
      <c r="DQ830" s="11"/>
      <c r="DR830" s="29"/>
      <c r="DS830" s="28"/>
      <c r="DT830" s="11"/>
      <c r="DU830" s="26"/>
      <c r="DV830" s="11"/>
      <c r="DW830" s="29"/>
      <c r="DX830" s="28"/>
      <c r="DY830" s="11"/>
      <c r="DZ830" s="26"/>
      <c r="EA830" s="11"/>
      <c r="EB830" s="29"/>
      <c r="EC830" s="28"/>
      <c r="ED830" s="30"/>
      <c r="EE830" s="30" t="str">
        <f ca="1">IFERROR(__xludf.DUMMYFUNCTION("iferror(index(filter('Internal -- Trademark Countries'!E$2:E1000, (AM830 = 'Internal -- Trademark Countries'!B$2:B1000) + (AM830 = 'Internal -- Trademark Countries'!C$2:C1000) + (AM830 = 'Internal -- Trademark Countries'!D$2:D1000)), 1))"),"")</f>
        <v/>
      </c>
      <c r="EF830" s="30" t="e">
        <f ca="1">_xludf.ifs(AM830="", "", COUNTIF('Internal -- Trademark Countries'!B:B,AM830) &gt; 0, "polity_shortest_name", COUNTIF('Internal -- Trademark Countries'!C:C,AM830) &gt; 0, "polity_full_name", COUNTIF('Internal -- Trademark Countries'!D:D,AM830) &gt; 0, "polity_common_name", COUNTIF('Internal -- Trademark Countries'!E:E,AM830) &gt; 0, "shortest_name", COUNTIF('Internal -- Trademark Countries'!A:A,AM830) &gt; 0, "full_name", TRUE, "not a match")</f>
        <v>#NAME?</v>
      </c>
      <c r="EG830" s="30"/>
      <c r="EH830" s="30"/>
      <c r="EI830" s="30"/>
      <c r="EJ830" s="30"/>
      <c r="EK830" s="30" t="str">
        <f t="shared" si="5"/>
        <v/>
      </c>
    </row>
    <row r="831" spans="1:141" ht="16.5">
      <c r="A831" s="11"/>
      <c r="B831" s="11"/>
      <c r="C831" s="11"/>
      <c r="D831" s="11"/>
      <c r="E831" s="11"/>
      <c r="F831" s="11"/>
      <c r="G831" s="11"/>
      <c r="H831" s="11"/>
      <c r="I831" s="11"/>
      <c r="J831" s="11"/>
      <c r="K831" s="27"/>
      <c r="L831" s="11"/>
      <c r="M831" s="11"/>
      <c r="N831" s="11"/>
      <c r="O831" s="11"/>
      <c r="P831" s="15"/>
      <c r="Q831" s="15"/>
      <c r="R831" s="15"/>
      <c r="S831" s="15"/>
      <c r="T831" s="15"/>
      <c r="U831" s="15"/>
      <c r="V831" s="15"/>
      <c r="W831" s="47"/>
      <c r="X831" s="11"/>
      <c r="Y831" s="48"/>
      <c r="Z831" s="11"/>
      <c r="AA831" s="48"/>
      <c r="AB831" s="11"/>
      <c r="AC831" s="48"/>
      <c r="AD831" s="11"/>
      <c r="AE831" s="47"/>
      <c r="AF831" s="11"/>
      <c r="AG831" s="48"/>
      <c r="AH831" s="11"/>
      <c r="AI831" s="48"/>
      <c r="AJ831" s="11"/>
      <c r="AK831" s="48"/>
      <c r="AL831" s="11"/>
      <c r="AM831" s="49"/>
      <c r="AN831" s="49"/>
      <c r="AO831" s="11"/>
      <c r="AP831" s="11"/>
      <c r="AQ831" s="28" t="b">
        <f>IF(COUNTIF(SmartStatus!A$2:A1000, AM831) &gt; 2, TRUE, FALSE)</f>
        <v>0</v>
      </c>
      <c r="AR831" s="29" t="str">
        <f ca="1">IFERROR(__xludf.DUMMYFUNCTION("iferror(if(regexmatch(AO831, ""(?i)^registered""), if(EE831 &lt;&gt; ""polity_shortest_name"", ""CHECK_POLITY"", index(filter(SmartStatus!B$2:B1000, AM831 = SmartStatus!A$2:A1000, not(SmartStatus!C$2:C1000), (isblank(SmartStatus!D$2:D1000)) + ((P831 &lt;&gt; """") * "&amp;"(P831 &lt; SmartStatus!D$2:D1000)), (isblank(SmartStatus!E$2:E1000)) + ((P831 &lt;&gt; """") * (P831 &gt;= SmartStatus!E$2:E1000)), (isblank(SmartStatus!F$2:F1000)) + (((Q831 &lt;&gt; """") * (Q831 &lt; SmartStatus!F$2:F1000)) + ((P831 &lt;&gt; """") * (date(year(P831) + 3, month(P"&amp;"831), day(P831)) &lt; SmartStatus!F$2:F1000))), (isblank(SmartStatus!G$2:G1000)) + (((Q831 &lt;&gt; """") * (Q831 &gt;= SmartStatus!G$2:G1000)) + ((P831 &lt;&gt; """") * (P831 &gt;= SmartStatus!G$2:G1000)))), if(or(regexmatch(B831, ""(?i)^ir [a-z]+ designation$""), N831 &lt;&gt; """&amp;"""), 1, 2))), """"), ""NO_MATCH"")"),"")</f>
        <v/>
      </c>
      <c r="AS831" s="11"/>
      <c r="AT831" s="15"/>
      <c r="AU831" s="11"/>
      <c r="AV831" s="11"/>
      <c r="AW831" s="15"/>
      <c r="AX831" s="15"/>
      <c r="AY831" s="15"/>
      <c r="AZ831" s="11"/>
      <c r="BA831" s="15"/>
      <c r="BB831" s="11"/>
      <c r="BC831" s="11"/>
      <c r="BD831" s="15"/>
      <c r="BE831" s="11"/>
      <c r="BF831" s="11"/>
      <c r="BG831" s="15"/>
      <c r="BH831" s="15"/>
      <c r="BI831" s="15"/>
      <c r="BJ831" s="11"/>
      <c r="BK831" s="15"/>
      <c r="BL831" s="11"/>
      <c r="BM831" s="11"/>
      <c r="BN831" s="15"/>
      <c r="BO831" s="11"/>
      <c r="BP831" s="11"/>
      <c r="BQ831" s="15"/>
      <c r="BR831" s="15"/>
      <c r="BS831" s="15"/>
      <c r="BT831" s="11"/>
      <c r="BU831" s="15"/>
      <c r="BV831" s="11"/>
      <c r="BW831" s="11"/>
      <c r="BX831" s="15"/>
      <c r="BY831" s="11"/>
      <c r="BZ831" s="11"/>
      <c r="CA831" s="15"/>
      <c r="CB831" s="11"/>
      <c r="CC831" s="15"/>
      <c r="CD831" s="11"/>
      <c r="CE831" s="15"/>
      <c r="CF831" s="11"/>
      <c r="CG831" s="11"/>
      <c r="CH831" s="15"/>
      <c r="CI831" s="11"/>
      <c r="CJ831" s="11"/>
      <c r="CK831" s="15"/>
      <c r="CL831" s="11"/>
      <c r="CM831" s="11"/>
      <c r="CN831" s="11"/>
      <c r="CO831" s="11"/>
      <c r="CP831" s="28"/>
      <c r="CQ831" s="28"/>
      <c r="CR831" s="11"/>
      <c r="CS831" s="29"/>
      <c r="CT831" s="11"/>
      <c r="CU831" s="11"/>
      <c r="CV831" s="11"/>
      <c r="CW831" s="11"/>
      <c r="CX831" s="11"/>
      <c r="CY831" s="11"/>
      <c r="CZ831" s="11"/>
      <c r="DA831" s="28"/>
      <c r="DB831" s="28"/>
      <c r="DC831" s="11"/>
      <c r="DD831" s="29"/>
      <c r="DE831" s="11"/>
      <c r="DF831" s="11"/>
      <c r="DG831" s="11"/>
      <c r="DH831" s="11"/>
      <c r="DI831" s="11"/>
      <c r="DJ831" s="11"/>
      <c r="DK831" s="26"/>
      <c r="DL831" s="11"/>
      <c r="DM831" s="29"/>
      <c r="DN831" s="28"/>
      <c r="DO831" s="11"/>
      <c r="DP831" s="11"/>
      <c r="DQ831" s="11"/>
      <c r="DR831" s="29"/>
      <c r="DS831" s="28"/>
      <c r="DT831" s="11"/>
      <c r="DU831" s="26"/>
      <c r="DV831" s="11"/>
      <c r="DW831" s="29"/>
      <c r="DX831" s="28"/>
      <c r="DY831" s="11"/>
      <c r="DZ831" s="26"/>
      <c r="EA831" s="11"/>
      <c r="EB831" s="29"/>
      <c r="EC831" s="28"/>
      <c r="ED831" s="30"/>
      <c r="EE831" s="30" t="str">
        <f ca="1">IFERROR(__xludf.DUMMYFUNCTION("iferror(index(filter('Internal -- Trademark Countries'!E$2:E1000, (AM831 = 'Internal -- Trademark Countries'!B$2:B1000) + (AM831 = 'Internal -- Trademark Countries'!C$2:C1000) + (AM831 = 'Internal -- Trademark Countries'!D$2:D1000)), 1))"),"")</f>
        <v/>
      </c>
      <c r="EF831" s="30" t="e">
        <f ca="1">_xludf.ifs(AM831="", "", COUNTIF('Internal -- Trademark Countries'!B:B,AM831) &gt; 0, "polity_shortest_name", COUNTIF('Internal -- Trademark Countries'!C:C,AM831) &gt; 0, "polity_full_name", COUNTIF('Internal -- Trademark Countries'!D:D,AM831) &gt; 0, "polity_common_name", COUNTIF('Internal -- Trademark Countries'!E:E,AM831) &gt; 0, "shortest_name", COUNTIF('Internal -- Trademark Countries'!A:A,AM831) &gt; 0, "full_name", TRUE, "not a match")</f>
        <v>#NAME?</v>
      </c>
      <c r="EG831" s="30"/>
      <c r="EH831" s="30"/>
      <c r="EI831" s="30"/>
      <c r="EJ831" s="30"/>
      <c r="EK831" s="30" t="str">
        <f t="shared" si="5"/>
        <v/>
      </c>
    </row>
    <row r="832" spans="1:141" ht="16.5">
      <c r="A832" s="11"/>
      <c r="B832" s="11"/>
      <c r="C832" s="11"/>
      <c r="D832" s="11"/>
      <c r="E832" s="11"/>
      <c r="F832" s="11"/>
      <c r="G832" s="11"/>
      <c r="H832" s="11"/>
      <c r="I832" s="11"/>
      <c r="J832" s="11"/>
      <c r="K832" s="27"/>
      <c r="L832" s="11"/>
      <c r="M832" s="11"/>
      <c r="N832" s="11"/>
      <c r="O832" s="11"/>
      <c r="P832" s="15"/>
      <c r="Q832" s="15"/>
      <c r="R832" s="15"/>
      <c r="S832" s="15"/>
      <c r="T832" s="15"/>
      <c r="U832" s="15"/>
      <c r="V832" s="15"/>
      <c r="W832" s="47"/>
      <c r="X832" s="11"/>
      <c r="Y832" s="48"/>
      <c r="Z832" s="11"/>
      <c r="AA832" s="48"/>
      <c r="AB832" s="11"/>
      <c r="AC832" s="48"/>
      <c r="AD832" s="11"/>
      <c r="AE832" s="47"/>
      <c r="AF832" s="11"/>
      <c r="AG832" s="48"/>
      <c r="AH832" s="11"/>
      <c r="AI832" s="48"/>
      <c r="AJ832" s="11"/>
      <c r="AK832" s="48"/>
      <c r="AL832" s="11"/>
      <c r="AM832" s="49"/>
      <c r="AN832" s="49"/>
      <c r="AO832" s="11"/>
      <c r="AP832" s="11"/>
      <c r="AQ832" s="28" t="b">
        <f>IF(COUNTIF(SmartStatus!A$2:A1000, AM832) &gt; 2, TRUE, FALSE)</f>
        <v>0</v>
      </c>
      <c r="AR832" s="29" t="str">
        <f ca="1">IFERROR(__xludf.DUMMYFUNCTION("iferror(if(regexmatch(AO832, ""(?i)^registered""), if(EE832 &lt;&gt; ""polity_shortest_name"", ""CHECK_POLITY"", index(filter(SmartStatus!B$2:B1000, AM832 = SmartStatus!A$2:A1000, not(SmartStatus!C$2:C1000), (isblank(SmartStatus!D$2:D1000)) + ((P832 &lt;&gt; """") * "&amp;"(P832 &lt; SmartStatus!D$2:D1000)), (isblank(SmartStatus!E$2:E1000)) + ((P832 &lt;&gt; """") * (P832 &gt;= SmartStatus!E$2:E1000)), (isblank(SmartStatus!F$2:F1000)) + (((Q832 &lt;&gt; """") * (Q832 &lt; SmartStatus!F$2:F1000)) + ((P832 &lt;&gt; """") * (date(year(P832) + 3, month(P"&amp;"832), day(P832)) &lt; SmartStatus!F$2:F1000))), (isblank(SmartStatus!G$2:G1000)) + (((Q832 &lt;&gt; """") * (Q832 &gt;= SmartStatus!G$2:G1000)) + ((P832 &lt;&gt; """") * (P832 &gt;= SmartStatus!G$2:G1000)))), if(or(regexmatch(B832, ""(?i)^ir [a-z]+ designation$""), N832 &lt;&gt; """&amp;"""), 1, 2))), """"), ""NO_MATCH"")"),"")</f>
        <v/>
      </c>
      <c r="AS832" s="11"/>
      <c r="AT832" s="15"/>
      <c r="AU832" s="11"/>
      <c r="AV832" s="11"/>
      <c r="AW832" s="15"/>
      <c r="AX832" s="15"/>
      <c r="AY832" s="15"/>
      <c r="AZ832" s="11"/>
      <c r="BA832" s="15"/>
      <c r="BB832" s="11"/>
      <c r="BC832" s="11"/>
      <c r="BD832" s="15"/>
      <c r="BE832" s="11"/>
      <c r="BF832" s="11"/>
      <c r="BG832" s="15"/>
      <c r="BH832" s="15"/>
      <c r="BI832" s="15"/>
      <c r="BJ832" s="11"/>
      <c r="BK832" s="15"/>
      <c r="BL832" s="11"/>
      <c r="BM832" s="11"/>
      <c r="BN832" s="15"/>
      <c r="BO832" s="11"/>
      <c r="BP832" s="11"/>
      <c r="BQ832" s="15"/>
      <c r="BR832" s="15"/>
      <c r="BS832" s="15"/>
      <c r="BT832" s="11"/>
      <c r="BU832" s="15"/>
      <c r="BV832" s="11"/>
      <c r="BW832" s="11"/>
      <c r="BX832" s="15"/>
      <c r="BY832" s="11"/>
      <c r="BZ832" s="11"/>
      <c r="CA832" s="15"/>
      <c r="CB832" s="11"/>
      <c r="CC832" s="15"/>
      <c r="CD832" s="11"/>
      <c r="CE832" s="15"/>
      <c r="CF832" s="11"/>
      <c r="CG832" s="11"/>
      <c r="CH832" s="15"/>
      <c r="CI832" s="11"/>
      <c r="CJ832" s="11"/>
      <c r="CK832" s="15"/>
      <c r="CL832" s="11"/>
      <c r="CM832" s="11"/>
      <c r="CN832" s="11"/>
      <c r="CO832" s="11"/>
      <c r="CP832" s="28"/>
      <c r="CQ832" s="28"/>
      <c r="CR832" s="11"/>
      <c r="CS832" s="29"/>
      <c r="CT832" s="11"/>
      <c r="CU832" s="11"/>
      <c r="CV832" s="11"/>
      <c r="CW832" s="11"/>
      <c r="CX832" s="11"/>
      <c r="CY832" s="11"/>
      <c r="CZ832" s="11"/>
      <c r="DA832" s="28"/>
      <c r="DB832" s="28"/>
      <c r="DC832" s="11"/>
      <c r="DD832" s="29"/>
      <c r="DE832" s="11"/>
      <c r="DF832" s="11"/>
      <c r="DG832" s="11"/>
      <c r="DH832" s="11"/>
      <c r="DI832" s="11"/>
      <c r="DJ832" s="11"/>
      <c r="DK832" s="26"/>
      <c r="DL832" s="11"/>
      <c r="DM832" s="29"/>
      <c r="DN832" s="28"/>
      <c r="DO832" s="11"/>
      <c r="DP832" s="11"/>
      <c r="DQ832" s="11"/>
      <c r="DR832" s="29"/>
      <c r="DS832" s="28"/>
      <c r="DT832" s="11"/>
      <c r="DU832" s="26"/>
      <c r="DV832" s="11"/>
      <c r="DW832" s="29"/>
      <c r="DX832" s="28"/>
      <c r="DY832" s="11"/>
      <c r="DZ832" s="26"/>
      <c r="EA832" s="11"/>
      <c r="EB832" s="29"/>
      <c r="EC832" s="28"/>
      <c r="ED832" s="30"/>
      <c r="EE832" s="30" t="str">
        <f ca="1">IFERROR(__xludf.DUMMYFUNCTION("iferror(index(filter('Internal -- Trademark Countries'!E$2:E1000, (AM832 = 'Internal -- Trademark Countries'!B$2:B1000) + (AM832 = 'Internal -- Trademark Countries'!C$2:C1000) + (AM832 = 'Internal -- Trademark Countries'!D$2:D1000)), 1))"),"")</f>
        <v/>
      </c>
      <c r="EF832" s="30" t="e">
        <f ca="1">_xludf.ifs(AM832="", "", COUNTIF('Internal -- Trademark Countries'!B:B,AM832) &gt; 0, "polity_shortest_name", COUNTIF('Internal -- Trademark Countries'!C:C,AM832) &gt; 0, "polity_full_name", COUNTIF('Internal -- Trademark Countries'!D:D,AM832) &gt; 0, "polity_common_name", COUNTIF('Internal -- Trademark Countries'!E:E,AM832) &gt; 0, "shortest_name", COUNTIF('Internal -- Trademark Countries'!A:A,AM832) &gt; 0, "full_name", TRUE, "not a match")</f>
        <v>#NAME?</v>
      </c>
      <c r="EG832" s="30"/>
      <c r="EH832" s="30"/>
      <c r="EI832" s="30"/>
      <c r="EJ832" s="30"/>
      <c r="EK832" s="30" t="str">
        <f t="shared" si="5"/>
        <v/>
      </c>
    </row>
    <row r="833" spans="1:141" ht="16.5">
      <c r="A833" s="11"/>
      <c r="B833" s="11"/>
      <c r="C833" s="11"/>
      <c r="D833" s="11"/>
      <c r="E833" s="11"/>
      <c r="F833" s="11"/>
      <c r="G833" s="11"/>
      <c r="H833" s="11"/>
      <c r="I833" s="11"/>
      <c r="J833" s="11"/>
      <c r="K833" s="27"/>
      <c r="L833" s="11"/>
      <c r="M833" s="11"/>
      <c r="N833" s="11"/>
      <c r="O833" s="11"/>
      <c r="P833" s="15"/>
      <c r="Q833" s="15"/>
      <c r="R833" s="15"/>
      <c r="S833" s="15"/>
      <c r="T833" s="15"/>
      <c r="U833" s="15"/>
      <c r="V833" s="15"/>
      <c r="W833" s="47"/>
      <c r="X833" s="11"/>
      <c r="Y833" s="48"/>
      <c r="Z833" s="11"/>
      <c r="AA833" s="48"/>
      <c r="AB833" s="11"/>
      <c r="AC833" s="48"/>
      <c r="AD833" s="11"/>
      <c r="AE833" s="47"/>
      <c r="AF833" s="11"/>
      <c r="AG833" s="48"/>
      <c r="AH833" s="11"/>
      <c r="AI833" s="48"/>
      <c r="AJ833" s="11"/>
      <c r="AK833" s="48"/>
      <c r="AL833" s="11"/>
      <c r="AM833" s="49"/>
      <c r="AN833" s="49"/>
      <c r="AO833" s="11"/>
      <c r="AP833" s="11"/>
      <c r="AQ833" s="28" t="b">
        <f>IF(COUNTIF(SmartStatus!A$2:A1000, AM833) &gt; 2, TRUE, FALSE)</f>
        <v>0</v>
      </c>
      <c r="AR833" s="29" t="str">
        <f ca="1">IFERROR(__xludf.DUMMYFUNCTION("iferror(if(regexmatch(AO833, ""(?i)^registered""), if(EE833 &lt;&gt; ""polity_shortest_name"", ""CHECK_POLITY"", index(filter(SmartStatus!B$2:B1000, AM833 = SmartStatus!A$2:A1000, not(SmartStatus!C$2:C1000), (isblank(SmartStatus!D$2:D1000)) + ((P833 &lt;&gt; """") * "&amp;"(P833 &lt; SmartStatus!D$2:D1000)), (isblank(SmartStatus!E$2:E1000)) + ((P833 &lt;&gt; """") * (P833 &gt;= SmartStatus!E$2:E1000)), (isblank(SmartStatus!F$2:F1000)) + (((Q833 &lt;&gt; """") * (Q833 &lt; SmartStatus!F$2:F1000)) + ((P833 &lt;&gt; """") * (date(year(P833) + 3, month(P"&amp;"833), day(P833)) &lt; SmartStatus!F$2:F1000))), (isblank(SmartStatus!G$2:G1000)) + (((Q833 &lt;&gt; """") * (Q833 &gt;= SmartStatus!G$2:G1000)) + ((P833 &lt;&gt; """") * (P833 &gt;= SmartStatus!G$2:G1000)))), if(or(regexmatch(B833, ""(?i)^ir [a-z]+ designation$""), N833 &lt;&gt; """&amp;"""), 1, 2))), """"), ""NO_MATCH"")"),"")</f>
        <v/>
      </c>
      <c r="AS833" s="11"/>
      <c r="AT833" s="15"/>
      <c r="AU833" s="11"/>
      <c r="AV833" s="11"/>
      <c r="AW833" s="15"/>
      <c r="AX833" s="15"/>
      <c r="AY833" s="15"/>
      <c r="AZ833" s="11"/>
      <c r="BA833" s="15"/>
      <c r="BB833" s="11"/>
      <c r="BC833" s="11"/>
      <c r="BD833" s="15"/>
      <c r="BE833" s="11"/>
      <c r="BF833" s="11"/>
      <c r="BG833" s="15"/>
      <c r="BH833" s="15"/>
      <c r="BI833" s="15"/>
      <c r="BJ833" s="11"/>
      <c r="BK833" s="15"/>
      <c r="BL833" s="11"/>
      <c r="BM833" s="11"/>
      <c r="BN833" s="15"/>
      <c r="BO833" s="11"/>
      <c r="BP833" s="11"/>
      <c r="BQ833" s="15"/>
      <c r="BR833" s="15"/>
      <c r="BS833" s="15"/>
      <c r="BT833" s="11"/>
      <c r="BU833" s="15"/>
      <c r="BV833" s="11"/>
      <c r="BW833" s="11"/>
      <c r="BX833" s="15"/>
      <c r="BY833" s="11"/>
      <c r="BZ833" s="11"/>
      <c r="CA833" s="15"/>
      <c r="CB833" s="11"/>
      <c r="CC833" s="15"/>
      <c r="CD833" s="11"/>
      <c r="CE833" s="15"/>
      <c r="CF833" s="11"/>
      <c r="CG833" s="11"/>
      <c r="CH833" s="15"/>
      <c r="CI833" s="11"/>
      <c r="CJ833" s="11"/>
      <c r="CK833" s="15"/>
      <c r="CL833" s="11"/>
      <c r="CM833" s="11"/>
      <c r="CN833" s="11"/>
      <c r="CO833" s="11"/>
      <c r="CP833" s="28"/>
      <c r="CQ833" s="28"/>
      <c r="CR833" s="11"/>
      <c r="CS833" s="29"/>
      <c r="CT833" s="11"/>
      <c r="CU833" s="11"/>
      <c r="CV833" s="11"/>
      <c r="CW833" s="11"/>
      <c r="CX833" s="11"/>
      <c r="CY833" s="11"/>
      <c r="CZ833" s="11"/>
      <c r="DA833" s="28"/>
      <c r="DB833" s="28"/>
      <c r="DC833" s="11"/>
      <c r="DD833" s="29"/>
      <c r="DE833" s="11"/>
      <c r="DF833" s="11"/>
      <c r="DG833" s="11"/>
      <c r="DH833" s="11"/>
      <c r="DI833" s="11"/>
      <c r="DJ833" s="11"/>
      <c r="DK833" s="26"/>
      <c r="DL833" s="11"/>
      <c r="DM833" s="29"/>
      <c r="DN833" s="28"/>
      <c r="DO833" s="11"/>
      <c r="DP833" s="11"/>
      <c r="DQ833" s="11"/>
      <c r="DR833" s="29"/>
      <c r="DS833" s="28"/>
      <c r="DT833" s="11"/>
      <c r="DU833" s="26"/>
      <c r="DV833" s="11"/>
      <c r="DW833" s="29"/>
      <c r="DX833" s="28"/>
      <c r="DY833" s="11"/>
      <c r="DZ833" s="26"/>
      <c r="EA833" s="11"/>
      <c r="EB833" s="29"/>
      <c r="EC833" s="28"/>
      <c r="ED833" s="30"/>
      <c r="EE833" s="30" t="str">
        <f ca="1">IFERROR(__xludf.DUMMYFUNCTION("iferror(index(filter('Internal -- Trademark Countries'!E$2:E1000, (AM833 = 'Internal -- Trademark Countries'!B$2:B1000) + (AM833 = 'Internal -- Trademark Countries'!C$2:C1000) + (AM833 = 'Internal -- Trademark Countries'!D$2:D1000)), 1))"),"")</f>
        <v/>
      </c>
      <c r="EF833" s="30" t="e">
        <f ca="1">_xludf.ifs(AM833="", "", COUNTIF('Internal -- Trademark Countries'!B:B,AM833) &gt; 0, "polity_shortest_name", COUNTIF('Internal -- Trademark Countries'!C:C,AM833) &gt; 0, "polity_full_name", COUNTIF('Internal -- Trademark Countries'!D:D,AM833) &gt; 0, "polity_common_name", COUNTIF('Internal -- Trademark Countries'!E:E,AM833) &gt; 0, "shortest_name", COUNTIF('Internal -- Trademark Countries'!A:A,AM833) &gt; 0, "full_name", TRUE, "not a match")</f>
        <v>#NAME?</v>
      </c>
      <c r="EG833" s="30"/>
      <c r="EH833" s="30"/>
      <c r="EI833" s="30"/>
      <c r="EJ833" s="30"/>
      <c r="EK833" s="30" t="str">
        <f t="shared" si="5"/>
        <v/>
      </c>
    </row>
    <row r="834" spans="1:141" ht="16.5">
      <c r="A834" s="11"/>
      <c r="B834" s="11"/>
      <c r="C834" s="11"/>
      <c r="D834" s="11"/>
      <c r="E834" s="11"/>
      <c r="F834" s="11"/>
      <c r="G834" s="11"/>
      <c r="H834" s="11"/>
      <c r="I834" s="11"/>
      <c r="J834" s="11"/>
      <c r="K834" s="27"/>
      <c r="L834" s="11"/>
      <c r="M834" s="11"/>
      <c r="N834" s="11"/>
      <c r="O834" s="11"/>
      <c r="P834" s="15"/>
      <c r="Q834" s="15"/>
      <c r="R834" s="15"/>
      <c r="S834" s="15"/>
      <c r="T834" s="15"/>
      <c r="U834" s="15"/>
      <c r="V834" s="15"/>
      <c r="W834" s="47"/>
      <c r="X834" s="11"/>
      <c r="Y834" s="48"/>
      <c r="Z834" s="11"/>
      <c r="AA834" s="48"/>
      <c r="AB834" s="11"/>
      <c r="AC834" s="48"/>
      <c r="AD834" s="11"/>
      <c r="AE834" s="47"/>
      <c r="AF834" s="11"/>
      <c r="AG834" s="48"/>
      <c r="AH834" s="11"/>
      <c r="AI834" s="48"/>
      <c r="AJ834" s="11"/>
      <c r="AK834" s="48"/>
      <c r="AL834" s="11"/>
      <c r="AM834" s="49"/>
      <c r="AN834" s="49"/>
      <c r="AO834" s="11"/>
      <c r="AP834" s="11"/>
      <c r="AQ834" s="28" t="b">
        <f>IF(COUNTIF(SmartStatus!A$2:A1000, AM834) &gt; 2, TRUE, FALSE)</f>
        <v>0</v>
      </c>
      <c r="AR834" s="29" t="str">
        <f ca="1">IFERROR(__xludf.DUMMYFUNCTION("iferror(if(regexmatch(AO834, ""(?i)^registered""), if(EE834 &lt;&gt; ""polity_shortest_name"", ""CHECK_POLITY"", index(filter(SmartStatus!B$2:B1000, AM834 = SmartStatus!A$2:A1000, not(SmartStatus!C$2:C1000), (isblank(SmartStatus!D$2:D1000)) + ((P834 &lt;&gt; """") * "&amp;"(P834 &lt; SmartStatus!D$2:D1000)), (isblank(SmartStatus!E$2:E1000)) + ((P834 &lt;&gt; """") * (P834 &gt;= SmartStatus!E$2:E1000)), (isblank(SmartStatus!F$2:F1000)) + (((Q834 &lt;&gt; """") * (Q834 &lt; SmartStatus!F$2:F1000)) + ((P834 &lt;&gt; """") * (date(year(P834) + 3, month(P"&amp;"834), day(P834)) &lt; SmartStatus!F$2:F1000))), (isblank(SmartStatus!G$2:G1000)) + (((Q834 &lt;&gt; """") * (Q834 &gt;= SmartStatus!G$2:G1000)) + ((P834 &lt;&gt; """") * (P834 &gt;= SmartStatus!G$2:G1000)))), if(or(regexmatch(B834, ""(?i)^ir [a-z]+ designation$""), N834 &lt;&gt; """&amp;"""), 1, 2))), """"), ""NO_MATCH"")"),"")</f>
        <v/>
      </c>
      <c r="AS834" s="11"/>
      <c r="AT834" s="15"/>
      <c r="AU834" s="11"/>
      <c r="AV834" s="11"/>
      <c r="AW834" s="15"/>
      <c r="AX834" s="15"/>
      <c r="AY834" s="15"/>
      <c r="AZ834" s="11"/>
      <c r="BA834" s="15"/>
      <c r="BB834" s="11"/>
      <c r="BC834" s="11"/>
      <c r="BD834" s="15"/>
      <c r="BE834" s="11"/>
      <c r="BF834" s="11"/>
      <c r="BG834" s="15"/>
      <c r="BH834" s="15"/>
      <c r="BI834" s="15"/>
      <c r="BJ834" s="11"/>
      <c r="BK834" s="15"/>
      <c r="BL834" s="11"/>
      <c r="BM834" s="11"/>
      <c r="BN834" s="15"/>
      <c r="BO834" s="11"/>
      <c r="BP834" s="11"/>
      <c r="BQ834" s="15"/>
      <c r="BR834" s="15"/>
      <c r="BS834" s="15"/>
      <c r="BT834" s="11"/>
      <c r="BU834" s="15"/>
      <c r="BV834" s="11"/>
      <c r="BW834" s="11"/>
      <c r="BX834" s="15"/>
      <c r="BY834" s="11"/>
      <c r="BZ834" s="11"/>
      <c r="CA834" s="15"/>
      <c r="CB834" s="11"/>
      <c r="CC834" s="15"/>
      <c r="CD834" s="11"/>
      <c r="CE834" s="15"/>
      <c r="CF834" s="11"/>
      <c r="CG834" s="11"/>
      <c r="CH834" s="15"/>
      <c r="CI834" s="11"/>
      <c r="CJ834" s="11"/>
      <c r="CK834" s="15"/>
      <c r="CL834" s="11"/>
      <c r="CM834" s="11"/>
      <c r="CN834" s="11"/>
      <c r="CO834" s="11"/>
      <c r="CP834" s="28"/>
      <c r="CQ834" s="28"/>
      <c r="CR834" s="11"/>
      <c r="CS834" s="29"/>
      <c r="CT834" s="11"/>
      <c r="CU834" s="11"/>
      <c r="CV834" s="11"/>
      <c r="CW834" s="11"/>
      <c r="CX834" s="11"/>
      <c r="CY834" s="11"/>
      <c r="CZ834" s="11"/>
      <c r="DA834" s="28"/>
      <c r="DB834" s="28"/>
      <c r="DC834" s="11"/>
      <c r="DD834" s="29"/>
      <c r="DE834" s="11"/>
      <c r="DF834" s="11"/>
      <c r="DG834" s="11"/>
      <c r="DH834" s="11"/>
      <c r="DI834" s="11"/>
      <c r="DJ834" s="11"/>
      <c r="DK834" s="26"/>
      <c r="DL834" s="11"/>
      <c r="DM834" s="29"/>
      <c r="DN834" s="28"/>
      <c r="DO834" s="11"/>
      <c r="DP834" s="11"/>
      <c r="DQ834" s="11"/>
      <c r="DR834" s="29"/>
      <c r="DS834" s="28"/>
      <c r="DT834" s="11"/>
      <c r="DU834" s="26"/>
      <c r="DV834" s="11"/>
      <c r="DW834" s="29"/>
      <c r="DX834" s="28"/>
      <c r="DY834" s="11"/>
      <c r="DZ834" s="26"/>
      <c r="EA834" s="11"/>
      <c r="EB834" s="29"/>
      <c r="EC834" s="28"/>
      <c r="ED834" s="30"/>
      <c r="EE834" s="30" t="str">
        <f ca="1">IFERROR(__xludf.DUMMYFUNCTION("iferror(index(filter('Internal -- Trademark Countries'!E$2:E1000, (AM834 = 'Internal -- Trademark Countries'!B$2:B1000) + (AM834 = 'Internal -- Trademark Countries'!C$2:C1000) + (AM834 = 'Internal -- Trademark Countries'!D$2:D1000)), 1))"),"")</f>
        <v/>
      </c>
      <c r="EF834" s="30" t="e">
        <f ca="1">_xludf.ifs(AM834="", "", COUNTIF('Internal -- Trademark Countries'!B:B,AM834) &gt; 0, "polity_shortest_name", COUNTIF('Internal -- Trademark Countries'!C:C,AM834) &gt; 0, "polity_full_name", COUNTIF('Internal -- Trademark Countries'!D:D,AM834) &gt; 0, "polity_common_name", COUNTIF('Internal -- Trademark Countries'!E:E,AM834) &gt; 0, "shortest_name", COUNTIF('Internal -- Trademark Countries'!A:A,AM834) &gt; 0, "full_name", TRUE, "not a match")</f>
        <v>#NAME?</v>
      </c>
      <c r="EG834" s="30"/>
      <c r="EH834" s="30"/>
      <c r="EI834" s="30"/>
      <c r="EJ834" s="30"/>
      <c r="EK834" s="30" t="str">
        <f t="shared" si="5"/>
        <v/>
      </c>
    </row>
    <row r="835" spans="1:141" ht="16.5">
      <c r="A835" s="11"/>
      <c r="B835" s="11"/>
      <c r="C835" s="11"/>
      <c r="D835" s="11"/>
      <c r="E835" s="11"/>
      <c r="F835" s="11"/>
      <c r="G835" s="11"/>
      <c r="H835" s="11"/>
      <c r="I835" s="11"/>
      <c r="J835" s="11"/>
      <c r="K835" s="27"/>
      <c r="L835" s="11"/>
      <c r="M835" s="11"/>
      <c r="N835" s="11"/>
      <c r="O835" s="11"/>
      <c r="P835" s="15"/>
      <c r="Q835" s="15"/>
      <c r="R835" s="15"/>
      <c r="S835" s="15"/>
      <c r="T835" s="15"/>
      <c r="U835" s="15"/>
      <c r="V835" s="15"/>
      <c r="W835" s="47"/>
      <c r="X835" s="11"/>
      <c r="Y835" s="48"/>
      <c r="Z835" s="11"/>
      <c r="AA835" s="48"/>
      <c r="AB835" s="11"/>
      <c r="AC835" s="48"/>
      <c r="AD835" s="11"/>
      <c r="AE835" s="47"/>
      <c r="AF835" s="11"/>
      <c r="AG835" s="48"/>
      <c r="AH835" s="11"/>
      <c r="AI835" s="48"/>
      <c r="AJ835" s="11"/>
      <c r="AK835" s="48"/>
      <c r="AL835" s="11"/>
      <c r="AM835" s="49"/>
      <c r="AN835" s="49"/>
      <c r="AO835" s="11"/>
      <c r="AP835" s="11"/>
      <c r="AQ835" s="28" t="b">
        <f>IF(COUNTIF(SmartStatus!A$2:A1000, AM835) &gt; 2, TRUE, FALSE)</f>
        <v>0</v>
      </c>
      <c r="AR835" s="29" t="str">
        <f ca="1">IFERROR(__xludf.DUMMYFUNCTION("iferror(if(regexmatch(AO835, ""(?i)^registered""), if(EE835 &lt;&gt; ""polity_shortest_name"", ""CHECK_POLITY"", index(filter(SmartStatus!B$2:B1000, AM835 = SmartStatus!A$2:A1000, not(SmartStatus!C$2:C1000), (isblank(SmartStatus!D$2:D1000)) + ((P835 &lt;&gt; """") * "&amp;"(P835 &lt; SmartStatus!D$2:D1000)), (isblank(SmartStatus!E$2:E1000)) + ((P835 &lt;&gt; """") * (P835 &gt;= SmartStatus!E$2:E1000)), (isblank(SmartStatus!F$2:F1000)) + (((Q835 &lt;&gt; """") * (Q835 &lt; SmartStatus!F$2:F1000)) + ((P835 &lt;&gt; """") * (date(year(P835) + 3, month(P"&amp;"835), day(P835)) &lt; SmartStatus!F$2:F1000))), (isblank(SmartStatus!G$2:G1000)) + (((Q835 &lt;&gt; """") * (Q835 &gt;= SmartStatus!G$2:G1000)) + ((P835 &lt;&gt; """") * (P835 &gt;= SmartStatus!G$2:G1000)))), if(or(regexmatch(B835, ""(?i)^ir [a-z]+ designation$""), N835 &lt;&gt; """&amp;"""), 1, 2))), """"), ""NO_MATCH"")"),"")</f>
        <v/>
      </c>
      <c r="AS835" s="11"/>
      <c r="AT835" s="15"/>
      <c r="AU835" s="11"/>
      <c r="AV835" s="11"/>
      <c r="AW835" s="15"/>
      <c r="AX835" s="15"/>
      <c r="AY835" s="15"/>
      <c r="AZ835" s="11"/>
      <c r="BA835" s="15"/>
      <c r="BB835" s="11"/>
      <c r="BC835" s="11"/>
      <c r="BD835" s="15"/>
      <c r="BE835" s="11"/>
      <c r="BF835" s="11"/>
      <c r="BG835" s="15"/>
      <c r="BH835" s="15"/>
      <c r="BI835" s="15"/>
      <c r="BJ835" s="11"/>
      <c r="BK835" s="15"/>
      <c r="BL835" s="11"/>
      <c r="BM835" s="11"/>
      <c r="BN835" s="15"/>
      <c r="BO835" s="11"/>
      <c r="BP835" s="11"/>
      <c r="BQ835" s="15"/>
      <c r="BR835" s="15"/>
      <c r="BS835" s="15"/>
      <c r="BT835" s="11"/>
      <c r="BU835" s="15"/>
      <c r="BV835" s="11"/>
      <c r="BW835" s="11"/>
      <c r="BX835" s="15"/>
      <c r="BY835" s="11"/>
      <c r="BZ835" s="11"/>
      <c r="CA835" s="15"/>
      <c r="CB835" s="11"/>
      <c r="CC835" s="15"/>
      <c r="CD835" s="11"/>
      <c r="CE835" s="15"/>
      <c r="CF835" s="11"/>
      <c r="CG835" s="11"/>
      <c r="CH835" s="15"/>
      <c r="CI835" s="11"/>
      <c r="CJ835" s="11"/>
      <c r="CK835" s="15"/>
      <c r="CL835" s="11"/>
      <c r="CM835" s="11"/>
      <c r="CN835" s="11"/>
      <c r="CO835" s="11"/>
      <c r="CP835" s="28"/>
      <c r="CQ835" s="28"/>
      <c r="CR835" s="11"/>
      <c r="CS835" s="29"/>
      <c r="CT835" s="11"/>
      <c r="CU835" s="11"/>
      <c r="CV835" s="11"/>
      <c r="CW835" s="11"/>
      <c r="CX835" s="11"/>
      <c r="CY835" s="11"/>
      <c r="CZ835" s="11"/>
      <c r="DA835" s="28"/>
      <c r="DB835" s="28"/>
      <c r="DC835" s="11"/>
      <c r="DD835" s="29"/>
      <c r="DE835" s="11"/>
      <c r="DF835" s="11"/>
      <c r="DG835" s="11"/>
      <c r="DH835" s="11"/>
      <c r="DI835" s="11"/>
      <c r="DJ835" s="11"/>
      <c r="DK835" s="26"/>
      <c r="DL835" s="11"/>
      <c r="DM835" s="29"/>
      <c r="DN835" s="28"/>
      <c r="DO835" s="11"/>
      <c r="DP835" s="11"/>
      <c r="DQ835" s="11"/>
      <c r="DR835" s="29"/>
      <c r="DS835" s="28"/>
      <c r="DT835" s="11"/>
      <c r="DU835" s="26"/>
      <c r="DV835" s="11"/>
      <c r="DW835" s="29"/>
      <c r="DX835" s="28"/>
      <c r="DY835" s="11"/>
      <c r="DZ835" s="26"/>
      <c r="EA835" s="11"/>
      <c r="EB835" s="29"/>
      <c r="EC835" s="28"/>
      <c r="ED835" s="30"/>
      <c r="EE835" s="30" t="str">
        <f ca="1">IFERROR(__xludf.DUMMYFUNCTION("iferror(index(filter('Internal -- Trademark Countries'!E$2:E1000, (AM835 = 'Internal -- Trademark Countries'!B$2:B1000) + (AM835 = 'Internal -- Trademark Countries'!C$2:C1000) + (AM835 = 'Internal -- Trademark Countries'!D$2:D1000)), 1))"),"")</f>
        <v/>
      </c>
      <c r="EF835" s="30" t="e">
        <f ca="1">_xludf.ifs(AM835="", "", COUNTIF('Internal -- Trademark Countries'!B:B,AM835) &gt; 0, "polity_shortest_name", COUNTIF('Internal -- Trademark Countries'!C:C,AM835) &gt; 0, "polity_full_name", COUNTIF('Internal -- Trademark Countries'!D:D,AM835) &gt; 0, "polity_common_name", COUNTIF('Internal -- Trademark Countries'!E:E,AM835) &gt; 0, "shortest_name", COUNTIF('Internal -- Trademark Countries'!A:A,AM835) &gt; 0, "full_name", TRUE, "not a match")</f>
        <v>#NAME?</v>
      </c>
      <c r="EG835" s="30"/>
      <c r="EH835" s="30"/>
      <c r="EI835" s="30"/>
      <c r="EJ835" s="30"/>
      <c r="EK835" s="30" t="str">
        <f t="shared" si="5"/>
        <v/>
      </c>
    </row>
    <row r="836" spans="1:141" ht="16.5">
      <c r="A836" s="11"/>
      <c r="B836" s="11"/>
      <c r="C836" s="11"/>
      <c r="D836" s="11"/>
      <c r="E836" s="11"/>
      <c r="F836" s="11"/>
      <c r="G836" s="11"/>
      <c r="H836" s="11"/>
      <c r="I836" s="11"/>
      <c r="J836" s="11"/>
      <c r="K836" s="27"/>
      <c r="L836" s="11"/>
      <c r="M836" s="11"/>
      <c r="N836" s="11"/>
      <c r="O836" s="11"/>
      <c r="P836" s="15"/>
      <c r="Q836" s="15"/>
      <c r="R836" s="15"/>
      <c r="S836" s="15"/>
      <c r="T836" s="15"/>
      <c r="U836" s="15"/>
      <c r="V836" s="15"/>
      <c r="W836" s="47"/>
      <c r="X836" s="11"/>
      <c r="Y836" s="48"/>
      <c r="Z836" s="11"/>
      <c r="AA836" s="48"/>
      <c r="AB836" s="11"/>
      <c r="AC836" s="48"/>
      <c r="AD836" s="11"/>
      <c r="AE836" s="47"/>
      <c r="AF836" s="11"/>
      <c r="AG836" s="48"/>
      <c r="AH836" s="11"/>
      <c r="AI836" s="48"/>
      <c r="AJ836" s="11"/>
      <c r="AK836" s="48"/>
      <c r="AL836" s="11"/>
      <c r="AM836" s="49"/>
      <c r="AN836" s="49"/>
      <c r="AO836" s="11"/>
      <c r="AP836" s="11"/>
      <c r="AQ836" s="28" t="b">
        <f>IF(COUNTIF(SmartStatus!A$2:A1000, AM836) &gt; 2, TRUE, FALSE)</f>
        <v>0</v>
      </c>
      <c r="AR836" s="29" t="str">
        <f ca="1">IFERROR(__xludf.DUMMYFUNCTION("iferror(if(regexmatch(AO836, ""(?i)^registered""), if(EE836 &lt;&gt; ""polity_shortest_name"", ""CHECK_POLITY"", index(filter(SmartStatus!B$2:B1000, AM836 = SmartStatus!A$2:A1000, not(SmartStatus!C$2:C1000), (isblank(SmartStatus!D$2:D1000)) + ((P836 &lt;&gt; """") * "&amp;"(P836 &lt; SmartStatus!D$2:D1000)), (isblank(SmartStatus!E$2:E1000)) + ((P836 &lt;&gt; """") * (P836 &gt;= SmartStatus!E$2:E1000)), (isblank(SmartStatus!F$2:F1000)) + (((Q836 &lt;&gt; """") * (Q836 &lt; SmartStatus!F$2:F1000)) + ((P836 &lt;&gt; """") * (date(year(P836) + 3, month(P"&amp;"836), day(P836)) &lt; SmartStatus!F$2:F1000))), (isblank(SmartStatus!G$2:G1000)) + (((Q836 &lt;&gt; """") * (Q836 &gt;= SmartStatus!G$2:G1000)) + ((P836 &lt;&gt; """") * (P836 &gt;= SmartStatus!G$2:G1000)))), if(or(regexmatch(B836, ""(?i)^ir [a-z]+ designation$""), N836 &lt;&gt; """&amp;"""), 1, 2))), """"), ""NO_MATCH"")"),"")</f>
        <v/>
      </c>
      <c r="AS836" s="11"/>
      <c r="AT836" s="15"/>
      <c r="AU836" s="11"/>
      <c r="AV836" s="11"/>
      <c r="AW836" s="15"/>
      <c r="AX836" s="15"/>
      <c r="AY836" s="15"/>
      <c r="AZ836" s="11"/>
      <c r="BA836" s="15"/>
      <c r="BB836" s="11"/>
      <c r="BC836" s="11"/>
      <c r="BD836" s="15"/>
      <c r="BE836" s="11"/>
      <c r="BF836" s="11"/>
      <c r="BG836" s="15"/>
      <c r="BH836" s="15"/>
      <c r="BI836" s="15"/>
      <c r="BJ836" s="11"/>
      <c r="BK836" s="15"/>
      <c r="BL836" s="11"/>
      <c r="BM836" s="11"/>
      <c r="BN836" s="15"/>
      <c r="BO836" s="11"/>
      <c r="BP836" s="11"/>
      <c r="BQ836" s="15"/>
      <c r="BR836" s="15"/>
      <c r="BS836" s="15"/>
      <c r="BT836" s="11"/>
      <c r="BU836" s="15"/>
      <c r="BV836" s="11"/>
      <c r="BW836" s="11"/>
      <c r="BX836" s="15"/>
      <c r="BY836" s="11"/>
      <c r="BZ836" s="11"/>
      <c r="CA836" s="15"/>
      <c r="CB836" s="11"/>
      <c r="CC836" s="15"/>
      <c r="CD836" s="11"/>
      <c r="CE836" s="15"/>
      <c r="CF836" s="11"/>
      <c r="CG836" s="11"/>
      <c r="CH836" s="15"/>
      <c r="CI836" s="11"/>
      <c r="CJ836" s="11"/>
      <c r="CK836" s="15"/>
      <c r="CL836" s="11"/>
      <c r="CM836" s="11"/>
      <c r="CN836" s="11"/>
      <c r="CO836" s="11"/>
      <c r="CP836" s="28"/>
      <c r="CQ836" s="28"/>
      <c r="CR836" s="11"/>
      <c r="CS836" s="29"/>
      <c r="CT836" s="11"/>
      <c r="CU836" s="11"/>
      <c r="CV836" s="11"/>
      <c r="CW836" s="11"/>
      <c r="CX836" s="11"/>
      <c r="CY836" s="11"/>
      <c r="CZ836" s="11"/>
      <c r="DA836" s="28"/>
      <c r="DB836" s="28"/>
      <c r="DC836" s="11"/>
      <c r="DD836" s="29"/>
      <c r="DE836" s="11"/>
      <c r="DF836" s="11"/>
      <c r="DG836" s="11"/>
      <c r="DH836" s="11"/>
      <c r="DI836" s="11"/>
      <c r="DJ836" s="11"/>
      <c r="DK836" s="26"/>
      <c r="DL836" s="11"/>
      <c r="DM836" s="29"/>
      <c r="DN836" s="28"/>
      <c r="DO836" s="11"/>
      <c r="DP836" s="11"/>
      <c r="DQ836" s="11"/>
      <c r="DR836" s="29"/>
      <c r="DS836" s="28"/>
      <c r="DT836" s="11"/>
      <c r="DU836" s="26"/>
      <c r="DV836" s="11"/>
      <c r="DW836" s="29"/>
      <c r="DX836" s="28"/>
      <c r="DY836" s="11"/>
      <c r="DZ836" s="26"/>
      <c r="EA836" s="11"/>
      <c r="EB836" s="29"/>
      <c r="EC836" s="28"/>
      <c r="ED836" s="30"/>
      <c r="EE836" s="30" t="str">
        <f ca="1">IFERROR(__xludf.DUMMYFUNCTION("iferror(index(filter('Internal -- Trademark Countries'!E$2:E1000, (AM836 = 'Internal -- Trademark Countries'!B$2:B1000) + (AM836 = 'Internal -- Trademark Countries'!C$2:C1000) + (AM836 = 'Internal -- Trademark Countries'!D$2:D1000)), 1))"),"")</f>
        <v/>
      </c>
      <c r="EF836" s="30" t="e">
        <f ca="1">_xludf.ifs(AM836="", "", COUNTIF('Internal -- Trademark Countries'!B:B,AM836) &gt; 0, "polity_shortest_name", COUNTIF('Internal -- Trademark Countries'!C:C,AM836) &gt; 0, "polity_full_name", COUNTIF('Internal -- Trademark Countries'!D:D,AM836) &gt; 0, "polity_common_name", COUNTIF('Internal -- Trademark Countries'!E:E,AM836) &gt; 0, "shortest_name", COUNTIF('Internal -- Trademark Countries'!A:A,AM836) &gt; 0, "full_name", TRUE, "not a match")</f>
        <v>#NAME?</v>
      </c>
      <c r="EG836" s="30"/>
      <c r="EH836" s="30"/>
      <c r="EI836" s="30"/>
      <c r="EJ836" s="30"/>
      <c r="EK836" s="30" t="str">
        <f t="shared" si="5"/>
        <v/>
      </c>
    </row>
    <row r="837" spans="1:141" ht="16.5">
      <c r="A837" s="11"/>
      <c r="B837" s="11"/>
      <c r="C837" s="11"/>
      <c r="D837" s="11"/>
      <c r="E837" s="11"/>
      <c r="F837" s="11"/>
      <c r="G837" s="11"/>
      <c r="H837" s="11"/>
      <c r="I837" s="11"/>
      <c r="J837" s="11"/>
      <c r="K837" s="27"/>
      <c r="L837" s="11"/>
      <c r="M837" s="11"/>
      <c r="N837" s="11"/>
      <c r="O837" s="11"/>
      <c r="P837" s="15"/>
      <c r="Q837" s="15"/>
      <c r="R837" s="15"/>
      <c r="S837" s="15"/>
      <c r="T837" s="15"/>
      <c r="U837" s="15"/>
      <c r="V837" s="15"/>
      <c r="W837" s="47"/>
      <c r="X837" s="11"/>
      <c r="Y837" s="48"/>
      <c r="Z837" s="11"/>
      <c r="AA837" s="48"/>
      <c r="AB837" s="11"/>
      <c r="AC837" s="48"/>
      <c r="AD837" s="11"/>
      <c r="AE837" s="47"/>
      <c r="AF837" s="11"/>
      <c r="AG837" s="48"/>
      <c r="AH837" s="11"/>
      <c r="AI837" s="48"/>
      <c r="AJ837" s="11"/>
      <c r="AK837" s="48"/>
      <c r="AL837" s="11"/>
      <c r="AM837" s="49"/>
      <c r="AN837" s="49"/>
      <c r="AO837" s="11"/>
      <c r="AP837" s="11"/>
      <c r="AQ837" s="28" t="b">
        <f>IF(COUNTIF(SmartStatus!A$2:A1000, AM837) &gt; 2, TRUE, FALSE)</f>
        <v>0</v>
      </c>
      <c r="AR837" s="29" t="str">
        <f ca="1">IFERROR(__xludf.DUMMYFUNCTION("iferror(if(regexmatch(AO837, ""(?i)^registered""), if(EE837 &lt;&gt; ""polity_shortest_name"", ""CHECK_POLITY"", index(filter(SmartStatus!B$2:B1000, AM837 = SmartStatus!A$2:A1000, not(SmartStatus!C$2:C1000), (isblank(SmartStatus!D$2:D1000)) + ((P837 &lt;&gt; """") * "&amp;"(P837 &lt; SmartStatus!D$2:D1000)), (isblank(SmartStatus!E$2:E1000)) + ((P837 &lt;&gt; """") * (P837 &gt;= SmartStatus!E$2:E1000)), (isblank(SmartStatus!F$2:F1000)) + (((Q837 &lt;&gt; """") * (Q837 &lt; SmartStatus!F$2:F1000)) + ((P837 &lt;&gt; """") * (date(year(P837) + 3, month(P"&amp;"837), day(P837)) &lt; SmartStatus!F$2:F1000))), (isblank(SmartStatus!G$2:G1000)) + (((Q837 &lt;&gt; """") * (Q837 &gt;= SmartStatus!G$2:G1000)) + ((P837 &lt;&gt; """") * (P837 &gt;= SmartStatus!G$2:G1000)))), if(or(regexmatch(B837, ""(?i)^ir [a-z]+ designation$""), N837 &lt;&gt; """&amp;"""), 1, 2))), """"), ""NO_MATCH"")"),"")</f>
        <v/>
      </c>
      <c r="AS837" s="11"/>
      <c r="AT837" s="15"/>
      <c r="AU837" s="11"/>
      <c r="AV837" s="11"/>
      <c r="AW837" s="15"/>
      <c r="AX837" s="15"/>
      <c r="AY837" s="15"/>
      <c r="AZ837" s="11"/>
      <c r="BA837" s="15"/>
      <c r="BB837" s="11"/>
      <c r="BC837" s="11"/>
      <c r="BD837" s="15"/>
      <c r="BE837" s="11"/>
      <c r="BF837" s="11"/>
      <c r="BG837" s="15"/>
      <c r="BH837" s="15"/>
      <c r="BI837" s="15"/>
      <c r="BJ837" s="11"/>
      <c r="BK837" s="15"/>
      <c r="BL837" s="11"/>
      <c r="BM837" s="11"/>
      <c r="BN837" s="15"/>
      <c r="BO837" s="11"/>
      <c r="BP837" s="11"/>
      <c r="BQ837" s="15"/>
      <c r="BR837" s="15"/>
      <c r="BS837" s="15"/>
      <c r="BT837" s="11"/>
      <c r="BU837" s="15"/>
      <c r="BV837" s="11"/>
      <c r="BW837" s="11"/>
      <c r="BX837" s="15"/>
      <c r="BY837" s="11"/>
      <c r="BZ837" s="11"/>
      <c r="CA837" s="15"/>
      <c r="CB837" s="11"/>
      <c r="CC837" s="15"/>
      <c r="CD837" s="11"/>
      <c r="CE837" s="15"/>
      <c r="CF837" s="11"/>
      <c r="CG837" s="11"/>
      <c r="CH837" s="15"/>
      <c r="CI837" s="11"/>
      <c r="CJ837" s="11"/>
      <c r="CK837" s="15"/>
      <c r="CL837" s="11"/>
      <c r="CM837" s="11"/>
      <c r="CN837" s="11"/>
      <c r="CO837" s="11"/>
      <c r="CP837" s="28"/>
      <c r="CQ837" s="28"/>
      <c r="CR837" s="11"/>
      <c r="CS837" s="29"/>
      <c r="CT837" s="11"/>
      <c r="CU837" s="11"/>
      <c r="CV837" s="11"/>
      <c r="CW837" s="11"/>
      <c r="CX837" s="11"/>
      <c r="CY837" s="11"/>
      <c r="CZ837" s="11"/>
      <c r="DA837" s="28"/>
      <c r="DB837" s="28"/>
      <c r="DC837" s="11"/>
      <c r="DD837" s="29"/>
      <c r="DE837" s="11"/>
      <c r="DF837" s="11"/>
      <c r="DG837" s="11"/>
      <c r="DH837" s="11"/>
      <c r="DI837" s="11"/>
      <c r="DJ837" s="11"/>
      <c r="DK837" s="26"/>
      <c r="DL837" s="11"/>
      <c r="DM837" s="29"/>
      <c r="DN837" s="28"/>
      <c r="DO837" s="11"/>
      <c r="DP837" s="11"/>
      <c r="DQ837" s="11"/>
      <c r="DR837" s="29"/>
      <c r="DS837" s="28"/>
      <c r="DT837" s="11"/>
      <c r="DU837" s="26"/>
      <c r="DV837" s="11"/>
      <c r="DW837" s="29"/>
      <c r="DX837" s="28"/>
      <c r="DY837" s="11"/>
      <c r="DZ837" s="26"/>
      <c r="EA837" s="11"/>
      <c r="EB837" s="29"/>
      <c r="EC837" s="28"/>
      <c r="ED837" s="30"/>
      <c r="EE837" s="30" t="str">
        <f ca="1">IFERROR(__xludf.DUMMYFUNCTION("iferror(index(filter('Internal -- Trademark Countries'!E$2:E1000, (AM837 = 'Internal -- Trademark Countries'!B$2:B1000) + (AM837 = 'Internal -- Trademark Countries'!C$2:C1000) + (AM837 = 'Internal -- Trademark Countries'!D$2:D1000)), 1))"),"")</f>
        <v/>
      </c>
      <c r="EF837" s="30" t="e">
        <f ca="1">_xludf.ifs(AM837="", "", COUNTIF('Internal -- Trademark Countries'!B:B,AM837) &gt; 0, "polity_shortest_name", COUNTIF('Internal -- Trademark Countries'!C:C,AM837) &gt; 0, "polity_full_name", COUNTIF('Internal -- Trademark Countries'!D:D,AM837) &gt; 0, "polity_common_name", COUNTIF('Internal -- Trademark Countries'!E:E,AM837) &gt; 0, "shortest_name", COUNTIF('Internal -- Trademark Countries'!A:A,AM837) &gt; 0, "full_name", TRUE, "not a match")</f>
        <v>#NAME?</v>
      </c>
      <c r="EG837" s="30"/>
      <c r="EH837" s="30"/>
      <c r="EI837" s="30"/>
      <c r="EJ837" s="30"/>
      <c r="EK837" s="30" t="str">
        <f t="shared" si="5"/>
        <v/>
      </c>
    </row>
    <row r="838" spans="1:141" ht="16.5">
      <c r="A838" s="11"/>
      <c r="B838" s="11"/>
      <c r="C838" s="11"/>
      <c r="D838" s="11"/>
      <c r="E838" s="11"/>
      <c r="F838" s="11"/>
      <c r="G838" s="11"/>
      <c r="H838" s="11"/>
      <c r="I838" s="11"/>
      <c r="J838" s="11"/>
      <c r="K838" s="27"/>
      <c r="L838" s="11"/>
      <c r="M838" s="11"/>
      <c r="N838" s="11"/>
      <c r="O838" s="11"/>
      <c r="P838" s="15"/>
      <c r="Q838" s="15"/>
      <c r="R838" s="15"/>
      <c r="S838" s="15"/>
      <c r="T838" s="15"/>
      <c r="U838" s="15"/>
      <c r="V838" s="15"/>
      <c r="W838" s="47"/>
      <c r="X838" s="11"/>
      <c r="Y838" s="48"/>
      <c r="Z838" s="11"/>
      <c r="AA838" s="48"/>
      <c r="AB838" s="11"/>
      <c r="AC838" s="48"/>
      <c r="AD838" s="11"/>
      <c r="AE838" s="47"/>
      <c r="AF838" s="11"/>
      <c r="AG838" s="48"/>
      <c r="AH838" s="11"/>
      <c r="AI838" s="48"/>
      <c r="AJ838" s="11"/>
      <c r="AK838" s="48"/>
      <c r="AL838" s="11"/>
      <c r="AM838" s="49"/>
      <c r="AN838" s="49"/>
      <c r="AO838" s="11"/>
      <c r="AP838" s="11"/>
      <c r="AQ838" s="28" t="b">
        <f>IF(COUNTIF(SmartStatus!A$2:A1000, AM838) &gt; 2, TRUE, FALSE)</f>
        <v>0</v>
      </c>
      <c r="AR838" s="29" t="str">
        <f ca="1">IFERROR(__xludf.DUMMYFUNCTION("iferror(if(regexmatch(AO838, ""(?i)^registered""), if(EE838 &lt;&gt; ""polity_shortest_name"", ""CHECK_POLITY"", index(filter(SmartStatus!B$2:B1000, AM838 = SmartStatus!A$2:A1000, not(SmartStatus!C$2:C1000), (isblank(SmartStatus!D$2:D1000)) + ((P838 &lt;&gt; """") * "&amp;"(P838 &lt; SmartStatus!D$2:D1000)), (isblank(SmartStatus!E$2:E1000)) + ((P838 &lt;&gt; """") * (P838 &gt;= SmartStatus!E$2:E1000)), (isblank(SmartStatus!F$2:F1000)) + (((Q838 &lt;&gt; """") * (Q838 &lt; SmartStatus!F$2:F1000)) + ((P838 &lt;&gt; """") * (date(year(P838) + 3, month(P"&amp;"838), day(P838)) &lt; SmartStatus!F$2:F1000))), (isblank(SmartStatus!G$2:G1000)) + (((Q838 &lt;&gt; """") * (Q838 &gt;= SmartStatus!G$2:G1000)) + ((P838 &lt;&gt; """") * (P838 &gt;= SmartStatus!G$2:G1000)))), if(or(regexmatch(B838, ""(?i)^ir [a-z]+ designation$""), N838 &lt;&gt; """&amp;"""), 1, 2))), """"), ""NO_MATCH"")"),"")</f>
        <v/>
      </c>
      <c r="AS838" s="11"/>
      <c r="AT838" s="15"/>
      <c r="AU838" s="11"/>
      <c r="AV838" s="11"/>
      <c r="AW838" s="15"/>
      <c r="AX838" s="15"/>
      <c r="AY838" s="15"/>
      <c r="AZ838" s="11"/>
      <c r="BA838" s="15"/>
      <c r="BB838" s="11"/>
      <c r="BC838" s="11"/>
      <c r="BD838" s="15"/>
      <c r="BE838" s="11"/>
      <c r="BF838" s="11"/>
      <c r="BG838" s="15"/>
      <c r="BH838" s="15"/>
      <c r="BI838" s="15"/>
      <c r="BJ838" s="11"/>
      <c r="BK838" s="15"/>
      <c r="BL838" s="11"/>
      <c r="BM838" s="11"/>
      <c r="BN838" s="15"/>
      <c r="BO838" s="11"/>
      <c r="BP838" s="11"/>
      <c r="BQ838" s="15"/>
      <c r="BR838" s="15"/>
      <c r="BS838" s="15"/>
      <c r="BT838" s="11"/>
      <c r="BU838" s="15"/>
      <c r="BV838" s="11"/>
      <c r="BW838" s="11"/>
      <c r="BX838" s="15"/>
      <c r="BY838" s="11"/>
      <c r="BZ838" s="11"/>
      <c r="CA838" s="15"/>
      <c r="CB838" s="11"/>
      <c r="CC838" s="15"/>
      <c r="CD838" s="11"/>
      <c r="CE838" s="15"/>
      <c r="CF838" s="11"/>
      <c r="CG838" s="11"/>
      <c r="CH838" s="15"/>
      <c r="CI838" s="11"/>
      <c r="CJ838" s="11"/>
      <c r="CK838" s="15"/>
      <c r="CL838" s="11"/>
      <c r="CM838" s="11"/>
      <c r="CN838" s="11"/>
      <c r="CO838" s="11"/>
      <c r="CP838" s="28"/>
      <c r="CQ838" s="28"/>
      <c r="CR838" s="11"/>
      <c r="CS838" s="29"/>
      <c r="CT838" s="11"/>
      <c r="CU838" s="11"/>
      <c r="CV838" s="11"/>
      <c r="CW838" s="11"/>
      <c r="CX838" s="11"/>
      <c r="CY838" s="11"/>
      <c r="CZ838" s="11"/>
      <c r="DA838" s="28"/>
      <c r="DB838" s="28"/>
      <c r="DC838" s="11"/>
      <c r="DD838" s="29"/>
      <c r="DE838" s="11"/>
      <c r="DF838" s="11"/>
      <c r="DG838" s="11"/>
      <c r="DH838" s="11"/>
      <c r="DI838" s="11"/>
      <c r="DJ838" s="11"/>
      <c r="DK838" s="26"/>
      <c r="DL838" s="11"/>
      <c r="DM838" s="29"/>
      <c r="DN838" s="28"/>
      <c r="DO838" s="11"/>
      <c r="DP838" s="11"/>
      <c r="DQ838" s="11"/>
      <c r="DR838" s="29"/>
      <c r="DS838" s="28"/>
      <c r="DT838" s="11"/>
      <c r="DU838" s="26"/>
      <c r="DV838" s="11"/>
      <c r="DW838" s="29"/>
      <c r="DX838" s="28"/>
      <c r="DY838" s="11"/>
      <c r="DZ838" s="26"/>
      <c r="EA838" s="11"/>
      <c r="EB838" s="29"/>
      <c r="EC838" s="28"/>
      <c r="ED838" s="30"/>
      <c r="EE838" s="30" t="str">
        <f ca="1">IFERROR(__xludf.DUMMYFUNCTION("iferror(index(filter('Internal -- Trademark Countries'!E$2:E1000, (AM838 = 'Internal -- Trademark Countries'!B$2:B1000) + (AM838 = 'Internal -- Trademark Countries'!C$2:C1000) + (AM838 = 'Internal -- Trademark Countries'!D$2:D1000)), 1))"),"")</f>
        <v/>
      </c>
      <c r="EF838" s="30" t="e">
        <f ca="1">_xludf.ifs(AM838="", "", COUNTIF('Internal -- Trademark Countries'!B:B,AM838) &gt; 0, "polity_shortest_name", COUNTIF('Internal -- Trademark Countries'!C:C,AM838) &gt; 0, "polity_full_name", COUNTIF('Internal -- Trademark Countries'!D:D,AM838) &gt; 0, "polity_common_name", COUNTIF('Internal -- Trademark Countries'!E:E,AM838) &gt; 0, "shortest_name", COUNTIF('Internal -- Trademark Countries'!A:A,AM838) &gt; 0, "full_name", TRUE, "not a match")</f>
        <v>#NAME?</v>
      </c>
      <c r="EG838" s="30"/>
      <c r="EH838" s="30"/>
      <c r="EI838" s="30"/>
      <c r="EJ838" s="30"/>
      <c r="EK838" s="30" t="str">
        <f t="shared" si="5"/>
        <v/>
      </c>
    </row>
    <row r="839" spans="1:141" ht="16.5">
      <c r="A839" s="11"/>
      <c r="B839" s="11"/>
      <c r="C839" s="11"/>
      <c r="D839" s="11"/>
      <c r="E839" s="11"/>
      <c r="F839" s="11"/>
      <c r="G839" s="11"/>
      <c r="H839" s="11"/>
      <c r="I839" s="11"/>
      <c r="J839" s="11"/>
      <c r="K839" s="27"/>
      <c r="L839" s="11"/>
      <c r="M839" s="11"/>
      <c r="N839" s="11"/>
      <c r="O839" s="11"/>
      <c r="P839" s="15"/>
      <c r="Q839" s="15"/>
      <c r="R839" s="15"/>
      <c r="S839" s="15"/>
      <c r="T839" s="15"/>
      <c r="U839" s="15"/>
      <c r="V839" s="15"/>
      <c r="W839" s="47"/>
      <c r="X839" s="11"/>
      <c r="Y839" s="48"/>
      <c r="Z839" s="11"/>
      <c r="AA839" s="48"/>
      <c r="AB839" s="11"/>
      <c r="AC839" s="48"/>
      <c r="AD839" s="11"/>
      <c r="AE839" s="47"/>
      <c r="AF839" s="11"/>
      <c r="AG839" s="48"/>
      <c r="AH839" s="11"/>
      <c r="AI839" s="48"/>
      <c r="AJ839" s="11"/>
      <c r="AK839" s="48"/>
      <c r="AL839" s="11"/>
      <c r="AM839" s="49"/>
      <c r="AN839" s="49"/>
      <c r="AO839" s="11"/>
      <c r="AP839" s="11"/>
      <c r="AQ839" s="28" t="b">
        <f>IF(COUNTIF(SmartStatus!A$2:A1000, AM839) &gt; 2, TRUE, FALSE)</f>
        <v>0</v>
      </c>
      <c r="AR839" s="29" t="str">
        <f ca="1">IFERROR(__xludf.DUMMYFUNCTION("iferror(if(regexmatch(AO839, ""(?i)^registered""), if(EE839 &lt;&gt; ""polity_shortest_name"", ""CHECK_POLITY"", index(filter(SmartStatus!B$2:B1000, AM839 = SmartStatus!A$2:A1000, not(SmartStatus!C$2:C1000), (isblank(SmartStatus!D$2:D1000)) + ((P839 &lt;&gt; """") * "&amp;"(P839 &lt; SmartStatus!D$2:D1000)), (isblank(SmartStatus!E$2:E1000)) + ((P839 &lt;&gt; """") * (P839 &gt;= SmartStatus!E$2:E1000)), (isblank(SmartStatus!F$2:F1000)) + (((Q839 &lt;&gt; """") * (Q839 &lt; SmartStatus!F$2:F1000)) + ((P839 &lt;&gt; """") * (date(year(P839) + 3, month(P"&amp;"839), day(P839)) &lt; SmartStatus!F$2:F1000))), (isblank(SmartStatus!G$2:G1000)) + (((Q839 &lt;&gt; """") * (Q839 &gt;= SmartStatus!G$2:G1000)) + ((P839 &lt;&gt; """") * (P839 &gt;= SmartStatus!G$2:G1000)))), if(or(regexmatch(B839, ""(?i)^ir [a-z]+ designation$""), N839 &lt;&gt; """&amp;"""), 1, 2))), """"), ""NO_MATCH"")"),"")</f>
        <v/>
      </c>
      <c r="AS839" s="11"/>
      <c r="AT839" s="15"/>
      <c r="AU839" s="11"/>
      <c r="AV839" s="11"/>
      <c r="AW839" s="15"/>
      <c r="AX839" s="15"/>
      <c r="AY839" s="15"/>
      <c r="AZ839" s="11"/>
      <c r="BA839" s="15"/>
      <c r="BB839" s="11"/>
      <c r="BC839" s="11"/>
      <c r="BD839" s="15"/>
      <c r="BE839" s="11"/>
      <c r="BF839" s="11"/>
      <c r="BG839" s="15"/>
      <c r="BH839" s="15"/>
      <c r="BI839" s="15"/>
      <c r="BJ839" s="11"/>
      <c r="BK839" s="15"/>
      <c r="BL839" s="11"/>
      <c r="BM839" s="11"/>
      <c r="BN839" s="15"/>
      <c r="BO839" s="11"/>
      <c r="BP839" s="11"/>
      <c r="BQ839" s="15"/>
      <c r="BR839" s="15"/>
      <c r="BS839" s="15"/>
      <c r="BT839" s="11"/>
      <c r="BU839" s="15"/>
      <c r="BV839" s="11"/>
      <c r="BW839" s="11"/>
      <c r="BX839" s="15"/>
      <c r="BY839" s="11"/>
      <c r="BZ839" s="11"/>
      <c r="CA839" s="15"/>
      <c r="CB839" s="11"/>
      <c r="CC839" s="15"/>
      <c r="CD839" s="11"/>
      <c r="CE839" s="15"/>
      <c r="CF839" s="11"/>
      <c r="CG839" s="11"/>
      <c r="CH839" s="15"/>
      <c r="CI839" s="11"/>
      <c r="CJ839" s="11"/>
      <c r="CK839" s="15"/>
      <c r="CL839" s="11"/>
      <c r="CM839" s="11"/>
      <c r="CN839" s="11"/>
      <c r="CO839" s="11"/>
      <c r="CP839" s="28"/>
      <c r="CQ839" s="28"/>
      <c r="CR839" s="11"/>
      <c r="CS839" s="29"/>
      <c r="CT839" s="11"/>
      <c r="CU839" s="11"/>
      <c r="CV839" s="11"/>
      <c r="CW839" s="11"/>
      <c r="CX839" s="11"/>
      <c r="CY839" s="11"/>
      <c r="CZ839" s="11"/>
      <c r="DA839" s="28"/>
      <c r="DB839" s="28"/>
      <c r="DC839" s="11"/>
      <c r="DD839" s="29"/>
      <c r="DE839" s="11"/>
      <c r="DF839" s="11"/>
      <c r="DG839" s="11"/>
      <c r="DH839" s="11"/>
      <c r="DI839" s="11"/>
      <c r="DJ839" s="11"/>
      <c r="DK839" s="26"/>
      <c r="DL839" s="11"/>
      <c r="DM839" s="29"/>
      <c r="DN839" s="28"/>
      <c r="DO839" s="11"/>
      <c r="DP839" s="11"/>
      <c r="DQ839" s="11"/>
      <c r="DR839" s="29"/>
      <c r="DS839" s="28"/>
      <c r="DT839" s="11"/>
      <c r="DU839" s="26"/>
      <c r="DV839" s="11"/>
      <c r="DW839" s="29"/>
      <c r="DX839" s="28"/>
      <c r="DY839" s="11"/>
      <c r="DZ839" s="26"/>
      <c r="EA839" s="11"/>
      <c r="EB839" s="29"/>
      <c r="EC839" s="28"/>
      <c r="ED839" s="30"/>
      <c r="EE839" s="30" t="str">
        <f ca="1">IFERROR(__xludf.DUMMYFUNCTION("iferror(index(filter('Internal -- Trademark Countries'!E$2:E1000, (AM839 = 'Internal -- Trademark Countries'!B$2:B1000) + (AM839 = 'Internal -- Trademark Countries'!C$2:C1000) + (AM839 = 'Internal -- Trademark Countries'!D$2:D1000)), 1))"),"")</f>
        <v/>
      </c>
      <c r="EF839" s="30" t="e">
        <f ca="1">_xludf.ifs(AM839="", "", COUNTIF('Internal -- Trademark Countries'!B:B,AM839) &gt; 0, "polity_shortest_name", COUNTIF('Internal -- Trademark Countries'!C:C,AM839) &gt; 0, "polity_full_name", COUNTIF('Internal -- Trademark Countries'!D:D,AM839) &gt; 0, "polity_common_name", COUNTIF('Internal -- Trademark Countries'!E:E,AM839) &gt; 0, "shortest_name", COUNTIF('Internal -- Trademark Countries'!A:A,AM839) &gt; 0, "full_name", TRUE, "not a match")</f>
        <v>#NAME?</v>
      </c>
      <c r="EG839" s="30"/>
      <c r="EH839" s="30"/>
      <c r="EI839" s="30"/>
      <c r="EJ839" s="30"/>
      <c r="EK839" s="30" t="str">
        <f t="shared" si="5"/>
        <v/>
      </c>
    </row>
    <row r="840" spans="1:141" ht="16.5">
      <c r="A840" s="11"/>
      <c r="B840" s="11"/>
      <c r="C840" s="11"/>
      <c r="D840" s="11"/>
      <c r="E840" s="11"/>
      <c r="F840" s="11"/>
      <c r="G840" s="11"/>
      <c r="H840" s="11"/>
      <c r="I840" s="11"/>
      <c r="J840" s="11"/>
      <c r="K840" s="27"/>
      <c r="L840" s="11"/>
      <c r="M840" s="11"/>
      <c r="N840" s="11"/>
      <c r="O840" s="11"/>
      <c r="P840" s="15"/>
      <c r="Q840" s="15"/>
      <c r="R840" s="15"/>
      <c r="S840" s="15"/>
      <c r="T840" s="15"/>
      <c r="U840" s="15"/>
      <c r="V840" s="15"/>
      <c r="W840" s="47"/>
      <c r="X840" s="11"/>
      <c r="Y840" s="48"/>
      <c r="Z840" s="11"/>
      <c r="AA840" s="48"/>
      <c r="AB840" s="11"/>
      <c r="AC840" s="48"/>
      <c r="AD840" s="11"/>
      <c r="AE840" s="47"/>
      <c r="AF840" s="11"/>
      <c r="AG840" s="48"/>
      <c r="AH840" s="11"/>
      <c r="AI840" s="48"/>
      <c r="AJ840" s="11"/>
      <c r="AK840" s="48"/>
      <c r="AL840" s="11"/>
      <c r="AM840" s="49"/>
      <c r="AN840" s="49"/>
      <c r="AO840" s="11"/>
      <c r="AP840" s="11"/>
      <c r="AQ840" s="28" t="b">
        <f>IF(COUNTIF(SmartStatus!A$2:A1000, AM840) &gt; 2, TRUE, FALSE)</f>
        <v>0</v>
      </c>
      <c r="AR840" s="29" t="str">
        <f ca="1">IFERROR(__xludf.DUMMYFUNCTION("iferror(if(regexmatch(AO840, ""(?i)^registered""), if(EE840 &lt;&gt; ""polity_shortest_name"", ""CHECK_POLITY"", index(filter(SmartStatus!B$2:B1000, AM840 = SmartStatus!A$2:A1000, not(SmartStatus!C$2:C1000), (isblank(SmartStatus!D$2:D1000)) + ((P840 &lt;&gt; """") * "&amp;"(P840 &lt; SmartStatus!D$2:D1000)), (isblank(SmartStatus!E$2:E1000)) + ((P840 &lt;&gt; """") * (P840 &gt;= SmartStatus!E$2:E1000)), (isblank(SmartStatus!F$2:F1000)) + (((Q840 &lt;&gt; """") * (Q840 &lt; SmartStatus!F$2:F1000)) + ((P840 &lt;&gt; """") * (date(year(P840) + 3, month(P"&amp;"840), day(P840)) &lt; SmartStatus!F$2:F1000))), (isblank(SmartStatus!G$2:G1000)) + (((Q840 &lt;&gt; """") * (Q840 &gt;= SmartStatus!G$2:G1000)) + ((P840 &lt;&gt; """") * (P840 &gt;= SmartStatus!G$2:G1000)))), if(or(regexmatch(B840, ""(?i)^ir [a-z]+ designation$""), N840 &lt;&gt; """&amp;"""), 1, 2))), """"), ""NO_MATCH"")"),"")</f>
        <v/>
      </c>
      <c r="AS840" s="11"/>
      <c r="AT840" s="15"/>
      <c r="AU840" s="11"/>
      <c r="AV840" s="11"/>
      <c r="AW840" s="15"/>
      <c r="AX840" s="15"/>
      <c r="AY840" s="15"/>
      <c r="AZ840" s="11"/>
      <c r="BA840" s="15"/>
      <c r="BB840" s="11"/>
      <c r="BC840" s="11"/>
      <c r="BD840" s="15"/>
      <c r="BE840" s="11"/>
      <c r="BF840" s="11"/>
      <c r="BG840" s="15"/>
      <c r="BH840" s="15"/>
      <c r="BI840" s="15"/>
      <c r="BJ840" s="11"/>
      <c r="BK840" s="15"/>
      <c r="BL840" s="11"/>
      <c r="BM840" s="11"/>
      <c r="BN840" s="15"/>
      <c r="BO840" s="11"/>
      <c r="BP840" s="11"/>
      <c r="BQ840" s="15"/>
      <c r="BR840" s="15"/>
      <c r="BS840" s="15"/>
      <c r="BT840" s="11"/>
      <c r="BU840" s="15"/>
      <c r="BV840" s="11"/>
      <c r="BW840" s="11"/>
      <c r="BX840" s="15"/>
      <c r="BY840" s="11"/>
      <c r="BZ840" s="11"/>
      <c r="CA840" s="15"/>
      <c r="CB840" s="11"/>
      <c r="CC840" s="15"/>
      <c r="CD840" s="11"/>
      <c r="CE840" s="15"/>
      <c r="CF840" s="11"/>
      <c r="CG840" s="11"/>
      <c r="CH840" s="15"/>
      <c r="CI840" s="11"/>
      <c r="CJ840" s="11"/>
      <c r="CK840" s="15"/>
      <c r="CL840" s="11"/>
      <c r="CM840" s="11"/>
      <c r="CN840" s="11"/>
      <c r="CO840" s="11"/>
      <c r="CP840" s="28"/>
      <c r="CQ840" s="28"/>
      <c r="CR840" s="11"/>
      <c r="CS840" s="29"/>
      <c r="CT840" s="11"/>
      <c r="CU840" s="11"/>
      <c r="CV840" s="11"/>
      <c r="CW840" s="11"/>
      <c r="CX840" s="11"/>
      <c r="CY840" s="11"/>
      <c r="CZ840" s="11"/>
      <c r="DA840" s="28"/>
      <c r="DB840" s="28"/>
      <c r="DC840" s="11"/>
      <c r="DD840" s="29"/>
      <c r="DE840" s="11"/>
      <c r="DF840" s="11"/>
      <c r="DG840" s="11"/>
      <c r="DH840" s="11"/>
      <c r="DI840" s="11"/>
      <c r="DJ840" s="11"/>
      <c r="DK840" s="26"/>
      <c r="DL840" s="11"/>
      <c r="DM840" s="29"/>
      <c r="DN840" s="28"/>
      <c r="DO840" s="11"/>
      <c r="DP840" s="11"/>
      <c r="DQ840" s="11"/>
      <c r="DR840" s="29"/>
      <c r="DS840" s="28"/>
      <c r="DT840" s="11"/>
      <c r="DU840" s="26"/>
      <c r="DV840" s="11"/>
      <c r="DW840" s="29"/>
      <c r="DX840" s="28"/>
      <c r="DY840" s="11"/>
      <c r="DZ840" s="26"/>
      <c r="EA840" s="11"/>
      <c r="EB840" s="29"/>
      <c r="EC840" s="28"/>
      <c r="ED840" s="30"/>
      <c r="EE840" s="30" t="str">
        <f ca="1">IFERROR(__xludf.DUMMYFUNCTION("iferror(index(filter('Internal -- Trademark Countries'!E$2:E1000, (AM840 = 'Internal -- Trademark Countries'!B$2:B1000) + (AM840 = 'Internal -- Trademark Countries'!C$2:C1000) + (AM840 = 'Internal -- Trademark Countries'!D$2:D1000)), 1))"),"")</f>
        <v/>
      </c>
      <c r="EF840" s="30" t="e">
        <f ca="1">_xludf.ifs(AM840="", "", COUNTIF('Internal -- Trademark Countries'!B:B,AM840) &gt; 0, "polity_shortest_name", COUNTIF('Internal -- Trademark Countries'!C:C,AM840) &gt; 0, "polity_full_name", COUNTIF('Internal -- Trademark Countries'!D:D,AM840) &gt; 0, "polity_common_name", COUNTIF('Internal -- Trademark Countries'!E:E,AM840) &gt; 0, "shortest_name", COUNTIF('Internal -- Trademark Countries'!A:A,AM840) &gt; 0, "full_name", TRUE, "not a match")</f>
        <v>#NAME?</v>
      </c>
      <c r="EG840" s="30"/>
      <c r="EH840" s="30"/>
      <c r="EI840" s="30"/>
      <c r="EJ840" s="30"/>
      <c r="EK840" s="30" t="str">
        <f t="shared" si="5"/>
        <v/>
      </c>
    </row>
    <row r="841" spans="1:141" ht="16.5">
      <c r="A841" s="11"/>
      <c r="B841" s="11"/>
      <c r="C841" s="11"/>
      <c r="D841" s="11"/>
      <c r="E841" s="11"/>
      <c r="F841" s="11"/>
      <c r="G841" s="11"/>
      <c r="H841" s="11"/>
      <c r="I841" s="11"/>
      <c r="J841" s="11"/>
      <c r="K841" s="27"/>
      <c r="L841" s="11"/>
      <c r="M841" s="11"/>
      <c r="N841" s="11"/>
      <c r="O841" s="11"/>
      <c r="P841" s="15"/>
      <c r="Q841" s="15"/>
      <c r="R841" s="15"/>
      <c r="S841" s="15"/>
      <c r="T841" s="15"/>
      <c r="U841" s="15"/>
      <c r="V841" s="15"/>
      <c r="W841" s="47"/>
      <c r="X841" s="11"/>
      <c r="Y841" s="48"/>
      <c r="Z841" s="11"/>
      <c r="AA841" s="48"/>
      <c r="AB841" s="11"/>
      <c r="AC841" s="48"/>
      <c r="AD841" s="11"/>
      <c r="AE841" s="47"/>
      <c r="AF841" s="11"/>
      <c r="AG841" s="48"/>
      <c r="AH841" s="11"/>
      <c r="AI841" s="48"/>
      <c r="AJ841" s="11"/>
      <c r="AK841" s="48"/>
      <c r="AL841" s="11"/>
      <c r="AM841" s="49"/>
      <c r="AN841" s="49"/>
      <c r="AO841" s="11"/>
      <c r="AP841" s="11"/>
      <c r="AQ841" s="28" t="b">
        <f>IF(COUNTIF(SmartStatus!A$2:A1000, AM841) &gt; 2, TRUE, FALSE)</f>
        <v>0</v>
      </c>
      <c r="AR841" s="29" t="str">
        <f ca="1">IFERROR(__xludf.DUMMYFUNCTION("iferror(if(regexmatch(AO841, ""(?i)^registered""), if(EE841 &lt;&gt; ""polity_shortest_name"", ""CHECK_POLITY"", index(filter(SmartStatus!B$2:B1000, AM841 = SmartStatus!A$2:A1000, not(SmartStatus!C$2:C1000), (isblank(SmartStatus!D$2:D1000)) + ((P841 &lt;&gt; """") * "&amp;"(P841 &lt; SmartStatus!D$2:D1000)), (isblank(SmartStatus!E$2:E1000)) + ((P841 &lt;&gt; """") * (P841 &gt;= SmartStatus!E$2:E1000)), (isblank(SmartStatus!F$2:F1000)) + (((Q841 &lt;&gt; """") * (Q841 &lt; SmartStatus!F$2:F1000)) + ((P841 &lt;&gt; """") * (date(year(P841) + 3, month(P"&amp;"841), day(P841)) &lt; SmartStatus!F$2:F1000))), (isblank(SmartStatus!G$2:G1000)) + (((Q841 &lt;&gt; """") * (Q841 &gt;= SmartStatus!G$2:G1000)) + ((P841 &lt;&gt; """") * (P841 &gt;= SmartStatus!G$2:G1000)))), if(or(regexmatch(B841, ""(?i)^ir [a-z]+ designation$""), N841 &lt;&gt; """&amp;"""), 1, 2))), """"), ""NO_MATCH"")"),"")</f>
        <v/>
      </c>
      <c r="AS841" s="11"/>
      <c r="AT841" s="15"/>
      <c r="AU841" s="11"/>
      <c r="AV841" s="11"/>
      <c r="AW841" s="15"/>
      <c r="AX841" s="15"/>
      <c r="AY841" s="15"/>
      <c r="AZ841" s="11"/>
      <c r="BA841" s="15"/>
      <c r="BB841" s="11"/>
      <c r="BC841" s="11"/>
      <c r="BD841" s="15"/>
      <c r="BE841" s="11"/>
      <c r="BF841" s="11"/>
      <c r="BG841" s="15"/>
      <c r="BH841" s="15"/>
      <c r="BI841" s="15"/>
      <c r="BJ841" s="11"/>
      <c r="BK841" s="15"/>
      <c r="BL841" s="11"/>
      <c r="BM841" s="11"/>
      <c r="BN841" s="15"/>
      <c r="BO841" s="11"/>
      <c r="BP841" s="11"/>
      <c r="BQ841" s="15"/>
      <c r="BR841" s="15"/>
      <c r="BS841" s="15"/>
      <c r="BT841" s="11"/>
      <c r="BU841" s="15"/>
      <c r="BV841" s="11"/>
      <c r="BW841" s="11"/>
      <c r="BX841" s="15"/>
      <c r="BY841" s="11"/>
      <c r="BZ841" s="11"/>
      <c r="CA841" s="15"/>
      <c r="CB841" s="11"/>
      <c r="CC841" s="15"/>
      <c r="CD841" s="11"/>
      <c r="CE841" s="15"/>
      <c r="CF841" s="11"/>
      <c r="CG841" s="11"/>
      <c r="CH841" s="15"/>
      <c r="CI841" s="11"/>
      <c r="CJ841" s="11"/>
      <c r="CK841" s="15"/>
      <c r="CL841" s="11"/>
      <c r="CM841" s="11"/>
      <c r="CN841" s="11"/>
      <c r="CO841" s="11"/>
      <c r="CP841" s="28"/>
      <c r="CQ841" s="28"/>
      <c r="CR841" s="11"/>
      <c r="CS841" s="29"/>
      <c r="CT841" s="11"/>
      <c r="CU841" s="11"/>
      <c r="CV841" s="11"/>
      <c r="CW841" s="11"/>
      <c r="CX841" s="11"/>
      <c r="CY841" s="11"/>
      <c r="CZ841" s="11"/>
      <c r="DA841" s="28"/>
      <c r="DB841" s="28"/>
      <c r="DC841" s="11"/>
      <c r="DD841" s="29"/>
      <c r="DE841" s="11"/>
      <c r="DF841" s="11"/>
      <c r="DG841" s="11"/>
      <c r="DH841" s="11"/>
      <c r="DI841" s="11"/>
      <c r="DJ841" s="11"/>
      <c r="DK841" s="26"/>
      <c r="DL841" s="11"/>
      <c r="DM841" s="29"/>
      <c r="DN841" s="28"/>
      <c r="DO841" s="11"/>
      <c r="DP841" s="11"/>
      <c r="DQ841" s="11"/>
      <c r="DR841" s="29"/>
      <c r="DS841" s="28"/>
      <c r="DT841" s="11"/>
      <c r="DU841" s="26"/>
      <c r="DV841" s="11"/>
      <c r="DW841" s="29"/>
      <c r="DX841" s="28"/>
      <c r="DY841" s="11"/>
      <c r="DZ841" s="26"/>
      <c r="EA841" s="11"/>
      <c r="EB841" s="29"/>
      <c r="EC841" s="28"/>
      <c r="ED841" s="30"/>
      <c r="EE841" s="30" t="str">
        <f ca="1">IFERROR(__xludf.DUMMYFUNCTION("iferror(index(filter('Internal -- Trademark Countries'!E$2:E1000, (AM841 = 'Internal -- Trademark Countries'!B$2:B1000) + (AM841 = 'Internal -- Trademark Countries'!C$2:C1000) + (AM841 = 'Internal -- Trademark Countries'!D$2:D1000)), 1))"),"")</f>
        <v/>
      </c>
      <c r="EF841" s="30" t="e">
        <f ca="1">_xludf.ifs(AM841="", "", COUNTIF('Internal -- Trademark Countries'!B:B,AM841) &gt; 0, "polity_shortest_name", COUNTIF('Internal -- Trademark Countries'!C:C,AM841) &gt; 0, "polity_full_name", COUNTIF('Internal -- Trademark Countries'!D:D,AM841) &gt; 0, "polity_common_name", COUNTIF('Internal -- Trademark Countries'!E:E,AM841) &gt; 0, "shortest_name", COUNTIF('Internal -- Trademark Countries'!A:A,AM841) &gt; 0, "full_name", TRUE, "not a match")</f>
        <v>#NAME?</v>
      </c>
      <c r="EG841" s="30"/>
      <c r="EH841" s="30"/>
      <c r="EI841" s="30"/>
      <c r="EJ841" s="30"/>
      <c r="EK841" s="30" t="str">
        <f t="shared" si="5"/>
        <v/>
      </c>
    </row>
    <row r="842" spans="1:141" ht="16.5">
      <c r="A842" s="11"/>
      <c r="B842" s="11"/>
      <c r="C842" s="11"/>
      <c r="D842" s="11"/>
      <c r="E842" s="11"/>
      <c r="F842" s="11"/>
      <c r="G842" s="11"/>
      <c r="H842" s="11"/>
      <c r="I842" s="11"/>
      <c r="J842" s="11"/>
      <c r="K842" s="27"/>
      <c r="L842" s="11"/>
      <c r="M842" s="11"/>
      <c r="N842" s="11"/>
      <c r="O842" s="11"/>
      <c r="P842" s="15"/>
      <c r="Q842" s="15"/>
      <c r="R842" s="15"/>
      <c r="S842" s="15"/>
      <c r="T842" s="15"/>
      <c r="U842" s="15"/>
      <c r="V842" s="15"/>
      <c r="W842" s="47"/>
      <c r="X842" s="11"/>
      <c r="Y842" s="48"/>
      <c r="Z842" s="11"/>
      <c r="AA842" s="48"/>
      <c r="AB842" s="11"/>
      <c r="AC842" s="48"/>
      <c r="AD842" s="11"/>
      <c r="AE842" s="47"/>
      <c r="AF842" s="11"/>
      <c r="AG842" s="48"/>
      <c r="AH842" s="11"/>
      <c r="AI842" s="48"/>
      <c r="AJ842" s="11"/>
      <c r="AK842" s="48"/>
      <c r="AL842" s="11"/>
      <c r="AM842" s="49"/>
      <c r="AN842" s="49"/>
      <c r="AO842" s="11"/>
      <c r="AP842" s="11"/>
      <c r="AQ842" s="28" t="b">
        <f>IF(COUNTIF(SmartStatus!A$2:A1000, AM842) &gt; 2, TRUE, FALSE)</f>
        <v>0</v>
      </c>
      <c r="AR842" s="29" t="str">
        <f ca="1">IFERROR(__xludf.DUMMYFUNCTION("iferror(if(regexmatch(AO842, ""(?i)^registered""), if(EE842 &lt;&gt; ""polity_shortest_name"", ""CHECK_POLITY"", index(filter(SmartStatus!B$2:B1000, AM842 = SmartStatus!A$2:A1000, not(SmartStatus!C$2:C1000), (isblank(SmartStatus!D$2:D1000)) + ((P842 &lt;&gt; """") * "&amp;"(P842 &lt; SmartStatus!D$2:D1000)), (isblank(SmartStatus!E$2:E1000)) + ((P842 &lt;&gt; """") * (P842 &gt;= SmartStatus!E$2:E1000)), (isblank(SmartStatus!F$2:F1000)) + (((Q842 &lt;&gt; """") * (Q842 &lt; SmartStatus!F$2:F1000)) + ((P842 &lt;&gt; """") * (date(year(P842) + 3, month(P"&amp;"842), day(P842)) &lt; SmartStatus!F$2:F1000))), (isblank(SmartStatus!G$2:G1000)) + (((Q842 &lt;&gt; """") * (Q842 &gt;= SmartStatus!G$2:G1000)) + ((P842 &lt;&gt; """") * (P842 &gt;= SmartStatus!G$2:G1000)))), if(or(regexmatch(B842, ""(?i)^ir [a-z]+ designation$""), N842 &lt;&gt; """&amp;"""), 1, 2))), """"), ""NO_MATCH"")"),"")</f>
        <v/>
      </c>
      <c r="AS842" s="11"/>
      <c r="AT842" s="15"/>
      <c r="AU842" s="11"/>
      <c r="AV842" s="11"/>
      <c r="AW842" s="15"/>
      <c r="AX842" s="15"/>
      <c r="AY842" s="15"/>
      <c r="AZ842" s="11"/>
      <c r="BA842" s="15"/>
      <c r="BB842" s="11"/>
      <c r="BC842" s="11"/>
      <c r="BD842" s="15"/>
      <c r="BE842" s="11"/>
      <c r="BF842" s="11"/>
      <c r="BG842" s="15"/>
      <c r="BH842" s="15"/>
      <c r="BI842" s="15"/>
      <c r="BJ842" s="11"/>
      <c r="BK842" s="15"/>
      <c r="BL842" s="11"/>
      <c r="BM842" s="11"/>
      <c r="BN842" s="15"/>
      <c r="BO842" s="11"/>
      <c r="BP842" s="11"/>
      <c r="BQ842" s="15"/>
      <c r="BR842" s="15"/>
      <c r="BS842" s="15"/>
      <c r="BT842" s="11"/>
      <c r="BU842" s="15"/>
      <c r="BV842" s="11"/>
      <c r="BW842" s="11"/>
      <c r="BX842" s="15"/>
      <c r="BY842" s="11"/>
      <c r="BZ842" s="11"/>
      <c r="CA842" s="15"/>
      <c r="CB842" s="11"/>
      <c r="CC842" s="15"/>
      <c r="CD842" s="11"/>
      <c r="CE842" s="15"/>
      <c r="CF842" s="11"/>
      <c r="CG842" s="11"/>
      <c r="CH842" s="15"/>
      <c r="CI842" s="11"/>
      <c r="CJ842" s="11"/>
      <c r="CK842" s="15"/>
      <c r="CL842" s="11"/>
      <c r="CM842" s="11"/>
      <c r="CN842" s="11"/>
      <c r="CO842" s="11"/>
      <c r="CP842" s="28"/>
      <c r="CQ842" s="28"/>
      <c r="CR842" s="11"/>
      <c r="CS842" s="29"/>
      <c r="CT842" s="11"/>
      <c r="CU842" s="11"/>
      <c r="CV842" s="11"/>
      <c r="CW842" s="11"/>
      <c r="CX842" s="11"/>
      <c r="CY842" s="11"/>
      <c r="CZ842" s="11"/>
      <c r="DA842" s="28"/>
      <c r="DB842" s="28"/>
      <c r="DC842" s="11"/>
      <c r="DD842" s="29"/>
      <c r="DE842" s="11"/>
      <c r="DF842" s="11"/>
      <c r="DG842" s="11"/>
      <c r="DH842" s="11"/>
      <c r="DI842" s="11"/>
      <c r="DJ842" s="11"/>
      <c r="DK842" s="26"/>
      <c r="DL842" s="11"/>
      <c r="DM842" s="29"/>
      <c r="DN842" s="28"/>
      <c r="DO842" s="11"/>
      <c r="DP842" s="11"/>
      <c r="DQ842" s="11"/>
      <c r="DR842" s="29"/>
      <c r="DS842" s="28"/>
      <c r="DT842" s="11"/>
      <c r="DU842" s="26"/>
      <c r="DV842" s="11"/>
      <c r="DW842" s="29"/>
      <c r="DX842" s="28"/>
      <c r="DY842" s="11"/>
      <c r="DZ842" s="26"/>
      <c r="EA842" s="11"/>
      <c r="EB842" s="29"/>
      <c r="EC842" s="28"/>
      <c r="ED842" s="30"/>
      <c r="EE842" s="30" t="str">
        <f ca="1">IFERROR(__xludf.DUMMYFUNCTION("iferror(index(filter('Internal -- Trademark Countries'!E$2:E1000, (AM842 = 'Internal -- Trademark Countries'!B$2:B1000) + (AM842 = 'Internal -- Trademark Countries'!C$2:C1000) + (AM842 = 'Internal -- Trademark Countries'!D$2:D1000)), 1))"),"")</f>
        <v/>
      </c>
      <c r="EF842" s="30" t="e">
        <f ca="1">_xludf.ifs(AM842="", "", COUNTIF('Internal -- Trademark Countries'!B:B,AM842) &gt; 0, "polity_shortest_name", COUNTIF('Internal -- Trademark Countries'!C:C,AM842) &gt; 0, "polity_full_name", COUNTIF('Internal -- Trademark Countries'!D:D,AM842) &gt; 0, "polity_common_name", COUNTIF('Internal -- Trademark Countries'!E:E,AM842) &gt; 0, "shortest_name", COUNTIF('Internal -- Trademark Countries'!A:A,AM842) &gt; 0, "full_name", TRUE, "not a match")</f>
        <v>#NAME?</v>
      </c>
      <c r="EG842" s="30"/>
      <c r="EH842" s="30"/>
      <c r="EI842" s="30"/>
      <c r="EJ842" s="30"/>
      <c r="EK842" s="30" t="str">
        <f t="shared" si="5"/>
        <v/>
      </c>
    </row>
    <row r="843" spans="1:141" ht="16.5">
      <c r="A843" s="11"/>
      <c r="B843" s="11"/>
      <c r="C843" s="11"/>
      <c r="D843" s="11"/>
      <c r="E843" s="11"/>
      <c r="F843" s="11"/>
      <c r="G843" s="11"/>
      <c r="H843" s="11"/>
      <c r="I843" s="11"/>
      <c r="J843" s="11"/>
      <c r="K843" s="27"/>
      <c r="L843" s="11"/>
      <c r="M843" s="11"/>
      <c r="N843" s="11"/>
      <c r="O843" s="11"/>
      <c r="P843" s="15"/>
      <c r="Q843" s="15"/>
      <c r="R843" s="15"/>
      <c r="S843" s="15"/>
      <c r="T843" s="15"/>
      <c r="U843" s="15"/>
      <c r="V843" s="15"/>
      <c r="W843" s="47"/>
      <c r="X843" s="11"/>
      <c r="Y843" s="48"/>
      <c r="Z843" s="11"/>
      <c r="AA843" s="48"/>
      <c r="AB843" s="11"/>
      <c r="AC843" s="48"/>
      <c r="AD843" s="11"/>
      <c r="AE843" s="47"/>
      <c r="AF843" s="11"/>
      <c r="AG843" s="48"/>
      <c r="AH843" s="11"/>
      <c r="AI843" s="48"/>
      <c r="AJ843" s="11"/>
      <c r="AK843" s="48"/>
      <c r="AL843" s="11"/>
      <c r="AM843" s="49"/>
      <c r="AN843" s="49"/>
      <c r="AO843" s="11"/>
      <c r="AP843" s="11"/>
      <c r="AQ843" s="28" t="b">
        <f>IF(COUNTIF(SmartStatus!A$2:A1000, AM843) &gt; 2, TRUE, FALSE)</f>
        <v>0</v>
      </c>
      <c r="AR843" s="29" t="str">
        <f ca="1">IFERROR(__xludf.DUMMYFUNCTION("iferror(if(regexmatch(AO843, ""(?i)^registered""), if(EE843 &lt;&gt; ""polity_shortest_name"", ""CHECK_POLITY"", index(filter(SmartStatus!B$2:B1000, AM843 = SmartStatus!A$2:A1000, not(SmartStatus!C$2:C1000), (isblank(SmartStatus!D$2:D1000)) + ((P843 &lt;&gt; """") * "&amp;"(P843 &lt; SmartStatus!D$2:D1000)), (isblank(SmartStatus!E$2:E1000)) + ((P843 &lt;&gt; """") * (P843 &gt;= SmartStatus!E$2:E1000)), (isblank(SmartStatus!F$2:F1000)) + (((Q843 &lt;&gt; """") * (Q843 &lt; SmartStatus!F$2:F1000)) + ((P843 &lt;&gt; """") * (date(year(P843) + 3, month(P"&amp;"843), day(P843)) &lt; SmartStatus!F$2:F1000))), (isblank(SmartStatus!G$2:G1000)) + (((Q843 &lt;&gt; """") * (Q843 &gt;= SmartStatus!G$2:G1000)) + ((P843 &lt;&gt; """") * (P843 &gt;= SmartStatus!G$2:G1000)))), if(or(regexmatch(B843, ""(?i)^ir [a-z]+ designation$""), N843 &lt;&gt; """&amp;"""), 1, 2))), """"), ""NO_MATCH"")"),"")</f>
        <v/>
      </c>
      <c r="AS843" s="11"/>
      <c r="AT843" s="15"/>
      <c r="AU843" s="11"/>
      <c r="AV843" s="11"/>
      <c r="AW843" s="15"/>
      <c r="AX843" s="15"/>
      <c r="AY843" s="15"/>
      <c r="AZ843" s="11"/>
      <c r="BA843" s="15"/>
      <c r="BB843" s="11"/>
      <c r="BC843" s="11"/>
      <c r="BD843" s="15"/>
      <c r="BE843" s="11"/>
      <c r="BF843" s="11"/>
      <c r="BG843" s="15"/>
      <c r="BH843" s="15"/>
      <c r="BI843" s="15"/>
      <c r="BJ843" s="11"/>
      <c r="BK843" s="15"/>
      <c r="BL843" s="11"/>
      <c r="BM843" s="11"/>
      <c r="BN843" s="15"/>
      <c r="BO843" s="11"/>
      <c r="BP843" s="11"/>
      <c r="BQ843" s="15"/>
      <c r="BR843" s="15"/>
      <c r="BS843" s="15"/>
      <c r="BT843" s="11"/>
      <c r="BU843" s="15"/>
      <c r="BV843" s="11"/>
      <c r="BW843" s="11"/>
      <c r="BX843" s="15"/>
      <c r="BY843" s="11"/>
      <c r="BZ843" s="11"/>
      <c r="CA843" s="15"/>
      <c r="CB843" s="11"/>
      <c r="CC843" s="15"/>
      <c r="CD843" s="11"/>
      <c r="CE843" s="15"/>
      <c r="CF843" s="11"/>
      <c r="CG843" s="11"/>
      <c r="CH843" s="15"/>
      <c r="CI843" s="11"/>
      <c r="CJ843" s="11"/>
      <c r="CK843" s="15"/>
      <c r="CL843" s="11"/>
      <c r="CM843" s="11"/>
      <c r="CN843" s="11"/>
      <c r="CO843" s="11"/>
      <c r="CP843" s="28"/>
      <c r="CQ843" s="28"/>
      <c r="CR843" s="11"/>
      <c r="CS843" s="29"/>
      <c r="CT843" s="11"/>
      <c r="CU843" s="11"/>
      <c r="CV843" s="11"/>
      <c r="CW843" s="11"/>
      <c r="CX843" s="11"/>
      <c r="CY843" s="11"/>
      <c r="CZ843" s="11"/>
      <c r="DA843" s="28"/>
      <c r="DB843" s="28"/>
      <c r="DC843" s="11"/>
      <c r="DD843" s="29"/>
      <c r="DE843" s="11"/>
      <c r="DF843" s="11"/>
      <c r="DG843" s="11"/>
      <c r="DH843" s="11"/>
      <c r="DI843" s="11"/>
      <c r="DJ843" s="11"/>
      <c r="DK843" s="26"/>
      <c r="DL843" s="11"/>
      <c r="DM843" s="29"/>
      <c r="DN843" s="28"/>
      <c r="DO843" s="11"/>
      <c r="DP843" s="11"/>
      <c r="DQ843" s="11"/>
      <c r="DR843" s="29"/>
      <c r="DS843" s="28"/>
      <c r="DT843" s="11"/>
      <c r="DU843" s="26"/>
      <c r="DV843" s="11"/>
      <c r="DW843" s="29"/>
      <c r="DX843" s="28"/>
      <c r="DY843" s="11"/>
      <c r="DZ843" s="26"/>
      <c r="EA843" s="11"/>
      <c r="EB843" s="29"/>
      <c r="EC843" s="28"/>
      <c r="ED843" s="30"/>
      <c r="EE843" s="30" t="str">
        <f ca="1">IFERROR(__xludf.DUMMYFUNCTION("iferror(index(filter('Internal -- Trademark Countries'!E$2:E1000, (AM843 = 'Internal -- Trademark Countries'!B$2:B1000) + (AM843 = 'Internal -- Trademark Countries'!C$2:C1000) + (AM843 = 'Internal -- Trademark Countries'!D$2:D1000)), 1))"),"")</f>
        <v/>
      </c>
      <c r="EF843" s="30" t="e">
        <f ca="1">_xludf.ifs(AM843="", "", COUNTIF('Internal -- Trademark Countries'!B:B,AM843) &gt; 0, "polity_shortest_name", COUNTIF('Internal -- Trademark Countries'!C:C,AM843) &gt; 0, "polity_full_name", COUNTIF('Internal -- Trademark Countries'!D:D,AM843) &gt; 0, "polity_common_name", COUNTIF('Internal -- Trademark Countries'!E:E,AM843) &gt; 0, "shortest_name", COUNTIF('Internal -- Trademark Countries'!A:A,AM843) &gt; 0, "full_name", TRUE, "not a match")</f>
        <v>#NAME?</v>
      </c>
      <c r="EG843" s="30"/>
      <c r="EH843" s="30"/>
      <c r="EI843" s="30"/>
      <c r="EJ843" s="30"/>
      <c r="EK843" s="30" t="str">
        <f t="shared" si="5"/>
        <v/>
      </c>
    </row>
    <row r="844" spans="1:141" ht="16.5">
      <c r="A844" s="11"/>
      <c r="B844" s="11"/>
      <c r="C844" s="11"/>
      <c r="D844" s="11"/>
      <c r="E844" s="11"/>
      <c r="F844" s="11"/>
      <c r="G844" s="11"/>
      <c r="H844" s="11"/>
      <c r="I844" s="11"/>
      <c r="J844" s="11"/>
      <c r="K844" s="27"/>
      <c r="L844" s="11"/>
      <c r="M844" s="11"/>
      <c r="N844" s="11"/>
      <c r="O844" s="11"/>
      <c r="P844" s="15"/>
      <c r="Q844" s="15"/>
      <c r="R844" s="15"/>
      <c r="S844" s="15"/>
      <c r="T844" s="15"/>
      <c r="U844" s="15"/>
      <c r="V844" s="15"/>
      <c r="W844" s="47"/>
      <c r="X844" s="11"/>
      <c r="Y844" s="48"/>
      <c r="Z844" s="11"/>
      <c r="AA844" s="48"/>
      <c r="AB844" s="11"/>
      <c r="AC844" s="48"/>
      <c r="AD844" s="11"/>
      <c r="AE844" s="47"/>
      <c r="AF844" s="11"/>
      <c r="AG844" s="48"/>
      <c r="AH844" s="11"/>
      <c r="AI844" s="48"/>
      <c r="AJ844" s="11"/>
      <c r="AK844" s="48"/>
      <c r="AL844" s="11"/>
      <c r="AM844" s="49"/>
      <c r="AN844" s="49"/>
      <c r="AO844" s="11"/>
      <c r="AP844" s="11"/>
      <c r="AQ844" s="28" t="b">
        <f>IF(COUNTIF(SmartStatus!A$2:A1000, AM844) &gt; 2, TRUE, FALSE)</f>
        <v>0</v>
      </c>
      <c r="AR844" s="29" t="str">
        <f ca="1">IFERROR(__xludf.DUMMYFUNCTION("iferror(if(regexmatch(AO844, ""(?i)^registered""), if(EE844 &lt;&gt; ""polity_shortest_name"", ""CHECK_POLITY"", index(filter(SmartStatus!B$2:B1000, AM844 = SmartStatus!A$2:A1000, not(SmartStatus!C$2:C1000), (isblank(SmartStatus!D$2:D1000)) + ((P844 &lt;&gt; """") * "&amp;"(P844 &lt; SmartStatus!D$2:D1000)), (isblank(SmartStatus!E$2:E1000)) + ((P844 &lt;&gt; """") * (P844 &gt;= SmartStatus!E$2:E1000)), (isblank(SmartStatus!F$2:F1000)) + (((Q844 &lt;&gt; """") * (Q844 &lt; SmartStatus!F$2:F1000)) + ((P844 &lt;&gt; """") * (date(year(P844) + 3, month(P"&amp;"844), day(P844)) &lt; SmartStatus!F$2:F1000))), (isblank(SmartStatus!G$2:G1000)) + (((Q844 &lt;&gt; """") * (Q844 &gt;= SmartStatus!G$2:G1000)) + ((P844 &lt;&gt; """") * (P844 &gt;= SmartStatus!G$2:G1000)))), if(or(regexmatch(B844, ""(?i)^ir [a-z]+ designation$""), N844 &lt;&gt; """&amp;"""), 1, 2))), """"), ""NO_MATCH"")"),"")</f>
        <v/>
      </c>
      <c r="AS844" s="11"/>
      <c r="AT844" s="15"/>
      <c r="AU844" s="11"/>
      <c r="AV844" s="11"/>
      <c r="AW844" s="15"/>
      <c r="AX844" s="15"/>
      <c r="AY844" s="15"/>
      <c r="AZ844" s="11"/>
      <c r="BA844" s="15"/>
      <c r="BB844" s="11"/>
      <c r="BC844" s="11"/>
      <c r="BD844" s="15"/>
      <c r="BE844" s="11"/>
      <c r="BF844" s="11"/>
      <c r="BG844" s="15"/>
      <c r="BH844" s="15"/>
      <c r="BI844" s="15"/>
      <c r="BJ844" s="11"/>
      <c r="BK844" s="15"/>
      <c r="BL844" s="11"/>
      <c r="BM844" s="11"/>
      <c r="BN844" s="15"/>
      <c r="BO844" s="11"/>
      <c r="BP844" s="11"/>
      <c r="BQ844" s="15"/>
      <c r="BR844" s="15"/>
      <c r="BS844" s="15"/>
      <c r="BT844" s="11"/>
      <c r="BU844" s="15"/>
      <c r="BV844" s="11"/>
      <c r="BW844" s="11"/>
      <c r="BX844" s="15"/>
      <c r="BY844" s="11"/>
      <c r="BZ844" s="11"/>
      <c r="CA844" s="15"/>
      <c r="CB844" s="11"/>
      <c r="CC844" s="15"/>
      <c r="CD844" s="11"/>
      <c r="CE844" s="15"/>
      <c r="CF844" s="11"/>
      <c r="CG844" s="11"/>
      <c r="CH844" s="15"/>
      <c r="CI844" s="11"/>
      <c r="CJ844" s="11"/>
      <c r="CK844" s="15"/>
      <c r="CL844" s="11"/>
      <c r="CM844" s="11"/>
      <c r="CN844" s="11"/>
      <c r="CO844" s="11"/>
      <c r="CP844" s="28"/>
      <c r="CQ844" s="28"/>
      <c r="CR844" s="11"/>
      <c r="CS844" s="29"/>
      <c r="CT844" s="11"/>
      <c r="CU844" s="11"/>
      <c r="CV844" s="11"/>
      <c r="CW844" s="11"/>
      <c r="CX844" s="11"/>
      <c r="CY844" s="11"/>
      <c r="CZ844" s="11"/>
      <c r="DA844" s="28"/>
      <c r="DB844" s="28"/>
      <c r="DC844" s="11"/>
      <c r="DD844" s="29"/>
      <c r="DE844" s="11"/>
      <c r="DF844" s="11"/>
      <c r="DG844" s="11"/>
      <c r="DH844" s="11"/>
      <c r="DI844" s="11"/>
      <c r="DJ844" s="11"/>
      <c r="DK844" s="26"/>
      <c r="DL844" s="11"/>
      <c r="DM844" s="29"/>
      <c r="DN844" s="28"/>
      <c r="DO844" s="11"/>
      <c r="DP844" s="11"/>
      <c r="DQ844" s="11"/>
      <c r="DR844" s="29"/>
      <c r="DS844" s="28"/>
      <c r="DT844" s="11"/>
      <c r="DU844" s="26"/>
      <c r="DV844" s="11"/>
      <c r="DW844" s="29"/>
      <c r="DX844" s="28"/>
      <c r="DY844" s="11"/>
      <c r="DZ844" s="26"/>
      <c r="EA844" s="11"/>
      <c r="EB844" s="29"/>
      <c r="EC844" s="28"/>
      <c r="ED844" s="30"/>
      <c r="EE844" s="30" t="str">
        <f ca="1">IFERROR(__xludf.DUMMYFUNCTION("iferror(index(filter('Internal -- Trademark Countries'!E$2:E1000, (AM844 = 'Internal -- Trademark Countries'!B$2:B1000) + (AM844 = 'Internal -- Trademark Countries'!C$2:C1000) + (AM844 = 'Internal -- Trademark Countries'!D$2:D1000)), 1))"),"")</f>
        <v/>
      </c>
      <c r="EF844" s="30" t="e">
        <f ca="1">_xludf.ifs(AM844="", "", COUNTIF('Internal -- Trademark Countries'!B:B,AM844) &gt; 0, "polity_shortest_name", COUNTIF('Internal -- Trademark Countries'!C:C,AM844) &gt; 0, "polity_full_name", COUNTIF('Internal -- Trademark Countries'!D:D,AM844) &gt; 0, "polity_common_name", COUNTIF('Internal -- Trademark Countries'!E:E,AM844) &gt; 0, "shortest_name", COUNTIF('Internal -- Trademark Countries'!A:A,AM844) &gt; 0, "full_name", TRUE, "not a match")</f>
        <v>#NAME?</v>
      </c>
      <c r="EG844" s="30"/>
      <c r="EH844" s="30"/>
      <c r="EI844" s="30"/>
      <c r="EJ844" s="30"/>
      <c r="EK844" s="30" t="str">
        <f t="shared" si="5"/>
        <v/>
      </c>
    </row>
    <row r="845" spans="1:141" ht="16.5">
      <c r="A845" s="11"/>
      <c r="B845" s="11"/>
      <c r="C845" s="11"/>
      <c r="D845" s="11"/>
      <c r="E845" s="11"/>
      <c r="F845" s="11"/>
      <c r="G845" s="11"/>
      <c r="H845" s="11"/>
      <c r="I845" s="11"/>
      <c r="J845" s="11"/>
      <c r="K845" s="27"/>
      <c r="L845" s="11"/>
      <c r="M845" s="11"/>
      <c r="N845" s="11"/>
      <c r="O845" s="11"/>
      <c r="P845" s="15"/>
      <c r="Q845" s="15"/>
      <c r="R845" s="15"/>
      <c r="S845" s="15"/>
      <c r="T845" s="15"/>
      <c r="U845" s="15"/>
      <c r="V845" s="15"/>
      <c r="W845" s="47"/>
      <c r="X845" s="11"/>
      <c r="Y845" s="48"/>
      <c r="Z845" s="11"/>
      <c r="AA845" s="48"/>
      <c r="AB845" s="11"/>
      <c r="AC845" s="48"/>
      <c r="AD845" s="11"/>
      <c r="AE845" s="47"/>
      <c r="AF845" s="11"/>
      <c r="AG845" s="48"/>
      <c r="AH845" s="11"/>
      <c r="AI845" s="48"/>
      <c r="AJ845" s="11"/>
      <c r="AK845" s="48"/>
      <c r="AL845" s="11"/>
      <c r="AM845" s="49"/>
      <c r="AN845" s="49"/>
      <c r="AO845" s="11"/>
      <c r="AP845" s="11"/>
      <c r="AQ845" s="28" t="b">
        <f>IF(COUNTIF(SmartStatus!A$2:A1000, AM845) &gt; 2, TRUE, FALSE)</f>
        <v>0</v>
      </c>
      <c r="AR845" s="29" t="str">
        <f ca="1">IFERROR(__xludf.DUMMYFUNCTION("iferror(if(regexmatch(AO845, ""(?i)^registered""), if(EE845 &lt;&gt; ""polity_shortest_name"", ""CHECK_POLITY"", index(filter(SmartStatus!B$2:B1000, AM845 = SmartStatus!A$2:A1000, not(SmartStatus!C$2:C1000), (isblank(SmartStatus!D$2:D1000)) + ((P845 &lt;&gt; """") * "&amp;"(P845 &lt; SmartStatus!D$2:D1000)), (isblank(SmartStatus!E$2:E1000)) + ((P845 &lt;&gt; """") * (P845 &gt;= SmartStatus!E$2:E1000)), (isblank(SmartStatus!F$2:F1000)) + (((Q845 &lt;&gt; """") * (Q845 &lt; SmartStatus!F$2:F1000)) + ((P845 &lt;&gt; """") * (date(year(P845) + 3, month(P"&amp;"845), day(P845)) &lt; SmartStatus!F$2:F1000))), (isblank(SmartStatus!G$2:G1000)) + (((Q845 &lt;&gt; """") * (Q845 &gt;= SmartStatus!G$2:G1000)) + ((P845 &lt;&gt; """") * (P845 &gt;= SmartStatus!G$2:G1000)))), if(or(regexmatch(B845, ""(?i)^ir [a-z]+ designation$""), N845 &lt;&gt; """&amp;"""), 1, 2))), """"), ""NO_MATCH"")"),"")</f>
        <v/>
      </c>
      <c r="AS845" s="11"/>
      <c r="AT845" s="15"/>
      <c r="AU845" s="11"/>
      <c r="AV845" s="11"/>
      <c r="AW845" s="15"/>
      <c r="AX845" s="15"/>
      <c r="AY845" s="15"/>
      <c r="AZ845" s="11"/>
      <c r="BA845" s="15"/>
      <c r="BB845" s="11"/>
      <c r="BC845" s="11"/>
      <c r="BD845" s="15"/>
      <c r="BE845" s="11"/>
      <c r="BF845" s="11"/>
      <c r="BG845" s="15"/>
      <c r="BH845" s="15"/>
      <c r="BI845" s="15"/>
      <c r="BJ845" s="11"/>
      <c r="BK845" s="15"/>
      <c r="BL845" s="11"/>
      <c r="BM845" s="11"/>
      <c r="BN845" s="15"/>
      <c r="BO845" s="11"/>
      <c r="BP845" s="11"/>
      <c r="BQ845" s="15"/>
      <c r="BR845" s="15"/>
      <c r="BS845" s="15"/>
      <c r="BT845" s="11"/>
      <c r="BU845" s="15"/>
      <c r="BV845" s="11"/>
      <c r="BW845" s="11"/>
      <c r="BX845" s="15"/>
      <c r="BY845" s="11"/>
      <c r="BZ845" s="11"/>
      <c r="CA845" s="15"/>
      <c r="CB845" s="11"/>
      <c r="CC845" s="15"/>
      <c r="CD845" s="11"/>
      <c r="CE845" s="15"/>
      <c r="CF845" s="11"/>
      <c r="CG845" s="11"/>
      <c r="CH845" s="15"/>
      <c r="CI845" s="11"/>
      <c r="CJ845" s="11"/>
      <c r="CK845" s="15"/>
      <c r="CL845" s="11"/>
      <c r="CM845" s="11"/>
      <c r="CN845" s="11"/>
      <c r="CO845" s="11"/>
      <c r="CP845" s="28"/>
      <c r="CQ845" s="28"/>
      <c r="CR845" s="11"/>
      <c r="CS845" s="29"/>
      <c r="CT845" s="11"/>
      <c r="CU845" s="11"/>
      <c r="CV845" s="11"/>
      <c r="CW845" s="11"/>
      <c r="CX845" s="11"/>
      <c r="CY845" s="11"/>
      <c r="CZ845" s="11"/>
      <c r="DA845" s="28"/>
      <c r="DB845" s="28"/>
      <c r="DC845" s="11"/>
      <c r="DD845" s="29"/>
      <c r="DE845" s="11"/>
      <c r="DF845" s="11"/>
      <c r="DG845" s="11"/>
      <c r="DH845" s="11"/>
      <c r="DI845" s="11"/>
      <c r="DJ845" s="11"/>
      <c r="DK845" s="26"/>
      <c r="DL845" s="11"/>
      <c r="DM845" s="29"/>
      <c r="DN845" s="28"/>
      <c r="DO845" s="11"/>
      <c r="DP845" s="11"/>
      <c r="DQ845" s="11"/>
      <c r="DR845" s="29"/>
      <c r="DS845" s="28"/>
      <c r="DT845" s="11"/>
      <c r="DU845" s="26"/>
      <c r="DV845" s="11"/>
      <c r="DW845" s="29"/>
      <c r="DX845" s="28"/>
      <c r="DY845" s="11"/>
      <c r="DZ845" s="26"/>
      <c r="EA845" s="11"/>
      <c r="EB845" s="29"/>
      <c r="EC845" s="28"/>
      <c r="ED845" s="30"/>
      <c r="EE845" s="30" t="str">
        <f ca="1">IFERROR(__xludf.DUMMYFUNCTION("iferror(index(filter('Internal -- Trademark Countries'!E$2:E1000, (AM845 = 'Internal -- Trademark Countries'!B$2:B1000) + (AM845 = 'Internal -- Trademark Countries'!C$2:C1000) + (AM845 = 'Internal -- Trademark Countries'!D$2:D1000)), 1))"),"")</f>
        <v/>
      </c>
      <c r="EF845" s="30" t="e">
        <f ca="1">_xludf.ifs(AM845="", "", COUNTIF('Internal -- Trademark Countries'!B:B,AM845) &gt; 0, "polity_shortest_name", COUNTIF('Internal -- Trademark Countries'!C:C,AM845) &gt; 0, "polity_full_name", COUNTIF('Internal -- Trademark Countries'!D:D,AM845) &gt; 0, "polity_common_name", COUNTIF('Internal -- Trademark Countries'!E:E,AM845) &gt; 0, "shortest_name", COUNTIF('Internal -- Trademark Countries'!A:A,AM845) &gt; 0, "full_name", TRUE, "not a match")</f>
        <v>#NAME?</v>
      </c>
      <c r="EG845" s="30"/>
      <c r="EH845" s="30"/>
      <c r="EI845" s="30"/>
      <c r="EJ845" s="30"/>
      <c r="EK845" s="30" t="str">
        <f t="shared" si="5"/>
        <v/>
      </c>
    </row>
    <row r="846" spans="1:141" ht="16.5">
      <c r="A846" s="11"/>
      <c r="B846" s="11"/>
      <c r="C846" s="11"/>
      <c r="D846" s="11"/>
      <c r="E846" s="11"/>
      <c r="F846" s="11"/>
      <c r="G846" s="11"/>
      <c r="H846" s="11"/>
      <c r="I846" s="11"/>
      <c r="J846" s="11"/>
      <c r="K846" s="27"/>
      <c r="L846" s="11"/>
      <c r="M846" s="11"/>
      <c r="N846" s="11"/>
      <c r="O846" s="11"/>
      <c r="P846" s="15"/>
      <c r="Q846" s="15"/>
      <c r="R846" s="15"/>
      <c r="S846" s="15"/>
      <c r="T846" s="15"/>
      <c r="U846" s="15"/>
      <c r="V846" s="15"/>
      <c r="W846" s="47"/>
      <c r="X846" s="11"/>
      <c r="Y846" s="48"/>
      <c r="Z846" s="11"/>
      <c r="AA846" s="48"/>
      <c r="AB846" s="11"/>
      <c r="AC846" s="48"/>
      <c r="AD846" s="11"/>
      <c r="AE846" s="47"/>
      <c r="AF846" s="11"/>
      <c r="AG846" s="48"/>
      <c r="AH846" s="11"/>
      <c r="AI846" s="48"/>
      <c r="AJ846" s="11"/>
      <c r="AK846" s="48"/>
      <c r="AL846" s="11"/>
      <c r="AM846" s="49"/>
      <c r="AN846" s="49"/>
      <c r="AO846" s="11"/>
      <c r="AP846" s="11"/>
      <c r="AQ846" s="28" t="b">
        <f>IF(COUNTIF(SmartStatus!A$2:A1000, AM846) &gt; 2, TRUE, FALSE)</f>
        <v>0</v>
      </c>
      <c r="AR846" s="29" t="str">
        <f ca="1">IFERROR(__xludf.DUMMYFUNCTION("iferror(if(regexmatch(AO846, ""(?i)^registered""), if(EE846 &lt;&gt; ""polity_shortest_name"", ""CHECK_POLITY"", index(filter(SmartStatus!B$2:B1000, AM846 = SmartStatus!A$2:A1000, not(SmartStatus!C$2:C1000), (isblank(SmartStatus!D$2:D1000)) + ((P846 &lt;&gt; """") * "&amp;"(P846 &lt; SmartStatus!D$2:D1000)), (isblank(SmartStatus!E$2:E1000)) + ((P846 &lt;&gt; """") * (P846 &gt;= SmartStatus!E$2:E1000)), (isblank(SmartStatus!F$2:F1000)) + (((Q846 &lt;&gt; """") * (Q846 &lt; SmartStatus!F$2:F1000)) + ((P846 &lt;&gt; """") * (date(year(P846) + 3, month(P"&amp;"846), day(P846)) &lt; SmartStatus!F$2:F1000))), (isblank(SmartStatus!G$2:G1000)) + (((Q846 &lt;&gt; """") * (Q846 &gt;= SmartStatus!G$2:G1000)) + ((P846 &lt;&gt; """") * (P846 &gt;= SmartStatus!G$2:G1000)))), if(or(regexmatch(B846, ""(?i)^ir [a-z]+ designation$""), N846 &lt;&gt; """&amp;"""), 1, 2))), """"), ""NO_MATCH"")"),"")</f>
        <v/>
      </c>
      <c r="AS846" s="11"/>
      <c r="AT846" s="15"/>
      <c r="AU846" s="11"/>
      <c r="AV846" s="11"/>
      <c r="AW846" s="15"/>
      <c r="AX846" s="15"/>
      <c r="AY846" s="15"/>
      <c r="AZ846" s="11"/>
      <c r="BA846" s="15"/>
      <c r="BB846" s="11"/>
      <c r="BC846" s="11"/>
      <c r="BD846" s="15"/>
      <c r="BE846" s="11"/>
      <c r="BF846" s="11"/>
      <c r="BG846" s="15"/>
      <c r="BH846" s="15"/>
      <c r="BI846" s="15"/>
      <c r="BJ846" s="11"/>
      <c r="BK846" s="15"/>
      <c r="BL846" s="11"/>
      <c r="BM846" s="11"/>
      <c r="BN846" s="15"/>
      <c r="BO846" s="11"/>
      <c r="BP846" s="11"/>
      <c r="BQ846" s="15"/>
      <c r="BR846" s="15"/>
      <c r="BS846" s="15"/>
      <c r="BT846" s="11"/>
      <c r="BU846" s="15"/>
      <c r="BV846" s="11"/>
      <c r="BW846" s="11"/>
      <c r="BX846" s="15"/>
      <c r="BY846" s="11"/>
      <c r="BZ846" s="11"/>
      <c r="CA846" s="15"/>
      <c r="CB846" s="11"/>
      <c r="CC846" s="15"/>
      <c r="CD846" s="11"/>
      <c r="CE846" s="15"/>
      <c r="CF846" s="11"/>
      <c r="CG846" s="11"/>
      <c r="CH846" s="15"/>
      <c r="CI846" s="11"/>
      <c r="CJ846" s="11"/>
      <c r="CK846" s="15"/>
      <c r="CL846" s="11"/>
      <c r="CM846" s="11"/>
      <c r="CN846" s="11"/>
      <c r="CO846" s="11"/>
      <c r="CP846" s="28"/>
      <c r="CQ846" s="28"/>
      <c r="CR846" s="11"/>
      <c r="CS846" s="29"/>
      <c r="CT846" s="11"/>
      <c r="CU846" s="11"/>
      <c r="CV846" s="11"/>
      <c r="CW846" s="11"/>
      <c r="CX846" s="11"/>
      <c r="CY846" s="11"/>
      <c r="CZ846" s="11"/>
      <c r="DA846" s="28"/>
      <c r="DB846" s="28"/>
      <c r="DC846" s="11"/>
      <c r="DD846" s="29"/>
      <c r="DE846" s="11"/>
      <c r="DF846" s="11"/>
      <c r="DG846" s="11"/>
      <c r="DH846" s="11"/>
      <c r="DI846" s="11"/>
      <c r="DJ846" s="11"/>
      <c r="DK846" s="26"/>
      <c r="DL846" s="11"/>
      <c r="DM846" s="29"/>
      <c r="DN846" s="28"/>
      <c r="DO846" s="11"/>
      <c r="DP846" s="11"/>
      <c r="DQ846" s="11"/>
      <c r="DR846" s="29"/>
      <c r="DS846" s="28"/>
      <c r="DT846" s="11"/>
      <c r="DU846" s="26"/>
      <c r="DV846" s="11"/>
      <c r="DW846" s="29"/>
      <c r="DX846" s="28"/>
      <c r="DY846" s="11"/>
      <c r="DZ846" s="26"/>
      <c r="EA846" s="11"/>
      <c r="EB846" s="29"/>
      <c r="EC846" s="28"/>
      <c r="ED846" s="30"/>
      <c r="EE846" s="30" t="str">
        <f ca="1">IFERROR(__xludf.DUMMYFUNCTION("iferror(index(filter('Internal -- Trademark Countries'!E$2:E1000, (AM846 = 'Internal -- Trademark Countries'!B$2:B1000) + (AM846 = 'Internal -- Trademark Countries'!C$2:C1000) + (AM846 = 'Internal -- Trademark Countries'!D$2:D1000)), 1))"),"")</f>
        <v/>
      </c>
      <c r="EF846" s="30" t="e">
        <f ca="1">_xludf.ifs(AM846="", "", COUNTIF('Internal -- Trademark Countries'!B:B,AM846) &gt; 0, "polity_shortest_name", COUNTIF('Internal -- Trademark Countries'!C:C,AM846) &gt; 0, "polity_full_name", COUNTIF('Internal -- Trademark Countries'!D:D,AM846) &gt; 0, "polity_common_name", COUNTIF('Internal -- Trademark Countries'!E:E,AM846) &gt; 0, "shortest_name", COUNTIF('Internal -- Trademark Countries'!A:A,AM846) &gt; 0, "full_name", TRUE, "not a match")</f>
        <v>#NAME?</v>
      </c>
      <c r="EG846" s="30"/>
      <c r="EH846" s="30"/>
      <c r="EI846" s="30"/>
      <c r="EJ846" s="30"/>
      <c r="EK846" s="30" t="str">
        <f t="shared" si="5"/>
        <v/>
      </c>
    </row>
    <row r="847" spans="1:141" ht="16.5">
      <c r="A847" s="11"/>
      <c r="B847" s="11"/>
      <c r="C847" s="11"/>
      <c r="D847" s="11"/>
      <c r="E847" s="11"/>
      <c r="F847" s="11"/>
      <c r="G847" s="11"/>
      <c r="H847" s="11"/>
      <c r="I847" s="11"/>
      <c r="J847" s="11"/>
      <c r="K847" s="27"/>
      <c r="L847" s="11"/>
      <c r="M847" s="11"/>
      <c r="N847" s="11"/>
      <c r="O847" s="11"/>
      <c r="P847" s="15"/>
      <c r="Q847" s="15"/>
      <c r="R847" s="15"/>
      <c r="S847" s="15"/>
      <c r="T847" s="15"/>
      <c r="U847" s="15"/>
      <c r="V847" s="15"/>
      <c r="W847" s="47"/>
      <c r="X847" s="11"/>
      <c r="Y847" s="48"/>
      <c r="Z847" s="11"/>
      <c r="AA847" s="48"/>
      <c r="AB847" s="11"/>
      <c r="AC847" s="48"/>
      <c r="AD847" s="11"/>
      <c r="AE847" s="47"/>
      <c r="AF847" s="11"/>
      <c r="AG847" s="48"/>
      <c r="AH847" s="11"/>
      <c r="AI847" s="48"/>
      <c r="AJ847" s="11"/>
      <c r="AK847" s="48"/>
      <c r="AL847" s="11"/>
      <c r="AM847" s="49"/>
      <c r="AN847" s="49"/>
      <c r="AO847" s="11"/>
      <c r="AP847" s="11"/>
      <c r="AQ847" s="28" t="b">
        <f>IF(COUNTIF(SmartStatus!A$2:A1000, AM847) &gt; 2, TRUE, FALSE)</f>
        <v>0</v>
      </c>
      <c r="AR847" s="29" t="str">
        <f ca="1">IFERROR(__xludf.DUMMYFUNCTION("iferror(if(regexmatch(AO847, ""(?i)^registered""), if(EE847 &lt;&gt; ""polity_shortest_name"", ""CHECK_POLITY"", index(filter(SmartStatus!B$2:B1000, AM847 = SmartStatus!A$2:A1000, not(SmartStatus!C$2:C1000), (isblank(SmartStatus!D$2:D1000)) + ((P847 &lt;&gt; """") * "&amp;"(P847 &lt; SmartStatus!D$2:D1000)), (isblank(SmartStatus!E$2:E1000)) + ((P847 &lt;&gt; """") * (P847 &gt;= SmartStatus!E$2:E1000)), (isblank(SmartStatus!F$2:F1000)) + (((Q847 &lt;&gt; """") * (Q847 &lt; SmartStatus!F$2:F1000)) + ((P847 &lt;&gt; """") * (date(year(P847) + 3, month(P"&amp;"847), day(P847)) &lt; SmartStatus!F$2:F1000))), (isblank(SmartStatus!G$2:G1000)) + (((Q847 &lt;&gt; """") * (Q847 &gt;= SmartStatus!G$2:G1000)) + ((P847 &lt;&gt; """") * (P847 &gt;= SmartStatus!G$2:G1000)))), if(or(regexmatch(B847, ""(?i)^ir [a-z]+ designation$""), N847 &lt;&gt; """&amp;"""), 1, 2))), """"), ""NO_MATCH"")"),"")</f>
        <v/>
      </c>
      <c r="AS847" s="11"/>
      <c r="AT847" s="15"/>
      <c r="AU847" s="11"/>
      <c r="AV847" s="11"/>
      <c r="AW847" s="15"/>
      <c r="AX847" s="15"/>
      <c r="AY847" s="15"/>
      <c r="AZ847" s="11"/>
      <c r="BA847" s="15"/>
      <c r="BB847" s="11"/>
      <c r="BC847" s="11"/>
      <c r="BD847" s="15"/>
      <c r="BE847" s="11"/>
      <c r="BF847" s="11"/>
      <c r="BG847" s="15"/>
      <c r="BH847" s="15"/>
      <c r="BI847" s="15"/>
      <c r="BJ847" s="11"/>
      <c r="BK847" s="15"/>
      <c r="BL847" s="11"/>
      <c r="BM847" s="11"/>
      <c r="BN847" s="15"/>
      <c r="BO847" s="11"/>
      <c r="BP847" s="11"/>
      <c r="BQ847" s="15"/>
      <c r="BR847" s="15"/>
      <c r="BS847" s="15"/>
      <c r="BT847" s="11"/>
      <c r="BU847" s="15"/>
      <c r="BV847" s="11"/>
      <c r="BW847" s="11"/>
      <c r="BX847" s="15"/>
      <c r="BY847" s="11"/>
      <c r="BZ847" s="11"/>
      <c r="CA847" s="15"/>
      <c r="CB847" s="11"/>
      <c r="CC847" s="15"/>
      <c r="CD847" s="11"/>
      <c r="CE847" s="15"/>
      <c r="CF847" s="11"/>
      <c r="CG847" s="11"/>
      <c r="CH847" s="15"/>
      <c r="CI847" s="11"/>
      <c r="CJ847" s="11"/>
      <c r="CK847" s="15"/>
      <c r="CL847" s="11"/>
      <c r="CM847" s="11"/>
      <c r="CN847" s="11"/>
      <c r="CO847" s="11"/>
      <c r="CP847" s="28"/>
      <c r="CQ847" s="28"/>
      <c r="CR847" s="11"/>
      <c r="CS847" s="29"/>
      <c r="CT847" s="11"/>
      <c r="CU847" s="11"/>
      <c r="CV847" s="11"/>
      <c r="CW847" s="11"/>
      <c r="CX847" s="11"/>
      <c r="CY847" s="11"/>
      <c r="CZ847" s="11"/>
      <c r="DA847" s="28"/>
      <c r="DB847" s="28"/>
      <c r="DC847" s="11"/>
      <c r="DD847" s="29"/>
      <c r="DE847" s="11"/>
      <c r="DF847" s="11"/>
      <c r="DG847" s="11"/>
      <c r="DH847" s="11"/>
      <c r="DI847" s="11"/>
      <c r="DJ847" s="11"/>
      <c r="DK847" s="26"/>
      <c r="DL847" s="11"/>
      <c r="DM847" s="29"/>
      <c r="DN847" s="28"/>
      <c r="DO847" s="11"/>
      <c r="DP847" s="11"/>
      <c r="DQ847" s="11"/>
      <c r="DR847" s="29"/>
      <c r="DS847" s="28"/>
      <c r="DT847" s="11"/>
      <c r="DU847" s="26"/>
      <c r="DV847" s="11"/>
      <c r="DW847" s="29"/>
      <c r="DX847" s="28"/>
      <c r="DY847" s="11"/>
      <c r="DZ847" s="26"/>
      <c r="EA847" s="11"/>
      <c r="EB847" s="29"/>
      <c r="EC847" s="28"/>
      <c r="ED847" s="30"/>
      <c r="EE847" s="30" t="str">
        <f ca="1">IFERROR(__xludf.DUMMYFUNCTION("iferror(index(filter('Internal -- Trademark Countries'!E$2:E1000, (AM847 = 'Internal -- Trademark Countries'!B$2:B1000) + (AM847 = 'Internal -- Trademark Countries'!C$2:C1000) + (AM847 = 'Internal -- Trademark Countries'!D$2:D1000)), 1))"),"")</f>
        <v/>
      </c>
      <c r="EF847" s="30" t="e">
        <f ca="1">_xludf.ifs(AM847="", "", COUNTIF('Internal -- Trademark Countries'!B:B,AM847) &gt; 0, "polity_shortest_name", COUNTIF('Internal -- Trademark Countries'!C:C,AM847) &gt; 0, "polity_full_name", COUNTIF('Internal -- Trademark Countries'!D:D,AM847) &gt; 0, "polity_common_name", COUNTIF('Internal -- Trademark Countries'!E:E,AM847) &gt; 0, "shortest_name", COUNTIF('Internal -- Trademark Countries'!A:A,AM847) &gt; 0, "full_name", TRUE, "not a match")</f>
        <v>#NAME?</v>
      </c>
      <c r="EG847" s="30"/>
      <c r="EH847" s="30"/>
      <c r="EI847" s="30"/>
      <c r="EJ847" s="30"/>
      <c r="EK847" s="30" t="str">
        <f t="shared" si="5"/>
        <v/>
      </c>
    </row>
    <row r="848" spans="1:141" ht="16.5">
      <c r="A848" s="11"/>
      <c r="B848" s="11"/>
      <c r="C848" s="11"/>
      <c r="D848" s="11"/>
      <c r="E848" s="11"/>
      <c r="F848" s="11"/>
      <c r="G848" s="11"/>
      <c r="H848" s="11"/>
      <c r="I848" s="11"/>
      <c r="J848" s="11"/>
      <c r="K848" s="27"/>
      <c r="L848" s="11"/>
      <c r="M848" s="11"/>
      <c r="N848" s="11"/>
      <c r="O848" s="11"/>
      <c r="P848" s="15"/>
      <c r="Q848" s="15"/>
      <c r="R848" s="15"/>
      <c r="S848" s="15"/>
      <c r="T848" s="15"/>
      <c r="U848" s="15"/>
      <c r="V848" s="15"/>
      <c r="W848" s="47"/>
      <c r="X848" s="11"/>
      <c r="Y848" s="48"/>
      <c r="Z848" s="11"/>
      <c r="AA848" s="48"/>
      <c r="AB848" s="11"/>
      <c r="AC848" s="48"/>
      <c r="AD848" s="11"/>
      <c r="AE848" s="47"/>
      <c r="AF848" s="11"/>
      <c r="AG848" s="48"/>
      <c r="AH848" s="11"/>
      <c r="AI848" s="48"/>
      <c r="AJ848" s="11"/>
      <c r="AK848" s="48"/>
      <c r="AL848" s="11"/>
      <c r="AM848" s="49"/>
      <c r="AN848" s="49"/>
      <c r="AO848" s="11"/>
      <c r="AP848" s="11"/>
      <c r="AQ848" s="28" t="b">
        <f>IF(COUNTIF(SmartStatus!A$2:A1000, AM848) &gt; 2, TRUE, FALSE)</f>
        <v>0</v>
      </c>
      <c r="AR848" s="29" t="str">
        <f ca="1">IFERROR(__xludf.DUMMYFUNCTION("iferror(if(regexmatch(AO848, ""(?i)^registered""), if(EE848 &lt;&gt; ""polity_shortest_name"", ""CHECK_POLITY"", index(filter(SmartStatus!B$2:B1000, AM848 = SmartStatus!A$2:A1000, not(SmartStatus!C$2:C1000), (isblank(SmartStatus!D$2:D1000)) + ((P848 &lt;&gt; """") * "&amp;"(P848 &lt; SmartStatus!D$2:D1000)), (isblank(SmartStatus!E$2:E1000)) + ((P848 &lt;&gt; """") * (P848 &gt;= SmartStatus!E$2:E1000)), (isblank(SmartStatus!F$2:F1000)) + (((Q848 &lt;&gt; """") * (Q848 &lt; SmartStatus!F$2:F1000)) + ((P848 &lt;&gt; """") * (date(year(P848) + 3, month(P"&amp;"848), day(P848)) &lt; SmartStatus!F$2:F1000))), (isblank(SmartStatus!G$2:G1000)) + (((Q848 &lt;&gt; """") * (Q848 &gt;= SmartStatus!G$2:G1000)) + ((P848 &lt;&gt; """") * (P848 &gt;= SmartStatus!G$2:G1000)))), if(or(regexmatch(B848, ""(?i)^ir [a-z]+ designation$""), N848 &lt;&gt; """&amp;"""), 1, 2))), """"), ""NO_MATCH"")"),"")</f>
        <v/>
      </c>
      <c r="AS848" s="11"/>
      <c r="AT848" s="15"/>
      <c r="AU848" s="11"/>
      <c r="AV848" s="11"/>
      <c r="AW848" s="15"/>
      <c r="AX848" s="15"/>
      <c r="AY848" s="15"/>
      <c r="AZ848" s="11"/>
      <c r="BA848" s="15"/>
      <c r="BB848" s="11"/>
      <c r="BC848" s="11"/>
      <c r="BD848" s="15"/>
      <c r="BE848" s="11"/>
      <c r="BF848" s="11"/>
      <c r="BG848" s="15"/>
      <c r="BH848" s="15"/>
      <c r="BI848" s="15"/>
      <c r="BJ848" s="11"/>
      <c r="BK848" s="15"/>
      <c r="BL848" s="11"/>
      <c r="BM848" s="11"/>
      <c r="BN848" s="15"/>
      <c r="BO848" s="11"/>
      <c r="BP848" s="11"/>
      <c r="BQ848" s="15"/>
      <c r="BR848" s="15"/>
      <c r="BS848" s="15"/>
      <c r="BT848" s="11"/>
      <c r="BU848" s="15"/>
      <c r="BV848" s="11"/>
      <c r="BW848" s="11"/>
      <c r="BX848" s="15"/>
      <c r="BY848" s="11"/>
      <c r="BZ848" s="11"/>
      <c r="CA848" s="15"/>
      <c r="CB848" s="11"/>
      <c r="CC848" s="15"/>
      <c r="CD848" s="11"/>
      <c r="CE848" s="15"/>
      <c r="CF848" s="11"/>
      <c r="CG848" s="11"/>
      <c r="CH848" s="15"/>
      <c r="CI848" s="11"/>
      <c r="CJ848" s="11"/>
      <c r="CK848" s="15"/>
      <c r="CL848" s="11"/>
      <c r="CM848" s="11"/>
      <c r="CN848" s="11"/>
      <c r="CO848" s="11"/>
      <c r="CP848" s="28"/>
      <c r="CQ848" s="28"/>
      <c r="CR848" s="11"/>
      <c r="CS848" s="29"/>
      <c r="CT848" s="11"/>
      <c r="CU848" s="11"/>
      <c r="CV848" s="11"/>
      <c r="CW848" s="11"/>
      <c r="CX848" s="11"/>
      <c r="CY848" s="11"/>
      <c r="CZ848" s="11"/>
      <c r="DA848" s="28"/>
      <c r="DB848" s="28"/>
      <c r="DC848" s="11"/>
      <c r="DD848" s="29"/>
      <c r="DE848" s="11"/>
      <c r="DF848" s="11"/>
      <c r="DG848" s="11"/>
      <c r="DH848" s="11"/>
      <c r="DI848" s="11"/>
      <c r="DJ848" s="11"/>
      <c r="DK848" s="26"/>
      <c r="DL848" s="11"/>
      <c r="DM848" s="29"/>
      <c r="DN848" s="28"/>
      <c r="DO848" s="11"/>
      <c r="DP848" s="11"/>
      <c r="DQ848" s="11"/>
      <c r="DR848" s="29"/>
      <c r="DS848" s="28"/>
      <c r="DT848" s="11"/>
      <c r="DU848" s="26"/>
      <c r="DV848" s="11"/>
      <c r="DW848" s="29"/>
      <c r="DX848" s="28"/>
      <c r="DY848" s="11"/>
      <c r="DZ848" s="26"/>
      <c r="EA848" s="11"/>
      <c r="EB848" s="29"/>
      <c r="EC848" s="28"/>
      <c r="ED848" s="30"/>
      <c r="EE848" s="30" t="str">
        <f ca="1">IFERROR(__xludf.DUMMYFUNCTION("iferror(index(filter('Internal -- Trademark Countries'!E$2:E1000, (AM848 = 'Internal -- Trademark Countries'!B$2:B1000) + (AM848 = 'Internal -- Trademark Countries'!C$2:C1000) + (AM848 = 'Internal -- Trademark Countries'!D$2:D1000)), 1))"),"")</f>
        <v/>
      </c>
      <c r="EF848" s="30" t="e">
        <f ca="1">_xludf.ifs(AM848="", "", COUNTIF('Internal -- Trademark Countries'!B:B,AM848) &gt; 0, "polity_shortest_name", COUNTIF('Internal -- Trademark Countries'!C:C,AM848) &gt; 0, "polity_full_name", COUNTIF('Internal -- Trademark Countries'!D:D,AM848) &gt; 0, "polity_common_name", COUNTIF('Internal -- Trademark Countries'!E:E,AM848) &gt; 0, "shortest_name", COUNTIF('Internal -- Trademark Countries'!A:A,AM848) &gt; 0, "full_name", TRUE, "not a match")</f>
        <v>#NAME?</v>
      </c>
      <c r="EG848" s="30"/>
      <c r="EH848" s="30"/>
      <c r="EI848" s="30"/>
      <c r="EJ848" s="30"/>
      <c r="EK848" s="30" t="str">
        <f t="shared" si="5"/>
        <v/>
      </c>
    </row>
    <row r="849" spans="1:141" ht="16.5">
      <c r="A849" s="11"/>
      <c r="B849" s="11"/>
      <c r="C849" s="11"/>
      <c r="D849" s="11"/>
      <c r="E849" s="11"/>
      <c r="F849" s="11"/>
      <c r="G849" s="11"/>
      <c r="H849" s="11"/>
      <c r="I849" s="11"/>
      <c r="J849" s="11"/>
      <c r="K849" s="27"/>
      <c r="L849" s="11"/>
      <c r="M849" s="11"/>
      <c r="N849" s="11"/>
      <c r="O849" s="11"/>
      <c r="P849" s="15"/>
      <c r="Q849" s="15"/>
      <c r="R849" s="15"/>
      <c r="S849" s="15"/>
      <c r="T849" s="15"/>
      <c r="U849" s="15"/>
      <c r="V849" s="15"/>
      <c r="W849" s="47"/>
      <c r="X849" s="11"/>
      <c r="Y849" s="48"/>
      <c r="Z849" s="11"/>
      <c r="AA849" s="48"/>
      <c r="AB849" s="11"/>
      <c r="AC849" s="48"/>
      <c r="AD849" s="11"/>
      <c r="AE849" s="47"/>
      <c r="AF849" s="11"/>
      <c r="AG849" s="48"/>
      <c r="AH849" s="11"/>
      <c r="AI849" s="48"/>
      <c r="AJ849" s="11"/>
      <c r="AK849" s="48"/>
      <c r="AL849" s="11"/>
      <c r="AM849" s="49"/>
      <c r="AN849" s="49"/>
      <c r="AO849" s="11"/>
      <c r="AP849" s="11"/>
      <c r="AQ849" s="28" t="b">
        <f>IF(COUNTIF(SmartStatus!A$2:A1000, AM849) &gt; 2, TRUE, FALSE)</f>
        <v>0</v>
      </c>
      <c r="AR849" s="29" t="str">
        <f ca="1">IFERROR(__xludf.DUMMYFUNCTION("iferror(if(regexmatch(AO849, ""(?i)^registered""), if(EE849 &lt;&gt; ""polity_shortest_name"", ""CHECK_POLITY"", index(filter(SmartStatus!B$2:B1000, AM849 = SmartStatus!A$2:A1000, not(SmartStatus!C$2:C1000), (isblank(SmartStatus!D$2:D1000)) + ((P849 &lt;&gt; """") * "&amp;"(P849 &lt; SmartStatus!D$2:D1000)), (isblank(SmartStatus!E$2:E1000)) + ((P849 &lt;&gt; """") * (P849 &gt;= SmartStatus!E$2:E1000)), (isblank(SmartStatus!F$2:F1000)) + (((Q849 &lt;&gt; """") * (Q849 &lt; SmartStatus!F$2:F1000)) + ((P849 &lt;&gt; """") * (date(year(P849) + 3, month(P"&amp;"849), day(P849)) &lt; SmartStatus!F$2:F1000))), (isblank(SmartStatus!G$2:G1000)) + (((Q849 &lt;&gt; """") * (Q849 &gt;= SmartStatus!G$2:G1000)) + ((P849 &lt;&gt; """") * (P849 &gt;= SmartStatus!G$2:G1000)))), if(or(regexmatch(B849, ""(?i)^ir [a-z]+ designation$""), N849 &lt;&gt; """&amp;"""), 1, 2))), """"), ""NO_MATCH"")"),"")</f>
        <v/>
      </c>
      <c r="AS849" s="11"/>
      <c r="AT849" s="15"/>
      <c r="AU849" s="11"/>
      <c r="AV849" s="11"/>
      <c r="AW849" s="15"/>
      <c r="AX849" s="15"/>
      <c r="AY849" s="15"/>
      <c r="AZ849" s="11"/>
      <c r="BA849" s="15"/>
      <c r="BB849" s="11"/>
      <c r="BC849" s="11"/>
      <c r="BD849" s="15"/>
      <c r="BE849" s="11"/>
      <c r="BF849" s="11"/>
      <c r="BG849" s="15"/>
      <c r="BH849" s="15"/>
      <c r="BI849" s="15"/>
      <c r="BJ849" s="11"/>
      <c r="BK849" s="15"/>
      <c r="BL849" s="11"/>
      <c r="BM849" s="11"/>
      <c r="BN849" s="15"/>
      <c r="BO849" s="11"/>
      <c r="BP849" s="11"/>
      <c r="BQ849" s="15"/>
      <c r="BR849" s="15"/>
      <c r="BS849" s="15"/>
      <c r="BT849" s="11"/>
      <c r="BU849" s="15"/>
      <c r="BV849" s="11"/>
      <c r="BW849" s="11"/>
      <c r="BX849" s="15"/>
      <c r="BY849" s="11"/>
      <c r="BZ849" s="11"/>
      <c r="CA849" s="15"/>
      <c r="CB849" s="11"/>
      <c r="CC849" s="15"/>
      <c r="CD849" s="11"/>
      <c r="CE849" s="15"/>
      <c r="CF849" s="11"/>
      <c r="CG849" s="11"/>
      <c r="CH849" s="15"/>
      <c r="CI849" s="11"/>
      <c r="CJ849" s="11"/>
      <c r="CK849" s="15"/>
      <c r="CL849" s="11"/>
      <c r="CM849" s="11"/>
      <c r="CN849" s="11"/>
      <c r="CO849" s="11"/>
      <c r="CP849" s="28"/>
      <c r="CQ849" s="28"/>
      <c r="CR849" s="11"/>
      <c r="CS849" s="29"/>
      <c r="CT849" s="11"/>
      <c r="CU849" s="11"/>
      <c r="CV849" s="11"/>
      <c r="CW849" s="11"/>
      <c r="CX849" s="11"/>
      <c r="CY849" s="11"/>
      <c r="CZ849" s="11"/>
      <c r="DA849" s="28"/>
      <c r="DB849" s="28"/>
      <c r="DC849" s="11"/>
      <c r="DD849" s="29"/>
      <c r="DE849" s="11"/>
      <c r="DF849" s="11"/>
      <c r="DG849" s="11"/>
      <c r="DH849" s="11"/>
      <c r="DI849" s="11"/>
      <c r="DJ849" s="11"/>
      <c r="DK849" s="26"/>
      <c r="DL849" s="11"/>
      <c r="DM849" s="29"/>
      <c r="DN849" s="28"/>
      <c r="DO849" s="11"/>
      <c r="DP849" s="11"/>
      <c r="DQ849" s="11"/>
      <c r="DR849" s="29"/>
      <c r="DS849" s="28"/>
      <c r="DT849" s="11"/>
      <c r="DU849" s="26"/>
      <c r="DV849" s="11"/>
      <c r="DW849" s="29"/>
      <c r="DX849" s="28"/>
      <c r="DY849" s="11"/>
      <c r="DZ849" s="26"/>
      <c r="EA849" s="11"/>
      <c r="EB849" s="29"/>
      <c r="EC849" s="28"/>
      <c r="ED849" s="30"/>
      <c r="EE849" s="30" t="str">
        <f ca="1">IFERROR(__xludf.DUMMYFUNCTION("iferror(index(filter('Internal -- Trademark Countries'!E$2:E1000, (AM849 = 'Internal -- Trademark Countries'!B$2:B1000) + (AM849 = 'Internal -- Trademark Countries'!C$2:C1000) + (AM849 = 'Internal -- Trademark Countries'!D$2:D1000)), 1))"),"")</f>
        <v/>
      </c>
      <c r="EF849" s="30" t="e">
        <f ca="1">_xludf.ifs(AM849="", "", COUNTIF('Internal -- Trademark Countries'!B:B,AM849) &gt; 0, "polity_shortest_name", COUNTIF('Internal -- Trademark Countries'!C:C,AM849) &gt; 0, "polity_full_name", COUNTIF('Internal -- Trademark Countries'!D:D,AM849) &gt; 0, "polity_common_name", COUNTIF('Internal -- Trademark Countries'!E:E,AM849) &gt; 0, "shortest_name", COUNTIF('Internal -- Trademark Countries'!A:A,AM849) &gt; 0, "full_name", TRUE, "not a match")</f>
        <v>#NAME?</v>
      </c>
      <c r="EG849" s="30"/>
      <c r="EH849" s="30"/>
      <c r="EI849" s="30"/>
      <c r="EJ849" s="30"/>
      <c r="EK849" s="30" t="str">
        <f t="shared" si="5"/>
        <v/>
      </c>
    </row>
    <row r="850" spans="1:141" ht="16.5">
      <c r="A850" s="11"/>
      <c r="B850" s="11"/>
      <c r="C850" s="11"/>
      <c r="D850" s="11"/>
      <c r="E850" s="11"/>
      <c r="F850" s="11"/>
      <c r="G850" s="11"/>
      <c r="H850" s="11"/>
      <c r="I850" s="11"/>
      <c r="J850" s="11"/>
      <c r="K850" s="27"/>
      <c r="L850" s="11"/>
      <c r="M850" s="11"/>
      <c r="N850" s="11"/>
      <c r="O850" s="11"/>
      <c r="P850" s="15"/>
      <c r="Q850" s="15"/>
      <c r="R850" s="15"/>
      <c r="S850" s="15"/>
      <c r="T850" s="15"/>
      <c r="U850" s="15"/>
      <c r="V850" s="15"/>
      <c r="W850" s="47"/>
      <c r="X850" s="11"/>
      <c r="Y850" s="48"/>
      <c r="Z850" s="11"/>
      <c r="AA850" s="48"/>
      <c r="AB850" s="11"/>
      <c r="AC850" s="48"/>
      <c r="AD850" s="11"/>
      <c r="AE850" s="47"/>
      <c r="AF850" s="11"/>
      <c r="AG850" s="48"/>
      <c r="AH850" s="11"/>
      <c r="AI850" s="48"/>
      <c r="AJ850" s="11"/>
      <c r="AK850" s="48"/>
      <c r="AL850" s="11"/>
      <c r="AM850" s="49"/>
      <c r="AN850" s="49"/>
      <c r="AO850" s="11"/>
      <c r="AP850" s="11"/>
      <c r="AQ850" s="28" t="b">
        <f>IF(COUNTIF(SmartStatus!A$2:A1000, AM850) &gt; 2, TRUE, FALSE)</f>
        <v>0</v>
      </c>
      <c r="AR850" s="29" t="str">
        <f ca="1">IFERROR(__xludf.DUMMYFUNCTION("iferror(if(regexmatch(AO850, ""(?i)^registered""), if(EE850 &lt;&gt; ""polity_shortest_name"", ""CHECK_POLITY"", index(filter(SmartStatus!B$2:B1000, AM850 = SmartStatus!A$2:A1000, not(SmartStatus!C$2:C1000), (isblank(SmartStatus!D$2:D1000)) + ((P850 &lt;&gt; """") * "&amp;"(P850 &lt; SmartStatus!D$2:D1000)), (isblank(SmartStatus!E$2:E1000)) + ((P850 &lt;&gt; """") * (P850 &gt;= SmartStatus!E$2:E1000)), (isblank(SmartStatus!F$2:F1000)) + (((Q850 &lt;&gt; """") * (Q850 &lt; SmartStatus!F$2:F1000)) + ((P850 &lt;&gt; """") * (date(year(P850) + 3, month(P"&amp;"850), day(P850)) &lt; SmartStatus!F$2:F1000))), (isblank(SmartStatus!G$2:G1000)) + (((Q850 &lt;&gt; """") * (Q850 &gt;= SmartStatus!G$2:G1000)) + ((P850 &lt;&gt; """") * (P850 &gt;= SmartStatus!G$2:G1000)))), if(or(regexmatch(B850, ""(?i)^ir [a-z]+ designation$""), N850 &lt;&gt; """&amp;"""), 1, 2))), """"), ""NO_MATCH"")"),"")</f>
        <v/>
      </c>
      <c r="AS850" s="11"/>
      <c r="AT850" s="15"/>
      <c r="AU850" s="11"/>
      <c r="AV850" s="11"/>
      <c r="AW850" s="15"/>
      <c r="AX850" s="15"/>
      <c r="AY850" s="15"/>
      <c r="AZ850" s="11"/>
      <c r="BA850" s="15"/>
      <c r="BB850" s="11"/>
      <c r="BC850" s="11"/>
      <c r="BD850" s="15"/>
      <c r="BE850" s="11"/>
      <c r="BF850" s="11"/>
      <c r="BG850" s="15"/>
      <c r="BH850" s="15"/>
      <c r="BI850" s="15"/>
      <c r="BJ850" s="11"/>
      <c r="BK850" s="15"/>
      <c r="BL850" s="11"/>
      <c r="BM850" s="11"/>
      <c r="BN850" s="15"/>
      <c r="BO850" s="11"/>
      <c r="BP850" s="11"/>
      <c r="BQ850" s="15"/>
      <c r="BR850" s="15"/>
      <c r="BS850" s="15"/>
      <c r="BT850" s="11"/>
      <c r="BU850" s="15"/>
      <c r="BV850" s="11"/>
      <c r="BW850" s="11"/>
      <c r="BX850" s="15"/>
      <c r="BY850" s="11"/>
      <c r="BZ850" s="11"/>
      <c r="CA850" s="15"/>
      <c r="CB850" s="11"/>
      <c r="CC850" s="15"/>
      <c r="CD850" s="11"/>
      <c r="CE850" s="15"/>
      <c r="CF850" s="11"/>
      <c r="CG850" s="11"/>
      <c r="CH850" s="15"/>
      <c r="CI850" s="11"/>
      <c r="CJ850" s="11"/>
      <c r="CK850" s="15"/>
      <c r="CL850" s="11"/>
      <c r="CM850" s="11"/>
      <c r="CN850" s="11"/>
      <c r="CO850" s="11"/>
      <c r="CP850" s="28"/>
      <c r="CQ850" s="28"/>
      <c r="CR850" s="11"/>
      <c r="CS850" s="29"/>
      <c r="CT850" s="11"/>
      <c r="CU850" s="11"/>
      <c r="CV850" s="11"/>
      <c r="CW850" s="11"/>
      <c r="CX850" s="11"/>
      <c r="CY850" s="11"/>
      <c r="CZ850" s="11"/>
      <c r="DA850" s="28"/>
      <c r="DB850" s="28"/>
      <c r="DC850" s="11"/>
      <c r="DD850" s="29"/>
      <c r="DE850" s="11"/>
      <c r="DF850" s="11"/>
      <c r="DG850" s="11"/>
      <c r="DH850" s="11"/>
      <c r="DI850" s="11"/>
      <c r="DJ850" s="11"/>
      <c r="DK850" s="26"/>
      <c r="DL850" s="11"/>
      <c r="DM850" s="29"/>
      <c r="DN850" s="28"/>
      <c r="DO850" s="11"/>
      <c r="DP850" s="11"/>
      <c r="DQ850" s="11"/>
      <c r="DR850" s="29"/>
      <c r="DS850" s="28"/>
      <c r="DT850" s="11"/>
      <c r="DU850" s="26"/>
      <c r="DV850" s="11"/>
      <c r="DW850" s="29"/>
      <c r="DX850" s="28"/>
      <c r="DY850" s="11"/>
      <c r="DZ850" s="26"/>
      <c r="EA850" s="11"/>
      <c r="EB850" s="29"/>
      <c r="EC850" s="28"/>
      <c r="ED850" s="30"/>
      <c r="EE850" s="30" t="str">
        <f ca="1">IFERROR(__xludf.DUMMYFUNCTION("iferror(index(filter('Internal -- Trademark Countries'!E$2:E1000, (AM850 = 'Internal -- Trademark Countries'!B$2:B1000) + (AM850 = 'Internal -- Trademark Countries'!C$2:C1000) + (AM850 = 'Internal -- Trademark Countries'!D$2:D1000)), 1))"),"")</f>
        <v/>
      </c>
      <c r="EF850" s="30" t="e">
        <f ca="1">_xludf.ifs(AM850="", "", COUNTIF('Internal -- Trademark Countries'!B:B,AM850) &gt; 0, "polity_shortest_name", COUNTIF('Internal -- Trademark Countries'!C:C,AM850) &gt; 0, "polity_full_name", COUNTIF('Internal -- Trademark Countries'!D:D,AM850) &gt; 0, "polity_common_name", COUNTIF('Internal -- Trademark Countries'!E:E,AM850) &gt; 0, "shortest_name", COUNTIF('Internal -- Trademark Countries'!A:A,AM850) &gt; 0, "full_name", TRUE, "not a match")</f>
        <v>#NAME?</v>
      </c>
      <c r="EG850" s="30"/>
      <c r="EH850" s="30"/>
      <c r="EI850" s="30"/>
      <c r="EJ850" s="30"/>
      <c r="EK850" s="30" t="str">
        <f t="shared" si="5"/>
        <v/>
      </c>
    </row>
    <row r="851" spans="1:141" ht="16.5">
      <c r="A851" s="11"/>
      <c r="B851" s="11"/>
      <c r="C851" s="11"/>
      <c r="D851" s="11"/>
      <c r="E851" s="11"/>
      <c r="F851" s="11"/>
      <c r="G851" s="11"/>
      <c r="H851" s="11"/>
      <c r="I851" s="11"/>
      <c r="J851" s="11"/>
      <c r="K851" s="27"/>
      <c r="L851" s="11"/>
      <c r="M851" s="11"/>
      <c r="N851" s="11"/>
      <c r="O851" s="11"/>
      <c r="P851" s="15"/>
      <c r="Q851" s="15"/>
      <c r="R851" s="15"/>
      <c r="S851" s="15"/>
      <c r="T851" s="15"/>
      <c r="U851" s="15"/>
      <c r="V851" s="15"/>
      <c r="W851" s="47"/>
      <c r="X851" s="11"/>
      <c r="Y851" s="48"/>
      <c r="Z851" s="11"/>
      <c r="AA851" s="48"/>
      <c r="AB851" s="11"/>
      <c r="AC851" s="48"/>
      <c r="AD851" s="11"/>
      <c r="AE851" s="47"/>
      <c r="AF851" s="11"/>
      <c r="AG851" s="48"/>
      <c r="AH851" s="11"/>
      <c r="AI851" s="48"/>
      <c r="AJ851" s="11"/>
      <c r="AK851" s="48"/>
      <c r="AL851" s="11"/>
      <c r="AM851" s="49"/>
      <c r="AN851" s="49"/>
      <c r="AO851" s="11"/>
      <c r="AP851" s="11"/>
      <c r="AQ851" s="28" t="b">
        <f>IF(COUNTIF(SmartStatus!A$2:A1000, AM851) &gt; 2, TRUE, FALSE)</f>
        <v>0</v>
      </c>
      <c r="AR851" s="29" t="str">
        <f ca="1">IFERROR(__xludf.DUMMYFUNCTION("iferror(if(regexmatch(AO851, ""(?i)^registered""), if(EE851 &lt;&gt; ""polity_shortest_name"", ""CHECK_POLITY"", index(filter(SmartStatus!B$2:B1000, AM851 = SmartStatus!A$2:A1000, not(SmartStatus!C$2:C1000), (isblank(SmartStatus!D$2:D1000)) + ((P851 &lt;&gt; """") * "&amp;"(P851 &lt; SmartStatus!D$2:D1000)), (isblank(SmartStatus!E$2:E1000)) + ((P851 &lt;&gt; """") * (P851 &gt;= SmartStatus!E$2:E1000)), (isblank(SmartStatus!F$2:F1000)) + (((Q851 &lt;&gt; """") * (Q851 &lt; SmartStatus!F$2:F1000)) + ((P851 &lt;&gt; """") * (date(year(P851) + 3, month(P"&amp;"851), day(P851)) &lt; SmartStatus!F$2:F1000))), (isblank(SmartStatus!G$2:G1000)) + (((Q851 &lt;&gt; """") * (Q851 &gt;= SmartStatus!G$2:G1000)) + ((P851 &lt;&gt; """") * (P851 &gt;= SmartStatus!G$2:G1000)))), if(or(regexmatch(B851, ""(?i)^ir [a-z]+ designation$""), N851 &lt;&gt; """&amp;"""), 1, 2))), """"), ""NO_MATCH"")"),"")</f>
        <v/>
      </c>
      <c r="AS851" s="11"/>
      <c r="AT851" s="15"/>
      <c r="AU851" s="11"/>
      <c r="AV851" s="11"/>
      <c r="AW851" s="15"/>
      <c r="AX851" s="15"/>
      <c r="AY851" s="15"/>
      <c r="AZ851" s="11"/>
      <c r="BA851" s="15"/>
      <c r="BB851" s="11"/>
      <c r="BC851" s="11"/>
      <c r="BD851" s="15"/>
      <c r="BE851" s="11"/>
      <c r="BF851" s="11"/>
      <c r="BG851" s="15"/>
      <c r="BH851" s="15"/>
      <c r="BI851" s="15"/>
      <c r="BJ851" s="11"/>
      <c r="BK851" s="15"/>
      <c r="BL851" s="11"/>
      <c r="BM851" s="11"/>
      <c r="BN851" s="15"/>
      <c r="BO851" s="11"/>
      <c r="BP851" s="11"/>
      <c r="BQ851" s="15"/>
      <c r="BR851" s="15"/>
      <c r="BS851" s="15"/>
      <c r="BT851" s="11"/>
      <c r="BU851" s="15"/>
      <c r="BV851" s="11"/>
      <c r="BW851" s="11"/>
      <c r="BX851" s="15"/>
      <c r="BY851" s="11"/>
      <c r="BZ851" s="11"/>
      <c r="CA851" s="15"/>
      <c r="CB851" s="11"/>
      <c r="CC851" s="15"/>
      <c r="CD851" s="11"/>
      <c r="CE851" s="15"/>
      <c r="CF851" s="11"/>
      <c r="CG851" s="11"/>
      <c r="CH851" s="15"/>
      <c r="CI851" s="11"/>
      <c r="CJ851" s="11"/>
      <c r="CK851" s="15"/>
      <c r="CL851" s="11"/>
      <c r="CM851" s="11"/>
      <c r="CN851" s="11"/>
      <c r="CO851" s="11"/>
      <c r="CP851" s="28"/>
      <c r="CQ851" s="28"/>
      <c r="CR851" s="11"/>
      <c r="CS851" s="29"/>
      <c r="CT851" s="11"/>
      <c r="CU851" s="11"/>
      <c r="CV851" s="11"/>
      <c r="CW851" s="11"/>
      <c r="CX851" s="11"/>
      <c r="CY851" s="11"/>
      <c r="CZ851" s="11"/>
      <c r="DA851" s="28"/>
      <c r="DB851" s="28"/>
      <c r="DC851" s="11"/>
      <c r="DD851" s="29"/>
      <c r="DE851" s="11"/>
      <c r="DF851" s="11"/>
      <c r="DG851" s="11"/>
      <c r="DH851" s="11"/>
      <c r="DI851" s="11"/>
      <c r="DJ851" s="11"/>
      <c r="DK851" s="26"/>
      <c r="DL851" s="11"/>
      <c r="DM851" s="29"/>
      <c r="DN851" s="28"/>
      <c r="DO851" s="11"/>
      <c r="DP851" s="11"/>
      <c r="DQ851" s="11"/>
      <c r="DR851" s="29"/>
      <c r="DS851" s="28"/>
      <c r="DT851" s="11"/>
      <c r="DU851" s="26"/>
      <c r="DV851" s="11"/>
      <c r="DW851" s="29"/>
      <c r="DX851" s="28"/>
      <c r="DY851" s="11"/>
      <c r="DZ851" s="26"/>
      <c r="EA851" s="11"/>
      <c r="EB851" s="29"/>
      <c r="EC851" s="28"/>
      <c r="ED851" s="30"/>
      <c r="EE851" s="30" t="str">
        <f ca="1">IFERROR(__xludf.DUMMYFUNCTION("iferror(index(filter('Internal -- Trademark Countries'!E$2:E1000, (AM851 = 'Internal -- Trademark Countries'!B$2:B1000) + (AM851 = 'Internal -- Trademark Countries'!C$2:C1000) + (AM851 = 'Internal -- Trademark Countries'!D$2:D1000)), 1))"),"")</f>
        <v/>
      </c>
      <c r="EF851" s="30" t="e">
        <f ca="1">_xludf.ifs(AM851="", "", COUNTIF('Internal -- Trademark Countries'!B:B,AM851) &gt; 0, "polity_shortest_name", COUNTIF('Internal -- Trademark Countries'!C:C,AM851) &gt; 0, "polity_full_name", COUNTIF('Internal -- Trademark Countries'!D:D,AM851) &gt; 0, "polity_common_name", COUNTIF('Internal -- Trademark Countries'!E:E,AM851) &gt; 0, "shortest_name", COUNTIF('Internal -- Trademark Countries'!A:A,AM851) &gt; 0, "full_name", TRUE, "not a match")</f>
        <v>#NAME?</v>
      </c>
      <c r="EG851" s="30"/>
      <c r="EH851" s="30"/>
      <c r="EI851" s="30"/>
      <c r="EJ851" s="30"/>
      <c r="EK851" s="30" t="str">
        <f t="shared" si="5"/>
        <v/>
      </c>
    </row>
    <row r="852" spans="1:141" ht="16.5">
      <c r="A852" s="11"/>
      <c r="B852" s="11"/>
      <c r="C852" s="11"/>
      <c r="D852" s="11"/>
      <c r="E852" s="11"/>
      <c r="F852" s="11"/>
      <c r="G852" s="11"/>
      <c r="H852" s="11"/>
      <c r="I852" s="11"/>
      <c r="J852" s="11"/>
      <c r="K852" s="27"/>
      <c r="L852" s="11"/>
      <c r="M852" s="11"/>
      <c r="N852" s="11"/>
      <c r="O852" s="11"/>
      <c r="P852" s="15"/>
      <c r="Q852" s="15"/>
      <c r="R852" s="15"/>
      <c r="S852" s="15"/>
      <c r="T852" s="15"/>
      <c r="U852" s="15"/>
      <c r="V852" s="15"/>
      <c r="W852" s="47"/>
      <c r="X852" s="11"/>
      <c r="Y852" s="48"/>
      <c r="Z852" s="11"/>
      <c r="AA852" s="48"/>
      <c r="AB852" s="11"/>
      <c r="AC852" s="48"/>
      <c r="AD852" s="11"/>
      <c r="AE852" s="47"/>
      <c r="AF852" s="11"/>
      <c r="AG852" s="48"/>
      <c r="AH852" s="11"/>
      <c r="AI852" s="48"/>
      <c r="AJ852" s="11"/>
      <c r="AK852" s="48"/>
      <c r="AL852" s="11"/>
      <c r="AM852" s="49"/>
      <c r="AN852" s="49"/>
      <c r="AO852" s="11"/>
      <c r="AP852" s="11"/>
      <c r="AQ852" s="28" t="b">
        <f>IF(COUNTIF(SmartStatus!A$2:A1000, AM852) &gt; 2, TRUE, FALSE)</f>
        <v>0</v>
      </c>
      <c r="AR852" s="29" t="str">
        <f ca="1">IFERROR(__xludf.DUMMYFUNCTION("iferror(if(regexmatch(AO852, ""(?i)^registered""), if(EE852 &lt;&gt; ""polity_shortest_name"", ""CHECK_POLITY"", index(filter(SmartStatus!B$2:B1000, AM852 = SmartStatus!A$2:A1000, not(SmartStatus!C$2:C1000), (isblank(SmartStatus!D$2:D1000)) + ((P852 &lt;&gt; """") * "&amp;"(P852 &lt; SmartStatus!D$2:D1000)), (isblank(SmartStatus!E$2:E1000)) + ((P852 &lt;&gt; """") * (P852 &gt;= SmartStatus!E$2:E1000)), (isblank(SmartStatus!F$2:F1000)) + (((Q852 &lt;&gt; """") * (Q852 &lt; SmartStatus!F$2:F1000)) + ((P852 &lt;&gt; """") * (date(year(P852) + 3, month(P"&amp;"852), day(P852)) &lt; SmartStatus!F$2:F1000))), (isblank(SmartStatus!G$2:G1000)) + (((Q852 &lt;&gt; """") * (Q852 &gt;= SmartStatus!G$2:G1000)) + ((P852 &lt;&gt; """") * (P852 &gt;= SmartStatus!G$2:G1000)))), if(or(regexmatch(B852, ""(?i)^ir [a-z]+ designation$""), N852 &lt;&gt; """&amp;"""), 1, 2))), """"), ""NO_MATCH"")"),"")</f>
        <v/>
      </c>
      <c r="AS852" s="11"/>
      <c r="AT852" s="15"/>
      <c r="AU852" s="11"/>
      <c r="AV852" s="11"/>
      <c r="AW852" s="15"/>
      <c r="AX852" s="15"/>
      <c r="AY852" s="15"/>
      <c r="AZ852" s="11"/>
      <c r="BA852" s="15"/>
      <c r="BB852" s="11"/>
      <c r="BC852" s="11"/>
      <c r="BD852" s="15"/>
      <c r="BE852" s="11"/>
      <c r="BF852" s="11"/>
      <c r="BG852" s="15"/>
      <c r="BH852" s="15"/>
      <c r="BI852" s="15"/>
      <c r="BJ852" s="11"/>
      <c r="BK852" s="15"/>
      <c r="BL852" s="11"/>
      <c r="BM852" s="11"/>
      <c r="BN852" s="15"/>
      <c r="BO852" s="11"/>
      <c r="BP852" s="11"/>
      <c r="BQ852" s="15"/>
      <c r="BR852" s="15"/>
      <c r="BS852" s="15"/>
      <c r="BT852" s="11"/>
      <c r="BU852" s="15"/>
      <c r="BV852" s="11"/>
      <c r="BW852" s="11"/>
      <c r="BX852" s="15"/>
      <c r="BY852" s="11"/>
      <c r="BZ852" s="11"/>
      <c r="CA852" s="15"/>
      <c r="CB852" s="11"/>
      <c r="CC852" s="15"/>
      <c r="CD852" s="11"/>
      <c r="CE852" s="15"/>
      <c r="CF852" s="11"/>
      <c r="CG852" s="11"/>
      <c r="CH852" s="15"/>
      <c r="CI852" s="11"/>
      <c r="CJ852" s="11"/>
      <c r="CK852" s="15"/>
      <c r="CL852" s="11"/>
      <c r="CM852" s="11"/>
      <c r="CN852" s="11"/>
      <c r="CO852" s="11"/>
      <c r="CP852" s="28"/>
      <c r="CQ852" s="28"/>
      <c r="CR852" s="11"/>
      <c r="CS852" s="29"/>
      <c r="CT852" s="11"/>
      <c r="CU852" s="11"/>
      <c r="CV852" s="11"/>
      <c r="CW852" s="11"/>
      <c r="CX852" s="11"/>
      <c r="CY852" s="11"/>
      <c r="CZ852" s="11"/>
      <c r="DA852" s="28"/>
      <c r="DB852" s="28"/>
      <c r="DC852" s="11"/>
      <c r="DD852" s="29"/>
      <c r="DE852" s="11"/>
      <c r="DF852" s="11"/>
      <c r="DG852" s="11"/>
      <c r="DH852" s="11"/>
      <c r="DI852" s="11"/>
      <c r="DJ852" s="11"/>
      <c r="DK852" s="26"/>
      <c r="DL852" s="11"/>
      <c r="DM852" s="29"/>
      <c r="DN852" s="28"/>
      <c r="DO852" s="11"/>
      <c r="DP852" s="11"/>
      <c r="DQ852" s="11"/>
      <c r="DR852" s="29"/>
      <c r="DS852" s="28"/>
      <c r="DT852" s="11"/>
      <c r="DU852" s="26"/>
      <c r="DV852" s="11"/>
      <c r="DW852" s="29"/>
      <c r="DX852" s="28"/>
      <c r="DY852" s="11"/>
      <c r="DZ852" s="26"/>
      <c r="EA852" s="11"/>
      <c r="EB852" s="29"/>
      <c r="EC852" s="28"/>
      <c r="ED852" s="30"/>
      <c r="EE852" s="30" t="str">
        <f ca="1">IFERROR(__xludf.DUMMYFUNCTION("iferror(index(filter('Internal -- Trademark Countries'!E$2:E1000, (AM852 = 'Internal -- Trademark Countries'!B$2:B1000) + (AM852 = 'Internal -- Trademark Countries'!C$2:C1000) + (AM852 = 'Internal -- Trademark Countries'!D$2:D1000)), 1))"),"")</f>
        <v/>
      </c>
      <c r="EF852" s="30" t="e">
        <f ca="1">_xludf.ifs(AM852="", "", COUNTIF('Internal -- Trademark Countries'!B:B,AM852) &gt; 0, "polity_shortest_name", COUNTIF('Internal -- Trademark Countries'!C:C,AM852) &gt; 0, "polity_full_name", COUNTIF('Internal -- Trademark Countries'!D:D,AM852) &gt; 0, "polity_common_name", COUNTIF('Internal -- Trademark Countries'!E:E,AM852) &gt; 0, "shortest_name", COUNTIF('Internal -- Trademark Countries'!A:A,AM852) &gt; 0, "full_name", TRUE, "not a match")</f>
        <v>#NAME?</v>
      </c>
      <c r="EG852" s="30"/>
      <c r="EH852" s="30"/>
      <c r="EI852" s="30"/>
      <c r="EJ852" s="30"/>
      <c r="EK852" s="30" t="str">
        <f t="shared" si="5"/>
        <v/>
      </c>
    </row>
    <row r="853" spans="1:141" ht="16.5">
      <c r="A853" s="11"/>
      <c r="B853" s="11"/>
      <c r="C853" s="11"/>
      <c r="D853" s="11"/>
      <c r="E853" s="11"/>
      <c r="F853" s="11"/>
      <c r="G853" s="11"/>
      <c r="H853" s="11"/>
      <c r="I853" s="11"/>
      <c r="J853" s="11"/>
      <c r="K853" s="27"/>
      <c r="L853" s="11"/>
      <c r="M853" s="11"/>
      <c r="N853" s="11"/>
      <c r="O853" s="11"/>
      <c r="P853" s="15"/>
      <c r="Q853" s="15"/>
      <c r="R853" s="15"/>
      <c r="S853" s="15"/>
      <c r="T853" s="15"/>
      <c r="U853" s="15"/>
      <c r="V853" s="15"/>
      <c r="W853" s="47"/>
      <c r="X853" s="11"/>
      <c r="Y853" s="48"/>
      <c r="Z853" s="11"/>
      <c r="AA853" s="48"/>
      <c r="AB853" s="11"/>
      <c r="AC853" s="48"/>
      <c r="AD853" s="11"/>
      <c r="AE853" s="47"/>
      <c r="AF853" s="11"/>
      <c r="AG853" s="48"/>
      <c r="AH853" s="11"/>
      <c r="AI853" s="48"/>
      <c r="AJ853" s="11"/>
      <c r="AK853" s="48"/>
      <c r="AL853" s="11"/>
      <c r="AM853" s="49"/>
      <c r="AN853" s="49"/>
      <c r="AO853" s="11"/>
      <c r="AP853" s="11"/>
      <c r="AQ853" s="28" t="b">
        <f>IF(COUNTIF(SmartStatus!A$2:A1000, AM853) &gt; 2, TRUE, FALSE)</f>
        <v>0</v>
      </c>
      <c r="AR853" s="29" t="str">
        <f ca="1">IFERROR(__xludf.DUMMYFUNCTION("iferror(if(regexmatch(AO853, ""(?i)^registered""), if(EE853 &lt;&gt; ""polity_shortest_name"", ""CHECK_POLITY"", index(filter(SmartStatus!B$2:B1000, AM853 = SmartStatus!A$2:A1000, not(SmartStatus!C$2:C1000), (isblank(SmartStatus!D$2:D1000)) + ((P853 &lt;&gt; """") * "&amp;"(P853 &lt; SmartStatus!D$2:D1000)), (isblank(SmartStatus!E$2:E1000)) + ((P853 &lt;&gt; """") * (P853 &gt;= SmartStatus!E$2:E1000)), (isblank(SmartStatus!F$2:F1000)) + (((Q853 &lt;&gt; """") * (Q853 &lt; SmartStatus!F$2:F1000)) + ((P853 &lt;&gt; """") * (date(year(P853) + 3, month(P"&amp;"853), day(P853)) &lt; SmartStatus!F$2:F1000))), (isblank(SmartStatus!G$2:G1000)) + (((Q853 &lt;&gt; """") * (Q853 &gt;= SmartStatus!G$2:G1000)) + ((P853 &lt;&gt; """") * (P853 &gt;= SmartStatus!G$2:G1000)))), if(or(regexmatch(B853, ""(?i)^ir [a-z]+ designation$""), N853 &lt;&gt; """&amp;"""), 1, 2))), """"), ""NO_MATCH"")"),"")</f>
        <v/>
      </c>
      <c r="AS853" s="11"/>
      <c r="AT853" s="15"/>
      <c r="AU853" s="11"/>
      <c r="AV853" s="11"/>
      <c r="AW853" s="15"/>
      <c r="AX853" s="15"/>
      <c r="AY853" s="15"/>
      <c r="AZ853" s="11"/>
      <c r="BA853" s="15"/>
      <c r="BB853" s="11"/>
      <c r="BC853" s="11"/>
      <c r="BD853" s="15"/>
      <c r="BE853" s="11"/>
      <c r="BF853" s="11"/>
      <c r="BG853" s="15"/>
      <c r="BH853" s="15"/>
      <c r="BI853" s="15"/>
      <c r="BJ853" s="11"/>
      <c r="BK853" s="15"/>
      <c r="BL853" s="11"/>
      <c r="BM853" s="11"/>
      <c r="BN853" s="15"/>
      <c r="BO853" s="11"/>
      <c r="BP853" s="11"/>
      <c r="BQ853" s="15"/>
      <c r="BR853" s="15"/>
      <c r="BS853" s="15"/>
      <c r="BT853" s="11"/>
      <c r="BU853" s="15"/>
      <c r="BV853" s="11"/>
      <c r="BW853" s="11"/>
      <c r="BX853" s="15"/>
      <c r="BY853" s="11"/>
      <c r="BZ853" s="11"/>
      <c r="CA853" s="15"/>
      <c r="CB853" s="11"/>
      <c r="CC853" s="15"/>
      <c r="CD853" s="11"/>
      <c r="CE853" s="15"/>
      <c r="CF853" s="11"/>
      <c r="CG853" s="11"/>
      <c r="CH853" s="15"/>
      <c r="CI853" s="11"/>
      <c r="CJ853" s="11"/>
      <c r="CK853" s="15"/>
      <c r="CL853" s="11"/>
      <c r="CM853" s="11"/>
      <c r="CN853" s="11"/>
      <c r="CO853" s="11"/>
      <c r="CP853" s="28"/>
      <c r="CQ853" s="28"/>
      <c r="CR853" s="11"/>
      <c r="CS853" s="29"/>
      <c r="CT853" s="11"/>
      <c r="CU853" s="11"/>
      <c r="CV853" s="11"/>
      <c r="CW853" s="11"/>
      <c r="CX853" s="11"/>
      <c r="CY853" s="11"/>
      <c r="CZ853" s="11"/>
      <c r="DA853" s="28"/>
      <c r="DB853" s="28"/>
      <c r="DC853" s="11"/>
      <c r="DD853" s="29"/>
      <c r="DE853" s="11"/>
      <c r="DF853" s="11"/>
      <c r="DG853" s="11"/>
      <c r="DH853" s="11"/>
      <c r="DI853" s="11"/>
      <c r="DJ853" s="11"/>
      <c r="DK853" s="26"/>
      <c r="DL853" s="11"/>
      <c r="DM853" s="29"/>
      <c r="DN853" s="28"/>
      <c r="DO853" s="11"/>
      <c r="DP853" s="11"/>
      <c r="DQ853" s="11"/>
      <c r="DR853" s="29"/>
      <c r="DS853" s="28"/>
      <c r="DT853" s="11"/>
      <c r="DU853" s="26"/>
      <c r="DV853" s="11"/>
      <c r="DW853" s="29"/>
      <c r="DX853" s="28"/>
      <c r="DY853" s="11"/>
      <c r="DZ853" s="26"/>
      <c r="EA853" s="11"/>
      <c r="EB853" s="29"/>
      <c r="EC853" s="28"/>
      <c r="ED853" s="30"/>
      <c r="EE853" s="30" t="str">
        <f ca="1">IFERROR(__xludf.DUMMYFUNCTION("iferror(index(filter('Internal -- Trademark Countries'!E$2:E1000, (AM853 = 'Internal -- Trademark Countries'!B$2:B1000) + (AM853 = 'Internal -- Trademark Countries'!C$2:C1000) + (AM853 = 'Internal -- Trademark Countries'!D$2:D1000)), 1))"),"")</f>
        <v/>
      </c>
      <c r="EF853" s="30" t="e">
        <f ca="1">_xludf.ifs(AM853="", "", COUNTIF('Internal -- Trademark Countries'!B:B,AM853) &gt; 0, "polity_shortest_name", COUNTIF('Internal -- Trademark Countries'!C:C,AM853) &gt; 0, "polity_full_name", COUNTIF('Internal -- Trademark Countries'!D:D,AM853) &gt; 0, "polity_common_name", COUNTIF('Internal -- Trademark Countries'!E:E,AM853) &gt; 0, "shortest_name", COUNTIF('Internal -- Trademark Countries'!A:A,AM853) &gt; 0, "full_name", TRUE, "not a match")</f>
        <v>#NAME?</v>
      </c>
      <c r="EG853" s="30"/>
      <c r="EH853" s="30"/>
      <c r="EI853" s="30"/>
      <c r="EJ853" s="30"/>
      <c r="EK853" s="30" t="str">
        <f t="shared" si="5"/>
        <v/>
      </c>
    </row>
    <row r="854" spans="1:141" ht="16.5">
      <c r="A854" s="11"/>
      <c r="B854" s="11"/>
      <c r="C854" s="11"/>
      <c r="D854" s="11"/>
      <c r="E854" s="11"/>
      <c r="F854" s="11"/>
      <c r="G854" s="11"/>
      <c r="H854" s="11"/>
      <c r="I854" s="11"/>
      <c r="J854" s="11"/>
      <c r="K854" s="27"/>
      <c r="L854" s="11"/>
      <c r="M854" s="11"/>
      <c r="N854" s="11"/>
      <c r="O854" s="11"/>
      <c r="P854" s="15"/>
      <c r="Q854" s="15"/>
      <c r="R854" s="15"/>
      <c r="S854" s="15"/>
      <c r="T854" s="15"/>
      <c r="U854" s="15"/>
      <c r="V854" s="15"/>
      <c r="W854" s="47"/>
      <c r="X854" s="11"/>
      <c r="Y854" s="48"/>
      <c r="Z854" s="11"/>
      <c r="AA854" s="48"/>
      <c r="AB854" s="11"/>
      <c r="AC854" s="48"/>
      <c r="AD854" s="11"/>
      <c r="AE854" s="47"/>
      <c r="AF854" s="11"/>
      <c r="AG854" s="48"/>
      <c r="AH854" s="11"/>
      <c r="AI854" s="48"/>
      <c r="AJ854" s="11"/>
      <c r="AK854" s="48"/>
      <c r="AL854" s="11"/>
      <c r="AM854" s="49"/>
      <c r="AN854" s="49"/>
      <c r="AO854" s="11"/>
      <c r="AP854" s="11"/>
      <c r="AQ854" s="28" t="b">
        <f>IF(COUNTIF(SmartStatus!A$2:A1000, AM854) &gt; 2, TRUE, FALSE)</f>
        <v>0</v>
      </c>
      <c r="AR854" s="29" t="str">
        <f ca="1">IFERROR(__xludf.DUMMYFUNCTION("iferror(if(regexmatch(AO854, ""(?i)^registered""), if(EE854 &lt;&gt; ""polity_shortest_name"", ""CHECK_POLITY"", index(filter(SmartStatus!B$2:B1000, AM854 = SmartStatus!A$2:A1000, not(SmartStatus!C$2:C1000), (isblank(SmartStatus!D$2:D1000)) + ((P854 &lt;&gt; """") * "&amp;"(P854 &lt; SmartStatus!D$2:D1000)), (isblank(SmartStatus!E$2:E1000)) + ((P854 &lt;&gt; """") * (P854 &gt;= SmartStatus!E$2:E1000)), (isblank(SmartStatus!F$2:F1000)) + (((Q854 &lt;&gt; """") * (Q854 &lt; SmartStatus!F$2:F1000)) + ((P854 &lt;&gt; """") * (date(year(P854) + 3, month(P"&amp;"854), day(P854)) &lt; SmartStatus!F$2:F1000))), (isblank(SmartStatus!G$2:G1000)) + (((Q854 &lt;&gt; """") * (Q854 &gt;= SmartStatus!G$2:G1000)) + ((P854 &lt;&gt; """") * (P854 &gt;= SmartStatus!G$2:G1000)))), if(or(regexmatch(B854, ""(?i)^ir [a-z]+ designation$""), N854 &lt;&gt; """&amp;"""), 1, 2))), """"), ""NO_MATCH"")"),"")</f>
        <v/>
      </c>
      <c r="AS854" s="11"/>
      <c r="AT854" s="15"/>
      <c r="AU854" s="11"/>
      <c r="AV854" s="11"/>
      <c r="AW854" s="15"/>
      <c r="AX854" s="15"/>
      <c r="AY854" s="15"/>
      <c r="AZ854" s="11"/>
      <c r="BA854" s="15"/>
      <c r="BB854" s="11"/>
      <c r="BC854" s="11"/>
      <c r="BD854" s="15"/>
      <c r="BE854" s="11"/>
      <c r="BF854" s="11"/>
      <c r="BG854" s="15"/>
      <c r="BH854" s="15"/>
      <c r="BI854" s="15"/>
      <c r="BJ854" s="11"/>
      <c r="BK854" s="15"/>
      <c r="BL854" s="11"/>
      <c r="BM854" s="11"/>
      <c r="BN854" s="15"/>
      <c r="BO854" s="11"/>
      <c r="BP854" s="11"/>
      <c r="BQ854" s="15"/>
      <c r="BR854" s="15"/>
      <c r="BS854" s="15"/>
      <c r="BT854" s="11"/>
      <c r="BU854" s="15"/>
      <c r="BV854" s="11"/>
      <c r="BW854" s="11"/>
      <c r="BX854" s="15"/>
      <c r="BY854" s="11"/>
      <c r="BZ854" s="11"/>
      <c r="CA854" s="15"/>
      <c r="CB854" s="11"/>
      <c r="CC854" s="15"/>
      <c r="CD854" s="11"/>
      <c r="CE854" s="15"/>
      <c r="CF854" s="11"/>
      <c r="CG854" s="11"/>
      <c r="CH854" s="15"/>
      <c r="CI854" s="11"/>
      <c r="CJ854" s="11"/>
      <c r="CK854" s="15"/>
      <c r="CL854" s="11"/>
      <c r="CM854" s="11"/>
      <c r="CN854" s="11"/>
      <c r="CO854" s="11"/>
      <c r="CP854" s="28"/>
      <c r="CQ854" s="28"/>
      <c r="CR854" s="11"/>
      <c r="CS854" s="29"/>
      <c r="CT854" s="11"/>
      <c r="CU854" s="11"/>
      <c r="CV854" s="11"/>
      <c r="CW854" s="11"/>
      <c r="CX854" s="11"/>
      <c r="CY854" s="11"/>
      <c r="CZ854" s="11"/>
      <c r="DA854" s="28"/>
      <c r="DB854" s="28"/>
      <c r="DC854" s="11"/>
      <c r="DD854" s="29"/>
      <c r="DE854" s="11"/>
      <c r="DF854" s="11"/>
      <c r="DG854" s="11"/>
      <c r="DH854" s="11"/>
      <c r="DI854" s="11"/>
      <c r="DJ854" s="11"/>
      <c r="DK854" s="26"/>
      <c r="DL854" s="11"/>
      <c r="DM854" s="29"/>
      <c r="DN854" s="28"/>
      <c r="DO854" s="11"/>
      <c r="DP854" s="11"/>
      <c r="DQ854" s="11"/>
      <c r="DR854" s="29"/>
      <c r="DS854" s="28"/>
      <c r="DT854" s="11"/>
      <c r="DU854" s="26"/>
      <c r="DV854" s="11"/>
      <c r="DW854" s="29"/>
      <c r="DX854" s="28"/>
      <c r="DY854" s="11"/>
      <c r="DZ854" s="26"/>
      <c r="EA854" s="11"/>
      <c r="EB854" s="29"/>
      <c r="EC854" s="28"/>
      <c r="ED854" s="30"/>
      <c r="EE854" s="30" t="str">
        <f ca="1">IFERROR(__xludf.DUMMYFUNCTION("iferror(index(filter('Internal -- Trademark Countries'!E$2:E1000, (AM854 = 'Internal -- Trademark Countries'!B$2:B1000) + (AM854 = 'Internal -- Trademark Countries'!C$2:C1000) + (AM854 = 'Internal -- Trademark Countries'!D$2:D1000)), 1))"),"")</f>
        <v/>
      </c>
      <c r="EF854" s="30" t="e">
        <f ca="1">_xludf.ifs(AM854="", "", COUNTIF('Internal -- Trademark Countries'!B:B,AM854) &gt; 0, "polity_shortest_name", COUNTIF('Internal -- Trademark Countries'!C:C,AM854) &gt; 0, "polity_full_name", COUNTIF('Internal -- Trademark Countries'!D:D,AM854) &gt; 0, "polity_common_name", COUNTIF('Internal -- Trademark Countries'!E:E,AM854) &gt; 0, "shortest_name", COUNTIF('Internal -- Trademark Countries'!A:A,AM854) &gt; 0, "full_name", TRUE, "not a match")</f>
        <v>#NAME?</v>
      </c>
      <c r="EG854" s="30"/>
      <c r="EH854" s="30"/>
      <c r="EI854" s="30"/>
      <c r="EJ854" s="30"/>
      <c r="EK854" s="30" t="str">
        <f t="shared" si="5"/>
        <v/>
      </c>
    </row>
    <row r="855" spans="1:141" ht="16.5">
      <c r="A855" s="11"/>
      <c r="B855" s="11"/>
      <c r="C855" s="11"/>
      <c r="D855" s="11"/>
      <c r="E855" s="11"/>
      <c r="F855" s="11"/>
      <c r="G855" s="11"/>
      <c r="H855" s="11"/>
      <c r="I855" s="11"/>
      <c r="J855" s="11"/>
      <c r="K855" s="27"/>
      <c r="L855" s="11"/>
      <c r="M855" s="11"/>
      <c r="N855" s="11"/>
      <c r="O855" s="11"/>
      <c r="P855" s="15"/>
      <c r="Q855" s="15"/>
      <c r="R855" s="15"/>
      <c r="S855" s="15"/>
      <c r="T855" s="15"/>
      <c r="U855" s="15"/>
      <c r="V855" s="15"/>
      <c r="W855" s="47"/>
      <c r="X855" s="11"/>
      <c r="Y855" s="48"/>
      <c r="Z855" s="11"/>
      <c r="AA855" s="48"/>
      <c r="AB855" s="11"/>
      <c r="AC855" s="48"/>
      <c r="AD855" s="11"/>
      <c r="AE855" s="47"/>
      <c r="AF855" s="11"/>
      <c r="AG855" s="48"/>
      <c r="AH855" s="11"/>
      <c r="AI855" s="48"/>
      <c r="AJ855" s="11"/>
      <c r="AK855" s="48"/>
      <c r="AL855" s="11"/>
      <c r="AM855" s="49"/>
      <c r="AN855" s="49"/>
      <c r="AO855" s="11"/>
      <c r="AP855" s="11"/>
      <c r="AQ855" s="28" t="b">
        <f>IF(COUNTIF(SmartStatus!A$2:A1000, AM855) &gt; 2, TRUE, FALSE)</f>
        <v>0</v>
      </c>
      <c r="AR855" s="29" t="str">
        <f ca="1">IFERROR(__xludf.DUMMYFUNCTION("iferror(if(regexmatch(AO855, ""(?i)^registered""), if(EE855 &lt;&gt; ""polity_shortest_name"", ""CHECK_POLITY"", index(filter(SmartStatus!B$2:B1000, AM855 = SmartStatus!A$2:A1000, not(SmartStatus!C$2:C1000), (isblank(SmartStatus!D$2:D1000)) + ((P855 &lt;&gt; """") * "&amp;"(P855 &lt; SmartStatus!D$2:D1000)), (isblank(SmartStatus!E$2:E1000)) + ((P855 &lt;&gt; """") * (P855 &gt;= SmartStatus!E$2:E1000)), (isblank(SmartStatus!F$2:F1000)) + (((Q855 &lt;&gt; """") * (Q855 &lt; SmartStatus!F$2:F1000)) + ((P855 &lt;&gt; """") * (date(year(P855) + 3, month(P"&amp;"855), day(P855)) &lt; SmartStatus!F$2:F1000))), (isblank(SmartStatus!G$2:G1000)) + (((Q855 &lt;&gt; """") * (Q855 &gt;= SmartStatus!G$2:G1000)) + ((P855 &lt;&gt; """") * (P855 &gt;= SmartStatus!G$2:G1000)))), if(or(regexmatch(B855, ""(?i)^ir [a-z]+ designation$""), N855 &lt;&gt; """&amp;"""), 1, 2))), """"), ""NO_MATCH"")"),"")</f>
        <v/>
      </c>
      <c r="AS855" s="11"/>
      <c r="AT855" s="15"/>
      <c r="AU855" s="11"/>
      <c r="AV855" s="11"/>
      <c r="AW855" s="15"/>
      <c r="AX855" s="15"/>
      <c r="AY855" s="15"/>
      <c r="AZ855" s="11"/>
      <c r="BA855" s="15"/>
      <c r="BB855" s="11"/>
      <c r="BC855" s="11"/>
      <c r="BD855" s="15"/>
      <c r="BE855" s="11"/>
      <c r="BF855" s="11"/>
      <c r="BG855" s="15"/>
      <c r="BH855" s="15"/>
      <c r="BI855" s="15"/>
      <c r="BJ855" s="11"/>
      <c r="BK855" s="15"/>
      <c r="BL855" s="11"/>
      <c r="BM855" s="11"/>
      <c r="BN855" s="15"/>
      <c r="BO855" s="11"/>
      <c r="BP855" s="11"/>
      <c r="BQ855" s="15"/>
      <c r="BR855" s="15"/>
      <c r="BS855" s="15"/>
      <c r="BT855" s="11"/>
      <c r="BU855" s="15"/>
      <c r="BV855" s="11"/>
      <c r="BW855" s="11"/>
      <c r="BX855" s="15"/>
      <c r="BY855" s="11"/>
      <c r="BZ855" s="11"/>
      <c r="CA855" s="15"/>
      <c r="CB855" s="11"/>
      <c r="CC855" s="15"/>
      <c r="CD855" s="11"/>
      <c r="CE855" s="15"/>
      <c r="CF855" s="11"/>
      <c r="CG855" s="11"/>
      <c r="CH855" s="15"/>
      <c r="CI855" s="11"/>
      <c r="CJ855" s="11"/>
      <c r="CK855" s="15"/>
      <c r="CL855" s="11"/>
      <c r="CM855" s="11"/>
      <c r="CN855" s="11"/>
      <c r="CO855" s="11"/>
      <c r="CP855" s="28"/>
      <c r="CQ855" s="28"/>
      <c r="CR855" s="11"/>
      <c r="CS855" s="29"/>
      <c r="CT855" s="11"/>
      <c r="CU855" s="11"/>
      <c r="CV855" s="11"/>
      <c r="CW855" s="11"/>
      <c r="CX855" s="11"/>
      <c r="CY855" s="11"/>
      <c r="CZ855" s="11"/>
      <c r="DA855" s="28"/>
      <c r="DB855" s="28"/>
      <c r="DC855" s="11"/>
      <c r="DD855" s="29"/>
      <c r="DE855" s="11"/>
      <c r="DF855" s="11"/>
      <c r="DG855" s="11"/>
      <c r="DH855" s="11"/>
      <c r="DI855" s="11"/>
      <c r="DJ855" s="11"/>
      <c r="DK855" s="26"/>
      <c r="DL855" s="11"/>
      <c r="DM855" s="29"/>
      <c r="DN855" s="28"/>
      <c r="DO855" s="11"/>
      <c r="DP855" s="11"/>
      <c r="DQ855" s="11"/>
      <c r="DR855" s="29"/>
      <c r="DS855" s="28"/>
      <c r="DT855" s="11"/>
      <c r="DU855" s="26"/>
      <c r="DV855" s="11"/>
      <c r="DW855" s="29"/>
      <c r="DX855" s="28"/>
      <c r="DY855" s="11"/>
      <c r="DZ855" s="26"/>
      <c r="EA855" s="11"/>
      <c r="EB855" s="29"/>
      <c r="EC855" s="28"/>
      <c r="ED855" s="30"/>
      <c r="EE855" s="30" t="str">
        <f ca="1">IFERROR(__xludf.DUMMYFUNCTION("iferror(index(filter('Internal -- Trademark Countries'!E$2:E1000, (AM855 = 'Internal -- Trademark Countries'!B$2:B1000) + (AM855 = 'Internal -- Trademark Countries'!C$2:C1000) + (AM855 = 'Internal -- Trademark Countries'!D$2:D1000)), 1))"),"")</f>
        <v/>
      </c>
      <c r="EF855" s="30" t="e">
        <f ca="1">_xludf.ifs(AM855="", "", COUNTIF('Internal -- Trademark Countries'!B:B,AM855) &gt; 0, "polity_shortest_name", COUNTIF('Internal -- Trademark Countries'!C:C,AM855) &gt; 0, "polity_full_name", COUNTIF('Internal -- Trademark Countries'!D:D,AM855) &gt; 0, "polity_common_name", COUNTIF('Internal -- Trademark Countries'!E:E,AM855) &gt; 0, "shortest_name", COUNTIF('Internal -- Trademark Countries'!A:A,AM855) &gt; 0, "full_name", TRUE, "not a match")</f>
        <v>#NAME?</v>
      </c>
      <c r="EG855" s="30"/>
      <c r="EH855" s="30"/>
      <c r="EI855" s="30"/>
      <c r="EJ855" s="30"/>
      <c r="EK855" s="30" t="str">
        <f t="shared" si="5"/>
        <v/>
      </c>
    </row>
    <row r="856" spans="1:141" ht="16.5">
      <c r="A856" s="11"/>
      <c r="B856" s="11"/>
      <c r="C856" s="11"/>
      <c r="D856" s="11"/>
      <c r="E856" s="11"/>
      <c r="F856" s="11"/>
      <c r="G856" s="11"/>
      <c r="H856" s="11"/>
      <c r="I856" s="11"/>
      <c r="J856" s="11"/>
      <c r="K856" s="27"/>
      <c r="L856" s="11"/>
      <c r="M856" s="11"/>
      <c r="N856" s="11"/>
      <c r="O856" s="11"/>
      <c r="P856" s="15"/>
      <c r="Q856" s="15"/>
      <c r="R856" s="15"/>
      <c r="S856" s="15"/>
      <c r="T856" s="15"/>
      <c r="U856" s="15"/>
      <c r="V856" s="15"/>
      <c r="W856" s="47"/>
      <c r="X856" s="11"/>
      <c r="Y856" s="48"/>
      <c r="Z856" s="11"/>
      <c r="AA856" s="48"/>
      <c r="AB856" s="11"/>
      <c r="AC856" s="48"/>
      <c r="AD856" s="11"/>
      <c r="AE856" s="47"/>
      <c r="AF856" s="11"/>
      <c r="AG856" s="48"/>
      <c r="AH856" s="11"/>
      <c r="AI856" s="48"/>
      <c r="AJ856" s="11"/>
      <c r="AK856" s="48"/>
      <c r="AL856" s="11"/>
      <c r="AM856" s="49"/>
      <c r="AN856" s="49"/>
      <c r="AO856" s="11"/>
      <c r="AP856" s="11"/>
      <c r="AQ856" s="28" t="b">
        <f>IF(COUNTIF(SmartStatus!A$2:A1000, AM856) &gt; 2, TRUE, FALSE)</f>
        <v>0</v>
      </c>
      <c r="AR856" s="29" t="str">
        <f ca="1">IFERROR(__xludf.DUMMYFUNCTION("iferror(if(regexmatch(AO856, ""(?i)^registered""), if(EE856 &lt;&gt; ""polity_shortest_name"", ""CHECK_POLITY"", index(filter(SmartStatus!B$2:B1000, AM856 = SmartStatus!A$2:A1000, not(SmartStatus!C$2:C1000), (isblank(SmartStatus!D$2:D1000)) + ((P856 &lt;&gt; """") * "&amp;"(P856 &lt; SmartStatus!D$2:D1000)), (isblank(SmartStatus!E$2:E1000)) + ((P856 &lt;&gt; """") * (P856 &gt;= SmartStatus!E$2:E1000)), (isblank(SmartStatus!F$2:F1000)) + (((Q856 &lt;&gt; """") * (Q856 &lt; SmartStatus!F$2:F1000)) + ((P856 &lt;&gt; """") * (date(year(P856) + 3, month(P"&amp;"856), day(P856)) &lt; SmartStatus!F$2:F1000))), (isblank(SmartStatus!G$2:G1000)) + (((Q856 &lt;&gt; """") * (Q856 &gt;= SmartStatus!G$2:G1000)) + ((P856 &lt;&gt; """") * (P856 &gt;= SmartStatus!G$2:G1000)))), if(or(regexmatch(B856, ""(?i)^ir [a-z]+ designation$""), N856 &lt;&gt; """&amp;"""), 1, 2))), """"), ""NO_MATCH"")"),"")</f>
        <v/>
      </c>
      <c r="AS856" s="11"/>
      <c r="AT856" s="15"/>
      <c r="AU856" s="11"/>
      <c r="AV856" s="11"/>
      <c r="AW856" s="15"/>
      <c r="AX856" s="15"/>
      <c r="AY856" s="15"/>
      <c r="AZ856" s="11"/>
      <c r="BA856" s="15"/>
      <c r="BB856" s="11"/>
      <c r="BC856" s="11"/>
      <c r="BD856" s="15"/>
      <c r="BE856" s="11"/>
      <c r="BF856" s="11"/>
      <c r="BG856" s="15"/>
      <c r="BH856" s="15"/>
      <c r="BI856" s="15"/>
      <c r="BJ856" s="11"/>
      <c r="BK856" s="15"/>
      <c r="BL856" s="11"/>
      <c r="BM856" s="11"/>
      <c r="BN856" s="15"/>
      <c r="BO856" s="11"/>
      <c r="BP856" s="11"/>
      <c r="BQ856" s="15"/>
      <c r="BR856" s="15"/>
      <c r="BS856" s="15"/>
      <c r="BT856" s="11"/>
      <c r="BU856" s="15"/>
      <c r="BV856" s="11"/>
      <c r="BW856" s="11"/>
      <c r="BX856" s="15"/>
      <c r="BY856" s="11"/>
      <c r="BZ856" s="11"/>
      <c r="CA856" s="15"/>
      <c r="CB856" s="11"/>
      <c r="CC856" s="15"/>
      <c r="CD856" s="11"/>
      <c r="CE856" s="15"/>
      <c r="CF856" s="11"/>
      <c r="CG856" s="11"/>
      <c r="CH856" s="15"/>
      <c r="CI856" s="11"/>
      <c r="CJ856" s="11"/>
      <c r="CK856" s="15"/>
      <c r="CL856" s="11"/>
      <c r="CM856" s="11"/>
      <c r="CN856" s="11"/>
      <c r="CO856" s="11"/>
      <c r="CP856" s="28"/>
      <c r="CQ856" s="28"/>
      <c r="CR856" s="11"/>
      <c r="CS856" s="29"/>
      <c r="CT856" s="11"/>
      <c r="CU856" s="11"/>
      <c r="CV856" s="11"/>
      <c r="CW856" s="11"/>
      <c r="CX856" s="11"/>
      <c r="CY856" s="11"/>
      <c r="CZ856" s="11"/>
      <c r="DA856" s="28"/>
      <c r="DB856" s="28"/>
      <c r="DC856" s="11"/>
      <c r="DD856" s="29"/>
      <c r="DE856" s="11"/>
      <c r="DF856" s="11"/>
      <c r="DG856" s="11"/>
      <c r="DH856" s="11"/>
      <c r="DI856" s="11"/>
      <c r="DJ856" s="11"/>
      <c r="DK856" s="26"/>
      <c r="DL856" s="11"/>
      <c r="DM856" s="29"/>
      <c r="DN856" s="28"/>
      <c r="DO856" s="11"/>
      <c r="DP856" s="11"/>
      <c r="DQ856" s="11"/>
      <c r="DR856" s="29"/>
      <c r="DS856" s="28"/>
      <c r="DT856" s="11"/>
      <c r="DU856" s="26"/>
      <c r="DV856" s="11"/>
      <c r="DW856" s="29"/>
      <c r="DX856" s="28"/>
      <c r="DY856" s="11"/>
      <c r="DZ856" s="26"/>
      <c r="EA856" s="11"/>
      <c r="EB856" s="29"/>
      <c r="EC856" s="28"/>
      <c r="ED856" s="30"/>
      <c r="EE856" s="30" t="str">
        <f ca="1">IFERROR(__xludf.DUMMYFUNCTION("iferror(index(filter('Internal -- Trademark Countries'!E$2:E1000, (AM856 = 'Internal -- Trademark Countries'!B$2:B1000) + (AM856 = 'Internal -- Trademark Countries'!C$2:C1000) + (AM856 = 'Internal -- Trademark Countries'!D$2:D1000)), 1))"),"")</f>
        <v/>
      </c>
      <c r="EF856" s="30" t="e">
        <f ca="1">_xludf.ifs(AM856="", "", COUNTIF('Internal -- Trademark Countries'!B:B,AM856) &gt; 0, "polity_shortest_name", COUNTIF('Internal -- Trademark Countries'!C:C,AM856) &gt; 0, "polity_full_name", COUNTIF('Internal -- Trademark Countries'!D:D,AM856) &gt; 0, "polity_common_name", COUNTIF('Internal -- Trademark Countries'!E:E,AM856) &gt; 0, "shortest_name", COUNTIF('Internal -- Trademark Countries'!A:A,AM856) &gt; 0, "full_name", TRUE, "not a match")</f>
        <v>#NAME?</v>
      </c>
      <c r="EG856" s="30"/>
      <c r="EH856" s="30"/>
      <c r="EI856" s="30"/>
      <c r="EJ856" s="30"/>
      <c r="EK856" s="30" t="str">
        <f t="shared" si="5"/>
        <v/>
      </c>
    </row>
    <row r="857" spans="1:141" ht="16.5">
      <c r="A857" s="11"/>
      <c r="B857" s="11"/>
      <c r="C857" s="11"/>
      <c r="D857" s="11"/>
      <c r="E857" s="11"/>
      <c r="F857" s="11"/>
      <c r="G857" s="11"/>
      <c r="H857" s="11"/>
      <c r="I857" s="11"/>
      <c r="J857" s="11"/>
      <c r="K857" s="27"/>
      <c r="L857" s="11"/>
      <c r="M857" s="11"/>
      <c r="N857" s="11"/>
      <c r="O857" s="11"/>
      <c r="P857" s="15"/>
      <c r="Q857" s="15"/>
      <c r="R857" s="15"/>
      <c r="S857" s="15"/>
      <c r="T857" s="15"/>
      <c r="U857" s="15"/>
      <c r="V857" s="15"/>
      <c r="W857" s="47"/>
      <c r="X857" s="11"/>
      <c r="Y857" s="48"/>
      <c r="Z857" s="11"/>
      <c r="AA857" s="48"/>
      <c r="AB857" s="11"/>
      <c r="AC857" s="48"/>
      <c r="AD857" s="11"/>
      <c r="AE857" s="47"/>
      <c r="AF857" s="11"/>
      <c r="AG857" s="48"/>
      <c r="AH857" s="11"/>
      <c r="AI857" s="48"/>
      <c r="AJ857" s="11"/>
      <c r="AK857" s="48"/>
      <c r="AL857" s="11"/>
      <c r="AM857" s="49"/>
      <c r="AN857" s="49"/>
      <c r="AO857" s="11"/>
      <c r="AP857" s="11"/>
      <c r="AQ857" s="28" t="b">
        <f>IF(COUNTIF(SmartStatus!A$2:A1000, AM857) &gt; 2, TRUE, FALSE)</f>
        <v>0</v>
      </c>
      <c r="AR857" s="29" t="str">
        <f ca="1">IFERROR(__xludf.DUMMYFUNCTION("iferror(if(regexmatch(AO857, ""(?i)^registered""), if(EE857 &lt;&gt; ""polity_shortest_name"", ""CHECK_POLITY"", index(filter(SmartStatus!B$2:B1000, AM857 = SmartStatus!A$2:A1000, not(SmartStatus!C$2:C1000), (isblank(SmartStatus!D$2:D1000)) + ((P857 &lt;&gt; """") * "&amp;"(P857 &lt; SmartStatus!D$2:D1000)), (isblank(SmartStatus!E$2:E1000)) + ((P857 &lt;&gt; """") * (P857 &gt;= SmartStatus!E$2:E1000)), (isblank(SmartStatus!F$2:F1000)) + (((Q857 &lt;&gt; """") * (Q857 &lt; SmartStatus!F$2:F1000)) + ((P857 &lt;&gt; """") * (date(year(P857) + 3, month(P"&amp;"857), day(P857)) &lt; SmartStatus!F$2:F1000))), (isblank(SmartStatus!G$2:G1000)) + (((Q857 &lt;&gt; """") * (Q857 &gt;= SmartStatus!G$2:G1000)) + ((P857 &lt;&gt; """") * (P857 &gt;= SmartStatus!G$2:G1000)))), if(or(regexmatch(B857, ""(?i)^ir [a-z]+ designation$""), N857 &lt;&gt; """&amp;"""), 1, 2))), """"), ""NO_MATCH"")"),"")</f>
        <v/>
      </c>
      <c r="AS857" s="11"/>
      <c r="AT857" s="15"/>
      <c r="AU857" s="11"/>
      <c r="AV857" s="11"/>
      <c r="AW857" s="15"/>
      <c r="AX857" s="15"/>
      <c r="AY857" s="15"/>
      <c r="AZ857" s="11"/>
      <c r="BA857" s="15"/>
      <c r="BB857" s="11"/>
      <c r="BC857" s="11"/>
      <c r="BD857" s="15"/>
      <c r="BE857" s="11"/>
      <c r="BF857" s="11"/>
      <c r="BG857" s="15"/>
      <c r="BH857" s="15"/>
      <c r="BI857" s="15"/>
      <c r="BJ857" s="11"/>
      <c r="BK857" s="15"/>
      <c r="BL857" s="11"/>
      <c r="BM857" s="11"/>
      <c r="BN857" s="15"/>
      <c r="BO857" s="11"/>
      <c r="BP857" s="11"/>
      <c r="BQ857" s="15"/>
      <c r="BR857" s="15"/>
      <c r="BS857" s="15"/>
      <c r="BT857" s="11"/>
      <c r="BU857" s="15"/>
      <c r="BV857" s="11"/>
      <c r="BW857" s="11"/>
      <c r="BX857" s="15"/>
      <c r="BY857" s="11"/>
      <c r="BZ857" s="11"/>
      <c r="CA857" s="15"/>
      <c r="CB857" s="11"/>
      <c r="CC857" s="15"/>
      <c r="CD857" s="11"/>
      <c r="CE857" s="15"/>
      <c r="CF857" s="11"/>
      <c r="CG857" s="11"/>
      <c r="CH857" s="15"/>
      <c r="CI857" s="11"/>
      <c r="CJ857" s="11"/>
      <c r="CK857" s="15"/>
      <c r="CL857" s="11"/>
      <c r="CM857" s="11"/>
      <c r="CN857" s="11"/>
      <c r="CO857" s="11"/>
      <c r="CP857" s="28"/>
      <c r="CQ857" s="28"/>
      <c r="CR857" s="11"/>
      <c r="CS857" s="29"/>
      <c r="CT857" s="11"/>
      <c r="CU857" s="11"/>
      <c r="CV857" s="11"/>
      <c r="CW857" s="11"/>
      <c r="CX857" s="11"/>
      <c r="CY857" s="11"/>
      <c r="CZ857" s="11"/>
      <c r="DA857" s="28"/>
      <c r="DB857" s="28"/>
      <c r="DC857" s="11"/>
      <c r="DD857" s="29"/>
      <c r="DE857" s="11"/>
      <c r="DF857" s="11"/>
      <c r="DG857" s="11"/>
      <c r="DH857" s="11"/>
      <c r="DI857" s="11"/>
      <c r="DJ857" s="11"/>
      <c r="DK857" s="26"/>
      <c r="DL857" s="11"/>
      <c r="DM857" s="29"/>
      <c r="DN857" s="28"/>
      <c r="DO857" s="11"/>
      <c r="DP857" s="11"/>
      <c r="DQ857" s="11"/>
      <c r="DR857" s="29"/>
      <c r="DS857" s="28"/>
      <c r="DT857" s="11"/>
      <c r="DU857" s="26"/>
      <c r="DV857" s="11"/>
      <c r="DW857" s="29"/>
      <c r="DX857" s="28"/>
      <c r="DY857" s="11"/>
      <c r="DZ857" s="26"/>
      <c r="EA857" s="11"/>
      <c r="EB857" s="29"/>
      <c r="EC857" s="28"/>
      <c r="ED857" s="30"/>
      <c r="EE857" s="30" t="str">
        <f ca="1">IFERROR(__xludf.DUMMYFUNCTION("iferror(index(filter('Internal -- Trademark Countries'!E$2:E1000, (AM857 = 'Internal -- Trademark Countries'!B$2:B1000) + (AM857 = 'Internal -- Trademark Countries'!C$2:C1000) + (AM857 = 'Internal -- Trademark Countries'!D$2:D1000)), 1))"),"")</f>
        <v/>
      </c>
      <c r="EF857" s="30" t="e">
        <f ca="1">_xludf.ifs(AM857="", "", COUNTIF('Internal -- Trademark Countries'!B:B,AM857) &gt; 0, "polity_shortest_name", COUNTIF('Internal -- Trademark Countries'!C:C,AM857) &gt; 0, "polity_full_name", COUNTIF('Internal -- Trademark Countries'!D:D,AM857) &gt; 0, "polity_common_name", COUNTIF('Internal -- Trademark Countries'!E:E,AM857) &gt; 0, "shortest_name", COUNTIF('Internal -- Trademark Countries'!A:A,AM857) &gt; 0, "full_name", TRUE, "not a match")</f>
        <v>#NAME?</v>
      </c>
      <c r="EG857" s="30"/>
      <c r="EH857" s="30"/>
      <c r="EI857" s="30"/>
      <c r="EJ857" s="30"/>
      <c r="EK857" s="30" t="str">
        <f t="shared" si="5"/>
        <v/>
      </c>
    </row>
    <row r="858" spans="1:141" ht="16.5">
      <c r="A858" s="11"/>
      <c r="B858" s="11"/>
      <c r="C858" s="11"/>
      <c r="D858" s="11"/>
      <c r="E858" s="11"/>
      <c r="F858" s="11"/>
      <c r="G858" s="11"/>
      <c r="H858" s="11"/>
      <c r="I858" s="11"/>
      <c r="J858" s="11"/>
      <c r="K858" s="27"/>
      <c r="L858" s="11"/>
      <c r="M858" s="11"/>
      <c r="N858" s="11"/>
      <c r="O858" s="11"/>
      <c r="P858" s="15"/>
      <c r="Q858" s="15"/>
      <c r="R858" s="15"/>
      <c r="S858" s="15"/>
      <c r="T858" s="15"/>
      <c r="U858" s="15"/>
      <c r="V858" s="15"/>
      <c r="W858" s="47"/>
      <c r="X858" s="11"/>
      <c r="Y858" s="48"/>
      <c r="Z858" s="11"/>
      <c r="AA858" s="48"/>
      <c r="AB858" s="11"/>
      <c r="AC858" s="48"/>
      <c r="AD858" s="11"/>
      <c r="AE858" s="47"/>
      <c r="AF858" s="11"/>
      <c r="AG858" s="48"/>
      <c r="AH858" s="11"/>
      <c r="AI858" s="48"/>
      <c r="AJ858" s="11"/>
      <c r="AK858" s="48"/>
      <c r="AL858" s="11"/>
      <c r="AM858" s="49"/>
      <c r="AN858" s="49"/>
      <c r="AO858" s="11"/>
      <c r="AP858" s="11"/>
      <c r="AQ858" s="28" t="b">
        <f>IF(COUNTIF(SmartStatus!A$2:A1000, AM858) &gt; 2, TRUE, FALSE)</f>
        <v>0</v>
      </c>
      <c r="AR858" s="29" t="str">
        <f ca="1">IFERROR(__xludf.DUMMYFUNCTION("iferror(if(regexmatch(AO858, ""(?i)^registered""), if(EE858 &lt;&gt; ""polity_shortest_name"", ""CHECK_POLITY"", index(filter(SmartStatus!B$2:B1000, AM858 = SmartStatus!A$2:A1000, not(SmartStatus!C$2:C1000), (isblank(SmartStatus!D$2:D1000)) + ((P858 &lt;&gt; """") * "&amp;"(P858 &lt; SmartStatus!D$2:D1000)), (isblank(SmartStatus!E$2:E1000)) + ((P858 &lt;&gt; """") * (P858 &gt;= SmartStatus!E$2:E1000)), (isblank(SmartStatus!F$2:F1000)) + (((Q858 &lt;&gt; """") * (Q858 &lt; SmartStatus!F$2:F1000)) + ((P858 &lt;&gt; """") * (date(year(P858) + 3, month(P"&amp;"858), day(P858)) &lt; SmartStatus!F$2:F1000))), (isblank(SmartStatus!G$2:G1000)) + (((Q858 &lt;&gt; """") * (Q858 &gt;= SmartStatus!G$2:G1000)) + ((P858 &lt;&gt; """") * (P858 &gt;= SmartStatus!G$2:G1000)))), if(or(regexmatch(B858, ""(?i)^ir [a-z]+ designation$""), N858 &lt;&gt; """&amp;"""), 1, 2))), """"), ""NO_MATCH"")"),"")</f>
        <v/>
      </c>
      <c r="AS858" s="11"/>
      <c r="AT858" s="15"/>
      <c r="AU858" s="11"/>
      <c r="AV858" s="11"/>
      <c r="AW858" s="15"/>
      <c r="AX858" s="15"/>
      <c r="AY858" s="15"/>
      <c r="AZ858" s="11"/>
      <c r="BA858" s="15"/>
      <c r="BB858" s="11"/>
      <c r="BC858" s="11"/>
      <c r="BD858" s="15"/>
      <c r="BE858" s="11"/>
      <c r="BF858" s="11"/>
      <c r="BG858" s="15"/>
      <c r="BH858" s="15"/>
      <c r="BI858" s="15"/>
      <c r="BJ858" s="11"/>
      <c r="BK858" s="15"/>
      <c r="BL858" s="11"/>
      <c r="BM858" s="11"/>
      <c r="BN858" s="15"/>
      <c r="BO858" s="11"/>
      <c r="BP858" s="11"/>
      <c r="BQ858" s="15"/>
      <c r="BR858" s="15"/>
      <c r="BS858" s="15"/>
      <c r="BT858" s="11"/>
      <c r="BU858" s="15"/>
      <c r="BV858" s="11"/>
      <c r="BW858" s="11"/>
      <c r="BX858" s="15"/>
      <c r="BY858" s="11"/>
      <c r="BZ858" s="11"/>
      <c r="CA858" s="15"/>
      <c r="CB858" s="11"/>
      <c r="CC858" s="15"/>
      <c r="CD858" s="11"/>
      <c r="CE858" s="15"/>
      <c r="CF858" s="11"/>
      <c r="CG858" s="11"/>
      <c r="CH858" s="15"/>
      <c r="CI858" s="11"/>
      <c r="CJ858" s="11"/>
      <c r="CK858" s="15"/>
      <c r="CL858" s="11"/>
      <c r="CM858" s="11"/>
      <c r="CN858" s="11"/>
      <c r="CO858" s="11"/>
      <c r="CP858" s="28"/>
      <c r="CQ858" s="28"/>
      <c r="CR858" s="11"/>
      <c r="CS858" s="29"/>
      <c r="CT858" s="11"/>
      <c r="CU858" s="11"/>
      <c r="CV858" s="11"/>
      <c r="CW858" s="11"/>
      <c r="CX858" s="11"/>
      <c r="CY858" s="11"/>
      <c r="CZ858" s="11"/>
      <c r="DA858" s="28"/>
      <c r="DB858" s="28"/>
      <c r="DC858" s="11"/>
      <c r="DD858" s="29"/>
      <c r="DE858" s="11"/>
      <c r="DF858" s="11"/>
      <c r="DG858" s="11"/>
      <c r="DH858" s="11"/>
      <c r="DI858" s="11"/>
      <c r="DJ858" s="11"/>
      <c r="DK858" s="26"/>
      <c r="DL858" s="11"/>
      <c r="DM858" s="29"/>
      <c r="DN858" s="28"/>
      <c r="DO858" s="11"/>
      <c r="DP858" s="11"/>
      <c r="DQ858" s="11"/>
      <c r="DR858" s="29"/>
      <c r="DS858" s="28"/>
      <c r="DT858" s="11"/>
      <c r="DU858" s="26"/>
      <c r="DV858" s="11"/>
      <c r="DW858" s="29"/>
      <c r="DX858" s="28"/>
      <c r="DY858" s="11"/>
      <c r="DZ858" s="26"/>
      <c r="EA858" s="11"/>
      <c r="EB858" s="29"/>
      <c r="EC858" s="28"/>
      <c r="ED858" s="30"/>
      <c r="EE858" s="30" t="str">
        <f ca="1">IFERROR(__xludf.DUMMYFUNCTION("iferror(index(filter('Internal -- Trademark Countries'!E$2:E1000, (AM858 = 'Internal -- Trademark Countries'!B$2:B1000) + (AM858 = 'Internal -- Trademark Countries'!C$2:C1000) + (AM858 = 'Internal -- Trademark Countries'!D$2:D1000)), 1))"),"")</f>
        <v/>
      </c>
      <c r="EF858" s="30" t="e">
        <f ca="1">_xludf.ifs(AM858="", "", COUNTIF('Internal -- Trademark Countries'!B:B,AM858) &gt; 0, "polity_shortest_name", COUNTIF('Internal -- Trademark Countries'!C:C,AM858) &gt; 0, "polity_full_name", COUNTIF('Internal -- Trademark Countries'!D:D,AM858) &gt; 0, "polity_common_name", COUNTIF('Internal -- Trademark Countries'!E:E,AM858) &gt; 0, "shortest_name", COUNTIF('Internal -- Trademark Countries'!A:A,AM858) &gt; 0, "full_name", TRUE, "not a match")</f>
        <v>#NAME?</v>
      </c>
      <c r="EG858" s="30"/>
      <c r="EH858" s="30"/>
      <c r="EI858" s="30"/>
      <c r="EJ858" s="30"/>
      <c r="EK858" s="30" t="str">
        <f t="shared" si="5"/>
        <v/>
      </c>
    </row>
    <row r="859" spans="1:141" ht="16.5">
      <c r="A859" s="11"/>
      <c r="B859" s="11"/>
      <c r="C859" s="11"/>
      <c r="D859" s="11"/>
      <c r="E859" s="11"/>
      <c r="F859" s="11"/>
      <c r="G859" s="11"/>
      <c r="H859" s="11"/>
      <c r="I859" s="11"/>
      <c r="J859" s="11"/>
      <c r="K859" s="27"/>
      <c r="L859" s="11"/>
      <c r="M859" s="11"/>
      <c r="N859" s="11"/>
      <c r="O859" s="11"/>
      <c r="P859" s="15"/>
      <c r="Q859" s="15"/>
      <c r="R859" s="15"/>
      <c r="S859" s="15"/>
      <c r="T859" s="15"/>
      <c r="U859" s="15"/>
      <c r="V859" s="15"/>
      <c r="W859" s="47"/>
      <c r="X859" s="11"/>
      <c r="Y859" s="48"/>
      <c r="Z859" s="11"/>
      <c r="AA859" s="48"/>
      <c r="AB859" s="11"/>
      <c r="AC859" s="48"/>
      <c r="AD859" s="11"/>
      <c r="AE859" s="47"/>
      <c r="AF859" s="11"/>
      <c r="AG859" s="48"/>
      <c r="AH859" s="11"/>
      <c r="AI859" s="48"/>
      <c r="AJ859" s="11"/>
      <c r="AK859" s="48"/>
      <c r="AL859" s="11"/>
      <c r="AM859" s="49"/>
      <c r="AN859" s="49"/>
      <c r="AO859" s="11"/>
      <c r="AP859" s="11"/>
      <c r="AQ859" s="28" t="b">
        <f>IF(COUNTIF(SmartStatus!A$2:A1000, AM859) &gt; 2, TRUE, FALSE)</f>
        <v>0</v>
      </c>
      <c r="AR859" s="29" t="str">
        <f ca="1">IFERROR(__xludf.DUMMYFUNCTION("iferror(if(regexmatch(AO859, ""(?i)^registered""), if(EE859 &lt;&gt; ""polity_shortest_name"", ""CHECK_POLITY"", index(filter(SmartStatus!B$2:B1000, AM859 = SmartStatus!A$2:A1000, not(SmartStatus!C$2:C1000), (isblank(SmartStatus!D$2:D1000)) + ((P859 &lt;&gt; """") * "&amp;"(P859 &lt; SmartStatus!D$2:D1000)), (isblank(SmartStatus!E$2:E1000)) + ((P859 &lt;&gt; """") * (P859 &gt;= SmartStatus!E$2:E1000)), (isblank(SmartStatus!F$2:F1000)) + (((Q859 &lt;&gt; """") * (Q859 &lt; SmartStatus!F$2:F1000)) + ((P859 &lt;&gt; """") * (date(year(P859) + 3, month(P"&amp;"859), day(P859)) &lt; SmartStatus!F$2:F1000))), (isblank(SmartStatus!G$2:G1000)) + (((Q859 &lt;&gt; """") * (Q859 &gt;= SmartStatus!G$2:G1000)) + ((P859 &lt;&gt; """") * (P859 &gt;= SmartStatus!G$2:G1000)))), if(or(regexmatch(B859, ""(?i)^ir [a-z]+ designation$""), N859 &lt;&gt; """&amp;"""), 1, 2))), """"), ""NO_MATCH"")"),"")</f>
        <v/>
      </c>
      <c r="AS859" s="11"/>
      <c r="AT859" s="15"/>
      <c r="AU859" s="11"/>
      <c r="AV859" s="11"/>
      <c r="AW859" s="15"/>
      <c r="AX859" s="15"/>
      <c r="AY859" s="15"/>
      <c r="AZ859" s="11"/>
      <c r="BA859" s="15"/>
      <c r="BB859" s="11"/>
      <c r="BC859" s="11"/>
      <c r="BD859" s="15"/>
      <c r="BE859" s="11"/>
      <c r="BF859" s="11"/>
      <c r="BG859" s="15"/>
      <c r="BH859" s="15"/>
      <c r="BI859" s="15"/>
      <c r="BJ859" s="11"/>
      <c r="BK859" s="15"/>
      <c r="BL859" s="11"/>
      <c r="BM859" s="11"/>
      <c r="BN859" s="15"/>
      <c r="BO859" s="11"/>
      <c r="BP859" s="11"/>
      <c r="BQ859" s="15"/>
      <c r="BR859" s="15"/>
      <c r="BS859" s="15"/>
      <c r="BT859" s="11"/>
      <c r="BU859" s="15"/>
      <c r="BV859" s="11"/>
      <c r="BW859" s="11"/>
      <c r="BX859" s="15"/>
      <c r="BY859" s="11"/>
      <c r="BZ859" s="11"/>
      <c r="CA859" s="15"/>
      <c r="CB859" s="11"/>
      <c r="CC859" s="15"/>
      <c r="CD859" s="11"/>
      <c r="CE859" s="15"/>
      <c r="CF859" s="11"/>
      <c r="CG859" s="11"/>
      <c r="CH859" s="15"/>
      <c r="CI859" s="11"/>
      <c r="CJ859" s="11"/>
      <c r="CK859" s="15"/>
      <c r="CL859" s="11"/>
      <c r="CM859" s="11"/>
      <c r="CN859" s="11"/>
      <c r="CO859" s="11"/>
      <c r="CP859" s="28"/>
      <c r="CQ859" s="28"/>
      <c r="CR859" s="11"/>
      <c r="CS859" s="29"/>
      <c r="CT859" s="11"/>
      <c r="CU859" s="11"/>
      <c r="CV859" s="11"/>
      <c r="CW859" s="11"/>
      <c r="CX859" s="11"/>
      <c r="CY859" s="11"/>
      <c r="CZ859" s="11"/>
      <c r="DA859" s="28"/>
      <c r="DB859" s="28"/>
      <c r="DC859" s="11"/>
      <c r="DD859" s="29"/>
      <c r="DE859" s="11"/>
      <c r="DF859" s="11"/>
      <c r="DG859" s="11"/>
      <c r="DH859" s="11"/>
      <c r="DI859" s="11"/>
      <c r="DJ859" s="11"/>
      <c r="DK859" s="26"/>
      <c r="DL859" s="11"/>
      <c r="DM859" s="29"/>
      <c r="DN859" s="28"/>
      <c r="DO859" s="11"/>
      <c r="DP859" s="11"/>
      <c r="DQ859" s="11"/>
      <c r="DR859" s="29"/>
      <c r="DS859" s="28"/>
      <c r="DT859" s="11"/>
      <c r="DU859" s="26"/>
      <c r="DV859" s="11"/>
      <c r="DW859" s="29"/>
      <c r="DX859" s="28"/>
      <c r="DY859" s="11"/>
      <c r="DZ859" s="26"/>
      <c r="EA859" s="11"/>
      <c r="EB859" s="29"/>
      <c r="EC859" s="28"/>
      <c r="ED859" s="30"/>
      <c r="EE859" s="30" t="str">
        <f ca="1">IFERROR(__xludf.DUMMYFUNCTION("iferror(index(filter('Internal -- Trademark Countries'!E$2:E1000, (AM859 = 'Internal -- Trademark Countries'!B$2:B1000) + (AM859 = 'Internal -- Trademark Countries'!C$2:C1000) + (AM859 = 'Internal -- Trademark Countries'!D$2:D1000)), 1))"),"")</f>
        <v/>
      </c>
      <c r="EF859" s="30" t="e">
        <f ca="1">_xludf.ifs(AM859="", "", COUNTIF('Internal -- Trademark Countries'!B:B,AM859) &gt; 0, "polity_shortest_name", COUNTIF('Internal -- Trademark Countries'!C:C,AM859) &gt; 0, "polity_full_name", COUNTIF('Internal -- Trademark Countries'!D:D,AM859) &gt; 0, "polity_common_name", COUNTIF('Internal -- Trademark Countries'!E:E,AM859) &gt; 0, "shortest_name", COUNTIF('Internal -- Trademark Countries'!A:A,AM859) &gt; 0, "full_name", TRUE, "not a match")</f>
        <v>#NAME?</v>
      </c>
      <c r="EG859" s="30"/>
      <c r="EH859" s="30"/>
      <c r="EI859" s="30"/>
      <c r="EJ859" s="30"/>
      <c r="EK859" s="30" t="str">
        <f t="shared" si="5"/>
        <v/>
      </c>
    </row>
    <row r="860" spans="1:141" ht="16.5">
      <c r="A860" s="11"/>
      <c r="B860" s="11"/>
      <c r="C860" s="11"/>
      <c r="D860" s="11"/>
      <c r="E860" s="11"/>
      <c r="F860" s="11"/>
      <c r="G860" s="11"/>
      <c r="H860" s="11"/>
      <c r="I860" s="11"/>
      <c r="J860" s="11"/>
      <c r="K860" s="27"/>
      <c r="L860" s="11"/>
      <c r="M860" s="11"/>
      <c r="N860" s="11"/>
      <c r="O860" s="11"/>
      <c r="P860" s="15"/>
      <c r="Q860" s="15"/>
      <c r="R860" s="15"/>
      <c r="S860" s="15"/>
      <c r="T860" s="15"/>
      <c r="U860" s="15"/>
      <c r="V860" s="15"/>
      <c r="W860" s="47"/>
      <c r="X860" s="11"/>
      <c r="Y860" s="48"/>
      <c r="Z860" s="11"/>
      <c r="AA860" s="48"/>
      <c r="AB860" s="11"/>
      <c r="AC860" s="48"/>
      <c r="AD860" s="11"/>
      <c r="AE860" s="47"/>
      <c r="AF860" s="11"/>
      <c r="AG860" s="48"/>
      <c r="AH860" s="11"/>
      <c r="AI860" s="48"/>
      <c r="AJ860" s="11"/>
      <c r="AK860" s="48"/>
      <c r="AL860" s="11"/>
      <c r="AM860" s="49"/>
      <c r="AN860" s="49"/>
      <c r="AO860" s="11"/>
      <c r="AP860" s="11"/>
      <c r="AQ860" s="28" t="b">
        <f>IF(COUNTIF(SmartStatus!A$2:A1000, AM860) &gt; 2, TRUE, FALSE)</f>
        <v>0</v>
      </c>
      <c r="AR860" s="29" t="str">
        <f ca="1">IFERROR(__xludf.DUMMYFUNCTION("iferror(if(regexmatch(AO860, ""(?i)^registered""), if(EE860 &lt;&gt; ""polity_shortest_name"", ""CHECK_POLITY"", index(filter(SmartStatus!B$2:B1000, AM860 = SmartStatus!A$2:A1000, not(SmartStatus!C$2:C1000), (isblank(SmartStatus!D$2:D1000)) + ((P860 &lt;&gt; """") * "&amp;"(P860 &lt; SmartStatus!D$2:D1000)), (isblank(SmartStatus!E$2:E1000)) + ((P860 &lt;&gt; """") * (P860 &gt;= SmartStatus!E$2:E1000)), (isblank(SmartStatus!F$2:F1000)) + (((Q860 &lt;&gt; """") * (Q860 &lt; SmartStatus!F$2:F1000)) + ((P860 &lt;&gt; """") * (date(year(P860) + 3, month(P"&amp;"860), day(P860)) &lt; SmartStatus!F$2:F1000))), (isblank(SmartStatus!G$2:G1000)) + (((Q860 &lt;&gt; """") * (Q860 &gt;= SmartStatus!G$2:G1000)) + ((P860 &lt;&gt; """") * (P860 &gt;= SmartStatus!G$2:G1000)))), if(or(regexmatch(B860, ""(?i)^ir [a-z]+ designation$""), N860 &lt;&gt; """&amp;"""), 1, 2))), """"), ""NO_MATCH"")"),"")</f>
        <v/>
      </c>
      <c r="AS860" s="11"/>
      <c r="AT860" s="15"/>
      <c r="AU860" s="11"/>
      <c r="AV860" s="11"/>
      <c r="AW860" s="15"/>
      <c r="AX860" s="15"/>
      <c r="AY860" s="15"/>
      <c r="AZ860" s="11"/>
      <c r="BA860" s="15"/>
      <c r="BB860" s="11"/>
      <c r="BC860" s="11"/>
      <c r="BD860" s="15"/>
      <c r="BE860" s="11"/>
      <c r="BF860" s="11"/>
      <c r="BG860" s="15"/>
      <c r="BH860" s="15"/>
      <c r="BI860" s="15"/>
      <c r="BJ860" s="11"/>
      <c r="BK860" s="15"/>
      <c r="BL860" s="11"/>
      <c r="BM860" s="11"/>
      <c r="BN860" s="15"/>
      <c r="BO860" s="11"/>
      <c r="BP860" s="11"/>
      <c r="BQ860" s="15"/>
      <c r="BR860" s="15"/>
      <c r="BS860" s="15"/>
      <c r="BT860" s="11"/>
      <c r="BU860" s="15"/>
      <c r="BV860" s="11"/>
      <c r="BW860" s="11"/>
      <c r="BX860" s="15"/>
      <c r="BY860" s="11"/>
      <c r="BZ860" s="11"/>
      <c r="CA860" s="15"/>
      <c r="CB860" s="11"/>
      <c r="CC860" s="15"/>
      <c r="CD860" s="11"/>
      <c r="CE860" s="15"/>
      <c r="CF860" s="11"/>
      <c r="CG860" s="11"/>
      <c r="CH860" s="15"/>
      <c r="CI860" s="11"/>
      <c r="CJ860" s="11"/>
      <c r="CK860" s="15"/>
      <c r="CL860" s="11"/>
      <c r="CM860" s="11"/>
      <c r="CN860" s="11"/>
      <c r="CO860" s="11"/>
      <c r="CP860" s="28"/>
      <c r="CQ860" s="28"/>
      <c r="CR860" s="11"/>
      <c r="CS860" s="29"/>
      <c r="CT860" s="11"/>
      <c r="CU860" s="11"/>
      <c r="CV860" s="11"/>
      <c r="CW860" s="11"/>
      <c r="CX860" s="11"/>
      <c r="CY860" s="11"/>
      <c r="CZ860" s="11"/>
      <c r="DA860" s="28"/>
      <c r="DB860" s="28"/>
      <c r="DC860" s="11"/>
      <c r="DD860" s="29"/>
      <c r="DE860" s="11"/>
      <c r="DF860" s="11"/>
      <c r="DG860" s="11"/>
      <c r="DH860" s="11"/>
      <c r="DI860" s="11"/>
      <c r="DJ860" s="11"/>
      <c r="DK860" s="26"/>
      <c r="DL860" s="11"/>
      <c r="DM860" s="29"/>
      <c r="DN860" s="28"/>
      <c r="DO860" s="11"/>
      <c r="DP860" s="11"/>
      <c r="DQ860" s="11"/>
      <c r="DR860" s="29"/>
      <c r="DS860" s="28"/>
      <c r="DT860" s="11"/>
      <c r="DU860" s="26"/>
      <c r="DV860" s="11"/>
      <c r="DW860" s="29"/>
      <c r="DX860" s="28"/>
      <c r="DY860" s="11"/>
      <c r="DZ860" s="26"/>
      <c r="EA860" s="11"/>
      <c r="EB860" s="29"/>
      <c r="EC860" s="28"/>
      <c r="ED860" s="30"/>
      <c r="EE860" s="30" t="str">
        <f ca="1">IFERROR(__xludf.DUMMYFUNCTION("iferror(index(filter('Internal -- Trademark Countries'!E$2:E1000, (AM860 = 'Internal -- Trademark Countries'!B$2:B1000) + (AM860 = 'Internal -- Trademark Countries'!C$2:C1000) + (AM860 = 'Internal -- Trademark Countries'!D$2:D1000)), 1))"),"")</f>
        <v/>
      </c>
      <c r="EF860" s="30" t="e">
        <f ca="1">_xludf.ifs(AM860="", "", COUNTIF('Internal -- Trademark Countries'!B:B,AM860) &gt; 0, "polity_shortest_name", COUNTIF('Internal -- Trademark Countries'!C:C,AM860) &gt; 0, "polity_full_name", COUNTIF('Internal -- Trademark Countries'!D:D,AM860) &gt; 0, "polity_common_name", COUNTIF('Internal -- Trademark Countries'!E:E,AM860) &gt; 0, "shortest_name", COUNTIF('Internal -- Trademark Countries'!A:A,AM860) &gt; 0, "full_name", TRUE, "not a match")</f>
        <v>#NAME?</v>
      </c>
      <c r="EG860" s="30"/>
      <c r="EH860" s="30"/>
      <c r="EI860" s="30"/>
      <c r="EJ860" s="30"/>
      <c r="EK860" s="30" t="str">
        <f t="shared" si="5"/>
        <v/>
      </c>
    </row>
    <row r="861" spans="1:141" ht="16.5">
      <c r="A861" s="11"/>
      <c r="B861" s="11"/>
      <c r="C861" s="11"/>
      <c r="D861" s="11"/>
      <c r="E861" s="11"/>
      <c r="F861" s="11"/>
      <c r="G861" s="11"/>
      <c r="H861" s="11"/>
      <c r="I861" s="11"/>
      <c r="J861" s="11"/>
      <c r="K861" s="27"/>
      <c r="L861" s="11"/>
      <c r="M861" s="11"/>
      <c r="N861" s="11"/>
      <c r="O861" s="11"/>
      <c r="P861" s="15"/>
      <c r="Q861" s="15"/>
      <c r="R861" s="15"/>
      <c r="S861" s="15"/>
      <c r="T861" s="15"/>
      <c r="U861" s="15"/>
      <c r="V861" s="15"/>
      <c r="W861" s="47"/>
      <c r="X861" s="11"/>
      <c r="Y861" s="48"/>
      <c r="Z861" s="11"/>
      <c r="AA861" s="48"/>
      <c r="AB861" s="11"/>
      <c r="AC861" s="48"/>
      <c r="AD861" s="11"/>
      <c r="AE861" s="47"/>
      <c r="AF861" s="11"/>
      <c r="AG861" s="48"/>
      <c r="AH861" s="11"/>
      <c r="AI861" s="48"/>
      <c r="AJ861" s="11"/>
      <c r="AK861" s="48"/>
      <c r="AL861" s="11"/>
      <c r="AM861" s="49"/>
      <c r="AN861" s="49"/>
      <c r="AO861" s="11"/>
      <c r="AP861" s="11"/>
      <c r="AQ861" s="28" t="b">
        <f>IF(COUNTIF(SmartStatus!A$2:A1000, AM861) &gt; 2, TRUE, FALSE)</f>
        <v>0</v>
      </c>
      <c r="AR861" s="29" t="str">
        <f ca="1">IFERROR(__xludf.DUMMYFUNCTION("iferror(if(regexmatch(AO861, ""(?i)^registered""), if(EE861 &lt;&gt; ""polity_shortest_name"", ""CHECK_POLITY"", index(filter(SmartStatus!B$2:B1000, AM861 = SmartStatus!A$2:A1000, not(SmartStatus!C$2:C1000), (isblank(SmartStatus!D$2:D1000)) + ((P861 &lt;&gt; """") * "&amp;"(P861 &lt; SmartStatus!D$2:D1000)), (isblank(SmartStatus!E$2:E1000)) + ((P861 &lt;&gt; """") * (P861 &gt;= SmartStatus!E$2:E1000)), (isblank(SmartStatus!F$2:F1000)) + (((Q861 &lt;&gt; """") * (Q861 &lt; SmartStatus!F$2:F1000)) + ((P861 &lt;&gt; """") * (date(year(P861) + 3, month(P"&amp;"861), day(P861)) &lt; SmartStatus!F$2:F1000))), (isblank(SmartStatus!G$2:G1000)) + (((Q861 &lt;&gt; """") * (Q861 &gt;= SmartStatus!G$2:G1000)) + ((P861 &lt;&gt; """") * (P861 &gt;= SmartStatus!G$2:G1000)))), if(or(regexmatch(B861, ""(?i)^ir [a-z]+ designation$""), N861 &lt;&gt; """&amp;"""), 1, 2))), """"), ""NO_MATCH"")"),"")</f>
        <v/>
      </c>
      <c r="AS861" s="11"/>
      <c r="AT861" s="15"/>
      <c r="AU861" s="11"/>
      <c r="AV861" s="11"/>
      <c r="AW861" s="15"/>
      <c r="AX861" s="15"/>
      <c r="AY861" s="15"/>
      <c r="AZ861" s="11"/>
      <c r="BA861" s="15"/>
      <c r="BB861" s="11"/>
      <c r="BC861" s="11"/>
      <c r="BD861" s="15"/>
      <c r="BE861" s="11"/>
      <c r="BF861" s="11"/>
      <c r="BG861" s="15"/>
      <c r="BH861" s="15"/>
      <c r="BI861" s="15"/>
      <c r="BJ861" s="11"/>
      <c r="BK861" s="15"/>
      <c r="BL861" s="11"/>
      <c r="BM861" s="11"/>
      <c r="BN861" s="15"/>
      <c r="BO861" s="11"/>
      <c r="BP861" s="11"/>
      <c r="BQ861" s="15"/>
      <c r="BR861" s="15"/>
      <c r="BS861" s="15"/>
      <c r="BT861" s="11"/>
      <c r="BU861" s="15"/>
      <c r="BV861" s="11"/>
      <c r="BW861" s="11"/>
      <c r="BX861" s="15"/>
      <c r="BY861" s="11"/>
      <c r="BZ861" s="11"/>
      <c r="CA861" s="15"/>
      <c r="CB861" s="11"/>
      <c r="CC861" s="15"/>
      <c r="CD861" s="11"/>
      <c r="CE861" s="15"/>
      <c r="CF861" s="11"/>
      <c r="CG861" s="11"/>
      <c r="CH861" s="15"/>
      <c r="CI861" s="11"/>
      <c r="CJ861" s="11"/>
      <c r="CK861" s="15"/>
      <c r="CL861" s="11"/>
      <c r="CM861" s="11"/>
      <c r="CN861" s="11"/>
      <c r="CO861" s="11"/>
      <c r="CP861" s="28"/>
      <c r="CQ861" s="28"/>
      <c r="CR861" s="11"/>
      <c r="CS861" s="29"/>
      <c r="CT861" s="11"/>
      <c r="CU861" s="11"/>
      <c r="CV861" s="11"/>
      <c r="CW861" s="11"/>
      <c r="CX861" s="11"/>
      <c r="CY861" s="11"/>
      <c r="CZ861" s="11"/>
      <c r="DA861" s="28"/>
      <c r="DB861" s="28"/>
      <c r="DC861" s="11"/>
      <c r="DD861" s="29"/>
      <c r="DE861" s="11"/>
      <c r="DF861" s="11"/>
      <c r="DG861" s="11"/>
      <c r="DH861" s="11"/>
      <c r="DI861" s="11"/>
      <c r="DJ861" s="11"/>
      <c r="DK861" s="26"/>
      <c r="DL861" s="11"/>
      <c r="DM861" s="29"/>
      <c r="DN861" s="28"/>
      <c r="DO861" s="11"/>
      <c r="DP861" s="11"/>
      <c r="DQ861" s="11"/>
      <c r="DR861" s="29"/>
      <c r="DS861" s="28"/>
      <c r="DT861" s="11"/>
      <c r="DU861" s="26"/>
      <c r="DV861" s="11"/>
      <c r="DW861" s="29"/>
      <c r="DX861" s="28"/>
      <c r="DY861" s="11"/>
      <c r="DZ861" s="26"/>
      <c r="EA861" s="11"/>
      <c r="EB861" s="29"/>
      <c r="EC861" s="28"/>
      <c r="ED861" s="30"/>
      <c r="EE861" s="30" t="str">
        <f ca="1">IFERROR(__xludf.DUMMYFUNCTION("iferror(index(filter('Internal -- Trademark Countries'!E$2:E1000, (AM861 = 'Internal -- Trademark Countries'!B$2:B1000) + (AM861 = 'Internal -- Trademark Countries'!C$2:C1000) + (AM861 = 'Internal -- Trademark Countries'!D$2:D1000)), 1))"),"")</f>
        <v/>
      </c>
      <c r="EF861" s="30" t="e">
        <f ca="1">_xludf.ifs(AM861="", "", COUNTIF('Internal -- Trademark Countries'!B:B,AM861) &gt; 0, "polity_shortest_name", COUNTIF('Internal -- Trademark Countries'!C:C,AM861) &gt; 0, "polity_full_name", COUNTIF('Internal -- Trademark Countries'!D:D,AM861) &gt; 0, "polity_common_name", COUNTIF('Internal -- Trademark Countries'!E:E,AM861) &gt; 0, "shortest_name", COUNTIF('Internal -- Trademark Countries'!A:A,AM861) &gt; 0, "full_name", TRUE, "not a match")</f>
        <v>#NAME?</v>
      </c>
      <c r="EG861" s="30"/>
      <c r="EH861" s="30"/>
      <c r="EI861" s="30"/>
      <c r="EJ861" s="30"/>
      <c r="EK861" s="30" t="str">
        <f t="shared" si="5"/>
        <v/>
      </c>
    </row>
    <row r="862" spans="1:141" ht="16.5">
      <c r="A862" s="11"/>
      <c r="B862" s="11"/>
      <c r="C862" s="11"/>
      <c r="D862" s="11"/>
      <c r="E862" s="11"/>
      <c r="F862" s="11"/>
      <c r="G862" s="11"/>
      <c r="H862" s="11"/>
      <c r="I862" s="11"/>
      <c r="J862" s="11"/>
      <c r="K862" s="27"/>
      <c r="L862" s="11"/>
      <c r="M862" s="11"/>
      <c r="N862" s="11"/>
      <c r="O862" s="11"/>
      <c r="P862" s="15"/>
      <c r="Q862" s="15"/>
      <c r="R862" s="15"/>
      <c r="S862" s="15"/>
      <c r="T862" s="15"/>
      <c r="U862" s="15"/>
      <c r="V862" s="15"/>
      <c r="W862" s="47"/>
      <c r="X862" s="11"/>
      <c r="Y862" s="48"/>
      <c r="Z862" s="11"/>
      <c r="AA862" s="48"/>
      <c r="AB862" s="11"/>
      <c r="AC862" s="48"/>
      <c r="AD862" s="11"/>
      <c r="AE862" s="47"/>
      <c r="AF862" s="11"/>
      <c r="AG862" s="48"/>
      <c r="AH862" s="11"/>
      <c r="AI862" s="48"/>
      <c r="AJ862" s="11"/>
      <c r="AK862" s="48"/>
      <c r="AL862" s="11"/>
      <c r="AM862" s="49"/>
      <c r="AN862" s="49"/>
      <c r="AO862" s="11"/>
      <c r="AP862" s="11"/>
      <c r="AQ862" s="28" t="b">
        <f>IF(COUNTIF(SmartStatus!A$2:A1000, AM862) &gt; 2, TRUE, FALSE)</f>
        <v>0</v>
      </c>
      <c r="AR862" s="29" t="str">
        <f ca="1">IFERROR(__xludf.DUMMYFUNCTION("iferror(if(regexmatch(AO862, ""(?i)^registered""), if(EE862 &lt;&gt; ""polity_shortest_name"", ""CHECK_POLITY"", index(filter(SmartStatus!B$2:B1000, AM862 = SmartStatus!A$2:A1000, not(SmartStatus!C$2:C1000), (isblank(SmartStatus!D$2:D1000)) + ((P862 &lt;&gt; """") * "&amp;"(P862 &lt; SmartStatus!D$2:D1000)), (isblank(SmartStatus!E$2:E1000)) + ((P862 &lt;&gt; """") * (P862 &gt;= SmartStatus!E$2:E1000)), (isblank(SmartStatus!F$2:F1000)) + (((Q862 &lt;&gt; """") * (Q862 &lt; SmartStatus!F$2:F1000)) + ((P862 &lt;&gt; """") * (date(year(P862) + 3, month(P"&amp;"862), day(P862)) &lt; SmartStatus!F$2:F1000))), (isblank(SmartStatus!G$2:G1000)) + (((Q862 &lt;&gt; """") * (Q862 &gt;= SmartStatus!G$2:G1000)) + ((P862 &lt;&gt; """") * (P862 &gt;= SmartStatus!G$2:G1000)))), if(or(regexmatch(B862, ""(?i)^ir [a-z]+ designation$""), N862 &lt;&gt; """&amp;"""), 1, 2))), """"), ""NO_MATCH"")"),"")</f>
        <v/>
      </c>
      <c r="AS862" s="11"/>
      <c r="AT862" s="15"/>
      <c r="AU862" s="11"/>
      <c r="AV862" s="11"/>
      <c r="AW862" s="15"/>
      <c r="AX862" s="15"/>
      <c r="AY862" s="15"/>
      <c r="AZ862" s="11"/>
      <c r="BA862" s="15"/>
      <c r="BB862" s="11"/>
      <c r="BC862" s="11"/>
      <c r="BD862" s="15"/>
      <c r="BE862" s="11"/>
      <c r="BF862" s="11"/>
      <c r="BG862" s="15"/>
      <c r="BH862" s="15"/>
      <c r="BI862" s="15"/>
      <c r="BJ862" s="11"/>
      <c r="BK862" s="15"/>
      <c r="BL862" s="11"/>
      <c r="BM862" s="11"/>
      <c r="BN862" s="15"/>
      <c r="BO862" s="11"/>
      <c r="BP862" s="11"/>
      <c r="BQ862" s="15"/>
      <c r="BR862" s="15"/>
      <c r="BS862" s="15"/>
      <c r="BT862" s="11"/>
      <c r="BU862" s="15"/>
      <c r="BV862" s="11"/>
      <c r="BW862" s="11"/>
      <c r="BX862" s="15"/>
      <c r="BY862" s="11"/>
      <c r="BZ862" s="11"/>
      <c r="CA862" s="15"/>
      <c r="CB862" s="11"/>
      <c r="CC862" s="15"/>
      <c r="CD862" s="11"/>
      <c r="CE862" s="15"/>
      <c r="CF862" s="11"/>
      <c r="CG862" s="11"/>
      <c r="CH862" s="15"/>
      <c r="CI862" s="11"/>
      <c r="CJ862" s="11"/>
      <c r="CK862" s="15"/>
      <c r="CL862" s="11"/>
      <c r="CM862" s="11"/>
      <c r="CN862" s="11"/>
      <c r="CO862" s="11"/>
      <c r="CP862" s="28"/>
      <c r="CQ862" s="28"/>
      <c r="CR862" s="11"/>
      <c r="CS862" s="29"/>
      <c r="CT862" s="11"/>
      <c r="CU862" s="11"/>
      <c r="CV862" s="11"/>
      <c r="CW862" s="11"/>
      <c r="CX862" s="11"/>
      <c r="CY862" s="11"/>
      <c r="CZ862" s="11"/>
      <c r="DA862" s="28"/>
      <c r="DB862" s="28"/>
      <c r="DC862" s="11"/>
      <c r="DD862" s="29"/>
      <c r="DE862" s="11"/>
      <c r="DF862" s="11"/>
      <c r="DG862" s="11"/>
      <c r="DH862" s="11"/>
      <c r="DI862" s="11"/>
      <c r="DJ862" s="11"/>
      <c r="DK862" s="26"/>
      <c r="DL862" s="11"/>
      <c r="DM862" s="29"/>
      <c r="DN862" s="28"/>
      <c r="DO862" s="11"/>
      <c r="DP862" s="11"/>
      <c r="DQ862" s="11"/>
      <c r="DR862" s="29"/>
      <c r="DS862" s="28"/>
      <c r="DT862" s="11"/>
      <c r="DU862" s="26"/>
      <c r="DV862" s="11"/>
      <c r="DW862" s="29"/>
      <c r="DX862" s="28"/>
      <c r="DY862" s="11"/>
      <c r="DZ862" s="26"/>
      <c r="EA862" s="11"/>
      <c r="EB862" s="29"/>
      <c r="EC862" s="28"/>
      <c r="ED862" s="30"/>
      <c r="EE862" s="30" t="str">
        <f ca="1">IFERROR(__xludf.DUMMYFUNCTION("iferror(index(filter('Internal -- Trademark Countries'!E$2:E1000, (AM862 = 'Internal -- Trademark Countries'!B$2:B1000) + (AM862 = 'Internal -- Trademark Countries'!C$2:C1000) + (AM862 = 'Internal -- Trademark Countries'!D$2:D1000)), 1))"),"")</f>
        <v/>
      </c>
      <c r="EF862" s="30" t="e">
        <f ca="1">_xludf.ifs(AM862="", "", COUNTIF('Internal -- Trademark Countries'!B:B,AM862) &gt; 0, "polity_shortest_name", COUNTIF('Internal -- Trademark Countries'!C:C,AM862) &gt; 0, "polity_full_name", COUNTIF('Internal -- Trademark Countries'!D:D,AM862) &gt; 0, "polity_common_name", COUNTIF('Internal -- Trademark Countries'!E:E,AM862) &gt; 0, "shortest_name", COUNTIF('Internal -- Trademark Countries'!A:A,AM862) &gt; 0, "full_name", TRUE, "not a match")</f>
        <v>#NAME?</v>
      </c>
      <c r="EG862" s="30"/>
      <c r="EH862" s="30"/>
      <c r="EI862" s="30"/>
      <c r="EJ862" s="30"/>
      <c r="EK862" s="30" t="str">
        <f t="shared" si="5"/>
        <v/>
      </c>
    </row>
    <row r="863" spans="1:141" ht="16.5">
      <c r="A863" s="11"/>
      <c r="B863" s="11"/>
      <c r="C863" s="11"/>
      <c r="D863" s="11"/>
      <c r="E863" s="11"/>
      <c r="F863" s="11"/>
      <c r="G863" s="11"/>
      <c r="H863" s="11"/>
      <c r="I863" s="11"/>
      <c r="J863" s="11"/>
      <c r="K863" s="27"/>
      <c r="L863" s="11"/>
      <c r="M863" s="11"/>
      <c r="N863" s="11"/>
      <c r="O863" s="11"/>
      <c r="P863" s="15"/>
      <c r="Q863" s="15"/>
      <c r="R863" s="15"/>
      <c r="S863" s="15"/>
      <c r="T863" s="15"/>
      <c r="U863" s="15"/>
      <c r="V863" s="15"/>
      <c r="W863" s="47"/>
      <c r="X863" s="11"/>
      <c r="Y863" s="48"/>
      <c r="Z863" s="11"/>
      <c r="AA863" s="48"/>
      <c r="AB863" s="11"/>
      <c r="AC863" s="48"/>
      <c r="AD863" s="11"/>
      <c r="AE863" s="47"/>
      <c r="AF863" s="11"/>
      <c r="AG863" s="48"/>
      <c r="AH863" s="11"/>
      <c r="AI863" s="48"/>
      <c r="AJ863" s="11"/>
      <c r="AK863" s="48"/>
      <c r="AL863" s="11"/>
      <c r="AM863" s="49"/>
      <c r="AN863" s="49"/>
      <c r="AO863" s="11"/>
      <c r="AP863" s="11"/>
      <c r="AQ863" s="28" t="b">
        <f>IF(COUNTIF(SmartStatus!A$2:A1000, AM863) &gt; 2, TRUE, FALSE)</f>
        <v>0</v>
      </c>
      <c r="AR863" s="29" t="str">
        <f ca="1">IFERROR(__xludf.DUMMYFUNCTION("iferror(if(regexmatch(AO863, ""(?i)^registered""), if(EE863 &lt;&gt; ""polity_shortest_name"", ""CHECK_POLITY"", index(filter(SmartStatus!B$2:B1000, AM863 = SmartStatus!A$2:A1000, not(SmartStatus!C$2:C1000), (isblank(SmartStatus!D$2:D1000)) + ((P863 &lt;&gt; """") * "&amp;"(P863 &lt; SmartStatus!D$2:D1000)), (isblank(SmartStatus!E$2:E1000)) + ((P863 &lt;&gt; """") * (P863 &gt;= SmartStatus!E$2:E1000)), (isblank(SmartStatus!F$2:F1000)) + (((Q863 &lt;&gt; """") * (Q863 &lt; SmartStatus!F$2:F1000)) + ((P863 &lt;&gt; """") * (date(year(P863) + 3, month(P"&amp;"863), day(P863)) &lt; SmartStatus!F$2:F1000))), (isblank(SmartStatus!G$2:G1000)) + (((Q863 &lt;&gt; """") * (Q863 &gt;= SmartStatus!G$2:G1000)) + ((P863 &lt;&gt; """") * (P863 &gt;= SmartStatus!G$2:G1000)))), if(or(regexmatch(B863, ""(?i)^ir [a-z]+ designation$""), N863 &lt;&gt; """&amp;"""), 1, 2))), """"), ""NO_MATCH"")"),"")</f>
        <v/>
      </c>
      <c r="AS863" s="11"/>
      <c r="AT863" s="15"/>
      <c r="AU863" s="11"/>
      <c r="AV863" s="11"/>
      <c r="AW863" s="15"/>
      <c r="AX863" s="15"/>
      <c r="AY863" s="15"/>
      <c r="AZ863" s="11"/>
      <c r="BA863" s="15"/>
      <c r="BB863" s="11"/>
      <c r="BC863" s="11"/>
      <c r="BD863" s="15"/>
      <c r="BE863" s="11"/>
      <c r="BF863" s="11"/>
      <c r="BG863" s="15"/>
      <c r="BH863" s="15"/>
      <c r="BI863" s="15"/>
      <c r="BJ863" s="11"/>
      <c r="BK863" s="15"/>
      <c r="BL863" s="11"/>
      <c r="BM863" s="11"/>
      <c r="BN863" s="15"/>
      <c r="BO863" s="11"/>
      <c r="BP863" s="11"/>
      <c r="BQ863" s="15"/>
      <c r="BR863" s="15"/>
      <c r="BS863" s="15"/>
      <c r="BT863" s="11"/>
      <c r="BU863" s="15"/>
      <c r="BV863" s="11"/>
      <c r="BW863" s="11"/>
      <c r="BX863" s="15"/>
      <c r="BY863" s="11"/>
      <c r="BZ863" s="11"/>
      <c r="CA863" s="15"/>
      <c r="CB863" s="11"/>
      <c r="CC863" s="15"/>
      <c r="CD863" s="11"/>
      <c r="CE863" s="15"/>
      <c r="CF863" s="11"/>
      <c r="CG863" s="11"/>
      <c r="CH863" s="15"/>
      <c r="CI863" s="11"/>
      <c r="CJ863" s="11"/>
      <c r="CK863" s="15"/>
      <c r="CL863" s="11"/>
      <c r="CM863" s="11"/>
      <c r="CN863" s="11"/>
      <c r="CO863" s="11"/>
      <c r="CP863" s="28"/>
      <c r="CQ863" s="28"/>
      <c r="CR863" s="11"/>
      <c r="CS863" s="29"/>
      <c r="CT863" s="11"/>
      <c r="CU863" s="11"/>
      <c r="CV863" s="11"/>
      <c r="CW863" s="11"/>
      <c r="CX863" s="11"/>
      <c r="CY863" s="11"/>
      <c r="CZ863" s="11"/>
      <c r="DA863" s="28"/>
      <c r="DB863" s="28"/>
      <c r="DC863" s="11"/>
      <c r="DD863" s="29"/>
      <c r="DE863" s="11"/>
      <c r="DF863" s="11"/>
      <c r="DG863" s="11"/>
      <c r="DH863" s="11"/>
      <c r="DI863" s="11"/>
      <c r="DJ863" s="11"/>
      <c r="DK863" s="26"/>
      <c r="DL863" s="11"/>
      <c r="DM863" s="29"/>
      <c r="DN863" s="28"/>
      <c r="DO863" s="11"/>
      <c r="DP863" s="11"/>
      <c r="DQ863" s="11"/>
      <c r="DR863" s="29"/>
      <c r="DS863" s="28"/>
      <c r="DT863" s="11"/>
      <c r="DU863" s="26"/>
      <c r="DV863" s="11"/>
      <c r="DW863" s="29"/>
      <c r="DX863" s="28"/>
      <c r="DY863" s="11"/>
      <c r="DZ863" s="26"/>
      <c r="EA863" s="11"/>
      <c r="EB863" s="29"/>
      <c r="EC863" s="28"/>
      <c r="ED863" s="30"/>
      <c r="EE863" s="30" t="str">
        <f ca="1">IFERROR(__xludf.DUMMYFUNCTION("iferror(index(filter('Internal -- Trademark Countries'!E$2:E1000, (AM863 = 'Internal -- Trademark Countries'!B$2:B1000) + (AM863 = 'Internal -- Trademark Countries'!C$2:C1000) + (AM863 = 'Internal -- Trademark Countries'!D$2:D1000)), 1))"),"")</f>
        <v/>
      </c>
      <c r="EF863" s="30" t="e">
        <f ca="1">_xludf.ifs(AM863="", "", COUNTIF('Internal -- Trademark Countries'!B:B,AM863) &gt; 0, "polity_shortest_name", COUNTIF('Internal -- Trademark Countries'!C:C,AM863) &gt; 0, "polity_full_name", COUNTIF('Internal -- Trademark Countries'!D:D,AM863) &gt; 0, "polity_common_name", COUNTIF('Internal -- Trademark Countries'!E:E,AM863) &gt; 0, "shortest_name", COUNTIF('Internal -- Trademark Countries'!A:A,AM863) &gt; 0, "full_name", TRUE, "not a match")</f>
        <v>#NAME?</v>
      </c>
      <c r="EG863" s="30"/>
      <c r="EH863" s="30"/>
      <c r="EI863" s="30"/>
      <c r="EJ863" s="30"/>
      <c r="EK863" s="30" t="str">
        <f t="shared" si="5"/>
        <v/>
      </c>
    </row>
    <row r="864" spans="1:141" ht="16.5">
      <c r="A864" s="11"/>
      <c r="B864" s="11"/>
      <c r="C864" s="11"/>
      <c r="D864" s="11"/>
      <c r="E864" s="11"/>
      <c r="F864" s="11"/>
      <c r="G864" s="11"/>
      <c r="H864" s="11"/>
      <c r="I864" s="11"/>
      <c r="J864" s="11"/>
      <c r="K864" s="27"/>
      <c r="L864" s="11"/>
      <c r="M864" s="11"/>
      <c r="N864" s="11"/>
      <c r="O864" s="11"/>
      <c r="P864" s="15"/>
      <c r="Q864" s="15"/>
      <c r="R864" s="15"/>
      <c r="S864" s="15"/>
      <c r="T864" s="15"/>
      <c r="U864" s="15"/>
      <c r="V864" s="15"/>
      <c r="W864" s="47"/>
      <c r="X864" s="11"/>
      <c r="Y864" s="48"/>
      <c r="Z864" s="11"/>
      <c r="AA864" s="48"/>
      <c r="AB864" s="11"/>
      <c r="AC864" s="48"/>
      <c r="AD864" s="11"/>
      <c r="AE864" s="47"/>
      <c r="AF864" s="11"/>
      <c r="AG864" s="48"/>
      <c r="AH864" s="11"/>
      <c r="AI864" s="48"/>
      <c r="AJ864" s="11"/>
      <c r="AK864" s="48"/>
      <c r="AL864" s="11"/>
      <c r="AM864" s="49"/>
      <c r="AN864" s="49"/>
      <c r="AO864" s="11"/>
      <c r="AP864" s="11"/>
      <c r="AQ864" s="28" t="b">
        <f>IF(COUNTIF(SmartStatus!A$2:A1000, AM864) &gt; 2, TRUE, FALSE)</f>
        <v>0</v>
      </c>
      <c r="AR864" s="29" t="str">
        <f ca="1">IFERROR(__xludf.DUMMYFUNCTION("iferror(if(regexmatch(AO864, ""(?i)^registered""), if(EE864 &lt;&gt; ""polity_shortest_name"", ""CHECK_POLITY"", index(filter(SmartStatus!B$2:B1000, AM864 = SmartStatus!A$2:A1000, not(SmartStatus!C$2:C1000), (isblank(SmartStatus!D$2:D1000)) + ((P864 &lt;&gt; """") * "&amp;"(P864 &lt; SmartStatus!D$2:D1000)), (isblank(SmartStatus!E$2:E1000)) + ((P864 &lt;&gt; """") * (P864 &gt;= SmartStatus!E$2:E1000)), (isblank(SmartStatus!F$2:F1000)) + (((Q864 &lt;&gt; """") * (Q864 &lt; SmartStatus!F$2:F1000)) + ((P864 &lt;&gt; """") * (date(year(P864) + 3, month(P"&amp;"864), day(P864)) &lt; SmartStatus!F$2:F1000))), (isblank(SmartStatus!G$2:G1000)) + (((Q864 &lt;&gt; """") * (Q864 &gt;= SmartStatus!G$2:G1000)) + ((P864 &lt;&gt; """") * (P864 &gt;= SmartStatus!G$2:G1000)))), if(or(regexmatch(B864, ""(?i)^ir [a-z]+ designation$""), N864 &lt;&gt; """&amp;"""), 1, 2))), """"), ""NO_MATCH"")"),"")</f>
        <v/>
      </c>
      <c r="AS864" s="11"/>
      <c r="AT864" s="15"/>
      <c r="AU864" s="11"/>
      <c r="AV864" s="11"/>
      <c r="AW864" s="15"/>
      <c r="AX864" s="15"/>
      <c r="AY864" s="15"/>
      <c r="AZ864" s="11"/>
      <c r="BA864" s="15"/>
      <c r="BB864" s="11"/>
      <c r="BC864" s="11"/>
      <c r="BD864" s="15"/>
      <c r="BE864" s="11"/>
      <c r="BF864" s="11"/>
      <c r="BG864" s="15"/>
      <c r="BH864" s="15"/>
      <c r="BI864" s="15"/>
      <c r="BJ864" s="11"/>
      <c r="BK864" s="15"/>
      <c r="BL864" s="11"/>
      <c r="BM864" s="11"/>
      <c r="BN864" s="15"/>
      <c r="BO864" s="11"/>
      <c r="BP864" s="11"/>
      <c r="BQ864" s="15"/>
      <c r="BR864" s="15"/>
      <c r="BS864" s="15"/>
      <c r="BT864" s="11"/>
      <c r="BU864" s="15"/>
      <c r="BV864" s="11"/>
      <c r="BW864" s="11"/>
      <c r="BX864" s="15"/>
      <c r="BY864" s="11"/>
      <c r="BZ864" s="11"/>
      <c r="CA864" s="15"/>
      <c r="CB864" s="11"/>
      <c r="CC864" s="15"/>
      <c r="CD864" s="11"/>
      <c r="CE864" s="15"/>
      <c r="CF864" s="11"/>
      <c r="CG864" s="11"/>
      <c r="CH864" s="15"/>
      <c r="CI864" s="11"/>
      <c r="CJ864" s="11"/>
      <c r="CK864" s="15"/>
      <c r="CL864" s="11"/>
      <c r="CM864" s="11"/>
      <c r="CN864" s="11"/>
      <c r="CO864" s="11"/>
      <c r="CP864" s="28"/>
      <c r="CQ864" s="28"/>
      <c r="CR864" s="11"/>
      <c r="CS864" s="29"/>
      <c r="CT864" s="11"/>
      <c r="CU864" s="11"/>
      <c r="CV864" s="11"/>
      <c r="CW864" s="11"/>
      <c r="CX864" s="11"/>
      <c r="CY864" s="11"/>
      <c r="CZ864" s="11"/>
      <c r="DA864" s="28"/>
      <c r="DB864" s="28"/>
      <c r="DC864" s="11"/>
      <c r="DD864" s="29"/>
      <c r="DE864" s="11"/>
      <c r="DF864" s="11"/>
      <c r="DG864" s="11"/>
      <c r="DH864" s="11"/>
      <c r="DI864" s="11"/>
      <c r="DJ864" s="11"/>
      <c r="DK864" s="26"/>
      <c r="DL864" s="11"/>
      <c r="DM864" s="29"/>
      <c r="DN864" s="28"/>
      <c r="DO864" s="11"/>
      <c r="DP864" s="11"/>
      <c r="DQ864" s="11"/>
      <c r="DR864" s="29"/>
      <c r="DS864" s="28"/>
      <c r="DT864" s="11"/>
      <c r="DU864" s="26"/>
      <c r="DV864" s="11"/>
      <c r="DW864" s="29"/>
      <c r="DX864" s="28"/>
      <c r="DY864" s="11"/>
      <c r="DZ864" s="26"/>
      <c r="EA864" s="11"/>
      <c r="EB864" s="29"/>
      <c r="EC864" s="28"/>
      <c r="ED864" s="30"/>
      <c r="EE864" s="30" t="str">
        <f ca="1">IFERROR(__xludf.DUMMYFUNCTION("iferror(index(filter('Internal -- Trademark Countries'!E$2:E1000, (AM864 = 'Internal -- Trademark Countries'!B$2:B1000) + (AM864 = 'Internal -- Trademark Countries'!C$2:C1000) + (AM864 = 'Internal -- Trademark Countries'!D$2:D1000)), 1))"),"")</f>
        <v/>
      </c>
      <c r="EF864" s="30" t="e">
        <f ca="1">_xludf.ifs(AM864="", "", COUNTIF('Internal -- Trademark Countries'!B:B,AM864) &gt; 0, "polity_shortest_name", COUNTIF('Internal -- Trademark Countries'!C:C,AM864) &gt; 0, "polity_full_name", COUNTIF('Internal -- Trademark Countries'!D:D,AM864) &gt; 0, "polity_common_name", COUNTIF('Internal -- Trademark Countries'!E:E,AM864) &gt; 0, "shortest_name", COUNTIF('Internal -- Trademark Countries'!A:A,AM864) &gt; 0, "full_name", TRUE, "not a match")</f>
        <v>#NAME?</v>
      </c>
      <c r="EG864" s="30"/>
      <c r="EH864" s="30"/>
      <c r="EI864" s="30"/>
      <c r="EJ864" s="30"/>
      <c r="EK864" s="30" t="str">
        <f t="shared" si="5"/>
        <v/>
      </c>
    </row>
    <row r="865" spans="1:141" ht="16.5">
      <c r="A865" s="11"/>
      <c r="B865" s="11"/>
      <c r="C865" s="11"/>
      <c r="D865" s="11"/>
      <c r="E865" s="11"/>
      <c r="F865" s="11"/>
      <c r="G865" s="11"/>
      <c r="H865" s="11"/>
      <c r="I865" s="11"/>
      <c r="J865" s="11"/>
      <c r="K865" s="27"/>
      <c r="L865" s="11"/>
      <c r="M865" s="11"/>
      <c r="N865" s="11"/>
      <c r="O865" s="11"/>
      <c r="P865" s="15"/>
      <c r="Q865" s="15"/>
      <c r="R865" s="15"/>
      <c r="S865" s="15"/>
      <c r="T865" s="15"/>
      <c r="U865" s="15"/>
      <c r="V865" s="15"/>
      <c r="W865" s="47"/>
      <c r="X865" s="11"/>
      <c r="Y865" s="48"/>
      <c r="Z865" s="11"/>
      <c r="AA865" s="48"/>
      <c r="AB865" s="11"/>
      <c r="AC865" s="48"/>
      <c r="AD865" s="11"/>
      <c r="AE865" s="47"/>
      <c r="AF865" s="11"/>
      <c r="AG865" s="48"/>
      <c r="AH865" s="11"/>
      <c r="AI865" s="48"/>
      <c r="AJ865" s="11"/>
      <c r="AK865" s="48"/>
      <c r="AL865" s="11"/>
      <c r="AM865" s="49"/>
      <c r="AN865" s="49"/>
      <c r="AO865" s="11"/>
      <c r="AP865" s="11"/>
      <c r="AQ865" s="28" t="b">
        <f>IF(COUNTIF(SmartStatus!A$2:A1000, AM865) &gt; 2, TRUE, FALSE)</f>
        <v>0</v>
      </c>
      <c r="AR865" s="29" t="str">
        <f ca="1">IFERROR(__xludf.DUMMYFUNCTION("iferror(if(regexmatch(AO865, ""(?i)^registered""), if(EE865 &lt;&gt; ""polity_shortest_name"", ""CHECK_POLITY"", index(filter(SmartStatus!B$2:B1000, AM865 = SmartStatus!A$2:A1000, not(SmartStatus!C$2:C1000), (isblank(SmartStatus!D$2:D1000)) + ((P865 &lt;&gt; """") * "&amp;"(P865 &lt; SmartStatus!D$2:D1000)), (isblank(SmartStatus!E$2:E1000)) + ((P865 &lt;&gt; """") * (P865 &gt;= SmartStatus!E$2:E1000)), (isblank(SmartStatus!F$2:F1000)) + (((Q865 &lt;&gt; """") * (Q865 &lt; SmartStatus!F$2:F1000)) + ((P865 &lt;&gt; """") * (date(year(P865) + 3, month(P"&amp;"865), day(P865)) &lt; SmartStatus!F$2:F1000))), (isblank(SmartStatus!G$2:G1000)) + (((Q865 &lt;&gt; """") * (Q865 &gt;= SmartStatus!G$2:G1000)) + ((P865 &lt;&gt; """") * (P865 &gt;= SmartStatus!G$2:G1000)))), if(or(regexmatch(B865, ""(?i)^ir [a-z]+ designation$""), N865 &lt;&gt; """&amp;"""), 1, 2))), """"), ""NO_MATCH"")"),"")</f>
        <v/>
      </c>
      <c r="AS865" s="11"/>
      <c r="AT865" s="15"/>
      <c r="AU865" s="11"/>
      <c r="AV865" s="11"/>
      <c r="AW865" s="15"/>
      <c r="AX865" s="15"/>
      <c r="AY865" s="15"/>
      <c r="AZ865" s="11"/>
      <c r="BA865" s="15"/>
      <c r="BB865" s="11"/>
      <c r="BC865" s="11"/>
      <c r="BD865" s="15"/>
      <c r="BE865" s="11"/>
      <c r="BF865" s="11"/>
      <c r="BG865" s="15"/>
      <c r="BH865" s="15"/>
      <c r="BI865" s="15"/>
      <c r="BJ865" s="11"/>
      <c r="BK865" s="15"/>
      <c r="BL865" s="11"/>
      <c r="BM865" s="11"/>
      <c r="BN865" s="15"/>
      <c r="BO865" s="11"/>
      <c r="BP865" s="11"/>
      <c r="BQ865" s="15"/>
      <c r="BR865" s="15"/>
      <c r="BS865" s="15"/>
      <c r="BT865" s="11"/>
      <c r="BU865" s="15"/>
      <c r="BV865" s="11"/>
      <c r="BW865" s="11"/>
      <c r="BX865" s="15"/>
      <c r="BY865" s="11"/>
      <c r="BZ865" s="11"/>
      <c r="CA865" s="15"/>
      <c r="CB865" s="11"/>
      <c r="CC865" s="15"/>
      <c r="CD865" s="11"/>
      <c r="CE865" s="15"/>
      <c r="CF865" s="11"/>
      <c r="CG865" s="11"/>
      <c r="CH865" s="15"/>
      <c r="CI865" s="11"/>
      <c r="CJ865" s="11"/>
      <c r="CK865" s="15"/>
      <c r="CL865" s="11"/>
      <c r="CM865" s="11"/>
      <c r="CN865" s="11"/>
      <c r="CO865" s="11"/>
      <c r="CP865" s="28"/>
      <c r="CQ865" s="28"/>
      <c r="CR865" s="11"/>
      <c r="CS865" s="29"/>
      <c r="CT865" s="11"/>
      <c r="CU865" s="11"/>
      <c r="CV865" s="11"/>
      <c r="CW865" s="11"/>
      <c r="CX865" s="11"/>
      <c r="CY865" s="11"/>
      <c r="CZ865" s="11"/>
      <c r="DA865" s="28"/>
      <c r="DB865" s="28"/>
      <c r="DC865" s="11"/>
      <c r="DD865" s="29"/>
      <c r="DE865" s="11"/>
      <c r="DF865" s="11"/>
      <c r="DG865" s="11"/>
      <c r="DH865" s="11"/>
      <c r="DI865" s="11"/>
      <c r="DJ865" s="11"/>
      <c r="DK865" s="26"/>
      <c r="DL865" s="11"/>
      <c r="DM865" s="29"/>
      <c r="DN865" s="28"/>
      <c r="DO865" s="11"/>
      <c r="DP865" s="11"/>
      <c r="DQ865" s="11"/>
      <c r="DR865" s="29"/>
      <c r="DS865" s="28"/>
      <c r="DT865" s="11"/>
      <c r="DU865" s="26"/>
      <c r="DV865" s="11"/>
      <c r="DW865" s="29"/>
      <c r="DX865" s="28"/>
      <c r="DY865" s="11"/>
      <c r="DZ865" s="26"/>
      <c r="EA865" s="11"/>
      <c r="EB865" s="29"/>
      <c r="EC865" s="28"/>
      <c r="ED865" s="30"/>
      <c r="EE865" s="30" t="str">
        <f ca="1">IFERROR(__xludf.DUMMYFUNCTION("iferror(index(filter('Internal -- Trademark Countries'!E$2:E1000, (AM865 = 'Internal -- Trademark Countries'!B$2:B1000) + (AM865 = 'Internal -- Trademark Countries'!C$2:C1000) + (AM865 = 'Internal -- Trademark Countries'!D$2:D1000)), 1))"),"")</f>
        <v/>
      </c>
      <c r="EF865" s="30" t="e">
        <f ca="1">_xludf.ifs(AM865="", "", COUNTIF('Internal -- Trademark Countries'!B:B,AM865) &gt; 0, "polity_shortest_name", COUNTIF('Internal -- Trademark Countries'!C:C,AM865) &gt; 0, "polity_full_name", COUNTIF('Internal -- Trademark Countries'!D:D,AM865) &gt; 0, "polity_common_name", COUNTIF('Internal -- Trademark Countries'!E:E,AM865) &gt; 0, "shortest_name", COUNTIF('Internal -- Trademark Countries'!A:A,AM865) &gt; 0, "full_name", TRUE, "not a match")</f>
        <v>#NAME?</v>
      </c>
      <c r="EG865" s="30"/>
      <c r="EH865" s="30"/>
      <c r="EI865" s="30"/>
      <c r="EJ865" s="30"/>
      <c r="EK865" s="30" t="str">
        <f t="shared" si="5"/>
        <v/>
      </c>
    </row>
    <row r="866" spans="1:141" ht="16.5">
      <c r="A866" s="11"/>
      <c r="B866" s="11"/>
      <c r="C866" s="11"/>
      <c r="D866" s="11"/>
      <c r="E866" s="11"/>
      <c r="F866" s="11"/>
      <c r="G866" s="11"/>
      <c r="H866" s="11"/>
      <c r="I866" s="11"/>
      <c r="J866" s="11"/>
      <c r="K866" s="27"/>
      <c r="L866" s="11"/>
      <c r="M866" s="11"/>
      <c r="N866" s="11"/>
      <c r="O866" s="11"/>
      <c r="P866" s="15"/>
      <c r="Q866" s="15"/>
      <c r="R866" s="15"/>
      <c r="S866" s="15"/>
      <c r="T866" s="15"/>
      <c r="U866" s="15"/>
      <c r="V866" s="15"/>
      <c r="W866" s="47"/>
      <c r="X866" s="11"/>
      <c r="Y866" s="48"/>
      <c r="Z866" s="11"/>
      <c r="AA866" s="48"/>
      <c r="AB866" s="11"/>
      <c r="AC866" s="48"/>
      <c r="AD866" s="11"/>
      <c r="AE866" s="47"/>
      <c r="AF866" s="11"/>
      <c r="AG866" s="48"/>
      <c r="AH866" s="11"/>
      <c r="AI866" s="48"/>
      <c r="AJ866" s="11"/>
      <c r="AK866" s="48"/>
      <c r="AL866" s="11"/>
      <c r="AM866" s="49"/>
      <c r="AN866" s="49"/>
      <c r="AO866" s="11"/>
      <c r="AP866" s="11"/>
      <c r="AQ866" s="28" t="b">
        <f>IF(COUNTIF(SmartStatus!A$2:A1000, AM866) &gt; 2, TRUE, FALSE)</f>
        <v>0</v>
      </c>
      <c r="AR866" s="29" t="str">
        <f ca="1">IFERROR(__xludf.DUMMYFUNCTION("iferror(if(regexmatch(AO866, ""(?i)^registered""), if(EE866 &lt;&gt; ""polity_shortest_name"", ""CHECK_POLITY"", index(filter(SmartStatus!B$2:B1000, AM866 = SmartStatus!A$2:A1000, not(SmartStatus!C$2:C1000), (isblank(SmartStatus!D$2:D1000)) + ((P866 &lt;&gt; """") * "&amp;"(P866 &lt; SmartStatus!D$2:D1000)), (isblank(SmartStatus!E$2:E1000)) + ((P866 &lt;&gt; """") * (P866 &gt;= SmartStatus!E$2:E1000)), (isblank(SmartStatus!F$2:F1000)) + (((Q866 &lt;&gt; """") * (Q866 &lt; SmartStatus!F$2:F1000)) + ((P866 &lt;&gt; """") * (date(year(P866) + 3, month(P"&amp;"866), day(P866)) &lt; SmartStatus!F$2:F1000))), (isblank(SmartStatus!G$2:G1000)) + (((Q866 &lt;&gt; """") * (Q866 &gt;= SmartStatus!G$2:G1000)) + ((P866 &lt;&gt; """") * (P866 &gt;= SmartStatus!G$2:G1000)))), if(or(regexmatch(B866, ""(?i)^ir [a-z]+ designation$""), N866 &lt;&gt; """&amp;"""), 1, 2))), """"), ""NO_MATCH"")"),"")</f>
        <v/>
      </c>
      <c r="AS866" s="11"/>
      <c r="AT866" s="15"/>
      <c r="AU866" s="11"/>
      <c r="AV866" s="11"/>
      <c r="AW866" s="15"/>
      <c r="AX866" s="15"/>
      <c r="AY866" s="15"/>
      <c r="AZ866" s="11"/>
      <c r="BA866" s="15"/>
      <c r="BB866" s="11"/>
      <c r="BC866" s="11"/>
      <c r="BD866" s="15"/>
      <c r="BE866" s="11"/>
      <c r="BF866" s="11"/>
      <c r="BG866" s="15"/>
      <c r="BH866" s="15"/>
      <c r="BI866" s="15"/>
      <c r="BJ866" s="11"/>
      <c r="BK866" s="15"/>
      <c r="BL866" s="11"/>
      <c r="BM866" s="11"/>
      <c r="BN866" s="15"/>
      <c r="BO866" s="11"/>
      <c r="BP866" s="11"/>
      <c r="BQ866" s="15"/>
      <c r="BR866" s="15"/>
      <c r="BS866" s="15"/>
      <c r="BT866" s="11"/>
      <c r="BU866" s="15"/>
      <c r="BV866" s="11"/>
      <c r="BW866" s="11"/>
      <c r="BX866" s="15"/>
      <c r="BY866" s="11"/>
      <c r="BZ866" s="11"/>
      <c r="CA866" s="15"/>
      <c r="CB866" s="11"/>
      <c r="CC866" s="15"/>
      <c r="CD866" s="11"/>
      <c r="CE866" s="15"/>
      <c r="CF866" s="11"/>
      <c r="CG866" s="11"/>
      <c r="CH866" s="15"/>
      <c r="CI866" s="11"/>
      <c r="CJ866" s="11"/>
      <c r="CK866" s="15"/>
      <c r="CL866" s="11"/>
      <c r="CM866" s="11"/>
      <c r="CN866" s="11"/>
      <c r="CO866" s="11"/>
      <c r="CP866" s="28"/>
      <c r="CQ866" s="28"/>
      <c r="CR866" s="11"/>
      <c r="CS866" s="29"/>
      <c r="CT866" s="11"/>
      <c r="CU866" s="11"/>
      <c r="CV866" s="11"/>
      <c r="CW866" s="11"/>
      <c r="CX866" s="11"/>
      <c r="CY866" s="11"/>
      <c r="CZ866" s="11"/>
      <c r="DA866" s="28"/>
      <c r="DB866" s="28"/>
      <c r="DC866" s="11"/>
      <c r="DD866" s="29"/>
      <c r="DE866" s="11"/>
      <c r="DF866" s="11"/>
      <c r="DG866" s="11"/>
      <c r="DH866" s="11"/>
      <c r="DI866" s="11"/>
      <c r="DJ866" s="11"/>
      <c r="DK866" s="26"/>
      <c r="DL866" s="11"/>
      <c r="DM866" s="29"/>
      <c r="DN866" s="28"/>
      <c r="DO866" s="11"/>
      <c r="DP866" s="11"/>
      <c r="DQ866" s="11"/>
      <c r="DR866" s="29"/>
      <c r="DS866" s="28"/>
      <c r="DT866" s="11"/>
      <c r="DU866" s="26"/>
      <c r="DV866" s="11"/>
      <c r="DW866" s="29"/>
      <c r="DX866" s="28"/>
      <c r="DY866" s="11"/>
      <c r="DZ866" s="26"/>
      <c r="EA866" s="11"/>
      <c r="EB866" s="29"/>
      <c r="EC866" s="28"/>
      <c r="ED866" s="30"/>
      <c r="EE866" s="30" t="str">
        <f ca="1">IFERROR(__xludf.DUMMYFUNCTION("iferror(index(filter('Internal -- Trademark Countries'!E$2:E1000, (AM866 = 'Internal -- Trademark Countries'!B$2:B1000) + (AM866 = 'Internal -- Trademark Countries'!C$2:C1000) + (AM866 = 'Internal -- Trademark Countries'!D$2:D1000)), 1))"),"")</f>
        <v/>
      </c>
      <c r="EF866" s="30" t="e">
        <f ca="1">_xludf.ifs(AM866="", "", COUNTIF('Internal -- Trademark Countries'!B:B,AM866) &gt; 0, "polity_shortest_name", COUNTIF('Internal -- Trademark Countries'!C:C,AM866) &gt; 0, "polity_full_name", COUNTIF('Internal -- Trademark Countries'!D:D,AM866) &gt; 0, "polity_common_name", COUNTIF('Internal -- Trademark Countries'!E:E,AM866) &gt; 0, "shortest_name", COUNTIF('Internal -- Trademark Countries'!A:A,AM866) &gt; 0, "full_name", TRUE, "not a match")</f>
        <v>#NAME?</v>
      </c>
      <c r="EG866" s="30"/>
      <c r="EH866" s="30"/>
      <c r="EI866" s="30"/>
      <c r="EJ866" s="30"/>
      <c r="EK866" s="30" t="str">
        <f t="shared" si="5"/>
        <v/>
      </c>
    </row>
    <row r="867" spans="1:141" ht="16.5">
      <c r="A867" s="11"/>
      <c r="B867" s="11"/>
      <c r="C867" s="11"/>
      <c r="D867" s="11"/>
      <c r="E867" s="11"/>
      <c r="F867" s="11"/>
      <c r="G867" s="11"/>
      <c r="H867" s="11"/>
      <c r="I867" s="11"/>
      <c r="J867" s="11"/>
      <c r="K867" s="27"/>
      <c r="L867" s="11"/>
      <c r="M867" s="11"/>
      <c r="N867" s="11"/>
      <c r="O867" s="11"/>
      <c r="P867" s="15"/>
      <c r="Q867" s="15"/>
      <c r="R867" s="15"/>
      <c r="S867" s="15"/>
      <c r="T867" s="15"/>
      <c r="U867" s="15"/>
      <c r="V867" s="15"/>
      <c r="W867" s="47"/>
      <c r="X867" s="11"/>
      <c r="Y867" s="48"/>
      <c r="Z867" s="11"/>
      <c r="AA867" s="48"/>
      <c r="AB867" s="11"/>
      <c r="AC867" s="48"/>
      <c r="AD867" s="11"/>
      <c r="AE867" s="47"/>
      <c r="AF867" s="11"/>
      <c r="AG867" s="48"/>
      <c r="AH867" s="11"/>
      <c r="AI867" s="48"/>
      <c r="AJ867" s="11"/>
      <c r="AK867" s="48"/>
      <c r="AL867" s="11"/>
      <c r="AM867" s="49"/>
      <c r="AN867" s="49"/>
      <c r="AO867" s="11"/>
      <c r="AP867" s="11"/>
      <c r="AQ867" s="28" t="b">
        <f>IF(COUNTIF(SmartStatus!A$2:A1000, AM867) &gt; 2, TRUE, FALSE)</f>
        <v>0</v>
      </c>
      <c r="AR867" s="29" t="str">
        <f ca="1">IFERROR(__xludf.DUMMYFUNCTION("iferror(if(regexmatch(AO867, ""(?i)^registered""), if(EE867 &lt;&gt; ""polity_shortest_name"", ""CHECK_POLITY"", index(filter(SmartStatus!B$2:B1000, AM867 = SmartStatus!A$2:A1000, not(SmartStatus!C$2:C1000), (isblank(SmartStatus!D$2:D1000)) + ((P867 &lt;&gt; """") * "&amp;"(P867 &lt; SmartStatus!D$2:D1000)), (isblank(SmartStatus!E$2:E1000)) + ((P867 &lt;&gt; """") * (P867 &gt;= SmartStatus!E$2:E1000)), (isblank(SmartStatus!F$2:F1000)) + (((Q867 &lt;&gt; """") * (Q867 &lt; SmartStatus!F$2:F1000)) + ((P867 &lt;&gt; """") * (date(year(P867) + 3, month(P"&amp;"867), day(P867)) &lt; SmartStatus!F$2:F1000))), (isblank(SmartStatus!G$2:G1000)) + (((Q867 &lt;&gt; """") * (Q867 &gt;= SmartStatus!G$2:G1000)) + ((P867 &lt;&gt; """") * (P867 &gt;= SmartStatus!G$2:G1000)))), if(or(regexmatch(B867, ""(?i)^ir [a-z]+ designation$""), N867 &lt;&gt; """&amp;"""), 1, 2))), """"), ""NO_MATCH"")"),"")</f>
        <v/>
      </c>
      <c r="AS867" s="11"/>
      <c r="AT867" s="15"/>
      <c r="AU867" s="11"/>
      <c r="AV867" s="11"/>
      <c r="AW867" s="15"/>
      <c r="AX867" s="15"/>
      <c r="AY867" s="15"/>
      <c r="AZ867" s="11"/>
      <c r="BA867" s="15"/>
      <c r="BB867" s="11"/>
      <c r="BC867" s="11"/>
      <c r="BD867" s="15"/>
      <c r="BE867" s="11"/>
      <c r="BF867" s="11"/>
      <c r="BG867" s="15"/>
      <c r="BH867" s="15"/>
      <c r="BI867" s="15"/>
      <c r="BJ867" s="11"/>
      <c r="BK867" s="15"/>
      <c r="BL867" s="11"/>
      <c r="BM867" s="11"/>
      <c r="BN867" s="15"/>
      <c r="BO867" s="11"/>
      <c r="BP867" s="11"/>
      <c r="BQ867" s="15"/>
      <c r="BR867" s="15"/>
      <c r="BS867" s="15"/>
      <c r="BT867" s="11"/>
      <c r="BU867" s="15"/>
      <c r="BV867" s="11"/>
      <c r="BW867" s="11"/>
      <c r="BX867" s="15"/>
      <c r="BY867" s="11"/>
      <c r="BZ867" s="11"/>
      <c r="CA867" s="15"/>
      <c r="CB867" s="11"/>
      <c r="CC867" s="15"/>
      <c r="CD867" s="11"/>
      <c r="CE867" s="15"/>
      <c r="CF867" s="11"/>
      <c r="CG867" s="11"/>
      <c r="CH867" s="15"/>
      <c r="CI867" s="11"/>
      <c r="CJ867" s="11"/>
      <c r="CK867" s="15"/>
      <c r="CL867" s="11"/>
      <c r="CM867" s="11"/>
      <c r="CN867" s="11"/>
      <c r="CO867" s="11"/>
      <c r="CP867" s="28"/>
      <c r="CQ867" s="28"/>
      <c r="CR867" s="11"/>
      <c r="CS867" s="29"/>
      <c r="CT867" s="11"/>
      <c r="CU867" s="11"/>
      <c r="CV867" s="11"/>
      <c r="CW867" s="11"/>
      <c r="CX867" s="11"/>
      <c r="CY867" s="11"/>
      <c r="CZ867" s="11"/>
      <c r="DA867" s="28"/>
      <c r="DB867" s="28"/>
      <c r="DC867" s="11"/>
      <c r="DD867" s="29"/>
      <c r="DE867" s="11"/>
      <c r="DF867" s="11"/>
      <c r="DG867" s="11"/>
      <c r="DH867" s="11"/>
      <c r="DI867" s="11"/>
      <c r="DJ867" s="11"/>
      <c r="DK867" s="26"/>
      <c r="DL867" s="11"/>
      <c r="DM867" s="29"/>
      <c r="DN867" s="28"/>
      <c r="DO867" s="11"/>
      <c r="DP867" s="11"/>
      <c r="DQ867" s="11"/>
      <c r="DR867" s="29"/>
      <c r="DS867" s="28"/>
      <c r="DT867" s="11"/>
      <c r="DU867" s="26"/>
      <c r="DV867" s="11"/>
      <c r="DW867" s="29"/>
      <c r="DX867" s="28"/>
      <c r="DY867" s="11"/>
      <c r="DZ867" s="26"/>
      <c r="EA867" s="11"/>
      <c r="EB867" s="29"/>
      <c r="EC867" s="28"/>
      <c r="ED867" s="30"/>
      <c r="EE867" s="30" t="str">
        <f ca="1">IFERROR(__xludf.DUMMYFUNCTION("iferror(index(filter('Internal -- Trademark Countries'!E$2:E1000, (AM867 = 'Internal -- Trademark Countries'!B$2:B1000) + (AM867 = 'Internal -- Trademark Countries'!C$2:C1000) + (AM867 = 'Internal -- Trademark Countries'!D$2:D1000)), 1))"),"")</f>
        <v/>
      </c>
      <c r="EF867" s="30" t="e">
        <f ca="1">_xludf.ifs(AM867="", "", COUNTIF('Internal -- Trademark Countries'!B:B,AM867) &gt; 0, "polity_shortest_name", COUNTIF('Internal -- Trademark Countries'!C:C,AM867) &gt; 0, "polity_full_name", COUNTIF('Internal -- Trademark Countries'!D:D,AM867) &gt; 0, "polity_common_name", COUNTIF('Internal -- Trademark Countries'!E:E,AM867) &gt; 0, "shortest_name", COUNTIF('Internal -- Trademark Countries'!A:A,AM867) &gt; 0, "full_name", TRUE, "not a match")</f>
        <v>#NAME?</v>
      </c>
      <c r="EG867" s="30"/>
      <c r="EH867" s="30"/>
      <c r="EI867" s="30"/>
      <c r="EJ867" s="30"/>
      <c r="EK867" s="30" t="str">
        <f t="shared" si="5"/>
        <v/>
      </c>
    </row>
    <row r="868" spans="1:141" ht="16.5">
      <c r="A868" s="11"/>
      <c r="B868" s="11"/>
      <c r="C868" s="11"/>
      <c r="D868" s="11"/>
      <c r="E868" s="11"/>
      <c r="F868" s="11"/>
      <c r="G868" s="11"/>
      <c r="H868" s="11"/>
      <c r="I868" s="11"/>
      <c r="J868" s="11"/>
      <c r="K868" s="27"/>
      <c r="L868" s="11"/>
      <c r="M868" s="11"/>
      <c r="N868" s="11"/>
      <c r="O868" s="11"/>
      <c r="P868" s="15"/>
      <c r="Q868" s="15"/>
      <c r="R868" s="15"/>
      <c r="S868" s="15"/>
      <c r="T868" s="15"/>
      <c r="U868" s="15"/>
      <c r="V868" s="15"/>
      <c r="W868" s="47"/>
      <c r="X868" s="11"/>
      <c r="Y868" s="48"/>
      <c r="Z868" s="11"/>
      <c r="AA868" s="48"/>
      <c r="AB868" s="11"/>
      <c r="AC868" s="48"/>
      <c r="AD868" s="11"/>
      <c r="AE868" s="47"/>
      <c r="AF868" s="11"/>
      <c r="AG868" s="48"/>
      <c r="AH868" s="11"/>
      <c r="AI868" s="48"/>
      <c r="AJ868" s="11"/>
      <c r="AK868" s="48"/>
      <c r="AL868" s="11"/>
      <c r="AM868" s="49"/>
      <c r="AN868" s="49"/>
      <c r="AO868" s="11"/>
      <c r="AP868" s="11"/>
      <c r="AQ868" s="28" t="b">
        <f>IF(COUNTIF(SmartStatus!A$2:A1000, AM868) &gt; 2, TRUE, FALSE)</f>
        <v>0</v>
      </c>
      <c r="AR868" s="29" t="str">
        <f ca="1">IFERROR(__xludf.DUMMYFUNCTION("iferror(if(regexmatch(AO868, ""(?i)^registered""), if(EE868 &lt;&gt; ""polity_shortest_name"", ""CHECK_POLITY"", index(filter(SmartStatus!B$2:B1000, AM868 = SmartStatus!A$2:A1000, not(SmartStatus!C$2:C1000), (isblank(SmartStatus!D$2:D1000)) + ((P868 &lt;&gt; """") * "&amp;"(P868 &lt; SmartStatus!D$2:D1000)), (isblank(SmartStatus!E$2:E1000)) + ((P868 &lt;&gt; """") * (P868 &gt;= SmartStatus!E$2:E1000)), (isblank(SmartStatus!F$2:F1000)) + (((Q868 &lt;&gt; """") * (Q868 &lt; SmartStatus!F$2:F1000)) + ((P868 &lt;&gt; """") * (date(year(P868) + 3, month(P"&amp;"868), day(P868)) &lt; SmartStatus!F$2:F1000))), (isblank(SmartStatus!G$2:G1000)) + (((Q868 &lt;&gt; """") * (Q868 &gt;= SmartStatus!G$2:G1000)) + ((P868 &lt;&gt; """") * (P868 &gt;= SmartStatus!G$2:G1000)))), if(or(regexmatch(B868, ""(?i)^ir [a-z]+ designation$""), N868 &lt;&gt; """&amp;"""), 1, 2))), """"), ""NO_MATCH"")"),"")</f>
        <v/>
      </c>
      <c r="AS868" s="11"/>
      <c r="AT868" s="15"/>
      <c r="AU868" s="11"/>
      <c r="AV868" s="11"/>
      <c r="AW868" s="15"/>
      <c r="AX868" s="15"/>
      <c r="AY868" s="15"/>
      <c r="AZ868" s="11"/>
      <c r="BA868" s="15"/>
      <c r="BB868" s="11"/>
      <c r="BC868" s="11"/>
      <c r="BD868" s="15"/>
      <c r="BE868" s="11"/>
      <c r="BF868" s="11"/>
      <c r="BG868" s="15"/>
      <c r="BH868" s="15"/>
      <c r="BI868" s="15"/>
      <c r="BJ868" s="11"/>
      <c r="BK868" s="15"/>
      <c r="BL868" s="11"/>
      <c r="BM868" s="11"/>
      <c r="BN868" s="15"/>
      <c r="BO868" s="11"/>
      <c r="BP868" s="11"/>
      <c r="BQ868" s="15"/>
      <c r="BR868" s="15"/>
      <c r="BS868" s="15"/>
      <c r="BT868" s="11"/>
      <c r="BU868" s="15"/>
      <c r="BV868" s="11"/>
      <c r="BW868" s="11"/>
      <c r="BX868" s="15"/>
      <c r="BY868" s="11"/>
      <c r="BZ868" s="11"/>
      <c r="CA868" s="15"/>
      <c r="CB868" s="11"/>
      <c r="CC868" s="15"/>
      <c r="CD868" s="11"/>
      <c r="CE868" s="15"/>
      <c r="CF868" s="11"/>
      <c r="CG868" s="11"/>
      <c r="CH868" s="15"/>
      <c r="CI868" s="11"/>
      <c r="CJ868" s="11"/>
      <c r="CK868" s="15"/>
      <c r="CL868" s="11"/>
      <c r="CM868" s="11"/>
      <c r="CN868" s="11"/>
      <c r="CO868" s="11"/>
      <c r="CP868" s="28"/>
      <c r="CQ868" s="28"/>
      <c r="CR868" s="11"/>
      <c r="CS868" s="29"/>
      <c r="CT868" s="11"/>
      <c r="CU868" s="11"/>
      <c r="CV868" s="11"/>
      <c r="CW868" s="11"/>
      <c r="CX868" s="11"/>
      <c r="CY868" s="11"/>
      <c r="CZ868" s="11"/>
      <c r="DA868" s="28"/>
      <c r="DB868" s="28"/>
      <c r="DC868" s="11"/>
      <c r="DD868" s="29"/>
      <c r="DE868" s="11"/>
      <c r="DF868" s="11"/>
      <c r="DG868" s="11"/>
      <c r="DH868" s="11"/>
      <c r="DI868" s="11"/>
      <c r="DJ868" s="11"/>
      <c r="DK868" s="26"/>
      <c r="DL868" s="11"/>
      <c r="DM868" s="29"/>
      <c r="DN868" s="28"/>
      <c r="DO868" s="11"/>
      <c r="DP868" s="11"/>
      <c r="DQ868" s="11"/>
      <c r="DR868" s="29"/>
      <c r="DS868" s="28"/>
      <c r="DT868" s="11"/>
      <c r="DU868" s="26"/>
      <c r="DV868" s="11"/>
      <c r="DW868" s="29"/>
      <c r="DX868" s="28"/>
      <c r="DY868" s="11"/>
      <c r="DZ868" s="26"/>
      <c r="EA868" s="11"/>
      <c r="EB868" s="29"/>
      <c r="EC868" s="28"/>
      <c r="ED868" s="30"/>
      <c r="EE868" s="30" t="str">
        <f ca="1">IFERROR(__xludf.DUMMYFUNCTION("iferror(index(filter('Internal -- Trademark Countries'!E$2:E1000, (AM868 = 'Internal -- Trademark Countries'!B$2:B1000) + (AM868 = 'Internal -- Trademark Countries'!C$2:C1000) + (AM868 = 'Internal -- Trademark Countries'!D$2:D1000)), 1))"),"")</f>
        <v/>
      </c>
      <c r="EF868" s="30" t="e">
        <f ca="1">_xludf.ifs(AM868="", "", COUNTIF('Internal -- Trademark Countries'!B:B,AM868) &gt; 0, "polity_shortest_name", COUNTIF('Internal -- Trademark Countries'!C:C,AM868) &gt; 0, "polity_full_name", COUNTIF('Internal -- Trademark Countries'!D:D,AM868) &gt; 0, "polity_common_name", COUNTIF('Internal -- Trademark Countries'!E:E,AM868) &gt; 0, "shortest_name", COUNTIF('Internal -- Trademark Countries'!A:A,AM868) &gt; 0, "full_name", TRUE, "not a match")</f>
        <v>#NAME?</v>
      </c>
      <c r="EG868" s="30"/>
      <c r="EH868" s="30"/>
      <c r="EI868" s="30"/>
      <c r="EJ868" s="30"/>
      <c r="EK868" s="30" t="str">
        <f t="shared" si="5"/>
        <v/>
      </c>
    </row>
    <row r="869" spans="1:141" ht="16.5">
      <c r="A869" s="11"/>
      <c r="B869" s="11"/>
      <c r="C869" s="11"/>
      <c r="D869" s="11"/>
      <c r="E869" s="11"/>
      <c r="F869" s="11"/>
      <c r="G869" s="11"/>
      <c r="H869" s="11"/>
      <c r="I869" s="11"/>
      <c r="J869" s="11"/>
      <c r="K869" s="27"/>
      <c r="L869" s="11"/>
      <c r="M869" s="11"/>
      <c r="N869" s="11"/>
      <c r="O869" s="11"/>
      <c r="P869" s="15"/>
      <c r="Q869" s="15"/>
      <c r="R869" s="15"/>
      <c r="S869" s="15"/>
      <c r="T869" s="15"/>
      <c r="U869" s="15"/>
      <c r="V869" s="15"/>
      <c r="W869" s="47"/>
      <c r="X869" s="11"/>
      <c r="Y869" s="48"/>
      <c r="Z869" s="11"/>
      <c r="AA869" s="48"/>
      <c r="AB869" s="11"/>
      <c r="AC869" s="48"/>
      <c r="AD869" s="11"/>
      <c r="AE869" s="47"/>
      <c r="AF869" s="11"/>
      <c r="AG869" s="48"/>
      <c r="AH869" s="11"/>
      <c r="AI869" s="48"/>
      <c r="AJ869" s="11"/>
      <c r="AK869" s="48"/>
      <c r="AL869" s="11"/>
      <c r="AM869" s="49"/>
      <c r="AN869" s="49"/>
      <c r="AO869" s="11"/>
      <c r="AP869" s="11"/>
      <c r="AQ869" s="28" t="b">
        <f>IF(COUNTIF(SmartStatus!A$2:A1000, AM869) &gt; 2, TRUE, FALSE)</f>
        <v>0</v>
      </c>
      <c r="AR869" s="29" t="str">
        <f ca="1">IFERROR(__xludf.DUMMYFUNCTION("iferror(if(regexmatch(AO869, ""(?i)^registered""), if(EE869 &lt;&gt; ""polity_shortest_name"", ""CHECK_POLITY"", index(filter(SmartStatus!B$2:B1000, AM869 = SmartStatus!A$2:A1000, not(SmartStatus!C$2:C1000), (isblank(SmartStatus!D$2:D1000)) + ((P869 &lt;&gt; """") * "&amp;"(P869 &lt; SmartStatus!D$2:D1000)), (isblank(SmartStatus!E$2:E1000)) + ((P869 &lt;&gt; """") * (P869 &gt;= SmartStatus!E$2:E1000)), (isblank(SmartStatus!F$2:F1000)) + (((Q869 &lt;&gt; """") * (Q869 &lt; SmartStatus!F$2:F1000)) + ((P869 &lt;&gt; """") * (date(year(P869) + 3, month(P"&amp;"869), day(P869)) &lt; SmartStatus!F$2:F1000))), (isblank(SmartStatus!G$2:G1000)) + (((Q869 &lt;&gt; """") * (Q869 &gt;= SmartStatus!G$2:G1000)) + ((P869 &lt;&gt; """") * (P869 &gt;= SmartStatus!G$2:G1000)))), if(or(regexmatch(B869, ""(?i)^ir [a-z]+ designation$""), N869 &lt;&gt; """&amp;"""), 1, 2))), """"), ""NO_MATCH"")"),"")</f>
        <v/>
      </c>
      <c r="AS869" s="11"/>
      <c r="AT869" s="15"/>
      <c r="AU869" s="11"/>
      <c r="AV869" s="11"/>
      <c r="AW869" s="15"/>
      <c r="AX869" s="15"/>
      <c r="AY869" s="15"/>
      <c r="AZ869" s="11"/>
      <c r="BA869" s="15"/>
      <c r="BB869" s="11"/>
      <c r="BC869" s="11"/>
      <c r="BD869" s="15"/>
      <c r="BE869" s="11"/>
      <c r="BF869" s="11"/>
      <c r="BG869" s="15"/>
      <c r="BH869" s="15"/>
      <c r="BI869" s="15"/>
      <c r="BJ869" s="11"/>
      <c r="BK869" s="15"/>
      <c r="BL869" s="11"/>
      <c r="BM869" s="11"/>
      <c r="BN869" s="15"/>
      <c r="BO869" s="11"/>
      <c r="BP869" s="11"/>
      <c r="BQ869" s="15"/>
      <c r="BR869" s="15"/>
      <c r="BS869" s="15"/>
      <c r="BT869" s="11"/>
      <c r="BU869" s="15"/>
      <c r="BV869" s="11"/>
      <c r="BW869" s="11"/>
      <c r="BX869" s="15"/>
      <c r="BY869" s="11"/>
      <c r="BZ869" s="11"/>
      <c r="CA869" s="15"/>
      <c r="CB869" s="11"/>
      <c r="CC869" s="15"/>
      <c r="CD869" s="11"/>
      <c r="CE869" s="15"/>
      <c r="CF869" s="11"/>
      <c r="CG869" s="11"/>
      <c r="CH869" s="15"/>
      <c r="CI869" s="11"/>
      <c r="CJ869" s="11"/>
      <c r="CK869" s="15"/>
      <c r="CL869" s="11"/>
      <c r="CM869" s="11"/>
      <c r="CN869" s="11"/>
      <c r="CO869" s="11"/>
      <c r="CP869" s="28"/>
      <c r="CQ869" s="28"/>
      <c r="CR869" s="11"/>
      <c r="CS869" s="29"/>
      <c r="CT869" s="11"/>
      <c r="CU869" s="11"/>
      <c r="CV869" s="11"/>
      <c r="CW869" s="11"/>
      <c r="CX869" s="11"/>
      <c r="CY869" s="11"/>
      <c r="CZ869" s="11"/>
      <c r="DA869" s="28"/>
      <c r="DB869" s="28"/>
      <c r="DC869" s="11"/>
      <c r="DD869" s="29"/>
      <c r="DE869" s="11"/>
      <c r="DF869" s="11"/>
      <c r="DG869" s="11"/>
      <c r="DH869" s="11"/>
      <c r="DI869" s="11"/>
      <c r="DJ869" s="11"/>
      <c r="DK869" s="26"/>
      <c r="DL869" s="11"/>
      <c r="DM869" s="29"/>
      <c r="DN869" s="28"/>
      <c r="DO869" s="11"/>
      <c r="DP869" s="11"/>
      <c r="DQ869" s="11"/>
      <c r="DR869" s="29"/>
      <c r="DS869" s="28"/>
      <c r="DT869" s="11"/>
      <c r="DU869" s="26"/>
      <c r="DV869" s="11"/>
      <c r="DW869" s="29"/>
      <c r="DX869" s="28"/>
      <c r="DY869" s="11"/>
      <c r="DZ869" s="26"/>
      <c r="EA869" s="11"/>
      <c r="EB869" s="29"/>
      <c r="EC869" s="28"/>
      <c r="ED869" s="30"/>
      <c r="EE869" s="30" t="str">
        <f ca="1">IFERROR(__xludf.DUMMYFUNCTION("iferror(index(filter('Internal -- Trademark Countries'!E$2:E1000, (AM869 = 'Internal -- Trademark Countries'!B$2:B1000) + (AM869 = 'Internal -- Trademark Countries'!C$2:C1000) + (AM869 = 'Internal -- Trademark Countries'!D$2:D1000)), 1))"),"")</f>
        <v/>
      </c>
      <c r="EF869" s="30" t="e">
        <f ca="1">_xludf.ifs(AM869="", "", COUNTIF('Internal -- Trademark Countries'!B:B,AM869) &gt; 0, "polity_shortest_name", COUNTIF('Internal -- Trademark Countries'!C:C,AM869) &gt; 0, "polity_full_name", COUNTIF('Internal -- Trademark Countries'!D:D,AM869) &gt; 0, "polity_common_name", COUNTIF('Internal -- Trademark Countries'!E:E,AM869) &gt; 0, "shortest_name", COUNTIF('Internal -- Trademark Countries'!A:A,AM869) &gt; 0, "full_name", TRUE, "not a match")</f>
        <v>#NAME?</v>
      </c>
      <c r="EG869" s="30"/>
      <c r="EH869" s="30"/>
      <c r="EI869" s="30"/>
      <c r="EJ869" s="30"/>
      <c r="EK869" s="30" t="str">
        <f t="shared" si="5"/>
        <v/>
      </c>
    </row>
    <row r="870" spans="1:141" ht="16.5">
      <c r="A870" s="11"/>
      <c r="B870" s="11"/>
      <c r="C870" s="11"/>
      <c r="D870" s="11"/>
      <c r="E870" s="11"/>
      <c r="F870" s="11"/>
      <c r="G870" s="11"/>
      <c r="H870" s="11"/>
      <c r="I870" s="11"/>
      <c r="J870" s="11"/>
      <c r="K870" s="27"/>
      <c r="L870" s="11"/>
      <c r="M870" s="11"/>
      <c r="N870" s="11"/>
      <c r="O870" s="11"/>
      <c r="P870" s="15"/>
      <c r="Q870" s="15"/>
      <c r="R870" s="15"/>
      <c r="S870" s="15"/>
      <c r="T870" s="15"/>
      <c r="U870" s="15"/>
      <c r="V870" s="15"/>
      <c r="W870" s="47"/>
      <c r="X870" s="11"/>
      <c r="Y870" s="48"/>
      <c r="Z870" s="11"/>
      <c r="AA870" s="48"/>
      <c r="AB870" s="11"/>
      <c r="AC870" s="48"/>
      <c r="AD870" s="11"/>
      <c r="AE870" s="47"/>
      <c r="AF870" s="11"/>
      <c r="AG870" s="48"/>
      <c r="AH870" s="11"/>
      <c r="AI870" s="48"/>
      <c r="AJ870" s="11"/>
      <c r="AK870" s="48"/>
      <c r="AL870" s="11"/>
      <c r="AM870" s="49"/>
      <c r="AN870" s="49"/>
      <c r="AO870" s="11"/>
      <c r="AP870" s="11"/>
      <c r="AQ870" s="28" t="b">
        <f>IF(COUNTIF(SmartStatus!A$2:A1000, AM870) &gt; 2, TRUE, FALSE)</f>
        <v>0</v>
      </c>
      <c r="AR870" s="29" t="str">
        <f ca="1">IFERROR(__xludf.DUMMYFUNCTION("iferror(if(regexmatch(AO870, ""(?i)^registered""), if(EE870 &lt;&gt; ""polity_shortest_name"", ""CHECK_POLITY"", index(filter(SmartStatus!B$2:B1000, AM870 = SmartStatus!A$2:A1000, not(SmartStatus!C$2:C1000), (isblank(SmartStatus!D$2:D1000)) + ((P870 &lt;&gt; """") * "&amp;"(P870 &lt; SmartStatus!D$2:D1000)), (isblank(SmartStatus!E$2:E1000)) + ((P870 &lt;&gt; """") * (P870 &gt;= SmartStatus!E$2:E1000)), (isblank(SmartStatus!F$2:F1000)) + (((Q870 &lt;&gt; """") * (Q870 &lt; SmartStatus!F$2:F1000)) + ((P870 &lt;&gt; """") * (date(year(P870) + 3, month(P"&amp;"870), day(P870)) &lt; SmartStatus!F$2:F1000))), (isblank(SmartStatus!G$2:G1000)) + (((Q870 &lt;&gt; """") * (Q870 &gt;= SmartStatus!G$2:G1000)) + ((P870 &lt;&gt; """") * (P870 &gt;= SmartStatus!G$2:G1000)))), if(or(regexmatch(B870, ""(?i)^ir [a-z]+ designation$""), N870 &lt;&gt; """&amp;"""), 1, 2))), """"), ""NO_MATCH"")"),"")</f>
        <v/>
      </c>
      <c r="AS870" s="11"/>
      <c r="AT870" s="15"/>
      <c r="AU870" s="11"/>
      <c r="AV870" s="11"/>
      <c r="AW870" s="15"/>
      <c r="AX870" s="15"/>
      <c r="AY870" s="15"/>
      <c r="AZ870" s="11"/>
      <c r="BA870" s="15"/>
      <c r="BB870" s="11"/>
      <c r="BC870" s="11"/>
      <c r="BD870" s="15"/>
      <c r="BE870" s="11"/>
      <c r="BF870" s="11"/>
      <c r="BG870" s="15"/>
      <c r="BH870" s="15"/>
      <c r="BI870" s="15"/>
      <c r="BJ870" s="11"/>
      <c r="BK870" s="15"/>
      <c r="BL870" s="11"/>
      <c r="BM870" s="11"/>
      <c r="BN870" s="15"/>
      <c r="BO870" s="11"/>
      <c r="BP870" s="11"/>
      <c r="BQ870" s="15"/>
      <c r="BR870" s="15"/>
      <c r="BS870" s="15"/>
      <c r="BT870" s="11"/>
      <c r="BU870" s="15"/>
      <c r="BV870" s="11"/>
      <c r="BW870" s="11"/>
      <c r="BX870" s="15"/>
      <c r="BY870" s="11"/>
      <c r="BZ870" s="11"/>
      <c r="CA870" s="15"/>
      <c r="CB870" s="11"/>
      <c r="CC870" s="15"/>
      <c r="CD870" s="11"/>
      <c r="CE870" s="15"/>
      <c r="CF870" s="11"/>
      <c r="CG870" s="11"/>
      <c r="CH870" s="15"/>
      <c r="CI870" s="11"/>
      <c r="CJ870" s="11"/>
      <c r="CK870" s="15"/>
      <c r="CL870" s="11"/>
      <c r="CM870" s="11"/>
      <c r="CN870" s="11"/>
      <c r="CO870" s="11"/>
      <c r="CP870" s="28"/>
      <c r="CQ870" s="28"/>
      <c r="CR870" s="11"/>
      <c r="CS870" s="29"/>
      <c r="CT870" s="11"/>
      <c r="CU870" s="11"/>
      <c r="CV870" s="11"/>
      <c r="CW870" s="11"/>
      <c r="CX870" s="11"/>
      <c r="CY870" s="11"/>
      <c r="CZ870" s="11"/>
      <c r="DA870" s="28"/>
      <c r="DB870" s="28"/>
      <c r="DC870" s="11"/>
      <c r="DD870" s="29"/>
      <c r="DE870" s="11"/>
      <c r="DF870" s="11"/>
      <c r="DG870" s="11"/>
      <c r="DH870" s="11"/>
      <c r="DI870" s="11"/>
      <c r="DJ870" s="11"/>
      <c r="DK870" s="26"/>
      <c r="DL870" s="11"/>
      <c r="DM870" s="29"/>
      <c r="DN870" s="28"/>
      <c r="DO870" s="11"/>
      <c r="DP870" s="11"/>
      <c r="DQ870" s="11"/>
      <c r="DR870" s="29"/>
      <c r="DS870" s="28"/>
      <c r="DT870" s="11"/>
      <c r="DU870" s="26"/>
      <c r="DV870" s="11"/>
      <c r="DW870" s="29"/>
      <c r="DX870" s="28"/>
      <c r="DY870" s="11"/>
      <c r="DZ870" s="26"/>
      <c r="EA870" s="11"/>
      <c r="EB870" s="29"/>
      <c r="EC870" s="28"/>
      <c r="ED870" s="30"/>
      <c r="EE870" s="30" t="str">
        <f ca="1">IFERROR(__xludf.DUMMYFUNCTION("iferror(index(filter('Internal -- Trademark Countries'!E$2:E1000, (AM870 = 'Internal -- Trademark Countries'!B$2:B1000) + (AM870 = 'Internal -- Trademark Countries'!C$2:C1000) + (AM870 = 'Internal -- Trademark Countries'!D$2:D1000)), 1))"),"")</f>
        <v/>
      </c>
      <c r="EF870" s="30" t="e">
        <f ca="1">_xludf.ifs(AM870="", "", COUNTIF('Internal -- Trademark Countries'!B:B,AM870) &gt; 0, "polity_shortest_name", COUNTIF('Internal -- Trademark Countries'!C:C,AM870) &gt; 0, "polity_full_name", COUNTIF('Internal -- Trademark Countries'!D:D,AM870) &gt; 0, "polity_common_name", COUNTIF('Internal -- Trademark Countries'!E:E,AM870) &gt; 0, "shortest_name", COUNTIF('Internal -- Trademark Countries'!A:A,AM870) &gt; 0, "full_name", TRUE, "not a match")</f>
        <v>#NAME?</v>
      </c>
      <c r="EG870" s="30"/>
      <c r="EH870" s="30"/>
      <c r="EI870" s="30"/>
      <c r="EJ870" s="30"/>
      <c r="EK870" s="30" t="str">
        <f t="shared" si="5"/>
        <v/>
      </c>
    </row>
    <row r="871" spans="1:141" ht="16.5">
      <c r="A871" s="11"/>
      <c r="B871" s="11"/>
      <c r="C871" s="11"/>
      <c r="D871" s="11"/>
      <c r="E871" s="11"/>
      <c r="F871" s="11"/>
      <c r="G871" s="11"/>
      <c r="H871" s="11"/>
      <c r="I871" s="11"/>
      <c r="J871" s="11"/>
      <c r="K871" s="27"/>
      <c r="L871" s="11"/>
      <c r="M871" s="11"/>
      <c r="N871" s="11"/>
      <c r="O871" s="11"/>
      <c r="P871" s="15"/>
      <c r="Q871" s="15"/>
      <c r="R871" s="15"/>
      <c r="S871" s="15"/>
      <c r="T871" s="15"/>
      <c r="U871" s="15"/>
      <c r="V871" s="15"/>
      <c r="W871" s="47"/>
      <c r="X871" s="11"/>
      <c r="Y871" s="48"/>
      <c r="Z871" s="11"/>
      <c r="AA871" s="48"/>
      <c r="AB871" s="11"/>
      <c r="AC871" s="48"/>
      <c r="AD871" s="11"/>
      <c r="AE871" s="47"/>
      <c r="AF871" s="11"/>
      <c r="AG871" s="48"/>
      <c r="AH871" s="11"/>
      <c r="AI871" s="48"/>
      <c r="AJ871" s="11"/>
      <c r="AK871" s="48"/>
      <c r="AL871" s="11"/>
      <c r="AM871" s="49"/>
      <c r="AN871" s="49"/>
      <c r="AO871" s="11"/>
      <c r="AP871" s="11"/>
      <c r="AQ871" s="28" t="b">
        <f>IF(COUNTIF(SmartStatus!A$2:A1000, AM871) &gt; 2, TRUE, FALSE)</f>
        <v>0</v>
      </c>
      <c r="AR871" s="29" t="str">
        <f ca="1">IFERROR(__xludf.DUMMYFUNCTION("iferror(if(regexmatch(AO871, ""(?i)^registered""), if(EE871 &lt;&gt; ""polity_shortest_name"", ""CHECK_POLITY"", index(filter(SmartStatus!B$2:B1000, AM871 = SmartStatus!A$2:A1000, not(SmartStatus!C$2:C1000), (isblank(SmartStatus!D$2:D1000)) + ((P871 &lt;&gt; """") * "&amp;"(P871 &lt; SmartStatus!D$2:D1000)), (isblank(SmartStatus!E$2:E1000)) + ((P871 &lt;&gt; """") * (P871 &gt;= SmartStatus!E$2:E1000)), (isblank(SmartStatus!F$2:F1000)) + (((Q871 &lt;&gt; """") * (Q871 &lt; SmartStatus!F$2:F1000)) + ((P871 &lt;&gt; """") * (date(year(P871) + 3, month(P"&amp;"871), day(P871)) &lt; SmartStatus!F$2:F1000))), (isblank(SmartStatus!G$2:G1000)) + (((Q871 &lt;&gt; """") * (Q871 &gt;= SmartStatus!G$2:G1000)) + ((P871 &lt;&gt; """") * (P871 &gt;= SmartStatus!G$2:G1000)))), if(or(regexmatch(B871, ""(?i)^ir [a-z]+ designation$""), N871 &lt;&gt; """&amp;"""), 1, 2))), """"), ""NO_MATCH"")"),"")</f>
        <v/>
      </c>
      <c r="AS871" s="11"/>
      <c r="AT871" s="15"/>
      <c r="AU871" s="11"/>
      <c r="AV871" s="11"/>
      <c r="AW871" s="15"/>
      <c r="AX871" s="15"/>
      <c r="AY871" s="15"/>
      <c r="AZ871" s="11"/>
      <c r="BA871" s="15"/>
      <c r="BB871" s="11"/>
      <c r="BC871" s="11"/>
      <c r="BD871" s="15"/>
      <c r="BE871" s="11"/>
      <c r="BF871" s="11"/>
      <c r="BG871" s="15"/>
      <c r="BH871" s="15"/>
      <c r="BI871" s="15"/>
      <c r="BJ871" s="11"/>
      <c r="BK871" s="15"/>
      <c r="BL871" s="11"/>
      <c r="BM871" s="11"/>
      <c r="BN871" s="15"/>
      <c r="BO871" s="11"/>
      <c r="BP871" s="11"/>
      <c r="BQ871" s="15"/>
      <c r="BR871" s="15"/>
      <c r="BS871" s="15"/>
      <c r="BT871" s="11"/>
      <c r="BU871" s="15"/>
      <c r="BV871" s="11"/>
      <c r="BW871" s="11"/>
      <c r="BX871" s="15"/>
      <c r="BY871" s="11"/>
      <c r="BZ871" s="11"/>
      <c r="CA871" s="15"/>
      <c r="CB871" s="11"/>
      <c r="CC871" s="15"/>
      <c r="CD871" s="11"/>
      <c r="CE871" s="15"/>
      <c r="CF871" s="11"/>
      <c r="CG871" s="11"/>
      <c r="CH871" s="15"/>
      <c r="CI871" s="11"/>
      <c r="CJ871" s="11"/>
      <c r="CK871" s="15"/>
      <c r="CL871" s="11"/>
      <c r="CM871" s="11"/>
      <c r="CN871" s="11"/>
      <c r="CO871" s="11"/>
      <c r="CP871" s="28"/>
      <c r="CQ871" s="28"/>
      <c r="CR871" s="11"/>
      <c r="CS871" s="29"/>
      <c r="CT871" s="11"/>
      <c r="CU871" s="11"/>
      <c r="CV871" s="11"/>
      <c r="CW871" s="11"/>
      <c r="CX871" s="11"/>
      <c r="CY871" s="11"/>
      <c r="CZ871" s="11"/>
      <c r="DA871" s="28"/>
      <c r="DB871" s="28"/>
      <c r="DC871" s="11"/>
      <c r="DD871" s="29"/>
      <c r="DE871" s="11"/>
      <c r="DF871" s="11"/>
      <c r="DG871" s="11"/>
      <c r="DH871" s="11"/>
      <c r="DI871" s="11"/>
      <c r="DJ871" s="11"/>
      <c r="DK871" s="26"/>
      <c r="DL871" s="11"/>
      <c r="DM871" s="29"/>
      <c r="DN871" s="28"/>
      <c r="DO871" s="11"/>
      <c r="DP871" s="11"/>
      <c r="DQ871" s="11"/>
      <c r="DR871" s="29"/>
      <c r="DS871" s="28"/>
      <c r="DT871" s="11"/>
      <c r="DU871" s="26"/>
      <c r="DV871" s="11"/>
      <c r="DW871" s="29"/>
      <c r="DX871" s="28"/>
      <c r="DY871" s="11"/>
      <c r="DZ871" s="26"/>
      <c r="EA871" s="11"/>
      <c r="EB871" s="29"/>
      <c r="EC871" s="28"/>
      <c r="ED871" s="30"/>
      <c r="EE871" s="30" t="str">
        <f ca="1">IFERROR(__xludf.DUMMYFUNCTION("iferror(index(filter('Internal -- Trademark Countries'!E$2:E1000, (AM871 = 'Internal -- Trademark Countries'!B$2:B1000) + (AM871 = 'Internal -- Trademark Countries'!C$2:C1000) + (AM871 = 'Internal -- Trademark Countries'!D$2:D1000)), 1))"),"")</f>
        <v/>
      </c>
      <c r="EF871" s="30" t="e">
        <f ca="1">_xludf.ifs(AM871="", "", COUNTIF('Internal -- Trademark Countries'!B:B,AM871) &gt; 0, "polity_shortest_name", COUNTIF('Internal -- Trademark Countries'!C:C,AM871) &gt; 0, "polity_full_name", COUNTIF('Internal -- Trademark Countries'!D:D,AM871) &gt; 0, "polity_common_name", COUNTIF('Internal -- Trademark Countries'!E:E,AM871) &gt; 0, "shortest_name", COUNTIF('Internal -- Trademark Countries'!A:A,AM871) &gt; 0, "full_name", TRUE, "not a match")</f>
        <v>#NAME?</v>
      </c>
      <c r="EG871" s="30"/>
      <c r="EH871" s="30"/>
      <c r="EI871" s="30"/>
      <c r="EJ871" s="30"/>
      <c r="EK871" s="30" t="str">
        <f t="shared" si="5"/>
        <v/>
      </c>
    </row>
    <row r="872" spans="1:141" ht="16.5">
      <c r="A872" s="11"/>
      <c r="B872" s="11"/>
      <c r="C872" s="11"/>
      <c r="D872" s="11"/>
      <c r="E872" s="11"/>
      <c r="F872" s="11"/>
      <c r="G872" s="11"/>
      <c r="H872" s="11"/>
      <c r="I872" s="11"/>
      <c r="J872" s="11"/>
      <c r="K872" s="27"/>
      <c r="L872" s="11"/>
      <c r="M872" s="11"/>
      <c r="N872" s="11"/>
      <c r="O872" s="11"/>
      <c r="P872" s="15"/>
      <c r="Q872" s="15"/>
      <c r="R872" s="15"/>
      <c r="S872" s="15"/>
      <c r="T872" s="15"/>
      <c r="U872" s="15"/>
      <c r="V872" s="15"/>
      <c r="W872" s="47"/>
      <c r="X872" s="11"/>
      <c r="Y872" s="48"/>
      <c r="Z872" s="11"/>
      <c r="AA872" s="48"/>
      <c r="AB872" s="11"/>
      <c r="AC872" s="48"/>
      <c r="AD872" s="11"/>
      <c r="AE872" s="47"/>
      <c r="AF872" s="11"/>
      <c r="AG872" s="48"/>
      <c r="AH872" s="11"/>
      <c r="AI872" s="48"/>
      <c r="AJ872" s="11"/>
      <c r="AK872" s="48"/>
      <c r="AL872" s="11"/>
      <c r="AM872" s="49"/>
      <c r="AN872" s="49"/>
      <c r="AO872" s="11"/>
      <c r="AP872" s="11"/>
      <c r="AQ872" s="28" t="b">
        <f>IF(COUNTIF(SmartStatus!A$2:A1000, AM872) &gt; 2, TRUE, FALSE)</f>
        <v>0</v>
      </c>
      <c r="AR872" s="29" t="str">
        <f ca="1">IFERROR(__xludf.DUMMYFUNCTION("iferror(if(regexmatch(AO872, ""(?i)^registered""), if(EE872 &lt;&gt; ""polity_shortest_name"", ""CHECK_POLITY"", index(filter(SmartStatus!B$2:B1000, AM872 = SmartStatus!A$2:A1000, not(SmartStatus!C$2:C1000), (isblank(SmartStatus!D$2:D1000)) + ((P872 &lt;&gt; """") * "&amp;"(P872 &lt; SmartStatus!D$2:D1000)), (isblank(SmartStatus!E$2:E1000)) + ((P872 &lt;&gt; """") * (P872 &gt;= SmartStatus!E$2:E1000)), (isblank(SmartStatus!F$2:F1000)) + (((Q872 &lt;&gt; """") * (Q872 &lt; SmartStatus!F$2:F1000)) + ((P872 &lt;&gt; """") * (date(year(P872) + 3, month(P"&amp;"872), day(P872)) &lt; SmartStatus!F$2:F1000))), (isblank(SmartStatus!G$2:G1000)) + (((Q872 &lt;&gt; """") * (Q872 &gt;= SmartStatus!G$2:G1000)) + ((P872 &lt;&gt; """") * (P872 &gt;= SmartStatus!G$2:G1000)))), if(or(regexmatch(B872, ""(?i)^ir [a-z]+ designation$""), N872 &lt;&gt; """&amp;"""), 1, 2))), """"), ""NO_MATCH"")"),"")</f>
        <v/>
      </c>
      <c r="AS872" s="11"/>
      <c r="AT872" s="15"/>
      <c r="AU872" s="11"/>
      <c r="AV872" s="11"/>
      <c r="AW872" s="15"/>
      <c r="AX872" s="15"/>
      <c r="AY872" s="15"/>
      <c r="AZ872" s="11"/>
      <c r="BA872" s="15"/>
      <c r="BB872" s="11"/>
      <c r="BC872" s="11"/>
      <c r="BD872" s="15"/>
      <c r="BE872" s="11"/>
      <c r="BF872" s="11"/>
      <c r="BG872" s="15"/>
      <c r="BH872" s="15"/>
      <c r="BI872" s="15"/>
      <c r="BJ872" s="11"/>
      <c r="BK872" s="15"/>
      <c r="BL872" s="11"/>
      <c r="BM872" s="11"/>
      <c r="BN872" s="15"/>
      <c r="BO872" s="11"/>
      <c r="BP872" s="11"/>
      <c r="BQ872" s="15"/>
      <c r="BR872" s="15"/>
      <c r="BS872" s="15"/>
      <c r="BT872" s="11"/>
      <c r="BU872" s="15"/>
      <c r="BV872" s="11"/>
      <c r="BW872" s="11"/>
      <c r="BX872" s="15"/>
      <c r="BY872" s="11"/>
      <c r="BZ872" s="11"/>
      <c r="CA872" s="15"/>
      <c r="CB872" s="11"/>
      <c r="CC872" s="15"/>
      <c r="CD872" s="11"/>
      <c r="CE872" s="15"/>
      <c r="CF872" s="11"/>
      <c r="CG872" s="11"/>
      <c r="CH872" s="15"/>
      <c r="CI872" s="11"/>
      <c r="CJ872" s="11"/>
      <c r="CK872" s="15"/>
      <c r="CL872" s="11"/>
      <c r="CM872" s="11"/>
      <c r="CN872" s="11"/>
      <c r="CO872" s="11"/>
      <c r="CP872" s="28"/>
      <c r="CQ872" s="28"/>
      <c r="CR872" s="11"/>
      <c r="CS872" s="29"/>
      <c r="CT872" s="11"/>
      <c r="CU872" s="11"/>
      <c r="CV872" s="11"/>
      <c r="CW872" s="11"/>
      <c r="CX872" s="11"/>
      <c r="CY872" s="11"/>
      <c r="CZ872" s="11"/>
      <c r="DA872" s="28"/>
      <c r="DB872" s="28"/>
      <c r="DC872" s="11"/>
      <c r="DD872" s="29"/>
      <c r="DE872" s="11"/>
      <c r="DF872" s="11"/>
      <c r="DG872" s="11"/>
      <c r="DH872" s="11"/>
      <c r="DI872" s="11"/>
      <c r="DJ872" s="11"/>
      <c r="DK872" s="26"/>
      <c r="DL872" s="11"/>
      <c r="DM872" s="29"/>
      <c r="DN872" s="28"/>
      <c r="DO872" s="11"/>
      <c r="DP872" s="11"/>
      <c r="DQ872" s="11"/>
      <c r="DR872" s="29"/>
      <c r="DS872" s="28"/>
      <c r="DT872" s="11"/>
      <c r="DU872" s="26"/>
      <c r="DV872" s="11"/>
      <c r="DW872" s="29"/>
      <c r="DX872" s="28"/>
      <c r="DY872" s="11"/>
      <c r="DZ872" s="26"/>
      <c r="EA872" s="11"/>
      <c r="EB872" s="29"/>
      <c r="EC872" s="28"/>
      <c r="ED872" s="30"/>
      <c r="EE872" s="30" t="str">
        <f ca="1">IFERROR(__xludf.DUMMYFUNCTION("iferror(index(filter('Internal -- Trademark Countries'!E$2:E1000, (AM872 = 'Internal -- Trademark Countries'!B$2:B1000) + (AM872 = 'Internal -- Trademark Countries'!C$2:C1000) + (AM872 = 'Internal -- Trademark Countries'!D$2:D1000)), 1))"),"")</f>
        <v/>
      </c>
      <c r="EF872" s="30" t="e">
        <f ca="1">_xludf.ifs(AM872="", "", COUNTIF('Internal -- Trademark Countries'!B:B,AM872) &gt; 0, "polity_shortest_name", COUNTIF('Internal -- Trademark Countries'!C:C,AM872) &gt; 0, "polity_full_name", COUNTIF('Internal -- Trademark Countries'!D:D,AM872) &gt; 0, "polity_common_name", COUNTIF('Internal -- Trademark Countries'!E:E,AM872) &gt; 0, "shortest_name", COUNTIF('Internal -- Trademark Countries'!A:A,AM872) &gt; 0, "full_name", TRUE, "not a match")</f>
        <v>#NAME?</v>
      </c>
      <c r="EG872" s="30"/>
      <c r="EH872" s="30"/>
      <c r="EI872" s="30"/>
      <c r="EJ872" s="30"/>
      <c r="EK872" s="30" t="str">
        <f t="shared" si="5"/>
        <v/>
      </c>
    </row>
    <row r="873" spans="1:141" ht="16.5">
      <c r="A873" s="11"/>
      <c r="B873" s="11"/>
      <c r="C873" s="11"/>
      <c r="D873" s="11"/>
      <c r="E873" s="11"/>
      <c r="F873" s="11"/>
      <c r="G873" s="11"/>
      <c r="H873" s="11"/>
      <c r="I873" s="11"/>
      <c r="J873" s="11"/>
      <c r="K873" s="27"/>
      <c r="L873" s="11"/>
      <c r="M873" s="11"/>
      <c r="N873" s="11"/>
      <c r="O873" s="11"/>
      <c r="P873" s="15"/>
      <c r="Q873" s="15"/>
      <c r="R873" s="15"/>
      <c r="S873" s="15"/>
      <c r="T873" s="15"/>
      <c r="U873" s="15"/>
      <c r="V873" s="15"/>
      <c r="W873" s="47"/>
      <c r="X873" s="11"/>
      <c r="Y873" s="48"/>
      <c r="Z873" s="11"/>
      <c r="AA873" s="48"/>
      <c r="AB873" s="11"/>
      <c r="AC873" s="48"/>
      <c r="AD873" s="11"/>
      <c r="AE873" s="47"/>
      <c r="AF873" s="11"/>
      <c r="AG873" s="48"/>
      <c r="AH873" s="11"/>
      <c r="AI873" s="48"/>
      <c r="AJ873" s="11"/>
      <c r="AK873" s="48"/>
      <c r="AL873" s="11"/>
      <c r="AM873" s="49"/>
      <c r="AN873" s="49"/>
      <c r="AO873" s="11"/>
      <c r="AP873" s="11"/>
      <c r="AQ873" s="28" t="b">
        <f>IF(COUNTIF(SmartStatus!A$2:A1000, AM873) &gt; 2, TRUE, FALSE)</f>
        <v>0</v>
      </c>
      <c r="AR873" s="29" t="str">
        <f ca="1">IFERROR(__xludf.DUMMYFUNCTION("iferror(if(regexmatch(AO873, ""(?i)^registered""), if(EE873 &lt;&gt; ""polity_shortest_name"", ""CHECK_POLITY"", index(filter(SmartStatus!B$2:B1000, AM873 = SmartStatus!A$2:A1000, not(SmartStatus!C$2:C1000), (isblank(SmartStatus!D$2:D1000)) + ((P873 &lt;&gt; """") * "&amp;"(P873 &lt; SmartStatus!D$2:D1000)), (isblank(SmartStatus!E$2:E1000)) + ((P873 &lt;&gt; """") * (P873 &gt;= SmartStatus!E$2:E1000)), (isblank(SmartStatus!F$2:F1000)) + (((Q873 &lt;&gt; """") * (Q873 &lt; SmartStatus!F$2:F1000)) + ((P873 &lt;&gt; """") * (date(year(P873) + 3, month(P"&amp;"873), day(P873)) &lt; SmartStatus!F$2:F1000))), (isblank(SmartStatus!G$2:G1000)) + (((Q873 &lt;&gt; """") * (Q873 &gt;= SmartStatus!G$2:G1000)) + ((P873 &lt;&gt; """") * (P873 &gt;= SmartStatus!G$2:G1000)))), if(or(regexmatch(B873, ""(?i)^ir [a-z]+ designation$""), N873 &lt;&gt; """&amp;"""), 1, 2))), """"), ""NO_MATCH"")"),"")</f>
        <v/>
      </c>
      <c r="AS873" s="11"/>
      <c r="AT873" s="15"/>
      <c r="AU873" s="11"/>
      <c r="AV873" s="11"/>
      <c r="AW873" s="15"/>
      <c r="AX873" s="15"/>
      <c r="AY873" s="15"/>
      <c r="AZ873" s="11"/>
      <c r="BA873" s="15"/>
      <c r="BB873" s="11"/>
      <c r="BC873" s="11"/>
      <c r="BD873" s="15"/>
      <c r="BE873" s="11"/>
      <c r="BF873" s="11"/>
      <c r="BG873" s="15"/>
      <c r="BH873" s="15"/>
      <c r="BI873" s="15"/>
      <c r="BJ873" s="11"/>
      <c r="BK873" s="15"/>
      <c r="BL873" s="11"/>
      <c r="BM873" s="11"/>
      <c r="BN873" s="15"/>
      <c r="BO873" s="11"/>
      <c r="BP873" s="11"/>
      <c r="BQ873" s="15"/>
      <c r="BR873" s="15"/>
      <c r="BS873" s="15"/>
      <c r="BT873" s="11"/>
      <c r="BU873" s="15"/>
      <c r="BV873" s="11"/>
      <c r="BW873" s="11"/>
      <c r="BX873" s="15"/>
      <c r="BY873" s="11"/>
      <c r="BZ873" s="11"/>
      <c r="CA873" s="15"/>
      <c r="CB873" s="11"/>
      <c r="CC873" s="15"/>
      <c r="CD873" s="11"/>
      <c r="CE873" s="15"/>
      <c r="CF873" s="11"/>
      <c r="CG873" s="11"/>
      <c r="CH873" s="15"/>
      <c r="CI873" s="11"/>
      <c r="CJ873" s="11"/>
      <c r="CK873" s="15"/>
      <c r="CL873" s="11"/>
      <c r="CM873" s="11"/>
      <c r="CN873" s="11"/>
      <c r="CO873" s="11"/>
      <c r="CP873" s="28"/>
      <c r="CQ873" s="28"/>
      <c r="CR873" s="11"/>
      <c r="CS873" s="29"/>
      <c r="CT873" s="11"/>
      <c r="CU873" s="11"/>
      <c r="CV873" s="11"/>
      <c r="CW873" s="11"/>
      <c r="CX873" s="11"/>
      <c r="CY873" s="11"/>
      <c r="CZ873" s="11"/>
      <c r="DA873" s="28"/>
      <c r="DB873" s="28"/>
      <c r="DC873" s="11"/>
      <c r="DD873" s="29"/>
      <c r="DE873" s="11"/>
      <c r="DF873" s="11"/>
      <c r="DG873" s="11"/>
      <c r="DH873" s="11"/>
      <c r="DI873" s="11"/>
      <c r="DJ873" s="11"/>
      <c r="DK873" s="26"/>
      <c r="DL873" s="11"/>
      <c r="DM873" s="29"/>
      <c r="DN873" s="28"/>
      <c r="DO873" s="11"/>
      <c r="DP873" s="11"/>
      <c r="DQ873" s="11"/>
      <c r="DR873" s="29"/>
      <c r="DS873" s="28"/>
      <c r="DT873" s="11"/>
      <c r="DU873" s="26"/>
      <c r="DV873" s="11"/>
      <c r="DW873" s="29"/>
      <c r="DX873" s="28"/>
      <c r="DY873" s="11"/>
      <c r="DZ873" s="26"/>
      <c r="EA873" s="11"/>
      <c r="EB873" s="29"/>
      <c r="EC873" s="28"/>
      <c r="ED873" s="30"/>
      <c r="EE873" s="30" t="str">
        <f ca="1">IFERROR(__xludf.DUMMYFUNCTION("iferror(index(filter('Internal -- Trademark Countries'!E$2:E1000, (AM873 = 'Internal -- Trademark Countries'!B$2:B1000) + (AM873 = 'Internal -- Trademark Countries'!C$2:C1000) + (AM873 = 'Internal -- Trademark Countries'!D$2:D1000)), 1))"),"")</f>
        <v/>
      </c>
      <c r="EF873" s="30" t="e">
        <f ca="1">_xludf.ifs(AM873="", "", COUNTIF('Internal -- Trademark Countries'!B:B,AM873) &gt; 0, "polity_shortest_name", COUNTIF('Internal -- Trademark Countries'!C:C,AM873) &gt; 0, "polity_full_name", COUNTIF('Internal -- Trademark Countries'!D:D,AM873) &gt; 0, "polity_common_name", COUNTIF('Internal -- Trademark Countries'!E:E,AM873) &gt; 0, "shortest_name", COUNTIF('Internal -- Trademark Countries'!A:A,AM873) &gt; 0, "full_name", TRUE, "not a match")</f>
        <v>#NAME?</v>
      </c>
      <c r="EG873" s="30"/>
      <c r="EH873" s="30"/>
      <c r="EI873" s="30"/>
      <c r="EJ873" s="30"/>
      <c r="EK873" s="30" t="str">
        <f t="shared" si="5"/>
        <v/>
      </c>
    </row>
    <row r="874" spans="1:141" ht="16.5">
      <c r="A874" s="11"/>
      <c r="B874" s="11"/>
      <c r="C874" s="11"/>
      <c r="D874" s="11"/>
      <c r="E874" s="11"/>
      <c r="F874" s="11"/>
      <c r="G874" s="11"/>
      <c r="H874" s="11"/>
      <c r="I874" s="11"/>
      <c r="J874" s="11"/>
      <c r="K874" s="27"/>
      <c r="L874" s="11"/>
      <c r="M874" s="11"/>
      <c r="N874" s="11"/>
      <c r="O874" s="11"/>
      <c r="P874" s="15"/>
      <c r="Q874" s="15"/>
      <c r="R874" s="15"/>
      <c r="S874" s="15"/>
      <c r="T874" s="15"/>
      <c r="U874" s="15"/>
      <c r="V874" s="15"/>
      <c r="W874" s="47"/>
      <c r="X874" s="11"/>
      <c r="Y874" s="48"/>
      <c r="Z874" s="11"/>
      <c r="AA874" s="48"/>
      <c r="AB874" s="11"/>
      <c r="AC874" s="48"/>
      <c r="AD874" s="11"/>
      <c r="AE874" s="47"/>
      <c r="AF874" s="11"/>
      <c r="AG874" s="48"/>
      <c r="AH874" s="11"/>
      <c r="AI874" s="48"/>
      <c r="AJ874" s="11"/>
      <c r="AK874" s="48"/>
      <c r="AL874" s="11"/>
      <c r="AM874" s="49"/>
      <c r="AN874" s="49"/>
      <c r="AO874" s="11"/>
      <c r="AP874" s="11"/>
      <c r="AQ874" s="28" t="b">
        <f>IF(COUNTIF(SmartStatus!A$2:A1000, AM874) &gt; 2, TRUE, FALSE)</f>
        <v>0</v>
      </c>
      <c r="AR874" s="29" t="str">
        <f ca="1">IFERROR(__xludf.DUMMYFUNCTION("iferror(if(regexmatch(AO874, ""(?i)^registered""), if(EE874 &lt;&gt; ""polity_shortest_name"", ""CHECK_POLITY"", index(filter(SmartStatus!B$2:B1000, AM874 = SmartStatus!A$2:A1000, not(SmartStatus!C$2:C1000), (isblank(SmartStatus!D$2:D1000)) + ((P874 &lt;&gt; """") * "&amp;"(P874 &lt; SmartStatus!D$2:D1000)), (isblank(SmartStatus!E$2:E1000)) + ((P874 &lt;&gt; """") * (P874 &gt;= SmartStatus!E$2:E1000)), (isblank(SmartStatus!F$2:F1000)) + (((Q874 &lt;&gt; """") * (Q874 &lt; SmartStatus!F$2:F1000)) + ((P874 &lt;&gt; """") * (date(year(P874) + 3, month(P"&amp;"874), day(P874)) &lt; SmartStatus!F$2:F1000))), (isblank(SmartStatus!G$2:G1000)) + (((Q874 &lt;&gt; """") * (Q874 &gt;= SmartStatus!G$2:G1000)) + ((P874 &lt;&gt; """") * (P874 &gt;= SmartStatus!G$2:G1000)))), if(or(regexmatch(B874, ""(?i)^ir [a-z]+ designation$""), N874 &lt;&gt; """&amp;"""), 1, 2))), """"), ""NO_MATCH"")"),"")</f>
        <v/>
      </c>
      <c r="AS874" s="11"/>
      <c r="AT874" s="15"/>
      <c r="AU874" s="11"/>
      <c r="AV874" s="11"/>
      <c r="AW874" s="15"/>
      <c r="AX874" s="15"/>
      <c r="AY874" s="15"/>
      <c r="AZ874" s="11"/>
      <c r="BA874" s="15"/>
      <c r="BB874" s="11"/>
      <c r="BC874" s="11"/>
      <c r="BD874" s="15"/>
      <c r="BE874" s="11"/>
      <c r="BF874" s="11"/>
      <c r="BG874" s="15"/>
      <c r="BH874" s="15"/>
      <c r="BI874" s="15"/>
      <c r="BJ874" s="11"/>
      <c r="BK874" s="15"/>
      <c r="BL874" s="11"/>
      <c r="BM874" s="11"/>
      <c r="BN874" s="15"/>
      <c r="BO874" s="11"/>
      <c r="BP874" s="11"/>
      <c r="BQ874" s="15"/>
      <c r="BR874" s="15"/>
      <c r="BS874" s="15"/>
      <c r="BT874" s="11"/>
      <c r="BU874" s="15"/>
      <c r="BV874" s="11"/>
      <c r="BW874" s="11"/>
      <c r="BX874" s="15"/>
      <c r="BY874" s="11"/>
      <c r="BZ874" s="11"/>
      <c r="CA874" s="15"/>
      <c r="CB874" s="11"/>
      <c r="CC874" s="15"/>
      <c r="CD874" s="11"/>
      <c r="CE874" s="15"/>
      <c r="CF874" s="11"/>
      <c r="CG874" s="11"/>
      <c r="CH874" s="15"/>
      <c r="CI874" s="11"/>
      <c r="CJ874" s="11"/>
      <c r="CK874" s="15"/>
      <c r="CL874" s="11"/>
      <c r="CM874" s="11"/>
      <c r="CN874" s="11"/>
      <c r="CO874" s="11"/>
      <c r="CP874" s="28"/>
      <c r="CQ874" s="28"/>
      <c r="CR874" s="11"/>
      <c r="CS874" s="29"/>
      <c r="CT874" s="11"/>
      <c r="CU874" s="11"/>
      <c r="CV874" s="11"/>
      <c r="CW874" s="11"/>
      <c r="CX874" s="11"/>
      <c r="CY874" s="11"/>
      <c r="CZ874" s="11"/>
      <c r="DA874" s="28"/>
      <c r="DB874" s="28"/>
      <c r="DC874" s="11"/>
      <c r="DD874" s="29"/>
      <c r="DE874" s="11"/>
      <c r="DF874" s="11"/>
      <c r="DG874" s="11"/>
      <c r="DH874" s="11"/>
      <c r="DI874" s="11"/>
      <c r="DJ874" s="11"/>
      <c r="DK874" s="26"/>
      <c r="DL874" s="11"/>
      <c r="DM874" s="29"/>
      <c r="DN874" s="28"/>
      <c r="DO874" s="11"/>
      <c r="DP874" s="11"/>
      <c r="DQ874" s="11"/>
      <c r="DR874" s="29"/>
      <c r="DS874" s="28"/>
      <c r="DT874" s="11"/>
      <c r="DU874" s="26"/>
      <c r="DV874" s="11"/>
      <c r="DW874" s="29"/>
      <c r="DX874" s="28"/>
      <c r="DY874" s="11"/>
      <c r="DZ874" s="26"/>
      <c r="EA874" s="11"/>
      <c r="EB874" s="29"/>
      <c r="EC874" s="28"/>
      <c r="ED874" s="30"/>
      <c r="EE874" s="30" t="str">
        <f ca="1">IFERROR(__xludf.DUMMYFUNCTION("iferror(index(filter('Internal -- Trademark Countries'!E$2:E1000, (AM874 = 'Internal -- Trademark Countries'!B$2:B1000) + (AM874 = 'Internal -- Trademark Countries'!C$2:C1000) + (AM874 = 'Internal -- Trademark Countries'!D$2:D1000)), 1))"),"")</f>
        <v/>
      </c>
      <c r="EF874" s="30" t="e">
        <f ca="1">_xludf.ifs(AM874="", "", COUNTIF('Internal -- Trademark Countries'!B:B,AM874) &gt; 0, "polity_shortest_name", COUNTIF('Internal -- Trademark Countries'!C:C,AM874) &gt; 0, "polity_full_name", COUNTIF('Internal -- Trademark Countries'!D:D,AM874) &gt; 0, "polity_common_name", COUNTIF('Internal -- Trademark Countries'!E:E,AM874) &gt; 0, "shortest_name", COUNTIF('Internal -- Trademark Countries'!A:A,AM874) &gt; 0, "full_name", TRUE, "not a match")</f>
        <v>#NAME?</v>
      </c>
      <c r="EG874" s="30"/>
      <c r="EH874" s="30"/>
      <c r="EI874" s="30"/>
      <c r="EJ874" s="30"/>
      <c r="EK874" s="30" t="str">
        <f t="shared" si="5"/>
        <v/>
      </c>
    </row>
    <row r="875" spans="1:141" ht="16.5">
      <c r="A875" s="11"/>
      <c r="B875" s="11"/>
      <c r="C875" s="11"/>
      <c r="D875" s="11"/>
      <c r="E875" s="11"/>
      <c r="F875" s="11"/>
      <c r="G875" s="11"/>
      <c r="H875" s="11"/>
      <c r="I875" s="11"/>
      <c r="J875" s="11"/>
      <c r="K875" s="27"/>
      <c r="L875" s="11"/>
      <c r="M875" s="11"/>
      <c r="N875" s="11"/>
      <c r="O875" s="11"/>
      <c r="P875" s="15"/>
      <c r="Q875" s="15"/>
      <c r="R875" s="15"/>
      <c r="S875" s="15"/>
      <c r="T875" s="15"/>
      <c r="U875" s="15"/>
      <c r="V875" s="15"/>
      <c r="W875" s="47"/>
      <c r="X875" s="11"/>
      <c r="Y875" s="48"/>
      <c r="Z875" s="11"/>
      <c r="AA875" s="48"/>
      <c r="AB875" s="11"/>
      <c r="AC875" s="48"/>
      <c r="AD875" s="11"/>
      <c r="AE875" s="47"/>
      <c r="AF875" s="11"/>
      <c r="AG875" s="48"/>
      <c r="AH875" s="11"/>
      <c r="AI875" s="48"/>
      <c r="AJ875" s="11"/>
      <c r="AK875" s="48"/>
      <c r="AL875" s="11"/>
      <c r="AM875" s="49"/>
      <c r="AN875" s="49"/>
      <c r="AO875" s="11"/>
      <c r="AP875" s="11"/>
      <c r="AQ875" s="28" t="b">
        <f>IF(COUNTIF(SmartStatus!A$2:A1000, AM875) &gt; 2, TRUE, FALSE)</f>
        <v>0</v>
      </c>
      <c r="AR875" s="29" t="str">
        <f ca="1">IFERROR(__xludf.DUMMYFUNCTION("iferror(if(regexmatch(AO875, ""(?i)^registered""), if(EE875 &lt;&gt; ""polity_shortest_name"", ""CHECK_POLITY"", index(filter(SmartStatus!B$2:B1000, AM875 = SmartStatus!A$2:A1000, not(SmartStatus!C$2:C1000), (isblank(SmartStatus!D$2:D1000)) + ((P875 &lt;&gt; """") * "&amp;"(P875 &lt; SmartStatus!D$2:D1000)), (isblank(SmartStatus!E$2:E1000)) + ((P875 &lt;&gt; """") * (P875 &gt;= SmartStatus!E$2:E1000)), (isblank(SmartStatus!F$2:F1000)) + (((Q875 &lt;&gt; """") * (Q875 &lt; SmartStatus!F$2:F1000)) + ((P875 &lt;&gt; """") * (date(year(P875) + 3, month(P"&amp;"875), day(P875)) &lt; SmartStatus!F$2:F1000))), (isblank(SmartStatus!G$2:G1000)) + (((Q875 &lt;&gt; """") * (Q875 &gt;= SmartStatus!G$2:G1000)) + ((P875 &lt;&gt; """") * (P875 &gt;= SmartStatus!G$2:G1000)))), if(or(regexmatch(B875, ""(?i)^ir [a-z]+ designation$""), N875 &lt;&gt; """&amp;"""), 1, 2))), """"), ""NO_MATCH"")"),"")</f>
        <v/>
      </c>
      <c r="AS875" s="11"/>
      <c r="AT875" s="15"/>
      <c r="AU875" s="11"/>
      <c r="AV875" s="11"/>
      <c r="AW875" s="15"/>
      <c r="AX875" s="15"/>
      <c r="AY875" s="15"/>
      <c r="AZ875" s="11"/>
      <c r="BA875" s="15"/>
      <c r="BB875" s="11"/>
      <c r="BC875" s="11"/>
      <c r="BD875" s="15"/>
      <c r="BE875" s="11"/>
      <c r="BF875" s="11"/>
      <c r="BG875" s="15"/>
      <c r="BH875" s="15"/>
      <c r="BI875" s="15"/>
      <c r="BJ875" s="11"/>
      <c r="BK875" s="15"/>
      <c r="BL875" s="11"/>
      <c r="BM875" s="11"/>
      <c r="BN875" s="15"/>
      <c r="BO875" s="11"/>
      <c r="BP875" s="11"/>
      <c r="BQ875" s="15"/>
      <c r="BR875" s="15"/>
      <c r="BS875" s="15"/>
      <c r="BT875" s="11"/>
      <c r="BU875" s="15"/>
      <c r="BV875" s="11"/>
      <c r="BW875" s="11"/>
      <c r="BX875" s="15"/>
      <c r="BY875" s="11"/>
      <c r="BZ875" s="11"/>
      <c r="CA875" s="15"/>
      <c r="CB875" s="11"/>
      <c r="CC875" s="15"/>
      <c r="CD875" s="11"/>
      <c r="CE875" s="15"/>
      <c r="CF875" s="11"/>
      <c r="CG875" s="11"/>
      <c r="CH875" s="15"/>
      <c r="CI875" s="11"/>
      <c r="CJ875" s="11"/>
      <c r="CK875" s="15"/>
      <c r="CL875" s="11"/>
      <c r="CM875" s="11"/>
      <c r="CN875" s="11"/>
      <c r="CO875" s="11"/>
      <c r="CP875" s="28"/>
      <c r="CQ875" s="28"/>
      <c r="CR875" s="11"/>
      <c r="CS875" s="29"/>
      <c r="CT875" s="11"/>
      <c r="CU875" s="11"/>
      <c r="CV875" s="11"/>
      <c r="CW875" s="11"/>
      <c r="CX875" s="11"/>
      <c r="CY875" s="11"/>
      <c r="CZ875" s="11"/>
      <c r="DA875" s="28"/>
      <c r="DB875" s="28"/>
      <c r="DC875" s="11"/>
      <c r="DD875" s="29"/>
      <c r="DE875" s="11"/>
      <c r="DF875" s="11"/>
      <c r="DG875" s="11"/>
      <c r="DH875" s="11"/>
      <c r="DI875" s="11"/>
      <c r="DJ875" s="11"/>
      <c r="DK875" s="26"/>
      <c r="DL875" s="11"/>
      <c r="DM875" s="29"/>
      <c r="DN875" s="28"/>
      <c r="DO875" s="11"/>
      <c r="DP875" s="11"/>
      <c r="DQ875" s="11"/>
      <c r="DR875" s="29"/>
      <c r="DS875" s="28"/>
      <c r="DT875" s="11"/>
      <c r="DU875" s="26"/>
      <c r="DV875" s="11"/>
      <c r="DW875" s="29"/>
      <c r="DX875" s="28"/>
      <c r="DY875" s="11"/>
      <c r="DZ875" s="26"/>
      <c r="EA875" s="11"/>
      <c r="EB875" s="29"/>
      <c r="EC875" s="28"/>
      <c r="ED875" s="30"/>
      <c r="EE875" s="30" t="str">
        <f ca="1">IFERROR(__xludf.DUMMYFUNCTION("iferror(index(filter('Internal -- Trademark Countries'!E$2:E1000, (AM875 = 'Internal -- Trademark Countries'!B$2:B1000) + (AM875 = 'Internal -- Trademark Countries'!C$2:C1000) + (AM875 = 'Internal -- Trademark Countries'!D$2:D1000)), 1))"),"")</f>
        <v/>
      </c>
      <c r="EF875" s="30" t="e">
        <f ca="1">_xludf.ifs(AM875="", "", COUNTIF('Internal -- Trademark Countries'!B:B,AM875) &gt; 0, "polity_shortest_name", COUNTIF('Internal -- Trademark Countries'!C:C,AM875) &gt; 0, "polity_full_name", COUNTIF('Internal -- Trademark Countries'!D:D,AM875) &gt; 0, "polity_common_name", COUNTIF('Internal -- Trademark Countries'!E:E,AM875) &gt; 0, "shortest_name", COUNTIF('Internal -- Trademark Countries'!A:A,AM875) &gt; 0, "full_name", TRUE, "not a match")</f>
        <v>#NAME?</v>
      </c>
      <c r="EG875" s="30"/>
      <c r="EH875" s="30"/>
      <c r="EI875" s="30"/>
      <c r="EJ875" s="30"/>
      <c r="EK875" s="30" t="str">
        <f t="shared" si="5"/>
        <v/>
      </c>
    </row>
    <row r="876" spans="1:141" ht="16.5">
      <c r="A876" s="11"/>
      <c r="B876" s="11"/>
      <c r="C876" s="11"/>
      <c r="D876" s="11"/>
      <c r="E876" s="11"/>
      <c r="F876" s="11"/>
      <c r="G876" s="11"/>
      <c r="H876" s="11"/>
      <c r="I876" s="11"/>
      <c r="J876" s="11"/>
      <c r="K876" s="27"/>
      <c r="L876" s="11"/>
      <c r="M876" s="11"/>
      <c r="N876" s="11"/>
      <c r="O876" s="11"/>
      <c r="P876" s="15"/>
      <c r="Q876" s="15"/>
      <c r="R876" s="15"/>
      <c r="S876" s="15"/>
      <c r="T876" s="15"/>
      <c r="U876" s="15"/>
      <c r="V876" s="15"/>
      <c r="W876" s="47"/>
      <c r="X876" s="11"/>
      <c r="Y876" s="48"/>
      <c r="Z876" s="11"/>
      <c r="AA876" s="48"/>
      <c r="AB876" s="11"/>
      <c r="AC876" s="48"/>
      <c r="AD876" s="11"/>
      <c r="AE876" s="47"/>
      <c r="AF876" s="11"/>
      <c r="AG876" s="48"/>
      <c r="AH876" s="11"/>
      <c r="AI876" s="48"/>
      <c r="AJ876" s="11"/>
      <c r="AK876" s="48"/>
      <c r="AL876" s="11"/>
      <c r="AM876" s="49"/>
      <c r="AN876" s="49"/>
      <c r="AO876" s="11"/>
      <c r="AP876" s="11"/>
      <c r="AQ876" s="28" t="b">
        <f>IF(COUNTIF(SmartStatus!A$2:A1000, AM876) &gt; 2, TRUE, FALSE)</f>
        <v>0</v>
      </c>
      <c r="AR876" s="29" t="str">
        <f ca="1">IFERROR(__xludf.DUMMYFUNCTION("iferror(if(regexmatch(AO876, ""(?i)^registered""), if(EE876 &lt;&gt; ""polity_shortest_name"", ""CHECK_POLITY"", index(filter(SmartStatus!B$2:B1000, AM876 = SmartStatus!A$2:A1000, not(SmartStatus!C$2:C1000), (isblank(SmartStatus!D$2:D1000)) + ((P876 &lt;&gt; """") * "&amp;"(P876 &lt; SmartStatus!D$2:D1000)), (isblank(SmartStatus!E$2:E1000)) + ((P876 &lt;&gt; """") * (P876 &gt;= SmartStatus!E$2:E1000)), (isblank(SmartStatus!F$2:F1000)) + (((Q876 &lt;&gt; """") * (Q876 &lt; SmartStatus!F$2:F1000)) + ((P876 &lt;&gt; """") * (date(year(P876) + 3, month(P"&amp;"876), day(P876)) &lt; SmartStatus!F$2:F1000))), (isblank(SmartStatus!G$2:G1000)) + (((Q876 &lt;&gt; """") * (Q876 &gt;= SmartStatus!G$2:G1000)) + ((P876 &lt;&gt; """") * (P876 &gt;= SmartStatus!G$2:G1000)))), if(or(regexmatch(B876, ""(?i)^ir [a-z]+ designation$""), N876 &lt;&gt; """&amp;"""), 1, 2))), """"), ""NO_MATCH"")"),"")</f>
        <v/>
      </c>
      <c r="AS876" s="11"/>
      <c r="AT876" s="15"/>
      <c r="AU876" s="11"/>
      <c r="AV876" s="11"/>
      <c r="AW876" s="15"/>
      <c r="AX876" s="15"/>
      <c r="AY876" s="15"/>
      <c r="AZ876" s="11"/>
      <c r="BA876" s="15"/>
      <c r="BB876" s="11"/>
      <c r="BC876" s="11"/>
      <c r="BD876" s="15"/>
      <c r="BE876" s="11"/>
      <c r="BF876" s="11"/>
      <c r="BG876" s="15"/>
      <c r="BH876" s="15"/>
      <c r="BI876" s="15"/>
      <c r="BJ876" s="11"/>
      <c r="BK876" s="15"/>
      <c r="BL876" s="11"/>
      <c r="BM876" s="11"/>
      <c r="BN876" s="15"/>
      <c r="BO876" s="11"/>
      <c r="BP876" s="11"/>
      <c r="BQ876" s="15"/>
      <c r="BR876" s="15"/>
      <c r="BS876" s="15"/>
      <c r="BT876" s="11"/>
      <c r="BU876" s="15"/>
      <c r="BV876" s="11"/>
      <c r="BW876" s="11"/>
      <c r="BX876" s="15"/>
      <c r="BY876" s="11"/>
      <c r="BZ876" s="11"/>
      <c r="CA876" s="15"/>
      <c r="CB876" s="11"/>
      <c r="CC876" s="15"/>
      <c r="CD876" s="11"/>
      <c r="CE876" s="15"/>
      <c r="CF876" s="11"/>
      <c r="CG876" s="11"/>
      <c r="CH876" s="15"/>
      <c r="CI876" s="11"/>
      <c r="CJ876" s="11"/>
      <c r="CK876" s="15"/>
      <c r="CL876" s="11"/>
      <c r="CM876" s="11"/>
      <c r="CN876" s="11"/>
      <c r="CO876" s="11"/>
      <c r="CP876" s="28"/>
      <c r="CQ876" s="28"/>
      <c r="CR876" s="11"/>
      <c r="CS876" s="29"/>
      <c r="CT876" s="11"/>
      <c r="CU876" s="11"/>
      <c r="CV876" s="11"/>
      <c r="CW876" s="11"/>
      <c r="CX876" s="11"/>
      <c r="CY876" s="11"/>
      <c r="CZ876" s="11"/>
      <c r="DA876" s="28"/>
      <c r="DB876" s="28"/>
      <c r="DC876" s="11"/>
      <c r="DD876" s="29"/>
      <c r="DE876" s="11"/>
      <c r="DF876" s="11"/>
      <c r="DG876" s="11"/>
      <c r="DH876" s="11"/>
      <c r="DI876" s="11"/>
      <c r="DJ876" s="11"/>
      <c r="DK876" s="26"/>
      <c r="DL876" s="11"/>
      <c r="DM876" s="29"/>
      <c r="DN876" s="28"/>
      <c r="DO876" s="11"/>
      <c r="DP876" s="11"/>
      <c r="DQ876" s="11"/>
      <c r="DR876" s="29"/>
      <c r="DS876" s="28"/>
      <c r="DT876" s="11"/>
      <c r="DU876" s="26"/>
      <c r="DV876" s="11"/>
      <c r="DW876" s="29"/>
      <c r="DX876" s="28"/>
      <c r="DY876" s="11"/>
      <c r="DZ876" s="26"/>
      <c r="EA876" s="11"/>
      <c r="EB876" s="29"/>
      <c r="EC876" s="28"/>
      <c r="ED876" s="30"/>
      <c r="EE876" s="30" t="str">
        <f ca="1">IFERROR(__xludf.DUMMYFUNCTION("iferror(index(filter('Internal -- Trademark Countries'!E$2:E1000, (AM876 = 'Internal -- Trademark Countries'!B$2:B1000) + (AM876 = 'Internal -- Trademark Countries'!C$2:C1000) + (AM876 = 'Internal -- Trademark Countries'!D$2:D1000)), 1))"),"")</f>
        <v/>
      </c>
      <c r="EF876" s="30" t="e">
        <f ca="1">_xludf.ifs(AM876="", "", COUNTIF('Internal -- Trademark Countries'!B:B,AM876) &gt; 0, "polity_shortest_name", COUNTIF('Internal -- Trademark Countries'!C:C,AM876) &gt; 0, "polity_full_name", COUNTIF('Internal -- Trademark Countries'!D:D,AM876) &gt; 0, "polity_common_name", COUNTIF('Internal -- Trademark Countries'!E:E,AM876) &gt; 0, "shortest_name", COUNTIF('Internal -- Trademark Countries'!A:A,AM876) &gt; 0, "full_name", TRUE, "not a match")</f>
        <v>#NAME?</v>
      </c>
      <c r="EG876" s="30"/>
      <c r="EH876" s="30"/>
      <c r="EI876" s="30"/>
      <c r="EJ876" s="30"/>
      <c r="EK876" s="30" t="str">
        <f t="shared" si="5"/>
        <v/>
      </c>
    </row>
    <row r="877" spans="1:141" ht="16.5">
      <c r="A877" s="11"/>
      <c r="B877" s="11"/>
      <c r="C877" s="11"/>
      <c r="D877" s="11"/>
      <c r="E877" s="11"/>
      <c r="F877" s="11"/>
      <c r="G877" s="11"/>
      <c r="H877" s="11"/>
      <c r="I877" s="11"/>
      <c r="J877" s="11"/>
      <c r="K877" s="27"/>
      <c r="L877" s="11"/>
      <c r="M877" s="11"/>
      <c r="N877" s="11"/>
      <c r="O877" s="11"/>
      <c r="P877" s="15"/>
      <c r="Q877" s="15"/>
      <c r="R877" s="15"/>
      <c r="S877" s="15"/>
      <c r="T877" s="15"/>
      <c r="U877" s="15"/>
      <c r="V877" s="15"/>
      <c r="W877" s="47"/>
      <c r="X877" s="11"/>
      <c r="Y877" s="48"/>
      <c r="Z877" s="11"/>
      <c r="AA877" s="48"/>
      <c r="AB877" s="11"/>
      <c r="AC877" s="48"/>
      <c r="AD877" s="11"/>
      <c r="AE877" s="47"/>
      <c r="AF877" s="11"/>
      <c r="AG877" s="48"/>
      <c r="AH877" s="11"/>
      <c r="AI877" s="48"/>
      <c r="AJ877" s="11"/>
      <c r="AK877" s="48"/>
      <c r="AL877" s="11"/>
      <c r="AM877" s="49"/>
      <c r="AN877" s="49"/>
      <c r="AO877" s="11"/>
      <c r="AP877" s="11"/>
      <c r="AQ877" s="28" t="b">
        <f>IF(COUNTIF(SmartStatus!A$2:A1000, AM877) &gt; 2, TRUE, FALSE)</f>
        <v>0</v>
      </c>
      <c r="AR877" s="29" t="str">
        <f ca="1">IFERROR(__xludf.DUMMYFUNCTION("iferror(if(regexmatch(AO877, ""(?i)^registered""), if(EE877 &lt;&gt; ""polity_shortest_name"", ""CHECK_POLITY"", index(filter(SmartStatus!B$2:B1000, AM877 = SmartStatus!A$2:A1000, not(SmartStatus!C$2:C1000), (isblank(SmartStatus!D$2:D1000)) + ((P877 &lt;&gt; """") * "&amp;"(P877 &lt; SmartStatus!D$2:D1000)), (isblank(SmartStatus!E$2:E1000)) + ((P877 &lt;&gt; """") * (P877 &gt;= SmartStatus!E$2:E1000)), (isblank(SmartStatus!F$2:F1000)) + (((Q877 &lt;&gt; """") * (Q877 &lt; SmartStatus!F$2:F1000)) + ((P877 &lt;&gt; """") * (date(year(P877) + 3, month(P"&amp;"877), day(P877)) &lt; SmartStatus!F$2:F1000))), (isblank(SmartStatus!G$2:G1000)) + (((Q877 &lt;&gt; """") * (Q877 &gt;= SmartStatus!G$2:G1000)) + ((P877 &lt;&gt; """") * (P877 &gt;= SmartStatus!G$2:G1000)))), if(or(regexmatch(B877, ""(?i)^ir [a-z]+ designation$""), N877 &lt;&gt; """&amp;"""), 1, 2))), """"), ""NO_MATCH"")"),"")</f>
        <v/>
      </c>
      <c r="AS877" s="11"/>
      <c r="AT877" s="15"/>
      <c r="AU877" s="11"/>
      <c r="AV877" s="11"/>
      <c r="AW877" s="15"/>
      <c r="AX877" s="15"/>
      <c r="AY877" s="15"/>
      <c r="AZ877" s="11"/>
      <c r="BA877" s="15"/>
      <c r="BB877" s="11"/>
      <c r="BC877" s="11"/>
      <c r="BD877" s="15"/>
      <c r="BE877" s="11"/>
      <c r="BF877" s="11"/>
      <c r="BG877" s="15"/>
      <c r="BH877" s="15"/>
      <c r="BI877" s="15"/>
      <c r="BJ877" s="11"/>
      <c r="BK877" s="15"/>
      <c r="BL877" s="11"/>
      <c r="BM877" s="11"/>
      <c r="BN877" s="15"/>
      <c r="BO877" s="11"/>
      <c r="BP877" s="11"/>
      <c r="BQ877" s="15"/>
      <c r="BR877" s="15"/>
      <c r="BS877" s="15"/>
      <c r="BT877" s="11"/>
      <c r="BU877" s="15"/>
      <c r="BV877" s="11"/>
      <c r="BW877" s="11"/>
      <c r="BX877" s="15"/>
      <c r="BY877" s="11"/>
      <c r="BZ877" s="11"/>
      <c r="CA877" s="15"/>
      <c r="CB877" s="11"/>
      <c r="CC877" s="15"/>
      <c r="CD877" s="11"/>
      <c r="CE877" s="15"/>
      <c r="CF877" s="11"/>
      <c r="CG877" s="11"/>
      <c r="CH877" s="15"/>
      <c r="CI877" s="11"/>
      <c r="CJ877" s="11"/>
      <c r="CK877" s="15"/>
      <c r="CL877" s="11"/>
      <c r="CM877" s="11"/>
      <c r="CN877" s="11"/>
      <c r="CO877" s="11"/>
      <c r="CP877" s="28"/>
      <c r="CQ877" s="28"/>
      <c r="CR877" s="11"/>
      <c r="CS877" s="29"/>
      <c r="CT877" s="11"/>
      <c r="CU877" s="11"/>
      <c r="CV877" s="11"/>
      <c r="CW877" s="11"/>
      <c r="CX877" s="11"/>
      <c r="CY877" s="11"/>
      <c r="CZ877" s="11"/>
      <c r="DA877" s="28"/>
      <c r="DB877" s="28"/>
      <c r="DC877" s="11"/>
      <c r="DD877" s="29"/>
      <c r="DE877" s="11"/>
      <c r="DF877" s="11"/>
      <c r="DG877" s="11"/>
      <c r="DH877" s="11"/>
      <c r="DI877" s="11"/>
      <c r="DJ877" s="11"/>
      <c r="DK877" s="26"/>
      <c r="DL877" s="11"/>
      <c r="DM877" s="29"/>
      <c r="DN877" s="28"/>
      <c r="DO877" s="11"/>
      <c r="DP877" s="11"/>
      <c r="DQ877" s="11"/>
      <c r="DR877" s="29"/>
      <c r="DS877" s="28"/>
      <c r="DT877" s="11"/>
      <c r="DU877" s="26"/>
      <c r="DV877" s="11"/>
      <c r="DW877" s="29"/>
      <c r="DX877" s="28"/>
      <c r="DY877" s="11"/>
      <c r="DZ877" s="26"/>
      <c r="EA877" s="11"/>
      <c r="EB877" s="29"/>
      <c r="EC877" s="28"/>
      <c r="ED877" s="30"/>
      <c r="EE877" s="30" t="str">
        <f ca="1">IFERROR(__xludf.DUMMYFUNCTION("iferror(index(filter('Internal -- Trademark Countries'!E$2:E1000, (AM877 = 'Internal -- Trademark Countries'!B$2:B1000) + (AM877 = 'Internal -- Trademark Countries'!C$2:C1000) + (AM877 = 'Internal -- Trademark Countries'!D$2:D1000)), 1))"),"")</f>
        <v/>
      </c>
      <c r="EF877" s="30" t="e">
        <f ca="1">_xludf.ifs(AM877="", "", COUNTIF('Internal -- Trademark Countries'!B:B,AM877) &gt; 0, "polity_shortest_name", COUNTIF('Internal -- Trademark Countries'!C:C,AM877) &gt; 0, "polity_full_name", COUNTIF('Internal -- Trademark Countries'!D:D,AM877) &gt; 0, "polity_common_name", COUNTIF('Internal -- Trademark Countries'!E:E,AM877) &gt; 0, "shortest_name", COUNTIF('Internal -- Trademark Countries'!A:A,AM877) &gt; 0, "full_name", TRUE, "not a match")</f>
        <v>#NAME?</v>
      </c>
      <c r="EG877" s="30"/>
      <c r="EH877" s="30"/>
      <c r="EI877" s="30"/>
      <c r="EJ877" s="30"/>
      <c r="EK877" s="30" t="str">
        <f t="shared" si="5"/>
        <v/>
      </c>
    </row>
    <row r="878" spans="1:141" ht="16.5">
      <c r="A878" s="11"/>
      <c r="B878" s="11"/>
      <c r="C878" s="11"/>
      <c r="D878" s="11"/>
      <c r="E878" s="11"/>
      <c r="F878" s="11"/>
      <c r="G878" s="11"/>
      <c r="H878" s="11"/>
      <c r="I878" s="11"/>
      <c r="J878" s="11"/>
      <c r="K878" s="27"/>
      <c r="L878" s="11"/>
      <c r="M878" s="11"/>
      <c r="N878" s="11"/>
      <c r="O878" s="11"/>
      <c r="P878" s="15"/>
      <c r="Q878" s="15"/>
      <c r="R878" s="15"/>
      <c r="S878" s="15"/>
      <c r="T878" s="15"/>
      <c r="U878" s="15"/>
      <c r="V878" s="15"/>
      <c r="W878" s="47"/>
      <c r="X878" s="11"/>
      <c r="Y878" s="48"/>
      <c r="Z878" s="11"/>
      <c r="AA878" s="48"/>
      <c r="AB878" s="11"/>
      <c r="AC878" s="48"/>
      <c r="AD878" s="11"/>
      <c r="AE878" s="47"/>
      <c r="AF878" s="11"/>
      <c r="AG878" s="48"/>
      <c r="AH878" s="11"/>
      <c r="AI878" s="48"/>
      <c r="AJ878" s="11"/>
      <c r="AK878" s="48"/>
      <c r="AL878" s="11"/>
      <c r="AM878" s="49"/>
      <c r="AN878" s="49"/>
      <c r="AO878" s="11"/>
      <c r="AP878" s="11"/>
      <c r="AQ878" s="28" t="b">
        <f>IF(COUNTIF(SmartStatus!A$2:A1000, AM878) &gt; 2, TRUE, FALSE)</f>
        <v>0</v>
      </c>
      <c r="AR878" s="29" t="str">
        <f ca="1">IFERROR(__xludf.DUMMYFUNCTION("iferror(if(regexmatch(AO878, ""(?i)^registered""), if(EE878 &lt;&gt; ""polity_shortest_name"", ""CHECK_POLITY"", index(filter(SmartStatus!B$2:B1000, AM878 = SmartStatus!A$2:A1000, not(SmartStatus!C$2:C1000), (isblank(SmartStatus!D$2:D1000)) + ((P878 &lt;&gt; """") * "&amp;"(P878 &lt; SmartStatus!D$2:D1000)), (isblank(SmartStatus!E$2:E1000)) + ((P878 &lt;&gt; """") * (P878 &gt;= SmartStatus!E$2:E1000)), (isblank(SmartStatus!F$2:F1000)) + (((Q878 &lt;&gt; """") * (Q878 &lt; SmartStatus!F$2:F1000)) + ((P878 &lt;&gt; """") * (date(year(P878) + 3, month(P"&amp;"878), day(P878)) &lt; SmartStatus!F$2:F1000))), (isblank(SmartStatus!G$2:G1000)) + (((Q878 &lt;&gt; """") * (Q878 &gt;= SmartStatus!G$2:G1000)) + ((P878 &lt;&gt; """") * (P878 &gt;= SmartStatus!G$2:G1000)))), if(or(regexmatch(B878, ""(?i)^ir [a-z]+ designation$""), N878 &lt;&gt; """&amp;"""), 1, 2))), """"), ""NO_MATCH"")"),"")</f>
        <v/>
      </c>
      <c r="AS878" s="11"/>
      <c r="AT878" s="15"/>
      <c r="AU878" s="11"/>
      <c r="AV878" s="11"/>
      <c r="AW878" s="15"/>
      <c r="AX878" s="15"/>
      <c r="AY878" s="15"/>
      <c r="AZ878" s="11"/>
      <c r="BA878" s="15"/>
      <c r="BB878" s="11"/>
      <c r="BC878" s="11"/>
      <c r="BD878" s="15"/>
      <c r="BE878" s="11"/>
      <c r="BF878" s="11"/>
      <c r="BG878" s="15"/>
      <c r="BH878" s="15"/>
      <c r="BI878" s="15"/>
      <c r="BJ878" s="11"/>
      <c r="BK878" s="15"/>
      <c r="BL878" s="11"/>
      <c r="BM878" s="11"/>
      <c r="BN878" s="15"/>
      <c r="BO878" s="11"/>
      <c r="BP878" s="11"/>
      <c r="BQ878" s="15"/>
      <c r="BR878" s="15"/>
      <c r="BS878" s="15"/>
      <c r="BT878" s="11"/>
      <c r="BU878" s="15"/>
      <c r="BV878" s="11"/>
      <c r="BW878" s="11"/>
      <c r="BX878" s="15"/>
      <c r="BY878" s="11"/>
      <c r="BZ878" s="11"/>
      <c r="CA878" s="15"/>
      <c r="CB878" s="11"/>
      <c r="CC878" s="15"/>
      <c r="CD878" s="11"/>
      <c r="CE878" s="15"/>
      <c r="CF878" s="11"/>
      <c r="CG878" s="11"/>
      <c r="CH878" s="15"/>
      <c r="CI878" s="11"/>
      <c r="CJ878" s="11"/>
      <c r="CK878" s="15"/>
      <c r="CL878" s="11"/>
      <c r="CM878" s="11"/>
      <c r="CN878" s="11"/>
      <c r="CO878" s="11"/>
      <c r="CP878" s="28"/>
      <c r="CQ878" s="28"/>
      <c r="CR878" s="11"/>
      <c r="CS878" s="29"/>
      <c r="CT878" s="11"/>
      <c r="CU878" s="11"/>
      <c r="CV878" s="11"/>
      <c r="CW878" s="11"/>
      <c r="CX878" s="11"/>
      <c r="CY878" s="11"/>
      <c r="CZ878" s="11"/>
      <c r="DA878" s="28"/>
      <c r="DB878" s="28"/>
      <c r="DC878" s="11"/>
      <c r="DD878" s="29"/>
      <c r="DE878" s="11"/>
      <c r="DF878" s="11"/>
      <c r="DG878" s="11"/>
      <c r="DH878" s="11"/>
      <c r="DI878" s="11"/>
      <c r="DJ878" s="11"/>
      <c r="DK878" s="26"/>
      <c r="DL878" s="11"/>
      <c r="DM878" s="29"/>
      <c r="DN878" s="28"/>
      <c r="DO878" s="11"/>
      <c r="DP878" s="11"/>
      <c r="DQ878" s="11"/>
      <c r="DR878" s="29"/>
      <c r="DS878" s="28"/>
      <c r="DT878" s="11"/>
      <c r="DU878" s="26"/>
      <c r="DV878" s="11"/>
      <c r="DW878" s="29"/>
      <c r="DX878" s="28"/>
      <c r="DY878" s="11"/>
      <c r="DZ878" s="26"/>
      <c r="EA878" s="11"/>
      <c r="EB878" s="29"/>
      <c r="EC878" s="28"/>
      <c r="ED878" s="30"/>
      <c r="EE878" s="30" t="str">
        <f ca="1">IFERROR(__xludf.DUMMYFUNCTION("iferror(index(filter('Internal -- Trademark Countries'!E$2:E1000, (AM878 = 'Internal -- Trademark Countries'!B$2:B1000) + (AM878 = 'Internal -- Trademark Countries'!C$2:C1000) + (AM878 = 'Internal -- Trademark Countries'!D$2:D1000)), 1))"),"")</f>
        <v/>
      </c>
      <c r="EF878" s="30" t="e">
        <f ca="1">_xludf.ifs(AM878="", "", COUNTIF('Internal -- Trademark Countries'!B:B,AM878) &gt; 0, "polity_shortest_name", COUNTIF('Internal -- Trademark Countries'!C:C,AM878) &gt; 0, "polity_full_name", COUNTIF('Internal -- Trademark Countries'!D:D,AM878) &gt; 0, "polity_common_name", COUNTIF('Internal -- Trademark Countries'!E:E,AM878) &gt; 0, "shortest_name", COUNTIF('Internal -- Trademark Countries'!A:A,AM878) &gt; 0, "full_name", TRUE, "not a match")</f>
        <v>#NAME?</v>
      </c>
      <c r="EG878" s="30"/>
      <c r="EH878" s="30"/>
      <c r="EI878" s="30"/>
      <c r="EJ878" s="30"/>
      <c r="EK878" s="30" t="str">
        <f t="shared" si="5"/>
        <v/>
      </c>
    </row>
    <row r="879" spans="1:141" ht="16.5">
      <c r="A879" s="11"/>
      <c r="B879" s="11"/>
      <c r="C879" s="11"/>
      <c r="D879" s="11"/>
      <c r="E879" s="11"/>
      <c r="F879" s="11"/>
      <c r="G879" s="11"/>
      <c r="H879" s="11"/>
      <c r="I879" s="11"/>
      <c r="J879" s="11"/>
      <c r="K879" s="27"/>
      <c r="L879" s="11"/>
      <c r="M879" s="11"/>
      <c r="N879" s="11"/>
      <c r="O879" s="11"/>
      <c r="P879" s="15"/>
      <c r="Q879" s="15"/>
      <c r="R879" s="15"/>
      <c r="S879" s="15"/>
      <c r="T879" s="15"/>
      <c r="U879" s="15"/>
      <c r="V879" s="15"/>
      <c r="W879" s="47"/>
      <c r="X879" s="11"/>
      <c r="Y879" s="48"/>
      <c r="Z879" s="11"/>
      <c r="AA879" s="48"/>
      <c r="AB879" s="11"/>
      <c r="AC879" s="48"/>
      <c r="AD879" s="11"/>
      <c r="AE879" s="47"/>
      <c r="AF879" s="11"/>
      <c r="AG879" s="48"/>
      <c r="AH879" s="11"/>
      <c r="AI879" s="48"/>
      <c r="AJ879" s="11"/>
      <c r="AK879" s="48"/>
      <c r="AL879" s="11"/>
      <c r="AM879" s="49"/>
      <c r="AN879" s="49"/>
      <c r="AO879" s="11"/>
      <c r="AP879" s="11"/>
      <c r="AQ879" s="28" t="b">
        <f>IF(COUNTIF(SmartStatus!A$2:A1000, AM879) &gt; 2, TRUE, FALSE)</f>
        <v>0</v>
      </c>
      <c r="AR879" s="29" t="str">
        <f ca="1">IFERROR(__xludf.DUMMYFUNCTION("iferror(if(regexmatch(AO879, ""(?i)^registered""), if(EE879 &lt;&gt; ""polity_shortest_name"", ""CHECK_POLITY"", index(filter(SmartStatus!B$2:B1000, AM879 = SmartStatus!A$2:A1000, not(SmartStatus!C$2:C1000), (isblank(SmartStatus!D$2:D1000)) + ((P879 &lt;&gt; """") * "&amp;"(P879 &lt; SmartStatus!D$2:D1000)), (isblank(SmartStatus!E$2:E1000)) + ((P879 &lt;&gt; """") * (P879 &gt;= SmartStatus!E$2:E1000)), (isblank(SmartStatus!F$2:F1000)) + (((Q879 &lt;&gt; """") * (Q879 &lt; SmartStatus!F$2:F1000)) + ((P879 &lt;&gt; """") * (date(year(P879) + 3, month(P"&amp;"879), day(P879)) &lt; SmartStatus!F$2:F1000))), (isblank(SmartStatus!G$2:G1000)) + (((Q879 &lt;&gt; """") * (Q879 &gt;= SmartStatus!G$2:G1000)) + ((P879 &lt;&gt; """") * (P879 &gt;= SmartStatus!G$2:G1000)))), if(or(regexmatch(B879, ""(?i)^ir [a-z]+ designation$""), N879 &lt;&gt; """&amp;"""), 1, 2))), """"), ""NO_MATCH"")"),"")</f>
        <v/>
      </c>
      <c r="AS879" s="11"/>
      <c r="AT879" s="15"/>
      <c r="AU879" s="11"/>
      <c r="AV879" s="11"/>
      <c r="AW879" s="15"/>
      <c r="AX879" s="15"/>
      <c r="AY879" s="15"/>
      <c r="AZ879" s="11"/>
      <c r="BA879" s="15"/>
      <c r="BB879" s="11"/>
      <c r="BC879" s="11"/>
      <c r="BD879" s="15"/>
      <c r="BE879" s="11"/>
      <c r="BF879" s="11"/>
      <c r="BG879" s="15"/>
      <c r="BH879" s="15"/>
      <c r="BI879" s="15"/>
      <c r="BJ879" s="11"/>
      <c r="BK879" s="15"/>
      <c r="BL879" s="11"/>
      <c r="BM879" s="11"/>
      <c r="BN879" s="15"/>
      <c r="BO879" s="11"/>
      <c r="BP879" s="11"/>
      <c r="BQ879" s="15"/>
      <c r="BR879" s="15"/>
      <c r="BS879" s="15"/>
      <c r="BT879" s="11"/>
      <c r="BU879" s="15"/>
      <c r="BV879" s="11"/>
      <c r="BW879" s="11"/>
      <c r="BX879" s="15"/>
      <c r="BY879" s="11"/>
      <c r="BZ879" s="11"/>
      <c r="CA879" s="15"/>
      <c r="CB879" s="11"/>
      <c r="CC879" s="15"/>
      <c r="CD879" s="11"/>
      <c r="CE879" s="15"/>
      <c r="CF879" s="11"/>
      <c r="CG879" s="11"/>
      <c r="CH879" s="15"/>
      <c r="CI879" s="11"/>
      <c r="CJ879" s="11"/>
      <c r="CK879" s="15"/>
      <c r="CL879" s="11"/>
      <c r="CM879" s="11"/>
      <c r="CN879" s="11"/>
      <c r="CO879" s="11"/>
      <c r="CP879" s="28"/>
      <c r="CQ879" s="28"/>
      <c r="CR879" s="11"/>
      <c r="CS879" s="29"/>
      <c r="CT879" s="11"/>
      <c r="CU879" s="11"/>
      <c r="CV879" s="11"/>
      <c r="CW879" s="11"/>
      <c r="CX879" s="11"/>
      <c r="CY879" s="11"/>
      <c r="CZ879" s="11"/>
      <c r="DA879" s="28"/>
      <c r="DB879" s="28"/>
      <c r="DC879" s="11"/>
      <c r="DD879" s="29"/>
      <c r="DE879" s="11"/>
      <c r="DF879" s="11"/>
      <c r="DG879" s="11"/>
      <c r="DH879" s="11"/>
      <c r="DI879" s="11"/>
      <c r="DJ879" s="11"/>
      <c r="DK879" s="26"/>
      <c r="DL879" s="11"/>
      <c r="DM879" s="29"/>
      <c r="DN879" s="28"/>
      <c r="DO879" s="11"/>
      <c r="DP879" s="11"/>
      <c r="DQ879" s="11"/>
      <c r="DR879" s="29"/>
      <c r="DS879" s="28"/>
      <c r="DT879" s="11"/>
      <c r="DU879" s="26"/>
      <c r="DV879" s="11"/>
      <c r="DW879" s="29"/>
      <c r="DX879" s="28"/>
      <c r="DY879" s="11"/>
      <c r="DZ879" s="26"/>
      <c r="EA879" s="11"/>
      <c r="EB879" s="29"/>
      <c r="EC879" s="28"/>
      <c r="ED879" s="30"/>
      <c r="EE879" s="30" t="str">
        <f ca="1">IFERROR(__xludf.DUMMYFUNCTION("iferror(index(filter('Internal -- Trademark Countries'!E$2:E1000, (AM879 = 'Internal -- Trademark Countries'!B$2:B1000) + (AM879 = 'Internal -- Trademark Countries'!C$2:C1000) + (AM879 = 'Internal -- Trademark Countries'!D$2:D1000)), 1))"),"")</f>
        <v/>
      </c>
      <c r="EF879" s="30" t="e">
        <f ca="1">_xludf.ifs(AM879="", "", COUNTIF('Internal -- Trademark Countries'!B:B,AM879) &gt; 0, "polity_shortest_name", COUNTIF('Internal -- Trademark Countries'!C:C,AM879) &gt; 0, "polity_full_name", COUNTIF('Internal -- Trademark Countries'!D:D,AM879) &gt; 0, "polity_common_name", COUNTIF('Internal -- Trademark Countries'!E:E,AM879) &gt; 0, "shortest_name", COUNTIF('Internal -- Trademark Countries'!A:A,AM879) &gt; 0, "full_name", TRUE, "not a match")</f>
        <v>#NAME?</v>
      </c>
      <c r="EG879" s="30"/>
      <c r="EH879" s="30"/>
      <c r="EI879" s="30"/>
      <c r="EJ879" s="30"/>
      <c r="EK879" s="30" t="str">
        <f t="shared" si="5"/>
        <v/>
      </c>
    </row>
    <row r="880" spans="1:141" ht="16.5">
      <c r="A880" s="11"/>
      <c r="B880" s="11"/>
      <c r="C880" s="11"/>
      <c r="D880" s="11"/>
      <c r="E880" s="11"/>
      <c r="F880" s="11"/>
      <c r="G880" s="11"/>
      <c r="H880" s="11"/>
      <c r="I880" s="11"/>
      <c r="J880" s="11"/>
      <c r="K880" s="27"/>
      <c r="L880" s="11"/>
      <c r="M880" s="11"/>
      <c r="N880" s="11"/>
      <c r="O880" s="11"/>
      <c r="P880" s="15"/>
      <c r="Q880" s="15"/>
      <c r="R880" s="15"/>
      <c r="S880" s="15"/>
      <c r="T880" s="15"/>
      <c r="U880" s="15"/>
      <c r="V880" s="15"/>
      <c r="W880" s="47"/>
      <c r="X880" s="11"/>
      <c r="Y880" s="48"/>
      <c r="Z880" s="11"/>
      <c r="AA880" s="48"/>
      <c r="AB880" s="11"/>
      <c r="AC880" s="48"/>
      <c r="AD880" s="11"/>
      <c r="AE880" s="47"/>
      <c r="AF880" s="11"/>
      <c r="AG880" s="48"/>
      <c r="AH880" s="11"/>
      <c r="AI880" s="48"/>
      <c r="AJ880" s="11"/>
      <c r="AK880" s="48"/>
      <c r="AL880" s="11"/>
      <c r="AM880" s="49"/>
      <c r="AN880" s="49"/>
      <c r="AO880" s="11"/>
      <c r="AP880" s="11"/>
      <c r="AQ880" s="28" t="b">
        <f>IF(COUNTIF(SmartStatus!A$2:A1000, AM880) &gt; 2, TRUE, FALSE)</f>
        <v>0</v>
      </c>
      <c r="AR880" s="29" t="str">
        <f ca="1">IFERROR(__xludf.DUMMYFUNCTION("iferror(if(regexmatch(AO880, ""(?i)^registered""), if(EE880 &lt;&gt; ""polity_shortest_name"", ""CHECK_POLITY"", index(filter(SmartStatus!B$2:B1000, AM880 = SmartStatus!A$2:A1000, not(SmartStatus!C$2:C1000), (isblank(SmartStatus!D$2:D1000)) + ((P880 &lt;&gt; """") * "&amp;"(P880 &lt; SmartStatus!D$2:D1000)), (isblank(SmartStatus!E$2:E1000)) + ((P880 &lt;&gt; """") * (P880 &gt;= SmartStatus!E$2:E1000)), (isblank(SmartStatus!F$2:F1000)) + (((Q880 &lt;&gt; """") * (Q880 &lt; SmartStatus!F$2:F1000)) + ((P880 &lt;&gt; """") * (date(year(P880) + 3, month(P"&amp;"880), day(P880)) &lt; SmartStatus!F$2:F1000))), (isblank(SmartStatus!G$2:G1000)) + (((Q880 &lt;&gt; """") * (Q880 &gt;= SmartStatus!G$2:G1000)) + ((P880 &lt;&gt; """") * (P880 &gt;= SmartStatus!G$2:G1000)))), if(or(regexmatch(B880, ""(?i)^ir [a-z]+ designation$""), N880 &lt;&gt; """&amp;"""), 1, 2))), """"), ""NO_MATCH"")"),"")</f>
        <v/>
      </c>
      <c r="AS880" s="11"/>
      <c r="AT880" s="15"/>
      <c r="AU880" s="11"/>
      <c r="AV880" s="11"/>
      <c r="AW880" s="15"/>
      <c r="AX880" s="15"/>
      <c r="AY880" s="15"/>
      <c r="AZ880" s="11"/>
      <c r="BA880" s="15"/>
      <c r="BB880" s="11"/>
      <c r="BC880" s="11"/>
      <c r="BD880" s="15"/>
      <c r="BE880" s="11"/>
      <c r="BF880" s="11"/>
      <c r="BG880" s="15"/>
      <c r="BH880" s="15"/>
      <c r="BI880" s="15"/>
      <c r="BJ880" s="11"/>
      <c r="BK880" s="15"/>
      <c r="BL880" s="11"/>
      <c r="BM880" s="11"/>
      <c r="BN880" s="15"/>
      <c r="BO880" s="11"/>
      <c r="BP880" s="11"/>
      <c r="BQ880" s="15"/>
      <c r="BR880" s="15"/>
      <c r="BS880" s="15"/>
      <c r="BT880" s="11"/>
      <c r="BU880" s="15"/>
      <c r="BV880" s="11"/>
      <c r="BW880" s="11"/>
      <c r="BX880" s="15"/>
      <c r="BY880" s="11"/>
      <c r="BZ880" s="11"/>
      <c r="CA880" s="15"/>
      <c r="CB880" s="11"/>
      <c r="CC880" s="15"/>
      <c r="CD880" s="11"/>
      <c r="CE880" s="15"/>
      <c r="CF880" s="11"/>
      <c r="CG880" s="11"/>
      <c r="CH880" s="15"/>
      <c r="CI880" s="11"/>
      <c r="CJ880" s="11"/>
      <c r="CK880" s="15"/>
      <c r="CL880" s="11"/>
      <c r="CM880" s="11"/>
      <c r="CN880" s="11"/>
      <c r="CO880" s="11"/>
      <c r="CP880" s="28"/>
      <c r="CQ880" s="28"/>
      <c r="CR880" s="11"/>
      <c r="CS880" s="29"/>
      <c r="CT880" s="11"/>
      <c r="CU880" s="11"/>
      <c r="CV880" s="11"/>
      <c r="CW880" s="11"/>
      <c r="CX880" s="11"/>
      <c r="CY880" s="11"/>
      <c r="CZ880" s="11"/>
      <c r="DA880" s="28"/>
      <c r="DB880" s="28"/>
      <c r="DC880" s="11"/>
      <c r="DD880" s="29"/>
      <c r="DE880" s="11"/>
      <c r="DF880" s="11"/>
      <c r="DG880" s="11"/>
      <c r="DH880" s="11"/>
      <c r="DI880" s="11"/>
      <c r="DJ880" s="11"/>
      <c r="DK880" s="26"/>
      <c r="DL880" s="11"/>
      <c r="DM880" s="29"/>
      <c r="DN880" s="28"/>
      <c r="DO880" s="11"/>
      <c r="DP880" s="11"/>
      <c r="DQ880" s="11"/>
      <c r="DR880" s="29"/>
      <c r="DS880" s="28"/>
      <c r="DT880" s="11"/>
      <c r="DU880" s="26"/>
      <c r="DV880" s="11"/>
      <c r="DW880" s="29"/>
      <c r="DX880" s="28"/>
      <c r="DY880" s="11"/>
      <c r="DZ880" s="26"/>
      <c r="EA880" s="11"/>
      <c r="EB880" s="29"/>
      <c r="EC880" s="28"/>
      <c r="ED880" s="30"/>
      <c r="EE880" s="30" t="str">
        <f ca="1">IFERROR(__xludf.DUMMYFUNCTION("iferror(index(filter('Internal -- Trademark Countries'!E$2:E1000, (AM880 = 'Internal -- Trademark Countries'!B$2:B1000) + (AM880 = 'Internal -- Trademark Countries'!C$2:C1000) + (AM880 = 'Internal -- Trademark Countries'!D$2:D1000)), 1))"),"")</f>
        <v/>
      </c>
      <c r="EF880" s="30" t="e">
        <f ca="1">_xludf.ifs(AM880="", "", COUNTIF('Internal -- Trademark Countries'!B:B,AM880) &gt; 0, "polity_shortest_name", COUNTIF('Internal -- Trademark Countries'!C:C,AM880) &gt; 0, "polity_full_name", COUNTIF('Internal -- Trademark Countries'!D:D,AM880) &gt; 0, "polity_common_name", COUNTIF('Internal -- Trademark Countries'!E:E,AM880) &gt; 0, "shortest_name", COUNTIF('Internal -- Trademark Countries'!A:A,AM880) &gt; 0, "full_name", TRUE, "not a match")</f>
        <v>#NAME?</v>
      </c>
      <c r="EG880" s="30"/>
      <c r="EH880" s="30"/>
      <c r="EI880" s="30"/>
      <c r="EJ880" s="30"/>
      <c r="EK880" s="30" t="str">
        <f t="shared" si="5"/>
        <v/>
      </c>
    </row>
    <row r="881" spans="1:141" ht="16.5">
      <c r="A881" s="11"/>
      <c r="B881" s="11"/>
      <c r="C881" s="11"/>
      <c r="D881" s="11"/>
      <c r="E881" s="11"/>
      <c r="F881" s="11"/>
      <c r="G881" s="11"/>
      <c r="H881" s="11"/>
      <c r="I881" s="11"/>
      <c r="J881" s="11"/>
      <c r="K881" s="27"/>
      <c r="L881" s="11"/>
      <c r="M881" s="11"/>
      <c r="N881" s="11"/>
      <c r="O881" s="11"/>
      <c r="P881" s="15"/>
      <c r="Q881" s="15"/>
      <c r="R881" s="15"/>
      <c r="S881" s="15"/>
      <c r="T881" s="15"/>
      <c r="U881" s="15"/>
      <c r="V881" s="15"/>
      <c r="W881" s="47"/>
      <c r="X881" s="11"/>
      <c r="Y881" s="48"/>
      <c r="Z881" s="11"/>
      <c r="AA881" s="48"/>
      <c r="AB881" s="11"/>
      <c r="AC881" s="48"/>
      <c r="AD881" s="11"/>
      <c r="AE881" s="47"/>
      <c r="AF881" s="11"/>
      <c r="AG881" s="48"/>
      <c r="AH881" s="11"/>
      <c r="AI881" s="48"/>
      <c r="AJ881" s="11"/>
      <c r="AK881" s="48"/>
      <c r="AL881" s="11"/>
      <c r="AM881" s="49"/>
      <c r="AN881" s="49"/>
      <c r="AO881" s="11"/>
      <c r="AP881" s="11"/>
      <c r="AQ881" s="28" t="b">
        <f>IF(COUNTIF(SmartStatus!A$2:A1000, AM881) &gt; 2, TRUE, FALSE)</f>
        <v>0</v>
      </c>
      <c r="AR881" s="29" t="str">
        <f ca="1">IFERROR(__xludf.DUMMYFUNCTION("iferror(if(regexmatch(AO881, ""(?i)^registered""), if(EE881 &lt;&gt; ""polity_shortest_name"", ""CHECK_POLITY"", index(filter(SmartStatus!B$2:B1000, AM881 = SmartStatus!A$2:A1000, not(SmartStatus!C$2:C1000), (isblank(SmartStatus!D$2:D1000)) + ((P881 &lt;&gt; """") * "&amp;"(P881 &lt; SmartStatus!D$2:D1000)), (isblank(SmartStatus!E$2:E1000)) + ((P881 &lt;&gt; """") * (P881 &gt;= SmartStatus!E$2:E1000)), (isblank(SmartStatus!F$2:F1000)) + (((Q881 &lt;&gt; """") * (Q881 &lt; SmartStatus!F$2:F1000)) + ((P881 &lt;&gt; """") * (date(year(P881) + 3, month(P"&amp;"881), day(P881)) &lt; SmartStatus!F$2:F1000))), (isblank(SmartStatus!G$2:G1000)) + (((Q881 &lt;&gt; """") * (Q881 &gt;= SmartStatus!G$2:G1000)) + ((P881 &lt;&gt; """") * (P881 &gt;= SmartStatus!G$2:G1000)))), if(or(regexmatch(B881, ""(?i)^ir [a-z]+ designation$""), N881 &lt;&gt; """&amp;"""), 1, 2))), """"), ""NO_MATCH"")"),"")</f>
        <v/>
      </c>
      <c r="AS881" s="11"/>
      <c r="AT881" s="15"/>
      <c r="AU881" s="11"/>
      <c r="AV881" s="11"/>
      <c r="AW881" s="15"/>
      <c r="AX881" s="15"/>
      <c r="AY881" s="15"/>
      <c r="AZ881" s="11"/>
      <c r="BA881" s="15"/>
      <c r="BB881" s="11"/>
      <c r="BC881" s="11"/>
      <c r="BD881" s="15"/>
      <c r="BE881" s="11"/>
      <c r="BF881" s="11"/>
      <c r="BG881" s="15"/>
      <c r="BH881" s="15"/>
      <c r="BI881" s="15"/>
      <c r="BJ881" s="11"/>
      <c r="BK881" s="15"/>
      <c r="BL881" s="11"/>
      <c r="BM881" s="11"/>
      <c r="BN881" s="15"/>
      <c r="BO881" s="11"/>
      <c r="BP881" s="11"/>
      <c r="BQ881" s="15"/>
      <c r="BR881" s="15"/>
      <c r="BS881" s="15"/>
      <c r="BT881" s="11"/>
      <c r="BU881" s="15"/>
      <c r="BV881" s="11"/>
      <c r="BW881" s="11"/>
      <c r="BX881" s="15"/>
      <c r="BY881" s="11"/>
      <c r="BZ881" s="11"/>
      <c r="CA881" s="15"/>
      <c r="CB881" s="11"/>
      <c r="CC881" s="15"/>
      <c r="CD881" s="11"/>
      <c r="CE881" s="15"/>
      <c r="CF881" s="11"/>
      <c r="CG881" s="11"/>
      <c r="CH881" s="15"/>
      <c r="CI881" s="11"/>
      <c r="CJ881" s="11"/>
      <c r="CK881" s="15"/>
      <c r="CL881" s="11"/>
      <c r="CM881" s="11"/>
      <c r="CN881" s="11"/>
      <c r="CO881" s="11"/>
      <c r="CP881" s="28"/>
      <c r="CQ881" s="28"/>
      <c r="CR881" s="11"/>
      <c r="CS881" s="29"/>
      <c r="CT881" s="11"/>
      <c r="CU881" s="11"/>
      <c r="CV881" s="11"/>
      <c r="CW881" s="11"/>
      <c r="CX881" s="11"/>
      <c r="CY881" s="11"/>
      <c r="CZ881" s="11"/>
      <c r="DA881" s="28"/>
      <c r="DB881" s="28"/>
      <c r="DC881" s="11"/>
      <c r="DD881" s="29"/>
      <c r="DE881" s="11"/>
      <c r="DF881" s="11"/>
      <c r="DG881" s="11"/>
      <c r="DH881" s="11"/>
      <c r="DI881" s="11"/>
      <c r="DJ881" s="11"/>
      <c r="DK881" s="26"/>
      <c r="DL881" s="11"/>
      <c r="DM881" s="29"/>
      <c r="DN881" s="28"/>
      <c r="DO881" s="11"/>
      <c r="DP881" s="11"/>
      <c r="DQ881" s="11"/>
      <c r="DR881" s="29"/>
      <c r="DS881" s="28"/>
      <c r="DT881" s="11"/>
      <c r="DU881" s="26"/>
      <c r="DV881" s="11"/>
      <c r="DW881" s="29"/>
      <c r="DX881" s="28"/>
      <c r="DY881" s="11"/>
      <c r="DZ881" s="26"/>
      <c r="EA881" s="11"/>
      <c r="EB881" s="29"/>
      <c r="EC881" s="28"/>
      <c r="ED881" s="30"/>
      <c r="EE881" s="30" t="str">
        <f ca="1">IFERROR(__xludf.DUMMYFUNCTION("iferror(index(filter('Internal -- Trademark Countries'!E$2:E1000, (AM881 = 'Internal -- Trademark Countries'!B$2:B1000) + (AM881 = 'Internal -- Trademark Countries'!C$2:C1000) + (AM881 = 'Internal -- Trademark Countries'!D$2:D1000)), 1))"),"")</f>
        <v/>
      </c>
      <c r="EF881" s="30" t="e">
        <f ca="1">_xludf.ifs(AM881="", "", COUNTIF('Internal -- Trademark Countries'!B:B,AM881) &gt; 0, "polity_shortest_name", COUNTIF('Internal -- Trademark Countries'!C:C,AM881) &gt; 0, "polity_full_name", COUNTIF('Internal -- Trademark Countries'!D:D,AM881) &gt; 0, "polity_common_name", COUNTIF('Internal -- Trademark Countries'!E:E,AM881) &gt; 0, "shortest_name", COUNTIF('Internal -- Trademark Countries'!A:A,AM881) &gt; 0, "full_name", TRUE, "not a match")</f>
        <v>#NAME?</v>
      </c>
      <c r="EG881" s="30"/>
      <c r="EH881" s="30"/>
      <c r="EI881" s="30"/>
      <c r="EJ881" s="30"/>
      <c r="EK881" s="30" t="str">
        <f t="shared" si="5"/>
        <v/>
      </c>
    </row>
    <row r="882" spans="1:141" ht="16.5">
      <c r="A882" s="11"/>
      <c r="B882" s="11"/>
      <c r="C882" s="11"/>
      <c r="D882" s="11"/>
      <c r="E882" s="11"/>
      <c r="F882" s="11"/>
      <c r="G882" s="11"/>
      <c r="H882" s="11"/>
      <c r="I882" s="11"/>
      <c r="J882" s="11"/>
      <c r="K882" s="27"/>
      <c r="L882" s="11"/>
      <c r="M882" s="11"/>
      <c r="N882" s="11"/>
      <c r="O882" s="11"/>
      <c r="P882" s="15"/>
      <c r="Q882" s="15"/>
      <c r="R882" s="15"/>
      <c r="S882" s="15"/>
      <c r="T882" s="15"/>
      <c r="U882" s="15"/>
      <c r="V882" s="15"/>
      <c r="W882" s="47"/>
      <c r="X882" s="11"/>
      <c r="Y882" s="48"/>
      <c r="Z882" s="11"/>
      <c r="AA882" s="48"/>
      <c r="AB882" s="11"/>
      <c r="AC882" s="48"/>
      <c r="AD882" s="11"/>
      <c r="AE882" s="47"/>
      <c r="AF882" s="11"/>
      <c r="AG882" s="48"/>
      <c r="AH882" s="11"/>
      <c r="AI882" s="48"/>
      <c r="AJ882" s="11"/>
      <c r="AK882" s="48"/>
      <c r="AL882" s="11"/>
      <c r="AM882" s="49"/>
      <c r="AN882" s="49"/>
      <c r="AO882" s="11"/>
      <c r="AP882" s="11"/>
      <c r="AQ882" s="28" t="b">
        <f>IF(COUNTIF(SmartStatus!A$2:A1000, AM882) &gt; 2, TRUE, FALSE)</f>
        <v>0</v>
      </c>
      <c r="AR882" s="29" t="str">
        <f ca="1">IFERROR(__xludf.DUMMYFUNCTION("iferror(if(regexmatch(AO882, ""(?i)^registered""), if(EE882 &lt;&gt; ""polity_shortest_name"", ""CHECK_POLITY"", index(filter(SmartStatus!B$2:B1000, AM882 = SmartStatus!A$2:A1000, not(SmartStatus!C$2:C1000), (isblank(SmartStatus!D$2:D1000)) + ((P882 &lt;&gt; """") * "&amp;"(P882 &lt; SmartStatus!D$2:D1000)), (isblank(SmartStatus!E$2:E1000)) + ((P882 &lt;&gt; """") * (P882 &gt;= SmartStatus!E$2:E1000)), (isblank(SmartStatus!F$2:F1000)) + (((Q882 &lt;&gt; """") * (Q882 &lt; SmartStatus!F$2:F1000)) + ((P882 &lt;&gt; """") * (date(year(P882) + 3, month(P"&amp;"882), day(P882)) &lt; SmartStatus!F$2:F1000))), (isblank(SmartStatus!G$2:G1000)) + (((Q882 &lt;&gt; """") * (Q882 &gt;= SmartStatus!G$2:G1000)) + ((P882 &lt;&gt; """") * (P882 &gt;= SmartStatus!G$2:G1000)))), if(or(regexmatch(B882, ""(?i)^ir [a-z]+ designation$""), N882 &lt;&gt; """&amp;"""), 1, 2))), """"), ""NO_MATCH"")"),"")</f>
        <v/>
      </c>
      <c r="AS882" s="11"/>
      <c r="AT882" s="15"/>
      <c r="AU882" s="11"/>
      <c r="AV882" s="11"/>
      <c r="AW882" s="15"/>
      <c r="AX882" s="15"/>
      <c r="AY882" s="15"/>
      <c r="AZ882" s="11"/>
      <c r="BA882" s="15"/>
      <c r="BB882" s="11"/>
      <c r="BC882" s="11"/>
      <c r="BD882" s="15"/>
      <c r="BE882" s="11"/>
      <c r="BF882" s="11"/>
      <c r="BG882" s="15"/>
      <c r="BH882" s="15"/>
      <c r="BI882" s="15"/>
      <c r="BJ882" s="11"/>
      <c r="BK882" s="15"/>
      <c r="BL882" s="11"/>
      <c r="BM882" s="11"/>
      <c r="BN882" s="15"/>
      <c r="BO882" s="11"/>
      <c r="BP882" s="11"/>
      <c r="BQ882" s="15"/>
      <c r="BR882" s="15"/>
      <c r="BS882" s="15"/>
      <c r="BT882" s="11"/>
      <c r="BU882" s="15"/>
      <c r="BV882" s="11"/>
      <c r="BW882" s="11"/>
      <c r="BX882" s="15"/>
      <c r="BY882" s="11"/>
      <c r="BZ882" s="11"/>
      <c r="CA882" s="15"/>
      <c r="CB882" s="11"/>
      <c r="CC882" s="15"/>
      <c r="CD882" s="11"/>
      <c r="CE882" s="15"/>
      <c r="CF882" s="11"/>
      <c r="CG882" s="11"/>
      <c r="CH882" s="15"/>
      <c r="CI882" s="11"/>
      <c r="CJ882" s="11"/>
      <c r="CK882" s="15"/>
      <c r="CL882" s="11"/>
      <c r="CM882" s="11"/>
      <c r="CN882" s="11"/>
      <c r="CO882" s="11"/>
      <c r="CP882" s="28"/>
      <c r="CQ882" s="28"/>
      <c r="CR882" s="11"/>
      <c r="CS882" s="29"/>
      <c r="CT882" s="11"/>
      <c r="CU882" s="11"/>
      <c r="CV882" s="11"/>
      <c r="CW882" s="11"/>
      <c r="CX882" s="11"/>
      <c r="CY882" s="11"/>
      <c r="CZ882" s="11"/>
      <c r="DA882" s="28"/>
      <c r="DB882" s="28"/>
      <c r="DC882" s="11"/>
      <c r="DD882" s="29"/>
      <c r="DE882" s="11"/>
      <c r="DF882" s="11"/>
      <c r="DG882" s="11"/>
      <c r="DH882" s="11"/>
      <c r="DI882" s="11"/>
      <c r="DJ882" s="11"/>
      <c r="DK882" s="26"/>
      <c r="DL882" s="11"/>
      <c r="DM882" s="29"/>
      <c r="DN882" s="28"/>
      <c r="DO882" s="11"/>
      <c r="DP882" s="11"/>
      <c r="DQ882" s="11"/>
      <c r="DR882" s="29"/>
      <c r="DS882" s="28"/>
      <c r="DT882" s="11"/>
      <c r="DU882" s="26"/>
      <c r="DV882" s="11"/>
      <c r="DW882" s="29"/>
      <c r="DX882" s="28"/>
      <c r="DY882" s="11"/>
      <c r="DZ882" s="26"/>
      <c r="EA882" s="11"/>
      <c r="EB882" s="29"/>
      <c r="EC882" s="28"/>
      <c r="ED882" s="30"/>
      <c r="EE882" s="30" t="str">
        <f ca="1">IFERROR(__xludf.DUMMYFUNCTION("iferror(index(filter('Internal -- Trademark Countries'!E$2:E1000, (AM882 = 'Internal -- Trademark Countries'!B$2:B1000) + (AM882 = 'Internal -- Trademark Countries'!C$2:C1000) + (AM882 = 'Internal -- Trademark Countries'!D$2:D1000)), 1))"),"")</f>
        <v/>
      </c>
      <c r="EF882" s="30" t="e">
        <f ca="1">_xludf.ifs(AM882="", "", COUNTIF('Internal -- Trademark Countries'!B:B,AM882) &gt; 0, "polity_shortest_name", COUNTIF('Internal -- Trademark Countries'!C:C,AM882) &gt; 0, "polity_full_name", COUNTIF('Internal -- Trademark Countries'!D:D,AM882) &gt; 0, "polity_common_name", COUNTIF('Internal -- Trademark Countries'!E:E,AM882) &gt; 0, "shortest_name", COUNTIF('Internal -- Trademark Countries'!A:A,AM882) &gt; 0, "full_name", TRUE, "not a match")</f>
        <v>#NAME?</v>
      </c>
      <c r="EG882" s="30"/>
      <c r="EH882" s="30"/>
      <c r="EI882" s="30"/>
      <c r="EJ882" s="30"/>
      <c r="EK882" s="30" t="str">
        <f t="shared" si="5"/>
        <v/>
      </c>
    </row>
    <row r="883" spans="1:141" ht="16.5">
      <c r="A883" s="11"/>
      <c r="B883" s="11"/>
      <c r="C883" s="11"/>
      <c r="D883" s="11"/>
      <c r="E883" s="11"/>
      <c r="F883" s="11"/>
      <c r="G883" s="11"/>
      <c r="H883" s="11"/>
      <c r="I883" s="11"/>
      <c r="J883" s="11"/>
      <c r="K883" s="27"/>
      <c r="L883" s="11"/>
      <c r="M883" s="11"/>
      <c r="N883" s="11"/>
      <c r="O883" s="11"/>
      <c r="P883" s="15"/>
      <c r="Q883" s="15"/>
      <c r="R883" s="15"/>
      <c r="S883" s="15"/>
      <c r="T883" s="15"/>
      <c r="U883" s="15"/>
      <c r="V883" s="15"/>
      <c r="W883" s="47"/>
      <c r="X883" s="11"/>
      <c r="Y883" s="48"/>
      <c r="Z883" s="11"/>
      <c r="AA883" s="48"/>
      <c r="AB883" s="11"/>
      <c r="AC883" s="48"/>
      <c r="AD883" s="11"/>
      <c r="AE883" s="47"/>
      <c r="AF883" s="11"/>
      <c r="AG883" s="48"/>
      <c r="AH883" s="11"/>
      <c r="AI883" s="48"/>
      <c r="AJ883" s="11"/>
      <c r="AK883" s="48"/>
      <c r="AL883" s="11"/>
      <c r="AM883" s="49"/>
      <c r="AN883" s="49"/>
      <c r="AO883" s="11"/>
      <c r="AP883" s="11"/>
      <c r="AQ883" s="28" t="b">
        <f>IF(COUNTIF(SmartStatus!A$2:A1000, AM883) &gt; 2, TRUE, FALSE)</f>
        <v>0</v>
      </c>
      <c r="AR883" s="29" t="str">
        <f ca="1">IFERROR(__xludf.DUMMYFUNCTION("iferror(if(regexmatch(AO883, ""(?i)^registered""), if(EE883 &lt;&gt; ""polity_shortest_name"", ""CHECK_POLITY"", index(filter(SmartStatus!B$2:B1000, AM883 = SmartStatus!A$2:A1000, not(SmartStatus!C$2:C1000), (isblank(SmartStatus!D$2:D1000)) + ((P883 &lt;&gt; """") * "&amp;"(P883 &lt; SmartStatus!D$2:D1000)), (isblank(SmartStatus!E$2:E1000)) + ((P883 &lt;&gt; """") * (P883 &gt;= SmartStatus!E$2:E1000)), (isblank(SmartStatus!F$2:F1000)) + (((Q883 &lt;&gt; """") * (Q883 &lt; SmartStatus!F$2:F1000)) + ((P883 &lt;&gt; """") * (date(year(P883) + 3, month(P"&amp;"883), day(P883)) &lt; SmartStatus!F$2:F1000))), (isblank(SmartStatus!G$2:G1000)) + (((Q883 &lt;&gt; """") * (Q883 &gt;= SmartStatus!G$2:G1000)) + ((P883 &lt;&gt; """") * (P883 &gt;= SmartStatus!G$2:G1000)))), if(or(regexmatch(B883, ""(?i)^ir [a-z]+ designation$""), N883 &lt;&gt; """&amp;"""), 1, 2))), """"), ""NO_MATCH"")"),"")</f>
        <v/>
      </c>
      <c r="AS883" s="11"/>
      <c r="AT883" s="15"/>
      <c r="AU883" s="11"/>
      <c r="AV883" s="11"/>
      <c r="AW883" s="15"/>
      <c r="AX883" s="15"/>
      <c r="AY883" s="15"/>
      <c r="AZ883" s="11"/>
      <c r="BA883" s="15"/>
      <c r="BB883" s="11"/>
      <c r="BC883" s="11"/>
      <c r="BD883" s="15"/>
      <c r="BE883" s="11"/>
      <c r="BF883" s="11"/>
      <c r="BG883" s="15"/>
      <c r="BH883" s="15"/>
      <c r="BI883" s="15"/>
      <c r="BJ883" s="11"/>
      <c r="BK883" s="15"/>
      <c r="BL883" s="11"/>
      <c r="BM883" s="11"/>
      <c r="BN883" s="15"/>
      <c r="BO883" s="11"/>
      <c r="BP883" s="11"/>
      <c r="BQ883" s="15"/>
      <c r="BR883" s="15"/>
      <c r="BS883" s="15"/>
      <c r="BT883" s="11"/>
      <c r="BU883" s="15"/>
      <c r="BV883" s="11"/>
      <c r="BW883" s="11"/>
      <c r="BX883" s="15"/>
      <c r="BY883" s="11"/>
      <c r="BZ883" s="11"/>
      <c r="CA883" s="15"/>
      <c r="CB883" s="11"/>
      <c r="CC883" s="15"/>
      <c r="CD883" s="11"/>
      <c r="CE883" s="15"/>
      <c r="CF883" s="11"/>
      <c r="CG883" s="11"/>
      <c r="CH883" s="15"/>
      <c r="CI883" s="11"/>
      <c r="CJ883" s="11"/>
      <c r="CK883" s="15"/>
      <c r="CL883" s="11"/>
      <c r="CM883" s="11"/>
      <c r="CN883" s="11"/>
      <c r="CO883" s="11"/>
      <c r="CP883" s="28"/>
      <c r="CQ883" s="28"/>
      <c r="CR883" s="11"/>
      <c r="CS883" s="29"/>
      <c r="CT883" s="11"/>
      <c r="CU883" s="11"/>
      <c r="CV883" s="11"/>
      <c r="CW883" s="11"/>
      <c r="CX883" s="11"/>
      <c r="CY883" s="11"/>
      <c r="CZ883" s="11"/>
      <c r="DA883" s="28"/>
      <c r="DB883" s="28"/>
      <c r="DC883" s="11"/>
      <c r="DD883" s="29"/>
      <c r="DE883" s="11"/>
      <c r="DF883" s="11"/>
      <c r="DG883" s="11"/>
      <c r="DH883" s="11"/>
      <c r="DI883" s="11"/>
      <c r="DJ883" s="11"/>
      <c r="DK883" s="26"/>
      <c r="DL883" s="11"/>
      <c r="DM883" s="29"/>
      <c r="DN883" s="28"/>
      <c r="DO883" s="11"/>
      <c r="DP883" s="11"/>
      <c r="DQ883" s="11"/>
      <c r="DR883" s="29"/>
      <c r="DS883" s="28"/>
      <c r="DT883" s="11"/>
      <c r="DU883" s="26"/>
      <c r="DV883" s="11"/>
      <c r="DW883" s="29"/>
      <c r="DX883" s="28"/>
      <c r="DY883" s="11"/>
      <c r="DZ883" s="26"/>
      <c r="EA883" s="11"/>
      <c r="EB883" s="29"/>
      <c r="EC883" s="28"/>
      <c r="ED883" s="30"/>
      <c r="EE883" s="30" t="str">
        <f ca="1">IFERROR(__xludf.DUMMYFUNCTION("iferror(index(filter('Internal -- Trademark Countries'!E$2:E1000, (AM883 = 'Internal -- Trademark Countries'!B$2:B1000) + (AM883 = 'Internal -- Trademark Countries'!C$2:C1000) + (AM883 = 'Internal -- Trademark Countries'!D$2:D1000)), 1))"),"")</f>
        <v/>
      </c>
      <c r="EF883" s="30" t="e">
        <f ca="1">_xludf.ifs(AM883="", "", COUNTIF('Internal -- Trademark Countries'!B:B,AM883) &gt; 0, "polity_shortest_name", COUNTIF('Internal -- Trademark Countries'!C:C,AM883) &gt; 0, "polity_full_name", COUNTIF('Internal -- Trademark Countries'!D:D,AM883) &gt; 0, "polity_common_name", COUNTIF('Internal -- Trademark Countries'!E:E,AM883) &gt; 0, "shortest_name", COUNTIF('Internal -- Trademark Countries'!A:A,AM883) &gt; 0, "full_name", TRUE, "not a match")</f>
        <v>#NAME?</v>
      </c>
      <c r="EG883" s="30"/>
      <c r="EH883" s="30"/>
      <c r="EI883" s="30"/>
      <c r="EJ883" s="30"/>
      <c r="EK883" s="30" t="str">
        <f t="shared" si="5"/>
        <v/>
      </c>
    </row>
    <row r="884" spans="1:141" ht="16.5">
      <c r="A884" s="11"/>
      <c r="B884" s="11"/>
      <c r="C884" s="11"/>
      <c r="D884" s="11"/>
      <c r="E884" s="11"/>
      <c r="F884" s="11"/>
      <c r="G884" s="11"/>
      <c r="H884" s="11"/>
      <c r="I884" s="11"/>
      <c r="J884" s="11"/>
      <c r="K884" s="27"/>
      <c r="L884" s="11"/>
      <c r="M884" s="11"/>
      <c r="N884" s="11"/>
      <c r="O884" s="11"/>
      <c r="P884" s="15"/>
      <c r="Q884" s="15"/>
      <c r="R884" s="15"/>
      <c r="S884" s="15"/>
      <c r="T884" s="15"/>
      <c r="U884" s="15"/>
      <c r="V884" s="15"/>
      <c r="W884" s="47"/>
      <c r="X884" s="11"/>
      <c r="Y884" s="48"/>
      <c r="Z884" s="11"/>
      <c r="AA884" s="48"/>
      <c r="AB884" s="11"/>
      <c r="AC884" s="48"/>
      <c r="AD884" s="11"/>
      <c r="AE884" s="47"/>
      <c r="AF884" s="11"/>
      <c r="AG884" s="48"/>
      <c r="AH884" s="11"/>
      <c r="AI884" s="48"/>
      <c r="AJ884" s="11"/>
      <c r="AK884" s="48"/>
      <c r="AL884" s="11"/>
      <c r="AM884" s="49"/>
      <c r="AN884" s="49"/>
      <c r="AO884" s="11"/>
      <c r="AP884" s="11"/>
      <c r="AQ884" s="28" t="b">
        <f>IF(COUNTIF(SmartStatus!A$2:A1000, AM884) &gt; 2, TRUE, FALSE)</f>
        <v>0</v>
      </c>
      <c r="AR884" s="29" t="str">
        <f ca="1">IFERROR(__xludf.DUMMYFUNCTION("iferror(if(regexmatch(AO884, ""(?i)^registered""), if(EE884 &lt;&gt; ""polity_shortest_name"", ""CHECK_POLITY"", index(filter(SmartStatus!B$2:B1000, AM884 = SmartStatus!A$2:A1000, not(SmartStatus!C$2:C1000), (isblank(SmartStatus!D$2:D1000)) + ((P884 &lt;&gt; """") * "&amp;"(P884 &lt; SmartStatus!D$2:D1000)), (isblank(SmartStatus!E$2:E1000)) + ((P884 &lt;&gt; """") * (P884 &gt;= SmartStatus!E$2:E1000)), (isblank(SmartStatus!F$2:F1000)) + (((Q884 &lt;&gt; """") * (Q884 &lt; SmartStatus!F$2:F1000)) + ((P884 &lt;&gt; """") * (date(year(P884) + 3, month(P"&amp;"884), day(P884)) &lt; SmartStatus!F$2:F1000))), (isblank(SmartStatus!G$2:G1000)) + (((Q884 &lt;&gt; """") * (Q884 &gt;= SmartStatus!G$2:G1000)) + ((P884 &lt;&gt; """") * (P884 &gt;= SmartStatus!G$2:G1000)))), if(or(regexmatch(B884, ""(?i)^ir [a-z]+ designation$""), N884 &lt;&gt; """&amp;"""), 1, 2))), """"), ""NO_MATCH"")"),"")</f>
        <v/>
      </c>
      <c r="AS884" s="11"/>
      <c r="AT884" s="15"/>
      <c r="AU884" s="11"/>
      <c r="AV884" s="11"/>
      <c r="AW884" s="15"/>
      <c r="AX884" s="15"/>
      <c r="AY884" s="15"/>
      <c r="AZ884" s="11"/>
      <c r="BA884" s="15"/>
      <c r="BB884" s="11"/>
      <c r="BC884" s="11"/>
      <c r="BD884" s="15"/>
      <c r="BE884" s="11"/>
      <c r="BF884" s="11"/>
      <c r="BG884" s="15"/>
      <c r="BH884" s="15"/>
      <c r="BI884" s="15"/>
      <c r="BJ884" s="11"/>
      <c r="BK884" s="15"/>
      <c r="BL884" s="11"/>
      <c r="BM884" s="11"/>
      <c r="BN884" s="15"/>
      <c r="BO884" s="11"/>
      <c r="BP884" s="11"/>
      <c r="BQ884" s="15"/>
      <c r="BR884" s="15"/>
      <c r="BS884" s="15"/>
      <c r="BT884" s="11"/>
      <c r="BU884" s="15"/>
      <c r="BV884" s="11"/>
      <c r="BW884" s="11"/>
      <c r="BX884" s="15"/>
      <c r="BY884" s="11"/>
      <c r="BZ884" s="11"/>
      <c r="CA884" s="15"/>
      <c r="CB884" s="11"/>
      <c r="CC884" s="15"/>
      <c r="CD884" s="11"/>
      <c r="CE884" s="15"/>
      <c r="CF884" s="11"/>
      <c r="CG884" s="11"/>
      <c r="CH884" s="15"/>
      <c r="CI884" s="11"/>
      <c r="CJ884" s="11"/>
      <c r="CK884" s="15"/>
      <c r="CL884" s="11"/>
      <c r="CM884" s="11"/>
      <c r="CN884" s="11"/>
      <c r="CO884" s="11"/>
      <c r="CP884" s="28"/>
      <c r="CQ884" s="28"/>
      <c r="CR884" s="11"/>
      <c r="CS884" s="29"/>
      <c r="CT884" s="11"/>
      <c r="CU884" s="11"/>
      <c r="CV884" s="11"/>
      <c r="CW884" s="11"/>
      <c r="CX884" s="11"/>
      <c r="CY884" s="11"/>
      <c r="CZ884" s="11"/>
      <c r="DA884" s="28"/>
      <c r="DB884" s="28"/>
      <c r="DC884" s="11"/>
      <c r="DD884" s="29"/>
      <c r="DE884" s="11"/>
      <c r="DF884" s="11"/>
      <c r="DG884" s="11"/>
      <c r="DH884" s="11"/>
      <c r="DI884" s="11"/>
      <c r="DJ884" s="11"/>
      <c r="DK884" s="26"/>
      <c r="DL884" s="11"/>
      <c r="DM884" s="29"/>
      <c r="DN884" s="28"/>
      <c r="DO884" s="11"/>
      <c r="DP884" s="11"/>
      <c r="DQ884" s="11"/>
      <c r="DR884" s="29"/>
      <c r="DS884" s="28"/>
      <c r="DT884" s="11"/>
      <c r="DU884" s="26"/>
      <c r="DV884" s="11"/>
      <c r="DW884" s="29"/>
      <c r="DX884" s="28"/>
      <c r="DY884" s="11"/>
      <c r="DZ884" s="26"/>
      <c r="EA884" s="11"/>
      <c r="EB884" s="29"/>
      <c r="EC884" s="28"/>
      <c r="ED884" s="30"/>
      <c r="EE884" s="30" t="str">
        <f ca="1">IFERROR(__xludf.DUMMYFUNCTION("iferror(index(filter('Internal -- Trademark Countries'!E$2:E1000, (AM884 = 'Internal -- Trademark Countries'!B$2:B1000) + (AM884 = 'Internal -- Trademark Countries'!C$2:C1000) + (AM884 = 'Internal -- Trademark Countries'!D$2:D1000)), 1))"),"")</f>
        <v/>
      </c>
      <c r="EF884" s="30" t="e">
        <f ca="1">_xludf.ifs(AM884="", "", COUNTIF('Internal -- Trademark Countries'!B:B,AM884) &gt; 0, "polity_shortest_name", COUNTIF('Internal -- Trademark Countries'!C:C,AM884) &gt; 0, "polity_full_name", COUNTIF('Internal -- Trademark Countries'!D:D,AM884) &gt; 0, "polity_common_name", COUNTIF('Internal -- Trademark Countries'!E:E,AM884) &gt; 0, "shortest_name", COUNTIF('Internal -- Trademark Countries'!A:A,AM884) &gt; 0, "full_name", TRUE, "not a match")</f>
        <v>#NAME?</v>
      </c>
      <c r="EG884" s="30"/>
      <c r="EH884" s="30"/>
      <c r="EI884" s="30"/>
      <c r="EJ884" s="30"/>
      <c r="EK884" s="30" t="str">
        <f t="shared" si="5"/>
        <v/>
      </c>
    </row>
    <row r="885" spans="1:141" ht="16.5">
      <c r="A885" s="11"/>
      <c r="B885" s="11"/>
      <c r="C885" s="11"/>
      <c r="D885" s="11"/>
      <c r="E885" s="11"/>
      <c r="F885" s="11"/>
      <c r="G885" s="11"/>
      <c r="H885" s="11"/>
      <c r="I885" s="11"/>
      <c r="J885" s="11"/>
      <c r="K885" s="27"/>
      <c r="L885" s="11"/>
      <c r="M885" s="11"/>
      <c r="N885" s="11"/>
      <c r="O885" s="11"/>
      <c r="P885" s="15"/>
      <c r="Q885" s="15"/>
      <c r="R885" s="15"/>
      <c r="S885" s="15"/>
      <c r="T885" s="15"/>
      <c r="U885" s="15"/>
      <c r="V885" s="15"/>
      <c r="W885" s="47"/>
      <c r="X885" s="11"/>
      <c r="Y885" s="48"/>
      <c r="Z885" s="11"/>
      <c r="AA885" s="48"/>
      <c r="AB885" s="11"/>
      <c r="AC885" s="48"/>
      <c r="AD885" s="11"/>
      <c r="AE885" s="47"/>
      <c r="AF885" s="11"/>
      <c r="AG885" s="48"/>
      <c r="AH885" s="11"/>
      <c r="AI885" s="48"/>
      <c r="AJ885" s="11"/>
      <c r="AK885" s="48"/>
      <c r="AL885" s="11"/>
      <c r="AM885" s="49"/>
      <c r="AN885" s="49"/>
      <c r="AO885" s="11"/>
      <c r="AP885" s="11"/>
      <c r="AQ885" s="28" t="b">
        <f>IF(COUNTIF(SmartStatus!A$2:A1000, AM885) &gt; 2, TRUE, FALSE)</f>
        <v>0</v>
      </c>
      <c r="AR885" s="29" t="str">
        <f ca="1">IFERROR(__xludf.DUMMYFUNCTION("iferror(if(regexmatch(AO885, ""(?i)^registered""), if(EE885 &lt;&gt; ""polity_shortest_name"", ""CHECK_POLITY"", index(filter(SmartStatus!B$2:B1000, AM885 = SmartStatus!A$2:A1000, not(SmartStatus!C$2:C1000), (isblank(SmartStatus!D$2:D1000)) + ((P885 &lt;&gt; """") * "&amp;"(P885 &lt; SmartStatus!D$2:D1000)), (isblank(SmartStatus!E$2:E1000)) + ((P885 &lt;&gt; """") * (P885 &gt;= SmartStatus!E$2:E1000)), (isblank(SmartStatus!F$2:F1000)) + (((Q885 &lt;&gt; """") * (Q885 &lt; SmartStatus!F$2:F1000)) + ((P885 &lt;&gt; """") * (date(year(P885) + 3, month(P"&amp;"885), day(P885)) &lt; SmartStatus!F$2:F1000))), (isblank(SmartStatus!G$2:G1000)) + (((Q885 &lt;&gt; """") * (Q885 &gt;= SmartStatus!G$2:G1000)) + ((P885 &lt;&gt; """") * (P885 &gt;= SmartStatus!G$2:G1000)))), if(or(regexmatch(B885, ""(?i)^ir [a-z]+ designation$""), N885 &lt;&gt; """&amp;"""), 1, 2))), """"), ""NO_MATCH"")"),"")</f>
        <v/>
      </c>
      <c r="AS885" s="11"/>
      <c r="AT885" s="15"/>
      <c r="AU885" s="11"/>
      <c r="AV885" s="11"/>
      <c r="AW885" s="15"/>
      <c r="AX885" s="15"/>
      <c r="AY885" s="15"/>
      <c r="AZ885" s="11"/>
      <c r="BA885" s="15"/>
      <c r="BB885" s="11"/>
      <c r="BC885" s="11"/>
      <c r="BD885" s="15"/>
      <c r="BE885" s="11"/>
      <c r="BF885" s="11"/>
      <c r="BG885" s="15"/>
      <c r="BH885" s="15"/>
      <c r="BI885" s="15"/>
      <c r="BJ885" s="11"/>
      <c r="BK885" s="15"/>
      <c r="BL885" s="11"/>
      <c r="BM885" s="11"/>
      <c r="BN885" s="15"/>
      <c r="BO885" s="11"/>
      <c r="BP885" s="11"/>
      <c r="BQ885" s="15"/>
      <c r="BR885" s="15"/>
      <c r="BS885" s="15"/>
      <c r="BT885" s="11"/>
      <c r="BU885" s="15"/>
      <c r="BV885" s="11"/>
      <c r="BW885" s="11"/>
      <c r="BX885" s="15"/>
      <c r="BY885" s="11"/>
      <c r="BZ885" s="11"/>
      <c r="CA885" s="15"/>
      <c r="CB885" s="11"/>
      <c r="CC885" s="15"/>
      <c r="CD885" s="11"/>
      <c r="CE885" s="15"/>
      <c r="CF885" s="11"/>
      <c r="CG885" s="11"/>
      <c r="CH885" s="15"/>
      <c r="CI885" s="11"/>
      <c r="CJ885" s="11"/>
      <c r="CK885" s="15"/>
      <c r="CL885" s="11"/>
      <c r="CM885" s="11"/>
      <c r="CN885" s="11"/>
      <c r="CO885" s="11"/>
      <c r="CP885" s="28"/>
      <c r="CQ885" s="28"/>
      <c r="CR885" s="11"/>
      <c r="CS885" s="29"/>
      <c r="CT885" s="11"/>
      <c r="CU885" s="11"/>
      <c r="CV885" s="11"/>
      <c r="CW885" s="11"/>
      <c r="CX885" s="11"/>
      <c r="CY885" s="11"/>
      <c r="CZ885" s="11"/>
      <c r="DA885" s="28"/>
      <c r="DB885" s="28"/>
      <c r="DC885" s="11"/>
      <c r="DD885" s="29"/>
      <c r="DE885" s="11"/>
      <c r="DF885" s="11"/>
      <c r="DG885" s="11"/>
      <c r="DH885" s="11"/>
      <c r="DI885" s="11"/>
      <c r="DJ885" s="11"/>
      <c r="DK885" s="26"/>
      <c r="DL885" s="11"/>
      <c r="DM885" s="29"/>
      <c r="DN885" s="28"/>
      <c r="DO885" s="11"/>
      <c r="DP885" s="11"/>
      <c r="DQ885" s="11"/>
      <c r="DR885" s="29"/>
      <c r="DS885" s="28"/>
      <c r="DT885" s="11"/>
      <c r="DU885" s="26"/>
      <c r="DV885" s="11"/>
      <c r="DW885" s="29"/>
      <c r="DX885" s="28"/>
      <c r="DY885" s="11"/>
      <c r="DZ885" s="26"/>
      <c r="EA885" s="11"/>
      <c r="EB885" s="29"/>
      <c r="EC885" s="28"/>
      <c r="ED885" s="30"/>
      <c r="EE885" s="30" t="str">
        <f ca="1">IFERROR(__xludf.DUMMYFUNCTION("iferror(index(filter('Internal -- Trademark Countries'!E$2:E1000, (AM885 = 'Internal -- Trademark Countries'!B$2:B1000) + (AM885 = 'Internal -- Trademark Countries'!C$2:C1000) + (AM885 = 'Internal -- Trademark Countries'!D$2:D1000)), 1))"),"")</f>
        <v/>
      </c>
      <c r="EF885" s="30" t="e">
        <f ca="1">_xludf.ifs(AM885="", "", COUNTIF('Internal -- Trademark Countries'!B:B,AM885) &gt; 0, "polity_shortest_name", COUNTIF('Internal -- Trademark Countries'!C:C,AM885) &gt; 0, "polity_full_name", COUNTIF('Internal -- Trademark Countries'!D:D,AM885) &gt; 0, "polity_common_name", COUNTIF('Internal -- Trademark Countries'!E:E,AM885) &gt; 0, "shortest_name", COUNTIF('Internal -- Trademark Countries'!A:A,AM885) &gt; 0, "full_name", TRUE, "not a match")</f>
        <v>#NAME?</v>
      </c>
      <c r="EG885" s="30"/>
      <c r="EH885" s="30"/>
      <c r="EI885" s="30"/>
      <c r="EJ885" s="30"/>
      <c r="EK885" s="30" t="str">
        <f t="shared" si="5"/>
        <v/>
      </c>
    </row>
    <row r="886" spans="1:141" ht="16.5">
      <c r="A886" s="11"/>
      <c r="B886" s="11"/>
      <c r="C886" s="11"/>
      <c r="D886" s="11"/>
      <c r="E886" s="11"/>
      <c r="F886" s="11"/>
      <c r="G886" s="11"/>
      <c r="H886" s="11"/>
      <c r="I886" s="11"/>
      <c r="J886" s="11"/>
      <c r="K886" s="27"/>
      <c r="L886" s="11"/>
      <c r="M886" s="11"/>
      <c r="N886" s="11"/>
      <c r="O886" s="11"/>
      <c r="P886" s="15"/>
      <c r="Q886" s="15"/>
      <c r="R886" s="15"/>
      <c r="S886" s="15"/>
      <c r="T886" s="15"/>
      <c r="U886" s="15"/>
      <c r="V886" s="15"/>
      <c r="W886" s="47"/>
      <c r="X886" s="11"/>
      <c r="Y886" s="48"/>
      <c r="Z886" s="11"/>
      <c r="AA886" s="48"/>
      <c r="AB886" s="11"/>
      <c r="AC886" s="48"/>
      <c r="AD886" s="11"/>
      <c r="AE886" s="47"/>
      <c r="AF886" s="11"/>
      <c r="AG886" s="48"/>
      <c r="AH886" s="11"/>
      <c r="AI886" s="48"/>
      <c r="AJ886" s="11"/>
      <c r="AK886" s="48"/>
      <c r="AL886" s="11"/>
      <c r="AM886" s="49"/>
      <c r="AN886" s="49"/>
      <c r="AO886" s="11"/>
      <c r="AP886" s="11"/>
      <c r="AQ886" s="28" t="b">
        <f>IF(COUNTIF(SmartStatus!A$2:A1000, AM886) &gt; 2, TRUE, FALSE)</f>
        <v>0</v>
      </c>
      <c r="AR886" s="29" t="str">
        <f ca="1">IFERROR(__xludf.DUMMYFUNCTION("iferror(if(regexmatch(AO886, ""(?i)^registered""), if(EE886 &lt;&gt; ""polity_shortest_name"", ""CHECK_POLITY"", index(filter(SmartStatus!B$2:B1000, AM886 = SmartStatus!A$2:A1000, not(SmartStatus!C$2:C1000), (isblank(SmartStatus!D$2:D1000)) + ((P886 &lt;&gt; """") * "&amp;"(P886 &lt; SmartStatus!D$2:D1000)), (isblank(SmartStatus!E$2:E1000)) + ((P886 &lt;&gt; """") * (P886 &gt;= SmartStatus!E$2:E1000)), (isblank(SmartStatus!F$2:F1000)) + (((Q886 &lt;&gt; """") * (Q886 &lt; SmartStatus!F$2:F1000)) + ((P886 &lt;&gt; """") * (date(year(P886) + 3, month(P"&amp;"886), day(P886)) &lt; SmartStatus!F$2:F1000))), (isblank(SmartStatus!G$2:G1000)) + (((Q886 &lt;&gt; """") * (Q886 &gt;= SmartStatus!G$2:G1000)) + ((P886 &lt;&gt; """") * (P886 &gt;= SmartStatus!G$2:G1000)))), if(or(regexmatch(B886, ""(?i)^ir [a-z]+ designation$""), N886 &lt;&gt; """&amp;"""), 1, 2))), """"), ""NO_MATCH"")"),"")</f>
        <v/>
      </c>
      <c r="AS886" s="11"/>
      <c r="AT886" s="15"/>
      <c r="AU886" s="11"/>
      <c r="AV886" s="11"/>
      <c r="AW886" s="15"/>
      <c r="AX886" s="15"/>
      <c r="AY886" s="15"/>
      <c r="AZ886" s="11"/>
      <c r="BA886" s="15"/>
      <c r="BB886" s="11"/>
      <c r="BC886" s="11"/>
      <c r="BD886" s="15"/>
      <c r="BE886" s="11"/>
      <c r="BF886" s="11"/>
      <c r="BG886" s="15"/>
      <c r="BH886" s="15"/>
      <c r="BI886" s="15"/>
      <c r="BJ886" s="11"/>
      <c r="BK886" s="15"/>
      <c r="BL886" s="11"/>
      <c r="BM886" s="11"/>
      <c r="BN886" s="15"/>
      <c r="BO886" s="11"/>
      <c r="BP886" s="11"/>
      <c r="BQ886" s="15"/>
      <c r="BR886" s="15"/>
      <c r="BS886" s="15"/>
      <c r="BT886" s="11"/>
      <c r="BU886" s="15"/>
      <c r="BV886" s="11"/>
      <c r="BW886" s="11"/>
      <c r="BX886" s="15"/>
      <c r="BY886" s="11"/>
      <c r="BZ886" s="11"/>
      <c r="CA886" s="15"/>
      <c r="CB886" s="11"/>
      <c r="CC886" s="15"/>
      <c r="CD886" s="11"/>
      <c r="CE886" s="15"/>
      <c r="CF886" s="11"/>
      <c r="CG886" s="11"/>
      <c r="CH886" s="15"/>
      <c r="CI886" s="11"/>
      <c r="CJ886" s="11"/>
      <c r="CK886" s="15"/>
      <c r="CL886" s="11"/>
      <c r="CM886" s="11"/>
      <c r="CN886" s="11"/>
      <c r="CO886" s="11"/>
      <c r="CP886" s="28"/>
      <c r="CQ886" s="28"/>
      <c r="CR886" s="11"/>
      <c r="CS886" s="29"/>
      <c r="CT886" s="11"/>
      <c r="CU886" s="11"/>
      <c r="CV886" s="11"/>
      <c r="CW886" s="11"/>
      <c r="CX886" s="11"/>
      <c r="CY886" s="11"/>
      <c r="CZ886" s="11"/>
      <c r="DA886" s="28"/>
      <c r="DB886" s="28"/>
      <c r="DC886" s="11"/>
      <c r="DD886" s="29"/>
      <c r="DE886" s="11"/>
      <c r="DF886" s="11"/>
      <c r="DG886" s="11"/>
      <c r="DH886" s="11"/>
      <c r="DI886" s="11"/>
      <c r="DJ886" s="11"/>
      <c r="DK886" s="26"/>
      <c r="DL886" s="11"/>
      <c r="DM886" s="29"/>
      <c r="DN886" s="28"/>
      <c r="DO886" s="11"/>
      <c r="DP886" s="11"/>
      <c r="DQ886" s="11"/>
      <c r="DR886" s="29"/>
      <c r="DS886" s="28"/>
      <c r="DT886" s="11"/>
      <c r="DU886" s="26"/>
      <c r="DV886" s="11"/>
      <c r="DW886" s="29"/>
      <c r="DX886" s="28"/>
      <c r="DY886" s="11"/>
      <c r="DZ886" s="26"/>
      <c r="EA886" s="11"/>
      <c r="EB886" s="29"/>
      <c r="EC886" s="28"/>
      <c r="ED886" s="30"/>
      <c r="EE886" s="30" t="str">
        <f ca="1">IFERROR(__xludf.DUMMYFUNCTION("iferror(index(filter('Internal -- Trademark Countries'!E$2:E1000, (AM886 = 'Internal -- Trademark Countries'!B$2:B1000) + (AM886 = 'Internal -- Trademark Countries'!C$2:C1000) + (AM886 = 'Internal -- Trademark Countries'!D$2:D1000)), 1))"),"")</f>
        <v/>
      </c>
      <c r="EF886" s="30" t="e">
        <f ca="1">_xludf.ifs(AM886="", "", COUNTIF('Internal -- Trademark Countries'!B:B,AM886) &gt; 0, "polity_shortest_name", COUNTIF('Internal -- Trademark Countries'!C:C,AM886) &gt; 0, "polity_full_name", COUNTIF('Internal -- Trademark Countries'!D:D,AM886) &gt; 0, "polity_common_name", COUNTIF('Internal -- Trademark Countries'!E:E,AM886) &gt; 0, "shortest_name", COUNTIF('Internal -- Trademark Countries'!A:A,AM886) &gt; 0, "full_name", TRUE, "not a match")</f>
        <v>#NAME?</v>
      </c>
      <c r="EG886" s="30"/>
      <c r="EH886" s="30"/>
      <c r="EI886" s="30"/>
      <c r="EJ886" s="30"/>
      <c r="EK886" s="30" t="str">
        <f t="shared" si="5"/>
        <v/>
      </c>
    </row>
    <row r="887" spans="1:141" ht="16.5">
      <c r="A887" s="11"/>
      <c r="B887" s="11"/>
      <c r="C887" s="11"/>
      <c r="D887" s="11"/>
      <c r="E887" s="11"/>
      <c r="F887" s="11"/>
      <c r="G887" s="11"/>
      <c r="H887" s="11"/>
      <c r="I887" s="11"/>
      <c r="J887" s="11"/>
      <c r="K887" s="27"/>
      <c r="L887" s="11"/>
      <c r="M887" s="11"/>
      <c r="N887" s="11"/>
      <c r="O887" s="11"/>
      <c r="P887" s="15"/>
      <c r="Q887" s="15"/>
      <c r="R887" s="15"/>
      <c r="S887" s="15"/>
      <c r="T887" s="15"/>
      <c r="U887" s="15"/>
      <c r="V887" s="15"/>
      <c r="W887" s="47"/>
      <c r="X887" s="11"/>
      <c r="Y887" s="48"/>
      <c r="Z887" s="11"/>
      <c r="AA887" s="48"/>
      <c r="AB887" s="11"/>
      <c r="AC887" s="48"/>
      <c r="AD887" s="11"/>
      <c r="AE887" s="47"/>
      <c r="AF887" s="11"/>
      <c r="AG887" s="48"/>
      <c r="AH887" s="11"/>
      <c r="AI887" s="48"/>
      <c r="AJ887" s="11"/>
      <c r="AK887" s="48"/>
      <c r="AL887" s="11"/>
      <c r="AM887" s="49"/>
      <c r="AN887" s="49"/>
      <c r="AO887" s="11"/>
      <c r="AP887" s="11"/>
      <c r="AQ887" s="28" t="b">
        <f>IF(COUNTIF(SmartStatus!A$2:A1000, AM887) &gt; 2, TRUE, FALSE)</f>
        <v>0</v>
      </c>
      <c r="AR887" s="29" t="str">
        <f ca="1">IFERROR(__xludf.DUMMYFUNCTION("iferror(if(regexmatch(AO887, ""(?i)^registered""), if(EE887 &lt;&gt; ""polity_shortest_name"", ""CHECK_POLITY"", index(filter(SmartStatus!B$2:B1000, AM887 = SmartStatus!A$2:A1000, not(SmartStatus!C$2:C1000), (isblank(SmartStatus!D$2:D1000)) + ((P887 &lt;&gt; """") * "&amp;"(P887 &lt; SmartStatus!D$2:D1000)), (isblank(SmartStatus!E$2:E1000)) + ((P887 &lt;&gt; """") * (P887 &gt;= SmartStatus!E$2:E1000)), (isblank(SmartStatus!F$2:F1000)) + (((Q887 &lt;&gt; """") * (Q887 &lt; SmartStatus!F$2:F1000)) + ((P887 &lt;&gt; """") * (date(year(P887) + 3, month(P"&amp;"887), day(P887)) &lt; SmartStatus!F$2:F1000))), (isblank(SmartStatus!G$2:G1000)) + (((Q887 &lt;&gt; """") * (Q887 &gt;= SmartStatus!G$2:G1000)) + ((P887 &lt;&gt; """") * (P887 &gt;= SmartStatus!G$2:G1000)))), if(or(regexmatch(B887, ""(?i)^ir [a-z]+ designation$""), N887 &lt;&gt; """&amp;"""), 1, 2))), """"), ""NO_MATCH"")"),"")</f>
        <v/>
      </c>
      <c r="AS887" s="11"/>
      <c r="AT887" s="15"/>
      <c r="AU887" s="11"/>
      <c r="AV887" s="11"/>
      <c r="AW887" s="15"/>
      <c r="AX887" s="15"/>
      <c r="AY887" s="15"/>
      <c r="AZ887" s="11"/>
      <c r="BA887" s="15"/>
      <c r="BB887" s="11"/>
      <c r="BC887" s="11"/>
      <c r="BD887" s="15"/>
      <c r="BE887" s="11"/>
      <c r="BF887" s="11"/>
      <c r="BG887" s="15"/>
      <c r="BH887" s="15"/>
      <c r="BI887" s="15"/>
      <c r="BJ887" s="11"/>
      <c r="BK887" s="15"/>
      <c r="BL887" s="11"/>
      <c r="BM887" s="11"/>
      <c r="BN887" s="15"/>
      <c r="BO887" s="11"/>
      <c r="BP887" s="11"/>
      <c r="BQ887" s="15"/>
      <c r="BR887" s="15"/>
      <c r="BS887" s="15"/>
      <c r="BT887" s="11"/>
      <c r="BU887" s="15"/>
      <c r="BV887" s="11"/>
      <c r="BW887" s="11"/>
      <c r="BX887" s="15"/>
      <c r="BY887" s="11"/>
      <c r="BZ887" s="11"/>
      <c r="CA887" s="15"/>
      <c r="CB887" s="11"/>
      <c r="CC887" s="15"/>
      <c r="CD887" s="11"/>
      <c r="CE887" s="15"/>
      <c r="CF887" s="11"/>
      <c r="CG887" s="11"/>
      <c r="CH887" s="15"/>
      <c r="CI887" s="11"/>
      <c r="CJ887" s="11"/>
      <c r="CK887" s="15"/>
      <c r="CL887" s="11"/>
      <c r="CM887" s="11"/>
      <c r="CN887" s="11"/>
      <c r="CO887" s="11"/>
      <c r="CP887" s="28"/>
      <c r="CQ887" s="28"/>
      <c r="CR887" s="11"/>
      <c r="CS887" s="29"/>
      <c r="CT887" s="11"/>
      <c r="CU887" s="11"/>
      <c r="CV887" s="11"/>
      <c r="CW887" s="11"/>
      <c r="CX887" s="11"/>
      <c r="CY887" s="11"/>
      <c r="CZ887" s="11"/>
      <c r="DA887" s="28"/>
      <c r="DB887" s="28"/>
      <c r="DC887" s="11"/>
      <c r="DD887" s="29"/>
      <c r="DE887" s="11"/>
      <c r="DF887" s="11"/>
      <c r="DG887" s="11"/>
      <c r="DH887" s="11"/>
      <c r="DI887" s="11"/>
      <c r="DJ887" s="11"/>
      <c r="DK887" s="26"/>
      <c r="DL887" s="11"/>
      <c r="DM887" s="29"/>
      <c r="DN887" s="28"/>
      <c r="DO887" s="11"/>
      <c r="DP887" s="11"/>
      <c r="DQ887" s="11"/>
      <c r="DR887" s="29"/>
      <c r="DS887" s="28"/>
      <c r="DT887" s="11"/>
      <c r="DU887" s="26"/>
      <c r="DV887" s="11"/>
      <c r="DW887" s="29"/>
      <c r="DX887" s="28"/>
      <c r="DY887" s="11"/>
      <c r="DZ887" s="26"/>
      <c r="EA887" s="11"/>
      <c r="EB887" s="29"/>
      <c r="EC887" s="28"/>
      <c r="ED887" s="30"/>
      <c r="EE887" s="30" t="str">
        <f ca="1">IFERROR(__xludf.DUMMYFUNCTION("iferror(index(filter('Internal -- Trademark Countries'!E$2:E1000, (AM887 = 'Internal -- Trademark Countries'!B$2:B1000) + (AM887 = 'Internal -- Trademark Countries'!C$2:C1000) + (AM887 = 'Internal -- Trademark Countries'!D$2:D1000)), 1))"),"")</f>
        <v/>
      </c>
      <c r="EF887" s="30" t="e">
        <f ca="1">_xludf.ifs(AM887="", "", COUNTIF('Internal -- Trademark Countries'!B:B,AM887) &gt; 0, "polity_shortest_name", COUNTIF('Internal -- Trademark Countries'!C:C,AM887) &gt; 0, "polity_full_name", COUNTIF('Internal -- Trademark Countries'!D:D,AM887) &gt; 0, "polity_common_name", COUNTIF('Internal -- Trademark Countries'!E:E,AM887) &gt; 0, "shortest_name", COUNTIF('Internal -- Trademark Countries'!A:A,AM887) &gt; 0, "full_name", TRUE, "not a match")</f>
        <v>#NAME?</v>
      </c>
      <c r="EG887" s="30"/>
      <c r="EH887" s="30"/>
      <c r="EI887" s="30"/>
      <c r="EJ887" s="30"/>
      <c r="EK887" s="30" t="str">
        <f t="shared" si="5"/>
        <v/>
      </c>
    </row>
    <row r="888" spans="1:141" ht="16.5">
      <c r="A888" s="11"/>
      <c r="B888" s="11"/>
      <c r="C888" s="11"/>
      <c r="D888" s="11"/>
      <c r="E888" s="11"/>
      <c r="F888" s="11"/>
      <c r="G888" s="11"/>
      <c r="H888" s="11"/>
      <c r="I888" s="11"/>
      <c r="J888" s="11"/>
      <c r="K888" s="27"/>
      <c r="L888" s="11"/>
      <c r="M888" s="11"/>
      <c r="N888" s="11"/>
      <c r="O888" s="11"/>
      <c r="P888" s="15"/>
      <c r="Q888" s="15"/>
      <c r="R888" s="15"/>
      <c r="S888" s="15"/>
      <c r="T888" s="15"/>
      <c r="U888" s="15"/>
      <c r="V888" s="15"/>
      <c r="W888" s="47"/>
      <c r="X888" s="11"/>
      <c r="Y888" s="48"/>
      <c r="Z888" s="11"/>
      <c r="AA888" s="48"/>
      <c r="AB888" s="11"/>
      <c r="AC888" s="48"/>
      <c r="AD888" s="11"/>
      <c r="AE888" s="47"/>
      <c r="AF888" s="11"/>
      <c r="AG888" s="48"/>
      <c r="AH888" s="11"/>
      <c r="AI888" s="48"/>
      <c r="AJ888" s="11"/>
      <c r="AK888" s="48"/>
      <c r="AL888" s="11"/>
      <c r="AM888" s="49"/>
      <c r="AN888" s="49"/>
      <c r="AO888" s="11"/>
      <c r="AP888" s="11"/>
      <c r="AQ888" s="28" t="b">
        <f>IF(COUNTIF(SmartStatus!A$2:A1000, AM888) &gt; 2, TRUE, FALSE)</f>
        <v>0</v>
      </c>
      <c r="AR888" s="29" t="str">
        <f ca="1">IFERROR(__xludf.DUMMYFUNCTION("iferror(if(regexmatch(AO888, ""(?i)^registered""), if(EE888 &lt;&gt; ""polity_shortest_name"", ""CHECK_POLITY"", index(filter(SmartStatus!B$2:B1000, AM888 = SmartStatus!A$2:A1000, not(SmartStatus!C$2:C1000), (isblank(SmartStatus!D$2:D1000)) + ((P888 &lt;&gt; """") * "&amp;"(P888 &lt; SmartStatus!D$2:D1000)), (isblank(SmartStatus!E$2:E1000)) + ((P888 &lt;&gt; """") * (P888 &gt;= SmartStatus!E$2:E1000)), (isblank(SmartStatus!F$2:F1000)) + (((Q888 &lt;&gt; """") * (Q888 &lt; SmartStatus!F$2:F1000)) + ((P888 &lt;&gt; """") * (date(year(P888) + 3, month(P"&amp;"888), day(P888)) &lt; SmartStatus!F$2:F1000))), (isblank(SmartStatus!G$2:G1000)) + (((Q888 &lt;&gt; """") * (Q888 &gt;= SmartStatus!G$2:G1000)) + ((P888 &lt;&gt; """") * (P888 &gt;= SmartStatus!G$2:G1000)))), if(or(regexmatch(B888, ""(?i)^ir [a-z]+ designation$""), N888 &lt;&gt; """&amp;"""), 1, 2))), """"), ""NO_MATCH"")"),"")</f>
        <v/>
      </c>
      <c r="AS888" s="11"/>
      <c r="AT888" s="15"/>
      <c r="AU888" s="11"/>
      <c r="AV888" s="11"/>
      <c r="AW888" s="15"/>
      <c r="AX888" s="15"/>
      <c r="AY888" s="15"/>
      <c r="AZ888" s="11"/>
      <c r="BA888" s="15"/>
      <c r="BB888" s="11"/>
      <c r="BC888" s="11"/>
      <c r="BD888" s="15"/>
      <c r="BE888" s="11"/>
      <c r="BF888" s="11"/>
      <c r="BG888" s="15"/>
      <c r="BH888" s="15"/>
      <c r="BI888" s="15"/>
      <c r="BJ888" s="11"/>
      <c r="BK888" s="15"/>
      <c r="BL888" s="11"/>
      <c r="BM888" s="11"/>
      <c r="BN888" s="15"/>
      <c r="BO888" s="11"/>
      <c r="BP888" s="11"/>
      <c r="BQ888" s="15"/>
      <c r="BR888" s="15"/>
      <c r="BS888" s="15"/>
      <c r="BT888" s="11"/>
      <c r="BU888" s="15"/>
      <c r="BV888" s="11"/>
      <c r="BW888" s="11"/>
      <c r="BX888" s="15"/>
      <c r="BY888" s="11"/>
      <c r="BZ888" s="11"/>
      <c r="CA888" s="15"/>
      <c r="CB888" s="11"/>
      <c r="CC888" s="15"/>
      <c r="CD888" s="11"/>
      <c r="CE888" s="15"/>
      <c r="CF888" s="11"/>
      <c r="CG888" s="11"/>
      <c r="CH888" s="15"/>
      <c r="CI888" s="11"/>
      <c r="CJ888" s="11"/>
      <c r="CK888" s="15"/>
      <c r="CL888" s="11"/>
      <c r="CM888" s="11"/>
      <c r="CN888" s="11"/>
      <c r="CO888" s="11"/>
      <c r="CP888" s="28"/>
      <c r="CQ888" s="28"/>
      <c r="CR888" s="11"/>
      <c r="CS888" s="29"/>
      <c r="CT888" s="11"/>
      <c r="CU888" s="11"/>
      <c r="CV888" s="11"/>
      <c r="CW888" s="11"/>
      <c r="CX888" s="11"/>
      <c r="CY888" s="11"/>
      <c r="CZ888" s="11"/>
      <c r="DA888" s="28"/>
      <c r="DB888" s="28"/>
      <c r="DC888" s="11"/>
      <c r="DD888" s="29"/>
      <c r="DE888" s="11"/>
      <c r="DF888" s="11"/>
      <c r="DG888" s="11"/>
      <c r="DH888" s="11"/>
      <c r="DI888" s="11"/>
      <c r="DJ888" s="11"/>
      <c r="DK888" s="26"/>
      <c r="DL888" s="11"/>
      <c r="DM888" s="29"/>
      <c r="DN888" s="28"/>
      <c r="DO888" s="11"/>
      <c r="DP888" s="11"/>
      <c r="DQ888" s="11"/>
      <c r="DR888" s="29"/>
      <c r="DS888" s="28"/>
      <c r="DT888" s="11"/>
      <c r="DU888" s="26"/>
      <c r="DV888" s="11"/>
      <c r="DW888" s="29"/>
      <c r="DX888" s="28"/>
      <c r="DY888" s="11"/>
      <c r="DZ888" s="26"/>
      <c r="EA888" s="11"/>
      <c r="EB888" s="29"/>
      <c r="EC888" s="28"/>
      <c r="ED888" s="30"/>
      <c r="EE888" s="30" t="str">
        <f ca="1">IFERROR(__xludf.DUMMYFUNCTION("iferror(index(filter('Internal -- Trademark Countries'!E$2:E1000, (AM888 = 'Internal -- Trademark Countries'!B$2:B1000) + (AM888 = 'Internal -- Trademark Countries'!C$2:C1000) + (AM888 = 'Internal -- Trademark Countries'!D$2:D1000)), 1))"),"")</f>
        <v/>
      </c>
      <c r="EF888" s="30" t="e">
        <f ca="1">_xludf.ifs(AM888="", "", COUNTIF('Internal -- Trademark Countries'!B:B,AM888) &gt; 0, "polity_shortest_name", COUNTIF('Internal -- Trademark Countries'!C:C,AM888) &gt; 0, "polity_full_name", COUNTIF('Internal -- Trademark Countries'!D:D,AM888) &gt; 0, "polity_common_name", COUNTIF('Internal -- Trademark Countries'!E:E,AM888) &gt; 0, "shortest_name", COUNTIF('Internal -- Trademark Countries'!A:A,AM888) &gt; 0, "full_name", TRUE, "not a match")</f>
        <v>#NAME?</v>
      </c>
      <c r="EG888" s="30"/>
      <c r="EH888" s="30"/>
      <c r="EI888" s="30"/>
      <c r="EJ888" s="30"/>
      <c r="EK888" s="30" t="str">
        <f t="shared" si="5"/>
        <v/>
      </c>
    </row>
    <row r="889" spans="1:141" ht="16.5">
      <c r="A889" s="11"/>
      <c r="B889" s="11"/>
      <c r="C889" s="11"/>
      <c r="D889" s="11"/>
      <c r="E889" s="11"/>
      <c r="F889" s="11"/>
      <c r="G889" s="11"/>
      <c r="H889" s="11"/>
      <c r="I889" s="11"/>
      <c r="J889" s="11"/>
      <c r="K889" s="27"/>
      <c r="L889" s="11"/>
      <c r="M889" s="11"/>
      <c r="N889" s="11"/>
      <c r="O889" s="11"/>
      <c r="P889" s="15"/>
      <c r="Q889" s="15"/>
      <c r="R889" s="15"/>
      <c r="S889" s="15"/>
      <c r="T889" s="15"/>
      <c r="U889" s="15"/>
      <c r="V889" s="15"/>
      <c r="W889" s="47"/>
      <c r="X889" s="11"/>
      <c r="Y889" s="48"/>
      <c r="Z889" s="11"/>
      <c r="AA889" s="48"/>
      <c r="AB889" s="11"/>
      <c r="AC889" s="48"/>
      <c r="AD889" s="11"/>
      <c r="AE889" s="47"/>
      <c r="AF889" s="11"/>
      <c r="AG889" s="48"/>
      <c r="AH889" s="11"/>
      <c r="AI889" s="48"/>
      <c r="AJ889" s="11"/>
      <c r="AK889" s="48"/>
      <c r="AL889" s="11"/>
      <c r="AM889" s="49"/>
      <c r="AN889" s="49"/>
      <c r="AO889" s="11"/>
      <c r="AP889" s="11"/>
      <c r="AQ889" s="28" t="b">
        <f>IF(COUNTIF(SmartStatus!A$2:A1000, AM889) &gt; 2, TRUE, FALSE)</f>
        <v>0</v>
      </c>
      <c r="AR889" s="29" t="str">
        <f ca="1">IFERROR(__xludf.DUMMYFUNCTION("iferror(if(regexmatch(AO889, ""(?i)^registered""), if(EE889 &lt;&gt; ""polity_shortest_name"", ""CHECK_POLITY"", index(filter(SmartStatus!B$2:B1000, AM889 = SmartStatus!A$2:A1000, not(SmartStatus!C$2:C1000), (isblank(SmartStatus!D$2:D1000)) + ((P889 &lt;&gt; """") * "&amp;"(P889 &lt; SmartStatus!D$2:D1000)), (isblank(SmartStatus!E$2:E1000)) + ((P889 &lt;&gt; """") * (P889 &gt;= SmartStatus!E$2:E1000)), (isblank(SmartStatus!F$2:F1000)) + (((Q889 &lt;&gt; """") * (Q889 &lt; SmartStatus!F$2:F1000)) + ((P889 &lt;&gt; """") * (date(year(P889) + 3, month(P"&amp;"889), day(P889)) &lt; SmartStatus!F$2:F1000))), (isblank(SmartStatus!G$2:G1000)) + (((Q889 &lt;&gt; """") * (Q889 &gt;= SmartStatus!G$2:G1000)) + ((P889 &lt;&gt; """") * (P889 &gt;= SmartStatus!G$2:G1000)))), if(or(regexmatch(B889, ""(?i)^ir [a-z]+ designation$""), N889 &lt;&gt; """&amp;"""), 1, 2))), """"), ""NO_MATCH"")"),"")</f>
        <v/>
      </c>
      <c r="AS889" s="11"/>
      <c r="AT889" s="15"/>
      <c r="AU889" s="11"/>
      <c r="AV889" s="11"/>
      <c r="AW889" s="15"/>
      <c r="AX889" s="15"/>
      <c r="AY889" s="15"/>
      <c r="AZ889" s="11"/>
      <c r="BA889" s="15"/>
      <c r="BB889" s="11"/>
      <c r="BC889" s="11"/>
      <c r="BD889" s="15"/>
      <c r="BE889" s="11"/>
      <c r="BF889" s="11"/>
      <c r="BG889" s="15"/>
      <c r="BH889" s="15"/>
      <c r="BI889" s="15"/>
      <c r="BJ889" s="11"/>
      <c r="BK889" s="15"/>
      <c r="BL889" s="11"/>
      <c r="BM889" s="11"/>
      <c r="BN889" s="15"/>
      <c r="BO889" s="11"/>
      <c r="BP889" s="11"/>
      <c r="BQ889" s="15"/>
      <c r="BR889" s="15"/>
      <c r="BS889" s="15"/>
      <c r="BT889" s="11"/>
      <c r="BU889" s="15"/>
      <c r="BV889" s="11"/>
      <c r="BW889" s="11"/>
      <c r="BX889" s="15"/>
      <c r="BY889" s="11"/>
      <c r="BZ889" s="11"/>
      <c r="CA889" s="15"/>
      <c r="CB889" s="11"/>
      <c r="CC889" s="15"/>
      <c r="CD889" s="11"/>
      <c r="CE889" s="15"/>
      <c r="CF889" s="11"/>
      <c r="CG889" s="11"/>
      <c r="CH889" s="15"/>
      <c r="CI889" s="11"/>
      <c r="CJ889" s="11"/>
      <c r="CK889" s="15"/>
      <c r="CL889" s="11"/>
      <c r="CM889" s="11"/>
      <c r="CN889" s="11"/>
      <c r="CO889" s="11"/>
      <c r="CP889" s="28"/>
      <c r="CQ889" s="28"/>
      <c r="CR889" s="11"/>
      <c r="CS889" s="29"/>
      <c r="CT889" s="11"/>
      <c r="CU889" s="11"/>
      <c r="CV889" s="11"/>
      <c r="CW889" s="11"/>
      <c r="CX889" s="11"/>
      <c r="CY889" s="11"/>
      <c r="CZ889" s="11"/>
      <c r="DA889" s="28"/>
      <c r="DB889" s="28"/>
      <c r="DC889" s="11"/>
      <c r="DD889" s="29"/>
      <c r="DE889" s="11"/>
      <c r="DF889" s="11"/>
      <c r="DG889" s="11"/>
      <c r="DH889" s="11"/>
      <c r="DI889" s="11"/>
      <c r="DJ889" s="11"/>
      <c r="DK889" s="26"/>
      <c r="DL889" s="11"/>
      <c r="DM889" s="29"/>
      <c r="DN889" s="28"/>
      <c r="DO889" s="11"/>
      <c r="DP889" s="11"/>
      <c r="DQ889" s="11"/>
      <c r="DR889" s="29"/>
      <c r="DS889" s="28"/>
      <c r="DT889" s="11"/>
      <c r="DU889" s="26"/>
      <c r="DV889" s="11"/>
      <c r="DW889" s="29"/>
      <c r="DX889" s="28"/>
      <c r="DY889" s="11"/>
      <c r="DZ889" s="26"/>
      <c r="EA889" s="11"/>
      <c r="EB889" s="29"/>
      <c r="EC889" s="28"/>
      <c r="ED889" s="30"/>
      <c r="EE889" s="30" t="str">
        <f ca="1">IFERROR(__xludf.DUMMYFUNCTION("iferror(index(filter('Internal -- Trademark Countries'!E$2:E1000, (AM889 = 'Internal -- Trademark Countries'!B$2:B1000) + (AM889 = 'Internal -- Trademark Countries'!C$2:C1000) + (AM889 = 'Internal -- Trademark Countries'!D$2:D1000)), 1))"),"")</f>
        <v/>
      </c>
      <c r="EF889" s="30" t="e">
        <f ca="1">_xludf.ifs(AM889="", "", COUNTIF('Internal -- Trademark Countries'!B:B,AM889) &gt; 0, "polity_shortest_name", COUNTIF('Internal -- Trademark Countries'!C:C,AM889) &gt; 0, "polity_full_name", COUNTIF('Internal -- Trademark Countries'!D:D,AM889) &gt; 0, "polity_common_name", COUNTIF('Internal -- Trademark Countries'!E:E,AM889) &gt; 0, "shortest_name", COUNTIF('Internal -- Trademark Countries'!A:A,AM889) &gt; 0, "full_name", TRUE, "not a match")</f>
        <v>#NAME?</v>
      </c>
      <c r="EG889" s="30"/>
      <c r="EH889" s="30"/>
      <c r="EI889" s="30"/>
      <c r="EJ889" s="30"/>
      <c r="EK889" s="30" t="str">
        <f t="shared" si="5"/>
        <v/>
      </c>
    </row>
    <row r="890" spans="1:141" ht="16.5">
      <c r="A890" s="11"/>
      <c r="B890" s="11"/>
      <c r="C890" s="11"/>
      <c r="D890" s="11"/>
      <c r="E890" s="11"/>
      <c r="F890" s="11"/>
      <c r="G890" s="11"/>
      <c r="H890" s="11"/>
      <c r="I890" s="11"/>
      <c r="J890" s="11"/>
      <c r="K890" s="27"/>
      <c r="L890" s="11"/>
      <c r="M890" s="11"/>
      <c r="N890" s="11"/>
      <c r="O890" s="11"/>
      <c r="P890" s="15"/>
      <c r="Q890" s="15"/>
      <c r="R890" s="15"/>
      <c r="S890" s="15"/>
      <c r="T890" s="15"/>
      <c r="U890" s="15"/>
      <c r="V890" s="15"/>
      <c r="W890" s="47"/>
      <c r="X890" s="11"/>
      <c r="Y890" s="48"/>
      <c r="Z890" s="11"/>
      <c r="AA890" s="48"/>
      <c r="AB890" s="11"/>
      <c r="AC890" s="48"/>
      <c r="AD890" s="11"/>
      <c r="AE890" s="47"/>
      <c r="AF890" s="11"/>
      <c r="AG890" s="48"/>
      <c r="AH890" s="11"/>
      <c r="AI890" s="48"/>
      <c r="AJ890" s="11"/>
      <c r="AK890" s="48"/>
      <c r="AL890" s="11"/>
      <c r="AM890" s="49"/>
      <c r="AN890" s="49"/>
      <c r="AO890" s="11"/>
      <c r="AP890" s="11"/>
      <c r="AQ890" s="28" t="b">
        <f>IF(COUNTIF(SmartStatus!A$2:A1000, AM890) &gt; 2, TRUE, FALSE)</f>
        <v>0</v>
      </c>
      <c r="AR890" s="29" t="str">
        <f ca="1">IFERROR(__xludf.DUMMYFUNCTION("iferror(if(regexmatch(AO890, ""(?i)^registered""), if(EE890 &lt;&gt; ""polity_shortest_name"", ""CHECK_POLITY"", index(filter(SmartStatus!B$2:B1000, AM890 = SmartStatus!A$2:A1000, not(SmartStatus!C$2:C1000), (isblank(SmartStatus!D$2:D1000)) + ((P890 &lt;&gt; """") * "&amp;"(P890 &lt; SmartStatus!D$2:D1000)), (isblank(SmartStatus!E$2:E1000)) + ((P890 &lt;&gt; """") * (P890 &gt;= SmartStatus!E$2:E1000)), (isblank(SmartStatus!F$2:F1000)) + (((Q890 &lt;&gt; """") * (Q890 &lt; SmartStatus!F$2:F1000)) + ((P890 &lt;&gt; """") * (date(year(P890) + 3, month(P"&amp;"890), day(P890)) &lt; SmartStatus!F$2:F1000))), (isblank(SmartStatus!G$2:G1000)) + (((Q890 &lt;&gt; """") * (Q890 &gt;= SmartStatus!G$2:G1000)) + ((P890 &lt;&gt; """") * (P890 &gt;= SmartStatus!G$2:G1000)))), if(or(regexmatch(B890, ""(?i)^ir [a-z]+ designation$""), N890 &lt;&gt; """&amp;"""), 1, 2))), """"), ""NO_MATCH"")"),"")</f>
        <v/>
      </c>
      <c r="AS890" s="11"/>
      <c r="AT890" s="15"/>
      <c r="AU890" s="11"/>
      <c r="AV890" s="11"/>
      <c r="AW890" s="15"/>
      <c r="AX890" s="15"/>
      <c r="AY890" s="15"/>
      <c r="AZ890" s="11"/>
      <c r="BA890" s="15"/>
      <c r="BB890" s="11"/>
      <c r="BC890" s="11"/>
      <c r="BD890" s="15"/>
      <c r="BE890" s="11"/>
      <c r="BF890" s="11"/>
      <c r="BG890" s="15"/>
      <c r="BH890" s="15"/>
      <c r="BI890" s="15"/>
      <c r="BJ890" s="11"/>
      <c r="BK890" s="15"/>
      <c r="BL890" s="11"/>
      <c r="BM890" s="11"/>
      <c r="BN890" s="15"/>
      <c r="BO890" s="11"/>
      <c r="BP890" s="11"/>
      <c r="BQ890" s="15"/>
      <c r="BR890" s="15"/>
      <c r="BS890" s="15"/>
      <c r="BT890" s="11"/>
      <c r="BU890" s="15"/>
      <c r="BV890" s="11"/>
      <c r="BW890" s="11"/>
      <c r="BX890" s="15"/>
      <c r="BY890" s="11"/>
      <c r="BZ890" s="11"/>
      <c r="CA890" s="15"/>
      <c r="CB890" s="11"/>
      <c r="CC890" s="15"/>
      <c r="CD890" s="11"/>
      <c r="CE890" s="15"/>
      <c r="CF890" s="11"/>
      <c r="CG890" s="11"/>
      <c r="CH890" s="15"/>
      <c r="CI890" s="11"/>
      <c r="CJ890" s="11"/>
      <c r="CK890" s="15"/>
      <c r="CL890" s="11"/>
      <c r="CM890" s="11"/>
      <c r="CN890" s="11"/>
      <c r="CO890" s="11"/>
      <c r="CP890" s="28"/>
      <c r="CQ890" s="28"/>
      <c r="CR890" s="11"/>
      <c r="CS890" s="29"/>
      <c r="CT890" s="11"/>
      <c r="CU890" s="11"/>
      <c r="CV890" s="11"/>
      <c r="CW890" s="11"/>
      <c r="CX890" s="11"/>
      <c r="CY890" s="11"/>
      <c r="CZ890" s="11"/>
      <c r="DA890" s="28"/>
      <c r="DB890" s="28"/>
      <c r="DC890" s="11"/>
      <c r="DD890" s="29"/>
      <c r="DE890" s="11"/>
      <c r="DF890" s="11"/>
      <c r="DG890" s="11"/>
      <c r="DH890" s="11"/>
      <c r="DI890" s="11"/>
      <c r="DJ890" s="11"/>
      <c r="DK890" s="26"/>
      <c r="DL890" s="11"/>
      <c r="DM890" s="29"/>
      <c r="DN890" s="28"/>
      <c r="DO890" s="11"/>
      <c r="DP890" s="11"/>
      <c r="DQ890" s="11"/>
      <c r="DR890" s="29"/>
      <c r="DS890" s="28"/>
      <c r="DT890" s="11"/>
      <c r="DU890" s="26"/>
      <c r="DV890" s="11"/>
      <c r="DW890" s="29"/>
      <c r="DX890" s="28"/>
      <c r="DY890" s="11"/>
      <c r="DZ890" s="26"/>
      <c r="EA890" s="11"/>
      <c r="EB890" s="29"/>
      <c r="EC890" s="28"/>
      <c r="ED890" s="30"/>
      <c r="EE890" s="30" t="str">
        <f ca="1">IFERROR(__xludf.DUMMYFUNCTION("iferror(index(filter('Internal -- Trademark Countries'!E$2:E1000, (AM890 = 'Internal -- Trademark Countries'!B$2:B1000) + (AM890 = 'Internal -- Trademark Countries'!C$2:C1000) + (AM890 = 'Internal -- Trademark Countries'!D$2:D1000)), 1))"),"")</f>
        <v/>
      </c>
      <c r="EF890" s="30" t="e">
        <f ca="1">_xludf.ifs(AM890="", "", COUNTIF('Internal -- Trademark Countries'!B:B,AM890) &gt; 0, "polity_shortest_name", COUNTIF('Internal -- Trademark Countries'!C:C,AM890) &gt; 0, "polity_full_name", COUNTIF('Internal -- Trademark Countries'!D:D,AM890) &gt; 0, "polity_common_name", COUNTIF('Internal -- Trademark Countries'!E:E,AM890) &gt; 0, "shortest_name", COUNTIF('Internal -- Trademark Countries'!A:A,AM890) &gt; 0, "full_name", TRUE, "not a match")</f>
        <v>#NAME?</v>
      </c>
      <c r="EG890" s="30"/>
      <c r="EH890" s="30"/>
      <c r="EI890" s="30"/>
      <c r="EJ890" s="30"/>
      <c r="EK890" s="30" t="str">
        <f t="shared" si="5"/>
        <v/>
      </c>
    </row>
    <row r="891" spans="1:141" ht="16.5">
      <c r="A891" s="11"/>
      <c r="B891" s="11"/>
      <c r="C891" s="11"/>
      <c r="D891" s="11"/>
      <c r="E891" s="11"/>
      <c r="F891" s="11"/>
      <c r="G891" s="11"/>
      <c r="H891" s="11"/>
      <c r="I891" s="11"/>
      <c r="J891" s="11"/>
      <c r="K891" s="27"/>
      <c r="L891" s="11"/>
      <c r="M891" s="11"/>
      <c r="N891" s="11"/>
      <c r="O891" s="11"/>
      <c r="P891" s="15"/>
      <c r="Q891" s="15"/>
      <c r="R891" s="15"/>
      <c r="S891" s="15"/>
      <c r="T891" s="15"/>
      <c r="U891" s="15"/>
      <c r="V891" s="15"/>
      <c r="W891" s="47"/>
      <c r="X891" s="11"/>
      <c r="Y891" s="48"/>
      <c r="Z891" s="11"/>
      <c r="AA891" s="48"/>
      <c r="AB891" s="11"/>
      <c r="AC891" s="48"/>
      <c r="AD891" s="11"/>
      <c r="AE891" s="47"/>
      <c r="AF891" s="11"/>
      <c r="AG891" s="48"/>
      <c r="AH891" s="11"/>
      <c r="AI891" s="48"/>
      <c r="AJ891" s="11"/>
      <c r="AK891" s="48"/>
      <c r="AL891" s="11"/>
      <c r="AM891" s="49"/>
      <c r="AN891" s="49"/>
      <c r="AO891" s="11"/>
      <c r="AP891" s="11"/>
      <c r="AQ891" s="28" t="b">
        <f>IF(COUNTIF(SmartStatus!A$2:A1000, AM891) &gt; 2, TRUE, FALSE)</f>
        <v>0</v>
      </c>
      <c r="AR891" s="29" t="str">
        <f ca="1">IFERROR(__xludf.DUMMYFUNCTION("iferror(if(regexmatch(AO891, ""(?i)^registered""), if(EE891 &lt;&gt; ""polity_shortest_name"", ""CHECK_POLITY"", index(filter(SmartStatus!B$2:B1000, AM891 = SmartStatus!A$2:A1000, not(SmartStatus!C$2:C1000), (isblank(SmartStatus!D$2:D1000)) + ((P891 &lt;&gt; """") * "&amp;"(P891 &lt; SmartStatus!D$2:D1000)), (isblank(SmartStatus!E$2:E1000)) + ((P891 &lt;&gt; """") * (P891 &gt;= SmartStatus!E$2:E1000)), (isblank(SmartStatus!F$2:F1000)) + (((Q891 &lt;&gt; """") * (Q891 &lt; SmartStatus!F$2:F1000)) + ((P891 &lt;&gt; """") * (date(year(P891) + 3, month(P"&amp;"891), day(P891)) &lt; SmartStatus!F$2:F1000))), (isblank(SmartStatus!G$2:G1000)) + (((Q891 &lt;&gt; """") * (Q891 &gt;= SmartStatus!G$2:G1000)) + ((P891 &lt;&gt; """") * (P891 &gt;= SmartStatus!G$2:G1000)))), if(or(regexmatch(B891, ""(?i)^ir [a-z]+ designation$""), N891 &lt;&gt; """&amp;"""), 1, 2))), """"), ""NO_MATCH"")"),"")</f>
        <v/>
      </c>
      <c r="AS891" s="11"/>
      <c r="AT891" s="15"/>
      <c r="AU891" s="11"/>
      <c r="AV891" s="11"/>
      <c r="AW891" s="15"/>
      <c r="AX891" s="15"/>
      <c r="AY891" s="15"/>
      <c r="AZ891" s="11"/>
      <c r="BA891" s="15"/>
      <c r="BB891" s="11"/>
      <c r="BC891" s="11"/>
      <c r="BD891" s="15"/>
      <c r="BE891" s="11"/>
      <c r="BF891" s="11"/>
      <c r="BG891" s="15"/>
      <c r="BH891" s="15"/>
      <c r="BI891" s="15"/>
      <c r="BJ891" s="11"/>
      <c r="BK891" s="15"/>
      <c r="BL891" s="11"/>
      <c r="BM891" s="11"/>
      <c r="BN891" s="15"/>
      <c r="BO891" s="11"/>
      <c r="BP891" s="11"/>
      <c r="BQ891" s="15"/>
      <c r="BR891" s="15"/>
      <c r="BS891" s="15"/>
      <c r="BT891" s="11"/>
      <c r="BU891" s="15"/>
      <c r="BV891" s="11"/>
      <c r="BW891" s="11"/>
      <c r="BX891" s="15"/>
      <c r="BY891" s="11"/>
      <c r="BZ891" s="11"/>
      <c r="CA891" s="15"/>
      <c r="CB891" s="11"/>
      <c r="CC891" s="15"/>
      <c r="CD891" s="11"/>
      <c r="CE891" s="15"/>
      <c r="CF891" s="11"/>
      <c r="CG891" s="11"/>
      <c r="CH891" s="15"/>
      <c r="CI891" s="11"/>
      <c r="CJ891" s="11"/>
      <c r="CK891" s="15"/>
      <c r="CL891" s="11"/>
      <c r="CM891" s="11"/>
      <c r="CN891" s="11"/>
      <c r="CO891" s="11"/>
      <c r="CP891" s="28"/>
      <c r="CQ891" s="28"/>
      <c r="CR891" s="11"/>
      <c r="CS891" s="29"/>
      <c r="CT891" s="11"/>
      <c r="CU891" s="11"/>
      <c r="CV891" s="11"/>
      <c r="CW891" s="11"/>
      <c r="CX891" s="11"/>
      <c r="CY891" s="11"/>
      <c r="CZ891" s="11"/>
      <c r="DA891" s="28"/>
      <c r="DB891" s="28"/>
      <c r="DC891" s="11"/>
      <c r="DD891" s="29"/>
      <c r="DE891" s="11"/>
      <c r="DF891" s="11"/>
      <c r="DG891" s="11"/>
      <c r="DH891" s="11"/>
      <c r="DI891" s="11"/>
      <c r="DJ891" s="11"/>
      <c r="DK891" s="26"/>
      <c r="DL891" s="11"/>
      <c r="DM891" s="29"/>
      <c r="DN891" s="28"/>
      <c r="DO891" s="11"/>
      <c r="DP891" s="11"/>
      <c r="DQ891" s="11"/>
      <c r="DR891" s="29"/>
      <c r="DS891" s="28"/>
      <c r="DT891" s="11"/>
      <c r="DU891" s="26"/>
      <c r="DV891" s="11"/>
      <c r="DW891" s="29"/>
      <c r="DX891" s="28"/>
      <c r="DY891" s="11"/>
      <c r="DZ891" s="26"/>
      <c r="EA891" s="11"/>
      <c r="EB891" s="29"/>
      <c r="EC891" s="28"/>
      <c r="ED891" s="30"/>
      <c r="EE891" s="30" t="str">
        <f ca="1">IFERROR(__xludf.DUMMYFUNCTION("iferror(index(filter('Internal -- Trademark Countries'!E$2:E1000, (AM891 = 'Internal -- Trademark Countries'!B$2:B1000) + (AM891 = 'Internal -- Trademark Countries'!C$2:C1000) + (AM891 = 'Internal -- Trademark Countries'!D$2:D1000)), 1))"),"")</f>
        <v/>
      </c>
      <c r="EF891" s="30" t="e">
        <f ca="1">_xludf.ifs(AM891="", "", COUNTIF('Internal -- Trademark Countries'!B:B,AM891) &gt; 0, "polity_shortest_name", COUNTIF('Internal -- Trademark Countries'!C:C,AM891) &gt; 0, "polity_full_name", COUNTIF('Internal -- Trademark Countries'!D:D,AM891) &gt; 0, "polity_common_name", COUNTIF('Internal -- Trademark Countries'!E:E,AM891) &gt; 0, "shortest_name", COUNTIF('Internal -- Trademark Countries'!A:A,AM891) &gt; 0, "full_name", TRUE, "not a match")</f>
        <v>#NAME?</v>
      </c>
      <c r="EG891" s="30"/>
      <c r="EH891" s="30"/>
      <c r="EI891" s="30"/>
      <c r="EJ891" s="30"/>
      <c r="EK891" s="30" t="str">
        <f t="shared" si="5"/>
        <v/>
      </c>
    </row>
    <row r="892" spans="1:141" ht="16.5">
      <c r="A892" s="11"/>
      <c r="B892" s="11"/>
      <c r="C892" s="11"/>
      <c r="D892" s="11"/>
      <c r="E892" s="11"/>
      <c r="F892" s="11"/>
      <c r="G892" s="11"/>
      <c r="H892" s="11"/>
      <c r="I892" s="11"/>
      <c r="J892" s="11"/>
      <c r="K892" s="27"/>
      <c r="L892" s="11"/>
      <c r="M892" s="11"/>
      <c r="N892" s="11"/>
      <c r="O892" s="11"/>
      <c r="P892" s="15"/>
      <c r="Q892" s="15"/>
      <c r="R892" s="15"/>
      <c r="S892" s="15"/>
      <c r="T892" s="15"/>
      <c r="U892" s="15"/>
      <c r="V892" s="15"/>
      <c r="W892" s="47"/>
      <c r="X892" s="11"/>
      <c r="Y892" s="48"/>
      <c r="Z892" s="11"/>
      <c r="AA892" s="48"/>
      <c r="AB892" s="11"/>
      <c r="AC892" s="48"/>
      <c r="AD892" s="11"/>
      <c r="AE892" s="47"/>
      <c r="AF892" s="11"/>
      <c r="AG892" s="48"/>
      <c r="AH892" s="11"/>
      <c r="AI892" s="48"/>
      <c r="AJ892" s="11"/>
      <c r="AK892" s="48"/>
      <c r="AL892" s="11"/>
      <c r="AM892" s="49"/>
      <c r="AN892" s="49"/>
      <c r="AO892" s="11"/>
      <c r="AP892" s="11"/>
      <c r="AQ892" s="28" t="b">
        <f>IF(COUNTIF(SmartStatus!A$2:A1000, AM892) &gt; 2, TRUE, FALSE)</f>
        <v>0</v>
      </c>
      <c r="AR892" s="29" t="str">
        <f ca="1">IFERROR(__xludf.DUMMYFUNCTION("iferror(if(regexmatch(AO892, ""(?i)^registered""), if(EE892 &lt;&gt; ""polity_shortest_name"", ""CHECK_POLITY"", index(filter(SmartStatus!B$2:B1000, AM892 = SmartStatus!A$2:A1000, not(SmartStatus!C$2:C1000), (isblank(SmartStatus!D$2:D1000)) + ((P892 &lt;&gt; """") * "&amp;"(P892 &lt; SmartStatus!D$2:D1000)), (isblank(SmartStatus!E$2:E1000)) + ((P892 &lt;&gt; """") * (P892 &gt;= SmartStatus!E$2:E1000)), (isblank(SmartStatus!F$2:F1000)) + (((Q892 &lt;&gt; """") * (Q892 &lt; SmartStatus!F$2:F1000)) + ((P892 &lt;&gt; """") * (date(year(P892) + 3, month(P"&amp;"892), day(P892)) &lt; SmartStatus!F$2:F1000))), (isblank(SmartStatus!G$2:G1000)) + (((Q892 &lt;&gt; """") * (Q892 &gt;= SmartStatus!G$2:G1000)) + ((P892 &lt;&gt; """") * (P892 &gt;= SmartStatus!G$2:G1000)))), if(or(regexmatch(B892, ""(?i)^ir [a-z]+ designation$""), N892 &lt;&gt; """&amp;"""), 1, 2))), """"), ""NO_MATCH"")"),"")</f>
        <v/>
      </c>
      <c r="AS892" s="11"/>
      <c r="AT892" s="15"/>
      <c r="AU892" s="11"/>
      <c r="AV892" s="11"/>
      <c r="AW892" s="15"/>
      <c r="AX892" s="15"/>
      <c r="AY892" s="15"/>
      <c r="AZ892" s="11"/>
      <c r="BA892" s="15"/>
      <c r="BB892" s="11"/>
      <c r="BC892" s="11"/>
      <c r="BD892" s="15"/>
      <c r="BE892" s="11"/>
      <c r="BF892" s="11"/>
      <c r="BG892" s="15"/>
      <c r="BH892" s="15"/>
      <c r="BI892" s="15"/>
      <c r="BJ892" s="11"/>
      <c r="BK892" s="15"/>
      <c r="BL892" s="11"/>
      <c r="BM892" s="11"/>
      <c r="BN892" s="15"/>
      <c r="BO892" s="11"/>
      <c r="BP892" s="11"/>
      <c r="BQ892" s="15"/>
      <c r="BR892" s="15"/>
      <c r="BS892" s="15"/>
      <c r="BT892" s="11"/>
      <c r="BU892" s="15"/>
      <c r="BV892" s="11"/>
      <c r="BW892" s="11"/>
      <c r="BX892" s="15"/>
      <c r="BY892" s="11"/>
      <c r="BZ892" s="11"/>
      <c r="CA892" s="15"/>
      <c r="CB892" s="11"/>
      <c r="CC892" s="15"/>
      <c r="CD892" s="11"/>
      <c r="CE892" s="15"/>
      <c r="CF892" s="11"/>
      <c r="CG892" s="11"/>
      <c r="CH892" s="15"/>
      <c r="CI892" s="11"/>
      <c r="CJ892" s="11"/>
      <c r="CK892" s="15"/>
      <c r="CL892" s="11"/>
      <c r="CM892" s="11"/>
      <c r="CN892" s="11"/>
      <c r="CO892" s="11"/>
      <c r="CP892" s="28"/>
      <c r="CQ892" s="28"/>
      <c r="CR892" s="11"/>
      <c r="CS892" s="29"/>
      <c r="CT892" s="11"/>
      <c r="CU892" s="11"/>
      <c r="CV892" s="11"/>
      <c r="CW892" s="11"/>
      <c r="CX892" s="11"/>
      <c r="CY892" s="11"/>
      <c r="CZ892" s="11"/>
      <c r="DA892" s="28"/>
      <c r="DB892" s="28"/>
      <c r="DC892" s="11"/>
      <c r="DD892" s="29"/>
      <c r="DE892" s="11"/>
      <c r="DF892" s="11"/>
      <c r="DG892" s="11"/>
      <c r="DH892" s="11"/>
      <c r="DI892" s="11"/>
      <c r="DJ892" s="11"/>
      <c r="DK892" s="26"/>
      <c r="DL892" s="11"/>
      <c r="DM892" s="29"/>
      <c r="DN892" s="28"/>
      <c r="DO892" s="11"/>
      <c r="DP892" s="11"/>
      <c r="DQ892" s="11"/>
      <c r="DR892" s="29"/>
      <c r="DS892" s="28"/>
      <c r="DT892" s="11"/>
      <c r="DU892" s="26"/>
      <c r="DV892" s="11"/>
      <c r="DW892" s="29"/>
      <c r="DX892" s="28"/>
      <c r="DY892" s="11"/>
      <c r="DZ892" s="26"/>
      <c r="EA892" s="11"/>
      <c r="EB892" s="29"/>
      <c r="EC892" s="28"/>
      <c r="ED892" s="30"/>
      <c r="EE892" s="30" t="str">
        <f ca="1">IFERROR(__xludf.DUMMYFUNCTION("iferror(index(filter('Internal -- Trademark Countries'!E$2:E1000, (AM892 = 'Internal -- Trademark Countries'!B$2:B1000) + (AM892 = 'Internal -- Trademark Countries'!C$2:C1000) + (AM892 = 'Internal -- Trademark Countries'!D$2:D1000)), 1))"),"")</f>
        <v/>
      </c>
      <c r="EF892" s="30" t="e">
        <f ca="1">_xludf.ifs(AM892="", "", COUNTIF('Internal -- Trademark Countries'!B:B,AM892) &gt; 0, "polity_shortest_name", COUNTIF('Internal -- Trademark Countries'!C:C,AM892) &gt; 0, "polity_full_name", COUNTIF('Internal -- Trademark Countries'!D:D,AM892) &gt; 0, "polity_common_name", COUNTIF('Internal -- Trademark Countries'!E:E,AM892) &gt; 0, "shortest_name", COUNTIF('Internal -- Trademark Countries'!A:A,AM892) &gt; 0, "full_name", TRUE, "not a match")</f>
        <v>#NAME?</v>
      </c>
      <c r="EG892" s="30"/>
      <c r="EH892" s="30"/>
      <c r="EI892" s="30"/>
      <c r="EJ892" s="30"/>
      <c r="EK892" s="30" t="str">
        <f t="shared" si="5"/>
        <v/>
      </c>
    </row>
    <row r="893" spans="1:141" ht="16.5">
      <c r="A893" s="11"/>
      <c r="B893" s="11"/>
      <c r="C893" s="11"/>
      <c r="D893" s="11"/>
      <c r="E893" s="11"/>
      <c r="F893" s="11"/>
      <c r="G893" s="11"/>
      <c r="H893" s="11"/>
      <c r="I893" s="11"/>
      <c r="J893" s="11"/>
      <c r="K893" s="27"/>
      <c r="L893" s="11"/>
      <c r="M893" s="11"/>
      <c r="N893" s="11"/>
      <c r="O893" s="11"/>
      <c r="P893" s="15"/>
      <c r="Q893" s="15"/>
      <c r="R893" s="15"/>
      <c r="S893" s="15"/>
      <c r="T893" s="15"/>
      <c r="U893" s="15"/>
      <c r="V893" s="15"/>
      <c r="W893" s="47"/>
      <c r="X893" s="11"/>
      <c r="Y893" s="48"/>
      <c r="Z893" s="11"/>
      <c r="AA893" s="48"/>
      <c r="AB893" s="11"/>
      <c r="AC893" s="48"/>
      <c r="AD893" s="11"/>
      <c r="AE893" s="47"/>
      <c r="AF893" s="11"/>
      <c r="AG893" s="48"/>
      <c r="AH893" s="11"/>
      <c r="AI893" s="48"/>
      <c r="AJ893" s="11"/>
      <c r="AK893" s="48"/>
      <c r="AL893" s="11"/>
      <c r="AM893" s="49"/>
      <c r="AN893" s="49"/>
      <c r="AO893" s="11"/>
      <c r="AP893" s="11"/>
      <c r="AQ893" s="28" t="b">
        <f>IF(COUNTIF(SmartStatus!A$2:A1000, AM893) &gt; 2, TRUE, FALSE)</f>
        <v>0</v>
      </c>
      <c r="AR893" s="29" t="str">
        <f ca="1">IFERROR(__xludf.DUMMYFUNCTION("iferror(if(regexmatch(AO893, ""(?i)^registered""), if(EE893 &lt;&gt; ""polity_shortest_name"", ""CHECK_POLITY"", index(filter(SmartStatus!B$2:B1000, AM893 = SmartStatus!A$2:A1000, not(SmartStatus!C$2:C1000), (isblank(SmartStatus!D$2:D1000)) + ((P893 &lt;&gt; """") * "&amp;"(P893 &lt; SmartStatus!D$2:D1000)), (isblank(SmartStatus!E$2:E1000)) + ((P893 &lt;&gt; """") * (P893 &gt;= SmartStatus!E$2:E1000)), (isblank(SmartStatus!F$2:F1000)) + (((Q893 &lt;&gt; """") * (Q893 &lt; SmartStatus!F$2:F1000)) + ((P893 &lt;&gt; """") * (date(year(P893) + 3, month(P"&amp;"893), day(P893)) &lt; SmartStatus!F$2:F1000))), (isblank(SmartStatus!G$2:G1000)) + (((Q893 &lt;&gt; """") * (Q893 &gt;= SmartStatus!G$2:G1000)) + ((P893 &lt;&gt; """") * (P893 &gt;= SmartStatus!G$2:G1000)))), if(or(regexmatch(B893, ""(?i)^ir [a-z]+ designation$""), N893 &lt;&gt; """&amp;"""), 1, 2))), """"), ""NO_MATCH"")"),"")</f>
        <v/>
      </c>
      <c r="AS893" s="11"/>
      <c r="AT893" s="15"/>
      <c r="AU893" s="11"/>
      <c r="AV893" s="11"/>
      <c r="AW893" s="15"/>
      <c r="AX893" s="15"/>
      <c r="AY893" s="15"/>
      <c r="AZ893" s="11"/>
      <c r="BA893" s="15"/>
      <c r="BB893" s="11"/>
      <c r="BC893" s="11"/>
      <c r="BD893" s="15"/>
      <c r="BE893" s="11"/>
      <c r="BF893" s="11"/>
      <c r="BG893" s="15"/>
      <c r="BH893" s="15"/>
      <c r="BI893" s="15"/>
      <c r="BJ893" s="11"/>
      <c r="BK893" s="15"/>
      <c r="BL893" s="11"/>
      <c r="BM893" s="11"/>
      <c r="BN893" s="15"/>
      <c r="BO893" s="11"/>
      <c r="BP893" s="11"/>
      <c r="BQ893" s="15"/>
      <c r="BR893" s="15"/>
      <c r="BS893" s="15"/>
      <c r="BT893" s="11"/>
      <c r="BU893" s="15"/>
      <c r="BV893" s="11"/>
      <c r="BW893" s="11"/>
      <c r="BX893" s="15"/>
      <c r="BY893" s="11"/>
      <c r="BZ893" s="11"/>
      <c r="CA893" s="15"/>
      <c r="CB893" s="11"/>
      <c r="CC893" s="15"/>
      <c r="CD893" s="11"/>
      <c r="CE893" s="15"/>
      <c r="CF893" s="11"/>
      <c r="CG893" s="11"/>
      <c r="CH893" s="15"/>
      <c r="CI893" s="11"/>
      <c r="CJ893" s="11"/>
      <c r="CK893" s="15"/>
      <c r="CL893" s="11"/>
      <c r="CM893" s="11"/>
      <c r="CN893" s="11"/>
      <c r="CO893" s="11"/>
      <c r="CP893" s="28"/>
      <c r="CQ893" s="28"/>
      <c r="CR893" s="11"/>
      <c r="CS893" s="29"/>
      <c r="CT893" s="11"/>
      <c r="CU893" s="11"/>
      <c r="CV893" s="11"/>
      <c r="CW893" s="11"/>
      <c r="CX893" s="11"/>
      <c r="CY893" s="11"/>
      <c r="CZ893" s="11"/>
      <c r="DA893" s="28"/>
      <c r="DB893" s="28"/>
      <c r="DC893" s="11"/>
      <c r="DD893" s="29"/>
      <c r="DE893" s="11"/>
      <c r="DF893" s="11"/>
      <c r="DG893" s="11"/>
      <c r="DH893" s="11"/>
      <c r="DI893" s="11"/>
      <c r="DJ893" s="11"/>
      <c r="DK893" s="26"/>
      <c r="DL893" s="11"/>
      <c r="DM893" s="29"/>
      <c r="DN893" s="28"/>
      <c r="DO893" s="11"/>
      <c r="DP893" s="11"/>
      <c r="DQ893" s="11"/>
      <c r="DR893" s="29"/>
      <c r="DS893" s="28"/>
      <c r="DT893" s="11"/>
      <c r="DU893" s="26"/>
      <c r="DV893" s="11"/>
      <c r="DW893" s="29"/>
      <c r="DX893" s="28"/>
      <c r="DY893" s="11"/>
      <c r="DZ893" s="26"/>
      <c r="EA893" s="11"/>
      <c r="EB893" s="29"/>
      <c r="EC893" s="28"/>
      <c r="ED893" s="30"/>
      <c r="EE893" s="30" t="str">
        <f ca="1">IFERROR(__xludf.DUMMYFUNCTION("iferror(index(filter('Internal -- Trademark Countries'!E$2:E1000, (AM893 = 'Internal -- Trademark Countries'!B$2:B1000) + (AM893 = 'Internal -- Trademark Countries'!C$2:C1000) + (AM893 = 'Internal -- Trademark Countries'!D$2:D1000)), 1))"),"")</f>
        <v/>
      </c>
      <c r="EF893" s="30" t="e">
        <f ca="1">_xludf.ifs(AM893="", "", COUNTIF('Internal -- Trademark Countries'!B:B,AM893) &gt; 0, "polity_shortest_name", COUNTIF('Internal -- Trademark Countries'!C:C,AM893) &gt; 0, "polity_full_name", COUNTIF('Internal -- Trademark Countries'!D:D,AM893) &gt; 0, "polity_common_name", COUNTIF('Internal -- Trademark Countries'!E:E,AM893) &gt; 0, "shortest_name", COUNTIF('Internal -- Trademark Countries'!A:A,AM893) &gt; 0, "full_name", TRUE, "not a match")</f>
        <v>#NAME?</v>
      </c>
      <c r="EG893" s="30"/>
      <c r="EH893" s="30"/>
      <c r="EI893" s="30"/>
      <c r="EJ893" s="30"/>
      <c r="EK893" s="30" t="str">
        <f t="shared" si="5"/>
        <v/>
      </c>
    </row>
    <row r="894" spans="1:141" ht="16.5">
      <c r="A894" s="11"/>
      <c r="B894" s="11"/>
      <c r="C894" s="11"/>
      <c r="D894" s="11"/>
      <c r="E894" s="11"/>
      <c r="F894" s="11"/>
      <c r="G894" s="11"/>
      <c r="H894" s="11"/>
      <c r="I894" s="11"/>
      <c r="J894" s="11"/>
      <c r="K894" s="27"/>
      <c r="L894" s="11"/>
      <c r="M894" s="11"/>
      <c r="N894" s="11"/>
      <c r="O894" s="11"/>
      <c r="P894" s="15"/>
      <c r="Q894" s="15"/>
      <c r="R894" s="15"/>
      <c r="S894" s="15"/>
      <c r="T894" s="15"/>
      <c r="U894" s="15"/>
      <c r="V894" s="15"/>
      <c r="W894" s="47"/>
      <c r="X894" s="11"/>
      <c r="Y894" s="48"/>
      <c r="Z894" s="11"/>
      <c r="AA894" s="48"/>
      <c r="AB894" s="11"/>
      <c r="AC894" s="48"/>
      <c r="AD894" s="11"/>
      <c r="AE894" s="47"/>
      <c r="AF894" s="11"/>
      <c r="AG894" s="48"/>
      <c r="AH894" s="11"/>
      <c r="AI894" s="48"/>
      <c r="AJ894" s="11"/>
      <c r="AK894" s="48"/>
      <c r="AL894" s="11"/>
      <c r="AM894" s="49"/>
      <c r="AN894" s="49"/>
      <c r="AO894" s="11"/>
      <c r="AP894" s="11"/>
      <c r="AQ894" s="28" t="b">
        <f>IF(COUNTIF(SmartStatus!A$2:A1000, AM894) &gt; 2, TRUE, FALSE)</f>
        <v>0</v>
      </c>
      <c r="AR894" s="29" t="str">
        <f ca="1">IFERROR(__xludf.DUMMYFUNCTION("iferror(if(regexmatch(AO894, ""(?i)^registered""), if(EE894 &lt;&gt; ""polity_shortest_name"", ""CHECK_POLITY"", index(filter(SmartStatus!B$2:B1000, AM894 = SmartStatus!A$2:A1000, not(SmartStatus!C$2:C1000), (isblank(SmartStatus!D$2:D1000)) + ((P894 &lt;&gt; """") * "&amp;"(P894 &lt; SmartStatus!D$2:D1000)), (isblank(SmartStatus!E$2:E1000)) + ((P894 &lt;&gt; """") * (P894 &gt;= SmartStatus!E$2:E1000)), (isblank(SmartStatus!F$2:F1000)) + (((Q894 &lt;&gt; """") * (Q894 &lt; SmartStatus!F$2:F1000)) + ((P894 &lt;&gt; """") * (date(year(P894) + 3, month(P"&amp;"894), day(P894)) &lt; SmartStatus!F$2:F1000))), (isblank(SmartStatus!G$2:G1000)) + (((Q894 &lt;&gt; """") * (Q894 &gt;= SmartStatus!G$2:G1000)) + ((P894 &lt;&gt; """") * (P894 &gt;= SmartStatus!G$2:G1000)))), if(or(regexmatch(B894, ""(?i)^ir [a-z]+ designation$""), N894 &lt;&gt; """&amp;"""), 1, 2))), """"), ""NO_MATCH"")"),"")</f>
        <v/>
      </c>
      <c r="AS894" s="11"/>
      <c r="AT894" s="15"/>
      <c r="AU894" s="11"/>
      <c r="AV894" s="11"/>
      <c r="AW894" s="15"/>
      <c r="AX894" s="15"/>
      <c r="AY894" s="15"/>
      <c r="AZ894" s="11"/>
      <c r="BA894" s="15"/>
      <c r="BB894" s="11"/>
      <c r="BC894" s="11"/>
      <c r="BD894" s="15"/>
      <c r="BE894" s="11"/>
      <c r="BF894" s="11"/>
      <c r="BG894" s="15"/>
      <c r="BH894" s="15"/>
      <c r="BI894" s="15"/>
      <c r="BJ894" s="11"/>
      <c r="BK894" s="15"/>
      <c r="BL894" s="11"/>
      <c r="BM894" s="11"/>
      <c r="BN894" s="15"/>
      <c r="BO894" s="11"/>
      <c r="BP894" s="11"/>
      <c r="BQ894" s="15"/>
      <c r="BR894" s="15"/>
      <c r="BS894" s="15"/>
      <c r="BT894" s="11"/>
      <c r="BU894" s="15"/>
      <c r="BV894" s="11"/>
      <c r="BW894" s="11"/>
      <c r="BX894" s="15"/>
      <c r="BY894" s="11"/>
      <c r="BZ894" s="11"/>
      <c r="CA894" s="15"/>
      <c r="CB894" s="11"/>
      <c r="CC894" s="15"/>
      <c r="CD894" s="11"/>
      <c r="CE894" s="15"/>
      <c r="CF894" s="11"/>
      <c r="CG894" s="11"/>
      <c r="CH894" s="15"/>
      <c r="CI894" s="11"/>
      <c r="CJ894" s="11"/>
      <c r="CK894" s="15"/>
      <c r="CL894" s="11"/>
      <c r="CM894" s="11"/>
      <c r="CN894" s="11"/>
      <c r="CO894" s="11"/>
      <c r="CP894" s="28"/>
      <c r="CQ894" s="28"/>
      <c r="CR894" s="11"/>
      <c r="CS894" s="29"/>
      <c r="CT894" s="11"/>
      <c r="CU894" s="11"/>
      <c r="CV894" s="11"/>
      <c r="CW894" s="11"/>
      <c r="CX894" s="11"/>
      <c r="CY894" s="11"/>
      <c r="CZ894" s="11"/>
      <c r="DA894" s="28"/>
      <c r="DB894" s="28"/>
      <c r="DC894" s="11"/>
      <c r="DD894" s="29"/>
      <c r="DE894" s="11"/>
      <c r="DF894" s="11"/>
      <c r="DG894" s="11"/>
      <c r="DH894" s="11"/>
      <c r="DI894" s="11"/>
      <c r="DJ894" s="11"/>
      <c r="DK894" s="26"/>
      <c r="DL894" s="11"/>
      <c r="DM894" s="29"/>
      <c r="DN894" s="28"/>
      <c r="DO894" s="11"/>
      <c r="DP894" s="11"/>
      <c r="DQ894" s="11"/>
      <c r="DR894" s="29"/>
      <c r="DS894" s="28"/>
      <c r="DT894" s="11"/>
      <c r="DU894" s="26"/>
      <c r="DV894" s="11"/>
      <c r="DW894" s="29"/>
      <c r="DX894" s="28"/>
      <c r="DY894" s="11"/>
      <c r="DZ894" s="26"/>
      <c r="EA894" s="11"/>
      <c r="EB894" s="29"/>
      <c r="EC894" s="28"/>
      <c r="ED894" s="30"/>
      <c r="EE894" s="30" t="str">
        <f ca="1">IFERROR(__xludf.DUMMYFUNCTION("iferror(index(filter('Internal -- Trademark Countries'!E$2:E1000, (AM894 = 'Internal -- Trademark Countries'!B$2:B1000) + (AM894 = 'Internal -- Trademark Countries'!C$2:C1000) + (AM894 = 'Internal -- Trademark Countries'!D$2:D1000)), 1))"),"")</f>
        <v/>
      </c>
      <c r="EF894" s="30" t="e">
        <f ca="1">_xludf.ifs(AM894="", "", COUNTIF('Internal -- Trademark Countries'!B:B,AM894) &gt; 0, "polity_shortest_name", COUNTIF('Internal -- Trademark Countries'!C:C,AM894) &gt; 0, "polity_full_name", COUNTIF('Internal -- Trademark Countries'!D:D,AM894) &gt; 0, "polity_common_name", COUNTIF('Internal -- Trademark Countries'!E:E,AM894) &gt; 0, "shortest_name", COUNTIF('Internal -- Trademark Countries'!A:A,AM894) &gt; 0, "full_name", TRUE, "not a match")</f>
        <v>#NAME?</v>
      </c>
      <c r="EG894" s="30"/>
      <c r="EH894" s="30"/>
      <c r="EI894" s="30"/>
      <c r="EJ894" s="30"/>
      <c r="EK894" s="30" t="str">
        <f t="shared" si="5"/>
        <v/>
      </c>
    </row>
    <row r="895" spans="1:141" ht="16.5">
      <c r="A895" s="11"/>
      <c r="B895" s="11"/>
      <c r="C895" s="11"/>
      <c r="D895" s="11"/>
      <c r="E895" s="11"/>
      <c r="F895" s="11"/>
      <c r="G895" s="11"/>
      <c r="H895" s="11"/>
      <c r="I895" s="11"/>
      <c r="J895" s="11"/>
      <c r="K895" s="27"/>
      <c r="L895" s="11"/>
      <c r="M895" s="11"/>
      <c r="N895" s="11"/>
      <c r="O895" s="11"/>
      <c r="P895" s="15"/>
      <c r="Q895" s="15"/>
      <c r="R895" s="15"/>
      <c r="S895" s="15"/>
      <c r="T895" s="15"/>
      <c r="U895" s="15"/>
      <c r="V895" s="15"/>
      <c r="W895" s="47"/>
      <c r="X895" s="11"/>
      <c r="Y895" s="48"/>
      <c r="Z895" s="11"/>
      <c r="AA895" s="48"/>
      <c r="AB895" s="11"/>
      <c r="AC895" s="48"/>
      <c r="AD895" s="11"/>
      <c r="AE895" s="47"/>
      <c r="AF895" s="11"/>
      <c r="AG895" s="48"/>
      <c r="AH895" s="11"/>
      <c r="AI895" s="48"/>
      <c r="AJ895" s="11"/>
      <c r="AK895" s="48"/>
      <c r="AL895" s="11"/>
      <c r="AM895" s="49"/>
      <c r="AN895" s="49"/>
      <c r="AO895" s="11"/>
      <c r="AP895" s="11"/>
      <c r="AQ895" s="28" t="b">
        <f>IF(COUNTIF(SmartStatus!A$2:A1000, AM895) &gt; 2, TRUE, FALSE)</f>
        <v>0</v>
      </c>
      <c r="AR895" s="29" t="str">
        <f ca="1">IFERROR(__xludf.DUMMYFUNCTION("iferror(if(regexmatch(AO895, ""(?i)^registered""), if(EE895 &lt;&gt; ""polity_shortest_name"", ""CHECK_POLITY"", index(filter(SmartStatus!B$2:B1000, AM895 = SmartStatus!A$2:A1000, not(SmartStatus!C$2:C1000), (isblank(SmartStatus!D$2:D1000)) + ((P895 &lt;&gt; """") * "&amp;"(P895 &lt; SmartStatus!D$2:D1000)), (isblank(SmartStatus!E$2:E1000)) + ((P895 &lt;&gt; """") * (P895 &gt;= SmartStatus!E$2:E1000)), (isblank(SmartStatus!F$2:F1000)) + (((Q895 &lt;&gt; """") * (Q895 &lt; SmartStatus!F$2:F1000)) + ((P895 &lt;&gt; """") * (date(year(P895) + 3, month(P"&amp;"895), day(P895)) &lt; SmartStatus!F$2:F1000))), (isblank(SmartStatus!G$2:G1000)) + (((Q895 &lt;&gt; """") * (Q895 &gt;= SmartStatus!G$2:G1000)) + ((P895 &lt;&gt; """") * (P895 &gt;= SmartStatus!G$2:G1000)))), if(or(regexmatch(B895, ""(?i)^ir [a-z]+ designation$""), N895 &lt;&gt; """&amp;"""), 1, 2))), """"), ""NO_MATCH"")"),"")</f>
        <v/>
      </c>
      <c r="AS895" s="11"/>
      <c r="AT895" s="15"/>
      <c r="AU895" s="11"/>
      <c r="AV895" s="11"/>
      <c r="AW895" s="15"/>
      <c r="AX895" s="15"/>
      <c r="AY895" s="15"/>
      <c r="AZ895" s="11"/>
      <c r="BA895" s="15"/>
      <c r="BB895" s="11"/>
      <c r="BC895" s="11"/>
      <c r="BD895" s="15"/>
      <c r="BE895" s="11"/>
      <c r="BF895" s="11"/>
      <c r="BG895" s="15"/>
      <c r="BH895" s="15"/>
      <c r="BI895" s="15"/>
      <c r="BJ895" s="11"/>
      <c r="BK895" s="15"/>
      <c r="BL895" s="11"/>
      <c r="BM895" s="11"/>
      <c r="BN895" s="15"/>
      <c r="BO895" s="11"/>
      <c r="BP895" s="11"/>
      <c r="BQ895" s="15"/>
      <c r="BR895" s="15"/>
      <c r="BS895" s="15"/>
      <c r="BT895" s="11"/>
      <c r="BU895" s="15"/>
      <c r="BV895" s="11"/>
      <c r="BW895" s="11"/>
      <c r="BX895" s="15"/>
      <c r="BY895" s="11"/>
      <c r="BZ895" s="11"/>
      <c r="CA895" s="15"/>
      <c r="CB895" s="11"/>
      <c r="CC895" s="15"/>
      <c r="CD895" s="11"/>
      <c r="CE895" s="15"/>
      <c r="CF895" s="11"/>
      <c r="CG895" s="11"/>
      <c r="CH895" s="15"/>
      <c r="CI895" s="11"/>
      <c r="CJ895" s="11"/>
      <c r="CK895" s="15"/>
      <c r="CL895" s="11"/>
      <c r="CM895" s="11"/>
      <c r="CN895" s="11"/>
      <c r="CO895" s="11"/>
      <c r="CP895" s="28"/>
      <c r="CQ895" s="28"/>
      <c r="CR895" s="11"/>
      <c r="CS895" s="29"/>
      <c r="CT895" s="11"/>
      <c r="CU895" s="11"/>
      <c r="CV895" s="11"/>
      <c r="CW895" s="11"/>
      <c r="CX895" s="11"/>
      <c r="CY895" s="11"/>
      <c r="CZ895" s="11"/>
      <c r="DA895" s="28"/>
      <c r="DB895" s="28"/>
      <c r="DC895" s="11"/>
      <c r="DD895" s="29"/>
      <c r="DE895" s="11"/>
      <c r="DF895" s="11"/>
      <c r="DG895" s="11"/>
      <c r="DH895" s="11"/>
      <c r="DI895" s="11"/>
      <c r="DJ895" s="11"/>
      <c r="DK895" s="26"/>
      <c r="DL895" s="11"/>
      <c r="DM895" s="29"/>
      <c r="DN895" s="28"/>
      <c r="DO895" s="11"/>
      <c r="DP895" s="11"/>
      <c r="DQ895" s="11"/>
      <c r="DR895" s="29"/>
      <c r="DS895" s="28"/>
      <c r="DT895" s="11"/>
      <c r="DU895" s="26"/>
      <c r="DV895" s="11"/>
      <c r="DW895" s="29"/>
      <c r="DX895" s="28"/>
      <c r="DY895" s="11"/>
      <c r="DZ895" s="26"/>
      <c r="EA895" s="11"/>
      <c r="EB895" s="29"/>
      <c r="EC895" s="28"/>
      <c r="ED895" s="30"/>
      <c r="EE895" s="30" t="str">
        <f ca="1">IFERROR(__xludf.DUMMYFUNCTION("iferror(index(filter('Internal -- Trademark Countries'!E$2:E1000, (AM895 = 'Internal -- Trademark Countries'!B$2:B1000) + (AM895 = 'Internal -- Trademark Countries'!C$2:C1000) + (AM895 = 'Internal -- Trademark Countries'!D$2:D1000)), 1))"),"")</f>
        <v/>
      </c>
      <c r="EF895" s="30" t="e">
        <f ca="1">_xludf.ifs(AM895="", "", COUNTIF('Internal -- Trademark Countries'!B:B,AM895) &gt; 0, "polity_shortest_name", COUNTIF('Internal -- Trademark Countries'!C:C,AM895) &gt; 0, "polity_full_name", COUNTIF('Internal -- Trademark Countries'!D:D,AM895) &gt; 0, "polity_common_name", COUNTIF('Internal -- Trademark Countries'!E:E,AM895) &gt; 0, "shortest_name", COUNTIF('Internal -- Trademark Countries'!A:A,AM895) &gt; 0, "full_name", TRUE, "not a match")</f>
        <v>#NAME?</v>
      </c>
      <c r="EG895" s="30"/>
      <c r="EH895" s="30"/>
      <c r="EI895" s="30"/>
      <c r="EJ895" s="30"/>
      <c r="EK895" s="30" t="str">
        <f t="shared" si="5"/>
        <v/>
      </c>
    </row>
    <row r="896" spans="1:141" ht="16.5">
      <c r="A896" s="11"/>
      <c r="B896" s="11"/>
      <c r="C896" s="11"/>
      <c r="D896" s="11"/>
      <c r="E896" s="11"/>
      <c r="F896" s="11"/>
      <c r="G896" s="11"/>
      <c r="H896" s="11"/>
      <c r="I896" s="11"/>
      <c r="J896" s="11"/>
      <c r="K896" s="27"/>
      <c r="L896" s="11"/>
      <c r="M896" s="11"/>
      <c r="N896" s="11"/>
      <c r="O896" s="11"/>
      <c r="P896" s="15"/>
      <c r="Q896" s="15"/>
      <c r="R896" s="15"/>
      <c r="S896" s="15"/>
      <c r="T896" s="15"/>
      <c r="U896" s="15"/>
      <c r="V896" s="15"/>
      <c r="W896" s="47"/>
      <c r="X896" s="11"/>
      <c r="Y896" s="48"/>
      <c r="Z896" s="11"/>
      <c r="AA896" s="48"/>
      <c r="AB896" s="11"/>
      <c r="AC896" s="48"/>
      <c r="AD896" s="11"/>
      <c r="AE896" s="47"/>
      <c r="AF896" s="11"/>
      <c r="AG896" s="48"/>
      <c r="AH896" s="11"/>
      <c r="AI896" s="48"/>
      <c r="AJ896" s="11"/>
      <c r="AK896" s="48"/>
      <c r="AL896" s="11"/>
      <c r="AM896" s="49"/>
      <c r="AN896" s="49"/>
      <c r="AO896" s="11"/>
      <c r="AP896" s="11"/>
      <c r="AQ896" s="28" t="b">
        <f>IF(COUNTIF(SmartStatus!A$2:A1000, AM896) &gt; 2, TRUE, FALSE)</f>
        <v>0</v>
      </c>
      <c r="AR896" s="29" t="str">
        <f ca="1">IFERROR(__xludf.DUMMYFUNCTION("iferror(if(regexmatch(AO896, ""(?i)^registered""), if(EE896 &lt;&gt; ""polity_shortest_name"", ""CHECK_POLITY"", index(filter(SmartStatus!B$2:B1000, AM896 = SmartStatus!A$2:A1000, not(SmartStatus!C$2:C1000), (isblank(SmartStatus!D$2:D1000)) + ((P896 &lt;&gt; """") * "&amp;"(P896 &lt; SmartStatus!D$2:D1000)), (isblank(SmartStatus!E$2:E1000)) + ((P896 &lt;&gt; """") * (P896 &gt;= SmartStatus!E$2:E1000)), (isblank(SmartStatus!F$2:F1000)) + (((Q896 &lt;&gt; """") * (Q896 &lt; SmartStatus!F$2:F1000)) + ((P896 &lt;&gt; """") * (date(year(P896) + 3, month(P"&amp;"896), day(P896)) &lt; SmartStatus!F$2:F1000))), (isblank(SmartStatus!G$2:G1000)) + (((Q896 &lt;&gt; """") * (Q896 &gt;= SmartStatus!G$2:G1000)) + ((P896 &lt;&gt; """") * (P896 &gt;= SmartStatus!G$2:G1000)))), if(or(regexmatch(B896, ""(?i)^ir [a-z]+ designation$""), N896 &lt;&gt; """&amp;"""), 1, 2))), """"), ""NO_MATCH"")"),"")</f>
        <v/>
      </c>
      <c r="AS896" s="11"/>
      <c r="AT896" s="15"/>
      <c r="AU896" s="11"/>
      <c r="AV896" s="11"/>
      <c r="AW896" s="15"/>
      <c r="AX896" s="15"/>
      <c r="AY896" s="15"/>
      <c r="AZ896" s="11"/>
      <c r="BA896" s="15"/>
      <c r="BB896" s="11"/>
      <c r="BC896" s="11"/>
      <c r="BD896" s="15"/>
      <c r="BE896" s="11"/>
      <c r="BF896" s="11"/>
      <c r="BG896" s="15"/>
      <c r="BH896" s="15"/>
      <c r="BI896" s="15"/>
      <c r="BJ896" s="11"/>
      <c r="BK896" s="15"/>
      <c r="BL896" s="11"/>
      <c r="BM896" s="11"/>
      <c r="BN896" s="15"/>
      <c r="BO896" s="11"/>
      <c r="BP896" s="11"/>
      <c r="BQ896" s="15"/>
      <c r="BR896" s="15"/>
      <c r="BS896" s="15"/>
      <c r="BT896" s="11"/>
      <c r="BU896" s="15"/>
      <c r="BV896" s="11"/>
      <c r="BW896" s="11"/>
      <c r="BX896" s="15"/>
      <c r="BY896" s="11"/>
      <c r="BZ896" s="11"/>
      <c r="CA896" s="15"/>
      <c r="CB896" s="11"/>
      <c r="CC896" s="15"/>
      <c r="CD896" s="11"/>
      <c r="CE896" s="15"/>
      <c r="CF896" s="11"/>
      <c r="CG896" s="11"/>
      <c r="CH896" s="15"/>
      <c r="CI896" s="11"/>
      <c r="CJ896" s="11"/>
      <c r="CK896" s="15"/>
      <c r="CL896" s="11"/>
      <c r="CM896" s="11"/>
      <c r="CN896" s="11"/>
      <c r="CO896" s="11"/>
      <c r="CP896" s="28"/>
      <c r="CQ896" s="28"/>
      <c r="CR896" s="11"/>
      <c r="CS896" s="29"/>
      <c r="CT896" s="11"/>
      <c r="CU896" s="11"/>
      <c r="CV896" s="11"/>
      <c r="CW896" s="11"/>
      <c r="CX896" s="11"/>
      <c r="CY896" s="11"/>
      <c r="CZ896" s="11"/>
      <c r="DA896" s="28"/>
      <c r="DB896" s="28"/>
      <c r="DC896" s="11"/>
      <c r="DD896" s="29"/>
      <c r="DE896" s="11"/>
      <c r="DF896" s="11"/>
      <c r="DG896" s="11"/>
      <c r="DH896" s="11"/>
      <c r="DI896" s="11"/>
      <c r="DJ896" s="11"/>
      <c r="DK896" s="26"/>
      <c r="DL896" s="11"/>
      <c r="DM896" s="29"/>
      <c r="DN896" s="28"/>
      <c r="DO896" s="11"/>
      <c r="DP896" s="11"/>
      <c r="DQ896" s="11"/>
      <c r="DR896" s="29"/>
      <c r="DS896" s="28"/>
      <c r="DT896" s="11"/>
      <c r="DU896" s="26"/>
      <c r="DV896" s="11"/>
      <c r="DW896" s="29"/>
      <c r="DX896" s="28"/>
      <c r="DY896" s="11"/>
      <c r="DZ896" s="26"/>
      <c r="EA896" s="11"/>
      <c r="EB896" s="29"/>
      <c r="EC896" s="28"/>
      <c r="ED896" s="30"/>
      <c r="EE896" s="30" t="str">
        <f ca="1">IFERROR(__xludf.DUMMYFUNCTION("iferror(index(filter('Internal -- Trademark Countries'!E$2:E1000, (AM896 = 'Internal -- Trademark Countries'!B$2:B1000) + (AM896 = 'Internal -- Trademark Countries'!C$2:C1000) + (AM896 = 'Internal -- Trademark Countries'!D$2:D1000)), 1))"),"")</f>
        <v/>
      </c>
      <c r="EF896" s="30" t="e">
        <f ca="1">_xludf.ifs(AM896="", "", COUNTIF('Internal -- Trademark Countries'!B:B,AM896) &gt; 0, "polity_shortest_name", COUNTIF('Internal -- Trademark Countries'!C:C,AM896) &gt; 0, "polity_full_name", COUNTIF('Internal -- Trademark Countries'!D:D,AM896) &gt; 0, "polity_common_name", COUNTIF('Internal -- Trademark Countries'!E:E,AM896) &gt; 0, "shortest_name", COUNTIF('Internal -- Trademark Countries'!A:A,AM896) &gt; 0, "full_name", TRUE, "not a match")</f>
        <v>#NAME?</v>
      </c>
      <c r="EG896" s="30"/>
      <c r="EH896" s="30"/>
      <c r="EI896" s="30"/>
      <c r="EJ896" s="30"/>
      <c r="EK896" s="30" t="str">
        <f t="shared" si="5"/>
        <v/>
      </c>
    </row>
    <row r="897" spans="1:141" ht="16.5">
      <c r="A897" s="11"/>
      <c r="B897" s="11"/>
      <c r="C897" s="11"/>
      <c r="D897" s="11"/>
      <c r="E897" s="11"/>
      <c r="F897" s="11"/>
      <c r="G897" s="11"/>
      <c r="H897" s="11"/>
      <c r="I897" s="11"/>
      <c r="J897" s="11"/>
      <c r="K897" s="27"/>
      <c r="L897" s="11"/>
      <c r="M897" s="11"/>
      <c r="N897" s="11"/>
      <c r="O897" s="11"/>
      <c r="P897" s="15"/>
      <c r="Q897" s="15"/>
      <c r="R897" s="15"/>
      <c r="S897" s="15"/>
      <c r="T897" s="15"/>
      <c r="U897" s="15"/>
      <c r="V897" s="15"/>
      <c r="W897" s="47"/>
      <c r="X897" s="11"/>
      <c r="Y897" s="48"/>
      <c r="Z897" s="11"/>
      <c r="AA897" s="48"/>
      <c r="AB897" s="11"/>
      <c r="AC897" s="48"/>
      <c r="AD897" s="11"/>
      <c r="AE897" s="47"/>
      <c r="AF897" s="11"/>
      <c r="AG897" s="48"/>
      <c r="AH897" s="11"/>
      <c r="AI897" s="48"/>
      <c r="AJ897" s="11"/>
      <c r="AK897" s="48"/>
      <c r="AL897" s="11"/>
      <c r="AM897" s="49"/>
      <c r="AN897" s="49"/>
      <c r="AO897" s="11"/>
      <c r="AP897" s="11"/>
      <c r="AQ897" s="28" t="b">
        <f>IF(COUNTIF(SmartStatus!A$2:A1000, AM897) &gt; 2, TRUE, FALSE)</f>
        <v>0</v>
      </c>
      <c r="AR897" s="29" t="str">
        <f ca="1">IFERROR(__xludf.DUMMYFUNCTION("iferror(if(regexmatch(AO897, ""(?i)^registered""), if(EE897 &lt;&gt; ""polity_shortest_name"", ""CHECK_POLITY"", index(filter(SmartStatus!B$2:B1000, AM897 = SmartStatus!A$2:A1000, not(SmartStatus!C$2:C1000), (isblank(SmartStatus!D$2:D1000)) + ((P897 &lt;&gt; """") * "&amp;"(P897 &lt; SmartStatus!D$2:D1000)), (isblank(SmartStatus!E$2:E1000)) + ((P897 &lt;&gt; """") * (P897 &gt;= SmartStatus!E$2:E1000)), (isblank(SmartStatus!F$2:F1000)) + (((Q897 &lt;&gt; """") * (Q897 &lt; SmartStatus!F$2:F1000)) + ((P897 &lt;&gt; """") * (date(year(P897) + 3, month(P"&amp;"897), day(P897)) &lt; SmartStatus!F$2:F1000))), (isblank(SmartStatus!G$2:G1000)) + (((Q897 &lt;&gt; """") * (Q897 &gt;= SmartStatus!G$2:G1000)) + ((P897 &lt;&gt; """") * (P897 &gt;= SmartStatus!G$2:G1000)))), if(or(regexmatch(B897, ""(?i)^ir [a-z]+ designation$""), N897 &lt;&gt; """&amp;"""), 1, 2))), """"), ""NO_MATCH"")"),"")</f>
        <v/>
      </c>
      <c r="AS897" s="11"/>
      <c r="AT897" s="15"/>
      <c r="AU897" s="11"/>
      <c r="AV897" s="11"/>
      <c r="AW897" s="15"/>
      <c r="AX897" s="15"/>
      <c r="AY897" s="15"/>
      <c r="AZ897" s="11"/>
      <c r="BA897" s="15"/>
      <c r="BB897" s="11"/>
      <c r="BC897" s="11"/>
      <c r="BD897" s="15"/>
      <c r="BE897" s="11"/>
      <c r="BF897" s="11"/>
      <c r="BG897" s="15"/>
      <c r="BH897" s="15"/>
      <c r="BI897" s="15"/>
      <c r="BJ897" s="11"/>
      <c r="BK897" s="15"/>
      <c r="BL897" s="11"/>
      <c r="BM897" s="11"/>
      <c r="BN897" s="15"/>
      <c r="BO897" s="11"/>
      <c r="BP897" s="11"/>
      <c r="BQ897" s="15"/>
      <c r="BR897" s="15"/>
      <c r="BS897" s="15"/>
      <c r="BT897" s="11"/>
      <c r="BU897" s="15"/>
      <c r="BV897" s="11"/>
      <c r="BW897" s="11"/>
      <c r="BX897" s="15"/>
      <c r="BY897" s="11"/>
      <c r="BZ897" s="11"/>
      <c r="CA897" s="15"/>
      <c r="CB897" s="11"/>
      <c r="CC897" s="15"/>
      <c r="CD897" s="11"/>
      <c r="CE897" s="15"/>
      <c r="CF897" s="11"/>
      <c r="CG897" s="11"/>
      <c r="CH897" s="15"/>
      <c r="CI897" s="11"/>
      <c r="CJ897" s="11"/>
      <c r="CK897" s="15"/>
      <c r="CL897" s="11"/>
      <c r="CM897" s="11"/>
      <c r="CN897" s="11"/>
      <c r="CO897" s="11"/>
      <c r="CP897" s="28"/>
      <c r="CQ897" s="28"/>
      <c r="CR897" s="11"/>
      <c r="CS897" s="29"/>
      <c r="CT897" s="11"/>
      <c r="CU897" s="11"/>
      <c r="CV897" s="11"/>
      <c r="CW897" s="11"/>
      <c r="CX897" s="11"/>
      <c r="CY897" s="11"/>
      <c r="CZ897" s="11"/>
      <c r="DA897" s="28"/>
      <c r="DB897" s="28"/>
      <c r="DC897" s="11"/>
      <c r="DD897" s="29"/>
      <c r="DE897" s="11"/>
      <c r="DF897" s="11"/>
      <c r="DG897" s="11"/>
      <c r="DH897" s="11"/>
      <c r="DI897" s="11"/>
      <c r="DJ897" s="11"/>
      <c r="DK897" s="26"/>
      <c r="DL897" s="11"/>
      <c r="DM897" s="29"/>
      <c r="DN897" s="28"/>
      <c r="DO897" s="11"/>
      <c r="DP897" s="11"/>
      <c r="DQ897" s="11"/>
      <c r="DR897" s="29"/>
      <c r="DS897" s="28"/>
      <c r="DT897" s="11"/>
      <c r="DU897" s="26"/>
      <c r="DV897" s="11"/>
      <c r="DW897" s="29"/>
      <c r="DX897" s="28"/>
      <c r="DY897" s="11"/>
      <c r="DZ897" s="26"/>
      <c r="EA897" s="11"/>
      <c r="EB897" s="29"/>
      <c r="EC897" s="28"/>
      <c r="ED897" s="30"/>
      <c r="EE897" s="30" t="str">
        <f ca="1">IFERROR(__xludf.DUMMYFUNCTION("iferror(index(filter('Internal -- Trademark Countries'!E$2:E1000, (AM897 = 'Internal -- Trademark Countries'!B$2:B1000) + (AM897 = 'Internal -- Trademark Countries'!C$2:C1000) + (AM897 = 'Internal -- Trademark Countries'!D$2:D1000)), 1))"),"")</f>
        <v/>
      </c>
      <c r="EF897" s="30" t="e">
        <f ca="1">_xludf.ifs(AM897="", "", COUNTIF('Internal -- Trademark Countries'!B:B,AM897) &gt; 0, "polity_shortest_name", COUNTIF('Internal -- Trademark Countries'!C:C,AM897) &gt; 0, "polity_full_name", COUNTIF('Internal -- Trademark Countries'!D:D,AM897) &gt; 0, "polity_common_name", COUNTIF('Internal -- Trademark Countries'!E:E,AM897) &gt; 0, "shortest_name", COUNTIF('Internal -- Trademark Countries'!A:A,AM897) &gt; 0, "full_name", TRUE, "not a match")</f>
        <v>#NAME?</v>
      </c>
      <c r="EG897" s="30"/>
      <c r="EH897" s="30"/>
      <c r="EI897" s="30"/>
      <c r="EJ897" s="30"/>
      <c r="EK897" s="30" t="str">
        <f t="shared" si="5"/>
        <v/>
      </c>
    </row>
    <row r="898" spans="1:141" ht="16.5">
      <c r="A898" s="11"/>
      <c r="B898" s="11"/>
      <c r="C898" s="11"/>
      <c r="D898" s="11"/>
      <c r="E898" s="11"/>
      <c r="F898" s="11"/>
      <c r="G898" s="11"/>
      <c r="H898" s="11"/>
      <c r="I898" s="11"/>
      <c r="J898" s="11"/>
      <c r="K898" s="27"/>
      <c r="L898" s="11"/>
      <c r="M898" s="11"/>
      <c r="N898" s="11"/>
      <c r="O898" s="11"/>
      <c r="P898" s="15"/>
      <c r="Q898" s="15"/>
      <c r="R898" s="15"/>
      <c r="S898" s="15"/>
      <c r="T898" s="15"/>
      <c r="U898" s="15"/>
      <c r="V898" s="15"/>
      <c r="W898" s="47"/>
      <c r="X898" s="11"/>
      <c r="Y898" s="48"/>
      <c r="Z898" s="11"/>
      <c r="AA898" s="48"/>
      <c r="AB898" s="11"/>
      <c r="AC898" s="48"/>
      <c r="AD898" s="11"/>
      <c r="AE898" s="47"/>
      <c r="AF898" s="11"/>
      <c r="AG898" s="48"/>
      <c r="AH898" s="11"/>
      <c r="AI898" s="48"/>
      <c r="AJ898" s="11"/>
      <c r="AK898" s="48"/>
      <c r="AL898" s="11"/>
      <c r="AM898" s="49"/>
      <c r="AN898" s="49"/>
      <c r="AO898" s="11"/>
      <c r="AP898" s="11"/>
      <c r="AQ898" s="28" t="b">
        <f>IF(COUNTIF(SmartStatus!A$2:A1000, AM898) &gt; 2, TRUE, FALSE)</f>
        <v>0</v>
      </c>
      <c r="AR898" s="29" t="str">
        <f ca="1">IFERROR(__xludf.DUMMYFUNCTION("iferror(if(regexmatch(AO898, ""(?i)^registered""), if(EE898 &lt;&gt; ""polity_shortest_name"", ""CHECK_POLITY"", index(filter(SmartStatus!B$2:B1000, AM898 = SmartStatus!A$2:A1000, not(SmartStatus!C$2:C1000), (isblank(SmartStatus!D$2:D1000)) + ((P898 &lt;&gt; """") * "&amp;"(P898 &lt; SmartStatus!D$2:D1000)), (isblank(SmartStatus!E$2:E1000)) + ((P898 &lt;&gt; """") * (P898 &gt;= SmartStatus!E$2:E1000)), (isblank(SmartStatus!F$2:F1000)) + (((Q898 &lt;&gt; """") * (Q898 &lt; SmartStatus!F$2:F1000)) + ((P898 &lt;&gt; """") * (date(year(P898) + 3, month(P"&amp;"898), day(P898)) &lt; SmartStatus!F$2:F1000))), (isblank(SmartStatus!G$2:G1000)) + (((Q898 &lt;&gt; """") * (Q898 &gt;= SmartStatus!G$2:G1000)) + ((P898 &lt;&gt; """") * (P898 &gt;= SmartStatus!G$2:G1000)))), if(or(regexmatch(B898, ""(?i)^ir [a-z]+ designation$""), N898 &lt;&gt; """&amp;"""), 1, 2))), """"), ""NO_MATCH"")"),"")</f>
        <v/>
      </c>
      <c r="AS898" s="11"/>
      <c r="AT898" s="15"/>
      <c r="AU898" s="11"/>
      <c r="AV898" s="11"/>
      <c r="AW898" s="15"/>
      <c r="AX898" s="15"/>
      <c r="AY898" s="15"/>
      <c r="AZ898" s="11"/>
      <c r="BA898" s="15"/>
      <c r="BB898" s="11"/>
      <c r="BC898" s="11"/>
      <c r="BD898" s="15"/>
      <c r="BE898" s="11"/>
      <c r="BF898" s="11"/>
      <c r="BG898" s="15"/>
      <c r="BH898" s="15"/>
      <c r="BI898" s="15"/>
      <c r="BJ898" s="11"/>
      <c r="BK898" s="15"/>
      <c r="BL898" s="11"/>
      <c r="BM898" s="11"/>
      <c r="BN898" s="15"/>
      <c r="BO898" s="11"/>
      <c r="BP898" s="11"/>
      <c r="BQ898" s="15"/>
      <c r="BR898" s="15"/>
      <c r="BS898" s="15"/>
      <c r="BT898" s="11"/>
      <c r="BU898" s="15"/>
      <c r="BV898" s="11"/>
      <c r="BW898" s="11"/>
      <c r="BX898" s="15"/>
      <c r="BY898" s="11"/>
      <c r="BZ898" s="11"/>
      <c r="CA898" s="15"/>
      <c r="CB898" s="11"/>
      <c r="CC898" s="15"/>
      <c r="CD898" s="11"/>
      <c r="CE898" s="15"/>
      <c r="CF898" s="11"/>
      <c r="CG898" s="11"/>
      <c r="CH898" s="15"/>
      <c r="CI898" s="11"/>
      <c r="CJ898" s="11"/>
      <c r="CK898" s="15"/>
      <c r="CL898" s="11"/>
      <c r="CM898" s="11"/>
      <c r="CN898" s="11"/>
      <c r="CO898" s="11"/>
      <c r="CP898" s="28"/>
      <c r="CQ898" s="28"/>
      <c r="CR898" s="11"/>
      <c r="CS898" s="29"/>
      <c r="CT898" s="11"/>
      <c r="CU898" s="11"/>
      <c r="CV898" s="11"/>
      <c r="CW898" s="11"/>
      <c r="CX898" s="11"/>
      <c r="CY898" s="11"/>
      <c r="CZ898" s="11"/>
      <c r="DA898" s="28"/>
      <c r="DB898" s="28"/>
      <c r="DC898" s="11"/>
      <c r="DD898" s="29"/>
      <c r="DE898" s="11"/>
      <c r="DF898" s="11"/>
      <c r="DG898" s="11"/>
      <c r="DH898" s="11"/>
      <c r="DI898" s="11"/>
      <c r="DJ898" s="11"/>
      <c r="DK898" s="26"/>
      <c r="DL898" s="11"/>
      <c r="DM898" s="29"/>
      <c r="DN898" s="28"/>
      <c r="DO898" s="11"/>
      <c r="DP898" s="11"/>
      <c r="DQ898" s="11"/>
      <c r="DR898" s="29"/>
      <c r="DS898" s="28"/>
      <c r="DT898" s="11"/>
      <c r="DU898" s="26"/>
      <c r="DV898" s="11"/>
      <c r="DW898" s="29"/>
      <c r="DX898" s="28"/>
      <c r="DY898" s="11"/>
      <c r="DZ898" s="26"/>
      <c r="EA898" s="11"/>
      <c r="EB898" s="29"/>
      <c r="EC898" s="28"/>
      <c r="ED898" s="30"/>
      <c r="EE898" s="30" t="str">
        <f ca="1">IFERROR(__xludf.DUMMYFUNCTION("iferror(index(filter('Internal -- Trademark Countries'!E$2:E1000, (AM898 = 'Internal -- Trademark Countries'!B$2:B1000) + (AM898 = 'Internal -- Trademark Countries'!C$2:C1000) + (AM898 = 'Internal -- Trademark Countries'!D$2:D1000)), 1))"),"")</f>
        <v/>
      </c>
      <c r="EF898" s="30" t="e">
        <f ca="1">_xludf.ifs(AM898="", "", COUNTIF('Internal -- Trademark Countries'!B:B,AM898) &gt; 0, "polity_shortest_name", COUNTIF('Internal -- Trademark Countries'!C:C,AM898) &gt; 0, "polity_full_name", COUNTIF('Internal -- Trademark Countries'!D:D,AM898) &gt; 0, "polity_common_name", COUNTIF('Internal -- Trademark Countries'!E:E,AM898) &gt; 0, "shortest_name", COUNTIF('Internal -- Trademark Countries'!A:A,AM898) &gt; 0, "full_name", TRUE, "not a match")</f>
        <v>#NAME?</v>
      </c>
      <c r="EG898" s="30"/>
      <c r="EH898" s="30"/>
      <c r="EI898" s="30"/>
      <c r="EJ898" s="30"/>
      <c r="EK898" s="30" t="str">
        <f t="shared" si="5"/>
        <v/>
      </c>
    </row>
    <row r="899" spans="1:141" ht="16.5">
      <c r="A899" s="11"/>
      <c r="B899" s="11"/>
      <c r="C899" s="11"/>
      <c r="D899" s="11"/>
      <c r="E899" s="11"/>
      <c r="F899" s="11"/>
      <c r="G899" s="11"/>
      <c r="H899" s="11"/>
      <c r="I899" s="11"/>
      <c r="J899" s="11"/>
      <c r="K899" s="27"/>
      <c r="L899" s="11"/>
      <c r="M899" s="11"/>
      <c r="N899" s="11"/>
      <c r="O899" s="11"/>
      <c r="P899" s="15"/>
      <c r="Q899" s="15"/>
      <c r="R899" s="15"/>
      <c r="S899" s="15"/>
      <c r="T899" s="15"/>
      <c r="U899" s="15"/>
      <c r="V899" s="15"/>
      <c r="W899" s="47"/>
      <c r="X899" s="11"/>
      <c r="Y899" s="48"/>
      <c r="Z899" s="11"/>
      <c r="AA899" s="48"/>
      <c r="AB899" s="11"/>
      <c r="AC899" s="48"/>
      <c r="AD899" s="11"/>
      <c r="AE899" s="47"/>
      <c r="AF899" s="11"/>
      <c r="AG899" s="48"/>
      <c r="AH899" s="11"/>
      <c r="AI899" s="48"/>
      <c r="AJ899" s="11"/>
      <c r="AK899" s="48"/>
      <c r="AL899" s="11"/>
      <c r="AM899" s="49"/>
      <c r="AN899" s="49"/>
      <c r="AO899" s="11"/>
      <c r="AP899" s="11"/>
      <c r="AQ899" s="28" t="b">
        <f>IF(COUNTIF(SmartStatus!A$2:A1000, AM899) &gt; 2, TRUE, FALSE)</f>
        <v>0</v>
      </c>
      <c r="AR899" s="29" t="str">
        <f ca="1">IFERROR(__xludf.DUMMYFUNCTION("iferror(if(regexmatch(AO899, ""(?i)^registered""), if(EE899 &lt;&gt; ""polity_shortest_name"", ""CHECK_POLITY"", index(filter(SmartStatus!B$2:B1000, AM899 = SmartStatus!A$2:A1000, not(SmartStatus!C$2:C1000), (isblank(SmartStatus!D$2:D1000)) + ((P899 &lt;&gt; """") * "&amp;"(P899 &lt; SmartStatus!D$2:D1000)), (isblank(SmartStatus!E$2:E1000)) + ((P899 &lt;&gt; """") * (P899 &gt;= SmartStatus!E$2:E1000)), (isblank(SmartStatus!F$2:F1000)) + (((Q899 &lt;&gt; """") * (Q899 &lt; SmartStatus!F$2:F1000)) + ((P899 &lt;&gt; """") * (date(year(P899) + 3, month(P"&amp;"899), day(P899)) &lt; SmartStatus!F$2:F1000))), (isblank(SmartStatus!G$2:G1000)) + (((Q899 &lt;&gt; """") * (Q899 &gt;= SmartStatus!G$2:G1000)) + ((P899 &lt;&gt; """") * (P899 &gt;= SmartStatus!G$2:G1000)))), if(or(regexmatch(B899, ""(?i)^ir [a-z]+ designation$""), N899 &lt;&gt; """&amp;"""), 1, 2))), """"), ""NO_MATCH"")"),"")</f>
        <v/>
      </c>
      <c r="AS899" s="11"/>
      <c r="AT899" s="15"/>
      <c r="AU899" s="11"/>
      <c r="AV899" s="11"/>
      <c r="AW899" s="15"/>
      <c r="AX899" s="15"/>
      <c r="AY899" s="15"/>
      <c r="AZ899" s="11"/>
      <c r="BA899" s="15"/>
      <c r="BB899" s="11"/>
      <c r="BC899" s="11"/>
      <c r="BD899" s="15"/>
      <c r="BE899" s="11"/>
      <c r="BF899" s="11"/>
      <c r="BG899" s="15"/>
      <c r="BH899" s="15"/>
      <c r="BI899" s="15"/>
      <c r="BJ899" s="11"/>
      <c r="BK899" s="15"/>
      <c r="BL899" s="11"/>
      <c r="BM899" s="11"/>
      <c r="BN899" s="15"/>
      <c r="BO899" s="11"/>
      <c r="BP899" s="11"/>
      <c r="BQ899" s="15"/>
      <c r="BR899" s="15"/>
      <c r="BS899" s="15"/>
      <c r="BT899" s="11"/>
      <c r="BU899" s="15"/>
      <c r="BV899" s="11"/>
      <c r="BW899" s="11"/>
      <c r="BX899" s="15"/>
      <c r="BY899" s="11"/>
      <c r="BZ899" s="11"/>
      <c r="CA899" s="15"/>
      <c r="CB899" s="11"/>
      <c r="CC899" s="15"/>
      <c r="CD899" s="11"/>
      <c r="CE899" s="15"/>
      <c r="CF899" s="11"/>
      <c r="CG899" s="11"/>
      <c r="CH899" s="15"/>
      <c r="CI899" s="11"/>
      <c r="CJ899" s="11"/>
      <c r="CK899" s="15"/>
      <c r="CL899" s="11"/>
      <c r="CM899" s="11"/>
      <c r="CN899" s="11"/>
      <c r="CO899" s="11"/>
      <c r="CP899" s="28"/>
      <c r="CQ899" s="28"/>
      <c r="CR899" s="11"/>
      <c r="CS899" s="29"/>
      <c r="CT899" s="11"/>
      <c r="CU899" s="11"/>
      <c r="CV899" s="11"/>
      <c r="CW899" s="11"/>
      <c r="CX899" s="11"/>
      <c r="CY899" s="11"/>
      <c r="CZ899" s="11"/>
      <c r="DA899" s="28"/>
      <c r="DB899" s="28"/>
      <c r="DC899" s="11"/>
      <c r="DD899" s="29"/>
      <c r="DE899" s="11"/>
      <c r="DF899" s="11"/>
      <c r="DG899" s="11"/>
      <c r="DH899" s="11"/>
      <c r="DI899" s="11"/>
      <c r="DJ899" s="11"/>
      <c r="DK899" s="26"/>
      <c r="DL899" s="11"/>
      <c r="DM899" s="29"/>
      <c r="DN899" s="28"/>
      <c r="DO899" s="11"/>
      <c r="DP899" s="11"/>
      <c r="DQ899" s="11"/>
      <c r="DR899" s="29"/>
      <c r="DS899" s="28"/>
      <c r="DT899" s="11"/>
      <c r="DU899" s="26"/>
      <c r="DV899" s="11"/>
      <c r="DW899" s="29"/>
      <c r="DX899" s="28"/>
      <c r="DY899" s="11"/>
      <c r="DZ899" s="26"/>
      <c r="EA899" s="11"/>
      <c r="EB899" s="29"/>
      <c r="EC899" s="28"/>
      <c r="ED899" s="30"/>
      <c r="EE899" s="30" t="str">
        <f ca="1">IFERROR(__xludf.DUMMYFUNCTION("iferror(index(filter('Internal -- Trademark Countries'!E$2:E1000, (AM899 = 'Internal -- Trademark Countries'!B$2:B1000) + (AM899 = 'Internal -- Trademark Countries'!C$2:C1000) + (AM899 = 'Internal -- Trademark Countries'!D$2:D1000)), 1))"),"")</f>
        <v/>
      </c>
      <c r="EF899" s="30" t="e">
        <f ca="1">_xludf.ifs(AM899="", "", COUNTIF('Internal -- Trademark Countries'!B:B,AM899) &gt; 0, "polity_shortest_name", COUNTIF('Internal -- Trademark Countries'!C:C,AM899) &gt; 0, "polity_full_name", COUNTIF('Internal -- Trademark Countries'!D:D,AM899) &gt; 0, "polity_common_name", COUNTIF('Internal -- Trademark Countries'!E:E,AM899) &gt; 0, "shortest_name", COUNTIF('Internal -- Trademark Countries'!A:A,AM899) &gt; 0, "full_name", TRUE, "not a match")</f>
        <v>#NAME?</v>
      </c>
      <c r="EG899" s="30"/>
      <c r="EH899" s="30"/>
      <c r="EI899" s="30"/>
      <c r="EJ899" s="30"/>
      <c r="EK899" s="30" t="str">
        <f t="shared" si="5"/>
        <v/>
      </c>
    </row>
    <row r="900" spans="1:141" ht="16.5">
      <c r="A900" s="11"/>
      <c r="B900" s="11"/>
      <c r="C900" s="11"/>
      <c r="D900" s="11"/>
      <c r="E900" s="11"/>
      <c r="F900" s="11"/>
      <c r="G900" s="11"/>
      <c r="H900" s="11"/>
      <c r="I900" s="11"/>
      <c r="J900" s="11"/>
      <c r="K900" s="27"/>
      <c r="L900" s="11"/>
      <c r="M900" s="11"/>
      <c r="N900" s="11"/>
      <c r="O900" s="11"/>
      <c r="P900" s="15"/>
      <c r="Q900" s="15"/>
      <c r="R900" s="15"/>
      <c r="S900" s="15"/>
      <c r="T900" s="15"/>
      <c r="U900" s="15"/>
      <c r="V900" s="15"/>
      <c r="W900" s="47"/>
      <c r="X900" s="11"/>
      <c r="Y900" s="48"/>
      <c r="Z900" s="11"/>
      <c r="AA900" s="48"/>
      <c r="AB900" s="11"/>
      <c r="AC900" s="48"/>
      <c r="AD900" s="11"/>
      <c r="AE900" s="47"/>
      <c r="AF900" s="11"/>
      <c r="AG900" s="48"/>
      <c r="AH900" s="11"/>
      <c r="AI900" s="48"/>
      <c r="AJ900" s="11"/>
      <c r="AK900" s="48"/>
      <c r="AL900" s="11"/>
      <c r="AM900" s="49"/>
      <c r="AN900" s="49"/>
      <c r="AO900" s="11"/>
      <c r="AP900" s="11"/>
      <c r="AQ900" s="28" t="b">
        <f>IF(COUNTIF(SmartStatus!A$2:A1000, AM900) &gt; 2, TRUE, FALSE)</f>
        <v>0</v>
      </c>
      <c r="AR900" s="29" t="str">
        <f ca="1">IFERROR(__xludf.DUMMYFUNCTION("iferror(if(regexmatch(AO900, ""(?i)^registered""), if(EE900 &lt;&gt; ""polity_shortest_name"", ""CHECK_POLITY"", index(filter(SmartStatus!B$2:B1000, AM900 = SmartStatus!A$2:A1000, not(SmartStatus!C$2:C1000), (isblank(SmartStatus!D$2:D1000)) + ((P900 &lt;&gt; """") * "&amp;"(P900 &lt; SmartStatus!D$2:D1000)), (isblank(SmartStatus!E$2:E1000)) + ((P900 &lt;&gt; """") * (P900 &gt;= SmartStatus!E$2:E1000)), (isblank(SmartStatus!F$2:F1000)) + (((Q900 &lt;&gt; """") * (Q900 &lt; SmartStatus!F$2:F1000)) + ((P900 &lt;&gt; """") * (date(year(P900) + 3, month(P"&amp;"900), day(P900)) &lt; SmartStatus!F$2:F1000))), (isblank(SmartStatus!G$2:G1000)) + (((Q900 &lt;&gt; """") * (Q900 &gt;= SmartStatus!G$2:G1000)) + ((P900 &lt;&gt; """") * (P900 &gt;= SmartStatus!G$2:G1000)))), if(or(regexmatch(B900, ""(?i)^ir [a-z]+ designation$""), N900 &lt;&gt; """&amp;"""), 1, 2))), """"), ""NO_MATCH"")"),"")</f>
        <v/>
      </c>
      <c r="AS900" s="11"/>
      <c r="AT900" s="15"/>
      <c r="AU900" s="11"/>
      <c r="AV900" s="11"/>
      <c r="AW900" s="15"/>
      <c r="AX900" s="15"/>
      <c r="AY900" s="15"/>
      <c r="AZ900" s="11"/>
      <c r="BA900" s="15"/>
      <c r="BB900" s="11"/>
      <c r="BC900" s="11"/>
      <c r="BD900" s="15"/>
      <c r="BE900" s="11"/>
      <c r="BF900" s="11"/>
      <c r="BG900" s="15"/>
      <c r="BH900" s="15"/>
      <c r="BI900" s="15"/>
      <c r="BJ900" s="11"/>
      <c r="BK900" s="15"/>
      <c r="BL900" s="11"/>
      <c r="BM900" s="11"/>
      <c r="BN900" s="15"/>
      <c r="BO900" s="11"/>
      <c r="BP900" s="11"/>
      <c r="BQ900" s="15"/>
      <c r="BR900" s="15"/>
      <c r="BS900" s="15"/>
      <c r="BT900" s="11"/>
      <c r="BU900" s="15"/>
      <c r="BV900" s="11"/>
      <c r="BW900" s="11"/>
      <c r="BX900" s="15"/>
      <c r="BY900" s="11"/>
      <c r="BZ900" s="11"/>
      <c r="CA900" s="15"/>
      <c r="CB900" s="11"/>
      <c r="CC900" s="15"/>
      <c r="CD900" s="11"/>
      <c r="CE900" s="15"/>
      <c r="CF900" s="11"/>
      <c r="CG900" s="11"/>
      <c r="CH900" s="15"/>
      <c r="CI900" s="11"/>
      <c r="CJ900" s="11"/>
      <c r="CK900" s="15"/>
      <c r="CL900" s="11"/>
      <c r="CM900" s="11"/>
      <c r="CN900" s="11"/>
      <c r="CO900" s="11"/>
      <c r="CP900" s="28"/>
      <c r="CQ900" s="28"/>
      <c r="CR900" s="11"/>
      <c r="CS900" s="29"/>
      <c r="CT900" s="11"/>
      <c r="CU900" s="11"/>
      <c r="CV900" s="11"/>
      <c r="CW900" s="11"/>
      <c r="CX900" s="11"/>
      <c r="CY900" s="11"/>
      <c r="CZ900" s="11"/>
      <c r="DA900" s="28"/>
      <c r="DB900" s="28"/>
      <c r="DC900" s="11"/>
      <c r="DD900" s="29"/>
      <c r="DE900" s="11"/>
      <c r="DF900" s="11"/>
      <c r="DG900" s="11"/>
      <c r="DH900" s="11"/>
      <c r="DI900" s="11"/>
      <c r="DJ900" s="11"/>
      <c r="DK900" s="26"/>
      <c r="DL900" s="11"/>
      <c r="DM900" s="29"/>
      <c r="DN900" s="28"/>
      <c r="DO900" s="11"/>
      <c r="DP900" s="11"/>
      <c r="DQ900" s="11"/>
      <c r="DR900" s="29"/>
      <c r="DS900" s="28"/>
      <c r="DT900" s="11"/>
      <c r="DU900" s="26"/>
      <c r="DV900" s="11"/>
      <c r="DW900" s="29"/>
      <c r="DX900" s="28"/>
      <c r="DY900" s="11"/>
      <c r="DZ900" s="26"/>
      <c r="EA900" s="11"/>
      <c r="EB900" s="29"/>
      <c r="EC900" s="28"/>
      <c r="ED900" s="30"/>
      <c r="EE900" s="30" t="str">
        <f ca="1">IFERROR(__xludf.DUMMYFUNCTION("iferror(index(filter('Internal -- Trademark Countries'!E$2:E1000, (AM900 = 'Internal -- Trademark Countries'!B$2:B1000) + (AM900 = 'Internal -- Trademark Countries'!C$2:C1000) + (AM900 = 'Internal -- Trademark Countries'!D$2:D1000)), 1))"),"")</f>
        <v/>
      </c>
      <c r="EF900" s="30" t="e">
        <f ca="1">_xludf.ifs(AM900="", "", COUNTIF('Internal -- Trademark Countries'!B:B,AM900) &gt; 0, "polity_shortest_name", COUNTIF('Internal -- Trademark Countries'!C:C,AM900) &gt; 0, "polity_full_name", COUNTIF('Internal -- Trademark Countries'!D:D,AM900) &gt; 0, "polity_common_name", COUNTIF('Internal -- Trademark Countries'!E:E,AM900) &gt; 0, "shortest_name", COUNTIF('Internal -- Trademark Countries'!A:A,AM900) &gt; 0, "full_name", TRUE, "not a match")</f>
        <v>#NAME?</v>
      </c>
      <c r="EG900" s="30"/>
      <c r="EH900" s="30"/>
      <c r="EI900" s="30"/>
      <c r="EJ900" s="30"/>
      <c r="EK900" s="30" t="str">
        <f t="shared" si="5"/>
        <v/>
      </c>
    </row>
    <row r="901" spans="1:141" ht="16.5">
      <c r="A901" s="11"/>
      <c r="B901" s="11"/>
      <c r="C901" s="11"/>
      <c r="D901" s="11"/>
      <c r="E901" s="11"/>
      <c r="F901" s="11"/>
      <c r="G901" s="11"/>
      <c r="H901" s="11"/>
      <c r="I901" s="11"/>
      <c r="J901" s="11"/>
      <c r="K901" s="27"/>
      <c r="L901" s="11"/>
      <c r="M901" s="11"/>
      <c r="N901" s="11"/>
      <c r="O901" s="11"/>
      <c r="P901" s="15"/>
      <c r="Q901" s="15"/>
      <c r="R901" s="15"/>
      <c r="S901" s="15"/>
      <c r="T901" s="15"/>
      <c r="U901" s="15"/>
      <c r="V901" s="15"/>
      <c r="W901" s="47"/>
      <c r="X901" s="11"/>
      <c r="Y901" s="48"/>
      <c r="Z901" s="11"/>
      <c r="AA901" s="48"/>
      <c r="AB901" s="11"/>
      <c r="AC901" s="48"/>
      <c r="AD901" s="11"/>
      <c r="AE901" s="47"/>
      <c r="AF901" s="11"/>
      <c r="AG901" s="48"/>
      <c r="AH901" s="11"/>
      <c r="AI901" s="48"/>
      <c r="AJ901" s="11"/>
      <c r="AK901" s="48"/>
      <c r="AL901" s="11"/>
      <c r="AM901" s="49"/>
      <c r="AN901" s="49"/>
      <c r="AO901" s="11"/>
      <c r="AP901" s="11"/>
      <c r="AQ901" s="28" t="b">
        <f>IF(COUNTIF(SmartStatus!A$2:A1000, AM901) &gt; 2, TRUE, FALSE)</f>
        <v>0</v>
      </c>
      <c r="AR901" s="29" t="str">
        <f ca="1">IFERROR(__xludf.DUMMYFUNCTION("iferror(if(regexmatch(AO901, ""(?i)^registered""), if(EE901 &lt;&gt; ""polity_shortest_name"", ""CHECK_POLITY"", index(filter(SmartStatus!B$2:B1000, AM901 = SmartStatus!A$2:A1000, not(SmartStatus!C$2:C1000), (isblank(SmartStatus!D$2:D1000)) + ((P901 &lt;&gt; """") * "&amp;"(P901 &lt; SmartStatus!D$2:D1000)), (isblank(SmartStatus!E$2:E1000)) + ((P901 &lt;&gt; """") * (P901 &gt;= SmartStatus!E$2:E1000)), (isblank(SmartStatus!F$2:F1000)) + (((Q901 &lt;&gt; """") * (Q901 &lt; SmartStatus!F$2:F1000)) + ((P901 &lt;&gt; """") * (date(year(P901) + 3, month(P"&amp;"901), day(P901)) &lt; SmartStatus!F$2:F1000))), (isblank(SmartStatus!G$2:G1000)) + (((Q901 &lt;&gt; """") * (Q901 &gt;= SmartStatus!G$2:G1000)) + ((P901 &lt;&gt; """") * (P901 &gt;= SmartStatus!G$2:G1000)))), if(or(regexmatch(B901, ""(?i)^ir [a-z]+ designation$""), N901 &lt;&gt; """&amp;"""), 1, 2))), """"), ""NO_MATCH"")"),"")</f>
        <v/>
      </c>
      <c r="AS901" s="11"/>
      <c r="AT901" s="15"/>
      <c r="AU901" s="11"/>
      <c r="AV901" s="11"/>
      <c r="AW901" s="15"/>
      <c r="AX901" s="15"/>
      <c r="AY901" s="15"/>
      <c r="AZ901" s="11"/>
      <c r="BA901" s="15"/>
      <c r="BB901" s="11"/>
      <c r="BC901" s="11"/>
      <c r="BD901" s="15"/>
      <c r="BE901" s="11"/>
      <c r="BF901" s="11"/>
      <c r="BG901" s="15"/>
      <c r="BH901" s="15"/>
      <c r="BI901" s="15"/>
      <c r="BJ901" s="11"/>
      <c r="BK901" s="15"/>
      <c r="BL901" s="11"/>
      <c r="BM901" s="11"/>
      <c r="BN901" s="15"/>
      <c r="BO901" s="11"/>
      <c r="BP901" s="11"/>
      <c r="BQ901" s="15"/>
      <c r="BR901" s="15"/>
      <c r="BS901" s="15"/>
      <c r="BT901" s="11"/>
      <c r="BU901" s="15"/>
      <c r="BV901" s="11"/>
      <c r="BW901" s="11"/>
      <c r="BX901" s="15"/>
      <c r="BY901" s="11"/>
      <c r="BZ901" s="11"/>
      <c r="CA901" s="15"/>
      <c r="CB901" s="11"/>
      <c r="CC901" s="15"/>
      <c r="CD901" s="11"/>
      <c r="CE901" s="15"/>
      <c r="CF901" s="11"/>
      <c r="CG901" s="11"/>
      <c r="CH901" s="15"/>
      <c r="CI901" s="11"/>
      <c r="CJ901" s="11"/>
      <c r="CK901" s="15"/>
      <c r="CL901" s="11"/>
      <c r="CM901" s="11"/>
      <c r="CN901" s="11"/>
      <c r="CO901" s="11"/>
      <c r="CP901" s="28"/>
      <c r="CQ901" s="28"/>
      <c r="CR901" s="11"/>
      <c r="CS901" s="29"/>
      <c r="CT901" s="11"/>
      <c r="CU901" s="11"/>
      <c r="CV901" s="11"/>
      <c r="CW901" s="11"/>
      <c r="CX901" s="11"/>
      <c r="CY901" s="11"/>
      <c r="CZ901" s="11"/>
      <c r="DA901" s="28"/>
      <c r="DB901" s="28"/>
      <c r="DC901" s="11"/>
      <c r="DD901" s="29"/>
      <c r="DE901" s="11"/>
      <c r="DF901" s="11"/>
      <c r="DG901" s="11"/>
      <c r="DH901" s="11"/>
      <c r="DI901" s="11"/>
      <c r="DJ901" s="11"/>
      <c r="DK901" s="26"/>
      <c r="DL901" s="11"/>
      <c r="DM901" s="29"/>
      <c r="DN901" s="28"/>
      <c r="DO901" s="11"/>
      <c r="DP901" s="11"/>
      <c r="DQ901" s="11"/>
      <c r="DR901" s="29"/>
      <c r="DS901" s="28"/>
      <c r="DT901" s="11"/>
      <c r="DU901" s="26"/>
      <c r="DV901" s="11"/>
      <c r="DW901" s="29"/>
      <c r="DX901" s="28"/>
      <c r="DY901" s="11"/>
      <c r="DZ901" s="26"/>
      <c r="EA901" s="11"/>
      <c r="EB901" s="29"/>
      <c r="EC901" s="28"/>
      <c r="ED901" s="30"/>
      <c r="EE901" s="30" t="str">
        <f ca="1">IFERROR(__xludf.DUMMYFUNCTION("iferror(index(filter('Internal -- Trademark Countries'!E$2:E1000, (AM901 = 'Internal -- Trademark Countries'!B$2:B1000) + (AM901 = 'Internal -- Trademark Countries'!C$2:C1000) + (AM901 = 'Internal -- Trademark Countries'!D$2:D1000)), 1))"),"")</f>
        <v/>
      </c>
      <c r="EF901" s="30" t="e">
        <f ca="1">_xludf.ifs(AM901="", "", COUNTIF('Internal -- Trademark Countries'!B:B,AM901) &gt; 0, "polity_shortest_name", COUNTIF('Internal -- Trademark Countries'!C:C,AM901) &gt; 0, "polity_full_name", COUNTIF('Internal -- Trademark Countries'!D:D,AM901) &gt; 0, "polity_common_name", COUNTIF('Internal -- Trademark Countries'!E:E,AM901) &gt; 0, "shortest_name", COUNTIF('Internal -- Trademark Countries'!A:A,AM901) &gt; 0, "full_name", TRUE, "not a match")</f>
        <v>#NAME?</v>
      </c>
      <c r="EG901" s="30"/>
      <c r="EH901" s="30"/>
      <c r="EI901" s="30"/>
      <c r="EJ901" s="30"/>
      <c r="EK901" s="30" t="str">
        <f t="shared" si="5"/>
        <v/>
      </c>
    </row>
    <row r="902" spans="1:141" ht="16.5">
      <c r="A902" s="11"/>
      <c r="B902" s="11"/>
      <c r="C902" s="11"/>
      <c r="D902" s="11"/>
      <c r="E902" s="11"/>
      <c r="F902" s="11"/>
      <c r="G902" s="11"/>
      <c r="H902" s="11"/>
      <c r="I902" s="11"/>
      <c r="J902" s="11"/>
      <c r="K902" s="27"/>
      <c r="L902" s="11"/>
      <c r="M902" s="11"/>
      <c r="N902" s="11"/>
      <c r="O902" s="11"/>
      <c r="P902" s="15"/>
      <c r="Q902" s="15"/>
      <c r="R902" s="15"/>
      <c r="S902" s="15"/>
      <c r="T902" s="15"/>
      <c r="U902" s="15"/>
      <c r="V902" s="15"/>
      <c r="W902" s="47"/>
      <c r="X902" s="11"/>
      <c r="Y902" s="48"/>
      <c r="Z902" s="11"/>
      <c r="AA902" s="48"/>
      <c r="AB902" s="11"/>
      <c r="AC902" s="48"/>
      <c r="AD902" s="11"/>
      <c r="AE902" s="47"/>
      <c r="AF902" s="11"/>
      <c r="AG902" s="48"/>
      <c r="AH902" s="11"/>
      <c r="AI902" s="48"/>
      <c r="AJ902" s="11"/>
      <c r="AK902" s="48"/>
      <c r="AL902" s="11"/>
      <c r="AM902" s="49"/>
      <c r="AN902" s="49"/>
      <c r="AO902" s="11"/>
      <c r="AP902" s="11"/>
      <c r="AQ902" s="28" t="b">
        <f>IF(COUNTIF(SmartStatus!A$2:A1000, AM902) &gt; 2, TRUE, FALSE)</f>
        <v>0</v>
      </c>
      <c r="AR902" s="29" t="str">
        <f ca="1">IFERROR(__xludf.DUMMYFUNCTION("iferror(if(regexmatch(AO902, ""(?i)^registered""), if(EE902 &lt;&gt; ""polity_shortest_name"", ""CHECK_POLITY"", index(filter(SmartStatus!B$2:B1000, AM902 = SmartStatus!A$2:A1000, not(SmartStatus!C$2:C1000), (isblank(SmartStatus!D$2:D1000)) + ((P902 &lt;&gt; """") * "&amp;"(P902 &lt; SmartStatus!D$2:D1000)), (isblank(SmartStatus!E$2:E1000)) + ((P902 &lt;&gt; """") * (P902 &gt;= SmartStatus!E$2:E1000)), (isblank(SmartStatus!F$2:F1000)) + (((Q902 &lt;&gt; """") * (Q902 &lt; SmartStatus!F$2:F1000)) + ((P902 &lt;&gt; """") * (date(year(P902) + 3, month(P"&amp;"902), day(P902)) &lt; SmartStatus!F$2:F1000))), (isblank(SmartStatus!G$2:G1000)) + (((Q902 &lt;&gt; """") * (Q902 &gt;= SmartStatus!G$2:G1000)) + ((P902 &lt;&gt; """") * (P902 &gt;= SmartStatus!G$2:G1000)))), if(or(regexmatch(B902, ""(?i)^ir [a-z]+ designation$""), N902 &lt;&gt; """&amp;"""), 1, 2))), """"), ""NO_MATCH"")"),"")</f>
        <v/>
      </c>
      <c r="AS902" s="11"/>
      <c r="AT902" s="15"/>
      <c r="AU902" s="11"/>
      <c r="AV902" s="11"/>
      <c r="AW902" s="15"/>
      <c r="AX902" s="15"/>
      <c r="AY902" s="15"/>
      <c r="AZ902" s="11"/>
      <c r="BA902" s="15"/>
      <c r="BB902" s="11"/>
      <c r="BC902" s="11"/>
      <c r="BD902" s="15"/>
      <c r="BE902" s="11"/>
      <c r="BF902" s="11"/>
      <c r="BG902" s="15"/>
      <c r="BH902" s="15"/>
      <c r="BI902" s="15"/>
      <c r="BJ902" s="11"/>
      <c r="BK902" s="15"/>
      <c r="BL902" s="11"/>
      <c r="BM902" s="11"/>
      <c r="BN902" s="15"/>
      <c r="BO902" s="11"/>
      <c r="BP902" s="11"/>
      <c r="BQ902" s="15"/>
      <c r="BR902" s="15"/>
      <c r="BS902" s="15"/>
      <c r="BT902" s="11"/>
      <c r="BU902" s="15"/>
      <c r="BV902" s="11"/>
      <c r="BW902" s="11"/>
      <c r="BX902" s="15"/>
      <c r="BY902" s="11"/>
      <c r="BZ902" s="11"/>
      <c r="CA902" s="15"/>
      <c r="CB902" s="11"/>
      <c r="CC902" s="15"/>
      <c r="CD902" s="11"/>
      <c r="CE902" s="15"/>
      <c r="CF902" s="11"/>
      <c r="CG902" s="11"/>
      <c r="CH902" s="15"/>
      <c r="CI902" s="11"/>
      <c r="CJ902" s="11"/>
      <c r="CK902" s="15"/>
      <c r="CL902" s="11"/>
      <c r="CM902" s="11"/>
      <c r="CN902" s="11"/>
      <c r="CO902" s="11"/>
      <c r="CP902" s="28"/>
      <c r="CQ902" s="28"/>
      <c r="CR902" s="11"/>
      <c r="CS902" s="29"/>
      <c r="CT902" s="11"/>
      <c r="CU902" s="11"/>
      <c r="CV902" s="11"/>
      <c r="CW902" s="11"/>
      <c r="CX902" s="11"/>
      <c r="CY902" s="11"/>
      <c r="CZ902" s="11"/>
      <c r="DA902" s="28"/>
      <c r="DB902" s="28"/>
      <c r="DC902" s="11"/>
      <c r="DD902" s="29"/>
      <c r="DE902" s="11"/>
      <c r="DF902" s="11"/>
      <c r="DG902" s="11"/>
      <c r="DH902" s="11"/>
      <c r="DI902" s="11"/>
      <c r="DJ902" s="11"/>
      <c r="DK902" s="26"/>
      <c r="DL902" s="11"/>
      <c r="DM902" s="29"/>
      <c r="DN902" s="28"/>
      <c r="DO902" s="11"/>
      <c r="DP902" s="11"/>
      <c r="DQ902" s="11"/>
      <c r="DR902" s="29"/>
      <c r="DS902" s="28"/>
      <c r="DT902" s="11"/>
      <c r="DU902" s="26"/>
      <c r="DV902" s="11"/>
      <c r="DW902" s="29"/>
      <c r="DX902" s="28"/>
      <c r="DY902" s="11"/>
      <c r="DZ902" s="26"/>
      <c r="EA902" s="11"/>
      <c r="EB902" s="29"/>
      <c r="EC902" s="28"/>
      <c r="ED902" s="30"/>
      <c r="EE902" s="30" t="str">
        <f ca="1">IFERROR(__xludf.DUMMYFUNCTION("iferror(index(filter('Internal -- Trademark Countries'!E$2:E1000, (AM902 = 'Internal -- Trademark Countries'!B$2:B1000) + (AM902 = 'Internal -- Trademark Countries'!C$2:C1000) + (AM902 = 'Internal -- Trademark Countries'!D$2:D1000)), 1))"),"")</f>
        <v/>
      </c>
      <c r="EF902" s="30" t="e">
        <f ca="1">_xludf.ifs(AM902="", "", COUNTIF('Internal -- Trademark Countries'!B:B,AM902) &gt; 0, "polity_shortest_name", COUNTIF('Internal -- Trademark Countries'!C:C,AM902) &gt; 0, "polity_full_name", COUNTIF('Internal -- Trademark Countries'!D:D,AM902) &gt; 0, "polity_common_name", COUNTIF('Internal -- Trademark Countries'!E:E,AM902) &gt; 0, "shortest_name", COUNTIF('Internal -- Trademark Countries'!A:A,AM902) &gt; 0, "full_name", TRUE, "not a match")</f>
        <v>#NAME?</v>
      </c>
      <c r="EG902" s="30"/>
      <c r="EH902" s="30"/>
      <c r="EI902" s="30"/>
      <c r="EJ902" s="30"/>
      <c r="EK902" s="30" t="str">
        <f t="shared" si="5"/>
        <v/>
      </c>
    </row>
    <row r="903" spans="1:141" ht="16.5">
      <c r="A903" s="11"/>
      <c r="B903" s="11"/>
      <c r="C903" s="11"/>
      <c r="D903" s="11"/>
      <c r="E903" s="11"/>
      <c r="F903" s="11"/>
      <c r="G903" s="11"/>
      <c r="H903" s="11"/>
      <c r="I903" s="11"/>
      <c r="J903" s="11"/>
      <c r="K903" s="27"/>
      <c r="L903" s="11"/>
      <c r="M903" s="11"/>
      <c r="N903" s="11"/>
      <c r="O903" s="11"/>
      <c r="P903" s="15"/>
      <c r="Q903" s="15"/>
      <c r="R903" s="15"/>
      <c r="S903" s="15"/>
      <c r="T903" s="15"/>
      <c r="U903" s="15"/>
      <c r="V903" s="15"/>
      <c r="W903" s="47"/>
      <c r="X903" s="11"/>
      <c r="Y903" s="48"/>
      <c r="Z903" s="11"/>
      <c r="AA903" s="48"/>
      <c r="AB903" s="11"/>
      <c r="AC903" s="48"/>
      <c r="AD903" s="11"/>
      <c r="AE903" s="47"/>
      <c r="AF903" s="11"/>
      <c r="AG903" s="48"/>
      <c r="AH903" s="11"/>
      <c r="AI903" s="48"/>
      <c r="AJ903" s="11"/>
      <c r="AK903" s="48"/>
      <c r="AL903" s="11"/>
      <c r="AM903" s="49"/>
      <c r="AN903" s="49"/>
      <c r="AO903" s="11"/>
      <c r="AP903" s="11"/>
      <c r="AQ903" s="28" t="b">
        <f>IF(COUNTIF(SmartStatus!A$2:A1000, AM903) &gt; 2, TRUE, FALSE)</f>
        <v>0</v>
      </c>
      <c r="AR903" s="29" t="str">
        <f ca="1">IFERROR(__xludf.DUMMYFUNCTION("iferror(if(regexmatch(AO903, ""(?i)^registered""), if(EE903 &lt;&gt; ""polity_shortest_name"", ""CHECK_POLITY"", index(filter(SmartStatus!B$2:B1000, AM903 = SmartStatus!A$2:A1000, not(SmartStatus!C$2:C1000), (isblank(SmartStatus!D$2:D1000)) + ((P903 &lt;&gt; """") * "&amp;"(P903 &lt; SmartStatus!D$2:D1000)), (isblank(SmartStatus!E$2:E1000)) + ((P903 &lt;&gt; """") * (P903 &gt;= SmartStatus!E$2:E1000)), (isblank(SmartStatus!F$2:F1000)) + (((Q903 &lt;&gt; """") * (Q903 &lt; SmartStatus!F$2:F1000)) + ((P903 &lt;&gt; """") * (date(year(P903) + 3, month(P"&amp;"903), day(P903)) &lt; SmartStatus!F$2:F1000))), (isblank(SmartStatus!G$2:G1000)) + (((Q903 &lt;&gt; """") * (Q903 &gt;= SmartStatus!G$2:G1000)) + ((P903 &lt;&gt; """") * (P903 &gt;= SmartStatus!G$2:G1000)))), if(or(regexmatch(B903, ""(?i)^ir [a-z]+ designation$""), N903 &lt;&gt; """&amp;"""), 1, 2))), """"), ""NO_MATCH"")"),"")</f>
        <v/>
      </c>
      <c r="AS903" s="11"/>
      <c r="AT903" s="15"/>
      <c r="AU903" s="11"/>
      <c r="AV903" s="11"/>
      <c r="AW903" s="15"/>
      <c r="AX903" s="15"/>
      <c r="AY903" s="15"/>
      <c r="AZ903" s="11"/>
      <c r="BA903" s="15"/>
      <c r="BB903" s="11"/>
      <c r="BC903" s="11"/>
      <c r="BD903" s="15"/>
      <c r="BE903" s="11"/>
      <c r="BF903" s="11"/>
      <c r="BG903" s="15"/>
      <c r="BH903" s="15"/>
      <c r="BI903" s="15"/>
      <c r="BJ903" s="11"/>
      <c r="BK903" s="15"/>
      <c r="BL903" s="11"/>
      <c r="BM903" s="11"/>
      <c r="BN903" s="15"/>
      <c r="BO903" s="11"/>
      <c r="BP903" s="11"/>
      <c r="BQ903" s="15"/>
      <c r="BR903" s="15"/>
      <c r="BS903" s="15"/>
      <c r="BT903" s="11"/>
      <c r="BU903" s="15"/>
      <c r="BV903" s="11"/>
      <c r="BW903" s="11"/>
      <c r="BX903" s="15"/>
      <c r="BY903" s="11"/>
      <c r="BZ903" s="11"/>
      <c r="CA903" s="15"/>
      <c r="CB903" s="11"/>
      <c r="CC903" s="15"/>
      <c r="CD903" s="11"/>
      <c r="CE903" s="15"/>
      <c r="CF903" s="11"/>
      <c r="CG903" s="11"/>
      <c r="CH903" s="15"/>
      <c r="CI903" s="11"/>
      <c r="CJ903" s="11"/>
      <c r="CK903" s="15"/>
      <c r="CL903" s="11"/>
      <c r="CM903" s="11"/>
      <c r="CN903" s="11"/>
      <c r="CO903" s="11"/>
      <c r="CP903" s="28"/>
      <c r="CQ903" s="28"/>
      <c r="CR903" s="11"/>
      <c r="CS903" s="29"/>
      <c r="CT903" s="11"/>
      <c r="CU903" s="11"/>
      <c r="CV903" s="11"/>
      <c r="CW903" s="11"/>
      <c r="CX903" s="11"/>
      <c r="CY903" s="11"/>
      <c r="CZ903" s="11"/>
      <c r="DA903" s="28"/>
      <c r="DB903" s="28"/>
      <c r="DC903" s="11"/>
      <c r="DD903" s="29"/>
      <c r="DE903" s="11"/>
      <c r="DF903" s="11"/>
      <c r="DG903" s="11"/>
      <c r="DH903" s="11"/>
      <c r="DI903" s="11"/>
      <c r="DJ903" s="11"/>
      <c r="DK903" s="26"/>
      <c r="DL903" s="11"/>
      <c r="DM903" s="29"/>
      <c r="DN903" s="28"/>
      <c r="DO903" s="11"/>
      <c r="DP903" s="11"/>
      <c r="DQ903" s="11"/>
      <c r="DR903" s="29"/>
      <c r="DS903" s="28"/>
      <c r="DT903" s="11"/>
      <c r="DU903" s="26"/>
      <c r="DV903" s="11"/>
      <c r="DW903" s="29"/>
      <c r="DX903" s="28"/>
      <c r="DY903" s="11"/>
      <c r="DZ903" s="26"/>
      <c r="EA903" s="11"/>
      <c r="EB903" s="29"/>
      <c r="EC903" s="28"/>
      <c r="ED903" s="30"/>
      <c r="EE903" s="30" t="str">
        <f ca="1">IFERROR(__xludf.DUMMYFUNCTION("iferror(index(filter('Internal -- Trademark Countries'!E$2:E1000, (AM903 = 'Internal -- Trademark Countries'!B$2:B1000) + (AM903 = 'Internal -- Trademark Countries'!C$2:C1000) + (AM903 = 'Internal -- Trademark Countries'!D$2:D1000)), 1))"),"")</f>
        <v/>
      </c>
      <c r="EF903" s="30" t="e">
        <f ca="1">_xludf.ifs(AM903="", "", COUNTIF('Internal -- Trademark Countries'!B:B,AM903) &gt; 0, "polity_shortest_name", COUNTIF('Internal -- Trademark Countries'!C:C,AM903) &gt; 0, "polity_full_name", COUNTIF('Internal -- Trademark Countries'!D:D,AM903) &gt; 0, "polity_common_name", COUNTIF('Internal -- Trademark Countries'!E:E,AM903) &gt; 0, "shortest_name", COUNTIF('Internal -- Trademark Countries'!A:A,AM903) &gt; 0, "full_name", TRUE, "not a match")</f>
        <v>#NAME?</v>
      </c>
      <c r="EG903" s="30"/>
      <c r="EH903" s="30"/>
      <c r="EI903" s="30"/>
      <c r="EJ903" s="30"/>
      <c r="EK903" s="30" t="str">
        <f t="shared" si="5"/>
        <v/>
      </c>
    </row>
    <row r="904" spans="1:141" ht="16.5">
      <c r="A904" s="11"/>
      <c r="B904" s="11"/>
      <c r="C904" s="11"/>
      <c r="D904" s="11"/>
      <c r="E904" s="11"/>
      <c r="F904" s="11"/>
      <c r="G904" s="11"/>
      <c r="H904" s="11"/>
      <c r="I904" s="11"/>
      <c r="J904" s="11"/>
      <c r="K904" s="27"/>
      <c r="L904" s="11"/>
      <c r="M904" s="11"/>
      <c r="N904" s="11"/>
      <c r="O904" s="11"/>
      <c r="P904" s="15"/>
      <c r="Q904" s="15"/>
      <c r="R904" s="15"/>
      <c r="S904" s="15"/>
      <c r="T904" s="15"/>
      <c r="U904" s="15"/>
      <c r="V904" s="15"/>
      <c r="W904" s="47"/>
      <c r="X904" s="11"/>
      <c r="Y904" s="48"/>
      <c r="Z904" s="11"/>
      <c r="AA904" s="48"/>
      <c r="AB904" s="11"/>
      <c r="AC904" s="48"/>
      <c r="AD904" s="11"/>
      <c r="AE904" s="47"/>
      <c r="AF904" s="11"/>
      <c r="AG904" s="48"/>
      <c r="AH904" s="11"/>
      <c r="AI904" s="48"/>
      <c r="AJ904" s="11"/>
      <c r="AK904" s="48"/>
      <c r="AL904" s="11"/>
      <c r="AM904" s="49"/>
      <c r="AN904" s="49"/>
      <c r="AO904" s="11"/>
      <c r="AP904" s="11"/>
      <c r="AQ904" s="28" t="b">
        <f>IF(COUNTIF(SmartStatus!A$2:A1000, AM904) &gt; 2, TRUE, FALSE)</f>
        <v>0</v>
      </c>
      <c r="AR904" s="29" t="str">
        <f ca="1">IFERROR(__xludf.DUMMYFUNCTION("iferror(if(regexmatch(AO904, ""(?i)^registered""), if(EE904 &lt;&gt; ""polity_shortest_name"", ""CHECK_POLITY"", index(filter(SmartStatus!B$2:B1000, AM904 = SmartStatus!A$2:A1000, not(SmartStatus!C$2:C1000), (isblank(SmartStatus!D$2:D1000)) + ((P904 &lt;&gt; """") * "&amp;"(P904 &lt; SmartStatus!D$2:D1000)), (isblank(SmartStatus!E$2:E1000)) + ((P904 &lt;&gt; """") * (P904 &gt;= SmartStatus!E$2:E1000)), (isblank(SmartStatus!F$2:F1000)) + (((Q904 &lt;&gt; """") * (Q904 &lt; SmartStatus!F$2:F1000)) + ((P904 &lt;&gt; """") * (date(year(P904) + 3, month(P"&amp;"904), day(P904)) &lt; SmartStatus!F$2:F1000))), (isblank(SmartStatus!G$2:G1000)) + (((Q904 &lt;&gt; """") * (Q904 &gt;= SmartStatus!G$2:G1000)) + ((P904 &lt;&gt; """") * (P904 &gt;= SmartStatus!G$2:G1000)))), if(or(regexmatch(B904, ""(?i)^ir [a-z]+ designation$""), N904 &lt;&gt; """&amp;"""), 1, 2))), """"), ""NO_MATCH"")"),"")</f>
        <v/>
      </c>
      <c r="AS904" s="11"/>
      <c r="AT904" s="15"/>
      <c r="AU904" s="11"/>
      <c r="AV904" s="11"/>
      <c r="AW904" s="15"/>
      <c r="AX904" s="15"/>
      <c r="AY904" s="15"/>
      <c r="AZ904" s="11"/>
      <c r="BA904" s="15"/>
      <c r="BB904" s="11"/>
      <c r="BC904" s="11"/>
      <c r="BD904" s="15"/>
      <c r="BE904" s="11"/>
      <c r="BF904" s="11"/>
      <c r="BG904" s="15"/>
      <c r="BH904" s="15"/>
      <c r="BI904" s="15"/>
      <c r="BJ904" s="11"/>
      <c r="BK904" s="15"/>
      <c r="BL904" s="11"/>
      <c r="BM904" s="11"/>
      <c r="BN904" s="15"/>
      <c r="BO904" s="11"/>
      <c r="BP904" s="11"/>
      <c r="BQ904" s="15"/>
      <c r="BR904" s="15"/>
      <c r="BS904" s="15"/>
      <c r="BT904" s="11"/>
      <c r="BU904" s="15"/>
      <c r="BV904" s="11"/>
      <c r="BW904" s="11"/>
      <c r="BX904" s="15"/>
      <c r="BY904" s="11"/>
      <c r="BZ904" s="11"/>
      <c r="CA904" s="15"/>
      <c r="CB904" s="11"/>
      <c r="CC904" s="15"/>
      <c r="CD904" s="11"/>
      <c r="CE904" s="15"/>
      <c r="CF904" s="11"/>
      <c r="CG904" s="11"/>
      <c r="CH904" s="15"/>
      <c r="CI904" s="11"/>
      <c r="CJ904" s="11"/>
      <c r="CK904" s="15"/>
      <c r="CL904" s="11"/>
      <c r="CM904" s="11"/>
      <c r="CN904" s="11"/>
      <c r="CO904" s="11"/>
      <c r="CP904" s="28"/>
      <c r="CQ904" s="28"/>
      <c r="CR904" s="11"/>
      <c r="CS904" s="29"/>
      <c r="CT904" s="11"/>
      <c r="CU904" s="11"/>
      <c r="CV904" s="11"/>
      <c r="CW904" s="11"/>
      <c r="CX904" s="11"/>
      <c r="CY904" s="11"/>
      <c r="CZ904" s="11"/>
      <c r="DA904" s="28"/>
      <c r="DB904" s="28"/>
      <c r="DC904" s="11"/>
      <c r="DD904" s="29"/>
      <c r="DE904" s="11"/>
      <c r="DF904" s="11"/>
      <c r="DG904" s="11"/>
      <c r="DH904" s="11"/>
      <c r="DI904" s="11"/>
      <c r="DJ904" s="11"/>
      <c r="DK904" s="26"/>
      <c r="DL904" s="11"/>
      <c r="DM904" s="29"/>
      <c r="DN904" s="28"/>
      <c r="DO904" s="11"/>
      <c r="DP904" s="11"/>
      <c r="DQ904" s="11"/>
      <c r="DR904" s="29"/>
      <c r="DS904" s="28"/>
      <c r="DT904" s="11"/>
      <c r="DU904" s="26"/>
      <c r="DV904" s="11"/>
      <c r="DW904" s="29"/>
      <c r="DX904" s="28"/>
      <c r="DY904" s="11"/>
      <c r="DZ904" s="26"/>
      <c r="EA904" s="11"/>
      <c r="EB904" s="29"/>
      <c r="EC904" s="28"/>
      <c r="ED904" s="30"/>
      <c r="EE904" s="30" t="str">
        <f ca="1">IFERROR(__xludf.DUMMYFUNCTION("iferror(index(filter('Internal -- Trademark Countries'!E$2:E1000, (AM904 = 'Internal -- Trademark Countries'!B$2:B1000) + (AM904 = 'Internal -- Trademark Countries'!C$2:C1000) + (AM904 = 'Internal -- Trademark Countries'!D$2:D1000)), 1))"),"")</f>
        <v/>
      </c>
      <c r="EF904" s="30" t="e">
        <f ca="1">_xludf.ifs(AM904="", "", COUNTIF('Internal -- Trademark Countries'!B:B,AM904) &gt; 0, "polity_shortest_name", COUNTIF('Internal -- Trademark Countries'!C:C,AM904) &gt; 0, "polity_full_name", COUNTIF('Internal -- Trademark Countries'!D:D,AM904) &gt; 0, "polity_common_name", COUNTIF('Internal -- Trademark Countries'!E:E,AM904) &gt; 0, "shortest_name", COUNTIF('Internal -- Trademark Countries'!A:A,AM904) &gt; 0, "full_name", TRUE, "not a match")</f>
        <v>#NAME?</v>
      </c>
      <c r="EG904" s="30"/>
      <c r="EH904" s="30"/>
      <c r="EI904" s="30"/>
      <c r="EJ904" s="30"/>
      <c r="EK904" s="30" t="str">
        <f t="shared" si="5"/>
        <v/>
      </c>
    </row>
    <row r="905" spans="1:141" ht="16.5">
      <c r="A905" s="11"/>
      <c r="B905" s="11"/>
      <c r="C905" s="11"/>
      <c r="D905" s="11"/>
      <c r="E905" s="11"/>
      <c r="F905" s="11"/>
      <c r="G905" s="11"/>
      <c r="H905" s="11"/>
      <c r="I905" s="11"/>
      <c r="J905" s="11"/>
      <c r="K905" s="27"/>
      <c r="L905" s="11"/>
      <c r="M905" s="11"/>
      <c r="N905" s="11"/>
      <c r="O905" s="11"/>
      <c r="P905" s="15"/>
      <c r="Q905" s="15"/>
      <c r="R905" s="15"/>
      <c r="S905" s="15"/>
      <c r="T905" s="15"/>
      <c r="U905" s="15"/>
      <c r="V905" s="15"/>
      <c r="W905" s="47"/>
      <c r="X905" s="11"/>
      <c r="Y905" s="48"/>
      <c r="Z905" s="11"/>
      <c r="AA905" s="48"/>
      <c r="AB905" s="11"/>
      <c r="AC905" s="48"/>
      <c r="AD905" s="11"/>
      <c r="AE905" s="47"/>
      <c r="AF905" s="11"/>
      <c r="AG905" s="48"/>
      <c r="AH905" s="11"/>
      <c r="AI905" s="48"/>
      <c r="AJ905" s="11"/>
      <c r="AK905" s="48"/>
      <c r="AL905" s="11"/>
      <c r="AM905" s="49"/>
      <c r="AN905" s="49"/>
      <c r="AO905" s="11"/>
      <c r="AP905" s="11"/>
      <c r="AQ905" s="28" t="b">
        <f>IF(COUNTIF(SmartStatus!A$2:A1000, AM905) &gt; 2, TRUE, FALSE)</f>
        <v>0</v>
      </c>
      <c r="AR905" s="29" t="str">
        <f ca="1">IFERROR(__xludf.DUMMYFUNCTION("iferror(if(regexmatch(AO905, ""(?i)^registered""), if(EE905 &lt;&gt; ""polity_shortest_name"", ""CHECK_POLITY"", index(filter(SmartStatus!B$2:B1000, AM905 = SmartStatus!A$2:A1000, not(SmartStatus!C$2:C1000), (isblank(SmartStatus!D$2:D1000)) + ((P905 &lt;&gt; """") * "&amp;"(P905 &lt; SmartStatus!D$2:D1000)), (isblank(SmartStatus!E$2:E1000)) + ((P905 &lt;&gt; """") * (P905 &gt;= SmartStatus!E$2:E1000)), (isblank(SmartStatus!F$2:F1000)) + (((Q905 &lt;&gt; """") * (Q905 &lt; SmartStatus!F$2:F1000)) + ((P905 &lt;&gt; """") * (date(year(P905) + 3, month(P"&amp;"905), day(P905)) &lt; SmartStatus!F$2:F1000))), (isblank(SmartStatus!G$2:G1000)) + (((Q905 &lt;&gt; """") * (Q905 &gt;= SmartStatus!G$2:G1000)) + ((P905 &lt;&gt; """") * (P905 &gt;= SmartStatus!G$2:G1000)))), if(or(regexmatch(B905, ""(?i)^ir [a-z]+ designation$""), N905 &lt;&gt; """&amp;"""), 1, 2))), """"), ""NO_MATCH"")"),"")</f>
        <v/>
      </c>
      <c r="AS905" s="11"/>
      <c r="AT905" s="15"/>
      <c r="AU905" s="11"/>
      <c r="AV905" s="11"/>
      <c r="AW905" s="15"/>
      <c r="AX905" s="15"/>
      <c r="AY905" s="15"/>
      <c r="AZ905" s="11"/>
      <c r="BA905" s="15"/>
      <c r="BB905" s="11"/>
      <c r="BC905" s="11"/>
      <c r="BD905" s="15"/>
      <c r="BE905" s="11"/>
      <c r="BF905" s="11"/>
      <c r="BG905" s="15"/>
      <c r="BH905" s="15"/>
      <c r="BI905" s="15"/>
      <c r="BJ905" s="11"/>
      <c r="BK905" s="15"/>
      <c r="BL905" s="11"/>
      <c r="BM905" s="11"/>
      <c r="BN905" s="15"/>
      <c r="BO905" s="11"/>
      <c r="BP905" s="11"/>
      <c r="BQ905" s="15"/>
      <c r="BR905" s="15"/>
      <c r="BS905" s="15"/>
      <c r="BT905" s="11"/>
      <c r="BU905" s="15"/>
      <c r="BV905" s="11"/>
      <c r="BW905" s="11"/>
      <c r="BX905" s="15"/>
      <c r="BY905" s="11"/>
      <c r="BZ905" s="11"/>
      <c r="CA905" s="15"/>
      <c r="CB905" s="11"/>
      <c r="CC905" s="15"/>
      <c r="CD905" s="11"/>
      <c r="CE905" s="15"/>
      <c r="CF905" s="11"/>
      <c r="CG905" s="11"/>
      <c r="CH905" s="15"/>
      <c r="CI905" s="11"/>
      <c r="CJ905" s="11"/>
      <c r="CK905" s="15"/>
      <c r="CL905" s="11"/>
      <c r="CM905" s="11"/>
      <c r="CN905" s="11"/>
      <c r="CO905" s="11"/>
      <c r="CP905" s="28"/>
      <c r="CQ905" s="28"/>
      <c r="CR905" s="11"/>
      <c r="CS905" s="29"/>
      <c r="CT905" s="11"/>
      <c r="CU905" s="11"/>
      <c r="CV905" s="11"/>
      <c r="CW905" s="11"/>
      <c r="CX905" s="11"/>
      <c r="CY905" s="11"/>
      <c r="CZ905" s="11"/>
      <c r="DA905" s="28"/>
      <c r="DB905" s="28"/>
      <c r="DC905" s="11"/>
      <c r="DD905" s="29"/>
      <c r="DE905" s="11"/>
      <c r="DF905" s="11"/>
      <c r="DG905" s="11"/>
      <c r="DH905" s="11"/>
      <c r="DI905" s="11"/>
      <c r="DJ905" s="11"/>
      <c r="DK905" s="26"/>
      <c r="DL905" s="11"/>
      <c r="DM905" s="29"/>
      <c r="DN905" s="28"/>
      <c r="DO905" s="11"/>
      <c r="DP905" s="11"/>
      <c r="DQ905" s="11"/>
      <c r="DR905" s="29"/>
      <c r="DS905" s="28"/>
      <c r="DT905" s="11"/>
      <c r="DU905" s="26"/>
      <c r="DV905" s="11"/>
      <c r="DW905" s="29"/>
      <c r="DX905" s="28"/>
      <c r="DY905" s="11"/>
      <c r="DZ905" s="26"/>
      <c r="EA905" s="11"/>
      <c r="EB905" s="29"/>
      <c r="EC905" s="28"/>
      <c r="ED905" s="30"/>
      <c r="EE905" s="30" t="str">
        <f ca="1">IFERROR(__xludf.DUMMYFUNCTION("iferror(index(filter('Internal -- Trademark Countries'!E$2:E1000, (AM905 = 'Internal -- Trademark Countries'!B$2:B1000) + (AM905 = 'Internal -- Trademark Countries'!C$2:C1000) + (AM905 = 'Internal -- Trademark Countries'!D$2:D1000)), 1))"),"")</f>
        <v/>
      </c>
      <c r="EF905" s="30" t="e">
        <f ca="1">_xludf.ifs(AM905="", "", COUNTIF('Internal -- Trademark Countries'!B:B,AM905) &gt; 0, "polity_shortest_name", COUNTIF('Internal -- Trademark Countries'!C:C,AM905) &gt; 0, "polity_full_name", COUNTIF('Internal -- Trademark Countries'!D:D,AM905) &gt; 0, "polity_common_name", COUNTIF('Internal -- Trademark Countries'!E:E,AM905) &gt; 0, "shortest_name", COUNTIF('Internal -- Trademark Countries'!A:A,AM905) &gt; 0, "full_name", TRUE, "not a match")</f>
        <v>#NAME?</v>
      </c>
      <c r="EG905" s="30"/>
      <c r="EH905" s="30"/>
      <c r="EI905" s="30"/>
      <c r="EJ905" s="30"/>
      <c r="EK905" s="30" t="str">
        <f t="shared" si="5"/>
        <v/>
      </c>
    </row>
    <row r="906" spans="1:141" ht="16.5">
      <c r="A906" s="11"/>
      <c r="B906" s="11"/>
      <c r="C906" s="11"/>
      <c r="D906" s="11"/>
      <c r="E906" s="11"/>
      <c r="F906" s="11"/>
      <c r="G906" s="11"/>
      <c r="H906" s="11"/>
      <c r="I906" s="11"/>
      <c r="J906" s="11"/>
      <c r="K906" s="27"/>
      <c r="L906" s="11"/>
      <c r="M906" s="11"/>
      <c r="N906" s="11"/>
      <c r="O906" s="11"/>
      <c r="P906" s="15"/>
      <c r="Q906" s="15"/>
      <c r="R906" s="15"/>
      <c r="S906" s="15"/>
      <c r="T906" s="15"/>
      <c r="U906" s="15"/>
      <c r="V906" s="15"/>
      <c r="W906" s="47"/>
      <c r="X906" s="11"/>
      <c r="Y906" s="48"/>
      <c r="Z906" s="11"/>
      <c r="AA906" s="48"/>
      <c r="AB906" s="11"/>
      <c r="AC906" s="48"/>
      <c r="AD906" s="11"/>
      <c r="AE906" s="47"/>
      <c r="AF906" s="11"/>
      <c r="AG906" s="48"/>
      <c r="AH906" s="11"/>
      <c r="AI906" s="48"/>
      <c r="AJ906" s="11"/>
      <c r="AK906" s="48"/>
      <c r="AL906" s="11"/>
      <c r="AM906" s="49"/>
      <c r="AN906" s="49"/>
      <c r="AO906" s="11"/>
      <c r="AP906" s="11"/>
      <c r="AQ906" s="28" t="b">
        <f>IF(COUNTIF(SmartStatus!A$2:A1000, AM906) &gt; 2, TRUE, FALSE)</f>
        <v>0</v>
      </c>
      <c r="AR906" s="29" t="str">
        <f ca="1">IFERROR(__xludf.DUMMYFUNCTION("iferror(if(regexmatch(AO906, ""(?i)^registered""), if(EE906 &lt;&gt; ""polity_shortest_name"", ""CHECK_POLITY"", index(filter(SmartStatus!B$2:B1000, AM906 = SmartStatus!A$2:A1000, not(SmartStatus!C$2:C1000), (isblank(SmartStatus!D$2:D1000)) + ((P906 &lt;&gt; """") * "&amp;"(P906 &lt; SmartStatus!D$2:D1000)), (isblank(SmartStatus!E$2:E1000)) + ((P906 &lt;&gt; """") * (P906 &gt;= SmartStatus!E$2:E1000)), (isblank(SmartStatus!F$2:F1000)) + (((Q906 &lt;&gt; """") * (Q906 &lt; SmartStatus!F$2:F1000)) + ((P906 &lt;&gt; """") * (date(year(P906) + 3, month(P"&amp;"906), day(P906)) &lt; SmartStatus!F$2:F1000))), (isblank(SmartStatus!G$2:G1000)) + (((Q906 &lt;&gt; """") * (Q906 &gt;= SmartStatus!G$2:G1000)) + ((P906 &lt;&gt; """") * (P906 &gt;= SmartStatus!G$2:G1000)))), if(or(regexmatch(B906, ""(?i)^ir [a-z]+ designation$""), N906 &lt;&gt; """&amp;"""), 1, 2))), """"), ""NO_MATCH"")"),"")</f>
        <v/>
      </c>
      <c r="AS906" s="11"/>
      <c r="AT906" s="15"/>
      <c r="AU906" s="11"/>
      <c r="AV906" s="11"/>
      <c r="AW906" s="15"/>
      <c r="AX906" s="15"/>
      <c r="AY906" s="15"/>
      <c r="AZ906" s="11"/>
      <c r="BA906" s="15"/>
      <c r="BB906" s="11"/>
      <c r="BC906" s="11"/>
      <c r="BD906" s="15"/>
      <c r="BE906" s="11"/>
      <c r="BF906" s="11"/>
      <c r="BG906" s="15"/>
      <c r="BH906" s="15"/>
      <c r="BI906" s="15"/>
      <c r="BJ906" s="11"/>
      <c r="BK906" s="15"/>
      <c r="BL906" s="11"/>
      <c r="BM906" s="11"/>
      <c r="BN906" s="15"/>
      <c r="BO906" s="11"/>
      <c r="BP906" s="11"/>
      <c r="BQ906" s="15"/>
      <c r="BR906" s="15"/>
      <c r="BS906" s="15"/>
      <c r="BT906" s="11"/>
      <c r="BU906" s="15"/>
      <c r="BV906" s="11"/>
      <c r="BW906" s="11"/>
      <c r="BX906" s="15"/>
      <c r="BY906" s="11"/>
      <c r="BZ906" s="11"/>
      <c r="CA906" s="15"/>
      <c r="CB906" s="11"/>
      <c r="CC906" s="15"/>
      <c r="CD906" s="11"/>
      <c r="CE906" s="15"/>
      <c r="CF906" s="11"/>
      <c r="CG906" s="11"/>
      <c r="CH906" s="15"/>
      <c r="CI906" s="11"/>
      <c r="CJ906" s="11"/>
      <c r="CK906" s="15"/>
      <c r="CL906" s="11"/>
      <c r="CM906" s="11"/>
      <c r="CN906" s="11"/>
      <c r="CO906" s="11"/>
      <c r="CP906" s="28"/>
      <c r="CQ906" s="28"/>
      <c r="CR906" s="11"/>
      <c r="CS906" s="29"/>
      <c r="CT906" s="11"/>
      <c r="CU906" s="11"/>
      <c r="CV906" s="11"/>
      <c r="CW906" s="11"/>
      <c r="CX906" s="11"/>
      <c r="CY906" s="11"/>
      <c r="CZ906" s="11"/>
      <c r="DA906" s="28"/>
      <c r="DB906" s="28"/>
      <c r="DC906" s="11"/>
      <c r="DD906" s="29"/>
      <c r="DE906" s="11"/>
      <c r="DF906" s="11"/>
      <c r="DG906" s="11"/>
      <c r="DH906" s="11"/>
      <c r="DI906" s="11"/>
      <c r="DJ906" s="11"/>
      <c r="DK906" s="26"/>
      <c r="DL906" s="11"/>
      <c r="DM906" s="29"/>
      <c r="DN906" s="28"/>
      <c r="DO906" s="11"/>
      <c r="DP906" s="11"/>
      <c r="DQ906" s="11"/>
      <c r="DR906" s="29"/>
      <c r="DS906" s="28"/>
      <c r="DT906" s="11"/>
      <c r="DU906" s="26"/>
      <c r="DV906" s="11"/>
      <c r="DW906" s="29"/>
      <c r="DX906" s="28"/>
      <c r="DY906" s="11"/>
      <c r="DZ906" s="26"/>
      <c r="EA906" s="11"/>
      <c r="EB906" s="29"/>
      <c r="EC906" s="28"/>
      <c r="ED906" s="30"/>
      <c r="EE906" s="30" t="str">
        <f ca="1">IFERROR(__xludf.DUMMYFUNCTION("iferror(index(filter('Internal -- Trademark Countries'!E$2:E1000, (AM906 = 'Internal -- Trademark Countries'!B$2:B1000) + (AM906 = 'Internal -- Trademark Countries'!C$2:C1000) + (AM906 = 'Internal -- Trademark Countries'!D$2:D1000)), 1))"),"")</f>
        <v/>
      </c>
      <c r="EF906" s="30" t="e">
        <f ca="1">_xludf.ifs(AM906="", "", COUNTIF('Internal -- Trademark Countries'!B:B,AM906) &gt; 0, "polity_shortest_name", COUNTIF('Internal -- Trademark Countries'!C:C,AM906) &gt; 0, "polity_full_name", COUNTIF('Internal -- Trademark Countries'!D:D,AM906) &gt; 0, "polity_common_name", COUNTIF('Internal -- Trademark Countries'!E:E,AM906) &gt; 0, "shortest_name", COUNTIF('Internal -- Trademark Countries'!A:A,AM906) &gt; 0, "full_name", TRUE, "not a match")</f>
        <v>#NAME?</v>
      </c>
      <c r="EG906" s="30"/>
      <c r="EH906" s="30"/>
      <c r="EI906" s="30"/>
      <c r="EJ906" s="30"/>
      <c r="EK906" s="30" t="str">
        <f t="shared" si="5"/>
        <v/>
      </c>
    </row>
    <row r="907" spans="1:141" ht="16.5">
      <c r="A907" s="11"/>
      <c r="B907" s="11"/>
      <c r="C907" s="11"/>
      <c r="D907" s="11"/>
      <c r="E907" s="11"/>
      <c r="F907" s="11"/>
      <c r="G907" s="11"/>
      <c r="H907" s="11"/>
      <c r="I907" s="11"/>
      <c r="J907" s="11"/>
      <c r="K907" s="27"/>
      <c r="L907" s="11"/>
      <c r="M907" s="11"/>
      <c r="N907" s="11"/>
      <c r="O907" s="11"/>
      <c r="P907" s="15"/>
      <c r="Q907" s="15"/>
      <c r="R907" s="15"/>
      <c r="S907" s="15"/>
      <c r="T907" s="15"/>
      <c r="U907" s="15"/>
      <c r="V907" s="15"/>
      <c r="W907" s="47"/>
      <c r="X907" s="11"/>
      <c r="Y907" s="48"/>
      <c r="Z907" s="11"/>
      <c r="AA907" s="48"/>
      <c r="AB907" s="11"/>
      <c r="AC907" s="48"/>
      <c r="AD907" s="11"/>
      <c r="AE907" s="47"/>
      <c r="AF907" s="11"/>
      <c r="AG907" s="48"/>
      <c r="AH907" s="11"/>
      <c r="AI907" s="48"/>
      <c r="AJ907" s="11"/>
      <c r="AK907" s="48"/>
      <c r="AL907" s="11"/>
      <c r="AM907" s="49"/>
      <c r="AN907" s="49"/>
      <c r="AO907" s="11"/>
      <c r="AP907" s="11"/>
      <c r="AQ907" s="28" t="b">
        <f>IF(COUNTIF(SmartStatus!A$2:A1000, AM907) &gt; 2, TRUE, FALSE)</f>
        <v>0</v>
      </c>
      <c r="AR907" s="29" t="str">
        <f ca="1">IFERROR(__xludf.DUMMYFUNCTION("iferror(if(regexmatch(AO907, ""(?i)^registered""), if(EE907 &lt;&gt; ""polity_shortest_name"", ""CHECK_POLITY"", index(filter(SmartStatus!B$2:B1000, AM907 = SmartStatus!A$2:A1000, not(SmartStatus!C$2:C1000), (isblank(SmartStatus!D$2:D1000)) + ((P907 &lt;&gt; """") * "&amp;"(P907 &lt; SmartStatus!D$2:D1000)), (isblank(SmartStatus!E$2:E1000)) + ((P907 &lt;&gt; """") * (P907 &gt;= SmartStatus!E$2:E1000)), (isblank(SmartStatus!F$2:F1000)) + (((Q907 &lt;&gt; """") * (Q907 &lt; SmartStatus!F$2:F1000)) + ((P907 &lt;&gt; """") * (date(year(P907) + 3, month(P"&amp;"907), day(P907)) &lt; SmartStatus!F$2:F1000))), (isblank(SmartStatus!G$2:G1000)) + (((Q907 &lt;&gt; """") * (Q907 &gt;= SmartStatus!G$2:G1000)) + ((P907 &lt;&gt; """") * (P907 &gt;= SmartStatus!G$2:G1000)))), if(or(regexmatch(B907, ""(?i)^ir [a-z]+ designation$""), N907 &lt;&gt; """&amp;"""), 1, 2))), """"), ""NO_MATCH"")"),"")</f>
        <v/>
      </c>
      <c r="AS907" s="11"/>
      <c r="AT907" s="15"/>
      <c r="AU907" s="11"/>
      <c r="AV907" s="11"/>
      <c r="AW907" s="15"/>
      <c r="AX907" s="15"/>
      <c r="AY907" s="15"/>
      <c r="AZ907" s="11"/>
      <c r="BA907" s="15"/>
      <c r="BB907" s="11"/>
      <c r="BC907" s="11"/>
      <c r="BD907" s="15"/>
      <c r="BE907" s="11"/>
      <c r="BF907" s="11"/>
      <c r="BG907" s="15"/>
      <c r="BH907" s="15"/>
      <c r="BI907" s="15"/>
      <c r="BJ907" s="11"/>
      <c r="BK907" s="15"/>
      <c r="BL907" s="11"/>
      <c r="BM907" s="11"/>
      <c r="BN907" s="15"/>
      <c r="BO907" s="11"/>
      <c r="BP907" s="11"/>
      <c r="BQ907" s="15"/>
      <c r="BR907" s="15"/>
      <c r="BS907" s="15"/>
      <c r="BT907" s="11"/>
      <c r="BU907" s="15"/>
      <c r="BV907" s="11"/>
      <c r="BW907" s="11"/>
      <c r="BX907" s="15"/>
      <c r="BY907" s="11"/>
      <c r="BZ907" s="11"/>
      <c r="CA907" s="15"/>
      <c r="CB907" s="11"/>
      <c r="CC907" s="15"/>
      <c r="CD907" s="11"/>
      <c r="CE907" s="15"/>
      <c r="CF907" s="11"/>
      <c r="CG907" s="11"/>
      <c r="CH907" s="15"/>
      <c r="CI907" s="11"/>
      <c r="CJ907" s="11"/>
      <c r="CK907" s="15"/>
      <c r="CL907" s="11"/>
      <c r="CM907" s="11"/>
      <c r="CN907" s="11"/>
      <c r="CO907" s="11"/>
      <c r="CP907" s="28"/>
      <c r="CQ907" s="28"/>
      <c r="CR907" s="11"/>
      <c r="CS907" s="29"/>
      <c r="CT907" s="11"/>
      <c r="CU907" s="11"/>
      <c r="CV907" s="11"/>
      <c r="CW907" s="11"/>
      <c r="CX907" s="11"/>
      <c r="CY907" s="11"/>
      <c r="CZ907" s="11"/>
      <c r="DA907" s="28"/>
      <c r="DB907" s="28"/>
      <c r="DC907" s="11"/>
      <c r="DD907" s="29"/>
      <c r="DE907" s="11"/>
      <c r="DF907" s="11"/>
      <c r="DG907" s="11"/>
      <c r="DH907" s="11"/>
      <c r="DI907" s="11"/>
      <c r="DJ907" s="11"/>
      <c r="DK907" s="26"/>
      <c r="DL907" s="11"/>
      <c r="DM907" s="29"/>
      <c r="DN907" s="28"/>
      <c r="DO907" s="11"/>
      <c r="DP907" s="11"/>
      <c r="DQ907" s="11"/>
      <c r="DR907" s="29"/>
      <c r="DS907" s="28"/>
      <c r="DT907" s="11"/>
      <c r="DU907" s="26"/>
      <c r="DV907" s="11"/>
      <c r="DW907" s="29"/>
      <c r="DX907" s="28"/>
      <c r="DY907" s="11"/>
      <c r="DZ907" s="26"/>
      <c r="EA907" s="11"/>
      <c r="EB907" s="29"/>
      <c r="EC907" s="28"/>
      <c r="ED907" s="30"/>
      <c r="EE907" s="30" t="str">
        <f ca="1">IFERROR(__xludf.DUMMYFUNCTION("iferror(index(filter('Internal -- Trademark Countries'!E$2:E1000, (AM907 = 'Internal -- Trademark Countries'!B$2:B1000) + (AM907 = 'Internal -- Trademark Countries'!C$2:C1000) + (AM907 = 'Internal -- Trademark Countries'!D$2:D1000)), 1))"),"")</f>
        <v/>
      </c>
      <c r="EF907" s="30" t="e">
        <f ca="1">_xludf.ifs(AM907="", "", COUNTIF('Internal -- Trademark Countries'!B:B,AM907) &gt; 0, "polity_shortest_name", COUNTIF('Internal -- Trademark Countries'!C:C,AM907) &gt; 0, "polity_full_name", COUNTIF('Internal -- Trademark Countries'!D:D,AM907) &gt; 0, "polity_common_name", COUNTIF('Internal -- Trademark Countries'!E:E,AM907) &gt; 0, "shortest_name", COUNTIF('Internal -- Trademark Countries'!A:A,AM907) &gt; 0, "full_name", TRUE, "not a match")</f>
        <v>#NAME?</v>
      </c>
      <c r="EG907" s="30"/>
      <c r="EH907" s="30"/>
      <c r="EI907" s="30"/>
      <c r="EJ907" s="30"/>
      <c r="EK907" s="30" t="str">
        <f t="shared" si="5"/>
        <v/>
      </c>
    </row>
    <row r="908" spans="1:141" ht="16.5">
      <c r="A908" s="11"/>
      <c r="B908" s="11"/>
      <c r="C908" s="11"/>
      <c r="D908" s="11"/>
      <c r="E908" s="11"/>
      <c r="F908" s="11"/>
      <c r="G908" s="11"/>
      <c r="H908" s="11"/>
      <c r="I908" s="11"/>
      <c r="J908" s="11"/>
      <c r="K908" s="27"/>
      <c r="L908" s="11"/>
      <c r="M908" s="11"/>
      <c r="N908" s="11"/>
      <c r="O908" s="11"/>
      <c r="P908" s="15"/>
      <c r="Q908" s="15"/>
      <c r="R908" s="15"/>
      <c r="S908" s="15"/>
      <c r="T908" s="15"/>
      <c r="U908" s="15"/>
      <c r="V908" s="15"/>
      <c r="W908" s="47"/>
      <c r="X908" s="11"/>
      <c r="Y908" s="48"/>
      <c r="Z908" s="11"/>
      <c r="AA908" s="48"/>
      <c r="AB908" s="11"/>
      <c r="AC908" s="48"/>
      <c r="AD908" s="11"/>
      <c r="AE908" s="47"/>
      <c r="AF908" s="11"/>
      <c r="AG908" s="48"/>
      <c r="AH908" s="11"/>
      <c r="AI908" s="48"/>
      <c r="AJ908" s="11"/>
      <c r="AK908" s="48"/>
      <c r="AL908" s="11"/>
      <c r="AM908" s="49"/>
      <c r="AN908" s="49"/>
      <c r="AO908" s="11"/>
      <c r="AP908" s="11"/>
      <c r="AQ908" s="28" t="b">
        <f>IF(COUNTIF(SmartStatus!A$2:A1000, AM908) &gt; 2, TRUE, FALSE)</f>
        <v>0</v>
      </c>
      <c r="AR908" s="29" t="str">
        <f ca="1">IFERROR(__xludf.DUMMYFUNCTION("iferror(if(regexmatch(AO908, ""(?i)^registered""), if(EE908 &lt;&gt; ""polity_shortest_name"", ""CHECK_POLITY"", index(filter(SmartStatus!B$2:B1000, AM908 = SmartStatus!A$2:A1000, not(SmartStatus!C$2:C1000), (isblank(SmartStatus!D$2:D1000)) + ((P908 &lt;&gt; """") * "&amp;"(P908 &lt; SmartStatus!D$2:D1000)), (isblank(SmartStatus!E$2:E1000)) + ((P908 &lt;&gt; """") * (P908 &gt;= SmartStatus!E$2:E1000)), (isblank(SmartStatus!F$2:F1000)) + (((Q908 &lt;&gt; """") * (Q908 &lt; SmartStatus!F$2:F1000)) + ((P908 &lt;&gt; """") * (date(year(P908) + 3, month(P"&amp;"908), day(P908)) &lt; SmartStatus!F$2:F1000))), (isblank(SmartStatus!G$2:G1000)) + (((Q908 &lt;&gt; """") * (Q908 &gt;= SmartStatus!G$2:G1000)) + ((P908 &lt;&gt; """") * (P908 &gt;= SmartStatus!G$2:G1000)))), if(or(regexmatch(B908, ""(?i)^ir [a-z]+ designation$""), N908 &lt;&gt; """&amp;"""), 1, 2))), """"), ""NO_MATCH"")"),"")</f>
        <v/>
      </c>
      <c r="AS908" s="11"/>
      <c r="AT908" s="15"/>
      <c r="AU908" s="11"/>
      <c r="AV908" s="11"/>
      <c r="AW908" s="15"/>
      <c r="AX908" s="15"/>
      <c r="AY908" s="15"/>
      <c r="AZ908" s="11"/>
      <c r="BA908" s="15"/>
      <c r="BB908" s="11"/>
      <c r="BC908" s="11"/>
      <c r="BD908" s="15"/>
      <c r="BE908" s="11"/>
      <c r="BF908" s="11"/>
      <c r="BG908" s="15"/>
      <c r="BH908" s="15"/>
      <c r="BI908" s="15"/>
      <c r="BJ908" s="11"/>
      <c r="BK908" s="15"/>
      <c r="BL908" s="11"/>
      <c r="BM908" s="11"/>
      <c r="BN908" s="15"/>
      <c r="BO908" s="11"/>
      <c r="BP908" s="11"/>
      <c r="BQ908" s="15"/>
      <c r="BR908" s="15"/>
      <c r="BS908" s="15"/>
      <c r="BT908" s="11"/>
      <c r="BU908" s="15"/>
      <c r="BV908" s="11"/>
      <c r="BW908" s="11"/>
      <c r="BX908" s="15"/>
      <c r="BY908" s="11"/>
      <c r="BZ908" s="11"/>
      <c r="CA908" s="15"/>
      <c r="CB908" s="11"/>
      <c r="CC908" s="15"/>
      <c r="CD908" s="11"/>
      <c r="CE908" s="15"/>
      <c r="CF908" s="11"/>
      <c r="CG908" s="11"/>
      <c r="CH908" s="15"/>
      <c r="CI908" s="11"/>
      <c r="CJ908" s="11"/>
      <c r="CK908" s="15"/>
      <c r="CL908" s="11"/>
      <c r="CM908" s="11"/>
      <c r="CN908" s="11"/>
      <c r="CO908" s="11"/>
      <c r="CP908" s="28"/>
      <c r="CQ908" s="28"/>
      <c r="CR908" s="11"/>
      <c r="CS908" s="29"/>
      <c r="CT908" s="11"/>
      <c r="CU908" s="11"/>
      <c r="CV908" s="11"/>
      <c r="CW908" s="11"/>
      <c r="CX908" s="11"/>
      <c r="CY908" s="11"/>
      <c r="CZ908" s="11"/>
      <c r="DA908" s="28"/>
      <c r="DB908" s="28"/>
      <c r="DC908" s="11"/>
      <c r="DD908" s="29"/>
      <c r="DE908" s="11"/>
      <c r="DF908" s="11"/>
      <c r="DG908" s="11"/>
      <c r="DH908" s="11"/>
      <c r="DI908" s="11"/>
      <c r="DJ908" s="11"/>
      <c r="DK908" s="26"/>
      <c r="DL908" s="11"/>
      <c r="DM908" s="29"/>
      <c r="DN908" s="28"/>
      <c r="DO908" s="11"/>
      <c r="DP908" s="11"/>
      <c r="DQ908" s="11"/>
      <c r="DR908" s="29"/>
      <c r="DS908" s="28"/>
      <c r="DT908" s="11"/>
      <c r="DU908" s="26"/>
      <c r="DV908" s="11"/>
      <c r="DW908" s="29"/>
      <c r="DX908" s="28"/>
      <c r="DY908" s="11"/>
      <c r="DZ908" s="26"/>
      <c r="EA908" s="11"/>
      <c r="EB908" s="29"/>
      <c r="EC908" s="28"/>
      <c r="ED908" s="30"/>
      <c r="EE908" s="30" t="str">
        <f ca="1">IFERROR(__xludf.DUMMYFUNCTION("iferror(index(filter('Internal -- Trademark Countries'!E$2:E1000, (AM908 = 'Internal -- Trademark Countries'!B$2:B1000) + (AM908 = 'Internal -- Trademark Countries'!C$2:C1000) + (AM908 = 'Internal -- Trademark Countries'!D$2:D1000)), 1))"),"")</f>
        <v/>
      </c>
      <c r="EF908" s="30" t="e">
        <f ca="1">_xludf.ifs(AM908="", "", COUNTIF('Internal -- Trademark Countries'!B:B,AM908) &gt; 0, "polity_shortest_name", COUNTIF('Internal -- Trademark Countries'!C:C,AM908) &gt; 0, "polity_full_name", COUNTIF('Internal -- Trademark Countries'!D:D,AM908) &gt; 0, "polity_common_name", COUNTIF('Internal -- Trademark Countries'!E:E,AM908) &gt; 0, "shortest_name", COUNTIF('Internal -- Trademark Countries'!A:A,AM908) &gt; 0, "full_name", TRUE, "not a match")</f>
        <v>#NAME?</v>
      </c>
      <c r="EG908" s="30"/>
      <c r="EH908" s="30"/>
      <c r="EI908" s="30"/>
      <c r="EJ908" s="30"/>
      <c r="EK908" s="30" t="str">
        <f t="shared" si="5"/>
        <v/>
      </c>
    </row>
    <row r="909" spans="1:141" ht="16.5">
      <c r="A909" s="11"/>
      <c r="B909" s="11"/>
      <c r="C909" s="11"/>
      <c r="D909" s="11"/>
      <c r="E909" s="11"/>
      <c r="F909" s="11"/>
      <c r="G909" s="11"/>
      <c r="H909" s="11"/>
      <c r="I909" s="11"/>
      <c r="J909" s="11"/>
      <c r="K909" s="27"/>
      <c r="L909" s="11"/>
      <c r="M909" s="11"/>
      <c r="N909" s="11"/>
      <c r="O909" s="11"/>
      <c r="P909" s="15"/>
      <c r="Q909" s="15"/>
      <c r="R909" s="15"/>
      <c r="S909" s="15"/>
      <c r="T909" s="15"/>
      <c r="U909" s="15"/>
      <c r="V909" s="15"/>
      <c r="W909" s="47"/>
      <c r="X909" s="11"/>
      <c r="Y909" s="48"/>
      <c r="Z909" s="11"/>
      <c r="AA909" s="48"/>
      <c r="AB909" s="11"/>
      <c r="AC909" s="48"/>
      <c r="AD909" s="11"/>
      <c r="AE909" s="47"/>
      <c r="AF909" s="11"/>
      <c r="AG909" s="48"/>
      <c r="AH909" s="11"/>
      <c r="AI909" s="48"/>
      <c r="AJ909" s="11"/>
      <c r="AK909" s="48"/>
      <c r="AL909" s="11"/>
      <c r="AM909" s="49"/>
      <c r="AN909" s="49"/>
      <c r="AO909" s="11"/>
      <c r="AP909" s="11"/>
      <c r="AQ909" s="28" t="b">
        <f>IF(COUNTIF(SmartStatus!A$2:A1000, AM909) &gt; 2, TRUE, FALSE)</f>
        <v>0</v>
      </c>
      <c r="AR909" s="29" t="str">
        <f ca="1">IFERROR(__xludf.DUMMYFUNCTION("iferror(if(regexmatch(AO909, ""(?i)^registered""), if(EE909 &lt;&gt; ""polity_shortest_name"", ""CHECK_POLITY"", index(filter(SmartStatus!B$2:B1000, AM909 = SmartStatus!A$2:A1000, not(SmartStatus!C$2:C1000), (isblank(SmartStatus!D$2:D1000)) + ((P909 &lt;&gt; """") * "&amp;"(P909 &lt; SmartStatus!D$2:D1000)), (isblank(SmartStatus!E$2:E1000)) + ((P909 &lt;&gt; """") * (P909 &gt;= SmartStatus!E$2:E1000)), (isblank(SmartStatus!F$2:F1000)) + (((Q909 &lt;&gt; """") * (Q909 &lt; SmartStatus!F$2:F1000)) + ((P909 &lt;&gt; """") * (date(year(P909) + 3, month(P"&amp;"909), day(P909)) &lt; SmartStatus!F$2:F1000))), (isblank(SmartStatus!G$2:G1000)) + (((Q909 &lt;&gt; """") * (Q909 &gt;= SmartStatus!G$2:G1000)) + ((P909 &lt;&gt; """") * (P909 &gt;= SmartStatus!G$2:G1000)))), if(or(regexmatch(B909, ""(?i)^ir [a-z]+ designation$""), N909 &lt;&gt; """&amp;"""), 1, 2))), """"), ""NO_MATCH"")"),"")</f>
        <v/>
      </c>
      <c r="AS909" s="11"/>
      <c r="AT909" s="15"/>
      <c r="AU909" s="11"/>
      <c r="AV909" s="11"/>
      <c r="AW909" s="15"/>
      <c r="AX909" s="15"/>
      <c r="AY909" s="15"/>
      <c r="AZ909" s="11"/>
      <c r="BA909" s="15"/>
      <c r="BB909" s="11"/>
      <c r="BC909" s="11"/>
      <c r="BD909" s="15"/>
      <c r="BE909" s="11"/>
      <c r="BF909" s="11"/>
      <c r="BG909" s="15"/>
      <c r="BH909" s="15"/>
      <c r="BI909" s="15"/>
      <c r="BJ909" s="11"/>
      <c r="BK909" s="15"/>
      <c r="BL909" s="11"/>
      <c r="BM909" s="11"/>
      <c r="BN909" s="15"/>
      <c r="BO909" s="11"/>
      <c r="BP909" s="11"/>
      <c r="BQ909" s="15"/>
      <c r="BR909" s="15"/>
      <c r="BS909" s="15"/>
      <c r="BT909" s="11"/>
      <c r="BU909" s="15"/>
      <c r="BV909" s="11"/>
      <c r="BW909" s="11"/>
      <c r="BX909" s="15"/>
      <c r="BY909" s="11"/>
      <c r="BZ909" s="11"/>
      <c r="CA909" s="15"/>
      <c r="CB909" s="11"/>
      <c r="CC909" s="15"/>
      <c r="CD909" s="11"/>
      <c r="CE909" s="15"/>
      <c r="CF909" s="11"/>
      <c r="CG909" s="11"/>
      <c r="CH909" s="15"/>
      <c r="CI909" s="11"/>
      <c r="CJ909" s="11"/>
      <c r="CK909" s="15"/>
      <c r="CL909" s="11"/>
      <c r="CM909" s="11"/>
      <c r="CN909" s="11"/>
      <c r="CO909" s="11"/>
      <c r="CP909" s="28"/>
      <c r="CQ909" s="28"/>
      <c r="CR909" s="11"/>
      <c r="CS909" s="29"/>
      <c r="CT909" s="11"/>
      <c r="CU909" s="11"/>
      <c r="CV909" s="11"/>
      <c r="CW909" s="11"/>
      <c r="CX909" s="11"/>
      <c r="CY909" s="11"/>
      <c r="CZ909" s="11"/>
      <c r="DA909" s="28"/>
      <c r="DB909" s="28"/>
      <c r="DC909" s="11"/>
      <c r="DD909" s="29"/>
      <c r="DE909" s="11"/>
      <c r="DF909" s="11"/>
      <c r="DG909" s="11"/>
      <c r="DH909" s="11"/>
      <c r="DI909" s="11"/>
      <c r="DJ909" s="11"/>
      <c r="DK909" s="26"/>
      <c r="DL909" s="11"/>
      <c r="DM909" s="29"/>
      <c r="DN909" s="28"/>
      <c r="DO909" s="11"/>
      <c r="DP909" s="11"/>
      <c r="DQ909" s="11"/>
      <c r="DR909" s="29"/>
      <c r="DS909" s="28"/>
      <c r="DT909" s="11"/>
      <c r="DU909" s="26"/>
      <c r="DV909" s="11"/>
      <c r="DW909" s="29"/>
      <c r="DX909" s="28"/>
      <c r="DY909" s="11"/>
      <c r="DZ909" s="26"/>
      <c r="EA909" s="11"/>
      <c r="EB909" s="29"/>
      <c r="EC909" s="28"/>
      <c r="ED909" s="30"/>
      <c r="EE909" s="30" t="str">
        <f ca="1">IFERROR(__xludf.DUMMYFUNCTION("iferror(index(filter('Internal -- Trademark Countries'!E$2:E1000, (AM909 = 'Internal -- Trademark Countries'!B$2:B1000) + (AM909 = 'Internal -- Trademark Countries'!C$2:C1000) + (AM909 = 'Internal -- Trademark Countries'!D$2:D1000)), 1))"),"")</f>
        <v/>
      </c>
      <c r="EF909" s="30" t="e">
        <f ca="1">_xludf.ifs(AM909="", "", COUNTIF('Internal -- Trademark Countries'!B:B,AM909) &gt; 0, "polity_shortest_name", COUNTIF('Internal -- Trademark Countries'!C:C,AM909) &gt; 0, "polity_full_name", COUNTIF('Internal -- Trademark Countries'!D:D,AM909) &gt; 0, "polity_common_name", COUNTIF('Internal -- Trademark Countries'!E:E,AM909) &gt; 0, "shortest_name", COUNTIF('Internal -- Trademark Countries'!A:A,AM909) &gt; 0, "full_name", TRUE, "not a match")</f>
        <v>#NAME?</v>
      </c>
      <c r="EG909" s="30"/>
      <c r="EH909" s="30"/>
      <c r="EI909" s="30"/>
      <c r="EJ909" s="30"/>
      <c r="EK909" s="30" t="str">
        <f t="shared" si="5"/>
        <v/>
      </c>
    </row>
    <row r="910" spans="1:141" ht="16.5">
      <c r="A910" s="11"/>
      <c r="B910" s="11"/>
      <c r="C910" s="11"/>
      <c r="D910" s="11"/>
      <c r="E910" s="11"/>
      <c r="F910" s="11"/>
      <c r="G910" s="11"/>
      <c r="H910" s="11"/>
      <c r="I910" s="11"/>
      <c r="J910" s="11"/>
      <c r="K910" s="27"/>
      <c r="L910" s="11"/>
      <c r="M910" s="11"/>
      <c r="N910" s="11"/>
      <c r="O910" s="11"/>
      <c r="P910" s="15"/>
      <c r="Q910" s="15"/>
      <c r="R910" s="15"/>
      <c r="S910" s="15"/>
      <c r="T910" s="15"/>
      <c r="U910" s="15"/>
      <c r="V910" s="15"/>
      <c r="W910" s="47"/>
      <c r="X910" s="11"/>
      <c r="Y910" s="48"/>
      <c r="Z910" s="11"/>
      <c r="AA910" s="48"/>
      <c r="AB910" s="11"/>
      <c r="AC910" s="48"/>
      <c r="AD910" s="11"/>
      <c r="AE910" s="47"/>
      <c r="AF910" s="11"/>
      <c r="AG910" s="48"/>
      <c r="AH910" s="11"/>
      <c r="AI910" s="48"/>
      <c r="AJ910" s="11"/>
      <c r="AK910" s="48"/>
      <c r="AL910" s="11"/>
      <c r="AM910" s="49"/>
      <c r="AN910" s="49"/>
      <c r="AO910" s="11"/>
      <c r="AP910" s="11"/>
      <c r="AQ910" s="28" t="b">
        <f>IF(COUNTIF(SmartStatus!A$2:A1000, AM910) &gt; 2, TRUE, FALSE)</f>
        <v>0</v>
      </c>
      <c r="AR910" s="29" t="str">
        <f ca="1">IFERROR(__xludf.DUMMYFUNCTION("iferror(if(regexmatch(AO910, ""(?i)^registered""), if(EE910 &lt;&gt; ""polity_shortest_name"", ""CHECK_POLITY"", index(filter(SmartStatus!B$2:B1000, AM910 = SmartStatus!A$2:A1000, not(SmartStatus!C$2:C1000), (isblank(SmartStatus!D$2:D1000)) + ((P910 &lt;&gt; """") * "&amp;"(P910 &lt; SmartStatus!D$2:D1000)), (isblank(SmartStatus!E$2:E1000)) + ((P910 &lt;&gt; """") * (P910 &gt;= SmartStatus!E$2:E1000)), (isblank(SmartStatus!F$2:F1000)) + (((Q910 &lt;&gt; """") * (Q910 &lt; SmartStatus!F$2:F1000)) + ((P910 &lt;&gt; """") * (date(year(P910) + 3, month(P"&amp;"910), day(P910)) &lt; SmartStatus!F$2:F1000))), (isblank(SmartStatus!G$2:G1000)) + (((Q910 &lt;&gt; """") * (Q910 &gt;= SmartStatus!G$2:G1000)) + ((P910 &lt;&gt; """") * (P910 &gt;= SmartStatus!G$2:G1000)))), if(or(regexmatch(B910, ""(?i)^ir [a-z]+ designation$""), N910 &lt;&gt; """&amp;"""), 1, 2))), """"), ""NO_MATCH"")"),"")</f>
        <v/>
      </c>
      <c r="AS910" s="11"/>
      <c r="AT910" s="15"/>
      <c r="AU910" s="11"/>
      <c r="AV910" s="11"/>
      <c r="AW910" s="15"/>
      <c r="AX910" s="15"/>
      <c r="AY910" s="15"/>
      <c r="AZ910" s="11"/>
      <c r="BA910" s="15"/>
      <c r="BB910" s="11"/>
      <c r="BC910" s="11"/>
      <c r="BD910" s="15"/>
      <c r="BE910" s="11"/>
      <c r="BF910" s="11"/>
      <c r="BG910" s="15"/>
      <c r="BH910" s="15"/>
      <c r="BI910" s="15"/>
      <c r="BJ910" s="11"/>
      <c r="BK910" s="15"/>
      <c r="BL910" s="11"/>
      <c r="BM910" s="11"/>
      <c r="BN910" s="15"/>
      <c r="BO910" s="11"/>
      <c r="BP910" s="11"/>
      <c r="BQ910" s="15"/>
      <c r="BR910" s="15"/>
      <c r="BS910" s="15"/>
      <c r="BT910" s="11"/>
      <c r="BU910" s="15"/>
      <c r="BV910" s="11"/>
      <c r="BW910" s="11"/>
      <c r="BX910" s="15"/>
      <c r="BY910" s="11"/>
      <c r="BZ910" s="11"/>
      <c r="CA910" s="15"/>
      <c r="CB910" s="11"/>
      <c r="CC910" s="15"/>
      <c r="CD910" s="11"/>
      <c r="CE910" s="15"/>
      <c r="CF910" s="11"/>
      <c r="CG910" s="11"/>
      <c r="CH910" s="15"/>
      <c r="CI910" s="11"/>
      <c r="CJ910" s="11"/>
      <c r="CK910" s="15"/>
      <c r="CL910" s="11"/>
      <c r="CM910" s="11"/>
      <c r="CN910" s="11"/>
      <c r="CO910" s="11"/>
      <c r="CP910" s="28"/>
      <c r="CQ910" s="28"/>
      <c r="CR910" s="11"/>
      <c r="CS910" s="29"/>
      <c r="CT910" s="11"/>
      <c r="CU910" s="11"/>
      <c r="CV910" s="11"/>
      <c r="CW910" s="11"/>
      <c r="CX910" s="11"/>
      <c r="CY910" s="11"/>
      <c r="CZ910" s="11"/>
      <c r="DA910" s="28"/>
      <c r="DB910" s="28"/>
      <c r="DC910" s="11"/>
      <c r="DD910" s="29"/>
      <c r="DE910" s="11"/>
      <c r="DF910" s="11"/>
      <c r="DG910" s="11"/>
      <c r="DH910" s="11"/>
      <c r="DI910" s="11"/>
      <c r="DJ910" s="11"/>
      <c r="DK910" s="26"/>
      <c r="DL910" s="11"/>
      <c r="DM910" s="29"/>
      <c r="DN910" s="28"/>
      <c r="DO910" s="11"/>
      <c r="DP910" s="11"/>
      <c r="DQ910" s="11"/>
      <c r="DR910" s="29"/>
      <c r="DS910" s="28"/>
      <c r="DT910" s="11"/>
      <c r="DU910" s="26"/>
      <c r="DV910" s="11"/>
      <c r="DW910" s="29"/>
      <c r="DX910" s="28"/>
      <c r="DY910" s="11"/>
      <c r="DZ910" s="26"/>
      <c r="EA910" s="11"/>
      <c r="EB910" s="29"/>
      <c r="EC910" s="28"/>
      <c r="ED910" s="30"/>
      <c r="EE910" s="30" t="str">
        <f ca="1">IFERROR(__xludf.DUMMYFUNCTION("iferror(index(filter('Internal -- Trademark Countries'!E$2:E1000, (AM910 = 'Internal -- Trademark Countries'!B$2:B1000) + (AM910 = 'Internal -- Trademark Countries'!C$2:C1000) + (AM910 = 'Internal -- Trademark Countries'!D$2:D1000)), 1))"),"")</f>
        <v/>
      </c>
      <c r="EF910" s="30" t="e">
        <f ca="1">_xludf.ifs(AM910="", "", COUNTIF('Internal -- Trademark Countries'!B:B,AM910) &gt; 0, "polity_shortest_name", COUNTIF('Internal -- Trademark Countries'!C:C,AM910) &gt; 0, "polity_full_name", COUNTIF('Internal -- Trademark Countries'!D:D,AM910) &gt; 0, "polity_common_name", COUNTIF('Internal -- Trademark Countries'!E:E,AM910) &gt; 0, "shortest_name", COUNTIF('Internal -- Trademark Countries'!A:A,AM910) &gt; 0, "full_name", TRUE, "not a match")</f>
        <v>#NAME?</v>
      </c>
      <c r="EG910" s="30"/>
      <c r="EH910" s="30"/>
      <c r="EI910" s="30"/>
      <c r="EJ910" s="30"/>
      <c r="EK910" s="30" t="str">
        <f t="shared" si="5"/>
        <v/>
      </c>
    </row>
    <row r="911" spans="1:141" ht="16.5">
      <c r="A911" s="11"/>
      <c r="B911" s="11"/>
      <c r="C911" s="11"/>
      <c r="D911" s="11"/>
      <c r="E911" s="11"/>
      <c r="F911" s="11"/>
      <c r="G911" s="11"/>
      <c r="H911" s="11"/>
      <c r="I911" s="11"/>
      <c r="J911" s="11"/>
      <c r="K911" s="27"/>
      <c r="L911" s="11"/>
      <c r="M911" s="11"/>
      <c r="N911" s="11"/>
      <c r="O911" s="11"/>
      <c r="P911" s="15"/>
      <c r="Q911" s="15"/>
      <c r="R911" s="15"/>
      <c r="S911" s="15"/>
      <c r="T911" s="15"/>
      <c r="U911" s="15"/>
      <c r="V911" s="15"/>
      <c r="W911" s="47"/>
      <c r="X911" s="11"/>
      <c r="Y911" s="48"/>
      <c r="Z911" s="11"/>
      <c r="AA911" s="48"/>
      <c r="AB911" s="11"/>
      <c r="AC911" s="48"/>
      <c r="AD911" s="11"/>
      <c r="AE911" s="47"/>
      <c r="AF911" s="11"/>
      <c r="AG911" s="48"/>
      <c r="AH911" s="11"/>
      <c r="AI911" s="48"/>
      <c r="AJ911" s="11"/>
      <c r="AK911" s="48"/>
      <c r="AL911" s="11"/>
      <c r="AM911" s="49"/>
      <c r="AN911" s="49"/>
      <c r="AO911" s="11"/>
      <c r="AP911" s="11"/>
      <c r="AQ911" s="28" t="b">
        <f>IF(COUNTIF(SmartStatus!A$2:A1000, AM911) &gt; 2, TRUE, FALSE)</f>
        <v>0</v>
      </c>
      <c r="AR911" s="29" t="str">
        <f ca="1">IFERROR(__xludf.DUMMYFUNCTION("iferror(if(regexmatch(AO911, ""(?i)^registered""), if(EE911 &lt;&gt; ""polity_shortest_name"", ""CHECK_POLITY"", index(filter(SmartStatus!B$2:B1000, AM911 = SmartStatus!A$2:A1000, not(SmartStatus!C$2:C1000), (isblank(SmartStatus!D$2:D1000)) + ((P911 &lt;&gt; """") * "&amp;"(P911 &lt; SmartStatus!D$2:D1000)), (isblank(SmartStatus!E$2:E1000)) + ((P911 &lt;&gt; """") * (P911 &gt;= SmartStatus!E$2:E1000)), (isblank(SmartStatus!F$2:F1000)) + (((Q911 &lt;&gt; """") * (Q911 &lt; SmartStatus!F$2:F1000)) + ((P911 &lt;&gt; """") * (date(year(P911) + 3, month(P"&amp;"911), day(P911)) &lt; SmartStatus!F$2:F1000))), (isblank(SmartStatus!G$2:G1000)) + (((Q911 &lt;&gt; """") * (Q911 &gt;= SmartStatus!G$2:G1000)) + ((P911 &lt;&gt; """") * (P911 &gt;= SmartStatus!G$2:G1000)))), if(or(regexmatch(B911, ""(?i)^ir [a-z]+ designation$""), N911 &lt;&gt; """&amp;"""), 1, 2))), """"), ""NO_MATCH"")"),"")</f>
        <v/>
      </c>
      <c r="AS911" s="11"/>
      <c r="AT911" s="15"/>
      <c r="AU911" s="11"/>
      <c r="AV911" s="11"/>
      <c r="AW911" s="15"/>
      <c r="AX911" s="15"/>
      <c r="AY911" s="15"/>
      <c r="AZ911" s="11"/>
      <c r="BA911" s="15"/>
      <c r="BB911" s="11"/>
      <c r="BC911" s="11"/>
      <c r="BD911" s="15"/>
      <c r="BE911" s="11"/>
      <c r="BF911" s="11"/>
      <c r="BG911" s="15"/>
      <c r="BH911" s="15"/>
      <c r="BI911" s="15"/>
      <c r="BJ911" s="11"/>
      <c r="BK911" s="15"/>
      <c r="BL911" s="11"/>
      <c r="BM911" s="11"/>
      <c r="BN911" s="15"/>
      <c r="BO911" s="11"/>
      <c r="BP911" s="11"/>
      <c r="BQ911" s="15"/>
      <c r="BR911" s="15"/>
      <c r="BS911" s="15"/>
      <c r="BT911" s="11"/>
      <c r="BU911" s="15"/>
      <c r="BV911" s="11"/>
      <c r="BW911" s="11"/>
      <c r="BX911" s="15"/>
      <c r="BY911" s="11"/>
      <c r="BZ911" s="11"/>
      <c r="CA911" s="15"/>
      <c r="CB911" s="11"/>
      <c r="CC911" s="15"/>
      <c r="CD911" s="11"/>
      <c r="CE911" s="15"/>
      <c r="CF911" s="11"/>
      <c r="CG911" s="11"/>
      <c r="CH911" s="15"/>
      <c r="CI911" s="11"/>
      <c r="CJ911" s="11"/>
      <c r="CK911" s="15"/>
      <c r="CL911" s="11"/>
      <c r="CM911" s="11"/>
      <c r="CN911" s="11"/>
      <c r="CO911" s="11"/>
      <c r="CP911" s="28"/>
      <c r="CQ911" s="28"/>
      <c r="CR911" s="11"/>
      <c r="CS911" s="29"/>
      <c r="CT911" s="11"/>
      <c r="CU911" s="11"/>
      <c r="CV911" s="11"/>
      <c r="CW911" s="11"/>
      <c r="CX911" s="11"/>
      <c r="CY911" s="11"/>
      <c r="CZ911" s="11"/>
      <c r="DA911" s="28"/>
      <c r="DB911" s="28"/>
      <c r="DC911" s="11"/>
      <c r="DD911" s="29"/>
      <c r="DE911" s="11"/>
      <c r="DF911" s="11"/>
      <c r="DG911" s="11"/>
      <c r="DH911" s="11"/>
      <c r="DI911" s="11"/>
      <c r="DJ911" s="11"/>
      <c r="DK911" s="26"/>
      <c r="DL911" s="11"/>
      <c r="DM911" s="29"/>
      <c r="DN911" s="28"/>
      <c r="DO911" s="11"/>
      <c r="DP911" s="11"/>
      <c r="DQ911" s="11"/>
      <c r="DR911" s="29"/>
      <c r="DS911" s="28"/>
      <c r="DT911" s="11"/>
      <c r="DU911" s="26"/>
      <c r="DV911" s="11"/>
      <c r="DW911" s="29"/>
      <c r="DX911" s="28"/>
      <c r="DY911" s="11"/>
      <c r="DZ911" s="26"/>
      <c r="EA911" s="11"/>
      <c r="EB911" s="29"/>
      <c r="EC911" s="28"/>
      <c r="ED911" s="30"/>
      <c r="EE911" s="30" t="str">
        <f ca="1">IFERROR(__xludf.DUMMYFUNCTION("iferror(index(filter('Internal -- Trademark Countries'!E$2:E1000, (AM911 = 'Internal -- Trademark Countries'!B$2:B1000) + (AM911 = 'Internal -- Trademark Countries'!C$2:C1000) + (AM911 = 'Internal -- Trademark Countries'!D$2:D1000)), 1))"),"")</f>
        <v/>
      </c>
      <c r="EF911" s="30" t="e">
        <f ca="1">_xludf.ifs(AM911="", "", COUNTIF('Internal -- Trademark Countries'!B:B,AM911) &gt; 0, "polity_shortest_name", COUNTIF('Internal -- Trademark Countries'!C:C,AM911) &gt; 0, "polity_full_name", COUNTIF('Internal -- Trademark Countries'!D:D,AM911) &gt; 0, "polity_common_name", COUNTIF('Internal -- Trademark Countries'!E:E,AM911) &gt; 0, "shortest_name", COUNTIF('Internal -- Trademark Countries'!A:A,AM911) &gt; 0, "full_name", TRUE, "not a match")</f>
        <v>#NAME?</v>
      </c>
      <c r="EG911" s="30"/>
      <c r="EH911" s="30"/>
      <c r="EI911" s="30"/>
      <c r="EJ911" s="30"/>
      <c r="EK911" s="30" t="str">
        <f t="shared" si="5"/>
        <v/>
      </c>
    </row>
    <row r="912" spans="1:141" ht="16.5">
      <c r="A912" s="11"/>
      <c r="B912" s="11"/>
      <c r="C912" s="11"/>
      <c r="D912" s="11"/>
      <c r="E912" s="11"/>
      <c r="F912" s="11"/>
      <c r="G912" s="11"/>
      <c r="H912" s="11"/>
      <c r="I912" s="11"/>
      <c r="J912" s="11"/>
      <c r="K912" s="27"/>
      <c r="L912" s="11"/>
      <c r="M912" s="11"/>
      <c r="N912" s="11"/>
      <c r="O912" s="11"/>
      <c r="P912" s="15"/>
      <c r="Q912" s="15"/>
      <c r="R912" s="15"/>
      <c r="S912" s="15"/>
      <c r="T912" s="15"/>
      <c r="U912" s="15"/>
      <c r="V912" s="15"/>
      <c r="W912" s="47"/>
      <c r="X912" s="11"/>
      <c r="Y912" s="48"/>
      <c r="Z912" s="11"/>
      <c r="AA912" s="48"/>
      <c r="AB912" s="11"/>
      <c r="AC912" s="48"/>
      <c r="AD912" s="11"/>
      <c r="AE912" s="47"/>
      <c r="AF912" s="11"/>
      <c r="AG912" s="48"/>
      <c r="AH912" s="11"/>
      <c r="AI912" s="48"/>
      <c r="AJ912" s="11"/>
      <c r="AK912" s="48"/>
      <c r="AL912" s="11"/>
      <c r="AM912" s="49"/>
      <c r="AN912" s="49"/>
      <c r="AO912" s="11"/>
      <c r="AP912" s="11"/>
      <c r="AQ912" s="28" t="b">
        <f>IF(COUNTIF(SmartStatus!A$2:A1000, AM912) &gt; 2, TRUE, FALSE)</f>
        <v>0</v>
      </c>
      <c r="AR912" s="29" t="str">
        <f ca="1">IFERROR(__xludf.DUMMYFUNCTION("iferror(if(regexmatch(AO912, ""(?i)^registered""), if(EE912 &lt;&gt; ""polity_shortest_name"", ""CHECK_POLITY"", index(filter(SmartStatus!B$2:B1000, AM912 = SmartStatus!A$2:A1000, not(SmartStatus!C$2:C1000), (isblank(SmartStatus!D$2:D1000)) + ((P912 &lt;&gt; """") * "&amp;"(P912 &lt; SmartStatus!D$2:D1000)), (isblank(SmartStatus!E$2:E1000)) + ((P912 &lt;&gt; """") * (P912 &gt;= SmartStatus!E$2:E1000)), (isblank(SmartStatus!F$2:F1000)) + (((Q912 &lt;&gt; """") * (Q912 &lt; SmartStatus!F$2:F1000)) + ((P912 &lt;&gt; """") * (date(year(P912) + 3, month(P"&amp;"912), day(P912)) &lt; SmartStatus!F$2:F1000))), (isblank(SmartStatus!G$2:G1000)) + (((Q912 &lt;&gt; """") * (Q912 &gt;= SmartStatus!G$2:G1000)) + ((P912 &lt;&gt; """") * (P912 &gt;= SmartStatus!G$2:G1000)))), if(or(regexmatch(B912, ""(?i)^ir [a-z]+ designation$""), N912 &lt;&gt; """&amp;"""), 1, 2))), """"), ""NO_MATCH"")"),"")</f>
        <v/>
      </c>
      <c r="AS912" s="11"/>
      <c r="AT912" s="15"/>
      <c r="AU912" s="11"/>
      <c r="AV912" s="11"/>
      <c r="AW912" s="15"/>
      <c r="AX912" s="15"/>
      <c r="AY912" s="15"/>
      <c r="AZ912" s="11"/>
      <c r="BA912" s="15"/>
      <c r="BB912" s="11"/>
      <c r="BC912" s="11"/>
      <c r="BD912" s="15"/>
      <c r="BE912" s="11"/>
      <c r="BF912" s="11"/>
      <c r="BG912" s="15"/>
      <c r="BH912" s="15"/>
      <c r="BI912" s="15"/>
      <c r="BJ912" s="11"/>
      <c r="BK912" s="15"/>
      <c r="BL912" s="11"/>
      <c r="BM912" s="11"/>
      <c r="BN912" s="15"/>
      <c r="BO912" s="11"/>
      <c r="BP912" s="11"/>
      <c r="BQ912" s="15"/>
      <c r="BR912" s="15"/>
      <c r="BS912" s="15"/>
      <c r="BT912" s="11"/>
      <c r="BU912" s="15"/>
      <c r="BV912" s="11"/>
      <c r="BW912" s="11"/>
      <c r="BX912" s="15"/>
      <c r="BY912" s="11"/>
      <c r="BZ912" s="11"/>
      <c r="CA912" s="15"/>
      <c r="CB912" s="11"/>
      <c r="CC912" s="15"/>
      <c r="CD912" s="11"/>
      <c r="CE912" s="15"/>
      <c r="CF912" s="11"/>
      <c r="CG912" s="11"/>
      <c r="CH912" s="15"/>
      <c r="CI912" s="11"/>
      <c r="CJ912" s="11"/>
      <c r="CK912" s="15"/>
      <c r="CL912" s="11"/>
      <c r="CM912" s="11"/>
      <c r="CN912" s="11"/>
      <c r="CO912" s="11"/>
      <c r="CP912" s="28"/>
      <c r="CQ912" s="28"/>
      <c r="CR912" s="11"/>
      <c r="CS912" s="29"/>
      <c r="CT912" s="11"/>
      <c r="CU912" s="11"/>
      <c r="CV912" s="11"/>
      <c r="CW912" s="11"/>
      <c r="CX912" s="11"/>
      <c r="CY912" s="11"/>
      <c r="CZ912" s="11"/>
      <c r="DA912" s="28"/>
      <c r="DB912" s="28"/>
      <c r="DC912" s="11"/>
      <c r="DD912" s="29"/>
      <c r="DE912" s="11"/>
      <c r="DF912" s="11"/>
      <c r="DG912" s="11"/>
      <c r="DH912" s="11"/>
      <c r="DI912" s="11"/>
      <c r="DJ912" s="11"/>
      <c r="DK912" s="26"/>
      <c r="DL912" s="11"/>
      <c r="DM912" s="29"/>
      <c r="DN912" s="28"/>
      <c r="DO912" s="11"/>
      <c r="DP912" s="11"/>
      <c r="DQ912" s="11"/>
      <c r="DR912" s="29"/>
      <c r="DS912" s="28"/>
      <c r="DT912" s="11"/>
      <c r="DU912" s="26"/>
      <c r="DV912" s="11"/>
      <c r="DW912" s="29"/>
      <c r="DX912" s="28"/>
      <c r="DY912" s="11"/>
      <c r="DZ912" s="26"/>
      <c r="EA912" s="11"/>
      <c r="EB912" s="29"/>
      <c r="EC912" s="28"/>
      <c r="ED912" s="30"/>
      <c r="EE912" s="30" t="str">
        <f ca="1">IFERROR(__xludf.DUMMYFUNCTION("iferror(index(filter('Internal -- Trademark Countries'!E$2:E1000, (AM912 = 'Internal -- Trademark Countries'!B$2:B1000) + (AM912 = 'Internal -- Trademark Countries'!C$2:C1000) + (AM912 = 'Internal -- Trademark Countries'!D$2:D1000)), 1))"),"")</f>
        <v/>
      </c>
      <c r="EF912" s="30" t="e">
        <f ca="1">_xludf.ifs(AM912="", "", COUNTIF('Internal -- Trademark Countries'!B:B,AM912) &gt; 0, "polity_shortest_name", COUNTIF('Internal -- Trademark Countries'!C:C,AM912) &gt; 0, "polity_full_name", COUNTIF('Internal -- Trademark Countries'!D:D,AM912) &gt; 0, "polity_common_name", COUNTIF('Internal -- Trademark Countries'!E:E,AM912) &gt; 0, "shortest_name", COUNTIF('Internal -- Trademark Countries'!A:A,AM912) &gt; 0, "full_name", TRUE, "not a match")</f>
        <v>#NAME?</v>
      </c>
      <c r="EG912" s="30"/>
      <c r="EH912" s="30"/>
      <c r="EI912" s="30"/>
      <c r="EJ912" s="30"/>
      <c r="EK912" s="30" t="str">
        <f t="shared" si="5"/>
        <v/>
      </c>
    </row>
    <row r="913" spans="1:141" ht="16.5">
      <c r="A913" s="11"/>
      <c r="B913" s="11"/>
      <c r="C913" s="11"/>
      <c r="D913" s="11"/>
      <c r="E913" s="11"/>
      <c r="F913" s="11"/>
      <c r="G913" s="11"/>
      <c r="H913" s="11"/>
      <c r="I913" s="11"/>
      <c r="J913" s="11"/>
      <c r="K913" s="27"/>
      <c r="L913" s="11"/>
      <c r="M913" s="11"/>
      <c r="N913" s="11"/>
      <c r="O913" s="11"/>
      <c r="P913" s="15"/>
      <c r="Q913" s="15"/>
      <c r="R913" s="15"/>
      <c r="S913" s="15"/>
      <c r="T913" s="15"/>
      <c r="U913" s="15"/>
      <c r="V913" s="15"/>
      <c r="W913" s="47"/>
      <c r="X913" s="11"/>
      <c r="Y913" s="48"/>
      <c r="Z913" s="11"/>
      <c r="AA913" s="48"/>
      <c r="AB913" s="11"/>
      <c r="AC913" s="48"/>
      <c r="AD913" s="11"/>
      <c r="AE913" s="47"/>
      <c r="AF913" s="11"/>
      <c r="AG913" s="48"/>
      <c r="AH913" s="11"/>
      <c r="AI913" s="48"/>
      <c r="AJ913" s="11"/>
      <c r="AK913" s="48"/>
      <c r="AL913" s="11"/>
      <c r="AM913" s="49"/>
      <c r="AN913" s="49"/>
      <c r="AO913" s="11"/>
      <c r="AP913" s="11"/>
      <c r="AQ913" s="28" t="b">
        <f>IF(COUNTIF(SmartStatus!A$2:A1000, AM913) &gt; 2, TRUE, FALSE)</f>
        <v>0</v>
      </c>
      <c r="AR913" s="29" t="str">
        <f ca="1">IFERROR(__xludf.DUMMYFUNCTION("iferror(if(regexmatch(AO913, ""(?i)^registered""), if(EE913 &lt;&gt; ""polity_shortest_name"", ""CHECK_POLITY"", index(filter(SmartStatus!B$2:B1000, AM913 = SmartStatus!A$2:A1000, not(SmartStatus!C$2:C1000), (isblank(SmartStatus!D$2:D1000)) + ((P913 &lt;&gt; """") * "&amp;"(P913 &lt; SmartStatus!D$2:D1000)), (isblank(SmartStatus!E$2:E1000)) + ((P913 &lt;&gt; """") * (P913 &gt;= SmartStatus!E$2:E1000)), (isblank(SmartStatus!F$2:F1000)) + (((Q913 &lt;&gt; """") * (Q913 &lt; SmartStatus!F$2:F1000)) + ((P913 &lt;&gt; """") * (date(year(P913) + 3, month(P"&amp;"913), day(P913)) &lt; SmartStatus!F$2:F1000))), (isblank(SmartStatus!G$2:G1000)) + (((Q913 &lt;&gt; """") * (Q913 &gt;= SmartStatus!G$2:G1000)) + ((P913 &lt;&gt; """") * (P913 &gt;= SmartStatus!G$2:G1000)))), if(or(regexmatch(B913, ""(?i)^ir [a-z]+ designation$""), N913 &lt;&gt; """&amp;"""), 1, 2))), """"), ""NO_MATCH"")"),"")</f>
        <v/>
      </c>
      <c r="AS913" s="11"/>
      <c r="AT913" s="15"/>
      <c r="AU913" s="11"/>
      <c r="AV913" s="11"/>
      <c r="AW913" s="15"/>
      <c r="AX913" s="15"/>
      <c r="AY913" s="15"/>
      <c r="AZ913" s="11"/>
      <c r="BA913" s="15"/>
      <c r="BB913" s="11"/>
      <c r="BC913" s="11"/>
      <c r="BD913" s="15"/>
      <c r="BE913" s="11"/>
      <c r="BF913" s="11"/>
      <c r="BG913" s="15"/>
      <c r="BH913" s="15"/>
      <c r="BI913" s="15"/>
      <c r="BJ913" s="11"/>
      <c r="BK913" s="15"/>
      <c r="BL913" s="11"/>
      <c r="BM913" s="11"/>
      <c r="BN913" s="15"/>
      <c r="BO913" s="11"/>
      <c r="BP913" s="11"/>
      <c r="BQ913" s="15"/>
      <c r="BR913" s="15"/>
      <c r="BS913" s="15"/>
      <c r="BT913" s="11"/>
      <c r="BU913" s="15"/>
      <c r="BV913" s="11"/>
      <c r="BW913" s="11"/>
      <c r="BX913" s="15"/>
      <c r="BY913" s="11"/>
      <c r="BZ913" s="11"/>
      <c r="CA913" s="15"/>
      <c r="CB913" s="11"/>
      <c r="CC913" s="15"/>
      <c r="CD913" s="11"/>
      <c r="CE913" s="15"/>
      <c r="CF913" s="11"/>
      <c r="CG913" s="11"/>
      <c r="CH913" s="15"/>
      <c r="CI913" s="11"/>
      <c r="CJ913" s="11"/>
      <c r="CK913" s="15"/>
      <c r="CL913" s="11"/>
      <c r="CM913" s="11"/>
      <c r="CN913" s="11"/>
      <c r="CO913" s="11"/>
      <c r="CP913" s="28"/>
      <c r="CQ913" s="28"/>
      <c r="CR913" s="11"/>
      <c r="CS913" s="29"/>
      <c r="CT913" s="11"/>
      <c r="CU913" s="11"/>
      <c r="CV913" s="11"/>
      <c r="CW913" s="11"/>
      <c r="CX913" s="11"/>
      <c r="CY913" s="11"/>
      <c r="CZ913" s="11"/>
      <c r="DA913" s="28"/>
      <c r="DB913" s="28"/>
      <c r="DC913" s="11"/>
      <c r="DD913" s="29"/>
      <c r="DE913" s="11"/>
      <c r="DF913" s="11"/>
      <c r="DG913" s="11"/>
      <c r="DH913" s="11"/>
      <c r="DI913" s="11"/>
      <c r="DJ913" s="11"/>
      <c r="DK913" s="26"/>
      <c r="DL913" s="11"/>
      <c r="DM913" s="29"/>
      <c r="DN913" s="28"/>
      <c r="DO913" s="11"/>
      <c r="DP913" s="11"/>
      <c r="DQ913" s="11"/>
      <c r="DR913" s="29"/>
      <c r="DS913" s="28"/>
      <c r="DT913" s="11"/>
      <c r="DU913" s="26"/>
      <c r="DV913" s="11"/>
      <c r="DW913" s="29"/>
      <c r="DX913" s="28"/>
      <c r="DY913" s="11"/>
      <c r="DZ913" s="26"/>
      <c r="EA913" s="11"/>
      <c r="EB913" s="29"/>
      <c r="EC913" s="28"/>
      <c r="ED913" s="30"/>
      <c r="EE913" s="30" t="str">
        <f ca="1">IFERROR(__xludf.DUMMYFUNCTION("iferror(index(filter('Internal -- Trademark Countries'!E$2:E1000, (AM913 = 'Internal -- Trademark Countries'!B$2:B1000) + (AM913 = 'Internal -- Trademark Countries'!C$2:C1000) + (AM913 = 'Internal -- Trademark Countries'!D$2:D1000)), 1))"),"")</f>
        <v/>
      </c>
      <c r="EF913" s="30" t="e">
        <f ca="1">_xludf.ifs(AM913="", "", COUNTIF('Internal -- Trademark Countries'!B:B,AM913) &gt; 0, "polity_shortest_name", COUNTIF('Internal -- Trademark Countries'!C:C,AM913) &gt; 0, "polity_full_name", COUNTIF('Internal -- Trademark Countries'!D:D,AM913) &gt; 0, "polity_common_name", COUNTIF('Internal -- Trademark Countries'!E:E,AM913) &gt; 0, "shortest_name", COUNTIF('Internal -- Trademark Countries'!A:A,AM913) &gt; 0, "full_name", TRUE, "not a match")</f>
        <v>#NAME?</v>
      </c>
      <c r="EG913" s="30"/>
      <c r="EH913" s="30"/>
      <c r="EI913" s="30"/>
      <c r="EJ913" s="30"/>
      <c r="EK913" s="30" t="str">
        <f t="shared" si="5"/>
        <v/>
      </c>
    </row>
    <row r="914" spans="1:141" ht="16.5">
      <c r="A914" s="11"/>
      <c r="B914" s="11"/>
      <c r="C914" s="11"/>
      <c r="D914" s="11"/>
      <c r="E914" s="11"/>
      <c r="F914" s="11"/>
      <c r="G914" s="11"/>
      <c r="H914" s="11"/>
      <c r="I914" s="11"/>
      <c r="J914" s="11"/>
      <c r="K914" s="27"/>
      <c r="L914" s="11"/>
      <c r="M914" s="11"/>
      <c r="N914" s="11"/>
      <c r="O914" s="11"/>
      <c r="P914" s="15"/>
      <c r="Q914" s="15"/>
      <c r="R914" s="15"/>
      <c r="S914" s="15"/>
      <c r="T914" s="15"/>
      <c r="U914" s="15"/>
      <c r="V914" s="15"/>
      <c r="W914" s="47"/>
      <c r="X914" s="11"/>
      <c r="Y914" s="48"/>
      <c r="Z914" s="11"/>
      <c r="AA914" s="48"/>
      <c r="AB914" s="11"/>
      <c r="AC914" s="48"/>
      <c r="AD914" s="11"/>
      <c r="AE914" s="47"/>
      <c r="AF914" s="11"/>
      <c r="AG914" s="48"/>
      <c r="AH914" s="11"/>
      <c r="AI914" s="48"/>
      <c r="AJ914" s="11"/>
      <c r="AK914" s="48"/>
      <c r="AL914" s="11"/>
      <c r="AM914" s="49"/>
      <c r="AN914" s="49"/>
      <c r="AO914" s="11"/>
      <c r="AP914" s="11"/>
      <c r="AQ914" s="28" t="b">
        <f>IF(COUNTIF(SmartStatus!A$2:A1000, AM914) &gt; 2, TRUE, FALSE)</f>
        <v>0</v>
      </c>
      <c r="AR914" s="29" t="str">
        <f ca="1">IFERROR(__xludf.DUMMYFUNCTION("iferror(if(regexmatch(AO914, ""(?i)^registered""), if(EE914 &lt;&gt; ""polity_shortest_name"", ""CHECK_POLITY"", index(filter(SmartStatus!B$2:B1000, AM914 = SmartStatus!A$2:A1000, not(SmartStatus!C$2:C1000), (isblank(SmartStatus!D$2:D1000)) + ((P914 &lt;&gt; """") * "&amp;"(P914 &lt; SmartStatus!D$2:D1000)), (isblank(SmartStatus!E$2:E1000)) + ((P914 &lt;&gt; """") * (P914 &gt;= SmartStatus!E$2:E1000)), (isblank(SmartStatus!F$2:F1000)) + (((Q914 &lt;&gt; """") * (Q914 &lt; SmartStatus!F$2:F1000)) + ((P914 &lt;&gt; """") * (date(year(P914) + 3, month(P"&amp;"914), day(P914)) &lt; SmartStatus!F$2:F1000))), (isblank(SmartStatus!G$2:G1000)) + (((Q914 &lt;&gt; """") * (Q914 &gt;= SmartStatus!G$2:G1000)) + ((P914 &lt;&gt; """") * (P914 &gt;= SmartStatus!G$2:G1000)))), if(or(regexmatch(B914, ""(?i)^ir [a-z]+ designation$""), N914 &lt;&gt; """&amp;"""), 1, 2))), """"), ""NO_MATCH"")"),"")</f>
        <v/>
      </c>
      <c r="AS914" s="11"/>
      <c r="AT914" s="15"/>
      <c r="AU914" s="11"/>
      <c r="AV914" s="11"/>
      <c r="AW914" s="15"/>
      <c r="AX914" s="15"/>
      <c r="AY914" s="15"/>
      <c r="AZ914" s="11"/>
      <c r="BA914" s="15"/>
      <c r="BB914" s="11"/>
      <c r="BC914" s="11"/>
      <c r="BD914" s="15"/>
      <c r="BE914" s="11"/>
      <c r="BF914" s="11"/>
      <c r="BG914" s="15"/>
      <c r="BH914" s="15"/>
      <c r="BI914" s="15"/>
      <c r="BJ914" s="11"/>
      <c r="BK914" s="15"/>
      <c r="BL914" s="11"/>
      <c r="BM914" s="11"/>
      <c r="BN914" s="15"/>
      <c r="BO914" s="11"/>
      <c r="BP914" s="11"/>
      <c r="BQ914" s="15"/>
      <c r="BR914" s="15"/>
      <c r="BS914" s="15"/>
      <c r="BT914" s="11"/>
      <c r="BU914" s="15"/>
      <c r="BV914" s="11"/>
      <c r="BW914" s="11"/>
      <c r="BX914" s="15"/>
      <c r="BY914" s="11"/>
      <c r="BZ914" s="11"/>
      <c r="CA914" s="15"/>
      <c r="CB914" s="11"/>
      <c r="CC914" s="15"/>
      <c r="CD914" s="11"/>
      <c r="CE914" s="15"/>
      <c r="CF914" s="11"/>
      <c r="CG914" s="11"/>
      <c r="CH914" s="15"/>
      <c r="CI914" s="11"/>
      <c r="CJ914" s="11"/>
      <c r="CK914" s="15"/>
      <c r="CL914" s="11"/>
      <c r="CM914" s="11"/>
      <c r="CN914" s="11"/>
      <c r="CO914" s="11"/>
      <c r="CP914" s="28"/>
      <c r="CQ914" s="28"/>
      <c r="CR914" s="11"/>
      <c r="CS914" s="29"/>
      <c r="CT914" s="11"/>
      <c r="CU914" s="11"/>
      <c r="CV914" s="11"/>
      <c r="CW914" s="11"/>
      <c r="CX914" s="11"/>
      <c r="CY914" s="11"/>
      <c r="CZ914" s="11"/>
      <c r="DA914" s="28"/>
      <c r="DB914" s="28"/>
      <c r="DC914" s="11"/>
      <c r="DD914" s="29"/>
      <c r="DE914" s="11"/>
      <c r="DF914" s="11"/>
      <c r="DG914" s="11"/>
      <c r="DH914" s="11"/>
      <c r="DI914" s="11"/>
      <c r="DJ914" s="11"/>
      <c r="DK914" s="26"/>
      <c r="DL914" s="11"/>
      <c r="DM914" s="29"/>
      <c r="DN914" s="28"/>
      <c r="DO914" s="11"/>
      <c r="DP914" s="11"/>
      <c r="DQ914" s="11"/>
      <c r="DR914" s="29"/>
      <c r="DS914" s="28"/>
      <c r="DT914" s="11"/>
      <c r="DU914" s="26"/>
      <c r="DV914" s="11"/>
      <c r="DW914" s="29"/>
      <c r="DX914" s="28"/>
      <c r="DY914" s="11"/>
      <c r="DZ914" s="26"/>
      <c r="EA914" s="11"/>
      <c r="EB914" s="29"/>
      <c r="EC914" s="28"/>
      <c r="ED914" s="30"/>
      <c r="EE914" s="30" t="str">
        <f ca="1">IFERROR(__xludf.DUMMYFUNCTION("iferror(index(filter('Internal -- Trademark Countries'!E$2:E1000, (AM914 = 'Internal -- Trademark Countries'!B$2:B1000) + (AM914 = 'Internal -- Trademark Countries'!C$2:C1000) + (AM914 = 'Internal -- Trademark Countries'!D$2:D1000)), 1))"),"")</f>
        <v/>
      </c>
      <c r="EF914" s="30" t="e">
        <f ca="1">_xludf.ifs(AM914="", "", COUNTIF('Internal -- Trademark Countries'!B:B,AM914) &gt; 0, "polity_shortest_name", COUNTIF('Internal -- Trademark Countries'!C:C,AM914) &gt; 0, "polity_full_name", COUNTIF('Internal -- Trademark Countries'!D:D,AM914) &gt; 0, "polity_common_name", COUNTIF('Internal -- Trademark Countries'!E:E,AM914) &gt; 0, "shortest_name", COUNTIF('Internal -- Trademark Countries'!A:A,AM914) &gt; 0, "full_name", TRUE, "not a match")</f>
        <v>#NAME?</v>
      </c>
      <c r="EG914" s="30"/>
      <c r="EH914" s="30"/>
      <c r="EI914" s="30"/>
      <c r="EJ914" s="30"/>
      <c r="EK914" s="30" t="str">
        <f t="shared" si="5"/>
        <v/>
      </c>
    </row>
    <row r="915" spans="1:141" ht="16.5">
      <c r="A915" s="11"/>
      <c r="B915" s="11"/>
      <c r="C915" s="11"/>
      <c r="D915" s="11"/>
      <c r="E915" s="11"/>
      <c r="F915" s="11"/>
      <c r="G915" s="11"/>
      <c r="H915" s="11"/>
      <c r="I915" s="11"/>
      <c r="J915" s="11"/>
      <c r="K915" s="27"/>
      <c r="L915" s="11"/>
      <c r="M915" s="11"/>
      <c r="N915" s="11"/>
      <c r="O915" s="11"/>
      <c r="P915" s="15"/>
      <c r="Q915" s="15"/>
      <c r="R915" s="15"/>
      <c r="S915" s="15"/>
      <c r="T915" s="15"/>
      <c r="U915" s="15"/>
      <c r="V915" s="15"/>
      <c r="W915" s="47"/>
      <c r="X915" s="11"/>
      <c r="Y915" s="48"/>
      <c r="Z915" s="11"/>
      <c r="AA915" s="48"/>
      <c r="AB915" s="11"/>
      <c r="AC915" s="48"/>
      <c r="AD915" s="11"/>
      <c r="AE915" s="47"/>
      <c r="AF915" s="11"/>
      <c r="AG915" s="48"/>
      <c r="AH915" s="11"/>
      <c r="AI915" s="48"/>
      <c r="AJ915" s="11"/>
      <c r="AK915" s="48"/>
      <c r="AL915" s="11"/>
      <c r="AM915" s="49"/>
      <c r="AN915" s="49"/>
      <c r="AO915" s="11"/>
      <c r="AP915" s="11"/>
      <c r="AQ915" s="28" t="b">
        <f>IF(COUNTIF(SmartStatus!A$2:A1000, AM915) &gt; 2, TRUE, FALSE)</f>
        <v>0</v>
      </c>
      <c r="AR915" s="29" t="str">
        <f ca="1">IFERROR(__xludf.DUMMYFUNCTION("iferror(if(regexmatch(AO915, ""(?i)^registered""), if(EE915 &lt;&gt; ""polity_shortest_name"", ""CHECK_POLITY"", index(filter(SmartStatus!B$2:B1000, AM915 = SmartStatus!A$2:A1000, not(SmartStatus!C$2:C1000), (isblank(SmartStatus!D$2:D1000)) + ((P915 &lt;&gt; """") * "&amp;"(P915 &lt; SmartStatus!D$2:D1000)), (isblank(SmartStatus!E$2:E1000)) + ((P915 &lt;&gt; """") * (P915 &gt;= SmartStatus!E$2:E1000)), (isblank(SmartStatus!F$2:F1000)) + (((Q915 &lt;&gt; """") * (Q915 &lt; SmartStatus!F$2:F1000)) + ((P915 &lt;&gt; """") * (date(year(P915) + 3, month(P"&amp;"915), day(P915)) &lt; SmartStatus!F$2:F1000))), (isblank(SmartStatus!G$2:G1000)) + (((Q915 &lt;&gt; """") * (Q915 &gt;= SmartStatus!G$2:G1000)) + ((P915 &lt;&gt; """") * (P915 &gt;= SmartStatus!G$2:G1000)))), if(or(regexmatch(B915, ""(?i)^ir [a-z]+ designation$""), N915 &lt;&gt; """&amp;"""), 1, 2))), """"), ""NO_MATCH"")"),"")</f>
        <v/>
      </c>
      <c r="AS915" s="11"/>
      <c r="AT915" s="15"/>
      <c r="AU915" s="11"/>
      <c r="AV915" s="11"/>
      <c r="AW915" s="15"/>
      <c r="AX915" s="15"/>
      <c r="AY915" s="15"/>
      <c r="AZ915" s="11"/>
      <c r="BA915" s="15"/>
      <c r="BB915" s="11"/>
      <c r="BC915" s="11"/>
      <c r="BD915" s="15"/>
      <c r="BE915" s="11"/>
      <c r="BF915" s="11"/>
      <c r="BG915" s="15"/>
      <c r="BH915" s="15"/>
      <c r="BI915" s="15"/>
      <c r="BJ915" s="11"/>
      <c r="BK915" s="15"/>
      <c r="BL915" s="11"/>
      <c r="BM915" s="11"/>
      <c r="BN915" s="15"/>
      <c r="BO915" s="11"/>
      <c r="BP915" s="11"/>
      <c r="BQ915" s="15"/>
      <c r="BR915" s="15"/>
      <c r="BS915" s="15"/>
      <c r="BT915" s="11"/>
      <c r="BU915" s="15"/>
      <c r="BV915" s="11"/>
      <c r="BW915" s="11"/>
      <c r="BX915" s="15"/>
      <c r="BY915" s="11"/>
      <c r="BZ915" s="11"/>
      <c r="CA915" s="15"/>
      <c r="CB915" s="11"/>
      <c r="CC915" s="15"/>
      <c r="CD915" s="11"/>
      <c r="CE915" s="15"/>
      <c r="CF915" s="11"/>
      <c r="CG915" s="11"/>
      <c r="CH915" s="15"/>
      <c r="CI915" s="11"/>
      <c r="CJ915" s="11"/>
      <c r="CK915" s="15"/>
      <c r="CL915" s="11"/>
      <c r="CM915" s="11"/>
      <c r="CN915" s="11"/>
      <c r="CO915" s="11"/>
      <c r="CP915" s="28"/>
      <c r="CQ915" s="28"/>
      <c r="CR915" s="11"/>
      <c r="CS915" s="29"/>
      <c r="CT915" s="11"/>
      <c r="CU915" s="11"/>
      <c r="CV915" s="11"/>
      <c r="CW915" s="11"/>
      <c r="CX915" s="11"/>
      <c r="CY915" s="11"/>
      <c r="CZ915" s="11"/>
      <c r="DA915" s="28"/>
      <c r="DB915" s="28"/>
      <c r="DC915" s="11"/>
      <c r="DD915" s="29"/>
      <c r="DE915" s="11"/>
      <c r="DF915" s="11"/>
      <c r="DG915" s="11"/>
      <c r="DH915" s="11"/>
      <c r="DI915" s="11"/>
      <c r="DJ915" s="11"/>
      <c r="DK915" s="26"/>
      <c r="DL915" s="11"/>
      <c r="DM915" s="29"/>
      <c r="DN915" s="28"/>
      <c r="DO915" s="11"/>
      <c r="DP915" s="11"/>
      <c r="DQ915" s="11"/>
      <c r="DR915" s="29"/>
      <c r="DS915" s="28"/>
      <c r="DT915" s="11"/>
      <c r="DU915" s="26"/>
      <c r="DV915" s="11"/>
      <c r="DW915" s="29"/>
      <c r="DX915" s="28"/>
      <c r="DY915" s="11"/>
      <c r="DZ915" s="26"/>
      <c r="EA915" s="11"/>
      <c r="EB915" s="29"/>
      <c r="EC915" s="28"/>
      <c r="ED915" s="30"/>
      <c r="EE915" s="30" t="str">
        <f ca="1">IFERROR(__xludf.DUMMYFUNCTION("iferror(index(filter('Internal -- Trademark Countries'!E$2:E1000, (AM915 = 'Internal -- Trademark Countries'!B$2:B1000) + (AM915 = 'Internal -- Trademark Countries'!C$2:C1000) + (AM915 = 'Internal -- Trademark Countries'!D$2:D1000)), 1))"),"")</f>
        <v/>
      </c>
      <c r="EF915" s="30" t="e">
        <f ca="1">_xludf.ifs(AM915="", "", COUNTIF('Internal -- Trademark Countries'!B:B,AM915) &gt; 0, "polity_shortest_name", COUNTIF('Internal -- Trademark Countries'!C:C,AM915) &gt; 0, "polity_full_name", COUNTIF('Internal -- Trademark Countries'!D:D,AM915) &gt; 0, "polity_common_name", COUNTIF('Internal -- Trademark Countries'!E:E,AM915) &gt; 0, "shortest_name", COUNTIF('Internal -- Trademark Countries'!A:A,AM915) &gt; 0, "full_name", TRUE, "not a match")</f>
        <v>#NAME?</v>
      </c>
      <c r="EG915" s="30"/>
      <c r="EH915" s="30"/>
      <c r="EI915" s="30"/>
      <c r="EJ915" s="30"/>
      <c r="EK915" s="30" t="str">
        <f t="shared" si="5"/>
        <v/>
      </c>
    </row>
    <row r="916" spans="1:141" ht="16.5">
      <c r="A916" s="11"/>
      <c r="B916" s="11"/>
      <c r="C916" s="11"/>
      <c r="D916" s="11"/>
      <c r="E916" s="11"/>
      <c r="F916" s="11"/>
      <c r="G916" s="11"/>
      <c r="H916" s="11"/>
      <c r="I916" s="11"/>
      <c r="J916" s="11"/>
      <c r="K916" s="27"/>
      <c r="L916" s="11"/>
      <c r="M916" s="11"/>
      <c r="N916" s="11"/>
      <c r="O916" s="11"/>
      <c r="P916" s="15"/>
      <c r="Q916" s="15"/>
      <c r="R916" s="15"/>
      <c r="S916" s="15"/>
      <c r="T916" s="15"/>
      <c r="U916" s="15"/>
      <c r="V916" s="15"/>
      <c r="W916" s="47"/>
      <c r="X916" s="11"/>
      <c r="Y916" s="48"/>
      <c r="Z916" s="11"/>
      <c r="AA916" s="48"/>
      <c r="AB916" s="11"/>
      <c r="AC916" s="48"/>
      <c r="AD916" s="11"/>
      <c r="AE916" s="47"/>
      <c r="AF916" s="11"/>
      <c r="AG916" s="48"/>
      <c r="AH916" s="11"/>
      <c r="AI916" s="48"/>
      <c r="AJ916" s="11"/>
      <c r="AK916" s="48"/>
      <c r="AL916" s="11"/>
      <c r="AM916" s="49"/>
      <c r="AN916" s="49"/>
      <c r="AO916" s="11"/>
      <c r="AP916" s="11"/>
      <c r="AQ916" s="28" t="b">
        <f>IF(COUNTIF(SmartStatus!A$2:A1000, AM916) &gt; 2, TRUE, FALSE)</f>
        <v>0</v>
      </c>
      <c r="AR916" s="29" t="str">
        <f ca="1">IFERROR(__xludf.DUMMYFUNCTION("iferror(if(regexmatch(AO916, ""(?i)^registered""), if(EE916 &lt;&gt; ""polity_shortest_name"", ""CHECK_POLITY"", index(filter(SmartStatus!B$2:B1000, AM916 = SmartStatus!A$2:A1000, not(SmartStatus!C$2:C1000), (isblank(SmartStatus!D$2:D1000)) + ((P916 &lt;&gt; """") * "&amp;"(P916 &lt; SmartStatus!D$2:D1000)), (isblank(SmartStatus!E$2:E1000)) + ((P916 &lt;&gt; """") * (P916 &gt;= SmartStatus!E$2:E1000)), (isblank(SmartStatus!F$2:F1000)) + (((Q916 &lt;&gt; """") * (Q916 &lt; SmartStatus!F$2:F1000)) + ((P916 &lt;&gt; """") * (date(year(P916) + 3, month(P"&amp;"916), day(P916)) &lt; SmartStatus!F$2:F1000))), (isblank(SmartStatus!G$2:G1000)) + (((Q916 &lt;&gt; """") * (Q916 &gt;= SmartStatus!G$2:G1000)) + ((P916 &lt;&gt; """") * (P916 &gt;= SmartStatus!G$2:G1000)))), if(or(regexmatch(B916, ""(?i)^ir [a-z]+ designation$""), N916 &lt;&gt; """&amp;"""), 1, 2))), """"), ""NO_MATCH"")"),"")</f>
        <v/>
      </c>
      <c r="AS916" s="11"/>
      <c r="AT916" s="15"/>
      <c r="AU916" s="11"/>
      <c r="AV916" s="11"/>
      <c r="AW916" s="15"/>
      <c r="AX916" s="15"/>
      <c r="AY916" s="15"/>
      <c r="AZ916" s="11"/>
      <c r="BA916" s="15"/>
      <c r="BB916" s="11"/>
      <c r="BC916" s="11"/>
      <c r="BD916" s="15"/>
      <c r="BE916" s="11"/>
      <c r="BF916" s="11"/>
      <c r="BG916" s="15"/>
      <c r="BH916" s="15"/>
      <c r="BI916" s="15"/>
      <c r="BJ916" s="11"/>
      <c r="BK916" s="15"/>
      <c r="BL916" s="11"/>
      <c r="BM916" s="11"/>
      <c r="BN916" s="15"/>
      <c r="BO916" s="11"/>
      <c r="BP916" s="11"/>
      <c r="BQ916" s="15"/>
      <c r="BR916" s="15"/>
      <c r="BS916" s="15"/>
      <c r="BT916" s="11"/>
      <c r="BU916" s="15"/>
      <c r="BV916" s="11"/>
      <c r="BW916" s="11"/>
      <c r="BX916" s="15"/>
      <c r="BY916" s="11"/>
      <c r="BZ916" s="11"/>
      <c r="CA916" s="15"/>
      <c r="CB916" s="11"/>
      <c r="CC916" s="15"/>
      <c r="CD916" s="11"/>
      <c r="CE916" s="15"/>
      <c r="CF916" s="11"/>
      <c r="CG916" s="11"/>
      <c r="CH916" s="15"/>
      <c r="CI916" s="11"/>
      <c r="CJ916" s="11"/>
      <c r="CK916" s="15"/>
      <c r="CL916" s="11"/>
      <c r="CM916" s="11"/>
      <c r="CN916" s="11"/>
      <c r="CO916" s="11"/>
      <c r="CP916" s="28"/>
      <c r="CQ916" s="28"/>
      <c r="CR916" s="11"/>
      <c r="CS916" s="29"/>
      <c r="CT916" s="11"/>
      <c r="CU916" s="11"/>
      <c r="CV916" s="11"/>
      <c r="CW916" s="11"/>
      <c r="CX916" s="11"/>
      <c r="CY916" s="11"/>
      <c r="CZ916" s="11"/>
      <c r="DA916" s="28"/>
      <c r="DB916" s="28"/>
      <c r="DC916" s="11"/>
      <c r="DD916" s="29"/>
      <c r="DE916" s="11"/>
      <c r="DF916" s="11"/>
      <c r="DG916" s="11"/>
      <c r="DH916" s="11"/>
      <c r="DI916" s="11"/>
      <c r="DJ916" s="11"/>
      <c r="DK916" s="26"/>
      <c r="DL916" s="11"/>
      <c r="DM916" s="29"/>
      <c r="DN916" s="28"/>
      <c r="DO916" s="11"/>
      <c r="DP916" s="11"/>
      <c r="DQ916" s="11"/>
      <c r="DR916" s="29"/>
      <c r="DS916" s="28"/>
      <c r="DT916" s="11"/>
      <c r="DU916" s="26"/>
      <c r="DV916" s="11"/>
      <c r="DW916" s="29"/>
      <c r="DX916" s="28"/>
      <c r="DY916" s="11"/>
      <c r="DZ916" s="26"/>
      <c r="EA916" s="11"/>
      <c r="EB916" s="29"/>
      <c r="EC916" s="28"/>
      <c r="ED916" s="30"/>
      <c r="EE916" s="30" t="str">
        <f ca="1">IFERROR(__xludf.DUMMYFUNCTION("iferror(index(filter('Internal -- Trademark Countries'!E$2:E1000, (AM916 = 'Internal -- Trademark Countries'!B$2:B1000) + (AM916 = 'Internal -- Trademark Countries'!C$2:C1000) + (AM916 = 'Internal -- Trademark Countries'!D$2:D1000)), 1))"),"")</f>
        <v/>
      </c>
      <c r="EF916" s="30" t="e">
        <f ca="1">_xludf.ifs(AM916="", "", COUNTIF('Internal -- Trademark Countries'!B:B,AM916) &gt; 0, "polity_shortest_name", COUNTIF('Internal -- Trademark Countries'!C:C,AM916) &gt; 0, "polity_full_name", COUNTIF('Internal -- Trademark Countries'!D:D,AM916) &gt; 0, "polity_common_name", COUNTIF('Internal -- Trademark Countries'!E:E,AM916) &gt; 0, "shortest_name", COUNTIF('Internal -- Trademark Countries'!A:A,AM916) &gt; 0, "full_name", TRUE, "not a match")</f>
        <v>#NAME?</v>
      </c>
      <c r="EG916" s="30"/>
      <c r="EH916" s="30"/>
      <c r="EI916" s="30"/>
      <c r="EJ916" s="30"/>
      <c r="EK916" s="30" t="str">
        <f t="shared" si="5"/>
        <v/>
      </c>
    </row>
    <row r="917" spans="1:141" ht="16.5">
      <c r="A917" s="11"/>
      <c r="B917" s="11"/>
      <c r="C917" s="11"/>
      <c r="D917" s="11"/>
      <c r="E917" s="11"/>
      <c r="F917" s="11"/>
      <c r="G917" s="11"/>
      <c r="H917" s="11"/>
      <c r="I917" s="11"/>
      <c r="J917" s="11"/>
      <c r="K917" s="27"/>
      <c r="L917" s="11"/>
      <c r="M917" s="11"/>
      <c r="N917" s="11"/>
      <c r="O917" s="11"/>
      <c r="P917" s="15"/>
      <c r="Q917" s="15"/>
      <c r="R917" s="15"/>
      <c r="S917" s="15"/>
      <c r="T917" s="15"/>
      <c r="U917" s="15"/>
      <c r="V917" s="15"/>
      <c r="W917" s="47"/>
      <c r="X917" s="11"/>
      <c r="Y917" s="48"/>
      <c r="Z917" s="11"/>
      <c r="AA917" s="48"/>
      <c r="AB917" s="11"/>
      <c r="AC917" s="48"/>
      <c r="AD917" s="11"/>
      <c r="AE917" s="47"/>
      <c r="AF917" s="11"/>
      <c r="AG917" s="48"/>
      <c r="AH917" s="11"/>
      <c r="AI917" s="48"/>
      <c r="AJ917" s="11"/>
      <c r="AK917" s="48"/>
      <c r="AL917" s="11"/>
      <c r="AM917" s="49"/>
      <c r="AN917" s="49"/>
      <c r="AO917" s="11"/>
      <c r="AP917" s="11"/>
      <c r="AQ917" s="28" t="b">
        <f>IF(COUNTIF(SmartStatus!A$2:A1000, AM917) &gt; 2, TRUE, FALSE)</f>
        <v>0</v>
      </c>
      <c r="AR917" s="29" t="str">
        <f ca="1">IFERROR(__xludf.DUMMYFUNCTION("iferror(if(regexmatch(AO917, ""(?i)^registered""), if(EE917 &lt;&gt; ""polity_shortest_name"", ""CHECK_POLITY"", index(filter(SmartStatus!B$2:B1000, AM917 = SmartStatus!A$2:A1000, not(SmartStatus!C$2:C1000), (isblank(SmartStatus!D$2:D1000)) + ((P917 &lt;&gt; """") * "&amp;"(P917 &lt; SmartStatus!D$2:D1000)), (isblank(SmartStatus!E$2:E1000)) + ((P917 &lt;&gt; """") * (P917 &gt;= SmartStatus!E$2:E1000)), (isblank(SmartStatus!F$2:F1000)) + (((Q917 &lt;&gt; """") * (Q917 &lt; SmartStatus!F$2:F1000)) + ((P917 &lt;&gt; """") * (date(year(P917) + 3, month(P"&amp;"917), day(P917)) &lt; SmartStatus!F$2:F1000))), (isblank(SmartStatus!G$2:G1000)) + (((Q917 &lt;&gt; """") * (Q917 &gt;= SmartStatus!G$2:G1000)) + ((P917 &lt;&gt; """") * (P917 &gt;= SmartStatus!G$2:G1000)))), if(or(regexmatch(B917, ""(?i)^ir [a-z]+ designation$""), N917 &lt;&gt; """&amp;"""), 1, 2))), """"), ""NO_MATCH"")"),"")</f>
        <v/>
      </c>
      <c r="AS917" s="11"/>
      <c r="AT917" s="15"/>
      <c r="AU917" s="11"/>
      <c r="AV917" s="11"/>
      <c r="AW917" s="15"/>
      <c r="AX917" s="15"/>
      <c r="AY917" s="15"/>
      <c r="AZ917" s="11"/>
      <c r="BA917" s="15"/>
      <c r="BB917" s="11"/>
      <c r="BC917" s="11"/>
      <c r="BD917" s="15"/>
      <c r="BE917" s="11"/>
      <c r="BF917" s="11"/>
      <c r="BG917" s="15"/>
      <c r="BH917" s="15"/>
      <c r="BI917" s="15"/>
      <c r="BJ917" s="11"/>
      <c r="BK917" s="15"/>
      <c r="BL917" s="11"/>
      <c r="BM917" s="11"/>
      <c r="BN917" s="15"/>
      <c r="BO917" s="11"/>
      <c r="BP917" s="11"/>
      <c r="BQ917" s="15"/>
      <c r="BR917" s="15"/>
      <c r="BS917" s="15"/>
      <c r="BT917" s="11"/>
      <c r="BU917" s="15"/>
      <c r="BV917" s="11"/>
      <c r="BW917" s="11"/>
      <c r="BX917" s="15"/>
      <c r="BY917" s="11"/>
      <c r="BZ917" s="11"/>
      <c r="CA917" s="15"/>
      <c r="CB917" s="11"/>
      <c r="CC917" s="15"/>
      <c r="CD917" s="11"/>
      <c r="CE917" s="15"/>
      <c r="CF917" s="11"/>
      <c r="CG917" s="11"/>
      <c r="CH917" s="15"/>
      <c r="CI917" s="11"/>
      <c r="CJ917" s="11"/>
      <c r="CK917" s="15"/>
      <c r="CL917" s="11"/>
      <c r="CM917" s="11"/>
      <c r="CN917" s="11"/>
      <c r="CO917" s="11"/>
      <c r="CP917" s="28"/>
      <c r="CQ917" s="28"/>
      <c r="CR917" s="11"/>
      <c r="CS917" s="29"/>
      <c r="CT917" s="11"/>
      <c r="CU917" s="11"/>
      <c r="CV917" s="11"/>
      <c r="CW917" s="11"/>
      <c r="CX917" s="11"/>
      <c r="CY917" s="11"/>
      <c r="CZ917" s="11"/>
      <c r="DA917" s="28"/>
      <c r="DB917" s="28"/>
      <c r="DC917" s="11"/>
      <c r="DD917" s="29"/>
      <c r="DE917" s="11"/>
      <c r="DF917" s="11"/>
      <c r="DG917" s="11"/>
      <c r="DH917" s="11"/>
      <c r="DI917" s="11"/>
      <c r="DJ917" s="11"/>
      <c r="DK917" s="26"/>
      <c r="DL917" s="11"/>
      <c r="DM917" s="29"/>
      <c r="DN917" s="28"/>
      <c r="DO917" s="11"/>
      <c r="DP917" s="11"/>
      <c r="DQ917" s="11"/>
      <c r="DR917" s="29"/>
      <c r="DS917" s="28"/>
      <c r="DT917" s="11"/>
      <c r="DU917" s="26"/>
      <c r="DV917" s="11"/>
      <c r="DW917" s="29"/>
      <c r="DX917" s="28"/>
      <c r="DY917" s="11"/>
      <c r="DZ917" s="26"/>
      <c r="EA917" s="11"/>
      <c r="EB917" s="29"/>
      <c r="EC917" s="28"/>
      <c r="ED917" s="30"/>
      <c r="EE917" s="30" t="str">
        <f ca="1">IFERROR(__xludf.DUMMYFUNCTION("iferror(index(filter('Internal -- Trademark Countries'!E$2:E1000, (AM917 = 'Internal -- Trademark Countries'!B$2:B1000) + (AM917 = 'Internal -- Trademark Countries'!C$2:C1000) + (AM917 = 'Internal -- Trademark Countries'!D$2:D1000)), 1))"),"")</f>
        <v/>
      </c>
      <c r="EF917" s="30" t="e">
        <f ca="1">_xludf.ifs(AM917="", "", COUNTIF('Internal -- Trademark Countries'!B:B,AM917) &gt; 0, "polity_shortest_name", COUNTIF('Internal -- Trademark Countries'!C:C,AM917) &gt; 0, "polity_full_name", COUNTIF('Internal -- Trademark Countries'!D:D,AM917) &gt; 0, "polity_common_name", COUNTIF('Internal -- Trademark Countries'!E:E,AM917) &gt; 0, "shortest_name", COUNTIF('Internal -- Trademark Countries'!A:A,AM917) &gt; 0, "full_name", TRUE, "not a match")</f>
        <v>#NAME?</v>
      </c>
      <c r="EG917" s="30"/>
      <c r="EH917" s="30"/>
      <c r="EI917" s="30"/>
      <c r="EJ917" s="30"/>
      <c r="EK917" s="30" t="str">
        <f t="shared" si="5"/>
        <v/>
      </c>
    </row>
    <row r="918" spans="1:141" ht="16.5">
      <c r="A918" s="11"/>
      <c r="B918" s="11"/>
      <c r="C918" s="11"/>
      <c r="D918" s="11"/>
      <c r="E918" s="11"/>
      <c r="F918" s="11"/>
      <c r="G918" s="11"/>
      <c r="H918" s="11"/>
      <c r="I918" s="11"/>
      <c r="J918" s="11"/>
      <c r="K918" s="27"/>
      <c r="L918" s="11"/>
      <c r="M918" s="11"/>
      <c r="N918" s="11"/>
      <c r="O918" s="11"/>
      <c r="P918" s="15"/>
      <c r="Q918" s="15"/>
      <c r="R918" s="15"/>
      <c r="S918" s="15"/>
      <c r="T918" s="15"/>
      <c r="U918" s="15"/>
      <c r="V918" s="15"/>
      <c r="W918" s="47"/>
      <c r="X918" s="11"/>
      <c r="Y918" s="48"/>
      <c r="Z918" s="11"/>
      <c r="AA918" s="48"/>
      <c r="AB918" s="11"/>
      <c r="AC918" s="48"/>
      <c r="AD918" s="11"/>
      <c r="AE918" s="47"/>
      <c r="AF918" s="11"/>
      <c r="AG918" s="48"/>
      <c r="AH918" s="11"/>
      <c r="AI918" s="48"/>
      <c r="AJ918" s="11"/>
      <c r="AK918" s="48"/>
      <c r="AL918" s="11"/>
      <c r="AM918" s="49"/>
      <c r="AN918" s="49"/>
      <c r="AO918" s="11"/>
      <c r="AP918" s="11"/>
      <c r="AQ918" s="28" t="b">
        <f>IF(COUNTIF(SmartStatus!A$2:A1000, AM918) &gt; 2, TRUE, FALSE)</f>
        <v>0</v>
      </c>
      <c r="AR918" s="29" t="str">
        <f ca="1">IFERROR(__xludf.DUMMYFUNCTION("iferror(if(regexmatch(AO918, ""(?i)^registered""), if(EE918 &lt;&gt; ""polity_shortest_name"", ""CHECK_POLITY"", index(filter(SmartStatus!B$2:B1000, AM918 = SmartStatus!A$2:A1000, not(SmartStatus!C$2:C1000), (isblank(SmartStatus!D$2:D1000)) + ((P918 &lt;&gt; """") * "&amp;"(P918 &lt; SmartStatus!D$2:D1000)), (isblank(SmartStatus!E$2:E1000)) + ((P918 &lt;&gt; """") * (P918 &gt;= SmartStatus!E$2:E1000)), (isblank(SmartStatus!F$2:F1000)) + (((Q918 &lt;&gt; """") * (Q918 &lt; SmartStatus!F$2:F1000)) + ((P918 &lt;&gt; """") * (date(year(P918) + 3, month(P"&amp;"918), day(P918)) &lt; SmartStatus!F$2:F1000))), (isblank(SmartStatus!G$2:G1000)) + (((Q918 &lt;&gt; """") * (Q918 &gt;= SmartStatus!G$2:G1000)) + ((P918 &lt;&gt; """") * (P918 &gt;= SmartStatus!G$2:G1000)))), if(or(regexmatch(B918, ""(?i)^ir [a-z]+ designation$""), N918 &lt;&gt; """&amp;"""), 1, 2))), """"), ""NO_MATCH"")"),"")</f>
        <v/>
      </c>
      <c r="AS918" s="11"/>
      <c r="AT918" s="15"/>
      <c r="AU918" s="11"/>
      <c r="AV918" s="11"/>
      <c r="AW918" s="15"/>
      <c r="AX918" s="15"/>
      <c r="AY918" s="15"/>
      <c r="AZ918" s="11"/>
      <c r="BA918" s="15"/>
      <c r="BB918" s="11"/>
      <c r="BC918" s="11"/>
      <c r="BD918" s="15"/>
      <c r="BE918" s="11"/>
      <c r="BF918" s="11"/>
      <c r="BG918" s="15"/>
      <c r="BH918" s="15"/>
      <c r="BI918" s="15"/>
      <c r="BJ918" s="11"/>
      <c r="BK918" s="15"/>
      <c r="BL918" s="11"/>
      <c r="BM918" s="11"/>
      <c r="BN918" s="15"/>
      <c r="BO918" s="11"/>
      <c r="BP918" s="11"/>
      <c r="BQ918" s="15"/>
      <c r="BR918" s="15"/>
      <c r="BS918" s="15"/>
      <c r="BT918" s="11"/>
      <c r="BU918" s="15"/>
      <c r="BV918" s="11"/>
      <c r="BW918" s="11"/>
      <c r="BX918" s="15"/>
      <c r="BY918" s="11"/>
      <c r="BZ918" s="11"/>
      <c r="CA918" s="15"/>
      <c r="CB918" s="11"/>
      <c r="CC918" s="15"/>
      <c r="CD918" s="11"/>
      <c r="CE918" s="15"/>
      <c r="CF918" s="11"/>
      <c r="CG918" s="11"/>
      <c r="CH918" s="15"/>
      <c r="CI918" s="11"/>
      <c r="CJ918" s="11"/>
      <c r="CK918" s="15"/>
      <c r="CL918" s="11"/>
      <c r="CM918" s="11"/>
      <c r="CN918" s="11"/>
      <c r="CO918" s="11"/>
      <c r="CP918" s="28"/>
      <c r="CQ918" s="28"/>
      <c r="CR918" s="11"/>
      <c r="CS918" s="29"/>
      <c r="CT918" s="11"/>
      <c r="CU918" s="11"/>
      <c r="CV918" s="11"/>
      <c r="CW918" s="11"/>
      <c r="CX918" s="11"/>
      <c r="CY918" s="11"/>
      <c r="CZ918" s="11"/>
      <c r="DA918" s="28"/>
      <c r="DB918" s="28"/>
      <c r="DC918" s="11"/>
      <c r="DD918" s="29"/>
      <c r="DE918" s="11"/>
      <c r="DF918" s="11"/>
      <c r="DG918" s="11"/>
      <c r="DH918" s="11"/>
      <c r="DI918" s="11"/>
      <c r="DJ918" s="11"/>
      <c r="DK918" s="26"/>
      <c r="DL918" s="11"/>
      <c r="DM918" s="29"/>
      <c r="DN918" s="28"/>
      <c r="DO918" s="11"/>
      <c r="DP918" s="11"/>
      <c r="DQ918" s="11"/>
      <c r="DR918" s="29"/>
      <c r="DS918" s="28"/>
      <c r="DT918" s="11"/>
      <c r="DU918" s="26"/>
      <c r="DV918" s="11"/>
      <c r="DW918" s="29"/>
      <c r="DX918" s="28"/>
      <c r="DY918" s="11"/>
      <c r="DZ918" s="26"/>
      <c r="EA918" s="11"/>
      <c r="EB918" s="29"/>
      <c r="EC918" s="28"/>
      <c r="ED918" s="30"/>
      <c r="EE918" s="30" t="str">
        <f ca="1">IFERROR(__xludf.DUMMYFUNCTION("iferror(index(filter('Internal -- Trademark Countries'!E$2:E1000, (AM918 = 'Internal -- Trademark Countries'!B$2:B1000) + (AM918 = 'Internal -- Trademark Countries'!C$2:C1000) + (AM918 = 'Internal -- Trademark Countries'!D$2:D1000)), 1))"),"")</f>
        <v/>
      </c>
      <c r="EF918" s="30" t="e">
        <f ca="1">_xludf.ifs(AM918="", "", COUNTIF('Internal -- Trademark Countries'!B:B,AM918) &gt; 0, "polity_shortest_name", COUNTIF('Internal -- Trademark Countries'!C:C,AM918) &gt; 0, "polity_full_name", COUNTIF('Internal -- Trademark Countries'!D:D,AM918) &gt; 0, "polity_common_name", COUNTIF('Internal -- Trademark Countries'!E:E,AM918) &gt; 0, "shortest_name", COUNTIF('Internal -- Trademark Countries'!A:A,AM918) &gt; 0, "full_name", TRUE, "not a match")</f>
        <v>#NAME?</v>
      </c>
      <c r="EG918" s="30"/>
      <c r="EH918" s="30"/>
      <c r="EI918" s="30"/>
      <c r="EJ918" s="30"/>
      <c r="EK918" s="30" t="str">
        <f t="shared" si="5"/>
        <v/>
      </c>
    </row>
    <row r="919" spans="1:141" ht="16.5">
      <c r="A919" s="11"/>
      <c r="B919" s="11"/>
      <c r="C919" s="11"/>
      <c r="D919" s="11"/>
      <c r="E919" s="11"/>
      <c r="F919" s="11"/>
      <c r="G919" s="11"/>
      <c r="H919" s="11"/>
      <c r="I919" s="11"/>
      <c r="J919" s="11"/>
      <c r="K919" s="27"/>
      <c r="L919" s="11"/>
      <c r="M919" s="11"/>
      <c r="N919" s="11"/>
      <c r="O919" s="11"/>
      <c r="P919" s="15"/>
      <c r="Q919" s="15"/>
      <c r="R919" s="15"/>
      <c r="S919" s="15"/>
      <c r="T919" s="15"/>
      <c r="U919" s="15"/>
      <c r="V919" s="15"/>
      <c r="W919" s="47"/>
      <c r="X919" s="11"/>
      <c r="Y919" s="48"/>
      <c r="Z919" s="11"/>
      <c r="AA919" s="48"/>
      <c r="AB919" s="11"/>
      <c r="AC919" s="48"/>
      <c r="AD919" s="11"/>
      <c r="AE919" s="47"/>
      <c r="AF919" s="11"/>
      <c r="AG919" s="48"/>
      <c r="AH919" s="11"/>
      <c r="AI919" s="48"/>
      <c r="AJ919" s="11"/>
      <c r="AK919" s="48"/>
      <c r="AL919" s="11"/>
      <c r="AM919" s="49"/>
      <c r="AN919" s="49"/>
      <c r="AO919" s="11"/>
      <c r="AP919" s="11"/>
      <c r="AQ919" s="28" t="b">
        <f>IF(COUNTIF(SmartStatus!A$2:A1000, AM919) &gt; 2, TRUE, FALSE)</f>
        <v>0</v>
      </c>
      <c r="AR919" s="29" t="str">
        <f ca="1">IFERROR(__xludf.DUMMYFUNCTION("iferror(if(regexmatch(AO919, ""(?i)^registered""), if(EE919 &lt;&gt; ""polity_shortest_name"", ""CHECK_POLITY"", index(filter(SmartStatus!B$2:B1000, AM919 = SmartStatus!A$2:A1000, not(SmartStatus!C$2:C1000), (isblank(SmartStatus!D$2:D1000)) + ((P919 &lt;&gt; """") * "&amp;"(P919 &lt; SmartStatus!D$2:D1000)), (isblank(SmartStatus!E$2:E1000)) + ((P919 &lt;&gt; """") * (P919 &gt;= SmartStatus!E$2:E1000)), (isblank(SmartStatus!F$2:F1000)) + (((Q919 &lt;&gt; """") * (Q919 &lt; SmartStatus!F$2:F1000)) + ((P919 &lt;&gt; """") * (date(year(P919) + 3, month(P"&amp;"919), day(P919)) &lt; SmartStatus!F$2:F1000))), (isblank(SmartStatus!G$2:G1000)) + (((Q919 &lt;&gt; """") * (Q919 &gt;= SmartStatus!G$2:G1000)) + ((P919 &lt;&gt; """") * (P919 &gt;= SmartStatus!G$2:G1000)))), if(or(regexmatch(B919, ""(?i)^ir [a-z]+ designation$""), N919 &lt;&gt; """&amp;"""), 1, 2))), """"), ""NO_MATCH"")"),"")</f>
        <v/>
      </c>
      <c r="AS919" s="11"/>
      <c r="AT919" s="15"/>
      <c r="AU919" s="11"/>
      <c r="AV919" s="11"/>
      <c r="AW919" s="15"/>
      <c r="AX919" s="15"/>
      <c r="AY919" s="15"/>
      <c r="AZ919" s="11"/>
      <c r="BA919" s="15"/>
      <c r="BB919" s="11"/>
      <c r="BC919" s="11"/>
      <c r="BD919" s="15"/>
      <c r="BE919" s="11"/>
      <c r="BF919" s="11"/>
      <c r="BG919" s="15"/>
      <c r="BH919" s="15"/>
      <c r="BI919" s="15"/>
      <c r="BJ919" s="11"/>
      <c r="BK919" s="15"/>
      <c r="BL919" s="11"/>
      <c r="BM919" s="11"/>
      <c r="BN919" s="15"/>
      <c r="BO919" s="11"/>
      <c r="BP919" s="11"/>
      <c r="BQ919" s="15"/>
      <c r="BR919" s="15"/>
      <c r="BS919" s="15"/>
      <c r="BT919" s="11"/>
      <c r="BU919" s="15"/>
      <c r="BV919" s="11"/>
      <c r="BW919" s="11"/>
      <c r="BX919" s="15"/>
      <c r="BY919" s="11"/>
      <c r="BZ919" s="11"/>
      <c r="CA919" s="15"/>
      <c r="CB919" s="11"/>
      <c r="CC919" s="15"/>
      <c r="CD919" s="11"/>
      <c r="CE919" s="15"/>
      <c r="CF919" s="11"/>
      <c r="CG919" s="11"/>
      <c r="CH919" s="15"/>
      <c r="CI919" s="11"/>
      <c r="CJ919" s="11"/>
      <c r="CK919" s="15"/>
      <c r="CL919" s="11"/>
      <c r="CM919" s="11"/>
      <c r="CN919" s="11"/>
      <c r="CO919" s="11"/>
      <c r="CP919" s="28"/>
      <c r="CQ919" s="28"/>
      <c r="CR919" s="11"/>
      <c r="CS919" s="29"/>
      <c r="CT919" s="11"/>
      <c r="CU919" s="11"/>
      <c r="CV919" s="11"/>
      <c r="CW919" s="11"/>
      <c r="CX919" s="11"/>
      <c r="CY919" s="11"/>
      <c r="CZ919" s="11"/>
      <c r="DA919" s="28"/>
      <c r="DB919" s="28"/>
      <c r="DC919" s="11"/>
      <c r="DD919" s="29"/>
      <c r="DE919" s="11"/>
      <c r="DF919" s="11"/>
      <c r="DG919" s="11"/>
      <c r="DH919" s="11"/>
      <c r="DI919" s="11"/>
      <c r="DJ919" s="11"/>
      <c r="DK919" s="26"/>
      <c r="DL919" s="11"/>
      <c r="DM919" s="29"/>
      <c r="DN919" s="28"/>
      <c r="DO919" s="11"/>
      <c r="DP919" s="11"/>
      <c r="DQ919" s="11"/>
      <c r="DR919" s="29"/>
      <c r="DS919" s="28"/>
      <c r="DT919" s="11"/>
      <c r="DU919" s="26"/>
      <c r="DV919" s="11"/>
      <c r="DW919" s="29"/>
      <c r="DX919" s="28"/>
      <c r="DY919" s="11"/>
      <c r="DZ919" s="26"/>
      <c r="EA919" s="11"/>
      <c r="EB919" s="29"/>
      <c r="EC919" s="28"/>
      <c r="ED919" s="30"/>
      <c r="EE919" s="30" t="str">
        <f ca="1">IFERROR(__xludf.DUMMYFUNCTION("iferror(index(filter('Internal -- Trademark Countries'!E$2:E1000, (AM919 = 'Internal -- Trademark Countries'!B$2:B1000) + (AM919 = 'Internal -- Trademark Countries'!C$2:C1000) + (AM919 = 'Internal -- Trademark Countries'!D$2:D1000)), 1))"),"")</f>
        <v/>
      </c>
      <c r="EF919" s="30" t="e">
        <f ca="1">_xludf.ifs(AM919="", "", COUNTIF('Internal -- Trademark Countries'!B:B,AM919) &gt; 0, "polity_shortest_name", COUNTIF('Internal -- Trademark Countries'!C:C,AM919) &gt; 0, "polity_full_name", COUNTIF('Internal -- Trademark Countries'!D:D,AM919) &gt; 0, "polity_common_name", COUNTIF('Internal -- Trademark Countries'!E:E,AM919) &gt; 0, "shortest_name", COUNTIF('Internal -- Trademark Countries'!A:A,AM919) &gt; 0, "full_name", TRUE, "not a match")</f>
        <v>#NAME?</v>
      </c>
      <c r="EG919" s="30"/>
      <c r="EH919" s="30"/>
      <c r="EI919" s="30"/>
      <c r="EJ919" s="30"/>
      <c r="EK919" s="30" t="str">
        <f t="shared" si="5"/>
        <v/>
      </c>
    </row>
    <row r="920" spans="1:141" ht="16.5">
      <c r="A920" s="11"/>
      <c r="B920" s="11"/>
      <c r="C920" s="11"/>
      <c r="D920" s="11"/>
      <c r="E920" s="11"/>
      <c r="F920" s="11"/>
      <c r="G920" s="11"/>
      <c r="H920" s="11"/>
      <c r="I920" s="11"/>
      <c r="J920" s="11"/>
      <c r="K920" s="27"/>
      <c r="L920" s="11"/>
      <c r="M920" s="11"/>
      <c r="N920" s="11"/>
      <c r="O920" s="11"/>
      <c r="P920" s="15"/>
      <c r="Q920" s="15"/>
      <c r="R920" s="15"/>
      <c r="S920" s="15"/>
      <c r="T920" s="15"/>
      <c r="U920" s="15"/>
      <c r="V920" s="15"/>
      <c r="W920" s="47"/>
      <c r="X920" s="11"/>
      <c r="Y920" s="48"/>
      <c r="Z920" s="11"/>
      <c r="AA920" s="48"/>
      <c r="AB920" s="11"/>
      <c r="AC920" s="48"/>
      <c r="AD920" s="11"/>
      <c r="AE920" s="47"/>
      <c r="AF920" s="11"/>
      <c r="AG920" s="48"/>
      <c r="AH920" s="11"/>
      <c r="AI920" s="48"/>
      <c r="AJ920" s="11"/>
      <c r="AK920" s="48"/>
      <c r="AL920" s="11"/>
      <c r="AM920" s="49"/>
      <c r="AN920" s="49"/>
      <c r="AO920" s="11"/>
      <c r="AP920" s="11"/>
      <c r="AQ920" s="28" t="b">
        <f>IF(COUNTIF(SmartStatus!A$2:A1000, AM920) &gt; 2, TRUE, FALSE)</f>
        <v>0</v>
      </c>
      <c r="AR920" s="29" t="str">
        <f ca="1">IFERROR(__xludf.DUMMYFUNCTION("iferror(if(regexmatch(AO920, ""(?i)^registered""), if(EE920 &lt;&gt; ""polity_shortest_name"", ""CHECK_POLITY"", index(filter(SmartStatus!B$2:B1000, AM920 = SmartStatus!A$2:A1000, not(SmartStatus!C$2:C1000), (isblank(SmartStatus!D$2:D1000)) + ((P920 &lt;&gt; """") * "&amp;"(P920 &lt; SmartStatus!D$2:D1000)), (isblank(SmartStatus!E$2:E1000)) + ((P920 &lt;&gt; """") * (P920 &gt;= SmartStatus!E$2:E1000)), (isblank(SmartStatus!F$2:F1000)) + (((Q920 &lt;&gt; """") * (Q920 &lt; SmartStatus!F$2:F1000)) + ((P920 &lt;&gt; """") * (date(year(P920) + 3, month(P"&amp;"920), day(P920)) &lt; SmartStatus!F$2:F1000))), (isblank(SmartStatus!G$2:G1000)) + (((Q920 &lt;&gt; """") * (Q920 &gt;= SmartStatus!G$2:G1000)) + ((P920 &lt;&gt; """") * (P920 &gt;= SmartStatus!G$2:G1000)))), if(or(regexmatch(B920, ""(?i)^ir [a-z]+ designation$""), N920 &lt;&gt; """&amp;"""), 1, 2))), """"), ""NO_MATCH"")"),"")</f>
        <v/>
      </c>
      <c r="AS920" s="11"/>
      <c r="AT920" s="15"/>
      <c r="AU920" s="11"/>
      <c r="AV920" s="11"/>
      <c r="AW920" s="15"/>
      <c r="AX920" s="15"/>
      <c r="AY920" s="15"/>
      <c r="AZ920" s="11"/>
      <c r="BA920" s="15"/>
      <c r="BB920" s="11"/>
      <c r="BC920" s="11"/>
      <c r="BD920" s="15"/>
      <c r="BE920" s="11"/>
      <c r="BF920" s="11"/>
      <c r="BG920" s="15"/>
      <c r="BH920" s="15"/>
      <c r="BI920" s="15"/>
      <c r="BJ920" s="11"/>
      <c r="BK920" s="15"/>
      <c r="BL920" s="11"/>
      <c r="BM920" s="11"/>
      <c r="BN920" s="15"/>
      <c r="BO920" s="11"/>
      <c r="BP920" s="11"/>
      <c r="BQ920" s="15"/>
      <c r="BR920" s="15"/>
      <c r="BS920" s="15"/>
      <c r="BT920" s="11"/>
      <c r="BU920" s="15"/>
      <c r="BV920" s="11"/>
      <c r="BW920" s="11"/>
      <c r="BX920" s="15"/>
      <c r="BY920" s="11"/>
      <c r="BZ920" s="11"/>
      <c r="CA920" s="15"/>
      <c r="CB920" s="11"/>
      <c r="CC920" s="15"/>
      <c r="CD920" s="11"/>
      <c r="CE920" s="15"/>
      <c r="CF920" s="11"/>
      <c r="CG920" s="11"/>
      <c r="CH920" s="15"/>
      <c r="CI920" s="11"/>
      <c r="CJ920" s="11"/>
      <c r="CK920" s="15"/>
      <c r="CL920" s="11"/>
      <c r="CM920" s="11"/>
      <c r="CN920" s="11"/>
      <c r="CO920" s="11"/>
      <c r="CP920" s="28"/>
      <c r="CQ920" s="28"/>
      <c r="CR920" s="11"/>
      <c r="CS920" s="29"/>
      <c r="CT920" s="11"/>
      <c r="CU920" s="11"/>
      <c r="CV920" s="11"/>
      <c r="CW920" s="11"/>
      <c r="CX920" s="11"/>
      <c r="CY920" s="11"/>
      <c r="CZ920" s="11"/>
      <c r="DA920" s="28"/>
      <c r="DB920" s="28"/>
      <c r="DC920" s="11"/>
      <c r="DD920" s="29"/>
      <c r="DE920" s="11"/>
      <c r="DF920" s="11"/>
      <c r="DG920" s="11"/>
      <c r="DH920" s="11"/>
      <c r="DI920" s="11"/>
      <c r="DJ920" s="11"/>
      <c r="DK920" s="26"/>
      <c r="DL920" s="11"/>
      <c r="DM920" s="29"/>
      <c r="DN920" s="28"/>
      <c r="DO920" s="11"/>
      <c r="DP920" s="11"/>
      <c r="DQ920" s="11"/>
      <c r="DR920" s="29"/>
      <c r="DS920" s="28"/>
      <c r="DT920" s="11"/>
      <c r="DU920" s="26"/>
      <c r="DV920" s="11"/>
      <c r="DW920" s="29"/>
      <c r="DX920" s="28"/>
      <c r="DY920" s="11"/>
      <c r="DZ920" s="26"/>
      <c r="EA920" s="11"/>
      <c r="EB920" s="29"/>
      <c r="EC920" s="28"/>
      <c r="ED920" s="30"/>
      <c r="EE920" s="30" t="str">
        <f ca="1">IFERROR(__xludf.DUMMYFUNCTION("iferror(index(filter('Internal -- Trademark Countries'!E$2:E1000, (AM920 = 'Internal -- Trademark Countries'!B$2:B1000) + (AM920 = 'Internal -- Trademark Countries'!C$2:C1000) + (AM920 = 'Internal -- Trademark Countries'!D$2:D1000)), 1))"),"")</f>
        <v/>
      </c>
      <c r="EF920" s="30" t="e">
        <f ca="1">_xludf.ifs(AM920="", "", COUNTIF('Internal -- Trademark Countries'!B:B,AM920) &gt; 0, "polity_shortest_name", COUNTIF('Internal -- Trademark Countries'!C:C,AM920) &gt; 0, "polity_full_name", COUNTIF('Internal -- Trademark Countries'!D:D,AM920) &gt; 0, "polity_common_name", COUNTIF('Internal -- Trademark Countries'!E:E,AM920) &gt; 0, "shortest_name", COUNTIF('Internal -- Trademark Countries'!A:A,AM920) &gt; 0, "full_name", TRUE, "not a match")</f>
        <v>#NAME?</v>
      </c>
      <c r="EG920" s="30"/>
      <c r="EH920" s="30"/>
      <c r="EI920" s="30"/>
      <c r="EJ920" s="30"/>
      <c r="EK920" s="30" t="str">
        <f t="shared" si="5"/>
        <v/>
      </c>
    </row>
    <row r="921" spans="1:141" ht="16.5">
      <c r="A921" s="11"/>
      <c r="B921" s="11"/>
      <c r="C921" s="11"/>
      <c r="D921" s="11"/>
      <c r="E921" s="11"/>
      <c r="F921" s="11"/>
      <c r="G921" s="11"/>
      <c r="H921" s="11"/>
      <c r="I921" s="11"/>
      <c r="J921" s="11"/>
      <c r="K921" s="27"/>
      <c r="L921" s="11"/>
      <c r="M921" s="11"/>
      <c r="N921" s="11"/>
      <c r="O921" s="11"/>
      <c r="P921" s="15"/>
      <c r="Q921" s="15"/>
      <c r="R921" s="15"/>
      <c r="S921" s="15"/>
      <c r="T921" s="15"/>
      <c r="U921" s="15"/>
      <c r="V921" s="15"/>
      <c r="W921" s="47"/>
      <c r="X921" s="11"/>
      <c r="Y921" s="48"/>
      <c r="Z921" s="11"/>
      <c r="AA921" s="48"/>
      <c r="AB921" s="11"/>
      <c r="AC921" s="48"/>
      <c r="AD921" s="11"/>
      <c r="AE921" s="47"/>
      <c r="AF921" s="11"/>
      <c r="AG921" s="48"/>
      <c r="AH921" s="11"/>
      <c r="AI921" s="48"/>
      <c r="AJ921" s="11"/>
      <c r="AK921" s="48"/>
      <c r="AL921" s="11"/>
      <c r="AM921" s="49"/>
      <c r="AN921" s="49"/>
      <c r="AO921" s="11"/>
      <c r="AP921" s="11"/>
      <c r="AQ921" s="28" t="b">
        <f>IF(COUNTIF(SmartStatus!A$2:A1000, AM921) &gt; 2, TRUE, FALSE)</f>
        <v>0</v>
      </c>
      <c r="AR921" s="29" t="str">
        <f ca="1">IFERROR(__xludf.DUMMYFUNCTION("iferror(if(regexmatch(AO921, ""(?i)^registered""), if(EE921 &lt;&gt; ""polity_shortest_name"", ""CHECK_POLITY"", index(filter(SmartStatus!B$2:B1000, AM921 = SmartStatus!A$2:A1000, not(SmartStatus!C$2:C1000), (isblank(SmartStatus!D$2:D1000)) + ((P921 &lt;&gt; """") * "&amp;"(P921 &lt; SmartStatus!D$2:D1000)), (isblank(SmartStatus!E$2:E1000)) + ((P921 &lt;&gt; """") * (P921 &gt;= SmartStatus!E$2:E1000)), (isblank(SmartStatus!F$2:F1000)) + (((Q921 &lt;&gt; """") * (Q921 &lt; SmartStatus!F$2:F1000)) + ((P921 &lt;&gt; """") * (date(year(P921) + 3, month(P"&amp;"921), day(P921)) &lt; SmartStatus!F$2:F1000))), (isblank(SmartStatus!G$2:G1000)) + (((Q921 &lt;&gt; """") * (Q921 &gt;= SmartStatus!G$2:G1000)) + ((P921 &lt;&gt; """") * (P921 &gt;= SmartStatus!G$2:G1000)))), if(or(regexmatch(B921, ""(?i)^ir [a-z]+ designation$""), N921 &lt;&gt; """&amp;"""), 1, 2))), """"), ""NO_MATCH"")"),"")</f>
        <v/>
      </c>
      <c r="AS921" s="11"/>
      <c r="AT921" s="15"/>
      <c r="AU921" s="11"/>
      <c r="AV921" s="11"/>
      <c r="AW921" s="15"/>
      <c r="AX921" s="15"/>
      <c r="AY921" s="15"/>
      <c r="AZ921" s="11"/>
      <c r="BA921" s="15"/>
      <c r="BB921" s="11"/>
      <c r="BC921" s="11"/>
      <c r="BD921" s="15"/>
      <c r="BE921" s="11"/>
      <c r="BF921" s="11"/>
      <c r="BG921" s="15"/>
      <c r="BH921" s="15"/>
      <c r="BI921" s="15"/>
      <c r="BJ921" s="11"/>
      <c r="BK921" s="15"/>
      <c r="BL921" s="11"/>
      <c r="BM921" s="11"/>
      <c r="BN921" s="15"/>
      <c r="BO921" s="11"/>
      <c r="BP921" s="11"/>
      <c r="BQ921" s="15"/>
      <c r="BR921" s="15"/>
      <c r="BS921" s="15"/>
      <c r="BT921" s="11"/>
      <c r="BU921" s="15"/>
      <c r="BV921" s="11"/>
      <c r="BW921" s="11"/>
      <c r="BX921" s="15"/>
      <c r="BY921" s="11"/>
      <c r="BZ921" s="11"/>
      <c r="CA921" s="15"/>
      <c r="CB921" s="11"/>
      <c r="CC921" s="15"/>
      <c r="CD921" s="11"/>
      <c r="CE921" s="15"/>
      <c r="CF921" s="11"/>
      <c r="CG921" s="11"/>
      <c r="CH921" s="15"/>
      <c r="CI921" s="11"/>
      <c r="CJ921" s="11"/>
      <c r="CK921" s="15"/>
      <c r="CL921" s="11"/>
      <c r="CM921" s="11"/>
      <c r="CN921" s="11"/>
      <c r="CO921" s="11"/>
      <c r="CP921" s="28"/>
      <c r="CQ921" s="28"/>
      <c r="CR921" s="11"/>
      <c r="CS921" s="29"/>
      <c r="CT921" s="11"/>
      <c r="CU921" s="11"/>
      <c r="CV921" s="11"/>
      <c r="CW921" s="11"/>
      <c r="CX921" s="11"/>
      <c r="CY921" s="11"/>
      <c r="CZ921" s="11"/>
      <c r="DA921" s="28"/>
      <c r="DB921" s="28"/>
      <c r="DC921" s="11"/>
      <c r="DD921" s="29"/>
      <c r="DE921" s="11"/>
      <c r="DF921" s="11"/>
      <c r="DG921" s="11"/>
      <c r="DH921" s="11"/>
      <c r="DI921" s="11"/>
      <c r="DJ921" s="11"/>
      <c r="DK921" s="26"/>
      <c r="DL921" s="11"/>
      <c r="DM921" s="29"/>
      <c r="DN921" s="28"/>
      <c r="DO921" s="11"/>
      <c r="DP921" s="11"/>
      <c r="DQ921" s="11"/>
      <c r="DR921" s="29"/>
      <c r="DS921" s="28"/>
      <c r="DT921" s="11"/>
      <c r="DU921" s="26"/>
      <c r="DV921" s="11"/>
      <c r="DW921" s="29"/>
      <c r="DX921" s="28"/>
      <c r="DY921" s="11"/>
      <c r="DZ921" s="26"/>
      <c r="EA921" s="11"/>
      <c r="EB921" s="29"/>
      <c r="EC921" s="28"/>
      <c r="ED921" s="30"/>
      <c r="EE921" s="30" t="str">
        <f ca="1">IFERROR(__xludf.DUMMYFUNCTION("iferror(index(filter('Internal -- Trademark Countries'!E$2:E1000, (AM921 = 'Internal -- Trademark Countries'!B$2:B1000) + (AM921 = 'Internal -- Trademark Countries'!C$2:C1000) + (AM921 = 'Internal -- Trademark Countries'!D$2:D1000)), 1))"),"")</f>
        <v/>
      </c>
      <c r="EF921" s="30" t="e">
        <f ca="1">_xludf.ifs(AM921="", "", COUNTIF('Internal -- Trademark Countries'!B:B,AM921) &gt; 0, "polity_shortest_name", COUNTIF('Internal -- Trademark Countries'!C:C,AM921) &gt; 0, "polity_full_name", COUNTIF('Internal -- Trademark Countries'!D:D,AM921) &gt; 0, "polity_common_name", COUNTIF('Internal -- Trademark Countries'!E:E,AM921) &gt; 0, "shortest_name", COUNTIF('Internal -- Trademark Countries'!A:A,AM921) &gt; 0, "full_name", TRUE, "not a match")</f>
        <v>#NAME?</v>
      </c>
      <c r="EG921" s="30"/>
      <c r="EH921" s="30"/>
      <c r="EI921" s="30"/>
      <c r="EJ921" s="30"/>
      <c r="EK921" s="30" t="str">
        <f t="shared" si="5"/>
        <v/>
      </c>
    </row>
    <row r="922" spans="1:141" ht="16.5">
      <c r="A922" s="11"/>
      <c r="B922" s="11"/>
      <c r="C922" s="11"/>
      <c r="D922" s="11"/>
      <c r="E922" s="11"/>
      <c r="F922" s="11"/>
      <c r="G922" s="11"/>
      <c r="H922" s="11"/>
      <c r="I922" s="11"/>
      <c r="J922" s="11"/>
      <c r="K922" s="27"/>
      <c r="L922" s="11"/>
      <c r="M922" s="11"/>
      <c r="N922" s="11"/>
      <c r="O922" s="11"/>
      <c r="P922" s="15"/>
      <c r="Q922" s="15"/>
      <c r="R922" s="15"/>
      <c r="S922" s="15"/>
      <c r="T922" s="15"/>
      <c r="U922" s="15"/>
      <c r="V922" s="15"/>
      <c r="W922" s="47"/>
      <c r="X922" s="11"/>
      <c r="Y922" s="48"/>
      <c r="Z922" s="11"/>
      <c r="AA922" s="48"/>
      <c r="AB922" s="11"/>
      <c r="AC922" s="48"/>
      <c r="AD922" s="11"/>
      <c r="AE922" s="47"/>
      <c r="AF922" s="11"/>
      <c r="AG922" s="48"/>
      <c r="AH922" s="11"/>
      <c r="AI922" s="48"/>
      <c r="AJ922" s="11"/>
      <c r="AK922" s="48"/>
      <c r="AL922" s="11"/>
      <c r="AM922" s="49"/>
      <c r="AN922" s="49"/>
      <c r="AO922" s="11"/>
      <c r="AP922" s="11"/>
      <c r="AQ922" s="28" t="b">
        <f>IF(COUNTIF(SmartStatus!A$2:A1000, AM922) &gt; 2, TRUE, FALSE)</f>
        <v>0</v>
      </c>
      <c r="AR922" s="29" t="str">
        <f ca="1">IFERROR(__xludf.DUMMYFUNCTION("iferror(if(regexmatch(AO922, ""(?i)^registered""), if(EE922 &lt;&gt; ""polity_shortest_name"", ""CHECK_POLITY"", index(filter(SmartStatus!B$2:B1000, AM922 = SmartStatus!A$2:A1000, not(SmartStatus!C$2:C1000), (isblank(SmartStatus!D$2:D1000)) + ((P922 &lt;&gt; """") * "&amp;"(P922 &lt; SmartStatus!D$2:D1000)), (isblank(SmartStatus!E$2:E1000)) + ((P922 &lt;&gt; """") * (P922 &gt;= SmartStatus!E$2:E1000)), (isblank(SmartStatus!F$2:F1000)) + (((Q922 &lt;&gt; """") * (Q922 &lt; SmartStatus!F$2:F1000)) + ((P922 &lt;&gt; """") * (date(year(P922) + 3, month(P"&amp;"922), day(P922)) &lt; SmartStatus!F$2:F1000))), (isblank(SmartStatus!G$2:G1000)) + (((Q922 &lt;&gt; """") * (Q922 &gt;= SmartStatus!G$2:G1000)) + ((P922 &lt;&gt; """") * (P922 &gt;= SmartStatus!G$2:G1000)))), if(or(regexmatch(B922, ""(?i)^ir [a-z]+ designation$""), N922 &lt;&gt; """&amp;"""), 1, 2))), """"), ""NO_MATCH"")"),"")</f>
        <v/>
      </c>
      <c r="AS922" s="11"/>
      <c r="AT922" s="15"/>
      <c r="AU922" s="11"/>
      <c r="AV922" s="11"/>
      <c r="AW922" s="15"/>
      <c r="AX922" s="15"/>
      <c r="AY922" s="15"/>
      <c r="AZ922" s="11"/>
      <c r="BA922" s="15"/>
      <c r="BB922" s="11"/>
      <c r="BC922" s="11"/>
      <c r="BD922" s="15"/>
      <c r="BE922" s="11"/>
      <c r="BF922" s="11"/>
      <c r="BG922" s="15"/>
      <c r="BH922" s="15"/>
      <c r="BI922" s="15"/>
      <c r="BJ922" s="11"/>
      <c r="BK922" s="15"/>
      <c r="BL922" s="11"/>
      <c r="BM922" s="11"/>
      <c r="BN922" s="15"/>
      <c r="BO922" s="11"/>
      <c r="BP922" s="11"/>
      <c r="BQ922" s="15"/>
      <c r="BR922" s="15"/>
      <c r="BS922" s="15"/>
      <c r="BT922" s="11"/>
      <c r="BU922" s="15"/>
      <c r="BV922" s="11"/>
      <c r="BW922" s="11"/>
      <c r="BX922" s="15"/>
      <c r="BY922" s="11"/>
      <c r="BZ922" s="11"/>
      <c r="CA922" s="15"/>
      <c r="CB922" s="11"/>
      <c r="CC922" s="15"/>
      <c r="CD922" s="11"/>
      <c r="CE922" s="15"/>
      <c r="CF922" s="11"/>
      <c r="CG922" s="11"/>
      <c r="CH922" s="15"/>
      <c r="CI922" s="11"/>
      <c r="CJ922" s="11"/>
      <c r="CK922" s="15"/>
      <c r="CL922" s="11"/>
      <c r="CM922" s="11"/>
      <c r="CN922" s="11"/>
      <c r="CO922" s="11"/>
      <c r="CP922" s="28"/>
      <c r="CQ922" s="28"/>
      <c r="CR922" s="11"/>
      <c r="CS922" s="29"/>
      <c r="CT922" s="11"/>
      <c r="CU922" s="11"/>
      <c r="CV922" s="11"/>
      <c r="CW922" s="11"/>
      <c r="CX922" s="11"/>
      <c r="CY922" s="11"/>
      <c r="CZ922" s="11"/>
      <c r="DA922" s="28"/>
      <c r="DB922" s="28"/>
      <c r="DC922" s="11"/>
      <c r="DD922" s="29"/>
      <c r="DE922" s="11"/>
      <c r="DF922" s="11"/>
      <c r="DG922" s="11"/>
      <c r="DH922" s="11"/>
      <c r="DI922" s="11"/>
      <c r="DJ922" s="11"/>
      <c r="DK922" s="26"/>
      <c r="DL922" s="11"/>
      <c r="DM922" s="29"/>
      <c r="DN922" s="28"/>
      <c r="DO922" s="11"/>
      <c r="DP922" s="11"/>
      <c r="DQ922" s="11"/>
      <c r="DR922" s="29"/>
      <c r="DS922" s="28"/>
      <c r="DT922" s="11"/>
      <c r="DU922" s="26"/>
      <c r="DV922" s="11"/>
      <c r="DW922" s="29"/>
      <c r="DX922" s="28"/>
      <c r="DY922" s="11"/>
      <c r="DZ922" s="26"/>
      <c r="EA922" s="11"/>
      <c r="EB922" s="29"/>
      <c r="EC922" s="28"/>
      <c r="ED922" s="30"/>
      <c r="EE922" s="30" t="str">
        <f ca="1">IFERROR(__xludf.DUMMYFUNCTION("iferror(index(filter('Internal -- Trademark Countries'!E$2:E1000, (AM922 = 'Internal -- Trademark Countries'!B$2:B1000) + (AM922 = 'Internal -- Trademark Countries'!C$2:C1000) + (AM922 = 'Internal -- Trademark Countries'!D$2:D1000)), 1))"),"")</f>
        <v/>
      </c>
      <c r="EF922" s="30" t="e">
        <f ca="1">_xludf.ifs(AM922="", "", COUNTIF('Internal -- Trademark Countries'!B:B,AM922) &gt; 0, "polity_shortest_name", COUNTIF('Internal -- Trademark Countries'!C:C,AM922) &gt; 0, "polity_full_name", COUNTIF('Internal -- Trademark Countries'!D:D,AM922) &gt; 0, "polity_common_name", COUNTIF('Internal -- Trademark Countries'!E:E,AM922) &gt; 0, "shortest_name", COUNTIF('Internal -- Trademark Countries'!A:A,AM922) &gt; 0, "full_name", TRUE, "not a match")</f>
        <v>#NAME?</v>
      </c>
      <c r="EG922" s="30"/>
      <c r="EH922" s="30"/>
      <c r="EI922" s="30"/>
      <c r="EJ922" s="30"/>
      <c r="EK922" s="30" t="str">
        <f t="shared" si="5"/>
        <v/>
      </c>
    </row>
    <row r="923" spans="1:141" ht="16.5">
      <c r="A923" s="11"/>
      <c r="B923" s="11"/>
      <c r="C923" s="11"/>
      <c r="D923" s="11"/>
      <c r="E923" s="11"/>
      <c r="F923" s="11"/>
      <c r="G923" s="11"/>
      <c r="H923" s="11"/>
      <c r="I923" s="11"/>
      <c r="J923" s="11"/>
      <c r="K923" s="27"/>
      <c r="L923" s="11"/>
      <c r="M923" s="11"/>
      <c r="N923" s="11"/>
      <c r="O923" s="11"/>
      <c r="P923" s="15"/>
      <c r="Q923" s="15"/>
      <c r="R923" s="15"/>
      <c r="S923" s="15"/>
      <c r="T923" s="15"/>
      <c r="U923" s="15"/>
      <c r="V923" s="15"/>
      <c r="W923" s="47"/>
      <c r="X923" s="11"/>
      <c r="Y923" s="48"/>
      <c r="Z923" s="11"/>
      <c r="AA923" s="48"/>
      <c r="AB923" s="11"/>
      <c r="AC923" s="48"/>
      <c r="AD923" s="11"/>
      <c r="AE923" s="47"/>
      <c r="AF923" s="11"/>
      <c r="AG923" s="48"/>
      <c r="AH923" s="11"/>
      <c r="AI923" s="48"/>
      <c r="AJ923" s="11"/>
      <c r="AK923" s="48"/>
      <c r="AL923" s="11"/>
      <c r="AM923" s="49"/>
      <c r="AN923" s="49"/>
      <c r="AO923" s="11"/>
      <c r="AP923" s="11"/>
      <c r="AQ923" s="28" t="b">
        <f>IF(COUNTIF(SmartStatus!A$2:A1000, AM923) &gt; 2, TRUE, FALSE)</f>
        <v>0</v>
      </c>
      <c r="AR923" s="29" t="str">
        <f ca="1">IFERROR(__xludf.DUMMYFUNCTION("iferror(if(regexmatch(AO923, ""(?i)^registered""), if(EE923 &lt;&gt; ""polity_shortest_name"", ""CHECK_POLITY"", index(filter(SmartStatus!B$2:B1000, AM923 = SmartStatus!A$2:A1000, not(SmartStatus!C$2:C1000), (isblank(SmartStatus!D$2:D1000)) + ((P923 &lt;&gt; """") * "&amp;"(P923 &lt; SmartStatus!D$2:D1000)), (isblank(SmartStatus!E$2:E1000)) + ((P923 &lt;&gt; """") * (P923 &gt;= SmartStatus!E$2:E1000)), (isblank(SmartStatus!F$2:F1000)) + (((Q923 &lt;&gt; """") * (Q923 &lt; SmartStatus!F$2:F1000)) + ((P923 &lt;&gt; """") * (date(year(P923) + 3, month(P"&amp;"923), day(P923)) &lt; SmartStatus!F$2:F1000))), (isblank(SmartStatus!G$2:G1000)) + (((Q923 &lt;&gt; """") * (Q923 &gt;= SmartStatus!G$2:G1000)) + ((P923 &lt;&gt; """") * (P923 &gt;= SmartStatus!G$2:G1000)))), if(or(regexmatch(B923, ""(?i)^ir [a-z]+ designation$""), N923 &lt;&gt; """&amp;"""), 1, 2))), """"), ""NO_MATCH"")"),"")</f>
        <v/>
      </c>
      <c r="AS923" s="11"/>
      <c r="AT923" s="15"/>
      <c r="AU923" s="11"/>
      <c r="AV923" s="11"/>
      <c r="AW923" s="15"/>
      <c r="AX923" s="15"/>
      <c r="AY923" s="15"/>
      <c r="AZ923" s="11"/>
      <c r="BA923" s="15"/>
      <c r="BB923" s="11"/>
      <c r="BC923" s="11"/>
      <c r="BD923" s="15"/>
      <c r="BE923" s="11"/>
      <c r="BF923" s="11"/>
      <c r="BG923" s="15"/>
      <c r="BH923" s="15"/>
      <c r="BI923" s="15"/>
      <c r="BJ923" s="11"/>
      <c r="BK923" s="15"/>
      <c r="BL923" s="11"/>
      <c r="BM923" s="11"/>
      <c r="BN923" s="15"/>
      <c r="BO923" s="11"/>
      <c r="BP923" s="11"/>
      <c r="BQ923" s="15"/>
      <c r="BR923" s="15"/>
      <c r="BS923" s="15"/>
      <c r="BT923" s="11"/>
      <c r="BU923" s="15"/>
      <c r="BV923" s="11"/>
      <c r="BW923" s="11"/>
      <c r="BX923" s="15"/>
      <c r="BY923" s="11"/>
      <c r="BZ923" s="11"/>
      <c r="CA923" s="15"/>
      <c r="CB923" s="11"/>
      <c r="CC923" s="15"/>
      <c r="CD923" s="11"/>
      <c r="CE923" s="15"/>
      <c r="CF923" s="11"/>
      <c r="CG923" s="11"/>
      <c r="CH923" s="15"/>
      <c r="CI923" s="11"/>
      <c r="CJ923" s="11"/>
      <c r="CK923" s="15"/>
      <c r="CL923" s="11"/>
      <c r="CM923" s="11"/>
      <c r="CN923" s="11"/>
      <c r="CO923" s="11"/>
      <c r="CP923" s="28"/>
      <c r="CQ923" s="28"/>
      <c r="CR923" s="11"/>
      <c r="CS923" s="29"/>
      <c r="CT923" s="11"/>
      <c r="CU923" s="11"/>
      <c r="CV923" s="11"/>
      <c r="CW923" s="11"/>
      <c r="CX923" s="11"/>
      <c r="CY923" s="11"/>
      <c r="CZ923" s="11"/>
      <c r="DA923" s="28"/>
      <c r="DB923" s="28"/>
      <c r="DC923" s="11"/>
      <c r="DD923" s="29"/>
      <c r="DE923" s="11"/>
      <c r="DF923" s="11"/>
      <c r="DG923" s="11"/>
      <c r="DH923" s="11"/>
      <c r="DI923" s="11"/>
      <c r="DJ923" s="11"/>
      <c r="DK923" s="26"/>
      <c r="DL923" s="11"/>
      <c r="DM923" s="29"/>
      <c r="DN923" s="28"/>
      <c r="DO923" s="11"/>
      <c r="DP923" s="11"/>
      <c r="DQ923" s="11"/>
      <c r="DR923" s="29"/>
      <c r="DS923" s="28"/>
      <c r="DT923" s="11"/>
      <c r="DU923" s="26"/>
      <c r="DV923" s="11"/>
      <c r="DW923" s="29"/>
      <c r="DX923" s="28"/>
      <c r="DY923" s="11"/>
      <c r="DZ923" s="26"/>
      <c r="EA923" s="11"/>
      <c r="EB923" s="29"/>
      <c r="EC923" s="28"/>
      <c r="ED923" s="30"/>
      <c r="EE923" s="30" t="str">
        <f ca="1">IFERROR(__xludf.DUMMYFUNCTION("iferror(index(filter('Internal -- Trademark Countries'!E$2:E1000, (AM923 = 'Internal -- Trademark Countries'!B$2:B1000) + (AM923 = 'Internal -- Trademark Countries'!C$2:C1000) + (AM923 = 'Internal -- Trademark Countries'!D$2:D1000)), 1))"),"")</f>
        <v/>
      </c>
      <c r="EF923" s="30" t="e">
        <f ca="1">_xludf.ifs(AM923="", "", COUNTIF('Internal -- Trademark Countries'!B:B,AM923) &gt; 0, "polity_shortest_name", COUNTIF('Internal -- Trademark Countries'!C:C,AM923) &gt; 0, "polity_full_name", COUNTIF('Internal -- Trademark Countries'!D:D,AM923) &gt; 0, "polity_common_name", COUNTIF('Internal -- Trademark Countries'!E:E,AM923) &gt; 0, "shortest_name", COUNTIF('Internal -- Trademark Countries'!A:A,AM923) &gt; 0, "full_name", TRUE, "not a match")</f>
        <v>#NAME?</v>
      </c>
      <c r="EG923" s="30"/>
      <c r="EH923" s="30"/>
      <c r="EI923" s="30"/>
      <c r="EJ923" s="30"/>
      <c r="EK923" s="30" t="str">
        <f t="shared" si="5"/>
        <v/>
      </c>
    </row>
    <row r="924" spans="1:141" ht="16.5">
      <c r="A924" s="11"/>
      <c r="B924" s="11"/>
      <c r="C924" s="11"/>
      <c r="D924" s="11"/>
      <c r="E924" s="11"/>
      <c r="F924" s="11"/>
      <c r="G924" s="11"/>
      <c r="H924" s="11"/>
      <c r="I924" s="11"/>
      <c r="J924" s="11"/>
      <c r="K924" s="27"/>
      <c r="L924" s="11"/>
      <c r="M924" s="11"/>
      <c r="N924" s="11"/>
      <c r="O924" s="11"/>
      <c r="P924" s="15"/>
      <c r="Q924" s="15"/>
      <c r="R924" s="15"/>
      <c r="S924" s="15"/>
      <c r="T924" s="15"/>
      <c r="U924" s="15"/>
      <c r="V924" s="15"/>
      <c r="W924" s="47"/>
      <c r="X924" s="11"/>
      <c r="Y924" s="48"/>
      <c r="Z924" s="11"/>
      <c r="AA924" s="48"/>
      <c r="AB924" s="11"/>
      <c r="AC924" s="48"/>
      <c r="AD924" s="11"/>
      <c r="AE924" s="47"/>
      <c r="AF924" s="11"/>
      <c r="AG924" s="48"/>
      <c r="AH924" s="11"/>
      <c r="AI924" s="48"/>
      <c r="AJ924" s="11"/>
      <c r="AK924" s="48"/>
      <c r="AL924" s="11"/>
      <c r="AM924" s="49"/>
      <c r="AN924" s="49"/>
      <c r="AO924" s="11"/>
      <c r="AP924" s="11"/>
      <c r="AQ924" s="28" t="b">
        <f>IF(COUNTIF(SmartStatus!A$2:A1000, AM924) &gt; 2, TRUE, FALSE)</f>
        <v>0</v>
      </c>
      <c r="AR924" s="29" t="str">
        <f ca="1">IFERROR(__xludf.DUMMYFUNCTION("iferror(if(regexmatch(AO924, ""(?i)^registered""), if(EE924 &lt;&gt; ""polity_shortest_name"", ""CHECK_POLITY"", index(filter(SmartStatus!B$2:B1000, AM924 = SmartStatus!A$2:A1000, not(SmartStatus!C$2:C1000), (isblank(SmartStatus!D$2:D1000)) + ((P924 &lt;&gt; """") * "&amp;"(P924 &lt; SmartStatus!D$2:D1000)), (isblank(SmartStatus!E$2:E1000)) + ((P924 &lt;&gt; """") * (P924 &gt;= SmartStatus!E$2:E1000)), (isblank(SmartStatus!F$2:F1000)) + (((Q924 &lt;&gt; """") * (Q924 &lt; SmartStatus!F$2:F1000)) + ((P924 &lt;&gt; """") * (date(year(P924) + 3, month(P"&amp;"924), day(P924)) &lt; SmartStatus!F$2:F1000))), (isblank(SmartStatus!G$2:G1000)) + (((Q924 &lt;&gt; """") * (Q924 &gt;= SmartStatus!G$2:G1000)) + ((P924 &lt;&gt; """") * (P924 &gt;= SmartStatus!G$2:G1000)))), if(or(regexmatch(B924, ""(?i)^ir [a-z]+ designation$""), N924 &lt;&gt; """&amp;"""), 1, 2))), """"), ""NO_MATCH"")"),"")</f>
        <v/>
      </c>
      <c r="AS924" s="11"/>
      <c r="AT924" s="15"/>
      <c r="AU924" s="11"/>
      <c r="AV924" s="11"/>
      <c r="AW924" s="15"/>
      <c r="AX924" s="15"/>
      <c r="AY924" s="15"/>
      <c r="AZ924" s="11"/>
      <c r="BA924" s="15"/>
      <c r="BB924" s="11"/>
      <c r="BC924" s="11"/>
      <c r="BD924" s="15"/>
      <c r="BE924" s="11"/>
      <c r="BF924" s="11"/>
      <c r="BG924" s="15"/>
      <c r="BH924" s="15"/>
      <c r="BI924" s="15"/>
      <c r="BJ924" s="11"/>
      <c r="BK924" s="15"/>
      <c r="BL924" s="11"/>
      <c r="BM924" s="11"/>
      <c r="BN924" s="15"/>
      <c r="BO924" s="11"/>
      <c r="BP924" s="11"/>
      <c r="BQ924" s="15"/>
      <c r="BR924" s="15"/>
      <c r="BS924" s="15"/>
      <c r="BT924" s="11"/>
      <c r="BU924" s="15"/>
      <c r="BV924" s="11"/>
      <c r="BW924" s="11"/>
      <c r="BX924" s="15"/>
      <c r="BY924" s="11"/>
      <c r="BZ924" s="11"/>
      <c r="CA924" s="15"/>
      <c r="CB924" s="11"/>
      <c r="CC924" s="15"/>
      <c r="CD924" s="11"/>
      <c r="CE924" s="15"/>
      <c r="CF924" s="11"/>
      <c r="CG924" s="11"/>
      <c r="CH924" s="15"/>
      <c r="CI924" s="11"/>
      <c r="CJ924" s="11"/>
      <c r="CK924" s="15"/>
      <c r="CL924" s="11"/>
      <c r="CM924" s="11"/>
      <c r="CN924" s="11"/>
      <c r="CO924" s="11"/>
      <c r="CP924" s="28"/>
      <c r="CQ924" s="28"/>
      <c r="CR924" s="11"/>
      <c r="CS924" s="29"/>
      <c r="CT924" s="11"/>
      <c r="CU924" s="11"/>
      <c r="CV924" s="11"/>
      <c r="CW924" s="11"/>
      <c r="CX924" s="11"/>
      <c r="CY924" s="11"/>
      <c r="CZ924" s="11"/>
      <c r="DA924" s="28"/>
      <c r="DB924" s="28"/>
      <c r="DC924" s="11"/>
      <c r="DD924" s="29"/>
      <c r="DE924" s="11"/>
      <c r="DF924" s="11"/>
      <c r="DG924" s="11"/>
      <c r="DH924" s="11"/>
      <c r="DI924" s="11"/>
      <c r="DJ924" s="11"/>
      <c r="DK924" s="26"/>
      <c r="DL924" s="11"/>
      <c r="DM924" s="29"/>
      <c r="DN924" s="28"/>
      <c r="DO924" s="11"/>
      <c r="DP924" s="11"/>
      <c r="DQ924" s="11"/>
      <c r="DR924" s="29"/>
      <c r="DS924" s="28"/>
      <c r="DT924" s="11"/>
      <c r="DU924" s="26"/>
      <c r="DV924" s="11"/>
      <c r="DW924" s="29"/>
      <c r="DX924" s="28"/>
      <c r="DY924" s="11"/>
      <c r="DZ924" s="26"/>
      <c r="EA924" s="11"/>
      <c r="EB924" s="29"/>
      <c r="EC924" s="28"/>
      <c r="ED924" s="30"/>
      <c r="EE924" s="30" t="str">
        <f ca="1">IFERROR(__xludf.DUMMYFUNCTION("iferror(index(filter('Internal -- Trademark Countries'!E$2:E1000, (AM924 = 'Internal -- Trademark Countries'!B$2:B1000) + (AM924 = 'Internal -- Trademark Countries'!C$2:C1000) + (AM924 = 'Internal -- Trademark Countries'!D$2:D1000)), 1))"),"")</f>
        <v/>
      </c>
      <c r="EF924" s="30" t="e">
        <f ca="1">_xludf.ifs(AM924="", "", COUNTIF('Internal -- Trademark Countries'!B:B,AM924) &gt; 0, "polity_shortest_name", COUNTIF('Internal -- Trademark Countries'!C:C,AM924) &gt; 0, "polity_full_name", COUNTIF('Internal -- Trademark Countries'!D:D,AM924) &gt; 0, "polity_common_name", COUNTIF('Internal -- Trademark Countries'!E:E,AM924) &gt; 0, "shortest_name", COUNTIF('Internal -- Trademark Countries'!A:A,AM924) &gt; 0, "full_name", TRUE, "not a match")</f>
        <v>#NAME?</v>
      </c>
      <c r="EG924" s="30"/>
      <c r="EH924" s="30"/>
      <c r="EI924" s="30"/>
      <c r="EJ924" s="30"/>
      <c r="EK924" s="30" t="str">
        <f t="shared" si="5"/>
        <v/>
      </c>
    </row>
    <row r="925" spans="1:141" ht="16.5">
      <c r="A925" s="11"/>
      <c r="B925" s="11"/>
      <c r="C925" s="11"/>
      <c r="D925" s="11"/>
      <c r="E925" s="11"/>
      <c r="F925" s="11"/>
      <c r="G925" s="11"/>
      <c r="H925" s="11"/>
      <c r="I925" s="11"/>
      <c r="J925" s="11"/>
      <c r="K925" s="27"/>
      <c r="L925" s="11"/>
      <c r="M925" s="11"/>
      <c r="N925" s="11"/>
      <c r="O925" s="11"/>
      <c r="P925" s="15"/>
      <c r="Q925" s="15"/>
      <c r="R925" s="15"/>
      <c r="S925" s="15"/>
      <c r="T925" s="15"/>
      <c r="U925" s="15"/>
      <c r="V925" s="15"/>
      <c r="W925" s="47"/>
      <c r="X925" s="11"/>
      <c r="Y925" s="48"/>
      <c r="Z925" s="11"/>
      <c r="AA925" s="48"/>
      <c r="AB925" s="11"/>
      <c r="AC925" s="48"/>
      <c r="AD925" s="11"/>
      <c r="AE925" s="47"/>
      <c r="AF925" s="11"/>
      <c r="AG925" s="48"/>
      <c r="AH925" s="11"/>
      <c r="AI925" s="48"/>
      <c r="AJ925" s="11"/>
      <c r="AK925" s="48"/>
      <c r="AL925" s="11"/>
      <c r="AM925" s="49"/>
      <c r="AN925" s="49"/>
      <c r="AO925" s="11"/>
      <c r="AP925" s="11"/>
      <c r="AQ925" s="28" t="b">
        <f>IF(COUNTIF(SmartStatus!A$2:A1000, AM925) &gt; 2, TRUE, FALSE)</f>
        <v>0</v>
      </c>
      <c r="AR925" s="29" t="str">
        <f ca="1">IFERROR(__xludf.DUMMYFUNCTION("iferror(if(regexmatch(AO925, ""(?i)^registered""), if(EE925 &lt;&gt; ""polity_shortest_name"", ""CHECK_POLITY"", index(filter(SmartStatus!B$2:B1000, AM925 = SmartStatus!A$2:A1000, not(SmartStatus!C$2:C1000), (isblank(SmartStatus!D$2:D1000)) + ((P925 &lt;&gt; """") * "&amp;"(P925 &lt; SmartStatus!D$2:D1000)), (isblank(SmartStatus!E$2:E1000)) + ((P925 &lt;&gt; """") * (P925 &gt;= SmartStatus!E$2:E1000)), (isblank(SmartStatus!F$2:F1000)) + (((Q925 &lt;&gt; """") * (Q925 &lt; SmartStatus!F$2:F1000)) + ((P925 &lt;&gt; """") * (date(year(P925) + 3, month(P"&amp;"925), day(P925)) &lt; SmartStatus!F$2:F1000))), (isblank(SmartStatus!G$2:G1000)) + (((Q925 &lt;&gt; """") * (Q925 &gt;= SmartStatus!G$2:G1000)) + ((P925 &lt;&gt; """") * (P925 &gt;= SmartStatus!G$2:G1000)))), if(or(regexmatch(B925, ""(?i)^ir [a-z]+ designation$""), N925 &lt;&gt; """&amp;"""), 1, 2))), """"), ""NO_MATCH"")"),"")</f>
        <v/>
      </c>
      <c r="AS925" s="11"/>
      <c r="AT925" s="15"/>
      <c r="AU925" s="11"/>
      <c r="AV925" s="11"/>
      <c r="AW925" s="15"/>
      <c r="AX925" s="15"/>
      <c r="AY925" s="15"/>
      <c r="AZ925" s="11"/>
      <c r="BA925" s="15"/>
      <c r="BB925" s="11"/>
      <c r="BC925" s="11"/>
      <c r="BD925" s="15"/>
      <c r="BE925" s="11"/>
      <c r="BF925" s="11"/>
      <c r="BG925" s="15"/>
      <c r="BH925" s="15"/>
      <c r="BI925" s="15"/>
      <c r="BJ925" s="11"/>
      <c r="BK925" s="15"/>
      <c r="BL925" s="11"/>
      <c r="BM925" s="11"/>
      <c r="BN925" s="15"/>
      <c r="BO925" s="11"/>
      <c r="BP925" s="11"/>
      <c r="BQ925" s="15"/>
      <c r="BR925" s="15"/>
      <c r="BS925" s="15"/>
      <c r="BT925" s="11"/>
      <c r="BU925" s="15"/>
      <c r="BV925" s="11"/>
      <c r="BW925" s="11"/>
      <c r="BX925" s="15"/>
      <c r="BY925" s="11"/>
      <c r="BZ925" s="11"/>
      <c r="CA925" s="15"/>
      <c r="CB925" s="11"/>
      <c r="CC925" s="15"/>
      <c r="CD925" s="11"/>
      <c r="CE925" s="15"/>
      <c r="CF925" s="11"/>
      <c r="CG925" s="11"/>
      <c r="CH925" s="15"/>
      <c r="CI925" s="11"/>
      <c r="CJ925" s="11"/>
      <c r="CK925" s="15"/>
      <c r="CL925" s="11"/>
      <c r="CM925" s="11"/>
      <c r="CN925" s="11"/>
      <c r="CO925" s="11"/>
      <c r="CP925" s="28"/>
      <c r="CQ925" s="28"/>
      <c r="CR925" s="11"/>
      <c r="CS925" s="29"/>
      <c r="CT925" s="11"/>
      <c r="CU925" s="11"/>
      <c r="CV925" s="11"/>
      <c r="CW925" s="11"/>
      <c r="CX925" s="11"/>
      <c r="CY925" s="11"/>
      <c r="CZ925" s="11"/>
      <c r="DA925" s="28"/>
      <c r="DB925" s="28"/>
      <c r="DC925" s="11"/>
      <c r="DD925" s="29"/>
      <c r="DE925" s="11"/>
      <c r="DF925" s="11"/>
      <c r="DG925" s="11"/>
      <c r="DH925" s="11"/>
      <c r="DI925" s="11"/>
      <c r="DJ925" s="11"/>
      <c r="DK925" s="26"/>
      <c r="DL925" s="11"/>
      <c r="DM925" s="29"/>
      <c r="DN925" s="28"/>
      <c r="DO925" s="11"/>
      <c r="DP925" s="11"/>
      <c r="DQ925" s="11"/>
      <c r="DR925" s="29"/>
      <c r="DS925" s="28"/>
      <c r="DT925" s="11"/>
      <c r="DU925" s="26"/>
      <c r="DV925" s="11"/>
      <c r="DW925" s="29"/>
      <c r="DX925" s="28"/>
      <c r="DY925" s="11"/>
      <c r="DZ925" s="26"/>
      <c r="EA925" s="11"/>
      <c r="EB925" s="29"/>
      <c r="EC925" s="28"/>
      <c r="ED925" s="30"/>
      <c r="EE925" s="30" t="str">
        <f ca="1">IFERROR(__xludf.DUMMYFUNCTION("iferror(index(filter('Internal -- Trademark Countries'!E$2:E1000, (AM925 = 'Internal -- Trademark Countries'!B$2:B1000) + (AM925 = 'Internal -- Trademark Countries'!C$2:C1000) + (AM925 = 'Internal -- Trademark Countries'!D$2:D1000)), 1))"),"")</f>
        <v/>
      </c>
      <c r="EF925" s="30" t="e">
        <f ca="1">_xludf.ifs(AM925="", "", COUNTIF('Internal -- Trademark Countries'!B:B,AM925) &gt; 0, "polity_shortest_name", COUNTIF('Internal -- Trademark Countries'!C:C,AM925) &gt; 0, "polity_full_name", COUNTIF('Internal -- Trademark Countries'!D:D,AM925) &gt; 0, "polity_common_name", COUNTIF('Internal -- Trademark Countries'!E:E,AM925) &gt; 0, "shortest_name", COUNTIF('Internal -- Trademark Countries'!A:A,AM925) &gt; 0, "full_name", TRUE, "not a match")</f>
        <v>#NAME?</v>
      </c>
      <c r="EG925" s="30"/>
      <c r="EH925" s="30"/>
      <c r="EI925" s="30"/>
      <c r="EJ925" s="30"/>
      <c r="EK925" s="30" t="str">
        <f t="shared" si="5"/>
        <v/>
      </c>
    </row>
    <row r="926" spans="1:141" ht="16.5">
      <c r="A926" s="11"/>
      <c r="B926" s="11"/>
      <c r="C926" s="11"/>
      <c r="D926" s="11"/>
      <c r="E926" s="11"/>
      <c r="F926" s="11"/>
      <c r="G926" s="11"/>
      <c r="H926" s="11"/>
      <c r="I926" s="11"/>
      <c r="J926" s="11"/>
      <c r="K926" s="27"/>
      <c r="L926" s="11"/>
      <c r="M926" s="11"/>
      <c r="N926" s="11"/>
      <c r="O926" s="11"/>
      <c r="P926" s="15"/>
      <c r="Q926" s="15"/>
      <c r="R926" s="15"/>
      <c r="S926" s="15"/>
      <c r="T926" s="15"/>
      <c r="U926" s="15"/>
      <c r="V926" s="15"/>
      <c r="W926" s="47"/>
      <c r="X926" s="11"/>
      <c r="Y926" s="48"/>
      <c r="Z926" s="11"/>
      <c r="AA926" s="48"/>
      <c r="AB926" s="11"/>
      <c r="AC926" s="48"/>
      <c r="AD926" s="11"/>
      <c r="AE926" s="47"/>
      <c r="AF926" s="11"/>
      <c r="AG926" s="48"/>
      <c r="AH926" s="11"/>
      <c r="AI926" s="48"/>
      <c r="AJ926" s="11"/>
      <c r="AK926" s="48"/>
      <c r="AL926" s="11"/>
      <c r="AM926" s="49"/>
      <c r="AN926" s="49"/>
      <c r="AO926" s="11"/>
      <c r="AP926" s="11"/>
      <c r="AQ926" s="28" t="b">
        <f>IF(COUNTIF(SmartStatus!A$2:A1000, AM926) &gt; 2, TRUE, FALSE)</f>
        <v>0</v>
      </c>
      <c r="AR926" s="29" t="str">
        <f ca="1">IFERROR(__xludf.DUMMYFUNCTION("iferror(if(regexmatch(AO926, ""(?i)^registered""), if(EE926 &lt;&gt; ""polity_shortest_name"", ""CHECK_POLITY"", index(filter(SmartStatus!B$2:B1000, AM926 = SmartStatus!A$2:A1000, not(SmartStatus!C$2:C1000), (isblank(SmartStatus!D$2:D1000)) + ((P926 &lt;&gt; """") * "&amp;"(P926 &lt; SmartStatus!D$2:D1000)), (isblank(SmartStatus!E$2:E1000)) + ((P926 &lt;&gt; """") * (P926 &gt;= SmartStatus!E$2:E1000)), (isblank(SmartStatus!F$2:F1000)) + (((Q926 &lt;&gt; """") * (Q926 &lt; SmartStatus!F$2:F1000)) + ((P926 &lt;&gt; """") * (date(year(P926) + 3, month(P"&amp;"926), day(P926)) &lt; SmartStatus!F$2:F1000))), (isblank(SmartStatus!G$2:G1000)) + (((Q926 &lt;&gt; """") * (Q926 &gt;= SmartStatus!G$2:G1000)) + ((P926 &lt;&gt; """") * (P926 &gt;= SmartStatus!G$2:G1000)))), if(or(regexmatch(B926, ""(?i)^ir [a-z]+ designation$""), N926 &lt;&gt; """&amp;"""), 1, 2))), """"), ""NO_MATCH"")"),"")</f>
        <v/>
      </c>
      <c r="AS926" s="11"/>
      <c r="AT926" s="15"/>
      <c r="AU926" s="11"/>
      <c r="AV926" s="11"/>
      <c r="AW926" s="15"/>
      <c r="AX926" s="15"/>
      <c r="AY926" s="15"/>
      <c r="AZ926" s="11"/>
      <c r="BA926" s="15"/>
      <c r="BB926" s="11"/>
      <c r="BC926" s="11"/>
      <c r="BD926" s="15"/>
      <c r="BE926" s="11"/>
      <c r="BF926" s="11"/>
      <c r="BG926" s="15"/>
      <c r="BH926" s="15"/>
      <c r="BI926" s="15"/>
      <c r="BJ926" s="11"/>
      <c r="BK926" s="15"/>
      <c r="BL926" s="11"/>
      <c r="BM926" s="11"/>
      <c r="BN926" s="15"/>
      <c r="BO926" s="11"/>
      <c r="BP926" s="11"/>
      <c r="BQ926" s="15"/>
      <c r="BR926" s="15"/>
      <c r="BS926" s="15"/>
      <c r="BT926" s="11"/>
      <c r="BU926" s="15"/>
      <c r="BV926" s="11"/>
      <c r="BW926" s="11"/>
      <c r="BX926" s="15"/>
      <c r="BY926" s="11"/>
      <c r="BZ926" s="11"/>
      <c r="CA926" s="15"/>
      <c r="CB926" s="11"/>
      <c r="CC926" s="15"/>
      <c r="CD926" s="11"/>
      <c r="CE926" s="15"/>
      <c r="CF926" s="11"/>
      <c r="CG926" s="11"/>
      <c r="CH926" s="15"/>
      <c r="CI926" s="11"/>
      <c r="CJ926" s="11"/>
      <c r="CK926" s="15"/>
      <c r="CL926" s="11"/>
      <c r="CM926" s="11"/>
      <c r="CN926" s="11"/>
      <c r="CO926" s="11"/>
      <c r="CP926" s="28"/>
      <c r="CQ926" s="28"/>
      <c r="CR926" s="11"/>
      <c r="CS926" s="29"/>
      <c r="CT926" s="11"/>
      <c r="CU926" s="11"/>
      <c r="CV926" s="11"/>
      <c r="CW926" s="11"/>
      <c r="CX926" s="11"/>
      <c r="CY926" s="11"/>
      <c r="CZ926" s="11"/>
      <c r="DA926" s="28"/>
      <c r="DB926" s="28"/>
      <c r="DC926" s="11"/>
      <c r="DD926" s="29"/>
      <c r="DE926" s="11"/>
      <c r="DF926" s="11"/>
      <c r="DG926" s="11"/>
      <c r="DH926" s="11"/>
      <c r="DI926" s="11"/>
      <c r="DJ926" s="11"/>
      <c r="DK926" s="26"/>
      <c r="DL926" s="11"/>
      <c r="DM926" s="29"/>
      <c r="DN926" s="28"/>
      <c r="DO926" s="11"/>
      <c r="DP926" s="11"/>
      <c r="DQ926" s="11"/>
      <c r="DR926" s="29"/>
      <c r="DS926" s="28"/>
      <c r="DT926" s="11"/>
      <c r="DU926" s="26"/>
      <c r="DV926" s="11"/>
      <c r="DW926" s="29"/>
      <c r="DX926" s="28"/>
      <c r="DY926" s="11"/>
      <c r="DZ926" s="26"/>
      <c r="EA926" s="11"/>
      <c r="EB926" s="29"/>
      <c r="EC926" s="28"/>
      <c r="ED926" s="30"/>
      <c r="EE926" s="30" t="str">
        <f ca="1">IFERROR(__xludf.DUMMYFUNCTION("iferror(index(filter('Internal -- Trademark Countries'!E$2:E1000, (AM926 = 'Internal -- Trademark Countries'!B$2:B1000) + (AM926 = 'Internal -- Trademark Countries'!C$2:C1000) + (AM926 = 'Internal -- Trademark Countries'!D$2:D1000)), 1))"),"")</f>
        <v/>
      </c>
      <c r="EF926" s="30" t="e">
        <f ca="1">_xludf.ifs(AM926="", "", COUNTIF('Internal -- Trademark Countries'!B:B,AM926) &gt; 0, "polity_shortest_name", COUNTIF('Internal -- Trademark Countries'!C:C,AM926) &gt; 0, "polity_full_name", COUNTIF('Internal -- Trademark Countries'!D:D,AM926) &gt; 0, "polity_common_name", COUNTIF('Internal -- Trademark Countries'!E:E,AM926) &gt; 0, "shortest_name", COUNTIF('Internal -- Trademark Countries'!A:A,AM926) &gt; 0, "full_name", TRUE, "not a match")</f>
        <v>#NAME?</v>
      </c>
      <c r="EG926" s="30"/>
      <c r="EH926" s="30"/>
      <c r="EI926" s="30"/>
      <c r="EJ926" s="30"/>
      <c r="EK926" s="30" t="str">
        <f t="shared" si="5"/>
        <v/>
      </c>
    </row>
    <row r="927" spans="1:141" ht="16.5">
      <c r="A927" s="11"/>
      <c r="B927" s="11"/>
      <c r="C927" s="11"/>
      <c r="D927" s="11"/>
      <c r="E927" s="11"/>
      <c r="F927" s="11"/>
      <c r="G927" s="11"/>
      <c r="H927" s="11"/>
      <c r="I927" s="11"/>
      <c r="J927" s="11"/>
      <c r="K927" s="27"/>
      <c r="L927" s="11"/>
      <c r="M927" s="11"/>
      <c r="N927" s="11"/>
      <c r="O927" s="11"/>
      <c r="P927" s="15"/>
      <c r="Q927" s="15"/>
      <c r="R927" s="15"/>
      <c r="S927" s="15"/>
      <c r="T927" s="15"/>
      <c r="U927" s="15"/>
      <c r="V927" s="15"/>
      <c r="W927" s="47"/>
      <c r="X927" s="11"/>
      <c r="Y927" s="48"/>
      <c r="Z927" s="11"/>
      <c r="AA927" s="48"/>
      <c r="AB927" s="11"/>
      <c r="AC927" s="48"/>
      <c r="AD927" s="11"/>
      <c r="AE927" s="47"/>
      <c r="AF927" s="11"/>
      <c r="AG927" s="48"/>
      <c r="AH927" s="11"/>
      <c r="AI927" s="48"/>
      <c r="AJ927" s="11"/>
      <c r="AK927" s="48"/>
      <c r="AL927" s="11"/>
      <c r="AM927" s="49"/>
      <c r="AN927" s="49"/>
      <c r="AO927" s="11"/>
      <c r="AP927" s="11"/>
      <c r="AQ927" s="28" t="b">
        <f>IF(COUNTIF(SmartStatus!A$2:A1000, AM927) &gt; 2, TRUE, FALSE)</f>
        <v>0</v>
      </c>
      <c r="AR927" s="29" t="str">
        <f ca="1">IFERROR(__xludf.DUMMYFUNCTION("iferror(if(regexmatch(AO927, ""(?i)^registered""), if(EE927 &lt;&gt; ""polity_shortest_name"", ""CHECK_POLITY"", index(filter(SmartStatus!B$2:B1000, AM927 = SmartStatus!A$2:A1000, not(SmartStatus!C$2:C1000), (isblank(SmartStatus!D$2:D1000)) + ((P927 &lt;&gt; """") * "&amp;"(P927 &lt; SmartStatus!D$2:D1000)), (isblank(SmartStatus!E$2:E1000)) + ((P927 &lt;&gt; """") * (P927 &gt;= SmartStatus!E$2:E1000)), (isblank(SmartStatus!F$2:F1000)) + (((Q927 &lt;&gt; """") * (Q927 &lt; SmartStatus!F$2:F1000)) + ((P927 &lt;&gt; """") * (date(year(P927) + 3, month(P"&amp;"927), day(P927)) &lt; SmartStatus!F$2:F1000))), (isblank(SmartStatus!G$2:G1000)) + (((Q927 &lt;&gt; """") * (Q927 &gt;= SmartStatus!G$2:G1000)) + ((P927 &lt;&gt; """") * (P927 &gt;= SmartStatus!G$2:G1000)))), if(or(regexmatch(B927, ""(?i)^ir [a-z]+ designation$""), N927 &lt;&gt; """&amp;"""), 1, 2))), """"), ""NO_MATCH"")"),"")</f>
        <v/>
      </c>
      <c r="AS927" s="11"/>
      <c r="AT927" s="15"/>
      <c r="AU927" s="11"/>
      <c r="AV927" s="11"/>
      <c r="AW927" s="15"/>
      <c r="AX927" s="15"/>
      <c r="AY927" s="15"/>
      <c r="AZ927" s="11"/>
      <c r="BA927" s="15"/>
      <c r="BB927" s="11"/>
      <c r="BC927" s="11"/>
      <c r="BD927" s="15"/>
      <c r="BE927" s="11"/>
      <c r="BF927" s="11"/>
      <c r="BG927" s="15"/>
      <c r="BH927" s="15"/>
      <c r="BI927" s="15"/>
      <c r="BJ927" s="11"/>
      <c r="BK927" s="15"/>
      <c r="BL927" s="11"/>
      <c r="BM927" s="11"/>
      <c r="BN927" s="15"/>
      <c r="BO927" s="11"/>
      <c r="BP927" s="11"/>
      <c r="BQ927" s="15"/>
      <c r="BR927" s="15"/>
      <c r="BS927" s="15"/>
      <c r="BT927" s="11"/>
      <c r="BU927" s="15"/>
      <c r="BV927" s="11"/>
      <c r="BW927" s="11"/>
      <c r="BX927" s="15"/>
      <c r="BY927" s="11"/>
      <c r="BZ927" s="11"/>
      <c r="CA927" s="15"/>
      <c r="CB927" s="11"/>
      <c r="CC927" s="15"/>
      <c r="CD927" s="11"/>
      <c r="CE927" s="15"/>
      <c r="CF927" s="11"/>
      <c r="CG927" s="11"/>
      <c r="CH927" s="15"/>
      <c r="CI927" s="11"/>
      <c r="CJ927" s="11"/>
      <c r="CK927" s="15"/>
      <c r="CL927" s="11"/>
      <c r="CM927" s="11"/>
      <c r="CN927" s="11"/>
      <c r="CO927" s="11"/>
      <c r="CP927" s="28"/>
      <c r="CQ927" s="28"/>
      <c r="CR927" s="11"/>
      <c r="CS927" s="29"/>
      <c r="CT927" s="11"/>
      <c r="CU927" s="11"/>
      <c r="CV927" s="11"/>
      <c r="CW927" s="11"/>
      <c r="CX927" s="11"/>
      <c r="CY927" s="11"/>
      <c r="CZ927" s="11"/>
      <c r="DA927" s="28"/>
      <c r="DB927" s="28"/>
      <c r="DC927" s="11"/>
      <c r="DD927" s="29"/>
      <c r="DE927" s="11"/>
      <c r="DF927" s="11"/>
      <c r="DG927" s="11"/>
      <c r="DH927" s="11"/>
      <c r="DI927" s="11"/>
      <c r="DJ927" s="11"/>
      <c r="DK927" s="26"/>
      <c r="DL927" s="11"/>
      <c r="DM927" s="29"/>
      <c r="DN927" s="28"/>
      <c r="DO927" s="11"/>
      <c r="DP927" s="11"/>
      <c r="DQ927" s="11"/>
      <c r="DR927" s="29"/>
      <c r="DS927" s="28"/>
      <c r="DT927" s="11"/>
      <c r="DU927" s="26"/>
      <c r="DV927" s="11"/>
      <c r="DW927" s="29"/>
      <c r="DX927" s="28"/>
      <c r="DY927" s="11"/>
      <c r="DZ927" s="26"/>
      <c r="EA927" s="11"/>
      <c r="EB927" s="29"/>
      <c r="EC927" s="28"/>
      <c r="ED927" s="30"/>
      <c r="EE927" s="30" t="str">
        <f ca="1">IFERROR(__xludf.DUMMYFUNCTION("iferror(index(filter('Internal -- Trademark Countries'!E$2:E1000, (AM927 = 'Internal -- Trademark Countries'!B$2:B1000) + (AM927 = 'Internal -- Trademark Countries'!C$2:C1000) + (AM927 = 'Internal -- Trademark Countries'!D$2:D1000)), 1))"),"")</f>
        <v/>
      </c>
      <c r="EF927" s="30" t="e">
        <f ca="1">_xludf.ifs(AM927="", "", COUNTIF('Internal -- Trademark Countries'!B:B,AM927) &gt; 0, "polity_shortest_name", COUNTIF('Internal -- Trademark Countries'!C:C,AM927) &gt; 0, "polity_full_name", COUNTIF('Internal -- Trademark Countries'!D:D,AM927) &gt; 0, "polity_common_name", COUNTIF('Internal -- Trademark Countries'!E:E,AM927) &gt; 0, "shortest_name", COUNTIF('Internal -- Trademark Countries'!A:A,AM927) &gt; 0, "full_name", TRUE, "not a match")</f>
        <v>#NAME?</v>
      </c>
      <c r="EG927" s="30"/>
      <c r="EH927" s="30"/>
      <c r="EI927" s="30"/>
      <c r="EJ927" s="30"/>
      <c r="EK927" s="30" t="str">
        <f t="shared" si="5"/>
        <v/>
      </c>
    </row>
    <row r="928" spans="1:141" ht="16.5">
      <c r="A928" s="11"/>
      <c r="B928" s="11"/>
      <c r="C928" s="11"/>
      <c r="D928" s="11"/>
      <c r="E928" s="11"/>
      <c r="F928" s="11"/>
      <c r="G928" s="11"/>
      <c r="H928" s="11"/>
      <c r="I928" s="11"/>
      <c r="J928" s="11"/>
      <c r="K928" s="27"/>
      <c r="L928" s="11"/>
      <c r="M928" s="11"/>
      <c r="N928" s="11"/>
      <c r="O928" s="11"/>
      <c r="P928" s="15"/>
      <c r="Q928" s="15"/>
      <c r="R928" s="15"/>
      <c r="S928" s="15"/>
      <c r="T928" s="15"/>
      <c r="U928" s="15"/>
      <c r="V928" s="15"/>
      <c r="W928" s="47"/>
      <c r="X928" s="11"/>
      <c r="Y928" s="48"/>
      <c r="Z928" s="11"/>
      <c r="AA928" s="48"/>
      <c r="AB928" s="11"/>
      <c r="AC928" s="48"/>
      <c r="AD928" s="11"/>
      <c r="AE928" s="47"/>
      <c r="AF928" s="11"/>
      <c r="AG928" s="48"/>
      <c r="AH928" s="11"/>
      <c r="AI928" s="48"/>
      <c r="AJ928" s="11"/>
      <c r="AK928" s="48"/>
      <c r="AL928" s="11"/>
      <c r="AM928" s="49"/>
      <c r="AN928" s="49"/>
      <c r="AO928" s="11"/>
      <c r="AP928" s="11"/>
      <c r="AQ928" s="28" t="b">
        <f>IF(COUNTIF(SmartStatus!A$2:A1000, AM928) &gt; 2, TRUE, FALSE)</f>
        <v>0</v>
      </c>
      <c r="AR928" s="29" t="str">
        <f ca="1">IFERROR(__xludf.DUMMYFUNCTION("iferror(if(regexmatch(AO928, ""(?i)^registered""), if(EE928 &lt;&gt; ""polity_shortest_name"", ""CHECK_POLITY"", index(filter(SmartStatus!B$2:B1000, AM928 = SmartStatus!A$2:A1000, not(SmartStatus!C$2:C1000), (isblank(SmartStatus!D$2:D1000)) + ((P928 &lt;&gt; """") * "&amp;"(P928 &lt; SmartStatus!D$2:D1000)), (isblank(SmartStatus!E$2:E1000)) + ((P928 &lt;&gt; """") * (P928 &gt;= SmartStatus!E$2:E1000)), (isblank(SmartStatus!F$2:F1000)) + (((Q928 &lt;&gt; """") * (Q928 &lt; SmartStatus!F$2:F1000)) + ((P928 &lt;&gt; """") * (date(year(P928) + 3, month(P"&amp;"928), day(P928)) &lt; SmartStatus!F$2:F1000))), (isblank(SmartStatus!G$2:G1000)) + (((Q928 &lt;&gt; """") * (Q928 &gt;= SmartStatus!G$2:G1000)) + ((P928 &lt;&gt; """") * (P928 &gt;= SmartStatus!G$2:G1000)))), if(or(regexmatch(B928, ""(?i)^ir [a-z]+ designation$""), N928 &lt;&gt; """&amp;"""), 1, 2))), """"), ""NO_MATCH"")"),"")</f>
        <v/>
      </c>
      <c r="AS928" s="11"/>
      <c r="AT928" s="15"/>
      <c r="AU928" s="11"/>
      <c r="AV928" s="11"/>
      <c r="AW928" s="15"/>
      <c r="AX928" s="15"/>
      <c r="AY928" s="15"/>
      <c r="AZ928" s="11"/>
      <c r="BA928" s="15"/>
      <c r="BB928" s="11"/>
      <c r="BC928" s="11"/>
      <c r="BD928" s="15"/>
      <c r="BE928" s="11"/>
      <c r="BF928" s="11"/>
      <c r="BG928" s="15"/>
      <c r="BH928" s="15"/>
      <c r="BI928" s="15"/>
      <c r="BJ928" s="11"/>
      <c r="BK928" s="15"/>
      <c r="BL928" s="11"/>
      <c r="BM928" s="11"/>
      <c r="BN928" s="15"/>
      <c r="BO928" s="11"/>
      <c r="BP928" s="11"/>
      <c r="BQ928" s="15"/>
      <c r="BR928" s="15"/>
      <c r="BS928" s="15"/>
      <c r="BT928" s="11"/>
      <c r="BU928" s="15"/>
      <c r="BV928" s="11"/>
      <c r="BW928" s="11"/>
      <c r="BX928" s="15"/>
      <c r="BY928" s="11"/>
      <c r="BZ928" s="11"/>
      <c r="CA928" s="15"/>
      <c r="CB928" s="11"/>
      <c r="CC928" s="15"/>
      <c r="CD928" s="11"/>
      <c r="CE928" s="15"/>
      <c r="CF928" s="11"/>
      <c r="CG928" s="11"/>
      <c r="CH928" s="15"/>
      <c r="CI928" s="11"/>
      <c r="CJ928" s="11"/>
      <c r="CK928" s="15"/>
      <c r="CL928" s="11"/>
      <c r="CM928" s="11"/>
      <c r="CN928" s="11"/>
      <c r="CO928" s="11"/>
      <c r="CP928" s="28"/>
      <c r="CQ928" s="28"/>
      <c r="CR928" s="11"/>
      <c r="CS928" s="29"/>
      <c r="CT928" s="11"/>
      <c r="CU928" s="11"/>
      <c r="CV928" s="11"/>
      <c r="CW928" s="11"/>
      <c r="CX928" s="11"/>
      <c r="CY928" s="11"/>
      <c r="CZ928" s="11"/>
      <c r="DA928" s="28"/>
      <c r="DB928" s="28"/>
      <c r="DC928" s="11"/>
      <c r="DD928" s="29"/>
      <c r="DE928" s="11"/>
      <c r="DF928" s="11"/>
      <c r="DG928" s="11"/>
      <c r="DH928" s="11"/>
      <c r="DI928" s="11"/>
      <c r="DJ928" s="11"/>
      <c r="DK928" s="26"/>
      <c r="DL928" s="11"/>
      <c r="DM928" s="29"/>
      <c r="DN928" s="28"/>
      <c r="DO928" s="11"/>
      <c r="DP928" s="11"/>
      <c r="DQ928" s="11"/>
      <c r="DR928" s="29"/>
      <c r="DS928" s="28"/>
      <c r="DT928" s="11"/>
      <c r="DU928" s="26"/>
      <c r="DV928" s="11"/>
      <c r="DW928" s="29"/>
      <c r="DX928" s="28"/>
      <c r="DY928" s="11"/>
      <c r="DZ928" s="26"/>
      <c r="EA928" s="11"/>
      <c r="EB928" s="29"/>
      <c r="EC928" s="28"/>
      <c r="ED928" s="30"/>
      <c r="EE928" s="30" t="str">
        <f ca="1">IFERROR(__xludf.DUMMYFUNCTION("iferror(index(filter('Internal -- Trademark Countries'!E$2:E1000, (AM928 = 'Internal -- Trademark Countries'!B$2:B1000) + (AM928 = 'Internal -- Trademark Countries'!C$2:C1000) + (AM928 = 'Internal -- Trademark Countries'!D$2:D1000)), 1))"),"")</f>
        <v/>
      </c>
      <c r="EF928" s="30" t="e">
        <f ca="1">_xludf.ifs(AM928="", "", COUNTIF('Internal -- Trademark Countries'!B:B,AM928) &gt; 0, "polity_shortest_name", COUNTIF('Internal -- Trademark Countries'!C:C,AM928) &gt; 0, "polity_full_name", COUNTIF('Internal -- Trademark Countries'!D:D,AM928) &gt; 0, "polity_common_name", COUNTIF('Internal -- Trademark Countries'!E:E,AM928) &gt; 0, "shortest_name", COUNTIF('Internal -- Trademark Countries'!A:A,AM928) &gt; 0, "full_name", TRUE, "not a match")</f>
        <v>#NAME?</v>
      </c>
      <c r="EG928" s="30"/>
      <c r="EH928" s="30"/>
      <c r="EI928" s="30"/>
      <c r="EJ928" s="30"/>
      <c r="EK928" s="30" t="str">
        <f t="shared" si="5"/>
        <v/>
      </c>
    </row>
    <row r="929" spans="1:141" ht="16.5">
      <c r="A929" s="11"/>
      <c r="B929" s="11"/>
      <c r="C929" s="11"/>
      <c r="D929" s="11"/>
      <c r="E929" s="11"/>
      <c r="F929" s="11"/>
      <c r="G929" s="11"/>
      <c r="H929" s="11"/>
      <c r="I929" s="11"/>
      <c r="J929" s="11"/>
      <c r="K929" s="27"/>
      <c r="L929" s="11"/>
      <c r="M929" s="11"/>
      <c r="N929" s="11"/>
      <c r="O929" s="11"/>
      <c r="P929" s="15"/>
      <c r="Q929" s="15"/>
      <c r="R929" s="15"/>
      <c r="S929" s="15"/>
      <c r="T929" s="15"/>
      <c r="U929" s="15"/>
      <c r="V929" s="15"/>
      <c r="W929" s="47"/>
      <c r="X929" s="11"/>
      <c r="Y929" s="48"/>
      <c r="Z929" s="11"/>
      <c r="AA929" s="48"/>
      <c r="AB929" s="11"/>
      <c r="AC929" s="48"/>
      <c r="AD929" s="11"/>
      <c r="AE929" s="47"/>
      <c r="AF929" s="11"/>
      <c r="AG929" s="48"/>
      <c r="AH929" s="11"/>
      <c r="AI929" s="48"/>
      <c r="AJ929" s="11"/>
      <c r="AK929" s="48"/>
      <c r="AL929" s="11"/>
      <c r="AM929" s="49"/>
      <c r="AN929" s="49"/>
      <c r="AO929" s="11"/>
      <c r="AP929" s="11"/>
      <c r="AQ929" s="28" t="b">
        <f>IF(COUNTIF(SmartStatus!A$2:A1000, AM929) &gt; 2, TRUE, FALSE)</f>
        <v>0</v>
      </c>
      <c r="AR929" s="29" t="str">
        <f ca="1">IFERROR(__xludf.DUMMYFUNCTION("iferror(if(regexmatch(AO929, ""(?i)^registered""), if(EE929 &lt;&gt; ""polity_shortest_name"", ""CHECK_POLITY"", index(filter(SmartStatus!B$2:B1000, AM929 = SmartStatus!A$2:A1000, not(SmartStatus!C$2:C1000), (isblank(SmartStatus!D$2:D1000)) + ((P929 &lt;&gt; """") * "&amp;"(P929 &lt; SmartStatus!D$2:D1000)), (isblank(SmartStatus!E$2:E1000)) + ((P929 &lt;&gt; """") * (P929 &gt;= SmartStatus!E$2:E1000)), (isblank(SmartStatus!F$2:F1000)) + (((Q929 &lt;&gt; """") * (Q929 &lt; SmartStatus!F$2:F1000)) + ((P929 &lt;&gt; """") * (date(year(P929) + 3, month(P"&amp;"929), day(P929)) &lt; SmartStatus!F$2:F1000))), (isblank(SmartStatus!G$2:G1000)) + (((Q929 &lt;&gt; """") * (Q929 &gt;= SmartStatus!G$2:G1000)) + ((P929 &lt;&gt; """") * (P929 &gt;= SmartStatus!G$2:G1000)))), if(or(regexmatch(B929, ""(?i)^ir [a-z]+ designation$""), N929 &lt;&gt; """&amp;"""), 1, 2))), """"), ""NO_MATCH"")"),"")</f>
        <v/>
      </c>
      <c r="AS929" s="11"/>
      <c r="AT929" s="15"/>
      <c r="AU929" s="11"/>
      <c r="AV929" s="11"/>
      <c r="AW929" s="15"/>
      <c r="AX929" s="15"/>
      <c r="AY929" s="15"/>
      <c r="AZ929" s="11"/>
      <c r="BA929" s="15"/>
      <c r="BB929" s="11"/>
      <c r="BC929" s="11"/>
      <c r="BD929" s="15"/>
      <c r="BE929" s="11"/>
      <c r="BF929" s="11"/>
      <c r="BG929" s="15"/>
      <c r="BH929" s="15"/>
      <c r="BI929" s="15"/>
      <c r="BJ929" s="11"/>
      <c r="BK929" s="15"/>
      <c r="BL929" s="11"/>
      <c r="BM929" s="11"/>
      <c r="BN929" s="15"/>
      <c r="BO929" s="11"/>
      <c r="BP929" s="11"/>
      <c r="BQ929" s="15"/>
      <c r="BR929" s="15"/>
      <c r="BS929" s="15"/>
      <c r="BT929" s="11"/>
      <c r="BU929" s="15"/>
      <c r="BV929" s="11"/>
      <c r="BW929" s="11"/>
      <c r="BX929" s="15"/>
      <c r="BY929" s="11"/>
      <c r="BZ929" s="11"/>
      <c r="CA929" s="15"/>
      <c r="CB929" s="11"/>
      <c r="CC929" s="15"/>
      <c r="CD929" s="11"/>
      <c r="CE929" s="15"/>
      <c r="CF929" s="11"/>
      <c r="CG929" s="11"/>
      <c r="CH929" s="15"/>
      <c r="CI929" s="11"/>
      <c r="CJ929" s="11"/>
      <c r="CK929" s="15"/>
      <c r="CL929" s="11"/>
      <c r="CM929" s="11"/>
      <c r="CN929" s="11"/>
      <c r="CO929" s="11"/>
      <c r="CP929" s="28"/>
      <c r="CQ929" s="28"/>
      <c r="CR929" s="11"/>
      <c r="CS929" s="29"/>
      <c r="CT929" s="11"/>
      <c r="CU929" s="11"/>
      <c r="CV929" s="11"/>
      <c r="CW929" s="11"/>
      <c r="CX929" s="11"/>
      <c r="CY929" s="11"/>
      <c r="CZ929" s="11"/>
      <c r="DA929" s="28"/>
      <c r="DB929" s="28"/>
      <c r="DC929" s="11"/>
      <c r="DD929" s="29"/>
      <c r="DE929" s="11"/>
      <c r="DF929" s="11"/>
      <c r="DG929" s="11"/>
      <c r="DH929" s="11"/>
      <c r="DI929" s="11"/>
      <c r="DJ929" s="11"/>
      <c r="DK929" s="26"/>
      <c r="DL929" s="11"/>
      <c r="DM929" s="29"/>
      <c r="DN929" s="28"/>
      <c r="DO929" s="11"/>
      <c r="DP929" s="11"/>
      <c r="DQ929" s="11"/>
      <c r="DR929" s="29"/>
      <c r="DS929" s="28"/>
      <c r="DT929" s="11"/>
      <c r="DU929" s="26"/>
      <c r="DV929" s="11"/>
      <c r="DW929" s="29"/>
      <c r="DX929" s="28"/>
      <c r="DY929" s="11"/>
      <c r="DZ929" s="26"/>
      <c r="EA929" s="11"/>
      <c r="EB929" s="29"/>
      <c r="EC929" s="28"/>
      <c r="ED929" s="30"/>
      <c r="EE929" s="30" t="str">
        <f ca="1">IFERROR(__xludf.DUMMYFUNCTION("iferror(index(filter('Internal -- Trademark Countries'!E$2:E1000, (AM929 = 'Internal -- Trademark Countries'!B$2:B1000) + (AM929 = 'Internal -- Trademark Countries'!C$2:C1000) + (AM929 = 'Internal -- Trademark Countries'!D$2:D1000)), 1))"),"")</f>
        <v/>
      </c>
      <c r="EF929" s="30" t="e">
        <f ca="1">_xludf.ifs(AM929="", "", COUNTIF('Internal -- Trademark Countries'!B:B,AM929) &gt; 0, "polity_shortest_name", COUNTIF('Internal -- Trademark Countries'!C:C,AM929) &gt; 0, "polity_full_name", COUNTIF('Internal -- Trademark Countries'!D:D,AM929) &gt; 0, "polity_common_name", COUNTIF('Internal -- Trademark Countries'!E:E,AM929) &gt; 0, "shortest_name", COUNTIF('Internal -- Trademark Countries'!A:A,AM929) &gt; 0, "full_name", TRUE, "not a match")</f>
        <v>#NAME?</v>
      </c>
      <c r="EG929" s="30"/>
      <c r="EH929" s="30"/>
      <c r="EI929" s="30"/>
      <c r="EJ929" s="30"/>
      <c r="EK929" s="30" t="str">
        <f t="shared" si="5"/>
        <v/>
      </c>
    </row>
    <row r="930" spans="1:141" ht="16.5">
      <c r="A930" s="11"/>
      <c r="B930" s="11"/>
      <c r="C930" s="11"/>
      <c r="D930" s="11"/>
      <c r="E930" s="11"/>
      <c r="F930" s="11"/>
      <c r="G930" s="11"/>
      <c r="H930" s="11"/>
      <c r="I930" s="11"/>
      <c r="J930" s="11"/>
      <c r="K930" s="27"/>
      <c r="L930" s="11"/>
      <c r="M930" s="11"/>
      <c r="N930" s="11"/>
      <c r="O930" s="11"/>
      <c r="P930" s="15"/>
      <c r="Q930" s="15"/>
      <c r="R930" s="15"/>
      <c r="S930" s="15"/>
      <c r="T930" s="15"/>
      <c r="U930" s="15"/>
      <c r="V930" s="15"/>
      <c r="W930" s="47"/>
      <c r="X930" s="11"/>
      <c r="Y930" s="48"/>
      <c r="Z930" s="11"/>
      <c r="AA930" s="48"/>
      <c r="AB930" s="11"/>
      <c r="AC930" s="48"/>
      <c r="AD930" s="11"/>
      <c r="AE930" s="47"/>
      <c r="AF930" s="11"/>
      <c r="AG930" s="48"/>
      <c r="AH930" s="11"/>
      <c r="AI930" s="48"/>
      <c r="AJ930" s="11"/>
      <c r="AK930" s="48"/>
      <c r="AL930" s="11"/>
      <c r="AM930" s="49"/>
      <c r="AN930" s="49"/>
      <c r="AO930" s="11"/>
      <c r="AP930" s="11"/>
      <c r="AQ930" s="28" t="b">
        <f>IF(COUNTIF(SmartStatus!A$2:A1000, AM930) &gt; 2, TRUE, FALSE)</f>
        <v>0</v>
      </c>
      <c r="AR930" s="29" t="str">
        <f ca="1">IFERROR(__xludf.DUMMYFUNCTION("iferror(if(regexmatch(AO930, ""(?i)^registered""), if(EE930 &lt;&gt; ""polity_shortest_name"", ""CHECK_POLITY"", index(filter(SmartStatus!B$2:B1000, AM930 = SmartStatus!A$2:A1000, not(SmartStatus!C$2:C1000), (isblank(SmartStatus!D$2:D1000)) + ((P930 &lt;&gt; """") * "&amp;"(P930 &lt; SmartStatus!D$2:D1000)), (isblank(SmartStatus!E$2:E1000)) + ((P930 &lt;&gt; """") * (P930 &gt;= SmartStatus!E$2:E1000)), (isblank(SmartStatus!F$2:F1000)) + (((Q930 &lt;&gt; """") * (Q930 &lt; SmartStatus!F$2:F1000)) + ((P930 &lt;&gt; """") * (date(year(P930) + 3, month(P"&amp;"930), day(P930)) &lt; SmartStatus!F$2:F1000))), (isblank(SmartStatus!G$2:G1000)) + (((Q930 &lt;&gt; """") * (Q930 &gt;= SmartStatus!G$2:G1000)) + ((P930 &lt;&gt; """") * (P930 &gt;= SmartStatus!G$2:G1000)))), if(or(regexmatch(B930, ""(?i)^ir [a-z]+ designation$""), N930 &lt;&gt; """&amp;"""), 1, 2))), """"), ""NO_MATCH"")"),"")</f>
        <v/>
      </c>
      <c r="AS930" s="11"/>
      <c r="AT930" s="15"/>
      <c r="AU930" s="11"/>
      <c r="AV930" s="11"/>
      <c r="AW930" s="15"/>
      <c r="AX930" s="15"/>
      <c r="AY930" s="15"/>
      <c r="AZ930" s="11"/>
      <c r="BA930" s="15"/>
      <c r="BB930" s="11"/>
      <c r="BC930" s="11"/>
      <c r="BD930" s="15"/>
      <c r="BE930" s="11"/>
      <c r="BF930" s="11"/>
      <c r="BG930" s="15"/>
      <c r="BH930" s="15"/>
      <c r="BI930" s="15"/>
      <c r="BJ930" s="11"/>
      <c r="BK930" s="15"/>
      <c r="BL930" s="11"/>
      <c r="BM930" s="11"/>
      <c r="BN930" s="15"/>
      <c r="BO930" s="11"/>
      <c r="BP930" s="11"/>
      <c r="BQ930" s="15"/>
      <c r="BR930" s="15"/>
      <c r="BS930" s="15"/>
      <c r="BT930" s="11"/>
      <c r="BU930" s="15"/>
      <c r="BV930" s="11"/>
      <c r="BW930" s="11"/>
      <c r="BX930" s="15"/>
      <c r="BY930" s="11"/>
      <c r="BZ930" s="11"/>
      <c r="CA930" s="15"/>
      <c r="CB930" s="11"/>
      <c r="CC930" s="15"/>
      <c r="CD930" s="11"/>
      <c r="CE930" s="15"/>
      <c r="CF930" s="11"/>
      <c r="CG930" s="11"/>
      <c r="CH930" s="15"/>
      <c r="CI930" s="11"/>
      <c r="CJ930" s="11"/>
      <c r="CK930" s="15"/>
      <c r="CL930" s="11"/>
      <c r="CM930" s="11"/>
      <c r="CN930" s="11"/>
      <c r="CO930" s="11"/>
      <c r="CP930" s="28"/>
      <c r="CQ930" s="28"/>
      <c r="CR930" s="11"/>
      <c r="CS930" s="29"/>
      <c r="CT930" s="11"/>
      <c r="CU930" s="11"/>
      <c r="CV930" s="11"/>
      <c r="CW930" s="11"/>
      <c r="CX930" s="11"/>
      <c r="CY930" s="11"/>
      <c r="CZ930" s="11"/>
      <c r="DA930" s="28"/>
      <c r="DB930" s="28"/>
      <c r="DC930" s="11"/>
      <c r="DD930" s="29"/>
      <c r="DE930" s="11"/>
      <c r="DF930" s="11"/>
      <c r="DG930" s="11"/>
      <c r="DH930" s="11"/>
      <c r="DI930" s="11"/>
      <c r="DJ930" s="11"/>
      <c r="DK930" s="26"/>
      <c r="DL930" s="11"/>
      <c r="DM930" s="29"/>
      <c r="DN930" s="28"/>
      <c r="DO930" s="11"/>
      <c r="DP930" s="11"/>
      <c r="DQ930" s="11"/>
      <c r="DR930" s="29"/>
      <c r="DS930" s="28"/>
      <c r="DT930" s="11"/>
      <c r="DU930" s="26"/>
      <c r="DV930" s="11"/>
      <c r="DW930" s="29"/>
      <c r="DX930" s="28"/>
      <c r="DY930" s="11"/>
      <c r="DZ930" s="26"/>
      <c r="EA930" s="11"/>
      <c r="EB930" s="29"/>
      <c r="EC930" s="28"/>
      <c r="ED930" s="30"/>
      <c r="EE930" s="30" t="str">
        <f ca="1">IFERROR(__xludf.DUMMYFUNCTION("iferror(index(filter('Internal -- Trademark Countries'!E$2:E1000, (AM930 = 'Internal -- Trademark Countries'!B$2:B1000) + (AM930 = 'Internal -- Trademark Countries'!C$2:C1000) + (AM930 = 'Internal -- Trademark Countries'!D$2:D1000)), 1))"),"")</f>
        <v/>
      </c>
      <c r="EF930" s="30" t="e">
        <f ca="1">_xludf.ifs(AM930="", "", COUNTIF('Internal -- Trademark Countries'!B:B,AM930) &gt; 0, "polity_shortest_name", COUNTIF('Internal -- Trademark Countries'!C:C,AM930) &gt; 0, "polity_full_name", COUNTIF('Internal -- Trademark Countries'!D:D,AM930) &gt; 0, "polity_common_name", COUNTIF('Internal -- Trademark Countries'!E:E,AM930) &gt; 0, "shortest_name", COUNTIF('Internal -- Trademark Countries'!A:A,AM930) &gt; 0, "full_name", TRUE, "not a match")</f>
        <v>#NAME?</v>
      </c>
      <c r="EG930" s="30"/>
      <c r="EH930" s="30"/>
      <c r="EI930" s="30"/>
      <c r="EJ930" s="30"/>
      <c r="EK930" s="30" t="str">
        <f t="shared" si="5"/>
        <v/>
      </c>
    </row>
    <row r="931" spans="1:141" ht="16.5">
      <c r="A931" s="11"/>
      <c r="B931" s="11"/>
      <c r="C931" s="11"/>
      <c r="D931" s="11"/>
      <c r="E931" s="11"/>
      <c r="F931" s="11"/>
      <c r="G931" s="11"/>
      <c r="H931" s="11"/>
      <c r="I931" s="11"/>
      <c r="J931" s="11"/>
      <c r="K931" s="27"/>
      <c r="L931" s="11"/>
      <c r="M931" s="11"/>
      <c r="N931" s="11"/>
      <c r="O931" s="11"/>
      <c r="P931" s="15"/>
      <c r="Q931" s="15"/>
      <c r="R931" s="15"/>
      <c r="S931" s="15"/>
      <c r="T931" s="15"/>
      <c r="U931" s="15"/>
      <c r="V931" s="15"/>
      <c r="W931" s="47"/>
      <c r="X931" s="11"/>
      <c r="Y931" s="48"/>
      <c r="Z931" s="11"/>
      <c r="AA931" s="48"/>
      <c r="AB931" s="11"/>
      <c r="AC931" s="48"/>
      <c r="AD931" s="11"/>
      <c r="AE931" s="47"/>
      <c r="AF931" s="11"/>
      <c r="AG931" s="48"/>
      <c r="AH931" s="11"/>
      <c r="AI931" s="48"/>
      <c r="AJ931" s="11"/>
      <c r="AK931" s="48"/>
      <c r="AL931" s="11"/>
      <c r="AM931" s="49"/>
      <c r="AN931" s="49"/>
      <c r="AO931" s="11"/>
      <c r="AP931" s="11"/>
      <c r="AQ931" s="28" t="b">
        <f>IF(COUNTIF(SmartStatus!A$2:A1000, AM931) &gt; 2, TRUE, FALSE)</f>
        <v>0</v>
      </c>
      <c r="AR931" s="29" t="str">
        <f ca="1">IFERROR(__xludf.DUMMYFUNCTION("iferror(if(regexmatch(AO931, ""(?i)^registered""), if(EE931 &lt;&gt; ""polity_shortest_name"", ""CHECK_POLITY"", index(filter(SmartStatus!B$2:B1000, AM931 = SmartStatus!A$2:A1000, not(SmartStatus!C$2:C1000), (isblank(SmartStatus!D$2:D1000)) + ((P931 &lt;&gt; """") * "&amp;"(P931 &lt; SmartStatus!D$2:D1000)), (isblank(SmartStatus!E$2:E1000)) + ((P931 &lt;&gt; """") * (P931 &gt;= SmartStatus!E$2:E1000)), (isblank(SmartStatus!F$2:F1000)) + (((Q931 &lt;&gt; """") * (Q931 &lt; SmartStatus!F$2:F1000)) + ((P931 &lt;&gt; """") * (date(year(P931) + 3, month(P"&amp;"931), day(P931)) &lt; SmartStatus!F$2:F1000))), (isblank(SmartStatus!G$2:G1000)) + (((Q931 &lt;&gt; """") * (Q931 &gt;= SmartStatus!G$2:G1000)) + ((P931 &lt;&gt; """") * (P931 &gt;= SmartStatus!G$2:G1000)))), if(or(regexmatch(B931, ""(?i)^ir [a-z]+ designation$""), N931 &lt;&gt; """&amp;"""), 1, 2))), """"), ""NO_MATCH"")"),"")</f>
        <v/>
      </c>
      <c r="AS931" s="11"/>
      <c r="AT931" s="15"/>
      <c r="AU931" s="11"/>
      <c r="AV931" s="11"/>
      <c r="AW931" s="15"/>
      <c r="AX931" s="15"/>
      <c r="AY931" s="15"/>
      <c r="AZ931" s="11"/>
      <c r="BA931" s="15"/>
      <c r="BB931" s="11"/>
      <c r="BC931" s="11"/>
      <c r="BD931" s="15"/>
      <c r="BE931" s="11"/>
      <c r="BF931" s="11"/>
      <c r="BG931" s="15"/>
      <c r="BH931" s="15"/>
      <c r="BI931" s="15"/>
      <c r="BJ931" s="11"/>
      <c r="BK931" s="15"/>
      <c r="BL931" s="11"/>
      <c r="BM931" s="11"/>
      <c r="BN931" s="15"/>
      <c r="BO931" s="11"/>
      <c r="BP931" s="11"/>
      <c r="BQ931" s="15"/>
      <c r="BR931" s="15"/>
      <c r="BS931" s="15"/>
      <c r="BT931" s="11"/>
      <c r="BU931" s="15"/>
      <c r="BV931" s="11"/>
      <c r="BW931" s="11"/>
      <c r="BX931" s="15"/>
      <c r="BY931" s="11"/>
      <c r="BZ931" s="11"/>
      <c r="CA931" s="15"/>
      <c r="CB931" s="11"/>
      <c r="CC931" s="15"/>
      <c r="CD931" s="11"/>
      <c r="CE931" s="15"/>
      <c r="CF931" s="11"/>
      <c r="CG931" s="11"/>
      <c r="CH931" s="15"/>
      <c r="CI931" s="11"/>
      <c r="CJ931" s="11"/>
      <c r="CK931" s="15"/>
      <c r="CL931" s="11"/>
      <c r="CM931" s="11"/>
      <c r="CN931" s="11"/>
      <c r="CO931" s="11"/>
      <c r="CP931" s="28"/>
      <c r="CQ931" s="28"/>
      <c r="CR931" s="11"/>
      <c r="CS931" s="29"/>
      <c r="CT931" s="11"/>
      <c r="CU931" s="11"/>
      <c r="CV931" s="11"/>
      <c r="CW931" s="11"/>
      <c r="CX931" s="11"/>
      <c r="CY931" s="11"/>
      <c r="CZ931" s="11"/>
      <c r="DA931" s="28"/>
      <c r="DB931" s="28"/>
      <c r="DC931" s="11"/>
      <c r="DD931" s="29"/>
      <c r="DE931" s="11"/>
      <c r="DF931" s="11"/>
      <c r="DG931" s="11"/>
      <c r="DH931" s="11"/>
      <c r="DI931" s="11"/>
      <c r="DJ931" s="11"/>
      <c r="DK931" s="26"/>
      <c r="DL931" s="11"/>
      <c r="DM931" s="29"/>
      <c r="DN931" s="28"/>
      <c r="DO931" s="11"/>
      <c r="DP931" s="11"/>
      <c r="DQ931" s="11"/>
      <c r="DR931" s="29"/>
      <c r="DS931" s="28"/>
      <c r="DT931" s="11"/>
      <c r="DU931" s="26"/>
      <c r="DV931" s="11"/>
      <c r="DW931" s="29"/>
      <c r="DX931" s="28"/>
      <c r="DY931" s="11"/>
      <c r="DZ931" s="26"/>
      <c r="EA931" s="11"/>
      <c r="EB931" s="29"/>
      <c r="EC931" s="28"/>
      <c r="ED931" s="30"/>
      <c r="EE931" s="30" t="str">
        <f ca="1">IFERROR(__xludf.DUMMYFUNCTION("iferror(index(filter('Internal -- Trademark Countries'!E$2:E1000, (AM931 = 'Internal -- Trademark Countries'!B$2:B1000) + (AM931 = 'Internal -- Trademark Countries'!C$2:C1000) + (AM931 = 'Internal -- Trademark Countries'!D$2:D1000)), 1))"),"")</f>
        <v/>
      </c>
      <c r="EF931" s="30" t="e">
        <f ca="1">_xludf.ifs(AM931="", "", COUNTIF('Internal -- Trademark Countries'!B:B,AM931) &gt; 0, "polity_shortest_name", COUNTIF('Internal -- Trademark Countries'!C:C,AM931) &gt; 0, "polity_full_name", COUNTIF('Internal -- Trademark Countries'!D:D,AM931) &gt; 0, "polity_common_name", COUNTIF('Internal -- Trademark Countries'!E:E,AM931) &gt; 0, "shortest_name", COUNTIF('Internal -- Trademark Countries'!A:A,AM931) &gt; 0, "full_name", TRUE, "not a match")</f>
        <v>#NAME?</v>
      </c>
      <c r="EG931" s="30"/>
      <c r="EH931" s="30"/>
      <c r="EI931" s="30"/>
      <c r="EJ931" s="30"/>
      <c r="EK931" s="30" t="str">
        <f t="shared" si="5"/>
        <v/>
      </c>
    </row>
    <row r="932" spans="1:141" ht="16.5">
      <c r="A932" s="11"/>
      <c r="B932" s="11"/>
      <c r="C932" s="11"/>
      <c r="D932" s="11"/>
      <c r="E932" s="11"/>
      <c r="F932" s="11"/>
      <c r="G932" s="11"/>
      <c r="H932" s="11"/>
      <c r="I932" s="11"/>
      <c r="J932" s="11"/>
      <c r="K932" s="27"/>
      <c r="L932" s="11"/>
      <c r="M932" s="11"/>
      <c r="N932" s="11"/>
      <c r="O932" s="11"/>
      <c r="P932" s="15"/>
      <c r="Q932" s="15"/>
      <c r="R932" s="15"/>
      <c r="S932" s="15"/>
      <c r="T932" s="15"/>
      <c r="U932" s="15"/>
      <c r="V932" s="15"/>
      <c r="W932" s="47"/>
      <c r="X932" s="11"/>
      <c r="Y932" s="48"/>
      <c r="Z932" s="11"/>
      <c r="AA932" s="48"/>
      <c r="AB932" s="11"/>
      <c r="AC932" s="48"/>
      <c r="AD932" s="11"/>
      <c r="AE932" s="47"/>
      <c r="AF932" s="11"/>
      <c r="AG932" s="48"/>
      <c r="AH932" s="11"/>
      <c r="AI932" s="48"/>
      <c r="AJ932" s="11"/>
      <c r="AK932" s="48"/>
      <c r="AL932" s="11"/>
      <c r="AM932" s="49"/>
      <c r="AN932" s="49"/>
      <c r="AO932" s="11"/>
      <c r="AP932" s="11"/>
      <c r="AQ932" s="28" t="b">
        <f>IF(COUNTIF(SmartStatus!A$2:A1000, AM932) &gt; 2, TRUE, FALSE)</f>
        <v>0</v>
      </c>
      <c r="AR932" s="29" t="str">
        <f ca="1">IFERROR(__xludf.DUMMYFUNCTION("iferror(if(regexmatch(AO932, ""(?i)^registered""), if(EE932 &lt;&gt; ""polity_shortest_name"", ""CHECK_POLITY"", index(filter(SmartStatus!B$2:B1000, AM932 = SmartStatus!A$2:A1000, not(SmartStatus!C$2:C1000), (isblank(SmartStatus!D$2:D1000)) + ((P932 &lt;&gt; """") * "&amp;"(P932 &lt; SmartStatus!D$2:D1000)), (isblank(SmartStatus!E$2:E1000)) + ((P932 &lt;&gt; """") * (P932 &gt;= SmartStatus!E$2:E1000)), (isblank(SmartStatus!F$2:F1000)) + (((Q932 &lt;&gt; """") * (Q932 &lt; SmartStatus!F$2:F1000)) + ((P932 &lt;&gt; """") * (date(year(P932) + 3, month(P"&amp;"932), day(P932)) &lt; SmartStatus!F$2:F1000))), (isblank(SmartStatus!G$2:G1000)) + (((Q932 &lt;&gt; """") * (Q932 &gt;= SmartStatus!G$2:G1000)) + ((P932 &lt;&gt; """") * (P932 &gt;= SmartStatus!G$2:G1000)))), if(or(regexmatch(B932, ""(?i)^ir [a-z]+ designation$""), N932 &lt;&gt; """&amp;"""), 1, 2))), """"), ""NO_MATCH"")"),"")</f>
        <v/>
      </c>
      <c r="AS932" s="11"/>
      <c r="AT932" s="15"/>
      <c r="AU932" s="11"/>
      <c r="AV932" s="11"/>
      <c r="AW932" s="15"/>
      <c r="AX932" s="15"/>
      <c r="AY932" s="15"/>
      <c r="AZ932" s="11"/>
      <c r="BA932" s="15"/>
      <c r="BB932" s="11"/>
      <c r="BC932" s="11"/>
      <c r="BD932" s="15"/>
      <c r="BE932" s="11"/>
      <c r="BF932" s="11"/>
      <c r="BG932" s="15"/>
      <c r="BH932" s="15"/>
      <c r="BI932" s="15"/>
      <c r="BJ932" s="11"/>
      <c r="BK932" s="15"/>
      <c r="BL932" s="11"/>
      <c r="BM932" s="11"/>
      <c r="BN932" s="15"/>
      <c r="BO932" s="11"/>
      <c r="BP932" s="11"/>
      <c r="BQ932" s="15"/>
      <c r="BR932" s="15"/>
      <c r="BS932" s="15"/>
      <c r="BT932" s="11"/>
      <c r="BU932" s="15"/>
      <c r="BV932" s="11"/>
      <c r="BW932" s="11"/>
      <c r="BX932" s="15"/>
      <c r="BY932" s="11"/>
      <c r="BZ932" s="11"/>
      <c r="CA932" s="15"/>
      <c r="CB932" s="11"/>
      <c r="CC932" s="15"/>
      <c r="CD932" s="11"/>
      <c r="CE932" s="15"/>
      <c r="CF932" s="11"/>
      <c r="CG932" s="11"/>
      <c r="CH932" s="15"/>
      <c r="CI932" s="11"/>
      <c r="CJ932" s="11"/>
      <c r="CK932" s="15"/>
      <c r="CL932" s="11"/>
      <c r="CM932" s="11"/>
      <c r="CN932" s="11"/>
      <c r="CO932" s="11"/>
      <c r="CP932" s="28"/>
      <c r="CQ932" s="28"/>
      <c r="CR932" s="11"/>
      <c r="CS932" s="29"/>
      <c r="CT932" s="11"/>
      <c r="CU932" s="11"/>
      <c r="CV932" s="11"/>
      <c r="CW932" s="11"/>
      <c r="CX932" s="11"/>
      <c r="CY932" s="11"/>
      <c r="CZ932" s="11"/>
      <c r="DA932" s="28"/>
      <c r="DB932" s="28"/>
      <c r="DC932" s="11"/>
      <c r="DD932" s="29"/>
      <c r="DE932" s="11"/>
      <c r="DF932" s="11"/>
      <c r="DG932" s="11"/>
      <c r="DH932" s="11"/>
      <c r="DI932" s="11"/>
      <c r="DJ932" s="11"/>
      <c r="DK932" s="26"/>
      <c r="DL932" s="11"/>
      <c r="DM932" s="29"/>
      <c r="DN932" s="28"/>
      <c r="DO932" s="11"/>
      <c r="DP932" s="11"/>
      <c r="DQ932" s="11"/>
      <c r="DR932" s="29"/>
      <c r="DS932" s="28"/>
      <c r="DT932" s="11"/>
      <c r="DU932" s="26"/>
      <c r="DV932" s="11"/>
      <c r="DW932" s="29"/>
      <c r="DX932" s="28"/>
      <c r="DY932" s="11"/>
      <c r="DZ932" s="26"/>
      <c r="EA932" s="11"/>
      <c r="EB932" s="29"/>
      <c r="EC932" s="28"/>
      <c r="ED932" s="30"/>
      <c r="EE932" s="30" t="str">
        <f ca="1">IFERROR(__xludf.DUMMYFUNCTION("iferror(index(filter('Internal -- Trademark Countries'!E$2:E1000, (AM932 = 'Internal -- Trademark Countries'!B$2:B1000) + (AM932 = 'Internal -- Trademark Countries'!C$2:C1000) + (AM932 = 'Internal -- Trademark Countries'!D$2:D1000)), 1))"),"")</f>
        <v/>
      </c>
      <c r="EF932" s="30" t="e">
        <f ca="1">_xludf.ifs(AM932="", "", COUNTIF('Internal -- Trademark Countries'!B:B,AM932) &gt; 0, "polity_shortest_name", COUNTIF('Internal -- Trademark Countries'!C:C,AM932) &gt; 0, "polity_full_name", COUNTIF('Internal -- Trademark Countries'!D:D,AM932) &gt; 0, "polity_common_name", COUNTIF('Internal -- Trademark Countries'!E:E,AM932) &gt; 0, "shortest_name", COUNTIF('Internal -- Trademark Countries'!A:A,AM932) &gt; 0, "full_name", TRUE, "not a match")</f>
        <v>#NAME?</v>
      </c>
      <c r="EG932" s="30"/>
      <c r="EH932" s="30"/>
      <c r="EI932" s="30"/>
      <c r="EJ932" s="30"/>
      <c r="EK932" s="30" t="str">
        <f t="shared" si="5"/>
        <v/>
      </c>
    </row>
    <row r="933" spans="1:141" ht="16.5">
      <c r="A933" s="11"/>
      <c r="B933" s="11"/>
      <c r="C933" s="11"/>
      <c r="D933" s="11"/>
      <c r="E933" s="11"/>
      <c r="F933" s="11"/>
      <c r="G933" s="11"/>
      <c r="H933" s="11"/>
      <c r="I933" s="11"/>
      <c r="J933" s="11"/>
      <c r="K933" s="27"/>
      <c r="L933" s="11"/>
      <c r="M933" s="11"/>
      <c r="N933" s="11"/>
      <c r="O933" s="11"/>
      <c r="P933" s="15"/>
      <c r="Q933" s="15"/>
      <c r="R933" s="15"/>
      <c r="S933" s="15"/>
      <c r="T933" s="15"/>
      <c r="U933" s="15"/>
      <c r="V933" s="15"/>
      <c r="W933" s="47"/>
      <c r="X933" s="11"/>
      <c r="Y933" s="48"/>
      <c r="Z933" s="11"/>
      <c r="AA933" s="48"/>
      <c r="AB933" s="11"/>
      <c r="AC933" s="48"/>
      <c r="AD933" s="11"/>
      <c r="AE933" s="47"/>
      <c r="AF933" s="11"/>
      <c r="AG933" s="48"/>
      <c r="AH933" s="11"/>
      <c r="AI933" s="48"/>
      <c r="AJ933" s="11"/>
      <c r="AK933" s="48"/>
      <c r="AL933" s="11"/>
      <c r="AM933" s="49"/>
      <c r="AN933" s="49"/>
      <c r="AO933" s="11"/>
      <c r="AP933" s="11"/>
      <c r="AQ933" s="28" t="b">
        <f>IF(COUNTIF(SmartStatus!A$2:A1000, AM933) &gt; 2, TRUE, FALSE)</f>
        <v>0</v>
      </c>
      <c r="AR933" s="29" t="str">
        <f ca="1">IFERROR(__xludf.DUMMYFUNCTION("iferror(if(regexmatch(AO933, ""(?i)^registered""), if(EE933 &lt;&gt; ""polity_shortest_name"", ""CHECK_POLITY"", index(filter(SmartStatus!B$2:B1000, AM933 = SmartStatus!A$2:A1000, not(SmartStatus!C$2:C1000), (isblank(SmartStatus!D$2:D1000)) + ((P933 &lt;&gt; """") * "&amp;"(P933 &lt; SmartStatus!D$2:D1000)), (isblank(SmartStatus!E$2:E1000)) + ((P933 &lt;&gt; """") * (P933 &gt;= SmartStatus!E$2:E1000)), (isblank(SmartStatus!F$2:F1000)) + (((Q933 &lt;&gt; """") * (Q933 &lt; SmartStatus!F$2:F1000)) + ((P933 &lt;&gt; """") * (date(year(P933) + 3, month(P"&amp;"933), day(P933)) &lt; SmartStatus!F$2:F1000))), (isblank(SmartStatus!G$2:G1000)) + (((Q933 &lt;&gt; """") * (Q933 &gt;= SmartStatus!G$2:G1000)) + ((P933 &lt;&gt; """") * (P933 &gt;= SmartStatus!G$2:G1000)))), if(or(regexmatch(B933, ""(?i)^ir [a-z]+ designation$""), N933 &lt;&gt; """&amp;"""), 1, 2))), """"), ""NO_MATCH"")"),"")</f>
        <v/>
      </c>
      <c r="AS933" s="11"/>
      <c r="AT933" s="15"/>
      <c r="AU933" s="11"/>
      <c r="AV933" s="11"/>
      <c r="AW933" s="15"/>
      <c r="AX933" s="15"/>
      <c r="AY933" s="15"/>
      <c r="AZ933" s="11"/>
      <c r="BA933" s="15"/>
      <c r="BB933" s="11"/>
      <c r="BC933" s="11"/>
      <c r="BD933" s="15"/>
      <c r="BE933" s="11"/>
      <c r="BF933" s="11"/>
      <c r="BG933" s="15"/>
      <c r="BH933" s="15"/>
      <c r="BI933" s="15"/>
      <c r="BJ933" s="11"/>
      <c r="BK933" s="15"/>
      <c r="BL933" s="11"/>
      <c r="BM933" s="11"/>
      <c r="BN933" s="15"/>
      <c r="BO933" s="11"/>
      <c r="BP933" s="11"/>
      <c r="BQ933" s="15"/>
      <c r="BR933" s="15"/>
      <c r="BS933" s="15"/>
      <c r="BT933" s="11"/>
      <c r="BU933" s="15"/>
      <c r="BV933" s="11"/>
      <c r="BW933" s="11"/>
      <c r="BX933" s="15"/>
      <c r="BY933" s="11"/>
      <c r="BZ933" s="11"/>
      <c r="CA933" s="15"/>
      <c r="CB933" s="11"/>
      <c r="CC933" s="15"/>
      <c r="CD933" s="11"/>
      <c r="CE933" s="15"/>
      <c r="CF933" s="11"/>
      <c r="CG933" s="11"/>
      <c r="CH933" s="15"/>
      <c r="CI933" s="11"/>
      <c r="CJ933" s="11"/>
      <c r="CK933" s="15"/>
      <c r="CL933" s="11"/>
      <c r="CM933" s="11"/>
      <c r="CN933" s="11"/>
      <c r="CO933" s="11"/>
      <c r="CP933" s="28"/>
      <c r="CQ933" s="28"/>
      <c r="CR933" s="11"/>
      <c r="CS933" s="29"/>
      <c r="CT933" s="11"/>
      <c r="CU933" s="11"/>
      <c r="CV933" s="11"/>
      <c r="CW933" s="11"/>
      <c r="CX933" s="11"/>
      <c r="CY933" s="11"/>
      <c r="CZ933" s="11"/>
      <c r="DA933" s="28"/>
      <c r="DB933" s="28"/>
      <c r="DC933" s="11"/>
      <c r="DD933" s="29"/>
      <c r="DE933" s="11"/>
      <c r="DF933" s="11"/>
      <c r="DG933" s="11"/>
      <c r="DH933" s="11"/>
      <c r="DI933" s="11"/>
      <c r="DJ933" s="11"/>
      <c r="DK933" s="26"/>
      <c r="DL933" s="11"/>
      <c r="DM933" s="29"/>
      <c r="DN933" s="28"/>
      <c r="DO933" s="11"/>
      <c r="DP933" s="11"/>
      <c r="DQ933" s="11"/>
      <c r="DR933" s="29"/>
      <c r="DS933" s="28"/>
      <c r="DT933" s="11"/>
      <c r="DU933" s="26"/>
      <c r="DV933" s="11"/>
      <c r="DW933" s="29"/>
      <c r="DX933" s="28"/>
      <c r="DY933" s="11"/>
      <c r="DZ933" s="26"/>
      <c r="EA933" s="11"/>
      <c r="EB933" s="29"/>
      <c r="EC933" s="28"/>
      <c r="ED933" s="30"/>
      <c r="EE933" s="30" t="str">
        <f ca="1">IFERROR(__xludf.DUMMYFUNCTION("iferror(index(filter('Internal -- Trademark Countries'!E$2:E1000, (AM933 = 'Internal -- Trademark Countries'!B$2:B1000) + (AM933 = 'Internal -- Trademark Countries'!C$2:C1000) + (AM933 = 'Internal -- Trademark Countries'!D$2:D1000)), 1))"),"")</f>
        <v/>
      </c>
      <c r="EF933" s="30" t="e">
        <f ca="1">_xludf.ifs(AM933="", "", COUNTIF('Internal -- Trademark Countries'!B:B,AM933) &gt; 0, "polity_shortest_name", COUNTIF('Internal -- Trademark Countries'!C:C,AM933) &gt; 0, "polity_full_name", COUNTIF('Internal -- Trademark Countries'!D:D,AM933) &gt; 0, "polity_common_name", COUNTIF('Internal -- Trademark Countries'!E:E,AM933) &gt; 0, "shortest_name", COUNTIF('Internal -- Trademark Countries'!A:A,AM933) &gt; 0, "full_name", TRUE, "not a match")</f>
        <v>#NAME?</v>
      </c>
      <c r="EG933" s="30"/>
      <c r="EH933" s="30"/>
      <c r="EI933" s="30"/>
      <c r="EJ933" s="30"/>
      <c r="EK933" s="30" t="str">
        <f t="shared" si="5"/>
        <v/>
      </c>
    </row>
    <row r="934" spans="1:141" ht="16.5">
      <c r="A934" s="11"/>
      <c r="B934" s="11"/>
      <c r="C934" s="11"/>
      <c r="D934" s="11"/>
      <c r="E934" s="11"/>
      <c r="F934" s="11"/>
      <c r="G934" s="11"/>
      <c r="H934" s="11"/>
      <c r="I934" s="11"/>
      <c r="J934" s="11"/>
      <c r="K934" s="27"/>
      <c r="L934" s="11"/>
      <c r="M934" s="11"/>
      <c r="N934" s="11"/>
      <c r="O934" s="11"/>
      <c r="P934" s="15"/>
      <c r="Q934" s="15"/>
      <c r="R934" s="15"/>
      <c r="S934" s="15"/>
      <c r="T934" s="15"/>
      <c r="U934" s="15"/>
      <c r="V934" s="15"/>
      <c r="W934" s="47"/>
      <c r="X934" s="11"/>
      <c r="Y934" s="48"/>
      <c r="Z934" s="11"/>
      <c r="AA934" s="48"/>
      <c r="AB934" s="11"/>
      <c r="AC934" s="48"/>
      <c r="AD934" s="11"/>
      <c r="AE934" s="47"/>
      <c r="AF934" s="11"/>
      <c r="AG934" s="48"/>
      <c r="AH934" s="11"/>
      <c r="AI934" s="48"/>
      <c r="AJ934" s="11"/>
      <c r="AK934" s="48"/>
      <c r="AL934" s="11"/>
      <c r="AM934" s="49"/>
      <c r="AN934" s="49"/>
      <c r="AO934" s="11"/>
      <c r="AP934" s="11"/>
      <c r="AQ934" s="28" t="b">
        <f>IF(COUNTIF(SmartStatus!A$2:A1000, AM934) &gt; 2, TRUE, FALSE)</f>
        <v>0</v>
      </c>
      <c r="AR934" s="29" t="str">
        <f ca="1">IFERROR(__xludf.DUMMYFUNCTION("iferror(if(regexmatch(AO934, ""(?i)^registered""), if(EE934 &lt;&gt; ""polity_shortest_name"", ""CHECK_POLITY"", index(filter(SmartStatus!B$2:B1000, AM934 = SmartStatus!A$2:A1000, not(SmartStatus!C$2:C1000), (isblank(SmartStatus!D$2:D1000)) + ((P934 &lt;&gt; """") * "&amp;"(P934 &lt; SmartStatus!D$2:D1000)), (isblank(SmartStatus!E$2:E1000)) + ((P934 &lt;&gt; """") * (P934 &gt;= SmartStatus!E$2:E1000)), (isblank(SmartStatus!F$2:F1000)) + (((Q934 &lt;&gt; """") * (Q934 &lt; SmartStatus!F$2:F1000)) + ((P934 &lt;&gt; """") * (date(year(P934) + 3, month(P"&amp;"934), day(P934)) &lt; SmartStatus!F$2:F1000))), (isblank(SmartStatus!G$2:G1000)) + (((Q934 &lt;&gt; """") * (Q934 &gt;= SmartStatus!G$2:G1000)) + ((P934 &lt;&gt; """") * (P934 &gt;= SmartStatus!G$2:G1000)))), if(or(regexmatch(B934, ""(?i)^ir [a-z]+ designation$""), N934 &lt;&gt; """&amp;"""), 1, 2))), """"), ""NO_MATCH"")"),"")</f>
        <v/>
      </c>
      <c r="AS934" s="11"/>
      <c r="AT934" s="15"/>
      <c r="AU934" s="11"/>
      <c r="AV934" s="11"/>
      <c r="AW934" s="15"/>
      <c r="AX934" s="15"/>
      <c r="AY934" s="15"/>
      <c r="AZ934" s="11"/>
      <c r="BA934" s="15"/>
      <c r="BB934" s="11"/>
      <c r="BC934" s="11"/>
      <c r="BD934" s="15"/>
      <c r="BE934" s="11"/>
      <c r="BF934" s="11"/>
      <c r="BG934" s="15"/>
      <c r="BH934" s="15"/>
      <c r="BI934" s="15"/>
      <c r="BJ934" s="11"/>
      <c r="BK934" s="15"/>
      <c r="BL934" s="11"/>
      <c r="BM934" s="11"/>
      <c r="BN934" s="15"/>
      <c r="BO934" s="11"/>
      <c r="BP934" s="11"/>
      <c r="BQ934" s="15"/>
      <c r="BR934" s="15"/>
      <c r="BS934" s="15"/>
      <c r="BT934" s="11"/>
      <c r="BU934" s="15"/>
      <c r="BV934" s="11"/>
      <c r="BW934" s="11"/>
      <c r="BX934" s="15"/>
      <c r="BY934" s="11"/>
      <c r="BZ934" s="11"/>
      <c r="CA934" s="15"/>
      <c r="CB934" s="11"/>
      <c r="CC934" s="15"/>
      <c r="CD934" s="11"/>
      <c r="CE934" s="15"/>
      <c r="CF934" s="11"/>
      <c r="CG934" s="11"/>
      <c r="CH934" s="15"/>
      <c r="CI934" s="11"/>
      <c r="CJ934" s="11"/>
      <c r="CK934" s="15"/>
      <c r="CL934" s="11"/>
      <c r="CM934" s="11"/>
      <c r="CN934" s="11"/>
      <c r="CO934" s="11"/>
      <c r="CP934" s="28"/>
      <c r="CQ934" s="28"/>
      <c r="CR934" s="11"/>
      <c r="CS934" s="29"/>
      <c r="CT934" s="11"/>
      <c r="CU934" s="11"/>
      <c r="CV934" s="11"/>
      <c r="CW934" s="11"/>
      <c r="CX934" s="11"/>
      <c r="CY934" s="11"/>
      <c r="CZ934" s="11"/>
      <c r="DA934" s="28"/>
      <c r="DB934" s="28"/>
      <c r="DC934" s="11"/>
      <c r="DD934" s="29"/>
      <c r="DE934" s="11"/>
      <c r="DF934" s="11"/>
      <c r="DG934" s="11"/>
      <c r="DH934" s="11"/>
      <c r="DI934" s="11"/>
      <c r="DJ934" s="11"/>
      <c r="DK934" s="26"/>
      <c r="DL934" s="11"/>
      <c r="DM934" s="29"/>
      <c r="DN934" s="28"/>
      <c r="DO934" s="11"/>
      <c r="DP934" s="11"/>
      <c r="DQ934" s="11"/>
      <c r="DR934" s="29"/>
      <c r="DS934" s="28"/>
      <c r="DT934" s="11"/>
      <c r="DU934" s="26"/>
      <c r="DV934" s="11"/>
      <c r="DW934" s="29"/>
      <c r="DX934" s="28"/>
      <c r="DY934" s="11"/>
      <c r="DZ934" s="26"/>
      <c r="EA934" s="11"/>
      <c r="EB934" s="29"/>
      <c r="EC934" s="28"/>
      <c r="ED934" s="30"/>
      <c r="EE934" s="30" t="str">
        <f ca="1">IFERROR(__xludf.DUMMYFUNCTION("iferror(index(filter('Internal -- Trademark Countries'!E$2:E1000, (AM934 = 'Internal -- Trademark Countries'!B$2:B1000) + (AM934 = 'Internal -- Trademark Countries'!C$2:C1000) + (AM934 = 'Internal -- Trademark Countries'!D$2:D1000)), 1))"),"")</f>
        <v/>
      </c>
      <c r="EF934" s="30" t="e">
        <f ca="1">_xludf.ifs(AM934="", "", COUNTIF('Internal -- Trademark Countries'!B:B,AM934) &gt; 0, "polity_shortest_name", COUNTIF('Internal -- Trademark Countries'!C:C,AM934) &gt; 0, "polity_full_name", COUNTIF('Internal -- Trademark Countries'!D:D,AM934) &gt; 0, "polity_common_name", COUNTIF('Internal -- Trademark Countries'!E:E,AM934) &gt; 0, "shortest_name", COUNTIF('Internal -- Trademark Countries'!A:A,AM934) &gt; 0, "full_name", TRUE, "not a match")</f>
        <v>#NAME?</v>
      </c>
      <c r="EG934" s="30"/>
      <c r="EH934" s="30"/>
      <c r="EI934" s="30"/>
      <c r="EJ934" s="30"/>
      <c r="EK934" s="30" t="str">
        <f t="shared" si="5"/>
        <v/>
      </c>
    </row>
    <row r="935" spans="1:141" ht="16.5">
      <c r="A935" s="11"/>
      <c r="B935" s="11"/>
      <c r="C935" s="11"/>
      <c r="D935" s="11"/>
      <c r="E935" s="11"/>
      <c r="F935" s="11"/>
      <c r="G935" s="11"/>
      <c r="H935" s="11"/>
      <c r="I935" s="11"/>
      <c r="J935" s="11"/>
      <c r="K935" s="27"/>
      <c r="L935" s="11"/>
      <c r="M935" s="11"/>
      <c r="N935" s="11"/>
      <c r="O935" s="11"/>
      <c r="P935" s="15"/>
      <c r="Q935" s="15"/>
      <c r="R935" s="15"/>
      <c r="S935" s="15"/>
      <c r="T935" s="15"/>
      <c r="U935" s="15"/>
      <c r="V935" s="15"/>
      <c r="W935" s="47"/>
      <c r="X935" s="11"/>
      <c r="Y935" s="48"/>
      <c r="Z935" s="11"/>
      <c r="AA935" s="48"/>
      <c r="AB935" s="11"/>
      <c r="AC935" s="48"/>
      <c r="AD935" s="11"/>
      <c r="AE935" s="47"/>
      <c r="AF935" s="11"/>
      <c r="AG935" s="48"/>
      <c r="AH935" s="11"/>
      <c r="AI935" s="48"/>
      <c r="AJ935" s="11"/>
      <c r="AK935" s="48"/>
      <c r="AL935" s="11"/>
      <c r="AM935" s="49"/>
      <c r="AN935" s="49"/>
      <c r="AO935" s="11"/>
      <c r="AP935" s="11"/>
      <c r="AQ935" s="28" t="b">
        <f>IF(COUNTIF(SmartStatus!A$2:A1000, AM935) &gt; 2, TRUE, FALSE)</f>
        <v>0</v>
      </c>
      <c r="AR935" s="29" t="str">
        <f ca="1">IFERROR(__xludf.DUMMYFUNCTION("iferror(if(regexmatch(AO935, ""(?i)^registered""), if(EE935 &lt;&gt; ""polity_shortest_name"", ""CHECK_POLITY"", index(filter(SmartStatus!B$2:B1000, AM935 = SmartStatus!A$2:A1000, not(SmartStatus!C$2:C1000), (isblank(SmartStatus!D$2:D1000)) + ((P935 &lt;&gt; """") * "&amp;"(P935 &lt; SmartStatus!D$2:D1000)), (isblank(SmartStatus!E$2:E1000)) + ((P935 &lt;&gt; """") * (P935 &gt;= SmartStatus!E$2:E1000)), (isblank(SmartStatus!F$2:F1000)) + (((Q935 &lt;&gt; """") * (Q935 &lt; SmartStatus!F$2:F1000)) + ((P935 &lt;&gt; """") * (date(year(P935) + 3, month(P"&amp;"935), day(P935)) &lt; SmartStatus!F$2:F1000))), (isblank(SmartStatus!G$2:G1000)) + (((Q935 &lt;&gt; """") * (Q935 &gt;= SmartStatus!G$2:G1000)) + ((P935 &lt;&gt; """") * (P935 &gt;= SmartStatus!G$2:G1000)))), if(or(regexmatch(B935, ""(?i)^ir [a-z]+ designation$""), N935 &lt;&gt; """&amp;"""), 1, 2))), """"), ""NO_MATCH"")"),"")</f>
        <v/>
      </c>
      <c r="AS935" s="11"/>
      <c r="AT935" s="15"/>
      <c r="AU935" s="11"/>
      <c r="AV935" s="11"/>
      <c r="AW935" s="15"/>
      <c r="AX935" s="15"/>
      <c r="AY935" s="15"/>
      <c r="AZ935" s="11"/>
      <c r="BA935" s="15"/>
      <c r="BB935" s="11"/>
      <c r="BC935" s="11"/>
      <c r="BD935" s="15"/>
      <c r="BE935" s="11"/>
      <c r="BF935" s="11"/>
      <c r="BG935" s="15"/>
      <c r="BH935" s="15"/>
      <c r="BI935" s="15"/>
      <c r="BJ935" s="11"/>
      <c r="BK935" s="15"/>
      <c r="BL935" s="11"/>
      <c r="BM935" s="11"/>
      <c r="BN935" s="15"/>
      <c r="BO935" s="11"/>
      <c r="BP935" s="11"/>
      <c r="BQ935" s="15"/>
      <c r="BR935" s="15"/>
      <c r="BS935" s="15"/>
      <c r="BT935" s="11"/>
      <c r="BU935" s="15"/>
      <c r="BV935" s="11"/>
      <c r="BW935" s="11"/>
      <c r="BX935" s="15"/>
      <c r="BY935" s="11"/>
      <c r="BZ935" s="11"/>
      <c r="CA935" s="15"/>
      <c r="CB935" s="11"/>
      <c r="CC935" s="15"/>
      <c r="CD935" s="11"/>
      <c r="CE935" s="15"/>
      <c r="CF935" s="11"/>
      <c r="CG935" s="11"/>
      <c r="CH935" s="15"/>
      <c r="CI935" s="11"/>
      <c r="CJ935" s="11"/>
      <c r="CK935" s="15"/>
      <c r="CL935" s="11"/>
      <c r="CM935" s="11"/>
      <c r="CN935" s="11"/>
      <c r="CO935" s="11"/>
      <c r="CP935" s="28"/>
      <c r="CQ935" s="28"/>
      <c r="CR935" s="11"/>
      <c r="CS935" s="29"/>
      <c r="CT935" s="11"/>
      <c r="CU935" s="11"/>
      <c r="CV935" s="11"/>
      <c r="CW935" s="11"/>
      <c r="CX935" s="11"/>
      <c r="CY935" s="11"/>
      <c r="CZ935" s="11"/>
      <c r="DA935" s="28"/>
      <c r="DB935" s="28"/>
      <c r="DC935" s="11"/>
      <c r="DD935" s="29"/>
      <c r="DE935" s="11"/>
      <c r="DF935" s="11"/>
      <c r="DG935" s="11"/>
      <c r="DH935" s="11"/>
      <c r="DI935" s="11"/>
      <c r="DJ935" s="11"/>
      <c r="DK935" s="26"/>
      <c r="DL935" s="11"/>
      <c r="DM935" s="29"/>
      <c r="DN935" s="28"/>
      <c r="DO935" s="11"/>
      <c r="DP935" s="11"/>
      <c r="DQ935" s="11"/>
      <c r="DR935" s="29"/>
      <c r="DS935" s="28"/>
      <c r="DT935" s="11"/>
      <c r="DU935" s="26"/>
      <c r="DV935" s="11"/>
      <c r="DW935" s="29"/>
      <c r="DX935" s="28"/>
      <c r="DY935" s="11"/>
      <c r="DZ935" s="26"/>
      <c r="EA935" s="11"/>
      <c r="EB935" s="29"/>
      <c r="EC935" s="28"/>
      <c r="ED935" s="30"/>
      <c r="EE935" s="30" t="str">
        <f ca="1">IFERROR(__xludf.DUMMYFUNCTION("iferror(index(filter('Internal -- Trademark Countries'!E$2:E1000, (AM935 = 'Internal -- Trademark Countries'!B$2:B1000) + (AM935 = 'Internal -- Trademark Countries'!C$2:C1000) + (AM935 = 'Internal -- Trademark Countries'!D$2:D1000)), 1))"),"")</f>
        <v/>
      </c>
      <c r="EF935" s="30" t="e">
        <f ca="1">_xludf.ifs(AM935="", "", COUNTIF('Internal -- Trademark Countries'!B:B,AM935) &gt; 0, "polity_shortest_name", COUNTIF('Internal -- Trademark Countries'!C:C,AM935) &gt; 0, "polity_full_name", COUNTIF('Internal -- Trademark Countries'!D:D,AM935) &gt; 0, "polity_common_name", COUNTIF('Internal -- Trademark Countries'!E:E,AM935) &gt; 0, "shortest_name", COUNTIF('Internal -- Trademark Countries'!A:A,AM935) &gt; 0, "full_name", TRUE, "not a match")</f>
        <v>#NAME?</v>
      </c>
      <c r="EG935" s="30"/>
      <c r="EH935" s="30"/>
      <c r="EI935" s="30"/>
      <c r="EJ935" s="30"/>
      <c r="EK935" s="30" t="str">
        <f t="shared" si="5"/>
        <v/>
      </c>
    </row>
    <row r="936" spans="1:141" ht="16.5">
      <c r="A936" s="11"/>
      <c r="B936" s="11"/>
      <c r="C936" s="11"/>
      <c r="D936" s="11"/>
      <c r="E936" s="11"/>
      <c r="F936" s="11"/>
      <c r="G936" s="11"/>
      <c r="H936" s="11"/>
      <c r="I936" s="11"/>
      <c r="J936" s="11"/>
      <c r="K936" s="27"/>
      <c r="L936" s="11"/>
      <c r="M936" s="11"/>
      <c r="N936" s="11"/>
      <c r="O936" s="11"/>
      <c r="P936" s="15"/>
      <c r="Q936" s="15"/>
      <c r="R936" s="15"/>
      <c r="S936" s="15"/>
      <c r="T936" s="15"/>
      <c r="U936" s="15"/>
      <c r="V936" s="15"/>
      <c r="W936" s="47"/>
      <c r="X936" s="11"/>
      <c r="Y936" s="48"/>
      <c r="Z936" s="11"/>
      <c r="AA936" s="48"/>
      <c r="AB936" s="11"/>
      <c r="AC936" s="48"/>
      <c r="AD936" s="11"/>
      <c r="AE936" s="47"/>
      <c r="AF936" s="11"/>
      <c r="AG936" s="48"/>
      <c r="AH936" s="11"/>
      <c r="AI936" s="48"/>
      <c r="AJ936" s="11"/>
      <c r="AK936" s="48"/>
      <c r="AL936" s="11"/>
      <c r="AM936" s="49"/>
      <c r="AN936" s="49"/>
      <c r="AO936" s="11"/>
      <c r="AP936" s="11"/>
      <c r="AQ936" s="28" t="b">
        <f>IF(COUNTIF(SmartStatus!A$2:A1000, AM936) &gt; 2, TRUE, FALSE)</f>
        <v>0</v>
      </c>
      <c r="AR936" s="29" t="str">
        <f ca="1">IFERROR(__xludf.DUMMYFUNCTION("iferror(if(regexmatch(AO936, ""(?i)^registered""), if(EE936 &lt;&gt; ""polity_shortest_name"", ""CHECK_POLITY"", index(filter(SmartStatus!B$2:B1000, AM936 = SmartStatus!A$2:A1000, not(SmartStatus!C$2:C1000), (isblank(SmartStatus!D$2:D1000)) + ((P936 &lt;&gt; """") * "&amp;"(P936 &lt; SmartStatus!D$2:D1000)), (isblank(SmartStatus!E$2:E1000)) + ((P936 &lt;&gt; """") * (P936 &gt;= SmartStatus!E$2:E1000)), (isblank(SmartStatus!F$2:F1000)) + (((Q936 &lt;&gt; """") * (Q936 &lt; SmartStatus!F$2:F1000)) + ((P936 &lt;&gt; """") * (date(year(P936) + 3, month(P"&amp;"936), day(P936)) &lt; SmartStatus!F$2:F1000))), (isblank(SmartStatus!G$2:G1000)) + (((Q936 &lt;&gt; """") * (Q936 &gt;= SmartStatus!G$2:G1000)) + ((P936 &lt;&gt; """") * (P936 &gt;= SmartStatus!G$2:G1000)))), if(or(regexmatch(B936, ""(?i)^ir [a-z]+ designation$""), N936 &lt;&gt; """&amp;"""), 1, 2))), """"), ""NO_MATCH"")"),"")</f>
        <v/>
      </c>
      <c r="AS936" s="11"/>
      <c r="AT936" s="15"/>
      <c r="AU936" s="11"/>
      <c r="AV936" s="11"/>
      <c r="AW936" s="15"/>
      <c r="AX936" s="15"/>
      <c r="AY936" s="15"/>
      <c r="AZ936" s="11"/>
      <c r="BA936" s="15"/>
      <c r="BB936" s="11"/>
      <c r="BC936" s="11"/>
      <c r="BD936" s="15"/>
      <c r="BE936" s="11"/>
      <c r="BF936" s="11"/>
      <c r="BG936" s="15"/>
      <c r="BH936" s="15"/>
      <c r="BI936" s="15"/>
      <c r="BJ936" s="11"/>
      <c r="BK936" s="15"/>
      <c r="BL936" s="11"/>
      <c r="BM936" s="11"/>
      <c r="BN936" s="15"/>
      <c r="BO936" s="11"/>
      <c r="BP936" s="11"/>
      <c r="BQ936" s="15"/>
      <c r="BR936" s="15"/>
      <c r="BS936" s="15"/>
      <c r="BT936" s="11"/>
      <c r="BU936" s="15"/>
      <c r="BV936" s="11"/>
      <c r="BW936" s="11"/>
      <c r="BX936" s="15"/>
      <c r="BY936" s="11"/>
      <c r="BZ936" s="11"/>
      <c r="CA936" s="15"/>
      <c r="CB936" s="11"/>
      <c r="CC936" s="15"/>
      <c r="CD936" s="11"/>
      <c r="CE936" s="15"/>
      <c r="CF936" s="11"/>
      <c r="CG936" s="11"/>
      <c r="CH936" s="15"/>
      <c r="CI936" s="11"/>
      <c r="CJ936" s="11"/>
      <c r="CK936" s="15"/>
      <c r="CL936" s="11"/>
      <c r="CM936" s="11"/>
      <c r="CN936" s="11"/>
      <c r="CO936" s="11"/>
      <c r="CP936" s="28"/>
      <c r="CQ936" s="28"/>
      <c r="CR936" s="11"/>
      <c r="CS936" s="29"/>
      <c r="CT936" s="11"/>
      <c r="CU936" s="11"/>
      <c r="CV936" s="11"/>
      <c r="CW936" s="11"/>
      <c r="CX936" s="11"/>
      <c r="CY936" s="11"/>
      <c r="CZ936" s="11"/>
      <c r="DA936" s="28"/>
      <c r="DB936" s="28"/>
      <c r="DC936" s="11"/>
      <c r="DD936" s="29"/>
      <c r="DE936" s="11"/>
      <c r="DF936" s="11"/>
      <c r="DG936" s="11"/>
      <c r="DH936" s="11"/>
      <c r="DI936" s="11"/>
      <c r="DJ936" s="11"/>
      <c r="DK936" s="26"/>
      <c r="DL936" s="11"/>
      <c r="DM936" s="29"/>
      <c r="DN936" s="28"/>
      <c r="DO936" s="11"/>
      <c r="DP936" s="11"/>
      <c r="DQ936" s="11"/>
      <c r="DR936" s="29"/>
      <c r="DS936" s="28"/>
      <c r="DT936" s="11"/>
      <c r="DU936" s="26"/>
      <c r="DV936" s="11"/>
      <c r="DW936" s="29"/>
      <c r="DX936" s="28"/>
      <c r="DY936" s="11"/>
      <c r="DZ936" s="26"/>
      <c r="EA936" s="11"/>
      <c r="EB936" s="29"/>
      <c r="EC936" s="28"/>
      <c r="ED936" s="30"/>
      <c r="EE936" s="30" t="str">
        <f ca="1">IFERROR(__xludf.DUMMYFUNCTION("iferror(index(filter('Internal -- Trademark Countries'!E$2:E1000, (AM936 = 'Internal -- Trademark Countries'!B$2:B1000) + (AM936 = 'Internal -- Trademark Countries'!C$2:C1000) + (AM936 = 'Internal -- Trademark Countries'!D$2:D1000)), 1))"),"")</f>
        <v/>
      </c>
      <c r="EF936" s="30" t="e">
        <f ca="1">_xludf.ifs(AM936="", "", COUNTIF('Internal -- Trademark Countries'!B:B,AM936) &gt; 0, "polity_shortest_name", COUNTIF('Internal -- Trademark Countries'!C:C,AM936) &gt; 0, "polity_full_name", COUNTIF('Internal -- Trademark Countries'!D:D,AM936) &gt; 0, "polity_common_name", COUNTIF('Internal -- Trademark Countries'!E:E,AM936) &gt; 0, "shortest_name", COUNTIF('Internal -- Trademark Countries'!A:A,AM936) &gt; 0, "full_name", TRUE, "not a match")</f>
        <v>#NAME?</v>
      </c>
      <c r="EG936" s="30"/>
      <c r="EH936" s="30"/>
      <c r="EI936" s="30"/>
      <c r="EJ936" s="30"/>
      <c r="EK936" s="30" t="str">
        <f t="shared" si="5"/>
        <v/>
      </c>
    </row>
    <row r="937" spans="1:141" ht="16.5">
      <c r="A937" s="11"/>
      <c r="B937" s="11"/>
      <c r="C937" s="11"/>
      <c r="D937" s="11"/>
      <c r="E937" s="11"/>
      <c r="F937" s="11"/>
      <c r="G937" s="11"/>
      <c r="H937" s="11"/>
      <c r="I937" s="11"/>
      <c r="J937" s="11"/>
      <c r="K937" s="27"/>
      <c r="L937" s="11"/>
      <c r="M937" s="11"/>
      <c r="N937" s="11"/>
      <c r="O937" s="11"/>
      <c r="P937" s="15"/>
      <c r="Q937" s="15"/>
      <c r="R937" s="15"/>
      <c r="S937" s="15"/>
      <c r="T937" s="15"/>
      <c r="U937" s="15"/>
      <c r="V937" s="15"/>
      <c r="W937" s="47"/>
      <c r="X937" s="11"/>
      <c r="Y937" s="48"/>
      <c r="Z937" s="11"/>
      <c r="AA937" s="48"/>
      <c r="AB937" s="11"/>
      <c r="AC937" s="48"/>
      <c r="AD937" s="11"/>
      <c r="AE937" s="47"/>
      <c r="AF937" s="11"/>
      <c r="AG937" s="48"/>
      <c r="AH937" s="11"/>
      <c r="AI937" s="48"/>
      <c r="AJ937" s="11"/>
      <c r="AK937" s="48"/>
      <c r="AL937" s="11"/>
      <c r="AM937" s="49"/>
      <c r="AN937" s="49"/>
      <c r="AO937" s="11"/>
      <c r="AP937" s="11"/>
      <c r="AQ937" s="28" t="b">
        <f>IF(COUNTIF(SmartStatus!A$2:A1000, AM937) &gt; 2, TRUE, FALSE)</f>
        <v>0</v>
      </c>
      <c r="AR937" s="29" t="str">
        <f ca="1">IFERROR(__xludf.DUMMYFUNCTION("iferror(if(regexmatch(AO937, ""(?i)^registered""), if(EE937 &lt;&gt; ""polity_shortest_name"", ""CHECK_POLITY"", index(filter(SmartStatus!B$2:B1000, AM937 = SmartStatus!A$2:A1000, not(SmartStatus!C$2:C1000), (isblank(SmartStatus!D$2:D1000)) + ((P937 &lt;&gt; """") * "&amp;"(P937 &lt; SmartStatus!D$2:D1000)), (isblank(SmartStatus!E$2:E1000)) + ((P937 &lt;&gt; """") * (P937 &gt;= SmartStatus!E$2:E1000)), (isblank(SmartStatus!F$2:F1000)) + (((Q937 &lt;&gt; """") * (Q937 &lt; SmartStatus!F$2:F1000)) + ((P937 &lt;&gt; """") * (date(year(P937) + 3, month(P"&amp;"937), day(P937)) &lt; SmartStatus!F$2:F1000))), (isblank(SmartStatus!G$2:G1000)) + (((Q937 &lt;&gt; """") * (Q937 &gt;= SmartStatus!G$2:G1000)) + ((P937 &lt;&gt; """") * (P937 &gt;= SmartStatus!G$2:G1000)))), if(or(regexmatch(B937, ""(?i)^ir [a-z]+ designation$""), N937 &lt;&gt; """&amp;"""), 1, 2))), """"), ""NO_MATCH"")"),"")</f>
        <v/>
      </c>
      <c r="AS937" s="11"/>
      <c r="AT937" s="15"/>
      <c r="AU937" s="11"/>
      <c r="AV937" s="11"/>
      <c r="AW937" s="15"/>
      <c r="AX937" s="15"/>
      <c r="AY937" s="15"/>
      <c r="AZ937" s="11"/>
      <c r="BA937" s="15"/>
      <c r="BB937" s="11"/>
      <c r="BC937" s="11"/>
      <c r="BD937" s="15"/>
      <c r="BE937" s="11"/>
      <c r="BF937" s="11"/>
      <c r="BG937" s="15"/>
      <c r="BH937" s="15"/>
      <c r="BI937" s="15"/>
      <c r="BJ937" s="11"/>
      <c r="BK937" s="15"/>
      <c r="BL937" s="11"/>
      <c r="BM937" s="11"/>
      <c r="BN937" s="15"/>
      <c r="BO937" s="11"/>
      <c r="BP937" s="11"/>
      <c r="BQ937" s="15"/>
      <c r="BR937" s="15"/>
      <c r="BS937" s="15"/>
      <c r="BT937" s="11"/>
      <c r="BU937" s="15"/>
      <c r="BV937" s="11"/>
      <c r="BW937" s="11"/>
      <c r="BX937" s="15"/>
      <c r="BY937" s="11"/>
      <c r="BZ937" s="11"/>
      <c r="CA937" s="15"/>
      <c r="CB937" s="11"/>
      <c r="CC937" s="15"/>
      <c r="CD937" s="11"/>
      <c r="CE937" s="15"/>
      <c r="CF937" s="11"/>
      <c r="CG937" s="11"/>
      <c r="CH937" s="15"/>
      <c r="CI937" s="11"/>
      <c r="CJ937" s="11"/>
      <c r="CK937" s="15"/>
      <c r="CL937" s="11"/>
      <c r="CM937" s="11"/>
      <c r="CN937" s="11"/>
      <c r="CO937" s="11"/>
      <c r="CP937" s="28"/>
      <c r="CQ937" s="28"/>
      <c r="CR937" s="11"/>
      <c r="CS937" s="29"/>
      <c r="CT937" s="11"/>
      <c r="CU937" s="11"/>
      <c r="CV937" s="11"/>
      <c r="CW937" s="11"/>
      <c r="CX937" s="11"/>
      <c r="CY937" s="11"/>
      <c r="CZ937" s="11"/>
      <c r="DA937" s="28"/>
      <c r="DB937" s="28"/>
      <c r="DC937" s="11"/>
      <c r="DD937" s="29"/>
      <c r="DE937" s="11"/>
      <c r="DF937" s="11"/>
      <c r="DG937" s="11"/>
      <c r="DH937" s="11"/>
      <c r="DI937" s="11"/>
      <c r="DJ937" s="11"/>
      <c r="DK937" s="26"/>
      <c r="DL937" s="11"/>
      <c r="DM937" s="29"/>
      <c r="DN937" s="28"/>
      <c r="DO937" s="11"/>
      <c r="DP937" s="11"/>
      <c r="DQ937" s="11"/>
      <c r="DR937" s="29"/>
      <c r="DS937" s="28"/>
      <c r="DT937" s="11"/>
      <c r="DU937" s="26"/>
      <c r="DV937" s="11"/>
      <c r="DW937" s="29"/>
      <c r="DX937" s="28"/>
      <c r="DY937" s="11"/>
      <c r="DZ937" s="26"/>
      <c r="EA937" s="11"/>
      <c r="EB937" s="29"/>
      <c r="EC937" s="28"/>
      <c r="ED937" s="30"/>
      <c r="EE937" s="30" t="str">
        <f ca="1">IFERROR(__xludf.DUMMYFUNCTION("iferror(index(filter('Internal -- Trademark Countries'!E$2:E1000, (AM937 = 'Internal -- Trademark Countries'!B$2:B1000) + (AM937 = 'Internal -- Trademark Countries'!C$2:C1000) + (AM937 = 'Internal -- Trademark Countries'!D$2:D1000)), 1))"),"")</f>
        <v/>
      </c>
      <c r="EF937" s="30" t="e">
        <f ca="1">_xludf.ifs(AM937="", "", COUNTIF('Internal -- Trademark Countries'!B:B,AM937) &gt; 0, "polity_shortest_name", COUNTIF('Internal -- Trademark Countries'!C:C,AM937) &gt; 0, "polity_full_name", COUNTIF('Internal -- Trademark Countries'!D:D,AM937) &gt; 0, "polity_common_name", COUNTIF('Internal -- Trademark Countries'!E:E,AM937) &gt; 0, "shortest_name", COUNTIF('Internal -- Trademark Countries'!A:A,AM937) &gt; 0, "full_name", TRUE, "not a match")</f>
        <v>#NAME?</v>
      </c>
      <c r="EG937" s="30"/>
      <c r="EH937" s="30"/>
      <c r="EI937" s="30"/>
      <c r="EJ937" s="30"/>
      <c r="EK937" s="30" t="str">
        <f t="shared" si="5"/>
        <v/>
      </c>
    </row>
    <row r="938" spans="1:141" ht="16.5">
      <c r="A938" s="11"/>
      <c r="B938" s="11"/>
      <c r="C938" s="11"/>
      <c r="D938" s="11"/>
      <c r="E938" s="11"/>
      <c r="F938" s="11"/>
      <c r="G938" s="11"/>
      <c r="H938" s="11"/>
      <c r="I938" s="11"/>
      <c r="J938" s="11"/>
      <c r="K938" s="27"/>
      <c r="L938" s="11"/>
      <c r="M938" s="11"/>
      <c r="N938" s="11"/>
      <c r="O938" s="11"/>
      <c r="P938" s="15"/>
      <c r="Q938" s="15"/>
      <c r="R938" s="15"/>
      <c r="S938" s="15"/>
      <c r="T938" s="15"/>
      <c r="U938" s="15"/>
      <c r="V938" s="15"/>
      <c r="W938" s="47"/>
      <c r="X938" s="11"/>
      <c r="Y938" s="48"/>
      <c r="Z938" s="11"/>
      <c r="AA938" s="48"/>
      <c r="AB938" s="11"/>
      <c r="AC938" s="48"/>
      <c r="AD938" s="11"/>
      <c r="AE938" s="47"/>
      <c r="AF938" s="11"/>
      <c r="AG938" s="48"/>
      <c r="AH938" s="11"/>
      <c r="AI938" s="48"/>
      <c r="AJ938" s="11"/>
      <c r="AK938" s="48"/>
      <c r="AL938" s="11"/>
      <c r="AM938" s="49"/>
      <c r="AN938" s="49"/>
      <c r="AO938" s="11"/>
      <c r="AP938" s="11"/>
      <c r="AQ938" s="28" t="b">
        <f>IF(COUNTIF(SmartStatus!A$2:A1000, AM938) &gt; 2, TRUE, FALSE)</f>
        <v>0</v>
      </c>
      <c r="AR938" s="29" t="str">
        <f ca="1">IFERROR(__xludf.DUMMYFUNCTION("iferror(if(regexmatch(AO938, ""(?i)^registered""), if(EE938 &lt;&gt; ""polity_shortest_name"", ""CHECK_POLITY"", index(filter(SmartStatus!B$2:B1000, AM938 = SmartStatus!A$2:A1000, not(SmartStatus!C$2:C1000), (isblank(SmartStatus!D$2:D1000)) + ((P938 &lt;&gt; """") * "&amp;"(P938 &lt; SmartStatus!D$2:D1000)), (isblank(SmartStatus!E$2:E1000)) + ((P938 &lt;&gt; """") * (P938 &gt;= SmartStatus!E$2:E1000)), (isblank(SmartStatus!F$2:F1000)) + (((Q938 &lt;&gt; """") * (Q938 &lt; SmartStatus!F$2:F1000)) + ((P938 &lt;&gt; """") * (date(year(P938) + 3, month(P"&amp;"938), day(P938)) &lt; SmartStatus!F$2:F1000))), (isblank(SmartStatus!G$2:G1000)) + (((Q938 &lt;&gt; """") * (Q938 &gt;= SmartStatus!G$2:G1000)) + ((P938 &lt;&gt; """") * (P938 &gt;= SmartStatus!G$2:G1000)))), if(or(regexmatch(B938, ""(?i)^ir [a-z]+ designation$""), N938 &lt;&gt; """&amp;"""), 1, 2))), """"), ""NO_MATCH"")"),"")</f>
        <v/>
      </c>
      <c r="AS938" s="11"/>
      <c r="AT938" s="15"/>
      <c r="AU938" s="11"/>
      <c r="AV938" s="11"/>
      <c r="AW938" s="15"/>
      <c r="AX938" s="15"/>
      <c r="AY938" s="15"/>
      <c r="AZ938" s="11"/>
      <c r="BA938" s="15"/>
      <c r="BB938" s="11"/>
      <c r="BC938" s="11"/>
      <c r="BD938" s="15"/>
      <c r="BE938" s="11"/>
      <c r="BF938" s="11"/>
      <c r="BG938" s="15"/>
      <c r="BH938" s="15"/>
      <c r="BI938" s="15"/>
      <c r="BJ938" s="11"/>
      <c r="BK938" s="15"/>
      <c r="BL938" s="11"/>
      <c r="BM938" s="11"/>
      <c r="BN938" s="15"/>
      <c r="BO938" s="11"/>
      <c r="BP938" s="11"/>
      <c r="BQ938" s="15"/>
      <c r="BR938" s="15"/>
      <c r="BS938" s="15"/>
      <c r="BT938" s="11"/>
      <c r="BU938" s="15"/>
      <c r="BV938" s="11"/>
      <c r="BW938" s="11"/>
      <c r="BX938" s="15"/>
      <c r="BY938" s="11"/>
      <c r="BZ938" s="11"/>
      <c r="CA938" s="15"/>
      <c r="CB938" s="11"/>
      <c r="CC938" s="15"/>
      <c r="CD938" s="11"/>
      <c r="CE938" s="15"/>
      <c r="CF938" s="11"/>
      <c r="CG938" s="11"/>
      <c r="CH938" s="15"/>
      <c r="CI938" s="11"/>
      <c r="CJ938" s="11"/>
      <c r="CK938" s="15"/>
      <c r="CL938" s="11"/>
      <c r="CM938" s="11"/>
      <c r="CN938" s="11"/>
      <c r="CO938" s="11"/>
      <c r="CP938" s="28"/>
      <c r="CQ938" s="28"/>
      <c r="CR938" s="11"/>
      <c r="CS938" s="29"/>
      <c r="CT938" s="11"/>
      <c r="CU938" s="11"/>
      <c r="CV938" s="11"/>
      <c r="CW938" s="11"/>
      <c r="CX938" s="11"/>
      <c r="CY938" s="11"/>
      <c r="CZ938" s="11"/>
      <c r="DA938" s="28"/>
      <c r="DB938" s="28"/>
      <c r="DC938" s="11"/>
      <c r="DD938" s="29"/>
      <c r="DE938" s="11"/>
      <c r="DF938" s="11"/>
      <c r="DG938" s="11"/>
      <c r="DH938" s="11"/>
      <c r="DI938" s="11"/>
      <c r="DJ938" s="11"/>
      <c r="DK938" s="26"/>
      <c r="DL938" s="11"/>
      <c r="DM938" s="29"/>
      <c r="DN938" s="28"/>
      <c r="DO938" s="11"/>
      <c r="DP938" s="11"/>
      <c r="DQ938" s="11"/>
      <c r="DR938" s="29"/>
      <c r="DS938" s="28"/>
      <c r="DT938" s="11"/>
      <c r="DU938" s="26"/>
      <c r="DV938" s="11"/>
      <c r="DW938" s="29"/>
      <c r="DX938" s="28"/>
      <c r="DY938" s="11"/>
      <c r="DZ938" s="26"/>
      <c r="EA938" s="11"/>
      <c r="EB938" s="29"/>
      <c r="EC938" s="28"/>
      <c r="ED938" s="30"/>
      <c r="EE938" s="30" t="str">
        <f ca="1">IFERROR(__xludf.DUMMYFUNCTION("iferror(index(filter('Internal -- Trademark Countries'!E$2:E1000, (AM938 = 'Internal -- Trademark Countries'!B$2:B1000) + (AM938 = 'Internal -- Trademark Countries'!C$2:C1000) + (AM938 = 'Internal -- Trademark Countries'!D$2:D1000)), 1))"),"")</f>
        <v/>
      </c>
      <c r="EF938" s="30" t="e">
        <f ca="1">_xludf.ifs(AM938="", "", COUNTIF('Internal -- Trademark Countries'!B:B,AM938) &gt; 0, "polity_shortest_name", COUNTIF('Internal -- Trademark Countries'!C:C,AM938) &gt; 0, "polity_full_name", COUNTIF('Internal -- Trademark Countries'!D:D,AM938) &gt; 0, "polity_common_name", COUNTIF('Internal -- Trademark Countries'!E:E,AM938) &gt; 0, "shortest_name", COUNTIF('Internal -- Trademark Countries'!A:A,AM938) &gt; 0, "full_name", TRUE, "not a match")</f>
        <v>#NAME?</v>
      </c>
      <c r="EG938" s="30"/>
      <c r="EH938" s="30"/>
      <c r="EI938" s="30"/>
      <c r="EJ938" s="30"/>
      <c r="EK938" s="30" t="str">
        <f t="shared" si="5"/>
        <v/>
      </c>
    </row>
    <row r="939" spans="1:141" ht="16.5">
      <c r="A939" s="11"/>
      <c r="B939" s="11"/>
      <c r="C939" s="11"/>
      <c r="D939" s="11"/>
      <c r="E939" s="11"/>
      <c r="F939" s="11"/>
      <c r="G939" s="11"/>
      <c r="H939" s="11"/>
      <c r="I939" s="11"/>
      <c r="J939" s="11"/>
      <c r="K939" s="27"/>
      <c r="L939" s="11"/>
      <c r="M939" s="11"/>
      <c r="N939" s="11"/>
      <c r="O939" s="11"/>
      <c r="P939" s="15"/>
      <c r="Q939" s="15"/>
      <c r="R939" s="15"/>
      <c r="S939" s="15"/>
      <c r="T939" s="15"/>
      <c r="U939" s="15"/>
      <c r="V939" s="15"/>
      <c r="W939" s="47"/>
      <c r="X939" s="11"/>
      <c r="Y939" s="48"/>
      <c r="Z939" s="11"/>
      <c r="AA939" s="48"/>
      <c r="AB939" s="11"/>
      <c r="AC939" s="48"/>
      <c r="AD939" s="11"/>
      <c r="AE939" s="47"/>
      <c r="AF939" s="11"/>
      <c r="AG939" s="48"/>
      <c r="AH939" s="11"/>
      <c r="AI939" s="48"/>
      <c r="AJ939" s="11"/>
      <c r="AK939" s="48"/>
      <c r="AL939" s="11"/>
      <c r="AM939" s="49"/>
      <c r="AN939" s="49"/>
      <c r="AO939" s="11"/>
      <c r="AP939" s="11"/>
      <c r="AQ939" s="28" t="b">
        <f>IF(COUNTIF(SmartStatus!A$2:A1000, AM939) &gt; 2, TRUE, FALSE)</f>
        <v>0</v>
      </c>
      <c r="AR939" s="29" t="str">
        <f ca="1">IFERROR(__xludf.DUMMYFUNCTION("iferror(if(regexmatch(AO939, ""(?i)^registered""), if(EE939 &lt;&gt; ""polity_shortest_name"", ""CHECK_POLITY"", index(filter(SmartStatus!B$2:B1000, AM939 = SmartStatus!A$2:A1000, not(SmartStatus!C$2:C1000), (isblank(SmartStatus!D$2:D1000)) + ((P939 &lt;&gt; """") * "&amp;"(P939 &lt; SmartStatus!D$2:D1000)), (isblank(SmartStatus!E$2:E1000)) + ((P939 &lt;&gt; """") * (P939 &gt;= SmartStatus!E$2:E1000)), (isblank(SmartStatus!F$2:F1000)) + (((Q939 &lt;&gt; """") * (Q939 &lt; SmartStatus!F$2:F1000)) + ((P939 &lt;&gt; """") * (date(year(P939) + 3, month(P"&amp;"939), day(P939)) &lt; SmartStatus!F$2:F1000))), (isblank(SmartStatus!G$2:G1000)) + (((Q939 &lt;&gt; """") * (Q939 &gt;= SmartStatus!G$2:G1000)) + ((P939 &lt;&gt; """") * (P939 &gt;= SmartStatus!G$2:G1000)))), if(or(regexmatch(B939, ""(?i)^ir [a-z]+ designation$""), N939 &lt;&gt; """&amp;"""), 1, 2))), """"), ""NO_MATCH"")"),"")</f>
        <v/>
      </c>
      <c r="AS939" s="11"/>
      <c r="AT939" s="15"/>
      <c r="AU939" s="11"/>
      <c r="AV939" s="11"/>
      <c r="AW939" s="15"/>
      <c r="AX939" s="15"/>
      <c r="AY939" s="15"/>
      <c r="AZ939" s="11"/>
      <c r="BA939" s="15"/>
      <c r="BB939" s="11"/>
      <c r="BC939" s="11"/>
      <c r="BD939" s="15"/>
      <c r="BE939" s="11"/>
      <c r="BF939" s="11"/>
      <c r="BG939" s="15"/>
      <c r="BH939" s="15"/>
      <c r="BI939" s="15"/>
      <c r="BJ939" s="11"/>
      <c r="BK939" s="15"/>
      <c r="BL939" s="11"/>
      <c r="BM939" s="11"/>
      <c r="BN939" s="15"/>
      <c r="BO939" s="11"/>
      <c r="BP939" s="11"/>
      <c r="BQ939" s="15"/>
      <c r="BR939" s="15"/>
      <c r="BS939" s="15"/>
      <c r="BT939" s="11"/>
      <c r="BU939" s="15"/>
      <c r="BV939" s="11"/>
      <c r="BW939" s="11"/>
      <c r="BX939" s="15"/>
      <c r="BY939" s="11"/>
      <c r="BZ939" s="11"/>
      <c r="CA939" s="15"/>
      <c r="CB939" s="11"/>
      <c r="CC939" s="15"/>
      <c r="CD939" s="11"/>
      <c r="CE939" s="15"/>
      <c r="CF939" s="11"/>
      <c r="CG939" s="11"/>
      <c r="CH939" s="15"/>
      <c r="CI939" s="11"/>
      <c r="CJ939" s="11"/>
      <c r="CK939" s="15"/>
      <c r="CL939" s="11"/>
      <c r="CM939" s="11"/>
      <c r="CN939" s="11"/>
      <c r="CO939" s="11"/>
      <c r="CP939" s="28"/>
      <c r="CQ939" s="28"/>
      <c r="CR939" s="11"/>
      <c r="CS939" s="29"/>
      <c r="CT939" s="11"/>
      <c r="CU939" s="11"/>
      <c r="CV939" s="11"/>
      <c r="CW939" s="11"/>
      <c r="CX939" s="11"/>
      <c r="CY939" s="11"/>
      <c r="CZ939" s="11"/>
      <c r="DA939" s="28"/>
      <c r="DB939" s="28"/>
      <c r="DC939" s="11"/>
      <c r="DD939" s="29"/>
      <c r="DE939" s="11"/>
      <c r="DF939" s="11"/>
      <c r="DG939" s="11"/>
      <c r="DH939" s="11"/>
      <c r="DI939" s="11"/>
      <c r="DJ939" s="11"/>
      <c r="DK939" s="26"/>
      <c r="DL939" s="11"/>
      <c r="DM939" s="29"/>
      <c r="DN939" s="28"/>
      <c r="DO939" s="11"/>
      <c r="DP939" s="11"/>
      <c r="DQ939" s="11"/>
      <c r="DR939" s="29"/>
      <c r="DS939" s="28"/>
      <c r="DT939" s="11"/>
      <c r="DU939" s="26"/>
      <c r="DV939" s="11"/>
      <c r="DW939" s="29"/>
      <c r="DX939" s="28"/>
      <c r="DY939" s="11"/>
      <c r="DZ939" s="26"/>
      <c r="EA939" s="11"/>
      <c r="EB939" s="29"/>
      <c r="EC939" s="28"/>
      <c r="ED939" s="30"/>
      <c r="EE939" s="30" t="str">
        <f ca="1">IFERROR(__xludf.DUMMYFUNCTION("iferror(index(filter('Internal -- Trademark Countries'!E$2:E1000, (AM939 = 'Internal -- Trademark Countries'!B$2:B1000) + (AM939 = 'Internal -- Trademark Countries'!C$2:C1000) + (AM939 = 'Internal -- Trademark Countries'!D$2:D1000)), 1))"),"")</f>
        <v/>
      </c>
      <c r="EF939" s="30" t="e">
        <f ca="1">_xludf.ifs(AM939="", "", COUNTIF('Internal -- Trademark Countries'!B:B,AM939) &gt; 0, "polity_shortest_name", COUNTIF('Internal -- Trademark Countries'!C:C,AM939) &gt; 0, "polity_full_name", COUNTIF('Internal -- Trademark Countries'!D:D,AM939) &gt; 0, "polity_common_name", COUNTIF('Internal -- Trademark Countries'!E:E,AM939) &gt; 0, "shortest_name", COUNTIF('Internal -- Trademark Countries'!A:A,AM939) &gt; 0, "full_name", TRUE, "not a match")</f>
        <v>#NAME?</v>
      </c>
      <c r="EG939" s="30"/>
      <c r="EH939" s="30"/>
      <c r="EI939" s="30"/>
      <c r="EJ939" s="30"/>
      <c r="EK939" s="30" t="str">
        <f t="shared" si="5"/>
        <v/>
      </c>
    </row>
    <row r="940" spans="1:141" ht="16.5">
      <c r="A940" s="11"/>
      <c r="B940" s="11"/>
      <c r="C940" s="11"/>
      <c r="D940" s="11"/>
      <c r="E940" s="11"/>
      <c r="F940" s="11"/>
      <c r="G940" s="11"/>
      <c r="H940" s="11"/>
      <c r="I940" s="11"/>
      <c r="J940" s="11"/>
      <c r="K940" s="27"/>
      <c r="L940" s="11"/>
      <c r="M940" s="11"/>
      <c r="N940" s="11"/>
      <c r="O940" s="11"/>
      <c r="P940" s="15"/>
      <c r="Q940" s="15"/>
      <c r="R940" s="15"/>
      <c r="S940" s="15"/>
      <c r="T940" s="15"/>
      <c r="U940" s="15"/>
      <c r="V940" s="15"/>
      <c r="W940" s="47"/>
      <c r="X940" s="11"/>
      <c r="Y940" s="48"/>
      <c r="Z940" s="11"/>
      <c r="AA940" s="48"/>
      <c r="AB940" s="11"/>
      <c r="AC940" s="48"/>
      <c r="AD940" s="11"/>
      <c r="AE940" s="47"/>
      <c r="AF940" s="11"/>
      <c r="AG940" s="48"/>
      <c r="AH940" s="11"/>
      <c r="AI940" s="48"/>
      <c r="AJ940" s="11"/>
      <c r="AK940" s="48"/>
      <c r="AL940" s="11"/>
      <c r="AM940" s="49"/>
      <c r="AN940" s="49"/>
      <c r="AO940" s="11"/>
      <c r="AP940" s="11"/>
      <c r="AQ940" s="28" t="b">
        <f>IF(COUNTIF(SmartStatus!A$2:A1000, AM940) &gt; 2, TRUE, FALSE)</f>
        <v>0</v>
      </c>
      <c r="AR940" s="29" t="str">
        <f ca="1">IFERROR(__xludf.DUMMYFUNCTION("iferror(if(regexmatch(AO940, ""(?i)^registered""), if(EE940 &lt;&gt; ""polity_shortest_name"", ""CHECK_POLITY"", index(filter(SmartStatus!B$2:B1000, AM940 = SmartStatus!A$2:A1000, not(SmartStatus!C$2:C1000), (isblank(SmartStatus!D$2:D1000)) + ((P940 &lt;&gt; """") * "&amp;"(P940 &lt; SmartStatus!D$2:D1000)), (isblank(SmartStatus!E$2:E1000)) + ((P940 &lt;&gt; """") * (P940 &gt;= SmartStatus!E$2:E1000)), (isblank(SmartStatus!F$2:F1000)) + (((Q940 &lt;&gt; """") * (Q940 &lt; SmartStatus!F$2:F1000)) + ((P940 &lt;&gt; """") * (date(year(P940) + 3, month(P"&amp;"940), day(P940)) &lt; SmartStatus!F$2:F1000))), (isblank(SmartStatus!G$2:G1000)) + (((Q940 &lt;&gt; """") * (Q940 &gt;= SmartStatus!G$2:G1000)) + ((P940 &lt;&gt; """") * (P940 &gt;= SmartStatus!G$2:G1000)))), if(or(regexmatch(B940, ""(?i)^ir [a-z]+ designation$""), N940 &lt;&gt; """&amp;"""), 1, 2))), """"), ""NO_MATCH"")"),"")</f>
        <v/>
      </c>
      <c r="AS940" s="11"/>
      <c r="AT940" s="15"/>
      <c r="AU940" s="11"/>
      <c r="AV940" s="11"/>
      <c r="AW940" s="15"/>
      <c r="AX940" s="15"/>
      <c r="AY940" s="15"/>
      <c r="AZ940" s="11"/>
      <c r="BA940" s="15"/>
      <c r="BB940" s="11"/>
      <c r="BC940" s="11"/>
      <c r="BD940" s="15"/>
      <c r="BE940" s="11"/>
      <c r="BF940" s="11"/>
      <c r="BG940" s="15"/>
      <c r="BH940" s="15"/>
      <c r="BI940" s="15"/>
      <c r="BJ940" s="11"/>
      <c r="BK940" s="15"/>
      <c r="BL940" s="11"/>
      <c r="BM940" s="11"/>
      <c r="BN940" s="15"/>
      <c r="BO940" s="11"/>
      <c r="BP940" s="11"/>
      <c r="BQ940" s="15"/>
      <c r="BR940" s="15"/>
      <c r="BS940" s="15"/>
      <c r="BT940" s="11"/>
      <c r="BU940" s="15"/>
      <c r="BV940" s="11"/>
      <c r="BW940" s="11"/>
      <c r="BX940" s="15"/>
      <c r="BY940" s="11"/>
      <c r="BZ940" s="11"/>
      <c r="CA940" s="15"/>
      <c r="CB940" s="11"/>
      <c r="CC940" s="15"/>
      <c r="CD940" s="11"/>
      <c r="CE940" s="15"/>
      <c r="CF940" s="11"/>
      <c r="CG940" s="11"/>
      <c r="CH940" s="15"/>
      <c r="CI940" s="11"/>
      <c r="CJ940" s="11"/>
      <c r="CK940" s="15"/>
      <c r="CL940" s="11"/>
      <c r="CM940" s="11"/>
      <c r="CN940" s="11"/>
      <c r="CO940" s="11"/>
      <c r="CP940" s="28"/>
      <c r="CQ940" s="28"/>
      <c r="CR940" s="11"/>
      <c r="CS940" s="29"/>
      <c r="CT940" s="11"/>
      <c r="CU940" s="11"/>
      <c r="CV940" s="11"/>
      <c r="CW940" s="11"/>
      <c r="CX940" s="11"/>
      <c r="CY940" s="11"/>
      <c r="CZ940" s="11"/>
      <c r="DA940" s="28"/>
      <c r="DB940" s="28"/>
      <c r="DC940" s="11"/>
      <c r="DD940" s="29"/>
      <c r="DE940" s="11"/>
      <c r="DF940" s="11"/>
      <c r="DG940" s="11"/>
      <c r="DH940" s="11"/>
      <c r="DI940" s="11"/>
      <c r="DJ940" s="11"/>
      <c r="DK940" s="26"/>
      <c r="DL940" s="11"/>
      <c r="DM940" s="29"/>
      <c r="DN940" s="28"/>
      <c r="DO940" s="11"/>
      <c r="DP940" s="11"/>
      <c r="DQ940" s="11"/>
      <c r="DR940" s="29"/>
      <c r="DS940" s="28"/>
      <c r="DT940" s="11"/>
      <c r="DU940" s="26"/>
      <c r="DV940" s="11"/>
      <c r="DW940" s="29"/>
      <c r="DX940" s="28"/>
      <c r="DY940" s="11"/>
      <c r="DZ940" s="26"/>
      <c r="EA940" s="11"/>
      <c r="EB940" s="29"/>
      <c r="EC940" s="28"/>
      <c r="ED940" s="30"/>
      <c r="EE940" s="30" t="str">
        <f ca="1">IFERROR(__xludf.DUMMYFUNCTION("iferror(index(filter('Internal -- Trademark Countries'!E$2:E1000, (AM940 = 'Internal -- Trademark Countries'!B$2:B1000) + (AM940 = 'Internal -- Trademark Countries'!C$2:C1000) + (AM940 = 'Internal -- Trademark Countries'!D$2:D1000)), 1))"),"")</f>
        <v/>
      </c>
      <c r="EF940" s="30" t="e">
        <f ca="1">_xludf.ifs(AM940="", "", COUNTIF('Internal -- Trademark Countries'!B:B,AM940) &gt; 0, "polity_shortest_name", COUNTIF('Internal -- Trademark Countries'!C:C,AM940) &gt; 0, "polity_full_name", COUNTIF('Internal -- Trademark Countries'!D:D,AM940) &gt; 0, "polity_common_name", COUNTIF('Internal -- Trademark Countries'!E:E,AM940) &gt; 0, "shortest_name", COUNTIF('Internal -- Trademark Countries'!A:A,AM940) &gt; 0, "full_name", TRUE, "not a match")</f>
        <v>#NAME?</v>
      </c>
      <c r="EG940" s="30"/>
      <c r="EH940" s="30"/>
      <c r="EI940" s="30"/>
      <c r="EJ940" s="30"/>
      <c r="EK940" s="30" t="str">
        <f t="shared" si="5"/>
        <v/>
      </c>
    </row>
    <row r="941" spans="1:141" ht="16.5">
      <c r="A941" s="11"/>
      <c r="B941" s="11"/>
      <c r="C941" s="11"/>
      <c r="D941" s="11"/>
      <c r="E941" s="11"/>
      <c r="F941" s="11"/>
      <c r="G941" s="11"/>
      <c r="H941" s="11"/>
      <c r="I941" s="11"/>
      <c r="J941" s="11"/>
      <c r="K941" s="27"/>
      <c r="L941" s="11"/>
      <c r="M941" s="11"/>
      <c r="N941" s="11"/>
      <c r="O941" s="11"/>
      <c r="P941" s="15"/>
      <c r="Q941" s="15"/>
      <c r="R941" s="15"/>
      <c r="S941" s="15"/>
      <c r="T941" s="15"/>
      <c r="U941" s="15"/>
      <c r="V941" s="15"/>
      <c r="W941" s="47"/>
      <c r="X941" s="11"/>
      <c r="Y941" s="48"/>
      <c r="Z941" s="11"/>
      <c r="AA941" s="48"/>
      <c r="AB941" s="11"/>
      <c r="AC941" s="48"/>
      <c r="AD941" s="11"/>
      <c r="AE941" s="47"/>
      <c r="AF941" s="11"/>
      <c r="AG941" s="48"/>
      <c r="AH941" s="11"/>
      <c r="AI941" s="48"/>
      <c r="AJ941" s="11"/>
      <c r="AK941" s="48"/>
      <c r="AL941" s="11"/>
      <c r="AM941" s="49"/>
      <c r="AN941" s="49"/>
      <c r="AO941" s="11"/>
      <c r="AP941" s="11"/>
      <c r="AQ941" s="28" t="b">
        <f>IF(COUNTIF(SmartStatus!A$2:A1000, AM941) &gt; 2, TRUE, FALSE)</f>
        <v>0</v>
      </c>
      <c r="AR941" s="29" t="str">
        <f ca="1">IFERROR(__xludf.DUMMYFUNCTION("iferror(if(regexmatch(AO941, ""(?i)^registered""), if(EE941 &lt;&gt; ""polity_shortest_name"", ""CHECK_POLITY"", index(filter(SmartStatus!B$2:B1000, AM941 = SmartStatus!A$2:A1000, not(SmartStatus!C$2:C1000), (isblank(SmartStatus!D$2:D1000)) + ((P941 &lt;&gt; """") * "&amp;"(P941 &lt; SmartStatus!D$2:D1000)), (isblank(SmartStatus!E$2:E1000)) + ((P941 &lt;&gt; """") * (P941 &gt;= SmartStatus!E$2:E1000)), (isblank(SmartStatus!F$2:F1000)) + (((Q941 &lt;&gt; """") * (Q941 &lt; SmartStatus!F$2:F1000)) + ((P941 &lt;&gt; """") * (date(year(P941) + 3, month(P"&amp;"941), day(P941)) &lt; SmartStatus!F$2:F1000))), (isblank(SmartStatus!G$2:G1000)) + (((Q941 &lt;&gt; """") * (Q941 &gt;= SmartStatus!G$2:G1000)) + ((P941 &lt;&gt; """") * (P941 &gt;= SmartStatus!G$2:G1000)))), if(or(regexmatch(B941, ""(?i)^ir [a-z]+ designation$""), N941 &lt;&gt; """&amp;"""), 1, 2))), """"), ""NO_MATCH"")"),"")</f>
        <v/>
      </c>
      <c r="AS941" s="11"/>
      <c r="AT941" s="15"/>
      <c r="AU941" s="11"/>
      <c r="AV941" s="11"/>
      <c r="AW941" s="15"/>
      <c r="AX941" s="15"/>
      <c r="AY941" s="15"/>
      <c r="AZ941" s="11"/>
      <c r="BA941" s="15"/>
      <c r="BB941" s="11"/>
      <c r="BC941" s="11"/>
      <c r="BD941" s="15"/>
      <c r="BE941" s="11"/>
      <c r="BF941" s="11"/>
      <c r="BG941" s="15"/>
      <c r="BH941" s="15"/>
      <c r="BI941" s="15"/>
      <c r="BJ941" s="11"/>
      <c r="BK941" s="15"/>
      <c r="BL941" s="11"/>
      <c r="BM941" s="11"/>
      <c r="BN941" s="15"/>
      <c r="BO941" s="11"/>
      <c r="BP941" s="11"/>
      <c r="BQ941" s="15"/>
      <c r="BR941" s="15"/>
      <c r="BS941" s="15"/>
      <c r="BT941" s="11"/>
      <c r="BU941" s="15"/>
      <c r="BV941" s="11"/>
      <c r="BW941" s="11"/>
      <c r="BX941" s="15"/>
      <c r="BY941" s="11"/>
      <c r="BZ941" s="11"/>
      <c r="CA941" s="15"/>
      <c r="CB941" s="11"/>
      <c r="CC941" s="15"/>
      <c r="CD941" s="11"/>
      <c r="CE941" s="15"/>
      <c r="CF941" s="11"/>
      <c r="CG941" s="11"/>
      <c r="CH941" s="15"/>
      <c r="CI941" s="11"/>
      <c r="CJ941" s="11"/>
      <c r="CK941" s="15"/>
      <c r="CL941" s="11"/>
      <c r="CM941" s="11"/>
      <c r="CN941" s="11"/>
      <c r="CO941" s="11"/>
      <c r="CP941" s="28"/>
      <c r="CQ941" s="28"/>
      <c r="CR941" s="11"/>
      <c r="CS941" s="29"/>
      <c r="CT941" s="11"/>
      <c r="CU941" s="11"/>
      <c r="CV941" s="11"/>
      <c r="CW941" s="11"/>
      <c r="CX941" s="11"/>
      <c r="CY941" s="11"/>
      <c r="CZ941" s="11"/>
      <c r="DA941" s="28"/>
      <c r="DB941" s="28"/>
      <c r="DC941" s="11"/>
      <c r="DD941" s="29"/>
      <c r="DE941" s="11"/>
      <c r="DF941" s="11"/>
      <c r="DG941" s="11"/>
      <c r="DH941" s="11"/>
      <c r="DI941" s="11"/>
      <c r="DJ941" s="11"/>
      <c r="DK941" s="26"/>
      <c r="DL941" s="11"/>
      <c r="DM941" s="29"/>
      <c r="DN941" s="28"/>
      <c r="DO941" s="11"/>
      <c r="DP941" s="11"/>
      <c r="DQ941" s="11"/>
      <c r="DR941" s="29"/>
      <c r="DS941" s="28"/>
      <c r="DT941" s="11"/>
      <c r="DU941" s="26"/>
      <c r="DV941" s="11"/>
      <c r="DW941" s="29"/>
      <c r="DX941" s="28"/>
      <c r="DY941" s="11"/>
      <c r="DZ941" s="26"/>
      <c r="EA941" s="11"/>
      <c r="EB941" s="29"/>
      <c r="EC941" s="28"/>
      <c r="ED941" s="30"/>
      <c r="EE941" s="30" t="str">
        <f ca="1">IFERROR(__xludf.DUMMYFUNCTION("iferror(index(filter('Internal -- Trademark Countries'!E$2:E1000, (AM941 = 'Internal -- Trademark Countries'!B$2:B1000) + (AM941 = 'Internal -- Trademark Countries'!C$2:C1000) + (AM941 = 'Internal -- Trademark Countries'!D$2:D1000)), 1))"),"")</f>
        <v/>
      </c>
      <c r="EF941" s="30" t="e">
        <f ca="1">_xludf.ifs(AM941="", "", COUNTIF('Internal -- Trademark Countries'!B:B,AM941) &gt; 0, "polity_shortest_name", COUNTIF('Internal -- Trademark Countries'!C:C,AM941) &gt; 0, "polity_full_name", COUNTIF('Internal -- Trademark Countries'!D:D,AM941) &gt; 0, "polity_common_name", COUNTIF('Internal -- Trademark Countries'!E:E,AM941) &gt; 0, "shortest_name", COUNTIF('Internal -- Trademark Countries'!A:A,AM941) &gt; 0, "full_name", TRUE, "not a match")</f>
        <v>#NAME?</v>
      </c>
      <c r="EG941" s="30"/>
      <c r="EH941" s="30"/>
      <c r="EI941" s="30"/>
      <c r="EJ941" s="30"/>
      <c r="EK941" s="30" t="str">
        <f t="shared" si="5"/>
        <v/>
      </c>
    </row>
    <row r="942" spans="1:141" ht="16.5">
      <c r="A942" s="11"/>
      <c r="B942" s="11"/>
      <c r="C942" s="11"/>
      <c r="D942" s="11"/>
      <c r="E942" s="11"/>
      <c r="F942" s="11"/>
      <c r="G942" s="11"/>
      <c r="H942" s="11"/>
      <c r="I942" s="11"/>
      <c r="J942" s="11"/>
      <c r="K942" s="27"/>
      <c r="L942" s="11"/>
      <c r="M942" s="11"/>
      <c r="N942" s="11"/>
      <c r="O942" s="11"/>
      <c r="P942" s="15"/>
      <c r="Q942" s="15"/>
      <c r="R942" s="15"/>
      <c r="S942" s="15"/>
      <c r="T942" s="15"/>
      <c r="U942" s="15"/>
      <c r="V942" s="15"/>
      <c r="W942" s="47"/>
      <c r="X942" s="11"/>
      <c r="Y942" s="48"/>
      <c r="Z942" s="11"/>
      <c r="AA942" s="48"/>
      <c r="AB942" s="11"/>
      <c r="AC942" s="48"/>
      <c r="AD942" s="11"/>
      <c r="AE942" s="47"/>
      <c r="AF942" s="11"/>
      <c r="AG942" s="48"/>
      <c r="AH942" s="11"/>
      <c r="AI942" s="48"/>
      <c r="AJ942" s="11"/>
      <c r="AK942" s="48"/>
      <c r="AL942" s="11"/>
      <c r="AM942" s="49"/>
      <c r="AN942" s="49"/>
      <c r="AO942" s="11"/>
      <c r="AP942" s="11"/>
      <c r="AQ942" s="28" t="b">
        <f>IF(COUNTIF(SmartStatus!A$2:A1000, AM942) &gt; 2, TRUE, FALSE)</f>
        <v>0</v>
      </c>
      <c r="AR942" s="29" t="str">
        <f ca="1">IFERROR(__xludf.DUMMYFUNCTION("iferror(if(regexmatch(AO942, ""(?i)^registered""), if(EE942 &lt;&gt; ""polity_shortest_name"", ""CHECK_POLITY"", index(filter(SmartStatus!B$2:B1000, AM942 = SmartStatus!A$2:A1000, not(SmartStatus!C$2:C1000), (isblank(SmartStatus!D$2:D1000)) + ((P942 &lt;&gt; """") * "&amp;"(P942 &lt; SmartStatus!D$2:D1000)), (isblank(SmartStatus!E$2:E1000)) + ((P942 &lt;&gt; """") * (P942 &gt;= SmartStatus!E$2:E1000)), (isblank(SmartStatus!F$2:F1000)) + (((Q942 &lt;&gt; """") * (Q942 &lt; SmartStatus!F$2:F1000)) + ((P942 &lt;&gt; """") * (date(year(P942) + 3, month(P"&amp;"942), day(P942)) &lt; SmartStatus!F$2:F1000))), (isblank(SmartStatus!G$2:G1000)) + (((Q942 &lt;&gt; """") * (Q942 &gt;= SmartStatus!G$2:G1000)) + ((P942 &lt;&gt; """") * (P942 &gt;= SmartStatus!G$2:G1000)))), if(or(regexmatch(B942, ""(?i)^ir [a-z]+ designation$""), N942 &lt;&gt; """&amp;"""), 1, 2))), """"), ""NO_MATCH"")"),"")</f>
        <v/>
      </c>
      <c r="AS942" s="11"/>
      <c r="AT942" s="15"/>
      <c r="AU942" s="11"/>
      <c r="AV942" s="11"/>
      <c r="AW942" s="15"/>
      <c r="AX942" s="15"/>
      <c r="AY942" s="15"/>
      <c r="AZ942" s="11"/>
      <c r="BA942" s="15"/>
      <c r="BB942" s="11"/>
      <c r="BC942" s="11"/>
      <c r="BD942" s="15"/>
      <c r="BE942" s="11"/>
      <c r="BF942" s="11"/>
      <c r="BG942" s="15"/>
      <c r="BH942" s="15"/>
      <c r="BI942" s="15"/>
      <c r="BJ942" s="11"/>
      <c r="BK942" s="15"/>
      <c r="BL942" s="11"/>
      <c r="BM942" s="11"/>
      <c r="BN942" s="15"/>
      <c r="BO942" s="11"/>
      <c r="BP942" s="11"/>
      <c r="BQ942" s="15"/>
      <c r="BR942" s="15"/>
      <c r="BS942" s="15"/>
      <c r="BT942" s="11"/>
      <c r="BU942" s="15"/>
      <c r="BV942" s="11"/>
      <c r="BW942" s="11"/>
      <c r="BX942" s="15"/>
      <c r="BY942" s="11"/>
      <c r="BZ942" s="11"/>
      <c r="CA942" s="15"/>
      <c r="CB942" s="11"/>
      <c r="CC942" s="15"/>
      <c r="CD942" s="11"/>
      <c r="CE942" s="15"/>
      <c r="CF942" s="11"/>
      <c r="CG942" s="11"/>
      <c r="CH942" s="15"/>
      <c r="CI942" s="11"/>
      <c r="CJ942" s="11"/>
      <c r="CK942" s="15"/>
      <c r="CL942" s="11"/>
      <c r="CM942" s="11"/>
      <c r="CN942" s="11"/>
      <c r="CO942" s="11"/>
      <c r="CP942" s="28"/>
      <c r="CQ942" s="28"/>
      <c r="CR942" s="11"/>
      <c r="CS942" s="29"/>
      <c r="CT942" s="11"/>
      <c r="CU942" s="11"/>
      <c r="CV942" s="11"/>
      <c r="CW942" s="11"/>
      <c r="CX942" s="11"/>
      <c r="CY942" s="11"/>
      <c r="CZ942" s="11"/>
      <c r="DA942" s="28"/>
      <c r="DB942" s="28"/>
      <c r="DC942" s="11"/>
      <c r="DD942" s="29"/>
      <c r="DE942" s="11"/>
      <c r="DF942" s="11"/>
      <c r="DG942" s="11"/>
      <c r="DH942" s="11"/>
      <c r="DI942" s="11"/>
      <c r="DJ942" s="11"/>
      <c r="DK942" s="26"/>
      <c r="DL942" s="11"/>
      <c r="DM942" s="29"/>
      <c r="DN942" s="28"/>
      <c r="DO942" s="11"/>
      <c r="DP942" s="11"/>
      <c r="DQ942" s="11"/>
      <c r="DR942" s="29"/>
      <c r="DS942" s="28"/>
      <c r="DT942" s="11"/>
      <c r="DU942" s="26"/>
      <c r="DV942" s="11"/>
      <c r="DW942" s="29"/>
      <c r="DX942" s="28"/>
      <c r="DY942" s="11"/>
      <c r="DZ942" s="26"/>
      <c r="EA942" s="11"/>
      <c r="EB942" s="29"/>
      <c r="EC942" s="28"/>
      <c r="ED942" s="30"/>
      <c r="EE942" s="30" t="str">
        <f ca="1">IFERROR(__xludf.DUMMYFUNCTION("iferror(index(filter('Internal -- Trademark Countries'!E$2:E1000, (AM942 = 'Internal -- Trademark Countries'!B$2:B1000) + (AM942 = 'Internal -- Trademark Countries'!C$2:C1000) + (AM942 = 'Internal -- Trademark Countries'!D$2:D1000)), 1))"),"")</f>
        <v/>
      </c>
      <c r="EF942" s="30" t="e">
        <f ca="1">_xludf.ifs(AM942="", "", COUNTIF('Internal -- Trademark Countries'!B:B,AM942) &gt; 0, "polity_shortest_name", COUNTIF('Internal -- Trademark Countries'!C:C,AM942) &gt; 0, "polity_full_name", COUNTIF('Internal -- Trademark Countries'!D:D,AM942) &gt; 0, "polity_common_name", COUNTIF('Internal -- Trademark Countries'!E:E,AM942) &gt; 0, "shortest_name", COUNTIF('Internal -- Trademark Countries'!A:A,AM942) &gt; 0, "full_name", TRUE, "not a match")</f>
        <v>#NAME?</v>
      </c>
      <c r="EG942" s="30"/>
      <c r="EH942" s="30"/>
      <c r="EI942" s="30"/>
      <c r="EJ942" s="30"/>
      <c r="EK942" s="30" t="str">
        <f t="shared" si="5"/>
        <v/>
      </c>
    </row>
    <row r="943" spans="1:141" ht="16.5">
      <c r="A943" s="11"/>
      <c r="B943" s="11"/>
      <c r="C943" s="11"/>
      <c r="D943" s="11"/>
      <c r="E943" s="11"/>
      <c r="F943" s="11"/>
      <c r="G943" s="11"/>
      <c r="H943" s="11"/>
      <c r="I943" s="11"/>
      <c r="J943" s="11"/>
      <c r="K943" s="27"/>
      <c r="L943" s="11"/>
      <c r="M943" s="11"/>
      <c r="N943" s="11"/>
      <c r="O943" s="11"/>
      <c r="P943" s="15"/>
      <c r="Q943" s="15"/>
      <c r="R943" s="15"/>
      <c r="S943" s="15"/>
      <c r="T943" s="15"/>
      <c r="U943" s="15"/>
      <c r="V943" s="15"/>
      <c r="W943" s="47"/>
      <c r="X943" s="11"/>
      <c r="Y943" s="48"/>
      <c r="Z943" s="11"/>
      <c r="AA943" s="48"/>
      <c r="AB943" s="11"/>
      <c r="AC943" s="48"/>
      <c r="AD943" s="11"/>
      <c r="AE943" s="47"/>
      <c r="AF943" s="11"/>
      <c r="AG943" s="48"/>
      <c r="AH943" s="11"/>
      <c r="AI943" s="48"/>
      <c r="AJ943" s="11"/>
      <c r="AK943" s="48"/>
      <c r="AL943" s="11"/>
      <c r="AM943" s="49"/>
      <c r="AN943" s="49"/>
      <c r="AO943" s="11"/>
      <c r="AP943" s="11"/>
      <c r="AQ943" s="28" t="b">
        <f>IF(COUNTIF(SmartStatus!A$2:A1000, AM943) &gt; 2, TRUE, FALSE)</f>
        <v>0</v>
      </c>
      <c r="AR943" s="29" t="str">
        <f ca="1">IFERROR(__xludf.DUMMYFUNCTION("iferror(if(regexmatch(AO943, ""(?i)^registered""), if(EE943 &lt;&gt; ""polity_shortest_name"", ""CHECK_POLITY"", index(filter(SmartStatus!B$2:B1000, AM943 = SmartStatus!A$2:A1000, not(SmartStatus!C$2:C1000), (isblank(SmartStatus!D$2:D1000)) + ((P943 &lt;&gt; """") * "&amp;"(P943 &lt; SmartStatus!D$2:D1000)), (isblank(SmartStatus!E$2:E1000)) + ((P943 &lt;&gt; """") * (P943 &gt;= SmartStatus!E$2:E1000)), (isblank(SmartStatus!F$2:F1000)) + (((Q943 &lt;&gt; """") * (Q943 &lt; SmartStatus!F$2:F1000)) + ((P943 &lt;&gt; """") * (date(year(P943) + 3, month(P"&amp;"943), day(P943)) &lt; SmartStatus!F$2:F1000))), (isblank(SmartStatus!G$2:G1000)) + (((Q943 &lt;&gt; """") * (Q943 &gt;= SmartStatus!G$2:G1000)) + ((P943 &lt;&gt; """") * (P943 &gt;= SmartStatus!G$2:G1000)))), if(or(regexmatch(B943, ""(?i)^ir [a-z]+ designation$""), N943 &lt;&gt; """&amp;"""), 1, 2))), """"), ""NO_MATCH"")"),"")</f>
        <v/>
      </c>
      <c r="AS943" s="11"/>
      <c r="AT943" s="15"/>
      <c r="AU943" s="11"/>
      <c r="AV943" s="11"/>
      <c r="AW943" s="15"/>
      <c r="AX943" s="15"/>
      <c r="AY943" s="15"/>
      <c r="AZ943" s="11"/>
      <c r="BA943" s="15"/>
      <c r="BB943" s="11"/>
      <c r="BC943" s="11"/>
      <c r="BD943" s="15"/>
      <c r="BE943" s="11"/>
      <c r="BF943" s="11"/>
      <c r="BG943" s="15"/>
      <c r="BH943" s="15"/>
      <c r="BI943" s="15"/>
      <c r="BJ943" s="11"/>
      <c r="BK943" s="15"/>
      <c r="BL943" s="11"/>
      <c r="BM943" s="11"/>
      <c r="BN943" s="15"/>
      <c r="BO943" s="11"/>
      <c r="BP943" s="11"/>
      <c r="BQ943" s="15"/>
      <c r="BR943" s="15"/>
      <c r="BS943" s="15"/>
      <c r="BT943" s="11"/>
      <c r="BU943" s="15"/>
      <c r="BV943" s="11"/>
      <c r="BW943" s="11"/>
      <c r="BX943" s="15"/>
      <c r="BY943" s="11"/>
      <c r="BZ943" s="11"/>
      <c r="CA943" s="15"/>
      <c r="CB943" s="11"/>
      <c r="CC943" s="15"/>
      <c r="CD943" s="11"/>
      <c r="CE943" s="15"/>
      <c r="CF943" s="11"/>
      <c r="CG943" s="11"/>
      <c r="CH943" s="15"/>
      <c r="CI943" s="11"/>
      <c r="CJ943" s="11"/>
      <c r="CK943" s="15"/>
      <c r="CL943" s="11"/>
      <c r="CM943" s="11"/>
      <c r="CN943" s="11"/>
      <c r="CO943" s="11"/>
      <c r="CP943" s="28"/>
      <c r="CQ943" s="28"/>
      <c r="CR943" s="11"/>
      <c r="CS943" s="29"/>
      <c r="CT943" s="11"/>
      <c r="CU943" s="11"/>
      <c r="CV943" s="11"/>
      <c r="CW943" s="11"/>
      <c r="CX943" s="11"/>
      <c r="CY943" s="11"/>
      <c r="CZ943" s="11"/>
      <c r="DA943" s="28"/>
      <c r="DB943" s="28"/>
      <c r="DC943" s="11"/>
      <c r="DD943" s="29"/>
      <c r="DE943" s="11"/>
      <c r="DF943" s="11"/>
      <c r="DG943" s="11"/>
      <c r="DH943" s="11"/>
      <c r="DI943" s="11"/>
      <c r="DJ943" s="11"/>
      <c r="DK943" s="26"/>
      <c r="DL943" s="11"/>
      <c r="DM943" s="29"/>
      <c r="DN943" s="28"/>
      <c r="DO943" s="11"/>
      <c r="DP943" s="11"/>
      <c r="DQ943" s="11"/>
      <c r="DR943" s="29"/>
      <c r="DS943" s="28"/>
      <c r="DT943" s="11"/>
      <c r="DU943" s="26"/>
      <c r="DV943" s="11"/>
      <c r="DW943" s="29"/>
      <c r="DX943" s="28"/>
      <c r="DY943" s="11"/>
      <c r="DZ943" s="26"/>
      <c r="EA943" s="11"/>
      <c r="EB943" s="29"/>
      <c r="EC943" s="28"/>
      <c r="ED943" s="30"/>
      <c r="EE943" s="30" t="str">
        <f ca="1">IFERROR(__xludf.DUMMYFUNCTION("iferror(index(filter('Internal -- Trademark Countries'!E$2:E1000, (AM943 = 'Internal -- Trademark Countries'!B$2:B1000) + (AM943 = 'Internal -- Trademark Countries'!C$2:C1000) + (AM943 = 'Internal -- Trademark Countries'!D$2:D1000)), 1))"),"")</f>
        <v/>
      </c>
      <c r="EF943" s="30" t="e">
        <f ca="1">_xludf.ifs(AM943="", "", COUNTIF('Internal -- Trademark Countries'!B:B,AM943) &gt; 0, "polity_shortest_name", COUNTIF('Internal -- Trademark Countries'!C:C,AM943) &gt; 0, "polity_full_name", COUNTIF('Internal -- Trademark Countries'!D:D,AM943) &gt; 0, "polity_common_name", COUNTIF('Internal -- Trademark Countries'!E:E,AM943) &gt; 0, "shortest_name", COUNTIF('Internal -- Trademark Countries'!A:A,AM943) &gt; 0, "full_name", TRUE, "not a match")</f>
        <v>#NAME?</v>
      </c>
      <c r="EG943" s="30"/>
      <c r="EH943" s="30"/>
      <c r="EI943" s="30"/>
      <c r="EJ943" s="30"/>
      <c r="EK943" s="30" t="str">
        <f t="shared" si="5"/>
        <v/>
      </c>
    </row>
    <row r="944" spans="1:141" ht="16.5">
      <c r="A944" s="11"/>
      <c r="B944" s="11"/>
      <c r="C944" s="11"/>
      <c r="D944" s="11"/>
      <c r="E944" s="11"/>
      <c r="F944" s="11"/>
      <c r="G944" s="11"/>
      <c r="H944" s="11"/>
      <c r="I944" s="11"/>
      <c r="J944" s="11"/>
      <c r="K944" s="27"/>
      <c r="L944" s="11"/>
      <c r="M944" s="11"/>
      <c r="N944" s="11"/>
      <c r="O944" s="11"/>
      <c r="P944" s="15"/>
      <c r="Q944" s="15"/>
      <c r="R944" s="15"/>
      <c r="S944" s="15"/>
      <c r="T944" s="15"/>
      <c r="U944" s="15"/>
      <c r="V944" s="15"/>
      <c r="W944" s="47"/>
      <c r="X944" s="11"/>
      <c r="Y944" s="48"/>
      <c r="Z944" s="11"/>
      <c r="AA944" s="48"/>
      <c r="AB944" s="11"/>
      <c r="AC944" s="48"/>
      <c r="AD944" s="11"/>
      <c r="AE944" s="47"/>
      <c r="AF944" s="11"/>
      <c r="AG944" s="48"/>
      <c r="AH944" s="11"/>
      <c r="AI944" s="48"/>
      <c r="AJ944" s="11"/>
      <c r="AK944" s="48"/>
      <c r="AL944" s="11"/>
      <c r="AM944" s="49"/>
      <c r="AN944" s="49"/>
      <c r="AO944" s="11"/>
      <c r="AP944" s="11"/>
      <c r="AQ944" s="28" t="b">
        <f>IF(COUNTIF(SmartStatus!A$2:A1000, AM944) &gt; 2, TRUE, FALSE)</f>
        <v>0</v>
      </c>
      <c r="AR944" s="29" t="str">
        <f ca="1">IFERROR(__xludf.DUMMYFUNCTION("iferror(if(regexmatch(AO944, ""(?i)^registered""), if(EE944 &lt;&gt; ""polity_shortest_name"", ""CHECK_POLITY"", index(filter(SmartStatus!B$2:B1000, AM944 = SmartStatus!A$2:A1000, not(SmartStatus!C$2:C1000), (isblank(SmartStatus!D$2:D1000)) + ((P944 &lt;&gt; """") * "&amp;"(P944 &lt; SmartStatus!D$2:D1000)), (isblank(SmartStatus!E$2:E1000)) + ((P944 &lt;&gt; """") * (P944 &gt;= SmartStatus!E$2:E1000)), (isblank(SmartStatus!F$2:F1000)) + (((Q944 &lt;&gt; """") * (Q944 &lt; SmartStatus!F$2:F1000)) + ((P944 &lt;&gt; """") * (date(year(P944) + 3, month(P"&amp;"944), day(P944)) &lt; SmartStatus!F$2:F1000))), (isblank(SmartStatus!G$2:G1000)) + (((Q944 &lt;&gt; """") * (Q944 &gt;= SmartStatus!G$2:G1000)) + ((P944 &lt;&gt; """") * (P944 &gt;= SmartStatus!G$2:G1000)))), if(or(regexmatch(B944, ""(?i)^ir [a-z]+ designation$""), N944 &lt;&gt; """&amp;"""), 1, 2))), """"), ""NO_MATCH"")"),"")</f>
        <v/>
      </c>
      <c r="AS944" s="11"/>
      <c r="AT944" s="15"/>
      <c r="AU944" s="11"/>
      <c r="AV944" s="11"/>
      <c r="AW944" s="15"/>
      <c r="AX944" s="15"/>
      <c r="AY944" s="15"/>
      <c r="AZ944" s="11"/>
      <c r="BA944" s="15"/>
      <c r="BB944" s="11"/>
      <c r="BC944" s="11"/>
      <c r="BD944" s="15"/>
      <c r="BE944" s="11"/>
      <c r="BF944" s="11"/>
      <c r="BG944" s="15"/>
      <c r="BH944" s="15"/>
      <c r="BI944" s="15"/>
      <c r="BJ944" s="11"/>
      <c r="BK944" s="15"/>
      <c r="BL944" s="11"/>
      <c r="BM944" s="11"/>
      <c r="BN944" s="15"/>
      <c r="BO944" s="11"/>
      <c r="BP944" s="11"/>
      <c r="BQ944" s="15"/>
      <c r="BR944" s="15"/>
      <c r="BS944" s="15"/>
      <c r="BT944" s="11"/>
      <c r="BU944" s="15"/>
      <c r="BV944" s="11"/>
      <c r="BW944" s="11"/>
      <c r="BX944" s="15"/>
      <c r="BY944" s="11"/>
      <c r="BZ944" s="11"/>
      <c r="CA944" s="15"/>
      <c r="CB944" s="11"/>
      <c r="CC944" s="15"/>
      <c r="CD944" s="11"/>
      <c r="CE944" s="15"/>
      <c r="CF944" s="11"/>
      <c r="CG944" s="11"/>
      <c r="CH944" s="15"/>
      <c r="CI944" s="11"/>
      <c r="CJ944" s="11"/>
      <c r="CK944" s="15"/>
      <c r="CL944" s="11"/>
      <c r="CM944" s="11"/>
      <c r="CN944" s="11"/>
      <c r="CO944" s="11"/>
      <c r="CP944" s="28"/>
      <c r="CQ944" s="28"/>
      <c r="CR944" s="11"/>
      <c r="CS944" s="29"/>
      <c r="CT944" s="11"/>
      <c r="CU944" s="11"/>
      <c r="CV944" s="11"/>
      <c r="CW944" s="11"/>
      <c r="CX944" s="11"/>
      <c r="CY944" s="11"/>
      <c r="CZ944" s="11"/>
      <c r="DA944" s="28"/>
      <c r="DB944" s="28"/>
      <c r="DC944" s="11"/>
      <c r="DD944" s="29"/>
      <c r="DE944" s="11"/>
      <c r="DF944" s="11"/>
      <c r="DG944" s="11"/>
      <c r="DH944" s="11"/>
      <c r="DI944" s="11"/>
      <c r="DJ944" s="11"/>
      <c r="DK944" s="26"/>
      <c r="DL944" s="11"/>
      <c r="DM944" s="29"/>
      <c r="DN944" s="28"/>
      <c r="DO944" s="11"/>
      <c r="DP944" s="11"/>
      <c r="DQ944" s="11"/>
      <c r="DR944" s="29"/>
      <c r="DS944" s="28"/>
      <c r="DT944" s="11"/>
      <c r="DU944" s="26"/>
      <c r="DV944" s="11"/>
      <c r="DW944" s="29"/>
      <c r="DX944" s="28"/>
      <c r="DY944" s="11"/>
      <c r="DZ944" s="26"/>
      <c r="EA944" s="11"/>
      <c r="EB944" s="29"/>
      <c r="EC944" s="28"/>
      <c r="ED944" s="30"/>
      <c r="EE944" s="30" t="str">
        <f ca="1">IFERROR(__xludf.DUMMYFUNCTION("iferror(index(filter('Internal -- Trademark Countries'!E$2:E1000, (AM944 = 'Internal -- Trademark Countries'!B$2:B1000) + (AM944 = 'Internal -- Trademark Countries'!C$2:C1000) + (AM944 = 'Internal -- Trademark Countries'!D$2:D1000)), 1))"),"")</f>
        <v/>
      </c>
      <c r="EF944" s="30" t="e">
        <f ca="1">_xludf.ifs(AM944="", "", COUNTIF('Internal -- Trademark Countries'!B:B,AM944) &gt; 0, "polity_shortest_name", COUNTIF('Internal -- Trademark Countries'!C:C,AM944) &gt; 0, "polity_full_name", COUNTIF('Internal -- Trademark Countries'!D:D,AM944) &gt; 0, "polity_common_name", COUNTIF('Internal -- Trademark Countries'!E:E,AM944) &gt; 0, "shortest_name", COUNTIF('Internal -- Trademark Countries'!A:A,AM944) &gt; 0, "full_name", TRUE, "not a match")</f>
        <v>#NAME?</v>
      </c>
      <c r="EG944" s="30"/>
      <c r="EH944" s="30"/>
      <c r="EI944" s="30"/>
      <c r="EJ944" s="30"/>
      <c r="EK944" s="30" t="str">
        <f t="shared" si="5"/>
        <v/>
      </c>
    </row>
    <row r="945" spans="1:141" ht="16.5">
      <c r="A945" s="11"/>
      <c r="B945" s="11"/>
      <c r="C945" s="11"/>
      <c r="D945" s="11"/>
      <c r="E945" s="11"/>
      <c r="F945" s="11"/>
      <c r="G945" s="11"/>
      <c r="H945" s="11"/>
      <c r="I945" s="11"/>
      <c r="J945" s="11"/>
      <c r="K945" s="27"/>
      <c r="L945" s="11"/>
      <c r="M945" s="11"/>
      <c r="N945" s="11"/>
      <c r="O945" s="11"/>
      <c r="P945" s="15"/>
      <c r="Q945" s="15"/>
      <c r="R945" s="15"/>
      <c r="S945" s="15"/>
      <c r="T945" s="15"/>
      <c r="U945" s="15"/>
      <c r="V945" s="15"/>
      <c r="W945" s="47"/>
      <c r="X945" s="11"/>
      <c r="Y945" s="48"/>
      <c r="Z945" s="11"/>
      <c r="AA945" s="48"/>
      <c r="AB945" s="11"/>
      <c r="AC945" s="48"/>
      <c r="AD945" s="11"/>
      <c r="AE945" s="47"/>
      <c r="AF945" s="11"/>
      <c r="AG945" s="48"/>
      <c r="AH945" s="11"/>
      <c r="AI945" s="48"/>
      <c r="AJ945" s="11"/>
      <c r="AK945" s="48"/>
      <c r="AL945" s="11"/>
      <c r="AM945" s="49"/>
      <c r="AN945" s="49"/>
      <c r="AO945" s="11"/>
      <c r="AP945" s="11"/>
      <c r="AQ945" s="28" t="b">
        <f>IF(COUNTIF(SmartStatus!A$2:A1000, AM945) &gt; 2, TRUE, FALSE)</f>
        <v>0</v>
      </c>
      <c r="AR945" s="29" t="str">
        <f ca="1">IFERROR(__xludf.DUMMYFUNCTION("iferror(if(regexmatch(AO945, ""(?i)^registered""), if(EE945 &lt;&gt; ""polity_shortest_name"", ""CHECK_POLITY"", index(filter(SmartStatus!B$2:B1000, AM945 = SmartStatus!A$2:A1000, not(SmartStatus!C$2:C1000), (isblank(SmartStatus!D$2:D1000)) + ((P945 &lt;&gt; """") * "&amp;"(P945 &lt; SmartStatus!D$2:D1000)), (isblank(SmartStatus!E$2:E1000)) + ((P945 &lt;&gt; """") * (P945 &gt;= SmartStatus!E$2:E1000)), (isblank(SmartStatus!F$2:F1000)) + (((Q945 &lt;&gt; """") * (Q945 &lt; SmartStatus!F$2:F1000)) + ((P945 &lt;&gt; """") * (date(year(P945) + 3, month(P"&amp;"945), day(P945)) &lt; SmartStatus!F$2:F1000))), (isblank(SmartStatus!G$2:G1000)) + (((Q945 &lt;&gt; """") * (Q945 &gt;= SmartStatus!G$2:G1000)) + ((P945 &lt;&gt; """") * (P945 &gt;= SmartStatus!G$2:G1000)))), if(or(regexmatch(B945, ""(?i)^ir [a-z]+ designation$""), N945 &lt;&gt; """&amp;"""), 1, 2))), """"), ""NO_MATCH"")"),"")</f>
        <v/>
      </c>
      <c r="AS945" s="11"/>
      <c r="AT945" s="15"/>
      <c r="AU945" s="11"/>
      <c r="AV945" s="11"/>
      <c r="AW945" s="15"/>
      <c r="AX945" s="15"/>
      <c r="AY945" s="15"/>
      <c r="AZ945" s="11"/>
      <c r="BA945" s="15"/>
      <c r="BB945" s="11"/>
      <c r="BC945" s="11"/>
      <c r="BD945" s="15"/>
      <c r="BE945" s="11"/>
      <c r="BF945" s="11"/>
      <c r="BG945" s="15"/>
      <c r="BH945" s="15"/>
      <c r="BI945" s="15"/>
      <c r="BJ945" s="11"/>
      <c r="BK945" s="15"/>
      <c r="BL945" s="11"/>
      <c r="BM945" s="11"/>
      <c r="BN945" s="15"/>
      <c r="BO945" s="11"/>
      <c r="BP945" s="11"/>
      <c r="BQ945" s="15"/>
      <c r="BR945" s="15"/>
      <c r="BS945" s="15"/>
      <c r="BT945" s="11"/>
      <c r="BU945" s="15"/>
      <c r="BV945" s="11"/>
      <c r="BW945" s="11"/>
      <c r="BX945" s="15"/>
      <c r="BY945" s="11"/>
      <c r="BZ945" s="11"/>
      <c r="CA945" s="15"/>
      <c r="CB945" s="11"/>
      <c r="CC945" s="15"/>
      <c r="CD945" s="11"/>
      <c r="CE945" s="15"/>
      <c r="CF945" s="11"/>
      <c r="CG945" s="11"/>
      <c r="CH945" s="15"/>
      <c r="CI945" s="11"/>
      <c r="CJ945" s="11"/>
      <c r="CK945" s="15"/>
      <c r="CL945" s="11"/>
      <c r="CM945" s="11"/>
      <c r="CN945" s="11"/>
      <c r="CO945" s="11"/>
      <c r="CP945" s="28"/>
      <c r="CQ945" s="28"/>
      <c r="CR945" s="11"/>
      <c r="CS945" s="29"/>
      <c r="CT945" s="11"/>
      <c r="CU945" s="11"/>
      <c r="CV945" s="11"/>
      <c r="CW945" s="11"/>
      <c r="CX945" s="11"/>
      <c r="CY945" s="11"/>
      <c r="CZ945" s="11"/>
      <c r="DA945" s="28"/>
      <c r="DB945" s="28"/>
      <c r="DC945" s="11"/>
      <c r="DD945" s="29"/>
      <c r="DE945" s="11"/>
      <c r="DF945" s="11"/>
      <c r="DG945" s="11"/>
      <c r="DH945" s="11"/>
      <c r="DI945" s="11"/>
      <c r="DJ945" s="11"/>
      <c r="DK945" s="26"/>
      <c r="DL945" s="11"/>
      <c r="DM945" s="29"/>
      <c r="DN945" s="28"/>
      <c r="DO945" s="11"/>
      <c r="DP945" s="11"/>
      <c r="DQ945" s="11"/>
      <c r="DR945" s="29"/>
      <c r="DS945" s="28"/>
      <c r="DT945" s="11"/>
      <c r="DU945" s="26"/>
      <c r="DV945" s="11"/>
      <c r="DW945" s="29"/>
      <c r="DX945" s="28"/>
      <c r="DY945" s="11"/>
      <c r="DZ945" s="26"/>
      <c r="EA945" s="11"/>
      <c r="EB945" s="29"/>
      <c r="EC945" s="28"/>
      <c r="ED945" s="30"/>
      <c r="EE945" s="30" t="str">
        <f ca="1">IFERROR(__xludf.DUMMYFUNCTION("iferror(index(filter('Internal -- Trademark Countries'!E$2:E1000, (AM945 = 'Internal -- Trademark Countries'!B$2:B1000) + (AM945 = 'Internal -- Trademark Countries'!C$2:C1000) + (AM945 = 'Internal -- Trademark Countries'!D$2:D1000)), 1))"),"")</f>
        <v/>
      </c>
      <c r="EF945" s="30" t="e">
        <f ca="1">_xludf.ifs(AM945="", "", COUNTIF('Internal -- Trademark Countries'!B:B,AM945) &gt; 0, "polity_shortest_name", COUNTIF('Internal -- Trademark Countries'!C:C,AM945) &gt; 0, "polity_full_name", COUNTIF('Internal -- Trademark Countries'!D:D,AM945) &gt; 0, "polity_common_name", COUNTIF('Internal -- Trademark Countries'!E:E,AM945) &gt; 0, "shortest_name", COUNTIF('Internal -- Trademark Countries'!A:A,AM945) &gt; 0, "full_name", TRUE, "not a match")</f>
        <v>#NAME?</v>
      </c>
      <c r="EG945" s="30"/>
      <c r="EH945" s="30"/>
      <c r="EI945" s="30"/>
      <c r="EJ945" s="30"/>
      <c r="EK945" s="30" t="str">
        <f t="shared" si="5"/>
        <v/>
      </c>
    </row>
    <row r="946" spans="1:141" ht="16.5">
      <c r="A946" s="11"/>
      <c r="B946" s="11"/>
      <c r="C946" s="11"/>
      <c r="D946" s="11"/>
      <c r="E946" s="11"/>
      <c r="F946" s="11"/>
      <c r="G946" s="11"/>
      <c r="H946" s="11"/>
      <c r="I946" s="11"/>
      <c r="J946" s="11"/>
      <c r="K946" s="27"/>
      <c r="L946" s="11"/>
      <c r="M946" s="11"/>
      <c r="N946" s="11"/>
      <c r="O946" s="11"/>
      <c r="P946" s="15"/>
      <c r="Q946" s="15"/>
      <c r="R946" s="15"/>
      <c r="S946" s="15"/>
      <c r="T946" s="15"/>
      <c r="U946" s="15"/>
      <c r="V946" s="15"/>
      <c r="W946" s="47"/>
      <c r="X946" s="11"/>
      <c r="Y946" s="48"/>
      <c r="Z946" s="11"/>
      <c r="AA946" s="48"/>
      <c r="AB946" s="11"/>
      <c r="AC946" s="48"/>
      <c r="AD946" s="11"/>
      <c r="AE946" s="47"/>
      <c r="AF946" s="11"/>
      <c r="AG946" s="48"/>
      <c r="AH946" s="11"/>
      <c r="AI946" s="48"/>
      <c r="AJ946" s="11"/>
      <c r="AK946" s="48"/>
      <c r="AL946" s="11"/>
      <c r="AM946" s="49"/>
      <c r="AN946" s="49"/>
      <c r="AO946" s="11"/>
      <c r="AP946" s="11"/>
      <c r="AQ946" s="28" t="b">
        <f>IF(COUNTIF(SmartStatus!A$2:A1000, AM946) &gt; 2, TRUE, FALSE)</f>
        <v>0</v>
      </c>
      <c r="AR946" s="29" t="str">
        <f ca="1">IFERROR(__xludf.DUMMYFUNCTION("iferror(if(regexmatch(AO946, ""(?i)^registered""), if(EE946 &lt;&gt; ""polity_shortest_name"", ""CHECK_POLITY"", index(filter(SmartStatus!B$2:B1000, AM946 = SmartStatus!A$2:A1000, not(SmartStatus!C$2:C1000), (isblank(SmartStatus!D$2:D1000)) + ((P946 &lt;&gt; """") * "&amp;"(P946 &lt; SmartStatus!D$2:D1000)), (isblank(SmartStatus!E$2:E1000)) + ((P946 &lt;&gt; """") * (P946 &gt;= SmartStatus!E$2:E1000)), (isblank(SmartStatus!F$2:F1000)) + (((Q946 &lt;&gt; """") * (Q946 &lt; SmartStatus!F$2:F1000)) + ((P946 &lt;&gt; """") * (date(year(P946) + 3, month(P"&amp;"946), day(P946)) &lt; SmartStatus!F$2:F1000))), (isblank(SmartStatus!G$2:G1000)) + (((Q946 &lt;&gt; """") * (Q946 &gt;= SmartStatus!G$2:G1000)) + ((P946 &lt;&gt; """") * (P946 &gt;= SmartStatus!G$2:G1000)))), if(or(regexmatch(B946, ""(?i)^ir [a-z]+ designation$""), N946 &lt;&gt; """&amp;"""), 1, 2))), """"), ""NO_MATCH"")"),"")</f>
        <v/>
      </c>
      <c r="AS946" s="11"/>
      <c r="AT946" s="15"/>
      <c r="AU946" s="11"/>
      <c r="AV946" s="11"/>
      <c r="AW946" s="15"/>
      <c r="AX946" s="15"/>
      <c r="AY946" s="15"/>
      <c r="AZ946" s="11"/>
      <c r="BA946" s="15"/>
      <c r="BB946" s="11"/>
      <c r="BC946" s="11"/>
      <c r="BD946" s="15"/>
      <c r="BE946" s="11"/>
      <c r="BF946" s="11"/>
      <c r="BG946" s="15"/>
      <c r="BH946" s="15"/>
      <c r="BI946" s="15"/>
      <c r="BJ946" s="11"/>
      <c r="BK946" s="15"/>
      <c r="BL946" s="11"/>
      <c r="BM946" s="11"/>
      <c r="BN946" s="15"/>
      <c r="BO946" s="11"/>
      <c r="BP946" s="11"/>
      <c r="BQ946" s="15"/>
      <c r="BR946" s="15"/>
      <c r="BS946" s="15"/>
      <c r="BT946" s="11"/>
      <c r="BU946" s="15"/>
      <c r="BV946" s="11"/>
      <c r="BW946" s="11"/>
      <c r="BX946" s="15"/>
      <c r="BY946" s="11"/>
      <c r="BZ946" s="11"/>
      <c r="CA946" s="15"/>
      <c r="CB946" s="11"/>
      <c r="CC946" s="15"/>
      <c r="CD946" s="11"/>
      <c r="CE946" s="15"/>
      <c r="CF946" s="11"/>
      <c r="CG946" s="11"/>
      <c r="CH946" s="15"/>
      <c r="CI946" s="11"/>
      <c r="CJ946" s="11"/>
      <c r="CK946" s="15"/>
      <c r="CL946" s="11"/>
      <c r="CM946" s="11"/>
      <c r="CN946" s="11"/>
      <c r="CO946" s="11"/>
      <c r="CP946" s="28"/>
      <c r="CQ946" s="28"/>
      <c r="CR946" s="11"/>
      <c r="CS946" s="29"/>
      <c r="CT946" s="11"/>
      <c r="CU946" s="11"/>
      <c r="CV946" s="11"/>
      <c r="CW946" s="11"/>
      <c r="CX946" s="11"/>
      <c r="CY946" s="11"/>
      <c r="CZ946" s="11"/>
      <c r="DA946" s="28"/>
      <c r="DB946" s="28"/>
      <c r="DC946" s="11"/>
      <c r="DD946" s="29"/>
      <c r="DE946" s="11"/>
      <c r="DF946" s="11"/>
      <c r="DG946" s="11"/>
      <c r="DH946" s="11"/>
      <c r="DI946" s="11"/>
      <c r="DJ946" s="11"/>
      <c r="DK946" s="26"/>
      <c r="DL946" s="11"/>
      <c r="DM946" s="29"/>
      <c r="DN946" s="28"/>
      <c r="DO946" s="11"/>
      <c r="DP946" s="11"/>
      <c r="DQ946" s="11"/>
      <c r="DR946" s="29"/>
      <c r="DS946" s="28"/>
      <c r="DT946" s="11"/>
      <c r="DU946" s="26"/>
      <c r="DV946" s="11"/>
      <c r="DW946" s="29"/>
      <c r="DX946" s="28"/>
      <c r="DY946" s="11"/>
      <c r="DZ946" s="26"/>
      <c r="EA946" s="11"/>
      <c r="EB946" s="29"/>
      <c r="EC946" s="28"/>
      <c r="ED946" s="30"/>
      <c r="EE946" s="30" t="str">
        <f ca="1">IFERROR(__xludf.DUMMYFUNCTION("iferror(index(filter('Internal -- Trademark Countries'!E$2:E1000, (AM946 = 'Internal -- Trademark Countries'!B$2:B1000) + (AM946 = 'Internal -- Trademark Countries'!C$2:C1000) + (AM946 = 'Internal -- Trademark Countries'!D$2:D1000)), 1))"),"")</f>
        <v/>
      </c>
      <c r="EF946" s="30" t="e">
        <f ca="1">_xludf.ifs(AM946="", "", COUNTIF('Internal -- Trademark Countries'!B:B,AM946) &gt; 0, "polity_shortest_name", COUNTIF('Internal -- Trademark Countries'!C:C,AM946) &gt; 0, "polity_full_name", COUNTIF('Internal -- Trademark Countries'!D:D,AM946) &gt; 0, "polity_common_name", COUNTIF('Internal -- Trademark Countries'!E:E,AM946) &gt; 0, "shortest_name", COUNTIF('Internal -- Trademark Countries'!A:A,AM946) &gt; 0, "full_name", TRUE, "not a match")</f>
        <v>#NAME?</v>
      </c>
      <c r="EG946" s="30"/>
      <c r="EH946" s="30"/>
      <c r="EI946" s="30"/>
      <c r="EJ946" s="30"/>
      <c r="EK946" s="30" t="str">
        <f t="shared" si="5"/>
        <v/>
      </c>
    </row>
    <row r="947" spans="1:141" ht="16.5">
      <c r="A947" s="11"/>
      <c r="B947" s="11"/>
      <c r="C947" s="11"/>
      <c r="D947" s="11"/>
      <c r="E947" s="11"/>
      <c r="F947" s="11"/>
      <c r="G947" s="11"/>
      <c r="H947" s="11"/>
      <c r="I947" s="11"/>
      <c r="J947" s="11"/>
      <c r="K947" s="27"/>
      <c r="L947" s="11"/>
      <c r="M947" s="11"/>
      <c r="N947" s="11"/>
      <c r="O947" s="11"/>
      <c r="P947" s="15"/>
      <c r="Q947" s="15"/>
      <c r="R947" s="15"/>
      <c r="S947" s="15"/>
      <c r="T947" s="15"/>
      <c r="U947" s="15"/>
      <c r="V947" s="15"/>
      <c r="W947" s="47"/>
      <c r="X947" s="11"/>
      <c r="Y947" s="48"/>
      <c r="Z947" s="11"/>
      <c r="AA947" s="48"/>
      <c r="AB947" s="11"/>
      <c r="AC947" s="48"/>
      <c r="AD947" s="11"/>
      <c r="AE947" s="47"/>
      <c r="AF947" s="11"/>
      <c r="AG947" s="48"/>
      <c r="AH947" s="11"/>
      <c r="AI947" s="48"/>
      <c r="AJ947" s="11"/>
      <c r="AK947" s="48"/>
      <c r="AL947" s="11"/>
      <c r="AM947" s="49"/>
      <c r="AN947" s="49"/>
      <c r="AO947" s="11"/>
      <c r="AP947" s="11"/>
      <c r="AQ947" s="28" t="b">
        <f>IF(COUNTIF(SmartStatus!A$2:A1000, AM947) &gt; 2, TRUE, FALSE)</f>
        <v>0</v>
      </c>
      <c r="AR947" s="29" t="str">
        <f ca="1">IFERROR(__xludf.DUMMYFUNCTION("iferror(if(regexmatch(AO947, ""(?i)^registered""), if(EE947 &lt;&gt; ""polity_shortest_name"", ""CHECK_POLITY"", index(filter(SmartStatus!B$2:B1000, AM947 = SmartStatus!A$2:A1000, not(SmartStatus!C$2:C1000), (isblank(SmartStatus!D$2:D1000)) + ((P947 &lt;&gt; """") * "&amp;"(P947 &lt; SmartStatus!D$2:D1000)), (isblank(SmartStatus!E$2:E1000)) + ((P947 &lt;&gt; """") * (P947 &gt;= SmartStatus!E$2:E1000)), (isblank(SmartStatus!F$2:F1000)) + (((Q947 &lt;&gt; """") * (Q947 &lt; SmartStatus!F$2:F1000)) + ((P947 &lt;&gt; """") * (date(year(P947) + 3, month(P"&amp;"947), day(P947)) &lt; SmartStatus!F$2:F1000))), (isblank(SmartStatus!G$2:G1000)) + (((Q947 &lt;&gt; """") * (Q947 &gt;= SmartStatus!G$2:G1000)) + ((P947 &lt;&gt; """") * (P947 &gt;= SmartStatus!G$2:G1000)))), if(or(regexmatch(B947, ""(?i)^ir [a-z]+ designation$""), N947 &lt;&gt; """&amp;"""), 1, 2))), """"), ""NO_MATCH"")"),"")</f>
        <v/>
      </c>
      <c r="AS947" s="11"/>
      <c r="AT947" s="15"/>
      <c r="AU947" s="11"/>
      <c r="AV947" s="11"/>
      <c r="AW947" s="15"/>
      <c r="AX947" s="15"/>
      <c r="AY947" s="15"/>
      <c r="AZ947" s="11"/>
      <c r="BA947" s="15"/>
      <c r="BB947" s="11"/>
      <c r="BC947" s="11"/>
      <c r="BD947" s="15"/>
      <c r="BE947" s="11"/>
      <c r="BF947" s="11"/>
      <c r="BG947" s="15"/>
      <c r="BH947" s="15"/>
      <c r="BI947" s="15"/>
      <c r="BJ947" s="11"/>
      <c r="BK947" s="15"/>
      <c r="BL947" s="11"/>
      <c r="BM947" s="11"/>
      <c r="BN947" s="15"/>
      <c r="BO947" s="11"/>
      <c r="BP947" s="11"/>
      <c r="BQ947" s="15"/>
      <c r="BR947" s="15"/>
      <c r="BS947" s="15"/>
      <c r="BT947" s="11"/>
      <c r="BU947" s="15"/>
      <c r="BV947" s="11"/>
      <c r="BW947" s="11"/>
      <c r="BX947" s="15"/>
      <c r="BY947" s="11"/>
      <c r="BZ947" s="11"/>
      <c r="CA947" s="15"/>
      <c r="CB947" s="11"/>
      <c r="CC947" s="15"/>
      <c r="CD947" s="11"/>
      <c r="CE947" s="15"/>
      <c r="CF947" s="11"/>
      <c r="CG947" s="11"/>
      <c r="CH947" s="15"/>
      <c r="CI947" s="11"/>
      <c r="CJ947" s="11"/>
      <c r="CK947" s="15"/>
      <c r="CL947" s="11"/>
      <c r="CM947" s="11"/>
      <c r="CN947" s="11"/>
      <c r="CO947" s="11"/>
      <c r="CP947" s="28"/>
      <c r="CQ947" s="28"/>
      <c r="CR947" s="11"/>
      <c r="CS947" s="29"/>
      <c r="CT947" s="11"/>
      <c r="CU947" s="11"/>
      <c r="CV947" s="11"/>
      <c r="CW947" s="11"/>
      <c r="CX947" s="11"/>
      <c r="CY947" s="11"/>
      <c r="CZ947" s="11"/>
      <c r="DA947" s="28"/>
      <c r="DB947" s="28"/>
      <c r="DC947" s="11"/>
      <c r="DD947" s="29"/>
      <c r="DE947" s="11"/>
      <c r="DF947" s="11"/>
      <c r="DG947" s="11"/>
      <c r="DH947" s="11"/>
      <c r="DI947" s="11"/>
      <c r="DJ947" s="11"/>
      <c r="DK947" s="26"/>
      <c r="DL947" s="11"/>
      <c r="DM947" s="29"/>
      <c r="DN947" s="28"/>
      <c r="DO947" s="11"/>
      <c r="DP947" s="11"/>
      <c r="DQ947" s="11"/>
      <c r="DR947" s="29"/>
      <c r="DS947" s="28"/>
      <c r="DT947" s="11"/>
      <c r="DU947" s="26"/>
      <c r="DV947" s="11"/>
      <c r="DW947" s="29"/>
      <c r="DX947" s="28"/>
      <c r="DY947" s="11"/>
      <c r="DZ947" s="26"/>
      <c r="EA947" s="11"/>
      <c r="EB947" s="29"/>
      <c r="EC947" s="28"/>
      <c r="ED947" s="30"/>
      <c r="EE947" s="30" t="str">
        <f ca="1">IFERROR(__xludf.DUMMYFUNCTION("iferror(index(filter('Internal -- Trademark Countries'!E$2:E1000, (AM947 = 'Internal -- Trademark Countries'!B$2:B1000) + (AM947 = 'Internal -- Trademark Countries'!C$2:C1000) + (AM947 = 'Internal -- Trademark Countries'!D$2:D1000)), 1))"),"")</f>
        <v/>
      </c>
      <c r="EF947" s="30" t="e">
        <f ca="1">_xludf.ifs(AM947="", "", COUNTIF('Internal -- Trademark Countries'!B:B,AM947) &gt; 0, "polity_shortest_name", COUNTIF('Internal -- Trademark Countries'!C:C,AM947) &gt; 0, "polity_full_name", COUNTIF('Internal -- Trademark Countries'!D:D,AM947) &gt; 0, "polity_common_name", COUNTIF('Internal -- Trademark Countries'!E:E,AM947) &gt; 0, "shortest_name", COUNTIF('Internal -- Trademark Countries'!A:A,AM947) &gt; 0, "full_name", TRUE, "not a match")</f>
        <v>#NAME?</v>
      </c>
      <c r="EG947" s="30"/>
      <c r="EH947" s="30"/>
      <c r="EI947" s="30"/>
      <c r="EJ947" s="30"/>
      <c r="EK947" s="30" t="str">
        <f t="shared" si="5"/>
        <v/>
      </c>
    </row>
    <row r="948" spans="1:141" ht="16.5">
      <c r="A948" s="11"/>
      <c r="B948" s="11"/>
      <c r="C948" s="11"/>
      <c r="D948" s="11"/>
      <c r="E948" s="11"/>
      <c r="F948" s="11"/>
      <c r="G948" s="11"/>
      <c r="H948" s="11"/>
      <c r="I948" s="11"/>
      <c r="J948" s="11"/>
      <c r="K948" s="27"/>
      <c r="L948" s="11"/>
      <c r="M948" s="11"/>
      <c r="N948" s="11"/>
      <c r="O948" s="11"/>
      <c r="P948" s="15"/>
      <c r="Q948" s="15"/>
      <c r="R948" s="15"/>
      <c r="S948" s="15"/>
      <c r="T948" s="15"/>
      <c r="U948" s="15"/>
      <c r="V948" s="15"/>
      <c r="W948" s="47"/>
      <c r="X948" s="11"/>
      <c r="Y948" s="48"/>
      <c r="Z948" s="11"/>
      <c r="AA948" s="48"/>
      <c r="AB948" s="11"/>
      <c r="AC948" s="48"/>
      <c r="AD948" s="11"/>
      <c r="AE948" s="47"/>
      <c r="AF948" s="11"/>
      <c r="AG948" s="48"/>
      <c r="AH948" s="11"/>
      <c r="AI948" s="48"/>
      <c r="AJ948" s="11"/>
      <c r="AK948" s="48"/>
      <c r="AL948" s="11"/>
      <c r="AM948" s="49"/>
      <c r="AN948" s="49"/>
      <c r="AO948" s="11"/>
      <c r="AP948" s="11"/>
      <c r="AQ948" s="28" t="b">
        <f>IF(COUNTIF(SmartStatus!A$2:A1000, AM948) &gt; 2, TRUE, FALSE)</f>
        <v>0</v>
      </c>
      <c r="AR948" s="29" t="str">
        <f ca="1">IFERROR(__xludf.DUMMYFUNCTION("iferror(if(regexmatch(AO948, ""(?i)^registered""), if(EE948 &lt;&gt; ""polity_shortest_name"", ""CHECK_POLITY"", index(filter(SmartStatus!B$2:B1000, AM948 = SmartStatus!A$2:A1000, not(SmartStatus!C$2:C1000), (isblank(SmartStatus!D$2:D1000)) + ((P948 &lt;&gt; """") * "&amp;"(P948 &lt; SmartStatus!D$2:D1000)), (isblank(SmartStatus!E$2:E1000)) + ((P948 &lt;&gt; """") * (P948 &gt;= SmartStatus!E$2:E1000)), (isblank(SmartStatus!F$2:F1000)) + (((Q948 &lt;&gt; """") * (Q948 &lt; SmartStatus!F$2:F1000)) + ((P948 &lt;&gt; """") * (date(year(P948) + 3, month(P"&amp;"948), day(P948)) &lt; SmartStatus!F$2:F1000))), (isblank(SmartStatus!G$2:G1000)) + (((Q948 &lt;&gt; """") * (Q948 &gt;= SmartStatus!G$2:G1000)) + ((P948 &lt;&gt; """") * (P948 &gt;= SmartStatus!G$2:G1000)))), if(or(regexmatch(B948, ""(?i)^ir [a-z]+ designation$""), N948 &lt;&gt; """&amp;"""), 1, 2))), """"), ""NO_MATCH"")"),"")</f>
        <v/>
      </c>
      <c r="AS948" s="11"/>
      <c r="AT948" s="15"/>
      <c r="AU948" s="11"/>
      <c r="AV948" s="11"/>
      <c r="AW948" s="15"/>
      <c r="AX948" s="15"/>
      <c r="AY948" s="15"/>
      <c r="AZ948" s="11"/>
      <c r="BA948" s="15"/>
      <c r="BB948" s="11"/>
      <c r="BC948" s="11"/>
      <c r="BD948" s="15"/>
      <c r="BE948" s="11"/>
      <c r="BF948" s="11"/>
      <c r="BG948" s="15"/>
      <c r="BH948" s="15"/>
      <c r="BI948" s="15"/>
      <c r="BJ948" s="11"/>
      <c r="BK948" s="15"/>
      <c r="BL948" s="11"/>
      <c r="BM948" s="11"/>
      <c r="BN948" s="15"/>
      <c r="BO948" s="11"/>
      <c r="BP948" s="11"/>
      <c r="BQ948" s="15"/>
      <c r="BR948" s="15"/>
      <c r="BS948" s="15"/>
      <c r="BT948" s="11"/>
      <c r="BU948" s="15"/>
      <c r="BV948" s="11"/>
      <c r="BW948" s="11"/>
      <c r="BX948" s="15"/>
      <c r="BY948" s="11"/>
      <c r="BZ948" s="11"/>
      <c r="CA948" s="15"/>
      <c r="CB948" s="11"/>
      <c r="CC948" s="15"/>
      <c r="CD948" s="11"/>
      <c r="CE948" s="15"/>
      <c r="CF948" s="11"/>
      <c r="CG948" s="11"/>
      <c r="CH948" s="15"/>
      <c r="CI948" s="11"/>
      <c r="CJ948" s="11"/>
      <c r="CK948" s="15"/>
      <c r="CL948" s="11"/>
      <c r="CM948" s="11"/>
      <c r="CN948" s="11"/>
      <c r="CO948" s="11"/>
      <c r="CP948" s="28"/>
      <c r="CQ948" s="28"/>
      <c r="CR948" s="11"/>
      <c r="CS948" s="29"/>
      <c r="CT948" s="11"/>
      <c r="CU948" s="11"/>
      <c r="CV948" s="11"/>
      <c r="CW948" s="11"/>
      <c r="CX948" s="11"/>
      <c r="CY948" s="11"/>
      <c r="CZ948" s="11"/>
      <c r="DA948" s="28"/>
      <c r="DB948" s="28"/>
      <c r="DC948" s="11"/>
      <c r="DD948" s="29"/>
      <c r="DE948" s="11"/>
      <c r="DF948" s="11"/>
      <c r="DG948" s="11"/>
      <c r="DH948" s="11"/>
      <c r="DI948" s="11"/>
      <c r="DJ948" s="11"/>
      <c r="DK948" s="26"/>
      <c r="DL948" s="11"/>
      <c r="DM948" s="29"/>
      <c r="DN948" s="28"/>
      <c r="DO948" s="11"/>
      <c r="DP948" s="11"/>
      <c r="DQ948" s="11"/>
      <c r="DR948" s="29"/>
      <c r="DS948" s="28"/>
      <c r="DT948" s="11"/>
      <c r="DU948" s="26"/>
      <c r="DV948" s="11"/>
      <c r="DW948" s="29"/>
      <c r="DX948" s="28"/>
      <c r="DY948" s="11"/>
      <c r="DZ948" s="26"/>
      <c r="EA948" s="11"/>
      <c r="EB948" s="29"/>
      <c r="EC948" s="28"/>
      <c r="ED948" s="30"/>
      <c r="EE948" s="30" t="str">
        <f ca="1">IFERROR(__xludf.DUMMYFUNCTION("iferror(index(filter('Internal -- Trademark Countries'!E$2:E1000, (AM948 = 'Internal -- Trademark Countries'!B$2:B1000) + (AM948 = 'Internal -- Trademark Countries'!C$2:C1000) + (AM948 = 'Internal -- Trademark Countries'!D$2:D1000)), 1))"),"")</f>
        <v/>
      </c>
      <c r="EF948" s="30" t="e">
        <f ca="1">_xludf.ifs(AM948="", "", COUNTIF('Internal -- Trademark Countries'!B:B,AM948) &gt; 0, "polity_shortest_name", COUNTIF('Internal -- Trademark Countries'!C:C,AM948) &gt; 0, "polity_full_name", COUNTIF('Internal -- Trademark Countries'!D:D,AM948) &gt; 0, "polity_common_name", COUNTIF('Internal -- Trademark Countries'!E:E,AM948) &gt; 0, "shortest_name", COUNTIF('Internal -- Trademark Countries'!A:A,AM948) &gt; 0, "full_name", TRUE, "not a match")</f>
        <v>#NAME?</v>
      </c>
      <c r="EG948" s="30"/>
      <c r="EH948" s="30"/>
      <c r="EI948" s="30"/>
      <c r="EJ948" s="30"/>
      <c r="EK948" s="30" t="str">
        <f t="shared" si="5"/>
        <v/>
      </c>
    </row>
    <row r="949" spans="1:141" ht="16.5">
      <c r="A949" s="11"/>
      <c r="B949" s="11"/>
      <c r="C949" s="11"/>
      <c r="D949" s="11"/>
      <c r="E949" s="11"/>
      <c r="F949" s="11"/>
      <c r="G949" s="11"/>
      <c r="H949" s="11"/>
      <c r="I949" s="11"/>
      <c r="J949" s="11"/>
      <c r="K949" s="27"/>
      <c r="L949" s="11"/>
      <c r="M949" s="11"/>
      <c r="N949" s="11"/>
      <c r="O949" s="11"/>
      <c r="P949" s="15"/>
      <c r="Q949" s="15"/>
      <c r="R949" s="15"/>
      <c r="S949" s="15"/>
      <c r="T949" s="15"/>
      <c r="U949" s="15"/>
      <c r="V949" s="15"/>
      <c r="W949" s="47"/>
      <c r="X949" s="11"/>
      <c r="Y949" s="48"/>
      <c r="Z949" s="11"/>
      <c r="AA949" s="48"/>
      <c r="AB949" s="11"/>
      <c r="AC949" s="48"/>
      <c r="AD949" s="11"/>
      <c r="AE949" s="47"/>
      <c r="AF949" s="11"/>
      <c r="AG949" s="48"/>
      <c r="AH949" s="11"/>
      <c r="AI949" s="48"/>
      <c r="AJ949" s="11"/>
      <c r="AK949" s="48"/>
      <c r="AL949" s="11"/>
      <c r="AM949" s="49"/>
      <c r="AN949" s="49"/>
      <c r="AO949" s="11"/>
      <c r="AP949" s="11"/>
      <c r="AQ949" s="28" t="b">
        <f>IF(COUNTIF(SmartStatus!A$2:A1000, AM949) &gt; 2, TRUE, FALSE)</f>
        <v>0</v>
      </c>
      <c r="AR949" s="29" t="str">
        <f ca="1">IFERROR(__xludf.DUMMYFUNCTION("iferror(if(regexmatch(AO949, ""(?i)^registered""), if(EE949 &lt;&gt; ""polity_shortest_name"", ""CHECK_POLITY"", index(filter(SmartStatus!B$2:B1000, AM949 = SmartStatus!A$2:A1000, not(SmartStatus!C$2:C1000), (isblank(SmartStatus!D$2:D1000)) + ((P949 &lt;&gt; """") * "&amp;"(P949 &lt; SmartStatus!D$2:D1000)), (isblank(SmartStatus!E$2:E1000)) + ((P949 &lt;&gt; """") * (P949 &gt;= SmartStatus!E$2:E1000)), (isblank(SmartStatus!F$2:F1000)) + (((Q949 &lt;&gt; """") * (Q949 &lt; SmartStatus!F$2:F1000)) + ((P949 &lt;&gt; """") * (date(year(P949) + 3, month(P"&amp;"949), day(P949)) &lt; SmartStatus!F$2:F1000))), (isblank(SmartStatus!G$2:G1000)) + (((Q949 &lt;&gt; """") * (Q949 &gt;= SmartStatus!G$2:G1000)) + ((P949 &lt;&gt; """") * (P949 &gt;= SmartStatus!G$2:G1000)))), if(or(regexmatch(B949, ""(?i)^ir [a-z]+ designation$""), N949 &lt;&gt; """&amp;"""), 1, 2))), """"), ""NO_MATCH"")"),"")</f>
        <v/>
      </c>
      <c r="AS949" s="11"/>
      <c r="AT949" s="15"/>
      <c r="AU949" s="11"/>
      <c r="AV949" s="11"/>
      <c r="AW949" s="15"/>
      <c r="AX949" s="15"/>
      <c r="AY949" s="15"/>
      <c r="AZ949" s="11"/>
      <c r="BA949" s="15"/>
      <c r="BB949" s="11"/>
      <c r="BC949" s="11"/>
      <c r="BD949" s="15"/>
      <c r="BE949" s="11"/>
      <c r="BF949" s="11"/>
      <c r="BG949" s="15"/>
      <c r="BH949" s="15"/>
      <c r="BI949" s="15"/>
      <c r="BJ949" s="11"/>
      <c r="BK949" s="15"/>
      <c r="BL949" s="11"/>
      <c r="BM949" s="11"/>
      <c r="BN949" s="15"/>
      <c r="BO949" s="11"/>
      <c r="BP949" s="11"/>
      <c r="BQ949" s="15"/>
      <c r="BR949" s="15"/>
      <c r="BS949" s="15"/>
      <c r="BT949" s="11"/>
      <c r="BU949" s="15"/>
      <c r="BV949" s="11"/>
      <c r="BW949" s="11"/>
      <c r="BX949" s="15"/>
      <c r="BY949" s="11"/>
      <c r="BZ949" s="11"/>
      <c r="CA949" s="15"/>
      <c r="CB949" s="11"/>
      <c r="CC949" s="15"/>
      <c r="CD949" s="11"/>
      <c r="CE949" s="15"/>
      <c r="CF949" s="11"/>
      <c r="CG949" s="11"/>
      <c r="CH949" s="15"/>
      <c r="CI949" s="11"/>
      <c r="CJ949" s="11"/>
      <c r="CK949" s="15"/>
      <c r="CL949" s="11"/>
      <c r="CM949" s="11"/>
      <c r="CN949" s="11"/>
      <c r="CO949" s="11"/>
      <c r="CP949" s="28"/>
      <c r="CQ949" s="28"/>
      <c r="CR949" s="11"/>
      <c r="CS949" s="29"/>
      <c r="CT949" s="11"/>
      <c r="CU949" s="11"/>
      <c r="CV949" s="11"/>
      <c r="CW949" s="11"/>
      <c r="CX949" s="11"/>
      <c r="CY949" s="11"/>
      <c r="CZ949" s="11"/>
      <c r="DA949" s="28"/>
      <c r="DB949" s="28"/>
      <c r="DC949" s="11"/>
      <c r="DD949" s="29"/>
      <c r="DE949" s="11"/>
      <c r="DF949" s="11"/>
      <c r="DG949" s="11"/>
      <c r="DH949" s="11"/>
      <c r="DI949" s="11"/>
      <c r="DJ949" s="11"/>
      <c r="DK949" s="26"/>
      <c r="DL949" s="11"/>
      <c r="DM949" s="29"/>
      <c r="DN949" s="28"/>
      <c r="DO949" s="11"/>
      <c r="DP949" s="11"/>
      <c r="DQ949" s="11"/>
      <c r="DR949" s="29"/>
      <c r="DS949" s="28"/>
      <c r="DT949" s="11"/>
      <c r="DU949" s="26"/>
      <c r="DV949" s="11"/>
      <c r="DW949" s="29"/>
      <c r="DX949" s="28"/>
      <c r="DY949" s="11"/>
      <c r="DZ949" s="26"/>
      <c r="EA949" s="11"/>
      <c r="EB949" s="29"/>
      <c r="EC949" s="28"/>
      <c r="ED949" s="30"/>
      <c r="EE949" s="30" t="str">
        <f ca="1">IFERROR(__xludf.DUMMYFUNCTION("iferror(index(filter('Internal -- Trademark Countries'!E$2:E1000, (AM949 = 'Internal -- Trademark Countries'!B$2:B1000) + (AM949 = 'Internal -- Trademark Countries'!C$2:C1000) + (AM949 = 'Internal -- Trademark Countries'!D$2:D1000)), 1))"),"")</f>
        <v/>
      </c>
      <c r="EF949" s="30" t="e">
        <f ca="1">_xludf.ifs(AM949="", "", COUNTIF('Internal -- Trademark Countries'!B:B,AM949) &gt; 0, "polity_shortest_name", COUNTIF('Internal -- Trademark Countries'!C:C,AM949) &gt; 0, "polity_full_name", COUNTIF('Internal -- Trademark Countries'!D:D,AM949) &gt; 0, "polity_common_name", COUNTIF('Internal -- Trademark Countries'!E:E,AM949) &gt; 0, "shortest_name", COUNTIF('Internal -- Trademark Countries'!A:A,AM949) &gt; 0, "full_name", TRUE, "not a match")</f>
        <v>#NAME?</v>
      </c>
      <c r="EG949" s="30"/>
      <c r="EH949" s="30"/>
      <c r="EI949" s="30"/>
      <c r="EJ949" s="30"/>
      <c r="EK949" s="30" t="str">
        <f t="shared" si="5"/>
        <v/>
      </c>
    </row>
    <row r="950" spans="1:141" ht="16.5">
      <c r="A950" s="11"/>
      <c r="B950" s="11"/>
      <c r="C950" s="11"/>
      <c r="D950" s="11"/>
      <c r="E950" s="11"/>
      <c r="F950" s="11"/>
      <c r="G950" s="11"/>
      <c r="H950" s="11"/>
      <c r="I950" s="11"/>
      <c r="J950" s="11"/>
      <c r="K950" s="27"/>
      <c r="L950" s="11"/>
      <c r="M950" s="11"/>
      <c r="N950" s="11"/>
      <c r="O950" s="11"/>
      <c r="P950" s="15"/>
      <c r="Q950" s="15"/>
      <c r="R950" s="15"/>
      <c r="S950" s="15"/>
      <c r="T950" s="15"/>
      <c r="U950" s="15"/>
      <c r="V950" s="15"/>
      <c r="W950" s="47"/>
      <c r="X950" s="11"/>
      <c r="Y950" s="48"/>
      <c r="Z950" s="11"/>
      <c r="AA950" s="48"/>
      <c r="AB950" s="11"/>
      <c r="AC950" s="48"/>
      <c r="AD950" s="11"/>
      <c r="AE950" s="47"/>
      <c r="AF950" s="11"/>
      <c r="AG950" s="48"/>
      <c r="AH950" s="11"/>
      <c r="AI950" s="48"/>
      <c r="AJ950" s="11"/>
      <c r="AK950" s="48"/>
      <c r="AL950" s="11"/>
      <c r="AM950" s="49"/>
      <c r="AN950" s="49"/>
      <c r="AO950" s="11"/>
      <c r="AP950" s="11"/>
      <c r="AQ950" s="28" t="b">
        <f>IF(COUNTIF(SmartStatus!A$2:A1000, AM950) &gt; 2, TRUE, FALSE)</f>
        <v>0</v>
      </c>
      <c r="AR950" s="29" t="str">
        <f ca="1">IFERROR(__xludf.DUMMYFUNCTION("iferror(if(regexmatch(AO950, ""(?i)^registered""), if(EE950 &lt;&gt; ""polity_shortest_name"", ""CHECK_POLITY"", index(filter(SmartStatus!B$2:B1000, AM950 = SmartStatus!A$2:A1000, not(SmartStatus!C$2:C1000), (isblank(SmartStatus!D$2:D1000)) + ((P950 &lt;&gt; """") * "&amp;"(P950 &lt; SmartStatus!D$2:D1000)), (isblank(SmartStatus!E$2:E1000)) + ((P950 &lt;&gt; """") * (P950 &gt;= SmartStatus!E$2:E1000)), (isblank(SmartStatus!F$2:F1000)) + (((Q950 &lt;&gt; """") * (Q950 &lt; SmartStatus!F$2:F1000)) + ((P950 &lt;&gt; """") * (date(year(P950) + 3, month(P"&amp;"950), day(P950)) &lt; SmartStatus!F$2:F1000))), (isblank(SmartStatus!G$2:G1000)) + (((Q950 &lt;&gt; """") * (Q950 &gt;= SmartStatus!G$2:G1000)) + ((P950 &lt;&gt; """") * (P950 &gt;= SmartStatus!G$2:G1000)))), if(or(regexmatch(B950, ""(?i)^ir [a-z]+ designation$""), N950 &lt;&gt; """&amp;"""), 1, 2))), """"), ""NO_MATCH"")"),"")</f>
        <v/>
      </c>
      <c r="AS950" s="11"/>
      <c r="AT950" s="15"/>
      <c r="AU950" s="11"/>
      <c r="AV950" s="11"/>
      <c r="AW950" s="15"/>
      <c r="AX950" s="15"/>
      <c r="AY950" s="15"/>
      <c r="AZ950" s="11"/>
      <c r="BA950" s="15"/>
      <c r="BB950" s="11"/>
      <c r="BC950" s="11"/>
      <c r="BD950" s="15"/>
      <c r="BE950" s="11"/>
      <c r="BF950" s="11"/>
      <c r="BG950" s="15"/>
      <c r="BH950" s="15"/>
      <c r="BI950" s="15"/>
      <c r="BJ950" s="11"/>
      <c r="BK950" s="15"/>
      <c r="BL950" s="11"/>
      <c r="BM950" s="11"/>
      <c r="BN950" s="15"/>
      <c r="BO950" s="11"/>
      <c r="BP950" s="11"/>
      <c r="BQ950" s="15"/>
      <c r="BR950" s="15"/>
      <c r="BS950" s="15"/>
      <c r="BT950" s="11"/>
      <c r="BU950" s="15"/>
      <c r="BV950" s="11"/>
      <c r="BW950" s="11"/>
      <c r="BX950" s="15"/>
      <c r="BY950" s="11"/>
      <c r="BZ950" s="11"/>
      <c r="CA950" s="15"/>
      <c r="CB950" s="11"/>
      <c r="CC950" s="15"/>
      <c r="CD950" s="11"/>
      <c r="CE950" s="15"/>
      <c r="CF950" s="11"/>
      <c r="CG950" s="11"/>
      <c r="CH950" s="15"/>
      <c r="CI950" s="11"/>
      <c r="CJ950" s="11"/>
      <c r="CK950" s="15"/>
      <c r="CL950" s="11"/>
      <c r="CM950" s="11"/>
      <c r="CN950" s="11"/>
      <c r="CO950" s="11"/>
      <c r="CP950" s="28"/>
      <c r="CQ950" s="28"/>
      <c r="CR950" s="11"/>
      <c r="CS950" s="29"/>
      <c r="CT950" s="11"/>
      <c r="CU950" s="11"/>
      <c r="CV950" s="11"/>
      <c r="CW950" s="11"/>
      <c r="CX950" s="11"/>
      <c r="CY950" s="11"/>
      <c r="CZ950" s="11"/>
      <c r="DA950" s="28"/>
      <c r="DB950" s="28"/>
      <c r="DC950" s="11"/>
      <c r="DD950" s="29"/>
      <c r="DE950" s="11"/>
      <c r="DF950" s="11"/>
      <c r="DG950" s="11"/>
      <c r="DH950" s="11"/>
      <c r="DI950" s="11"/>
      <c r="DJ950" s="11"/>
      <c r="DK950" s="26"/>
      <c r="DL950" s="11"/>
      <c r="DM950" s="29"/>
      <c r="DN950" s="28"/>
      <c r="DO950" s="11"/>
      <c r="DP950" s="11"/>
      <c r="DQ950" s="11"/>
      <c r="DR950" s="29"/>
      <c r="DS950" s="28"/>
      <c r="DT950" s="11"/>
      <c r="DU950" s="26"/>
      <c r="DV950" s="11"/>
      <c r="DW950" s="29"/>
      <c r="DX950" s="28"/>
      <c r="DY950" s="11"/>
      <c r="DZ950" s="26"/>
      <c r="EA950" s="11"/>
      <c r="EB950" s="29"/>
      <c r="EC950" s="28"/>
      <c r="ED950" s="30"/>
      <c r="EE950" s="30" t="str">
        <f ca="1">IFERROR(__xludf.DUMMYFUNCTION("iferror(index(filter('Internal -- Trademark Countries'!E$2:E1000, (AM950 = 'Internal -- Trademark Countries'!B$2:B1000) + (AM950 = 'Internal -- Trademark Countries'!C$2:C1000) + (AM950 = 'Internal -- Trademark Countries'!D$2:D1000)), 1))"),"")</f>
        <v/>
      </c>
      <c r="EF950" s="30" t="e">
        <f ca="1">_xludf.ifs(AM950="", "", COUNTIF('Internal -- Trademark Countries'!B:B,AM950) &gt; 0, "polity_shortest_name", COUNTIF('Internal -- Trademark Countries'!C:C,AM950) &gt; 0, "polity_full_name", COUNTIF('Internal -- Trademark Countries'!D:D,AM950) &gt; 0, "polity_common_name", COUNTIF('Internal -- Trademark Countries'!E:E,AM950) &gt; 0, "shortest_name", COUNTIF('Internal -- Trademark Countries'!A:A,AM950) &gt; 0, "full_name", TRUE, "not a match")</f>
        <v>#NAME?</v>
      </c>
      <c r="EG950" s="30"/>
      <c r="EH950" s="30"/>
      <c r="EI950" s="30"/>
      <c r="EJ950" s="30"/>
      <c r="EK950" s="30" t="str">
        <f t="shared" si="5"/>
        <v/>
      </c>
    </row>
    <row r="951" spans="1:141" ht="16.5">
      <c r="A951" s="11"/>
      <c r="B951" s="11"/>
      <c r="C951" s="11"/>
      <c r="D951" s="11"/>
      <c r="E951" s="11"/>
      <c r="F951" s="11"/>
      <c r="G951" s="11"/>
      <c r="H951" s="11"/>
      <c r="I951" s="11"/>
      <c r="J951" s="11"/>
      <c r="K951" s="27"/>
      <c r="L951" s="11"/>
      <c r="M951" s="11"/>
      <c r="N951" s="11"/>
      <c r="O951" s="11"/>
      <c r="P951" s="15"/>
      <c r="Q951" s="15"/>
      <c r="R951" s="15"/>
      <c r="S951" s="15"/>
      <c r="T951" s="15"/>
      <c r="U951" s="15"/>
      <c r="V951" s="15"/>
      <c r="W951" s="47"/>
      <c r="X951" s="11"/>
      <c r="Y951" s="48"/>
      <c r="Z951" s="11"/>
      <c r="AA951" s="48"/>
      <c r="AB951" s="11"/>
      <c r="AC951" s="48"/>
      <c r="AD951" s="11"/>
      <c r="AE951" s="47"/>
      <c r="AF951" s="11"/>
      <c r="AG951" s="48"/>
      <c r="AH951" s="11"/>
      <c r="AI951" s="48"/>
      <c r="AJ951" s="11"/>
      <c r="AK951" s="48"/>
      <c r="AL951" s="11"/>
      <c r="AM951" s="49"/>
      <c r="AN951" s="49"/>
      <c r="AO951" s="11"/>
      <c r="AP951" s="11"/>
      <c r="AQ951" s="28" t="b">
        <f>IF(COUNTIF(SmartStatus!A$2:A1000, AM951) &gt; 2, TRUE, FALSE)</f>
        <v>0</v>
      </c>
      <c r="AR951" s="29" t="str">
        <f ca="1">IFERROR(__xludf.DUMMYFUNCTION("iferror(if(regexmatch(AO951, ""(?i)^registered""), if(EE951 &lt;&gt; ""polity_shortest_name"", ""CHECK_POLITY"", index(filter(SmartStatus!B$2:B1000, AM951 = SmartStatus!A$2:A1000, not(SmartStatus!C$2:C1000), (isblank(SmartStatus!D$2:D1000)) + ((P951 &lt;&gt; """") * "&amp;"(P951 &lt; SmartStatus!D$2:D1000)), (isblank(SmartStatus!E$2:E1000)) + ((P951 &lt;&gt; """") * (P951 &gt;= SmartStatus!E$2:E1000)), (isblank(SmartStatus!F$2:F1000)) + (((Q951 &lt;&gt; """") * (Q951 &lt; SmartStatus!F$2:F1000)) + ((P951 &lt;&gt; """") * (date(year(P951) + 3, month(P"&amp;"951), day(P951)) &lt; SmartStatus!F$2:F1000))), (isblank(SmartStatus!G$2:G1000)) + (((Q951 &lt;&gt; """") * (Q951 &gt;= SmartStatus!G$2:G1000)) + ((P951 &lt;&gt; """") * (P951 &gt;= SmartStatus!G$2:G1000)))), if(or(regexmatch(B951, ""(?i)^ir [a-z]+ designation$""), N951 &lt;&gt; """&amp;"""), 1, 2))), """"), ""NO_MATCH"")"),"")</f>
        <v/>
      </c>
      <c r="AS951" s="11"/>
      <c r="AT951" s="15"/>
      <c r="AU951" s="11"/>
      <c r="AV951" s="11"/>
      <c r="AW951" s="15"/>
      <c r="AX951" s="15"/>
      <c r="AY951" s="15"/>
      <c r="AZ951" s="11"/>
      <c r="BA951" s="15"/>
      <c r="BB951" s="11"/>
      <c r="BC951" s="11"/>
      <c r="BD951" s="15"/>
      <c r="BE951" s="11"/>
      <c r="BF951" s="11"/>
      <c r="BG951" s="15"/>
      <c r="BH951" s="15"/>
      <c r="BI951" s="15"/>
      <c r="BJ951" s="11"/>
      <c r="BK951" s="15"/>
      <c r="BL951" s="11"/>
      <c r="BM951" s="11"/>
      <c r="BN951" s="15"/>
      <c r="BO951" s="11"/>
      <c r="BP951" s="11"/>
      <c r="BQ951" s="15"/>
      <c r="BR951" s="15"/>
      <c r="BS951" s="15"/>
      <c r="BT951" s="11"/>
      <c r="BU951" s="15"/>
      <c r="BV951" s="11"/>
      <c r="BW951" s="11"/>
      <c r="BX951" s="15"/>
      <c r="BY951" s="11"/>
      <c r="BZ951" s="11"/>
      <c r="CA951" s="15"/>
      <c r="CB951" s="11"/>
      <c r="CC951" s="15"/>
      <c r="CD951" s="11"/>
      <c r="CE951" s="15"/>
      <c r="CF951" s="11"/>
      <c r="CG951" s="11"/>
      <c r="CH951" s="15"/>
      <c r="CI951" s="11"/>
      <c r="CJ951" s="11"/>
      <c r="CK951" s="15"/>
      <c r="CL951" s="11"/>
      <c r="CM951" s="11"/>
      <c r="CN951" s="11"/>
      <c r="CO951" s="11"/>
      <c r="CP951" s="28"/>
      <c r="CQ951" s="28"/>
      <c r="CR951" s="11"/>
      <c r="CS951" s="29"/>
      <c r="CT951" s="11"/>
      <c r="CU951" s="11"/>
      <c r="CV951" s="11"/>
      <c r="CW951" s="11"/>
      <c r="CX951" s="11"/>
      <c r="CY951" s="11"/>
      <c r="CZ951" s="11"/>
      <c r="DA951" s="28"/>
      <c r="DB951" s="28"/>
      <c r="DC951" s="11"/>
      <c r="DD951" s="29"/>
      <c r="DE951" s="11"/>
      <c r="DF951" s="11"/>
      <c r="DG951" s="11"/>
      <c r="DH951" s="11"/>
      <c r="DI951" s="11"/>
      <c r="DJ951" s="11"/>
      <c r="DK951" s="26"/>
      <c r="DL951" s="11"/>
      <c r="DM951" s="29"/>
      <c r="DN951" s="28"/>
      <c r="DO951" s="11"/>
      <c r="DP951" s="11"/>
      <c r="DQ951" s="11"/>
      <c r="DR951" s="29"/>
      <c r="DS951" s="28"/>
      <c r="DT951" s="11"/>
      <c r="DU951" s="26"/>
      <c r="DV951" s="11"/>
      <c r="DW951" s="29"/>
      <c r="DX951" s="28"/>
      <c r="DY951" s="11"/>
      <c r="DZ951" s="26"/>
      <c r="EA951" s="11"/>
      <c r="EB951" s="29"/>
      <c r="EC951" s="28"/>
      <c r="ED951" s="30"/>
      <c r="EE951" s="30" t="str">
        <f ca="1">IFERROR(__xludf.DUMMYFUNCTION("iferror(index(filter('Internal -- Trademark Countries'!E$2:E1000, (AM951 = 'Internal -- Trademark Countries'!B$2:B1000) + (AM951 = 'Internal -- Trademark Countries'!C$2:C1000) + (AM951 = 'Internal -- Trademark Countries'!D$2:D1000)), 1))"),"")</f>
        <v/>
      </c>
      <c r="EF951" s="30" t="e">
        <f ca="1">_xludf.ifs(AM951="", "", COUNTIF('Internal -- Trademark Countries'!B:B,AM951) &gt; 0, "polity_shortest_name", COUNTIF('Internal -- Trademark Countries'!C:C,AM951) &gt; 0, "polity_full_name", COUNTIF('Internal -- Trademark Countries'!D:D,AM951) &gt; 0, "polity_common_name", COUNTIF('Internal -- Trademark Countries'!E:E,AM951) &gt; 0, "shortest_name", COUNTIF('Internal -- Trademark Countries'!A:A,AM951) &gt; 0, "full_name", TRUE, "not a match")</f>
        <v>#NAME?</v>
      </c>
      <c r="EG951" s="30"/>
      <c r="EH951" s="30"/>
      <c r="EI951" s="30"/>
      <c r="EJ951" s="30"/>
      <c r="EK951" s="30" t="str">
        <f t="shared" si="5"/>
        <v/>
      </c>
    </row>
    <row r="952" spans="1:141" ht="16.5">
      <c r="A952" s="11"/>
      <c r="B952" s="11"/>
      <c r="C952" s="11"/>
      <c r="D952" s="11"/>
      <c r="E952" s="11"/>
      <c r="F952" s="11"/>
      <c r="G952" s="11"/>
      <c r="H952" s="11"/>
      <c r="I952" s="11"/>
      <c r="J952" s="11"/>
      <c r="K952" s="27"/>
      <c r="L952" s="11"/>
      <c r="M952" s="11"/>
      <c r="N952" s="11"/>
      <c r="O952" s="11"/>
      <c r="P952" s="15"/>
      <c r="Q952" s="15"/>
      <c r="R952" s="15"/>
      <c r="S952" s="15"/>
      <c r="T952" s="15"/>
      <c r="U952" s="15"/>
      <c r="V952" s="15"/>
      <c r="W952" s="47"/>
      <c r="X952" s="11"/>
      <c r="Y952" s="48"/>
      <c r="Z952" s="11"/>
      <c r="AA952" s="48"/>
      <c r="AB952" s="11"/>
      <c r="AC952" s="48"/>
      <c r="AD952" s="11"/>
      <c r="AE952" s="47"/>
      <c r="AF952" s="11"/>
      <c r="AG952" s="48"/>
      <c r="AH952" s="11"/>
      <c r="AI952" s="48"/>
      <c r="AJ952" s="11"/>
      <c r="AK952" s="48"/>
      <c r="AL952" s="11"/>
      <c r="AM952" s="49"/>
      <c r="AN952" s="49"/>
      <c r="AO952" s="11"/>
      <c r="AP952" s="11"/>
      <c r="AQ952" s="28" t="b">
        <f>IF(COUNTIF(SmartStatus!A$2:A1000, AM952) &gt; 2, TRUE, FALSE)</f>
        <v>0</v>
      </c>
      <c r="AR952" s="29" t="str">
        <f ca="1">IFERROR(__xludf.DUMMYFUNCTION("iferror(if(regexmatch(AO952, ""(?i)^registered""), if(EE952 &lt;&gt; ""polity_shortest_name"", ""CHECK_POLITY"", index(filter(SmartStatus!B$2:B1000, AM952 = SmartStatus!A$2:A1000, not(SmartStatus!C$2:C1000), (isblank(SmartStatus!D$2:D1000)) + ((P952 &lt;&gt; """") * "&amp;"(P952 &lt; SmartStatus!D$2:D1000)), (isblank(SmartStatus!E$2:E1000)) + ((P952 &lt;&gt; """") * (P952 &gt;= SmartStatus!E$2:E1000)), (isblank(SmartStatus!F$2:F1000)) + (((Q952 &lt;&gt; """") * (Q952 &lt; SmartStatus!F$2:F1000)) + ((P952 &lt;&gt; """") * (date(year(P952) + 3, month(P"&amp;"952), day(P952)) &lt; SmartStatus!F$2:F1000))), (isblank(SmartStatus!G$2:G1000)) + (((Q952 &lt;&gt; """") * (Q952 &gt;= SmartStatus!G$2:G1000)) + ((P952 &lt;&gt; """") * (P952 &gt;= SmartStatus!G$2:G1000)))), if(or(regexmatch(B952, ""(?i)^ir [a-z]+ designation$""), N952 &lt;&gt; """&amp;"""), 1, 2))), """"), ""NO_MATCH"")"),"")</f>
        <v/>
      </c>
      <c r="AS952" s="11"/>
      <c r="AT952" s="15"/>
      <c r="AU952" s="11"/>
      <c r="AV952" s="11"/>
      <c r="AW952" s="15"/>
      <c r="AX952" s="15"/>
      <c r="AY952" s="15"/>
      <c r="AZ952" s="11"/>
      <c r="BA952" s="15"/>
      <c r="BB952" s="11"/>
      <c r="BC952" s="11"/>
      <c r="BD952" s="15"/>
      <c r="BE952" s="11"/>
      <c r="BF952" s="11"/>
      <c r="BG952" s="15"/>
      <c r="BH952" s="15"/>
      <c r="BI952" s="15"/>
      <c r="BJ952" s="11"/>
      <c r="BK952" s="15"/>
      <c r="BL952" s="11"/>
      <c r="BM952" s="11"/>
      <c r="BN952" s="15"/>
      <c r="BO952" s="11"/>
      <c r="BP952" s="11"/>
      <c r="BQ952" s="15"/>
      <c r="BR952" s="15"/>
      <c r="BS952" s="15"/>
      <c r="BT952" s="11"/>
      <c r="BU952" s="15"/>
      <c r="BV952" s="11"/>
      <c r="BW952" s="11"/>
      <c r="BX952" s="15"/>
      <c r="BY952" s="11"/>
      <c r="BZ952" s="11"/>
      <c r="CA952" s="15"/>
      <c r="CB952" s="11"/>
      <c r="CC952" s="15"/>
      <c r="CD952" s="11"/>
      <c r="CE952" s="15"/>
      <c r="CF952" s="11"/>
      <c r="CG952" s="11"/>
      <c r="CH952" s="15"/>
      <c r="CI952" s="11"/>
      <c r="CJ952" s="11"/>
      <c r="CK952" s="15"/>
      <c r="CL952" s="11"/>
      <c r="CM952" s="11"/>
      <c r="CN952" s="11"/>
      <c r="CO952" s="11"/>
      <c r="CP952" s="28"/>
      <c r="CQ952" s="28"/>
      <c r="CR952" s="11"/>
      <c r="CS952" s="29"/>
      <c r="CT952" s="11"/>
      <c r="CU952" s="11"/>
      <c r="CV952" s="11"/>
      <c r="CW952" s="11"/>
      <c r="CX952" s="11"/>
      <c r="CY952" s="11"/>
      <c r="CZ952" s="11"/>
      <c r="DA952" s="28"/>
      <c r="DB952" s="28"/>
      <c r="DC952" s="11"/>
      <c r="DD952" s="29"/>
      <c r="DE952" s="11"/>
      <c r="DF952" s="11"/>
      <c r="DG952" s="11"/>
      <c r="DH952" s="11"/>
      <c r="DI952" s="11"/>
      <c r="DJ952" s="11"/>
      <c r="DK952" s="26"/>
      <c r="DL952" s="11"/>
      <c r="DM952" s="29"/>
      <c r="DN952" s="28"/>
      <c r="DO952" s="11"/>
      <c r="DP952" s="11"/>
      <c r="DQ952" s="11"/>
      <c r="DR952" s="29"/>
      <c r="DS952" s="28"/>
      <c r="DT952" s="11"/>
      <c r="DU952" s="26"/>
      <c r="DV952" s="11"/>
      <c r="DW952" s="29"/>
      <c r="DX952" s="28"/>
      <c r="DY952" s="11"/>
      <c r="DZ952" s="26"/>
      <c r="EA952" s="11"/>
      <c r="EB952" s="29"/>
      <c r="EC952" s="28"/>
      <c r="ED952" s="30"/>
      <c r="EE952" s="30" t="str">
        <f ca="1">IFERROR(__xludf.DUMMYFUNCTION("iferror(index(filter('Internal -- Trademark Countries'!E$2:E1000, (AM952 = 'Internal -- Trademark Countries'!B$2:B1000) + (AM952 = 'Internal -- Trademark Countries'!C$2:C1000) + (AM952 = 'Internal -- Trademark Countries'!D$2:D1000)), 1))"),"")</f>
        <v/>
      </c>
      <c r="EF952" s="30" t="e">
        <f ca="1">_xludf.ifs(AM952="", "", COUNTIF('Internal -- Trademark Countries'!B:B,AM952) &gt; 0, "polity_shortest_name", COUNTIF('Internal -- Trademark Countries'!C:C,AM952) &gt; 0, "polity_full_name", COUNTIF('Internal -- Trademark Countries'!D:D,AM952) &gt; 0, "polity_common_name", COUNTIF('Internal -- Trademark Countries'!E:E,AM952) &gt; 0, "shortest_name", COUNTIF('Internal -- Trademark Countries'!A:A,AM952) &gt; 0, "full_name", TRUE, "not a match")</f>
        <v>#NAME?</v>
      </c>
      <c r="EG952" s="30"/>
      <c r="EH952" s="30"/>
      <c r="EI952" s="30"/>
      <c r="EJ952" s="30"/>
      <c r="EK952" s="30" t="str">
        <f t="shared" si="5"/>
        <v/>
      </c>
    </row>
    <row r="953" spans="1:141" ht="16.5">
      <c r="A953" s="11"/>
      <c r="B953" s="11"/>
      <c r="C953" s="11"/>
      <c r="D953" s="11"/>
      <c r="E953" s="11"/>
      <c r="F953" s="11"/>
      <c r="G953" s="11"/>
      <c r="H953" s="11"/>
      <c r="I953" s="11"/>
      <c r="J953" s="11"/>
      <c r="K953" s="27"/>
      <c r="L953" s="11"/>
      <c r="M953" s="11"/>
      <c r="N953" s="11"/>
      <c r="O953" s="11"/>
      <c r="P953" s="15"/>
      <c r="Q953" s="15"/>
      <c r="R953" s="15"/>
      <c r="S953" s="15"/>
      <c r="T953" s="15"/>
      <c r="U953" s="15"/>
      <c r="V953" s="15"/>
      <c r="W953" s="47"/>
      <c r="X953" s="11"/>
      <c r="Y953" s="48"/>
      <c r="Z953" s="11"/>
      <c r="AA953" s="48"/>
      <c r="AB953" s="11"/>
      <c r="AC953" s="48"/>
      <c r="AD953" s="11"/>
      <c r="AE953" s="47"/>
      <c r="AF953" s="11"/>
      <c r="AG953" s="48"/>
      <c r="AH953" s="11"/>
      <c r="AI953" s="48"/>
      <c r="AJ953" s="11"/>
      <c r="AK953" s="48"/>
      <c r="AL953" s="11"/>
      <c r="AM953" s="49"/>
      <c r="AN953" s="49"/>
      <c r="AO953" s="11"/>
      <c r="AP953" s="11"/>
      <c r="AQ953" s="28" t="b">
        <f>IF(COUNTIF(SmartStatus!A$2:A1000, AM953) &gt; 2, TRUE, FALSE)</f>
        <v>0</v>
      </c>
      <c r="AR953" s="29" t="str">
        <f ca="1">IFERROR(__xludf.DUMMYFUNCTION("iferror(if(regexmatch(AO953, ""(?i)^registered""), if(EE953 &lt;&gt; ""polity_shortest_name"", ""CHECK_POLITY"", index(filter(SmartStatus!B$2:B1000, AM953 = SmartStatus!A$2:A1000, not(SmartStatus!C$2:C1000), (isblank(SmartStatus!D$2:D1000)) + ((P953 &lt;&gt; """") * "&amp;"(P953 &lt; SmartStatus!D$2:D1000)), (isblank(SmartStatus!E$2:E1000)) + ((P953 &lt;&gt; """") * (P953 &gt;= SmartStatus!E$2:E1000)), (isblank(SmartStatus!F$2:F1000)) + (((Q953 &lt;&gt; """") * (Q953 &lt; SmartStatus!F$2:F1000)) + ((P953 &lt;&gt; """") * (date(year(P953) + 3, month(P"&amp;"953), day(P953)) &lt; SmartStatus!F$2:F1000))), (isblank(SmartStatus!G$2:G1000)) + (((Q953 &lt;&gt; """") * (Q953 &gt;= SmartStatus!G$2:G1000)) + ((P953 &lt;&gt; """") * (P953 &gt;= SmartStatus!G$2:G1000)))), if(or(regexmatch(B953, ""(?i)^ir [a-z]+ designation$""), N953 &lt;&gt; """&amp;"""), 1, 2))), """"), ""NO_MATCH"")"),"")</f>
        <v/>
      </c>
      <c r="AS953" s="11"/>
      <c r="AT953" s="15"/>
      <c r="AU953" s="11"/>
      <c r="AV953" s="11"/>
      <c r="AW953" s="15"/>
      <c r="AX953" s="15"/>
      <c r="AY953" s="15"/>
      <c r="AZ953" s="11"/>
      <c r="BA953" s="15"/>
      <c r="BB953" s="11"/>
      <c r="BC953" s="11"/>
      <c r="BD953" s="15"/>
      <c r="BE953" s="11"/>
      <c r="BF953" s="11"/>
      <c r="BG953" s="15"/>
      <c r="BH953" s="15"/>
      <c r="BI953" s="15"/>
      <c r="BJ953" s="11"/>
      <c r="BK953" s="15"/>
      <c r="BL953" s="11"/>
      <c r="BM953" s="11"/>
      <c r="BN953" s="15"/>
      <c r="BO953" s="11"/>
      <c r="BP953" s="11"/>
      <c r="BQ953" s="15"/>
      <c r="BR953" s="15"/>
      <c r="BS953" s="15"/>
      <c r="BT953" s="11"/>
      <c r="BU953" s="15"/>
      <c r="BV953" s="11"/>
      <c r="BW953" s="11"/>
      <c r="BX953" s="15"/>
      <c r="BY953" s="11"/>
      <c r="BZ953" s="11"/>
      <c r="CA953" s="15"/>
      <c r="CB953" s="11"/>
      <c r="CC953" s="15"/>
      <c r="CD953" s="11"/>
      <c r="CE953" s="15"/>
      <c r="CF953" s="11"/>
      <c r="CG953" s="11"/>
      <c r="CH953" s="15"/>
      <c r="CI953" s="11"/>
      <c r="CJ953" s="11"/>
      <c r="CK953" s="15"/>
      <c r="CL953" s="11"/>
      <c r="CM953" s="11"/>
      <c r="CN953" s="11"/>
      <c r="CO953" s="11"/>
      <c r="CP953" s="28"/>
      <c r="CQ953" s="28"/>
      <c r="CR953" s="11"/>
      <c r="CS953" s="29"/>
      <c r="CT953" s="11"/>
      <c r="CU953" s="11"/>
      <c r="CV953" s="11"/>
      <c r="CW953" s="11"/>
      <c r="CX953" s="11"/>
      <c r="CY953" s="11"/>
      <c r="CZ953" s="11"/>
      <c r="DA953" s="28"/>
      <c r="DB953" s="28"/>
      <c r="DC953" s="11"/>
      <c r="DD953" s="29"/>
      <c r="DE953" s="11"/>
      <c r="DF953" s="11"/>
      <c r="DG953" s="11"/>
      <c r="DH953" s="11"/>
      <c r="DI953" s="11"/>
      <c r="DJ953" s="11"/>
      <c r="DK953" s="26"/>
      <c r="DL953" s="11"/>
      <c r="DM953" s="29"/>
      <c r="DN953" s="28"/>
      <c r="DO953" s="11"/>
      <c r="DP953" s="11"/>
      <c r="DQ953" s="11"/>
      <c r="DR953" s="29"/>
      <c r="DS953" s="28"/>
      <c r="DT953" s="11"/>
      <c r="DU953" s="26"/>
      <c r="DV953" s="11"/>
      <c r="DW953" s="29"/>
      <c r="DX953" s="28"/>
      <c r="DY953" s="11"/>
      <c r="DZ953" s="26"/>
      <c r="EA953" s="11"/>
      <c r="EB953" s="29"/>
      <c r="EC953" s="28"/>
      <c r="ED953" s="30"/>
      <c r="EE953" s="30" t="str">
        <f ca="1">IFERROR(__xludf.DUMMYFUNCTION("iferror(index(filter('Internal -- Trademark Countries'!E$2:E1000, (AM953 = 'Internal -- Trademark Countries'!B$2:B1000) + (AM953 = 'Internal -- Trademark Countries'!C$2:C1000) + (AM953 = 'Internal -- Trademark Countries'!D$2:D1000)), 1))"),"")</f>
        <v/>
      </c>
      <c r="EF953" s="30" t="e">
        <f ca="1">_xludf.ifs(AM953="", "", COUNTIF('Internal -- Trademark Countries'!B:B,AM953) &gt; 0, "polity_shortest_name", COUNTIF('Internal -- Trademark Countries'!C:C,AM953) &gt; 0, "polity_full_name", COUNTIF('Internal -- Trademark Countries'!D:D,AM953) &gt; 0, "polity_common_name", COUNTIF('Internal -- Trademark Countries'!E:E,AM953) &gt; 0, "shortest_name", COUNTIF('Internal -- Trademark Countries'!A:A,AM953) &gt; 0, "full_name", TRUE, "not a match")</f>
        <v>#NAME?</v>
      </c>
      <c r="EG953" s="30"/>
      <c r="EH953" s="30"/>
      <c r="EI953" s="30"/>
      <c r="EJ953" s="30"/>
      <c r="EK953" s="30" t="str">
        <f t="shared" si="5"/>
        <v/>
      </c>
    </row>
    <row r="954" spans="1:141" ht="16.5">
      <c r="A954" s="11"/>
      <c r="B954" s="11"/>
      <c r="C954" s="11"/>
      <c r="D954" s="11"/>
      <c r="E954" s="11"/>
      <c r="F954" s="11"/>
      <c r="G954" s="11"/>
      <c r="H954" s="11"/>
      <c r="I954" s="11"/>
      <c r="J954" s="11"/>
      <c r="K954" s="27"/>
      <c r="L954" s="11"/>
      <c r="M954" s="11"/>
      <c r="N954" s="11"/>
      <c r="O954" s="11"/>
      <c r="P954" s="15"/>
      <c r="Q954" s="15"/>
      <c r="R954" s="15"/>
      <c r="S954" s="15"/>
      <c r="T954" s="15"/>
      <c r="U954" s="15"/>
      <c r="V954" s="15"/>
      <c r="W954" s="47"/>
      <c r="X954" s="11"/>
      <c r="Y954" s="48"/>
      <c r="Z954" s="11"/>
      <c r="AA954" s="48"/>
      <c r="AB954" s="11"/>
      <c r="AC954" s="48"/>
      <c r="AD954" s="11"/>
      <c r="AE954" s="47"/>
      <c r="AF954" s="11"/>
      <c r="AG954" s="48"/>
      <c r="AH954" s="11"/>
      <c r="AI954" s="48"/>
      <c r="AJ954" s="11"/>
      <c r="AK954" s="48"/>
      <c r="AL954" s="11"/>
      <c r="AM954" s="49"/>
      <c r="AN954" s="49"/>
      <c r="AO954" s="11"/>
      <c r="AP954" s="11"/>
      <c r="AQ954" s="28" t="b">
        <f>IF(COUNTIF(SmartStatus!A$2:A1000, AM954) &gt; 2, TRUE, FALSE)</f>
        <v>0</v>
      </c>
      <c r="AR954" s="29" t="str">
        <f ca="1">IFERROR(__xludf.DUMMYFUNCTION("iferror(if(regexmatch(AO954, ""(?i)^registered""), if(EE954 &lt;&gt; ""polity_shortest_name"", ""CHECK_POLITY"", index(filter(SmartStatus!B$2:B1000, AM954 = SmartStatus!A$2:A1000, not(SmartStatus!C$2:C1000), (isblank(SmartStatus!D$2:D1000)) + ((P954 &lt;&gt; """") * "&amp;"(P954 &lt; SmartStatus!D$2:D1000)), (isblank(SmartStatus!E$2:E1000)) + ((P954 &lt;&gt; """") * (P954 &gt;= SmartStatus!E$2:E1000)), (isblank(SmartStatus!F$2:F1000)) + (((Q954 &lt;&gt; """") * (Q954 &lt; SmartStatus!F$2:F1000)) + ((P954 &lt;&gt; """") * (date(year(P954) + 3, month(P"&amp;"954), day(P954)) &lt; SmartStatus!F$2:F1000))), (isblank(SmartStatus!G$2:G1000)) + (((Q954 &lt;&gt; """") * (Q954 &gt;= SmartStatus!G$2:G1000)) + ((P954 &lt;&gt; """") * (P954 &gt;= SmartStatus!G$2:G1000)))), if(or(regexmatch(B954, ""(?i)^ir [a-z]+ designation$""), N954 &lt;&gt; """&amp;"""), 1, 2))), """"), ""NO_MATCH"")"),"")</f>
        <v/>
      </c>
      <c r="AS954" s="11"/>
      <c r="AT954" s="15"/>
      <c r="AU954" s="11"/>
      <c r="AV954" s="11"/>
      <c r="AW954" s="15"/>
      <c r="AX954" s="15"/>
      <c r="AY954" s="15"/>
      <c r="AZ954" s="11"/>
      <c r="BA954" s="15"/>
      <c r="BB954" s="11"/>
      <c r="BC954" s="11"/>
      <c r="BD954" s="15"/>
      <c r="BE954" s="11"/>
      <c r="BF954" s="11"/>
      <c r="BG954" s="15"/>
      <c r="BH954" s="15"/>
      <c r="BI954" s="15"/>
      <c r="BJ954" s="11"/>
      <c r="BK954" s="15"/>
      <c r="BL954" s="11"/>
      <c r="BM954" s="11"/>
      <c r="BN954" s="15"/>
      <c r="BO954" s="11"/>
      <c r="BP954" s="11"/>
      <c r="BQ954" s="15"/>
      <c r="BR954" s="15"/>
      <c r="BS954" s="15"/>
      <c r="BT954" s="11"/>
      <c r="BU954" s="15"/>
      <c r="BV954" s="11"/>
      <c r="BW954" s="11"/>
      <c r="BX954" s="15"/>
      <c r="BY954" s="11"/>
      <c r="BZ954" s="11"/>
      <c r="CA954" s="15"/>
      <c r="CB954" s="11"/>
      <c r="CC954" s="15"/>
      <c r="CD954" s="11"/>
      <c r="CE954" s="15"/>
      <c r="CF954" s="11"/>
      <c r="CG954" s="11"/>
      <c r="CH954" s="15"/>
      <c r="CI954" s="11"/>
      <c r="CJ954" s="11"/>
      <c r="CK954" s="15"/>
      <c r="CL954" s="11"/>
      <c r="CM954" s="11"/>
      <c r="CN954" s="11"/>
      <c r="CO954" s="11"/>
      <c r="CP954" s="28"/>
      <c r="CQ954" s="28"/>
      <c r="CR954" s="11"/>
      <c r="CS954" s="29"/>
      <c r="CT954" s="11"/>
      <c r="CU954" s="11"/>
      <c r="CV954" s="11"/>
      <c r="CW954" s="11"/>
      <c r="CX954" s="11"/>
      <c r="CY954" s="11"/>
      <c r="CZ954" s="11"/>
      <c r="DA954" s="28"/>
      <c r="DB954" s="28"/>
      <c r="DC954" s="11"/>
      <c r="DD954" s="29"/>
      <c r="DE954" s="11"/>
      <c r="DF954" s="11"/>
      <c r="DG954" s="11"/>
      <c r="DH954" s="11"/>
      <c r="DI954" s="11"/>
      <c r="DJ954" s="11"/>
      <c r="DK954" s="26"/>
      <c r="DL954" s="11"/>
      <c r="DM954" s="29"/>
      <c r="DN954" s="28"/>
      <c r="DO954" s="11"/>
      <c r="DP954" s="11"/>
      <c r="DQ954" s="11"/>
      <c r="DR954" s="29"/>
      <c r="DS954" s="28"/>
      <c r="DT954" s="11"/>
      <c r="DU954" s="26"/>
      <c r="DV954" s="11"/>
      <c r="DW954" s="29"/>
      <c r="DX954" s="28"/>
      <c r="DY954" s="11"/>
      <c r="DZ954" s="26"/>
      <c r="EA954" s="11"/>
      <c r="EB954" s="29"/>
      <c r="EC954" s="28"/>
      <c r="ED954" s="30"/>
      <c r="EE954" s="30" t="str">
        <f ca="1">IFERROR(__xludf.DUMMYFUNCTION("iferror(index(filter('Internal -- Trademark Countries'!E$2:E1000, (AM954 = 'Internal -- Trademark Countries'!B$2:B1000) + (AM954 = 'Internal -- Trademark Countries'!C$2:C1000) + (AM954 = 'Internal -- Trademark Countries'!D$2:D1000)), 1))"),"")</f>
        <v/>
      </c>
      <c r="EF954" s="30" t="e">
        <f ca="1">_xludf.ifs(AM954="", "", COUNTIF('Internal -- Trademark Countries'!B:B,AM954) &gt; 0, "polity_shortest_name", COUNTIF('Internal -- Trademark Countries'!C:C,AM954) &gt; 0, "polity_full_name", COUNTIF('Internal -- Trademark Countries'!D:D,AM954) &gt; 0, "polity_common_name", COUNTIF('Internal -- Trademark Countries'!E:E,AM954) &gt; 0, "shortest_name", COUNTIF('Internal -- Trademark Countries'!A:A,AM954) &gt; 0, "full_name", TRUE, "not a match")</f>
        <v>#NAME?</v>
      </c>
      <c r="EG954" s="30"/>
      <c r="EH954" s="30"/>
      <c r="EI954" s="30"/>
      <c r="EJ954" s="30"/>
      <c r="EK954" s="30" t="str">
        <f t="shared" si="5"/>
        <v/>
      </c>
    </row>
    <row r="955" spans="1:141" ht="16.5">
      <c r="A955" s="11"/>
      <c r="B955" s="11"/>
      <c r="C955" s="11"/>
      <c r="D955" s="11"/>
      <c r="E955" s="11"/>
      <c r="F955" s="11"/>
      <c r="G955" s="11"/>
      <c r="H955" s="11"/>
      <c r="I955" s="11"/>
      <c r="J955" s="11"/>
      <c r="K955" s="27"/>
      <c r="L955" s="11"/>
      <c r="M955" s="11"/>
      <c r="N955" s="11"/>
      <c r="O955" s="11"/>
      <c r="P955" s="15"/>
      <c r="Q955" s="15"/>
      <c r="R955" s="15"/>
      <c r="S955" s="15"/>
      <c r="T955" s="15"/>
      <c r="U955" s="15"/>
      <c r="V955" s="15"/>
      <c r="W955" s="47"/>
      <c r="X955" s="11"/>
      <c r="Y955" s="48"/>
      <c r="Z955" s="11"/>
      <c r="AA955" s="48"/>
      <c r="AB955" s="11"/>
      <c r="AC955" s="48"/>
      <c r="AD955" s="11"/>
      <c r="AE955" s="47"/>
      <c r="AF955" s="11"/>
      <c r="AG955" s="48"/>
      <c r="AH955" s="11"/>
      <c r="AI955" s="48"/>
      <c r="AJ955" s="11"/>
      <c r="AK955" s="48"/>
      <c r="AL955" s="11"/>
      <c r="AM955" s="49"/>
      <c r="AN955" s="49"/>
      <c r="AO955" s="11"/>
      <c r="AP955" s="11"/>
      <c r="AQ955" s="28" t="b">
        <f>IF(COUNTIF(SmartStatus!A$2:A1000, AM955) &gt; 2, TRUE, FALSE)</f>
        <v>0</v>
      </c>
      <c r="AR955" s="29" t="str">
        <f ca="1">IFERROR(__xludf.DUMMYFUNCTION("iferror(if(regexmatch(AO955, ""(?i)^registered""), if(EE955 &lt;&gt; ""polity_shortest_name"", ""CHECK_POLITY"", index(filter(SmartStatus!B$2:B1000, AM955 = SmartStatus!A$2:A1000, not(SmartStatus!C$2:C1000), (isblank(SmartStatus!D$2:D1000)) + ((P955 &lt;&gt; """") * "&amp;"(P955 &lt; SmartStatus!D$2:D1000)), (isblank(SmartStatus!E$2:E1000)) + ((P955 &lt;&gt; """") * (P955 &gt;= SmartStatus!E$2:E1000)), (isblank(SmartStatus!F$2:F1000)) + (((Q955 &lt;&gt; """") * (Q955 &lt; SmartStatus!F$2:F1000)) + ((P955 &lt;&gt; """") * (date(year(P955) + 3, month(P"&amp;"955), day(P955)) &lt; SmartStatus!F$2:F1000))), (isblank(SmartStatus!G$2:G1000)) + (((Q955 &lt;&gt; """") * (Q955 &gt;= SmartStatus!G$2:G1000)) + ((P955 &lt;&gt; """") * (P955 &gt;= SmartStatus!G$2:G1000)))), if(or(regexmatch(B955, ""(?i)^ir [a-z]+ designation$""), N955 &lt;&gt; """&amp;"""), 1, 2))), """"), ""NO_MATCH"")"),"")</f>
        <v/>
      </c>
      <c r="AS955" s="11"/>
      <c r="AT955" s="15"/>
      <c r="AU955" s="11"/>
      <c r="AV955" s="11"/>
      <c r="AW955" s="15"/>
      <c r="AX955" s="15"/>
      <c r="AY955" s="15"/>
      <c r="AZ955" s="11"/>
      <c r="BA955" s="15"/>
      <c r="BB955" s="11"/>
      <c r="BC955" s="11"/>
      <c r="BD955" s="15"/>
      <c r="BE955" s="11"/>
      <c r="BF955" s="11"/>
      <c r="BG955" s="15"/>
      <c r="BH955" s="15"/>
      <c r="BI955" s="15"/>
      <c r="BJ955" s="11"/>
      <c r="BK955" s="15"/>
      <c r="BL955" s="11"/>
      <c r="BM955" s="11"/>
      <c r="BN955" s="15"/>
      <c r="BO955" s="11"/>
      <c r="BP955" s="11"/>
      <c r="BQ955" s="15"/>
      <c r="BR955" s="15"/>
      <c r="BS955" s="15"/>
      <c r="BT955" s="11"/>
      <c r="BU955" s="15"/>
      <c r="BV955" s="11"/>
      <c r="BW955" s="11"/>
      <c r="BX955" s="15"/>
      <c r="BY955" s="11"/>
      <c r="BZ955" s="11"/>
      <c r="CA955" s="15"/>
      <c r="CB955" s="11"/>
      <c r="CC955" s="15"/>
      <c r="CD955" s="11"/>
      <c r="CE955" s="15"/>
      <c r="CF955" s="11"/>
      <c r="CG955" s="11"/>
      <c r="CH955" s="15"/>
      <c r="CI955" s="11"/>
      <c r="CJ955" s="11"/>
      <c r="CK955" s="15"/>
      <c r="CL955" s="11"/>
      <c r="CM955" s="11"/>
      <c r="CN955" s="11"/>
      <c r="CO955" s="11"/>
      <c r="CP955" s="28"/>
      <c r="CQ955" s="28"/>
      <c r="CR955" s="11"/>
      <c r="CS955" s="29"/>
      <c r="CT955" s="11"/>
      <c r="CU955" s="11"/>
      <c r="CV955" s="11"/>
      <c r="CW955" s="11"/>
      <c r="CX955" s="11"/>
      <c r="CY955" s="11"/>
      <c r="CZ955" s="11"/>
      <c r="DA955" s="28"/>
      <c r="DB955" s="28"/>
      <c r="DC955" s="11"/>
      <c r="DD955" s="29"/>
      <c r="DE955" s="11"/>
      <c r="DF955" s="11"/>
      <c r="DG955" s="11"/>
      <c r="DH955" s="11"/>
      <c r="DI955" s="11"/>
      <c r="DJ955" s="11"/>
      <c r="DK955" s="26"/>
      <c r="DL955" s="11"/>
      <c r="DM955" s="29"/>
      <c r="DN955" s="28"/>
      <c r="DO955" s="11"/>
      <c r="DP955" s="11"/>
      <c r="DQ955" s="11"/>
      <c r="DR955" s="29"/>
      <c r="DS955" s="28"/>
      <c r="DT955" s="11"/>
      <c r="DU955" s="26"/>
      <c r="DV955" s="11"/>
      <c r="DW955" s="29"/>
      <c r="DX955" s="28"/>
      <c r="DY955" s="11"/>
      <c r="DZ955" s="26"/>
      <c r="EA955" s="11"/>
      <c r="EB955" s="29"/>
      <c r="EC955" s="28"/>
      <c r="ED955" s="30"/>
      <c r="EE955" s="30" t="str">
        <f ca="1">IFERROR(__xludf.DUMMYFUNCTION("iferror(index(filter('Internal -- Trademark Countries'!E$2:E1000, (AM955 = 'Internal -- Trademark Countries'!B$2:B1000) + (AM955 = 'Internal -- Trademark Countries'!C$2:C1000) + (AM955 = 'Internal -- Trademark Countries'!D$2:D1000)), 1))"),"")</f>
        <v/>
      </c>
      <c r="EF955" s="30" t="e">
        <f ca="1">_xludf.ifs(AM955="", "", COUNTIF('Internal -- Trademark Countries'!B:B,AM955) &gt; 0, "polity_shortest_name", COUNTIF('Internal -- Trademark Countries'!C:C,AM955) &gt; 0, "polity_full_name", COUNTIF('Internal -- Trademark Countries'!D:D,AM955) &gt; 0, "polity_common_name", COUNTIF('Internal -- Trademark Countries'!E:E,AM955) &gt; 0, "shortest_name", COUNTIF('Internal -- Trademark Countries'!A:A,AM955) &gt; 0, "full_name", TRUE, "not a match")</f>
        <v>#NAME?</v>
      </c>
      <c r="EG955" s="30"/>
      <c r="EH955" s="30"/>
      <c r="EI955" s="30"/>
      <c r="EJ955" s="30"/>
      <c r="EK955" s="30" t="str">
        <f t="shared" si="5"/>
        <v/>
      </c>
    </row>
    <row r="956" spans="1:141" ht="16.5">
      <c r="A956" s="11"/>
      <c r="B956" s="11"/>
      <c r="C956" s="11"/>
      <c r="D956" s="11"/>
      <c r="E956" s="11"/>
      <c r="F956" s="11"/>
      <c r="G956" s="11"/>
      <c r="H956" s="11"/>
      <c r="I956" s="11"/>
      <c r="J956" s="11"/>
      <c r="K956" s="27"/>
      <c r="L956" s="11"/>
      <c r="M956" s="11"/>
      <c r="N956" s="11"/>
      <c r="O956" s="11"/>
      <c r="P956" s="15"/>
      <c r="Q956" s="15"/>
      <c r="R956" s="15"/>
      <c r="S956" s="15"/>
      <c r="T956" s="15"/>
      <c r="U956" s="15"/>
      <c r="V956" s="15"/>
      <c r="W956" s="47"/>
      <c r="X956" s="11"/>
      <c r="Y956" s="48"/>
      <c r="Z956" s="11"/>
      <c r="AA956" s="48"/>
      <c r="AB956" s="11"/>
      <c r="AC956" s="48"/>
      <c r="AD956" s="11"/>
      <c r="AE956" s="47"/>
      <c r="AF956" s="11"/>
      <c r="AG956" s="48"/>
      <c r="AH956" s="11"/>
      <c r="AI956" s="48"/>
      <c r="AJ956" s="11"/>
      <c r="AK956" s="48"/>
      <c r="AL956" s="11"/>
      <c r="AM956" s="49"/>
      <c r="AN956" s="49"/>
      <c r="AO956" s="11"/>
      <c r="AP956" s="11"/>
      <c r="AQ956" s="28" t="b">
        <f>IF(COUNTIF(SmartStatus!A$2:A1000, AM956) &gt; 2, TRUE, FALSE)</f>
        <v>0</v>
      </c>
      <c r="AR956" s="29" t="str">
        <f ca="1">IFERROR(__xludf.DUMMYFUNCTION("iferror(if(regexmatch(AO956, ""(?i)^registered""), if(EE956 &lt;&gt; ""polity_shortest_name"", ""CHECK_POLITY"", index(filter(SmartStatus!B$2:B1000, AM956 = SmartStatus!A$2:A1000, not(SmartStatus!C$2:C1000), (isblank(SmartStatus!D$2:D1000)) + ((P956 &lt;&gt; """") * "&amp;"(P956 &lt; SmartStatus!D$2:D1000)), (isblank(SmartStatus!E$2:E1000)) + ((P956 &lt;&gt; """") * (P956 &gt;= SmartStatus!E$2:E1000)), (isblank(SmartStatus!F$2:F1000)) + (((Q956 &lt;&gt; """") * (Q956 &lt; SmartStatus!F$2:F1000)) + ((P956 &lt;&gt; """") * (date(year(P956) + 3, month(P"&amp;"956), day(P956)) &lt; SmartStatus!F$2:F1000))), (isblank(SmartStatus!G$2:G1000)) + (((Q956 &lt;&gt; """") * (Q956 &gt;= SmartStatus!G$2:G1000)) + ((P956 &lt;&gt; """") * (P956 &gt;= SmartStatus!G$2:G1000)))), if(or(regexmatch(B956, ""(?i)^ir [a-z]+ designation$""), N956 &lt;&gt; """&amp;"""), 1, 2))), """"), ""NO_MATCH"")"),"")</f>
        <v/>
      </c>
      <c r="AS956" s="11"/>
      <c r="AT956" s="15"/>
      <c r="AU956" s="11"/>
      <c r="AV956" s="11"/>
      <c r="AW956" s="15"/>
      <c r="AX956" s="15"/>
      <c r="AY956" s="15"/>
      <c r="AZ956" s="11"/>
      <c r="BA956" s="15"/>
      <c r="BB956" s="11"/>
      <c r="BC956" s="11"/>
      <c r="BD956" s="15"/>
      <c r="BE956" s="11"/>
      <c r="BF956" s="11"/>
      <c r="BG956" s="15"/>
      <c r="BH956" s="15"/>
      <c r="BI956" s="15"/>
      <c r="BJ956" s="11"/>
      <c r="BK956" s="15"/>
      <c r="BL956" s="11"/>
      <c r="BM956" s="11"/>
      <c r="BN956" s="15"/>
      <c r="BO956" s="11"/>
      <c r="BP956" s="11"/>
      <c r="BQ956" s="15"/>
      <c r="BR956" s="15"/>
      <c r="BS956" s="15"/>
      <c r="BT956" s="11"/>
      <c r="BU956" s="15"/>
      <c r="BV956" s="11"/>
      <c r="BW956" s="11"/>
      <c r="BX956" s="15"/>
      <c r="BY956" s="11"/>
      <c r="BZ956" s="11"/>
      <c r="CA956" s="15"/>
      <c r="CB956" s="11"/>
      <c r="CC956" s="15"/>
      <c r="CD956" s="11"/>
      <c r="CE956" s="15"/>
      <c r="CF956" s="11"/>
      <c r="CG956" s="11"/>
      <c r="CH956" s="15"/>
      <c r="CI956" s="11"/>
      <c r="CJ956" s="11"/>
      <c r="CK956" s="15"/>
      <c r="CL956" s="11"/>
      <c r="CM956" s="11"/>
      <c r="CN956" s="11"/>
      <c r="CO956" s="11"/>
      <c r="CP956" s="28"/>
      <c r="CQ956" s="28"/>
      <c r="CR956" s="11"/>
      <c r="CS956" s="29"/>
      <c r="CT956" s="11"/>
      <c r="CU956" s="11"/>
      <c r="CV956" s="11"/>
      <c r="CW956" s="11"/>
      <c r="CX956" s="11"/>
      <c r="CY956" s="11"/>
      <c r="CZ956" s="11"/>
      <c r="DA956" s="28"/>
      <c r="DB956" s="28"/>
      <c r="DC956" s="11"/>
      <c r="DD956" s="29"/>
      <c r="DE956" s="11"/>
      <c r="DF956" s="11"/>
      <c r="DG956" s="11"/>
      <c r="DH956" s="11"/>
      <c r="DI956" s="11"/>
      <c r="DJ956" s="11"/>
      <c r="DK956" s="26"/>
      <c r="DL956" s="11"/>
      <c r="DM956" s="29"/>
      <c r="DN956" s="28"/>
      <c r="DO956" s="11"/>
      <c r="DP956" s="11"/>
      <c r="DQ956" s="11"/>
      <c r="DR956" s="29"/>
      <c r="DS956" s="28"/>
      <c r="DT956" s="11"/>
      <c r="DU956" s="26"/>
      <c r="DV956" s="11"/>
      <c r="DW956" s="29"/>
      <c r="DX956" s="28"/>
      <c r="DY956" s="11"/>
      <c r="DZ956" s="26"/>
      <c r="EA956" s="11"/>
      <c r="EB956" s="29"/>
      <c r="EC956" s="28"/>
      <c r="ED956" s="30"/>
      <c r="EE956" s="30" t="str">
        <f ca="1">IFERROR(__xludf.DUMMYFUNCTION("iferror(index(filter('Internal -- Trademark Countries'!E$2:E1000, (AM956 = 'Internal -- Trademark Countries'!B$2:B1000) + (AM956 = 'Internal -- Trademark Countries'!C$2:C1000) + (AM956 = 'Internal -- Trademark Countries'!D$2:D1000)), 1))"),"")</f>
        <v/>
      </c>
      <c r="EF956" s="30" t="e">
        <f ca="1">_xludf.ifs(AM956="", "", COUNTIF('Internal -- Trademark Countries'!B:B,AM956) &gt; 0, "polity_shortest_name", COUNTIF('Internal -- Trademark Countries'!C:C,AM956) &gt; 0, "polity_full_name", COUNTIF('Internal -- Trademark Countries'!D:D,AM956) &gt; 0, "polity_common_name", COUNTIF('Internal -- Trademark Countries'!E:E,AM956) &gt; 0, "shortest_name", COUNTIF('Internal -- Trademark Countries'!A:A,AM956) &gt; 0, "full_name", TRUE, "not a match")</f>
        <v>#NAME?</v>
      </c>
      <c r="EG956" s="30"/>
      <c r="EH956" s="30"/>
      <c r="EI956" s="30"/>
      <c r="EJ956" s="30"/>
      <c r="EK956" s="30" t="str">
        <f t="shared" si="5"/>
        <v/>
      </c>
    </row>
    <row r="957" spans="1:141" ht="16.5">
      <c r="A957" s="11"/>
      <c r="B957" s="11"/>
      <c r="C957" s="11"/>
      <c r="D957" s="11"/>
      <c r="E957" s="11"/>
      <c r="F957" s="11"/>
      <c r="G957" s="11"/>
      <c r="H957" s="11"/>
      <c r="I957" s="11"/>
      <c r="J957" s="11"/>
      <c r="K957" s="27"/>
      <c r="L957" s="11"/>
      <c r="M957" s="11"/>
      <c r="N957" s="11"/>
      <c r="O957" s="11"/>
      <c r="P957" s="15"/>
      <c r="Q957" s="15"/>
      <c r="R957" s="15"/>
      <c r="S957" s="15"/>
      <c r="T957" s="15"/>
      <c r="U957" s="15"/>
      <c r="V957" s="15"/>
      <c r="W957" s="47"/>
      <c r="X957" s="11"/>
      <c r="Y957" s="48"/>
      <c r="Z957" s="11"/>
      <c r="AA957" s="48"/>
      <c r="AB957" s="11"/>
      <c r="AC957" s="48"/>
      <c r="AD957" s="11"/>
      <c r="AE957" s="47"/>
      <c r="AF957" s="11"/>
      <c r="AG957" s="48"/>
      <c r="AH957" s="11"/>
      <c r="AI957" s="48"/>
      <c r="AJ957" s="11"/>
      <c r="AK957" s="48"/>
      <c r="AL957" s="11"/>
      <c r="AM957" s="49"/>
      <c r="AN957" s="49"/>
      <c r="AO957" s="11"/>
      <c r="AP957" s="11"/>
      <c r="AQ957" s="28" t="b">
        <f>IF(COUNTIF(SmartStatus!A$2:A1000, AM957) &gt; 2, TRUE, FALSE)</f>
        <v>0</v>
      </c>
      <c r="AR957" s="29" t="str">
        <f ca="1">IFERROR(__xludf.DUMMYFUNCTION("iferror(if(regexmatch(AO957, ""(?i)^registered""), if(EE957 &lt;&gt; ""polity_shortest_name"", ""CHECK_POLITY"", index(filter(SmartStatus!B$2:B1000, AM957 = SmartStatus!A$2:A1000, not(SmartStatus!C$2:C1000), (isblank(SmartStatus!D$2:D1000)) + ((P957 &lt;&gt; """") * "&amp;"(P957 &lt; SmartStatus!D$2:D1000)), (isblank(SmartStatus!E$2:E1000)) + ((P957 &lt;&gt; """") * (P957 &gt;= SmartStatus!E$2:E1000)), (isblank(SmartStatus!F$2:F1000)) + (((Q957 &lt;&gt; """") * (Q957 &lt; SmartStatus!F$2:F1000)) + ((P957 &lt;&gt; """") * (date(year(P957) + 3, month(P"&amp;"957), day(P957)) &lt; SmartStatus!F$2:F1000))), (isblank(SmartStatus!G$2:G1000)) + (((Q957 &lt;&gt; """") * (Q957 &gt;= SmartStatus!G$2:G1000)) + ((P957 &lt;&gt; """") * (P957 &gt;= SmartStatus!G$2:G1000)))), if(or(regexmatch(B957, ""(?i)^ir [a-z]+ designation$""), N957 &lt;&gt; """&amp;"""), 1, 2))), """"), ""NO_MATCH"")"),"")</f>
        <v/>
      </c>
      <c r="AS957" s="11"/>
      <c r="AT957" s="15"/>
      <c r="AU957" s="11"/>
      <c r="AV957" s="11"/>
      <c r="AW957" s="15"/>
      <c r="AX957" s="15"/>
      <c r="AY957" s="15"/>
      <c r="AZ957" s="11"/>
      <c r="BA957" s="15"/>
      <c r="BB957" s="11"/>
      <c r="BC957" s="11"/>
      <c r="BD957" s="15"/>
      <c r="BE957" s="11"/>
      <c r="BF957" s="11"/>
      <c r="BG957" s="15"/>
      <c r="BH957" s="15"/>
      <c r="BI957" s="15"/>
      <c r="BJ957" s="11"/>
      <c r="BK957" s="15"/>
      <c r="BL957" s="11"/>
      <c r="BM957" s="11"/>
      <c r="BN957" s="15"/>
      <c r="BO957" s="11"/>
      <c r="BP957" s="11"/>
      <c r="BQ957" s="15"/>
      <c r="BR957" s="15"/>
      <c r="BS957" s="15"/>
      <c r="BT957" s="11"/>
      <c r="BU957" s="15"/>
      <c r="BV957" s="11"/>
      <c r="BW957" s="11"/>
      <c r="BX957" s="15"/>
      <c r="BY957" s="11"/>
      <c r="BZ957" s="11"/>
      <c r="CA957" s="15"/>
      <c r="CB957" s="11"/>
      <c r="CC957" s="15"/>
      <c r="CD957" s="11"/>
      <c r="CE957" s="15"/>
      <c r="CF957" s="11"/>
      <c r="CG957" s="11"/>
      <c r="CH957" s="15"/>
      <c r="CI957" s="11"/>
      <c r="CJ957" s="11"/>
      <c r="CK957" s="15"/>
      <c r="CL957" s="11"/>
      <c r="CM957" s="11"/>
      <c r="CN957" s="11"/>
      <c r="CO957" s="11"/>
      <c r="CP957" s="28"/>
      <c r="CQ957" s="28"/>
      <c r="CR957" s="11"/>
      <c r="CS957" s="29"/>
      <c r="CT957" s="11"/>
      <c r="CU957" s="11"/>
      <c r="CV957" s="11"/>
      <c r="CW957" s="11"/>
      <c r="CX957" s="11"/>
      <c r="CY957" s="11"/>
      <c r="CZ957" s="11"/>
      <c r="DA957" s="28"/>
      <c r="DB957" s="28"/>
      <c r="DC957" s="11"/>
      <c r="DD957" s="29"/>
      <c r="DE957" s="11"/>
      <c r="DF957" s="11"/>
      <c r="DG957" s="11"/>
      <c r="DH957" s="11"/>
      <c r="DI957" s="11"/>
      <c r="DJ957" s="11"/>
      <c r="DK957" s="26"/>
      <c r="DL957" s="11"/>
      <c r="DM957" s="29"/>
      <c r="DN957" s="28"/>
      <c r="DO957" s="11"/>
      <c r="DP957" s="11"/>
      <c r="DQ957" s="11"/>
      <c r="DR957" s="29"/>
      <c r="DS957" s="28"/>
      <c r="DT957" s="11"/>
      <c r="DU957" s="26"/>
      <c r="DV957" s="11"/>
      <c r="DW957" s="29"/>
      <c r="DX957" s="28"/>
      <c r="DY957" s="11"/>
      <c r="DZ957" s="26"/>
      <c r="EA957" s="11"/>
      <c r="EB957" s="29"/>
      <c r="EC957" s="28"/>
      <c r="ED957" s="30"/>
      <c r="EE957" s="30" t="str">
        <f ca="1">IFERROR(__xludf.DUMMYFUNCTION("iferror(index(filter('Internal -- Trademark Countries'!E$2:E1000, (AM957 = 'Internal -- Trademark Countries'!B$2:B1000) + (AM957 = 'Internal -- Trademark Countries'!C$2:C1000) + (AM957 = 'Internal -- Trademark Countries'!D$2:D1000)), 1))"),"")</f>
        <v/>
      </c>
      <c r="EF957" s="30" t="e">
        <f ca="1">_xludf.ifs(AM957="", "", COUNTIF('Internal -- Trademark Countries'!B:B,AM957) &gt; 0, "polity_shortest_name", COUNTIF('Internal -- Trademark Countries'!C:C,AM957) &gt; 0, "polity_full_name", COUNTIF('Internal -- Trademark Countries'!D:D,AM957) &gt; 0, "polity_common_name", COUNTIF('Internal -- Trademark Countries'!E:E,AM957) &gt; 0, "shortest_name", COUNTIF('Internal -- Trademark Countries'!A:A,AM957) &gt; 0, "full_name", TRUE, "not a match")</f>
        <v>#NAME?</v>
      </c>
      <c r="EG957" s="30"/>
      <c r="EH957" s="30"/>
      <c r="EI957" s="30"/>
      <c r="EJ957" s="30"/>
      <c r="EK957" s="30" t="str">
        <f t="shared" si="5"/>
        <v/>
      </c>
    </row>
    <row r="958" spans="1:141" ht="16.5">
      <c r="A958" s="11"/>
      <c r="B958" s="11"/>
      <c r="C958" s="11"/>
      <c r="D958" s="11"/>
      <c r="E958" s="11"/>
      <c r="F958" s="11"/>
      <c r="G958" s="11"/>
      <c r="H958" s="11"/>
      <c r="I958" s="11"/>
      <c r="J958" s="11"/>
      <c r="K958" s="27"/>
      <c r="L958" s="11"/>
      <c r="M958" s="11"/>
      <c r="N958" s="11"/>
      <c r="O958" s="11"/>
      <c r="P958" s="15"/>
      <c r="Q958" s="15"/>
      <c r="R958" s="15"/>
      <c r="S958" s="15"/>
      <c r="T958" s="15"/>
      <c r="U958" s="15"/>
      <c r="V958" s="15"/>
      <c r="W958" s="47"/>
      <c r="X958" s="11"/>
      <c r="Y958" s="48"/>
      <c r="Z958" s="11"/>
      <c r="AA958" s="48"/>
      <c r="AB958" s="11"/>
      <c r="AC958" s="48"/>
      <c r="AD958" s="11"/>
      <c r="AE958" s="47"/>
      <c r="AF958" s="11"/>
      <c r="AG958" s="48"/>
      <c r="AH958" s="11"/>
      <c r="AI958" s="48"/>
      <c r="AJ958" s="11"/>
      <c r="AK958" s="48"/>
      <c r="AL958" s="11"/>
      <c r="AM958" s="49"/>
      <c r="AN958" s="49"/>
      <c r="AO958" s="11"/>
      <c r="AP958" s="11"/>
      <c r="AQ958" s="28" t="b">
        <f>IF(COUNTIF(SmartStatus!A$2:A1000, AM958) &gt; 2, TRUE, FALSE)</f>
        <v>0</v>
      </c>
      <c r="AR958" s="29" t="str">
        <f ca="1">IFERROR(__xludf.DUMMYFUNCTION("iferror(if(regexmatch(AO958, ""(?i)^registered""), if(EE958 &lt;&gt; ""polity_shortest_name"", ""CHECK_POLITY"", index(filter(SmartStatus!B$2:B1000, AM958 = SmartStatus!A$2:A1000, not(SmartStatus!C$2:C1000), (isblank(SmartStatus!D$2:D1000)) + ((P958 &lt;&gt; """") * "&amp;"(P958 &lt; SmartStatus!D$2:D1000)), (isblank(SmartStatus!E$2:E1000)) + ((P958 &lt;&gt; """") * (P958 &gt;= SmartStatus!E$2:E1000)), (isblank(SmartStatus!F$2:F1000)) + (((Q958 &lt;&gt; """") * (Q958 &lt; SmartStatus!F$2:F1000)) + ((P958 &lt;&gt; """") * (date(year(P958) + 3, month(P"&amp;"958), day(P958)) &lt; SmartStatus!F$2:F1000))), (isblank(SmartStatus!G$2:G1000)) + (((Q958 &lt;&gt; """") * (Q958 &gt;= SmartStatus!G$2:G1000)) + ((P958 &lt;&gt; """") * (P958 &gt;= SmartStatus!G$2:G1000)))), if(or(regexmatch(B958, ""(?i)^ir [a-z]+ designation$""), N958 &lt;&gt; """&amp;"""), 1, 2))), """"), ""NO_MATCH"")"),"")</f>
        <v/>
      </c>
      <c r="AS958" s="11"/>
      <c r="AT958" s="15"/>
      <c r="AU958" s="11"/>
      <c r="AV958" s="11"/>
      <c r="AW958" s="15"/>
      <c r="AX958" s="15"/>
      <c r="AY958" s="15"/>
      <c r="AZ958" s="11"/>
      <c r="BA958" s="15"/>
      <c r="BB958" s="11"/>
      <c r="BC958" s="11"/>
      <c r="BD958" s="15"/>
      <c r="BE958" s="11"/>
      <c r="BF958" s="11"/>
      <c r="BG958" s="15"/>
      <c r="BH958" s="15"/>
      <c r="BI958" s="15"/>
      <c r="BJ958" s="11"/>
      <c r="BK958" s="15"/>
      <c r="BL958" s="11"/>
      <c r="BM958" s="11"/>
      <c r="BN958" s="15"/>
      <c r="BO958" s="11"/>
      <c r="BP958" s="11"/>
      <c r="BQ958" s="15"/>
      <c r="BR958" s="15"/>
      <c r="BS958" s="15"/>
      <c r="BT958" s="11"/>
      <c r="BU958" s="15"/>
      <c r="BV958" s="11"/>
      <c r="BW958" s="11"/>
      <c r="BX958" s="15"/>
      <c r="BY958" s="11"/>
      <c r="BZ958" s="11"/>
      <c r="CA958" s="15"/>
      <c r="CB958" s="11"/>
      <c r="CC958" s="15"/>
      <c r="CD958" s="11"/>
      <c r="CE958" s="15"/>
      <c r="CF958" s="11"/>
      <c r="CG958" s="11"/>
      <c r="CH958" s="15"/>
      <c r="CI958" s="11"/>
      <c r="CJ958" s="11"/>
      <c r="CK958" s="15"/>
      <c r="CL958" s="11"/>
      <c r="CM958" s="11"/>
      <c r="CN958" s="11"/>
      <c r="CO958" s="11"/>
      <c r="CP958" s="28"/>
      <c r="CQ958" s="28"/>
      <c r="CR958" s="11"/>
      <c r="CS958" s="29"/>
      <c r="CT958" s="11"/>
      <c r="CU958" s="11"/>
      <c r="CV958" s="11"/>
      <c r="CW958" s="11"/>
      <c r="CX958" s="11"/>
      <c r="CY958" s="11"/>
      <c r="CZ958" s="11"/>
      <c r="DA958" s="28"/>
      <c r="DB958" s="28"/>
      <c r="DC958" s="11"/>
      <c r="DD958" s="29"/>
      <c r="DE958" s="11"/>
      <c r="DF958" s="11"/>
      <c r="DG958" s="11"/>
      <c r="DH958" s="11"/>
      <c r="DI958" s="11"/>
      <c r="DJ958" s="11"/>
      <c r="DK958" s="26"/>
      <c r="DL958" s="11"/>
      <c r="DM958" s="29"/>
      <c r="DN958" s="28"/>
      <c r="DO958" s="11"/>
      <c r="DP958" s="11"/>
      <c r="DQ958" s="11"/>
      <c r="DR958" s="29"/>
      <c r="DS958" s="28"/>
      <c r="DT958" s="11"/>
      <c r="DU958" s="26"/>
      <c r="DV958" s="11"/>
      <c r="DW958" s="29"/>
      <c r="DX958" s="28"/>
      <c r="DY958" s="11"/>
      <c r="DZ958" s="26"/>
      <c r="EA958" s="11"/>
      <c r="EB958" s="29"/>
      <c r="EC958" s="28"/>
      <c r="ED958" s="30"/>
      <c r="EE958" s="30" t="str">
        <f ca="1">IFERROR(__xludf.DUMMYFUNCTION("iferror(index(filter('Internal -- Trademark Countries'!E$2:E1000, (AM958 = 'Internal -- Trademark Countries'!B$2:B1000) + (AM958 = 'Internal -- Trademark Countries'!C$2:C1000) + (AM958 = 'Internal -- Trademark Countries'!D$2:D1000)), 1))"),"")</f>
        <v/>
      </c>
      <c r="EF958" s="30" t="e">
        <f ca="1">_xludf.ifs(AM958="", "", COUNTIF('Internal -- Trademark Countries'!B:B,AM958) &gt; 0, "polity_shortest_name", COUNTIF('Internal -- Trademark Countries'!C:C,AM958) &gt; 0, "polity_full_name", COUNTIF('Internal -- Trademark Countries'!D:D,AM958) &gt; 0, "polity_common_name", COUNTIF('Internal -- Trademark Countries'!E:E,AM958) &gt; 0, "shortest_name", COUNTIF('Internal -- Trademark Countries'!A:A,AM958) &gt; 0, "full_name", TRUE, "not a match")</f>
        <v>#NAME?</v>
      </c>
      <c r="EG958" s="30"/>
      <c r="EH958" s="30"/>
      <c r="EI958" s="30"/>
      <c r="EJ958" s="30"/>
      <c r="EK958" s="30" t="str">
        <f t="shared" si="5"/>
        <v/>
      </c>
    </row>
    <row r="959" spans="1:141" ht="16.5">
      <c r="A959" s="11"/>
      <c r="B959" s="11"/>
      <c r="C959" s="11"/>
      <c r="D959" s="11"/>
      <c r="E959" s="11"/>
      <c r="F959" s="11"/>
      <c r="G959" s="11"/>
      <c r="H959" s="11"/>
      <c r="I959" s="11"/>
      <c r="J959" s="11"/>
      <c r="K959" s="27"/>
      <c r="L959" s="11"/>
      <c r="M959" s="11"/>
      <c r="N959" s="11"/>
      <c r="O959" s="11"/>
      <c r="P959" s="15"/>
      <c r="Q959" s="15"/>
      <c r="R959" s="15"/>
      <c r="S959" s="15"/>
      <c r="T959" s="15"/>
      <c r="U959" s="15"/>
      <c r="V959" s="15"/>
      <c r="W959" s="47"/>
      <c r="X959" s="11"/>
      <c r="Y959" s="48"/>
      <c r="Z959" s="11"/>
      <c r="AA959" s="48"/>
      <c r="AB959" s="11"/>
      <c r="AC959" s="48"/>
      <c r="AD959" s="11"/>
      <c r="AE959" s="47"/>
      <c r="AF959" s="11"/>
      <c r="AG959" s="48"/>
      <c r="AH959" s="11"/>
      <c r="AI959" s="48"/>
      <c r="AJ959" s="11"/>
      <c r="AK959" s="48"/>
      <c r="AL959" s="11"/>
      <c r="AM959" s="49"/>
      <c r="AN959" s="49"/>
      <c r="AO959" s="11"/>
      <c r="AP959" s="11"/>
      <c r="AQ959" s="28" t="b">
        <f>IF(COUNTIF(SmartStatus!A$2:A1000, AM959) &gt; 2, TRUE, FALSE)</f>
        <v>0</v>
      </c>
      <c r="AR959" s="29" t="str">
        <f ca="1">IFERROR(__xludf.DUMMYFUNCTION("iferror(if(regexmatch(AO959, ""(?i)^registered""), if(EE959 &lt;&gt; ""polity_shortest_name"", ""CHECK_POLITY"", index(filter(SmartStatus!B$2:B1000, AM959 = SmartStatus!A$2:A1000, not(SmartStatus!C$2:C1000), (isblank(SmartStatus!D$2:D1000)) + ((P959 &lt;&gt; """") * "&amp;"(P959 &lt; SmartStatus!D$2:D1000)), (isblank(SmartStatus!E$2:E1000)) + ((P959 &lt;&gt; """") * (P959 &gt;= SmartStatus!E$2:E1000)), (isblank(SmartStatus!F$2:F1000)) + (((Q959 &lt;&gt; """") * (Q959 &lt; SmartStatus!F$2:F1000)) + ((P959 &lt;&gt; """") * (date(year(P959) + 3, month(P"&amp;"959), day(P959)) &lt; SmartStatus!F$2:F1000))), (isblank(SmartStatus!G$2:G1000)) + (((Q959 &lt;&gt; """") * (Q959 &gt;= SmartStatus!G$2:G1000)) + ((P959 &lt;&gt; """") * (P959 &gt;= SmartStatus!G$2:G1000)))), if(or(regexmatch(B959, ""(?i)^ir [a-z]+ designation$""), N959 &lt;&gt; """&amp;"""), 1, 2))), """"), ""NO_MATCH"")"),"")</f>
        <v/>
      </c>
      <c r="AS959" s="11"/>
      <c r="AT959" s="15"/>
      <c r="AU959" s="11"/>
      <c r="AV959" s="11"/>
      <c r="AW959" s="15"/>
      <c r="AX959" s="15"/>
      <c r="AY959" s="15"/>
      <c r="AZ959" s="11"/>
      <c r="BA959" s="15"/>
      <c r="BB959" s="11"/>
      <c r="BC959" s="11"/>
      <c r="BD959" s="15"/>
      <c r="BE959" s="11"/>
      <c r="BF959" s="11"/>
      <c r="BG959" s="15"/>
      <c r="BH959" s="15"/>
      <c r="BI959" s="15"/>
      <c r="BJ959" s="11"/>
      <c r="BK959" s="15"/>
      <c r="BL959" s="11"/>
      <c r="BM959" s="11"/>
      <c r="BN959" s="15"/>
      <c r="BO959" s="11"/>
      <c r="BP959" s="11"/>
      <c r="BQ959" s="15"/>
      <c r="BR959" s="15"/>
      <c r="BS959" s="15"/>
      <c r="BT959" s="11"/>
      <c r="BU959" s="15"/>
      <c r="BV959" s="11"/>
      <c r="BW959" s="11"/>
      <c r="BX959" s="15"/>
      <c r="BY959" s="11"/>
      <c r="BZ959" s="11"/>
      <c r="CA959" s="15"/>
      <c r="CB959" s="11"/>
      <c r="CC959" s="15"/>
      <c r="CD959" s="11"/>
      <c r="CE959" s="15"/>
      <c r="CF959" s="11"/>
      <c r="CG959" s="11"/>
      <c r="CH959" s="15"/>
      <c r="CI959" s="11"/>
      <c r="CJ959" s="11"/>
      <c r="CK959" s="15"/>
      <c r="CL959" s="11"/>
      <c r="CM959" s="11"/>
      <c r="CN959" s="11"/>
      <c r="CO959" s="11"/>
      <c r="CP959" s="28"/>
      <c r="CQ959" s="28"/>
      <c r="CR959" s="11"/>
      <c r="CS959" s="29"/>
      <c r="CT959" s="11"/>
      <c r="CU959" s="11"/>
      <c r="CV959" s="11"/>
      <c r="CW959" s="11"/>
      <c r="CX959" s="11"/>
      <c r="CY959" s="11"/>
      <c r="CZ959" s="11"/>
      <c r="DA959" s="28"/>
      <c r="DB959" s="28"/>
      <c r="DC959" s="11"/>
      <c r="DD959" s="29"/>
      <c r="DE959" s="11"/>
      <c r="DF959" s="11"/>
      <c r="DG959" s="11"/>
      <c r="DH959" s="11"/>
      <c r="DI959" s="11"/>
      <c r="DJ959" s="11"/>
      <c r="DK959" s="26"/>
      <c r="DL959" s="11"/>
      <c r="DM959" s="29"/>
      <c r="DN959" s="28"/>
      <c r="DO959" s="11"/>
      <c r="DP959" s="11"/>
      <c r="DQ959" s="11"/>
      <c r="DR959" s="29"/>
      <c r="DS959" s="28"/>
      <c r="DT959" s="11"/>
      <c r="DU959" s="26"/>
      <c r="DV959" s="11"/>
      <c r="DW959" s="29"/>
      <c r="DX959" s="28"/>
      <c r="DY959" s="11"/>
      <c r="DZ959" s="26"/>
      <c r="EA959" s="11"/>
      <c r="EB959" s="29"/>
      <c r="EC959" s="28"/>
      <c r="ED959" s="30"/>
      <c r="EE959" s="30" t="str">
        <f ca="1">IFERROR(__xludf.DUMMYFUNCTION("iferror(index(filter('Internal -- Trademark Countries'!E$2:E1000, (AM959 = 'Internal -- Trademark Countries'!B$2:B1000) + (AM959 = 'Internal -- Trademark Countries'!C$2:C1000) + (AM959 = 'Internal -- Trademark Countries'!D$2:D1000)), 1))"),"")</f>
        <v/>
      </c>
      <c r="EF959" s="30" t="e">
        <f ca="1">_xludf.ifs(AM959="", "", COUNTIF('Internal -- Trademark Countries'!B:B,AM959) &gt; 0, "polity_shortest_name", COUNTIF('Internal -- Trademark Countries'!C:C,AM959) &gt; 0, "polity_full_name", COUNTIF('Internal -- Trademark Countries'!D:D,AM959) &gt; 0, "polity_common_name", COUNTIF('Internal -- Trademark Countries'!E:E,AM959) &gt; 0, "shortest_name", COUNTIF('Internal -- Trademark Countries'!A:A,AM959) &gt; 0, "full_name", TRUE, "not a match")</f>
        <v>#NAME?</v>
      </c>
      <c r="EG959" s="30"/>
      <c r="EH959" s="30"/>
      <c r="EI959" s="30"/>
      <c r="EJ959" s="30"/>
      <c r="EK959" s="30" t="str">
        <f t="shared" si="5"/>
        <v/>
      </c>
    </row>
    <row r="960" spans="1:141" ht="16.5">
      <c r="A960" s="11"/>
      <c r="B960" s="11"/>
      <c r="C960" s="11"/>
      <c r="D960" s="11"/>
      <c r="E960" s="11"/>
      <c r="F960" s="11"/>
      <c r="G960" s="11"/>
      <c r="H960" s="11"/>
      <c r="I960" s="11"/>
      <c r="J960" s="11"/>
      <c r="K960" s="27"/>
      <c r="L960" s="11"/>
      <c r="M960" s="11"/>
      <c r="N960" s="11"/>
      <c r="O960" s="11"/>
      <c r="P960" s="15"/>
      <c r="Q960" s="15"/>
      <c r="R960" s="15"/>
      <c r="S960" s="15"/>
      <c r="T960" s="15"/>
      <c r="U960" s="15"/>
      <c r="V960" s="15"/>
      <c r="W960" s="47"/>
      <c r="X960" s="11"/>
      <c r="Y960" s="48"/>
      <c r="Z960" s="11"/>
      <c r="AA960" s="48"/>
      <c r="AB960" s="11"/>
      <c r="AC960" s="48"/>
      <c r="AD960" s="11"/>
      <c r="AE960" s="47"/>
      <c r="AF960" s="11"/>
      <c r="AG960" s="48"/>
      <c r="AH960" s="11"/>
      <c r="AI960" s="48"/>
      <c r="AJ960" s="11"/>
      <c r="AK960" s="48"/>
      <c r="AL960" s="11"/>
      <c r="AM960" s="49"/>
      <c r="AN960" s="49"/>
      <c r="AO960" s="11"/>
      <c r="AP960" s="11"/>
      <c r="AQ960" s="28" t="b">
        <f>IF(COUNTIF(SmartStatus!A$2:A1000, AM960) &gt; 2, TRUE, FALSE)</f>
        <v>0</v>
      </c>
      <c r="AR960" s="29" t="str">
        <f ca="1">IFERROR(__xludf.DUMMYFUNCTION("iferror(if(regexmatch(AO960, ""(?i)^registered""), if(EE960 &lt;&gt; ""polity_shortest_name"", ""CHECK_POLITY"", index(filter(SmartStatus!B$2:B1000, AM960 = SmartStatus!A$2:A1000, not(SmartStatus!C$2:C1000), (isblank(SmartStatus!D$2:D1000)) + ((P960 &lt;&gt; """") * "&amp;"(P960 &lt; SmartStatus!D$2:D1000)), (isblank(SmartStatus!E$2:E1000)) + ((P960 &lt;&gt; """") * (P960 &gt;= SmartStatus!E$2:E1000)), (isblank(SmartStatus!F$2:F1000)) + (((Q960 &lt;&gt; """") * (Q960 &lt; SmartStatus!F$2:F1000)) + ((P960 &lt;&gt; """") * (date(year(P960) + 3, month(P"&amp;"960), day(P960)) &lt; SmartStatus!F$2:F1000))), (isblank(SmartStatus!G$2:G1000)) + (((Q960 &lt;&gt; """") * (Q960 &gt;= SmartStatus!G$2:G1000)) + ((P960 &lt;&gt; """") * (P960 &gt;= SmartStatus!G$2:G1000)))), if(or(regexmatch(B960, ""(?i)^ir [a-z]+ designation$""), N960 &lt;&gt; """&amp;"""), 1, 2))), """"), ""NO_MATCH"")"),"")</f>
        <v/>
      </c>
      <c r="AS960" s="11"/>
      <c r="AT960" s="15"/>
      <c r="AU960" s="11"/>
      <c r="AV960" s="11"/>
      <c r="AW960" s="15"/>
      <c r="AX960" s="15"/>
      <c r="AY960" s="15"/>
      <c r="AZ960" s="11"/>
      <c r="BA960" s="15"/>
      <c r="BB960" s="11"/>
      <c r="BC960" s="11"/>
      <c r="BD960" s="15"/>
      <c r="BE960" s="11"/>
      <c r="BF960" s="11"/>
      <c r="BG960" s="15"/>
      <c r="BH960" s="15"/>
      <c r="BI960" s="15"/>
      <c r="BJ960" s="11"/>
      <c r="BK960" s="15"/>
      <c r="BL960" s="11"/>
      <c r="BM960" s="11"/>
      <c r="BN960" s="15"/>
      <c r="BO960" s="11"/>
      <c r="BP960" s="11"/>
      <c r="BQ960" s="15"/>
      <c r="BR960" s="15"/>
      <c r="BS960" s="15"/>
      <c r="BT960" s="11"/>
      <c r="BU960" s="15"/>
      <c r="BV960" s="11"/>
      <c r="BW960" s="11"/>
      <c r="BX960" s="15"/>
      <c r="BY960" s="11"/>
      <c r="BZ960" s="11"/>
      <c r="CA960" s="15"/>
      <c r="CB960" s="11"/>
      <c r="CC960" s="15"/>
      <c r="CD960" s="11"/>
      <c r="CE960" s="15"/>
      <c r="CF960" s="11"/>
      <c r="CG960" s="11"/>
      <c r="CH960" s="15"/>
      <c r="CI960" s="11"/>
      <c r="CJ960" s="11"/>
      <c r="CK960" s="15"/>
      <c r="CL960" s="11"/>
      <c r="CM960" s="11"/>
      <c r="CN960" s="11"/>
      <c r="CO960" s="11"/>
      <c r="CP960" s="28"/>
      <c r="CQ960" s="28"/>
      <c r="CR960" s="11"/>
      <c r="CS960" s="29"/>
      <c r="CT960" s="11"/>
      <c r="CU960" s="11"/>
      <c r="CV960" s="11"/>
      <c r="CW960" s="11"/>
      <c r="CX960" s="11"/>
      <c r="CY960" s="11"/>
      <c r="CZ960" s="11"/>
      <c r="DA960" s="28"/>
      <c r="DB960" s="28"/>
      <c r="DC960" s="11"/>
      <c r="DD960" s="29"/>
      <c r="DE960" s="11"/>
      <c r="DF960" s="11"/>
      <c r="DG960" s="11"/>
      <c r="DH960" s="11"/>
      <c r="DI960" s="11"/>
      <c r="DJ960" s="11"/>
      <c r="DK960" s="26"/>
      <c r="DL960" s="11"/>
      <c r="DM960" s="29"/>
      <c r="DN960" s="28"/>
      <c r="DO960" s="11"/>
      <c r="DP960" s="11"/>
      <c r="DQ960" s="11"/>
      <c r="DR960" s="29"/>
      <c r="DS960" s="28"/>
      <c r="DT960" s="11"/>
      <c r="DU960" s="26"/>
      <c r="DV960" s="11"/>
      <c r="DW960" s="29"/>
      <c r="DX960" s="28"/>
      <c r="DY960" s="11"/>
      <c r="DZ960" s="26"/>
      <c r="EA960" s="11"/>
      <c r="EB960" s="29"/>
      <c r="EC960" s="28"/>
      <c r="ED960" s="30"/>
      <c r="EE960" s="30" t="str">
        <f ca="1">IFERROR(__xludf.DUMMYFUNCTION("iferror(index(filter('Internal -- Trademark Countries'!E$2:E1000, (AM960 = 'Internal -- Trademark Countries'!B$2:B1000) + (AM960 = 'Internal -- Trademark Countries'!C$2:C1000) + (AM960 = 'Internal -- Trademark Countries'!D$2:D1000)), 1))"),"")</f>
        <v/>
      </c>
      <c r="EF960" s="30" t="e">
        <f ca="1">_xludf.ifs(AM960="", "", COUNTIF('Internal -- Trademark Countries'!B:B,AM960) &gt; 0, "polity_shortest_name", COUNTIF('Internal -- Trademark Countries'!C:C,AM960) &gt; 0, "polity_full_name", COUNTIF('Internal -- Trademark Countries'!D:D,AM960) &gt; 0, "polity_common_name", COUNTIF('Internal -- Trademark Countries'!E:E,AM960) &gt; 0, "shortest_name", COUNTIF('Internal -- Trademark Countries'!A:A,AM960) &gt; 0, "full_name", TRUE, "not a match")</f>
        <v>#NAME?</v>
      </c>
      <c r="EG960" s="30"/>
      <c r="EH960" s="30"/>
      <c r="EI960" s="30"/>
      <c r="EJ960" s="30"/>
      <c r="EK960" s="30" t="str">
        <f t="shared" si="5"/>
        <v/>
      </c>
    </row>
    <row r="961" spans="1:141" ht="16.5">
      <c r="A961" s="11"/>
      <c r="B961" s="11"/>
      <c r="C961" s="11"/>
      <c r="D961" s="11"/>
      <c r="E961" s="11"/>
      <c r="F961" s="11"/>
      <c r="G961" s="11"/>
      <c r="H961" s="11"/>
      <c r="I961" s="11"/>
      <c r="J961" s="11"/>
      <c r="K961" s="27"/>
      <c r="L961" s="11"/>
      <c r="M961" s="11"/>
      <c r="N961" s="11"/>
      <c r="O961" s="11"/>
      <c r="P961" s="15"/>
      <c r="Q961" s="15"/>
      <c r="R961" s="15"/>
      <c r="S961" s="15"/>
      <c r="T961" s="15"/>
      <c r="U961" s="15"/>
      <c r="V961" s="15"/>
      <c r="W961" s="47"/>
      <c r="X961" s="11"/>
      <c r="Y961" s="48"/>
      <c r="Z961" s="11"/>
      <c r="AA961" s="48"/>
      <c r="AB961" s="11"/>
      <c r="AC961" s="48"/>
      <c r="AD961" s="11"/>
      <c r="AE961" s="47"/>
      <c r="AF961" s="11"/>
      <c r="AG961" s="48"/>
      <c r="AH961" s="11"/>
      <c r="AI961" s="48"/>
      <c r="AJ961" s="11"/>
      <c r="AK961" s="48"/>
      <c r="AL961" s="11"/>
      <c r="AM961" s="49"/>
      <c r="AN961" s="49"/>
      <c r="AO961" s="11"/>
      <c r="AP961" s="11"/>
      <c r="AQ961" s="28" t="b">
        <f>IF(COUNTIF(SmartStatus!A$2:A1000, AM961) &gt; 2, TRUE, FALSE)</f>
        <v>0</v>
      </c>
      <c r="AR961" s="29" t="str">
        <f ca="1">IFERROR(__xludf.DUMMYFUNCTION("iferror(if(regexmatch(AO961, ""(?i)^registered""), if(EE961 &lt;&gt; ""polity_shortest_name"", ""CHECK_POLITY"", index(filter(SmartStatus!B$2:B1000, AM961 = SmartStatus!A$2:A1000, not(SmartStatus!C$2:C1000), (isblank(SmartStatus!D$2:D1000)) + ((P961 &lt;&gt; """") * "&amp;"(P961 &lt; SmartStatus!D$2:D1000)), (isblank(SmartStatus!E$2:E1000)) + ((P961 &lt;&gt; """") * (P961 &gt;= SmartStatus!E$2:E1000)), (isblank(SmartStatus!F$2:F1000)) + (((Q961 &lt;&gt; """") * (Q961 &lt; SmartStatus!F$2:F1000)) + ((P961 &lt;&gt; """") * (date(year(P961) + 3, month(P"&amp;"961), day(P961)) &lt; SmartStatus!F$2:F1000))), (isblank(SmartStatus!G$2:G1000)) + (((Q961 &lt;&gt; """") * (Q961 &gt;= SmartStatus!G$2:G1000)) + ((P961 &lt;&gt; """") * (P961 &gt;= SmartStatus!G$2:G1000)))), if(or(regexmatch(B961, ""(?i)^ir [a-z]+ designation$""), N961 &lt;&gt; """&amp;"""), 1, 2))), """"), ""NO_MATCH"")"),"")</f>
        <v/>
      </c>
      <c r="AS961" s="11"/>
      <c r="AT961" s="15"/>
      <c r="AU961" s="11"/>
      <c r="AV961" s="11"/>
      <c r="AW961" s="15"/>
      <c r="AX961" s="15"/>
      <c r="AY961" s="15"/>
      <c r="AZ961" s="11"/>
      <c r="BA961" s="15"/>
      <c r="BB961" s="11"/>
      <c r="BC961" s="11"/>
      <c r="BD961" s="15"/>
      <c r="BE961" s="11"/>
      <c r="BF961" s="11"/>
      <c r="BG961" s="15"/>
      <c r="BH961" s="15"/>
      <c r="BI961" s="15"/>
      <c r="BJ961" s="11"/>
      <c r="BK961" s="15"/>
      <c r="BL961" s="11"/>
      <c r="BM961" s="11"/>
      <c r="BN961" s="15"/>
      <c r="BO961" s="11"/>
      <c r="BP961" s="11"/>
      <c r="BQ961" s="15"/>
      <c r="BR961" s="15"/>
      <c r="BS961" s="15"/>
      <c r="BT961" s="11"/>
      <c r="BU961" s="15"/>
      <c r="BV961" s="11"/>
      <c r="BW961" s="11"/>
      <c r="BX961" s="15"/>
      <c r="BY961" s="11"/>
      <c r="BZ961" s="11"/>
      <c r="CA961" s="15"/>
      <c r="CB961" s="11"/>
      <c r="CC961" s="15"/>
      <c r="CD961" s="11"/>
      <c r="CE961" s="15"/>
      <c r="CF961" s="11"/>
      <c r="CG961" s="11"/>
      <c r="CH961" s="15"/>
      <c r="CI961" s="11"/>
      <c r="CJ961" s="11"/>
      <c r="CK961" s="15"/>
      <c r="CL961" s="11"/>
      <c r="CM961" s="11"/>
      <c r="CN961" s="11"/>
      <c r="CO961" s="11"/>
      <c r="CP961" s="28"/>
      <c r="CQ961" s="28"/>
      <c r="CR961" s="11"/>
      <c r="CS961" s="29"/>
      <c r="CT961" s="11"/>
      <c r="CU961" s="11"/>
      <c r="CV961" s="11"/>
      <c r="CW961" s="11"/>
      <c r="CX961" s="11"/>
      <c r="CY961" s="11"/>
      <c r="CZ961" s="11"/>
      <c r="DA961" s="28"/>
      <c r="DB961" s="28"/>
      <c r="DC961" s="11"/>
      <c r="DD961" s="29"/>
      <c r="DE961" s="11"/>
      <c r="DF961" s="11"/>
      <c r="DG961" s="11"/>
      <c r="DH961" s="11"/>
      <c r="DI961" s="11"/>
      <c r="DJ961" s="11"/>
      <c r="DK961" s="26"/>
      <c r="DL961" s="11"/>
      <c r="DM961" s="29"/>
      <c r="DN961" s="28"/>
      <c r="DO961" s="11"/>
      <c r="DP961" s="11"/>
      <c r="DQ961" s="11"/>
      <c r="DR961" s="29"/>
      <c r="DS961" s="28"/>
      <c r="DT961" s="11"/>
      <c r="DU961" s="26"/>
      <c r="DV961" s="11"/>
      <c r="DW961" s="29"/>
      <c r="DX961" s="28"/>
      <c r="DY961" s="11"/>
      <c r="DZ961" s="26"/>
      <c r="EA961" s="11"/>
      <c r="EB961" s="29"/>
      <c r="EC961" s="28"/>
      <c r="ED961" s="30"/>
      <c r="EE961" s="30" t="str">
        <f ca="1">IFERROR(__xludf.DUMMYFUNCTION("iferror(index(filter('Internal -- Trademark Countries'!E$2:E1000, (AM961 = 'Internal -- Trademark Countries'!B$2:B1000) + (AM961 = 'Internal -- Trademark Countries'!C$2:C1000) + (AM961 = 'Internal -- Trademark Countries'!D$2:D1000)), 1))"),"")</f>
        <v/>
      </c>
      <c r="EF961" s="30" t="e">
        <f ca="1">_xludf.ifs(AM961="", "", COUNTIF('Internal -- Trademark Countries'!B:B,AM961) &gt; 0, "polity_shortest_name", COUNTIF('Internal -- Trademark Countries'!C:C,AM961) &gt; 0, "polity_full_name", COUNTIF('Internal -- Trademark Countries'!D:D,AM961) &gt; 0, "polity_common_name", COUNTIF('Internal -- Trademark Countries'!E:E,AM961) &gt; 0, "shortest_name", COUNTIF('Internal -- Trademark Countries'!A:A,AM961) &gt; 0, "full_name", TRUE, "not a match")</f>
        <v>#NAME?</v>
      </c>
      <c r="EG961" s="30"/>
      <c r="EH961" s="30"/>
      <c r="EI961" s="30"/>
      <c r="EJ961" s="30"/>
      <c r="EK961" s="30" t="str">
        <f t="shared" si="5"/>
        <v/>
      </c>
    </row>
    <row r="962" spans="1:141" ht="16.5">
      <c r="A962" s="11"/>
      <c r="B962" s="11"/>
      <c r="C962" s="11"/>
      <c r="D962" s="11"/>
      <c r="E962" s="11"/>
      <c r="F962" s="11"/>
      <c r="G962" s="11"/>
      <c r="H962" s="11"/>
      <c r="I962" s="11"/>
      <c r="J962" s="11"/>
      <c r="K962" s="27"/>
      <c r="L962" s="11"/>
      <c r="M962" s="11"/>
      <c r="N962" s="11"/>
      <c r="O962" s="11"/>
      <c r="P962" s="15"/>
      <c r="Q962" s="15"/>
      <c r="R962" s="15"/>
      <c r="S962" s="15"/>
      <c r="T962" s="15"/>
      <c r="U962" s="15"/>
      <c r="V962" s="15"/>
      <c r="W962" s="47"/>
      <c r="X962" s="11"/>
      <c r="Y962" s="48"/>
      <c r="Z962" s="11"/>
      <c r="AA962" s="48"/>
      <c r="AB962" s="11"/>
      <c r="AC962" s="48"/>
      <c r="AD962" s="11"/>
      <c r="AE962" s="47"/>
      <c r="AF962" s="11"/>
      <c r="AG962" s="48"/>
      <c r="AH962" s="11"/>
      <c r="AI962" s="48"/>
      <c r="AJ962" s="11"/>
      <c r="AK962" s="48"/>
      <c r="AL962" s="11"/>
      <c r="AM962" s="49"/>
      <c r="AN962" s="49"/>
      <c r="AO962" s="11"/>
      <c r="AP962" s="11"/>
      <c r="AQ962" s="28" t="b">
        <f>IF(COUNTIF(SmartStatus!A$2:A1000, AM962) &gt; 2, TRUE, FALSE)</f>
        <v>0</v>
      </c>
      <c r="AR962" s="29" t="str">
        <f ca="1">IFERROR(__xludf.DUMMYFUNCTION("iferror(if(regexmatch(AO962, ""(?i)^registered""), if(EE962 &lt;&gt; ""polity_shortest_name"", ""CHECK_POLITY"", index(filter(SmartStatus!B$2:B1000, AM962 = SmartStatus!A$2:A1000, not(SmartStatus!C$2:C1000), (isblank(SmartStatus!D$2:D1000)) + ((P962 &lt;&gt; """") * "&amp;"(P962 &lt; SmartStatus!D$2:D1000)), (isblank(SmartStatus!E$2:E1000)) + ((P962 &lt;&gt; """") * (P962 &gt;= SmartStatus!E$2:E1000)), (isblank(SmartStatus!F$2:F1000)) + (((Q962 &lt;&gt; """") * (Q962 &lt; SmartStatus!F$2:F1000)) + ((P962 &lt;&gt; """") * (date(year(P962) + 3, month(P"&amp;"962), day(P962)) &lt; SmartStatus!F$2:F1000))), (isblank(SmartStatus!G$2:G1000)) + (((Q962 &lt;&gt; """") * (Q962 &gt;= SmartStatus!G$2:G1000)) + ((P962 &lt;&gt; """") * (P962 &gt;= SmartStatus!G$2:G1000)))), if(or(regexmatch(B962, ""(?i)^ir [a-z]+ designation$""), N962 &lt;&gt; """&amp;"""), 1, 2))), """"), ""NO_MATCH"")"),"")</f>
        <v/>
      </c>
      <c r="AS962" s="11"/>
      <c r="AT962" s="15"/>
      <c r="AU962" s="11"/>
      <c r="AV962" s="11"/>
      <c r="AW962" s="15"/>
      <c r="AX962" s="15"/>
      <c r="AY962" s="15"/>
      <c r="AZ962" s="11"/>
      <c r="BA962" s="15"/>
      <c r="BB962" s="11"/>
      <c r="BC962" s="11"/>
      <c r="BD962" s="15"/>
      <c r="BE962" s="11"/>
      <c r="BF962" s="11"/>
      <c r="BG962" s="15"/>
      <c r="BH962" s="15"/>
      <c r="BI962" s="15"/>
      <c r="BJ962" s="11"/>
      <c r="BK962" s="15"/>
      <c r="BL962" s="11"/>
      <c r="BM962" s="11"/>
      <c r="BN962" s="15"/>
      <c r="BO962" s="11"/>
      <c r="BP962" s="11"/>
      <c r="BQ962" s="15"/>
      <c r="BR962" s="15"/>
      <c r="BS962" s="15"/>
      <c r="BT962" s="11"/>
      <c r="BU962" s="15"/>
      <c r="BV962" s="11"/>
      <c r="BW962" s="11"/>
      <c r="BX962" s="15"/>
      <c r="BY962" s="11"/>
      <c r="BZ962" s="11"/>
      <c r="CA962" s="15"/>
      <c r="CB962" s="11"/>
      <c r="CC962" s="15"/>
      <c r="CD962" s="11"/>
      <c r="CE962" s="15"/>
      <c r="CF962" s="11"/>
      <c r="CG962" s="11"/>
      <c r="CH962" s="15"/>
      <c r="CI962" s="11"/>
      <c r="CJ962" s="11"/>
      <c r="CK962" s="15"/>
      <c r="CL962" s="11"/>
      <c r="CM962" s="11"/>
      <c r="CN962" s="11"/>
      <c r="CO962" s="11"/>
      <c r="CP962" s="28"/>
      <c r="CQ962" s="28"/>
      <c r="CR962" s="11"/>
      <c r="CS962" s="29"/>
      <c r="CT962" s="11"/>
      <c r="CU962" s="11"/>
      <c r="CV962" s="11"/>
      <c r="CW962" s="11"/>
      <c r="CX962" s="11"/>
      <c r="CY962" s="11"/>
      <c r="CZ962" s="11"/>
      <c r="DA962" s="28"/>
      <c r="DB962" s="28"/>
      <c r="DC962" s="11"/>
      <c r="DD962" s="29"/>
      <c r="DE962" s="11"/>
      <c r="DF962" s="11"/>
      <c r="DG962" s="11"/>
      <c r="DH962" s="11"/>
      <c r="DI962" s="11"/>
      <c r="DJ962" s="11"/>
      <c r="DK962" s="26"/>
      <c r="DL962" s="11"/>
      <c r="DM962" s="29"/>
      <c r="DN962" s="28"/>
      <c r="DO962" s="11"/>
      <c r="DP962" s="11"/>
      <c r="DQ962" s="11"/>
      <c r="DR962" s="29"/>
      <c r="DS962" s="28"/>
      <c r="DT962" s="11"/>
      <c r="DU962" s="26"/>
      <c r="DV962" s="11"/>
      <c r="DW962" s="29"/>
      <c r="DX962" s="28"/>
      <c r="DY962" s="11"/>
      <c r="DZ962" s="26"/>
      <c r="EA962" s="11"/>
      <c r="EB962" s="29"/>
      <c r="EC962" s="28"/>
      <c r="ED962" s="30"/>
      <c r="EE962" s="30" t="str">
        <f ca="1">IFERROR(__xludf.DUMMYFUNCTION("iferror(index(filter('Internal -- Trademark Countries'!E$2:E1000, (AM962 = 'Internal -- Trademark Countries'!B$2:B1000) + (AM962 = 'Internal -- Trademark Countries'!C$2:C1000) + (AM962 = 'Internal -- Trademark Countries'!D$2:D1000)), 1))"),"")</f>
        <v/>
      </c>
      <c r="EF962" s="30" t="e">
        <f ca="1">_xludf.ifs(AM962="", "", COUNTIF('Internal -- Trademark Countries'!B:B,AM962) &gt; 0, "polity_shortest_name", COUNTIF('Internal -- Trademark Countries'!C:C,AM962) &gt; 0, "polity_full_name", COUNTIF('Internal -- Trademark Countries'!D:D,AM962) &gt; 0, "polity_common_name", COUNTIF('Internal -- Trademark Countries'!E:E,AM962) &gt; 0, "shortest_name", COUNTIF('Internal -- Trademark Countries'!A:A,AM962) &gt; 0, "full_name", TRUE, "not a match")</f>
        <v>#NAME?</v>
      </c>
      <c r="EG962" s="30"/>
      <c r="EH962" s="30"/>
      <c r="EI962" s="30"/>
      <c r="EJ962" s="30"/>
      <c r="EK962" s="30" t="str">
        <f t="shared" si="5"/>
        <v/>
      </c>
    </row>
    <row r="963" spans="1:141" ht="16.5">
      <c r="A963" s="11"/>
      <c r="B963" s="11"/>
      <c r="C963" s="11"/>
      <c r="D963" s="11"/>
      <c r="E963" s="11"/>
      <c r="F963" s="11"/>
      <c r="G963" s="11"/>
      <c r="H963" s="11"/>
      <c r="I963" s="11"/>
      <c r="J963" s="11"/>
      <c r="K963" s="27"/>
      <c r="L963" s="11"/>
      <c r="M963" s="11"/>
      <c r="N963" s="11"/>
      <c r="O963" s="11"/>
      <c r="P963" s="15"/>
      <c r="Q963" s="15"/>
      <c r="R963" s="15"/>
      <c r="S963" s="15"/>
      <c r="T963" s="15"/>
      <c r="U963" s="15"/>
      <c r="V963" s="15"/>
      <c r="W963" s="47"/>
      <c r="X963" s="11"/>
      <c r="Y963" s="48"/>
      <c r="Z963" s="11"/>
      <c r="AA963" s="48"/>
      <c r="AB963" s="11"/>
      <c r="AC963" s="48"/>
      <c r="AD963" s="11"/>
      <c r="AE963" s="47"/>
      <c r="AF963" s="11"/>
      <c r="AG963" s="48"/>
      <c r="AH963" s="11"/>
      <c r="AI963" s="48"/>
      <c r="AJ963" s="11"/>
      <c r="AK963" s="48"/>
      <c r="AL963" s="11"/>
      <c r="AM963" s="49"/>
      <c r="AN963" s="49"/>
      <c r="AO963" s="11"/>
      <c r="AP963" s="11"/>
      <c r="AQ963" s="28" t="b">
        <f>IF(COUNTIF(SmartStatus!A$2:A1000, AM963) &gt; 2, TRUE, FALSE)</f>
        <v>0</v>
      </c>
      <c r="AR963" s="29" t="str">
        <f ca="1">IFERROR(__xludf.DUMMYFUNCTION("iferror(if(regexmatch(AO963, ""(?i)^registered""), if(EE963 &lt;&gt; ""polity_shortest_name"", ""CHECK_POLITY"", index(filter(SmartStatus!B$2:B1000, AM963 = SmartStatus!A$2:A1000, not(SmartStatus!C$2:C1000), (isblank(SmartStatus!D$2:D1000)) + ((P963 &lt;&gt; """") * "&amp;"(P963 &lt; SmartStatus!D$2:D1000)), (isblank(SmartStatus!E$2:E1000)) + ((P963 &lt;&gt; """") * (P963 &gt;= SmartStatus!E$2:E1000)), (isblank(SmartStatus!F$2:F1000)) + (((Q963 &lt;&gt; """") * (Q963 &lt; SmartStatus!F$2:F1000)) + ((P963 &lt;&gt; """") * (date(year(P963) + 3, month(P"&amp;"963), day(P963)) &lt; SmartStatus!F$2:F1000))), (isblank(SmartStatus!G$2:G1000)) + (((Q963 &lt;&gt; """") * (Q963 &gt;= SmartStatus!G$2:G1000)) + ((P963 &lt;&gt; """") * (P963 &gt;= SmartStatus!G$2:G1000)))), if(or(regexmatch(B963, ""(?i)^ir [a-z]+ designation$""), N963 &lt;&gt; """&amp;"""), 1, 2))), """"), ""NO_MATCH"")"),"")</f>
        <v/>
      </c>
      <c r="AS963" s="11"/>
      <c r="AT963" s="15"/>
      <c r="AU963" s="11"/>
      <c r="AV963" s="11"/>
      <c r="AW963" s="15"/>
      <c r="AX963" s="15"/>
      <c r="AY963" s="15"/>
      <c r="AZ963" s="11"/>
      <c r="BA963" s="15"/>
      <c r="BB963" s="11"/>
      <c r="BC963" s="11"/>
      <c r="BD963" s="15"/>
      <c r="BE963" s="11"/>
      <c r="BF963" s="11"/>
      <c r="BG963" s="15"/>
      <c r="BH963" s="15"/>
      <c r="BI963" s="15"/>
      <c r="BJ963" s="11"/>
      <c r="BK963" s="15"/>
      <c r="BL963" s="11"/>
      <c r="BM963" s="11"/>
      <c r="BN963" s="15"/>
      <c r="BO963" s="11"/>
      <c r="BP963" s="11"/>
      <c r="BQ963" s="15"/>
      <c r="BR963" s="15"/>
      <c r="BS963" s="15"/>
      <c r="BT963" s="11"/>
      <c r="BU963" s="15"/>
      <c r="BV963" s="11"/>
      <c r="BW963" s="11"/>
      <c r="BX963" s="15"/>
      <c r="BY963" s="11"/>
      <c r="BZ963" s="11"/>
      <c r="CA963" s="15"/>
      <c r="CB963" s="11"/>
      <c r="CC963" s="15"/>
      <c r="CD963" s="11"/>
      <c r="CE963" s="15"/>
      <c r="CF963" s="11"/>
      <c r="CG963" s="11"/>
      <c r="CH963" s="15"/>
      <c r="CI963" s="11"/>
      <c r="CJ963" s="11"/>
      <c r="CK963" s="15"/>
      <c r="CL963" s="11"/>
      <c r="CM963" s="11"/>
      <c r="CN963" s="11"/>
      <c r="CO963" s="11"/>
      <c r="CP963" s="28"/>
      <c r="CQ963" s="28"/>
      <c r="CR963" s="11"/>
      <c r="CS963" s="29"/>
      <c r="CT963" s="11"/>
      <c r="CU963" s="11"/>
      <c r="CV963" s="11"/>
      <c r="CW963" s="11"/>
      <c r="CX963" s="11"/>
      <c r="CY963" s="11"/>
      <c r="CZ963" s="11"/>
      <c r="DA963" s="28"/>
      <c r="DB963" s="28"/>
      <c r="DC963" s="11"/>
      <c r="DD963" s="29"/>
      <c r="DE963" s="11"/>
      <c r="DF963" s="11"/>
      <c r="DG963" s="11"/>
      <c r="DH963" s="11"/>
      <c r="DI963" s="11"/>
      <c r="DJ963" s="11"/>
      <c r="DK963" s="26"/>
      <c r="DL963" s="11"/>
      <c r="DM963" s="29"/>
      <c r="DN963" s="28"/>
      <c r="DO963" s="11"/>
      <c r="DP963" s="11"/>
      <c r="DQ963" s="11"/>
      <c r="DR963" s="29"/>
      <c r="DS963" s="28"/>
      <c r="DT963" s="11"/>
      <c r="DU963" s="26"/>
      <c r="DV963" s="11"/>
      <c r="DW963" s="29"/>
      <c r="DX963" s="28"/>
      <c r="DY963" s="11"/>
      <c r="DZ963" s="26"/>
      <c r="EA963" s="11"/>
      <c r="EB963" s="29"/>
      <c r="EC963" s="28"/>
      <c r="ED963" s="30"/>
      <c r="EE963" s="30" t="str">
        <f ca="1">IFERROR(__xludf.DUMMYFUNCTION("iferror(index(filter('Internal -- Trademark Countries'!E$2:E1000, (AM963 = 'Internal -- Trademark Countries'!B$2:B1000) + (AM963 = 'Internal -- Trademark Countries'!C$2:C1000) + (AM963 = 'Internal -- Trademark Countries'!D$2:D1000)), 1))"),"")</f>
        <v/>
      </c>
      <c r="EF963" s="30" t="e">
        <f ca="1">_xludf.ifs(AM963="", "", COUNTIF('Internal -- Trademark Countries'!B:B,AM963) &gt; 0, "polity_shortest_name", COUNTIF('Internal -- Trademark Countries'!C:C,AM963) &gt; 0, "polity_full_name", COUNTIF('Internal -- Trademark Countries'!D:D,AM963) &gt; 0, "polity_common_name", COUNTIF('Internal -- Trademark Countries'!E:E,AM963) &gt; 0, "shortest_name", COUNTIF('Internal -- Trademark Countries'!A:A,AM963) &gt; 0, "full_name", TRUE, "not a match")</f>
        <v>#NAME?</v>
      </c>
      <c r="EG963" s="30"/>
      <c r="EH963" s="30"/>
      <c r="EI963" s="30"/>
      <c r="EJ963" s="30"/>
      <c r="EK963" s="30" t="str">
        <f t="shared" si="5"/>
        <v/>
      </c>
    </row>
    <row r="964" spans="1:141" ht="16.5">
      <c r="A964" s="11"/>
      <c r="B964" s="11"/>
      <c r="C964" s="11"/>
      <c r="D964" s="11"/>
      <c r="E964" s="11"/>
      <c r="F964" s="11"/>
      <c r="G964" s="11"/>
      <c r="H964" s="11"/>
      <c r="I964" s="11"/>
      <c r="J964" s="11"/>
      <c r="K964" s="27"/>
      <c r="L964" s="11"/>
      <c r="M964" s="11"/>
      <c r="N964" s="11"/>
      <c r="O964" s="11"/>
      <c r="P964" s="15"/>
      <c r="Q964" s="15"/>
      <c r="R964" s="15"/>
      <c r="S964" s="15"/>
      <c r="T964" s="15"/>
      <c r="U964" s="15"/>
      <c r="V964" s="15"/>
      <c r="W964" s="47"/>
      <c r="X964" s="11"/>
      <c r="Y964" s="48"/>
      <c r="Z964" s="11"/>
      <c r="AA964" s="48"/>
      <c r="AB964" s="11"/>
      <c r="AC964" s="48"/>
      <c r="AD964" s="11"/>
      <c r="AE964" s="47"/>
      <c r="AF964" s="11"/>
      <c r="AG964" s="48"/>
      <c r="AH964" s="11"/>
      <c r="AI964" s="48"/>
      <c r="AJ964" s="11"/>
      <c r="AK964" s="48"/>
      <c r="AL964" s="11"/>
      <c r="AM964" s="49"/>
      <c r="AN964" s="49"/>
      <c r="AO964" s="11"/>
      <c r="AP964" s="11"/>
      <c r="AQ964" s="28" t="b">
        <f>IF(COUNTIF(SmartStatus!A$2:A1000, AM964) &gt; 2, TRUE, FALSE)</f>
        <v>0</v>
      </c>
      <c r="AR964" s="29" t="str">
        <f ca="1">IFERROR(__xludf.DUMMYFUNCTION("iferror(if(regexmatch(AO964, ""(?i)^registered""), if(EE964 &lt;&gt; ""polity_shortest_name"", ""CHECK_POLITY"", index(filter(SmartStatus!B$2:B1000, AM964 = SmartStatus!A$2:A1000, not(SmartStatus!C$2:C1000), (isblank(SmartStatus!D$2:D1000)) + ((P964 &lt;&gt; """") * "&amp;"(P964 &lt; SmartStatus!D$2:D1000)), (isblank(SmartStatus!E$2:E1000)) + ((P964 &lt;&gt; """") * (P964 &gt;= SmartStatus!E$2:E1000)), (isblank(SmartStatus!F$2:F1000)) + (((Q964 &lt;&gt; """") * (Q964 &lt; SmartStatus!F$2:F1000)) + ((P964 &lt;&gt; """") * (date(year(P964) + 3, month(P"&amp;"964), day(P964)) &lt; SmartStatus!F$2:F1000))), (isblank(SmartStatus!G$2:G1000)) + (((Q964 &lt;&gt; """") * (Q964 &gt;= SmartStatus!G$2:G1000)) + ((P964 &lt;&gt; """") * (P964 &gt;= SmartStatus!G$2:G1000)))), if(or(regexmatch(B964, ""(?i)^ir [a-z]+ designation$""), N964 &lt;&gt; """&amp;"""), 1, 2))), """"), ""NO_MATCH"")"),"")</f>
        <v/>
      </c>
      <c r="AS964" s="11"/>
      <c r="AT964" s="15"/>
      <c r="AU964" s="11"/>
      <c r="AV964" s="11"/>
      <c r="AW964" s="15"/>
      <c r="AX964" s="15"/>
      <c r="AY964" s="15"/>
      <c r="AZ964" s="11"/>
      <c r="BA964" s="15"/>
      <c r="BB964" s="11"/>
      <c r="BC964" s="11"/>
      <c r="BD964" s="15"/>
      <c r="BE964" s="11"/>
      <c r="BF964" s="11"/>
      <c r="BG964" s="15"/>
      <c r="BH964" s="15"/>
      <c r="BI964" s="15"/>
      <c r="BJ964" s="11"/>
      <c r="BK964" s="15"/>
      <c r="BL964" s="11"/>
      <c r="BM964" s="11"/>
      <c r="BN964" s="15"/>
      <c r="BO964" s="11"/>
      <c r="BP964" s="11"/>
      <c r="BQ964" s="15"/>
      <c r="BR964" s="15"/>
      <c r="BS964" s="15"/>
      <c r="BT964" s="11"/>
      <c r="BU964" s="15"/>
      <c r="BV964" s="11"/>
      <c r="BW964" s="11"/>
      <c r="BX964" s="15"/>
      <c r="BY964" s="11"/>
      <c r="BZ964" s="11"/>
      <c r="CA964" s="15"/>
      <c r="CB964" s="11"/>
      <c r="CC964" s="15"/>
      <c r="CD964" s="11"/>
      <c r="CE964" s="15"/>
      <c r="CF964" s="11"/>
      <c r="CG964" s="11"/>
      <c r="CH964" s="15"/>
      <c r="CI964" s="11"/>
      <c r="CJ964" s="11"/>
      <c r="CK964" s="15"/>
      <c r="CL964" s="11"/>
      <c r="CM964" s="11"/>
      <c r="CN964" s="11"/>
      <c r="CO964" s="11"/>
      <c r="CP964" s="28"/>
      <c r="CQ964" s="28"/>
      <c r="CR964" s="11"/>
      <c r="CS964" s="29"/>
      <c r="CT964" s="11"/>
      <c r="CU964" s="11"/>
      <c r="CV964" s="11"/>
      <c r="CW964" s="11"/>
      <c r="CX964" s="11"/>
      <c r="CY964" s="11"/>
      <c r="CZ964" s="11"/>
      <c r="DA964" s="28"/>
      <c r="DB964" s="28"/>
      <c r="DC964" s="11"/>
      <c r="DD964" s="29"/>
      <c r="DE964" s="11"/>
      <c r="DF964" s="11"/>
      <c r="DG964" s="11"/>
      <c r="DH964" s="11"/>
      <c r="DI964" s="11"/>
      <c r="DJ964" s="11"/>
      <c r="DK964" s="26"/>
      <c r="DL964" s="11"/>
      <c r="DM964" s="29"/>
      <c r="DN964" s="28"/>
      <c r="DO964" s="11"/>
      <c r="DP964" s="11"/>
      <c r="DQ964" s="11"/>
      <c r="DR964" s="29"/>
      <c r="DS964" s="28"/>
      <c r="DT964" s="11"/>
      <c r="DU964" s="26"/>
      <c r="DV964" s="11"/>
      <c r="DW964" s="29"/>
      <c r="DX964" s="28"/>
      <c r="DY964" s="11"/>
      <c r="DZ964" s="26"/>
      <c r="EA964" s="11"/>
      <c r="EB964" s="29"/>
      <c r="EC964" s="28"/>
      <c r="ED964" s="30"/>
      <c r="EE964" s="30" t="str">
        <f ca="1">IFERROR(__xludf.DUMMYFUNCTION("iferror(index(filter('Internal -- Trademark Countries'!E$2:E1000, (AM964 = 'Internal -- Trademark Countries'!B$2:B1000) + (AM964 = 'Internal -- Trademark Countries'!C$2:C1000) + (AM964 = 'Internal -- Trademark Countries'!D$2:D1000)), 1))"),"")</f>
        <v/>
      </c>
      <c r="EF964" s="30" t="e">
        <f ca="1">_xludf.ifs(AM964="", "", COUNTIF('Internal -- Trademark Countries'!B:B,AM964) &gt; 0, "polity_shortest_name", COUNTIF('Internal -- Trademark Countries'!C:C,AM964) &gt; 0, "polity_full_name", COUNTIF('Internal -- Trademark Countries'!D:D,AM964) &gt; 0, "polity_common_name", COUNTIF('Internal -- Trademark Countries'!E:E,AM964) &gt; 0, "shortest_name", COUNTIF('Internal -- Trademark Countries'!A:A,AM964) &gt; 0, "full_name", TRUE, "not a match")</f>
        <v>#NAME?</v>
      </c>
      <c r="EG964" s="30"/>
      <c r="EH964" s="30"/>
      <c r="EI964" s="30"/>
      <c r="EJ964" s="30"/>
      <c r="EK964" s="30" t="str">
        <f t="shared" si="5"/>
        <v/>
      </c>
    </row>
    <row r="965" spans="1:141" ht="16.5">
      <c r="A965" s="11"/>
      <c r="B965" s="11"/>
      <c r="C965" s="11"/>
      <c r="D965" s="11"/>
      <c r="E965" s="11"/>
      <c r="F965" s="11"/>
      <c r="G965" s="11"/>
      <c r="H965" s="11"/>
      <c r="I965" s="11"/>
      <c r="J965" s="11"/>
      <c r="K965" s="27"/>
      <c r="L965" s="11"/>
      <c r="M965" s="11"/>
      <c r="N965" s="11"/>
      <c r="O965" s="11"/>
      <c r="P965" s="15"/>
      <c r="Q965" s="15"/>
      <c r="R965" s="15"/>
      <c r="S965" s="15"/>
      <c r="T965" s="15"/>
      <c r="U965" s="15"/>
      <c r="V965" s="15"/>
      <c r="W965" s="47"/>
      <c r="X965" s="11"/>
      <c r="Y965" s="48"/>
      <c r="Z965" s="11"/>
      <c r="AA965" s="48"/>
      <c r="AB965" s="11"/>
      <c r="AC965" s="48"/>
      <c r="AD965" s="11"/>
      <c r="AE965" s="47"/>
      <c r="AF965" s="11"/>
      <c r="AG965" s="48"/>
      <c r="AH965" s="11"/>
      <c r="AI965" s="48"/>
      <c r="AJ965" s="11"/>
      <c r="AK965" s="48"/>
      <c r="AL965" s="11"/>
      <c r="AM965" s="49"/>
      <c r="AN965" s="49"/>
      <c r="AO965" s="11"/>
      <c r="AP965" s="11"/>
      <c r="AQ965" s="28" t="b">
        <f>IF(COUNTIF(SmartStatus!A$2:A1000, AM965) &gt; 2, TRUE, FALSE)</f>
        <v>0</v>
      </c>
      <c r="AR965" s="29" t="str">
        <f ca="1">IFERROR(__xludf.DUMMYFUNCTION("iferror(if(regexmatch(AO965, ""(?i)^registered""), if(EE965 &lt;&gt; ""polity_shortest_name"", ""CHECK_POLITY"", index(filter(SmartStatus!B$2:B1000, AM965 = SmartStatus!A$2:A1000, not(SmartStatus!C$2:C1000), (isblank(SmartStatus!D$2:D1000)) + ((P965 &lt;&gt; """") * "&amp;"(P965 &lt; SmartStatus!D$2:D1000)), (isblank(SmartStatus!E$2:E1000)) + ((P965 &lt;&gt; """") * (P965 &gt;= SmartStatus!E$2:E1000)), (isblank(SmartStatus!F$2:F1000)) + (((Q965 &lt;&gt; """") * (Q965 &lt; SmartStatus!F$2:F1000)) + ((P965 &lt;&gt; """") * (date(year(P965) + 3, month(P"&amp;"965), day(P965)) &lt; SmartStatus!F$2:F1000))), (isblank(SmartStatus!G$2:G1000)) + (((Q965 &lt;&gt; """") * (Q965 &gt;= SmartStatus!G$2:G1000)) + ((P965 &lt;&gt; """") * (P965 &gt;= SmartStatus!G$2:G1000)))), if(or(regexmatch(B965, ""(?i)^ir [a-z]+ designation$""), N965 &lt;&gt; """&amp;"""), 1, 2))), """"), ""NO_MATCH"")"),"")</f>
        <v/>
      </c>
      <c r="AS965" s="11"/>
      <c r="AT965" s="15"/>
      <c r="AU965" s="11"/>
      <c r="AV965" s="11"/>
      <c r="AW965" s="15"/>
      <c r="AX965" s="15"/>
      <c r="AY965" s="15"/>
      <c r="AZ965" s="11"/>
      <c r="BA965" s="15"/>
      <c r="BB965" s="11"/>
      <c r="BC965" s="11"/>
      <c r="BD965" s="15"/>
      <c r="BE965" s="11"/>
      <c r="BF965" s="11"/>
      <c r="BG965" s="15"/>
      <c r="BH965" s="15"/>
      <c r="BI965" s="15"/>
      <c r="BJ965" s="11"/>
      <c r="BK965" s="15"/>
      <c r="BL965" s="11"/>
      <c r="BM965" s="11"/>
      <c r="BN965" s="15"/>
      <c r="BO965" s="11"/>
      <c r="BP965" s="11"/>
      <c r="BQ965" s="15"/>
      <c r="BR965" s="15"/>
      <c r="BS965" s="15"/>
      <c r="BT965" s="11"/>
      <c r="BU965" s="15"/>
      <c r="BV965" s="11"/>
      <c r="BW965" s="11"/>
      <c r="BX965" s="15"/>
      <c r="BY965" s="11"/>
      <c r="BZ965" s="11"/>
      <c r="CA965" s="15"/>
      <c r="CB965" s="11"/>
      <c r="CC965" s="15"/>
      <c r="CD965" s="11"/>
      <c r="CE965" s="15"/>
      <c r="CF965" s="11"/>
      <c r="CG965" s="11"/>
      <c r="CH965" s="15"/>
      <c r="CI965" s="11"/>
      <c r="CJ965" s="11"/>
      <c r="CK965" s="15"/>
      <c r="CL965" s="11"/>
      <c r="CM965" s="11"/>
      <c r="CN965" s="11"/>
      <c r="CO965" s="11"/>
      <c r="CP965" s="28"/>
      <c r="CQ965" s="28"/>
      <c r="CR965" s="11"/>
      <c r="CS965" s="29"/>
      <c r="CT965" s="11"/>
      <c r="CU965" s="11"/>
      <c r="CV965" s="11"/>
      <c r="CW965" s="11"/>
      <c r="CX965" s="11"/>
      <c r="CY965" s="11"/>
      <c r="CZ965" s="11"/>
      <c r="DA965" s="28"/>
      <c r="DB965" s="28"/>
      <c r="DC965" s="11"/>
      <c r="DD965" s="29"/>
      <c r="DE965" s="11"/>
      <c r="DF965" s="11"/>
      <c r="DG965" s="11"/>
      <c r="DH965" s="11"/>
      <c r="DI965" s="11"/>
      <c r="DJ965" s="11"/>
      <c r="DK965" s="26"/>
      <c r="DL965" s="11"/>
      <c r="DM965" s="29"/>
      <c r="DN965" s="28"/>
      <c r="DO965" s="11"/>
      <c r="DP965" s="11"/>
      <c r="DQ965" s="11"/>
      <c r="DR965" s="29"/>
      <c r="DS965" s="28"/>
      <c r="DT965" s="11"/>
      <c r="DU965" s="26"/>
      <c r="DV965" s="11"/>
      <c r="DW965" s="29"/>
      <c r="DX965" s="28"/>
      <c r="DY965" s="11"/>
      <c r="DZ965" s="26"/>
      <c r="EA965" s="11"/>
      <c r="EB965" s="29"/>
      <c r="EC965" s="28"/>
      <c r="ED965" s="30"/>
      <c r="EE965" s="30" t="str">
        <f ca="1">IFERROR(__xludf.DUMMYFUNCTION("iferror(index(filter('Internal -- Trademark Countries'!E$2:E1000, (AM965 = 'Internal -- Trademark Countries'!B$2:B1000) + (AM965 = 'Internal -- Trademark Countries'!C$2:C1000) + (AM965 = 'Internal -- Trademark Countries'!D$2:D1000)), 1))"),"")</f>
        <v/>
      </c>
      <c r="EF965" s="30" t="e">
        <f ca="1">_xludf.ifs(AM965="", "", COUNTIF('Internal -- Trademark Countries'!B:B,AM965) &gt; 0, "polity_shortest_name", COUNTIF('Internal -- Trademark Countries'!C:C,AM965) &gt; 0, "polity_full_name", COUNTIF('Internal -- Trademark Countries'!D:D,AM965) &gt; 0, "polity_common_name", COUNTIF('Internal -- Trademark Countries'!E:E,AM965) &gt; 0, "shortest_name", COUNTIF('Internal -- Trademark Countries'!A:A,AM965) &gt; 0, "full_name", TRUE, "not a match")</f>
        <v>#NAME?</v>
      </c>
      <c r="EG965" s="30"/>
      <c r="EH965" s="30"/>
      <c r="EI965" s="30"/>
      <c r="EJ965" s="30"/>
      <c r="EK965" s="30" t="str">
        <f t="shared" si="5"/>
        <v/>
      </c>
    </row>
    <row r="966" spans="1:141" ht="16.5">
      <c r="A966" s="11"/>
      <c r="B966" s="11"/>
      <c r="C966" s="11"/>
      <c r="D966" s="11"/>
      <c r="E966" s="11"/>
      <c r="F966" s="11"/>
      <c r="G966" s="11"/>
      <c r="H966" s="11"/>
      <c r="I966" s="11"/>
      <c r="J966" s="11"/>
      <c r="K966" s="27"/>
      <c r="L966" s="11"/>
      <c r="M966" s="11"/>
      <c r="N966" s="11"/>
      <c r="O966" s="11"/>
      <c r="P966" s="15"/>
      <c r="Q966" s="15"/>
      <c r="R966" s="15"/>
      <c r="S966" s="15"/>
      <c r="T966" s="15"/>
      <c r="U966" s="15"/>
      <c r="V966" s="15"/>
      <c r="W966" s="47"/>
      <c r="X966" s="11"/>
      <c r="Y966" s="48"/>
      <c r="Z966" s="11"/>
      <c r="AA966" s="48"/>
      <c r="AB966" s="11"/>
      <c r="AC966" s="48"/>
      <c r="AD966" s="11"/>
      <c r="AE966" s="47"/>
      <c r="AF966" s="11"/>
      <c r="AG966" s="48"/>
      <c r="AH966" s="11"/>
      <c r="AI966" s="48"/>
      <c r="AJ966" s="11"/>
      <c r="AK966" s="48"/>
      <c r="AL966" s="11"/>
      <c r="AM966" s="49"/>
      <c r="AN966" s="49"/>
      <c r="AO966" s="11"/>
      <c r="AP966" s="11"/>
      <c r="AQ966" s="28" t="b">
        <f>IF(COUNTIF(SmartStatus!A$2:A1000, AM966) &gt; 2, TRUE, FALSE)</f>
        <v>0</v>
      </c>
      <c r="AR966" s="29" t="str">
        <f ca="1">IFERROR(__xludf.DUMMYFUNCTION("iferror(if(regexmatch(AO966, ""(?i)^registered""), if(EE966 &lt;&gt; ""polity_shortest_name"", ""CHECK_POLITY"", index(filter(SmartStatus!B$2:B1000, AM966 = SmartStatus!A$2:A1000, not(SmartStatus!C$2:C1000), (isblank(SmartStatus!D$2:D1000)) + ((P966 &lt;&gt; """") * "&amp;"(P966 &lt; SmartStatus!D$2:D1000)), (isblank(SmartStatus!E$2:E1000)) + ((P966 &lt;&gt; """") * (P966 &gt;= SmartStatus!E$2:E1000)), (isblank(SmartStatus!F$2:F1000)) + (((Q966 &lt;&gt; """") * (Q966 &lt; SmartStatus!F$2:F1000)) + ((P966 &lt;&gt; """") * (date(year(P966) + 3, month(P"&amp;"966), day(P966)) &lt; SmartStatus!F$2:F1000))), (isblank(SmartStatus!G$2:G1000)) + (((Q966 &lt;&gt; """") * (Q966 &gt;= SmartStatus!G$2:G1000)) + ((P966 &lt;&gt; """") * (P966 &gt;= SmartStatus!G$2:G1000)))), if(or(regexmatch(B966, ""(?i)^ir [a-z]+ designation$""), N966 &lt;&gt; """&amp;"""), 1, 2))), """"), ""NO_MATCH"")"),"")</f>
        <v/>
      </c>
      <c r="AS966" s="11"/>
      <c r="AT966" s="15"/>
      <c r="AU966" s="11"/>
      <c r="AV966" s="11"/>
      <c r="AW966" s="15"/>
      <c r="AX966" s="15"/>
      <c r="AY966" s="15"/>
      <c r="AZ966" s="11"/>
      <c r="BA966" s="15"/>
      <c r="BB966" s="11"/>
      <c r="BC966" s="11"/>
      <c r="BD966" s="15"/>
      <c r="BE966" s="11"/>
      <c r="BF966" s="11"/>
      <c r="BG966" s="15"/>
      <c r="BH966" s="15"/>
      <c r="BI966" s="15"/>
      <c r="BJ966" s="11"/>
      <c r="BK966" s="15"/>
      <c r="BL966" s="11"/>
      <c r="BM966" s="11"/>
      <c r="BN966" s="15"/>
      <c r="BO966" s="11"/>
      <c r="BP966" s="11"/>
      <c r="BQ966" s="15"/>
      <c r="BR966" s="15"/>
      <c r="BS966" s="15"/>
      <c r="BT966" s="11"/>
      <c r="BU966" s="15"/>
      <c r="BV966" s="11"/>
      <c r="BW966" s="11"/>
      <c r="BX966" s="15"/>
      <c r="BY966" s="11"/>
      <c r="BZ966" s="11"/>
      <c r="CA966" s="15"/>
      <c r="CB966" s="11"/>
      <c r="CC966" s="15"/>
      <c r="CD966" s="11"/>
      <c r="CE966" s="15"/>
      <c r="CF966" s="11"/>
      <c r="CG966" s="11"/>
      <c r="CH966" s="15"/>
      <c r="CI966" s="11"/>
      <c r="CJ966" s="11"/>
      <c r="CK966" s="15"/>
      <c r="CL966" s="11"/>
      <c r="CM966" s="11"/>
      <c r="CN966" s="11"/>
      <c r="CO966" s="11"/>
      <c r="CP966" s="28"/>
      <c r="CQ966" s="28"/>
      <c r="CR966" s="11"/>
      <c r="CS966" s="29"/>
      <c r="CT966" s="11"/>
      <c r="CU966" s="11"/>
      <c r="CV966" s="11"/>
      <c r="CW966" s="11"/>
      <c r="CX966" s="11"/>
      <c r="CY966" s="11"/>
      <c r="CZ966" s="11"/>
      <c r="DA966" s="28"/>
      <c r="DB966" s="28"/>
      <c r="DC966" s="11"/>
      <c r="DD966" s="29"/>
      <c r="DE966" s="11"/>
      <c r="DF966" s="11"/>
      <c r="DG966" s="11"/>
      <c r="DH966" s="11"/>
      <c r="DI966" s="11"/>
      <c r="DJ966" s="11"/>
      <c r="DK966" s="26"/>
      <c r="DL966" s="11"/>
      <c r="DM966" s="29"/>
      <c r="DN966" s="28"/>
      <c r="DO966" s="11"/>
      <c r="DP966" s="11"/>
      <c r="DQ966" s="11"/>
      <c r="DR966" s="29"/>
      <c r="DS966" s="28"/>
      <c r="DT966" s="11"/>
      <c r="DU966" s="26"/>
      <c r="DV966" s="11"/>
      <c r="DW966" s="29"/>
      <c r="DX966" s="28"/>
      <c r="DY966" s="11"/>
      <c r="DZ966" s="26"/>
      <c r="EA966" s="11"/>
      <c r="EB966" s="29"/>
      <c r="EC966" s="28"/>
      <c r="ED966" s="30"/>
      <c r="EE966" s="30" t="str">
        <f ca="1">IFERROR(__xludf.DUMMYFUNCTION("iferror(index(filter('Internal -- Trademark Countries'!E$2:E1000, (AM966 = 'Internal -- Trademark Countries'!B$2:B1000) + (AM966 = 'Internal -- Trademark Countries'!C$2:C1000) + (AM966 = 'Internal -- Trademark Countries'!D$2:D1000)), 1))"),"")</f>
        <v/>
      </c>
      <c r="EF966" s="30" t="e">
        <f ca="1">_xludf.ifs(AM966="", "", COUNTIF('Internal -- Trademark Countries'!B:B,AM966) &gt; 0, "polity_shortest_name", COUNTIF('Internal -- Trademark Countries'!C:C,AM966) &gt; 0, "polity_full_name", COUNTIF('Internal -- Trademark Countries'!D:D,AM966) &gt; 0, "polity_common_name", COUNTIF('Internal -- Trademark Countries'!E:E,AM966) &gt; 0, "shortest_name", COUNTIF('Internal -- Trademark Countries'!A:A,AM966) &gt; 0, "full_name", TRUE, "not a match")</f>
        <v>#NAME?</v>
      </c>
      <c r="EG966" s="30"/>
      <c r="EH966" s="30"/>
      <c r="EI966" s="30"/>
      <c r="EJ966" s="30"/>
      <c r="EK966" s="30" t="str">
        <f t="shared" si="5"/>
        <v/>
      </c>
    </row>
    <row r="967" spans="1:141" ht="16.5">
      <c r="A967" s="11"/>
      <c r="B967" s="11"/>
      <c r="C967" s="11"/>
      <c r="D967" s="11"/>
      <c r="E967" s="11"/>
      <c r="F967" s="11"/>
      <c r="G967" s="11"/>
      <c r="H967" s="11"/>
      <c r="I967" s="11"/>
      <c r="J967" s="11"/>
      <c r="K967" s="27"/>
      <c r="L967" s="11"/>
      <c r="M967" s="11"/>
      <c r="N967" s="11"/>
      <c r="O967" s="11"/>
      <c r="P967" s="15"/>
      <c r="Q967" s="15"/>
      <c r="R967" s="15"/>
      <c r="S967" s="15"/>
      <c r="T967" s="15"/>
      <c r="U967" s="15"/>
      <c r="V967" s="15"/>
      <c r="W967" s="47"/>
      <c r="X967" s="11"/>
      <c r="Y967" s="48"/>
      <c r="Z967" s="11"/>
      <c r="AA967" s="48"/>
      <c r="AB967" s="11"/>
      <c r="AC967" s="48"/>
      <c r="AD967" s="11"/>
      <c r="AE967" s="47"/>
      <c r="AF967" s="11"/>
      <c r="AG967" s="48"/>
      <c r="AH967" s="11"/>
      <c r="AI967" s="48"/>
      <c r="AJ967" s="11"/>
      <c r="AK967" s="48"/>
      <c r="AL967" s="11"/>
      <c r="AM967" s="49"/>
      <c r="AN967" s="49"/>
      <c r="AO967" s="11"/>
      <c r="AP967" s="11"/>
      <c r="AQ967" s="28" t="b">
        <f>IF(COUNTIF(SmartStatus!A$2:A1000, AM967) &gt; 2, TRUE, FALSE)</f>
        <v>0</v>
      </c>
      <c r="AR967" s="29" t="str">
        <f ca="1">IFERROR(__xludf.DUMMYFUNCTION("iferror(if(regexmatch(AO967, ""(?i)^registered""), if(EE967 &lt;&gt; ""polity_shortest_name"", ""CHECK_POLITY"", index(filter(SmartStatus!B$2:B1000, AM967 = SmartStatus!A$2:A1000, not(SmartStatus!C$2:C1000), (isblank(SmartStatus!D$2:D1000)) + ((P967 &lt;&gt; """") * "&amp;"(P967 &lt; SmartStatus!D$2:D1000)), (isblank(SmartStatus!E$2:E1000)) + ((P967 &lt;&gt; """") * (P967 &gt;= SmartStatus!E$2:E1000)), (isblank(SmartStatus!F$2:F1000)) + (((Q967 &lt;&gt; """") * (Q967 &lt; SmartStatus!F$2:F1000)) + ((P967 &lt;&gt; """") * (date(year(P967) + 3, month(P"&amp;"967), day(P967)) &lt; SmartStatus!F$2:F1000))), (isblank(SmartStatus!G$2:G1000)) + (((Q967 &lt;&gt; """") * (Q967 &gt;= SmartStatus!G$2:G1000)) + ((P967 &lt;&gt; """") * (P967 &gt;= SmartStatus!G$2:G1000)))), if(or(regexmatch(B967, ""(?i)^ir [a-z]+ designation$""), N967 &lt;&gt; """&amp;"""), 1, 2))), """"), ""NO_MATCH"")"),"")</f>
        <v/>
      </c>
      <c r="AS967" s="11"/>
      <c r="AT967" s="15"/>
      <c r="AU967" s="11"/>
      <c r="AV967" s="11"/>
      <c r="AW967" s="15"/>
      <c r="AX967" s="15"/>
      <c r="AY967" s="15"/>
      <c r="AZ967" s="11"/>
      <c r="BA967" s="15"/>
      <c r="BB967" s="11"/>
      <c r="BC967" s="11"/>
      <c r="BD967" s="15"/>
      <c r="BE967" s="11"/>
      <c r="BF967" s="11"/>
      <c r="BG967" s="15"/>
      <c r="BH967" s="15"/>
      <c r="BI967" s="15"/>
      <c r="BJ967" s="11"/>
      <c r="BK967" s="15"/>
      <c r="BL967" s="11"/>
      <c r="BM967" s="11"/>
      <c r="BN967" s="15"/>
      <c r="BO967" s="11"/>
      <c r="BP967" s="11"/>
      <c r="BQ967" s="15"/>
      <c r="BR967" s="15"/>
      <c r="BS967" s="15"/>
      <c r="BT967" s="11"/>
      <c r="BU967" s="15"/>
      <c r="BV967" s="11"/>
      <c r="BW967" s="11"/>
      <c r="BX967" s="15"/>
      <c r="BY967" s="11"/>
      <c r="BZ967" s="11"/>
      <c r="CA967" s="15"/>
      <c r="CB967" s="11"/>
      <c r="CC967" s="15"/>
      <c r="CD967" s="11"/>
      <c r="CE967" s="15"/>
      <c r="CF967" s="11"/>
      <c r="CG967" s="11"/>
      <c r="CH967" s="15"/>
      <c r="CI967" s="11"/>
      <c r="CJ967" s="11"/>
      <c r="CK967" s="15"/>
      <c r="CL967" s="11"/>
      <c r="CM967" s="11"/>
      <c r="CN967" s="11"/>
      <c r="CO967" s="11"/>
      <c r="CP967" s="28"/>
      <c r="CQ967" s="28"/>
      <c r="CR967" s="11"/>
      <c r="CS967" s="29"/>
      <c r="CT967" s="11"/>
      <c r="CU967" s="11"/>
      <c r="CV967" s="11"/>
      <c r="CW967" s="11"/>
      <c r="CX967" s="11"/>
      <c r="CY967" s="11"/>
      <c r="CZ967" s="11"/>
      <c r="DA967" s="28"/>
      <c r="DB967" s="28"/>
      <c r="DC967" s="11"/>
      <c r="DD967" s="29"/>
      <c r="DE967" s="11"/>
      <c r="DF967" s="11"/>
      <c r="DG967" s="11"/>
      <c r="DH967" s="11"/>
      <c r="DI967" s="11"/>
      <c r="DJ967" s="11"/>
      <c r="DK967" s="26"/>
      <c r="DL967" s="11"/>
      <c r="DM967" s="29"/>
      <c r="DN967" s="28"/>
      <c r="DO967" s="11"/>
      <c r="DP967" s="11"/>
      <c r="DQ967" s="11"/>
      <c r="DR967" s="29"/>
      <c r="DS967" s="28"/>
      <c r="DT967" s="11"/>
      <c r="DU967" s="26"/>
      <c r="DV967" s="11"/>
      <c r="DW967" s="29"/>
      <c r="DX967" s="28"/>
      <c r="DY967" s="11"/>
      <c r="DZ967" s="26"/>
      <c r="EA967" s="11"/>
      <c r="EB967" s="29"/>
      <c r="EC967" s="28"/>
      <c r="ED967" s="30"/>
      <c r="EE967" s="30" t="str">
        <f ca="1">IFERROR(__xludf.DUMMYFUNCTION("iferror(index(filter('Internal -- Trademark Countries'!E$2:E1000, (AM967 = 'Internal -- Trademark Countries'!B$2:B1000) + (AM967 = 'Internal -- Trademark Countries'!C$2:C1000) + (AM967 = 'Internal -- Trademark Countries'!D$2:D1000)), 1))"),"")</f>
        <v/>
      </c>
      <c r="EF967" s="30" t="e">
        <f ca="1">_xludf.ifs(AM967="", "", COUNTIF('Internal -- Trademark Countries'!B:B,AM967) &gt; 0, "polity_shortest_name", COUNTIF('Internal -- Trademark Countries'!C:C,AM967) &gt; 0, "polity_full_name", COUNTIF('Internal -- Trademark Countries'!D:D,AM967) &gt; 0, "polity_common_name", COUNTIF('Internal -- Trademark Countries'!E:E,AM967) &gt; 0, "shortest_name", COUNTIF('Internal -- Trademark Countries'!A:A,AM967) &gt; 0, "full_name", TRUE, "not a match")</f>
        <v>#NAME?</v>
      </c>
      <c r="EG967" s="30"/>
      <c r="EH967" s="30"/>
      <c r="EI967" s="30"/>
      <c r="EJ967" s="30"/>
      <c r="EK967" s="30" t="str">
        <f t="shared" si="5"/>
        <v/>
      </c>
    </row>
    <row r="968" spans="1:141" ht="16.5">
      <c r="A968" s="11"/>
      <c r="B968" s="11"/>
      <c r="C968" s="11"/>
      <c r="D968" s="11"/>
      <c r="E968" s="11"/>
      <c r="F968" s="11"/>
      <c r="G968" s="11"/>
      <c r="H968" s="11"/>
      <c r="I968" s="11"/>
      <c r="J968" s="11"/>
      <c r="K968" s="27"/>
      <c r="L968" s="11"/>
      <c r="M968" s="11"/>
      <c r="N968" s="11"/>
      <c r="O968" s="11"/>
      <c r="P968" s="15"/>
      <c r="Q968" s="15"/>
      <c r="R968" s="15"/>
      <c r="S968" s="15"/>
      <c r="T968" s="15"/>
      <c r="U968" s="15"/>
      <c r="V968" s="15"/>
      <c r="W968" s="47"/>
      <c r="X968" s="11"/>
      <c r="Y968" s="48"/>
      <c r="Z968" s="11"/>
      <c r="AA968" s="48"/>
      <c r="AB968" s="11"/>
      <c r="AC968" s="48"/>
      <c r="AD968" s="11"/>
      <c r="AE968" s="47"/>
      <c r="AF968" s="11"/>
      <c r="AG968" s="48"/>
      <c r="AH968" s="11"/>
      <c r="AI968" s="48"/>
      <c r="AJ968" s="11"/>
      <c r="AK968" s="48"/>
      <c r="AL968" s="11"/>
      <c r="AM968" s="49"/>
      <c r="AN968" s="49"/>
      <c r="AO968" s="11"/>
      <c r="AP968" s="11"/>
      <c r="AQ968" s="28" t="b">
        <f>IF(COUNTIF(SmartStatus!A$2:A1000, AM968) &gt; 2, TRUE, FALSE)</f>
        <v>0</v>
      </c>
      <c r="AR968" s="29" t="str">
        <f ca="1">IFERROR(__xludf.DUMMYFUNCTION("iferror(if(regexmatch(AO968, ""(?i)^registered""), if(EE968 &lt;&gt; ""polity_shortest_name"", ""CHECK_POLITY"", index(filter(SmartStatus!B$2:B1000, AM968 = SmartStatus!A$2:A1000, not(SmartStatus!C$2:C1000), (isblank(SmartStatus!D$2:D1000)) + ((P968 &lt;&gt; """") * "&amp;"(P968 &lt; SmartStatus!D$2:D1000)), (isblank(SmartStatus!E$2:E1000)) + ((P968 &lt;&gt; """") * (P968 &gt;= SmartStatus!E$2:E1000)), (isblank(SmartStatus!F$2:F1000)) + (((Q968 &lt;&gt; """") * (Q968 &lt; SmartStatus!F$2:F1000)) + ((P968 &lt;&gt; """") * (date(year(P968) + 3, month(P"&amp;"968), day(P968)) &lt; SmartStatus!F$2:F1000))), (isblank(SmartStatus!G$2:G1000)) + (((Q968 &lt;&gt; """") * (Q968 &gt;= SmartStatus!G$2:G1000)) + ((P968 &lt;&gt; """") * (P968 &gt;= SmartStatus!G$2:G1000)))), if(or(regexmatch(B968, ""(?i)^ir [a-z]+ designation$""), N968 &lt;&gt; """&amp;"""), 1, 2))), """"), ""NO_MATCH"")"),"")</f>
        <v/>
      </c>
      <c r="AS968" s="11"/>
      <c r="AT968" s="15"/>
      <c r="AU968" s="11"/>
      <c r="AV968" s="11"/>
      <c r="AW968" s="15"/>
      <c r="AX968" s="15"/>
      <c r="AY968" s="15"/>
      <c r="AZ968" s="11"/>
      <c r="BA968" s="15"/>
      <c r="BB968" s="11"/>
      <c r="BC968" s="11"/>
      <c r="BD968" s="15"/>
      <c r="BE968" s="11"/>
      <c r="BF968" s="11"/>
      <c r="BG968" s="15"/>
      <c r="BH968" s="15"/>
      <c r="BI968" s="15"/>
      <c r="BJ968" s="11"/>
      <c r="BK968" s="15"/>
      <c r="BL968" s="11"/>
      <c r="BM968" s="11"/>
      <c r="BN968" s="15"/>
      <c r="BO968" s="11"/>
      <c r="BP968" s="11"/>
      <c r="BQ968" s="15"/>
      <c r="BR968" s="15"/>
      <c r="BS968" s="15"/>
      <c r="BT968" s="11"/>
      <c r="BU968" s="15"/>
      <c r="BV968" s="11"/>
      <c r="BW968" s="11"/>
      <c r="BX968" s="15"/>
      <c r="BY968" s="11"/>
      <c r="BZ968" s="11"/>
      <c r="CA968" s="15"/>
      <c r="CB968" s="11"/>
      <c r="CC968" s="15"/>
      <c r="CD968" s="11"/>
      <c r="CE968" s="15"/>
      <c r="CF968" s="11"/>
      <c r="CG968" s="11"/>
      <c r="CH968" s="15"/>
      <c r="CI968" s="11"/>
      <c r="CJ968" s="11"/>
      <c r="CK968" s="15"/>
      <c r="CL968" s="11"/>
      <c r="CM968" s="11"/>
      <c r="CN968" s="11"/>
      <c r="CO968" s="11"/>
      <c r="CP968" s="28"/>
      <c r="CQ968" s="28"/>
      <c r="CR968" s="11"/>
      <c r="CS968" s="29"/>
      <c r="CT968" s="11"/>
      <c r="CU968" s="11"/>
      <c r="CV968" s="11"/>
      <c r="CW968" s="11"/>
      <c r="CX968" s="11"/>
      <c r="CY968" s="11"/>
      <c r="CZ968" s="11"/>
      <c r="DA968" s="28"/>
      <c r="DB968" s="28"/>
      <c r="DC968" s="11"/>
      <c r="DD968" s="29"/>
      <c r="DE968" s="11"/>
      <c r="DF968" s="11"/>
      <c r="DG968" s="11"/>
      <c r="DH968" s="11"/>
      <c r="DI968" s="11"/>
      <c r="DJ968" s="11"/>
      <c r="DK968" s="26"/>
      <c r="DL968" s="11"/>
      <c r="DM968" s="29"/>
      <c r="DN968" s="28"/>
      <c r="DO968" s="11"/>
      <c r="DP968" s="11"/>
      <c r="DQ968" s="11"/>
      <c r="DR968" s="29"/>
      <c r="DS968" s="28"/>
      <c r="DT968" s="11"/>
      <c r="DU968" s="26"/>
      <c r="DV968" s="11"/>
      <c r="DW968" s="29"/>
      <c r="DX968" s="28"/>
      <c r="DY968" s="11"/>
      <c r="DZ968" s="26"/>
      <c r="EA968" s="11"/>
      <c r="EB968" s="29"/>
      <c r="EC968" s="28"/>
      <c r="ED968" s="30"/>
      <c r="EE968" s="30" t="str">
        <f ca="1">IFERROR(__xludf.DUMMYFUNCTION("iferror(index(filter('Internal -- Trademark Countries'!E$2:E1000, (AM968 = 'Internal -- Trademark Countries'!B$2:B1000) + (AM968 = 'Internal -- Trademark Countries'!C$2:C1000) + (AM968 = 'Internal -- Trademark Countries'!D$2:D1000)), 1))"),"")</f>
        <v/>
      </c>
      <c r="EF968" s="30" t="e">
        <f ca="1">_xludf.ifs(AM968="", "", COUNTIF('Internal -- Trademark Countries'!B:B,AM968) &gt; 0, "polity_shortest_name", COUNTIF('Internal -- Trademark Countries'!C:C,AM968) &gt; 0, "polity_full_name", COUNTIF('Internal -- Trademark Countries'!D:D,AM968) &gt; 0, "polity_common_name", COUNTIF('Internal -- Trademark Countries'!E:E,AM968) &gt; 0, "shortest_name", COUNTIF('Internal -- Trademark Countries'!A:A,AM968) &gt; 0, "full_name", TRUE, "not a match")</f>
        <v>#NAME?</v>
      </c>
      <c r="EG968" s="30"/>
      <c r="EH968" s="30"/>
      <c r="EI968" s="30"/>
      <c r="EJ968" s="30"/>
      <c r="EK968" s="30" t="str">
        <f t="shared" si="5"/>
        <v/>
      </c>
    </row>
    <row r="969" spans="1:141" ht="16.5">
      <c r="A969" s="11"/>
      <c r="B969" s="11"/>
      <c r="C969" s="11"/>
      <c r="D969" s="11"/>
      <c r="E969" s="11"/>
      <c r="F969" s="11"/>
      <c r="G969" s="11"/>
      <c r="H969" s="11"/>
      <c r="I969" s="11"/>
      <c r="J969" s="11"/>
      <c r="K969" s="27"/>
      <c r="L969" s="11"/>
      <c r="M969" s="11"/>
      <c r="N969" s="11"/>
      <c r="O969" s="11"/>
      <c r="P969" s="15"/>
      <c r="Q969" s="15"/>
      <c r="R969" s="15"/>
      <c r="S969" s="15"/>
      <c r="T969" s="15"/>
      <c r="U969" s="15"/>
      <c r="V969" s="15"/>
      <c r="W969" s="47"/>
      <c r="X969" s="11"/>
      <c r="Y969" s="48"/>
      <c r="Z969" s="11"/>
      <c r="AA969" s="48"/>
      <c r="AB969" s="11"/>
      <c r="AC969" s="48"/>
      <c r="AD969" s="11"/>
      <c r="AE969" s="47"/>
      <c r="AF969" s="11"/>
      <c r="AG969" s="48"/>
      <c r="AH969" s="11"/>
      <c r="AI969" s="48"/>
      <c r="AJ969" s="11"/>
      <c r="AK969" s="48"/>
      <c r="AL969" s="11"/>
      <c r="AM969" s="49"/>
      <c r="AN969" s="49"/>
      <c r="AO969" s="11"/>
      <c r="AP969" s="11"/>
      <c r="AQ969" s="28" t="b">
        <f>IF(COUNTIF(SmartStatus!A$2:A1000, AM969) &gt; 2, TRUE, FALSE)</f>
        <v>0</v>
      </c>
      <c r="AR969" s="29" t="str">
        <f ca="1">IFERROR(__xludf.DUMMYFUNCTION("iferror(if(regexmatch(AO969, ""(?i)^registered""), if(EE969 &lt;&gt; ""polity_shortest_name"", ""CHECK_POLITY"", index(filter(SmartStatus!B$2:B1000, AM969 = SmartStatus!A$2:A1000, not(SmartStatus!C$2:C1000), (isblank(SmartStatus!D$2:D1000)) + ((P969 &lt;&gt; """") * "&amp;"(P969 &lt; SmartStatus!D$2:D1000)), (isblank(SmartStatus!E$2:E1000)) + ((P969 &lt;&gt; """") * (P969 &gt;= SmartStatus!E$2:E1000)), (isblank(SmartStatus!F$2:F1000)) + (((Q969 &lt;&gt; """") * (Q969 &lt; SmartStatus!F$2:F1000)) + ((P969 &lt;&gt; """") * (date(year(P969) + 3, month(P"&amp;"969), day(P969)) &lt; SmartStatus!F$2:F1000))), (isblank(SmartStatus!G$2:G1000)) + (((Q969 &lt;&gt; """") * (Q969 &gt;= SmartStatus!G$2:G1000)) + ((P969 &lt;&gt; """") * (P969 &gt;= SmartStatus!G$2:G1000)))), if(or(regexmatch(B969, ""(?i)^ir [a-z]+ designation$""), N969 &lt;&gt; """&amp;"""), 1, 2))), """"), ""NO_MATCH"")"),"")</f>
        <v/>
      </c>
      <c r="AS969" s="11"/>
      <c r="AT969" s="15"/>
      <c r="AU969" s="11"/>
      <c r="AV969" s="11"/>
      <c r="AW969" s="15"/>
      <c r="AX969" s="15"/>
      <c r="AY969" s="15"/>
      <c r="AZ969" s="11"/>
      <c r="BA969" s="15"/>
      <c r="BB969" s="11"/>
      <c r="BC969" s="11"/>
      <c r="BD969" s="15"/>
      <c r="BE969" s="11"/>
      <c r="BF969" s="11"/>
      <c r="BG969" s="15"/>
      <c r="BH969" s="15"/>
      <c r="BI969" s="15"/>
      <c r="BJ969" s="11"/>
      <c r="BK969" s="15"/>
      <c r="BL969" s="11"/>
      <c r="BM969" s="11"/>
      <c r="BN969" s="15"/>
      <c r="BO969" s="11"/>
      <c r="BP969" s="11"/>
      <c r="BQ969" s="15"/>
      <c r="BR969" s="15"/>
      <c r="BS969" s="15"/>
      <c r="BT969" s="11"/>
      <c r="BU969" s="15"/>
      <c r="BV969" s="11"/>
      <c r="BW969" s="11"/>
      <c r="BX969" s="15"/>
      <c r="BY969" s="11"/>
      <c r="BZ969" s="11"/>
      <c r="CA969" s="15"/>
      <c r="CB969" s="11"/>
      <c r="CC969" s="15"/>
      <c r="CD969" s="11"/>
      <c r="CE969" s="15"/>
      <c r="CF969" s="11"/>
      <c r="CG969" s="11"/>
      <c r="CH969" s="15"/>
      <c r="CI969" s="11"/>
      <c r="CJ969" s="11"/>
      <c r="CK969" s="15"/>
      <c r="CL969" s="11"/>
      <c r="CM969" s="11"/>
      <c r="CN969" s="11"/>
      <c r="CO969" s="11"/>
      <c r="CP969" s="28"/>
      <c r="CQ969" s="28"/>
      <c r="CR969" s="11"/>
      <c r="CS969" s="29"/>
      <c r="CT969" s="11"/>
      <c r="CU969" s="11"/>
      <c r="CV969" s="11"/>
      <c r="CW969" s="11"/>
      <c r="CX969" s="11"/>
      <c r="CY969" s="11"/>
      <c r="CZ969" s="11"/>
      <c r="DA969" s="28"/>
      <c r="DB969" s="28"/>
      <c r="DC969" s="11"/>
      <c r="DD969" s="29"/>
      <c r="DE969" s="11"/>
      <c r="DF969" s="11"/>
      <c r="DG969" s="11"/>
      <c r="DH969" s="11"/>
      <c r="DI969" s="11"/>
      <c r="DJ969" s="11"/>
      <c r="DK969" s="26"/>
      <c r="DL969" s="11"/>
      <c r="DM969" s="29"/>
      <c r="DN969" s="28"/>
      <c r="DO969" s="11"/>
      <c r="DP969" s="11"/>
      <c r="DQ969" s="11"/>
      <c r="DR969" s="29"/>
      <c r="DS969" s="28"/>
      <c r="DT969" s="11"/>
      <c r="DU969" s="26"/>
      <c r="DV969" s="11"/>
      <c r="DW969" s="29"/>
      <c r="DX969" s="28"/>
      <c r="DY969" s="11"/>
      <c r="DZ969" s="26"/>
      <c r="EA969" s="11"/>
      <c r="EB969" s="29"/>
      <c r="EC969" s="28"/>
      <c r="ED969" s="30"/>
      <c r="EE969" s="30" t="str">
        <f ca="1">IFERROR(__xludf.DUMMYFUNCTION("iferror(index(filter('Internal -- Trademark Countries'!E$2:E1000, (AM969 = 'Internal -- Trademark Countries'!B$2:B1000) + (AM969 = 'Internal -- Trademark Countries'!C$2:C1000) + (AM969 = 'Internal -- Trademark Countries'!D$2:D1000)), 1))"),"")</f>
        <v/>
      </c>
      <c r="EF969" s="30" t="e">
        <f ca="1">_xludf.ifs(AM969="", "", COUNTIF('Internal -- Trademark Countries'!B:B,AM969) &gt; 0, "polity_shortest_name", COUNTIF('Internal -- Trademark Countries'!C:C,AM969) &gt; 0, "polity_full_name", COUNTIF('Internal -- Trademark Countries'!D:D,AM969) &gt; 0, "polity_common_name", COUNTIF('Internal -- Trademark Countries'!E:E,AM969) &gt; 0, "shortest_name", COUNTIF('Internal -- Trademark Countries'!A:A,AM969) &gt; 0, "full_name", TRUE, "not a match")</f>
        <v>#NAME?</v>
      </c>
      <c r="EG969" s="30"/>
      <c r="EH969" s="30"/>
      <c r="EI969" s="30"/>
      <c r="EJ969" s="30"/>
      <c r="EK969" s="30" t="str">
        <f t="shared" si="5"/>
        <v/>
      </c>
    </row>
    <row r="970" spans="1:141" ht="16.5">
      <c r="A970" s="11"/>
      <c r="B970" s="11"/>
      <c r="C970" s="11"/>
      <c r="D970" s="11"/>
      <c r="E970" s="11"/>
      <c r="F970" s="11"/>
      <c r="G970" s="11"/>
      <c r="H970" s="11"/>
      <c r="I970" s="11"/>
      <c r="J970" s="11"/>
      <c r="K970" s="27"/>
      <c r="L970" s="11"/>
      <c r="M970" s="11"/>
      <c r="N970" s="11"/>
      <c r="O970" s="11"/>
      <c r="P970" s="15"/>
      <c r="Q970" s="15"/>
      <c r="R970" s="15"/>
      <c r="S970" s="15"/>
      <c r="T970" s="15"/>
      <c r="U970" s="15"/>
      <c r="V970" s="15"/>
      <c r="W970" s="47"/>
      <c r="X970" s="11"/>
      <c r="Y970" s="48"/>
      <c r="Z970" s="11"/>
      <c r="AA970" s="48"/>
      <c r="AB970" s="11"/>
      <c r="AC970" s="48"/>
      <c r="AD970" s="11"/>
      <c r="AE970" s="47"/>
      <c r="AF970" s="11"/>
      <c r="AG970" s="48"/>
      <c r="AH970" s="11"/>
      <c r="AI970" s="48"/>
      <c r="AJ970" s="11"/>
      <c r="AK970" s="48"/>
      <c r="AL970" s="11"/>
      <c r="AM970" s="49"/>
      <c r="AN970" s="49"/>
      <c r="AO970" s="11"/>
      <c r="AP970" s="11"/>
      <c r="AQ970" s="28" t="b">
        <f>IF(COUNTIF(SmartStatus!A$2:A1000, AM970) &gt; 2, TRUE, FALSE)</f>
        <v>0</v>
      </c>
      <c r="AR970" s="29" t="str">
        <f ca="1">IFERROR(__xludf.DUMMYFUNCTION("iferror(if(regexmatch(AO970, ""(?i)^registered""), if(EE970 &lt;&gt; ""polity_shortest_name"", ""CHECK_POLITY"", index(filter(SmartStatus!B$2:B1000, AM970 = SmartStatus!A$2:A1000, not(SmartStatus!C$2:C1000), (isblank(SmartStatus!D$2:D1000)) + ((P970 &lt;&gt; """") * "&amp;"(P970 &lt; SmartStatus!D$2:D1000)), (isblank(SmartStatus!E$2:E1000)) + ((P970 &lt;&gt; """") * (P970 &gt;= SmartStatus!E$2:E1000)), (isblank(SmartStatus!F$2:F1000)) + (((Q970 &lt;&gt; """") * (Q970 &lt; SmartStatus!F$2:F1000)) + ((P970 &lt;&gt; """") * (date(year(P970) + 3, month(P"&amp;"970), day(P970)) &lt; SmartStatus!F$2:F1000))), (isblank(SmartStatus!G$2:G1000)) + (((Q970 &lt;&gt; """") * (Q970 &gt;= SmartStatus!G$2:G1000)) + ((P970 &lt;&gt; """") * (P970 &gt;= SmartStatus!G$2:G1000)))), if(or(regexmatch(B970, ""(?i)^ir [a-z]+ designation$""), N970 &lt;&gt; """&amp;"""), 1, 2))), """"), ""NO_MATCH"")"),"")</f>
        <v/>
      </c>
      <c r="AS970" s="11"/>
      <c r="AT970" s="15"/>
      <c r="AU970" s="11"/>
      <c r="AV970" s="11"/>
      <c r="AW970" s="15"/>
      <c r="AX970" s="15"/>
      <c r="AY970" s="15"/>
      <c r="AZ970" s="11"/>
      <c r="BA970" s="15"/>
      <c r="BB970" s="11"/>
      <c r="BC970" s="11"/>
      <c r="BD970" s="15"/>
      <c r="BE970" s="11"/>
      <c r="BF970" s="11"/>
      <c r="BG970" s="15"/>
      <c r="BH970" s="15"/>
      <c r="BI970" s="15"/>
      <c r="BJ970" s="11"/>
      <c r="BK970" s="15"/>
      <c r="BL970" s="11"/>
      <c r="BM970" s="11"/>
      <c r="BN970" s="15"/>
      <c r="BO970" s="11"/>
      <c r="BP970" s="11"/>
      <c r="BQ970" s="15"/>
      <c r="BR970" s="15"/>
      <c r="BS970" s="15"/>
      <c r="BT970" s="11"/>
      <c r="BU970" s="15"/>
      <c r="BV970" s="11"/>
      <c r="BW970" s="11"/>
      <c r="BX970" s="15"/>
      <c r="BY970" s="11"/>
      <c r="BZ970" s="11"/>
      <c r="CA970" s="15"/>
      <c r="CB970" s="11"/>
      <c r="CC970" s="15"/>
      <c r="CD970" s="11"/>
      <c r="CE970" s="15"/>
      <c r="CF970" s="11"/>
      <c r="CG970" s="11"/>
      <c r="CH970" s="15"/>
      <c r="CI970" s="11"/>
      <c r="CJ970" s="11"/>
      <c r="CK970" s="15"/>
      <c r="CL970" s="11"/>
      <c r="CM970" s="11"/>
      <c r="CN970" s="11"/>
      <c r="CO970" s="11"/>
      <c r="CP970" s="28"/>
      <c r="CQ970" s="28"/>
      <c r="CR970" s="11"/>
      <c r="CS970" s="29"/>
      <c r="CT970" s="11"/>
      <c r="CU970" s="11"/>
      <c r="CV970" s="11"/>
      <c r="CW970" s="11"/>
      <c r="CX970" s="11"/>
      <c r="CY970" s="11"/>
      <c r="CZ970" s="11"/>
      <c r="DA970" s="28"/>
      <c r="DB970" s="28"/>
      <c r="DC970" s="11"/>
      <c r="DD970" s="29"/>
      <c r="DE970" s="11"/>
      <c r="DF970" s="11"/>
      <c r="DG970" s="11"/>
      <c r="DH970" s="11"/>
      <c r="DI970" s="11"/>
      <c r="DJ970" s="11"/>
      <c r="DK970" s="26"/>
      <c r="DL970" s="11"/>
      <c r="DM970" s="29"/>
      <c r="DN970" s="28"/>
      <c r="DO970" s="11"/>
      <c r="DP970" s="11"/>
      <c r="DQ970" s="11"/>
      <c r="DR970" s="29"/>
      <c r="DS970" s="28"/>
      <c r="DT970" s="11"/>
      <c r="DU970" s="26"/>
      <c r="DV970" s="11"/>
      <c r="DW970" s="29"/>
      <c r="DX970" s="28"/>
      <c r="DY970" s="11"/>
      <c r="DZ970" s="26"/>
      <c r="EA970" s="11"/>
      <c r="EB970" s="29"/>
      <c r="EC970" s="28"/>
      <c r="ED970" s="30"/>
      <c r="EE970" s="30" t="str">
        <f ca="1">IFERROR(__xludf.DUMMYFUNCTION("iferror(index(filter('Internal -- Trademark Countries'!E$2:E1000, (AM970 = 'Internal -- Trademark Countries'!B$2:B1000) + (AM970 = 'Internal -- Trademark Countries'!C$2:C1000) + (AM970 = 'Internal -- Trademark Countries'!D$2:D1000)), 1))"),"")</f>
        <v/>
      </c>
      <c r="EF970" s="30" t="e">
        <f ca="1">_xludf.ifs(AM970="", "", COUNTIF('Internal -- Trademark Countries'!B:B,AM970) &gt; 0, "polity_shortest_name", COUNTIF('Internal -- Trademark Countries'!C:C,AM970) &gt; 0, "polity_full_name", COUNTIF('Internal -- Trademark Countries'!D:D,AM970) &gt; 0, "polity_common_name", COUNTIF('Internal -- Trademark Countries'!E:E,AM970) &gt; 0, "shortest_name", COUNTIF('Internal -- Trademark Countries'!A:A,AM970) &gt; 0, "full_name", TRUE, "not a match")</f>
        <v>#NAME?</v>
      </c>
      <c r="EG970" s="30"/>
      <c r="EH970" s="30"/>
      <c r="EI970" s="30"/>
      <c r="EJ970" s="30"/>
      <c r="EK970" s="30" t="str">
        <f t="shared" si="5"/>
        <v/>
      </c>
    </row>
    <row r="971" spans="1:141" ht="16.5">
      <c r="A971" s="11"/>
      <c r="B971" s="11"/>
      <c r="C971" s="11"/>
      <c r="D971" s="11"/>
      <c r="E971" s="11"/>
      <c r="F971" s="11"/>
      <c r="G971" s="11"/>
      <c r="H971" s="11"/>
      <c r="I971" s="11"/>
      <c r="J971" s="11"/>
      <c r="K971" s="27"/>
      <c r="L971" s="11"/>
      <c r="M971" s="11"/>
      <c r="N971" s="11"/>
      <c r="O971" s="11"/>
      <c r="P971" s="15"/>
      <c r="Q971" s="15"/>
      <c r="R971" s="15"/>
      <c r="S971" s="15"/>
      <c r="T971" s="15"/>
      <c r="U971" s="15"/>
      <c r="V971" s="15"/>
      <c r="W971" s="47"/>
      <c r="X971" s="11"/>
      <c r="Y971" s="48"/>
      <c r="Z971" s="11"/>
      <c r="AA971" s="48"/>
      <c r="AB971" s="11"/>
      <c r="AC971" s="48"/>
      <c r="AD971" s="11"/>
      <c r="AE971" s="47"/>
      <c r="AF971" s="11"/>
      <c r="AG971" s="48"/>
      <c r="AH971" s="11"/>
      <c r="AI971" s="48"/>
      <c r="AJ971" s="11"/>
      <c r="AK971" s="48"/>
      <c r="AL971" s="11"/>
      <c r="AM971" s="49"/>
      <c r="AN971" s="49"/>
      <c r="AO971" s="11"/>
      <c r="AP971" s="11"/>
      <c r="AQ971" s="28" t="b">
        <f>IF(COUNTIF(SmartStatus!A$2:A1000, AM971) &gt; 2, TRUE, FALSE)</f>
        <v>0</v>
      </c>
      <c r="AR971" s="29" t="str">
        <f ca="1">IFERROR(__xludf.DUMMYFUNCTION("iferror(if(regexmatch(AO971, ""(?i)^registered""), if(EE971 &lt;&gt; ""polity_shortest_name"", ""CHECK_POLITY"", index(filter(SmartStatus!B$2:B1000, AM971 = SmartStatus!A$2:A1000, not(SmartStatus!C$2:C1000), (isblank(SmartStatus!D$2:D1000)) + ((P971 &lt;&gt; """") * "&amp;"(P971 &lt; SmartStatus!D$2:D1000)), (isblank(SmartStatus!E$2:E1000)) + ((P971 &lt;&gt; """") * (P971 &gt;= SmartStatus!E$2:E1000)), (isblank(SmartStatus!F$2:F1000)) + (((Q971 &lt;&gt; """") * (Q971 &lt; SmartStatus!F$2:F1000)) + ((P971 &lt;&gt; """") * (date(year(P971) + 3, month(P"&amp;"971), day(P971)) &lt; SmartStatus!F$2:F1000))), (isblank(SmartStatus!G$2:G1000)) + (((Q971 &lt;&gt; """") * (Q971 &gt;= SmartStatus!G$2:G1000)) + ((P971 &lt;&gt; """") * (P971 &gt;= SmartStatus!G$2:G1000)))), if(or(regexmatch(B971, ""(?i)^ir [a-z]+ designation$""), N971 &lt;&gt; """&amp;"""), 1, 2))), """"), ""NO_MATCH"")"),"")</f>
        <v/>
      </c>
      <c r="AS971" s="11"/>
      <c r="AT971" s="15"/>
      <c r="AU971" s="11"/>
      <c r="AV971" s="11"/>
      <c r="AW971" s="15"/>
      <c r="AX971" s="15"/>
      <c r="AY971" s="15"/>
      <c r="AZ971" s="11"/>
      <c r="BA971" s="15"/>
      <c r="BB971" s="11"/>
      <c r="BC971" s="11"/>
      <c r="BD971" s="15"/>
      <c r="BE971" s="11"/>
      <c r="BF971" s="11"/>
      <c r="BG971" s="15"/>
      <c r="BH971" s="15"/>
      <c r="BI971" s="15"/>
      <c r="BJ971" s="11"/>
      <c r="BK971" s="15"/>
      <c r="BL971" s="11"/>
      <c r="BM971" s="11"/>
      <c r="BN971" s="15"/>
      <c r="BO971" s="11"/>
      <c r="BP971" s="11"/>
      <c r="BQ971" s="15"/>
      <c r="BR971" s="15"/>
      <c r="BS971" s="15"/>
      <c r="BT971" s="11"/>
      <c r="BU971" s="15"/>
      <c r="BV971" s="11"/>
      <c r="BW971" s="11"/>
      <c r="BX971" s="15"/>
      <c r="BY971" s="11"/>
      <c r="BZ971" s="11"/>
      <c r="CA971" s="15"/>
      <c r="CB971" s="11"/>
      <c r="CC971" s="15"/>
      <c r="CD971" s="11"/>
      <c r="CE971" s="15"/>
      <c r="CF971" s="11"/>
      <c r="CG971" s="11"/>
      <c r="CH971" s="15"/>
      <c r="CI971" s="11"/>
      <c r="CJ971" s="11"/>
      <c r="CK971" s="15"/>
      <c r="CL971" s="11"/>
      <c r="CM971" s="11"/>
      <c r="CN971" s="11"/>
      <c r="CO971" s="11"/>
      <c r="CP971" s="28"/>
      <c r="CQ971" s="28"/>
      <c r="CR971" s="11"/>
      <c r="CS971" s="29"/>
      <c r="CT971" s="11"/>
      <c r="CU971" s="11"/>
      <c r="CV971" s="11"/>
      <c r="CW971" s="11"/>
      <c r="CX971" s="11"/>
      <c r="CY971" s="11"/>
      <c r="CZ971" s="11"/>
      <c r="DA971" s="28"/>
      <c r="DB971" s="28"/>
      <c r="DC971" s="11"/>
      <c r="DD971" s="29"/>
      <c r="DE971" s="11"/>
      <c r="DF971" s="11"/>
      <c r="DG971" s="11"/>
      <c r="DH971" s="11"/>
      <c r="DI971" s="11"/>
      <c r="DJ971" s="11"/>
      <c r="DK971" s="26"/>
      <c r="DL971" s="11"/>
      <c r="DM971" s="29"/>
      <c r="DN971" s="28"/>
      <c r="DO971" s="11"/>
      <c r="DP971" s="11"/>
      <c r="DQ971" s="11"/>
      <c r="DR971" s="29"/>
      <c r="DS971" s="28"/>
      <c r="DT971" s="11"/>
      <c r="DU971" s="26"/>
      <c r="DV971" s="11"/>
      <c r="DW971" s="29"/>
      <c r="DX971" s="28"/>
      <c r="DY971" s="11"/>
      <c r="DZ971" s="26"/>
      <c r="EA971" s="11"/>
      <c r="EB971" s="29"/>
      <c r="EC971" s="28"/>
      <c r="ED971" s="30"/>
      <c r="EE971" s="30" t="str">
        <f ca="1">IFERROR(__xludf.DUMMYFUNCTION("iferror(index(filter('Internal -- Trademark Countries'!E$2:E1000, (AM971 = 'Internal -- Trademark Countries'!B$2:B1000) + (AM971 = 'Internal -- Trademark Countries'!C$2:C1000) + (AM971 = 'Internal -- Trademark Countries'!D$2:D1000)), 1))"),"")</f>
        <v/>
      </c>
      <c r="EF971" s="30" t="e">
        <f ca="1">_xludf.ifs(AM971="", "", COUNTIF('Internal -- Trademark Countries'!B:B,AM971) &gt; 0, "polity_shortest_name", COUNTIF('Internal -- Trademark Countries'!C:C,AM971) &gt; 0, "polity_full_name", COUNTIF('Internal -- Trademark Countries'!D:D,AM971) &gt; 0, "polity_common_name", COUNTIF('Internal -- Trademark Countries'!E:E,AM971) &gt; 0, "shortest_name", COUNTIF('Internal -- Trademark Countries'!A:A,AM971) &gt; 0, "full_name", TRUE, "not a match")</f>
        <v>#NAME?</v>
      </c>
      <c r="EG971" s="30"/>
      <c r="EH971" s="30"/>
      <c r="EI971" s="30"/>
      <c r="EJ971" s="30"/>
      <c r="EK971" s="30" t="str">
        <f t="shared" si="5"/>
        <v/>
      </c>
    </row>
    <row r="972" spans="1:141" ht="16.5">
      <c r="A972" s="11"/>
      <c r="B972" s="11"/>
      <c r="C972" s="11"/>
      <c r="D972" s="11"/>
      <c r="E972" s="11"/>
      <c r="F972" s="11"/>
      <c r="G972" s="11"/>
      <c r="H972" s="11"/>
      <c r="I972" s="11"/>
      <c r="J972" s="11"/>
      <c r="K972" s="27"/>
      <c r="L972" s="11"/>
      <c r="M972" s="11"/>
      <c r="N972" s="11"/>
      <c r="O972" s="11"/>
      <c r="P972" s="15"/>
      <c r="Q972" s="15"/>
      <c r="R972" s="15"/>
      <c r="S972" s="15"/>
      <c r="T972" s="15"/>
      <c r="U972" s="15"/>
      <c r="V972" s="15"/>
      <c r="W972" s="47"/>
      <c r="X972" s="11"/>
      <c r="Y972" s="48"/>
      <c r="Z972" s="11"/>
      <c r="AA972" s="48"/>
      <c r="AB972" s="11"/>
      <c r="AC972" s="48"/>
      <c r="AD972" s="11"/>
      <c r="AE972" s="47"/>
      <c r="AF972" s="11"/>
      <c r="AG972" s="48"/>
      <c r="AH972" s="11"/>
      <c r="AI972" s="48"/>
      <c r="AJ972" s="11"/>
      <c r="AK972" s="48"/>
      <c r="AL972" s="11"/>
      <c r="AM972" s="49"/>
      <c r="AN972" s="49"/>
      <c r="AO972" s="11"/>
      <c r="AP972" s="11"/>
      <c r="AQ972" s="28" t="b">
        <f>IF(COUNTIF(SmartStatus!A$2:A1000, AM972) &gt; 2, TRUE, FALSE)</f>
        <v>0</v>
      </c>
      <c r="AR972" s="29" t="str">
        <f ca="1">IFERROR(__xludf.DUMMYFUNCTION("iferror(if(regexmatch(AO972, ""(?i)^registered""), if(EE972 &lt;&gt; ""polity_shortest_name"", ""CHECK_POLITY"", index(filter(SmartStatus!B$2:B1000, AM972 = SmartStatus!A$2:A1000, not(SmartStatus!C$2:C1000), (isblank(SmartStatus!D$2:D1000)) + ((P972 &lt;&gt; """") * "&amp;"(P972 &lt; SmartStatus!D$2:D1000)), (isblank(SmartStatus!E$2:E1000)) + ((P972 &lt;&gt; """") * (P972 &gt;= SmartStatus!E$2:E1000)), (isblank(SmartStatus!F$2:F1000)) + (((Q972 &lt;&gt; """") * (Q972 &lt; SmartStatus!F$2:F1000)) + ((P972 &lt;&gt; """") * (date(year(P972) + 3, month(P"&amp;"972), day(P972)) &lt; SmartStatus!F$2:F1000))), (isblank(SmartStatus!G$2:G1000)) + (((Q972 &lt;&gt; """") * (Q972 &gt;= SmartStatus!G$2:G1000)) + ((P972 &lt;&gt; """") * (P972 &gt;= SmartStatus!G$2:G1000)))), if(or(regexmatch(B972, ""(?i)^ir [a-z]+ designation$""), N972 &lt;&gt; """&amp;"""), 1, 2))), """"), ""NO_MATCH"")"),"")</f>
        <v/>
      </c>
      <c r="AS972" s="11"/>
      <c r="AT972" s="15"/>
      <c r="AU972" s="11"/>
      <c r="AV972" s="11"/>
      <c r="AW972" s="15"/>
      <c r="AX972" s="15"/>
      <c r="AY972" s="15"/>
      <c r="AZ972" s="11"/>
      <c r="BA972" s="15"/>
      <c r="BB972" s="11"/>
      <c r="BC972" s="11"/>
      <c r="BD972" s="15"/>
      <c r="BE972" s="11"/>
      <c r="BF972" s="11"/>
      <c r="BG972" s="15"/>
      <c r="BH972" s="15"/>
      <c r="BI972" s="15"/>
      <c r="BJ972" s="11"/>
      <c r="BK972" s="15"/>
      <c r="BL972" s="11"/>
      <c r="BM972" s="11"/>
      <c r="BN972" s="15"/>
      <c r="BO972" s="11"/>
      <c r="BP972" s="11"/>
      <c r="BQ972" s="15"/>
      <c r="BR972" s="15"/>
      <c r="BS972" s="15"/>
      <c r="BT972" s="11"/>
      <c r="BU972" s="15"/>
      <c r="BV972" s="11"/>
      <c r="BW972" s="11"/>
      <c r="BX972" s="15"/>
      <c r="BY972" s="11"/>
      <c r="BZ972" s="11"/>
      <c r="CA972" s="15"/>
      <c r="CB972" s="11"/>
      <c r="CC972" s="15"/>
      <c r="CD972" s="11"/>
      <c r="CE972" s="15"/>
      <c r="CF972" s="11"/>
      <c r="CG972" s="11"/>
      <c r="CH972" s="15"/>
      <c r="CI972" s="11"/>
      <c r="CJ972" s="11"/>
      <c r="CK972" s="15"/>
      <c r="CL972" s="11"/>
      <c r="CM972" s="11"/>
      <c r="CN972" s="11"/>
      <c r="CO972" s="11"/>
      <c r="CP972" s="28"/>
      <c r="CQ972" s="28"/>
      <c r="CR972" s="11"/>
      <c r="CS972" s="29"/>
      <c r="CT972" s="11"/>
      <c r="CU972" s="11"/>
      <c r="CV972" s="11"/>
      <c r="CW972" s="11"/>
      <c r="CX972" s="11"/>
      <c r="CY972" s="11"/>
      <c r="CZ972" s="11"/>
      <c r="DA972" s="28"/>
      <c r="DB972" s="28"/>
      <c r="DC972" s="11"/>
      <c r="DD972" s="29"/>
      <c r="DE972" s="11"/>
      <c r="DF972" s="11"/>
      <c r="DG972" s="11"/>
      <c r="DH972" s="11"/>
      <c r="DI972" s="11"/>
      <c r="DJ972" s="11"/>
      <c r="DK972" s="26"/>
      <c r="DL972" s="11"/>
      <c r="DM972" s="29"/>
      <c r="DN972" s="28"/>
      <c r="DO972" s="11"/>
      <c r="DP972" s="11"/>
      <c r="DQ972" s="11"/>
      <c r="DR972" s="29"/>
      <c r="DS972" s="28"/>
      <c r="DT972" s="11"/>
      <c r="DU972" s="26"/>
      <c r="DV972" s="11"/>
      <c r="DW972" s="29"/>
      <c r="DX972" s="28"/>
      <c r="DY972" s="11"/>
      <c r="DZ972" s="26"/>
      <c r="EA972" s="11"/>
      <c r="EB972" s="29"/>
      <c r="EC972" s="28"/>
      <c r="ED972" s="30"/>
      <c r="EE972" s="30" t="str">
        <f ca="1">IFERROR(__xludf.DUMMYFUNCTION("iferror(index(filter('Internal -- Trademark Countries'!E$2:E1000, (AM972 = 'Internal -- Trademark Countries'!B$2:B1000) + (AM972 = 'Internal -- Trademark Countries'!C$2:C1000) + (AM972 = 'Internal -- Trademark Countries'!D$2:D1000)), 1))"),"")</f>
        <v/>
      </c>
      <c r="EF972" s="30" t="e">
        <f ca="1">_xludf.ifs(AM972="", "", COUNTIF('Internal -- Trademark Countries'!B:B,AM972) &gt; 0, "polity_shortest_name", COUNTIF('Internal -- Trademark Countries'!C:C,AM972) &gt; 0, "polity_full_name", COUNTIF('Internal -- Trademark Countries'!D:D,AM972) &gt; 0, "polity_common_name", COUNTIF('Internal -- Trademark Countries'!E:E,AM972) &gt; 0, "shortest_name", COUNTIF('Internal -- Trademark Countries'!A:A,AM972) &gt; 0, "full_name", TRUE, "not a match")</f>
        <v>#NAME?</v>
      </c>
      <c r="EG972" s="30"/>
      <c r="EH972" s="30"/>
      <c r="EI972" s="30"/>
      <c r="EJ972" s="30"/>
      <c r="EK972" s="30" t="str">
        <f t="shared" si="5"/>
        <v/>
      </c>
    </row>
    <row r="973" spans="1:141" ht="16.5">
      <c r="A973" s="11"/>
      <c r="B973" s="11"/>
      <c r="C973" s="11"/>
      <c r="D973" s="11"/>
      <c r="E973" s="11"/>
      <c r="F973" s="11"/>
      <c r="G973" s="11"/>
      <c r="H973" s="11"/>
      <c r="I973" s="11"/>
      <c r="J973" s="11"/>
      <c r="K973" s="27"/>
      <c r="L973" s="11"/>
      <c r="M973" s="11"/>
      <c r="N973" s="11"/>
      <c r="O973" s="11"/>
      <c r="P973" s="15"/>
      <c r="Q973" s="15"/>
      <c r="R973" s="15"/>
      <c r="S973" s="15"/>
      <c r="T973" s="15"/>
      <c r="U973" s="15"/>
      <c r="V973" s="15"/>
      <c r="W973" s="47"/>
      <c r="X973" s="11"/>
      <c r="Y973" s="48"/>
      <c r="Z973" s="11"/>
      <c r="AA973" s="48"/>
      <c r="AB973" s="11"/>
      <c r="AC973" s="48"/>
      <c r="AD973" s="11"/>
      <c r="AE973" s="47"/>
      <c r="AF973" s="11"/>
      <c r="AG973" s="48"/>
      <c r="AH973" s="11"/>
      <c r="AI973" s="48"/>
      <c r="AJ973" s="11"/>
      <c r="AK973" s="48"/>
      <c r="AL973" s="11"/>
      <c r="AM973" s="49"/>
      <c r="AN973" s="49"/>
      <c r="AO973" s="11"/>
      <c r="AP973" s="11"/>
      <c r="AQ973" s="28" t="b">
        <f>IF(COUNTIF(SmartStatus!A$2:A1000, AM973) &gt; 2, TRUE, FALSE)</f>
        <v>0</v>
      </c>
      <c r="AR973" s="29" t="str">
        <f ca="1">IFERROR(__xludf.DUMMYFUNCTION("iferror(if(regexmatch(AO973, ""(?i)^registered""), if(EE973 &lt;&gt; ""polity_shortest_name"", ""CHECK_POLITY"", index(filter(SmartStatus!B$2:B1000, AM973 = SmartStatus!A$2:A1000, not(SmartStatus!C$2:C1000), (isblank(SmartStatus!D$2:D1000)) + ((P973 &lt;&gt; """") * "&amp;"(P973 &lt; SmartStatus!D$2:D1000)), (isblank(SmartStatus!E$2:E1000)) + ((P973 &lt;&gt; """") * (P973 &gt;= SmartStatus!E$2:E1000)), (isblank(SmartStatus!F$2:F1000)) + (((Q973 &lt;&gt; """") * (Q973 &lt; SmartStatus!F$2:F1000)) + ((P973 &lt;&gt; """") * (date(year(P973) + 3, month(P"&amp;"973), day(P973)) &lt; SmartStatus!F$2:F1000))), (isblank(SmartStatus!G$2:G1000)) + (((Q973 &lt;&gt; """") * (Q973 &gt;= SmartStatus!G$2:G1000)) + ((P973 &lt;&gt; """") * (P973 &gt;= SmartStatus!G$2:G1000)))), if(or(regexmatch(B973, ""(?i)^ir [a-z]+ designation$""), N973 &lt;&gt; """&amp;"""), 1, 2))), """"), ""NO_MATCH"")"),"")</f>
        <v/>
      </c>
      <c r="AS973" s="11"/>
      <c r="AT973" s="15"/>
      <c r="AU973" s="11"/>
      <c r="AV973" s="11"/>
      <c r="AW973" s="15"/>
      <c r="AX973" s="15"/>
      <c r="AY973" s="15"/>
      <c r="AZ973" s="11"/>
      <c r="BA973" s="15"/>
      <c r="BB973" s="11"/>
      <c r="BC973" s="11"/>
      <c r="BD973" s="15"/>
      <c r="BE973" s="11"/>
      <c r="BF973" s="11"/>
      <c r="BG973" s="15"/>
      <c r="BH973" s="15"/>
      <c r="BI973" s="15"/>
      <c r="BJ973" s="11"/>
      <c r="BK973" s="15"/>
      <c r="BL973" s="11"/>
      <c r="BM973" s="11"/>
      <c r="BN973" s="15"/>
      <c r="BO973" s="11"/>
      <c r="BP973" s="11"/>
      <c r="BQ973" s="15"/>
      <c r="BR973" s="15"/>
      <c r="BS973" s="15"/>
      <c r="BT973" s="11"/>
      <c r="BU973" s="15"/>
      <c r="BV973" s="11"/>
      <c r="BW973" s="11"/>
      <c r="BX973" s="15"/>
      <c r="BY973" s="11"/>
      <c r="BZ973" s="11"/>
      <c r="CA973" s="15"/>
      <c r="CB973" s="11"/>
      <c r="CC973" s="15"/>
      <c r="CD973" s="11"/>
      <c r="CE973" s="15"/>
      <c r="CF973" s="11"/>
      <c r="CG973" s="11"/>
      <c r="CH973" s="15"/>
      <c r="CI973" s="11"/>
      <c r="CJ973" s="11"/>
      <c r="CK973" s="15"/>
      <c r="CL973" s="11"/>
      <c r="CM973" s="11"/>
      <c r="CN973" s="11"/>
      <c r="CO973" s="11"/>
      <c r="CP973" s="28"/>
      <c r="CQ973" s="28"/>
      <c r="CR973" s="11"/>
      <c r="CS973" s="29"/>
      <c r="CT973" s="11"/>
      <c r="CU973" s="11"/>
      <c r="CV973" s="11"/>
      <c r="CW973" s="11"/>
      <c r="CX973" s="11"/>
      <c r="CY973" s="11"/>
      <c r="CZ973" s="11"/>
      <c r="DA973" s="28"/>
      <c r="DB973" s="28"/>
      <c r="DC973" s="11"/>
      <c r="DD973" s="29"/>
      <c r="DE973" s="11"/>
      <c r="DF973" s="11"/>
      <c r="DG973" s="11"/>
      <c r="DH973" s="11"/>
      <c r="DI973" s="11"/>
      <c r="DJ973" s="11"/>
      <c r="DK973" s="26"/>
      <c r="DL973" s="11"/>
      <c r="DM973" s="29"/>
      <c r="DN973" s="28"/>
      <c r="DO973" s="11"/>
      <c r="DP973" s="11"/>
      <c r="DQ973" s="11"/>
      <c r="DR973" s="29"/>
      <c r="DS973" s="28"/>
      <c r="DT973" s="11"/>
      <c r="DU973" s="26"/>
      <c r="DV973" s="11"/>
      <c r="DW973" s="29"/>
      <c r="DX973" s="28"/>
      <c r="DY973" s="11"/>
      <c r="DZ973" s="26"/>
      <c r="EA973" s="11"/>
      <c r="EB973" s="29"/>
      <c r="EC973" s="28"/>
      <c r="ED973" s="30"/>
      <c r="EE973" s="30" t="str">
        <f ca="1">IFERROR(__xludf.DUMMYFUNCTION("iferror(index(filter('Internal -- Trademark Countries'!E$2:E1000, (AM973 = 'Internal -- Trademark Countries'!B$2:B1000) + (AM973 = 'Internal -- Trademark Countries'!C$2:C1000) + (AM973 = 'Internal -- Trademark Countries'!D$2:D1000)), 1))"),"")</f>
        <v/>
      </c>
      <c r="EF973" s="30" t="e">
        <f ca="1">_xludf.ifs(AM973="", "", COUNTIF('Internal -- Trademark Countries'!B:B,AM973) &gt; 0, "polity_shortest_name", COUNTIF('Internal -- Trademark Countries'!C:C,AM973) &gt; 0, "polity_full_name", COUNTIF('Internal -- Trademark Countries'!D:D,AM973) &gt; 0, "polity_common_name", COUNTIF('Internal -- Trademark Countries'!E:E,AM973) &gt; 0, "shortest_name", COUNTIF('Internal -- Trademark Countries'!A:A,AM973) &gt; 0, "full_name", TRUE, "not a match")</f>
        <v>#NAME?</v>
      </c>
      <c r="EG973" s="30"/>
      <c r="EH973" s="30"/>
      <c r="EI973" s="30"/>
      <c r="EJ973" s="30"/>
      <c r="EK973" s="30" t="str">
        <f t="shared" si="5"/>
        <v/>
      </c>
    </row>
    <row r="974" spans="1:141" ht="16.5">
      <c r="A974" s="11"/>
      <c r="B974" s="11"/>
      <c r="C974" s="11"/>
      <c r="D974" s="11"/>
      <c r="E974" s="11"/>
      <c r="F974" s="11"/>
      <c r="G974" s="11"/>
      <c r="H974" s="11"/>
      <c r="I974" s="11"/>
      <c r="J974" s="11"/>
      <c r="K974" s="27"/>
      <c r="L974" s="11"/>
      <c r="M974" s="11"/>
      <c r="N974" s="11"/>
      <c r="O974" s="11"/>
      <c r="P974" s="15"/>
      <c r="Q974" s="15"/>
      <c r="R974" s="15"/>
      <c r="S974" s="15"/>
      <c r="T974" s="15"/>
      <c r="U974" s="15"/>
      <c r="V974" s="15"/>
      <c r="W974" s="47"/>
      <c r="X974" s="11"/>
      <c r="Y974" s="48"/>
      <c r="Z974" s="11"/>
      <c r="AA974" s="48"/>
      <c r="AB974" s="11"/>
      <c r="AC974" s="48"/>
      <c r="AD974" s="11"/>
      <c r="AE974" s="47"/>
      <c r="AF974" s="11"/>
      <c r="AG974" s="48"/>
      <c r="AH974" s="11"/>
      <c r="AI974" s="48"/>
      <c r="AJ974" s="11"/>
      <c r="AK974" s="48"/>
      <c r="AL974" s="11"/>
      <c r="AM974" s="49"/>
      <c r="AN974" s="49"/>
      <c r="AO974" s="11"/>
      <c r="AP974" s="11"/>
      <c r="AQ974" s="28" t="b">
        <f>IF(COUNTIF(SmartStatus!A$2:A1000, AM974) &gt; 2, TRUE, FALSE)</f>
        <v>0</v>
      </c>
      <c r="AR974" s="29" t="str">
        <f ca="1">IFERROR(__xludf.DUMMYFUNCTION("iferror(if(regexmatch(AO974, ""(?i)^registered""), if(EE974 &lt;&gt; ""polity_shortest_name"", ""CHECK_POLITY"", index(filter(SmartStatus!B$2:B1000, AM974 = SmartStatus!A$2:A1000, not(SmartStatus!C$2:C1000), (isblank(SmartStatus!D$2:D1000)) + ((P974 &lt;&gt; """") * "&amp;"(P974 &lt; SmartStatus!D$2:D1000)), (isblank(SmartStatus!E$2:E1000)) + ((P974 &lt;&gt; """") * (P974 &gt;= SmartStatus!E$2:E1000)), (isblank(SmartStatus!F$2:F1000)) + (((Q974 &lt;&gt; """") * (Q974 &lt; SmartStatus!F$2:F1000)) + ((P974 &lt;&gt; """") * (date(year(P974) + 3, month(P"&amp;"974), day(P974)) &lt; SmartStatus!F$2:F1000))), (isblank(SmartStatus!G$2:G1000)) + (((Q974 &lt;&gt; """") * (Q974 &gt;= SmartStatus!G$2:G1000)) + ((P974 &lt;&gt; """") * (P974 &gt;= SmartStatus!G$2:G1000)))), if(or(regexmatch(B974, ""(?i)^ir [a-z]+ designation$""), N974 &lt;&gt; """&amp;"""), 1, 2))), """"), ""NO_MATCH"")"),"")</f>
        <v/>
      </c>
      <c r="AS974" s="11"/>
      <c r="AT974" s="15"/>
      <c r="AU974" s="11"/>
      <c r="AV974" s="11"/>
      <c r="AW974" s="15"/>
      <c r="AX974" s="15"/>
      <c r="AY974" s="15"/>
      <c r="AZ974" s="11"/>
      <c r="BA974" s="15"/>
      <c r="BB974" s="11"/>
      <c r="BC974" s="11"/>
      <c r="BD974" s="15"/>
      <c r="BE974" s="11"/>
      <c r="BF974" s="11"/>
      <c r="BG974" s="15"/>
      <c r="BH974" s="15"/>
      <c r="BI974" s="15"/>
      <c r="BJ974" s="11"/>
      <c r="BK974" s="15"/>
      <c r="BL974" s="11"/>
      <c r="BM974" s="11"/>
      <c r="BN974" s="15"/>
      <c r="BO974" s="11"/>
      <c r="BP974" s="11"/>
      <c r="BQ974" s="15"/>
      <c r="BR974" s="15"/>
      <c r="BS974" s="15"/>
      <c r="BT974" s="11"/>
      <c r="BU974" s="15"/>
      <c r="BV974" s="11"/>
      <c r="BW974" s="11"/>
      <c r="BX974" s="15"/>
      <c r="BY974" s="11"/>
      <c r="BZ974" s="11"/>
      <c r="CA974" s="15"/>
      <c r="CB974" s="11"/>
      <c r="CC974" s="15"/>
      <c r="CD974" s="11"/>
      <c r="CE974" s="15"/>
      <c r="CF974" s="11"/>
      <c r="CG974" s="11"/>
      <c r="CH974" s="15"/>
      <c r="CI974" s="11"/>
      <c r="CJ974" s="11"/>
      <c r="CK974" s="15"/>
      <c r="CL974" s="11"/>
      <c r="CM974" s="11"/>
      <c r="CN974" s="11"/>
      <c r="CO974" s="11"/>
      <c r="CP974" s="28"/>
      <c r="CQ974" s="28"/>
      <c r="CR974" s="11"/>
      <c r="CS974" s="29"/>
      <c r="CT974" s="11"/>
      <c r="CU974" s="11"/>
      <c r="CV974" s="11"/>
      <c r="CW974" s="11"/>
      <c r="CX974" s="11"/>
      <c r="CY974" s="11"/>
      <c r="CZ974" s="11"/>
      <c r="DA974" s="28"/>
      <c r="DB974" s="28"/>
      <c r="DC974" s="11"/>
      <c r="DD974" s="29"/>
      <c r="DE974" s="11"/>
      <c r="DF974" s="11"/>
      <c r="DG974" s="11"/>
      <c r="DH974" s="11"/>
      <c r="DI974" s="11"/>
      <c r="DJ974" s="11"/>
      <c r="DK974" s="26"/>
      <c r="DL974" s="11"/>
      <c r="DM974" s="29"/>
      <c r="DN974" s="28"/>
      <c r="DO974" s="11"/>
      <c r="DP974" s="11"/>
      <c r="DQ974" s="11"/>
      <c r="DR974" s="29"/>
      <c r="DS974" s="28"/>
      <c r="DT974" s="11"/>
      <c r="DU974" s="26"/>
      <c r="DV974" s="11"/>
      <c r="DW974" s="29"/>
      <c r="DX974" s="28"/>
      <c r="DY974" s="11"/>
      <c r="DZ974" s="26"/>
      <c r="EA974" s="11"/>
      <c r="EB974" s="29"/>
      <c r="EC974" s="28"/>
      <c r="ED974" s="30"/>
      <c r="EE974" s="30" t="str">
        <f ca="1">IFERROR(__xludf.DUMMYFUNCTION("iferror(index(filter('Internal -- Trademark Countries'!E$2:E1000, (AM974 = 'Internal -- Trademark Countries'!B$2:B1000) + (AM974 = 'Internal -- Trademark Countries'!C$2:C1000) + (AM974 = 'Internal -- Trademark Countries'!D$2:D1000)), 1))"),"")</f>
        <v/>
      </c>
      <c r="EF974" s="30" t="e">
        <f ca="1">_xludf.ifs(AM974="", "", COUNTIF('Internal -- Trademark Countries'!B:B,AM974) &gt; 0, "polity_shortest_name", COUNTIF('Internal -- Trademark Countries'!C:C,AM974) &gt; 0, "polity_full_name", COUNTIF('Internal -- Trademark Countries'!D:D,AM974) &gt; 0, "polity_common_name", COUNTIF('Internal -- Trademark Countries'!E:E,AM974) &gt; 0, "shortest_name", COUNTIF('Internal -- Trademark Countries'!A:A,AM974) &gt; 0, "full_name", TRUE, "not a match")</f>
        <v>#NAME?</v>
      </c>
      <c r="EG974" s="30"/>
      <c r="EH974" s="30"/>
      <c r="EI974" s="30"/>
      <c r="EJ974" s="30"/>
      <c r="EK974" s="30" t="str">
        <f t="shared" si="5"/>
        <v/>
      </c>
    </row>
    <row r="975" spans="1:141" ht="16.5">
      <c r="A975" s="11"/>
      <c r="B975" s="11"/>
      <c r="C975" s="11"/>
      <c r="D975" s="11"/>
      <c r="E975" s="11"/>
      <c r="F975" s="11"/>
      <c r="G975" s="11"/>
      <c r="H975" s="11"/>
      <c r="I975" s="11"/>
      <c r="J975" s="11"/>
      <c r="K975" s="27"/>
      <c r="L975" s="11"/>
      <c r="M975" s="11"/>
      <c r="N975" s="11"/>
      <c r="O975" s="11"/>
      <c r="P975" s="15"/>
      <c r="Q975" s="15"/>
      <c r="R975" s="15"/>
      <c r="S975" s="15"/>
      <c r="T975" s="15"/>
      <c r="U975" s="15"/>
      <c r="V975" s="15"/>
      <c r="W975" s="47"/>
      <c r="X975" s="11"/>
      <c r="Y975" s="48"/>
      <c r="Z975" s="11"/>
      <c r="AA975" s="48"/>
      <c r="AB975" s="11"/>
      <c r="AC975" s="48"/>
      <c r="AD975" s="11"/>
      <c r="AE975" s="47"/>
      <c r="AF975" s="11"/>
      <c r="AG975" s="48"/>
      <c r="AH975" s="11"/>
      <c r="AI975" s="48"/>
      <c r="AJ975" s="11"/>
      <c r="AK975" s="48"/>
      <c r="AL975" s="11"/>
      <c r="AM975" s="49"/>
      <c r="AN975" s="49"/>
      <c r="AO975" s="11"/>
      <c r="AP975" s="11"/>
      <c r="AQ975" s="28" t="b">
        <f>IF(COUNTIF(SmartStatus!A$2:A1000, AM975) &gt; 2, TRUE, FALSE)</f>
        <v>0</v>
      </c>
      <c r="AR975" s="29" t="str">
        <f ca="1">IFERROR(__xludf.DUMMYFUNCTION("iferror(if(regexmatch(AO975, ""(?i)^registered""), if(EE975 &lt;&gt; ""polity_shortest_name"", ""CHECK_POLITY"", index(filter(SmartStatus!B$2:B1000, AM975 = SmartStatus!A$2:A1000, not(SmartStatus!C$2:C1000), (isblank(SmartStatus!D$2:D1000)) + ((P975 &lt;&gt; """") * "&amp;"(P975 &lt; SmartStatus!D$2:D1000)), (isblank(SmartStatus!E$2:E1000)) + ((P975 &lt;&gt; """") * (P975 &gt;= SmartStatus!E$2:E1000)), (isblank(SmartStatus!F$2:F1000)) + (((Q975 &lt;&gt; """") * (Q975 &lt; SmartStatus!F$2:F1000)) + ((P975 &lt;&gt; """") * (date(year(P975) + 3, month(P"&amp;"975), day(P975)) &lt; SmartStatus!F$2:F1000))), (isblank(SmartStatus!G$2:G1000)) + (((Q975 &lt;&gt; """") * (Q975 &gt;= SmartStatus!G$2:G1000)) + ((P975 &lt;&gt; """") * (P975 &gt;= SmartStatus!G$2:G1000)))), if(or(regexmatch(B975, ""(?i)^ir [a-z]+ designation$""), N975 &lt;&gt; """&amp;"""), 1, 2))), """"), ""NO_MATCH"")"),"")</f>
        <v/>
      </c>
      <c r="AS975" s="11"/>
      <c r="AT975" s="15"/>
      <c r="AU975" s="11"/>
      <c r="AV975" s="11"/>
      <c r="AW975" s="15"/>
      <c r="AX975" s="15"/>
      <c r="AY975" s="15"/>
      <c r="AZ975" s="11"/>
      <c r="BA975" s="15"/>
      <c r="BB975" s="11"/>
      <c r="BC975" s="11"/>
      <c r="BD975" s="15"/>
      <c r="BE975" s="11"/>
      <c r="BF975" s="11"/>
      <c r="BG975" s="15"/>
      <c r="BH975" s="15"/>
      <c r="BI975" s="15"/>
      <c r="BJ975" s="11"/>
      <c r="BK975" s="15"/>
      <c r="BL975" s="11"/>
      <c r="BM975" s="11"/>
      <c r="BN975" s="15"/>
      <c r="BO975" s="11"/>
      <c r="BP975" s="11"/>
      <c r="BQ975" s="15"/>
      <c r="BR975" s="15"/>
      <c r="BS975" s="15"/>
      <c r="BT975" s="11"/>
      <c r="BU975" s="15"/>
      <c r="BV975" s="11"/>
      <c r="BW975" s="11"/>
      <c r="BX975" s="15"/>
      <c r="BY975" s="11"/>
      <c r="BZ975" s="11"/>
      <c r="CA975" s="15"/>
      <c r="CB975" s="11"/>
      <c r="CC975" s="15"/>
      <c r="CD975" s="11"/>
      <c r="CE975" s="15"/>
      <c r="CF975" s="11"/>
      <c r="CG975" s="11"/>
      <c r="CH975" s="15"/>
      <c r="CI975" s="11"/>
      <c r="CJ975" s="11"/>
      <c r="CK975" s="15"/>
      <c r="CL975" s="11"/>
      <c r="CM975" s="11"/>
      <c r="CN975" s="11"/>
      <c r="CO975" s="11"/>
      <c r="CP975" s="28"/>
      <c r="CQ975" s="28"/>
      <c r="CR975" s="11"/>
      <c r="CS975" s="29"/>
      <c r="CT975" s="11"/>
      <c r="CU975" s="11"/>
      <c r="CV975" s="11"/>
      <c r="CW975" s="11"/>
      <c r="CX975" s="11"/>
      <c r="CY975" s="11"/>
      <c r="CZ975" s="11"/>
      <c r="DA975" s="28"/>
      <c r="DB975" s="28"/>
      <c r="DC975" s="11"/>
      <c r="DD975" s="29"/>
      <c r="DE975" s="11"/>
      <c r="DF975" s="11"/>
      <c r="DG975" s="11"/>
      <c r="DH975" s="11"/>
      <c r="DI975" s="11"/>
      <c r="DJ975" s="11"/>
      <c r="DK975" s="26"/>
      <c r="DL975" s="11"/>
      <c r="DM975" s="29"/>
      <c r="DN975" s="28"/>
      <c r="DO975" s="11"/>
      <c r="DP975" s="11"/>
      <c r="DQ975" s="11"/>
      <c r="DR975" s="29"/>
      <c r="DS975" s="28"/>
      <c r="DT975" s="11"/>
      <c r="DU975" s="26"/>
      <c r="DV975" s="11"/>
      <c r="DW975" s="29"/>
      <c r="DX975" s="28"/>
      <c r="DY975" s="11"/>
      <c r="DZ975" s="26"/>
      <c r="EA975" s="11"/>
      <c r="EB975" s="29"/>
      <c r="EC975" s="28"/>
      <c r="ED975" s="30"/>
      <c r="EE975" s="30" t="str">
        <f ca="1">IFERROR(__xludf.DUMMYFUNCTION("iferror(index(filter('Internal -- Trademark Countries'!E$2:E1000, (AM975 = 'Internal -- Trademark Countries'!B$2:B1000) + (AM975 = 'Internal -- Trademark Countries'!C$2:C1000) + (AM975 = 'Internal -- Trademark Countries'!D$2:D1000)), 1))"),"")</f>
        <v/>
      </c>
      <c r="EF975" s="30" t="e">
        <f ca="1">_xludf.ifs(AM975="", "", COUNTIF('Internal -- Trademark Countries'!B:B,AM975) &gt; 0, "polity_shortest_name", COUNTIF('Internal -- Trademark Countries'!C:C,AM975) &gt; 0, "polity_full_name", COUNTIF('Internal -- Trademark Countries'!D:D,AM975) &gt; 0, "polity_common_name", COUNTIF('Internal -- Trademark Countries'!E:E,AM975) &gt; 0, "shortest_name", COUNTIF('Internal -- Trademark Countries'!A:A,AM975) &gt; 0, "full_name", TRUE, "not a match")</f>
        <v>#NAME?</v>
      </c>
      <c r="EG975" s="30"/>
      <c r="EH975" s="30"/>
      <c r="EI975" s="30"/>
      <c r="EJ975" s="30"/>
      <c r="EK975" s="30" t="str">
        <f t="shared" si="5"/>
        <v/>
      </c>
    </row>
    <row r="976" spans="1:141" ht="16.5">
      <c r="A976" s="11"/>
      <c r="B976" s="11"/>
      <c r="C976" s="11"/>
      <c r="D976" s="11"/>
      <c r="E976" s="11"/>
      <c r="F976" s="11"/>
      <c r="G976" s="11"/>
      <c r="H976" s="11"/>
      <c r="I976" s="11"/>
      <c r="J976" s="11"/>
      <c r="K976" s="27"/>
      <c r="L976" s="11"/>
      <c r="M976" s="11"/>
      <c r="N976" s="11"/>
      <c r="O976" s="11"/>
      <c r="P976" s="15"/>
      <c r="Q976" s="15"/>
      <c r="R976" s="15"/>
      <c r="S976" s="15"/>
      <c r="T976" s="15"/>
      <c r="U976" s="15"/>
      <c r="V976" s="15"/>
      <c r="W976" s="47"/>
      <c r="X976" s="11"/>
      <c r="Y976" s="48"/>
      <c r="Z976" s="11"/>
      <c r="AA976" s="48"/>
      <c r="AB976" s="11"/>
      <c r="AC976" s="48"/>
      <c r="AD976" s="11"/>
      <c r="AE976" s="47"/>
      <c r="AF976" s="11"/>
      <c r="AG976" s="48"/>
      <c r="AH976" s="11"/>
      <c r="AI976" s="48"/>
      <c r="AJ976" s="11"/>
      <c r="AK976" s="48"/>
      <c r="AL976" s="11"/>
      <c r="AM976" s="49"/>
      <c r="AN976" s="49"/>
      <c r="AO976" s="11"/>
      <c r="AP976" s="11"/>
      <c r="AQ976" s="28" t="b">
        <f>IF(COUNTIF(SmartStatus!A$2:A1000, AM976) &gt; 2, TRUE, FALSE)</f>
        <v>0</v>
      </c>
      <c r="AR976" s="29" t="str">
        <f ca="1">IFERROR(__xludf.DUMMYFUNCTION("iferror(if(regexmatch(AO976, ""(?i)^registered""), if(EE976 &lt;&gt; ""polity_shortest_name"", ""CHECK_POLITY"", index(filter(SmartStatus!B$2:B1000, AM976 = SmartStatus!A$2:A1000, not(SmartStatus!C$2:C1000), (isblank(SmartStatus!D$2:D1000)) + ((P976 &lt;&gt; """") * "&amp;"(P976 &lt; SmartStatus!D$2:D1000)), (isblank(SmartStatus!E$2:E1000)) + ((P976 &lt;&gt; """") * (P976 &gt;= SmartStatus!E$2:E1000)), (isblank(SmartStatus!F$2:F1000)) + (((Q976 &lt;&gt; """") * (Q976 &lt; SmartStatus!F$2:F1000)) + ((P976 &lt;&gt; """") * (date(year(P976) + 3, month(P"&amp;"976), day(P976)) &lt; SmartStatus!F$2:F1000))), (isblank(SmartStatus!G$2:G1000)) + (((Q976 &lt;&gt; """") * (Q976 &gt;= SmartStatus!G$2:G1000)) + ((P976 &lt;&gt; """") * (P976 &gt;= SmartStatus!G$2:G1000)))), if(or(regexmatch(B976, ""(?i)^ir [a-z]+ designation$""), N976 &lt;&gt; """&amp;"""), 1, 2))), """"), ""NO_MATCH"")"),"")</f>
        <v/>
      </c>
      <c r="AS976" s="11"/>
      <c r="AT976" s="15"/>
      <c r="AU976" s="11"/>
      <c r="AV976" s="11"/>
      <c r="AW976" s="15"/>
      <c r="AX976" s="15"/>
      <c r="AY976" s="15"/>
      <c r="AZ976" s="11"/>
      <c r="BA976" s="15"/>
      <c r="BB976" s="11"/>
      <c r="BC976" s="11"/>
      <c r="BD976" s="15"/>
      <c r="BE976" s="11"/>
      <c r="BF976" s="11"/>
      <c r="BG976" s="15"/>
      <c r="BH976" s="15"/>
      <c r="BI976" s="15"/>
      <c r="BJ976" s="11"/>
      <c r="BK976" s="15"/>
      <c r="BL976" s="11"/>
      <c r="BM976" s="11"/>
      <c r="BN976" s="15"/>
      <c r="BO976" s="11"/>
      <c r="BP976" s="11"/>
      <c r="BQ976" s="15"/>
      <c r="BR976" s="15"/>
      <c r="BS976" s="15"/>
      <c r="BT976" s="11"/>
      <c r="BU976" s="15"/>
      <c r="BV976" s="11"/>
      <c r="BW976" s="11"/>
      <c r="BX976" s="15"/>
      <c r="BY976" s="11"/>
      <c r="BZ976" s="11"/>
      <c r="CA976" s="15"/>
      <c r="CB976" s="11"/>
      <c r="CC976" s="15"/>
      <c r="CD976" s="11"/>
      <c r="CE976" s="15"/>
      <c r="CF976" s="11"/>
      <c r="CG976" s="11"/>
      <c r="CH976" s="15"/>
      <c r="CI976" s="11"/>
      <c r="CJ976" s="11"/>
      <c r="CK976" s="15"/>
      <c r="CL976" s="11"/>
      <c r="CM976" s="11"/>
      <c r="CN976" s="11"/>
      <c r="CO976" s="11"/>
      <c r="CP976" s="28"/>
      <c r="CQ976" s="28"/>
      <c r="CR976" s="11"/>
      <c r="CS976" s="29"/>
      <c r="CT976" s="11"/>
      <c r="CU976" s="11"/>
      <c r="CV976" s="11"/>
      <c r="CW976" s="11"/>
      <c r="CX976" s="11"/>
      <c r="CY976" s="11"/>
      <c r="CZ976" s="11"/>
      <c r="DA976" s="28"/>
      <c r="DB976" s="28"/>
      <c r="DC976" s="11"/>
      <c r="DD976" s="29"/>
      <c r="DE976" s="11"/>
      <c r="DF976" s="11"/>
      <c r="DG976" s="11"/>
      <c r="DH976" s="11"/>
      <c r="DI976" s="11"/>
      <c r="DJ976" s="11"/>
      <c r="DK976" s="26"/>
      <c r="DL976" s="11"/>
      <c r="DM976" s="29"/>
      <c r="DN976" s="28"/>
      <c r="DO976" s="11"/>
      <c r="DP976" s="11"/>
      <c r="DQ976" s="11"/>
      <c r="DR976" s="29"/>
      <c r="DS976" s="28"/>
      <c r="DT976" s="11"/>
      <c r="DU976" s="26"/>
      <c r="DV976" s="11"/>
      <c r="DW976" s="29"/>
      <c r="DX976" s="28"/>
      <c r="DY976" s="11"/>
      <c r="DZ976" s="26"/>
      <c r="EA976" s="11"/>
      <c r="EB976" s="29"/>
      <c r="EC976" s="28"/>
      <c r="ED976" s="30"/>
      <c r="EE976" s="30" t="str">
        <f ca="1">IFERROR(__xludf.DUMMYFUNCTION("iferror(index(filter('Internal -- Trademark Countries'!E$2:E1000, (AM976 = 'Internal -- Trademark Countries'!B$2:B1000) + (AM976 = 'Internal -- Trademark Countries'!C$2:C1000) + (AM976 = 'Internal -- Trademark Countries'!D$2:D1000)), 1))"),"")</f>
        <v/>
      </c>
      <c r="EF976" s="30" t="e">
        <f ca="1">_xludf.ifs(AM976="", "", COUNTIF('Internal -- Trademark Countries'!B:B,AM976) &gt; 0, "polity_shortest_name", COUNTIF('Internal -- Trademark Countries'!C:C,AM976) &gt; 0, "polity_full_name", COUNTIF('Internal -- Trademark Countries'!D:D,AM976) &gt; 0, "polity_common_name", COUNTIF('Internal -- Trademark Countries'!E:E,AM976) &gt; 0, "shortest_name", COUNTIF('Internal -- Trademark Countries'!A:A,AM976) &gt; 0, "full_name", TRUE, "not a match")</f>
        <v>#NAME?</v>
      </c>
      <c r="EG976" s="30"/>
      <c r="EH976" s="30"/>
      <c r="EI976" s="30"/>
      <c r="EJ976" s="30"/>
      <c r="EK976" s="30" t="str">
        <f t="shared" si="5"/>
        <v/>
      </c>
    </row>
    <row r="977" spans="1:141" ht="16.5">
      <c r="A977" s="11"/>
      <c r="B977" s="11"/>
      <c r="C977" s="11"/>
      <c r="D977" s="11"/>
      <c r="E977" s="11"/>
      <c r="F977" s="11"/>
      <c r="G977" s="11"/>
      <c r="H977" s="11"/>
      <c r="I977" s="11"/>
      <c r="J977" s="11"/>
      <c r="K977" s="27"/>
      <c r="L977" s="11"/>
      <c r="M977" s="11"/>
      <c r="N977" s="11"/>
      <c r="O977" s="11"/>
      <c r="P977" s="15"/>
      <c r="Q977" s="15"/>
      <c r="R977" s="15"/>
      <c r="S977" s="15"/>
      <c r="T977" s="15"/>
      <c r="U977" s="15"/>
      <c r="V977" s="15"/>
      <c r="W977" s="47"/>
      <c r="X977" s="11"/>
      <c r="Y977" s="48"/>
      <c r="Z977" s="11"/>
      <c r="AA977" s="48"/>
      <c r="AB977" s="11"/>
      <c r="AC977" s="48"/>
      <c r="AD977" s="11"/>
      <c r="AE977" s="47"/>
      <c r="AF977" s="11"/>
      <c r="AG977" s="48"/>
      <c r="AH977" s="11"/>
      <c r="AI977" s="48"/>
      <c r="AJ977" s="11"/>
      <c r="AK977" s="48"/>
      <c r="AL977" s="11"/>
      <c r="AM977" s="49"/>
      <c r="AN977" s="49"/>
      <c r="AO977" s="11"/>
      <c r="AP977" s="11"/>
      <c r="AQ977" s="28" t="b">
        <f>IF(COUNTIF(SmartStatus!A$2:A1000, AM977) &gt; 2, TRUE, FALSE)</f>
        <v>0</v>
      </c>
      <c r="AR977" s="29" t="str">
        <f ca="1">IFERROR(__xludf.DUMMYFUNCTION("iferror(if(regexmatch(AO977, ""(?i)^registered""), if(EE977 &lt;&gt; ""polity_shortest_name"", ""CHECK_POLITY"", index(filter(SmartStatus!B$2:B1000, AM977 = SmartStatus!A$2:A1000, not(SmartStatus!C$2:C1000), (isblank(SmartStatus!D$2:D1000)) + ((P977 &lt;&gt; """") * "&amp;"(P977 &lt; SmartStatus!D$2:D1000)), (isblank(SmartStatus!E$2:E1000)) + ((P977 &lt;&gt; """") * (P977 &gt;= SmartStatus!E$2:E1000)), (isblank(SmartStatus!F$2:F1000)) + (((Q977 &lt;&gt; """") * (Q977 &lt; SmartStatus!F$2:F1000)) + ((P977 &lt;&gt; """") * (date(year(P977) + 3, month(P"&amp;"977), day(P977)) &lt; SmartStatus!F$2:F1000))), (isblank(SmartStatus!G$2:G1000)) + (((Q977 &lt;&gt; """") * (Q977 &gt;= SmartStatus!G$2:G1000)) + ((P977 &lt;&gt; """") * (P977 &gt;= SmartStatus!G$2:G1000)))), if(or(regexmatch(B977, ""(?i)^ir [a-z]+ designation$""), N977 &lt;&gt; """&amp;"""), 1, 2))), """"), ""NO_MATCH"")"),"")</f>
        <v/>
      </c>
      <c r="AS977" s="11"/>
      <c r="AT977" s="15"/>
      <c r="AU977" s="11"/>
      <c r="AV977" s="11"/>
      <c r="AW977" s="15"/>
      <c r="AX977" s="15"/>
      <c r="AY977" s="15"/>
      <c r="AZ977" s="11"/>
      <c r="BA977" s="15"/>
      <c r="BB977" s="11"/>
      <c r="BC977" s="11"/>
      <c r="BD977" s="15"/>
      <c r="BE977" s="11"/>
      <c r="BF977" s="11"/>
      <c r="BG977" s="15"/>
      <c r="BH977" s="15"/>
      <c r="BI977" s="15"/>
      <c r="BJ977" s="11"/>
      <c r="BK977" s="15"/>
      <c r="BL977" s="11"/>
      <c r="BM977" s="11"/>
      <c r="BN977" s="15"/>
      <c r="BO977" s="11"/>
      <c r="BP977" s="11"/>
      <c r="BQ977" s="15"/>
      <c r="BR977" s="15"/>
      <c r="BS977" s="15"/>
      <c r="BT977" s="11"/>
      <c r="BU977" s="15"/>
      <c r="BV977" s="11"/>
      <c r="BW977" s="11"/>
      <c r="BX977" s="15"/>
      <c r="BY977" s="11"/>
      <c r="BZ977" s="11"/>
      <c r="CA977" s="15"/>
      <c r="CB977" s="11"/>
      <c r="CC977" s="15"/>
      <c r="CD977" s="11"/>
      <c r="CE977" s="15"/>
      <c r="CF977" s="11"/>
      <c r="CG977" s="11"/>
      <c r="CH977" s="15"/>
      <c r="CI977" s="11"/>
      <c r="CJ977" s="11"/>
      <c r="CK977" s="15"/>
      <c r="CL977" s="11"/>
      <c r="CM977" s="11"/>
      <c r="CN977" s="11"/>
      <c r="CO977" s="11"/>
      <c r="CP977" s="28"/>
      <c r="CQ977" s="28"/>
      <c r="CR977" s="11"/>
      <c r="CS977" s="29"/>
      <c r="CT977" s="11"/>
      <c r="CU977" s="11"/>
      <c r="CV977" s="11"/>
      <c r="CW977" s="11"/>
      <c r="CX977" s="11"/>
      <c r="CY977" s="11"/>
      <c r="CZ977" s="11"/>
      <c r="DA977" s="28"/>
      <c r="DB977" s="28"/>
      <c r="DC977" s="11"/>
      <c r="DD977" s="29"/>
      <c r="DE977" s="11"/>
      <c r="DF977" s="11"/>
      <c r="DG977" s="11"/>
      <c r="DH977" s="11"/>
      <c r="DI977" s="11"/>
      <c r="DJ977" s="11"/>
      <c r="DK977" s="26"/>
      <c r="DL977" s="11"/>
      <c r="DM977" s="29"/>
      <c r="DN977" s="28"/>
      <c r="DO977" s="11"/>
      <c r="DP977" s="11"/>
      <c r="DQ977" s="11"/>
      <c r="DR977" s="29"/>
      <c r="DS977" s="28"/>
      <c r="DT977" s="11"/>
      <c r="DU977" s="26"/>
      <c r="DV977" s="11"/>
      <c r="DW977" s="29"/>
      <c r="DX977" s="28"/>
      <c r="DY977" s="11"/>
      <c r="DZ977" s="26"/>
      <c r="EA977" s="11"/>
      <c r="EB977" s="29"/>
      <c r="EC977" s="28"/>
      <c r="ED977" s="30"/>
      <c r="EE977" s="30" t="str">
        <f ca="1">IFERROR(__xludf.DUMMYFUNCTION("iferror(index(filter('Internal -- Trademark Countries'!E$2:E1000, (AM977 = 'Internal -- Trademark Countries'!B$2:B1000) + (AM977 = 'Internal -- Trademark Countries'!C$2:C1000) + (AM977 = 'Internal -- Trademark Countries'!D$2:D1000)), 1))"),"")</f>
        <v/>
      </c>
      <c r="EF977" s="30" t="e">
        <f ca="1">_xludf.ifs(AM977="", "", COUNTIF('Internal -- Trademark Countries'!B:B,AM977) &gt; 0, "polity_shortest_name", COUNTIF('Internal -- Trademark Countries'!C:C,AM977) &gt; 0, "polity_full_name", COUNTIF('Internal -- Trademark Countries'!D:D,AM977) &gt; 0, "polity_common_name", COUNTIF('Internal -- Trademark Countries'!E:E,AM977) &gt; 0, "shortest_name", COUNTIF('Internal -- Trademark Countries'!A:A,AM977) &gt; 0, "full_name", TRUE, "not a match")</f>
        <v>#NAME?</v>
      </c>
      <c r="EG977" s="30"/>
      <c r="EH977" s="30"/>
      <c r="EI977" s="30"/>
      <c r="EJ977" s="30"/>
      <c r="EK977" s="30" t="str">
        <f t="shared" si="5"/>
        <v/>
      </c>
    </row>
    <row r="978" spans="1:141" ht="16.5">
      <c r="A978" s="11"/>
      <c r="B978" s="11"/>
      <c r="C978" s="11"/>
      <c r="D978" s="11"/>
      <c r="E978" s="11"/>
      <c r="F978" s="11"/>
      <c r="G978" s="11"/>
      <c r="H978" s="11"/>
      <c r="I978" s="11"/>
      <c r="J978" s="11"/>
      <c r="K978" s="27"/>
      <c r="L978" s="11"/>
      <c r="M978" s="11"/>
      <c r="N978" s="11"/>
      <c r="O978" s="11"/>
      <c r="P978" s="15"/>
      <c r="Q978" s="15"/>
      <c r="R978" s="15"/>
      <c r="S978" s="15"/>
      <c r="T978" s="15"/>
      <c r="U978" s="15"/>
      <c r="V978" s="15"/>
      <c r="W978" s="47"/>
      <c r="X978" s="11"/>
      <c r="Y978" s="48"/>
      <c r="Z978" s="11"/>
      <c r="AA978" s="48"/>
      <c r="AB978" s="11"/>
      <c r="AC978" s="48"/>
      <c r="AD978" s="11"/>
      <c r="AE978" s="47"/>
      <c r="AF978" s="11"/>
      <c r="AG978" s="48"/>
      <c r="AH978" s="11"/>
      <c r="AI978" s="48"/>
      <c r="AJ978" s="11"/>
      <c r="AK978" s="48"/>
      <c r="AL978" s="11"/>
      <c r="AM978" s="49"/>
      <c r="AN978" s="49"/>
      <c r="AO978" s="11"/>
      <c r="AP978" s="11"/>
      <c r="AQ978" s="28" t="b">
        <f>IF(COUNTIF(SmartStatus!A$2:A1000, AM978) &gt; 2, TRUE, FALSE)</f>
        <v>0</v>
      </c>
      <c r="AR978" s="29" t="str">
        <f ca="1">IFERROR(__xludf.DUMMYFUNCTION("iferror(if(regexmatch(AO978, ""(?i)^registered""), if(EE978 &lt;&gt; ""polity_shortest_name"", ""CHECK_POLITY"", index(filter(SmartStatus!B$2:B1000, AM978 = SmartStatus!A$2:A1000, not(SmartStatus!C$2:C1000), (isblank(SmartStatus!D$2:D1000)) + ((P978 &lt;&gt; """") * "&amp;"(P978 &lt; SmartStatus!D$2:D1000)), (isblank(SmartStatus!E$2:E1000)) + ((P978 &lt;&gt; """") * (P978 &gt;= SmartStatus!E$2:E1000)), (isblank(SmartStatus!F$2:F1000)) + (((Q978 &lt;&gt; """") * (Q978 &lt; SmartStatus!F$2:F1000)) + ((P978 &lt;&gt; """") * (date(year(P978) + 3, month(P"&amp;"978), day(P978)) &lt; SmartStatus!F$2:F1000))), (isblank(SmartStatus!G$2:G1000)) + (((Q978 &lt;&gt; """") * (Q978 &gt;= SmartStatus!G$2:G1000)) + ((P978 &lt;&gt; """") * (P978 &gt;= SmartStatus!G$2:G1000)))), if(or(regexmatch(B978, ""(?i)^ir [a-z]+ designation$""), N978 &lt;&gt; """&amp;"""), 1, 2))), """"), ""NO_MATCH"")"),"")</f>
        <v/>
      </c>
      <c r="AS978" s="11"/>
      <c r="AT978" s="15"/>
      <c r="AU978" s="11"/>
      <c r="AV978" s="11"/>
      <c r="AW978" s="15"/>
      <c r="AX978" s="15"/>
      <c r="AY978" s="15"/>
      <c r="AZ978" s="11"/>
      <c r="BA978" s="15"/>
      <c r="BB978" s="11"/>
      <c r="BC978" s="11"/>
      <c r="BD978" s="15"/>
      <c r="BE978" s="11"/>
      <c r="BF978" s="11"/>
      <c r="BG978" s="15"/>
      <c r="BH978" s="15"/>
      <c r="BI978" s="15"/>
      <c r="BJ978" s="11"/>
      <c r="BK978" s="15"/>
      <c r="BL978" s="11"/>
      <c r="BM978" s="11"/>
      <c r="BN978" s="15"/>
      <c r="BO978" s="11"/>
      <c r="BP978" s="11"/>
      <c r="BQ978" s="15"/>
      <c r="BR978" s="15"/>
      <c r="BS978" s="15"/>
      <c r="BT978" s="11"/>
      <c r="BU978" s="15"/>
      <c r="BV978" s="11"/>
      <c r="BW978" s="11"/>
      <c r="BX978" s="15"/>
      <c r="BY978" s="11"/>
      <c r="BZ978" s="11"/>
      <c r="CA978" s="15"/>
      <c r="CB978" s="11"/>
      <c r="CC978" s="15"/>
      <c r="CD978" s="11"/>
      <c r="CE978" s="15"/>
      <c r="CF978" s="11"/>
      <c r="CG978" s="11"/>
      <c r="CH978" s="15"/>
      <c r="CI978" s="11"/>
      <c r="CJ978" s="11"/>
      <c r="CK978" s="15"/>
      <c r="CL978" s="11"/>
      <c r="CM978" s="11"/>
      <c r="CN978" s="11"/>
      <c r="CO978" s="11"/>
      <c r="CP978" s="28"/>
      <c r="CQ978" s="28"/>
      <c r="CR978" s="11"/>
      <c r="CS978" s="29"/>
      <c r="CT978" s="11"/>
      <c r="CU978" s="11"/>
      <c r="CV978" s="11"/>
      <c r="CW978" s="11"/>
      <c r="CX978" s="11"/>
      <c r="CY978" s="11"/>
      <c r="CZ978" s="11"/>
      <c r="DA978" s="28"/>
      <c r="DB978" s="28"/>
      <c r="DC978" s="11"/>
      <c r="DD978" s="29"/>
      <c r="DE978" s="11"/>
      <c r="DF978" s="11"/>
      <c r="DG978" s="11"/>
      <c r="DH978" s="11"/>
      <c r="DI978" s="11"/>
      <c r="DJ978" s="11"/>
      <c r="DK978" s="26"/>
      <c r="DL978" s="11"/>
      <c r="DM978" s="29"/>
      <c r="DN978" s="28"/>
      <c r="DO978" s="11"/>
      <c r="DP978" s="11"/>
      <c r="DQ978" s="11"/>
      <c r="DR978" s="29"/>
      <c r="DS978" s="28"/>
      <c r="DT978" s="11"/>
      <c r="DU978" s="26"/>
      <c r="DV978" s="11"/>
      <c r="DW978" s="29"/>
      <c r="DX978" s="28"/>
      <c r="DY978" s="11"/>
      <c r="DZ978" s="26"/>
      <c r="EA978" s="11"/>
      <c r="EB978" s="29"/>
      <c r="EC978" s="28"/>
      <c r="ED978" s="30"/>
      <c r="EE978" s="30" t="str">
        <f ca="1">IFERROR(__xludf.DUMMYFUNCTION("iferror(index(filter('Internal -- Trademark Countries'!E$2:E1000, (AM978 = 'Internal -- Trademark Countries'!B$2:B1000) + (AM978 = 'Internal -- Trademark Countries'!C$2:C1000) + (AM978 = 'Internal -- Trademark Countries'!D$2:D1000)), 1))"),"")</f>
        <v/>
      </c>
      <c r="EF978" s="30" t="e">
        <f ca="1">_xludf.ifs(AM978="", "", COUNTIF('Internal -- Trademark Countries'!B:B,AM978) &gt; 0, "polity_shortest_name", COUNTIF('Internal -- Trademark Countries'!C:C,AM978) &gt; 0, "polity_full_name", COUNTIF('Internal -- Trademark Countries'!D:D,AM978) &gt; 0, "polity_common_name", COUNTIF('Internal -- Trademark Countries'!E:E,AM978) &gt; 0, "shortest_name", COUNTIF('Internal -- Trademark Countries'!A:A,AM978) &gt; 0, "full_name", TRUE, "not a match")</f>
        <v>#NAME?</v>
      </c>
      <c r="EG978" s="30"/>
      <c r="EH978" s="30"/>
      <c r="EI978" s="30"/>
      <c r="EJ978" s="30"/>
      <c r="EK978" s="30" t="str">
        <f t="shared" si="5"/>
        <v/>
      </c>
    </row>
    <row r="979" spans="1:141" ht="16.5">
      <c r="A979" s="11"/>
      <c r="B979" s="11"/>
      <c r="C979" s="11"/>
      <c r="D979" s="11"/>
      <c r="E979" s="11"/>
      <c r="F979" s="11"/>
      <c r="G979" s="11"/>
      <c r="H979" s="11"/>
      <c r="I979" s="11"/>
      <c r="J979" s="11"/>
      <c r="K979" s="27"/>
      <c r="L979" s="11"/>
      <c r="M979" s="11"/>
      <c r="N979" s="11"/>
      <c r="O979" s="11"/>
      <c r="P979" s="15"/>
      <c r="Q979" s="15"/>
      <c r="R979" s="15"/>
      <c r="S979" s="15"/>
      <c r="T979" s="15"/>
      <c r="U979" s="15"/>
      <c r="V979" s="15"/>
      <c r="W979" s="47"/>
      <c r="X979" s="11"/>
      <c r="Y979" s="48"/>
      <c r="Z979" s="11"/>
      <c r="AA979" s="48"/>
      <c r="AB979" s="11"/>
      <c r="AC979" s="48"/>
      <c r="AD979" s="11"/>
      <c r="AE979" s="47"/>
      <c r="AF979" s="11"/>
      <c r="AG979" s="48"/>
      <c r="AH979" s="11"/>
      <c r="AI979" s="48"/>
      <c r="AJ979" s="11"/>
      <c r="AK979" s="48"/>
      <c r="AL979" s="11"/>
      <c r="AM979" s="49"/>
      <c r="AN979" s="49"/>
      <c r="AO979" s="11"/>
      <c r="AP979" s="11"/>
      <c r="AQ979" s="28" t="b">
        <f>IF(COUNTIF(SmartStatus!A$2:A1000, AM979) &gt; 2, TRUE, FALSE)</f>
        <v>0</v>
      </c>
      <c r="AR979" s="29" t="str">
        <f ca="1">IFERROR(__xludf.DUMMYFUNCTION("iferror(if(regexmatch(AO979, ""(?i)^registered""), if(EE979 &lt;&gt; ""polity_shortest_name"", ""CHECK_POLITY"", index(filter(SmartStatus!B$2:B1000, AM979 = SmartStatus!A$2:A1000, not(SmartStatus!C$2:C1000), (isblank(SmartStatus!D$2:D1000)) + ((P979 &lt;&gt; """") * "&amp;"(P979 &lt; SmartStatus!D$2:D1000)), (isblank(SmartStatus!E$2:E1000)) + ((P979 &lt;&gt; """") * (P979 &gt;= SmartStatus!E$2:E1000)), (isblank(SmartStatus!F$2:F1000)) + (((Q979 &lt;&gt; """") * (Q979 &lt; SmartStatus!F$2:F1000)) + ((P979 &lt;&gt; """") * (date(year(P979) + 3, month(P"&amp;"979), day(P979)) &lt; SmartStatus!F$2:F1000))), (isblank(SmartStatus!G$2:G1000)) + (((Q979 &lt;&gt; """") * (Q979 &gt;= SmartStatus!G$2:G1000)) + ((P979 &lt;&gt; """") * (P979 &gt;= SmartStatus!G$2:G1000)))), if(or(regexmatch(B979, ""(?i)^ir [a-z]+ designation$""), N979 &lt;&gt; """&amp;"""), 1, 2))), """"), ""NO_MATCH"")"),"")</f>
        <v/>
      </c>
      <c r="AS979" s="11"/>
      <c r="AT979" s="15"/>
      <c r="AU979" s="11"/>
      <c r="AV979" s="11"/>
      <c r="AW979" s="15"/>
      <c r="AX979" s="15"/>
      <c r="AY979" s="15"/>
      <c r="AZ979" s="11"/>
      <c r="BA979" s="15"/>
      <c r="BB979" s="11"/>
      <c r="BC979" s="11"/>
      <c r="BD979" s="15"/>
      <c r="BE979" s="11"/>
      <c r="BF979" s="11"/>
      <c r="BG979" s="15"/>
      <c r="BH979" s="15"/>
      <c r="BI979" s="15"/>
      <c r="BJ979" s="11"/>
      <c r="BK979" s="15"/>
      <c r="BL979" s="11"/>
      <c r="BM979" s="11"/>
      <c r="BN979" s="15"/>
      <c r="BO979" s="11"/>
      <c r="BP979" s="11"/>
      <c r="BQ979" s="15"/>
      <c r="BR979" s="15"/>
      <c r="BS979" s="15"/>
      <c r="BT979" s="11"/>
      <c r="BU979" s="15"/>
      <c r="BV979" s="11"/>
      <c r="BW979" s="11"/>
      <c r="BX979" s="15"/>
      <c r="BY979" s="11"/>
      <c r="BZ979" s="11"/>
      <c r="CA979" s="15"/>
      <c r="CB979" s="11"/>
      <c r="CC979" s="15"/>
      <c r="CD979" s="11"/>
      <c r="CE979" s="15"/>
      <c r="CF979" s="11"/>
      <c r="CG979" s="11"/>
      <c r="CH979" s="15"/>
      <c r="CI979" s="11"/>
      <c r="CJ979" s="11"/>
      <c r="CK979" s="15"/>
      <c r="CL979" s="11"/>
      <c r="CM979" s="11"/>
      <c r="CN979" s="11"/>
      <c r="CO979" s="11"/>
      <c r="CP979" s="28"/>
      <c r="CQ979" s="28"/>
      <c r="CR979" s="11"/>
      <c r="CS979" s="29"/>
      <c r="CT979" s="11"/>
      <c r="CU979" s="11"/>
      <c r="CV979" s="11"/>
      <c r="CW979" s="11"/>
      <c r="CX979" s="11"/>
      <c r="CY979" s="11"/>
      <c r="CZ979" s="11"/>
      <c r="DA979" s="28"/>
      <c r="DB979" s="28"/>
      <c r="DC979" s="11"/>
      <c r="DD979" s="29"/>
      <c r="DE979" s="11"/>
      <c r="DF979" s="11"/>
      <c r="DG979" s="11"/>
      <c r="DH979" s="11"/>
      <c r="DI979" s="11"/>
      <c r="DJ979" s="11"/>
      <c r="DK979" s="26"/>
      <c r="DL979" s="11"/>
      <c r="DM979" s="29"/>
      <c r="DN979" s="28"/>
      <c r="DO979" s="11"/>
      <c r="DP979" s="11"/>
      <c r="DQ979" s="11"/>
      <c r="DR979" s="29"/>
      <c r="DS979" s="28"/>
      <c r="DT979" s="11"/>
      <c r="DU979" s="26"/>
      <c r="DV979" s="11"/>
      <c r="DW979" s="29"/>
      <c r="DX979" s="28"/>
      <c r="DY979" s="11"/>
      <c r="DZ979" s="26"/>
      <c r="EA979" s="11"/>
      <c r="EB979" s="29"/>
      <c r="EC979" s="28"/>
      <c r="ED979" s="30"/>
      <c r="EE979" s="30" t="str">
        <f ca="1">IFERROR(__xludf.DUMMYFUNCTION("iferror(index(filter('Internal -- Trademark Countries'!E$2:E1000, (AM979 = 'Internal -- Trademark Countries'!B$2:B1000) + (AM979 = 'Internal -- Trademark Countries'!C$2:C1000) + (AM979 = 'Internal -- Trademark Countries'!D$2:D1000)), 1))"),"")</f>
        <v/>
      </c>
      <c r="EF979" s="30" t="e">
        <f ca="1">_xludf.ifs(AM979="", "", COUNTIF('Internal -- Trademark Countries'!B:B,AM979) &gt; 0, "polity_shortest_name", COUNTIF('Internal -- Trademark Countries'!C:C,AM979) &gt; 0, "polity_full_name", COUNTIF('Internal -- Trademark Countries'!D:D,AM979) &gt; 0, "polity_common_name", COUNTIF('Internal -- Trademark Countries'!E:E,AM979) &gt; 0, "shortest_name", COUNTIF('Internal -- Trademark Countries'!A:A,AM979) &gt; 0, "full_name", TRUE, "not a match")</f>
        <v>#NAME?</v>
      </c>
      <c r="EG979" s="30"/>
      <c r="EH979" s="30"/>
      <c r="EI979" s="30"/>
      <c r="EJ979" s="30"/>
      <c r="EK979" s="30" t="str">
        <f t="shared" si="5"/>
        <v/>
      </c>
    </row>
    <row r="980" spans="1:141" ht="16.5">
      <c r="A980" s="11"/>
      <c r="B980" s="11"/>
      <c r="C980" s="11"/>
      <c r="D980" s="11"/>
      <c r="E980" s="11"/>
      <c r="F980" s="11"/>
      <c r="G980" s="11"/>
      <c r="H980" s="11"/>
      <c r="I980" s="11"/>
      <c r="J980" s="11"/>
      <c r="K980" s="27"/>
      <c r="L980" s="11"/>
      <c r="M980" s="11"/>
      <c r="N980" s="11"/>
      <c r="O980" s="11"/>
      <c r="P980" s="15"/>
      <c r="Q980" s="15"/>
      <c r="R980" s="15"/>
      <c r="S980" s="15"/>
      <c r="T980" s="15"/>
      <c r="U980" s="15"/>
      <c r="V980" s="15"/>
      <c r="W980" s="47"/>
      <c r="X980" s="11"/>
      <c r="Y980" s="48"/>
      <c r="Z980" s="11"/>
      <c r="AA980" s="48"/>
      <c r="AB980" s="11"/>
      <c r="AC980" s="48"/>
      <c r="AD980" s="11"/>
      <c r="AE980" s="47"/>
      <c r="AF980" s="11"/>
      <c r="AG980" s="48"/>
      <c r="AH980" s="11"/>
      <c r="AI980" s="48"/>
      <c r="AJ980" s="11"/>
      <c r="AK980" s="48"/>
      <c r="AL980" s="11"/>
      <c r="AM980" s="49"/>
      <c r="AN980" s="49"/>
      <c r="AO980" s="11"/>
      <c r="AP980" s="11"/>
      <c r="AQ980" s="28" t="b">
        <f>IF(COUNTIF(SmartStatus!A$2:A1000, AM980) &gt; 2, TRUE, FALSE)</f>
        <v>0</v>
      </c>
      <c r="AR980" s="29" t="str">
        <f ca="1">IFERROR(__xludf.DUMMYFUNCTION("iferror(if(regexmatch(AO980, ""(?i)^registered""), if(EE980 &lt;&gt; ""polity_shortest_name"", ""CHECK_POLITY"", index(filter(SmartStatus!B$2:B1000, AM980 = SmartStatus!A$2:A1000, not(SmartStatus!C$2:C1000), (isblank(SmartStatus!D$2:D1000)) + ((P980 &lt;&gt; """") * "&amp;"(P980 &lt; SmartStatus!D$2:D1000)), (isblank(SmartStatus!E$2:E1000)) + ((P980 &lt;&gt; """") * (P980 &gt;= SmartStatus!E$2:E1000)), (isblank(SmartStatus!F$2:F1000)) + (((Q980 &lt;&gt; """") * (Q980 &lt; SmartStatus!F$2:F1000)) + ((P980 &lt;&gt; """") * (date(year(P980) + 3, month(P"&amp;"980), day(P980)) &lt; SmartStatus!F$2:F1000))), (isblank(SmartStatus!G$2:G1000)) + (((Q980 &lt;&gt; """") * (Q980 &gt;= SmartStatus!G$2:G1000)) + ((P980 &lt;&gt; """") * (P980 &gt;= SmartStatus!G$2:G1000)))), if(or(regexmatch(B980, ""(?i)^ir [a-z]+ designation$""), N980 &lt;&gt; """&amp;"""), 1, 2))), """"), ""NO_MATCH"")"),"")</f>
        <v/>
      </c>
      <c r="AS980" s="11"/>
      <c r="AT980" s="15"/>
      <c r="AU980" s="11"/>
      <c r="AV980" s="11"/>
      <c r="AW980" s="15"/>
      <c r="AX980" s="15"/>
      <c r="AY980" s="15"/>
      <c r="AZ980" s="11"/>
      <c r="BA980" s="15"/>
      <c r="BB980" s="11"/>
      <c r="BC980" s="11"/>
      <c r="BD980" s="15"/>
      <c r="BE980" s="11"/>
      <c r="BF980" s="11"/>
      <c r="BG980" s="15"/>
      <c r="BH980" s="15"/>
      <c r="BI980" s="15"/>
      <c r="BJ980" s="11"/>
      <c r="BK980" s="15"/>
      <c r="BL980" s="11"/>
      <c r="BM980" s="11"/>
      <c r="BN980" s="15"/>
      <c r="BO980" s="11"/>
      <c r="BP980" s="11"/>
      <c r="BQ980" s="15"/>
      <c r="BR980" s="15"/>
      <c r="BS980" s="15"/>
      <c r="BT980" s="11"/>
      <c r="BU980" s="15"/>
      <c r="BV980" s="11"/>
      <c r="BW980" s="11"/>
      <c r="BX980" s="15"/>
      <c r="BY980" s="11"/>
      <c r="BZ980" s="11"/>
      <c r="CA980" s="15"/>
      <c r="CB980" s="11"/>
      <c r="CC980" s="15"/>
      <c r="CD980" s="11"/>
      <c r="CE980" s="15"/>
      <c r="CF980" s="11"/>
      <c r="CG980" s="11"/>
      <c r="CH980" s="15"/>
      <c r="CI980" s="11"/>
      <c r="CJ980" s="11"/>
      <c r="CK980" s="15"/>
      <c r="CL980" s="11"/>
      <c r="CM980" s="11"/>
      <c r="CN980" s="11"/>
      <c r="CO980" s="11"/>
      <c r="CP980" s="28"/>
      <c r="CQ980" s="28"/>
      <c r="CR980" s="11"/>
      <c r="CS980" s="29"/>
      <c r="CT980" s="11"/>
      <c r="CU980" s="11"/>
      <c r="CV980" s="11"/>
      <c r="CW980" s="11"/>
      <c r="CX980" s="11"/>
      <c r="CY980" s="11"/>
      <c r="CZ980" s="11"/>
      <c r="DA980" s="28"/>
      <c r="DB980" s="28"/>
      <c r="DC980" s="11"/>
      <c r="DD980" s="29"/>
      <c r="DE980" s="11"/>
      <c r="DF980" s="11"/>
      <c r="DG980" s="11"/>
      <c r="DH980" s="11"/>
      <c r="DI980" s="11"/>
      <c r="DJ980" s="11"/>
      <c r="DK980" s="26"/>
      <c r="DL980" s="11"/>
      <c r="DM980" s="29"/>
      <c r="DN980" s="28"/>
      <c r="DO980" s="11"/>
      <c r="DP980" s="11"/>
      <c r="DQ980" s="11"/>
      <c r="DR980" s="29"/>
      <c r="DS980" s="28"/>
      <c r="DT980" s="11"/>
      <c r="DU980" s="26"/>
      <c r="DV980" s="11"/>
      <c r="DW980" s="29"/>
      <c r="DX980" s="28"/>
      <c r="DY980" s="11"/>
      <c r="DZ980" s="26"/>
      <c r="EA980" s="11"/>
      <c r="EB980" s="29"/>
      <c r="EC980" s="28"/>
      <c r="ED980" s="30"/>
      <c r="EE980" s="30" t="str">
        <f ca="1">IFERROR(__xludf.DUMMYFUNCTION("iferror(index(filter('Internal -- Trademark Countries'!E$2:E1000, (AM980 = 'Internal -- Trademark Countries'!B$2:B1000) + (AM980 = 'Internal -- Trademark Countries'!C$2:C1000) + (AM980 = 'Internal -- Trademark Countries'!D$2:D1000)), 1))"),"")</f>
        <v/>
      </c>
      <c r="EF980" s="30" t="e">
        <f ca="1">_xludf.ifs(AM980="", "", COUNTIF('Internal -- Trademark Countries'!B:B,AM980) &gt; 0, "polity_shortest_name", COUNTIF('Internal -- Trademark Countries'!C:C,AM980) &gt; 0, "polity_full_name", COUNTIF('Internal -- Trademark Countries'!D:D,AM980) &gt; 0, "polity_common_name", COUNTIF('Internal -- Trademark Countries'!E:E,AM980) &gt; 0, "shortest_name", COUNTIF('Internal -- Trademark Countries'!A:A,AM980) &gt; 0, "full_name", TRUE, "not a match")</f>
        <v>#NAME?</v>
      </c>
      <c r="EG980" s="30"/>
      <c r="EH980" s="30"/>
      <c r="EI980" s="30"/>
      <c r="EJ980" s="30"/>
      <c r="EK980" s="30" t="str">
        <f t="shared" si="5"/>
        <v/>
      </c>
    </row>
    <row r="981" spans="1:141" ht="16.5">
      <c r="A981" s="11"/>
      <c r="B981" s="11"/>
      <c r="C981" s="11"/>
      <c r="D981" s="11"/>
      <c r="E981" s="11"/>
      <c r="F981" s="11"/>
      <c r="G981" s="11"/>
      <c r="H981" s="11"/>
      <c r="I981" s="11"/>
      <c r="J981" s="11"/>
      <c r="K981" s="27"/>
      <c r="L981" s="11"/>
      <c r="M981" s="11"/>
      <c r="N981" s="11"/>
      <c r="O981" s="11"/>
      <c r="P981" s="15"/>
      <c r="Q981" s="15"/>
      <c r="R981" s="15"/>
      <c r="S981" s="15"/>
      <c r="T981" s="15"/>
      <c r="U981" s="15"/>
      <c r="V981" s="15"/>
      <c r="W981" s="47"/>
      <c r="X981" s="11"/>
      <c r="Y981" s="48"/>
      <c r="Z981" s="11"/>
      <c r="AA981" s="48"/>
      <c r="AB981" s="11"/>
      <c r="AC981" s="48"/>
      <c r="AD981" s="11"/>
      <c r="AE981" s="47"/>
      <c r="AF981" s="11"/>
      <c r="AG981" s="48"/>
      <c r="AH981" s="11"/>
      <c r="AI981" s="48"/>
      <c r="AJ981" s="11"/>
      <c r="AK981" s="48"/>
      <c r="AL981" s="11"/>
      <c r="AM981" s="49"/>
      <c r="AN981" s="49"/>
      <c r="AO981" s="11"/>
      <c r="AP981" s="11"/>
      <c r="AQ981" s="28" t="b">
        <f>IF(COUNTIF(SmartStatus!A$2:A1000, AM981) &gt; 2, TRUE, FALSE)</f>
        <v>0</v>
      </c>
      <c r="AR981" s="29" t="str">
        <f ca="1">IFERROR(__xludf.DUMMYFUNCTION("iferror(if(regexmatch(AO981, ""(?i)^registered""), if(EE981 &lt;&gt; ""polity_shortest_name"", ""CHECK_POLITY"", index(filter(SmartStatus!B$2:B1000, AM981 = SmartStatus!A$2:A1000, not(SmartStatus!C$2:C1000), (isblank(SmartStatus!D$2:D1000)) + ((P981 &lt;&gt; """") * "&amp;"(P981 &lt; SmartStatus!D$2:D1000)), (isblank(SmartStatus!E$2:E1000)) + ((P981 &lt;&gt; """") * (P981 &gt;= SmartStatus!E$2:E1000)), (isblank(SmartStatus!F$2:F1000)) + (((Q981 &lt;&gt; """") * (Q981 &lt; SmartStatus!F$2:F1000)) + ((P981 &lt;&gt; """") * (date(year(P981) + 3, month(P"&amp;"981), day(P981)) &lt; SmartStatus!F$2:F1000))), (isblank(SmartStatus!G$2:G1000)) + (((Q981 &lt;&gt; """") * (Q981 &gt;= SmartStatus!G$2:G1000)) + ((P981 &lt;&gt; """") * (P981 &gt;= SmartStatus!G$2:G1000)))), if(or(regexmatch(B981, ""(?i)^ir [a-z]+ designation$""), N981 &lt;&gt; """&amp;"""), 1, 2))), """"), ""NO_MATCH"")"),"")</f>
        <v/>
      </c>
      <c r="AS981" s="11"/>
      <c r="AT981" s="15"/>
      <c r="AU981" s="11"/>
      <c r="AV981" s="11"/>
      <c r="AW981" s="15"/>
      <c r="AX981" s="15"/>
      <c r="AY981" s="15"/>
      <c r="AZ981" s="11"/>
      <c r="BA981" s="15"/>
      <c r="BB981" s="11"/>
      <c r="BC981" s="11"/>
      <c r="BD981" s="15"/>
      <c r="BE981" s="11"/>
      <c r="BF981" s="11"/>
      <c r="BG981" s="15"/>
      <c r="BH981" s="15"/>
      <c r="BI981" s="15"/>
      <c r="BJ981" s="11"/>
      <c r="BK981" s="15"/>
      <c r="BL981" s="11"/>
      <c r="BM981" s="11"/>
      <c r="BN981" s="15"/>
      <c r="BO981" s="11"/>
      <c r="BP981" s="11"/>
      <c r="BQ981" s="15"/>
      <c r="BR981" s="15"/>
      <c r="BS981" s="15"/>
      <c r="BT981" s="11"/>
      <c r="BU981" s="15"/>
      <c r="BV981" s="11"/>
      <c r="BW981" s="11"/>
      <c r="BX981" s="15"/>
      <c r="BY981" s="11"/>
      <c r="BZ981" s="11"/>
      <c r="CA981" s="15"/>
      <c r="CB981" s="11"/>
      <c r="CC981" s="15"/>
      <c r="CD981" s="11"/>
      <c r="CE981" s="15"/>
      <c r="CF981" s="11"/>
      <c r="CG981" s="11"/>
      <c r="CH981" s="15"/>
      <c r="CI981" s="11"/>
      <c r="CJ981" s="11"/>
      <c r="CK981" s="15"/>
      <c r="CL981" s="11"/>
      <c r="CM981" s="11"/>
      <c r="CN981" s="11"/>
      <c r="CO981" s="11"/>
      <c r="CP981" s="28"/>
      <c r="CQ981" s="28"/>
      <c r="CR981" s="11"/>
      <c r="CS981" s="29"/>
      <c r="CT981" s="11"/>
      <c r="CU981" s="11"/>
      <c r="CV981" s="11"/>
      <c r="CW981" s="11"/>
      <c r="CX981" s="11"/>
      <c r="CY981" s="11"/>
      <c r="CZ981" s="11"/>
      <c r="DA981" s="28"/>
      <c r="DB981" s="28"/>
      <c r="DC981" s="11"/>
      <c r="DD981" s="29"/>
      <c r="DE981" s="11"/>
      <c r="DF981" s="11"/>
      <c r="DG981" s="11"/>
      <c r="DH981" s="11"/>
      <c r="DI981" s="11"/>
      <c r="DJ981" s="11"/>
      <c r="DK981" s="26"/>
      <c r="DL981" s="11"/>
      <c r="DM981" s="29"/>
      <c r="DN981" s="28"/>
      <c r="DO981" s="11"/>
      <c r="DP981" s="11"/>
      <c r="DQ981" s="11"/>
      <c r="DR981" s="29"/>
      <c r="DS981" s="28"/>
      <c r="DT981" s="11"/>
      <c r="DU981" s="26"/>
      <c r="DV981" s="11"/>
      <c r="DW981" s="29"/>
      <c r="DX981" s="28"/>
      <c r="DY981" s="11"/>
      <c r="DZ981" s="26"/>
      <c r="EA981" s="11"/>
      <c r="EB981" s="29"/>
      <c r="EC981" s="28"/>
      <c r="ED981" s="30"/>
      <c r="EE981" s="30" t="str">
        <f ca="1">IFERROR(__xludf.DUMMYFUNCTION("iferror(index(filter('Internal -- Trademark Countries'!E$2:E1000, (AM981 = 'Internal -- Trademark Countries'!B$2:B1000) + (AM981 = 'Internal -- Trademark Countries'!C$2:C1000) + (AM981 = 'Internal -- Trademark Countries'!D$2:D1000)), 1))"),"")</f>
        <v/>
      </c>
      <c r="EF981" s="30" t="e">
        <f ca="1">_xludf.ifs(AM981="", "", COUNTIF('Internal -- Trademark Countries'!B:B,AM981) &gt; 0, "polity_shortest_name", COUNTIF('Internal -- Trademark Countries'!C:C,AM981) &gt; 0, "polity_full_name", COUNTIF('Internal -- Trademark Countries'!D:D,AM981) &gt; 0, "polity_common_name", COUNTIF('Internal -- Trademark Countries'!E:E,AM981) &gt; 0, "shortest_name", COUNTIF('Internal -- Trademark Countries'!A:A,AM981) &gt; 0, "full_name", TRUE, "not a match")</f>
        <v>#NAME?</v>
      </c>
      <c r="EG981" s="30"/>
      <c r="EH981" s="30"/>
      <c r="EI981" s="30"/>
      <c r="EJ981" s="30"/>
      <c r="EK981" s="30" t="str">
        <f t="shared" si="5"/>
        <v/>
      </c>
    </row>
    <row r="982" spans="1:141" ht="16.5">
      <c r="A982" s="11"/>
      <c r="B982" s="11"/>
      <c r="C982" s="11"/>
      <c r="D982" s="11"/>
      <c r="E982" s="11"/>
      <c r="F982" s="11"/>
      <c r="G982" s="11"/>
      <c r="H982" s="11"/>
      <c r="I982" s="11"/>
      <c r="J982" s="11"/>
      <c r="K982" s="27"/>
      <c r="L982" s="11"/>
      <c r="M982" s="11"/>
      <c r="N982" s="11"/>
      <c r="O982" s="11"/>
      <c r="P982" s="15"/>
      <c r="Q982" s="15"/>
      <c r="R982" s="15"/>
      <c r="S982" s="15"/>
      <c r="T982" s="15"/>
      <c r="U982" s="15"/>
      <c r="V982" s="15"/>
      <c r="W982" s="47"/>
      <c r="X982" s="11"/>
      <c r="Y982" s="48"/>
      <c r="Z982" s="11"/>
      <c r="AA982" s="48"/>
      <c r="AB982" s="11"/>
      <c r="AC982" s="48"/>
      <c r="AD982" s="11"/>
      <c r="AE982" s="47"/>
      <c r="AF982" s="11"/>
      <c r="AG982" s="48"/>
      <c r="AH982" s="11"/>
      <c r="AI982" s="48"/>
      <c r="AJ982" s="11"/>
      <c r="AK982" s="48"/>
      <c r="AL982" s="11"/>
      <c r="AM982" s="49"/>
      <c r="AN982" s="49"/>
      <c r="AO982" s="11"/>
      <c r="AP982" s="11"/>
      <c r="AQ982" s="28" t="b">
        <f>IF(COUNTIF(SmartStatus!A$2:A1000, AM982) &gt; 2, TRUE, FALSE)</f>
        <v>0</v>
      </c>
      <c r="AR982" s="29" t="str">
        <f ca="1">IFERROR(__xludf.DUMMYFUNCTION("iferror(if(regexmatch(AO982, ""(?i)^registered""), if(EE982 &lt;&gt; ""polity_shortest_name"", ""CHECK_POLITY"", index(filter(SmartStatus!B$2:B1000, AM982 = SmartStatus!A$2:A1000, not(SmartStatus!C$2:C1000), (isblank(SmartStatus!D$2:D1000)) + ((P982 &lt;&gt; """") * "&amp;"(P982 &lt; SmartStatus!D$2:D1000)), (isblank(SmartStatus!E$2:E1000)) + ((P982 &lt;&gt; """") * (P982 &gt;= SmartStatus!E$2:E1000)), (isblank(SmartStatus!F$2:F1000)) + (((Q982 &lt;&gt; """") * (Q982 &lt; SmartStatus!F$2:F1000)) + ((P982 &lt;&gt; """") * (date(year(P982) + 3, month(P"&amp;"982), day(P982)) &lt; SmartStatus!F$2:F1000))), (isblank(SmartStatus!G$2:G1000)) + (((Q982 &lt;&gt; """") * (Q982 &gt;= SmartStatus!G$2:G1000)) + ((P982 &lt;&gt; """") * (P982 &gt;= SmartStatus!G$2:G1000)))), if(or(regexmatch(B982, ""(?i)^ir [a-z]+ designation$""), N982 &lt;&gt; """&amp;"""), 1, 2))), """"), ""NO_MATCH"")"),"")</f>
        <v/>
      </c>
      <c r="AS982" s="11"/>
      <c r="AT982" s="15"/>
      <c r="AU982" s="11"/>
      <c r="AV982" s="11"/>
      <c r="AW982" s="15"/>
      <c r="AX982" s="15"/>
      <c r="AY982" s="15"/>
      <c r="AZ982" s="11"/>
      <c r="BA982" s="15"/>
      <c r="BB982" s="11"/>
      <c r="BC982" s="11"/>
      <c r="BD982" s="15"/>
      <c r="BE982" s="11"/>
      <c r="BF982" s="11"/>
      <c r="BG982" s="15"/>
      <c r="BH982" s="15"/>
      <c r="BI982" s="15"/>
      <c r="BJ982" s="11"/>
      <c r="BK982" s="15"/>
      <c r="BL982" s="11"/>
      <c r="BM982" s="11"/>
      <c r="BN982" s="15"/>
      <c r="BO982" s="11"/>
      <c r="BP982" s="11"/>
      <c r="BQ982" s="15"/>
      <c r="BR982" s="15"/>
      <c r="BS982" s="15"/>
      <c r="BT982" s="11"/>
      <c r="BU982" s="15"/>
      <c r="BV982" s="11"/>
      <c r="BW982" s="11"/>
      <c r="BX982" s="15"/>
      <c r="BY982" s="11"/>
      <c r="BZ982" s="11"/>
      <c r="CA982" s="15"/>
      <c r="CB982" s="11"/>
      <c r="CC982" s="15"/>
      <c r="CD982" s="11"/>
      <c r="CE982" s="15"/>
      <c r="CF982" s="11"/>
      <c r="CG982" s="11"/>
      <c r="CH982" s="15"/>
      <c r="CI982" s="11"/>
      <c r="CJ982" s="11"/>
      <c r="CK982" s="15"/>
      <c r="CL982" s="11"/>
      <c r="CM982" s="11"/>
      <c r="CN982" s="11"/>
      <c r="CO982" s="11"/>
      <c r="CP982" s="28"/>
      <c r="CQ982" s="28"/>
      <c r="CR982" s="11"/>
      <c r="CS982" s="29"/>
      <c r="CT982" s="11"/>
      <c r="CU982" s="11"/>
      <c r="CV982" s="11"/>
      <c r="CW982" s="11"/>
      <c r="CX982" s="11"/>
      <c r="CY982" s="11"/>
      <c r="CZ982" s="11"/>
      <c r="DA982" s="28"/>
      <c r="DB982" s="28"/>
      <c r="DC982" s="11"/>
      <c r="DD982" s="29"/>
      <c r="DE982" s="11"/>
      <c r="DF982" s="11"/>
      <c r="DG982" s="11"/>
      <c r="DH982" s="11"/>
      <c r="DI982" s="11"/>
      <c r="DJ982" s="11"/>
      <c r="DK982" s="26"/>
      <c r="DL982" s="11"/>
      <c r="DM982" s="29"/>
      <c r="DN982" s="28"/>
      <c r="DO982" s="11"/>
      <c r="DP982" s="11"/>
      <c r="DQ982" s="11"/>
      <c r="DR982" s="29"/>
      <c r="DS982" s="28"/>
      <c r="DT982" s="11"/>
      <c r="DU982" s="26"/>
      <c r="DV982" s="11"/>
      <c r="DW982" s="29"/>
      <c r="DX982" s="28"/>
      <c r="DY982" s="11"/>
      <c r="DZ982" s="26"/>
      <c r="EA982" s="11"/>
      <c r="EB982" s="29"/>
      <c r="EC982" s="28"/>
      <c r="ED982" s="30"/>
      <c r="EE982" s="30" t="str">
        <f ca="1">IFERROR(__xludf.DUMMYFUNCTION("iferror(index(filter('Internal -- Trademark Countries'!E$2:E1000, (AM982 = 'Internal -- Trademark Countries'!B$2:B1000) + (AM982 = 'Internal -- Trademark Countries'!C$2:C1000) + (AM982 = 'Internal -- Trademark Countries'!D$2:D1000)), 1))"),"")</f>
        <v/>
      </c>
      <c r="EF982" s="30" t="e">
        <f ca="1">_xludf.ifs(AM982="", "", COUNTIF('Internal -- Trademark Countries'!B:B,AM982) &gt; 0, "polity_shortest_name", COUNTIF('Internal -- Trademark Countries'!C:C,AM982) &gt; 0, "polity_full_name", COUNTIF('Internal -- Trademark Countries'!D:D,AM982) &gt; 0, "polity_common_name", COUNTIF('Internal -- Trademark Countries'!E:E,AM982) &gt; 0, "shortest_name", COUNTIF('Internal -- Trademark Countries'!A:A,AM982) &gt; 0, "full_name", TRUE, "not a match")</f>
        <v>#NAME?</v>
      </c>
      <c r="EG982" s="30"/>
      <c r="EH982" s="30"/>
      <c r="EI982" s="30"/>
      <c r="EJ982" s="30"/>
      <c r="EK982" s="30" t="str">
        <f t="shared" si="5"/>
        <v/>
      </c>
    </row>
    <row r="983" spans="1:141" ht="16.5">
      <c r="A983" s="11"/>
      <c r="B983" s="11"/>
      <c r="C983" s="11"/>
      <c r="D983" s="11"/>
      <c r="E983" s="11"/>
      <c r="F983" s="11"/>
      <c r="G983" s="11"/>
      <c r="H983" s="11"/>
      <c r="I983" s="11"/>
      <c r="J983" s="11"/>
      <c r="K983" s="27"/>
      <c r="L983" s="11"/>
      <c r="M983" s="11"/>
      <c r="N983" s="11"/>
      <c r="O983" s="11"/>
      <c r="P983" s="15"/>
      <c r="Q983" s="15"/>
      <c r="R983" s="15"/>
      <c r="S983" s="15"/>
      <c r="T983" s="15"/>
      <c r="U983" s="15"/>
      <c r="V983" s="15"/>
      <c r="W983" s="47"/>
      <c r="X983" s="11"/>
      <c r="Y983" s="48"/>
      <c r="Z983" s="11"/>
      <c r="AA983" s="48"/>
      <c r="AB983" s="11"/>
      <c r="AC983" s="48"/>
      <c r="AD983" s="11"/>
      <c r="AE983" s="47"/>
      <c r="AF983" s="11"/>
      <c r="AG983" s="48"/>
      <c r="AH983" s="11"/>
      <c r="AI983" s="48"/>
      <c r="AJ983" s="11"/>
      <c r="AK983" s="48"/>
      <c r="AL983" s="11"/>
      <c r="AM983" s="49"/>
      <c r="AN983" s="49"/>
      <c r="AO983" s="11"/>
      <c r="AP983" s="11"/>
      <c r="AQ983" s="28" t="b">
        <f>IF(COUNTIF(SmartStatus!A$2:A1000, AM983) &gt; 2, TRUE, FALSE)</f>
        <v>0</v>
      </c>
      <c r="AR983" s="29" t="str">
        <f ca="1">IFERROR(__xludf.DUMMYFUNCTION("iferror(if(regexmatch(AO983, ""(?i)^registered""), if(EE983 &lt;&gt; ""polity_shortest_name"", ""CHECK_POLITY"", index(filter(SmartStatus!B$2:B1000, AM983 = SmartStatus!A$2:A1000, not(SmartStatus!C$2:C1000), (isblank(SmartStatus!D$2:D1000)) + ((P983 &lt;&gt; """") * "&amp;"(P983 &lt; SmartStatus!D$2:D1000)), (isblank(SmartStatus!E$2:E1000)) + ((P983 &lt;&gt; """") * (P983 &gt;= SmartStatus!E$2:E1000)), (isblank(SmartStatus!F$2:F1000)) + (((Q983 &lt;&gt; """") * (Q983 &lt; SmartStatus!F$2:F1000)) + ((P983 &lt;&gt; """") * (date(year(P983) + 3, month(P"&amp;"983), day(P983)) &lt; SmartStatus!F$2:F1000))), (isblank(SmartStatus!G$2:G1000)) + (((Q983 &lt;&gt; """") * (Q983 &gt;= SmartStatus!G$2:G1000)) + ((P983 &lt;&gt; """") * (P983 &gt;= SmartStatus!G$2:G1000)))), if(or(regexmatch(B983, ""(?i)^ir [a-z]+ designation$""), N983 &lt;&gt; """&amp;"""), 1, 2))), """"), ""NO_MATCH"")"),"")</f>
        <v/>
      </c>
      <c r="AS983" s="11"/>
      <c r="AT983" s="15"/>
      <c r="AU983" s="11"/>
      <c r="AV983" s="11"/>
      <c r="AW983" s="15"/>
      <c r="AX983" s="15"/>
      <c r="AY983" s="15"/>
      <c r="AZ983" s="11"/>
      <c r="BA983" s="15"/>
      <c r="BB983" s="11"/>
      <c r="BC983" s="11"/>
      <c r="BD983" s="15"/>
      <c r="BE983" s="11"/>
      <c r="BF983" s="11"/>
      <c r="BG983" s="15"/>
      <c r="BH983" s="15"/>
      <c r="BI983" s="15"/>
      <c r="BJ983" s="11"/>
      <c r="BK983" s="15"/>
      <c r="BL983" s="11"/>
      <c r="BM983" s="11"/>
      <c r="BN983" s="15"/>
      <c r="BO983" s="11"/>
      <c r="BP983" s="11"/>
      <c r="BQ983" s="15"/>
      <c r="BR983" s="15"/>
      <c r="BS983" s="15"/>
      <c r="BT983" s="11"/>
      <c r="BU983" s="15"/>
      <c r="BV983" s="11"/>
      <c r="BW983" s="11"/>
      <c r="BX983" s="15"/>
      <c r="BY983" s="11"/>
      <c r="BZ983" s="11"/>
      <c r="CA983" s="15"/>
      <c r="CB983" s="11"/>
      <c r="CC983" s="15"/>
      <c r="CD983" s="11"/>
      <c r="CE983" s="15"/>
      <c r="CF983" s="11"/>
      <c r="CG983" s="11"/>
      <c r="CH983" s="15"/>
      <c r="CI983" s="11"/>
      <c r="CJ983" s="11"/>
      <c r="CK983" s="15"/>
      <c r="CL983" s="11"/>
      <c r="CM983" s="11"/>
      <c r="CN983" s="11"/>
      <c r="CO983" s="11"/>
      <c r="CP983" s="28"/>
      <c r="CQ983" s="28"/>
      <c r="CR983" s="11"/>
      <c r="CS983" s="29"/>
      <c r="CT983" s="11"/>
      <c r="CU983" s="11"/>
      <c r="CV983" s="11"/>
      <c r="CW983" s="11"/>
      <c r="CX983" s="11"/>
      <c r="CY983" s="11"/>
      <c r="CZ983" s="11"/>
      <c r="DA983" s="28"/>
      <c r="DB983" s="28"/>
      <c r="DC983" s="11"/>
      <c r="DD983" s="29"/>
      <c r="DE983" s="11"/>
      <c r="DF983" s="11"/>
      <c r="DG983" s="11"/>
      <c r="DH983" s="11"/>
      <c r="DI983" s="11"/>
      <c r="DJ983" s="11"/>
      <c r="DK983" s="26"/>
      <c r="DL983" s="11"/>
      <c r="DM983" s="29"/>
      <c r="DN983" s="28"/>
      <c r="DO983" s="11"/>
      <c r="DP983" s="11"/>
      <c r="DQ983" s="11"/>
      <c r="DR983" s="29"/>
      <c r="DS983" s="28"/>
      <c r="DT983" s="11"/>
      <c r="DU983" s="26"/>
      <c r="DV983" s="11"/>
      <c r="DW983" s="29"/>
      <c r="DX983" s="28"/>
      <c r="DY983" s="11"/>
      <c r="DZ983" s="26"/>
      <c r="EA983" s="11"/>
      <c r="EB983" s="29"/>
      <c r="EC983" s="28"/>
      <c r="ED983" s="30"/>
      <c r="EE983" s="30" t="str">
        <f ca="1">IFERROR(__xludf.DUMMYFUNCTION("iferror(index(filter('Internal -- Trademark Countries'!E$2:E1000, (AM983 = 'Internal -- Trademark Countries'!B$2:B1000) + (AM983 = 'Internal -- Trademark Countries'!C$2:C1000) + (AM983 = 'Internal -- Trademark Countries'!D$2:D1000)), 1))"),"")</f>
        <v/>
      </c>
      <c r="EF983" s="30" t="e">
        <f ca="1">_xludf.ifs(AM983="", "", COUNTIF('Internal -- Trademark Countries'!B:B,AM983) &gt; 0, "polity_shortest_name", COUNTIF('Internal -- Trademark Countries'!C:C,AM983) &gt; 0, "polity_full_name", COUNTIF('Internal -- Trademark Countries'!D:D,AM983) &gt; 0, "polity_common_name", COUNTIF('Internal -- Trademark Countries'!E:E,AM983) &gt; 0, "shortest_name", COUNTIF('Internal -- Trademark Countries'!A:A,AM983) &gt; 0, "full_name", TRUE, "not a match")</f>
        <v>#NAME?</v>
      </c>
      <c r="EG983" s="30"/>
      <c r="EH983" s="30"/>
      <c r="EI983" s="30"/>
      <c r="EJ983" s="30"/>
      <c r="EK983" s="30" t="str">
        <f t="shared" si="5"/>
        <v/>
      </c>
    </row>
    <row r="984" spans="1:141" ht="16.5">
      <c r="A984" s="11"/>
      <c r="B984" s="11"/>
      <c r="C984" s="11"/>
      <c r="D984" s="11"/>
      <c r="E984" s="11"/>
      <c r="F984" s="11"/>
      <c r="G984" s="11"/>
      <c r="H984" s="11"/>
      <c r="I984" s="11"/>
      <c r="J984" s="11"/>
      <c r="K984" s="27"/>
      <c r="L984" s="11"/>
      <c r="M984" s="11"/>
      <c r="N984" s="11"/>
      <c r="O984" s="11"/>
      <c r="P984" s="15"/>
      <c r="Q984" s="15"/>
      <c r="R984" s="15"/>
      <c r="S984" s="15"/>
      <c r="T984" s="15"/>
      <c r="U984" s="15"/>
      <c r="V984" s="15"/>
      <c r="W984" s="47"/>
      <c r="X984" s="11"/>
      <c r="Y984" s="48"/>
      <c r="Z984" s="11"/>
      <c r="AA984" s="48"/>
      <c r="AB984" s="11"/>
      <c r="AC984" s="48"/>
      <c r="AD984" s="11"/>
      <c r="AE984" s="47"/>
      <c r="AF984" s="11"/>
      <c r="AG984" s="48"/>
      <c r="AH984" s="11"/>
      <c r="AI984" s="48"/>
      <c r="AJ984" s="11"/>
      <c r="AK984" s="48"/>
      <c r="AL984" s="11"/>
      <c r="AM984" s="49"/>
      <c r="AN984" s="49"/>
      <c r="AO984" s="11"/>
      <c r="AP984" s="11"/>
      <c r="AQ984" s="28" t="b">
        <f>IF(COUNTIF(SmartStatus!A$2:A1000, AM984) &gt; 2, TRUE, FALSE)</f>
        <v>0</v>
      </c>
      <c r="AR984" s="29" t="str">
        <f ca="1">IFERROR(__xludf.DUMMYFUNCTION("iferror(if(regexmatch(AO984, ""(?i)^registered""), if(EE984 &lt;&gt; ""polity_shortest_name"", ""CHECK_POLITY"", index(filter(SmartStatus!B$2:B1000, AM984 = SmartStatus!A$2:A1000, not(SmartStatus!C$2:C1000), (isblank(SmartStatus!D$2:D1000)) + ((P984 &lt;&gt; """") * "&amp;"(P984 &lt; SmartStatus!D$2:D1000)), (isblank(SmartStatus!E$2:E1000)) + ((P984 &lt;&gt; """") * (P984 &gt;= SmartStatus!E$2:E1000)), (isblank(SmartStatus!F$2:F1000)) + (((Q984 &lt;&gt; """") * (Q984 &lt; SmartStatus!F$2:F1000)) + ((P984 &lt;&gt; """") * (date(year(P984) + 3, month(P"&amp;"984), day(P984)) &lt; SmartStatus!F$2:F1000))), (isblank(SmartStatus!G$2:G1000)) + (((Q984 &lt;&gt; """") * (Q984 &gt;= SmartStatus!G$2:G1000)) + ((P984 &lt;&gt; """") * (P984 &gt;= SmartStatus!G$2:G1000)))), if(or(regexmatch(B984, ""(?i)^ir [a-z]+ designation$""), N984 &lt;&gt; """&amp;"""), 1, 2))), """"), ""NO_MATCH"")"),"")</f>
        <v/>
      </c>
      <c r="AS984" s="11"/>
      <c r="AT984" s="15"/>
      <c r="AU984" s="11"/>
      <c r="AV984" s="11"/>
      <c r="AW984" s="15"/>
      <c r="AX984" s="15"/>
      <c r="AY984" s="15"/>
      <c r="AZ984" s="11"/>
      <c r="BA984" s="15"/>
      <c r="BB984" s="11"/>
      <c r="BC984" s="11"/>
      <c r="BD984" s="15"/>
      <c r="BE984" s="11"/>
      <c r="BF984" s="11"/>
      <c r="BG984" s="15"/>
      <c r="BH984" s="15"/>
      <c r="BI984" s="15"/>
      <c r="BJ984" s="11"/>
      <c r="BK984" s="15"/>
      <c r="BL984" s="11"/>
      <c r="BM984" s="11"/>
      <c r="BN984" s="15"/>
      <c r="BO984" s="11"/>
      <c r="BP984" s="11"/>
      <c r="BQ984" s="15"/>
      <c r="BR984" s="15"/>
      <c r="BS984" s="15"/>
      <c r="BT984" s="11"/>
      <c r="BU984" s="15"/>
      <c r="BV984" s="11"/>
      <c r="BW984" s="11"/>
      <c r="BX984" s="15"/>
      <c r="BY984" s="11"/>
      <c r="BZ984" s="11"/>
      <c r="CA984" s="15"/>
      <c r="CB984" s="11"/>
      <c r="CC984" s="15"/>
      <c r="CD984" s="11"/>
      <c r="CE984" s="15"/>
      <c r="CF984" s="11"/>
      <c r="CG984" s="11"/>
      <c r="CH984" s="15"/>
      <c r="CI984" s="11"/>
      <c r="CJ984" s="11"/>
      <c r="CK984" s="15"/>
      <c r="CL984" s="11"/>
      <c r="CM984" s="11"/>
      <c r="CN984" s="11"/>
      <c r="CO984" s="11"/>
      <c r="CP984" s="28"/>
      <c r="CQ984" s="28"/>
      <c r="CR984" s="11"/>
      <c r="CS984" s="29"/>
      <c r="CT984" s="11"/>
      <c r="CU984" s="11"/>
      <c r="CV984" s="11"/>
      <c r="CW984" s="11"/>
      <c r="CX984" s="11"/>
      <c r="CY984" s="11"/>
      <c r="CZ984" s="11"/>
      <c r="DA984" s="28"/>
      <c r="DB984" s="28"/>
      <c r="DC984" s="11"/>
      <c r="DD984" s="29"/>
      <c r="DE984" s="11"/>
      <c r="DF984" s="11"/>
      <c r="DG984" s="11"/>
      <c r="DH984" s="11"/>
      <c r="DI984" s="11"/>
      <c r="DJ984" s="11"/>
      <c r="DK984" s="26"/>
      <c r="DL984" s="11"/>
      <c r="DM984" s="29"/>
      <c r="DN984" s="28"/>
      <c r="DO984" s="11"/>
      <c r="DP984" s="11"/>
      <c r="DQ984" s="11"/>
      <c r="DR984" s="29"/>
      <c r="DS984" s="28"/>
      <c r="DT984" s="11"/>
      <c r="DU984" s="26"/>
      <c r="DV984" s="11"/>
      <c r="DW984" s="29"/>
      <c r="DX984" s="28"/>
      <c r="DY984" s="11"/>
      <c r="DZ984" s="26"/>
      <c r="EA984" s="11"/>
      <c r="EB984" s="29"/>
      <c r="EC984" s="28"/>
      <c r="ED984" s="30"/>
      <c r="EE984" s="30" t="str">
        <f ca="1">IFERROR(__xludf.DUMMYFUNCTION("iferror(index(filter('Internal -- Trademark Countries'!E$2:E1000, (AM984 = 'Internal -- Trademark Countries'!B$2:B1000) + (AM984 = 'Internal -- Trademark Countries'!C$2:C1000) + (AM984 = 'Internal -- Trademark Countries'!D$2:D1000)), 1))"),"")</f>
        <v/>
      </c>
      <c r="EF984" s="30" t="e">
        <f ca="1">_xludf.ifs(AM984="", "", COUNTIF('Internal -- Trademark Countries'!B:B,AM984) &gt; 0, "polity_shortest_name", COUNTIF('Internal -- Trademark Countries'!C:C,AM984) &gt; 0, "polity_full_name", COUNTIF('Internal -- Trademark Countries'!D:D,AM984) &gt; 0, "polity_common_name", COUNTIF('Internal -- Trademark Countries'!E:E,AM984) &gt; 0, "shortest_name", COUNTIF('Internal -- Trademark Countries'!A:A,AM984) &gt; 0, "full_name", TRUE, "not a match")</f>
        <v>#NAME?</v>
      </c>
      <c r="EG984" s="30"/>
      <c r="EH984" s="30"/>
      <c r="EI984" s="30"/>
      <c r="EJ984" s="30"/>
      <c r="EK984" s="30" t="str">
        <f t="shared" si="5"/>
        <v/>
      </c>
    </row>
    <row r="985" spans="1:141" ht="16.5">
      <c r="A985" s="11"/>
      <c r="B985" s="11"/>
      <c r="C985" s="11"/>
      <c r="D985" s="11"/>
      <c r="E985" s="11"/>
      <c r="F985" s="11"/>
      <c r="G985" s="11"/>
      <c r="H985" s="11"/>
      <c r="I985" s="11"/>
      <c r="J985" s="11"/>
      <c r="K985" s="27"/>
      <c r="L985" s="11"/>
      <c r="M985" s="11"/>
      <c r="N985" s="11"/>
      <c r="O985" s="11"/>
      <c r="P985" s="15"/>
      <c r="Q985" s="15"/>
      <c r="R985" s="15"/>
      <c r="S985" s="15"/>
      <c r="T985" s="15"/>
      <c r="U985" s="15"/>
      <c r="V985" s="15"/>
      <c r="W985" s="47"/>
      <c r="X985" s="11"/>
      <c r="Y985" s="48"/>
      <c r="Z985" s="11"/>
      <c r="AA985" s="48"/>
      <c r="AB985" s="11"/>
      <c r="AC985" s="48"/>
      <c r="AD985" s="11"/>
      <c r="AE985" s="47"/>
      <c r="AF985" s="11"/>
      <c r="AG985" s="48"/>
      <c r="AH985" s="11"/>
      <c r="AI985" s="48"/>
      <c r="AJ985" s="11"/>
      <c r="AK985" s="48"/>
      <c r="AL985" s="11"/>
      <c r="AM985" s="49"/>
      <c r="AN985" s="49"/>
      <c r="AO985" s="11"/>
      <c r="AP985" s="11"/>
      <c r="AQ985" s="28" t="b">
        <f>IF(COUNTIF(SmartStatus!A$2:A1000, AM985) &gt; 2, TRUE, FALSE)</f>
        <v>0</v>
      </c>
      <c r="AR985" s="29" t="str">
        <f ca="1">IFERROR(__xludf.DUMMYFUNCTION("iferror(if(regexmatch(AO985, ""(?i)^registered""), if(EE985 &lt;&gt; ""polity_shortest_name"", ""CHECK_POLITY"", index(filter(SmartStatus!B$2:B1000, AM985 = SmartStatus!A$2:A1000, not(SmartStatus!C$2:C1000), (isblank(SmartStatus!D$2:D1000)) + ((P985 &lt;&gt; """") * "&amp;"(P985 &lt; SmartStatus!D$2:D1000)), (isblank(SmartStatus!E$2:E1000)) + ((P985 &lt;&gt; """") * (P985 &gt;= SmartStatus!E$2:E1000)), (isblank(SmartStatus!F$2:F1000)) + (((Q985 &lt;&gt; """") * (Q985 &lt; SmartStatus!F$2:F1000)) + ((P985 &lt;&gt; """") * (date(year(P985) + 3, month(P"&amp;"985), day(P985)) &lt; SmartStatus!F$2:F1000))), (isblank(SmartStatus!G$2:G1000)) + (((Q985 &lt;&gt; """") * (Q985 &gt;= SmartStatus!G$2:G1000)) + ((P985 &lt;&gt; """") * (P985 &gt;= SmartStatus!G$2:G1000)))), if(or(regexmatch(B985, ""(?i)^ir [a-z]+ designation$""), N985 &lt;&gt; """&amp;"""), 1, 2))), """"), ""NO_MATCH"")"),"")</f>
        <v/>
      </c>
      <c r="AS985" s="11"/>
      <c r="AT985" s="15"/>
      <c r="AU985" s="11"/>
      <c r="AV985" s="11"/>
      <c r="AW985" s="15"/>
      <c r="AX985" s="15"/>
      <c r="AY985" s="15"/>
      <c r="AZ985" s="11"/>
      <c r="BA985" s="15"/>
      <c r="BB985" s="11"/>
      <c r="BC985" s="11"/>
      <c r="BD985" s="15"/>
      <c r="BE985" s="11"/>
      <c r="BF985" s="11"/>
      <c r="BG985" s="15"/>
      <c r="BH985" s="15"/>
      <c r="BI985" s="15"/>
      <c r="BJ985" s="11"/>
      <c r="BK985" s="15"/>
      <c r="BL985" s="11"/>
      <c r="BM985" s="11"/>
      <c r="BN985" s="15"/>
      <c r="BO985" s="11"/>
      <c r="BP985" s="11"/>
      <c r="BQ985" s="15"/>
      <c r="BR985" s="15"/>
      <c r="BS985" s="15"/>
      <c r="BT985" s="11"/>
      <c r="BU985" s="15"/>
      <c r="BV985" s="11"/>
      <c r="BW985" s="11"/>
      <c r="BX985" s="15"/>
      <c r="BY985" s="11"/>
      <c r="BZ985" s="11"/>
      <c r="CA985" s="15"/>
      <c r="CB985" s="11"/>
      <c r="CC985" s="15"/>
      <c r="CD985" s="11"/>
      <c r="CE985" s="15"/>
      <c r="CF985" s="11"/>
      <c r="CG985" s="11"/>
      <c r="CH985" s="15"/>
      <c r="CI985" s="11"/>
      <c r="CJ985" s="11"/>
      <c r="CK985" s="15"/>
      <c r="CL985" s="11"/>
      <c r="CM985" s="11"/>
      <c r="CN985" s="11"/>
      <c r="CO985" s="11"/>
      <c r="CP985" s="28"/>
      <c r="CQ985" s="28"/>
      <c r="CR985" s="11"/>
      <c r="CS985" s="29"/>
      <c r="CT985" s="11"/>
      <c r="CU985" s="11"/>
      <c r="CV985" s="11"/>
      <c r="CW985" s="11"/>
      <c r="CX985" s="11"/>
      <c r="CY985" s="11"/>
      <c r="CZ985" s="11"/>
      <c r="DA985" s="28"/>
      <c r="DB985" s="28"/>
      <c r="DC985" s="11"/>
      <c r="DD985" s="29"/>
      <c r="DE985" s="11"/>
      <c r="DF985" s="11"/>
      <c r="DG985" s="11"/>
      <c r="DH985" s="11"/>
      <c r="DI985" s="11"/>
      <c r="DJ985" s="11"/>
      <c r="DK985" s="26"/>
      <c r="DL985" s="11"/>
      <c r="DM985" s="29"/>
      <c r="DN985" s="28"/>
      <c r="DO985" s="11"/>
      <c r="DP985" s="11"/>
      <c r="DQ985" s="11"/>
      <c r="DR985" s="29"/>
      <c r="DS985" s="28"/>
      <c r="DT985" s="11"/>
      <c r="DU985" s="26"/>
      <c r="DV985" s="11"/>
      <c r="DW985" s="29"/>
      <c r="DX985" s="28"/>
      <c r="DY985" s="11"/>
      <c r="DZ985" s="26"/>
      <c r="EA985" s="11"/>
      <c r="EB985" s="29"/>
      <c r="EC985" s="28"/>
      <c r="ED985" s="30"/>
      <c r="EE985" s="30" t="str">
        <f ca="1">IFERROR(__xludf.DUMMYFUNCTION("iferror(index(filter('Internal -- Trademark Countries'!E$2:E1000, (AM985 = 'Internal -- Trademark Countries'!B$2:B1000) + (AM985 = 'Internal -- Trademark Countries'!C$2:C1000) + (AM985 = 'Internal -- Trademark Countries'!D$2:D1000)), 1))"),"")</f>
        <v/>
      </c>
      <c r="EF985" s="30" t="e">
        <f ca="1">_xludf.ifs(AM985="", "", COUNTIF('Internal -- Trademark Countries'!B:B,AM985) &gt; 0, "polity_shortest_name", COUNTIF('Internal -- Trademark Countries'!C:C,AM985) &gt; 0, "polity_full_name", COUNTIF('Internal -- Trademark Countries'!D:D,AM985) &gt; 0, "polity_common_name", COUNTIF('Internal -- Trademark Countries'!E:E,AM985) &gt; 0, "shortest_name", COUNTIF('Internal -- Trademark Countries'!A:A,AM985) &gt; 0, "full_name", TRUE, "not a match")</f>
        <v>#NAME?</v>
      </c>
      <c r="EG985" s="30"/>
      <c r="EH985" s="30"/>
      <c r="EI985" s="30"/>
      <c r="EJ985" s="30"/>
      <c r="EK985" s="30" t="str">
        <f t="shared" si="5"/>
        <v/>
      </c>
    </row>
    <row r="986" spans="1:141" ht="16.5">
      <c r="A986" s="11"/>
      <c r="B986" s="11"/>
      <c r="C986" s="11"/>
      <c r="D986" s="11"/>
      <c r="E986" s="11"/>
      <c r="F986" s="11"/>
      <c r="G986" s="11"/>
      <c r="H986" s="11"/>
      <c r="I986" s="11"/>
      <c r="J986" s="11"/>
      <c r="K986" s="27"/>
      <c r="L986" s="11"/>
      <c r="M986" s="11"/>
      <c r="N986" s="11"/>
      <c r="O986" s="11"/>
      <c r="P986" s="15"/>
      <c r="Q986" s="15"/>
      <c r="R986" s="15"/>
      <c r="S986" s="15"/>
      <c r="T986" s="15"/>
      <c r="U986" s="15"/>
      <c r="V986" s="15"/>
      <c r="W986" s="47"/>
      <c r="X986" s="11"/>
      <c r="Y986" s="48"/>
      <c r="Z986" s="11"/>
      <c r="AA986" s="48"/>
      <c r="AB986" s="11"/>
      <c r="AC986" s="48"/>
      <c r="AD986" s="11"/>
      <c r="AE986" s="47"/>
      <c r="AF986" s="11"/>
      <c r="AG986" s="48"/>
      <c r="AH986" s="11"/>
      <c r="AI986" s="48"/>
      <c r="AJ986" s="11"/>
      <c r="AK986" s="48"/>
      <c r="AL986" s="11"/>
      <c r="AM986" s="49"/>
      <c r="AN986" s="49"/>
      <c r="AO986" s="11"/>
      <c r="AP986" s="11"/>
      <c r="AQ986" s="28" t="b">
        <f>IF(COUNTIF(SmartStatus!A$2:A1000, AM986) &gt; 2, TRUE, FALSE)</f>
        <v>0</v>
      </c>
      <c r="AR986" s="29" t="str">
        <f ca="1">IFERROR(__xludf.DUMMYFUNCTION("iferror(if(regexmatch(AO986, ""(?i)^registered""), if(EE986 &lt;&gt; ""polity_shortest_name"", ""CHECK_POLITY"", index(filter(SmartStatus!B$2:B1000, AM986 = SmartStatus!A$2:A1000, not(SmartStatus!C$2:C1000), (isblank(SmartStatus!D$2:D1000)) + ((P986 &lt;&gt; """") * "&amp;"(P986 &lt; SmartStatus!D$2:D1000)), (isblank(SmartStatus!E$2:E1000)) + ((P986 &lt;&gt; """") * (P986 &gt;= SmartStatus!E$2:E1000)), (isblank(SmartStatus!F$2:F1000)) + (((Q986 &lt;&gt; """") * (Q986 &lt; SmartStatus!F$2:F1000)) + ((P986 &lt;&gt; """") * (date(year(P986) + 3, month(P"&amp;"986), day(P986)) &lt; SmartStatus!F$2:F1000))), (isblank(SmartStatus!G$2:G1000)) + (((Q986 &lt;&gt; """") * (Q986 &gt;= SmartStatus!G$2:G1000)) + ((P986 &lt;&gt; """") * (P986 &gt;= SmartStatus!G$2:G1000)))), if(or(regexmatch(B986, ""(?i)^ir [a-z]+ designation$""), N986 &lt;&gt; """&amp;"""), 1, 2))), """"), ""NO_MATCH"")"),"")</f>
        <v/>
      </c>
      <c r="AS986" s="11"/>
      <c r="AT986" s="15"/>
      <c r="AU986" s="11"/>
      <c r="AV986" s="11"/>
      <c r="AW986" s="15"/>
      <c r="AX986" s="15"/>
      <c r="AY986" s="15"/>
      <c r="AZ986" s="11"/>
      <c r="BA986" s="15"/>
      <c r="BB986" s="11"/>
      <c r="BC986" s="11"/>
      <c r="BD986" s="15"/>
      <c r="BE986" s="11"/>
      <c r="BF986" s="11"/>
      <c r="BG986" s="15"/>
      <c r="BH986" s="15"/>
      <c r="BI986" s="15"/>
      <c r="BJ986" s="11"/>
      <c r="BK986" s="15"/>
      <c r="BL986" s="11"/>
      <c r="BM986" s="11"/>
      <c r="BN986" s="15"/>
      <c r="BO986" s="11"/>
      <c r="BP986" s="11"/>
      <c r="BQ986" s="15"/>
      <c r="BR986" s="15"/>
      <c r="BS986" s="15"/>
      <c r="BT986" s="11"/>
      <c r="BU986" s="15"/>
      <c r="BV986" s="11"/>
      <c r="BW986" s="11"/>
      <c r="BX986" s="15"/>
      <c r="BY986" s="11"/>
      <c r="BZ986" s="11"/>
      <c r="CA986" s="15"/>
      <c r="CB986" s="11"/>
      <c r="CC986" s="15"/>
      <c r="CD986" s="11"/>
      <c r="CE986" s="15"/>
      <c r="CF986" s="11"/>
      <c r="CG986" s="11"/>
      <c r="CH986" s="15"/>
      <c r="CI986" s="11"/>
      <c r="CJ986" s="11"/>
      <c r="CK986" s="15"/>
      <c r="CL986" s="11"/>
      <c r="CM986" s="11"/>
      <c r="CN986" s="11"/>
      <c r="CO986" s="11"/>
      <c r="CP986" s="28"/>
      <c r="CQ986" s="28"/>
      <c r="CR986" s="11"/>
      <c r="CS986" s="29"/>
      <c r="CT986" s="11"/>
      <c r="CU986" s="11"/>
      <c r="CV986" s="11"/>
      <c r="CW986" s="11"/>
      <c r="CX986" s="11"/>
      <c r="CY986" s="11"/>
      <c r="CZ986" s="11"/>
      <c r="DA986" s="28"/>
      <c r="DB986" s="28"/>
      <c r="DC986" s="11"/>
      <c r="DD986" s="29"/>
      <c r="DE986" s="11"/>
      <c r="DF986" s="11"/>
      <c r="DG986" s="11"/>
      <c r="DH986" s="11"/>
      <c r="DI986" s="11"/>
      <c r="DJ986" s="11"/>
      <c r="DK986" s="26"/>
      <c r="DL986" s="11"/>
      <c r="DM986" s="29"/>
      <c r="DN986" s="28"/>
      <c r="DO986" s="11"/>
      <c r="DP986" s="11"/>
      <c r="DQ986" s="11"/>
      <c r="DR986" s="29"/>
      <c r="DS986" s="28"/>
      <c r="DT986" s="11"/>
      <c r="DU986" s="26"/>
      <c r="DV986" s="11"/>
      <c r="DW986" s="29"/>
      <c r="DX986" s="28"/>
      <c r="DY986" s="11"/>
      <c r="DZ986" s="26"/>
      <c r="EA986" s="11"/>
      <c r="EB986" s="29"/>
      <c r="EC986" s="28"/>
      <c r="ED986" s="30"/>
      <c r="EE986" s="30" t="str">
        <f ca="1">IFERROR(__xludf.DUMMYFUNCTION("iferror(index(filter('Internal -- Trademark Countries'!E$2:E1000, (AM986 = 'Internal -- Trademark Countries'!B$2:B1000) + (AM986 = 'Internal -- Trademark Countries'!C$2:C1000) + (AM986 = 'Internal -- Trademark Countries'!D$2:D1000)), 1))"),"")</f>
        <v/>
      </c>
      <c r="EF986" s="30" t="e">
        <f ca="1">_xludf.ifs(AM986="", "", COUNTIF('Internal -- Trademark Countries'!B:B,AM986) &gt; 0, "polity_shortest_name", COUNTIF('Internal -- Trademark Countries'!C:C,AM986) &gt; 0, "polity_full_name", COUNTIF('Internal -- Trademark Countries'!D:D,AM986) &gt; 0, "polity_common_name", COUNTIF('Internal -- Trademark Countries'!E:E,AM986) &gt; 0, "shortest_name", COUNTIF('Internal -- Trademark Countries'!A:A,AM986) &gt; 0, "full_name", TRUE, "not a match")</f>
        <v>#NAME?</v>
      </c>
      <c r="EG986" s="30"/>
      <c r="EH986" s="30"/>
      <c r="EI986" s="30"/>
      <c r="EJ986" s="30"/>
      <c r="EK986" s="30" t="str">
        <f t="shared" si="5"/>
        <v/>
      </c>
    </row>
    <row r="987" spans="1:141" ht="16.5">
      <c r="A987" s="11"/>
      <c r="B987" s="11"/>
      <c r="C987" s="11"/>
      <c r="D987" s="11"/>
      <c r="E987" s="11"/>
      <c r="F987" s="11"/>
      <c r="G987" s="11"/>
      <c r="H987" s="11"/>
      <c r="I987" s="11"/>
      <c r="J987" s="11"/>
      <c r="K987" s="27"/>
      <c r="L987" s="11"/>
      <c r="M987" s="11"/>
      <c r="N987" s="11"/>
      <c r="O987" s="11"/>
      <c r="P987" s="15"/>
      <c r="Q987" s="15"/>
      <c r="R987" s="15"/>
      <c r="S987" s="15"/>
      <c r="T987" s="15"/>
      <c r="U987" s="15"/>
      <c r="V987" s="15"/>
      <c r="W987" s="47"/>
      <c r="X987" s="11"/>
      <c r="Y987" s="48"/>
      <c r="Z987" s="11"/>
      <c r="AA987" s="48"/>
      <c r="AB987" s="11"/>
      <c r="AC987" s="48"/>
      <c r="AD987" s="11"/>
      <c r="AE987" s="47"/>
      <c r="AF987" s="11"/>
      <c r="AG987" s="48"/>
      <c r="AH987" s="11"/>
      <c r="AI987" s="48"/>
      <c r="AJ987" s="11"/>
      <c r="AK987" s="48"/>
      <c r="AL987" s="11"/>
      <c r="AM987" s="49"/>
      <c r="AN987" s="49"/>
      <c r="AO987" s="11"/>
      <c r="AP987" s="11"/>
      <c r="AQ987" s="28" t="b">
        <f>IF(COUNTIF(SmartStatus!A$2:A1000, AM987) &gt; 2, TRUE, FALSE)</f>
        <v>0</v>
      </c>
      <c r="AR987" s="29" t="str">
        <f ca="1">IFERROR(__xludf.DUMMYFUNCTION("iferror(if(regexmatch(AO987, ""(?i)^registered""), if(EE987 &lt;&gt; ""polity_shortest_name"", ""CHECK_POLITY"", index(filter(SmartStatus!B$2:B1000, AM987 = SmartStatus!A$2:A1000, not(SmartStatus!C$2:C1000), (isblank(SmartStatus!D$2:D1000)) + ((P987 &lt;&gt; """") * "&amp;"(P987 &lt; SmartStatus!D$2:D1000)), (isblank(SmartStatus!E$2:E1000)) + ((P987 &lt;&gt; """") * (P987 &gt;= SmartStatus!E$2:E1000)), (isblank(SmartStatus!F$2:F1000)) + (((Q987 &lt;&gt; """") * (Q987 &lt; SmartStatus!F$2:F1000)) + ((P987 &lt;&gt; """") * (date(year(P987) + 3, month(P"&amp;"987), day(P987)) &lt; SmartStatus!F$2:F1000))), (isblank(SmartStatus!G$2:G1000)) + (((Q987 &lt;&gt; """") * (Q987 &gt;= SmartStatus!G$2:G1000)) + ((P987 &lt;&gt; """") * (P987 &gt;= SmartStatus!G$2:G1000)))), if(or(regexmatch(B987, ""(?i)^ir [a-z]+ designation$""), N987 &lt;&gt; """&amp;"""), 1, 2))), """"), ""NO_MATCH"")"),"")</f>
        <v/>
      </c>
      <c r="AS987" s="11"/>
      <c r="AT987" s="15"/>
      <c r="AU987" s="11"/>
      <c r="AV987" s="11"/>
      <c r="AW987" s="15"/>
      <c r="AX987" s="15"/>
      <c r="AY987" s="15"/>
      <c r="AZ987" s="11"/>
      <c r="BA987" s="15"/>
      <c r="BB987" s="11"/>
      <c r="BC987" s="11"/>
      <c r="BD987" s="15"/>
      <c r="BE987" s="11"/>
      <c r="BF987" s="11"/>
      <c r="BG987" s="15"/>
      <c r="BH987" s="15"/>
      <c r="BI987" s="15"/>
      <c r="BJ987" s="11"/>
      <c r="BK987" s="15"/>
      <c r="BL987" s="11"/>
      <c r="BM987" s="11"/>
      <c r="BN987" s="15"/>
      <c r="BO987" s="11"/>
      <c r="BP987" s="11"/>
      <c r="BQ987" s="15"/>
      <c r="BR987" s="15"/>
      <c r="BS987" s="15"/>
      <c r="BT987" s="11"/>
      <c r="BU987" s="15"/>
      <c r="BV987" s="11"/>
      <c r="BW987" s="11"/>
      <c r="BX987" s="15"/>
      <c r="BY987" s="11"/>
      <c r="BZ987" s="11"/>
      <c r="CA987" s="15"/>
      <c r="CB987" s="11"/>
      <c r="CC987" s="15"/>
      <c r="CD987" s="11"/>
      <c r="CE987" s="15"/>
      <c r="CF987" s="11"/>
      <c r="CG987" s="11"/>
      <c r="CH987" s="15"/>
      <c r="CI987" s="11"/>
      <c r="CJ987" s="11"/>
      <c r="CK987" s="15"/>
      <c r="CL987" s="11"/>
      <c r="CM987" s="11"/>
      <c r="CN987" s="11"/>
      <c r="CO987" s="11"/>
      <c r="CP987" s="28"/>
      <c r="CQ987" s="28"/>
      <c r="CR987" s="11"/>
      <c r="CS987" s="29"/>
      <c r="CT987" s="11"/>
      <c r="CU987" s="11"/>
      <c r="CV987" s="11"/>
      <c r="CW987" s="11"/>
      <c r="CX987" s="11"/>
      <c r="CY987" s="11"/>
      <c r="CZ987" s="11"/>
      <c r="DA987" s="28"/>
      <c r="DB987" s="28"/>
      <c r="DC987" s="11"/>
      <c r="DD987" s="29"/>
      <c r="DE987" s="11"/>
      <c r="DF987" s="11"/>
      <c r="DG987" s="11"/>
      <c r="DH987" s="11"/>
      <c r="DI987" s="11"/>
      <c r="DJ987" s="11"/>
      <c r="DK987" s="26"/>
      <c r="DL987" s="11"/>
      <c r="DM987" s="29"/>
      <c r="DN987" s="28"/>
      <c r="DO987" s="11"/>
      <c r="DP987" s="11"/>
      <c r="DQ987" s="11"/>
      <c r="DR987" s="29"/>
      <c r="DS987" s="28"/>
      <c r="DT987" s="11"/>
      <c r="DU987" s="26"/>
      <c r="DV987" s="11"/>
      <c r="DW987" s="29"/>
      <c r="DX987" s="28"/>
      <c r="DY987" s="11"/>
      <c r="DZ987" s="26"/>
      <c r="EA987" s="11"/>
      <c r="EB987" s="29"/>
      <c r="EC987" s="28"/>
      <c r="ED987" s="30"/>
      <c r="EE987" s="30" t="str">
        <f ca="1">IFERROR(__xludf.DUMMYFUNCTION("iferror(index(filter('Internal -- Trademark Countries'!E$2:E1000, (AM987 = 'Internal -- Trademark Countries'!B$2:B1000) + (AM987 = 'Internal -- Trademark Countries'!C$2:C1000) + (AM987 = 'Internal -- Trademark Countries'!D$2:D1000)), 1))"),"")</f>
        <v/>
      </c>
      <c r="EF987" s="30" t="e">
        <f ca="1">_xludf.ifs(AM987="", "", COUNTIF('Internal -- Trademark Countries'!B:B,AM987) &gt; 0, "polity_shortest_name", COUNTIF('Internal -- Trademark Countries'!C:C,AM987) &gt; 0, "polity_full_name", COUNTIF('Internal -- Trademark Countries'!D:D,AM987) &gt; 0, "polity_common_name", COUNTIF('Internal -- Trademark Countries'!E:E,AM987) &gt; 0, "shortest_name", COUNTIF('Internal -- Trademark Countries'!A:A,AM987) &gt; 0, "full_name", TRUE, "not a match")</f>
        <v>#NAME?</v>
      </c>
      <c r="EG987" s="30"/>
      <c r="EH987" s="30"/>
      <c r="EI987" s="30"/>
      <c r="EJ987" s="30"/>
      <c r="EK987" s="30" t="str">
        <f t="shared" si="5"/>
        <v/>
      </c>
    </row>
    <row r="988" spans="1:141" ht="16.5">
      <c r="A988" s="11"/>
      <c r="B988" s="11"/>
      <c r="C988" s="11"/>
      <c r="D988" s="11"/>
      <c r="E988" s="11"/>
      <c r="F988" s="11"/>
      <c r="G988" s="11"/>
      <c r="H988" s="11"/>
      <c r="I988" s="11"/>
      <c r="J988" s="11"/>
      <c r="K988" s="27"/>
      <c r="L988" s="11"/>
      <c r="M988" s="11"/>
      <c r="N988" s="11"/>
      <c r="O988" s="11"/>
      <c r="P988" s="15"/>
      <c r="Q988" s="15"/>
      <c r="R988" s="15"/>
      <c r="S988" s="15"/>
      <c r="T988" s="15"/>
      <c r="U988" s="15"/>
      <c r="V988" s="15"/>
      <c r="W988" s="47"/>
      <c r="X988" s="11"/>
      <c r="Y988" s="48"/>
      <c r="Z988" s="11"/>
      <c r="AA988" s="48"/>
      <c r="AB988" s="11"/>
      <c r="AC988" s="48"/>
      <c r="AD988" s="11"/>
      <c r="AE988" s="47"/>
      <c r="AF988" s="11"/>
      <c r="AG988" s="48"/>
      <c r="AH988" s="11"/>
      <c r="AI988" s="48"/>
      <c r="AJ988" s="11"/>
      <c r="AK988" s="48"/>
      <c r="AL988" s="11"/>
      <c r="AM988" s="49"/>
      <c r="AN988" s="49"/>
      <c r="AO988" s="11"/>
      <c r="AP988" s="11"/>
      <c r="AQ988" s="28" t="b">
        <f>IF(COUNTIF(SmartStatus!A$2:A1000, AM988) &gt; 2, TRUE, FALSE)</f>
        <v>0</v>
      </c>
      <c r="AR988" s="29" t="str">
        <f ca="1">IFERROR(__xludf.DUMMYFUNCTION("iferror(if(regexmatch(AO988, ""(?i)^registered""), if(EE988 &lt;&gt; ""polity_shortest_name"", ""CHECK_POLITY"", index(filter(SmartStatus!B$2:B1000, AM988 = SmartStatus!A$2:A1000, not(SmartStatus!C$2:C1000), (isblank(SmartStatus!D$2:D1000)) + ((P988 &lt;&gt; """") * "&amp;"(P988 &lt; SmartStatus!D$2:D1000)), (isblank(SmartStatus!E$2:E1000)) + ((P988 &lt;&gt; """") * (P988 &gt;= SmartStatus!E$2:E1000)), (isblank(SmartStatus!F$2:F1000)) + (((Q988 &lt;&gt; """") * (Q988 &lt; SmartStatus!F$2:F1000)) + ((P988 &lt;&gt; """") * (date(year(P988) + 3, month(P"&amp;"988), day(P988)) &lt; SmartStatus!F$2:F1000))), (isblank(SmartStatus!G$2:G1000)) + (((Q988 &lt;&gt; """") * (Q988 &gt;= SmartStatus!G$2:G1000)) + ((P988 &lt;&gt; """") * (P988 &gt;= SmartStatus!G$2:G1000)))), if(or(regexmatch(B988, ""(?i)^ir [a-z]+ designation$""), N988 &lt;&gt; """&amp;"""), 1, 2))), """"), ""NO_MATCH"")"),"")</f>
        <v/>
      </c>
      <c r="AS988" s="11"/>
      <c r="AT988" s="15"/>
      <c r="AU988" s="11"/>
      <c r="AV988" s="11"/>
      <c r="AW988" s="15"/>
      <c r="AX988" s="15"/>
      <c r="AY988" s="15"/>
      <c r="AZ988" s="11"/>
      <c r="BA988" s="15"/>
      <c r="BB988" s="11"/>
      <c r="BC988" s="11"/>
      <c r="BD988" s="15"/>
      <c r="BE988" s="11"/>
      <c r="BF988" s="11"/>
      <c r="BG988" s="15"/>
      <c r="BH988" s="15"/>
      <c r="BI988" s="15"/>
      <c r="BJ988" s="11"/>
      <c r="BK988" s="15"/>
      <c r="BL988" s="11"/>
      <c r="BM988" s="11"/>
      <c r="BN988" s="15"/>
      <c r="BO988" s="11"/>
      <c r="BP988" s="11"/>
      <c r="BQ988" s="15"/>
      <c r="BR988" s="15"/>
      <c r="BS988" s="15"/>
      <c r="BT988" s="11"/>
      <c r="BU988" s="15"/>
      <c r="BV988" s="11"/>
      <c r="BW988" s="11"/>
      <c r="BX988" s="15"/>
      <c r="BY988" s="11"/>
      <c r="BZ988" s="11"/>
      <c r="CA988" s="15"/>
      <c r="CB988" s="11"/>
      <c r="CC988" s="15"/>
      <c r="CD988" s="11"/>
      <c r="CE988" s="15"/>
      <c r="CF988" s="11"/>
      <c r="CG988" s="11"/>
      <c r="CH988" s="15"/>
      <c r="CI988" s="11"/>
      <c r="CJ988" s="11"/>
      <c r="CK988" s="15"/>
      <c r="CL988" s="11"/>
      <c r="CM988" s="11"/>
      <c r="CN988" s="11"/>
      <c r="CO988" s="11"/>
      <c r="CP988" s="28"/>
      <c r="CQ988" s="28"/>
      <c r="CR988" s="11"/>
      <c r="CS988" s="29"/>
      <c r="CT988" s="11"/>
      <c r="CU988" s="11"/>
      <c r="CV988" s="11"/>
      <c r="CW988" s="11"/>
      <c r="CX988" s="11"/>
      <c r="CY988" s="11"/>
      <c r="CZ988" s="11"/>
      <c r="DA988" s="28"/>
      <c r="DB988" s="28"/>
      <c r="DC988" s="11"/>
      <c r="DD988" s="29"/>
      <c r="DE988" s="11"/>
      <c r="DF988" s="11"/>
      <c r="DG988" s="11"/>
      <c r="DH988" s="11"/>
      <c r="DI988" s="11"/>
      <c r="DJ988" s="11"/>
      <c r="DK988" s="26"/>
      <c r="DL988" s="11"/>
      <c r="DM988" s="29"/>
      <c r="DN988" s="28"/>
      <c r="DO988" s="11"/>
      <c r="DP988" s="11"/>
      <c r="DQ988" s="11"/>
      <c r="DR988" s="29"/>
      <c r="DS988" s="28"/>
      <c r="DT988" s="11"/>
      <c r="DU988" s="26"/>
      <c r="DV988" s="11"/>
      <c r="DW988" s="29"/>
      <c r="DX988" s="28"/>
      <c r="DY988" s="11"/>
      <c r="DZ988" s="26"/>
      <c r="EA988" s="11"/>
      <c r="EB988" s="29"/>
      <c r="EC988" s="28"/>
      <c r="ED988" s="30"/>
      <c r="EE988" s="30" t="str">
        <f ca="1">IFERROR(__xludf.DUMMYFUNCTION("iferror(index(filter('Internal -- Trademark Countries'!E$2:E1000, (AM988 = 'Internal -- Trademark Countries'!B$2:B1000) + (AM988 = 'Internal -- Trademark Countries'!C$2:C1000) + (AM988 = 'Internal -- Trademark Countries'!D$2:D1000)), 1))"),"")</f>
        <v/>
      </c>
      <c r="EF988" s="30" t="e">
        <f ca="1">_xludf.ifs(AM988="", "", COUNTIF('Internal -- Trademark Countries'!B:B,AM988) &gt; 0, "polity_shortest_name", COUNTIF('Internal -- Trademark Countries'!C:C,AM988) &gt; 0, "polity_full_name", COUNTIF('Internal -- Trademark Countries'!D:D,AM988) &gt; 0, "polity_common_name", COUNTIF('Internal -- Trademark Countries'!E:E,AM988) &gt; 0, "shortest_name", COUNTIF('Internal -- Trademark Countries'!A:A,AM988) &gt; 0, "full_name", TRUE, "not a match")</f>
        <v>#NAME?</v>
      </c>
      <c r="EG988" s="30"/>
      <c r="EH988" s="30"/>
      <c r="EI988" s="30"/>
      <c r="EJ988" s="30"/>
      <c r="EK988" s="30" t="str">
        <f t="shared" si="5"/>
        <v/>
      </c>
    </row>
    <row r="989" spans="1:141" ht="16.5">
      <c r="A989" s="11"/>
      <c r="B989" s="11"/>
      <c r="C989" s="11"/>
      <c r="D989" s="11"/>
      <c r="E989" s="11"/>
      <c r="F989" s="11"/>
      <c r="G989" s="11"/>
      <c r="H989" s="11"/>
      <c r="I989" s="11"/>
      <c r="J989" s="11"/>
      <c r="K989" s="27"/>
      <c r="L989" s="11"/>
      <c r="M989" s="11"/>
      <c r="N989" s="11"/>
      <c r="O989" s="11"/>
      <c r="P989" s="15"/>
      <c r="Q989" s="15"/>
      <c r="R989" s="15"/>
      <c r="S989" s="15"/>
      <c r="T989" s="15"/>
      <c r="U989" s="15"/>
      <c r="V989" s="15"/>
      <c r="W989" s="47"/>
      <c r="X989" s="11"/>
      <c r="Y989" s="48"/>
      <c r="Z989" s="11"/>
      <c r="AA989" s="48"/>
      <c r="AB989" s="11"/>
      <c r="AC989" s="48"/>
      <c r="AD989" s="11"/>
      <c r="AE989" s="47"/>
      <c r="AF989" s="11"/>
      <c r="AG989" s="48"/>
      <c r="AH989" s="11"/>
      <c r="AI989" s="48"/>
      <c r="AJ989" s="11"/>
      <c r="AK989" s="48"/>
      <c r="AL989" s="11"/>
      <c r="AM989" s="49"/>
      <c r="AN989" s="49"/>
      <c r="AO989" s="11"/>
      <c r="AP989" s="11"/>
      <c r="AQ989" s="28" t="b">
        <f>IF(COUNTIF(SmartStatus!A$2:A1000, AM989) &gt; 2, TRUE, FALSE)</f>
        <v>0</v>
      </c>
      <c r="AR989" s="29" t="str">
        <f ca="1">IFERROR(__xludf.DUMMYFUNCTION("iferror(if(regexmatch(AO989, ""(?i)^registered""), if(EE989 &lt;&gt; ""polity_shortest_name"", ""CHECK_POLITY"", index(filter(SmartStatus!B$2:B1000, AM989 = SmartStatus!A$2:A1000, not(SmartStatus!C$2:C1000), (isblank(SmartStatus!D$2:D1000)) + ((P989 &lt;&gt; """") * "&amp;"(P989 &lt; SmartStatus!D$2:D1000)), (isblank(SmartStatus!E$2:E1000)) + ((P989 &lt;&gt; """") * (P989 &gt;= SmartStatus!E$2:E1000)), (isblank(SmartStatus!F$2:F1000)) + (((Q989 &lt;&gt; """") * (Q989 &lt; SmartStatus!F$2:F1000)) + ((P989 &lt;&gt; """") * (date(year(P989) + 3, month(P"&amp;"989), day(P989)) &lt; SmartStatus!F$2:F1000))), (isblank(SmartStatus!G$2:G1000)) + (((Q989 &lt;&gt; """") * (Q989 &gt;= SmartStatus!G$2:G1000)) + ((P989 &lt;&gt; """") * (P989 &gt;= SmartStatus!G$2:G1000)))), if(or(regexmatch(B989, ""(?i)^ir [a-z]+ designation$""), N989 &lt;&gt; """&amp;"""), 1, 2))), """"), ""NO_MATCH"")"),"")</f>
        <v/>
      </c>
      <c r="AS989" s="11"/>
      <c r="AT989" s="15"/>
      <c r="AU989" s="11"/>
      <c r="AV989" s="11"/>
      <c r="AW989" s="15"/>
      <c r="AX989" s="15"/>
      <c r="AY989" s="15"/>
      <c r="AZ989" s="11"/>
      <c r="BA989" s="15"/>
      <c r="BB989" s="11"/>
      <c r="BC989" s="11"/>
      <c r="BD989" s="15"/>
      <c r="BE989" s="11"/>
      <c r="BF989" s="11"/>
      <c r="BG989" s="15"/>
      <c r="BH989" s="15"/>
      <c r="BI989" s="15"/>
      <c r="BJ989" s="11"/>
      <c r="BK989" s="15"/>
      <c r="BL989" s="11"/>
      <c r="BM989" s="11"/>
      <c r="BN989" s="15"/>
      <c r="BO989" s="11"/>
      <c r="BP989" s="11"/>
      <c r="BQ989" s="15"/>
      <c r="BR989" s="15"/>
      <c r="BS989" s="15"/>
      <c r="BT989" s="11"/>
      <c r="BU989" s="15"/>
      <c r="BV989" s="11"/>
      <c r="BW989" s="11"/>
      <c r="BX989" s="15"/>
      <c r="BY989" s="11"/>
      <c r="BZ989" s="11"/>
      <c r="CA989" s="15"/>
      <c r="CB989" s="11"/>
      <c r="CC989" s="15"/>
      <c r="CD989" s="11"/>
      <c r="CE989" s="15"/>
      <c r="CF989" s="11"/>
      <c r="CG989" s="11"/>
      <c r="CH989" s="15"/>
      <c r="CI989" s="11"/>
      <c r="CJ989" s="11"/>
      <c r="CK989" s="15"/>
      <c r="CL989" s="11"/>
      <c r="CM989" s="11"/>
      <c r="CN989" s="11"/>
      <c r="CO989" s="11"/>
      <c r="CP989" s="28"/>
      <c r="CQ989" s="28"/>
      <c r="CR989" s="11"/>
      <c r="CS989" s="29"/>
      <c r="CT989" s="11"/>
      <c r="CU989" s="11"/>
      <c r="CV989" s="11"/>
      <c r="CW989" s="11"/>
      <c r="CX989" s="11"/>
      <c r="CY989" s="11"/>
      <c r="CZ989" s="11"/>
      <c r="DA989" s="28"/>
      <c r="DB989" s="28"/>
      <c r="DC989" s="11"/>
      <c r="DD989" s="29"/>
      <c r="DE989" s="11"/>
      <c r="DF989" s="11"/>
      <c r="DG989" s="11"/>
      <c r="DH989" s="11"/>
      <c r="DI989" s="11"/>
      <c r="DJ989" s="11"/>
      <c r="DK989" s="26"/>
      <c r="DL989" s="11"/>
      <c r="DM989" s="29"/>
      <c r="DN989" s="28"/>
      <c r="DO989" s="11"/>
      <c r="DP989" s="11"/>
      <c r="DQ989" s="11"/>
      <c r="DR989" s="29"/>
      <c r="DS989" s="28"/>
      <c r="DT989" s="11"/>
      <c r="DU989" s="26"/>
      <c r="DV989" s="11"/>
      <c r="DW989" s="29"/>
      <c r="DX989" s="28"/>
      <c r="DY989" s="11"/>
      <c r="DZ989" s="26"/>
      <c r="EA989" s="11"/>
      <c r="EB989" s="29"/>
      <c r="EC989" s="28"/>
      <c r="ED989" s="30"/>
      <c r="EE989" s="30" t="str">
        <f ca="1">IFERROR(__xludf.DUMMYFUNCTION("iferror(index(filter('Internal -- Trademark Countries'!E$2:E1000, (AM989 = 'Internal -- Trademark Countries'!B$2:B1000) + (AM989 = 'Internal -- Trademark Countries'!C$2:C1000) + (AM989 = 'Internal -- Trademark Countries'!D$2:D1000)), 1))"),"")</f>
        <v/>
      </c>
      <c r="EF989" s="30" t="e">
        <f ca="1">_xludf.ifs(AM989="", "", COUNTIF('Internal -- Trademark Countries'!B:B,AM989) &gt; 0, "polity_shortest_name", COUNTIF('Internal -- Trademark Countries'!C:C,AM989) &gt; 0, "polity_full_name", COUNTIF('Internal -- Trademark Countries'!D:D,AM989) &gt; 0, "polity_common_name", COUNTIF('Internal -- Trademark Countries'!E:E,AM989) &gt; 0, "shortest_name", COUNTIF('Internal -- Trademark Countries'!A:A,AM989) &gt; 0, "full_name", TRUE, "not a match")</f>
        <v>#NAME?</v>
      </c>
      <c r="EG989" s="30"/>
      <c r="EH989" s="30"/>
      <c r="EI989" s="30"/>
      <c r="EJ989" s="30"/>
      <c r="EK989" s="30" t="str">
        <f t="shared" si="5"/>
        <v/>
      </c>
    </row>
    <row r="990" spans="1:141" ht="16.5">
      <c r="A990" s="11"/>
      <c r="B990" s="11"/>
      <c r="C990" s="11"/>
      <c r="D990" s="11"/>
      <c r="E990" s="11"/>
      <c r="F990" s="11"/>
      <c r="G990" s="11"/>
      <c r="H990" s="11"/>
      <c r="I990" s="11"/>
      <c r="J990" s="11"/>
      <c r="K990" s="27"/>
      <c r="L990" s="11"/>
      <c r="M990" s="11"/>
      <c r="N990" s="11"/>
      <c r="O990" s="11"/>
      <c r="P990" s="15"/>
      <c r="Q990" s="15"/>
      <c r="R990" s="15"/>
      <c r="S990" s="15"/>
      <c r="T990" s="15"/>
      <c r="U990" s="15"/>
      <c r="V990" s="15"/>
      <c r="W990" s="47"/>
      <c r="X990" s="11"/>
      <c r="Y990" s="48"/>
      <c r="Z990" s="11"/>
      <c r="AA990" s="48"/>
      <c r="AB990" s="11"/>
      <c r="AC990" s="48"/>
      <c r="AD990" s="11"/>
      <c r="AE990" s="47"/>
      <c r="AF990" s="11"/>
      <c r="AG990" s="48"/>
      <c r="AH990" s="11"/>
      <c r="AI990" s="48"/>
      <c r="AJ990" s="11"/>
      <c r="AK990" s="48"/>
      <c r="AL990" s="11"/>
      <c r="AM990" s="49"/>
      <c r="AN990" s="49"/>
      <c r="AO990" s="11"/>
      <c r="AP990" s="11"/>
      <c r="AQ990" s="28" t="b">
        <f>IF(COUNTIF(SmartStatus!A$2:A1000, AM990) &gt; 2, TRUE, FALSE)</f>
        <v>0</v>
      </c>
      <c r="AR990" s="29" t="str">
        <f ca="1">IFERROR(__xludf.DUMMYFUNCTION("iferror(if(regexmatch(AO990, ""(?i)^registered""), if(EE990 &lt;&gt; ""polity_shortest_name"", ""CHECK_POLITY"", index(filter(SmartStatus!B$2:B1000, AM990 = SmartStatus!A$2:A1000, not(SmartStatus!C$2:C1000), (isblank(SmartStatus!D$2:D1000)) + ((P990 &lt;&gt; """") * "&amp;"(P990 &lt; SmartStatus!D$2:D1000)), (isblank(SmartStatus!E$2:E1000)) + ((P990 &lt;&gt; """") * (P990 &gt;= SmartStatus!E$2:E1000)), (isblank(SmartStatus!F$2:F1000)) + (((Q990 &lt;&gt; """") * (Q990 &lt; SmartStatus!F$2:F1000)) + ((P990 &lt;&gt; """") * (date(year(P990) + 3, month(P"&amp;"990), day(P990)) &lt; SmartStatus!F$2:F1000))), (isblank(SmartStatus!G$2:G1000)) + (((Q990 &lt;&gt; """") * (Q990 &gt;= SmartStatus!G$2:G1000)) + ((P990 &lt;&gt; """") * (P990 &gt;= SmartStatus!G$2:G1000)))), if(or(regexmatch(B990, ""(?i)^ir [a-z]+ designation$""), N990 &lt;&gt; """&amp;"""), 1, 2))), """"), ""NO_MATCH"")"),"")</f>
        <v/>
      </c>
      <c r="AS990" s="11"/>
      <c r="AT990" s="15"/>
      <c r="AU990" s="11"/>
      <c r="AV990" s="11"/>
      <c r="AW990" s="15"/>
      <c r="AX990" s="15"/>
      <c r="AY990" s="15"/>
      <c r="AZ990" s="11"/>
      <c r="BA990" s="15"/>
      <c r="BB990" s="11"/>
      <c r="BC990" s="11"/>
      <c r="BD990" s="15"/>
      <c r="BE990" s="11"/>
      <c r="BF990" s="11"/>
      <c r="BG990" s="15"/>
      <c r="BH990" s="15"/>
      <c r="BI990" s="15"/>
      <c r="BJ990" s="11"/>
      <c r="BK990" s="15"/>
      <c r="BL990" s="11"/>
      <c r="BM990" s="11"/>
      <c r="BN990" s="15"/>
      <c r="BO990" s="11"/>
      <c r="BP990" s="11"/>
      <c r="BQ990" s="15"/>
      <c r="BR990" s="15"/>
      <c r="BS990" s="15"/>
      <c r="BT990" s="11"/>
      <c r="BU990" s="15"/>
      <c r="BV990" s="11"/>
      <c r="BW990" s="11"/>
      <c r="BX990" s="15"/>
      <c r="BY990" s="11"/>
      <c r="BZ990" s="11"/>
      <c r="CA990" s="15"/>
      <c r="CB990" s="11"/>
      <c r="CC990" s="15"/>
      <c r="CD990" s="11"/>
      <c r="CE990" s="15"/>
      <c r="CF990" s="11"/>
      <c r="CG990" s="11"/>
      <c r="CH990" s="15"/>
      <c r="CI990" s="11"/>
      <c r="CJ990" s="11"/>
      <c r="CK990" s="15"/>
      <c r="CL990" s="11"/>
      <c r="CM990" s="11"/>
      <c r="CN990" s="11"/>
      <c r="CO990" s="11"/>
      <c r="CP990" s="28"/>
      <c r="CQ990" s="28"/>
      <c r="CR990" s="11"/>
      <c r="CS990" s="29"/>
      <c r="CT990" s="11"/>
      <c r="CU990" s="11"/>
      <c r="CV990" s="11"/>
      <c r="CW990" s="11"/>
      <c r="CX990" s="11"/>
      <c r="CY990" s="11"/>
      <c r="CZ990" s="11"/>
      <c r="DA990" s="28"/>
      <c r="DB990" s="28"/>
      <c r="DC990" s="11"/>
      <c r="DD990" s="29"/>
      <c r="DE990" s="11"/>
      <c r="DF990" s="11"/>
      <c r="DG990" s="11"/>
      <c r="DH990" s="11"/>
      <c r="DI990" s="11"/>
      <c r="DJ990" s="11"/>
      <c r="DK990" s="26"/>
      <c r="DL990" s="11"/>
      <c r="DM990" s="29"/>
      <c r="DN990" s="28"/>
      <c r="DO990" s="11"/>
      <c r="DP990" s="11"/>
      <c r="DQ990" s="11"/>
      <c r="DR990" s="29"/>
      <c r="DS990" s="28"/>
      <c r="DT990" s="11"/>
      <c r="DU990" s="26"/>
      <c r="DV990" s="11"/>
      <c r="DW990" s="29"/>
      <c r="DX990" s="28"/>
      <c r="DY990" s="11"/>
      <c r="DZ990" s="26"/>
      <c r="EA990" s="11"/>
      <c r="EB990" s="29"/>
      <c r="EC990" s="28"/>
      <c r="ED990" s="30"/>
      <c r="EE990" s="30" t="str">
        <f ca="1">IFERROR(__xludf.DUMMYFUNCTION("iferror(index(filter('Internal -- Trademark Countries'!E$2:E1000, (AM990 = 'Internal -- Trademark Countries'!B$2:B1000) + (AM990 = 'Internal -- Trademark Countries'!C$2:C1000) + (AM990 = 'Internal -- Trademark Countries'!D$2:D1000)), 1))"),"")</f>
        <v/>
      </c>
      <c r="EF990" s="30" t="e">
        <f ca="1">_xludf.ifs(AM990="", "", COUNTIF('Internal -- Trademark Countries'!B:B,AM990) &gt; 0, "polity_shortest_name", COUNTIF('Internal -- Trademark Countries'!C:C,AM990) &gt; 0, "polity_full_name", COUNTIF('Internal -- Trademark Countries'!D:D,AM990) &gt; 0, "polity_common_name", COUNTIF('Internal -- Trademark Countries'!E:E,AM990) &gt; 0, "shortest_name", COUNTIF('Internal -- Trademark Countries'!A:A,AM990) &gt; 0, "full_name", TRUE, "not a match")</f>
        <v>#NAME?</v>
      </c>
      <c r="EG990" s="30"/>
      <c r="EH990" s="30"/>
      <c r="EI990" s="30"/>
      <c r="EJ990" s="30"/>
      <c r="EK990" s="30" t="str">
        <f t="shared" si="5"/>
        <v/>
      </c>
    </row>
    <row r="991" spans="1:141" ht="16.5">
      <c r="A991" s="11"/>
      <c r="B991" s="11"/>
      <c r="C991" s="11"/>
      <c r="D991" s="11"/>
      <c r="E991" s="11"/>
      <c r="F991" s="11"/>
      <c r="G991" s="11"/>
      <c r="H991" s="11"/>
      <c r="I991" s="11"/>
      <c r="J991" s="11"/>
      <c r="K991" s="27"/>
      <c r="L991" s="11"/>
      <c r="M991" s="11"/>
      <c r="N991" s="11"/>
      <c r="O991" s="11"/>
      <c r="P991" s="15"/>
      <c r="Q991" s="15"/>
      <c r="R991" s="15"/>
      <c r="S991" s="15"/>
      <c r="T991" s="15"/>
      <c r="U991" s="15"/>
      <c r="V991" s="15"/>
      <c r="W991" s="47"/>
      <c r="X991" s="11"/>
      <c r="Y991" s="48"/>
      <c r="Z991" s="11"/>
      <c r="AA991" s="48"/>
      <c r="AB991" s="11"/>
      <c r="AC991" s="48"/>
      <c r="AD991" s="11"/>
      <c r="AE991" s="47"/>
      <c r="AF991" s="11"/>
      <c r="AG991" s="48"/>
      <c r="AH991" s="11"/>
      <c r="AI991" s="48"/>
      <c r="AJ991" s="11"/>
      <c r="AK991" s="48"/>
      <c r="AL991" s="11"/>
      <c r="AM991" s="49"/>
      <c r="AN991" s="49"/>
      <c r="AO991" s="11"/>
      <c r="AP991" s="11"/>
      <c r="AQ991" s="28" t="b">
        <f>IF(COUNTIF(SmartStatus!A$2:A1000, AM991) &gt; 2, TRUE, FALSE)</f>
        <v>0</v>
      </c>
      <c r="AR991" s="29" t="str">
        <f ca="1">IFERROR(__xludf.DUMMYFUNCTION("iferror(if(regexmatch(AO991, ""(?i)^registered""), if(EE991 &lt;&gt; ""polity_shortest_name"", ""CHECK_POLITY"", index(filter(SmartStatus!B$2:B1000, AM991 = SmartStatus!A$2:A1000, not(SmartStatus!C$2:C1000), (isblank(SmartStatus!D$2:D1000)) + ((P991 &lt;&gt; """") * "&amp;"(P991 &lt; SmartStatus!D$2:D1000)), (isblank(SmartStatus!E$2:E1000)) + ((P991 &lt;&gt; """") * (P991 &gt;= SmartStatus!E$2:E1000)), (isblank(SmartStatus!F$2:F1000)) + (((Q991 &lt;&gt; """") * (Q991 &lt; SmartStatus!F$2:F1000)) + ((P991 &lt;&gt; """") * (date(year(P991) + 3, month(P"&amp;"991), day(P991)) &lt; SmartStatus!F$2:F1000))), (isblank(SmartStatus!G$2:G1000)) + (((Q991 &lt;&gt; """") * (Q991 &gt;= SmartStatus!G$2:G1000)) + ((P991 &lt;&gt; """") * (P991 &gt;= SmartStatus!G$2:G1000)))), if(or(regexmatch(B991, ""(?i)^ir [a-z]+ designation$""), N991 &lt;&gt; """&amp;"""), 1, 2))), """"), ""NO_MATCH"")"),"")</f>
        <v/>
      </c>
      <c r="AS991" s="11"/>
      <c r="AT991" s="15"/>
      <c r="AU991" s="11"/>
      <c r="AV991" s="11"/>
      <c r="AW991" s="15"/>
      <c r="AX991" s="15"/>
      <c r="AY991" s="15"/>
      <c r="AZ991" s="11"/>
      <c r="BA991" s="15"/>
      <c r="BB991" s="11"/>
      <c r="BC991" s="11"/>
      <c r="BD991" s="15"/>
      <c r="BE991" s="11"/>
      <c r="BF991" s="11"/>
      <c r="BG991" s="15"/>
      <c r="BH991" s="15"/>
      <c r="BI991" s="15"/>
      <c r="BJ991" s="11"/>
      <c r="BK991" s="15"/>
      <c r="BL991" s="11"/>
      <c r="BM991" s="11"/>
      <c r="BN991" s="15"/>
      <c r="BO991" s="11"/>
      <c r="BP991" s="11"/>
      <c r="BQ991" s="15"/>
      <c r="BR991" s="15"/>
      <c r="BS991" s="15"/>
      <c r="BT991" s="11"/>
      <c r="BU991" s="15"/>
      <c r="BV991" s="11"/>
      <c r="BW991" s="11"/>
      <c r="BX991" s="15"/>
      <c r="BY991" s="11"/>
      <c r="BZ991" s="11"/>
      <c r="CA991" s="15"/>
      <c r="CB991" s="11"/>
      <c r="CC991" s="15"/>
      <c r="CD991" s="11"/>
      <c r="CE991" s="15"/>
      <c r="CF991" s="11"/>
      <c r="CG991" s="11"/>
      <c r="CH991" s="15"/>
      <c r="CI991" s="11"/>
      <c r="CJ991" s="11"/>
      <c r="CK991" s="15"/>
      <c r="CL991" s="11"/>
      <c r="CM991" s="11"/>
      <c r="CN991" s="11"/>
      <c r="CO991" s="11"/>
      <c r="CP991" s="28"/>
      <c r="CQ991" s="28"/>
      <c r="CR991" s="11"/>
      <c r="CS991" s="29"/>
      <c r="CT991" s="11"/>
      <c r="CU991" s="11"/>
      <c r="CV991" s="11"/>
      <c r="CW991" s="11"/>
      <c r="CX991" s="11"/>
      <c r="CY991" s="11"/>
      <c r="CZ991" s="11"/>
      <c r="DA991" s="28"/>
      <c r="DB991" s="28"/>
      <c r="DC991" s="11"/>
      <c r="DD991" s="29"/>
      <c r="DE991" s="11"/>
      <c r="DF991" s="11"/>
      <c r="DG991" s="11"/>
      <c r="DH991" s="11"/>
      <c r="DI991" s="11"/>
      <c r="DJ991" s="11"/>
      <c r="DK991" s="26"/>
      <c r="DL991" s="11"/>
      <c r="DM991" s="29"/>
      <c r="DN991" s="28"/>
      <c r="DO991" s="11"/>
      <c r="DP991" s="11"/>
      <c r="DQ991" s="11"/>
      <c r="DR991" s="29"/>
      <c r="DS991" s="28"/>
      <c r="DT991" s="11"/>
      <c r="DU991" s="26"/>
      <c r="DV991" s="11"/>
      <c r="DW991" s="29"/>
      <c r="DX991" s="28"/>
      <c r="DY991" s="11"/>
      <c r="DZ991" s="26"/>
      <c r="EA991" s="11"/>
      <c r="EB991" s="29"/>
      <c r="EC991" s="28"/>
      <c r="ED991" s="30"/>
      <c r="EE991" s="30" t="str">
        <f ca="1">IFERROR(__xludf.DUMMYFUNCTION("iferror(index(filter('Internal -- Trademark Countries'!E$2:E1000, (AM991 = 'Internal -- Trademark Countries'!B$2:B1000) + (AM991 = 'Internal -- Trademark Countries'!C$2:C1000) + (AM991 = 'Internal -- Trademark Countries'!D$2:D1000)), 1))"),"")</f>
        <v/>
      </c>
      <c r="EF991" s="30" t="e">
        <f ca="1">_xludf.ifs(AM991="", "", COUNTIF('Internal -- Trademark Countries'!B:B,AM991) &gt; 0, "polity_shortest_name", COUNTIF('Internal -- Trademark Countries'!C:C,AM991) &gt; 0, "polity_full_name", COUNTIF('Internal -- Trademark Countries'!D:D,AM991) &gt; 0, "polity_common_name", COUNTIF('Internal -- Trademark Countries'!E:E,AM991) &gt; 0, "shortest_name", COUNTIF('Internal -- Trademark Countries'!A:A,AM991) &gt; 0, "full_name", TRUE, "not a match")</f>
        <v>#NAME?</v>
      </c>
      <c r="EG991" s="30"/>
      <c r="EH991" s="30"/>
      <c r="EI991" s="30"/>
      <c r="EJ991" s="30"/>
      <c r="EK991" s="30" t="str">
        <f t="shared" si="5"/>
        <v/>
      </c>
    </row>
    <row r="992" spans="1:141" ht="16.5">
      <c r="A992" s="11"/>
      <c r="B992" s="11"/>
      <c r="C992" s="11"/>
      <c r="D992" s="11"/>
      <c r="E992" s="11"/>
      <c r="F992" s="11"/>
      <c r="G992" s="11"/>
      <c r="H992" s="11"/>
      <c r="I992" s="11"/>
      <c r="J992" s="11"/>
      <c r="K992" s="27"/>
      <c r="L992" s="11"/>
      <c r="M992" s="11"/>
      <c r="N992" s="11"/>
      <c r="O992" s="11"/>
      <c r="P992" s="15"/>
      <c r="Q992" s="15"/>
      <c r="R992" s="15"/>
      <c r="S992" s="15"/>
      <c r="T992" s="15"/>
      <c r="U992" s="15"/>
      <c r="V992" s="15"/>
      <c r="W992" s="47"/>
      <c r="X992" s="11"/>
      <c r="Y992" s="48"/>
      <c r="Z992" s="11"/>
      <c r="AA992" s="48"/>
      <c r="AB992" s="11"/>
      <c r="AC992" s="48"/>
      <c r="AD992" s="11"/>
      <c r="AE992" s="47"/>
      <c r="AF992" s="11"/>
      <c r="AG992" s="48"/>
      <c r="AH992" s="11"/>
      <c r="AI992" s="48"/>
      <c r="AJ992" s="11"/>
      <c r="AK992" s="48"/>
      <c r="AL992" s="11"/>
      <c r="AM992" s="49"/>
      <c r="AN992" s="49"/>
      <c r="AO992" s="11"/>
      <c r="AP992" s="11"/>
      <c r="AQ992" s="28" t="b">
        <f>IF(COUNTIF(SmartStatus!A$2:A1000, AM992) &gt; 2, TRUE, FALSE)</f>
        <v>0</v>
      </c>
      <c r="AR992" s="29" t="str">
        <f ca="1">IFERROR(__xludf.DUMMYFUNCTION("iferror(if(regexmatch(AO992, ""(?i)^registered""), if(EE992 &lt;&gt; ""polity_shortest_name"", ""CHECK_POLITY"", index(filter(SmartStatus!B$2:B1000, AM992 = SmartStatus!A$2:A1000, not(SmartStatus!C$2:C1000), (isblank(SmartStatus!D$2:D1000)) + ((P992 &lt;&gt; """") * "&amp;"(P992 &lt; SmartStatus!D$2:D1000)), (isblank(SmartStatus!E$2:E1000)) + ((P992 &lt;&gt; """") * (P992 &gt;= SmartStatus!E$2:E1000)), (isblank(SmartStatus!F$2:F1000)) + (((Q992 &lt;&gt; """") * (Q992 &lt; SmartStatus!F$2:F1000)) + ((P992 &lt;&gt; """") * (date(year(P992) + 3, month(P"&amp;"992), day(P992)) &lt; SmartStatus!F$2:F1000))), (isblank(SmartStatus!G$2:G1000)) + (((Q992 &lt;&gt; """") * (Q992 &gt;= SmartStatus!G$2:G1000)) + ((P992 &lt;&gt; """") * (P992 &gt;= SmartStatus!G$2:G1000)))), if(or(regexmatch(B992, ""(?i)^ir [a-z]+ designation$""), N992 &lt;&gt; """&amp;"""), 1, 2))), """"), ""NO_MATCH"")"),"")</f>
        <v/>
      </c>
      <c r="AS992" s="11"/>
      <c r="AT992" s="15"/>
      <c r="AU992" s="11"/>
      <c r="AV992" s="11"/>
      <c r="AW992" s="15"/>
      <c r="AX992" s="15"/>
      <c r="AY992" s="15"/>
      <c r="AZ992" s="11"/>
      <c r="BA992" s="15"/>
      <c r="BB992" s="11"/>
      <c r="BC992" s="11"/>
      <c r="BD992" s="15"/>
      <c r="BE992" s="11"/>
      <c r="BF992" s="11"/>
      <c r="BG992" s="15"/>
      <c r="BH992" s="15"/>
      <c r="BI992" s="15"/>
      <c r="BJ992" s="11"/>
      <c r="BK992" s="15"/>
      <c r="BL992" s="11"/>
      <c r="BM992" s="11"/>
      <c r="BN992" s="15"/>
      <c r="BO992" s="11"/>
      <c r="BP992" s="11"/>
      <c r="BQ992" s="15"/>
      <c r="BR992" s="15"/>
      <c r="BS992" s="15"/>
      <c r="BT992" s="11"/>
      <c r="BU992" s="15"/>
      <c r="BV992" s="11"/>
      <c r="BW992" s="11"/>
      <c r="BX992" s="15"/>
      <c r="BY992" s="11"/>
      <c r="BZ992" s="11"/>
      <c r="CA992" s="15"/>
      <c r="CB992" s="11"/>
      <c r="CC992" s="15"/>
      <c r="CD992" s="11"/>
      <c r="CE992" s="15"/>
      <c r="CF992" s="11"/>
      <c r="CG992" s="11"/>
      <c r="CH992" s="15"/>
      <c r="CI992" s="11"/>
      <c r="CJ992" s="11"/>
      <c r="CK992" s="15"/>
      <c r="CL992" s="11"/>
      <c r="CM992" s="11"/>
      <c r="CN992" s="11"/>
      <c r="CO992" s="11"/>
      <c r="CP992" s="28"/>
      <c r="CQ992" s="28"/>
      <c r="CR992" s="11"/>
      <c r="CS992" s="29"/>
      <c r="CT992" s="11"/>
      <c r="CU992" s="11"/>
      <c r="CV992" s="11"/>
      <c r="CW992" s="11"/>
      <c r="CX992" s="11"/>
      <c r="CY992" s="11"/>
      <c r="CZ992" s="11"/>
      <c r="DA992" s="28"/>
      <c r="DB992" s="28"/>
      <c r="DC992" s="11"/>
      <c r="DD992" s="29"/>
      <c r="DE992" s="11"/>
      <c r="DF992" s="11"/>
      <c r="DG992" s="11"/>
      <c r="DH992" s="11"/>
      <c r="DI992" s="11"/>
      <c r="DJ992" s="11"/>
      <c r="DK992" s="26"/>
      <c r="DL992" s="11"/>
      <c r="DM992" s="29"/>
      <c r="DN992" s="28"/>
      <c r="DO992" s="11"/>
      <c r="DP992" s="11"/>
      <c r="DQ992" s="11"/>
      <c r="DR992" s="29"/>
      <c r="DS992" s="28"/>
      <c r="DT992" s="11"/>
      <c r="DU992" s="26"/>
      <c r="DV992" s="11"/>
      <c r="DW992" s="29"/>
      <c r="DX992" s="28"/>
      <c r="DY992" s="11"/>
      <c r="DZ992" s="26"/>
      <c r="EA992" s="11"/>
      <c r="EB992" s="29"/>
      <c r="EC992" s="28"/>
      <c r="ED992" s="30"/>
      <c r="EE992" s="30" t="str">
        <f ca="1">IFERROR(__xludf.DUMMYFUNCTION("iferror(index(filter('Internal -- Trademark Countries'!E$2:E1000, (AM992 = 'Internal -- Trademark Countries'!B$2:B1000) + (AM992 = 'Internal -- Trademark Countries'!C$2:C1000) + (AM992 = 'Internal -- Trademark Countries'!D$2:D1000)), 1))"),"")</f>
        <v/>
      </c>
      <c r="EF992" s="30" t="e">
        <f ca="1">_xludf.ifs(AM992="", "", COUNTIF('Internal -- Trademark Countries'!B:B,AM992) &gt; 0, "polity_shortest_name", COUNTIF('Internal -- Trademark Countries'!C:C,AM992) &gt; 0, "polity_full_name", COUNTIF('Internal -- Trademark Countries'!D:D,AM992) &gt; 0, "polity_common_name", COUNTIF('Internal -- Trademark Countries'!E:E,AM992) &gt; 0, "shortest_name", COUNTIF('Internal -- Trademark Countries'!A:A,AM992) &gt; 0, "full_name", TRUE, "not a match")</f>
        <v>#NAME?</v>
      </c>
      <c r="EG992" s="30"/>
      <c r="EH992" s="30"/>
      <c r="EI992" s="30"/>
      <c r="EJ992" s="30"/>
      <c r="EK992" s="30" t="str">
        <f t="shared" si="5"/>
        <v/>
      </c>
    </row>
    <row r="993" spans="1:141" ht="16.5">
      <c r="A993" s="11"/>
      <c r="B993" s="11"/>
      <c r="C993" s="11"/>
      <c r="D993" s="11"/>
      <c r="E993" s="11"/>
      <c r="F993" s="11"/>
      <c r="G993" s="11"/>
      <c r="H993" s="11"/>
      <c r="I993" s="11"/>
      <c r="J993" s="11"/>
      <c r="K993" s="27"/>
      <c r="L993" s="11"/>
      <c r="M993" s="11"/>
      <c r="N993" s="11"/>
      <c r="O993" s="11"/>
      <c r="P993" s="15"/>
      <c r="Q993" s="15"/>
      <c r="R993" s="15"/>
      <c r="S993" s="15"/>
      <c r="T993" s="15"/>
      <c r="U993" s="15"/>
      <c r="V993" s="15"/>
      <c r="W993" s="47"/>
      <c r="X993" s="11"/>
      <c r="Y993" s="48"/>
      <c r="Z993" s="11"/>
      <c r="AA993" s="48"/>
      <c r="AB993" s="11"/>
      <c r="AC993" s="48"/>
      <c r="AD993" s="11"/>
      <c r="AE993" s="47"/>
      <c r="AF993" s="11"/>
      <c r="AG993" s="48"/>
      <c r="AH993" s="11"/>
      <c r="AI993" s="48"/>
      <c r="AJ993" s="11"/>
      <c r="AK993" s="48"/>
      <c r="AL993" s="11"/>
      <c r="AM993" s="49"/>
      <c r="AN993" s="49"/>
      <c r="AO993" s="11"/>
      <c r="AP993" s="11"/>
      <c r="AQ993" s="28" t="b">
        <f>IF(COUNTIF(SmartStatus!A$2:A1000, AM993) &gt; 2, TRUE, FALSE)</f>
        <v>0</v>
      </c>
      <c r="AR993" s="29" t="str">
        <f ca="1">IFERROR(__xludf.DUMMYFUNCTION("iferror(if(regexmatch(AO993, ""(?i)^registered""), if(EE993 &lt;&gt; ""polity_shortest_name"", ""CHECK_POLITY"", index(filter(SmartStatus!B$2:B1000, AM993 = SmartStatus!A$2:A1000, not(SmartStatus!C$2:C1000), (isblank(SmartStatus!D$2:D1000)) + ((P993 &lt;&gt; """") * "&amp;"(P993 &lt; SmartStatus!D$2:D1000)), (isblank(SmartStatus!E$2:E1000)) + ((P993 &lt;&gt; """") * (P993 &gt;= SmartStatus!E$2:E1000)), (isblank(SmartStatus!F$2:F1000)) + (((Q993 &lt;&gt; """") * (Q993 &lt; SmartStatus!F$2:F1000)) + ((P993 &lt;&gt; """") * (date(year(P993) + 3, month(P"&amp;"993), day(P993)) &lt; SmartStatus!F$2:F1000))), (isblank(SmartStatus!G$2:G1000)) + (((Q993 &lt;&gt; """") * (Q993 &gt;= SmartStatus!G$2:G1000)) + ((P993 &lt;&gt; """") * (P993 &gt;= SmartStatus!G$2:G1000)))), if(or(regexmatch(B993, ""(?i)^ir [a-z]+ designation$""), N993 &lt;&gt; """&amp;"""), 1, 2))), """"), ""NO_MATCH"")"),"")</f>
        <v/>
      </c>
      <c r="AS993" s="11"/>
      <c r="AT993" s="15"/>
      <c r="AU993" s="11"/>
      <c r="AV993" s="11"/>
      <c r="AW993" s="15"/>
      <c r="AX993" s="15"/>
      <c r="AY993" s="15"/>
      <c r="AZ993" s="11"/>
      <c r="BA993" s="15"/>
      <c r="BB993" s="11"/>
      <c r="BC993" s="11"/>
      <c r="BD993" s="15"/>
      <c r="BE993" s="11"/>
      <c r="BF993" s="11"/>
      <c r="BG993" s="15"/>
      <c r="BH993" s="15"/>
      <c r="BI993" s="15"/>
      <c r="BJ993" s="11"/>
      <c r="BK993" s="15"/>
      <c r="BL993" s="11"/>
      <c r="BM993" s="11"/>
      <c r="BN993" s="15"/>
      <c r="BO993" s="11"/>
      <c r="BP993" s="11"/>
      <c r="BQ993" s="15"/>
      <c r="BR993" s="15"/>
      <c r="BS993" s="15"/>
      <c r="BT993" s="11"/>
      <c r="BU993" s="15"/>
      <c r="BV993" s="11"/>
      <c r="BW993" s="11"/>
      <c r="BX993" s="15"/>
      <c r="BY993" s="11"/>
      <c r="BZ993" s="11"/>
      <c r="CA993" s="15"/>
      <c r="CB993" s="11"/>
      <c r="CC993" s="15"/>
      <c r="CD993" s="11"/>
      <c r="CE993" s="15"/>
      <c r="CF993" s="11"/>
      <c r="CG993" s="11"/>
      <c r="CH993" s="15"/>
      <c r="CI993" s="11"/>
      <c r="CJ993" s="11"/>
      <c r="CK993" s="15"/>
      <c r="CL993" s="11"/>
      <c r="CM993" s="11"/>
      <c r="CN993" s="11"/>
      <c r="CO993" s="11"/>
      <c r="CP993" s="28"/>
      <c r="CQ993" s="28"/>
      <c r="CR993" s="11"/>
      <c r="CS993" s="29"/>
      <c r="CT993" s="11"/>
      <c r="CU993" s="11"/>
      <c r="CV993" s="11"/>
      <c r="CW993" s="11"/>
      <c r="CX993" s="11"/>
      <c r="CY993" s="11"/>
      <c r="CZ993" s="11"/>
      <c r="DA993" s="28"/>
      <c r="DB993" s="28"/>
      <c r="DC993" s="11"/>
      <c r="DD993" s="29"/>
      <c r="DE993" s="11"/>
      <c r="DF993" s="11"/>
      <c r="DG993" s="11"/>
      <c r="DH993" s="11"/>
      <c r="DI993" s="11"/>
      <c r="DJ993" s="11"/>
      <c r="DK993" s="26"/>
      <c r="DL993" s="11"/>
      <c r="DM993" s="29"/>
      <c r="DN993" s="28"/>
      <c r="DO993" s="11"/>
      <c r="DP993" s="11"/>
      <c r="DQ993" s="11"/>
      <c r="DR993" s="29"/>
      <c r="DS993" s="28"/>
      <c r="DT993" s="11"/>
      <c r="DU993" s="26"/>
      <c r="DV993" s="11"/>
      <c r="DW993" s="29"/>
      <c r="DX993" s="28"/>
      <c r="DY993" s="11"/>
      <c r="DZ993" s="26"/>
      <c r="EA993" s="11"/>
      <c r="EB993" s="29"/>
      <c r="EC993" s="28"/>
      <c r="ED993" s="30"/>
      <c r="EE993" s="30" t="str">
        <f ca="1">IFERROR(__xludf.DUMMYFUNCTION("iferror(index(filter('Internal -- Trademark Countries'!E$2:E1000, (AM993 = 'Internal -- Trademark Countries'!B$2:B1000) + (AM993 = 'Internal -- Trademark Countries'!C$2:C1000) + (AM993 = 'Internal -- Trademark Countries'!D$2:D1000)), 1))"),"")</f>
        <v/>
      </c>
      <c r="EF993" s="30" t="e">
        <f ca="1">_xludf.ifs(AM993="", "", COUNTIF('Internal -- Trademark Countries'!B:B,AM993) &gt; 0, "polity_shortest_name", COUNTIF('Internal -- Trademark Countries'!C:C,AM993) &gt; 0, "polity_full_name", COUNTIF('Internal -- Trademark Countries'!D:D,AM993) &gt; 0, "polity_common_name", COUNTIF('Internal -- Trademark Countries'!E:E,AM993) &gt; 0, "shortest_name", COUNTIF('Internal -- Trademark Countries'!A:A,AM993) &gt; 0, "full_name", TRUE, "not a match")</f>
        <v>#NAME?</v>
      </c>
      <c r="EG993" s="30"/>
      <c r="EH993" s="30"/>
      <c r="EI993" s="30"/>
      <c r="EJ993" s="30"/>
      <c r="EK993" s="30" t="str">
        <f t="shared" si="5"/>
        <v/>
      </c>
    </row>
    <row r="994" spans="1:141" ht="16.5">
      <c r="A994" s="11"/>
      <c r="B994" s="11"/>
      <c r="C994" s="11"/>
      <c r="D994" s="11"/>
      <c r="E994" s="11"/>
      <c r="F994" s="11"/>
      <c r="G994" s="11"/>
      <c r="H994" s="11"/>
      <c r="I994" s="11"/>
      <c r="J994" s="11"/>
      <c r="K994" s="27"/>
      <c r="L994" s="11"/>
      <c r="M994" s="11"/>
      <c r="N994" s="11"/>
      <c r="O994" s="11"/>
      <c r="P994" s="15"/>
      <c r="Q994" s="15"/>
      <c r="R994" s="15"/>
      <c r="S994" s="15"/>
      <c r="T994" s="15"/>
      <c r="U994" s="15"/>
      <c r="V994" s="15"/>
      <c r="W994" s="47"/>
      <c r="X994" s="11"/>
      <c r="Y994" s="48"/>
      <c r="Z994" s="11"/>
      <c r="AA994" s="48"/>
      <c r="AB994" s="11"/>
      <c r="AC994" s="48"/>
      <c r="AD994" s="11"/>
      <c r="AE994" s="47"/>
      <c r="AF994" s="11"/>
      <c r="AG994" s="48"/>
      <c r="AH994" s="11"/>
      <c r="AI994" s="48"/>
      <c r="AJ994" s="11"/>
      <c r="AK994" s="48"/>
      <c r="AL994" s="11"/>
      <c r="AM994" s="49"/>
      <c r="AN994" s="49"/>
      <c r="AO994" s="11"/>
      <c r="AP994" s="11"/>
      <c r="AQ994" s="28" t="b">
        <f>IF(COUNTIF(SmartStatus!A$2:A1000, AM994) &gt; 2, TRUE, FALSE)</f>
        <v>0</v>
      </c>
      <c r="AR994" s="29" t="str">
        <f ca="1">IFERROR(__xludf.DUMMYFUNCTION("iferror(if(regexmatch(AO994, ""(?i)^registered""), if(EE994 &lt;&gt; ""polity_shortest_name"", ""CHECK_POLITY"", index(filter(SmartStatus!B$2:B1000, AM994 = SmartStatus!A$2:A1000, not(SmartStatus!C$2:C1000), (isblank(SmartStatus!D$2:D1000)) + ((P994 &lt;&gt; """") * "&amp;"(P994 &lt; SmartStatus!D$2:D1000)), (isblank(SmartStatus!E$2:E1000)) + ((P994 &lt;&gt; """") * (P994 &gt;= SmartStatus!E$2:E1000)), (isblank(SmartStatus!F$2:F1000)) + (((Q994 &lt;&gt; """") * (Q994 &lt; SmartStatus!F$2:F1000)) + ((P994 &lt;&gt; """") * (date(year(P994) + 3, month(P"&amp;"994), day(P994)) &lt; SmartStatus!F$2:F1000))), (isblank(SmartStatus!G$2:G1000)) + (((Q994 &lt;&gt; """") * (Q994 &gt;= SmartStatus!G$2:G1000)) + ((P994 &lt;&gt; """") * (P994 &gt;= SmartStatus!G$2:G1000)))), if(or(regexmatch(B994, ""(?i)^ir [a-z]+ designation$""), N994 &lt;&gt; """&amp;"""), 1, 2))), """"), ""NO_MATCH"")"),"")</f>
        <v/>
      </c>
      <c r="AS994" s="11"/>
      <c r="AT994" s="15"/>
      <c r="AU994" s="11"/>
      <c r="AV994" s="11"/>
      <c r="AW994" s="15"/>
      <c r="AX994" s="15"/>
      <c r="AY994" s="15"/>
      <c r="AZ994" s="11"/>
      <c r="BA994" s="15"/>
      <c r="BB994" s="11"/>
      <c r="BC994" s="11"/>
      <c r="BD994" s="15"/>
      <c r="BE994" s="11"/>
      <c r="BF994" s="11"/>
      <c r="BG994" s="15"/>
      <c r="BH994" s="15"/>
      <c r="BI994" s="15"/>
      <c r="BJ994" s="11"/>
      <c r="BK994" s="15"/>
      <c r="BL994" s="11"/>
      <c r="BM994" s="11"/>
      <c r="BN994" s="15"/>
      <c r="BO994" s="11"/>
      <c r="BP994" s="11"/>
      <c r="BQ994" s="15"/>
      <c r="BR994" s="15"/>
      <c r="BS994" s="15"/>
      <c r="BT994" s="11"/>
      <c r="BU994" s="15"/>
      <c r="BV994" s="11"/>
      <c r="BW994" s="11"/>
      <c r="BX994" s="15"/>
      <c r="BY994" s="11"/>
      <c r="BZ994" s="11"/>
      <c r="CA994" s="15"/>
      <c r="CB994" s="11"/>
      <c r="CC994" s="15"/>
      <c r="CD994" s="11"/>
      <c r="CE994" s="15"/>
      <c r="CF994" s="11"/>
      <c r="CG994" s="11"/>
      <c r="CH994" s="15"/>
      <c r="CI994" s="11"/>
      <c r="CJ994" s="11"/>
      <c r="CK994" s="15"/>
      <c r="CL994" s="11"/>
      <c r="CM994" s="11"/>
      <c r="CN994" s="11"/>
      <c r="CO994" s="11"/>
      <c r="CP994" s="28"/>
      <c r="CQ994" s="28"/>
      <c r="CR994" s="11"/>
      <c r="CS994" s="29"/>
      <c r="CT994" s="11"/>
      <c r="CU994" s="11"/>
      <c r="CV994" s="11"/>
      <c r="CW994" s="11"/>
      <c r="CX994" s="11"/>
      <c r="CY994" s="11"/>
      <c r="CZ994" s="11"/>
      <c r="DA994" s="28"/>
      <c r="DB994" s="28"/>
      <c r="DC994" s="11"/>
      <c r="DD994" s="29"/>
      <c r="DE994" s="11"/>
      <c r="DF994" s="11"/>
      <c r="DG994" s="11"/>
      <c r="DH994" s="11"/>
      <c r="DI994" s="11"/>
      <c r="DJ994" s="11"/>
      <c r="DK994" s="26"/>
      <c r="DL994" s="11"/>
      <c r="DM994" s="29"/>
      <c r="DN994" s="28"/>
      <c r="DO994" s="11"/>
      <c r="DP994" s="11"/>
      <c r="DQ994" s="11"/>
      <c r="DR994" s="29"/>
      <c r="DS994" s="28"/>
      <c r="DT994" s="11"/>
      <c r="DU994" s="26"/>
      <c r="DV994" s="11"/>
      <c r="DW994" s="29"/>
      <c r="DX994" s="28"/>
      <c r="DY994" s="11"/>
      <c r="DZ994" s="26"/>
      <c r="EA994" s="11"/>
      <c r="EB994" s="29"/>
      <c r="EC994" s="28"/>
      <c r="ED994" s="30"/>
      <c r="EE994" s="30" t="str">
        <f ca="1">IFERROR(__xludf.DUMMYFUNCTION("iferror(index(filter('Internal -- Trademark Countries'!E$2:E1000, (AM994 = 'Internal -- Trademark Countries'!B$2:B1000) + (AM994 = 'Internal -- Trademark Countries'!C$2:C1000) + (AM994 = 'Internal -- Trademark Countries'!D$2:D1000)), 1))"),"")</f>
        <v/>
      </c>
      <c r="EF994" s="30" t="e">
        <f ca="1">_xludf.ifs(AM994="", "", COUNTIF('Internal -- Trademark Countries'!B:B,AM994) &gt; 0, "polity_shortest_name", COUNTIF('Internal -- Trademark Countries'!C:C,AM994) &gt; 0, "polity_full_name", COUNTIF('Internal -- Trademark Countries'!D:D,AM994) &gt; 0, "polity_common_name", COUNTIF('Internal -- Trademark Countries'!E:E,AM994) &gt; 0, "shortest_name", COUNTIF('Internal -- Trademark Countries'!A:A,AM994) &gt; 0, "full_name", TRUE, "not a match")</f>
        <v>#NAME?</v>
      </c>
      <c r="EG994" s="30"/>
      <c r="EH994" s="30"/>
      <c r="EI994" s="30"/>
      <c r="EJ994" s="30"/>
      <c r="EK994" s="30" t="str">
        <f t="shared" si="5"/>
        <v/>
      </c>
    </row>
    <row r="995" spans="1:141" ht="16.5">
      <c r="A995" s="11"/>
      <c r="B995" s="11"/>
      <c r="C995" s="11"/>
      <c r="D995" s="11"/>
      <c r="E995" s="11"/>
      <c r="F995" s="11"/>
      <c r="G995" s="11"/>
      <c r="H995" s="11"/>
      <c r="I995" s="11"/>
      <c r="J995" s="11"/>
      <c r="K995" s="27"/>
      <c r="L995" s="11"/>
      <c r="M995" s="11"/>
      <c r="N995" s="11"/>
      <c r="O995" s="11"/>
      <c r="P995" s="15"/>
      <c r="Q995" s="15"/>
      <c r="R995" s="15"/>
      <c r="S995" s="15"/>
      <c r="T995" s="15"/>
      <c r="U995" s="15"/>
      <c r="V995" s="15"/>
      <c r="W995" s="47"/>
      <c r="X995" s="11"/>
      <c r="Y995" s="48"/>
      <c r="Z995" s="11"/>
      <c r="AA995" s="48"/>
      <c r="AB995" s="11"/>
      <c r="AC995" s="48"/>
      <c r="AD995" s="11"/>
      <c r="AE995" s="47"/>
      <c r="AF995" s="11"/>
      <c r="AG995" s="48"/>
      <c r="AH995" s="11"/>
      <c r="AI995" s="48"/>
      <c r="AJ995" s="11"/>
      <c r="AK995" s="48"/>
      <c r="AL995" s="11"/>
      <c r="AM995" s="49"/>
      <c r="AN995" s="49"/>
      <c r="AO995" s="11"/>
      <c r="AP995" s="11"/>
      <c r="AQ995" s="28" t="b">
        <f>IF(COUNTIF(SmartStatus!A$2:A1000, AM995) &gt; 2, TRUE, FALSE)</f>
        <v>0</v>
      </c>
      <c r="AR995" s="29" t="str">
        <f ca="1">IFERROR(__xludf.DUMMYFUNCTION("iferror(if(regexmatch(AO995, ""(?i)^registered""), if(EE995 &lt;&gt; ""polity_shortest_name"", ""CHECK_POLITY"", index(filter(SmartStatus!B$2:B1000, AM995 = SmartStatus!A$2:A1000, not(SmartStatus!C$2:C1000), (isblank(SmartStatus!D$2:D1000)) + ((P995 &lt;&gt; """") * "&amp;"(P995 &lt; SmartStatus!D$2:D1000)), (isblank(SmartStatus!E$2:E1000)) + ((P995 &lt;&gt; """") * (P995 &gt;= SmartStatus!E$2:E1000)), (isblank(SmartStatus!F$2:F1000)) + (((Q995 &lt;&gt; """") * (Q995 &lt; SmartStatus!F$2:F1000)) + ((P995 &lt;&gt; """") * (date(year(P995) + 3, month(P"&amp;"995), day(P995)) &lt; SmartStatus!F$2:F1000))), (isblank(SmartStatus!G$2:G1000)) + (((Q995 &lt;&gt; """") * (Q995 &gt;= SmartStatus!G$2:G1000)) + ((P995 &lt;&gt; """") * (P995 &gt;= SmartStatus!G$2:G1000)))), if(or(regexmatch(B995, ""(?i)^ir [a-z]+ designation$""), N995 &lt;&gt; """&amp;"""), 1, 2))), """"), ""NO_MATCH"")"),"")</f>
        <v/>
      </c>
      <c r="AS995" s="11"/>
      <c r="AT995" s="15"/>
      <c r="AU995" s="11"/>
      <c r="AV995" s="11"/>
      <c r="AW995" s="15"/>
      <c r="AX995" s="15"/>
      <c r="AY995" s="15"/>
      <c r="AZ995" s="11"/>
      <c r="BA995" s="15"/>
      <c r="BB995" s="11"/>
      <c r="BC995" s="11"/>
      <c r="BD995" s="15"/>
      <c r="BE995" s="11"/>
      <c r="BF995" s="11"/>
      <c r="BG995" s="15"/>
      <c r="BH995" s="15"/>
      <c r="BI995" s="15"/>
      <c r="BJ995" s="11"/>
      <c r="BK995" s="15"/>
      <c r="BL995" s="11"/>
      <c r="BM995" s="11"/>
      <c r="BN995" s="15"/>
      <c r="BO995" s="11"/>
      <c r="BP995" s="11"/>
      <c r="BQ995" s="15"/>
      <c r="BR995" s="15"/>
      <c r="BS995" s="15"/>
      <c r="BT995" s="11"/>
      <c r="BU995" s="15"/>
      <c r="BV995" s="11"/>
      <c r="BW995" s="11"/>
      <c r="BX995" s="15"/>
      <c r="BY995" s="11"/>
      <c r="BZ995" s="11"/>
      <c r="CA995" s="15"/>
      <c r="CB995" s="11"/>
      <c r="CC995" s="15"/>
      <c r="CD995" s="11"/>
      <c r="CE995" s="15"/>
      <c r="CF995" s="11"/>
      <c r="CG995" s="11"/>
      <c r="CH995" s="15"/>
      <c r="CI995" s="11"/>
      <c r="CJ995" s="11"/>
      <c r="CK995" s="15"/>
      <c r="CL995" s="11"/>
      <c r="CM995" s="11"/>
      <c r="CN995" s="11"/>
      <c r="CO995" s="11"/>
      <c r="CP995" s="28"/>
      <c r="CQ995" s="28"/>
      <c r="CR995" s="11"/>
      <c r="CS995" s="29"/>
      <c r="CT995" s="11"/>
      <c r="CU995" s="11"/>
      <c r="CV995" s="11"/>
      <c r="CW995" s="11"/>
      <c r="CX995" s="11"/>
      <c r="CY995" s="11"/>
      <c r="CZ995" s="11"/>
      <c r="DA995" s="28"/>
      <c r="DB995" s="28"/>
      <c r="DC995" s="11"/>
      <c r="DD995" s="29"/>
      <c r="DE995" s="11"/>
      <c r="DF995" s="11"/>
      <c r="DG995" s="11"/>
      <c r="DH995" s="11"/>
      <c r="DI995" s="11"/>
      <c r="DJ995" s="11"/>
      <c r="DK995" s="26"/>
      <c r="DL995" s="11"/>
      <c r="DM995" s="29"/>
      <c r="DN995" s="28"/>
      <c r="DO995" s="11"/>
      <c r="DP995" s="11"/>
      <c r="DQ995" s="11"/>
      <c r="DR995" s="29"/>
      <c r="DS995" s="28"/>
      <c r="DT995" s="11"/>
      <c r="DU995" s="26"/>
      <c r="DV995" s="11"/>
      <c r="DW995" s="29"/>
      <c r="DX995" s="28"/>
      <c r="DY995" s="11"/>
      <c r="DZ995" s="26"/>
      <c r="EA995" s="11"/>
      <c r="EB995" s="29"/>
      <c r="EC995" s="28"/>
      <c r="ED995" s="30"/>
      <c r="EE995" s="30" t="str">
        <f ca="1">IFERROR(__xludf.DUMMYFUNCTION("iferror(index(filter('Internal -- Trademark Countries'!E$2:E1000, (AM995 = 'Internal -- Trademark Countries'!B$2:B1000) + (AM995 = 'Internal -- Trademark Countries'!C$2:C1000) + (AM995 = 'Internal -- Trademark Countries'!D$2:D1000)), 1))"),"")</f>
        <v/>
      </c>
      <c r="EF995" s="30" t="e">
        <f ca="1">_xludf.ifs(AM995="", "", COUNTIF('Internal -- Trademark Countries'!B:B,AM995) &gt; 0, "polity_shortest_name", COUNTIF('Internal -- Trademark Countries'!C:C,AM995) &gt; 0, "polity_full_name", COUNTIF('Internal -- Trademark Countries'!D:D,AM995) &gt; 0, "polity_common_name", COUNTIF('Internal -- Trademark Countries'!E:E,AM995) &gt; 0, "shortest_name", COUNTIF('Internal -- Trademark Countries'!A:A,AM995) &gt; 0, "full_name", TRUE, "not a match")</f>
        <v>#NAME?</v>
      </c>
      <c r="EG995" s="30"/>
      <c r="EH995" s="30"/>
      <c r="EI995" s="30"/>
      <c r="EJ995" s="30"/>
      <c r="EK995" s="30" t="str">
        <f t="shared" si="5"/>
        <v/>
      </c>
    </row>
    <row r="996" spans="1:141" ht="16.5">
      <c r="A996" s="11"/>
      <c r="B996" s="11"/>
      <c r="C996" s="11"/>
      <c r="D996" s="11"/>
      <c r="E996" s="11"/>
      <c r="F996" s="11"/>
      <c r="G996" s="11"/>
      <c r="H996" s="11"/>
      <c r="I996" s="11"/>
      <c r="J996" s="11"/>
      <c r="K996" s="27"/>
      <c r="L996" s="11"/>
      <c r="M996" s="11"/>
      <c r="N996" s="11"/>
      <c r="O996" s="11"/>
      <c r="P996" s="15"/>
      <c r="Q996" s="15"/>
      <c r="R996" s="15"/>
      <c r="S996" s="15"/>
      <c r="T996" s="15"/>
      <c r="U996" s="15"/>
      <c r="V996" s="15"/>
      <c r="W996" s="47"/>
      <c r="X996" s="11"/>
      <c r="Y996" s="48"/>
      <c r="Z996" s="11"/>
      <c r="AA996" s="48"/>
      <c r="AB996" s="11"/>
      <c r="AC996" s="48"/>
      <c r="AD996" s="11"/>
      <c r="AE996" s="47"/>
      <c r="AF996" s="11"/>
      <c r="AG996" s="48"/>
      <c r="AH996" s="11"/>
      <c r="AI996" s="48"/>
      <c r="AJ996" s="11"/>
      <c r="AK996" s="48"/>
      <c r="AL996" s="11"/>
      <c r="AM996" s="49"/>
      <c r="AN996" s="49"/>
      <c r="AO996" s="11"/>
      <c r="AP996" s="11"/>
      <c r="AQ996" s="28" t="b">
        <f>IF(COUNTIF(SmartStatus!A$2:A1000, AM996) &gt; 2, TRUE, FALSE)</f>
        <v>0</v>
      </c>
      <c r="AR996" s="29" t="str">
        <f ca="1">IFERROR(__xludf.DUMMYFUNCTION("iferror(if(regexmatch(AO996, ""(?i)^registered""), if(EE996 &lt;&gt; ""polity_shortest_name"", ""CHECK_POLITY"", index(filter(SmartStatus!B$2:B1000, AM996 = SmartStatus!A$2:A1000, not(SmartStatus!C$2:C1000), (isblank(SmartStatus!D$2:D1000)) + ((P996 &lt;&gt; """") * "&amp;"(P996 &lt; SmartStatus!D$2:D1000)), (isblank(SmartStatus!E$2:E1000)) + ((P996 &lt;&gt; """") * (P996 &gt;= SmartStatus!E$2:E1000)), (isblank(SmartStatus!F$2:F1000)) + (((Q996 &lt;&gt; """") * (Q996 &lt; SmartStatus!F$2:F1000)) + ((P996 &lt;&gt; """") * (date(year(P996) + 3, month(P"&amp;"996), day(P996)) &lt; SmartStatus!F$2:F1000))), (isblank(SmartStatus!G$2:G1000)) + (((Q996 &lt;&gt; """") * (Q996 &gt;= SmartStatus!G$2:G1000)) + ((P996 &lt;&gt; """") * (P996 &gt;= SmartStatus!G$2:G1000)))), if(or(regexmatch(B996, ""(?i)^ir [a-z]+ designation$""), N996 &lt;&gt; """&amp;"""), 1, 2))), """"), ""NO_MATCH"")"),"")</f>
        <v/>
      </c>
      <c r="AS996" s="11"/>
      <c r="AT996" s="15"/>
      <c r="AU996" s="11"/>
      <c r="AV996" s="11"/>
      <c r="AW996" s="15"/>
      <c r="AX996" s="15"/>
      <c r="AY996" s="15"/>
      <c r="AZ996" s="11"/>
      <c r="BA996" s="15"/>
      <c r="BB996" s="11"/>
      <c r="BC996" s="11"/>
      <c r="BD996" s="15"/>
      <c r="BE996" s="11"/>
      <c r="BF996" s="11"/>
      <c r="BG996" s="15"/>
      <c r="BH996" s="15"/>
      <c r="BI996" s="15"/>
      <c r="BJ996" s="11"/>
      <c r="BK996" s="15"/>
      <c r="BL996" s="11"/>
      <c r="BM996" s="11"/>
      <c r="BN996" s="15"/>
      <c r="BO996" s="11"/>
      <c r="BP996" s="11"/>
      <c r="BQ996" s="15"/>
      <c r="BR996" s="15"/>
      <c r="BS996" s="15"/>
      <c r="BT996" s="11"/>
      <c r="BU996" s="15"/>
      <c r="BV996" s="11"/>
      <c r="BW996" s="11"/>
      <c r="BX996" s="15"/>
      <c r="BY996" s="11"/>
      <c r="BZ996" s="11"/>
      <c r="CA996" s="15"/>
      <c r="CB996" s="11"/>
      <c r="CC996" s="15"/>
      <c r="CD996" s="11"/>
      <c r="CE996" s="15"/>
      <c r="CF996" s="11"/>
      <c r="CG996" s="11"/>
      <c r="CH996" s="15"/>
      <c r="CI996" s="11"/>
      <c r="CJ996" s="11"/>
      <c r="CK996" s="15"/>
      <c r="CL996" s="11"/>
      <c r="CM996" s="11"/>
      <c r="CN996" s="11"/>
      <c r="CO996" s="11"/>
      <c r="CP996" s="28"/>
      <c r="CQ996" s="28"/>
      <c r="CR996" s="11"/>
      <c r="CS996" s="29"/>
      <c r="CT996" s="11"/>
      <c r="CU996" s="11"/>
      <c r="CV996" s="11"/>
      <c r="CW996" s="11"/>
      <c r="CX996" s="11"/>
      <c r="CY996" s="11"/>
      <c r="CZ996" s="11"/>
      <c r="DA996" s="28"/>
      <c r="DB996" s="28"/>
      <c r="DC996" s="11"/>
      <c r="DD996" s="29"/>
      <c r="DE996" s="11"/>
      <c r="DF996" s="11"/>
      <c r="DG996" s="11"/>
      <c r="DH996" s="11"/>
      <c r="DI996" s="11"/>
      <c r="DJ996" s="11"/>
      <c r="DK996" s="26"/>
      <c r="DL996" s="11"/>
      <c r="DM996" s="29"/>
      <c r="DN996" s="28"/>
      <c r="DO996" s="11"/>
      <c r="DP996" s="11"/>
      <c r="DQ996" s="11"/>
      <c r="DR996" s="29"/>
      <c r="DS996" s="28"/>
      <c r="DT996" s="11"/>
      <c r="DU996" s="26"/>
      <c r="DV996" s="11"/>
      <c r="DW996" s="29"/>
      <c r="DX996" s="28"/>
      <c r="DY996" s="11"/>
      <c r="DZ996" s="26"/>
      <c r="EA996" s="11"/>
      <c r="EB996" s="29"/>
      <c r="EC996" s="28"/>
      <c r="ED996" s="30"/>
      <c r="EE996" s="30" t="str">
        <f ca="1">IFERROR(__xludf.DUMMYFUNCTION("iferror(index(filter('Internal -- Trademark Countries'!E$2:E1000, (AM996 = 'Internal -- Trademark Countries'!B$2:B1000) + (AM996 = 'Internal -- Trademark Countries'!C$2:C1000) + (AM996 = 'Internal -- Trademark Countries'!D$2:D1000)), 1))"),"")</f>
        <v/>
      </c>
      <c r="EF996" s="30" t="e">
        <f ca="1">_xludf.ifs(AM996="", "", COUNTIF('Internal -- Trademark Countries'!B:B,AM996) &gt; 0, "polity_shortest_name", COUNTIF('Internal -- Trademark Countries'!C:C,AM996) &gt; 0, "polity_full_name", COUNTIF('Internal -- Trademark Countries'!D:D,AM996) &gt; 0, "polity_common_name", COUNTIF('Internal -- Trademark Countries'!E:E,AM996) &gt; 0, "shortest_name", COUNTIF('Internal -- Trademark Countries'!A:A,AM996) &gt; 0, "full_name", TRUE, "not a match")</f>
        <v>#NAME?</v>
      </c>
      <c r="EG996" s="30"/>
      <c r="EH996" s="30"/>
      <c r="EI996" s="30"/>
      <c r="EJ996" s="30"/>
      <c r="EK996" s="30" t="str">
        <f t="shared" si="5"/>
        <v/>
      </c>
    </row>
    <row r="997" spans="1:141" ht="16.5">
      <c r="A997" s="11"/>
      <c r="B997" s="11"/>
      <c r="C997" s="11"/>
      <c r="D997" s="11"/>
      <c r="E997" s="11"/>
      <c r="F997" s="11"/>
      <c r="G997" s="11"/>
      <c r="H997" s="11"/>
      <c r="I997" s="11"/>
      <c r="J997" s="11"/>
      <c r="K997" s="27"/>
      <c r="L997" s="11"/>
      <c r="M997" s="11"/>
      <c r="N997" s="11"/>
      <c r="O997" s="11"/>
      <c r="P997" s="15"/>
      <c r="Q997" s="15"/>
      <c r="R997" s="15"/>
      <c r="S997" s="15"/>
      <c r="T997" s="15"/>
      <c r="U997" s="15"/>
      <c r="V997" s="15"/>
      <c r="W997" s="47"/>
      <c r="X997" s="11"/>
      <c r="Y997" s="48"/>
      <c r="Z997" s="11"/>
      <c r="AA997" s="48"/>
      <c r="AB997" s="11"/>
      <c r="AC997" s="48"/>
      <c r="AD997" s="11"/>
      <c r="AE997" s="47"/>
      <c r="AF997" s="11"/>
      <c r="AG997" s="48"/>
      <c r="AH997" s="11"/>
      <c r="AI997" s="48"/>
      <c r="AJ997" s="11"/>
      <c r="AK997" s="48"/>
      <c r="AL997" s="11"/>
      <c r="AM997" s="49"/>
      <c r="AN997" s="49"/>
      <c r="AO997" s="11"/>
      <c r="AP997" s="11"/>
      <c r="AQ997" s="28" t="b">
        <f>IF(COUNTIF(SmartStatus!A$2:A1000, AM997) &gt; 2, TRUE, FALSE)</f>
        <v>0</v>
      </c>
      <c r="AR997" s="29" t="str">
        <f ca="1">IFERROR(__xludf.DUMMYFUNCTION("iferror(if(regexmatch(AO997, ""(?i)^registered""), if(EE997 &lt;&gt; ""polity_shortest_name"", ""CHECK_POLITY"", index(filter(SmartStatus!B$2:B1000, AM997 = SmartStatus!A$2:A1000, not(SmartStatus!C$2:C1000), (isblank(SmartStatus!D$2:D1000)) + ((P997 &lt;&gt; """") * "&amp;"(P997 &lt; SmartStatus!D$2:D1000)), (isblank(SmartStatus!E$2:E1000)) + ((P997 &lt;&gt; """") * (P997 &gt;= SmartStatus!E$2:E1000)), (isblank(SmartStatus!F$2:F1000)) + (((Q997 &lt;&gt; """") * (Q997 &lt; SmartStatus!F$2:F1000)) + ((P997 &lt;&gt; """") * (date(year(P997) + 3, month(P"&amp;"997), day(P997)) &lt; SmartStatus!F$2:F1000))), (isblank(SmartStatus!G$2:G1000)) + (((Q997 &lt;&gt; """") * (Q997 &gt;= SmartStatus!G$2:G1000)) + ((P997 &lt;&gt; """") * (P997 &gt;= SmartStatus!G$2:G1000)))), if(or(regexmatch(B997, ""(?i)^ir [a-z]+ designation$""), N997 &lt;&gt; """&amp;"""), 1, 2))), """"), ""NO_MATCH"")"),"")</f>
        <v/>
      </c>
      <c r="AS997" s="11"/>
      <c r="AT997" s="15"/>
      <c r="AU997" s="11"/>
      <c r="AV997" s="11"/>
      <c r="AW997" s="15"/>
      <c r="AX997" s="15"/>
      <c r="AY997" s="15"/>
      <c r="AZ997" s="11"/>
      <c r="BA997" s="15"/>
      <c r="BB997" s="11"/>
      <c r="BC997" s="11"/>
      <c r="BD997" s="15"/>
      <c r="BE997" s="11"/>
      <c r="BF997" s="11"/>
      <c r="BG997" s="15"/>
      <c r="BH997" s="15"/>
      <c r="BI997" s="15"/>
      <c r="BJ997" s="11"/>
      <c r="BK997" s="15"/>
      <c r="BL997" s="11"/>
      <c r="BM997" s="11"/>
      <c r="BN997" s="15"/>
      <c r="BO997" s="11"/>
      <c r="BP997" s="11"/>
      <c r="BQ997" s="15"/>
      <c r="BR997" s="15"/>
      <c r="BS997" s="15"/>
      <c r="BT997" s="11"/>
      <c r="BU997" s="15"/>
      <c r="BV997" s="11"/>
      <c r="BW997" s="11"/>
      <c r="BX997" s="15"/>
      <c r="BY997" s="11"/>
      <c r="BZ997" s="11"/>
      <c r="CA997" s="15"/>
      <c r="CB997" s="11"/>
      <c r="CC997" s="15"/>
      <c r="CD997" s="11"/>
      <c r="CE997" s="15"/>
      <c r="CF997" s="11"/>
      <c r="CG997" s="11"/>
      <c r="CH997" s="15"/>
      <c r="CI997" s="11"/>
      <c r="CJ997" s="11"/>
      <c r="CK997" s="15"/>
      <c r="CL997" s="11"/>
      <c r="CM997" s="11"/>
      <c r="CN997" s="11"/>
      <c r="CO997" s="11"/>
      <c r="CP997" s="28"/>
      <c r="CQ997" s="28"/>
      <c r="CR997" s="11"/>
      <c r="CS997" s="29"/>
      <c r="CT997" s="11"/>
      <c r="CU997" s="11"/>
      <c r="CV997" s="11"/>
      <c r="CW997" s="11"/>
      <c r="CX997" s="11"/>
      <c r="CY997" s="11"/>
      <c r="CZ997" s="11"/>
      <c r="DA997" s="28"/>
      <c r="DB997" s="28"/>
      <c r="DC997" s="11"/>
      <c r="DD997" s="29"/>
      <c r="DE997" s="11"/>
      <c r="DF997" s="11"/>
      <c r="DG997" s="11"/>
      <c r="DH997" s="11"/>
      <c r="DI997" s="11"/>
      <c r="DJ997" s="11"/>
      <c r="DK997" s="26"/>
      <c r="DL997" s="11"/>
      <c r="DM997" s="29"/>
      <c r="DN997" s="28"/>
      <c r="DO997" s="11"/>
      <c r="DP997" s="11"/>
      <c r="DQ997" s="11"/>
      <c r="DR997" s="29"/>
      <c r="DS997" s="28"/>
      <c r="DT997" s="11"/>
      <c r="DU997" s="26"/>
      <c r="DV997" s="11"/>
      <c r="DW997" s="29"/>
      <c r="DX997" s="28"/>
      <c r="DY997" s="11"/>
      <c r="DZ997" s="26"/>
      <c r="EA997" s="11"/>
      <c r="EB997" s="29"/>
      <c r="EC997" s="28"/>
      <c r="ED997" s="30"/>
      <c r="EE997" s="30" t="str">
        <f ca="1">IFERROR(__xludf.DUMMYFUNCTION("iferror(index(filter('Internal -- Trademark Countries'!E$2:E1000, (AM997 = 'Internal -- Trademark Countries'!B$2:B1000) + (AM997 = 'Internal -- Trademark Countries'!C$2:C1000) + (AM997 = 'Internal -- Trademark Countries'!D$2:D1000)), 1))"),"")</f>
        <v/>
      </c>
      <c r="EF997" s="30" t="e">
        <f ca="1">_xludf.ifs(AM997="", "", COUNTIF('Internal -- Trademark Countries'!B:B,AM997) &gt; 0, "polity_shortest_name", COUNTIF('Internal -- Trademark Countries'!C:C,AM997) &gt; 0, "polity_full_name", COUNTIF('Internal -- Trademark Countries'!D:D,AM997) &gt; 0, "polity_common_name", COUNTIF('Internal -- Trademark Countries'!E:E,AM997) &gt; 0, "shortest_name", COUNTIF('Internal -- Trademark Countries'!A:A,AM997) &gt; 0, "full_name", TRUE, "not a match")</f>
        <v>#NAME?</v>
      </c>
      <c r="EG997" s="30"/>
      <c r="EH997" s="30"/>
      <c r="EI997" s="30"/>
      <c r="EJ997" s="30"/>
      <c r="EK997" s="30" t="str">
        <f t="shared" si="5"/>
        <v/>
      </c>
    </row>
    <row r="998" spans="1:141" ht="16.5">
      <c r="A998" s="11"/>
      <c r="B998" s="11"/>
      <c r="C998" s="11"/>
      <c r="D998" s="11"/>
      <c r="E998" s="11"/>
      <c r="F998" s="11"/>
      <c r="G998" s="11"/>
      <c r="H998" s="11"/>
      <c r="I998" s="11"/>
      <c r="J998" s="11"/>
      <c r="K998" s="27"/>
      <c r="L998" s="11"/>
      <c r="M998" s="11"/>
      <c r="N998" s="11"/>
      <c r="O998" s="11"/>
      <c r="P998" s="15"/>
      <c r="Q998" s="15"/>
      <c r="R998" s="15"/>
      <c r="S998" s="15"/>
      <c r="T998" s="15"/>
      <c r="U998" s="15"/>
      <c r="V998" s="15"/>
      <c r="W998" s="47"/>
      <c r="X998" s="11"/>
      <c r="Y998" s="48"/>
      <c r="Z998" s="11"/>
      <c r="AA998" s="48"/>
      <c r="AB998" s="11"/>
      <c r="AC998" s="48"/>
      <c r="AD998" s="11"/>
      <c r="AE998" s="47"/>
      <c r="AF998" s="11"/>
      <c r="AG998" s="48"/>
      <c r="AH998" s="11"/>
      <c r="AI998" s="48"/>
      <c r="AJ998" s="11"/>
      <c r="AK998" s="48"/>
      <c r="AL998" s="11"/>
      <c r="AM998" s="49"/>
      <c r="AN998" s="49"/>
      <c r="AO998" s="11"/>
      <c r="AP998" s="11"/>
      <c r="AQ998" s="28" t="b">
        <f>IF(COUNTIF(SmartStatus!A$2:A1000, AM998) &gt; 2, TRUE, FALSE)</f>
        <v>0</v>
      </c>
      <c r="AR998" s="29" t="str">
        <f ca="1">IFERROR(__xludf.DUMMYFUNCTION("iferror(if(regexmatch(AO998, ""(?i)^registered""), if(EE998 &lt;&gt; ""polity_shortest_name"", ""CHECK_POLITY"", index(filter(SmartStatus!B$2:B1000, AM998 = SmartStatus!A$2:A1000, not(SmartStatus!C$2:C1000), (isblank(SmartStatus!D$2:D1000)) + ((P998 &lt;&gt; """") * "&amp;"(P998 &lt; SmartStatus!D$2:D1000)), (isblank(SmartStatus!E$2:E1000)) + ((P998 &lt;&gt; """") * (P998 &gt;= SmartStatus!E$2:E1000)), (isblank(SmartStatus!F$2:F1000)) + (((Q998 &lt;&gt; """") * (Q998 &lt; SmartStatus!F$2:F1000)) + ((P998 &lt;&gt; """") * (date(year(P998) + 3, month(P"&amp;"998), day(P998)) &lt; SmartStatus!F$2:F1000))), (isblank(SmartStatus!G$2:G1000)) + (((Q998 &lt;&gt; """") * (Q998 &gt;= SmartStatus!G$2:G1000)) + ((P998 &lt;&gt; """") * (P998 &gt;= SmartStatus!G$2:G1000)))), if(or(regexmatch(B998, ""(?i)^ir [a-z]+ designation$""), N998 &lt;&gt; """&amp;"""), 1, 2))), """"), ""NO_MATCH"")"),"")</f>
        <v/>
      </c>
      <c r="AS998" s="11"/>
      <c r="AT998" s="15"/>
      <c r="AU998" s="11"/>
      <c r="AV998" s="11"/>
      <c r="AW998" s="15"/>
      <c r="AX998" s="15"/>
      <c r="AY998" s="15"/>
      <c r="AZ998" s="11"/>
      <c r="BA998" s="15"/>
      <c r="BB998" s="11"/>
      <c r="BC998" s="11"/>
      <c r="BD998" s="15"/>
      <c r="BE998" s="11"/>
      <c r="BF998" s="11"/>
      <c r="BG998" s="15"/>
      <c r="BH998" s="15"/>
      <c r="BI998" s="15"/>
      <c r="BJ998" s="11"/>
      <c r="BK998" s="15"/>
      <c r="BL998" s="11"/>
      <c r="BM998" s="11"/>
      <c r="BN998" s="15"/>
      <c r="BO998" s="11"/>
      <c r="BP998" s="11"/>
      <c r="BQ998" s="15"/>
      <c r="BR998" s="15"/>
      <c r="BS998" s="15"/>
      <c r="BT998" s="11"/>
      <c r="BU998" s="15"/>
      <c r="BV998" s="11"/>
      <c r="BW998" s="11"/>
      <c r="BX998" s="15"/>
      <c r="BY998" s="11"/>
      <c r="BZ998" s="11"/>
      <c r="CA998" s="15"/>
      <c r="CB998" s="11"/>
      <c r="CC998" s="15"/>
      <c r="CD998" s="11"/>
      <c r="CE998" s="15"/>
      <c r="CF998" s="11"/>
      <c r="CG998" s="11"/>
      <c r="CH998" s="15"/>
      <c r="CI998" s="11"/>
      <c r="CJ998" s="11"/>
      <c r="CK998" s="15"/>
      <c r="CL998" s="11"/>
      <c r="CM998" s="11"/>
      <c r="CN998" s="11"/>
      <c r="CO998" s="11"/>
      <c r="CP998" s="28"/>
      <c r="CQ998" s="28"/>
      <c r="CR998" s="11"/>
      <c r="CS998" s="29"/>
      <c r="CT998" s="11"/>
      <c r="CU998" s="11"/>
      <c r="CV998" s="11"/>
      <c r="CW998" s="11"/>
      <c r="CX998" s="11"/>
      <c r="CY998" s="11"/>
      <c r="CZ998" s="11"/>
      <c r="DA998" s="28"/>
      <c r="DB998" s="28"/>
      <c r="DC998" s="11"/>
      <c r="DD998" s="29"/>
      <c r="DE998" s="11"/>
      <c r="DF998" s="11"/>
      <c r="DG998" s="11"/>
      <c r="DH998" s="11"/>
      <c r="DI998" s="11"/>
      <c r="DJ998" s="11"/>
      <c r="DK998" s="26"/>
      <c r="DL998" s="11"/>
      <c r="DM998" s="29"/>
      <c r="DN998" s="28"/>
      <c r="DO998" s="11"/>
      <c r="DP998" s="11"/>
      <c r="DQ998" s="11"/>
      <c r="DR998" s="29"/>
      <c r="DS998" s="28"/>
      <c r="DT998" s="11"/>
      <c r="DU998" s="26"/>
      <c r="DV998" s="11"/>
      <c r="DW998" s="29"/>
      <c r="DX998" s="28"/>
      <c r="DY998" s="11"/>
      <c r="DZ998" s="26"/>
      <c r="EA998" s="11"/>
      <c r="EB998" s="29"/>
      <c r="EC998" s="28"/>
      <c r="ED998" s="30"/>
      <c r="EE998" s="30" t="str">
        <f ca="1">IFERROR(__xludf.DUMMYFUNCTION("iferror(index(filter('Internal -- Trademark Countries'!E$2:E1000, (AM998 = 'Internal -- Trademark Countries'!B$2:B1000) + (AM998 = 'Internal -- Trademark Countries'!C$2:C1000) + (AM998 = 'Internal -- Trademark Countries'!D$2:D1000)), 1))"),"")</f>
        <v/>
      </c>
      <c r="EF998" s="30" t="e">
        <f ca="1">_xludf.ifs(AM998="", "", COUNTIF('Internal -- Trademark Countries'!B:B,AM998) &gt; 0, "polity_shortest_name", COUNTIF('Internal -- Trademark Countries'!C:C,AM998) &gt; 0, "polity_full_name", COUNTIF('Internal -- Trademark Countries'!D:D,AM998) &gt; 0, "polity_common_name", COUNTIF('Internal -- Trademark Countries'!E:E,AM998) &gt; 0, "shortest_name", COUNTIF('Internal -- Trademark Countries'!A:A,AM998) &gt; 0, "full_name", TRUE, "not a match")</f>
        <v>#NAME?</v>
      </c>
      <c r="EG998" s="30"/>
      <c r="EH998" s="30"/>
      <c r="EI998" s="30"/>
      <c r="EJ998" s="30"/>
      <c r="EK998" s="30" t="str">
        <f t="shared" si="5"/>
        <v/>
      </c>
    </row>
    <row r="999" spans="1:141" ht="16.5">
      <c r="A999" s="11"/>
      <c r="B999" s="11"/>
      <c r="C999" s="11"/>
      <c r="D999" s="11"/>
      <c r="E999" s="11"/>
      <c r="F999" s="11"/>
      <c r="G999" s="11"/>
      <c r="H999" s="11"/>
      <c r="I999" s="11"/>
      <c r="J999" s="11"/>
      <c r="K999" s="27"/>
      <c r="L999" s="11"/>
      <c r="M999" s="11"/>
      <c r="N999" s="11"/>
      <c r="O999" s="11"/>
      <c r="P999" s="15"/>
      <c r="Q999" s="15"/>
      <c r="R999" s="15"/>
      <c r="S999" s="15"/>
      <c r="T999" s="15"/>
      <c r="U999" s="15"/>
      <c r="V999" s="15"/>
      <c r="W999" s="47"/>
      <c r="X999" s="11"/>
      <c r="Y999" s="48"/>
      <c r="Z999" s="11"/>
      <c r="AA999" s="48"/>
      <c r="AB999" s="11"/>
      <c r="AC999" s="48"/>
      <c r="AD999" s="11"/>
      <c r="AE999" s="47"/>
      <c r="AF999" s="11"/>
      <c r="AG999" s="48"/>
      <c r="AH999" s="11"/>
      <c r="AI999" s="48"/>
      <c r="AJ999" s="11"/>
      <c r="AK999" s="48"/>
      <c r="AL999" s="11"/>
      <c r="AM999" s="49"/>
      <c r="AN999" s="49"/>
      <c r="AO999" s="11"/>
      <c r="AP999" s="11"/>
      <c r="AQ999" s="28" t="b">
        <f>IF(COUNTIF(SmartStatus!A$2:A1000, AM999) &gt; 2, TRUE, FALSE)</f>
        <v>0</v>
      </c>
      <c r="AR999" s="29" t="str">
        <f ca="1">IFERROR(__xludf.DUMMYFUNCTION("iferror(if(regexmatch(AO999, ""(?i)^registered""), if(EE999 &lt;&gt; ""polity_shortest_name"", ""CHECK_POLITY"", index(filter(SmartStatus!B$2:B1000, AM999 = SmartStatus!A$2:A1000, not(SmartStatus!C$2:C1000), (isblank(SmartStatus!D$2:D1000)) + ((P999 &lt;&gt; """") * "&amp;"(P999 &lt; SmartStatus!D$2:D1000)), (isblank(SmartStatus!E$2:E1000)) + ((P999 &lt;&gt; """") * (P999 &gt;= SmartStatus!E$2:E1000)), (isblank(SmartStatus!F$2:F1000)) + (((Q999 &lt;&gt; """") * (Q999 &lt; SmartStatus!F$2:F1000)) + ((P999 &lt;&gt; """") * (date(year(P999) + 3, month(P"&amp;"999), day(P999)) &lt; SmartStatus!F$2:F1000))), (isblank(SmartStatus!G$2:G1000)) + (((Q999 &lt;&gt; """") * (Q999 &gt;= SmartStatus!G$2:G1000)) + ((P999 &lt;&gt; """") * (P999 &gt;= SmartStatus!G$2:G1000)))), if(or(regexmatch(B999, ""(?i)^ir [a-z]+ designation$""), N999 &lt;&gt; """&amp;"""), 1, 2))), """"), ""NO_MATCH"")"),"")</f>
        <v/>
      </c>
      <c r="AS999" s="11"/>
      <c r="AT999" s="15"/>
      <c r="AU999" s="11"/>
      <c r="AV999" s="11"/>
      <c r="AW999" s="15"/>
      <c r="AX999" s="15"/>
      <c r="AY999" s="15"/>
      <c r="AZ999" s="11"/>
      <c r="BA999" s="15"/>
      <c r="BB999" s="11"/>
      <c r="BC999" s="11"/>
      <c r="BD999" s="15"/>
      <c r="BE999" s="11"/>
      <c r="BF999" s="11"/>
      <c r="BG999" s="15"/>
      <c r="BH999" s="15"/>
      <c r="BI999" s="15"/>
      <c r="BJ999" s="11"/>
      <c r="BK999" s="15"/>
      <c r="BL999" s="11"/>
      <c r="BM999" s="11"/>
      <c r="BN999" s="15"/>
      <c r="BO999" s="11"/>
      <c r="BP999" s="11"/>
      <c r="BQ999" s="15"/>
      <c r="BR999" s="15"/>
      <c r="BS999" s="15"/>
      <c r="BT999" s="11"/>
      <c r="BU999" s="15"/>
      <c r="BV999" s="11"/>
      <c r="BW999" s="11"/>
      <c r="BX999" s="15"/>
      <c r="BY999" s="11"/>
      <c r="BZ999" s="11"/>
      <c r="CA999" s="15"/>
      <c r="CB999" s="11"/>
      <c r="CC999" s="15"/>
      <c r="CD999" s="11"/>
      <c r="CE999" s="15"/>
      <c r="CF999" s="11"/>
      <c r="CG999" s="11"/>
      <c r="CH999" s="15"/>
      <c r="CI999" s="11"/>
      <c r="CJ999" s="11"/>
      <c r="CK999" s="15"/>
      <c r="CL999" s="11"/>
      <c r="CM999" s="11"/>
      <c r="CN999" s="11"/>
      <c r="CO999" s="11"/>
      <c r="CP999" s="28"/>
      <c r="CQ999" s="28"/>
      <c r="CR999" s="11"/>
      <c r="CS999" s="29"/>
      <c r="CT999" s="11"/>
      <c r="CU999" s="11"/>
      <c r="CV999" s="11"/>
      <c r="CW999" s="11"/>
      <c r="CX999" s="11"/>
      <c r="CY999" s="11"/>
      <c r="CZ999" s="11"/>
      <c r="DA999" s="28"/>
      <c r="DB999" s="28"/>
      <c r="DC999" s="11"/>
      <c r="DD999" s="29"/>
      <c r="DE999" s="11"/>
      <c r="DF999" s="11"/>
      <c r="DG999" s="11"/>
      <c r="DH999" s="11"/>
      <c r="DI999" s="11"/>
      <c r="DJ999" s="11"/>
      <c r="DK999" s="26"/>
      <c r="DL999" s="11"/>
      <c r="DM999" s="29"/>
      <c r="DN999" s="28"/>
      <c r="DO999" s="11"/>
      <c r="DP999" s="11"/>
      <c r="DQ999" s="11"/>
      <c r="DR999" s="29"/>
      <c r="DS999" s="28"/>
      <c r="DT999" s="11"/>
      <c r="DU999" s="26"/>
      <c r="DV999" s="11"/>
      <c r="DW999" s="29"/>
      <c r="DX999" s="28"/>
      <c r="DY999" s="11"/>
      <c r="DZ999" s="26"/>
      <c r="EA999" s="11"/>
      <c r="EB999" s="29"/>
      <c r="EC999" s="28"/>
      <c r="ED999" s="30"/>
      <c r="EE999" s="30" t="str">
        <f ca="1">IFERROR(__xludf.DUMMYFUNCTION("iferror(index(filter('Internal -- Trademark Countries'!E$2:E1000, (AM999 = 'Internal -- Trademark Countries'!B$2:B1000) + (AM999 = 'Internal -- Trademark Countries'!C$2:C1000) + (AM999 = 'Internal -- Trademark Countries'!D$2:D1000)), 1))"),"")</f>
        <v/>
      </c>
      <c r="EF999" s="30" t="e">
        <f ca="1">_xludf.ifs(AM999="", "", COUNTIF('Internal -- Trademark Countries'!B:B,AM999) &gt; 0, "polity_shortest_name", COUNTIF('Internal -- Trademark Countries'!C:C,AM999) &gt; 0, "polity_full_name", COUNTIF('Internal -- Trademark Countries'!D:D,AM999) &gt; 0, "polity_common_name", COUNTIF('Internal -- Trademark Countries'!E:E,AM999) &gt; 0, "shortest_name", COUNTIF('Internal -- Trademark Countries'!A:A,AM999) &gt; 0, "full_name", TRUE, "not a match")</f>
        <v>#NAME?</v>
      </c>
      <c r="EG999" s="30"/>
      <c r="EH999" s="30"/>
      <c r="EI999" s="30"/>
      <c r="EJ999" s="30"/>
      <c r="EK999" s="30" t="str">
        <f t="shared" si="5"/>
        <v/>
      </c>
    </row>
    <row r="1000" spans="1:141" ht="16.5">
      <c r="A1000" s="11"/>
      <c r="B1000" s="11"/>
      <c r="C1000" s="11"/>
      <c r="D1000" s="11"/>
      <c r="E1000" s="11"/>
      <c r="F1000" s="11"/>
      <c r="G1000" s="11"/>
      <c r="H1000" s="11"/>
      <c r="I1000" s="11"/>
      <c r="J1000" s="11"/>
      <c r="K1000" s="27"/>
      <c r="L1000" s="11"/>
      <c r="M1000" s="11"/>
      <c r="N1000" s="11"/>
      <c r="O1000" s="11"/>
      <c r="P1000" s="15"/>
      <c r="Q1000" s="15"/>
      <c r="R1000" s="15"/>
      <c r="S1000" s="15"/>
      <c r="T1000" s="15"/>
      <c r="U1000" s="15"/>
      <c r="V1000" s="15"/>
      <c r="W1000" s="47"/>
      <c r="X1000" s="11"/>
      <c r="Y1000" s="48"/>
      <c r="Z1000" s="11"/>
      <c r="AA1000" s="48"/>
      <c r="AB1000" s="11"/>
      <c r="AC1000" s="48"/>
      <c r="AD1000" s="11"/>
      <c r="AE1000" s="47"/>
      <c r="AF1000" s="11"/>
      <c r="AG1000" s="48"/>
      <c r="AH1000" s="11"/>
      <c r="AI1000" s="48"/>
      <c r="AJ1000" s="11"/>
      <c r="AK1000" s="48"/>
      <c r="AL1000" s="11"/>
      <c r="AM1000" s="49"/>
      <c r="AN1000" s="49"/>
      <c r="AO1000" s="11"/>
      <c r="AP1000" s="11"/>
      <c r="AQ1000" s="28" t="b">
        <f>IF(COUNTIF(SmartStatus!A$2:A1000, AM1000) &gt; 2, TRUE, FALSE)</f>
        <v>0</v>
      </c>
      <c r="AR1000" s="29" t="str">
        <f ca="1">IFERROR(__xludf.DUMMYFUNCTION("iferror(if(regexmatch(AO1000, ""(?i)^registered""), if(EE1000 &lt;&gt; ""polity_shortest_name"", ""CHECK_POLITY"", index(filter(SmartStatus!B$2:B1000, AM1000 = SmartStatus!A$2:A1000, not(SmartStatus!C$2:C1000), (isblank(SmartStatus!D$2:D1000)) + ((P1000 &lt;&gt; """""&amp;") * (P1000 &lt; SmartStatus!D$2:D1000)), (isblank(SmartStatus!E$2:E1000)) + ((P1000 &lt;&gt; """") * (P1000 &gt;= SmartStatus!E$2:E1000)), (isblank(SmartStatus!F$2:F1000)) + (((Q1000 &lt;&gt; """") * (Q1000 &lt; SmartStatus!F$2:F1000)) + ((P1000 &lt;&gt; """") * (date(year(P1000) +"&amp;" 3, month(P1000), day(P1000)) &lt; SmartStatus!F$2:F1000))), (isblank(SmartStatus!G$2:G1000)) + (((Q1000 &lt;&gt; """") * (Q1000 &gt;= SmartStatus!G$2:G1000)) + ((P1000 &lt;&gt; """") * (P1000 &gt;= SmartStatus!G$2:G1000)))), if(or(regexmatch(B1000, ""(?i)^ir [a-z]+ designati"&amp;"on$""), N1000 &lt;&gt; """"), 1, 2))), """"), ""NO_MATCH"")"),"")</f>
        <v/>
      </c>
      <c r="AS1000" s="11"/>
      <c r="AT1000" s="15"/>
      <c r="AU1000" s="11"/>
      <c r="AV1000" s="11"/>
      <c r="AW1000" s="15"/>
      <c r="AX1000" s="15"/>
      <c r="AY1000" s="15"/>
      <c r="AZ1000" s="11"/>
      <c r="BA1000" s="15"/>
      <c r="BB1000" s="11"/>
      <c r="BC1000" s="11"/>
      <c r="BD1000" s="15"/>
      <c r="BE1000" s="11"/>
      <c r="BF1000" s="11"/>
      <c r="BG1000" s="15"/>
      <c r="BH1000" s="15"/>
      <c r="BI1000" s="15"/>
      <c r="BJ1000" s="11"/>
      <c r="BK1000" s="15"/>
      <c r="BL1000" s="11"/>
      <c r="BM1000" s="11"/>
      <c r="BN1000" s="15"/>
      <c r="BO1000" s="11"/>
      <c r="BP1000" s="11"/>
      <c r="BQ1000" s="15"/>
      <c r="BR1000" s="15"/>
      <c r="BS1000" s="15"/>
      <c r="BT1000" s="11"/>
      <c r="BU1000" s="15"/>
      <c r="BV1000" s="11"/>
      <c r="BW1000" s="11"/>
      <c r="BX1000" s="15"/>
      <c r="BY1000" s="11"/>
      <c r="BZ1000" s="11"/>
      <c r="CA1000" s="15"/>
      <c r="CB1000" s="11"/>
      <c r="CC1000" s="15"/>
      <c r="CD1000" s="11"/>
      <c r="CE1000" s="15"/>
      <c r="CF1000" s="11"/>
      <c r="CG1000" s="11"/>
      <c r="CH1000" s="15"/>
      <c r="CI1000" s="11"/>
      <c r="CJ1000" s="11"/>
      <c r="CK1000" s="15"/>
      <c r="CL1000" s="11"/>
      <c r="CM1000" s="11"/>
      <c r="CN1000" s="11"/>
      <c r="CO1000" s="11"/>
      <c r="CP1000" s="28"/>
      <c r="CQ1000" s="28"/>
      <c r="CR1000" s="11"/>
      <c r="CS1000" s="29"/>
      <c r="CT1000" s="11"/>
      <c r="CU1000" s="11"/>
      <c r="CV1000" s="11"/>
      <c r="CW1000" s="11"/>
      <c r="CX1000" s="11"/>
      <c r="CY1000" s="11"/>
      <c r="CZ1000" s="11"/>
      <c r="DA1000" s="28"/>
      <c r="DB1000" s="28"/>
      <c r="DC1000" s="11"/>
      <c r="DD1000" s="29"/>
      <c r="DE1000" s="11"/>
      <c r="DF1000" s="11"/>
      <c r="DG1000" s="11"/>
      <c r="DH1000" s="11"/>
      <c r="DI1000" s="11"/>
      <c r="DJ1000" s="11"/>
      <c r="DK1000" s="26"/>
      <c r="DL1000" s="11"/>
      <c r="DM1000" s="29"/>
      <c r="DN1000" s="28"/>
      <c r="DO1000" s="11"/>
      <c r="DP1000" s="11"/>
      <c r="DQ1000" s="11"/>
      <c r="DR1000" s="29"/>
      <c r="DS1000" s="28"/>
      <c r="DT1000" s="11"/>
      <c r="DU1000" s="26"/>
      <c r="DV1000" s="11"/>
      <c r="DW1000" s="29"/>
      <c r="DX1000" s="28"/>
      <c r="DY1000" s="11"/>
      <c r="DZ1000" s="26"/>
      <c r="EA1000" s="11"/>
      <c r="EB1000" s="29"/>
      <c r="EC1000" s="28"/>
      <c r="ED1000" s="30"/>
      <c r="EE1000" s="30" t="str">
        <f ca="1">IFERROR(__xludf.DUMMYFUNCTION("iferror(index(filter('Internal -- Trademark Countries'!E$2:E1000, (AM1000 = 'Internal -- Trademark Countries'!B$2:B1000) + (AM1000 = 'Internal -- Trademark Countries'!C$2:C1000) + (AM1000 = 'Internal -- Trademark Countries'!D$2:D1000)), 1))"),"")</f>
        <v/>
      </c>
      <c r="EF1000" s="30" t="e">
        <f ca="1">_xludf.ifs(AM1000="", "", COUNTIF('Internal -- Trademark Countries'!B:B,AM1000) &gt; 0, "polity_shortest_name", COUNTIF('Internal -- Trademark Countries'!C:C,AM1000) &gt; 0, "polity_full_name", COUNTIF('Internal -- Trademark Countries'!D:D,AM1000) &gt; 0, "polity_common_name", COUNTIF('Internal -- Trademark Countries'!E:E,AM1000) &gt; 0, "shortest_name", COUNTIF('Internal -- Trademark Countries'!A:A,AM1000) &gt; 0, "full_name", TRUE, "not a match")</f>
        <v>#NAME?</v>
      </c>
      <c r="EG1000" s="30"/>
      <c r="EH1000" s="30"/>
      <c r="EI1000" s="30"/>
      <c r="EJ1000" s="30"/>
      <c r="EK1000" s="30" t="str">
        <f t="shared" si="5"/>
        <v/>
      </c>
    </row>
  </sheetData>
  <autoFilter ref="A1:EK1000" xr:uid="{00000000-0009-0000-0000-000006000000}"/>
  <dataValidations count="3">
    <dataValidation type="list" allowBlank="1" showInputMessage="1" prompt="Click and enter a value from the list of items" sqref="DM2:DM1000 DR2:DR1000 DW2:DW1000 EB2:EB1000" xr:uid="{00000000-0002-0000-0600-000000000000}">
      <formula1>"read_only,collaborator,responsible_party"</formula1>
    </dataValidation>
    <dataValidation type="list" allowBlank="1" showInputMessage="1" prompt="Click and enter a value from the list of items" sqref="CS2:CS1000 DD2:DD1000" xr:uid="{00000000-0002-0000-0600-000001000000}">
      <formula1>"read_only,no_access"</formula1>
    </dataValidation>
    <dataValidation type="list" allowBlank="1" sqref="K2:K1000 CP2:CQ1000 DA2:DB1000 DN2:DN1000 DS2:DS1000 DX2:DX1000 EC2:ED1000" xr:uid="{00000000-0002-0000-0600-000002000000}">
      <formula1>"TRUE,FALSE"</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W100"/>
  <sheetViews>
    <sheetView workbookViewId="0">
      <pane ySplit="1" topLeftCell="A2" activePane="bottomLeft" state="frozen"/>
      <selection pane="bottomLeft" activeCell="B3" sqref="B3"/>
    </sheetView>
  </sheetViews>
  <sheetFormatPr defaultColWidth="14.42578125" defaultRowHeight="15.75" customHeight="1" outlineLevelCol="1"/>
  <cols>
    <col min="1" max="3" width="18" customWidth="1"/>
    <col min="4" max="4" width="14.42578125" customWidth="1"/>
    <col min="5" max="6" width="18" customWidth="1"/>
    <col min="7" max="22" width="14.42578125" customWidth="1"/>
    <col min="23" max="23" width="18" customWidth="1"/>
    <col min="24" max="36" width="14.42578125" customWidth="1"/>
    <col min="37" max="40" width="14.42578125" customWidth="1" outlineLevel="1"/>
    <col min="41" max="73" width="14.42578125" customWidth="1"/>
    <col min="74" max="76" width="14.42578125" customWidth="1" outlineLevel="1"/>
    <col min="77" max="81" width="14.42578125" customWidth="1"/>
    <col min="82" max="98" width="14.42578125" customWidth="1" outlineLevel="1"/>
    <col min="99" max="102" width="14.42578125" customWidth="1"/>
    <col min="103" max="118" width="14.42578125" customWidth="1" outlineLevel="1"/>
    <col min="119" max="127" width="14.42578125" customWidth="1"/>
  </cols>
  <sheetData>
    <row r="1" spans="1:127" ht="51.75" customHeight="1">
      <c r="A1" s="19" t="s">
        <v>184</v>
      </c>
      <c r="B1" s="19" t="s">
        <v>185</v>
      </c>
      <c r="C1" s="19" t="s">
        <v>186</v>
      </c>
      <c r="D1" s="23" t="s">
        <v>52</v>
      </c>
      <c r="E1" s="19" t="s">
        <v>48</v>
      </c>
      <c r="F1" s="24" t="s">
        <v>174</v>
      </c>
      <c r="G1" s="19" t="s">
        <v>49</v>
      </c>
      <c r="H1" s="19" t="s">
        <v>50</v>
      </c>
      <c r="I1" s="19" t="s">
        <v>40</v>
      </c>
      <c r="J1" s="19" t="s">
        <v>187</v>
      </c>
      <c r="K1" s="19" t="s">
        <v>188</v>
      </c>
      <c r="L1" s="19" t="s">
        <v>189</v>
      </c>
      <c r="M1" s="19" t="s">
        <v>190</v>
      </c>
      <c r="N1" s="19" t="s">
        <v>154</v>
      </c>
      <c r="O1" s="19" t="s">
        <v>191</v>
      </c>
      <c r="P1" s="19" t="s">
        <v>192</v>
      </c>
      <c r="Q1" s="19" t="s">
        <v>193</v>
      </c>
      <c r="R1" s="19" t="s">
        <v>194</v>
      </c>
      <c r="S1" s="19" t="s">
        <v>45</v>
      </c>
      <c r="T1" s="19" t="s">
        <v>156</v>
      </c>
      <c r="U1" s="19" t="s">
        <v>195</v>
      </c>
      <c r="V1" s="19" t="s">
        <v>196</v>
      </c>
      <c r="W1" s="24" t="s">
        <v>197</v>
      </c>
      <c r="X1" s="19" t="s">
        <v>198</v>
      </c>
      <c r="Y1" s="19" t="s">
        <v>199</v>
      </c>
      <c r="Z1" s="19" t="s">
        <v>200</v>
      </c>
      <c r="AA1" s="19" t="s">
        <v>201</v>
      </c>
      <c r="AB1" s="19" t="s">
        <v>202</v>
      </c>
      <c r="AC1" s="19" t="s">
        <v>203</v>
      </c>
      <c r="AD1" s="19" t="s">
        <v>204</v>
      </c>
      <c r="AE1" s="9" t="s">
        <v>55</v>
      </c>
      <c r="AF1" s="9" t="s">
        <v>56</v>
      </c>
      <c r="AG1" s="9" t="s">
        <v>57</v>
      </c>
      <c r="AH1" s="9" t="s">
        <v>58</v>
      </c>
      <c r="AI1" s="9" t="s">
        <v>59</v>
      </c>
      <c r="AJ1" s="9" t="s">
        <v>60</v>
      </c>
      <c r="AK1" s="9" t="s">
        <v>61</v>
      </c>
      <c r="AL1" s="9" t="s">
        <v>62</v>
      </c>
      <c r="AM1" s="9" t="s">
        <v>63</v>
      </c>
      <c r="AN1" s="9" t="s">
        <v>64</v>
      </c>
      <c r="AO1" s="9" t="s">
        <v>65</v>
      </c>
      <c r="AP1" s="9" t="s">
        <v>66</v>
      </c>
      <c r="AQ1" s="9" t="s">
        <v>67</v>
      </c>
      <c r="AR1" s="9" t="s">
        <v>68</v>
      </c>
      <c r="AS1" s="9" t="s">
        <v>69</v>
      </c>
      <c r="AT1" s="9" t="s">
        <v>70</v>
      </c>
      <c r="AU1" s="9" t="s">
        <v>71</v>
      </c>
      <c r="AV1" s="9" t="s">
        <v>72</v>
      </c>
      <c r="AW1" s="9" t="s">
        <v>73</v>
      </c>
      <c r="AX1" s="9" t="s">
        <v>74</v>
      </c>
      <c r="AY1" s="9" t="s">
        <v>75</v>
      </c>
      <c r="AZ1" s="9" t="s">
        <v>76</v>
      </c>
      <c r="BA1" s="9" t="s">
        <v>77</v>
      </c>
      <c r="BB1" s="9" t="s">
        <v>78</v>
      </c>
      <c r="BC1" s="9" t="s">
        <v>79</v>
      </c>
      <c r="BD1" s="9" t="s">
        <v>80</v>
      </c>
      <c r="BE1" s="9" t="s">
        <v>81</v>
      </c>
      <c r="BF1" s="9" t="s">
        <v>82</v>
      </c>
      <c r="BG1" s="9" t="s">
        <v>83</v>
      </c>
      <c r="BH1" s="9" t="s">
        <v>84</v>
      </c>
      <c r="BI1" s="9" t="s">
        <v>85</v>
      </c>
      <c r="BJ1" s="9" t="s">
        <v>86</v>
      </c>
      <c r="BK1" s="9" t="s">
        <v>87</v>
      </c>
      <c r="BL1" s="9" t="s">
        <v>88</v>
      </c>
      <c r="BM1" s="9" t="s">
        <v>89</v>
      </c>
      <c r="BN1" s="9" t="s">
        <v>90</v>
      </c>
      <c r="BO1" s="9" t="s">
        <v>91</v>
      </c>
      <c r="BP1" s="9" t="s">
        <v>92</v>
      </c>
      <c r="BQ1" s="9" t="s">
        <v>93</v>
      </c>
      <c r="BR1" s="9" t="s">
        <v>94</v>
      </c>
      <c r="BS1" s="19" t="s">
        <v>95</v>
      </c>
      <c r="BT1" s="19" t="s">
        <v>96</v>
      </c>
      <c r="BU1" s="19" t="s">
        <v>97</v>
      </c>
      <c r="BV1" s="19" t="s">
        <v>98</v>
      </c>
      <c r="BW1" s="19" t="s">
        <v>99</v>
      </c>
      <c r="BX1" s="19" t="s">
        <v>100</v>
      </c>
      <c r="BY1" s="19" t="s">
        <v>101</v>
      </c>
      <c r="BZ1" s="19" t="s">
        <v>102</v>
      </c>
      <c r="CA1" s="24" t="s">
        <v>103</v>
      </c>
      <c r="CB1" s="24" t="s">
        <v>104</v>
      </c>
      <c r="CC1" s="19" t="s">
        <v>105</v>
      </c>
      <c r="CD1" s="24" t="s">
        <v>106</v>
      </c>
      <c r="CE1" s="19" t="s">
        <v>107</v>
      </c>
      <c r="CF1" s="19" t="s">
        <v>108</v>
      </c>
      <c r="CG1" s="19" t="s">
        <v>109</v>
      </c>
      <c r="CH1" s="19" t="s">
        <v>110</v>
      </c>
      <c r="CI1" s="19" t="s">
        <v>111</v>
      </c>
      <c r="CJ1" s="19" t="s">
        <v>112</v>
      </c>
      <c r="CK1" s="19" t="s">
        <v>113</v>
      </c>
      <c r="CL1" s="24" t="s">
        <v>114</v>
      </c>
      <c r="CM1" s="24" t="s">
        <v>115</v>
      </c>
      <c r="CN1" s="19" t="s">
        <v>116</v>
      </c>
      <c r="CO1" s="24" t="s">
        <v>117</v>
      </c>
      <c r="CP1" s="19" t="s">
        <v>118</v>
      </c>
      <c r="CQ1" s="19" t="s">
        <v>119</v>
      </c>
      <c r="CR1" s="19" t="s">
        <v>120</v>
      </c>
      <c r="CS1" s="19" t="s">
        <v>121</v>
      </c>
      <c r="CT1" s="19" t="s">
        <v>122</v>
      </c>
      <c r="CU1" s="19" t="s">
        <v>123</v>
      </c>
      <c r="CV1" s="19" t="s">
        <v>124</v>
      </c>
      <c r="CW1" s="19" t="s">
        <v>125</v>
      </c>
      <c r="CX1" s="24" t="s">
        <v>126</v>
      </c>
      <c r="CY1" s="24" t="s">
        <v>127</v>
      </c>
      <c r="CZ1" s="19" t="s">
        <v>128</v>
      </c>
      <c r="DA1" s="19" t="s">
        <v>129</v>
      </c>
      <c r="DB1" s="19" t="s">
        <v>130</v>
      </c>
      <c r="DC1" s="24" t="s">
        <v>131</v>
      </c>
      <c r="DD1" s="24" t="s">
        <v>132</v>
      </c>
      <c r="DE1" s="19" t="s">
        <v>133</v>
      </c>
      <c r="DF1" s="19" t="s">
        <v>134</v>
      </c>
      <c r="DG1" s="19" t="s">
        <v>135</v>
      </c>
      <c r="DH1" s="24" t="s">
        <v>136</v>
      </c>
      <c r="DI1" s="24" t="s">
        <v>137</v>
      </c>
      <c r="DJ1" s="19" t="s">
        <v>138</v>
      </c>
      <c r="DK1" s="19" t="s">
        <v>139</v>
      </c>
      <c r="DL1" s="19" t="s">
        <v>140</v>
      </c>
      <c r="DM1" s="24" t="s">
        <v>141</v>
      </c>
      <c r="DN1" s="24" t="s">
        <v>142</v>
      </c>
      <c r="DO1" s="25" t="s">
        <v>180</v>
      </c>
      <c r="DP1" s="25" t="s">
        <v>181</v>
      </c>
      <c r="DQ1" s="25" t="s">
        <v>143</v>
      </c>
      <c r="DR1" s="25" t="s">
        <v>144</v>
      </c>
      <c r="DS1" s="25" t="s">
        <v>145</v>
      </c>
      <c r="DT1" s="25" t="s">
        <v>146</v>
      </c>
      <c r="DU1" s="25" t="s">
        <v>182</v>
      </c>
      <c r="DV1" s="25" t="s">
        <v>205</v>
      </c>
      <c r="DW1" s="25" t="s">
        <v>183</v>
      </c>
    </row>
    <row r="2" spans="1:127" ht="16.5">
      <c r="A2" s="11"/>
      <c r="B2" s="11"/>
      <c r="C2" s="11"/>
      <c r="D2" s="27"/>
      <c r="E2" s="11"/>
      <c r="F2" s="29"/>
      <c r="G2" s="11"/>
      <c r="H2" s="11"/>
      <c r="I2" s="11"/>
      <c r="J2" s="15"/>
      <c r="K2" s="11"/>
      <c r="L2" s="15"/>
      <c r="M2" s="11"/>
      <c r="N2" s="15"/>
      <c r="O2" s="15"/>
      <c r="P2" s="11"/>
      <c r="Q2" s="11"/>
      <c r="R2" s="11"/>
      <c r="S2" s="15"/>
      <c r="T2" s="15"/>
      <c r="U2" s="15"/>
      <c r="V2" s="11"/>
      <c r="W2" s="29"/>
      <c r="X2" s="15"/>
      <c r="Y2" s="11"/>
      <c r="Z2" s="11"/>
      <c r="AA2" s="11"/>
      <c r="AB2" s="11"/>
      <c r="AC2" s="11"/>
      <c r="AD2" s="11"/>
      <c r="AE2" s="15"/>
      <c r="AF2" s="11"/>
      <c r="AG2" s="11"/>
      <c r="AH2" s="15"/>
      <c r="AI2" s="15"/>
      <c r="AJ2" s="15"/>
      <c r="AK2" s="11"/>
      <c r="AL2" s="15"/>
      <c r="AM2" s="11"/>
      <c r="AN2" s="11"/>
      <c r="AO2" s="15"/>
      <c r="AP2" s="11"/>
      <c r="AQ2" s="11"/>
      <c r="AR2" s="15"/>
      <c r="AS2" s="15"/>
      <c r="AT2" s="15"/>
      <c r="AU2" s="11"/>
      <c r="AV2" s="15"/>
      <c r="AW2" s="11"/>
      <c r="AX2" s="11"/>
      <c r="AY2" s="15"/>
      <c r="AZ2" s="11"/>
      <c r="BA2" s="11"/>
      <c r="BB2" s="15"/>
      <c r="BC2" s="15"/>
      <c r="BD2" s="15"/>
      <c r="BE2" s="11"/>
      <c r="BF2" s="15"/>
      <c r="BG2" s="11"/>
      <c r="BH2" s="11"/>
      <c r="BI2" s="15"/>
      <c r="BJ2" s="11"/>
      <c r="BK2" s="11"/>
      <c r="BL2" s="15"/>
      <c r="BM2" s="15"/>
      <c r="BN2" s="15"/>
      <c r="BO2" s="11"/>
      <c r="BP2" s="15"/>
      <c r="BQ2" s="11"/>
      <c r="BR2" s="11"/>
      <c r="BS2" s="15"/>
      <c r="BT2" s="11"/>
      <c r="BU2" s="11"/>
      <c r="BV2" s="15"/>
      <c r="BW2" s="11"/>
      <c r="BX2" s="11"/>
      <c r="BY2" s="11"/>
      <c r="BZ2" s="11"/>
      <c r="CA2" s="28" t="str">
        <f t="shared" ref="CA2:CA100" si="0">IF(BY2&lt;&gt;"","TRUE","")</f>
        <v/>
      </c>
      <c r="CB2" s="28"/>
      <c r="CC2" s="11"/>
      <c r="CD2" s="29"/>
      <c r="CE2" s="11"/>
      <c r="CF2" s="11"/>
      <c r="CG2" s="11"/>
      <c r="CH2" s="11"/>
      <c r="CI2" s="11"/>
      <c r="CJ2" s="11"/>
      <c r="CK2" s="11"/>
      <c r="CL2" s="28" t="str">
        <f t="shared" ref="CL2:CL100" si="1">IF(CJ2&lt;&gt;"","TRUE","")</f>
        <v/>
      </c>
      <c r="CM2" s="28"/>
      <c r="CN2" s="11"/>
      <c r="CO2" s="29"/>
      <c r="CP2" s="11"/>
      <c r="CQ2" s="11"/>
      <c r="CR2" s="11"/>
      <c r="CS2" s="11"/>
      <c r="CT2" s="11"/>
      <c r="CU2" s="11"/>
      <c r="CV2" s="11"/>
      <c r="CW2" s="11"/>
      <c r="CX2" s="29"/>
      <c r="CY2" s="28"/>
      <c r="CZ2" s="11"/>
      <c r="DA2" s="11"/>
      <c r="DB2" s="11"/>
      <c r="DC2" s="29"/>
      <c r="DD2" s="28"/>
      <c r="DE2" s="11"/>
      <c r="DF2" s="11"/>
      <c r="DG2" s="11"/>
      <c r="DH2" s="29"/>
      <c r="DI2" s="28"/>
      <c r="DJ2" s="11"/>
      <c r="DK2" s="11"/>
      <c r="DL2" s="11"/>
      <c r="DM2" s="29"/>
      <c r="DN2" s="28"/>
      <c r="DO2" s="30" t="str">
        <f>IF(F2="","",IF(DP2="not a match","",IF(DP2="full_name",VLOOKUP(F2,'Internal -- Patent Countries'!B:I,5,FALSE),IF(DP2="polity_shortest_name",VLOOKUP(F2,'Internal -- Patent Countries'!C:I,4,FALSE),IF(DP2="polity_full_name",VLOOKUP(F2,'Internal -- Patent Countries'!D:I,3,FALSE),IF(DP2="polity_common_name",VLOOKUP(F2,'Internal -- Patent Countries'!E:I,2,FALSE),IF(DP2="shortest_name",F2)))))))</f>
        <v/>
      </c>
      <c r="DP2" s="30" t="str">
        <f>IF(F2="","",IF(COUNTIF('Internal -- Patent Countries'!B:B,F2)&gt;0,"full_name",IF(COUNTIF('Internal -- Patent Countries'!C:C,F2)&gt;0,"polity_shortest_name",IF(COUNTIF('Internal -- Patent Countries'!D:D,F2)&gt;0,"polity_full_name",IF(COUNTIF('Internal -- Patent Countries'!E:E,F2)&gt;0,"polity_common_name",IF(COUNTIF('Internal -- Patent Countries'!A:A,F2)&gt;0,"shortest_name","not a match"))))))</f>
        <v/>
      </c>
      <c r="DQ2" s="30"/>
      <c r="DR2" s="30"/>
      <c r="DS2" s="30"/>
      <c r="DT2" s="30"/>
      <c r="DU2" s="30"/>
      <c r="DV2" s="50" t="str">
        <f t="shared" ref="DV2:DV100" si="2">IF(AL2="","",IF(AL2&lt;DATE(2000,1,1),"20th Century Key Date 1",IF(AL2&gt;DATE(2099,12,31),"22nd Century Key Date 1","")))</f>
        <v/>
      </c>
      <c r="DW2" s="30" t="str">
        <f t="shared" ref="DW2:DW100" si="3">IF(CH2="","",IF(CH2&lt;DATE(2000,1,1),"20th Century Deadline 1",IF(CH2&gt;DATE(2099,12,31),"22nd Century Deadline 1","")))</f>
        <v/>
      </c>
    </row>
    <row r="3" spans="1:127" ht="16.5">
      <c r="A3" s="11"/>
      <c r="B3" s="11"/>
      <c r="C3" s="11"/>
      <c r="D3" s="27"/>
      <c r="E3" s="11"/>
      <c r="F3" s="29"/>
      <c r="G3" s="11"/>
      <c r="H3" s="11"/>
      <c r="I3" s="11"/>
      <c r="J3" s="15"/>
      <c r="K3" s="11"/>
      <c r="L3" s="15"/>
      <c r="M3" s="11"/>
      <c r="N3" s="15"/>
      <c r="O3" s="15"/>
      <c r="P3" s="11"/>
      <c r="Q3" s="11"/>
      <c r="R3" s="11"/>
      <c r="S3" s="15"/>
      <c r="T3" s="15"/>
      <c r="U3" s="15"/>
      <c r="V3" s="11"/>
      <c r="W3" s="29"/>
      <c r="X3" s="15"/>
      <c r="Y3" s="11"/>
      <c r="Z3" s="11"/>
      <c r="AA3" s="11"/>
      <c r="AB3" s="11"/>
      <c r="AC3" s="11"/>
      <c r="AD3" s="11"/>
      <c r="AE3" s="15"/>
      <c r="AF3" s="11"/>
      <c r="AG3" s="11"/>
      <c r="AH3" s="15"/>
      <c r="AI3" s="15"/>
      <c r="AJ3" s="15"/>
      <c r="AK3" s="11"/>
      <c r="AL3" s="15"/>
      <c r="AM3" s="11"/>
      <c r="AN3" s="11"/>
      <c r="AO3" s="15"/>
      <c r="AP3" s="11"/>
      <c r="AQ3" s="11"/>
      <c r="AR3" s="15"/>
      <c r="AS3" s="15"/>
      <c r="AT3" s="15"/>
      <c r="AU3" s="11"/>
      <c r="AV3" s="15"/>
      <c r="AW3" s="11"/>
      <c r="AX3" s="11"/>
      <c r="AY3" s="15"/>
      <c r="AZ3" s="11"/>
      <c r="BA3" s="11"/>
      <c r="BB3" s="15"/>
      <c r="BC3" s="15"/>
      <c r="BD3" s="15"/>
      <c r="BE3" s="11"/>
      <c r="BF3" s="15"/>
      <c r="BG3" s="11"/>
      <c r="BH3" s="11"/>
      <c r="BI3" s="15"/>
      <c r="BJ3" s="11"/>
      <c r="BK3" s="11"/>
      <c r="BL3" s="15"/>
      <c r="BM3" s="15"/>
      <c r="BN3" s="15"/>
      <c r="BO3" s="11"/>
      <c r="BP3" s="15"/>
      <c r="BQ3" s="11"/>
      <c r="BR3" s="11"/>
      <c r="BS3" s="15"/>
      <c r="BT3" s="11"/>
      <c r="BU3" s="11"/>
      <c r="BV3" s="15"/>
      <c r="BW3" s="11"/>
      <c r="BX3" s="11"/>
      <c r="BY3" s="11"/>
      <c r="BZ3" s="11"/>
      <c r="CA3" s="28" t="str">
        <f t="shared" si="0"/>
        <v/>
      </c>
      <c r="CB3" s="28"/>
      <c r="CC3" s="11"/>
      <c r="CD3" s="29"/>
      <c r="CE3" s="11"/>
      <c r="CF3" s="11"/>
      <c r="CG3" s="11"/>
      <c r="CH3" s="11"/>
      <c r="CI3" s="11"/>
      <c r="CJ3" s="11"/>
      <c r="CK3" s="11"/>
      <c r="CL3" s="28" t="str">
        <f t="shared" si="1"/>
        <v/>
      </c>
      <c r="CM3" s="28"/>
      <c r="CN3" s="11"/>
      <c r="CO3" s="29"/>
      <c r="CP3" s="11"/>
      <c r="CQ3" s="11"/>
      <c r="CR3" s="11"/>
      <c r="CS3" s="11"/>
      <c r="CT3" s="11"/>
      <c r="CU3" s="11"/>
      <c r="CV3" s="11"/>
      <c r="CW3" s="11"/>
      <c r="CX3" s="29"/>
      <c r="CY3" s="28"/>
      <c r="CZ3" s="11"/>
      <c r="DA3" s="11"/>
      <c r="DB3" s="11"/>
      <c r="DC3" s="29"/>
      <c r="DD3" s="28"/>
      <c r="DE3" s="11"/>
      <c r="DF3" s="11"/>
      <c r="DG3" s="11"/>
      <c r="DH3" s="29"/>
      <c r="DI3" s="28"/>
      <c r="DJ3" s="11"/>
      <c r="DK3" s="11"/>
      <c r="DL3" s="11"/>
      <c r="DM3" s="29"/>
      <c r="DN3" s="28"/>
      <c r="DO3" s="30" t="str">
        <f>IF(F3="","",IF(DP3="not a match","",IF(DP3="full_name",VLOOKUP(F3,'Internal -- Patent Countries'!B:I,5,FALSE),IF(DP3="polity_shortest_name",VLOOKUP(F3,'Internal -- Patent Countries'!C:I,4,FALSE),IF(DP3="polity_full_name",VLOOKUP(F3,'Internal -- Patent Countries'!D:I,3,FALSE),IF(DP3="polity_common_name",VLOOKUP(F3,'Internal -- Patent Countries'!E:I,2,FALSE),IF(DP3="shortest_name",F3)))))))</f>
        <v/>
      </c>
      <c r="DP3" s="30" t="str">
        <f>IF(F3="","",IF(COUNTIF('Internal -- Patent Countries'!B:B,F3)&gt;0,"full_name",IF(COUNTIF('Internal -- Patent Countries'!C:C,F3)&gt;0,"polity_shortest_name",IF(COUNTIF('Internal -- Patent Countries'!D:D,F3)&gt;0,"polity_full_name",IF(COUNTIF('Internal -- Patent Countries'!E:E,F3)&gt;0,"polity_common_name",IF(COUNTIF('Internal -- Patent Countries'!A:A,F3)&gt;0,"shortest_name","not a match"))))))</f>
        <v/>
      </c>
      <c r="DQ3" s="30"/>
      <c r="DR3" s="30"/>
      <c r="DS3" s="30"/>
      <c r="DT3" s="30"/>
      <c r="DU3" s="30"/>
      <c r="DV3" s="50" t="str">
        <f t="shared" si="2"/>
        <v/>
      </c>
      <c r="DW3" s="30" t="str">
        <f t="shared" si="3"/>
        <v/>
      </c>
    </row>
    <row r="4" spans="1:127" ht="16.5">
      <c r="A4" s="11"/>
      <c r="B4" s="11"/>
      <c r="C4" s="11"/>
      <c r="D4" s="27"/>
      <c r="E4" s="11"/>
      <c r="F4" s="29"/>
      <c r="G4" s="11"/>
      <c r="H4" s="11"/>
      <c r="I4" s="11"/>
      <c r="J4" s="15"/>
      <c r="K4" s="11"/>
      <c r="L4" s="15"/>
      <c r="M4" s="11"/>
      <c r="N4" s="15"/>
      <c r="O4" s="15"/>
      <c r="P4" s="11"/>
      <c r="Q4" s="11"/>
      <c r="R4" s="11"/>
      <c r="S4" s="15"/>
      <c r="T4" s="15"/>
      <c r="U4" s="15"/>
      <c r="V4" s="11"/>
      <c r="W4" s="29"/>
      <c r="X4" s="15"/>
      <c r="Y4" s="11"/>
      <c r="Z4" s="11"/>
      <c r="AA4" s="11"/>
      <c r="AB4" s="11"/>
      <c r="AC4" s="11"/>
      <c r="AD4" s="11"/>
      <c r="AE4" s="15"/>
      <c r="AF4" s="11"/>
      <c r="AG4" s="11"/>
      <c r="AH4" s="15"/>
      <c r="AI4" s="15"/>
      <c r="AJ4" s="15"/>
      <c r="AK4" s="11"/>
      <c r="AL4" s="15"/>
      <c r="AM4" s="11"/>
      <c r="AN4" s="11"/>
      <c r="AO4" s="15"/>
      <c r="AP4" s="11"/>
      <c r="AQ4" s="11"/>
      <c r="AR4" s="15"/>
      <c r="AS4" s="15"/>
      <c r="AT4" s="15"/>
      <c r="AU4" s="11"/>
      <c r="AV4" s="15"/>
      <c r="AW4" s="11"/>
      <c r="AX4" s="11"/>
      <c r="AY4" s="15"/>
      <c r="AZ4" s="11"/>
      <c r="BA4" s="11"/>
      <c r="BB4" s="15"/>
      <c r="BC4" s="15"/>
      <c r="BD4" s="15"/>
      <c r="BE4" s="11"/>
      <c r="BF4" s="15"/>
      <c r="BG4" s="11"/>
      <c r="BH4" s="11"/>
      <c r="BI4" s="15"/>
      <c r="BJ4" s="11"/>
      <c r="BK4" s="11"/>
      <c r="BL4" s="15"/>
      <c r="BM4" s="15"/>
      <c r="BN4" s="15"/>
      <c r="BO4" s="11"/>
      <c r="BP4" s="15"/>
      <c r="BQ4" s="11"/>
      <c r="BR4" s="11"/>
      <c r="BS4" s="15"/>
      <c r="BT4" s="11"/>
      <c r="BU4" s="11"/>
      <c r="BV4" s="15"/>
      <c r="BW4" s="11"/>
      <c r="BX4" s="11"/>
      <c r="BY4" s="11"/>
      <c r="BZ4" s="11"/>
      <c r="CA4" s="28" t="str">
        <f t="shared" si="0"/>
        <v/>
      </c>
      <c r="CB4" s="28"/>
      <c r="CC4" s="11"/>
      <c r="CD4" s="29"/>
      <c r="CE4" s="11"/>
      <c r="CF4" s="11"/>
      <c r="CG4" s="11"/>
      <c r="CH4" s="11"/>
      <c r="CI4" s="11"/>
      <c r="CJ4" s="11"/>
      <c r="CK4" s="11"/>
      <c r="CL4" s="28" t="str">
        <f t="shared" si="1"/>
        <v/>
      </c>
      <c r="CM4" s="28"/>
      <c r="CN4" s="11"/>
      <c r="CO4" s="29"/>
      <c r="CP4" s="11"/>
      <c r="CQ4" s="11"/>
      <c r="CR4" s="11"/>
      <c r="CS4" s="11"/>
      <c r="CT4" s="11"/>
      <c r="CU4" s="11"/>
      <c r="CV4" s="11"/>
      <c r="CW4" s="11"/>
      <c r="CX4" s="29"/>
      <c r="CY4" s="28"/>
      <c r="CZ4" s="11"/>
      <c r="DA4" s="11"/>
      <c r="DB4" s="11"/>
      <c r="DC4" s="29"/>
      <c r="DD4" s="28"/>
      <c r="DE4" s="11"/>
      <c r="DF4" s="11"/>
      <c r="DG4" s="11"/>
      <c r="DH4" s="29"/>
      <c r="DI4" s="28"/>
      <c r="DJ4" s="11"/>
      <c r="DK4" s="11"/>
      <c r="DL4" s="11"/>
      <c r="DM4" s="29"/>
      <c r="DN4" s="28"/>
      <c r="DO4" s="30" t="str">
        <f>IF(F4="","",IF(DP4="not a match","",IF(DP4="full_name",VLOOKUP(F4,'Internal -- Patent Countries'!B:I,5,FALSE),IF(DP4="polity_shortest_name",VLOOKUP(F4,'Internal -- Patent Countries'!C:I,4,FALSE),IF(DP4="polity_full_name",VLOOKUP(F4,'Internal -- Patent Countries'!D:I,3,FALSE),IF(DP4="polity_common_name",VLOOKUP(F4,'Internal -- Patent Countries'!E:I,2,FALSE),IF(DP4="shortest_name",F4)))))))</f>
        <v/>
      </c>
      <c r="DP4" s="30" t="str">
        <f>IF(F4="","",IF(COUNTIF('Internal -- Patent Countries'!B:B,F4)&gt;0,"full_name",IF(COUNTIF('Internal -- Patent Countries'!C:C,F4)&gt;0,"polity_shortest_name",IF(COUNTIF('Internal -- Patent Countries'!D:D,F4)&gt;0,"polity_full_name",IF(COUNTIF('Internal -- Patent Countries'!E:E,F4)&gt;0,"polity_common_name",IF(COUNTIF('Internal -- Patent Countries'!A:A,F4)&gt;0,"shortest_name","not a match"))))))</f>
        <v/>
      </c>
      <c r="DQ4" s="30"/>
      <c r="DR4" s="30"/>
      <c r="DS4" s="30"/>
      <c r="DT4" s="30"/>
      <c r="DU4" s="30"/>
      <c r="DV4" s="50" t="str">
        <f t="shared" si="2"/>
        <v/>
      </c>
      <c r="DW4" s="30" t="str">
        <f t="shared" si="3"/>
        <v/>
      </c>
    </row>
    <row r="5" spans="1:127" ht="16.5">
      <c r="A5" s="11"/>
      <c r="B5" s="11"/>
      <c r="C5" s="11"/>
      <c r="D5" s="27"/>
      <c r="E5" s="11"/>
      <c r="F5" s="29"/>
      <c r="G5" s="11"/>
      <c r="H5" s="11"/>
      <c r="I5" s="11"/>
      <c r="J5" s="15"/>
      <c r="K5" s="11"/>
      <c r="L5" s="15"/>
      <c r="M5" s="11"/>
      <c r="N5" s="15"/>
      <c r="O5" s="15"/>
      <c r="P5" s="11"/>
      <c r="Q5" s="11"/>
      <c r="R5" s="11"/>
      <c r="S5" s="15"/>
      <c r="T5" s="15"/>
      <c r="U5" s="15"/>
      <c r="V5" s="11"/>
      <c r="W5" s="29"/>
      <c r="X5" s="15"/>
      <c r="Y5" s="11"/>
      <c r="Z5" s="11"/>
      <c r="AA5" s="11"/>
      <c r="AB5" s="11"/>
      <c r="AC5" s="11"/>
      <c r="AD5" s="11"/>
      <c r="AE5" s="15"/>
      <c r="AF5" s="11"/>
      <c r="AG5" s="11"/>
      <c r="AH5" s="15"/>
      <c r="AI5" s="15"/>
      <c r="AJ5" s="15"/>
      <c r="AK5" s="11"/>
      <c r="AL5" s="15"/>
      <c r="AM5" s="11"/>
      <c r="AN5" s="11"/>
      <c r="AO5" s="15"/>
      <c r="AP5" s="11"/>
      <c r="AQ5" s="11"/>
      <c r="AR5" s="15"/>
      <c r="AS5" s="15"/>
      <c r="AT5" s="15"/>
      <c r="AU5" s="11"/>
      <c r="AV5" s="15"/>
      <c r="AW5" s="11"/>
      <c r="AX5" s="11"/>
      <c r="AY5" s="15"/>
      <c r="AZ5" s="11"/>
      <c r="BA5" s="11"/>
      <c r="BB5" s="15"/>
      <c r="BC5" s="15"/>
      <c r="BD5" s="15"/>
      <c r="BE5" s="11"/>
      <c r="BF5" s="15"/>
      <c r="BG5" s="11"/>
      <c r="BH5" s="11"/>
      <c r="BI5" s="15"/>
      <c r="BJ5" s="11"/>
      <c r="BK5" s="11"/>
      <c r="BL5" s="15"/>
      <c r="BM5" s="15"/>
      <c r="BN5" s="15"/>
      <c r="BO5" s="11"/>
      <c r="BP5" s="15"/>
      <c r="BQ5" s="11"/>
      <c r="BR5" s="11"/>
      <c r="BS5" s="15"/>
      <c r="BT5" s="11"/>
      <c r="BU5" s="11"/>
      <c r="BV5" s="15"/>
      <c r="BW5" s="11"/>
      <c r="BX5" s="11"/>
      <c r="BY5" s="11"/>
      <c r="BZ5" s="11"/>
      <c r="CA5" s="28" t="str">
        <f t="shared" si="0"/>
        <v/>
      </c>
      <c r="CB5" s="28"/>
      <c r="CC5" s="11"/>
      <c r="CD5" s="29"/>
      <c r="CE5" s="11"/>
      <c r="CF5" s="11"/>
      <c r="CG5" s="11"/>
      <c r="CH5" s="11"/>
      <c r="CI5" s="11"/>
      <c r="CJ5" s="11"/>
      <c r="CK5" s="11"/>
      <c r="CL5" s="28" t="str">
        <f t="shared" si="1"/>
        <v/>
      </c>
      <c r="CM5" s="28"/>
      <c r="CN5" s="11"/>
      <c r="CO5" s="29"/>
      <c r="CP5" s="11"/>
      <c r="CQ5" s="11"/>
      <c r="CR5" s="11"/>
      <c r="CS5" s="11"/>
      <c r="CT5" s="11"/>
      <c r="CU5" s="11"/>
      <c r="CV5" s="11"/>
      <c r="CW5" s="11"/>
      <c r="CX5" s="29"/>
      <c r="CY5" s="28"/>
      <c r="CZ5" s="11"/>
      <c r="DA5" s="11"/>
      <c r="DB5" s="11"/>
      <c r="DC5" s="29"/>
      <c r="DD5" s="28"/>
      <c r="DE5" s="11"/>
      <c r="DF5" s="11"/>
      <c r="DG5" s="11"/>
      <c r="DH5" s="29"/>
      <c r="DI5" s="28"/>
      <c r="DJ5" s="11"/>
      <c r="DK5" s="11"/>
      <c r="DL5" s="11"/>
      <c r="DM5" s="29"/>
      <c r="DN5" s="28"/>
      <c r="DO5" s="30" t="str">
        <f>IF(F5="","",IF(DP5="not a match","",IF(DP5="full_name",VLOOKUP(F5,'Internal -- Patent Countries'!B:I,5,FALSE),IF(DP5="polity_shortest_name",VLOOKUP(F5,'Internal -- Patent Countries'!C:I,4,FALSE),IF(DP5="polity_full_name",VLOOKUP(F5,'Internal -- Patent Countries'!D:I,3,FALSE),IF(DP5="polity_common_name",VLOOKUP(F5,'Internal -- Patent Countries'!E:I,2,FALSE),IF(DP5="shortest_name",F5)))))))</f>
        <v/>
      </c>
      <c r="DP5" s="30" t="str">
        <f>IF(F5="","",IF(COUNTIF('Internal -- Patent Countries'!B:B,F5)&gt;0,"full_name",IF(COUNTIF('Internal -- Patent Countries'!C:C,F5)&gt;0,"polity_shortest_name",IF(COUNTIF('Internal -- Patent Countries'!D:D,F5)&gt;0,"polity_full_name",IF(COUNTIF('Internal -- Patent Countries'!E:E,F5)&gt;0,"polity_common_name",IF(COUNTIF('Internal -- Patent Countries'!A:A,F5)&gt;0,"shortest_name","not a match"))))))</f>
        <v/>
      </c>
      <c r="DQ5" s="30"/>
      <c r="DR5" s="30"/>
      <c r="DS5" s="30"/>
      <c r="DT5" s="30"/>
      <c r="DU5" s="30"/>
      <c r="DV5" s="50" t="str">
        <f t="shared" si="2"/>
        <v/>
      </c>
      <c r="DW5" s="30" t="str">
        <f t="shared" si="3"/>
        <v/>
      </c>
    </row>
    <row r="6" spans="1:127" ht="16.5">
      <c r="A6" s="11"/>
      <c r="B6" s="11"/>
      <c r="C6" s="11"/>
      <c r="D6" s="27"/>
      <c r="E6" s="11"/>
      <c r="F6" s="29"/>
      <c r="G6" s="11"/>
      <c r="H6" s="11"/>
      <c r="I6" s="11"/>
      <c r="J6" s="15"/>
      <c r="K6" s="11"/>
      <c r="L6" s="15"/>
      <c r="M6" s="11"/>
      <c r="N6" s="15"/>
      <c r="O6" s="15"/>
      <c r="P6" s="11"/>
      <c r="Q6" s="11"/>
      <c r="R6" s="11"/>
      <c r="S6" s="15"/>
      <c r="T6" s="15"/>
      <c r="U6" s="15"/>
      <c r="V6" s="11"/>
      <c r="W6" s="29"/>
      <c r="X6" s="15"/>
      <c r="Y6" s="11"/>
      <c r="Z6" s="11"/>
      <c r="AA6" s="11"/>
      <c r="AB6" s="11"/>
      <c r="AC6" s="11"/>
      <c r="AD6" s="11"/>
      <c r="AE6" s="15"/>
      <c r="AF6" s="11"/>
      <c r="AG6" s="11"/>
      <c r="AH6" s="15"/>
      <c r="AI6" s="15"/>
      <c r="AJ6" s="15"/>
      <c r="AK6" s="11"/>
      <c r="AL6" s="15"/>
      <c r="AM6" s="11"/>
      <c r="AN6" s="11"/>
      <c r="AO6" s="15"/>
      <c r="AP6" s="11"/>
      <c r="AQ6" s="11"/>
      <c r="AR6" s="15"/>
      <c r="AS6" s="15"/>
      <c r="AT6" s="15"/>
      <c r="AU6" s="11"/>
      <c r="AV6" s="15"/>
      <c r="AW6" s="11"/>
      <c r="AX6" s="11"/>
      <c r="AY6" s="15"/>
      <c r="AZ6" s="11"/>
      <c r="BA6" s="11"/>
      <c r="BB6" s="15"/>
      <c r="BC6" s="15"/>
      <c r="BD6" s="15"/>
      <c r="BE6" s="11"/>
      <c r="BF6" s="15"/>
      <c r="BG6" s="11"/>
      <c r="BH6" s="11"/>
      <c r="BI6" s="15"/>
      <c r="BJ6" s="11"/>
      <c r="BK6" s="11"/>
      <c r="BL6" s="15"/>
      <c r="BM6" s="15"/>
      <c r="BN6" s="15"/>
      <c r="BO6" s="11"/>
      <c r="BP6" s="15"/>
      <c r="BQ6" s="11"/>
      <c r="BR6" s="11"/>
      <c r="BS6" s="15"/>
      <c r="BT6" s="11"/>
      <c r="BU6" s="11"/>
      <c r="BV6" s="15"/>
      <c r="BW6" s="11"/>
      <c r="BX6" s="11"/>
      <c r="BY6" s="11"/>
      <c r="BZ6" s="11"/>
      <c r="CA6" s="28" t="str">
        <f t="shared" si="0"/>
        <v/>
      </c>
      <c r="CB6" s="28"/>
      <c r="CC6" s="11"/>
      <c r="CD6" s="29"/>
      <c r="CE6" s="11"/>
      <c r="CF6" s="11"/>
      <c r="CG6" s="11"/>
      <c r="CH6" s="11"/>
      <c r="CI6" s="11"/>
      <c r="CJ6" s="11"/>
      <c r="CK6" s="11"/>
      <c r="CL6" s="28" t="str">
        <f t="shared" si="1"/>
        <v/>
      </c>
      <c r="CM6" s="28"/>
      <c r="CN6" s="11"/>
      <c r="CO6" s="29"/>
      <c r="CP6" s="11"/>
      <c r="CQ6" s="11"/>
      <c r="CR6" s="11"/>
      <c r="CS6" s="11"/>
      <c r="CT6" s="11"/>
      <c r="CU6" s="11"/>
      <c r="CV6" s="11"/>
      <c r="CW6" s="11"/>
      <c r="CX6" s="29"/>
      <c r="CY6" s="28"/>
      <c r="CZ6" s="11"/>
      <c r="DA6" s="11"/>
      <c r="DB6" s="11"/>
      <c r="DC6" s="29"/>
      <c r="DD6" s="28"/>
      <c r="DE6" s="11"/>
      <c r="DF6" s="11"/>
      <c r="DG6" s="11"/>
      <c r="DH6" s="29"/>
      <c r="DI6" s="28"/>
      <c r="DJ6" s="11"/>
      <c r="DK6" s="11"/>
      <c r="DL6" s="11"/>
      <c r="DM6" s="29"/>
      <c r="DN6" s="28"/>
      <c r="DO6" s="30" t="str">
        <f>IF(F6="","",IF(DP6="not a match","",IF(DP6="full_name",VLOOKUP(F6,'Internal -- Patent Countries'!B:I,5,FALSE),IF(DP6="polity_shortest_name",VLOOKUP(F6,'Internal -- Patent Countries'!C:I,4,FALSE),IF(DP6="polity_full_name",VLOOKUP(F6,'Internal -- Patent Countries'!D:I,3,FALSE),IF(DP6="polity_common_name",VLOOKUP(F6,'Internal -- Patent Countries'!E:I,2,FALSE),IF(DP6="shortest_name",F6)))))))</f>
        <v/>
      </c>
      <c r="DP6" s="30" t="str">
        <f>IF(F6="","",IF(COUNTIF('Internal -- Patent Countries'!B:B,F6)&gt;0,"full_name",IF(COUNTIF('Internal -- Patent Countries'!C:C,F6)&gt;0,"polity_shortest_name",IF(COUNTIF('Internal -- Patent Countries'!D:D,F6)&gt;0,"polity_full_name",IF(COUNTIF('Internal -- Patent Countries'!E:E,F6)&gt;0,"polity_common_name",IF(COUNTIF('Internal -- Patent Countries'!A:A,F6)&gt;0,"shortest_name","not a match"))))))</f>
        <v/>
      </c>
      <c r="DQ6" s="30"/>
      <c r="DR6" s="30"/>
      <c r="DS6" s="30"/>
      <c r="DT6" s="30"/>
      <c r="DU6" s="30"/>
      <c r="DV6" s="50" t="str">
        <f t="shared" si="2"/>
        <v/>
      </c>
      <c r="DW6" s="30" t="str">
        <f t="shared" si="3"/>
        <v/>
      </c>
    </row>
    <row r="7" spans="1:127" ht="16.5">
      <c r="A7" s="11"/>
      <c r="B7" s="11"/>
      <c r="C7" s="11"/>
      <c r="D7" s="27"/>
      <c r="E7" s="11"/>
      <c r="F7" s="29"/>
      <c r="G7" s="11"/>
      <c r="H7" s="11"/>
      <c r="I7" s="11"/>
      <c r="J7" s="15"/>
      <c r="K7" s="11"/>
      <c r="L7" s="15"/>
      <c r="M7" s="11"/>
      <c r="N7" s="15"/>
      <c r="O7" s="15"/>
      <c r="P7" s="11"/>
      <c r="Q7" s="11"/>
      <c r="R7" s="11"/>
      <c r="S7" s="15"/>
      <c r="T7" s="15"/>
      <c r="U7" s="15"/>
      <c r="V7" s="11"/>
      <c r="W7" s="29"/>
      <c r="X7" s="15"/>
      <c r="Y7" s="11"/>
      <c r="Z7" s="11"/>
      <c r="AA7" s="11"/>
      <c r="AB7" s="11"/>
      <c r="AC7" s="11"/>
      <c r="AD7" s="11"/>
      <c r="AE7" s="15"/>
      <c r="AF7" s="11"/>
      <c r="AG7" s="11"/>
      <c r="AH7" s="15"/>
      <c r="AI7" s="15"/>
      <c r="AJ7" s="15"/>
      <c r="AK7" s="11"/>
      <c r="AL7" s="15"/>
      <c r="AM7" s="11"/>
      <c r="AN7" s="11"/>
      <c r="AO7" s="15"/>
      <c r="AP7" s="11"/>
      <c r="AQ7" s="11"/>
      <c r="AR7" s="15"/>
      <c r="AS7" s="15"/>
      <c r="AT7" s="15"/>
      <c r="AU7" s="11"/>
      <c r="AV7" s="15"/>
      <c r="AW7" s="11"/>
      <c r="AX7" s="11"/>
      <c r="AY7" s="15"/>
      <c r="AZ7" s="11"/>
      <c r="BA7" s="11"/>
      <c r="BB7" s="15"/>
      <c r="BC7" s="15"/>
      <c r="BD7" s="15"/>
      <c r="BE7" s="11"/>
      <c r="BF7" s="15"/>
      <c r="BG7" s="11"/>
      <c r="BH7" s="11"/>
      <c r="BI7" s="15"/>
      <c r="BJ7" s="11"/>
      <c r="BK7" s="11"/>
      <c r="BL7" s="15"/>
      <c r="BM7" s="15"/>
      <c r="BN7" s="15"/>
      <c r="BO7" s="11"/>
      <c r="BP7" s="15"/>
      <c r="BQ7" s="11"/>
      <c r="BR7" s="11"/>
      <c r="BS7" s="15"/>
      <c r="BT7" s="11"/>
      <c r="BU7" s="11"/>
      <c r="BV7" s="15"/>
      <c r="BW7" s="11"/>
      <c r="BX7" s="11"/>
      <c r="BY7" s="11"/>
      <c r="BZ7" s="11"/>
      <c r="CA7" s="28" t="str">
        <f t="shared" si="0"/>
        <v/>
      </c>
      <c r="CB7" s="28"/>
      <c r="CC7" s="11"/>
      <c r="CD7" s="29"/>
      <c r="CE7" s="11"/>
      <c r="CF7" s="11"/>
      <c r="CG7" s="11"/>
      <c r="CH7" s="11"/>
      <c r="CI7" s="11"/>
      <c r="CJ7" s="11"/>
      <c r="CK7" s="11"/>
      <c r="CL7" s="28" t="str">
        <f t="shared" si="1"/>
        <v/>
      </c>
      <c r="CM7" s="28"/>
      <c r="CN7" s="11"/>
      <c r="CO7" s="29"/>
      <c r="CP7" s="11"/>
      <c r="CQ7" s="11"/>
      <c r="CR7" s="11"/>
      <c r="CS7" s="11"/>
      <c r="CT7" s="11"/>
      <c r="CU7" s="11"/>
      <c r="CV7" s="11"/>
      <c r="CW7" s="11"/>
      <c r="CX7" s="29"/>
      <c r="CY7" s="28"/>
      <c r="CZ7" s="11"/>
      <c r="DA7" s="11"/>
      <c r="DB7" s="11"/>
      <c r="DC7" s="29"/>
      <c r="DD7" s="28"/>
      <c r="DE7" s="11"/>
      <c r="DF7" s="11"/>
      <c r="DG7" s="11"/>
      <c r="DH7" s="29"/>
      <c r="DI7" s="28"/>
      <c r="DJ7" s="11"/>
      <c r="DK7" s="11"/>
      <c r="DL7" s="11"/>
      <c r="DM7" s="29"/>
      <c r="DN7" s="28"/>
      <c r="DO7" s="30" t="str">
        <f>IF(F7="","",IF(DP7="not a match","",IF(DP7="full_name",VLOOKUP(F7,'Internal -- Patent Countries'!B:I,5,FALSE),IF(DP7="polity_shortest_name",VLOOKUP(F7,'Internal -- Patent Countries'!C:I,4,FALSE),IF(DP7="polity_full_name",VLOOKUP(F7,'Internal -- Patent Countries'!D:I,3,FALSE),IF(DP7="polity_common_name",VLOOKUP(F7,'Internal -- Patent Countries'!E:I,2,FALSE),IF(DP7="shortest_name",F7)))))))</f>
        <v/>
      </c>
      <c r="DP7" s="30" t="str">
        <f>IF(F7="","",IF(COUNTIF('Internal -- Patent Countries'!B:B,F7)&gt;0,"full_name",IF(COUNTIF('Internal -- Patent Countries'!C:C,F7)&gt;0,"polity_shortest_name",IF(COUNTIF('Internal -- Patent Countries'!D:D,F7)&gt;0,"polity_full_name",IF(COUNTIF('Internal -- Patent Countries'!E:E,F7)&gt;0,"polity_common_name",IF(COUNTIF('Internal -- Patent Countries'!A:A,F7)&gt;0,"shortest_name","not a match"))))))</f>
        <v/>
      </c>
      <c r="DQ7" s="30"/>
      <c r="DR7" s="30"/>
      <c r="DS7" s="30"/>
      <c r="DT7" s="30"/>
      <c r="DU7" s="30"/>
      <c r="DV7" s="50" t="str">
        <f t="shared" si="2"/>
        <v/>
      </c>
      <c r="DW7" s="30" t="str">
        <f t="shared" si="3"/>
        <v/>
      </c>
    </row>
    <row r="8" spans="1:127" ht="16.5">
      <c r="A8" s="11"/>
      <c r="B8" s="11"/>
      <c r="C8" s="11"/>
      <c r="D8" s="27"/>
      <c r="E8" s="11"/>
      <c r="F8" s="29"/>
      <c r="G8" s="11"/>
      <c r="H8" s="11"/>
      <c r="I8" s="11"/>
      <c r="J8" s="15"/>
      <c r="K8" s="11"/>
      <c r="L8" s="15"/>
      <c r="M8" s="11"/>
      <c r="N8" s="15"/>
      <c r="O8" s="15"/>
      <c r="P8" s="11"/>
      <c r="Q8" s="11"/>
      <c r="R8" s="11"/>
      <c r="S8" s="15"/>
      <c r="T8" s="15"/>
      <c r="U8" s="15"/>
      <c r="V8" s="11"/>
      <c r="W8" s="29"/>
      <c r="X8" s="15"/>
      <c r="Y8" s="11"/>
      <c r="Z8" s="11"/>
      <c r="AA8" s="11"/>
      <c r="AB8" s="11"/>
      <c r="AC8" s="11"/>
      <c r="AD8" s="11"/>
      <c r="AE8" s="15"/>
      <c r="AF8" s="11"/>
      <c r="AG8" s="11"/>
      <c r="AH8" s="15"/>
      <c r="AI8" s="15"/>
      <c r="AJ8" s="15"/>
      <c r="AK8" s="11"/>
      <c r="AL8" s="15"/>
      <c r="AM8" s="11"/>
      <c r="AN8" s="11"/>
      <c r="AO8" s="15"/>
      <c r="AP8" s="11"/>
      <c r="AQ8" s="11"/>
      <c r="AR8" s="15"/>
      <c r="AS8" s="15"/>
      <c r="AT8" s="15"/>
      <c r="AU8" s="11"/>
      <c r="AV8" s="15"/>
      <c r="AW8" s="11"/>
      <c r="AX8" s="11"/>
      <c r="AY8" s="15"/>
      <c r="AZ8" s="11"/>
      <c r="BA8" s="11"/>
      <c r="BB8" s="15"/>
      <c r="BC8" s="15"/>
      <c r="BD8" s="15"/>
      <c r="BE8" s="11"/>
      <c r="BF8" s="15"/>
      <c r="BG8" s="11"/>
      <c r="BH8" s="11"/>
      <c r="BI8" s="15"/>
      <c r="BJ8" s="11"/>
      <c r="BK8" s="11"/>
      <c r="BL8" s="15"/>
      <c r="BM8" s="15"/>
      <c r="BN8" s="15"/>
      <c r="BO8" s="11"/>
      <c r="BP8" s="15"/>
      <c r="BQ8" s="11"/>
      <c r="BR8" s="11"/>
      <c r="BS8" s="15"/>
      <c r="BT8" s="11"/>
      <c r="BU8" s="11"/>
      <c r="BV8" s="15"/>
      <c r="BW8" s="11"/>
      <c r="BX8" s="11"/>
      <c r="BY8" s="11"/>
      <c r="BZ8" s="11"/>
      <c r="CA8" s="28" t="str">
        <f t="shared" si="0"/>
        <v/>
      </c>
      <c r="CB8" s="28"/>
      <c r="CC8" s="11"/>
      <c r="CD8" s="29"/>
      <c r="CE8" s="11"/>
      <c r="CF8" s="11"/>
      <c r="CG8" s="11"/>
      <c r="CH8" s="11"/>
      <c r="CI8" s="11"/>
      <c r="CJ8" s="11"/>
      <c r="CK8" s="11"/>
      <c r="CL8" s="28" t="str">
        <f t="shared" si="1"/>
        <v/>
      </c>
      <c r="CM8" s="28"/>
      <c r="CN8" s="11"/>
      <c r="CO8" s="29"/>
      <c r="CP8" s="11"/>
      <c r="CQ8" s="11"/>
      <c r="CR8" s="11"/>
      <c r="CS8" s="11"/>
      <c r="CT8" s="11"/>
      <c r="CU8" s="11"/>
      <c r="CV8" s="11"/>
      <c r="CW8" s="11"/>
      <c r="CX8" s="29"/>
      <c r="CY8" s="28"/>
      <c r="CZ8" s="11"/>
      <c r="DA8" s="11"/>
      <c r="DB8" s="11"/>
      <c r="DC8" s="29"/>
      <c r="DD8" s="28"/>
      <c r="DE8" s="11"/>
      <c r="DF8" s="11"/>
      <c r="DG8" s="11"/>
      <c r="DH8" s="29"/>
      <c r="DI8" s="28"/>
      <c r="DJ8" s="11"/>
      <c r="DK8" s="11"/>
      <c r="DL8" s="11"/>
      <c r="DM8" s="29"/>
      <c r="DN8" s="28"/>
      <c r="DO8" s="30" t="str">
        <f>IF(F8="","",IF(DP8="not a match","",IF(DP8="full_name",VLOOKUP(F8,'Internal -- Patent Countries'!B:I,5,FALSE),IF(DP8="polity_shortest_name",VLOOKUP(F8,'Internal -- Patent Countries'!C:I,4,FALSE),IF(DP8="polity_full_name",VLOOKUP(F8,'Internal -- Patent Countries'!D:I,3,FALSE),IF(DP8="polity_common_name",VLOOKUP(F8,'Internal -- Patent Countries'!E:I,2,FALSE),IF(DP8="shortest_name",F8)))))))</f>
        <v/>
      </c>
      <c r="DP8" s="30" t="str">
        <f>IF(F8="","",IF(COUNTIF('Internal -- Patent Countries'!B:B,F8)&gt;0,"full_name",IF(COUNTIF('Internal -- Patent Countries'!C:C,F8)&gt;0,"polity_shortest_name",IF(COUNTIF('Internal -- Patent Countries'!D:D,F8)&gt;0,"polity_full_name",IF(COUNTIF('Internal -- Patent Countries'!E:E,F8)&gt;0,"polity_common_name",IF(COUNTIF('Internal -- Patent Countries'!A:A,F8)&gt;0,"shortest_name","not a match"))))))</f>
        <v/>
      </c>
      <c r="DQ8" s="30"/>
      <c r="DR8" s="30"/>
      <c r="DS8" s="30"/>
      <c r="DT8" s="30"/>
      <c r="DU8" s="30"/>
      <c r="DV8" s="50" t="str">
        <f t="shared" si="2"/>
        <v/>
      </c>
      <c r="DW8" s="30" t="str">
        <f t="shared" si="3"/>
        <v/>
      </c>
    </row>
    <row r="9" spans="1:127" ht="16.5">
      <c r="A9" s="11"/>
      <c r="B9" s="11"/>
      <c r="C9" s="11"/>
      <c r="D9" s="27"/>
      <c r="E9" s="11"/>
      <c r="F9" s="29"/>
      <c r="G9" s="11"/>
      <c r="H9" s="11"/>
      <c r="I9" s="11"/>
      <c r="J9" s="15"/>
      <c r="K9" s="11"/>
      <c r="L9" s="15"/>
      <c r="M9" s="11"/>
      <c r="N9" s="15"/>
      <c r="O9" s="15"/>
      <c r="P9" s="11"/>
      <c r="Q9" s="11"/>
      <c r="R9" s="11"/>
      <c r="S9" s="15"/>
      <c r="T9" s="15"/>
      <c r="U9" s="15"/>
      <c r="V9" s="11"/>
      <c r="W9" s="29"/>
      <c r="X9" s="15"/>
      <c r="Y9" s="11"/>
      <c r="Z9" s="11"/>
      <c r="AA9" s="11"/>
      <c r="AB9" s="11"/>
      <c r="AC9" s="11"/>
      <c r="AD9" s="11"/>
      <c r="AE9" s="15"/>
      <c r="AF9" s="11"/>
      <c r="AG9" s="11"/>
      <c r="AH9" s="15"/>
      <c r="AI9" s="15"/>
      <c r="AJ9" s="15"/>
      <c r="AK9" s="11"/>
      <c r="AL9" s="15"/>
      <c r="AM9" s="11"/>
      <c r="AN9" s="11"/>
      <c r="AO9" s="15"/>
      <c r="AP9" s="11"/>
      <c r="AQ9" s="11"/>
      <c r="AR9" s="15"/>
      <c r="AS9" s="15"/>
      <c r="AT9" s="15"/>
      <c r="AU9" s="11"/>
      <c r="AV9" s="15"/>
      <c r="AW9" s="11"/>
      <c r="AX9" s="11"/>
      <c r="AY9" s="15"/>
      <c r="AZ9" s="11"/>
      <c r="BA9" s="11"/>
      <c r="BB9" s="15"/>
      <c r="BC9" s="15"/>
      <c r="BD9" s="15"/>
      <c r="BE9" s="11"/>
      <c r="BF9" s="15"/>
      <c r="BG9" s="11"/>
      <c r="BH9" s="11"/>
      <c r="BI9" s="15"/>
      <c r="BJ9" s="11"/>
      <c r="BK9" s="11"/>
      <c r="BL9" s="15"/>
      <c r="BM9" s="15"/>
      <c r="BN9" s="15"/>
      <c r="BO9" s="11"/>
      <c r="BP9" s="15"/>
      <c r="BQ9" s="11"/>
      <c r="BR9" s="11"/>
      <c r="BS9" s="15"/>
      <c r="BT9" s="11"/>
      <c r="BU9" s="11"/>
      <c r="BV9" s="15"/>
      <c r="BW9" s="11"/>
      <c r="BX9" s="11"/>
      <c r="BY9" s="11"/>
      <c r="BZ9" s="11"/>
      <c r="CA9" s="28" t="str">
        <f t="shared" si="0"/>
        <v/>
      </c>
      <c r="CB9" s="28"/>
      <c r="CC9" s="11"/>
      <c r="CD9" s="29"/>
      <c r="CE9" s="11"/>
      <c r="CF9" s="11"/>
      <c r="CG9" s="11"/>
      <c r="CH9" s="11"/>
      <c r="CI9" s="11"/>
      <c r="CJ9" s="11"/>
      <c r="CK9" s="11"/>
      <c r="CL9" s="28" t="str">
        <f t="shared" si="1"/>
        <v/>
      </c>
      <c r="CM9" s="28"/>
      <c r="CN9" s="11"/>
      <c r="CO9" s="29"/>
      <c r="CP9" s="11"/>
      <c r="CQ9" s="11"/>
      <c r="CR9" s="11"/>
      <c r="CS9" s="11"/>
      <c r="CT9" s="11"/>
      <c r="CU9" s="11"/>
      <c r="CV9" s="11"/>
      <c r="CW9" s="11"/>
      <c r="CX9" s="29"/>
      <c r="CY9" s="28"/>
      <c r="CZ9" s="11"/>
      <c r="DA9" s="11"/>
      <c r="DB9" s="11"/>
      <c r="DC9" s="29"/>
      <c r="DD9" s="28"/>
      <c r="DE9" s="11"/>
      <c r="DF9" s="11"/>
      <c r="DG9" s="11"/>
      <c r="DH9" s="29"/>
      <c r="DI9" s="28"/>
      <c r="DJ9" s="11"/>
      <c r="DK9" s="11"/>
      <c r="DL9" s="11"/>
      <c r="DM9" s="29"/>
      <c r="DN9" s="28"/>
      <c r="DO9" s="30" t="str">
        <f>IF(F9="","",IF(DP9="not a match","",IF(DP9="full_name",VLOOKUP(F9,'Internal -- Patent Countries'!B:I,5,FALSE),IF(DP9="polity_shortest_name",VLOOKUP(F9,'Internal -- Patent Countries'!C:I,4,FALSE),IF(DP9="polity_full_name",VLOOKUP(F9,'Internal -- Patent Countries'!D:I,3,FALSE),IF(DP9="polity_common_name",VLOOKUP(F9,'Internal -- Patent Countries'!E:I,2,FALSE),IF(DP9="shortest_name",F9)))))))</f>
        <v/>
      </c>
      <c r="DP9" s="30" t="str">
        <f>IF(F9="","",IF(COUNTIF('Internal -- Patent Countries'!B:B,F9)&gt;0,"full_name",IF(COUNTIF('Internal -- Patent Countries'!C:C,F9)&gt;0,"polity_shortest_name",IF(COUNTIF('Internal -- Patent Countries'!D:D,F9)&gt;0,"polity_full_name",IF(COUNTIF('Internal -- Patent Countries'!E:E,F9)&gt;0,"polity_common_name",IF(COUNTIF('Internal -- Patent Countries'!A:A,F9)&gt;0,"shortest_name","not a match"))))))</f>
        <v/>
      </c>
      <c r="DQ9" s="30"/>
      <c r="DR9" s="30"/>
      <c r="DS9" s="30"/>
      <c r="DT9" s="30"/>
      <c r="DU9" s="30"/>
      <c r="DV9" s="50" t="str">
        <f t="shared" si="2"/>
        <v/>
      </c>
      <c r="DW9" s="30" t="str">
        <f t="shared" si="3"/>
        <v/>
      </c>
    </row>
    <row r="10" spans="1:127" ht="16.5">
      <c r="A10" s="11"/>
      <c r="B10" s="11"/>
      <c r="C10" s="11"/>
      <c r="D10" s="27"/>
      <c r="E10" s="11"/>
      <c r="F10" s="29"/>
      <c r="G10" s="11"/>
      <c r="H10" s="11"/>
      <c r="I10" s="11"/>
      <c r="J10" s="15"/>
      <c r="K10" s="11"/>
      <c r="L10" s="15"/>
      <c r="M10" s="11"/>
      <c r="N10" s="15"/>
      <c r="O10" s="15"/>
      <c r="P10" s="11"/>
      <c r="Q10" s="11"/>
      <c r="R10" s="11"/>
      <c r="S10" s="15"/>
      <c r="T10" s="15"/>
      <c r="U10" s="15"/>
      <c r="V10" s="11"/>
      <c r="W10" s="29"/>
      <c r="X10" s="15"/>
      <c r="Y10" s="11"/>
      <c r="Z10" s="11"/>
      <c r="AA10" s="11"/>
      <c r="AB10" s="11"/>
      <c r="AC10" s="11"/>
      <c r="AD10" s="11"/>
      <c r="AE10" s="15"/>
      <c r="AF10" s="11"/>
      <c r="AG10" s="11"/>
      <c r="AH10" s="15"/>
      <c r="AI10" s="15"/>
      <c r="AJ10" s="15"/>
      <c r="AK10" s="11"/>
      <c r="AL10" s="15"/>
      <c r="AM10" s="11"/>
      <c r="AN10" s="11"/>
      <c r="AO10" s="15"/>
      <c r="AP10" s="11"/>
      <c r="AQ10" s="11"/>
      <c r="AR10" s="15"/>
      <c r="AS10" s="15"/>
      <c r="AT10" s="15"/>
      <c r="AU10" s="11"/>
      <c r="AV10" s="15"/>
      <c r="AW10" s="11"/>
      <c r="AX10" s="11"/>
      <c r="AY10" s="15"/>
      <c r="AZ10" s="11"/>
      <c r="BA10" s="11"/>
      <c r="BB10" s="15"/>
      <c r="BC10" s="15"/>
      <c r="BD10" s="15"/>
      <c r="BE10" s="11"/>
      <c r="BF10" s="15"/>
      <c r="BG10" s="11"/>
      <c r="BH10" s="11"/>
      <c r="BI10" s="15"/>
      <c r="BJ10" s="11"/>
      <c r="BK10" s="11"/>
      <c r="BL10" s="15"/>
      <c r="BM10" s="15"/>
      <c r="BN10" s="15"/>
      <c r="BO10" s="11"/>
      <c r="BP10" s="15"/>
      <c r="BQ10" s="11"/>
      <c r="BR10" s="11"/>
      <c r="BS10" s="15"/>
      <c r="BT10" s="11"/>
      <c r="BU10" s="11"/>
      <c r="BV10" s="15"/>
      <c r="BW10" s="11"/>
      <c r="BX10" s="11"/>
      <c r="BY10" s="11"/>
      <c r="BZ10" s="11"/>
      <c r="CA10" s="28" t="str">
        <f t="shared" si="0"/>
        <v/>
      </c>
      <c r="CB10" s="28"/>
      <c r="CC10" s="11"/>
      <c r="CD10" s="29"/>
      <c r="CE10" s="11"/>
      <c r="CF10" s="11"/>
      <c r="CG10" s="11"/>
      <c r="CH10" s="11"/>
      <c r="CI10" s="11"/>
      <c r="CJ10" s="11"/>
      <c r="CK10" s="11"/>
      <c r="CL10" s="28" t="str">
        <f t="shared" si="1"/>
        <v/>
      </c>
      <c r="CM10" s="28"/>
      <c r="CN10" s="11"/>
      <c r="CO10" s="29"/>
      <c r="CP10" s="11"/>
      <c r="CQ10" s="11"/>
      <c r="CR10" s="11"/>
      <c r="CS10" s="11"/>
      <c r="CT10" s="11"/>
      <c r="CU10" s="11"/>
      <c r="CV10" s="11"/>
      <c r="CW10" s="11"/>
      <c r="CX10" s="29"/>
      <c r="CY10" s="28"/>
      <c r="CZ10" s="11"/>
      <c r="DA10" s="11"/>
      <c r="DB10" s="11"/>
      <c r="DC10" s="29"/>
      <c r="DD10" s="28"/>
      <c r="DE10" s="11"/>
      <c r="DF10" s="11"/>
      <c r="DG10" s="11"/>
      <c r="DH10" s="29"/>
      <c r="DI10" s="28"/>
      <c r="DJ10" s="11"/>
      <c r="DK10" s="11"/>
      <c r="DL10" s="11"/>
      <c r="DM10" s="29"/>
      <c r="DN10" s="28"/>
      <c r="DO10" s="30" t="str">
        <f>IF(F10="","",IF(DP10="not a match","",IF(DP10="full_name",VLOOKUP(F10,'Internal -- Patent Countries'!B:I,5,FALSE),IF(DP10="polity_shortest_name",VLOOKUP(F10,'Internal -- Patent Countries'!C:I,4,FALSE),IF(DP10="polity_full_name",VLOOKUP(F10,'Internal -- Patent Countries'!D:I,3,FALSE),IF(DP10="polity_common_name",VLOOKUP(F10,'Internal -- Patent Countries'!E:I,2,FALSE),IF(DP10="shortest_name",F10)))))))</f>
        <v/>
      </c>
      <c r="DP10" s="30" t="str">
        <f>IF(F10="","",IF(COUNTIF('Internal -- Patent Countries'!B:B,F10)&gt;0,"full_name",IF(COUNTIF('Internal -- Patent Countries'!C:C,F10)&gt;0,"polity_shortest_name",IF(COUNTIF('Internal -- Patent Countries'!D:D,F10)&gt;0,"polity_full_name",IF(COUNTIF('Internal -- Patent Countries'!E:E,F10)&gt;0,"polity_common_name",IF(COUNTIF('Internal -- Patent Countries'!A:A,F10)&gt;0,"shortest_name","not a match"))))))</f>
        <v/>
      </c>
      <c r="DQ10" s="30"/>
      <c r="DR10" s="30"/>
      <c r="DS10" s="30"/>
      <c r="DT10" s="30"/>
      <c r="DU10" s="30"/>
      <c r="DV10" s="50" t="str">
        <f t="shared" si="2"/>
        <v/>
      </c>
      <c r="DW10" s="30" t="str">
        <f t="shared" si="3"/>
        <v/>
      </c>
    </row>
    <row r="11" spans="1:127" ht="16.5">
      <c r="A11" s="11"/>
      <c r="B11" s="11"/>
      <c r="C11" s="11"/>
      <c r="D11" s="27"/>
      <c r="E11" s="11"/>
      <c r="F11" s="29"/>
      <c r="G11" s="11"/>
      <c r="H11" s="11"/>
      <c r="I11" s="11"/>
      <c r="J11" s="15"/>
      <c r="K11" s="11"/>
      <c r="L11" s="15"/>
      <c r="M11" s="11"/>
      <c r="N11" s="15"/>
      <c r="O11" s="15"/>
      <c r="P11" s="11"/>
      <c r="Q11" s="11"/>
      <c r="R11" s="11"/>
      <c r="S11" s="15"/>
      <c r="T11" s="15"/>
      <c r="U11" s="15"/>
      <c r="V11" s="11"/>
      <c r="W11" s="29"/>
      <c r="X11" s="15"/>
      <c r="Y11" s="11"/>
      <c r="Z11" s="11"/>
      <c r="AA11" s="11"/>
      <c r="AB11" s="11"/>
      <c r="AC11" s="11"/>
      <c r="AD11" s="11"/>
      <c r="AE11" s="15"/>
      <c r="AF11" s="11"/>
      <c r="AG11" s="11"/>
      <c r="AH11" s="15"/>
      <c r="AI11" s="15"/>
      <c r="AJ11" s="15"/>
      <c r="AK11" s="11"/>
      <c r="AL11" s="15"/>
      <c r="AM11" s="11"/>
      <c r="AN11" s="11"/>
      <c r="AO11" s="15"/>
      <c r="AP11" s="11"/>
      <c r="AQ11" s="11"/>
      <c r="AR11" s="15"/>
      <c r="AS11" s="15"/>
      <c r="AT11" s="15"/>
      <c r="AU11" s="11"/>
      <c r="AV11" s="15"/>
      <c r="AW11" s="11"/>
      <c r="AX11" s="11"/>
      <c r="AY11" s="15"/>
      <c r="AZ11" s="11"/>
      <c r="BA11" s="11"/>
      <c r="BB11" s="15"/>
      <c r="BC11" s="15"/>
      <c r="BD11" s="15"/>
      <c r="BE11" s="11"/>
      <c r="BF11" s="15"/>
      <c r="BG11" s="11"/>
      <c r="BH11" s="11"/>
      <c r="BI11" s="15"/>
      <c r="BJ11" s="11"/>
      <c r="BK11" s="11"/>
      <c r="BL11" s="15"/>
      <c r="BM11" s="15"/>
      <c r="BN11" s="15"/>
      <c r="BO11" s="11"/>
      <c r="BP11" s="15"/>
      <c r="BQ11" s="11"/>
      <c r="BR11" s="11"/>
      <c r="BS11" s="15"/>
      <c r="BT11" s="11"/>
      <c r="BU11" s="11"/>
      <c r="BV11" s="15"/>
      <c r="BW11" s="11"/>
      <c r="BX11" s="11"/>
      <c r="BY11" s="11"/>
      <c r="BZ11" s="11"/>
      <c r="CA11" s="28" t="str">
        <f t="shared" si="0"/>
        <v/>
      </c>
      <c r="CB11" s="28"/>
      <c r="CC11" s="11"/>
      <c r="CD11" s="29"/>
      <c r="CE11" s="11"/>
      <c r="CF11" s="11"/>
      <c r="CG11" s="11"/>
      <c r="CH11" s="11"/>
      <c r="CI11" s="11"/>
      <c r="CJ11" s="11"/>
      <c r="CK11" s="11"/>
      <c r="CL11" s="28" t="str">
        <f t="shared" si="1"/>
        <v/>
      </c>
      <c r="CM11" s="28"/>
      <c r="CN11" s="11"/>
      <c r="CO11" s="29"/>
      <c r="CP11" s="11"/>
      <c r="CQ11" s="11"/>
      <c r="CR11" s="11"/>
      <c r="CS11" s="11"/>
      <c r="CT11" s="11"/>
      <c r="CU11" s="11"/>
      <c r="CV11" s="11"/>
      <c r="CW11" s="11"/>
      <c r="CX11" s="29"/>
      <c r="CY11" s="28"/>
      <c r="CZ11" s="11"/>
      <c r="DA11" s="11"/>
      <c r="DB11" s="11"/>
      <c r="DC11" s="29"/>
      <c r="DD11" s="28"/>
      <c r="DE11" s="11"/>
      <c r="DF11" s="11"/>
      <c r="DG11" s="11"/>
      <c r="DH11" s="29"/>
      <c r="DI11" s="28"/>
      <c r="DJ11" s="11"/>
      <c r="DK11" s="11"/>
      <c r="DL11" s="11"/>
      <c r="DM11" s="29"/>
      <c r="DN11" s="28"/>
      <c r="DO11" s="30" t="str">
        <f>IF(F11="","",IF(DP11="not a match","",IF(DP11="full_name",VLOOKUP(F11,'Internal -- Patent Countries'!B:I,5,FALSE),IF(DP11="polity_shortest_name",VLOOKUP(F11,'Internal -- Patent Countries'!C:I,4,FALSE),IF(DP11="polity_full_name",VLOOKUP(F11,'Internal -- Patent Countries'!D:I,3,FALSE),IF(DP11="polity_common_name",VLOOKUP(F11,'Internal -- Patent Countries'!E:I,2,FALSE),IF(DP11="shortest_name",F11)))))))</f>
        <v/>
      </c>
      <c r="DP11" s="30" t="str">
        <f>IF(F11="","",IF(COUNTIF('Internal -- Patent Countries'!B:B,F11)&gt;0,"full_name",IF(COUNTIF('Internal -- Patent Countries'!C:C,F11)&gt;0,"polity_shortest_name",IF(COUNTIF('Internal -- Patent Countries'!D:D,F11)&gt;0,"polity_full_name",IF(COUNTIF('Internal -- Patent Countries'!E:E,F11)&gt;0,"polity_common_name",IF(COUNTIF('Internal -- Patent Countries'!A:A,F11)&gt;0,"shortest_name","not a match"))))))</f>
        <v/>
      </c>
      <c r="DQ11" s="30"/>
      <c r="DR11" s="30"/>
      <c r="DS11" s="30"/>
      <c r="DT11" s="30"/>
      <c r="DU11" s="30"/>
      <c r="DV11" s="50" t="str">
        <f t="shared" si="2"/>
        <v/>
      </c>
      <c r="DW11" s="30" t="str">
        <f t="shared" si="3"/>
        <v/>
      </c>
    </row>
    <row r="12" spans="1:127" ht="16.5">
      <c r="A12" s="11"/>
      <c r="B12" s="11"/>
      <c r="C12" s="11"/>
      <c r="D12" s="27"/>
      <c r="E12" s="11"/>
      <c r="F12" s="29"/>
      <c r="G12" s="11"/>
      <c r="H12" s="11"/>
      <c r="I12" s="11"/>
      <c r="J12" s="15"/>
      <c r="K12" s="11"/>
      <c r="L12" s="15"/>
      <c r="M12" s="11"/>
      <c r="N12" s="15"/>
      <c r="O12" s="15"/>
      <c r="P12" s="11"/>
      <c r="Q12" s="11"/>
      <c r="R12" s="11"/>
      <c r="S12" s="15"/>
      <c r="T12" s="15"/>
      <c r="U12" s="15"/>
      <c r="V12" s="11"/>
      <c r="W12" s="29"/>
      <c r="X12" s="15"/>
      <c r="Y12" s="11"/>
      <c r="Z12" s="11"/>
      <c r="AA12" s="11"/>
      <c r="AB12" s="11"/>
      <c r="AC12" s="11"/>
      <c r="AD12" s="11"/>
      <c r="AE12" s="15"/>
      <c r="AF12" s="11"/>
      <c r="AG12" s="11"/>
      <c r="AH12" s="15"/>
      <c r="AI12" s="15"/>
      <c r="AJ12" s="15"/>
      <c r="AK12" s="11"/>
      <c r="AL12" s="15"/>
      <c r="AM12" s="11"/>
      <c r="AN12" s="11"/>
      <c r="AO12" s="15"/>
      <c r="AP12" s="11"/>
      <c r="AQ12" s="11"/>
      <c r="AR12" s="15"/>
      <c r="AS12" s="15"/>
      <c r="AT12" s="15"/>
      <c r="AU12" s="11"/>
      <c r="AV12" s="15"/>
      <c r="AW12" s="11"/>
      <c r="AX12" s="11"/>
      <c r="AY12" s="15"/>
      <c r="AZ12" s="11"/>
      <c r="BA12" s="11"/>
      <c r="BB12" s="15"/>
      <c r="BC12" s="15"/>
      <c r="BD12" s="15"/>
      <c r="BE12" s="11"/>
      <c r="BF12" s="15"/>
      <c r="BG12" s="11"/>
      <c r="BH12" s="11"/>
      <c r="BI12" s="15"/>
      <c r="BJ12" s="11"/>
      <c r="BK12" s="11"/>
      <c r="BL12" s="15"/>
      <c r="BM12" s="15"/>
      <c r="BN12" s="15"/>
      <c r="BO12" s="11"/>
      <c r="BP12" s="15"/>
      <c r="BQ12" s="11"/>
      <c r="BR12" s="11"/>
      <c r="BS12" s="15"/>
      <c r="BT12" s="11"/>
      <c r="BU12" s="11"/>
      <c r="BV12" s="15"/>
      <c r="BW12" s="11"/>
      <c r="BX12" s="11"/>
      <c r="BY12" s="11"/>
      <c r="BZ12" s="11"/>
      <c r="CA12" s="28" t="str">
        <f t="shared" si="0"/>
        <v/>
      </c>
      <c r="CB12" s="28"/>
      <c r="CC12" s="11"/>
      <c r="CD12" s="29"/>
      <c r="CE12" s="11"/>
      <c r="CF12" s="11"/>
      <c r="CG12" s="11"/>
      <c r="CH12" s="11"/>
      <c r="CI12" s="11"/>
      <c r="CJ12" s="11"/>
      <c r="CK12" s="11"/>
      <c r="CL12" s="28" t="str">
        <f t="shared" si="1"/>
        <v/>
      </c>
      <c r="CM12" s="28"/>
      <c r="CN12" s="11"/>
      <c r="CO12" s="29"/>
      <c r="CP12" s="11"/>
      <c r="CQ12" s="11"/>
      <c r="CR12" s="11"/>
      <c r="CS12" s="11"/>
      <c r="CT12" s="11"/>
      <c r="CU12" s="11"/>
      <c r="CV12" s="11"/>
      <c r="CW12" s="11"/>
      <c r="CX12" s="29"/>
      <c r="CY12" s="28"/>
      <c r="CZ12" s="11"/>
      <c r="DA12" s="11"/>
      <c r="DB12" s="11"/>
      <c r="DC12" s="29"/>
      <c r="DD12" s="28"/>
      <c r="DE12" s="11"/>
      <c r="DF12" s="11"/>
      <c r="DG12" s="11"/>
      <c r="DH12" s="29"/>
      <c r="DI12" s="28"/>
      <c r="DJ12" s="11"/>
      <c r="DK12" s="11"/>
      <c r="DL12" s="11"/>
      <c r="DM12" s="29"/>
      <c r="DN12" s="28"/>
      <c r="DO12" s="30" t="str">
        <f>IF(F12="","",IF(DP12="not a match","",IF(DP12="full_name",VLOOKUP(F12,'Internal -- Patent Countries'!B:I,5,FALSE),IF(DP12="polity_shortest_name",VLOOKUP(F12,'Internal -- Patent Countries'!C:I,4,FALSE),IF(DP12="polity_full_name",VLOOKUP(F12,'Internal -- Patent Countries'!D:I,3,FALSE),IF(DP12="polity_common_name",VLOOKUP(F12,'Internal -- Patent Countries'!E:I,2,FALSE),IF(DP12="shortest_name",F12)))))))</f>
        <v/>
      </c>
      <c r="DP12" s="30" t="str">
        <f>IF(F12="","",IF(COUNTIF('Internal -- Patent Countries'!B:B,F12)&gt;0,"full_name",IF(COUNTIF('Internal -- Patent Countries'!C:C,F12)&gt;0,"polity_shortest_name",IF(COUNTIF('Internal -- Patent Countries'!D:D,F12)&gt;0,"polity_full_name",IF(COUNTIF('Internal -- Patent Countries'!E:E,F12)&gt;0,"polity_common_name",IF(COUNTIF('Internal -- Patent Countries'!A:A,F12)&gt;0,"shortest_name","not a match"))))))</f>
        <v/>
      </c>
      <c r="DQ12" s="30"/>
      <c r="DR12" s="30"/>
      <c r="DS12" s="30"/>
      <c r="DT12" s="30"/>
      <c r="DU12" s="30"/>
      <c r="DV12" s="50" t="str">
        <f t="shared" si="2"/>
        <v/>
      </c>
      <c r="DW12" s="30" t="str">
        <f t="shared" si="3"/>
        <v/>
      </c>
    </row>
    <row r="13" spans="1:127" ht="16.5">
      <c r="A13" s="11"/>
      <c r="B13" s="11"/>
      <c r="C13" s="11"/>
      <c r="D13" s="27"/>
      <c r="E13" s="11"/>
      <c r="F13" s="29"/>
      <c r="G13" s="11"/>
      <c r="H13" s="11"/>
      <c r="I13" s="11"/>
      <c r="J13" s="15"/>
      <c r="K13" s="11"/>
      <c r="L13" s="15"/>
      <c r="M13" s="11"/>
      <c r="N13" s="15"/>
      <c r="O13" s="15"/>
      <c r="P13" s="11"/>
      <c r="Q13" s="11"/>
      <c r="R13" s="11"/>
      <c r="S13" s="15"/>
      <c r="T13" s="15"/>
      <c r="U13" s="15"/>
      <c r="V13" s="11"/>
      <c r="W13" s="29"/>
      <c r="X13" s="15"/>
      <c r="Y13" s="11"/>
      <c r="Z13" s="11"/>
      <c r="AA13" s="11"/>
      <c r="AB13" s="11"/>
      <c r="AC13" s="11"/>
      <c r="AD13" s="11"/>
      <c r="AE13" s="15"/>
      <c r="AF13" s="11"/>
      <c r="AG13" s="11"/>
      <c r="AH13" s="15"/>
      <c r="AI13" s="15"/>
      <c r="AJ13" s="15"/>
      <c r="AK13" s="11"/>
      <c r="AL13" s="15"/>
      <c r="AM13" s="11"/>
      <c r="AN13" s="11"/>
      <c r="AO13" s="15"/>
      <c r="AP13" s="11"/>
      <c r="AQ13" s="11"/>
      <c r="AR13" s="15"/>
      <c r="AS13" s="15"/>
      <c r="AT13" s="15"/>
      <c r="AU13" s="11"/>
      <c r="AV13" s="15"/>
      <c r="AW13" s="11"/>
      <c r="AX13" s="11"/>
      <c r="AY13" s="15"/>
      <c r="AZ13" s="11"/>
      <c r="BA13" s="11"/>
      <c r="BB13" s="15"/>
      <c r="BC13" s="15"/>
      <c r="BD13" s="15"/>
      <c r="BE13" s="11"/>
      <c r="BF13" s="15"/>
      <c r="BG13" s="11"/>
      <c r="BH13" s="11"/>
      <c r="BI13" s="15"/>
      <c r="BJ13" s="11"/>
      <c r="BK13" s="11"/>
      <c r="BL13" s="15"/>
      <c r="BM13" s="15"/>
      <c r="BN13" s="15"/>
      <c r="BO13" s="11"/>
      <c r="BP13" s="15"/>
      <c r="BQ13" s="11"/>
      <c r="BR13" s="11"/>
      <c r="BS13" s="15"/>
      <c r="BT13" s="11"/>
      <c r="BU13" s="11"/>
      <c r="BV13" s="15"/>
      <c r="BW13" s="11"/>
      <c r="BX13" s="11"/>
      <c r="BY13" s="11"/>
      <c r="BZ13" s="11"/>
      <c r="CA13" s="28" t="str">
        <f t="shared" si="0"/>
        <v/>
      </c>
      <c r="CB13" s="28"/>
      <c r="CC13" s="11"/>
      <c r="CD13" s="29"/>
      <c r="CE13" s="11"/>
      <c r="CF13" s="11"/>
      <c r="CG13" s="11"/>
      <c r="CH13" s="11"/>
      <c r="CI13" s="11"/>
      <c r="CJ13" s="11"/>
      <c r="CK13" s="11"/>
      <c r="CL13" s="28" t="str">
        <f t="shared" si="1"/>
        <v/>
      </c>
      <c r="CM13" s="28"/>
      <c r="CN13" s="11"/>
      <c r="CO13" s="29"/>
      <c r="CP13" s="11"/>
      <c r="CQ13" s="11"/>
      <c r="CR13" s="11"/>
      <c r="CS13" s="11"/>
      <c r="CT13" s="11"/>
      <c r="CU13" s="11"/>
      <c r="CV13" s="11"/>
      <c r="CW13" s="11"/>
      <c r="CX13" s="29"/>
      <c r="CY13" s="28"/>
      <c r="CZ13" s="11"/>
      <c r="DA13" s="11"/>
      <c r="DB13" s="11"/>
      <c r="DC13" s="29"/>
      <c r="DD13" s="28"/>
      <c r="DE13" s="11"/>
      <c r="DF13" s="11"/>
      <c r="DG13" s="11"/>
      <c r="DH13" s="29"/>
      <c r="DI13" s="28"/>
      <c r="DJ13" s="11"/>
      <c r="DK13" s="11"/>
      <c r="DL13" s="11"/>
      <c r="DM13" s="29"/>
      <c r="DN13" s="28"/>
      <c r="DO13" s="30" t="str">
        <f>IF(F13="","",IF(DP13="not a match","",IF(DP13="full_name",VLOOKUP(F13,'Internal -- Patent Countries'!B:I,5,FALSE),IF(DP13="polity_shortest_name",VLOOKUP(F13,'Internal -- Patent Countries'!C:I,4,FALSE),IF(DP13="polity_full_name",VLOOKUP(F13,'Internal -- Patent Countries'!D:I,3,FALSE),IF(DP13="polity_common_name",VLOOKUP(F13,'Internal -- Patent Countries'!E:I,2,FALSE),IF(DP13="shortest_name",F13)))))))</f>
        <v/>
      </c>
      <c r="DP13" s="30" t="str">
        <f>IF(F13="","",IF(COUNTIF('Internal -- Patent Countries'!B:B,F13)&gt;0,"full_name",IF(COUNTIF('Internal -- Patent Countries'!C:C,F13)&gt;0,"polity_shortest_name",IF(COUNTIF('Internal -- Patent Countries'!D:D,F13)&gt;0,"polity_full_name",IF(COUNTIF('Internal -- Patent Countries'!E:E,F13)&gt;0,"polity_common_name",IF(COUNTIF('Internal -- Patent Countries'!A:A,F13)&gt;0,"shortest_name","not a match"))))))</f>
        <v/>
      </c>
      <c r="DQ13" s="30"/>
      <c r="DR13" s="30"/>
      <c r="DS13" s="30"/>
      <c r="DT13" s="30"/>
      <c r="DU13" s="30"/>
      <c r="DV13" s="50" t="str">
        <f t="shared" si="2"/>
        <v/>
      </c>
      <c r="DW13" s="30" t="str">
        <f t="shared" si="3"/>
        <v/>
      </c>
    </row>
    <row r="14" spans="1:127" ht="16.5">
      <c r="A14" s="11"/>
      <c r="B14" s="11"/>
      <c r="C14" s="11"/>
      <c r="D14" s="27"/>
      <c r="E14" s="11"/>
      <c r="F14" s="29"/>
      <c r="G14" s="11"/>
      <c r="H14" s="11"/>
      <c r="I14" s="11"/>
      <c r="J14" s="15"/>
      <c r="K14" s="11"/>
      <c r="L14" s="15"/>
      <c r="M14" s="11"/>
      <c r="N14" s="15"/>
      <c r="O14" s="15"/>
      <c r="P14" s="11"/>
      <c r="Q14" s="11"/>
      <c r="R14" s="11"/>
      <c r="S14" s="15"/>
      <c r="T14" s="15"/>
      <c r="U14" s="15"/>
      <c r="V14" s="11"/>
      <c r="W14" s="29"/>
      <c r="X14" s="15"/>
      <c r="Y14" s="11"/>
      <c r="Z14" s="11"/>
      <c r="AA14" s="11"/>
      <c r="AB14" s="11"/>
      <c r="AC14" s="11"/>
      <c r="AD14" s="11"/>
      <c r="AE14" s="15"/>
      <c r="AF14" s="11"/>
      <c r="AG14" s="11"/>
      <c r="AH14" s="15"/>
      <c r="AI14" s="15"/>
      <c r="AJ14" s="15"/>
      <c r="AK14" s="11"/>
      <c r="AL14" s="15"/>
      <c r="AM14" s="11"/>
      <c r="AN14" s="11"/>
      <c r="AO14" s="15"/>
      <c r="AP14" s="11"/>
      <c r="AQ14" s="11"/>
      <c r="AR14" s="15"/>
      <c r="AS14" s="15"/>
      <c r="AT14" s="15"/>
      <c r="AU14" s="11"/>
      <c r="AV14" s="15"/>
      <c r="AW14" s="11"/>
      <c r="AX14" s="11"/>
      <c r="AY14" s="15"/>
      <c r="AZ14" s="11"/>
      <c r="BA14" s="11"/>
      <c r="BB14" s="15"/>
      <c r="BC14" s="15"/>
      <c r="BD14" s="15"/>
      <c r="BE14" s="11"/>
      <c r="BF14" s="15"/>
      <c r="BG14" s="11"/>
      <c r="BH14" s="11"/>
      <c r="BI14" s="15"/>
      <c r="BJ14" s="11"/>
      <c r="BK14" s="11"/>
      <c r="BL14" s="15"/>
      <c r="BM14" s="15"/>
      <c r="BN14" s="15"/>
      <c r="BO14" s="11"/>
      <c r="BP14" s="15"/>
      <c r="BQ14" s="11"/>
      <c r="BR14" s="11"/>
      <c r="BS14" s="15"/>
      <c r="BT14" s="11"/>
      <c r="BU14" s="11"/>
      <c r="BV14" s="15"/>
      <c r="BW14" s="11"/>
      <c r="BX14" s="11"/>
      <c r="BY14" s="11"/>
      <c r="BZ14" s="11"/>
      <c r="CA14" s="28" t="str">
        <f t="shared" si="0"/>
        <v/>
      </c>
      <c r="CB14" s="28"/>
      <c r="CC14" s="11"/>
      <c r="CD14" s="29"/>
      <c r="CE14" s="11"/>
      <c r="CF14" s="11"/>
      <c r="CG14" s="11"/>
      <c r="CH14" s="11"/>
      <c r="CI14" s="11"/>
      <c r="CJ14" s="11"/>
      <c r="CK14" s="11"/>
      <c r="CL14" s="28" t="str">
        <f t="shared" si="1"/>
        <v/>
      </c>
      <c r="CM14" s="28"/>
      <c r="CN14" s="11"/>
      <c r="CO14" s="29"/>
      <c r="CP14" s="11"/>
      <c r="CQ14" s="11"/>
      <c r="CR14" s="11"/>
      <c r="CS14" s="11"/>
      <c r="CT14" s="11"/>
      <c r="CU14" s="11"/>
      <c r="CV14" s="11"/>
      <c r="CW14" s="11"/>
      <c r="CX14" s="29"/>
      <c r="CY14" s="28"/>
      <c r="CZ14" s="11"/>
      <c r="DA14" s="11"/>
      <c r="DB14" s="11"/>
      <c r="DC14" s="29"/>
      <c r="DD14" s="28"/>
      <c r="DE14" s="11"/>
      <c r="DF14" s="11"/>
      <c r="DG14" s="11"/>
      <c r="DH14" s="29"/>
      <c r="DI14" s="28"/>
      <c r="DJ14" s="11"/>
      <c r="DK14" s="11"/>
      <c r="DL14" s="11"/>
      <c r="DM14" s="29"/>
      <c r="DN14" s="28"/>
      <c r="DO14" s="30" t="str">
        <f>IF(F14="","",IF(DP14="not a match","",IF(DP14="full_name",VLOOKUP(F14,'Internal -- Patent Countries'!B:I,5,FALSE),IF(DP14="polity_shortest_name",VLOOKUP(F14,'Internal -- Patent Countries'!C:I,4,FALSE),IF(DP14="polity_full_name",VLOOKUP(F14,'Internal -- Patent Countries'!D:I,3,FALSE),IF(DP14="polity_common_name",VLOOKUP(F14,'Internal -- Patent Countries'!E:I,2,FALSE),IF(DP14="shortest_name",F14)))))))</f>
        <v/>
      </c>
      <c r="DP14" s="30" t="str">
        <f>IF(F14="","",IF(COUNTIF('Internal -- Patent Countries'!B:B,F14)&gt;0,"full_name",IF(COUNTIF('Internal -- Patent Countries'!C:C,F14)&gt;0,"polity_shortest_name",IF(COUNTIF('Internal -- Patent Countries'!D:D,F14)&gt;0,"polity_full_name",IF(COUNTIF('Internal -- Patent Countries'!E:E,F14)&gt;0,"polity_common_name",IF(COUNTIF('Internal -- Patent Countries'!A:A,F14)&gt;0,"shortest_name","not a match"))))))</f>
        <v/>
      </c>
      <c r="DQ14" s="30"/>
      <c r="DR14" s="30"/>
      <c r="DS14" s="30"/>
      <c r="DT14" s="30"/>
      <c r="DU14" s="30"/>
      <c r="DV14" s="50" t="str">
        <f t="shared" si="2"/>
        <v/>
      </c>
      <c r="DW14" s="30" t="str">
        <f t="shared" si="3"/>
        <v/>
      </c>
    </row>
    <row r="15" spans="1:127" ht="16.5">
      <c r="A15" s="11"/>
      <c r="B15" s="11"/>
      <c r="C15" s="11"/>
      <c r="D15" s="27"/>
      <c r="E15" s="11"/>
      <c r="F15" s="29"/>
      <c r="G15" s="11"/>
      <c r="H15" s="11"/>
      <c r="I15" s="11"/>
      <c r="J15" s="15"/>
      <c r="K15" s="11"/>
      <c r="L15" s="15"/>
      <c r="M15" s="11"/>
      <c r="N15" s="15"/>
      <c r="O15" s="15"/>
      <c r="P15" s="11"/>
      <c r="Q15" s="11"/>
      <c r="R15" s="11"/>
      <c r="S15" s="15"/>
      <c r="T15" s="15"/>
      <c r="U15" s="15"/>
      <c r="V15" s="11"/>
      <c r="W15" s="29"/>
      <c r="X15" s="15"/>
      <c r="Y15" s="11"/>
      <c r="Z15" s="11"/>
      <c r="AA15" s="11"/>
      <c r="AB15" s="11"/>
      <c r="AC15" s="11"/>
      <c r="AD15" s="11"/>
      <c r="AE15" s="15"/>
      <c r="AF15" s="11"/>
      <c r="AG15" s="11"/>
      <c r="AH15" s="15"/>
      <c r="AI15" s="15"/>
      <c r="AJ15" s="15"/>
      <c r="AK15" s="11"/>
      <c r="AL15" s="15"/>
      <c r="AM15" s="11"/>
      <c r="AN15" s="11"/>
      <c r="AO15" s="15"/>
      <c r="AP15" s="11"/>
      <c r="AQ15" s="11"/>
      <c r="AR15" s="15"/>
      <c r="AS15" s="15"/>
      <c r="AT15" s="15"/>
      <c r="AU15" s="11"/>
      <c r="AV15" s="15"/>
      <c r="AW15" s="11"/>
      <c r="AX15" s="11"/>
      <c r="AY15" s="15"/>
      <c r="AZ15" s="11"/>
      <c r="BA15" s="11"/>
      <c r="BB15" s="15"/>
      <c r="BC15" s="15"/>
      <c r="BD15" s="15"/>
      <c r="BE15" s="11"/>
      <c r="BF15" s="15"/>
      <c r="BG15" s="11"/>
      <c r="BH15" s="11"/>
      <c r="BI15" s="15"/>
      <c r="BJ15" s="11"/>
      <c r="BK15" s="11"/>
      <c r="BL15" s="15"/>
      <c r="BM15" s="15"/>
      <c r="BN15" s="15"/>
      <c r="BO15" s="11"/>
      <c r="BP15" s="15"/>
      <c r="BQ15" s="11"/>
      <c r="BR15" s="11"/>
      <c r="BS15" s="15"/>
      <c r="BT15" s="11"/>
      <c r="BU15" s="11"/>
      <c r="BV15" s="15"/>
      <c r="BW15" s="11"/>
      <c r="BX15" s="11"/>
      <c r="BY15" s="11"/>
      <c r="BZ15" s="11"/>
      <c r="CA15" s="28" t="str">
        <f t="shared" si="0"/>
        <v/>
      </c>
      <c r="CB15" s="28"/>
      <c r="CC15" s="11"/>
      <c r="CD15" s="29"/>
      <c r="CE15" s="11"/>
      <c r="CF15" s="11"/>
      <c r="CG15" s="11"/>
      <c r="CH15" s="11"/>
      <c r="CI15" s="11"/>
      <c r="CJ15" s="11"/>
      <c r="CK15" s="11"/>
      <c r="CL15" s="28" t="str">
        <f t="shared" si="1"/>
        <v/>
      </c>
      <c r="CM15" s="28"/>
      <c r="CN15" s="11"/>
      <c r="CO15" s="29"/>
      <c r="CP15" s="11"/>
      <c r="CQ15" s="11"/>
      <c r="CR15" s="11"/>
      <c r="CS15" s="11"/>
      <c r="CT15" s="11"/>
      <c r="CU15" s="11"/>
      <c r="CV15" s="11"/>
      <c r="CW15" s="11"/>
      <c r="CX15" s="29"/>
      <c r="CY15" s="28"/>
      <c r="CZ15" s="11"/>
      <c r="DA15" s="11"/>
      <c r="DB15" s="11"/>
      <c r="DC15" s="29"/>
      <c r="DD15" s="28"/>
      <c r="DE15" s="11"/>
      <c r="DF15" s="11"/>
      <c r="DG15" s="11"/>
      <c r="DH15" s="29"/>
      <c r="DI15" s="28"/>
      <c r="DJ15" s="11"/>
      <c r="DK15" s="11"/>
      <c r="DL15" s="11"/>
      <c r="DM15" s="29"/>
      <c r="DN15" s="28"/>
      <c r="DO15" s="30" t="str">
        <f>IF(F15="","",IF(DP15="not a match","",IF(DP15="full_name",VLOOKUP(F15,'Internal -- Patent Countries'!B:I,5,FALSE),IF(DP15="polity_shortest_name",VLOOKUP(F15,'Internal -- Patent Countries'!C:I,4,FALSE),IF(DP15="polity_full_name",VLOOKUP(F15,'Internal -- Patent Countries'!D:I,3,FALSE),IF(DP15="polity_common_name",VLOOKUP(F15,'Internal -- Patent Countries'!E:I,2,FALSE),IF(DP15="shortest_name",F15)))))))</f>
        <v/>
      </c>
      <c r="DP15" s="30" t="str">
        <f>IF(F15="","",IF(COUNTIF('Internal -- Patent Countries'!B:B,F15)&gt;0,"full_name",IF(COUNTIF('Internal -- Patent Countries'!C:C,F15)&gt;0,"polity_shortest_name",IF(COUNTIF('Internal -- Patent Countries'!D:D,F15)&gt;0,"polity_full_name",IF(COUNTIF('Internal -- Patent Countries'!E:E,F15)&gt;0,"polity_common_name",IF(COUNTIF('Internal -- Patent Countries'!A:A,F15)&gt;0,"shortest_name","not a match"))))))</f>
        <v/>
      </c>
      <c r="DQ15" s="30"/>
      <c r="DR15" s="30"/>
      <c r="DS15" s="30"/>
      <c r="DT15" s="30"/>
      <c r="DU15" s="30"/>
      <c r="DV15" s="50" t="str">
        <f t="shared" si="2"/>
        <v/>
      </c>
      <c r="DW15" s="30" t="str">
        <f t="shared" si="3"/>
        <v/>
      </c>
    </row>
    <row r="16" spans="1:127" ht="16.5">
      <c r="A16" s="11"/>
      <c r="B16" s="11"/>
      <c r="C16" s="11"/>
      <c r="D16" s="27"/>
      <c r="E16" s="11"/>
      <c r="F16" s="29"/>
      <c r="G16" s="11"/>
      <c r="H16" s="11"/>
      <c r="I16" s="11"/>
      <c r="J16" s="15"/>
      <c r="K16" s="11"/>
      <c r="L16" s="15"/>
      <c r="M16" s="11"/>
      <c r="N16" s="15"/>
      <c r="O16" s="15"/>
      <c r="P16" s="11"/>
      <c r="Q16" s="11"/>
      <c r="R16" s="11"/>
      <c r="S16" s="15"/>
      <c r="T16" s="15"/>
      <c r="U16" s="15"/>
      <c r="V16" s="11"/>
      <c r="W16" s="29"/>
      <c r="X16" s="15"/>
      <c r="Y16" s="11"/>
      <c r="Z16" s="11"/>
      <c r="AA16" s="11"/>
      <c r="AB16" s="11"/>
      <c r="AC16" s="11"/>
      <c r="AD16" s="11"/>
      <c r="AE16" s="15"/>
      <c r="AF16" s="11"/>
      <c r="AG16" s="11"/>
      <c r="AH16" s="15"/>
      <c r="AI16" s="15"/>
      <c r="AJ16" s="15"/>
      <c r="AK16" s="11"/>
      <c r="AL16" s="15"/>
      <c r="AM16" s="11"/>
      <c r="AN16" s="11"/>
      <c r="AO16" s="15"/>
      <c r="AP16" s="11"/>
      <c r="AQ16" s="11"/>
      <c r="AR16" s="15"/>
      <c r="AS16" s="15"/>
      <c r="AT16" s="15"/>
      <c r="AU16" s="11"/>
      <c r="AV16" s="15"/>
      <c r="AW16" s="11"/>
      <c r="AX16" s="11"/>
      <c r="AY16" s="15"/>
      <c r="AZ16" s="11"/>
      <c r="BA16" s="11"/>
      <c r="BB16" s="15"/>
      <c r="BC16" s="15"/>
      <c r="BD16" s="15"/>
      <c r="BE16" s="11"/>
      <c r="BF16" s="15"/>
      <c r="BG16" s="11"/>
      <c r="BH16" s="11"/>
      <c r="BI16" s="15"/>
      <c r="BJ16" s="11"/>
      <c r="BK16" s="11"/>
      <c r="BL16" s="15"/>
      <c r="BM16" s="15"/>
      <c r="BN16" s="15"/>
      <c r="BO16" s="11"/>
      <c r="BP16" s="15"/>
      <c r="BQ16" s="11"/>
      <c r="BR16" s="11"/>
      <c r="BS16" s="15"/>
      <c r="BT16" s="11"/>
      <c r="BU16" s="11"/>
      <c r="BV16" s="15"/>
      <c r="BW16" s="11"/>
      <c r="BX16" s="11"/>
      <c r="BY16" s="11"/>
      <c r="BZ16" s="11"/>
      <c r="CA16" s="28" t="str">
        <f t="shared" si="0"/>
        <v/>
      </c>
      <c r="CB16" s="28"/>
      <c r="CC16" s="11"/>
      <c r="CD16" s="29"/>
      <c r="CE16" s="11"/>
      <c r="CF16" s="11"/>
      <c r="CG16" s="11"/>
      <c r="CH16" s="11"/>
      <c r="CI16" s="11"/>
      <c r="CJ16" s="11"/>
      <c r="CK16" s="11"/>
      <c r="CL16" s="28" t="str">
        <f t="shared" si="1"/>
        <v/>
      </c>
      <c r="CM16" s="28"/>
      <c r="CN16" s="11"/>
      <c r="CO16" s="29"/>
      <c r="CP16" s="11"/>
      <c r="CQ16" s="11"/>
      <c r="CR16" s="11"/>
      <c r="CS16" s="11"/>
      <c r="CT16" s="11"/>
      <c r="CU16" s="11"/>
      <c r="CV16" s="11"/>
      <c r="CW16" s="11"/>
      <c r="CX16" s="29"/>
      <c r="CY16" s="28"/>
      <c r="CZ16" s="11"/>
      <c r="DA16" s="11"/>
      <c r="DB16" s="11"/>
      <c r="DC16" s="29"/>
      <c r="DD16" s="28"/>
      <c r="DE16" s="11"/>
      <c r="DF16" s="11"/>
      <c r="DG16" s="11"/>
      <c r="DH16" s="29"/>
      <c r="DI16" s="28"/>
      <c r="DJ16" s="11"/>
      <c r="DK16" s="11"/>
      <c r="DL16" s="11"/>
      <c r="DM16" s="29"/>
      <c r="DN16" s="28"/>
      <c r="DO16" s="30" t="str">
        <f>IF(F16="","",IF(DP16="not a match","",IF(DP16="full_name",VLOOKUP(F16,'Internal -- Patent Countries'!B:I,5,FALSE),IF(DP16="polity_shortest_name",VLOOKUP(F16,'Internal -- Patent Countries'!C:I,4,FALSE),IF(DP16="polity_full_name",VLOOKUP(F16,'Internal -- Patent Countries'!D:I,3,FALSE),IF(DP16="polity_common_name",VLOOKUP(F16,'Internal -- Patent Countries'!E:I,2,FALSE),IF(DP16="shortest_name",F16)))))))</f>
        <v/>
      </c>
      <c r="DP16" s="30" t="str">
        <f>IF(F16="","",IF(COUNTIF('Internal -- Patent Countries'!B:B,F16)&gt;0,"full_name",IF(COUNTIF('Internal -- Patent Countries'!C:C,F16)&gt;0,"polity_shortest_name",IF(COUNTIF('Internal -- Patent Countries'!D:D,F16)&gt;0,"polity_full_name",IF(COUNTIF('Internal -- Patent Countries'!E:E,F16)&gt;0,"polity_common_name",IF(COUNTIF('Internal -- Patent Countries'!A:A,F16)&gt;0,"shortest_name","not a match"))))))</f>
        <v/>
      </c>
      <c r="DQ16" s="30"/>
      <c r="DR16" s="30"/>
      <c r="DS16" s="30"/>
      <c r="DT16" s="30"/>
      <c r="DU16" s="30"/>
      <c r="DV16" s="50" t="str">
        <f t="shared" si="2"/>
        <v/>
      </c>
      <c r="DW16" s="30" t="str">
        <f t="shared" si="3"/>
        <v/>
      </c>
    </row>
    <row r="17" spans="1:127" ht="16.5">
      <c r="A17" s="11"/>
      <c r="B17" s="11"/>
      <c r="C17" s="11"/>
      <c r="D17" s="27"/>
      <c r="E17" s="11"/>
      <c r="F17" s="29"/>
      <c r="G17" s="11"/>
      <c r="H17" s="11"/>
      <c r="I17" s="11"/>
      <c r="J17" s="15"/>
      <c r="K17" s="11"/>
      <c r="L17" s="15"/>
      <c r="M17" s="11"/>
      <c r="N17" s="15"/>
      <c r="O17" s="15"/>
      <c r="P17" s="11"/>
      <c r="Q17" s="11"/>
      <c r="R17" s="11"/>
      <c r="S17" s="15"/>
      <c r="T17" s="15"/>
      <c r="U17" s="15"/>
      <c r="V17" s="11"/>
      <c r="W17" s="29"/>
      <c r="X17" s="15"/>
      <c r="Y17" s="11"/>
      <c r="Z17" s="11"/>
      <c r="AA17" s="11"/>
      <c r="AB17" s="11"/>
      <c r="AC17" s="11"/>
      <c r="AD17" s="11"/>
      <c r="AE17" s="15"/>
      <c r="AF17" s="11"/>
      <c r="AG17" s="11"/>
      <c r="AH17" s="15"/>
      <c r="AI17" s="15"/>
      <c r="AJ17" s="15"/>
      <c r="AK17" s="11"/>
      <c r="AL17" s="15"/>
      <c r="AM17" s="11"/>
      <c r="AN17" s="11"/>
      <c r="AO17" s="15"/>
      <c r="AP17" s="11"/>
      <c r="AQ17" s="11"/>
      <c r="AR17" s="15"/>
      <c r="AS17" s="15"/>
      <c r="AT17" s="15"/>
      <c r="AU17" s="11"/>
      <c r="AV17" s="15"/>
      <c r="AW17" s="11"/>
      <c r="AX17" s="11"/>
      <c r="AY17" s="15"/>
      <c r="AZ17" s="11"/>
      <c r="BA17" s="11"/>
      <c r="BB17" s="15"/>
      <c r="BC17" s="15"/>
      <c r="BD17" s="15"/>
      <c r="BE17" s="11"/>
      <c r="BF17" s="15"/>
      <c r="BG17" s="11"/>
      <c r="BH17" s="11"/>
      <c r="BI17" s="15"/>
      <c r="BJ17" s="11"/>
      <c r="BK17" s="11"/>
      <c r="BL17" s="15"/>
      <c r="BM17" s="15"/>
      <c r="BN17" s="15"/>
      <c r="BO17" s="11"/>
      <c r="BP17" s="15"/>
      <c r="BQ17" s="11"/>
      <c r="BR17" s="11"/>
      <c r="BS17" s="15"/>
      <c r="BT17" s="11"/>
      <c r="BU17" s="11"/>
      <c r="BV17" s="15"/>
      <c r="BW17" s="11"/>
      <c r="BX17" s="11"/>
      <c r="BY17" s="11"/>
      <c r="BZ17" s="11"/>
      <c r="CA17" s="28" t="str">
        <f t="shared" si="0"/>
        <v/>
      </c>
      <c r="CB17" s="28"/>
      <c r="CC17" s="11"/>
      <c r="CD17" s="29"/>
      <c r="CE17" s="11"/>
      <c r="CF17" s="11"/>
      <c r="CG17" s="11"/>
      <c r="CH17" s="11"/>
      <c r="CI17" s="11"/>
      <c r="CJ17" s="11"/>
      <c r="CK17" s="11"/>
      <c r="CL17" s="28" t="str">
        <f t="shared" si="1"/>
        <v/>
      </c>
      <c r="CM17" s="28"/>
      <c r="CN17" s="11"/>
      <c r="CO17" s="29"/>
      <c r="CP17" s="11"/>
      <c r="CQ17" s="11"/>
      <c r="CR17" s="11"/>
      <c r="CS17" s="11"/>
      <c r="CT17" s="11"/>
      <c r="CU17" s="11"/>
      <c r="CV17" s="11"/>
      <c r="CW17" s="11"/>
      <c r="CX17" s="29"/>
      <c r="CY17" s="28"/>
      <c r="CZ17" s="11"/>
      <c r="DA17" s="11"/>
      <c r="DB17" s="11"/>
      <c r="DC17" s="29"/>
      <c r="DD17" s="28"/>
      <c r="DE17" s="11"/>
      <c r="DF17" s="11"/>
      <c r="DG17" s="11"/>
      <c r="DH17" s="29"/>
      <c r="DI17" s="28"/>
      <c r="DJ17" s="11"/>
      <c r="DK17" s="11"/>
      <c r="DL17" s="11"/>
      <c r="DM17" s="29"/>
      <c r="DN17" s="28"/>
      <c r="DO17" s="30" t="str">
        <f>IF(F17="","",IF(DP17="not a match","",IF(DP17="full_name",VLOOKUP(F17,'Internal -- Patent Countries'!B:I,5,FALSE),IF(DP17="polity_shortest_name",VLOOKUP(F17,'Internal -- Patent Countries'!C:I,4,FALSE),IF(DP17="polity_full_name",VLOOKUP(F17,'Internal -- Patent Countries'!D:I,3,FALSE),IF(DP17="polity_common_name",VLOOKUP(F17,'Internal -- Patent Countries'!E:I,2,FALSE),IF(DP17="shortest_name",F17)))))))</f>
        <v/>
      </c>
      <c r="DP17" s="30" t="str">
        <f>IF(F17="","",IF(COUNTIF('Internal -- Patent Countries'!B:B,F17)&gt;0,"full_name",IF(COUNTIF('Internal -- Patent Countries'!C:C,F17)&gt;0,"polity_shortest_name",IF(COUNTIF('Internal -- Patent Countries'!D:D,F17)&gt;0,"polity_full_name",IF(COUNTIF('Internal -- Patent Countries'!E:E,F17)&gt;0,"polity_common_name",IF(COUNTIF('Internal -- Patent Countries'!A:A,F17)&gt;0,"shortest_name","not a match"))))))</f>
        <v/>
      </c>
      <c r="DQ17" s="30"/>
      <c r="DR17" s="30"/>
      <c r="DS17" s="30"/>
      <c r="DT17" s="30"/>
      <c r="DU17" s="30"/>
      <c r="DV17" s="50" t="str">
        <f t="shared" si="2"/>
        <v/>
      </c>
      <c r="DW17" s="30" t="str">
        <f t="shared" si="3"/>
        <v/>
      </c>
    </row>
    <row r="18" spans="1:127" ht="16.5">
      <c r="A18" s="11"/>
      <c r="B18" s="11"/>
      <c r="C18" s="11"/>
      <c r="D18" s="27"/>
      <c r="E18" s="11"/>
      <c r="F18" s="29"/>
      <c r="G18" s="11"/>
      <c r="H18" s="11"/>
      <c r="I18" s="11"/>
      <c r="J18" s="15"/>
      <c r="K18" s="11"/>
      <c r="L18" s="15"/>
      <c r="M18" s="11"/>
      <c r="N18" s="15"/>
      <c r="O18" s="15"/>
      <c r="P18" s="11"/>
      <c r="Q18" s="11"/>
      <c r="R18" s="11"/>
      <c r="S18" s="15"/>
      <c r="T18" s="15"/>
      <c r="U18" s="15"/>
      <c r="V18" s="11"/>
      <c r="W18" s="29"/>
      <c r="X18" s="15"/>
      <c r="Y18" s="11"/>
      <c r="Z18" s="11"/>
      <c r="AA18" s="11"/>
      <c r="AB18" s="11"/>
      <c r="AC18" s="11"/>
      <c r="AD18" s="11"/>
      <c r="AE18" s="15"/>
      <c r="AF18" s="11"/>
      <c r="AG18" s="11"/>
      <c r="AH18" s="15"/>
      <c r="AI18" s="15"/>
      <c r="AJ18" s="15"/>
      <c r="AK18" s="11"/>
      <c r="AL18" s="15"/>
      <c r="AM18" s="11"/>
      <c r="AN18" s="11"/>
      <c r="AO18" s="15"/>
      <c r="AP18" s="11"/>
      <c r="AQ18" s="11"/>
      <c r="AR18" s="15"/>
      <c r="AS18" s="15"/>
      <c r="AT18" s="15"/>
      <c r="AU18" s="11"/>
      <c r="AV18" s="15"/>
      <c r="AW18" s="11"/>
      <c r="AX18" s="11"/>
      <c r="AY18" s="15"/>
      <c r="AZ18" s="11"/>
      <c r="BA18" s="11"/>
      <c r="BB18" s="15"/>
      <c r="BC18" s="15"/>
      <c r="BD18" s="15"/>
      <c r="BE18" s="11"/>
      <c r="BF18" s="15"/>
      <c r="BG18" s="11"/>
      <c r="BH18" s="11"/>
      <c r="BI18" s="15"/>
      <c r="BJ18" s="11"/>
      <c r="BK18" s="11"/>
      <c r="BL18" s="15"/>
      <c r="BM18" s="15"/>
      <c r="BN18" s="15"/>
      <c r="BO18" s="11"/>
      <c r="BP18" s="15"/>
      <c r="BQ18" s="11"/>
      <c r="BR18" s="11"/>
      <c r="BS18" s="15"/>
      <c r="BT18" s="11"/>
      <c r="BU18" s="11"/>
      <c r="BV18" s="15"/>
      <c r="BW18" s="11"/>
      <c r="BX18" s="11"/>
      <c r="BY18" s="11"/>
      <c r="BZ18" s="11"/>
      <c r="CA18" s="28" t="str">
        <f t="shared" si="0"/>
        <v/>
      </c>
      <c r="CB18" s="28"/>
      <c r="CC18" s="11"/>
      <c r="CD18" s="29"/>
      <c r="CE18" s="11"/>
      <c r="CF18" s="11"/>
      <c r="CG18" s="11"/>
      <c r="CH18" s="11"/>
      <c r="CI18" s="11"/>
      <c r="CJ18" s="11"/>
      <c r="CK18" s="11"/>
      <c r="CL18" s="28" t="str">
        <f t="shared" si="1"/>
        <v/>
      </c>
      <c r="CM18" s="28"/>
      <c r="CN18" s="11"/>
      <c r="CO18" s="29"/>
      <c r="CP18" s="11"/>
      <c r="CQ18" s="11"/>
      <c r="CR18" s="11"/>
      <c r="CS18" s="11"/>
      <c r="CT18" s="11"/>
      <c r="CU18" s="11"/>
      <c r="CV18" s="11"/>
      <c r="CW18" s="11"/>
      <c r="CX18" s="29"/>
      <c r="CY18" s="28"/>
      <c r="CZ18" s="11"/>
      <c r="DA18" s="11"/>
      <c r="DB18" s="11"/>
      <c r="DC18" s="29"/>
      <c r="DD18" s="28"/>
      <c r="DE18" s="11"/>
      <c r="DF18" s="11"/>
      <c r="DG18" s="11"/>
      <c r="DH18" s="29"/>
      <c r="DI18" s="28"/>
      <c r="DJ18" s="11"/>
      <c r="DK18" s="11"/>
      <c r="DL18" s="11"/>
      <c r="DM18" s="29"/>
      <c r="DN18" s="28"/>
      <c r="DO18" s="30" t="str">
        <f>IF(F18="","",IF(DP18="not a match","",IF(DP18="full_name",VLOOKUP(F18,'Internal -- Patent Countries'!B:I,5,FALSE),IF(DP18="polity_shortest_name",VLOOKUP(F18,'Internal -- Patent Countries'!C:I,4,FALSE),IF(DP18="polity_full_name",VLOOKUP(F18,'Internal -- Patent Countries'!D:I,3,FALSE),IF(DP18="polity_common_name",VLOOKUP(F18,'Internal -- Patent Countries'!E:I,2,FALSE),IF(DP18="shortest_name",F18)))))))</f>
        <v/>
      </c>
      <c r="DP18" s="30" t="str">
        <f>IF(F18="","",IF(COUNTIF('Internal -- Patent Countries'!B:B,F18)&gt;0,"full_name",IF(COUNTIF('Internal -- Patent Countries'!C:C,F18)&gt;0,"polity_shortest_name",IF(COUNTIF('Internal -- Patent Countries'!D:D,F18)&gt;0,"polity_full_name",IF(COUNTIF('Internal -- Patent Countries'!E:E,F18)&gt;0,"polity_common_name",IF(COUNTIF('Internal -- Patent Countries'!A:A,F18)&gt;0,"shortest_name","not a match"))))))</f>
        <v/>
      </c>
      <c r="DQ18" s="30"/>
      <c r="DR18" s="30"/>
      <c r="DS18" s="30"/>
      <c r="DT18" s="30"/>
      <c r="DU18" s="30"/>
      <c r="DV18" s="50" t="str">
        <f t="shared" si="2"/>
        <v/>
      </c>
      <c r="DW18" s="30" t="str">
        <f t="shared" si="3"/>
        <v/>
      </c>
    </row>
    <row r="19" spans="1:127" ht="16.5">
      <c r="A19" s="11"/>
      <c r="B19" s="11"/>
      <c r="C19" s="11"/>
      <c r="D19" s="27"/>
      <c r="E19" s="11"/>
      <c r="F19" s="29"/>
      <c r="G19" s="11"/>
      <c r="H19" s="11"/>
      <c r="I19" s="11"/>
      <c r="J19" s="15"/>
      <c r="K19" s="11"/>
      <c r="L19" s="15"/>
      <c r="M19" s="11"/>
      <c r="N19" s="15"/>
      <c r="O19" s="15"/>
      <c r="P19" s="11"/>
      <c r="Q19" s="11"/>
      <c r="R19" s="11"/>
      <c r="S19" s="15"/>
      <c r="T19" s="15"/>
      <c r="U19" s="15"/>
      <c r="V19" s="11"/>
      <c r="W19" s="29"/>
      <c r="X19" s="15"/>
      <c r="Y19" s="11"/>
      <c r="Z19" s="11"/>
      <c r="AA19" s="11"/>
      <c r="AB19" s="11"/>
      <c r="AC19" s="11"/>
      <c r="AD19" s="11"/>
      <c r="AE19" s="15"/>
      <c r="AF19" s="11"/>
      <c r="AG19" s="11"/>
      <c r="AH19" s="15"/>
      <c r="AI19" s="15"/>
      <c r="AJ19" s="15"/>
      <c r="AK19" s="11"/>
      <c r="AL19" s="15"/>
      <c r="AM19" s="11"/>
      <c r="AN19" s="11"/>
      <c r="AO19" s="15"/>
      <c r="AP19" s="11"/>
      <c r="AQ19" s="11"/>
      <c r="AR19" s="15"/>
      <c r="AS19" s="15"/>
      <c r="AT19" s="15"/>
      <c r="AU19" s="11"/>
      <c r="AV19" s="15"/>
      <c r="AW19" s="11"/>
      <c r="AX19" s="11"/>
      <c r="AY19" s="15"/>
      <c r="AZ19" s="11"/>
      <c r="BA19" s="11"/>
      <c r="BB19" s="15"/>
      <c r="BC19" s="15"/>
      <c r="BD19" s="15"/>
      <c r="BE19" s="11"/>
      <c r="BF19" s="15"/>
      <c r="BG19" s="11"/>
      <c r="BH19" s="11"/>
      <c r="BI19" s="15"/>
      <c r="BJ19" s="11"/>
      <c r="BK19" s="11"/>
      <c r="BL19" s="15"/>
      <c r="BM19" s="15"/>
      <c r="BN19" s="15"/>
      <c r="BO19" s="11"/>
      <c r="BP19" s="15"/>
      <c r="BQ19" s="11"/>
      <c r="BR19" s="11"/>
      <c r="BS19" s="15"/>
      <c r="BT19" s="11"/>
      <c r="BU19" s="11"/>
      <c r="BV19" s="15"/>
      <c r="BW19" s="11"/>
      <c r="BX19" s="11"/>
      <c r="BY19" s="11"/>
      <c r="BZ19" s="11"/>
      <c r="CA19" s="28" t="str">
        <f t="shared" si="0"/>
        <v/>
      </c>
      <c r="CB19" s="28"/>
      <c r="CC19" s="11"/>
      <c r="CD19" s="29"/>
      <c r="CE19" s="11"/>
      <c r="CF19" s="11"/>
      <c r="CG19" s="11"/>
      <c r="CH19" s="11"/>
      <c r="CI19" s="11"/>
      <c r="CJ19" s="11"/>
      <c r="CK19" s="11"/>
      <c r="CL19" s="28" t="str">
        <f t="shared" si="1"/>
        <v/>
      </c>
      <c r="CM19" s="28"/>
      <c r="CN19" s="11"/>
      <c r="CO19" s="29"/>
      <c r="CP19" s="11"/>
      <c r="CQ19" s="11"/>
      <c r="CR19" s="11"/>
      <c r="CS19" s="11"/>
      <c r="CT19" s="11"/>
      <c r="CU19" s="11"/>
      <c r="CV19" s="11"/>
      <c r="CW19" s="11"/>
      <c r="CX19" s="29"/>
      <c r="CY19" s="28"/>
      <c r="CZ19" s="11"/>
      <c r="DA19" s="11"/>
      <c r="DB19" s="11"/>
      <c r="DC19" s="29"/>
      <c r="DD19" s="28"/>
      <c r="DE19" s="11"/>
      <c r="DF19" s="11"/>
      <c r="DG19" s="11"/>
      <c r="DH19" s="29"/>
      <c r="DI19" s="28"/>
      <c r="DJ19" s="11"/>
      <c r="DK19" s="11"/>
      <c r="DL19" s="11"/>
      <c r="DM19" s="29"/>
      <c r="DN19" s="28"/>
      <c r="DO19" s="30" t="str">
        <f>IF(F19="","",IF(DP19="not a match","",IF(DP19="full_name",VLOOKUP(F19,'Internal -- Patent Countries'!B:I,5,FALSE),IF(DP19="polity_shortest_name",VLOOKUP(F19,'Internal -- Patent Countries'!C:I,4,FALSE),IF(DP19="polity_full_name",VLOOKUP(F19,'Internal -- Patent Countries'!D:I,3,FALSE),IF(DP19="polity_common_name",VLOOKUP(F19,'Internal -- Patent Countries'!E:I,2,FALSE),IF(DP19="shortest_name",F19)))))))</f>
        <v/>
      </c>
      <c r="DP19" s="30" t="str">
        <f>IF(F19="","",IF(COUNTIF('Internal -- Patent Countries'!B:B,F19)&gt;0,"full_name",IF(COUNTIF('Internal -- Patent Countries'!C:C,F19)&gt;0,"polity_shortest_name",IF(COUNTIF('Internal -- Patent Countries'!D:D,F19)&gt;0,"polity_full_name",IF(COUNTIF('Internal -- Patent Countries'!E:E,F19)&gt;0,"polity_common_name",IF(COUNTIF('Internal -- Patent Countries'!A:A,F19)&gt;0,"shortest_name","not a match"))))))</f>
        <v/>
      </c>
      <c r="DQ19" s="30"/>
      <c r="DR19" s="30"/>
      <c r="DS19" s="30"/>
      <c r="DT19" s="30"/>
      <c r="DU19" s="30"/>
      <c r="DV19" s="50" t="str">
        <f t="shared" si="2"/>
        <v/>
      </c>
      <c r="DW19" s="30" t="str">
        <f t="shared" si="3"/>
        <v/>
      </c>
    </row>
    <row r="20" spans="1:127" ht="16.5">
      <c r="A20" s="11"/>
      <c r="B20" s="11"/>
      <c r="C20" s="11"/>
      <c r="D20" s="27"/>
      <c r="E20" s="11"/>
      <c r="F20" s="29"/>
      <c r="G20" s="11"/>
      <c r="H20" s="11"/>
      <c r="I20" s="11"/>
      <c r="J20" s="15"/>
      <c r="K20" s="11"/>
      <c r="L20" s="15"/>
      <c r="M20" s="11"/>
      <c r="N20" s="15"/>
      <c r="O20" s="15"/>
      <c r="P20" s="11"/>
      <c r="Q20" s="11"/>
      <c r="R20" s="11"/>
      <c r="S20" s="15"/>
      <c r="T20" s="15"/>
      <c r="U20" s="15"/>
      <c r="V20" s="11"/>
      <c r="W20" s="29"/>
      <c r="X20" s="15"/>
      <c r="Y20" s="11"/>
      <c r="Z20" s="11"/>
      <c r="AA20" s="11"/>
      <c r="AB20" s="11"/>
      <c r="AC20" s="11"/>
      <c r="AD20" s="11"/>
      <c r="AE20" s="15"/>
      <c r="AF20" s="11"/>
      <c r="AG20" s="11"/>
      <c r="AH20" s="15"/>
      <c r="AI20" s="15"/>
      <c r="AJ20" s="15"/>
      <c r="AK20" s="11"/>
      <c r="AL20" s="15"/>
      <c r="AM20" s="11"/>
      <c r="AN20" s="11"/>
      <c r="AO20" s="15"/>
      <c r="AP20" s="11"/>
      <c r="AQ20" s="11"/>
      <c r="AR20" s="15"/>
      <c r="AS20" s="15"/>
      <c r="AT20" s="15"/>
      <c r="AU20" s="11"/>
      <c r="AV20" s="15"/>
      <c r="AW20" s="11"/>
      <c r="AX20" s="11"/>
      <c r="AY20" s="15"/>
      <c r="AZ20" s="11"/>
      <c r="BA20" s="11"/>
      <c r="BB20" s="15"/>
      <c r="BC20" s="15"/>
      <c r="BD20" s="15"/>
      <c r="BE20" s="11"/>
      <c r="BF20" s="15"/>
      <c r="BG20" s="11"/>
      <c r="BH20" s="11"/>
      <c r="BI20" s="15"/>
      <c r="BJ20" s="11"/>
      <c r="BK20" s="11"/>
      <c r="BL20" s="15"/>
      <c r="BM20" s="15"/>
      <c r="BN20" s="15"/>
      <c r="BO20" s="11"/>
      <c r="BP20" s="15"/>
      <c r="BQ20" s="11"/>
      <c r="BR20" s="11"/>
      <c r="BS20" s="15"/>
      <c r="BT20" s="11"/>
      <c r="BU20" s="11"/>
      <c r="BV20" s="15"/>
      <c r="BW20" s="11"/>
      <c r="BX20" s="11"/>
      <c r="BY20" s="11"/>
      <c r="BZ20" s="11"/>
      <c r="CA20" s="28" t="str">
        <f t="shared" si="0"/>
        <v/>
      </c>
      <c r="CB20" s="28"/>
      <c r="CC20" s="11"/>
      <c r="CD20" s="29"/>
      <c r="CE20" s="11"/>
      <c r="CF20" s="11"/>
      <c r="CG20" s="11"/>
      <c r="CH20" s="11"/>
      <c r="CI20" s="11"/>
      <c r="CJ20" s="11"/>
      <c r="CK20" s="11"/>
      <c r="CL20" s="28" t="str">
        <f t="shared" si="1"/>
        <v/>
      </c>
      <c r="CM20" s="28"/>
      <c r="CN20" s="11"/>
      <c r="CO20" s="29"/>
      <c r="CP20" s="11"/>
      <c r="CQ20" s="11"/>
      <c r="CR20" s="11"/>
      <c r="CS20" s="11"/>
      <c r="CT20" s="11"/>
      <c r="CU20" s="11"/>
      <c r="CV20" s="11"/>
      <c r="CW20" s="11"/>
      <c r="CX20" s="29"/>
      <c r="CY20" s="28"/>
      <c r="CZ20" s="11"/>
      <c r="DA20" s="11"/>
      <c r="DB20" s="11"/>
      <c r="DC20" s="29"/>
      <c r="DD20" s="28"/>
      <c r="DE20" s="11"/>
      <c r="DF20" s="11"/>
      <c r="DG20" s="11"/>
      <c r="DH20" s="29"/>
      <c r="DI20" s="28"/>
      <c r="DJ20" s="11"/>
      <c r="DK20" s="11"/>
      <c r="DL20" s="11"/>
      <c r="DM20" s="29"/>
      <c r="DN20" s="28"/>
      <c r="DO20" s="30" t="str">
        <f>IF(F20="","",IF(DP20="not a match","",IF(DP20="full_name",VLOOKUP(F20,'Internal -- Patent Countries'!B:I,5,FALSE),IF(DP20="polity_shortest_name",VLOOKUP(F20,'Internal -- Patent Countries'!C:I,4,FALSE),IF(DP20="polity_full_name",VLOOKUP(F20,'Internal -- Patent Countries'!D:I,3,FALSE),IF(DP20="polity_common_name",VLOOKUP(F20,'Internal -- Patent Countries'!E:I,2,FALSE),IF(DP20="shortest_name",F20)))))))</f>
        <v/>
      </c>
      <c r="DP20" s="30" t="str">
        <f>IF(F20="","",IF(COUNTIF('Internal -- Patent Countries'!B:B,F20)&gt;0,"full_name",IF(COUNTIF('Internal -- Patent Countries'!C:C,F20)&gt;0,"polity_shortest_name",IF(COUNTIF('Internal -- Patent Countries'!D:D,F20)&gt;0,"polity_full_name",IF(COUNTIF('Internal -- Patent Countries'!E:E,F20)&gt;0,"polity_common_name",IF(COUNTIF('Internal -- Patent Countries'!A:A,F20)&gt;0,"shortest_name","not a match"))))))</f>
        <v/>
      </c>
      <c r="DQ20" s="30"/>
      <c r="DR20" s="30"/>
      <c r="DS20" s="30"/>
      <c r="DT20" s="30"/>
      <c r="DU20" s="30"/>
      <c r="DV20" s="50" t="str">
        <f t="shared" si="2"/>
        <v/>
      </c>
      <c r="DW20" s="30" t="str">
        <f t="shared" si="3"/>
        <v/>
      </c>
    </row>
    <row r="21" spans="1:127" ht="16.5">
      <c r="A21" s="11"/>
      <c r="B21" s="11"/>
      <c r="C21" s="11"/>
      <c r="D21" s="27"/>
      <c r="E21" s="11"/>
      <c r="F21" s="29"/>
      <c r="G21" s="11"/>
      <c r="H21" s="11"/>
      <c r="I21" s="11"/>
      <c r="J21" s="15"/>
      <c r="K21" s="11"/>
      <c r="L21" s="15"/>
      <c r="M21" s="11"/>
      <c r="N21" s="15"/>
      <c r="O21" s="15"/>
      <c r="P21" s="11"/>
      <c r="Q21" s="11"/>
      <c r="R21" s="11"/>
      <c r="S21" s="15"/>
      <c r="T21" s="15"/>
      <c r="U21" s="15"/>
      <c r="V21" s="11"/>
      <c r="W21" s="29"/>
      <c r="X21" s="15"/>
      <c r="Y21" s="11"/>
      <c r="Z21" s="11"/>
      <c r="AA21" s="11"/>
      <c r="AB21" s="11"/>
      <c r="AC21" s="11"/>
      <c r="AD21" s="11"/>
      <c r="AE21" s="15"/>
      <c r="AF21" s="11"/>
      <c r="AG21" s="11"/>
      <c r="AH21" s="15"/>
      <c r="AI21" s="15"/>
      <c r="AJ21" s="15"/>
      <c r="AK21" s="11"/>
      <c r="AL21" s="15"/>
      <c r="AM21" s="11"/>
      <c r="AN21" s="11"/>
      <c r="AO21" s="15"/>
      <c r="AP21" s="11"/>
      <c r="AQ21" s="11"/>
      <c r="AR21" s="15"/>
      <c r="AS21" s="15"/>
      <c r="AT21" s="15"/>
      <c r="AU21" s="11"/>
      <c r="AV21" s="15"/>
      <c r="AW21" s="11"/>
      <c r="AX21" s="11"/>
      <c r="AY21" s="15"/>
      <c r="AZ21" s="11"/>
      <c r="BA21" s="11"/>
      <c r="BB21" s="15"/>
      <c r="BC21" s="15"/>
      <c r="BD21" s="15"/>
      <c r="BE21" s="11"/>
      <c r="BF21" s="15"/>
      <c r="BG21" s="11"/>
      <c r="BH21" s="11"/>
      <c r="BI21" s="15"/>
      <c r="BJ21" s="11"/>
      <c r="BK21" s="11"/>
      <c r="BL21" s="15"/>
      <c r="BM21" s="15"/>
      <c r="BN21" s="15"/>
      <c r="BO21" s="11"/>
      <c r="BP21" s="15"/>
      <c r="BQ21" s="11"/>
      <c r="BR21" s="11"/>
      <c r="BS21" s="15"/>
      <c r="BT21" s="11"/>
      <c r="BU21" s="11"/>
      <c r="BV21" s="15"/>
      <c r="BW21" s="11"/>
      <c r="BX21" s="11"/>
      <c r="BY21" s="11"/>
      <c r="BZ21" s="11"/>
      <c r="CA21" s="28" t="str">
        <f t="shared" si="0"/>
        <v/>
      </c>
      <c r="CB21" s="28"/>
      <c r="CC21" s="11"/>
      <c r="CD21" s="29"/>
      <c r="CE21" s="11"/>
      <c r="CF21" s="11"/>
      <c r="CG21" s="11"/>
      <c r="CH21" s="11"/>
      <c r="CI21" s="11"/>
      <c r="CJ21" s="11"/>
      <c r="CK21" s="11"/>
      <c r="CL21" s="28" t="str">
        <f t="shared" si="1"/>
        <v/>
      </c>
      <c r="CM21" s="28"/>
      <c r="CN21" s="11"/>
      <c r="CO21" s="29"/>
      <c r="CP21" s="11"/>
      <c r="CQ21" s="11"/>
      <c r="CR21" s="11"/>
      <c r="CS21" s="11"/>
      <c r="CT21" s="11"/>
      <c r="CU21" s="11"/>
      <c r="CV21" s="11"/>
      <c r="CW21" s="11"/>
      <c r="CX21" s="29"/>
      <c r="CY21" s="28"/>
      <c r="CZ21" s="11"/>
      <c r="DA21" s="11"/>
      <c r="DB21" s="11"/>
      <c r="DC21" s="29"/>
      <c r="DD21" s="28"/>
      <c r="DE21" s="11"/>
      <c r="DF21" s="11"/>
      <c r="DG21" s="11"/>
      <c r="DH21" s="29"/>
      <c r="DI21" s="28"/>
      <c r="DJ21" s="11"/>
      <c r="DK21" s="11"/>
      <c r="DL21" s="11"/>
      <c r="DM21" s="29"/>
      <c r="DN21" s="28"/>
      <c r="DO21" s="30" t="str">
        <f>IF(F21="","",IF(DP21="not a match","",IF(DP21="full_name",VLOOKUP(F21,'Internal -- Patent Countries'!B:I,5,FALSE),IF(DP21="polity_shortest_name",VLOOKUP(F21,'Internal -- Patent Countries'!C:I,4,FALSE),IF(DP21="polity_full_name",VLOOKUP(F21,'Internal -- Patent Countries'!D:I,3,FALSE),IF(DP21="polity_common_name",VLOOKUP(F21,'Internal -- Patent Countries'!E:I,2,FALSE),IF(DP21="shortest_name",F21)))))))</f>
        <v/>
      </c>
      <c r="DP21" s="30" t="str">
        <f>IF(F21="","",IF(COUNTIF('Internal -- Patent Countries'!B:B,F21)&gt;0,"full_name",IF(COUNTIF('Internal -- Patent Countries'!C:C,F21)&gt;0,"polity_shortest_name",IF(COUNTIF('Internal -- Patent Countries'!D:D,F21)&gt;0,"polity_full_name",IF(COUNTIF('Internal -- Patent Countries'!E:E,F21)&gt;0,"polity_common_name",IF(COUNTIF('Internal -- Patent Countries'!A:A,F21)&gt;0,"shortest_name","not a match"))))))</f>
        <v/>
      </c>
      <c r="DQ21" s="30"/>
      <c r="DR21" s="30"/>
      <c r="DS21" s="30"/>
      <c r="DT21" s="30"/>
      <c r="DU21" s="30"/>
      <c r="DV21" s="50" t="str">
        <f t="shared" si="2"/>
        <v/>
      </c>
      <c r="DW21" s="30" t="str">
        <f t="shared" si="3"/>
        <v/>
      </c>
    </row>
    <row r="22" spans="1:127" ht="16.5">
      <c r="A22" s="11"/>
      <c r="B22" s="11"/>
      <c r="C22" s="11"/>
      <c r="D22" s="27"/>
      <c r="E22" s="11"/>
      <c r="F22" s="29"/>
      <c r="G22" s="11"/>
      <c r="H22" s="11"/>
      <c r="I22" s="11"/>
      <c r="J22" s="15"/>
      <c r="K22" s="11"/>
      <c r="L22" s="15"/>
      <c r="M22" s="11"/>
      <c r="N22" s="15"/>
      <c r="O22" s="15"/>
      <c r="P22" s="11"/>
      <c r="Q22" s="11"/>
      <c r="R22" s="11"/>
      <c r="S22" s="15"/>
      <c r="T22" s="15"/>
      <c r="U22" s="15"/>
      <c r="V22" s="11"/>
      <c r="W22" s="29"/>
      <c r="X22" s="15"/>
      <c r="Y22" s="11"/>
      <c r="Z22" s="11"/>
      <c r="AA22" s="11"/>
      <c r="AB22" s="11"/>
      <c r="AC22" s="11"/>
      <c r="AD22" s="11"/>
      <c r="AE22" s="15"/>
      <c r="AF22" s="11"/>
      <c r="AG22" s="11"/>
      <c r="AH22" s="15"/>
      <c r="AI22" s="15"/>
      <c r="AJ22" s="15"/>
      <c r="AK22" s="11"/>
      <c r="AL22" s="15"/>
      <c r="AM22" s="11"/>
      <c r="AN22" s="11"/>
      <c r="AO22" s="15"/>
      <c r="AP22" s="11"/>
      <c r="AQ22" s="11"/>
      <c r="AR22" s="15"/>
      <c r="AS22" s="15"/>
      <c r="AT22" s="15"/>
      <c r="AU22" s="11"/>
      <c r="AV22" s="15"/>
      <c r="AW22" s="11"/>
      <c r="AX22" s="11"/>
      <c r="AY22" s="15"/>
      <c r="AZ22" s="11"/>
      <c r="BA22" s="11"/>
      <c r="BB22" s="15"/>
      <c r="BC22" s="15"/>
      <c r="BD22" s="15"/>
      <c r="BE22" s="11"/>
      <c r="BF22" s="15"/>
      <c r="BG22" s="11"/>
      <c r="BH22" s="11"/>
      <c r="BI22" s="15"/>
      <c r="BJ22" s="11"/>
      <c r="BK22" s="11"/>
      <c r="BL22" s="15"/>
      <c r="BM22" s="15"/>
      <c r="BN22" s="15"/>
      <c r="BO22" s="11"/>
      <c r="BP22" s="15"/>
      <c r="BQ22" s="11"/>
      <c r="BR22" s="11"/>
      <c r="BS22" s="15"/>
      <c r="BT22" s="11"/>
      <c r="BU22" s="11"/>
      <c r="BV22" s="15"/>
      <c r="BW22" s="11"/>
      <c r="BX22" s="11"/>
      <c r="BY22" s="11"/>
      <c r="BZ22" s="11"/>
      <c r="CA22" s="28" t="str">
        <f t="shared" si="0"/>
        <v/>
      </c>
      <c r="CB22" s="28"/>
      <c r="CC22" s="11"/>
      <c r="CD22" s="29"/>
      <c r="CE22" s="11"/>
      <c r="CF22" s="11"/>
      <c r="CG22" s="11"/>
      <c r="CH22" s="11"/>
      <c r="CI22" s="11"/>
      <c r="CJ22" s="11"/>
      <c r="CK22" s="11"/>
      <c r="CL22" s="28" t="str">
        <f t="shared" si="1"/>
        <v/>
      </c>
      <c r="CM22" s="28"/>
      <c r="CN22" s="11"/>
      <c r="CO22" s="29"/>
      <c r="CP22" s="11"/>
      <c r="CQ22" s="11"/>
      <c r="CR22" s="11"/>
      <c r="CS22" s="11"/>
      <c r="CT22" s="11"/>
      <c r="CU22" s="11"/>
      <c r="CV22" s="11"/>
      <c r="CW22" s="11"/>
      <c r="CX22" s="29"/>
      <c r="CY22" s="28"/>
      <c r="CZ22" s="11"/>
      <c r="DA22" s="11"/>
      <c r="DB22" s="11"/>
      <c r="DC22" s="29"/>
      <c r="DD22" s="28"/>
      <c r="DE22" s="11"/>
      <c r="DF22" s="11"/>
      <c r="DG22" s="11"/>
      <c r="DH22" s="29"/>
      <c r="DI22" s="28"/>
      <c r="DJ22" s="11"/>
      <c r="DK22" s="11"/>
      <c r="DL22" s="11"/>
      <c r="DM22" s="29"/>
      <c r="DN22" s="28"/>
      <c r="DO22" s="30" t="str">
        <f>IF(F22="","",IF(DP22="not a match","",IF(DP22="full_name",VLOOKUP(F22,'Internal -- Patent Countries'!B:I,5,FALSE),IF(DP22="polity_shortest_name",VLOOKUP(F22,'Internal -- Patent Countries'!C:I,4,FALSE),IF(DP22="polity_full_name",VLOOKUP(F22,'Internal -- Patent Countries'!D:I,3,FALSE),IF(DP22="polity_common_name",VLOOKUP(F22,'Internal -- Patent Countries'!E:I,2,FALSE),IF(DP22="shortest_name",F22)))))))</f>
        <v/>
      </c>
      <c r="DP22" s="30" t="str">
        <f>IF(F22="","",IF(COUNTIF('Internal -- Patent Countries'!B:B,F22)&gt;0,"full_name",IF(COUNTIF('Internal -- Patent Countries'!C:C,F22)&gt;0,"polity_shortest_name",IF(COUNTIF('Internal -- Patent Countries'!D:D,F22)&gt;0,"polity_full_name",IF(COUNTIF('Internal -- Patent Countries'!E:E,F22)&gt;0,"polity_common_name",IF(COUNTIF('Internal -- Patent Countries'!A:A,F22)&gt;0,"shortest_name","not a match"))))))</f>
        <v/>
      </c>
      <c r="DQ22" s="30"/>
      <c r="DR22" s="30"/>
      <c r="DS22" s="30"/>
      <c r="DT22" s="30"/>
      <c r="DU22" s="30"/>
      <c r="DV22" s="50" t="str">
        <f t="shared" si="2"/>
        <v/>
      </c>
      <c r="DW22" s="30" t="str">
        <f t="shared" si="3"/>
        <v/>
      </c>
    </row>
    <row r="23" spans="1:127" ht="16.5">
      <c r="A23" s="11"/>
      <c r="B23" s="11"/>
      <c r="C23" s="11"/>
      <c r="D23" s="27"/>
      <c r="E23" s="11"/>
      <c r="F23" s="29"/>
      <c r="G23" s="11"/>
      <c r="H23" s="11"/>
      <c r="I23" s="11"/>
      <c r="J23" s="15"/>
      <c r="K23" s="11"/>
      <c r="L23" s="15"/>
      <c r="M23" s="11"/>
      <c r="N23" s="15"/>
      <c r="O23" s="15"/>
      <c r="P23" s="11"/>
      <c r="Q23" s="11"/>
      <c r="R23" s="11"/>
      <c r="S23" s="15"/>
      <c r="T23" s="15"/>
      <c r="U23" s="15"/>
      <c r="V23" s="11"/>
      <c r="W23" s="29"/>
      <c r="X23" s="15"/>
      <c r="Y23" s="11"/>
      <c r="Z23" s="11"/>
      <c r="AA23" s="11"/>
      <c r="AB23" s="11"/>
      <c r="AC23" s="11"/>
      <c r="AD23" s="11"/>
      <c r="AE23" s="15"/>
      <c r="AF23" s="11"/>
      <c r="AG23" s="11"/>
      <c r="AH23" s="15"/>
      <c r="AI23" s="15"/>
      <c r="AJ23" s="15"/>
      <c r="AK23" s="11"/>
      <c r="AL23" s="15"/>
      <c r="AM23" s="11"/>
      <c r="AN23" s="11"/>
      <c r="AO23" s="15"/>
      <c r="AP23" s="11"/>
      <c r="AQ23" s="11"/>
      <c r="AR23" s="15"/>
      <c r="AS23" s="15"/>
      <c r="AT23" s="15"/>
      <c r="AU23" s="11"/>
      <c r="AV23" s="15"/>
      <c r="AW23" s="11"/>
      <c r="AX23" s="11"/>
      <c r="AY23" s="15"/>
      <c r="AZ23" s="11"/>
      <c r="BA23" s="11"/>
      <c r="BB23" s="15"/>
      <c r="BC23" s="15"/>
      <c r="BD23" s="15"/>
      <c r="BE23" s="11"/>
      <c r="BF23" s="15"/>
      <c r="BG23" s="11"/>
      <c r="BH23" s="11"/>
      <c r="BI23" s="15"/>
      <c r="BJ23" s="11"/>
      <c r="BK23" s="11"/>
      <c r="BL23" s="15"/>
      <c r="BM23" s="15"/>
      <c r="BN23" s="15"/>
      <c r="BO23" s="11"/>
      <c r="BP23" s="15"/>
      <c r="BQ23" s="11"/>
      <c r="BR23" s="11"/>
      <c r="BS23" s="15"/>
      <c r="BT23" s="11"/>
      <c r="BU23" s="11"/>
      <c r="BV23" s="15"/>
      <c r="BW23" s="11"/>
      <c r="BX23" s="11"/>
      <c r="BY23" s="11"/>
      <c r="BZ23" s="11"/>
      <c r="CA23" s="28" t="str">
        <f t="shared" si="0"/>
        <v/>
      </c>
      <c r="CB23" s="28"/>
      <c r="CC23" s="11"/>
      <c r="CD23" s="29"/>
      <c r="CE23" s="11"/>
      <c r="CF23" s="11"/>
      <c r="CG23" s="11"/>
      <c r="CH23" s="11"/>
      <c r="CI23" s="11"/>
      <c r="CJ23" s="11"/>
      <c r="CK23" s="11"/>
      <c r="CL23" s="28" t="str">
        <f t="shared" si="1"/>
        <v/>
      </c>
      <c r="CM23" s="28"/>
      <c r="CN23" s="11"/>
      <c r="CO23" s="29"/>
      <c r="CP23" s="11"/>
      <c r="CQ23" s="11"/>
      <c r="CR23" s="11"/>
      <c r="CS23" s="11"/>
      <c r="CT23" s="11"/>
      <c r="CU23" s="11"/>
      <c r="CV23" s="11"/>
      <c r="CW23" s="11"/>
      <c r="CX23" s="29"/>
      <c r="CY23" s="28"/>
      <c r="CZ23" s="11"/>
      <c r="DA23" s="11"/>
      <c r="DB23" s="11"/>
      <c r="DC23" s="29"/>
      <c r="DD23" s="28"/>
      <c r="DE23" s="11"/>
      <c r="DF23" s="11"/>
      <c r="DG23" s="11"/>
      <c r="DH23" s="29"/>
      <c r="DI23" s="28"/>
      <c r="DJ23" s="11"/>
      <c r="DK23" s="11"/>
      <c r="DL23" s="11"/>
      <c r="DM23" s="29"/>
      <c r="DN23" s="28"/>
      <c r="DO23" s="30" t="str">
        <f>IF(F23="","",IF(DP23="not a match","",IF(DP23="full_name",VLOOKUP(F23,'Internal -- Patent Countries'!B:I,5,FALSE),IF(DP23="polity_shortest_name",VLOOKUP(F23,'Internal -- Patent Countries'!C:I,4,FALSE),IF(DP23="polity_full_name",VLOOKUP(F23,'Internal -- Patent Countries'!D:I,3,FALSE),IF(DP23="polity_common_name",VLOOKUP(F23,'Internal -- Patent Countries'!E:I,2,FALSE),IF(DP23="shortest_name",F23)))))))</f>
        <v/>
      </c>
      <c r="DP23" s="30" t="str">
        <f>IF(F23="","",IF(COUNTIF('Internal -- Patent Countries'!B:B,F23)&gt;0,"full_name",IF(COUNTIF('Internal -- Patent Countries'!C:C,F23)&gt;0,"polity_shortest_name",IF(COUNTIF('Internal -- Patent Countries'!D:D,F23)&gt;0,"polity_full_name",IF(COUNTIF('Internal -- Patent Countries'!E:E,F23)&gt;0,"polity_common_name",IF(COUNTIF('Internal -- Patent Countries'!A:A,F23)&gt;0,"shortest_name","not a match"))))))</f>
        <v/>
      </c>
      <c r="DQ23" s="30"/>
      <c r="DR23" s="30"/>
      <c r="DS23" s="30"/>
      <c r="DT23" s="30"/>
      <c r="DU23" s="30"/>
      <c r="DV23" s="50" t="str">
        <f t="shared" si="2"/>
        <v/>
      </c>
      <c r="DW23" s="30" t="str">
        <f t="shared" si="3"/>
        <v/>
      </c>
    </row>
    <row r="24" spans="1:127" ht="16.5">
      <c r="A24" s="11"/>
      <c r="B24" s="11"/>
      <c r="C24" s="11"/>
      <c r="D24" s="27"/>
      <c r="E24" s="11"/>
      <c r="F24" s="29"/>
      <c r="G24" s="11"/>
      <c r="H24" s="11"/>
      <c r="I24" s="11"/>
      <c r="J24" s="15"/>
      <c r="K24" s="11"/>
      <c r="L24" s="15"/>
      <c r="M24" s="11"/>
      <c r="N24" s="15"/>
      <c r="O24" s="15"/>
      <c r="P24" s="11"/>
      <c r="Q24" s="11"/>
      <c r="R24" s="11"/>
      <c r="S24" s="15"/>
      <c r="T24" s="15"/>
      <c r="U24" s="15"/>
      <c r="V24" s="11"/>
      <c r="W24" s="29"/>
      <c r="X24" s="15"/>
      <c r="Y24" s="11"/>
      <c r="Z24" s="11"/>
      <c r="AA24" s="11"/>
      <c r="AB24" s="11"/>
      <c r="AC24" s="11"/>
      <c r="AD24" s="11"/>
      <c r="AE24" s="15"/>
      <c r="AF24" s="11"/>
      <c r="AG24" s="11"/>
      <c r="AH24" s="15"/>
      <c r="AI24" s="15"/>
      <c r="AJ24" s="15"/>
      <c r="AK24" s="11"/>
      <c r="AL24" s="15"/>
      <c r="AM24" s="11"/>
      <c r="AN24" s="11"/>
      <c r="AO24" s="15"/>
      <c r="AP24" s="11"/>
      <c r="AQ24" s="11"/>
      <c r="AR24" s="15"/>
      <c r="AS24" s="15"/>
      <c r="AT24" s="15"/>
      <c r="AU24" s="11"/>
      <c r="AV24" s="15"/>
      <c r="AW24" s="11"/>
      <c r="AX24" s="11"/>
      <c r="AY24" s="15"/>
      <c r="AZ24" s="11"/>
      <c r="BA24" s="11"/>
      <c r="BB24" s="15"/>
      <c r="BC24" s="15"/>
      <c r="BD24" s="15"/>
      <c r="BE24" s="11"/>
      <c r="BF24" s="15"/>
      <c r="BG24" s="11"/>
      <c r="BH24" s="11"/>
      <c r="BI24" s="15"/>
      <c r="BJ24" s="11"/>
      <c r="BK24" s="11"/>
      <c r="BL24" s="15"/>
      <c r="BM24" s="15"/>
      <c r="BN24" s="15"/>
      <c r="BO24" s="11"/>
      <c r="BP24" s="15"/>
      <c r="BQ24" s="11"/>
      <c r="BR24" s="11"/>
      <c r="BS24" s="15"/>
      <c r="BT24" s="11"/>
      <c r="BU24" s="11"/>
      <c r="BV24" s="15"/>
      <c r="BW24" s="11"/>
      <c r="BX24" s="11"/>
      <c r="BY24" s="11"/>
      <c r="BZ24" s="11"/>
      <c r="CA24" s="28" t="str">
        <f t="shared" si="0"/>
        <v/>
      </c>
      <c r="CB24" s="28"/>
      <c r="CC24" s="11"/>
      <c r="CD24" s="29"/>
      <c r="CE24" s="11"/>
      <c r="CF24" s="11"/>
      <c r="CG24" s="11"/>
      <c r="CH24" s="11"/>
      <c r="CI24" s="11"/>
      <c r="CJ24" s="11"/>
      <c r="CK24" s="11"/>
      <c r="CL24" s="28" t="str">
        <f t="shared" si="1"/>
        <v/>
      </c>
      <c r="CM24" s="28"/>
      <c r="CN24" s="11"/>
      <c r="CO24" s="29"/>
      <c r="CP24" s="11"/>
      <c r="CQ24" s="11"/>
      <c r="CR24" s="11"/>
      <c r="CS24" s="11"/>
      <c r="CT24" s="11"/>
      <c r="CU24" s="11"/>
      <c r="CV24" s="11"/>
      <c r="CW24" s="11"/>
      <c r="CX24" s="29"/>
      <c r="CY24" s="28"/>
      <c r="CZ24" s="11"/>
      <c r="DA24" s="11"/>
      <c r="DB24" s="11"/>
      <c r="DC24" s="29"/>
      <c r="DD24" s="28"/>
      <c r="DE24" s="11"/>
      <c r="DF24" s="11"/>
      <c r="DG24" s="11"/>
      <c r="DH24" s="29"/>
      <c r="DI24" s="28"/>
      <c r="DJ24" s="11"/>
      <c r="DK24" s="11"/>
      <c r="DL24" s="11"/>
      <c r="DM24" s="29"/>
      <c r="DN24" s="28"/>
      <c r="DO24" s="30" t="str">
        <f>IF(F24="","",IF(DP24="not a match","",IF(DP24="full_name",VLOOKUP(F24,'Internal -- Patent Countries'!B:I,5,FALSE),IF(DP24="polity_shortest_name",VLOOKUP(F24,'Internal -- Patent Countries'!C:I,4,FALSE),IF(DP24="polity_full_name",VLOOKUP(F24,'Internal -- Patent Countries'!D:I,3,FALSE),IF(DP24="polity_common_name",VLOOKUP(F24,'Internal -- Patent Countries'!E:I,2,FALSE),IF(DP24="shortest_name",F24)))))))</f>
        <v/>
      </c>
      <c r="DP24" s="30" t="str">
        <f>IF(F24="","",IF(COUNTIF('Internal -- Patent Countries'!B:B,F24)&gt;0,"full_name",IF(COUNTIF('Internal -- Patent Countries'!C:C,F24)&gt;0,"polity_shortest_name",IF(COUNTIF('Internal -- Patent Countries'!D:D,F24)&gt;0,"polity_full_name",IF(COUNTIF('Internal -- Patent Countries'!E:E,F24)&gt;0,"polity_common_name",IF(COUNTIF('Internal -- Patent Countries'!A:A,F24)&gt;0,"shortest_name","not a match"))))))</f>
        <v/>
      </c>
      <c r="DQ24" s="30"/>
      <c r="DR24" s="30"/>
      <c r="DS24" s="30"/>
      <c r="DT24" s="30"/>
      <c r="DU24" s="30"/>
      <c r="DV24" s="50" t="str">
        <f t="shared" si="2"/>
        <v/>
      </c>
      <c r="DW24" s="30" t="str">
        <f t="shared" si="3"/>
        <v/>
      </c>
    </row>
    <row r="25" spans="1:127" ht="16.5">
      <c r="A25" s="11"/>
      <c r="B25" s="11"/>
      <c r="C25" s="11"/>
      <c r="D25" s="27"/>
      <c r="E25" s="11"/>
      <c r="F25" s="29"/>
      <c r="G25" s="11"/>
      <c r="H25" s="11"/>
      <c r="I25" s="11"/>
      <c r="J25" s="15"/>
      <c r="K25" s="11"/>
      <c r="L25" s="15"/>
      <c r="M25" s="11"/>
      <c r="N25" s="15"/>
      <c r="O25" s="15"/>
      <c r="P25" s="11"/>
      <c r="Q25" s="11"/>
      <c r="R25" s="11"/>
      <c r="S25" s="15"/>
      <c r="T25" s="15"/>
      <c r="U25" s="15"/>
      <c r="V25" s="11"/>
      <c r="W25" s="29"/>
      <c r="X25" s="15"/>
      <c r="Y25" s="11"/>
      <c r="Z25" s="11"/>
      <c r="AA25" s="11"/>
      <c r="AB25" s="11"/>
      <c r="AC25" s="11"/>
      <c r="AD25" s="11"/>
      <c r="AE25" s="15"/>
      <c r="AF25" s="11"/>
      <c r="AG25" s="11"/>
      <c r="AH25" s="15"/>
      <c r="AI25" s="15"/>
      <c r="AJ25" s="15"/>
      <c r="AK25" s="11"/>
      <c r="AL25" s="15"/>
      <c r="AM25" s="11"/>
      <c r="AN25" s="11"/>
      <c r="AO25" s="15"/>
      <c r="AP25" s="11"/>
      <c r="AQ25" s="11"/>
      <c r="AR25" s="15"/>
      <c r="AS25" s="15"/>
      <c r="AT25" s="15"/>
      <c r="AU25" s="11"/>
      <c r="AV25" s="15"/>
      <c r="AW25" s="11"/>
      <c r="AX25" s="11"/>
      <c r="AY25" s="15"/>
      <c r="AZ25" s="11"/>
      <c r="BA25" s="11"/>
      <c r="BB25" s="15"/>
      <c r="BC25" s="15"/>
      <c r="BD25" s="15"/>
      <c r="BE25" s="11"/>
      <c r="BF25" s="15"/>
      <c r="BG25" s="11"/>
      <c r="BH25" s="11"/>
      <c r="BI25" s="15"/>
      <c r="BJ25" s="11"/>
      <c r="BK25" s="11"/>
      <c r="BL25" s="15"/>
      <c r="BM25" s="15"/>
      <c r="BN25" s="15"/>
      <c r="BO25" s="11"/>
      <c r="BP25" s="15"/>
      <c r="BQ25" s="11"/>
      <c r="BR25" s="11"/>
      <c r="BS25" s="15"/>
      <c r="BT25" s="11"/>
      <c r="BU25" s="11"/>
      <c r="BV25" s="15"/>
      <c r="BW25" s="11"/>
      <c r="BX25" s="11"/>
      <c r="BY25" s="11"/>
      <c r="BZ25" s="11"/>
      <c r="CA25" s="28" t="str">
        <f t="shared" si="0"/>
        <v/>
      </c>
      <c r="CB25" s="28"/>
      <c r="CC25" s="11"/>
      <c r="CD25" s="29"/>
      <c r="CE25" s="11"/>
      <c r="CF25" s="11"/>
      <c r="CG25" s="11"/>
      <c r="CH25" s="11"/>
      <c r="CI25" s="11"/>
      <c r="CJ25" s="11"/>
      <c r="CK25" s="11"/>
      <c r="CL25" s="28" t="str">
        <f t="shared" si="1"/>
        <v/>
      </c>
      <c r="CM25" s="28"/>
      <c r="CN25" s="11"/>
      <c r="CO25" s="29"/>
      <c r="CP25" s="11"/>
      <c r="CQ25" s="11"/>
      <c r="CR25" s="11"/>
      <c r="CS25" s="11"/>
      <c r="CT25" s="11"/>
      <c r="CU25" s="11"/>
      <c r="CV25" s="11"/>
      <c r="CW25" s="11"/>
      <c r="CX25" s="29"/>
      <c r="CY25" s="28"/>
      <c r="CZ25" s="11"/>
      <c r="DA25" s="11"/>
      <c r="DB25" s="11"/>
      <c r="DC25" s="29"/>
      <c r="DD25" s="28"/>
      <c r="DE25" s="11"/>
      <c r="DF25" s="11"/>
      <c r="DG25" s="11"/>
      <c r="DH25" s="29"/>
      <c r="DI25" s="28"/>
      <c r="DJ25" s="11"/>
      <c r="DK25" s="11"/>
      <c r="DL25" s="11"/>
      <c r="DM25" s="29"/>
      <c r="DN25" s="28"/>
      <c r="DO25" s="30" t="str">
        <f>IF(F25="","",IF(DP25="not a match","",IF(DP25="full_name",VLOOKUP(F25,'Internal -- Patent Countries'!B:I,5,FALSE),IF(DP25="polity_shortest_name",VLOOKUP(F25,'Internal -- Patent Countries'!C:I,4,FALSE),IF(DP25="polity_full_name",VLOOKUP(F25,'Internal -- Patent Countries'!D:I,3,FALSE),IF(DP25="polity_common_name",VLOOKUP(F25,'Internal -- Patent Countries'!E:I,2,FALSE),IF(DP25="shortest_name",F25)))))))</f>
        <v/>
      </c>
      <c r="DP25" s="30" t="str">
        <f>IF(F25="","",IF(COUNTIF('Internal -- Patent Countries'!B:B,F25)&gt;0,"full_name",IF(COUNTIF('Internal -- Patent Countries'!C:C,F25)&gt;0,"polity_shortest_name",IF(COUNTIF('Internal -- Patent Countries'!D:D,F25)&gt;0,"polity_full_name",IF(COUNTIF('Internal -- Patent Countries'!E:E,F25)&gt;0,"polity_common_name",IF(COUNTIF('Internal -- Patent Countries'!A:A,F25)&gt;0,"shortest_name","not a match"))))))</f>
        <v/>
      </c>
      <c r="DQ25" s="30"/>
      <c r="DR25" s="30"/>
      <c r="DS25" s="30"/>
      <c r="DT25" s="30"/>
      <c r="DU25" s="30"/>
      <c r="DV25" s="50" t="str">
        <f t="shared" si="2"/>
        <v/>
      </c>
      <c r="DW25" s="30" t="str">
        <f t="shared" si="3"/>
        <v/>
      </c>
    </row>
    <row r="26" spans="1:127" ht="16.5">
      <c r="A26" s="11"/>
      <c r="B26" s="11"/>
      <c r="C26" s="11"/>
      <c r="D26" s="27"/>
      <c r="E26" s="11"/>
      <c r="F26" s="29"/>
      <c r="G26" s="11"/>
      <c r="H26" s="11"/>
      <c r="I26" s="11"/>
      <c r="J26" s="15"/>
      <c r="K26" s="11"/>
      <c r="L26" s="15"/>
      <c r="M26" s="11"/>
      <c r="N26" s="15"/>
      <c r="O26" s="15"/>
      <c r="P26" s="11"/>
      <c r="Q26" s="11"/>
      <c r="R26" s="11"/>
      <c r="S26" s="15"/>
      <c r="T26" s="15"/>
      <c r="U26" s="15"/>
      <c r="V26" s="11"/>
      <c r="W26" s="29"/>
      <c r="X26" s="15"/>
      <c r="Y26" s="11"/>
      <c r="Z26" s="11"/>
      <c r="AA26" s="11"/>
      <c r="AB26" s="11"/>
      <c r="AC26" s="11"/>
      <c r="AD26" s="11"/>
      <c r="AE26" s="15"/>
      <c r="AF26" s="11"/>
      <c r="AG26" s="11"/>
      <c r="AH26" s="15"/>
      <c r="AI26" s="15"/>
      <c r="AJ26" s="15"/>
      <c r="AK26" s="11"/>
      <c r="AL26" s="15"/>
      <c r="AM26" s="11"/>
      <c r="AN26" s="11"/>
      <c r="AO26" s="15"/>
      <c r="AP26" s="11"/>
      <c r="AQ26" s="11"/>
      <c r="AR26" s="15"/>
      <c r="AS26" s="15"/>
      <c r="AT26" s="15"/>
      <c r="AU26" s="11"/>
      <c r="AV26" s="15"/>
      <c r="AW26" s="11"/>
      <c r="AX26" s="11"/>
      <c r="AY26" s="15"/>
      <c r="AZ26" s="11"/>
      <c r="BA26" s="11"/>
      <c r="BB26" s="15"/>
      <c r="BC26" s="15"/>
      <c r="BD26" s="15"/>
      <c r="BE26" s="11"/>
      <c r="BF26" s="15"/>
      <c r="BG26" s="11"/>
      <c r="BH26" s="11"/>
      <c r="BI26" s="15"/>
      <c r="BJ26" s="11"/>
      <c r="BK26" s="11"/>
      <c r="BL26" s="15"/>
      <c r="BM26" s="15"/>
      <c r="BN26" s="15"/>
      <c r="BO26" s="11"/>
      <c r="BP26" s="15"/>
      <c r="BQ26" s="11"/>
      <c r="BR26" s="11"/>
      <c r="BS26" s="15"/>
      <c r="BT26" s="11"/>
      <c r="BU26" s="11"/>
      <c r="BV26" s="15"/>
      <c r="BW26" s="11"/>
      <c r="BX26" s="11"/>
      <c r="BY26" s="11"/>
      <c r="BZ26" s="11"/>
      <c r="CA26" s="28" t="str">
        <f t="shared" si="0"/>
        <v/>
      </c>
      <c r="CB26" s="28"/>
      <c r="CC26" s="11"/>
      <c r="CD26" s="29"/>
      <c r="CE26" s="11"/>
      <c r="CF26" s="11"/>
      <c r="CG26" s="11"/>
      <c r="CH26" s="11"/>
      <c r="CI26" s="11"/>
      <c r="CJ26" s="11"/>
      <c r="CK26" s="11"/>
      <c r="CL26" s="28" t="str">
        <f t="shared" si="1"/>
        <v/>
      </c>
      <c r="CM26" s="28"/>
      <c r="CN26" s="11"/>
      <c r="CO26" s="29"/>
      <c r="CP26" s="11"/>
      <c r="CQ26" s="11"/>
      <c r="CR26" s="11"/>
      <c r="CS26" s="11"/>
      <c r="CT26" s="11"/>
      <c r="CU26" s="11"/>
      <c r="CV26" s="11"/>
      <c r="CW26" s="11"/>
      <c r="CX26" s="29"/>
      <c r="CY26" s="28"/>
      <c r="CZ26" s="11"/>
      <c r="DA26" s="11"/>
      <c r="DB26" s="11"/>
      <c r="DC26" s="29"/>
      <c r="DD26" s="28"/>
      <c r="DE26" s="11"/>
      <c r="DF26" s="11"/>
      <c r="DG26" s="11"/>
      <c r="DH26" s="29"/>
      <c r="DI26" s="28"/>
      <c r="DJ26" s="11"/>
      <c r="DK26" s="11"/>
      <c r="DL26" s="11"/>
      <c r="DM26" s="29"/>
      <c r="DN26" s="28"/>
      <c r="DO26" s="30" t="str">
        <f>IF(F26="","",IF(DP26="not a match","",IF(DP26="full_name",VLOOKUP(F26,'Internal -- Patent Countries'!B:I,5,FALSE),IF(DP26="polity_shortest_name",VLOOKUP(F26,'Internal -- Patent Countries'!C:I,4,FALSE),IF(DP26="polity_full_name",VLOOKUP(F26,'Internal -- Patent Countries'!D:I,3,FALSE),IF(DP26="polity_common_name",VLOOKUP(F26,'Internal -- Patent Countries'!E:I,2,FALSE),IF(DP26="shortest_name",F26)))))))</f>
        <v/>
      </c>
      <c r="DP26" s="30" t="str">
        <f>IF(F26="","",IF(COUNTIF('Internal -- Patent Countries'!B:B,F26)&gt;0,"full_name",IF(COUNTIF('Internal -- Patent Countries'!C:C,F26)&gt;0,"polity_shortest_name",IF(COUNTIF('Internal -- Patent Countries'!D:D,F26)&gt;0,"polity_full_name",IF(COUNTIF('Internal -- Patent Countries'!E:E,F26)&gt;0,"polity_common_name",IF(COUNTIF('Internal -- Patent Countries'!A:A,F26)&gt;0,"shortest_name","not a match"))))))</f>
        <v/>
      </c>
      <c r="DQ26" s="30"/>
      <c r="DR26" s="30"/>
      <c r="DS26" s="30"/>
      <c r="DT26" s="30"/>
      <c r="DU26" s="30"/>
      <c r="DV26" s="50" t="str">
        <f t="shared" si="2"/>
        <v/>
      </c>
      <c r="DW26" s="30" t="str">
        <f t="shared" si="3"/>
        <v/>
      </c>
    </row>
    <row r="27" spans="1:127" ht="16.5">
      <c r="A27" s="11"/>
      <c r="B27" s="11"/>
      <c r="C27" s="11"/>
      <c r="D27" s="27"/>
      <c r="E27" s="11"/>
      <c r="F27" s="29"/>
      <c r="G27" s="11"/>
      <c r="H27" s="11"/>
      <c r="I27" s="11"/>
      <c r="J27" s="15"/>
      <c r="K27" s="11"/>
      <c r="L27" s="15"/>
      <c r="M27" s="11"/>
      <c r="N27" s="15"/>
      <c r="O27" s="15"/>
      <c r="P27" s="11"/>
      <c r="Q27" s="11"/>
      <c r="R27" s="11"/>
      <c r="S27" s="15"/>
      <c r="T27" s="15"/>
      <c r="U27" s="15"/>
      <c r="V27" s="11"/>
      <c r="W27" s="29"/>
      <c r="X27" s="15"/>
      <c r="Y27" s="11"/>
      <c r="Z27" s="11"/>
      <c r="AA27" s="11"/>
      <c r="AB27" s="11"/>
      <c r="AC27" s="11"/>
      <c r="AD27" s="11"/>
      <c r="AE27" s="15"/>
      <c r="AF27" s="11"/>
      <c r="AG27" s="11"/>
      <c r="AH27" s="15"/>
      <c r="AI27" s="15"/>
      <c r="AJ27" s="15"/>
      <c r="AK27" s="11"/>
      <c r="AL27" s="15"/>
      <c r="AM27" s="11"/>
      <c r="AN27" s="11"/>
      <c r="AO27" s="15"/>
      <c r="AP27" s="11"/>
      <c r="AQ27" s="11"/>
      <c r="AR27" s="15"/>
      <c r="AS27" s="15"/>
      <c r="AT27" s="15"/>
      <c r="AU27" s="11"/>
      <c r="AV27" s="15"/>
      <c r="AW27" s="11"/>
      <c r="AX27" s="11"/>
      <c r="AY27" s="15"/>
      <c r="AZ27" s="11"/>
      <c r="BA27" s="11"/>
      <c r="BB27" s="15"/>
      <c r="BC27" s="15"/>
      <c r="BD27" s="15"/>
      <c r="BE27" s="11"/>
      <c r="BF27" s="15"/>
      <c r="BG27" s="11"/>
      <c r="BH27" s="11"/>
      <c r="BI27" s="15"/>
      <c r="BJ27" s="11"/>
      <c r="BK27" s="11"/>
      <c r="BL27" s="15"/>
      <c r="BM27" s="15"/>
      <c r="BN27" s="15"/>
      <c r="BO27" s="11"/>
      <c r="BP27" s="15"/>
      <c r="BQ27" s="11"/>
      <c r="BR27" s="11"/>
      <c r="BS27" s="15"/>
      <c r="BT27" s="11"/>
      <c r="BU27" s="11"/>
      <c r="BV27" s="15"/>
      <c r="BW27" s="11"/>
      <c r="BX27" s="11"/>
      <c r="BY27" s="11"/>
      <c r="BZ27" s="11"/>
      <c r="CA27" s="28" t="str">
        <f t="shared" si="0"/>
        <v/>
      </c>
      <c r="CB27" s="28"/>
      <c r="CC27" s="11"/>
      <c r="CD27" s="29"/>
      <c r="CE27" s="11"/>
      <c r="CF27" s="11"/>
      <c r="CG27" s="11"/>
      <c r="CH27" s="11"/>
      <c r="CI27" s="11"/>
      <c r="CJ27" s="11"/>
      <c r="CK27" s="11"/>
      <c r="CL27" s="28" t="str">
        <f t="shared" si="1"/>
        <v/>
      </c>
      <c r="CM27" s="28"/>
      <c r="CN27" s="11"/>
      <c r="CO27" s="29"/>
      <c r="CP27" s="11"/>
      <c r="CQ27" s="11"/>
      <c r="CR27" s="11"/>
      <c r="CS27" s="11"/>
      <c r="CT27" s="11"/>
      <c r="CU27" s="11"/>
      <c r="CV27" s="11"/>
      <c r="CW27" s="11"/>
      <c r="CX27" s="29"/>
      <c r="CY27" s="28"/>
      <c r="CZ27" s="11"/>
      <c r="DA27" s="11"/>
      <c r="DB27" s="11"/>
      <c r="DC27" s="29"/>
      <c r="DD27" s="28"/>
      <c r="DE27" s="11"/>
      <c r="DF27" s="11"/>
      <c r="DG27" s="11"/>
      <c r="DH27" s="29"/>
      <c r="DI27" s="28"/>
      <c r="DJ27" s="11"/>
      <c r="DK27" s="11"/>
      <c r="DL27" s="11"/>
      <c r="DM27" s="29"/>
      <c r="DN27" s="28"/>
      <c r="DO27" s="30" t="str">
        <f>IF(F27="","",IF(DP27="not a match","",IF(DP27="full_name",VLOOKUP(F27,'Internal -- Patent Countries'!B:I,5,FALSE),IF(DP27="polity_shortest_name",VLOOKUP(F27,'Internal -- Patent Countries'!C:I,4,FALSE),IF(DP27="polity_full_name",VLOOKUP(F27,'Internal -- Patent Countries'!D:I,3,FALSE),IF(DP27="polity_common_name",VLOOKUP(F27,'Internal -- Patent Countries'!E:I,2,FALSE),IF(DP27="shortest_name",F27)))))))</f>
        <v/>
      </c>
      <c r="DP27" s="30" t="str">
        <f>IF(F27="","",IF(COUNTIF('Internal -- Patent Countries'!B:B,F27)&gt;0,"full_name",IF(COUNTIF('Internal -- Patent Countries'!C:C,F27)&gt;0,"polity_shortest_name",IF(COUNTIF('Internal -- Patent Countries'!D:D,F27)&gt;0,"polity_full_name",IF(COUNTIF('Internal -- Patent Countries'!E:E,F27)&gt;0,"polity_common_name",IF(COUNTIF('Internal -- Patent Countries'!A:A,F27)&gt;0,"shortest_name","not a match"))))))</f>
        <v/>
      </c>
      <c r="DQ27" s="30"/>
      <c r="DR27" s="30"/>
      <c r="DS27" s="30"/>
      <c r="DT27" s="30"/>
      <c r="DU27" s="30"/>
      <c r="DV27" s="50" t="str">
        <f t="shared" si="2"/>
        <v/>
      </c>
      <c r="DW27" s="30" t="str">
        <f t="shared" si="3"/>
        <v/>
      </c>
    </row>
    <row r="28" spans="1:127" ht="16.5">
      <c r="A28" s="11"/>
      <c r="B28" s="11"/>
      <c r="C28" s="11"/>
      <c r="D28" s="27"/>
      <c r="E28" s="11"/>
      <c r="F28" s="29"/>
      <c r="G28" s="11"/>
      <c r="H28" s="11"/>
      <c r="I28" s="11"/>
      <c r="J28" s="15"/>
      <c r="K28" s="11"/>
      <c r="L28" s="15"/>
      <c r="M28" s="11"/>
      <c r="N28" s="15"/>
      <c r="O28" s="15"/>
      <c r="P28" s="11"/>
      <c r="Q28" s="11"/>
      <c r="R28" s="11"/>
      <c r="S28" s="15"/>
      <c r="T28" s="15"/>
      <c r="U28" s="15"/>
      <c r="V28" s="11"/>
      <c r="W28" s="29"/>
      <c r="X28" s="15"/>
      <c r="Y28" s="11"/>
      <c r="Z28" s="11"/>
      <c r="AA28" s="11"/>
      <c r="AB28" s="11"/>
      <c r="AC28" s="11"/>
      <c r="AD28" s="11"/>
      <c r="AE28" s="15"/>
      <c r="AF28" s="11"/>
      <c r="AG28" s="11"/>
      <c r="AH28" s="15"/>
      <c r="AI28" s="15"/>
      <c r="AJ28" s="15"/>
      <c r="AK28" s="11"/>
      <c r="AL28" s="15"/>
      <c r="AM28" s="11"/>
      <c r="AN28" s="11"/>
      <c r="AO28" s="15"/>
      <c r="AP28" s="11"/>
      <c r="AQ28" s="11"/>
      <c r="AR28" s="15"/>
      <c r="AS28" s="15"/>
      <c r="AT28" s="15"/>
      <c r="AU28" s="11"/>
      <c r="AV28" s="15"/>
      <c r="AW28" s="11"/>
      <c r="AX28" s="11"/>
      <c r="AY28" s="15"/>
      <c r="AZ28" s="11"/>
      <c r="BA28" s="11"/>
      <c r="BB28" s="15"/>
      <c r="BC28" s="15"/>
      <c r="BD28" s="15"/>
      <c r="BE28" s="11"/>
      <c r="BF28" s="15"/>
      <c r="BG28" s="11"/>
      <c r="BH28" s="11"/>
      <c r="BI28" s="15"/>
      <c r="BJ28" s="11"/>
      <c r="BK28" s="11"/>
      <c r="BL28" s="15"/>
      <c r="BM28" s="15"/>
      <c r="BN28" s="15"/>
      <c r="BO28" s="11"/>
      <c r="BP28" s="15"/>
      <c r="BQ28" s="11"/>
      <c r="BR28" s="11"/>
      <c r="BS28" s="15"/>
      <c r="BT28" s="11"/>
      <c r="BU28" s="11"/>
      <c r="BV28" s="15"/>
      <c r="BW28" s="11"/>
      <c r="BX28" s="11"/>
      <c r="BY28" s="11"/>
      <c r="BZ28" s="11"/>
      <c r="CA28" s="28" t="str">
        <f t="shared" si="0"/>
        <v/>
      </c>
      <c r="CB28" s="28"/>
      <c r="CC28" s="11"/>
      <c r="CD28" s="29"/>
      <c r="CE28" s="11"/>
      <c r="CF28" s="11"/>
      <c r="CG28" s="11"/>
      <c r="CH28" s="11"/>
      <c r="CI28" s="11"/>
      <c r="CJ28" s="11"/>
      <c r="CK28" s="11"/>
      <c r="CL28" s="28" t="str">
        <f t="shared" si="1"/>
        <v/>
      </c>
      <c r="CM28" s="28"/>
      <c r="CN28" s="11"/>
      <c r="CO28" s="29"/>
      <c r="CP28" s="11"/>
      <c r="CQ28" s="11"/>
      <c r="CR28" s="11"/>
      <c r="CS28" s="11"/>
      <c r="CT28" s="11"/>
      <c r="CU28" s="11"/>
      <c r="CV28" s="11"/>
      <c r="CW28" s="11"/>
      <c r="CX28" s="29"/>
      <c r="CY28" s="28"/>
      <c r="CZ28" s="11"/>
      <c r="DA28" s="11"/>
      <c r="DB28" s="11"/>
      <c r="DC28" s="29"/>
      <c r="DD28" s="28"/>
      <c r="DE28" s="11"/>
      <c r="DF28" s="11"/>
      <c r="DG28" s="11"/>
      <c r="DH28" s="29"/>
      <c r="DI28" s="28"/>
      <c r="DJ28" s="11"/>
      <c r="DK28" s="11"/>
      <c r="DL28" s="11"/>
      <c r="DM28" s="29"/>
      <c r="DN28" s="28"/>
      <c r="DO28" s="30" t="str">
        <f>IF(F28="","",IF(DP28="not a match","",IF(DP28="full_name",VLOOKUP(F28,'Internal -- Patent Countries'!B:I,5,FALSE),IF(DP28="polity_shortest_name",VLOOKUP(F28,'Internal -- Patent Countries'!C:I,4,FALSE),IF(DP28="polity_full_name",VLOOKUP(F28,'Internal -- Patent Countries'!D:I,3,FALSE),IF(DP28="polity_common_name",VLOOKUP(F28,'Internal -- Patent Countries'!E:I,2,FALSE),IF(DP28="shortest_name",F28)))))))</f>
        <v/>
      </c>
      <c r="DP28" s="30" t="str">
        <f>IF(F28="","",IF(COUNTIF('Internal -- Patent Countries'!B:B,F28)&gt;0,"full_name",IF(COUNTIF('Internal -- Patent Countries'!C:C,F28)&gt;0,"polity_shortest_name",IF(COUNTIF('Internal -- Patent Countries'!D:D,F28)&gt;0,"polity_full_name",IF(COUNTIF('Internal -- Patent Countries'!E:E,F28)&gt;0,"polity_common_name",IF(COUNTIF('Internal -- Patent Countries'!A:A,F28)&gt;0,"shortest_name","not a match"))))))</f>
        <v/>
      </c>
      <c r="DQ28" s="30"/>
      <c r="DR28" s="30"/>
      <c r="DS28" s="30"/>
      <c r="DT28" s="30"/>
      <c r="DU28" s="30"/>
      <c r="DV28" s="50" t="str">
        <f t="shared" si="2"/>
        <v/>
      </c>
      <c r="DW28" s="30" t="str">
        <f t="shared" si="3"/>
        <v/>
      </c>
    </row>
    <row r="29" spans="1:127" ht="16.5">
      <c r="A29" s="11"/>
      <c r="B29" s="11"/>
      <c r="C29" s="11"/>
      <c r="D29" s="27"/>
      <c r="E29" s="11"/>
      <c r="F29" s="29"/>
      <c r="G29" s="11"/>
      <c r="H29" s="11"/>
      <c r="I29" s="11"/>
      <c r="J29" s="15"/>
      <c r="K29" s="11"/>
      <c r="L29" s="15"/>
      <c r="M29" s="11"/>
      <c r="N29" s="15"/>
      <c r="O29" s="15"/>
      <c r="P29" s="11"/>
      <c r="Q29" s="11"/>
      <c r="R29" s="11"/>
      <c r="S29" s="15"/>
      <c r="T29" s="15"/>
      <c r="U29" s="15"/>
      <c r="V29" s="11"/>
      <c r="W29" s="29"/>
      <c r="X29" s="15"/>
      <c r="Y29" s="11"/>
      <c r="Z29" s="11"/>
      <c r="AA29" s="11"/>
      <c r="AB29" s="11"/>
      <c r="AC29" s="11"/>
      <c r="AD29" s="11"/>
      <c r="AE29" s="15"/>
      <c r="AF29" s="11"/>
      <c r="AG29" s="11"/>
      <c r="AH29" s="15"/>
      <c r="AI29" s="15"/>
      <c r="AJ29" s="15"/>
      <c r="AK29" s="11"/>
      <c r="AL29" s="15"/>
      <c r="AM29" s="11"/>
      <c r="AN29" s="11"/>
      <c r="AO29" s="15"/>
      <c r="AP29" s="11"/>
      <c r="AQ29" s="11"/>
      <c r="AR29" s="15"/>
      <c r="AS29" s="15"/>
      <c r="AT29" s="15"/>
      <c r="AU29" s="11"/>
      <c r="AV29" s="15"/>
      <c r="AW29" s="11"/>
      <c r="AX29" s="11"/>
      <c r="AY29" s="15"/>
      <c r="AZ29" s="11"/>
      <c r="BA29" s="11"/>
      <c r="BB29" s="15"/>
      <c r="BC29" s="15"/>
      <c r="BD29" s="15"/>
      <c r="BE29" s="11"/>
      <c r="BF29" s="15"/>
      <c r="BG29" s="11"/>
      <c r="BH29" s="11"/>
      <c r="BI29" s="15"/>
      <c r="BJ29" s="11"/>
      <c r="BK29" s="11"/>
      <c r="BL29" s="15"/>
      <c r="BM29" s="15"/>
      <c r="BN29" s="15"/>
      <c r="BO29" s="11"/>
      <c r="BP29" s="15"/>
      <c r="BQ29" s="11"/>
      <c r="BR29" s="11"/>
      <c r="BS29" s="15"/>
      <c r="BT29" s="11"/>
      <c r="BU29" s="11"/>
      <c r="BV29" s="15"/>
      <c r="BW29" s="11"/>
      <c r="BX29" s="11"/>
      <c r="BY29" s="11"/>
      <c r="BZ29" s="11"/>
      <c r="CA29" s="28" t="str">
        <f t="shared" si="0"/>
        <v/>
      </c>
      <c r="CB29" s="28"/>
      <c r="CC29" s="11"/>
      <c r="CD29" s="29"/>
      <c r="CE29" s="11"/>
      <c r="CF29" s="11"/>
      <c r="CG29" s="11"/>
      <c r="CH29" s="11"/>
      <c r="CI29" s="11"/>
      <c r="CJ29" s="11"/>
      <c r="CK29" s="11"/>
      <c r="CL29" s="28" t="str">
        <f t="shared" si="1"/>
        <v/>
      </c>
      <c r="CM29" s="28"/>
      <c r="CN29" s="11"/>
      <c r="CO29" s="29"/>
      <c r="CP29" s="11"/>
      <c r="CQ29" s="11"/>
      <c r="CR29" s="11"/>
      <c r="CS29" s="11"/>
      <c r="CT29" s="11"/>
      <c r="CU29" s="11"/>
      <c r="CV29" s="11"/>
      <c r="CW29" s="11"/>
      <c r="CX29" s="29"/>
      <c r="CY29" s="28"/>
      <c r="CZ29" s="11"/>
      <c r="DA29" s="11"/>
      <c r="DB29" s="11"/>
      <c r="DC29" s="29"/>
      <c r="DD29" s="28"/>
      <c r="DE29" s="11"/>
      <c r="DF29" s="11"/>
      <c r="DG29" s="11"/>
      <c r="DH29" s="29"/>
      <c r="DI29" s="28"/>
      <c r="DJ29" s="11"/>
      <c r="DK29" s="11"/>
      <c r="DL29" s="11"/>
      <c r="DM29" s="29"/>
      <c r="DN29" s="28"/>
      <c r="DO29" s="30" t="str">
        <f>IF(F29="","",IF(DP29="not a match","",IF(DP29="full_name",VLOOKUP(F29,'Internal -- Patent Countries'!B:I,5,FALSE),IF(DP29="polity_shortest_name",VLOOKUP(F29,'Internal -- Patent Countries'!C:I,4,FALSE),IF(DP29="polity_full_name",VLOOKUP(F29,'Internal -- Patent Countries'!D:I,3,FALSE),IF(DP29="polity_common_name",VLOOKUP(F29,'Internal -- Patent Countries'!E:I,2,FALSE),IF(DP29="shortest_name",F29)))))))</f>
        <v/>
      </c>
      <c r="DP29" s="30" t="str">
        <f>IF(F29="","",IF(COUNTIF('Internal -- Patent Countries'!B:B,F29)&gt;0,"full_name",IF(COUNTIF('Internal -- Patent Countries'!C:C,F29)&gt;0,"polity_shortest_name",IF(COUNTIF('Internal -- Patent Countries'!D:D,F29)&gt;0,"polity_full_name",IF(COUNTIF('Internal -- Patent Countries'!E:E,F29)&gt;0,"polity_common_name",IF(COUNTIF('Internal -- Patent Countries'!A:A,F29)&gt;0,"shortest_name","not a match"))))))</f>
        <v/>
      </c>
      <c r="DQ29" s="30"/>
      <c r="DR29" s="30"/>
      <c r="DS29" s="30"/>
      <c r="DT29" s="30"/>
      <c r="DU29" s="30"/>
      <c r="DV29" s="50" t="str">
        <f t="shared" si="2"/>
        <v/>
      </c>
      <c r="DW29" s="30" t="str">
        <f t="shared" si="3"/>
        <v/>
      </c>
    </row>
    <row r="30" spans="1:127" ht="16.5">
      <c r="A30" s="11"/>
      <c r="B30" s="11"/>
      <c r="C30" s="11"/>
      <c r="D30" s="27"/>
      <c r="E30" s="11"/>
      <c r="F30" s="29"/>
      <c r="G30" s="11"/>
      <c r="H30" s="11"/>
      <c r="I30" s="11"/>
      <c r="J30" s="15"/>
      <c r="K30" s="11"/>
      <c r="L30" s="15"/>
      <c r="M30" s="11"/>
      <c r="N30" s="15"/>
      <c r="O30" s="15"/>
      <c r="P30" s="11"/>
      <c r="Q30" s="11"/>
      <c r="R30" s="11"/>
      <c r="S30" s="15"/>
      <c r="T30" s="15"/>
      <c r="U30" s="15"/>
      <c r="V30" s="11"/>
      <c r="W30" s="29"/>
      <c r="X30" s="15"/>
      <c r="Y30" s="11"/>
      <c r="Z30" s="11"/>
      <c r="AA30" s="11"/>
      <c r="AB30" s="11"/>
      <c r="AC30" s="11"/>
      <c r="AD30" s="11"/>
      <c r="AE30" s="15"/>
      <c r="AF30" s="11"/>
      <c r="AG30" s="11"/>
      <c r="AH30" s="15"/>
      <c r="AI30" s="15"/>
      <c r="AJ30" s="15"/>
      <c r="AK30" s="11"/>
      <c r="AL30" s="15"/>
      <c r="AM30" s="11"/>
      <c r="AN30" s="11"/>
      <c r="AO30" s="15"/>
      <c r="AP30" s="11"/>
      <c r="AQ30" s="11"/>
      <c r="AR30" s="15"/>
      <c r="AS30" s="15"/>
      <c r="AT30" s="15"/>
      <c r="AU30" s="11"/>
      <c r="AV30" s="15"/>
      <c r="AW30" s="11"/>
      <c r="AX30" s="11"/>
      <c r="AY30" s="15"/>
      <c r="AZ30" s="11"/>
      <c r="BA30" s="11"/>
      <c r="BB30" s="15"/>
      <c r="BC30" s="15"/>
      <c r="BD30" s="15"/>
      <c r="BE30" s="11"/>
      <c r="BF30" s="15"/>
      <c r="BG30" s="11"/>
      <c r="BH30" s="11"/>
      <c r="BI30" s="15"/>
      <c r="BJ30" s="11"/>
      <c r="BK30" s="11"/>
      <c r="BL30" s="15"/>
      <c r="BM30" s="15"/>
      <c r="BN30" s="15"/>
      <c r="BO30" s="11"/>
      <c r="BP30" s="15"/>
      <c r="BQ30" s="11"/>
      <c r="BR30" s="11"/>
      <c r="BS30" s="15"/>
      <c r="BT30" s="11"/>
      <c r="BU30" s="11"/>
      <c r="BV30" s="15"/>
      <c r="BW30" s="11"/>
      <c r="BX30" s="11"/>
      <c r="BY30" s="11"/>
      <c r="BZ30" s="11"/>
      <c r="CA30" s="28" t="str">
        <f t="shared" si="0"/>
        <v/>
      </c>
      <c r="CB30" s="28"/>
      <c r="CC30" s="11"/>
      <c r="CD30" s="29"/>
      <c r="CE30" s="11"/>
      <c r="CF30" s="11"/>
      <c r="CG30" s="11"/>
      <c r="CH30" s="11"/>
      <c r="CI30" s="11"/>
      <c r="CJ30" s="11"/>
      <c r="CK30" s="11"/>
      <c r="CL30" s="28" t="str">
        <f t="shared" si="1"/>
        <v/>
      </c>
      <c r="CM30" s="28"/>
      <c r="CN30" s="11"/>
      <c r="CO30" s="29"/>
      <c r="CP30" s="11"/>
      <c r="CQ30" s="11"/>
      <c r="CR30" s="11"/>
      <c r="CS30" s="11"/>
      <c r="CT30" s="11"/>
      <c r="CU30" s="11"/>
      <c r="CV30" s="11"/>
      <c r="CW30" s="11"/>
      <c r="CX30" s="29"/>
      <c r="CY30" s="28"/>
      <c r="CZ30" s="11"/>
      <c r="DA30" s="11"/>
      <c r="DB30" s="11"/>
      <c r="DC30" s="29"/>
      <c r="DD30" s="28"/>
      <c r="DE30" s="11"/>
      <c r="DF30" s="11"/>
      <c r="DG30" s="11"/>
      <c r="DH30" s="29"/>
      <c r="DI30" s="28"/>
      <c r="DJ30" s="11"/>
      <c r="DK30" s="11"/>
      <c r="DL30" s="11"/>
      <c r="DM30" s="29"/>
      <c r="DN30" s="28"/>
      <c r="DO30" s="30" t="str">
        <f>IF(F30="","",IF(DP30="not a match","",IF(DP30="full_name",VLOOKUP(F30,'Internal -- Patent Countries'!B:I,5,FALSE),IF(DP30="polity_shortest_name",VLOOKUP(F30,'Internal -- Patent Countries'!C:I,4,FALSE),IF(DP30="polity_full_name",VLOOKUP(F30,'Internal -- Patent Countries'!D:I,3,FALSE),IF(DP30="polity_common_name",VLOOKUP(F30,'Internal -- Patent Countries'!E:I,2,FALSE),IF(DP30="shortest_name",F30)))))))</f>
        <v/>
      </c>
      <c r="DP30" s="30" t="str">
        <f>IF(F30="","",IF(COUNTIF('Internal -- Patent Countries'!B:B,F30)&gt;0,"full_name",IF(COUNTIF('Internal -- Patent Countries'!C:C,F30)&gt;0,"polity_shortest_name",IF(COUNTIF('Internal -- Patent Countries'!D:D,F30)&gt;0,"polity_full_name",IF(COUNTIF('Internal -- Patent Countries'!E:E,F30)&gt;0,"polity_common_name",IF(COUNTIF('Internal -- Patent Countries'!A:A,F30)&gt;0,"shortest_name","not a match"))))))</f>
        <v/>
      </c>
      <c r="DQ30" s="30"/>
      <c r="DR30" s="30"/>
      <c r="DS30" s="30"/>
      <c r="DT30" s="30"/>
      <c r="DU30" s="30"/>
      <c r="DV30" s="50" t="str">
        <f t="shared" si="2"/>
        <v/>
      </c>
      <c r="DW30" s="30" t="str">
        <f t="shared" si="3"/>
        <v/>
      </c>
    </row>
    <row r="31" spans="1:127" ht="16.5">
      <c r="A31" s="11"/>
      <c r="B31" s="11"/>
      <c r="C31" s="11"/>
      <c r="D31" s="27"/>
      <c r="E31" s="11"/>
      <c r="F31" s="29"/>
      <c r="G31" s="11"/>
      <c r="H31" s="11"/>
      <c r="I31" s="11"/>
      <c r="J31" s="15"/>
      <c r="K31" s="11"/>
      <c r="L31" s="15"/>
      <c r="M31" s="11"/>
      <c r="N31" s="15"/>
      <c r="O31" s="15"/>
      <c r="P31" s="11"/>
      <c r="Q31" s="11"/>
      <c r="R31" s="11"/>
      <c r="S31" s="15"/>
      <c r="T31" s="15"/>
      <c r="U31" s="15"/>
      <c r="V31" s="11"/>
      <c r="W31" s="29"/>
      <c r="X31" s="15"/>
      <c r="Y31" s="11"/>
      <c r="Z31" s="11"/>
      <c r="AA31" s="11"/>
      <c r="AB31" s="11"/>
      <c r="AC31" s="11"/>
      <c r="AD31" s="11"/>
      <c r="AE31" s="15"/>
      <c r="AF31" s="11"/>
      <c r="AG31" s="11"/>
      <c r="AH31" s="15"/>
      <c r="AI31" s="15"/>
      <c r="AJ31" s="15"/>
      <c r="AK31" s="11"/>
      <c r="AL31" s="15"/>
      <c r="AM31" s="11"/>
      <c r="AN31" s="11"/>
      <c r="AO31" s="15"/>
      <c r="AP31" s="11"/>
      <c r="AQ31" s="11"/>
      <c r="AR31" s="15"/>
      <c r="AS31" s="15"/>
      <c r="AT31" s="15"/>
      <c r="AU31" s="11"/>
      <c r="AV31" s="15"/>
      <c r="AW31" s="11"/>
      <c r="AX31" s="11"/>
      <c r="AY31" s="15"/>
      <c r="AZ31" s="11"/>
      <c r="BA31" s="11"/>
      <c r="BB31" s="15"/>
      <c r="BC31" s="15"/>
      <c r="BD31" s="15"/>
      <c r="BE31" s="11"/>
      <c r="BF31" s="15"/>
      <c r="BG31" s="11"/>
      <c r="BH31" s="11"/>
      <c r="BI31" s="15"/>
      <c r="BJ31" s="11"/>
      <c r="BK31" s="11"/>
      <c r="BL31" s="15"/>
      <c r="BM31" s="15"/>
      <c r="BN31" s="15"/>
      <c r="BO31" s="11"/>
      <c r="BP31" s="15"/>
      <c r="BQ31" s="11"/>
      <c r="BR31" s="11"/>
      <c r="BS31" s="15"/>
      <c r="BT31" s="11"/>
      <c r="BU31" s="11"/>
      <c r="BV31" s="15"/>
      <c r="BW31" s="11"/>
      <c r="BX31" s="11"/>
      <c r="BY31" s="11"/>
      <c r="BZ31" s="11"/>
      <c r="CA31" s="28" t="str">
        <f t="shared" si="0"/>
        <v/>
      </c>
      <c r="CB31" s="28"/>
      <c r="CC31" s="11"/>
      <c r="CD31" s="29"/>
      <c r="CE31" s="11"/>
      <c r="CF31" s="11"/>
      <c r="CG31" s="11"/>
      <c r="CH31" s="11"/>
      <c r="CI31" s="11"/>
      <c r="CJ31" s="11"/>
      <c r="CK31" s="11"/>
      <c r="CL31" s="28" t="str">
        <f t="shared" si="1"/>
        <v/>
      </c>
      <c r="CM31" s="28"/>
      <c r="CN31" s="11"/>
      <c r="CO31" s="29"/>
      <c r="CP31" s="11"/>
      <c r="CQ31" s="11"/>
      <c r="CR31" s="11"/>
      <c r="CS31" s="11"/>
      <c r="CT31" s="11"/>
      <c r="CU31" s="11"/>
      <c r="CV31" s="11"/>
      <c r="CW31" s="11"/>
      <c r="CX31" s="29"/>
      <c r="CY31" s="28"/>
      <c r="CZ31" s="11"/>
      <c r="DA31" s="11"/>
      <c r="DB31" s="11"/>
      <c r="DC31" s="29"/>
      <c r="DD31" s="28"/>
      <c r="DE31" s="11"/>
      <c r="DF31" s="11"/>
      <c r="DG31" s="11"/>
      <c r="DH31" s="29"/>
      <c r="DI31" s="28"/>
      <c r="DJ31" s="11"/>
      <c r="DK31" s="11"/>
      <c r="DL31" s="11"/>
      <c r="DM31" s="29"/>
      <c r="DN31" s="28"/>
      <c r="DO31" s="30" t="str">
        <f>IF(F31="","",IF(DP31="not a match","",IF(DP31="full_name",VLOOKUP(F31,'Internal -- Patent Countries'!B:I,5,FALSE),IF(DP31="polity_shortest_name",VLOOKUP(F31,'Internal -- Patent Countries'!C:I,4,FALSE),IF(DP31="polity_full_name",VLOOKUP(F31,'Internal -- Patent Countries'!D:I,3,FALSE),IF(DP31="polity_common_name",VLOOKUP(F31,'Internal -- Patent Countries'!E:I,2,FALSE),IF(DP31="shortest_name",F31)))))))</f>
        <v/>
      </c>
      <c r="DP31" s="30" t="str">
        <f>IF(F31="","",IF(COUNTIF('Internal -- Patent Countries'!B:B,F31)&gt;0,"full_name",IF(COUNTIF('Internal -- Patent Countries'!C:C,F31)&gt;0,"polity_shortest_name",IF(COUNTIF('Internal -- Patent Countries'!D:D,F31)&gt;0,"polity_full_name",IF(COUNTIF('Internal -- Patent Countries'!E:E,F31)&gt;0,"polity_common_name",IF(COUNTIF('Internal -- Patent Countries'!A:A,F31)&gt;0,"shortest_name","not a match"))))))</f>
        <v/>
      </c>
      <c r="DQ31" s="30"/>
      <c r="DR31" s="30"/>
      <c r="DS31" s="30"/>
      <c r="DT31" s="30"/>
      <c r="DU31" s="30"/>
      <c r="DV31" s="50" t="str">
        <f t="shared" si="2"/>
        <v/>
      </c>
      <c r="DW31" s="30" t="str">
        <f t="shared" si="3"/>
        <v/>
      </c>
    </row>
    <row r="32" spans="1:127" ht="16.5">
      <c r="A32" s="11"/>
      <c r="B32" s="11"/>
      <c r="C32" s="11"/>
      <c r="D32" s="27"/>
      <c r="E32" s="11"/>
      <c r="F32" s="29"/>
      <c r="G32" s="11"/>
      <c r="H32" s="11"/>
      <c r="I32" s="11"/>
      <c r="J32" s="15"/>
      <c r="K32" s="11"/>
      <c r="L32" s="15"/>
      <c r="M32" s="11"/>
      <c r="N32" s="15"/>
      <c r="O32" s="15"/>
      <c r="P32" s="11"/>
      <c r="Q32" s="11"/>
      <c r="R32" s="11"/>
      <c r="S32" s="15"/>
      <c r="T32" s="15"/>
      <c r="U32" s="15"/>
      <c r="V32" s="11"/>
      <c r="W32" s="29"/>
      <c r="X32" s="15"/>
      <c r="Y32" s="11"/>
      <c r="Z32" s="11"/>
      <c r="AA32" s="11"/>
      <c r="AB32" s="11"/>
      <c r="AC32" s="11"/>
      <c r="AD32" s="11"/>
      <c r="AE32" s="15"/>
      <c r="AF32" s="11"/>
      <c r="AG32" s="11"/>
      <c r="AH32" s="15"/>
      <c r="AI32" s="15"/>
      <c r="AJ32" s="15"/>
      <c r="AK32" s="11"/>
      <c r="AL32" s="15"/>
      <c r="AM32" s="11"/>
      <c r="AN32" s="11"/>
      <c r="AO32" s="15"/>
      <c r="AP32" s="11"/>
      <c r="AQ32" s="11"/>
      <c r="AR32" s="15"/>
      <c r="AS32" s="15"/>
      <c r="AT32" s="15"/>
      <c r="AU32" s="11"/>
      <c r="AV32" s="15"/>
      <c r="AW32" s="11"/>
      <c r="AX32" s="11"/>
      <c r="AY32" s="15"/>
      <c r="AZ32" s="11"/>
      <c r="BA32" s="11"/>
      <c r="BB32" s="15"/>
      <c r="BC32" s="15"/>
      <c r="BD32" s="15"/>
      <c r="BE32" s="11"/>
      <c r="BF32" s="15"/>
      <c r="BG32" s="11"/>
      <c r="BH32" s="11"/>
      <c r="BI32" s="15"/>
      <c r="BJ32" s="11"/>
      <c r="BK32" s="11"/>
      <c r="BL32" s="15"/>
      <c r="BM32" s="15"/>
      <c r="BN32" s="15"/>
      <c r="BO32" s="11"/>
      <c r="BP32" s="15"/>
      <c r="BQ32" s="11"/>
      <c r="BR32" s="11"/>
      <c r="BS32" s="15"/>
      <c r="BT32" s="11"/>
      <c r="BU32" s="11"/>
      <c r="BV32" s="15"/>
      <c r="BW32" s="11"/>
      <c r="BX32" s="11"/>
      <c r="BY32" s="11"/>
      <c r="BZ32" s="11"/>
      <c r="CA32" s="28" t="str">
        <f t="shared" si="0"/>
        <v/>
      </c>
      <c r="CB32" s="28"/>
      <c r="CC32" s="11"/>
      <c r="CD32" s="29"/>
      <c r="CE32" s="11"/>
      <c r="CF32" s="11"/>
      <c r="CG32" s="11"/>
      <c r="CH32" s="11"/>
      <c r="CI32" s="11"/>
      <c r="CJ32" s="11"/>
      <c r="CK32" s="11"/>
      <c r="CL32" s="28" t="str">
        <f t="shared" si="1"/>
        <v/>
      </c>
      <c r="CM32" s="28"/>
      <c r="CN32" s="11"/>
      <c r="CO32" s="29"/>
      <c r="CP32" s="11"/>
      <c r="CQ32" s="11"/>
      <c r="CR32" s="11"/>
      <c r="CS32" s="11"/>
      <c r="CT32" s="11"/>
      <c r="CU32" s="11"/>
      <c r="CV32" s="11"/>
      <c r="CW32" s="11"/>
      <c r="CX32" s="29"/>
      <c r="CY32" s="28"/>
      <c r="CZ32" s="11"/>
      <c r="DA32" s="11"/>
      <c r="DB32" s="11"/>
      <c r="DC32" s="29"/>
      <c r="DD32" s="28"/>
      <c r="DE32" s="11"/>
      <c r="DF32" s="11"/>
      <c r="DG32" s="11"/>
      <c r="DH32" s="29"/>
      <c r="DI32" s="28"/>
      <c r="DJ32" s="11"/>
      <c r="DK32" s="11"/>
      <c r="DL32" s="11"/>
      <c r="DM32" s="29"/>
      <c r="DN32" s="28"/>
      <c r="DO32" s="30" t="str">
        <f>IF(F32="","",IF(DP32="not a match","",IF(DP32="full_name",VLOOKUP(F32,'Internal -- Patent Countries'!B:I,5,FALSE),IF(DP32="polity_shortest_name",VLOOKUP(F32,'Internal -- Patent Countries'!C:I,4,FALSE),IF(DP32="polity_full_name",VLOOKUP(F32,'Internal -- Patent Countries'!D:I,3,FALSE),IF(DP32="polity_common_name",VLOOKUP(F32,'Internal -- Patent Countries'!E:I,2,FALSE),IF(DP32="shortest_name",F32)))))))</f>
        <v/>
      </c>
      <c r="DP32" s="30" t="str">
        <f>IF(F32="","",IF(COUNTIF('Internal -- Patent Countries'!B:B,F32)&gt;0,"full_name",IF(COUNTIF('Internal -- Patent Countries'!C:C,F32)&gt;0,"polity_shortest_name",IF(COUNTIF('Internal -- Patent Countries'!D:D,F32)&gt;0,"polity_full_name",IF(COUNTIF('Internal -- Patent Countries'!E:E,F32)&gt;0,"polity_common_name",IF(COUNTIF('Internal -- Patent Countries'!A:A,F32)&gt;0,"shortest_name","not a match"))))))</f>
        <v/>
      </c>
      <c r="DQ32" s="30"/>
      <c r="DR32" s="30"/>
      <c r="DS32" s="30"/>
      <c r="DT32" s="30"/>
      <c r="DU32" s="30"/>
      <c r="DV32" s="50" t="str">
        <f t="shared" si="2"/>
        <v/>
      </c>
      <c r="DW32" s="30" t="str">
        <f t="shared" si="3"/>
        <v/>
      </c>
    </row>
    <row r="33" spans="1:127" ht="16.5">
      <c r="A33" s="11"/>
      <c r="B33" s="11"/>
      <c r="C33" s="11"/>
      <c r="D33" s="27"/>
      <c r="E33" s="11"/>
      <c r="F33" s="29"/>
      <c r="G33" s="11"/>
      <c r="H33" s="11"/>
      <c r="I33" s="11"/>
      <c r="J33" s="15"/>
      <c r="K33" s="11"/>
      <c r="L33" s="15"/>
      <c r="M33" s="11"/>
      <c r="N33" s="15"/>
      <c r="O33" s="15"/>
      <c r="P33" s="11"/>
      <c r="Q33" s="11"/>
      <c r="R33" s="11"/>
      <c r="S33" s="15"/>
      <c r="T33" s="15"/>
      <c r="U33" s="15"/>
      <c r="V33" s="11"/>
      <c r="W33" s="29"/>
      <c r="X33" s="15"/>
      <c r="Y33" s="11"/>
      <c r="Z33" s="11"/>
      <c r="AA33" s="11"/>
      <c r="AB33" s="11"/>
      <c r="AC33" s="11"/>
      <c r="AD33" s="11"/>
      <c r="AE33" s="15"/>
      <c r="AF33" s="11"/>
      <c r="AG33" s="11"/>
      <c r="AH33" s="15"/>
      <c r="AI33" s="15"/>
      <c r="AJ33" s="15"/>
      <c r="AK33" s="11"/>
      <c r="AL33" s="15"/>
      <c r="AM33" s="11"/>
      <c r="AN33" s="11"/>
      <c r="AO33" s="15"/>
      <c r="AP33" s="11"/>
      <c r="AQ33" s="11"/>
      <c r="AR33" s="15"/>
      <c r="AS33" s="15"/>
      <c r="AT33" s="15"/>
      <c r="AU33" s="11"/>
      <c r="AV33" s="15"/>
      <c r="AW33" s="11"/>
      <c r="AX33" s="11"/>
      <c r="AY33" s="15"/>
      <c r="AZ33" s="11"/>
      <c r="BA33" s="11"/>
      <c r="BB33" s="15"/>
      <c r="BC33" s="15"/>
      <c r="BD33" s="15"/>
      <c r="BE33" s="11"/>
      <c r="BF33" s="15"/>
      <c r="BG33" s="11"/>
      <c r="BH33" s="11"/>
      <c r="BI33" s="15"/>
      <c r="BJ33" s="11"/>
      <c r="BK33" s="11"/>
      <c r="BL33" s="15"/>
      <c r="BM33" s="15"/>
      <c r="BN33" s="15"/>
      <c r="BO33" s="11"/>
      <c r="BP33" s="15"/>
      <c r="BQ33" s="11"/>
      <c r="BR33" s="11"/>
      <c r="BS33" s="15"/>
      <c r="BT33" s="11"/>
      <c r="BU33" s="11"/>
      <c r="BV33" s="15"/>
      <c r="BW33" s="11"/>
      <c r="BX33" s="11"/>
      <c r="BY33" s="11"/>
      <c r="BZ33" s="11"/>
      <c r="CA33" s="28" t="str">
        <f t="shared" si="0"/>
        <v/>
      </c>
      <c r="CB33" s="28"/>
      <c r="CC33" s="11"/>
      <c r="CD33" s="29"/>
      <c r="CE33" s="11"/>
      <c r="CF33" s="11"/>
      <c r="CG33" s="11"/>
      <c r="CH33" s="11"/>
      <c r="CI33" s="11"/>
      <c r="CJ33" s="11"/>
      <c r="CK33" s="11"/>
      <c r="CL33" s="28" t="str">
        <f t="shared" si="1"/>
        <v/>
      </c>
      <c r="CM33" s="28"/>
      <c r="CN33" s="11"/>
      <c r="CO33" s="29"/>
      <c r="CP33" s="11"/>
      <c r="CQ33" s="11"/>
      <c r="CR33" s="11"/>
      <c r="CS33" s="11"/>
      <c r="CT33" s="11"/>
      <c r="CU33" s="11"/>
      <c r="CV33" s="11"/>
      <c r="CW33" s="11"/>
      <c r="CX33" s="29"/>
      <c r="CY33" s="28"/>
      <c r="CZ33" s="11"/>
      <c r="DA33" s="11"/>
      <c r="DB33" s="11"/>
      <c r="DC33" s="29"/>
      <c r="DD33" s="28"/>
      <c r="DE33" s="11"/>
      <c r="DF33" s="11"/>
      <c r="DG33" s="11"/>
      <c r="DH33" s="29"/>
      <c r="DI33" s="28"/>
      <c r="DJ33" s="11"/>
      <c r="DK33" s="11"/>
      <c r="DL33" s="11"/>
      <c r="DM33" s="29"/>
      <c r="DN33" s="28"/>
      <c r="DO33" s="30" t="str">
        <f>IF(F33="","",IF(DP33="not a match","",IF(DP33="full_name",VLOOKUP(F33,'Internal -- Patent Countries'!B:I,5,FALSE),IF(DP33="polity_shortest_name",VLOOKUP(F33,'Internal -- Patent Countries'!C:I,4,FALSE),IF(DP33="polity_full_name",VLOOKUP(F33,'Internal -- Patent Countries'!D:I,3,FALSE),IF(DP33="polity_common_name",VLOOKUP(F33,'Internal -- Patent Countries'!E:I,2,FALSE),IF(DP33="shortest_name",F33)))))))</f>
        <v/>
      </c>
      <c r="DP33" s="30" t="str">
        <f>IF(F33="","",IF(COUNTIF('Internal -- Patent Countries'!B:B,F33)&gt;0,"full_name",IF(COUNTIF('Internal -- Patent Countries'!C:C,F33)&gt;0,"polity_shortest_name",IF(COUNTIF('Internal -- Patent Countries'!D:D,F33)&gt;0,"polity_full_name",IF(COUNTIF('Internal -- Patent Countries'!E:E,F33)&gt;0,"polity_common_name",IF(COUNTIF('Internal -- Patent Countries'!A:A,F33)&gt;0,"shortest_name","not a match"))))))</f>
        <v/>
      </c>
      <c r="DQ33" s="30"/>
      <c r="DR33" s="30"/>
      <c r="DS33" s="30"/>
      <c r="DT33" s="30"/>
      <c r="DU33" s="30"/>
      <c r="DV33" s="50" t="str">
        <f t="shared" si="2"/>
        <v/>
      </c>
      <c r="DW33" s="30" t="str">
        <f t="shared" si="3"/>
        <v/>
      </c>
    </row>
    <row r="34" spans="1:127" ht="16.5">
      <c r="A34" s="11"/>
      <c r="B34" s="11"/>
      <c r="C34" s="11"/>
      <c r="D34" s="27"/>
      <c r="E34" s="11"/>
      <c r="F34" s="29"/>
      <c r="G34" s="11"/>
      <c r="H34" s="11"/>
      <c r="I34" s="11"/>
      <c r="J34" s="15"/>
      <c r="K34" s="11"/>
      <c r="L34" s="15"/>
      <c r="M34" s="11"/>
      <c r="N34" s="15"/>
      <c r="O34" s="15"/>
      <c r="P34" s="11"/>
      <c r="Q34" s="11"/>
      <c r="R34" s="11"/>
      <c r="S34" s="15"/>
      <c r="T34" s="15"/>
      <c r="U34" s="15"/>
      <c r="V34" s="11"/>
      <c r="W34" s="29"/>
      <c r="X34" s="15"/>
      <c r="Y34" s="11"/>
      <c r="Z34" s="11"/>
      <c r="AA34" s="11"/>
      <c r="AB34" s="11"/>
      <c r="AC34" s="11"/>
      <c r="AD34" s="11"/>
      <c r="AE34" s="15"/>
      <c r="AF34" s="11"/>
      <c r="AG34" s="11"/>
      <c r="AH34" s="15"/>
      <c r="AI34" s="15"/>
      <c r="AJ34" s="15"/>
      <c r="AK34" s="11"/>
      <c r="AL34" s="15"/>
      <c r="AM34" s="11"/>
      <c r="AN34" s="11"/>
      <c r="AO34" s="15"/>
      <c r="AP34" s="11"/>
      <c r="AQ34" s="11"/>
      <c r="AR34" s="15"/>
      <c r="AS34" s="15"/>
      <c r="AT34" s="15"/>
      <c r="AU34" s="11"/>
      <c r="AV34" s="15"/>
      <c r="AW34" s="11"/>
      <c r="AX34" s="11"/>
      <c r="AY34" s="15"/>
      <c r="AZ34" s="11"/>
      <c r="BA34" s="11"/>
      <c r="BB34" s="15"/>
      <c r="BC34" s="15"/>
      <c r="BD34" s="15"/>
      <c r="BE34" s="11"/>
      <c r="BF34" s="15"/>
      <c r="BG34" s="11"/>
      <c r="BH34" s="11"/>
      <c r="BI34" s="15"/>
      <c r="BJ34" s="11"/>
      <c r="BK34" s="11"/>
      <c r="BL34" s="15"/>
      <c r="BM34" s="15"/>
      <c r="BN34" s="15"/>
      <c r="BO34" s="11"/>
      <c r="BP34" s="15"/>
      <c r="BQ34" s="11"/>
      <c r="BR34" s="11"/>
      <c r="BS34" s="15"/>
      <c r="BT34" s="11"/>
      <c r="BU34" s="11"/>
      <c r="BV34" s="15"/>
      <c r="BW34" s="11"/>
      <c r="BX34" s="11"/>
      <c r="BY34" s="11"/>
      <c r="BZ34" s="11"/>
      <c r="CA34" s="28" t="str">
        <f t="shared" si="0"/>
        <v/>
      </c>
      <c r="CB34" s="28"/>
      <c r="CC34" s="11"/>
      <c r="CD34" s="29"/>
      <c r="CE34" s="11"/>
      <c r="CF34" s="11"/>
      <c r="CG34" s="11"/>
      <c r="CH34" s="11"/>
      <c r="CI34" s="11"/>
      <c r="CJ34" s="11"/>
      <c r="CK34" s="11"/>
      <c r="CL34" s="28" t="str">
        <f t="shared" si="1"/>
        <v/>
      </c>
      <c r="CM34" s="28"/>
      <c r="CN34" s="11"/>
      <c r="CO34" s="29"/>
      <c r="CP34" s="11"/>
      <c r="CQ34" s="11"/>
      <c r="CR34" s="11"/>
      <c r="CS34" s="11"/>
      <c r="CT34" s="11"/>
      <c r="CU34" s="11"/>
      <c r="CV34" s="11"/>
      <c r="CW34" s="11"/>
      <c r="CX34" s="29"/>
      <c r="CY34" s="28"/>
      <c r="CZ34" s="11"/>
      <c r="DA34" s="11"/>
      <c r="DB34" s="11"/>
      <c r="DC34" s="29"/>
      <c r="DD34" s="28"/>
      <c r="DE34" s="11"/>
      <c r="DF34" s="11"/>
      <c r="DG34" s="11"/>
      <c r="DH34" s="29"/>
      <c r="DI34" s="28"/>
      <c r="DJ34" s="11"/>
      <c r="DK34" s="11"/>
      <c r="DL34" s="11"/>
      <c r="DM34" s="29"/>
      <c r="DN34" s="28"/>
      <c r="DO34" s="30" t="str">
        <f>IF(F34="","",IF(DP34="not a match","",IF(DP34="full_name",VLOOKUP(F34,'Internal -- Patent Countries'!B:I,5,FALSE),IF(DP34="polity_shortest_name",VLOOKUP(F34,'Internal -- Patent Countries'!C:I,4,FALSE),IF(DP34="polity_full_name",VLOOKUP(F34,'Internal -- Patent Countries'!D:I,3,FALSE),IF(DP34="polity_common_name",VLOOKUP(F34,'Internal -- Patent Countries'!E:I,2,FALSE),IF(DP34="shortest_name",F34)))))))</f>
        <v/>
      </c>
      <c r="DP34" s="30" t="str">
        <f>IF(F34="","",IF(COUNTIF('Internal -- Patent Countries'!B:B,F34)&gt;0,"full_name",IF(COUNTIF('Internal -- Patent Countries'!C:C,F34)&gt;0,"polity_shortest_name",IF(COUNTIF('Internal -- Patent Countries'!D:D,F34)&gt;0,"polity_full_name",IF(COUNTIF('Internal -- Patent Countries'!E:E,F34)&gt;0,"polity_common_name",IF(COUNTIF('Internal -- Patent Countries'!A:A,F34)&gt;0,"shortest_name","not a match"))))))</f>
        <v/>
      </c>
      <c r="DQ34" s="30"/>
      <c r="DR34" s="30"/>
      <c r="DS34" s="30"/>
      <c r="DT34" s="30"/>
      <c r="DU34" s="30"/>
      <c r="DV34" s="50" t="str">
        <f t="shared" si="2"/>
        <v/>
      </c>
      <c r="DW34" s="30" t="str">
        <f t="shared" si="3"/>
        <v/>
      </c>
    </row>
    <row r="35" spans="1:127" ht="16.5">
      <c r="A35" s="11"/>
      <c r="B35" s="11"/>
      <c r="C35" s="11"/>
      <c r="D35" s="27"/>
      <c r="E35" s="11"/>
      <c r="F35" s="29"/>
      <c r="G35" s="11"/>
      <c r="H35" s="11"/>
      <c r="I35" s="11"/>
      <c r="J35" s="15"/>
      <c r="K35" s="11"/>
      <c r="L35" s="15"/>
      <c r="M35" s="11"/>
      <c r="N35" s="15"/>
      <c r="O35" s="15"/>
      <c r="P35" s="11"/>
      <c r="Q35" s="11"/>
      <c r="R35" s="11"/>
      <c r="S35" s="15"/>
      <c r="T35" s="15"/>
      <c r="U35" s="15"/>
      <c r="V35" s="11"/>
      <c r="W35" s="29"/>
      <c r="X35" s="15"/>
      <c r="Y35" s="11"/>
      <c r="Z35" s="11"/>
      <c r="AA35" s="11"/>
      <c r="AB35" s="11"/>
      <c r="AC35" s="11"/>
      <c r="AD35" s="11"/>
      <c r="AE35" s="15"/>
      <c r="AF35" s="11"/>
      <c r="AG35" s="11"/>
      <c r="AH35" s="15"/>
      <c r="AI35" s="15"/>
      <c r="AJ35" s="15"/>
      <c r="AK35" s="11"/>
      <c r="AL35" s="15"/>
      <c r="AM35" s="11"/>
      <c r="AN35" s="11"/>
      <c r="AO35" s="15"/>
      <c r="AP35" s="11"/>
      <c r="AQ35" s="11"/>
      <c r="AR35" s="15"/>
      <c r="AS35" s="15"/>
      <c r="AT35" s="15"/>
      <c r="AU35" s="11"/>
      <c r="AV35" s="15"/>
      <c r="AW35" s="11"/>
      <c r="AX35" s="11"/>
      <c r="AY35" s="15"/>
      <c r="AZ35" s="11"/>
      <c r="BA35" s="11"/>
      <c r="BB35" s="15"/>
      <c r="BC35" s="15"/>
      <c r="BD35" s="15"/>
      <c r="BE35" s="11"/>
      <c r="BF35" s="15"/>
      <c r="BG35" s="11"/>
      <c r="BH35" s="11"/>
      <c r="BI35" s="15"/>
      <c r="BJ35" s="11"/>
      <c r="BK35" s="11"/>
      <c r="BL35" s="15"/>
      <c r="BM35" s="15"/>
      <c r="BN35" s="15"/>
      <c r="BO35" s="11"/>
      <c r="BP35" s="15"/>
      <c r="BQ35" s="11"/>
      <c r="BR35" s="11"/>
      <c r="BS35" s="15"/>
      <c r="BT35" s="11"/>
      <c r="BU35" s="11"/>
      <c r="BV35" s="15"/>
      <c r="BW35" s="11"/>
      <c r="BX35" s="11"/>
      <c r="BY35" s="11"/>
      <c r="BZ35" s="11"/>
      <c r="CA35" s="28" t="str">
        <f t="shared" si="0"/>
        <v/>
      </c>
      <c r="CB35" s="28"/>
      <c r="CC35" s="11"/>
      <c r="CD35" s="29"/>
      <c r="CE35" s="11"/>
      <c r="CF35" s="11"/>
      <c r="CG35" s="11"/>
      <c r="CH35" s="11"/>
      <c r="CI35" s="11"/>
      <c r="CJ35" s="11"/>
      <c r="CK35" s="11"/>
      <c r="CL35" s="28" t="str">
        <f t="shared" si="1"/>
        <v/>
      </c>
      <c r="CM35" s="28"/>
      <c r="CN35" s="11"/>
      <c r="CO35" s="29"/>
      <c r="CP35" s="11"/>
      <c r="CQ35" s="11"/>
      <c r="CR35" s="11"/>
      <c r="CS35" s="11"/>
      <c r="CT35" s="11"/>
      <c r="CU35" s="11"/>
      <c r="CV35" s="11"/>
      <c r="CW35" s="11"/>
      <c r="CX35" s="29"/>
      <c r="CY35" s="28"/>
      <c r="CZ35" s="11"/>
      <c r="DA35" s="11"/>
      <c r="DB35" s="11"/>
      <c r="DC35" s="29"/>
      <c r="DD35" s="28"/>
      <c r="DE35" s="11"/>
      <c r="DF35" s="11"/>
      <c r="DG35" s="11"/>
      <c r="DH35" s="29"/>
      <c r="DI35" s="28"/>
      <c r="DJ35" s="11"/>
      <c r="DK35" s="11"/>
      <c r="DL35" s="11"/>
      <c r="DM35" s="29"/>
      <c r="DN35" s="28"/>
      <c r="DO35" s="30" t="str">
        <f>IF(F35="","",IF(DP35="not a match","",IF(DP35="full_name",VLOOKUP(F35,'Internal -- Patent Countries'!B:I,5,FALSE),IF(DP35="polity_shortest_name",VLOOKUP(F35,'Internal -- Patent Countries'!C:I,4,FALSE),IF(DP35="polity_full_name",VLOOKUP(F35,'Internal -- Patent Countries'!D:I,3,FALSE),IF(DP35="polity_common_name",VLOOKUP(F35,'Internal -- Patent Countries'!E:I,2,FALSE),IF(DP35="shortest_name",F35)))))))</f>
        <v/>
      </c>
      <c r="DP35" s="30" t="str">
        <f>IF(F35="","",IF(COUNTIF('Internal -- Patent Countries'!B:B,F35)&gt;0,"full_name",IF(COUNTIF('Internal -- Patent Countries'!C:C,F35)&gt;0,"polity_shortest_name",IF(COUNTIF('Internal -- Patent Countries'!D:D,F35)&gt;0,"polity_full_name",IF(COUNTIF('Internal -- Patent Countries'!E:E,F35)&gt;0,"polity_common_name",IF(COUNTIF('Internal -- Patent Countries'!A:A,F35)&gt;0,"shortest_name","not a match"))))))</f>
        <v/>
      </c>
      <c r="DQ35" s="30"/>
      <c r="DR35" s="30"/>
      <c r="DS35" s="30"/>
      <c r="DT35" s="30"/>
      <c r="DU35" s="30"/>
      <c r="DV35" s="50" t="str">
        <f t="shared" si="2"/>
        <v/>
      </c>
      <c r="DW35" s="30" t="str">
        <f t="shared" si="3"/>
        <v/>
      </c>
    </row>
    <row r="36" spans="1:127" ht="16.5">
      <c r="A36" s="11"/>
      <c r="B36" s="11"/>
      <c r="C36" s="11"/>
      <c r="D36" s="27"/>
      <c r="E36" s="11"/>
      <c r="F36" s="29"/>
      <c r="G36" s="11"/>
      <c r="H36" s="11"/>
      <c r="I36" s="11"/>
      <c r="J36" s="15"/>
      <c r="K36" s="11"/>
      <c r="L36" s="15"/>
      <c r="M36" s="11"/>
      <c r="N36" s="15"/>
      <c r="O36" s="15"/>
      <c r="P36" s="11"/>
      <c r="Q36" s="11"/>
      <c r="R36" s="11"/>
      <c r="S36" s="15"/>
      <c r="T36" s="15"/>
      <c r="U36" s="15"/>
      <c r="V36" s="11"/>
      <c r="W36" s="29"/>
      <c r="X36" s="15"/>
      <c r="Y36" s="11"/>
      <c r="Z36" s="11"/>
      <c r="AA36" s="11"/>
      <c r="AB36" s="11"/>
      <c r="AC36" s="11"/>
      <c r="AD36" s="11"/>
      <c r="AE36" s="15"/>
      <c r="AF36" s="11"/>
      <c r="AG36" s="11"/>
      <c r="AH36" s="15"/>
      <c r="AI36" s="15"/>
      <c r="AJ36" s="15"/>
      <c r="AK36" s="11"/>
      <c r="AL36" s="15"/>
      <c r="AM36" s="11"/>
      <c r="AN36" s="11"/>
      <c r="AO36" s="15"/>
      <c r="AP36" s="11"/>
      <c r="AQ36" s="11"/>
      <c r="AR36" s="15"/>
      <c r="AS36" s="15"/>
      <c r="AT36" s="15"/>
      <c r="AU36" s="11"/>
      <c r="AV36" s="15"/>
      <c r="AW36" s="11"/>
      <c r="AX36" s="11"/>
      <c r="AY36" s="15"/>
      <c r="AZ36" s="11"/>
      <c r="BA36" s="11"/>
      <c r="BB36" s="15"/>
      <c r="BC36" s="15"/>
      <c r="BD36" s="15"/>
      <c r="BE36" s="11"/>
      <c r="BF36" s="15"/>
      <c r="BG36" s="11"/>
      <c r="BH36" s="11"/>
      <c r="BI36" s="15"/>
      <c r="BJ36" s="11"/>
      <c r="BK36" s="11"/>
      <c r="BL36" s="15"/>
      <c r="BM36" s="15"/>
      <c r="BN36" s="15"/>
      <c r="BO36" s="11"/>
      <c r="BP36" s="15"/>
      <c r="BQ36" s="11"/>
      <c r="BR36" s="11"/>
      <c r="BS36" s="15"/>
      <c r="BT36" s="11"/>
      <c r="BU36" s="11"/>
      <c r="BV36" s="15"/>
      <c r="BW36" s="11"/>
      <c r="BX36" s="11"/>
      <c r="BY36" s="11"/>
      <c r="BZ36" s="11"/>
      <c r="CA36" s="28" t="str">
        <f t="shared" si="0"/>
        <v/>
      </c>
      <c r="CB36" s="28"/>
      <c r="CC36" s="11"/>
      <c r="CD36" s="29"/>
      <c r="CE36" s="11"/>
      <c r="CF36" s="11"/>
      <c r="CG36" s="11"/>
      <c r="CH36" s="11"/>
      <c r="CI36" s="11"/>
      <c r="CJ36" s="11"/>
      <c r="CK36" s="11"/>
      <c r="CL36" s="28" t="str">
        <f t="shared" si="1"/>
        <v/>
      </c>
      <c r="CM36" s="28"/>
      <c r="CN36" s="11"/>
      <c r="CO36" s="29"/>
      <c r="CP36" s="11"/>
      <c r="CQ36" s="11"/>
      <c r="CR36" s="11"/>
      <c r="CS36" s="11"/>
      <c r="CT36" s="11"/>
      <c r="CU36" s="11"/>
      <c r="CV36" s="11"/>
      <c r="CW36" s="11"/>
      <c r="CX36" s="29"/>
      <c r="CY36" s="28"/>
      <c r="CZ36" s="11"/>
      <c r="DA36" s="11"/>
      <c r="DB36" s="11"/>
      <c r="DC36" s="29"/>
      <c r="DD36" s="28"/>
      <c r="DE36" s="11"/>
      <c r="DF36" s="11"/>
      <c r="DG36" s="11"/>
      <c r="DH36" s="29"/>
      <c r="DI36" s="28"/>
      <c r="DJ36" s="11"/>
      <c r="DK36" s="11"/>
      <c r="DL36" s="11"/>
      <c r="DM36" s="29"/>
      <c r="DN36" s="28"/>
      <c r="DO36" s="30" t="str">
        <f>IF(F36="","",IF(DP36="not a match","",IF(DP36="full_name",VLOOKUP(F36,'Internal -- Patent Countries'!B:I,5,FALSE),IF(DP36="polity_shortest_name",VLOOKUP(F36,'Internal -- Patent Countries'!C:I,4,FALSE),IF(DP36="polity_full_name",VLOOKUP(F36,'Internal -- Patent Countries'!D:I,3,FALSE),IF(DP36="polity_common_name",VLOOKUP(F36,'Internal -- Patent Countries'!E:I,2,FALSE),IF(DP36="shortest_name",F36)))))))</f>
        <v/>
      </c>
      <c r="DP36" s="30" t="str">
        <f>IF(F36="","",IF(COUNTIF('Internal -- Patent Countries'!B:B,F36)&gt;0,"full_name",IF(COUNTIF('Internal -- Patent Countries'!C:C,F36)&gt;0,"polity_shortest_name",IF(COUNTIF('Internal -- Patent Countries'!D:D,F36)&gt;0,"polity_full_name",IF(COUNTIF('Internal -- Patent Countries'!E:E,F36)&gt;0,"polity_common_name",IF(COUNTIF('Internal -- Patent Countries'!A:A,F36)&gt;0,"shortest_name","not a match"))))))</f>
        <v/>
      </c>
      <c r="DQ36" s="30"/>
      <c r="DR36" s="30"/>
      <c r="DS36" s="30"/>
      <c r="DT36" s="30"/>
      <c r="DU36" s="30"/>
      <c r="DV36" s="50" t="str">
        <f t="shared" si="2"/>
        <v/>
      </c>
      <c r="DW36" s="30" t="str">
        <f t="shared" si="3"/>
        <v/>
      </c>
    </row>
    <row r="37" spans="1:127" ht="16.5">
      <c r="A37" s="11"/>
      <c r="B37" s="11"/>
      <c r="C37" s="11"/>
      <c r="D37" s="27"/>
      <c r="E37" s="11"/>
      <c r="F37" s="29"/>
      <c r="G37" s="11"/>
      <c r="H37" s="11"/>
      <c r="I37" s="11"/>
      <c r="J37" s="15"/>
      <c r="K37" s="11"/>
      <c r="L37" s="15"/>
      <c r="M37" s="11"/>
      <c r="N37" s="15"/>
      <c r="O37" s="15"/>
      <c r="P37" s="11"/>
      <c r="Q37" s="11"/>
      <c r="R37" s="11"/>
      <c r="S37" s="15"/>
      <c r="T37" s="15"/>
      <c r="U37" s="15"/>
      <c r="V37" s="11"/>
      <c r="W37" s="29"/>
      <c r="X37" s="15"/>
      <c r="Y37" s="11"/>
      <c r="Z37" s="11"/>
      <c r="AA37" s="11"/>
      <c r="AB37" s="11"/>
      <c r="AC37" s="11"/>
      <c r="AD37" s="11"/>
      <c r="AE37" s="15"/>
      <c r="AF37" s="11"/>
      <c r="AG37" s="11"/>
      <c r="AH37" s="15"/>
      <c r="AI37" s="15"/>
      <c r="AJ37" s="15"/>
      <c r="AK37" s="11"/>
      <c r="AL37" s="15"/>
      <c r="AM37" s="11"/>
      <c r="AN37" s="11"/>
      <c r="AO37" s="15"/>
      <c r="AP37" s="11"/>
      <c r="AQ37" s="11"/>
      <c r="AR37" s="15"/>
      <c r="AS37" s="15"/>
      <c r="AT37" s="15"/>
      <c r="AU37" s="11"/>
      <c r="AV37" s="15"/>
      <c r="AW37" s="11"/>
      <c r="AX37" s="11"/>
      <c r="AY37" s="15"/>
      <c r="AZ37" s="11"/>
      <c r="BA37" s="11"/>
      <c r="BB37" s="15"/>
      <c r="BC37" s="15"/>
      <c r="BD37" s="15"/>
      <c r="BE37" s="11"/>
      <c r="BF37" s="15"/>
      <c r="BG37" s="11"/>
      <c r="BH37" s="11"/>
      <c r="BI37" s="15"/>
      <c r="BJ37" s="11"/>
      <c r="BK37" s="11"/>
      <c r="BL37" s="15"/>
      <c r="BM37" s="15"/>
      <c r="BN37" s="15"/>
      <c r="BO37" s="11"/>
      <c r="BP37" s="15"/>
      <c r="BQ37" s="11"/>
      <c r="BR37" s="11"/>
      <c r="BS37" s="15"/>
      <c r="BT37" s="11"/>
      <c r="BU37" s="11"/>
      <c r="BV37" s="15"/>
      <c r="BW37" s="11"/>
      <c r="BX37" s="11"/>
      <c r="BY37" s="11"/>
      <c r="BZ37" s="11"/>
      <c r="CA37" s="28" t="str">
        <f t="shared" si="0"/>
        <v/>
      </c>
      <c r="CB37" s="28"/>
      <c r="CC37" s="11"/>
      <c r="CD37" s="29"/>
      <c r="CE37" s="11"/>
      <c r="CF37" s="11"/>
      <c r="CG37" s="11"/>
      <c r="CH37" s="11"/>
      <c r="CI37" s="11"/>
      <c r="CJ37" s="11"/>
      <c r="CK37" s="11"/>
      <c r="CL37" s="28" t="str">
        <f t="shared" si="1"/>
        <v/>
      </c>
      <c r="CM37" s="28"/>
      <c r="CN37" s="11"/>
      <c r="CO37" s="29"/>
      <c r="CP37" s="11"/>
      <c r="CQ37" s="11"/>
      <c r="CR37" s="11"/>
      <c r="CS37" s="11"/>
      <c r="CT37" s="11"/>
      <c r="CU37" s="11"/>
      <c r="CV37" s="11"/>
      <c r="CW37" s="11"/>
      <c r="CX37" s="29"/>
      <c r="CY37" s="28"/>
      <c r="CZ37" s="11"/>
      <c r="DA37" s="11"/>
      <c r="DB37" s="11"/>
      <c r="DC37" s="29"/>
      <c r="DD37" s="28"/>
      <c r="DE37" s="11"/>
      <c r="DF37" s="11"/>
      <c r="DG37" s="11"/>
      <c r="DH37" s="29"/>
      <c r="DI37" s="28"/>
      <c r="DJ37" s="11"/>
      <c r="DK37" s="11"/>
      <c r="DL37" s="11"/>
      <c r="DM37" s="29"/>
      <c r="DN37" s="28"/>
      <c r="DO37" s="30" t="str">
        <f>IF(F37="","",IF(DP37="not a match","",IF(DP37="full_name",VLOOKUP(F37,'Internal -- Patent Countries'!B:I,5,FALSE),IF(DP37="polity_shortest_name",VLOOKUP(F37,'Internal -- Patent Countries'!C:I,4,FALSE),IF(DP37="polity_full_name",VLOOKUP(F37,'Internal -- Patent Countries'!D:I,3,FALSE),IF(DP37="polity_common_name",VLOOKUP(F37,'Internal -- Patent Countries'!E:I,2,FALSE),IF(DP37="shortest_name",F37)))))))</f>
        <v/>
      </c>
      <c r="DP37" s="30" t="str">
        <f>IF(F37="","",IF(COUNTIF('Internal -- Patent Countries'!B:B,F37)&gt;0,"full_name",IF(COUNTIF('Internal -- Patent Countries'!C:C,F37)&gt;0,"polity_shortest_name",IF(COUNTIF('Internal -- Patent Countries'!D:D,F37)&gt;0,"polity_full_name",IF(COUNTIF('Internal -- Patent Countries'!E:E,F37)&gt;0,"polity_common_name",IF(COUNTIF('Internal -- Patent Countries'!A:A,F37)&gt;0,"shortest_name","not a match"))))))</f>
        <v/>
      </c>
      <c r="DQ37" s="30"/>
      <c r="DR37" s="30"/>
      <c r="DS37" s="30"/>
      <c r="DT37" s="30"/>
      <c r="DU37" s="30"/>
      <c r="DV37" s="50" t="str">
        <f t="shared" si="2"/>
        <v/>
      </c>
      <c r="DW37" s="30" t="str">
        <f t="shared" si="3"/>
        <v/>
      </c>
    </row>
    <row r="38" spans="1:127" ht="16.5">
      <c r="A38" s="11"/>
      <c r="B38" s="11"/>
      <c r="C38" s="11"/>
      <c r="D38" s="27"/>
      <c r="E38" s="11"/>
      <c r="F38" s="29"/>
      <c r="G38" s="11"/>
      <c r="H38" s="11"/>
      <c r="I38" s="11"/>
      <c r="J38" s="15"/>
      <c r="K38" s="11"/>
      <c r="L38" s="15"/>
      <c r="M38" s="11"/>
      <c r="N38" s="15"/>
      <c r="O38" s="15"/>
      <c r="P38" s="11"/>
      <c r="Q38" s="11"/>
      <c r="R38" s="11"/>
      <c r="S38" s="15"/>
      <c r="T38" s="15"/>
      <c r="U38" s="15"/>
      <c r="V38" s="11"/>
      <c r="W38" s="29"/>
      <c r="X38" s="15"/>
      <c r="Y38" s="11"/>
      <c r="Z38" s="11"/>
      <c r="AA38" s="11"/>
      <c r="AB38" s="11"/>
      <c r="AC38" s="11"/>
      <c r="AD38" s="11"/>
      <c r="AE38" s="15"/>
      <c r="AF38" s="11"/>
      <c r="AG38" s="11"/>
      <c r="AH38" s="15"/>
      <c r="AI38" s="15"/>
      <c r="AJ38" s="15"/>
      <c r="AK38" s="11"/>
      <c r="AL38" s="15"/>
      <c r="AM38" s="11"/>
      <c r="AN38" s="11"/>
      <c r="AO38" s="15"/>
      <c r="AP38" s="11"/>
      <c r="AQ38" s="11"/>
      <c r="AR38" s="15"/>
      <c r="AS38" s="15"/>
      <c r="AT38" s="15"/>
      <c r="AU38" s="11"/>
      <c r="AV38" s="15"/>
      <c r="AW38" s="11"/>
      <c r="AX38" s="11"/>
      <c r="AY38" s="15"/>
      <c r="AZ38" s="11"/>
      <c r="BA38" s="11"/>
      <c r="BB38" s="15"/>
      <c r="BC38" s="15"/>
      <c r="BD38" s="15"/>
      <c r="BE38" s="11"/>
      <c r="BF38" s="15"/>
      <c r="BG38" s="11"/>
      <c r="BH38" s="11"/>
      <c r="BI38" s="15"/>
      <c r="BJ38" s="11"/>
      <c r="BK38" s="11"/>
      <c r="BL38" s="15"/>
      <c r="BM38" s="15"/>
      <c r="BN38" s="15"/>
      <c r="BO38" s="11"/>
      <c r="BP38" s="15"/>
      <c r="BQ38" s="11"/>
      <c r="BR38" s="11"/>
      <c r="BS38" s="15"/>
      <c r="BT38" s="11"/>
      <c r="BU38" s="11"/>
      <c r="BV38" s="15"/>
      <c r="BW38" s="11"/>
      <c r="BX38" s="11"/>
      <c r="BY38" s="11"/>
      <c r="BZ38" s="11"/>
      <c r="CA38" s="28" t="str">
        <f t="shared" si="0"/>
        <v/>
      </c>
      <c r="CB38" s="28"/>
      <c r="CC38" s="11"/>
      <c r="CD38" s="29"/>
      <c r="CE38" s="11"/>
      <c r="CF38" s="11"/>
      <c r="CG38" s="11"/>
      <c r="CH38" s="11"/>
      <c r="CI38" s="11"/>
      <c r="CJ38" s="11"/>
      <c r="CK38" s="11"/>
      <c r="CL38" s="28" t="str">
        <f t="shared" si="1"/>
        <v/>
      </c>
      <c r="CM38" s="28"/>
      <c r="CN38" s="11"/>
      <c r="CO38" s="29"/>
      <c r="CP38" s="11"/>
      <c r="CQ38" s="11"/>
      <c r="CR38" s="11"/>
      <c r="CS38" s="11"/>
      <c r="CT38" s="11"/>
      <c r="CU38" s="11"/>
      <c r="CV38" s="11"/>
      <c r="CW38" s="11"/>
      <c r="CX38" s="29"/>
      <c r="CY38" s="28"/>
      <c r="CZ38" s="11"/>
      <c r="DA38" s="11"/>
      <c r="DB38" s="11"/>
      <c r="DC38" s="29"/>
      <c r="DD38" s="28"/>
      <c r="DE38" s="11"/>
      <c r="DF38" s="11"/>
      <c r="DG38" s="11"/>
      <c r="DH38" s="29"/>
      <c r="DI38" s="28"/>
      <c r="DJ38" s="11"/>
      <c r="DK38" s="11"/>
      <c r="DL38" s="11"/>
      <c r="DM38" s="29"/>
      <c r="DN38" s="28"/>
      <c r="DO38" s="30" t="str">
        <f>IF(F38="","",IF(DP38="not a match","",IF(DP38="full_name",VLOOKUP(F38,'Internal -- Patent Countries'!B:I,5,FALSE),IF(DP38="polity_shortest_name",VLOOKUP(F38,'Internal -- Patent Countries'!C:I,4,FALSE),IF(DP38="polity_full_name",VLOOKUP(F38,'Internal -- Patent Countries'!D:I,3,FALSE),IF(DP38="polity_common_name",VLOOKUP(F38,'Internal -- Patent Countries'!E:I,2,FALSE),IF(DP38="shortest_name",F38)))))))</f>
        <v/>
      </c>
      <c r="DP38" s="30" t="str">
        <f>IF(F38="","",IF(COUNTIF('Internal -- Patent Countries'!B:B,F38)&gt;0,"full_name",IF(COUNTIF('Internal -- Patent Countries'!C:C,F38)&gt;0,"polity_shortest_name",IF(COUNTIF('Internal -- Patent Countries'!D:D,F38)&gt;0,"polity_full_name",IF(COUNTIF('Internal -- Patent Countries'!E:E,F38)&gt;0,"polity_common_name",IF(COUNTIF('Internal -- Patent Countries'!A:A,F38)&gt;0,"shortest_name","not a match"))))))</f>
        <v/>
      </c>
      <c r="DQ38" s="30"/>
      <c r="DR38" s="30"/>
      <c r="DS38" s="30"/>
      <c r="DT38" s="30"/>
      <c r="DU38" s="30"/>
      <c r="DV38" s="50" t="str">
        <f t="shared" si="2"/>
        <v/>
      </c>
      <c r="DW38" s="30" t="str">
        <f t="shared" si="3"/>
        <v/>
      </c>
    </row>
    <row r="39" spans="1:127" ht="16.5">
      <c r="A39" s="11"/>
      <c r="B39" s="11"/>
      <c r="C39" s="11"/>
      <c r="D39" s="27"/>
      <c r="E39" s="11"/>
      <c r="F39" s="29"/>
      <c r="G39" s="11"/>
      <c r="H39" s="11"/>
      <c r="I39" s="11"/>
      <c r="J39" s="15"/>
      <c r="K39" s="11"/>
      <c r="L39" s="15"/>
      <c r="M39" s="11"/>
      <c r="N39" s="15"/>
      <c r="O39" s="15"/>
      <c r="P39" s="11"/>
      <c r="Q39" s="11"/>
      <c r="R39" s="11"/>
      <c r="S39" s="15"/>
      <c r="T39" s="15"/>
      <c r="U39" s="15"/>
      <c r="V39" s="11"/>
      <c r="W39" s="29"/>
      <c r="X39" s="15"/>
      <c r="Y39" s="11"/>
      <c r="Z39" s="11"/>
      <c r="AA39" s="11"/>
      <c r="AB39" s="11"/>
      <c r="AC39" s="11"/>
      <c r="AD39" s="11"/>
      <c r="AE39" s="15"/>
      <c r="AF39" s="11"/>
      <c r="AG39" s="11"/>
      <c r="AH39" s="15"/>
      <c r="AI39" s="15"/>
      <c r="AJ39" s="15"/>
      <c r="AK39" s="11"/>
      <c r="AL39" s="15"/>
      <c r="AM39" s="11"/>
      <c r="AN39" s="11"/>
      <c r="AO39" s="15"/>
      <c r="AP39" s="11"/>
      <c r="AQ39" s="11"/>
      <c r="AR39" s="15"/>
      <c r="AS39" s="15"/>
      <c r="AT39" s="15"/>
      <c r="AU39" s="11"/>
      <c r="AV39" s="15"/>
      <c r="AW39" s="11"/>
      <c r="AX39" s="11"/>
      <c r="AY39" s="15"/>
      <c r="AZ39" s="11"/>
      <c r="BA39" s="11"/>
      <c r="BB39" s="15"/>
      <c r="BC39" s="15"/>
      <c r="BD39" s="15"/>
      <c r="BE39" s="11"/>
      <c r="BF39" s="15"/>
      <c r="BG39" s="11"/>
      <c r="BH39" s="11"/>
      <c r="BI39" s="15"/>
      <c r="BJ39" s="11"/>
      <c r="BK39" s="11"/>
      <c r="BL39" s="15"/>
      <c r="BM39" s="15"/>
      <c r="BN39" s="15"/>
      <c r="BO39" s="11"/>
      <c r="BP39" s="15"/>
      <c r="BQ39" s="11"/>
      <c r="BR39" s="11"/>
      <c r="BS39" s="15"/>
      <c r="BT39" s="11"/>
      <c r="BU39" s="11"/>
      <c r="BV39" s="15"/>
      <c r="BW39" s="11"/>
      <c r="BX39" s="11"/>
      <c r="BY39" s="11"/>
      <c r="BZ39" s="11"/>
      <c r="CA39" s="28" t="str">
        <f t="shared" si="0"/>
        <v/>
      </c>
      <c r="CB39" s="28"/>
      <c r="CC39" s="11"/>
      <c r="CD39" s="29"/>
      <c r="CE39" s="11"/>
      <c r="CF39" s="11"/>
      <c r="CG39" s="11"/>
      <c r="CH39" s="11"/>
      <c r="CI39" s="11"/>
      <c r="CJ39" s="11"/>
      <c r="CK39" s="11"/>
      <c r="CL39" s="28" t="str">
        <f t="shared" si="1"/>
        <v/>
      </c>
      <c r="CM39" s="28"/>
      <c r="CN39" s="11"/>
      <c r="CO39" s="29"/>
      <c r="CP39" s="11"/>
      <c r="CQ39" s="11"/>
      <c r="CR39" s="11"/>
      <c r="CS39" s="11"/>
      <c r="CT39" s="11"/>
      <c r="CU39" s="11"/>
      <c r="CV39" s="11"/>
      <c r="CW39" s="11"/>
      <c r="CX39" s="29"/>
      <c r="CY39" s="28"/>
      <c r="CZ39" s="11"/>
      <c r="DA39" s="11"/>
      <c r="DB39" s="11"/>
      <c r="DC39" s="29"/>
      <c r="DD39" s="28"/>
      <c r="DE39" s="11"/>
      <c r="DF39" s="11"/>
      <c r="DG39" s="11"/>
      <c r="DH39" s="29"/>
      <c r="DI39" s="28"/>
      <c r="DJ39" s="11"/>
      <c r="DK39" s="11"/>
      <c r="DL39" s="11"/>
      <c r="DM39" s="29"/>
      <c r="DN39" s="28"/>
      <c r="DO39" s="30" t="str">
        <f>IF(F39="","",IF(DP39="not a match","",IF(DP39="full_name",VLOOKUP(F39,'Internal -- Patent Countries'!B:I,5,FALSE),IF(DP39="polity_shortest_name",VLOOKUP(F39,'Internal -- Patent Countries'!C:I,4,FALSE),IF(DP39="polity_full_name",VLOOKUP(F39,'Internal -- Patent Countries'!D:I,3,FALSE),IF(DP39="polity_common_name",VLOOKUP(F39,'Internal -- Patent Countries'!E:I,2,FALSE),IF(DP39="shortest_name",F39)))))))</f>
        <v/>
      </c>
      <c r="DP39" s="30" t="str">
        <f>IF(F39="","",IF(COUNTIF('Internal -- Patent Countries'!B:B,F39)&gt;0,"full_name",IF(COUNTIF('Internal -- Patent Countries'!C:C,F39)&gt;0,"polity_shortest_name",IF(COUNTIF('Internal -- Patent Countries'!D:D,F39)&gt;0,"polity_full_name",IF(COUNTIF('Internal -- Patent Countries'!E:E,F39)&gt;0,"polity_common_name",IF(COUNTIF('Internal -- Patent Countries'!A:A,F39)&gt;0,"shortest_name","not a match"))))))</f>
        <v/>
      </c>
      <c r="DQ39" s="30"/>
      <c r="DR39" s="30"/>
      <c r="DS39" s="30"/>
      <c r="DT39" s="30"/>
      <c r="DU39" s="30"/>
      <c r="DV39" s="50" t="str">
        <f t="shared" si="2"/>
        <v/>
      </c>
      <c r="DW39" s="30" t="str">
        <f t="shared" si="3"/>
        <v/>
      </c>
    </row>
    <row r="40" spans="1:127" ht="16.5">
      <c r="A40" s="11"/>
      <c r="B40" s="11"/>
      <c r="C40" s="11"/>
      <c r="D40" s="27"/>
      <c r="E40" s="11"/>
      <c r="F40" s="29"/>
      <c r="G40" s="11"/>
      <c r="H40" s="11"/>
      <c r="I40" s="11"/>
      <c r="J40" s="15"/>
      <c r="K40" s="11"/>
      <c r="L40" s="15"/>
      <c r="M40" s="11"/>
      <c r="N40" s="15"/>
      <c r="O40" s="15"/>
      <c r="P40" s="11"/>
      <c r="Q40" s="11"/>
      <c r="R40" s="11"/>
      <c r="S40" s="15"/>
      <c r="T40" s="15"/>
      <c r="U40" s="15"/>
      <c r="V40" s="11"/>
      <c r="W40" s="29"/>
      <c r="X40" s="15"/>
      <c r="Y40" s="11"/>
      <c r="Z40" s="11"/>
      <c r="AA40" s="11"/>
      <c r="AB40" s="11"/>
      <c r="AC40" s="11"/>
      <c r="AD40" s="11"/>
      <c r="AE40" s="15"/>
      <c r="AF40" s="11"/>
      <c r="AG40" s="11"/>
      <c r="AH40" s="15"/>
      <c r="AI40" s="15"/>
      <c r="AJ40" s="15"/>
      <c r="AK40" s="11"/>
      <c r="AL40" s="15"/>
      <c r="AM40" s="11"/>
      <c r="AN40" s="11"/>
      <c r="AO40" s="15"/>
      <c r="AP40" s="11"/>
      <c r="AQ40" s="11"/>
      <c r="AR40" s="15"/>
      <c r="AS40" s="15"/>
      <c r="AT40" s="15"/>
      <c r="AU40" s="11"/>
      <c r="AV40" s="15"/>
      <c r="AW40" s="11"/>
      <c r="AX40" s="11"/>
      <c r="AY40" s="15"/>
      <c r="AZ40" s="11"/>
      <c r="BA40" s="11"/>
      <c r="BB40" s="15"/>
      <c r="BC40" s="15"/>
      <c r="BD40" s="15"/>
      <c r="BE40" s="11"/>
      <c r="BF40" s="15"/>
      <c r="BG40" s="11"/>
      <c r="BH40" s="11"/>
      <c r="BI40" s="15"/>
      <c r="BJ40" s="11"/>
      <c r="BK40" s="11"/>
      <c r="BL40" s="15"/>
      <c r="BM40" s="15"/>
      <c r="BN40" s="15"/>
      <c r="BO40" s="11"/>
      <c r="BP40" s="15"/>
      <c r="BQ40" s="11"/>
      <c r="BR40" s="11"/>
      <c r="BS40" s="15"/>
      <c r="BT40" s="11"/>
      <c r="BU40" s="11"/>
      <c r="BV40" s="15"/>
      <c r="BW40" s="11"/>
      <c r="BX40" s="11"/>
      <c r="BY40" s="11"/>
      <c r="BZ40" s="11"/>
      <c r="CA40" s="28" t="str">
        <f t="shared" si="0"/>
        <v/>
      </c>
      <c r="CB40" s="28"/>
      <c r="CC40" s="11"/>
      <c r="CD40" s="29"/>
      <c r="CE40" s="11"/>
      <c r="CF40" s="11"/>
      <c r="CG40" s="11"/>
      <c r="CH40" s="11"/>
      <c r="CI40" s="11"/>
      <c r="CJ40" s="11"/>
      <c r="CK40" s="11"/>
      <c r="CL40" s="28" t="str">
        <f t="shared" si="1"/>
        <v/>
      </c>
      <c r="CM40" s="28"/>
      <c r="CN40" s="11"/>
      <c r="CO40" s="29"/>
      <c r="CP40" s="11"/>
      <c r="CQ40" s="11"/>
      <c r="CR40" s="11"/>
      <c r="CS40" s="11"/>
      <c r="CT40" s="11"/>
      <c r="CU40" s="11"/>
      <c r="CV40" s="11"/>
      <c r="CW40" s="11"/>
      <c r="CX40" s="29"/>
      <c r="CY40" s="28"/>
      <c r="CZ40" s="11"/>
      <c r="DA40" s="11"/>
      <c r="DB40" s="11"/>
      <c r="DC40" s="29"/>
      <c r="DD40" s="28"/>
      <c r="DE40" s="11"/>
      <c r="DF40" s="11"/>
      <c r="DG40" s="11"/>
      <c r="DH40" s="29"/>
      <c r="DI40" s="28"/>
      <c r="DJ40" s="11"/>
      <c r="DK40" s="11"/>
      <c r="DL40" s="11"/>
      <c r="DM40" s="29"/>
      <c r="DN40" s="28"/>
      <c r="DO40" s="30" t="str">
        <f>IF(F40="","",IF(DP40="not a match","",IF(DP40="full_name",VLOOKUP(F40,'Internal -- Patent Countries'!B:I,5,FALSE),IF(DP40="polity_shortest_name",VLOOKUP(F40,'Internal -- Patent Countries'!C:I,4,FALSE),IF(DP40="polity_full_name",VLOOKUP(F40,'Internal -- Patent Countries'!D:I,3,FALSE),IF(DP40="polity_common_name",VLOOKUP(F40,'Internal -- Patent Countries'!E:I,2,FALSE),IF(DP40="shortest_name",F40)))))))</f>
        <v/>
      </c>
      <c r="DP40" s="30" t="str">
        <f>IF(F40="","",IF(COUNTIF('Internal -- Patent Countries'!B:B,F40)&gt;0,"full_name",IF(COUNTIF('Internal -- Patent Countries'!C:C,F40)&gt;0,"polity_shortest_name",IF(COUNTIF('Internal -- Patent Countries'!D:D,F40)&gt;0,"polity_full_name",IF(COUNTIF('Internal -- Patent Countries'!E:E,F40)&gt;0,"polity_common_name",IF(COUNTIF('Internal -- Patent Countries'!A:A,F40)&gt;0,"shortest_name","not a match"))))))</f>
        <v/>
      </c>
      <c r="DQ40" s="30"/>
      <c r="DR40" s="30"/>
      <c r="DS40" s="30"/>
      <c r="DT40" s="30"/>
      <c r="DU40" s="30"/>
      <c r="DV40" s="50" t="str">
        <f t="shared" si="2"/>
        <v/>
      </c>
      <c r="DW40" s="30" t="str">
        <f t="shared" si="3"/>
        <v/>
      </c>
    </row>
    <row r="41" spans="1:127" ht="16.5">
      <c r="A41" s="11"/>
      <c r="B41" s="11"/>
      <c r="C41" s="11"/>
      <c r="D41" s="27"/>
      <c r="E41" s="11"/>
      <c r="F41" s="29"/>
      <c r="G41" s="11"/>
      <c r="H41" s="11"/>
      <c r="I41" s="11"/>
      <c r="J41" s="15"/>
      <c r="K41" s="11"/>
      <c r="L41" s="15"/>
      <c r="M41" s="11"/>
      <c r="N41" s="15"/>
      <c r="O41" s="15"/>
      <c r="P41" s="11"/>
      <c r="Q41" s="11"/>
      <c r="R41" s="11"/>
      <c r="S41" s="15"/>
      <c r="T41" s="15"/>
      <c r="U41" s="15"/>
      <c r="V41" s="11"/>
      <c r="W41" s="29"/>
      <c r="X41" s="15"/>
      <c r="Y41" s="11"/>
      <c r="Z41" s="11"/>
      <c r="AA41" s="11"/>
      <c r="AB41" s="11"/>
      <c r="AC41" s="11"/>
      <c r="AD41" s="11"/>
      <c r="AE41" s="15"/>
      <c r="AF41" s="11"/>
      <c r="AG41" s="11"/>
      <c r="AH41" s="15"/>
      <c r="AI41" s="15"/>
      <c r="AJ41" s="15"/>
      <c r="AK41" s="11"/>
      <c r="AL41" s="15"/>
      <c r="AM41" s="11"/>
      <c r="AN41" s="11"/>
      <c r="AO41" s="15"/>
      <c r="AP41" s="11"/>
      <c r="AQ41" s="11"/>
      <c r="AR41" s="15"/>
      <c r="AS41" s="15"/>
      <c r="AT41" s="15"/>
      <c r="AU41" s="11"/>
      <c r="AV41" s="15"/>
      <c r="AW41" s="11"/>
      <c r="AX41" s="11"/>
      <c r="AY41" s="15"/>
      <c r="AZ41" s="11"/>
      <c r="BA41" s="11"/>
      <c r="BB41" s="15"/>
      <c r="BC41" s="15"/>
      <c r="BD41" s="15"/>
      <c r="BE41" s="11"/>
      <c r="BF41" s="15"/>
      <c r="BG41" s="11"/>
      <c r="BH41" s="11"/>
      <c r="BI41" s="15"/>
      <c r="BJ41" s="11"/>
      <c r="BK41" s="11"/>
      <c r="BL41" s="15"/>
      <c r="BM41" s="15"/>
      <c r="BN41" s="15"/>
      <c r="BO41" s="11"/>
      <c r="BP41" s="15"/>
      <c r="BQ41" s="11"/>
      <c r="BR41" s="11"/>
      <c r="BS41" s="15"/>
      <c r="BT41" s="11"/>
      <c r="BU41" s="11"/>
      <c r="BV41" s="15"/>
      <c r="BW41" s="11"/>
      <c r="BX41" s="11"/>
      <c r="BY41" s="11"/>
      <c r="BZ41" s="11"/>
      <c r="CA41" s="28" t="str">
        <f t="shared" si="0"/>
        <v/>
      </c>
      <c r="CB41" s="28"/>
      <c r="CC41" s="11"/>
      <c r="CD41" s="29"/>
      <c r="CE41" s="11"/>
      <c r="CF41" s="11"/>
      <c r="CG41" s="11"/>
      <c r="CH41" s="11"/>
      <c r="CI41" s="11"/>
      <c r="CJ41" s="11"/>
      <c r="CK41" s="11"/>
      <c r="CL41" s="28" t="str">
        <f t="shared" si="1"/>
        <v/>
      </c>
      <c r="CM41" s="28"/>
      <c r="CN41" s="11"/>
      <c r="CO41" s="29"/>
      <c r="CP41" s="11"/>
      <c r="CQ41" s="11"/>
      <c r="CR41" s="11"/>
      <c r="CS41" s="11"/>
      <c r="CT41" s="11"/>
      <c r="CU41" s="11"/>
      <c r="CV41" s="11"/>
      <c r="CW41" s="11"/>
      <c r="CX41" s="29"/>
      <c r="CY41" s="28"/>
      <c r="CZ41" s="11"/>
      <c r="DA41" s="11"/>
      <c r="DB41" s="11"/>
      <c r="DC41" s="29"/>
      <c r="DD41" s="28"/>
      <c r="DE41" s="11"/>
      <c r="DF41" s="11"/>
      <c r="DG41" s="11"/>
      <c r="DH41" s="29"/>
      <c r="DI41" s="28"/>
      <c r="DJ41" s="11"/>
      <c r="DK41" s="11"/>
      <c r="DL41" s="11"/>
      <c r="DM41" s="29"/>
      <c r="DN41" s="28"/>
      <c r="DO41" s="30" t="str">
        <f>IF(F41="","",IF(DP41="not a match","",IF(DP41="full_name",VLOOKUP(F41,'Internal -- Patent Countries'!B:I,5,FALSE),IF(DP41="polity_shortest_name",VLOOKUP(F41,'Internal -- Patent Countries'!C:I,4,FALSE),IF(DP41="polity_full_name",VLOOKUP(F41,'Internal -- Patent Countries'!D:I,3,FALSE),IF(DP41="polity_common_name",VLOOKUP(F41,'Internal -- Patent Countries'!E:I,2,FALSE),IF(DP41="shortest_name",F41)))))))</f>
        <v/>
      </c>
      <c r="DP41" s="30" t="str">
        <f>IF(F41="","",IF(COUNTIF('Internal -- Patent Countries'!B:B,F41)&gt;0,"full_name",IF(COUNTIF('Internal -- Patent Countries'!C:C,F41)&gt;0,"polity_shortest_name",IF(COUNTIF('Internal -- Patent Countries'!D:D,F41)&gt;0,"polity_full_name",IF(COUNTIF('Internal -- Patent Countries'!E:E,F41)&gt;0,"polity_common_name",IF(COUNTIF('Internal -- Patent Countries'!A:A,F41)&gt;0,"shortest_name","not a match"))))))</f>
        <v/>
      </c>
      <c r="DQ41" s="30"/>
      <c r="DR41" s="30"/>
      <c r="DS41" s="30"/>
      <c r="DT41" s="30"/>
      <c r="DU41" s="30"/>
      <c r="DV41" s="50" t="str">
        <f t="shared" si="2"/>
        <v/>
      </c>
      <c r="DW41" s="30" t="str">
        <f t="shared" si="3"/>
        <v/>
      </c>
    </row>
    <row r="42" spans="1:127" ht="16.5">
      <c r="A42" s="11"/>
      <c r="B42" s="11"/>
      <c r="C42" s="11"/>
      <c r="D42" s="27"/>
      <c r="E42" s="11"/>
      <c r="F42" s="29"/>
      <c r="G42" s="11"/>
      <c r="H42" s="11"/>
      <c r="I42" s="11"/>
      <c r="J42" s="15"/>
      <c r="K42" s="11"/>
      <c r="L42" s="15"/>
      <c r="M42" s="11"/>
      <c r="N42" s="15"/>
      <c r="O42" s="15"/>
      <c r="P42" s="11"/>
      <c r="Q42" s="11"/>
      <c r="R42" s="11"/>
      <c r="S42" s="15"/>
      <c r="T42" s="15"/>
      <c r="U42" s="15"/>
      <c r="V42" s="11"/>
      <c r="W42" s="29"/>
      <c r="X42" s="15"/>
      <c r="Y42" s="11"/>
      <c r="Z42" s="11"/>
      <c r="AA42" s="11"/>
      <c r="AB42" s="11"/>
      <c r="AC42" s="11"/>
      <c r="AD42" s="11"/>
      <c r="AE42" s="15"/>
      <c r="AF42" s="11"/>
      <c r="AG42" s="11"/>
      <c r="AH42" s="15"/>
      <c r="AI42" s="15"/>
      <c r="AJ42" s="15"/>
      <c r="AK42" s="11"/>
      <c r="AL42" s="15"/>
      <c r="AM42" s="11"/>
      <c r="AN42" s="11"/>
      <c r="AO42" s="15"/>
      <c r="AP42" s="11"/>
      <c r="AQ42" s="11"/>
      <c r="AR42" s="15"/>
      <c r="AS42" s="15"/>
      <c r="AT42" s="15"/>
      <c r="AU42" s="11"/>
      <c r="AV42" s="15"/>
      <c r="AW42" s="11"/>
      <c r="AX42" s="11"/>
      <c r="AY42" s="15"/>
      <c r="AZ42" s="11"/>
      <c r="BA42" s="11"/>
      <c r="BB42" s="15"/>
      <c r="BC42" s="15"/>
      <c r="BD42" s="15"/>
      <c r="BE42" s="11"/>
      <c r="BF42" s="15"/>
      <c r="BG42" s="11"/>
      <c r="BH42" s="11"/>
      <c r="BI42" s="15"/>
      <c r="BJ42" s="11"/>
      <c r="BK42" s="11"/>
      <c r="BL42" s="15"/>
      <c r="BM42" s="15"/>
      <c r="BN42" s="15"/>
      <c r="BO42" s="11"/>
      <c r="BP42" s="15"/>
      <c r="BQ42" s="11"/>
      <c r="BR42" s="11"/>
      <c r="BS42" s="15"/>
      <c r="BT42" s="11"/>
      <c r="BU42" s="11"/>
      <c r="BV42" s="15"/>
      <c r="BW42" s="11"/>
      <c r="BX42" s="11"/>
      <c r="BY42" s="11"/>
      <c r="BZ42" s="11"/>
      <c r="CA42" s="28" t="str">
        <f t="shared" si="0"/>
        <v/>
      </c>
      <c r="CB42" s="28"/>
      <c r="CC42" s="11"/>
      <c r="CD42" s="29"/>
      <c r="CE42" s="11"/>
      <c r="CF42" s="11"/>
      <c r="CG42" s="11"/>
      <c r="CH42" s="11"/>
      <c r="CI42" s="11"/>
      <c r="CJ42" s="11"/>
      <c r="CK42" s="11"/>
      <c r="CL42" s="28" t="str">
        <f t="shared" si="1"/>
        <v/>
      </c>
      <c r="CM42" s="28"/>
      <c r="CN42" s="11"/>
      <c r="CO42" s="29"/>
      <c r="CP42" s="11"/>
      <c r="CQ42" s="11"/>
      <c r="CR42" s="11"/>
      <c r="CS42" s="11"/>
      <c r="CT42" s="11"/>
      <c r="CU42" s="11"/>
      <c r="CV42" s="11"/>
      <c r="CW42" s="11"/>
      <c r="CX42" s="29"/>
      <c r="CY42" s="28"/>
      <c r="CZ42" s="11"/>
      <c r="DA42" s="11"/>
      <c r="DB42" s="11"/>
      <c r="DC42" s="29"/>
      <c r="DD42" s="28"/>
      <c r="DE42" s="11"/>
      <c r="DF42" s="11"/>
      <c r="DG42" s="11"/>
      <c r="DH42" s="29"/>
      <c r="DI42" s="28"/>
      <c r="DJ42" s="11"/>
      <c r="DK42" s="11"/>
      <c r="DL42" s="11"/>
      <c r="DM42" s="29"/>
      <c r="DN42" s="28"/>
      <c r="DO42" s="30" t="str">
        <f>IF(F42="","",IF(DP42="not a match","",IF(DP42="full_name",VLOOKUP(F42,'Internal -- Patent Countries'!B:I,5,FALSE),IF(DP42="polity_shortest_name",VLOOKUP(F42,'Internal -- Patent Countries'!C:I,4,FALSE),IF(DP42="polity_full_name",VLOOKUP(F42,'Internal -- Patent Countries'!D:I,3,FALSE),IF(DP42="polity_common_name",VLOOKUP(F42,'Internal -- Patent Countries'!E:I,2,FALSE),IF(DP42="shortest_name",F42)))))))</f>
        <v/>
      </c>
      <c r="DP42" s="30" t="str">
        <f>IF(F42="","",IF(COUNTIF('Internal -- Patent Countries'!B:B,F42)&gt;0,"full_name",IF(COUNTIF('Internal -- Patent Countries'!C:C,F42)&gt;0,"polity_shortest_name",IF(COUNTIF('Internal -- Patent Countries'!D:D,F42)&gt;0,"polity_full_name",IF(COUNTIF('Internal -- Patent Countries'!E:E,F42)&gt;0,"polity_common_name",IF(COUNTIF('Internal -- Patent Countries'!A:A,F42)&gt;0,"shortest_name","not a match"))))))</f>
        <v/>
      </c>
      <c r="DQ42" s="30"/>
      <c r="DR42" s="30"/>
      <c r="DS42" s="30"/>
      <c r="DT42" s="30"/>
      <c r="DU42" s="30"/>
      <c r="DV42" s="50" t="str">
        <f t="shared" si="2"/>
        <v/>
      </c>
      <c r="DW42" s="30" t="str">
        <f t="shared" si="3"/>
        <v/>
      </c>
    </row>
    <row r="43" spans="1:127" ht="16.5">
      <c r="A43" s="11"/>
      <c r="B43" s="11"/>
      <c r="C43" s="11"/>
      <c r="D43" s="27"/>
      <c r="E43" s="11"/>
      <c r="F43" s="29"/>
      <c r="G43" s="11"/>
      <c r="H43" s="11"/>
      <c r="I43" s="11"/>
      <c r="J43" s="15"/>
      <c r="K43" s="11"/>
      <c r="L43" s="15"/>
      <c r="M43" s="11"/>
      <c r="N43" s="15"/>
      <c r="O43" s="15"/>
      <c r="P43" s="11"/>
      <c r="Q43" s="11"/>
      <c r="R43" s="11"/>
      <c r="S43" s="15"/>
      <c r="T43" s="15"/>
      <c r="U43" s="15"/>
      <c r="V43" s="11"/>
      <c r="W43" s="29"/>
      <c r="X43" s="15"/>
      <c r="Y43" s="11"/>
      <c r="Z43" s="11"/>
      <c r="AA43" s="11"/>
      <c r="AB43" s="11"/>
      <c r="AC43" s="11"/>
      <c r="AD43" s="11"/>
      <c r="AE43" s="15"/>
      <c r="AF43" s="11"/>
      <c r="AG43" s="11"/>
      <c r="AH43" s="15"/>
      <c r="AI43" s="15"/>
      <c r="AJ43" s="15"/>
      <c r="AK43" s="11"/>
      <c r="AL43" s="15"/>
      <c r="AM43" s="11"/>
      <c r="AN43" s="11"/>
      <c r="AO43" s="15"/>
      <c r="AP43" s="11"/>
      <c r="AQ43" s="11"/>
      <c r="AR43" s="15"/>
      <c r="AS43" s="15"/>
      <c r="AT43" s="15"/>
      <c r="AU43" s="11"/>
      <c r="AV43" s="15"/>
      <c r="AW43" s="11"/>
      <c r="AX43" s="11"/>
      <c r="AY43" s="15"/>
      <c r="AZ43" s="11"/>
      <c r="BA43" s="11"/>
      <c r="BB43" s="15"/>
      <c r="BC43" s="15"/>
      <c r="BD43" s="15"/>
      <c r="BE43" s="11"/>
      <c r="BF43" s="15"/>
      <c r="BG43" s="11"/>
      <c r="BH43" s="11"/>
      <c r="BI43" s="15"/>
      <c r="BJ43" s="11"/>
      <c r="BK43" s="11"/>
      <c r="BL43" s="15"/>
      <c r="BM43" s="15"/>
      <c r="BN43" s="15"/>
      <c r="BO43" s="11"/>
      <c r="BP43" s="15"/>
      <c r="BQ43" s="11"/>
      <c r="BR43" s="11"/>
      <c r="BS43" s="15"/>
      <c r="BT43" s="11"/>
      <c r="BU43" s="11"/>
      <c r="BV43" s="15"/>
      <c r="BW43" s="11"/>
      <c r="BX43" s="11"/>
      <c r="BY43" s="11"/>
      <c r="BZ43" s="11"/>
      <c r="CA43" s="28" t="str">
        <f t="shared" si="0"/>
        <v/>
      </c>
      <c r="CB43" s="28"/>
      <c r="CC43" s="11"/>
      <c r="CD43" s="29"/>
      <c r="CE43" s="11"/>
      <c r="CF43" s="11"/>
      <c r="CG43" s="11"/>
      <c r="CH43" s="11"/>
      <c r="CI43" s="11"/>
      <c r="CJ43" s="11"/>
      <c r="CK43" s="11"/>
      <c r="CL43" s="28" t="str">
        <f t="shared" si="1"/>
        <v/>
      </c>
      <c r="CM43" s="28"/>
      <c r="CN43" s="11"/>
      <c r="CO43" s="29"/>
      <c r="CP43" s="11"/>
      <c r="CQ43" s="11"/>
      <c r="CR43" s="11"/>
      <c r="CS43" s="11"/>
      <c r="CT43" s="11"/>
      <c r="CU43" s="11"/>
      <c r="CV43" s="11"/>
      <c r="CW43" s="11"/>
      <c r="CX43" s="29"/>
      <c r="CY43" s="28"/>
      <c r="CZ43" s="11"/>
      <c r="DA43" s="11"/>
      <c r="DB43" s="11"/>
      <c r="DC43" s="29"/>
      <c r="DD43" s="28"/>
      <c r="DE43" s="11"/>
      <c r="DF43" s="11"/>
      <c r="DG43" s="11"/>
      <c r="DH43" s="29"/>
      <c r="DI43" s="28"/>
      <c r="DJ43" s="11"/>
      <c r="DK43" s="11"/>
      <c r="DL43" s="11"/>
      <c r="DM43" s="29"/>
      <c r="DN43" s="28"/>
      <c r="DO43" s="30" t="str">
        <f>IF(F43="","",IF(DP43="not a match","",IF(DP43="full_name",VLOOKUP(F43,'Internal -- Patent Countries'!B:I,5,FALSE),IF(DP43="polity_shortest_name",VLOOKUP(F43,'Internal -- Patent Countries'!C:I,4,FALSE),IF(DP43="polity_full_name",VLOOKUP(F43,'Internal -- Patent Countries'!D:I,3,FALSE),IF(DP43="polity_common_name",VLOOKUP(F43,'Internal -- Patent Countries'!E:I,2,FALSE),IF(DP43="shortest_name",F43)))))))</f>
        <v/>
      </c>
      <c r="DP43" s="30" t="str">
        <f>IF(F43="","",IF(COUNTIF('Internal -- Patent Countries'!B:B,F43)&gt;0,"full_name",IF(COUNTIF('Internal -- Patent Countries'!C:C,F43)&gt;0,"polity_shortest_name",IF(COUNTIF('Internal -- Patent Countries'!D:D,F43)&gt;0,"polity_full_name",IF(COUNTIF('Internal -- Patent Countries'!E:E,F43)&gt;0,"polity_common_name",IF(COUNTIF('Internal -- Patent Countries'!A:A,F43)&gt;0,"shortest_name","not a match"))))))</f>
        <v/>
      </c>
      <c r="DQ43" s="30"/>
      <c r="DR43" s="30"/>
      <c r="DS43" s="30"/>
      <c r="DT43" s="30"/>
      <c r="DU43" s="30"/>
      <c r="DV43" s="50" t="str">
        <f t="shared" si="2"/>
        <v/>
      </c>
      <c r="DW43" s="30" t="str">
        <f t="shared" si="3"/>
        <v/>
      </c>
    </row>
    <row r="44" spans="1:127" ht="16.5">
      <c r="A44" s="11"/>
      <c r="B44" s="11"/>
      <c r="C44" s="11"/>
      <c r="D44" s="27"/>
      <c r="E44" s="11"/>
      <c r="F44" s="29"/>
      <c r="G44" s="11"/>
      <c r="H44" s="11"/>
      <c r="I44" s="11"/>
      <c r="J44" s="15"/>
      <c r="K44" s="11"/>
      <c r="L44" s="15"/>
      <c r="M44" s="11"/>
      <c r="N44" s="15"/>
      <c r="O44" s="15"/>
      <c r="P44" s="11"/>
      <c r="Q44" s="11"/>
      <c r="R44" s="11"/>
      <c r="S44" s="15"/>
      <c r="T44" s="15"/>
      <c r="U44" s="15"/>
      <c r="V44" s="11"/>
      <c r="W44" s="29"/>
      <c r="X44" s="15"/>
      <c r="Y44" s="11"/>
      <c r="Z44" s="11"/>
      <c r="AA44" s="11"/>
      <c r="AB44" s="11"/>
      <c r="AC44" s="11"/>
      <c r="AD44" s="11"/>
      <c r="AE44" s="15"/>
      <c r="AF44" s="11"/>
      <c r="AG44" s="11"/>
      <c r="AH44" s="15"/>
      <c r="AI44" s="15"/>
      <c r="AJ44" s="15"/>
      <c r="AK44" s="11"/>
      <c r="AL44" s="15"/>
      <c r="AM44" s="11"/>
      <c r="AN44" s="11"/>
      <c r="AO44" s="15"/>
      <c r="AP44" s="11"/>
      <c r="AQ44" s="11"/>
      <c r="AR44" s="15"/>
      <c r="AS44" s="15"/>
      <c r="AT44" s="15"/>
      <c r="AU44" s="11"/>
      <c r="AV44" s="15"/>
      <c r="AW44" s="11"/>
      <c r="AX44" s="11"/>
      <c r="AY44" s="15"/>
      <c r="AZ44" s="11"/>
      <c r="BA44" s="11"/>
      <c r="BB44" s="15"/>
      <c r="BC44" s="15"/>
      <c r="BD44" s="15"/>
      <c r="BE44" s="11"/>
      <c r="BF44" s="15"/>
      <c r="BG44" s="11"/>
      <c r="BH44" s="11"/>
      <c r="BI44" s="15"/>
      <c r="BJ44" s="11"/>
      <c r="BK44" s="11"/>
      <c r="BL44" s="15"/>
      <c r="BM44" s="15"/>
      <c r="BN44" s="15"/>
      <c r="BO44" s="11"/>
      <c r="BP44" s="15"/>
      <c r="BQ44" s="11"/>
      <c r="BR44" s="11"/>
      <c r="BS44" s="15"/>
      <c r="BT44" s="11"/>
      <c r="BU44" s="11"/>
      <c r="BV44" s="15"/>
      <c r="BW44" s="11"/>
      <c r="BX44" s="11"/>
      <c r="BY44" s="11"/>
      <c r="BZ44" s="11"/>
      <c r="CA44" s="28" t="str">
        <f t="shared" si="0"/>
        <v/>
      </c>
      <c r="CB44" s="28"/>
      <c r="CC44" s="11"/>
      <c r="CD44" s="29"/>
      <c r="CE44" s="11"/>
      <c r="CF44" s="11"/>
      <c r="CG44" s="11"/>
      <c r="CH44" s="11"/>
      <c r="CI44" s="11"/>
      <c r="CJ44" s="11"/>
      <c r="CK44" s="11"/>
      <c r="CL44" s="28" t="str">
        <f t="shared" si="1"/>
        <v/>
      </c>
      <c r="CM44" s="28"/>
      <c r="CN44" s="11"/>
      <c r="CO44" s="29"/>
      <c r="CP44" s="11"/>
      <c r="CQ44" s="11"/>
      <c r="CR44" s="11"/>
      <c r="CS44" s="11"/>
      <c r="CT44" s="11"/>
      <c r="CU44" s="11"/>
      <c r="CV44" s="11"/>
      <c r="CW44" s="11"/>
      <c r="CX44" s="29"/>
      <c r="CY44" s="28"/>
      <c r="CZ44" s="11"/>
      <c r="DA44" s="11"/>
      <c r="DB44" s="11"/>
      <c r="DC44" s="29"/>
      <c r="DD44" s="28"/>
      <c r="DE44" s="11"/>
      <c r="DF44" s="11"/>
      <c r="DG44" s="11"/>
      <c r="DH44" s="29"/>
      <c r="DI44" s="28"/>
      <c r="DJ44" s="11"/>
      <c r="DK44" s="11"/>
      <c r="DL44" s="11"/>
      <c r="DM44" s="29"/>
      <c r="DN44" s="28"/>
      <c r="DO44" s="30" t="str">
        <f>IF(F44="","",IF(DP44="not a match","",IF(DP44="full_name",VLOOKUP(F44,'Internal -- Patent Countries'!B:I,5,FALSE),IF(DP44="polity_shortest_name",VLOOKUP(F44,'Internal -- Patent Countries'!C:I,4,FALSE),IF(DP44="polity_full_name",VLOOKUP(F44,'Internal -- Patent Countries'!D:I,3,FALSE),IF(DP44="polity_common_name",VLOOKUP(F44,'Internal -- Patent Countries'!E:I,2,FALSE),IF(DP44="shortest_name",F44)))))))</f>
        <v/>
      </c>
      <c r="DP44" s="30" t="str">
        <f>IF(F44="","",IF(COUNTIF('Internal -- Patent Countries'!B:B,F44)&gt;0,"full_name",IF(COUNTIF('Internal -- Patent Countries'!C:C,F44)&gt;0,"polity_shortest_name",IF(COUNTIF('Internal -- Patent Countries'!D:D,F44)&gt;0,"polity_full_name",IF(COUNTIF('Internal -- Patent Countries'!E:E,F44)&gt;0,"polity_common_name",IF(COUNTIF('Internal -- Patent Countries'!A:A,F44)&gt;0,"shortest_name","not a match"))))))</f>
        <v/>
      </c>
      <c r="DQ44" s="30"/>
      <c r="DR44" s="30"/>
      <c r="DS44" s="30"/>
      <c r="DT44" s="30"/>
      <c r="DU44" s="30"/>
      <c r="DV44" s="50" t="str">
        <f t="shared" si="2"/>
        <v/>
      </c>
      <c r="DW44" s="30" t="str">
        <f t="shared" si="3"/>
        <v/>
      </c>
    </row>
    <row r="45" spans="1:127" ht="16.5">
      <c r="A45" s="11"/>
      <c r="B45" s="11"/>
      <c r="C45" s="11"/>
      <c r="D45" s="27"/>
      <c r="E45" s="11"/>
      <c r="F45" s="29"/>
      <c r="G45" s="11"/>
      <c r="H45" s="11"/>
      <c r="I45" s="11"/>
      <c r="J45" s="15"/>
      <c r="K45" s="11"/>
      <c r="L45" s="15"/>
      <c r="M45" s="11"/>
      <c r="N45" s="15"/>
      <c r="O45" s="15"/>
      <c r="P45" s="11"/>
      <c r="Q45" s="11"/>
      <c r="R45" s="11"/>
      <c r="S45" s="15"/>
      <c r="T45" s="15"/>
      <c r="U45" s="15"/>
      <c r="V45" s="11"/>
      <c r="W45" s="29"/>
      <c r="X45" s="15"/>
      <c r="Y45" s="11"/>
      <c r="Z45" s="11"/>
      <c r="AA45" s="11"/>
      <c r="AB45" s="11"/>
      <c r="AC45" s="11"/>
      <c r="AD45" s="11"/>
      <c r="AE45" s="15"/>
      <c r="AF45" s="11"/>
      <c r="AG45" s="11"/>
      <c r="AH45" s="15"/>
      <c r="AI45" s="15"/>
      <c r="AJ45" s="15"/>
      <c r="AK45" s="11"/>
      <c r="AL45" s="15"/>
      <c r="AM45" s="11"/>
      <c r="AN45" s="11"/>
      <c r="AO45" s="15"/>
      <c r="AP45" s="11"/>
      <c r="AQ45" s="11"/>
      <c r="AR45" s="15"/>
      <c r="AS45" s="15"/>
      <c r="AT45" s="15"/>
      <c r="AU45" s="11"/>
      <c r="AV45" s="15"/>
      <c r="AW45" s="11"/>
      <c r="AX45" s="11"/>
      <c r="AY45" s="15"/>
      <c r="AZ45" s="11"/>
      <c r="BA45" s="11"/>
      <c r="BB45" s="15"/>
      <c r="BC45" s="15"/>
      <c r="BD45" s="15"/>
      <c r="BE45" s="11"/>
      <c r="BF45" s="15"/>
      <c r="BG45" s="11"/>
      <c r="BH45" s="11"/>
      <c r="BI45" s="15"/>
      <c r="BJ45" s="11"/>
      <c r="BK45" s="11"/>
      <c r="BL45" s="15"/>
      <c r="BM45" s="15"/>
      <c r="BN45" s="15"/>
      <c r="BO45" s="11"/>
      <c r="BP45" s="15"/>
      <c r="BQ45" s="11"/>
      <c r="BR45" s="11"/>
      <c r="BS45" s="15"/>
      <c r="BT45" s="11"/>
      <c r="BU45" s="11"/>
      <c r="BV45" s="15"/>
      <c r="BW45" s="11"/>
      <c r="BX45" s="11"/>
      <c r="BY45" s="11"/>
      <c r="BZ45" s="11"/>
      <c r="CA45" s="28" t="str">
        <f t="shared" si="0"/>
        <v/>
      </c>
      <c r="CB45" s="28"/>
      <c r="CC45" s="11"/>
      <c r="CD45" s="29"/>
      <c r="CE45" s="11"/>
      <c r="CF45" s="11"/>
      <c r="CG45" s="11"/>
      <c r="CH45" s="11"/>
      <c r="CI45" s="11"/>
      <c r="CJ45" s="11"/>
      <c r="CK45" s="11"/>
      <c r="CL45" s="28" t="str">
        <f t="shared" si="1"/>
        <v/>
      </c>
      <c r="CM45" s="28"/>
      <c r="CN45" s="11"/>
      <c r="CO45" s="29"/>
      <c r="CP45" s="11"/>
      <c r="CQ45" s="11"/>
      <c r="CR45" s="11"/>
      <c r="CS45" s="11"/>
      <c r="CT45" s="11"/>
      <c r="CU45" s="11"/>
      <c r="CV45" s="11"/>
      <c r="CW45" s="11"/>
      <c r="CX45" s="29"/>
      <c r="CY45" s="28"/>
      <c r="CZ45" s="11"/>
      <c r="DA45" s="11"/>
      <c r="DB45" s="11"/>
      <c r="DC45" s="29"/>
      <c r="DD45" s="28"/>
      <c r="DE45" s="11"/>
      <c r="DF45" s="11"/>
      <c r="DG45" s="11"/>
      <c r="DH45" s="29"/>
      <c r="DI45" s="28"/>
      <c r="DJ45" s="11"/>
      <c r="DK45" s="11"/>
      <c r="DL45" s="11"/>
      <c r="DM45" s="29"/>
      <c r="DN45" s="28"/>
      <c r="DO45" s="30" t="str">
        <f>IF(F45="","",IF(DP45="not a match","",IF(DP45="full_name",VLOOKUP(F45,'Internal -- Patent Countries'!B:I,5,FALSE),IF(DP45="polity_shortest_name",VLOOKUP(F45,'Internal -- Patent Countries'!C:I,4,FALSE),IF(DP45="polity_full_name",VLOOKUP(F45,'Internal -- Patent Countries'!D:I,3,FALSE),IF(DP45="polity_common_name",VLOOKUP(F45,'Internal -- Patent Countries'!E:I,2,FALSE),IF(DP45="shortest_name",F45)))))))</f>
        <v/>
      </c>
      <c r="DP45" s="30" t="str">
        <f>IF(F45="","",IF(COUNTIF('Internal -- Patent Countries'!B:B,F45)&gt;0,"full_name",IF(COUNTIF('Internal -- Patent Countries'!C:C,F45)&gt;0,"polity_shortest_name",IF(COUNTIF('Internal -- Patent Countries'!D:D,F45)&gt;0,"polity_full_name",IF(COUNTIF('Internal -- Patent Countries'!E:E,F45)&gt;0,"polity_common_name",IF(COUNTIF('Internal -- Patent Countries'!A:A,F45)&gt;0,"shortest_name","not a match"))))))</f>
        <v/>
      </c>
      <c r="DQ45" s="30"/>
      <c r="DR45" s="30"/>
      <c r="DS45" s="30"/>
      <c r="DT45" s="30"/>
      <c r="DU45" s="30"/>
      <c r="DV45" s="50" t="str">
        <f t="shared" si="2"/>
        <v/>
      </c>
      <c r="DW45" s="30" t="str">
        <f t="shared" si="3"/>
        <v/>
      </c>
    </row>
    <row r="46" spans="1:127" ht="16.5">
      <c r="A46" s="11"/>
      <c r="B46" s="11"/>
      <c r="C46" s="11"/>
      <c r="D46" s="27"/>
      <c r="E46" s="11"/>
      <c r="F46" s="29"/>
      <c r="G46" s="11"/>
      <c r="H46" s="11"/>
      <c r="I46" s="11"/>
      <c r="J46" s="15"/>
      <c r="K46" s="11"/>
      <c r="L46" s="15"/>
      <c r="M46" s="11"/>
      <c r="N46" s="15"/>
      <c r="O46" s="15"/>
      <c r="P46" s="11"/>
      <c r="Q46" s="11"/>
      <c r="R46" s="11"/>
      <c r="S46" s="15"/>
      <c r="T46" s="15"/>
      <c r="U46" s="15"/>
      <c r="V46" s="11"/>
      <c r="W46" s="29"/>
      <c r="X46" s="15"/>
      <c r="Y46" s="11"/>
      <c r="Z46" s="11"/>
      <c r="AA46" s="11"/>
      <c r="AB46" s="11"/>
      <c r="AC46" s="11"/>
      <c r="AD46" s="11"/>
      <c r="AE46" s="15"/>
      <c r="AF46" s="11"/>
      <c r="AG46" s="11"/>
      <c r="AH46" s="15"/>
      <c r="AI46" s="15"/>
      <c r="AJ46" s="15"/>
      <c r="AK46" s="11"/>
      <c r="AL46" s="15"/>
      <c r="AM46" s="11"/>
      <c r="AN46" s="11"/>
      <c r="AO46" s="15"/>
      <c r="AP46" s="11"/>
      <c r="AQ46" s="11"/>
      <c r="AR46" s="15"/>
      <c r="AS46" s="15"/>
      <c r="AT46" s="15"/>
      <c r="AU46" s="11"/>
      <c r="AV46" s="15"/>
      <c r="AW46" s="11"/>
      <c r="AX46" s="11"/>
      <c r="AY46" s="15"/>
      <c r="AZ46" s="11"/>
      <c r="BA46" s="11"/>
      <c r="BB46" s="15"/>
      <c r="BC46" s="15"/>
      <c r="BD46" s="15"/>
      <c r="BE46" s="11"/>
      <c r="BF46" s="15"/>
      <c r="BG46" s="11"/>
      <c r="BH46" s="11"/>
      <c r="BI46" s="15"/>
      <c r="BJ46" s="11"/>
      <c r="BK46" s="11"/>
      <c r="BL46" s="15"/>
      <c r="BM46" s="15"/>
      <c r="BN46" s="15"/>
      <c r="BO46" s="11"/>
      <c r="BP46" s="15"/>
      <c r="BQ46" s="11"/>
      <c r="BR46" s="11"/>
      <c r="BS46" s="15"/>
      <c r="BT46" s="11"/>
      <c r="BU46" s="11"/>
      <c r="BV46" s="15"/>
      <c r="BW46" s="11"/>
      <c r="BX46" s="11"/>
      <c r="BY46" s="11"/>
      <c r="BZ46" s="11"/>
      <c r="CA46" s="28" t="str">
        <f t="shared" si="0"/>
        <v/>
      </c>
      <c r="CB46" s="28"/>
      <c r="CC46" s="11"/>
      <c r="CD46" s="29"/>
      <c r="CE46" s="11"/>
      <c r="CF46" s="11"/>
      <c r="CG46" s="11"/>
      <c r="CH46" s="11"/>
      <c r="CI46" s="11"/>
      <c r="CJ46" s="11"/>
      <c r="CK46" s="11"/>
      <c r="CL46" s="28" t="str">
        <f t="shared" si="1"/>
        <v/>
      </c>
      <c r="CM46" s="28"/>
      <c r="CN46" s="11"/>
      <c r="CO46" s="29"/>
      <c r="CP46" s="11"/>
      <c r="CQ46" s="11"/>
      <c r="CR46" s="11"/>
      <c r="CS46" s="11"/>
      <c r="CT46" s="11"/>
      <c r="CU46" s="11"/>
      <c r="CV46" s="11"/>
      <c r="CW46" s="11"/>
      <c r="CX46" s="29"/>
      <c r="CY46" s="28"/>
      <c r="CZ46" s="11"/>
      <c r="DA46" s="11"/>
      <c r="DB46" s="11"/>
      <c r="DC46" s="29"/>
      <c r="DD46" s="28"/>
      <c r="DE46" s="11"/>
      <c r="DF46" s="11"/>
      <c r="DG46" s="11"/>
      <c r="DH46" s="29"/>
      <c r="DI46" s="28"/>
      <c r="DJ46" s="11"/>
      <c r="DK46" s="11"/>
      <c r="DL46" s="11"/>
      <c r="DM46" s="29"/>
      <c r="DN46" s="28"/>
      <c r="DO46" s="30" t="str">
        <f>IF(F46="","",IF(DP46="not a match","",IF(DP46="full_name",VLOOKUP(F46,'Internal -- Patent Countries'!B:I,5,FALSE),IF(DP46="polity_shortest_name",VLOOKUP(F46,'Internal -- Patent Countries'!C:I,4,FALSE),IF(DP46="polity_full_name",VLOOKUP(F46,'Internal -- Patent Countries'!D:I,3,FALSE),IF(DP46="polity_common_name",VLOOKUP(F46,'Internal -- Patent Countries'!E:I,2,FALSE),IF(DP46="shortest_name",F46)))))))</f>
        <v/>
      </c>
      <c r="DP46" s="30" t="str">
        <f>IF(F46="","",IF(COUNTIF('Internal -- Patent Countries'!B:B,F46)&gt;0,"full_name",IF(COUNTIF('Internal -- Patent Countries'!C:C,F46)&gt;0,"polity_shortest_name",IF(COUNTIF('Internal -- Patent Countries'!D:D,F46)&gt;0,"polity_full_name",IF(COUNTIF('Internal -- Patent Countries'!E:E,F46)&gt;0,"polity_common_name",IF(COUNTIF('Internal -- Patent Countries'!A:A,F46)&gt;0,"shortest_name","not a match"))))))</f>
        <v/>
      </c>
      <c r="DQ46" s="30"/>
      <c r="DR46" s="30"/>
      <c r="DS46" s="30"/>
      <c r="DT46" s="30"/>
      <c r="DU46" s="30"/>
      <c r="DV46" s="50" t="str">
        <f t="shared" si="2"/>
        <v/>
      </c>
      <c r="DW46" s="30" t="str">
        <f t="shared" si="3"/>
        <v/>
      </c>
    </row>
    <row r="47" spans="1:127" ht="16.5">
      <c r="A47" s="11"/>
      <c r="B47" s="11"/>
      <c r="C47" s="11"/>
      <c r="D47" s="27"/>
      <c r="E47" s="11"/>
      <c r="F47" s="29"/>
      <c r="G47" s="11"/>
      <c r="H47" s="11"/>
      <c r="I47" s="11"/>
      <c r="J47" s="15"/>
      <c r="K47" s="11"/>
      <c r="L47" s="15"/>
      <c r="M47" s="11"/>
      <c r="N47" s="15"/>
      <c r="O47" s="15"/>
      <c r="P47" s="11"/>
      <c r="Q47" s="11"/>
      <c r="R47" s="11"/>
      <c r="S47" s="15"/>
      <c r="T47" s="15"/>
      <c r="U47" s="15"/>
      <c r="V47" s="11"/>
      <c r="W47" s="29"/>
      <c r="X47" s="15"/>
      <c r="Y47" s="11"/>
      <c r="Z47" s="11"/>
      <c r="AA47" s="11"/>
      <c r="AB47" s="11"/>
      <c r="AC47" s="11"/>
      <c r="AD47" s="11"/>
      <c r="AE47" s="15"/>
      <c r="AF47" s="11"/>
      <c r="AG47" s="11"/>
      <c r="AH47" s="15"/>
      <c r="AI47" s="15"/>
      <c r="AJ47" s="15"/>
      <c r="AK47" s="11"/>
      <c r="AL47" s="15"/>
      <c r="AM47" s="11"/>
      <c r="AN47" s="11"/>
      <c r="AO47" s="15"/>
      <c r="AP47" s="11"/>
      <c r="AQ47" s="11"/>
      <c r="AR47" s="15"/>
      <c r="AS47" s="15"/>
      <c r="AT47" s="15"/>
      <c r="AU47" s="11"/>
      <c r="AV47" s="15"/>
      <c r="AW47" s="11"/>
      <c r="AX47" s="11"/>
      <c r="AY47" s="15"/>
      <c r="AZ47" s="11"/>
      <c r="BA47" s="11"/>
      <c r="BB47" s="15"/>
      <c r="BC47" s="15"/>
      <c r="BD47" s="15"/>
      <c r="BE47" s="11"/>
      <c r="BF47" s="15"/>
      <c r="BG47" s="11"/>
      <c r="BH47" s="11"/>
      <c r="BI47" s="15"/>
      <c r="BJ47" s="11"/>
      <c r="BK47" s="11"/>
      <c r="BL47" s="15"/>
      <c r="BM47" s="15"/>
      <c r="BN47" s="15"/>
      <c r="BO47" s="11"/>
      <c r="BP47" s="15"/>
      <c r="BQ47" s="11"/>
      <c r="BR47" s="11"/>
      <c r="BS47" s="15"/>
      <c r="BT47" s="11"/>
      <c r="BU47" s="11"/>
      <c r="BV47" s="15"/>
      <c r="BW47" s="11"/>
      <c r="BX47" s="11"/>
      <c r="BY47" s="11"/>
      <c r="BZ47" s="11"/>
      <c r="CA47" s="28" t="str">
        <f t="shared" si="0"/>
        <v/>
      </c>
      <c r="CB47" s="28"/>
      <c r="CC47" s="11"/>
      <c r="CD47" s="29"/>
      <c r="CE47" s="11"/>
      <c r="CF47" s="11"/>
      <c r="CG47" s="11"/>
      <c r="CH47" s="11"/>
      <c r="CI47" s="11"/>
      <c r="CJ47" s="11"/>
      <c r="CK47" s="11"/>
      <c r="CL47" s="28" t="str">
        <f t="shared" si="1"/>
        <v/>
      </c>
      <c r="CM47" s="28"/>
      <c r="CN47" s="11"/>
      <c r="CO47" s="29"/>
      <c r="CP47" s="11"/>
      <c r="CQ47" s="11"/>
      <c r="CR47" s="11"/>
      <c r="CS47" s="11"/>
      <c r="CT47" s="11"/>
      <c r="CU47" s="11"/>
      <c r="CV47" s="11"/>
      <c r="CW47" s="11"/>
      <c r="CX47" s="29"/>
      <c r="CY47" s="28"/>
      <c r="CZ47" s="11"/>
      <c r="DA47" s="11"/>
      <c r="DB47" s="11"/>
      <c r="DC47" s="29"/>
      <c r="DD47" s="28"/>
      <c r="DE47" s="11"/>
      <c r="DF47" s="11"/>
      <c r="DG47" s="11"/>
      <c r="DH47" s="29"/>
      <c r="DI47" s="28"/>
      <c r="DJ47" s="11"/>
      <c r="DK47" s="11"/>
      <c r="DL47" s="11"/>
      <c r="DM47" s="29"/>
      <c r="DN47" s="28"/>
      <c r="DO47" s="30" t="str">
        <f>IF(F47="","",IF(DP47="not a match","",IF(DP47="full_name",VLOOKUP(F47,'Internal -- Patent Countries'!B:I,5,FALSE),IF(DP47="polity_shortest_name",VLOOKUP(F47,'Internal -- Patent Countries'!C:I,4,FALSE),IF(DP47="polity_full_name",VLOOKUP(F47,'Internal -- Patent Countries'!D:I,3,FALSE),IF(DP47="polity_common_name",VLOOKUP(F47,'Internal -- Patent Countries'!E:I,2,FALSE),IF(DP47="shortest_name",F47)))))))</f>
        <v/>
      </c>
      <c r="DP47" s="30" t="str">
        <f>IF(F47="","",IF(COUNTIF('Internal -- Patent Countries'!B:B,F47)&gt;0,"full_name",IF(COUNTIF('Internal -- Patent Countries'!C:C,F47)&gt;0,"polity_shortest_name",IF(COUNTIF('Internal -- Patent Countries'!D:D,F47)&gt;0,"polity_full_name",IF(COUNTIF('Internal -- Patent Countries'!E:E,F47)&gt;0,"polity_common_name",IF(COUNTIF('Internal -- Patent Countries'!A:A,F47)&gt;0,"shortest_name","not a match"))))))</f>
        <v/>
      </c>
      <c r="DQ47" s="30"/>
      <c r="DR47" s="30"/>
      <c r="DS47" s="30"/>
      <c r="DT47" s="30"/>
      <c r="DU47" s="30"/>
      <c r="DV47" s="50" t="str">
        <f t="shared" si="2"/>
        <v/>
      </c>
      <c r="DW47" s="30" t="str">
        <f t="shared" si="3"/>
        <v/>
      </c>
    </row>
    <row r="48" spans="1:127" ht="16.5">
      <c r="A48" s="11"/>
      <c r="B48" s="11"/>
      <c r="C48" s="11"/>
      <c r="D48" s="27"/>
      <c r="E48" s="11"/>
      <c r="F48" s="29"/>
      <c r="G48" s="11"/>
      <c r="H48" s="11"/>
      <c r="I48" s="11"/>
      <c r="J48" s="15"/>
      <c r="K48" s="11"/>
      <c r="L48" s="15"/>
      <c r="M48" s="11"/>
      <c r="N48" s="15"/>
      <c r="O48" s="15"/>
      <c r="P48" s="11"/>
      <c r="Q48" s="11"/>
      <c r="R48" s="11"/>
      <c r="S48" s="15"/>
      <c r="T48" s="15"/>
      <c r="U48" s="15"/>
      <c r="V48" s="11"/>
      <c r="W48" s="29"/>
      <c r="X48" s="15"/>
      <c r="Y48" s="11"/>
      <c r="Z48" s="11"/>
      <c r="AA48" s="11"/>
      <c r="AB48" s="11"/>
      <c r="AC48" s="11"/>
      <c r="AD48" s="11"/>
      <c r="AE48" s="15"/>
      <c r="AF48" s="11"/>
      <c r="AG48" s="11"/>
      <c r="AH48" s="15"/>
      <c r="AI48" s="15"/>
      <c r="AJ48" s="15"/>
      <c r="AK48" s="11"/>
      <c r="AL48" s="15"/>
      <c r="AM48" s="11"/>
      <c r="AN48" s="11"/>
      <c r="AO48" s="15"/>
      <c r="AP48" s="11"/>
      <c r="AQ48" s="11"/>
      <c r="AR48" s="15"/>
      <c r="AS48" s="15"/>
      <c r="AT48" s="15"/>
      <c r="AU48" s="11"/>
      <c r="AV48" s="15"/>
      <c r="AW48" s="11"/>
      <c r="AX48" s="11"/>
      <c r="AY48" s="15"/>
      <c r="AZ48" s="11"/>
      <c r="BA48" s="11"/>
      <c r="BB48" s="15"/>
      <c r="BC48" s="15"/>
      <c r="BD48" s="15"/>
      <c r="BE48" s="11"/>
      <c r="BF48" s="15"/>
      <c r="BG48" s="11"/>
      <c r="BH48" s="11"/>
      <c r="BI48" s="15"/>
      <c r="BJ48" s="11"/>
      <c r="BK48" s="11"/>
      <c r="BL48" s="15"/>
      <c r="BM48" s="15"/>
      <c r="BN48" s="15"/>
      <c r="BO48" s="11"/>
      <c r="BP48" s="15"/>
      <c r="BQ48" s="11"/>
      <c r="BR48" s="11"/>
      <c r="BS48" s="15"/>
      <c r="BT48" s="11"/>
      <c r="BU48" s="11"/>
      <c r="BV48" s="15"/>
      <c r="BW48" s="11"/>
      <c r="BX48" s="11"/>
      <c r="BY48" s="11"/>
      <c r="BZ48" s="11"/>
      <c r="CA48" s="28" t="str">
        <f t="shared" si="0"/>
        <v/>
      </c>
      <c r="CB48" s="28"/>
      <c r="CC48" s="11"/>
      <c r="CD48" s="29"/>
      <c r="CE48" s="11"/>
      <c r="CF48" s="11"/>
      <c r="CG48" s="11"/>
      <c r="CH48" s="11"/>
      <c r="CI48" s="11"/>
      <c r="CJ48" s="11"/>
      <c r="CK48" s="11"/>
      <c r="CL48" s="28" t="str">
        <f t="shared" si="1"/>
        <v/>
      </c>
      <c r="CM48" s="28"/>
      <c r="CN48" s="11"/>
      <c r="CO48" s="29"/>
      <c r="CP48" s="11"/>
      <c r="CQ48" s="11"/>
      <c r="CR48" s="11"/>
      <c r="CS48" s="11"/>
      <c r="CT48" s="11"/>
      <c r="CU48" s="11"/>
      <c r="CV48" s="11"/>
      <c r="CW48" s="11"/>
      <c r="CX48" s="29"/>
      <c r="CY48" s="28"/>
      <c r="CZ48" s="11"/>
      <c r="DA48" s="11"/>
      <c r="DB48" s="11"/>
      <c r="DC48" s="29"/>
      <c r="DD48" s="28"/>
      <c r="DE48" s="11"/>
      <c r="DF48" s="11"/>
      <c r="DG48" s="11"/>
      <c r="DH48" s="29"/>
      <c r="DI48" s="28"/>
      <c r="DJ48" s="11"/>
      <c r="DK48" s="11"/>
      <c r="DL48" s="11"/>
      <c r="DM48" s="29"/>
      <c r="DN48" s="28"/>
      <c r="DO48" s="30" t="str">
        <f>IF(F48="","",IF(DP48="not a match","",IF(DP48="full_name",VLOOKUP(F48,'Internal -- Patent Countries'!B:I,5,FALSE),IF(DP48="polity_shortest_name",VLOOKUP(F48,'Internal -- Patent Countries'!C:I,4,FALSE),IF(DP48="polity_full_name",VLOOKUP(F48,'Internal -- Patent Countries'!D:I,3,FALSE),IF(DP48="polity_common_name",VLOOKUP(F48,'Internal -- Patent Countries'!E:I,2,FALSE),IF(DP48="shortest_name",F48)))))))</f>
        <v/>
      </c>
      <c r="DP48" s="30" t="str">
        <f>IF(F48="","",IF(COUNTIF('Internal -- Patent Countries'!B:B,F48)&gt;0,"full_name",IF(COUNTIF('Internal -- Patent Countries'!C:C,F48)&gt;0,"polity_shortest_name",IF(COUNTIF('Internal -- Patent Countries'!D:D,F48)&gt;0,"polity_full_name",IF(COUNTIF('Internal -- Patent Countries'!E:E,F48)&gt;0,"polity_common_name",IF(COUNTIF('Internal -- Patent Countries'!A:A,F48)&gt;0,"shortest_name","not a match"))))))</f>
        <v/>
      </c>
      <c r="DQ48" s="30"/>
      <c r="DR48" s="30"/>
      <c r="DS48" s="30"/>
      <c r="DT48" s="30"/>
      <c r="DU48" s="30"/>
      <c r="DV48" s="50" t="str">
        <f t="shared" si="2"/>
        <v/>
      </c>
      <c r="DW48" s="30" t="str">
        <f t="shared" si="3"/>
        <v/>
      </c>
    </row>
    <row r="49" spans="1:127" ht="16.5">
      <c r="A49" s="11"/>
      <c r="B49" s="11"/>
      <c r="C49" s="11"/>
      <c r="D49" s="27"/>
      <c r="E49" s="11"/>
      <c r="F49" s="29"/>
      <c r="G49" s="11"/>
      <c r="H49" s="11"/>
      <c r="I49" s="11"/>
      <c r="J49" s="15"/>
      <c r="K49" s="11"/>
      <c r="L49" s="15"/>
      <c r="M49" s="11"/>
      <c r="N49" s="15"/>
      <c r="O49" s="15"/>
      <c r="P49" s="11"/>
      <c r="Q49" s="11"/>
      <c r="R49" s="11"/>
      <c r="S49" s="15"/>
      <c r="T49" s="15"/>
      <c r="U49" s="15"/>
      <c r="V49" s="11"/>
      <c r="W49" s="29"/>
      <c r="X49" s="15"/>
      <c r="Y49" s="11"/>
      <c r="Z49" s="11"/>
      <c r="AA49" s="11"/>
      <c r="AB49" s="11"/>
      <c r="AC49" s="11"/>
      <c r="AD49" s="11"/>
      <c r="AE49" s="15"/>
      <c r="AF49" s="11"/>
      <c r="AG49" s="11"/>
      <c r="AH49" s="15"/>
      <c r="AI49" s="15"/>
      <c r="AJ49" s="15"/>
      <c r="AK49" s="11"/>
      <c r="AL49" s="15"/>
      <c r="AM49" s="11"/>
      <c r="AN49" s="11"/>
      <c r="AO49" s="15"/>
      <c r="AP49" s="11"/>
      <c r="AQ49" s="11"/>
      <c r="AR49" s="15"/>
      <c r="AS49" s="15"/>
      <c r="AT49" s="15"/>
      <c r="AU49" s="11"/>
      <c r="AV49" s="15"/>
      <c r="AW49" s="11"/>
      <c r="AX49" s="11"/>
      <c r="AY49" s="15"/>
      <c r="AZ49" s="11"/>
      <c r="BA49" s="11"/>
      <c r="BB49" s="15"/>
      <c r="BC49" s="15"/>
      <c r="BD49" s="15"/>
      <c r="BE49" s="11"/>
      <c r="BF49" s="15"/>
      <c r="BG49" s="11"/>
      <c r="BH49" s="11"/>
      <c r="BI49" s="15"/>
      <c r="BJ49" s="11"/>
      <c r="BK49" s="11"/>
      <c r="BL49" s="15"/>
      <c r="BM49" s="15"/>
      <c r="BN49" s="15"/>
      <c r="BO49" s="11"/>
      <c r="BP49" s="15"/>
      <c r="BQ49" s="11"/>
      <c r="BR49" s="11"/>
      <c r="BS49" s="15"/>
      <c r="BT49" s="11"/>
      <c r="BU49" s="11"/>
      <c r="BV49" s="15"/>
      <c r="BW49" s="11"/>
      <c r="BX49" s="11"/>
      <c r="BY49" s="11"/>
      <c r="BZ49" s="11"/>
      <c r="CA49" s="28" t="str">
        <f t="shared" si="0"/>
        <v/>
      </c>
      <c r="CB49" s="28"/>
      <c r="CC49" s="11"/>
      <c r="CD49" s="29"/>
      <c r="CE49" s="11"/>
      <c r="CF49" s="11"/>
      <c r="CG49" s="11"/>
      <c r="CH49" s="11"/>
      <c r="CI49" s="11"/>
      <c r="CJ49" s="11"/>
      <c r="CK49" s="11"/>
      <c r="CL49" s="28" t="str">
        <f t="shared" si="1"/>
        <v/>
      </c>
      <c r="CM49" s="28"/>
      <c r="CN49" s="11"/>
      <c r="CO49" s="29"/>
      <c r="CP49" s="11"/>
      <c r="CQ49" s="11"/>
      <c r="CR49" s="11"/>
      <c r="CS49" s="11"/>
      <c r="CT49" s="11"/>
      <c r="CU49" s="11"/>
      <c r="CV49" s="11"/>
      <c r="CW49" s="11"/>
      <c r="CX49" s="29"/>
      <c r="CY49" s="28"/>
      <c r="CZ49" s="11"/>
      <c r="DA49" s="11"/>
      <c r="DB49" s="11"/>
      <c r="DC49" s="29"/>
      <c r="DD49" s="28"/>
      <c r="DE49" s="11"/>
      <c r="DF49" s="11"/>
      <c r="DG49" s="11"/>
      <c r="DH49" s="29"/>
      <c r="DI49" s="28"/>
      <c r="DJ49" s="11"/>
      <c r="DK49" s="11"/>
      <c r="DL49" s="11"/>
      <c r="DM49" s="29"/>
      <c r="DN49" s="28"/>
      <c r="DO49" s="30" t="str">
        <f>IF(F49="","",IF(DP49="not a match","",IF(DP49="full_name",VLOOKUP(F49,'Internal -- Patent Countries'!B:I,5,FALSE),IF(DP49="polity_shortest_name",VLOOKUP(F49,'Internal -- Patent Countries'!C:I,4,FALSE),IF(DP49="polity_full_name",VLOOKUP(F49,'Internal -- Patent Countries'!D:I,3,FALSE),IF(DP49="polity_common_name",VLOOKUP(F49,'Internal -- Patent Countries'!E:I,2,FALSE),IF(DP49="shortest_name",F49)))))))</f>
        <v/>
      </c>
      <c r="DP49" s="30" t="str">
        <f>IF(F49="","",IF(COUNTIF('Internal -- Patent Countries'!B:B,F49)&gt;0,"full_name",IF(COUNTIF('Internal -- Patent Countries'!C:C,F49)&gt;0,"polity_shortest_name",IF(COUNTIF('Internal -- Patent Countries'!D:D,F49)&gt;0,"polity_full_name",IF(COUNTIF('Internal -- Patent Countries'!E:E,F49)&gt;0,"polity_common_name",IF(COUNTIF('Internal -- Patent Countries'!A:A,F49)&gt;0,"shortest_name","not a match"))))))</f>
        <v/>
      </c>
      <c r="DQ49" s="30"/>
      <c r="DR49" s="30"/>
      <c r="DS49" s="30"/>
      <c r="DT49" s="30"/>
      <c r="DU49" s="30"/>
      <c r="DV49" s="50" t="str">
        <f t="shared" si="2"/>
        <v/>
      </c>
      <c r="DW49" s="30" t="str">
        <f t="shared" si="3"/>
        <v/>
      </c>
    </row>
    <row r="50" spans="1:127" ht="16.5">
      <c r="A50" s="11"/>
      <c r="B50" s="11"/>
      <c r="C50" s="11"/>
      <c r="D50" s="27"/>
      <c r="E50" s="11"/>
      <c r="F50" s="29"/>
      <c r="G50" s="11"/>
      <c r="H50" s="11"/>
      <c r="I50" s="11"/>
      <c r="J50" s="15"/>
      <c r="K50" s="11"/>
      <c r="L50" s="15"/>
      <c r="M50" s="11"/>
      <c r="N50" s="15"/>
      <c r="O50" s="15"/>
      <c r="P50" s="11"/>
      <c r="Q50" s="11"/>
      <c r="R50" s="11"/>
      <c r="S50" s="15"/>
      <c r="T50" s="15"/>
      <c r="U50" s="15"/>
      <c r="V50" s="11"/>
      <c r="W50" s="29"/>
      <c r="X50" s="15"/>
      <c r="Y50" s="11"/>
      <c r="Z50" s="11"/>
      <c r="AA50" s="11"/>
      <c r="AB50" s="11"/>
      <c r="AC50" s="11"/>
      <c r="AD50" s="11"/>
      <c r="AE50" s="15"/>
      <c r="AF50" s="11"/>
      <c r="AG50" s="11"/>
      <c r="AH50" s="15"/>
      <c r="AI50" s="15"/>
      <c r="AJ50" s="15"/>
      <c r="AK50" s="11"/>
      <c r="AL50" s="15"/>
      <c r="AM50" s="11"/>
      <c r="AN50" s="11"/>
      <c r="AO50" s="15"/>
      <c r="AP50" s="11"/>
      <c r="AQ50" s="11"/>
      <c r="AR50" s="15"/>
      <c r="AS50" s="15"/>
      <c r="AT50" s="15"/>
      <c r="AU50" s="11"/>
      <c r="AV50" s="15"/>
      <c r="AW50" s="11"/>
      <c r="AX50" s="11"/>
      <c r="AY50" s="15"/>
      <c r="AZ50" s="11"/>
      <c r="BA50" s="11"/>
      <c r="BB50" s="15"/>
      <c r="BC50" s="15"/>
      <c r="BD50" s="15"/>
      <c r="BE50" s="11"/>
      <c r="BF50" s="15"/>
      <c r="BG50" s="11"/>
      <c r="BH50" s="11"/>
      <c r="BI50" s="15"/>
      <c r="BJ50" s="11"/>
      <c r="BK50" s="11"/>
      <c r="BL50" s="15"/>
      <c r="BM50" s="15"/>
      <c r="BN50" s="15"/>
      <c r="BO50" s="11"/>
      <c r="BP50" s="15"/>
      <c r="BQ50" s="11"/>
      <c r="BR50" s="11"/>
      <c r="BS50" s="15"/>
      <c r="BT50" s="11"/>
      <c r="BU50" s="11"/>
      <c r="BV50" s="15"/>
      <c r="BW50" s="11"/>
      <c r="BX50" s="11"/>
      <c r="BY50" s="11"/>
      <c r="BZ50" s="11"/>
      <c r="CA50" s="28" t="str">
        <f t="shared" si="0"/>
        <v/>
      </c>
      <c r="CB50" s="28"/>
      <c r="CC50" s="11"/>
      <c r="CD50" s="29"/>
      <c r="CE50" s="11"/>
      <c r="CF50" s="11"/>
      <c r="CG50" s="11"/>
      <c r="CH50" s="11"/>
      <c r="CI50" s="11"/>
      <c r="CJ50" s="11"/>
      <c r="CK50" s="11"/>
      <c r="CL50" s="28" t="str">
        <f t="shared" si="1"/>
        <v/>
      </c>
      <c r="CM50" s="28"/>
      <c r="CN50" s="11"/>
      <c r="CO50" s="29"/>
      <c r="CP50" s="11"/>
      <c r="CQ50" s="11"/>
      <c r="CR50" s="11"/>
      <c r="CS50" s="11"/>
      <c r="CT50" s="11"/>
      <c r="CU50" s="11"/>
      <c r="CV50" s="11"/>
      <c r="CW50" s="11"/>
      <c r="CX50" s="29"/>
      <c r="CY50" s="28"/>
      <c r="CZ50" s="11"/>
      <c r="DA50" s="11"/>
      <c r="DB50" s="11"/>
      <c r="DC50" s="29"/>
      <c r="DD50" s="28"/>
      <c r="DE50" s="11"/>
      <c r="DF50" s="11"/>
      <c r="DG50" s="11"/>
      <c r="DH50" s="29"/>
      <c r="DI50" s="28"/>
      <c r="DJ50" s="11"/>
      <c r="DK50" s="11"/>
      <c r="DL50" s="11"/>
      <c r="DM50" s="29"/>
      <c r="DN50" s="28"/>
      <c r="DO50" s="30" t="str">
        <f>IF(F50="","",IF(DP50="not a match","",IF(DP50="full_name",VLOOKUP(F50,'Internal -- Patent Countries'!B:I,5,FALSE),IF(DP50="polity_shortest_name",VLOOKUP(F50,'Internal -- Patent Countries'!C:I,4,FALSE),IF(DP50="polity_full_name",VLOOKUP(F50,'Internal -- Patent Countries'!D:I,3,FALSE),IF(DP50="polity_common_name",VLOOKUP(F50,'Internal -- Patent Countries'!E:I,2,FALSE),IF(DP50="shortest_name",F50)))))))</f>
        <v/>
      </c>
      <c r="DP50" s="30" t="str">
        <f>IF(F50="","",IF(COUNTIF('Internal -- Patent Countries'!B:B,F50)&gt;0,"full_name",IF(COUNTIF('Internal -- Patent Countries'!C:C,F50)&gt;0,"polity_shortest_name",IF(COUNTIF('Internal -- Patent Countries'!D:D,F50)&gt;0,"polity_full_name",IF(COUNTIF('Internal -- Patent Countries'!E:E,F50)&gt;0,"polity_common_name",IF(COUNTIF('Internal -- Patent Countries'!A:A,F50)&gt;0,"shortest_name","not a match"))))))</f>
        <v/>
      </c>
      <c r="DQ50" s="30"/>
      <c r="DR50" s="30"/>
      <c r="DS50" s="30"/>
      <c r="DT50" s="30"/>
      <c r="DU50" s="30"/>
      <c r="DV50" s="50" t="str">
        <f t="shared" si="2"/>
        <v/>
      </c>
      <c r="DW50" s="30" t="str">
        <f t="shared" si="3"/>
        <v/>
      </c>
    </row>
    <row r="51" spans="1:127" ht="16.5">
      <c r="A51" s="11"/>
      <c r="B51" s="11"/>
      <c r="C51" s="11"/>
      <c r="D51" s="27"/>
      <c r="E51" s="11"/>
      <c r="F51" s="29"/>
      <c r="G51" s="11"/>
      <c r="H51" s="11"/>
      <c r="I51" s="11"/>
      <c r="J51" s="15"/>
      <c r="K51" s="11"/>
      <c r="L51" s="15"/>
      <c r="M51" s="11"/>
      <c r="N51" s="15"/>
      <c r="O51" s="15"/>
      <c r="P51" s="11"/>
      <c r="Q51" s="11"/>
      <c r="R51" s="11"/>
      <c r="S51" s="15"/>
      <c r="T51" s="15"/>
      <c r="U51" s="15"/>
      <c r="V51" s="11"/>
      <c r="W51" s="29"/>
      <c r="X51" s="15"/>
      <c r="Y51" s="11"/>
      <c r="Z51" s="11"/>
      <c r="AA51" s="11"/>
      <c r="AB51" s="11"/>
      <c r="AC51" s="11"/>
      <c r="AD51" s="11"/>
      <c r="AE51" s="15"/>
      <c r="AF51" s="11"/>
      <c r="AG51" s="11"/>
      <c r="AH51" s="15"/>
      <c r="AI51" s="15"/>
      <c r="AJ51" s="15"/>
      <c r="AK51" s="11"/>
      <c r="AL51" s="15"/>
      <c r="AM51" s="11"/>
      <c r="AN51" s="11"/>
      <c r="AO51" s="15"/>
      <c r="AP51" s="11"/>
      <c r="AQ51" s="11"/>
      <c r="AR51" s="15"/>
      <c r="AS51" s="15"/>
      <c r="AT51" s="15"/>
      <c r="AU51" s="11"/>
      <c r="AV51" s="15"/>
      <c r="AW51" s="11"/>
      <c r="AX51" s="11"/>
      <c r="AY51" s="15"/>
      <c r="AZ51" s="11"/>
      <c r="BA51" s="11"/>
      <c r="BB51" s="15"/>
      <c r="BC51" s="15"/>
      <c r="BD51" s="15"/>
      <c r="BE51" s="11"/>
      <c r="BF51" s="15"/>
      <c r="BG51" s="11"/>
      <c r="BH51" s="11"/>
      <c r="BI51" s="15"/>
      <c r="BJ51" s="11"/>
      <c r="BK51" s="11"/>
      <c r="BL51" s="15"/>
      <c r="BM51" s="15"/>
      <c r="BN51" s="15"/>
      <c r="BO51" s="11"/>
      <c r="BP51" s="15"/>
      <c r="BQ51" s="11"/>
      <c r="BR51" s="11"/>
      <c r="BS51" s="15"/>
      <c r="BT51" s="11"/>
      <c r="BU51" s="11"/>
      <c r="BV51" s="15"/>
      <c r="BW51" s="11"/>
      <c r="BX51" s="11"/>
      <c r="BY51" s="11"/>
      <c r="BZ51" s="11"/>
      <c r="CA51" s="28" t="str">
        <f t="shared" si="0"/>
        <v/>
      </c>
      <c r="CB51" s="28"/>
      <c r="CC51" s="11"/>
      <c r="CD51" s="29"/>
      <c r="CE51" s="11"/>
      <c r="CF51" s="11"/>
      <c r="CG51" s="11"/>
      <c r="CH51" s="11"/>
      <c r="CI51" s="11"/>
      <c r="CJ51" s="11"/>
      <c r="CK51" s="11"/>
      <c r="CL51" s="28" t="str">
        <f t="shared" si="1"/>
        <v/>
      </c>
      <c r="CM51" s="28"/>
      <c r="CN51" s="11"/>
      <c r="CO51" s="29"/>
      <c r="CP51" s="11"/>
      <c r="CQ51" s="11"/>
      <c r="CR51" s="11"/>
      <c r="CS51" s="11"/>
      <c r="CT51" s="11"/>
      <c r="CU51" s="11"/>
      <c r="CV51" s="11"/>
      <c r="CW51" s="11"/>
      <c r="CX51" s="29"/>
      <c r="CY51" s="28"/>
      <c r="CZ51" s="11"/>
      <c r="DA51" s="11"/>
      <c r="DB51" s="11"/>
      <c r="DC51" s="29"/>
      <c r="DD51" s="28"/>
      <c r="DE51" s="11"/>
      <c r="DF51" s="11"/>
      <c r="DG51" s="11"/>
      <c r="DH51" s="29"/>
      <c r="DI51" s="28"/>
      <c r="DJ51" s="11"/>
      <c r="DK51" s="11"/>
      <c r="DL51" s="11"/>
      <c r="DM51" s="29"/>
      <c r="DN51" s="28"/>
      <c r="DO51" s="30" t="str">
        <f>IF(F51="","",IF(DP51="not a match","",IF(DP51="full_name",VLOOKUP(F51,'Internal -- Patent Countries'!B:I,5,FALSE),IF(DP51="polity_shortest_name",VLOOKUP(F51,'Internal -- Patent Countries'!C:I,4,FALSE),IF(DP51="polity_full_name",VLOOKUP(F51,'Internal -- Patent Countries'!D:I,3,FALSE),IF(DP51="polity_common_name",VLOOKUP(F51,'Internal -- Patent Countries'!E:I,2,FALSE),IF(DP51="shortest_name",F51)))))))</f>
        <v/>
      </c>
      <c r="DP51" s="30" t="str">
        <f>IF(F51="","",IF(COUNTIF('Internal -- Patent Countries'!B:B,F51)&gt;0,"full_name",IF(COUNTIF('Internal -- Patent Countries'!C:C,F51)&gt;0,"polity_shortest_name",IF(COUNTIF('Internal -- Patent Countries'!D:D,F51)&gt;0,"polity_full_name",IF(COUNTIF('Internal -- Patent Countries'!E:E,F51)&gt;0,"polity_common_name",IF(COUNTIF('Internal -- Patent Countries'!A:A,F51)&gt;0,"shortest_name","not a match"))))))</f>
        <v/>
      </c>
      <c r="DQ51" s="30"/>
      <c r="DR51" s="30"/>
      <c r="DS51" s="30"/>
      <c r="DT51" s="30"/>
      <c r="DU51" s="30"/>
      <c r="DV51" s="50" t="str">
        <f t="shared" si="2"/>
        <v/>
      </c>
      <c r="DW51" s="30" t="str">
        <f t="shared" si="3"/>
        <v/>
      </c>
    </row>
    <row r="52" spans="1:127" ht="16.5">
      <c r="A52" s="11"/>
      <c r="B52" s="11"/>
      <c r="C52" s="11"/>
      <c r="D52" s="27"/>
      <c r="E52" s="11"/>
      <c r="F52" s="29"/>
      <c r="G52" s="11"/>
      <c r="H52" s="11"/>
      <c r="I52" s="11"/>
      <c r="J52" s="15"/>
      <c r="K52" s="11"/>
      <c r="L52" s="15"/>
      <c r="M52" s="11"/>
      <c r="N52" s="15"/>
      <c r="O52" s="15"/>
      <c r="P52" s="11"/>
      <c r="Q52" s="11"/>
      <c r="R52" s="11"/>
      <c r="S52" s="15"/>
      <c r="T52" s="15"/>
      <c r="U52" s="15"/>
      <c r="V52" s="11"/>
      <c r="W52" s="29"/>
      <c r="X52" s="15"/>
      <c r="Y52" s="11"/>
      <c r="Z52" s="11"/>
      <c r="AA52" s="11"/>
      <c r="AB52" s="11"/>
      <c r="AC52" s="11"/>
      <c r="AD52" s="11"/>
      <c r="AE52" s="15"/>
      <c r="AF52" s="11"/>
      <c r="AG52" s="11"/>
      <c r="AH52" s="15"/>
      <c r="AI52" s="15"/>
      <c r="AJ52" s="15"/>
      <c r="AK52" s="11"/>
      <c r="AL52" s="15"/>
      <c r="AM52" s="11"/>
      <c r="AN52" s="11"/>
      <c r="AO52" s="15"/>
      <c r="AP52" s="11"/>
      <c r="AQ52" s="11"/>
      <c r="AR52" s="15"/>
      <c r="AS52" s="15"/>
      <c r="AT52" s="15"/>
      <c r="AU52" s="11"/>
      <c r="AV52" s="15"/>
      <c r="AW52" s="11"/>
      <c r="AX52" s="11"/>
      <c r="AY52" s="15"/>
      <c r="AZ52" s="11"/>
      <c r="BA52" s="11"/>
      <c r="BB52" s="15"/>
      <c r="BC52" s="15"/>
      <c r="BD52" s="15"/>
      <c r="BE52" s="11"/>
      <c r="BF52" s="15"/>
      <c r="BG52" s="11"/>
      <c r="BH52" s="11"/>
      <c r="BI52" s="15"/>
      <c r="BJ52" s="11"/>
      <c r="BK52" s="11"/>
      <c r="BL52" s="15"/>
      <c r="BM52" s="15"/>
      <c r="BN52" s="15"/>
      <c r="BO52" s="11"/>
      <c r="BP52" s="15"/>
      <c r="BQ52" s="11"/>
      <c r="BR52" s="11"/>
      <c r="BS52" s="15"/>
      <c r="BT52" s="11"/>
      <c r="BU52" s="11"/>
      <c r="BV52" s="15"/>
      <c r="BW52" s="11"/>
      <c r="BX52" s="11"/>
      <c r="BY52" s="11"/>
      <c r="BZ52" s="11"/>
      <c r="CA52" s="28" t="str">
        <f t="shared" si="0"/>
        <v/>
      </c>
      <c r="CB52" s="28"/>
      <c r="CC52" s="11"/>
      <c r="CD52" s="29"/>
      <c r="CE52" s="11"/>
      <c r="CF52" s="11"/>
      <c r="CG52" s="11"/>
      <c r="CH52" s="11"/>
      <c r="CI52" s="11"/>
      <c r="CJ52" s="11"/>
      <c r="CK52" s="11"/>
      <c r="CL52" s="28" t="str">
        <f t="shared" si="1"/>
        <v/>
      </c>
      <c r="CM52" s="28"/>
      <c r="CN52" s="11"/>
      <c r="CO52" s="29"/>
      <c r="CP52" s="11"/>
      <c r="CQ52" s="11"/>
      <c r="CR52" s="11"/>
      <c r="CS52" s="11"/>
      <c r="CT52" s="11"/>
      <c r="CU52" s="11"/>
      <c r="CV52" s="11"/>
      <c r="CW52" s="11"/>
      <c r="CX52" s="29"/>
      <c r="CY52" s="28"/>
      <c r="CZ52" s="11"/>
      <c r="DA52" s="11"/>
      <c r="DB52" s="11"/>
      <c r="DC52" s="29"/>
      <c r="DD52" s="28"/>
      <c r="DE52" s="11"/>
      <c r="DF52" s="11"/>
      <c r="DG52" s="11"/>
      <c r="DH52" s="29"/>
      <c r="DI52" s="28"/>
      <c r="DJ52" s="11"/>
      <c r="DK52" s="11"/>
      <c r="DL52" s="11"/>
      <c r="DM52" s="29"/>
      <c r="DN52" s="28"/>
      <c r="DO52" s="30" t="str">
        <f>IF(F52="","",IF(DP52="not a match","",IF(DP52="full_name",VLOOKUP(F52,'Internal -- Patent Countries'!B:I,5,FALSE),IF(DP52="polity_shortest_name",VLOOKUP(F52,'Internal -- Patent Countries'!C:I,4,FALSE),IF(DP52="polity_full_name",VLOOKUP(F52,'Internal -- Patent Countries'!D:I,3,FALSE),IF(DP52="polity_common_name",VLOOKUP(F52,'Internal -- Patent Countries'!E:I,2,FALSE),IF(DP52="shortest_name",F52)))))))</f>
        <v/>
      </c>
      <c r="DP52" s="30" t="str">
        <f>IF(F52="","",IF(COUNTIF('Internal -- Patent Countries'!B:B,F52)&gt;0,"full_name",IF(COUNTIF('Internal -- Patent Countries'!C:C,F52)&gt;0,"polity_shortest_name",IF(COUNTIF('Internal -- Patent Countries'!D:D,F52)&gt;0,"polity_full_name",IF(COUNTIF('Internal -- Patent Countries'!E:E,F52)&gt;0,"polity_common_name",IF(COUNTIF('Internal -- Patent Countries'!A:A,F52)&gt;0,"shortest_name","not a match"))))))</f>
        <v/>
      </c>
      <c r="DQ52" s="30"/>
      <c r="DR52" s="30"/>
      <c r="DS52" s="30"/>
      <c r="DT52" s="30"/>
      <c r="DU52" s="30"/>
      <c r="DV52" s="50" t="str">
        <f t="shared" si="2"/>
        <v/>
      </c>
      <c r="DW52" s="30" t="str">
        <f t="shared" si="3"/>
        <v/>
      </c>
    </row>
    <row r="53" spans="1:127" ht="16.5">
      <c r="A53" s="11"/>
      <c r="B53" s="11"/>
      <c r="C53" s="11"/>
      <c r="D53" s="27"/>
      <c r="E53" s="11"/>
      <c r="F53" s="29"/>
      <c r="G53" s="11"/>
      <c r="H53" s="11"/>
      <c r="I53" s="11"/>
      <c r="J53" s="15"/>
      <c r="K53" s="11"/>
      <c r="L53" s="15"/>
      <c r="M53" s="11"/>
      <c r="N53" s="15"/>
      <c r="O53" s="15"/>
      <c r="P53" s="11"/>
      <c r="Q53" s="11"/>
      <c r="R53" s="11"/>
      <c r="S53" s="15"/>
      <c r="T53" s="15"/>
      <c r="U53" s="15"/>
      <c r="V53" s="11"/>
      <c r="W53" s="29"/>
      <c r="X53" s="15"/>
      <c r="Y53" s="11"/>
      <c r="Z53" s="11"/>
      <c r="AA53" s="11"/>
      <c r="AB53" s="11"/>
      <c r="AC53" s="11"/>
      <c r="AD53" s="11"/>
      <c r="AE53" s="15"/>
      <c r="AF53" s="11"/>
      <c r="AG53" s="11"/>
      <c r="AH53" s="15"/>
      <c r="AI53" s="15"/>
      <c r="AJ53" s="15"/>
      <c r="AK53" s="11"/>
      <c r="AL53" s="15"/>
      <c r="AM53" s="11"/>
      <c r="AN53" s="11"/>
      <c r="AO53" s="15"/>
      <c r="AP53" s="11"/>
      <c r="AQ53" s="11"/>
      <c r="AR53" s="15"/>
      <c r="AS53" s="15"/>
      <c r="AT53" s="15"/>
      <c r="AU53" s="11"/>
      <c r="AV53" s="15"/>
      <c r="AW53" s="11"/>
      <c r="AX53" s="11"/>
      <c r="AY53" s="15"/>
      <c r="AZ53" s="11"/>
      <c r="BA53" s="11"/>
      <c r="BB53" s="15"/>
      <c r="BC53" s="15"/>
      <c r="BD53" s="15"/>
      <c r="BE53" s="11"/>
      <c r="BF53" s="15"/>
      <c r="BG53" s="11"/>
      <c r="BH53" s="11"/>
      <c r="BI53" s="15"/>
      <c r="BJ53" s="11"/>
      <c r="BK53" s="11"/>
      <c r="BL53" s="15"/>
      <c r="BM53" s="15"/>
      <c r="BN53" s="15"/>
      <c r="BO53" s="11"/>
      <c r="BP53" s="15"/>
      <c r="BQ53" s="11"/>
      <c r="BR53" s="11"/>
      <c r="BS53" s="15"/>
      <c r="BT53" s="11"/>
      <c r="BU53" s="11"/>
      <c r="BV53" s="15"/>
      <c r="BW53" s="11"/>
      <c r="BX53" s="11"/>
      <c r="BY53" s="11"/>
      <c r="BZ53" s="11"/>
      <c r="CA53" s="28" t="str">
        <f t="shared" si="0"/>
        <v/>
      </c>
      <c r="CB53" s="28"/>
      <c r="CC53" s="11"/>
      <c r="CD53" s="29"/>
      <c r="CE53" s="11"/>
      <c r="CF53" s="11"/>
      <c r="CG53" s="11"/>
      <c r="CH53" s="11"/>
      <c r="CI53" s="11"/>
      <c r="CJ53" s="11"/>
      <c r="CK53" s="11"/>
      <c r="CL53" s="28" t="str">
        <f t="shared" si="1"/>
        <v/>
      </c>
      <c r="CM53" s="28"/>
      <c r="CN53" s="11"/>
      <c r="CO53" s="29"/>
      <c r="CP53" s="11"/>
      <c r="CQ53" s="11"/>
      <c r="CR53" s="11"/>
      <c r="CS53" s="11"/>
      <c r="CT53" s="11"/>
      <c r="CU53" s="11"/>
      <c r="CV53" s="11"/>
      <c r="CW53" s="11"/>
      <c r="CX53" s="29"/>
      <c r="CY53" s="28"/>
      <c r="CZ53" s="11"/>
      <c r="DA53" s="11"/>
      <c r="DB53" s="11"/>
      <c r="DC53" s="29"/>
      <c r="DD53" s="28"/>
      <c r="DE53" s="11"/>
      <c r="DF53" s="11"/>
      <c r="DG53" s="11"/>
      <c r="DH53" s="29"/>
      <c r="DI53" s="28"/>
      <c r="DJ53" s="11"/>
      <c r="DK53" s="11"/>
      <c r="DL53" s="11"/>
      <c r="DM53" s="29"/>
      <c r="DN53" s="28"/>
      <c r="DO53" s="30" t="str">
        <f>IF(F53="","",IF(DP53="not a match","",IF(DP53="full_name",VLOOKUP(F53,'Internal -- Patent Countries'!B:I,5,FALSE),IF(DP53="polity_shortest_name",VLOOKUP(F53,'Internal -- Patent Countries'!C:I,4,FALSE),IF(DP53="polity_full_name",VLOOKUP(F53,'Internal -- Patent Countries'!D:I,3,FALSE),IF(DP53="polity_common_name",VLOOKUP(F53,'Internal -- Patent Countries'!E:I,2,FALSE),IF(DP53="shortest_name",F53)))))))</f>
        <v/>
      </c>
      <c r="DP53" s="30" t="str">
        <f>IF(F53="","",IF(COUNTIF('Internal -- Patent Countries'!B:B,F53)&gt;0,"full_name",IF(COUNTIF('Internal -- Patent Countries'!C:C,F53)&gt;0,"polity_shortest_name",IF(COUNTIF('Internal -- Patent Countries'!D:D,F53)&gt;0,"polity_full_name",IF(COUNTIF('Internal -- Patent Countries'!E:E,F53)&gt;0,"polity_common_name",IF(COUNTIF('Internal -- Patent Countries'!A:A,F53)&gt;0,"shortest_name","not a match"))))))</f>
        <v/>
      </c>
      <c r="DQ53" s="30"/>
      <c r="DR53" s="30"/>
      <c r="DS53" s="30"/>
      <c r="DT53" s="30"/>
      <c r="DU53" s="30"/>
      <c r="DV53" s="50" t="str">
        <f t="shared" si="2"/>
        <v/>
      </c>
      <c r="DW53" s="30" t="str">
        <f t="shared" si="3"/>
        <v/>
      </c>
    </row>
    <row r="54" spans="1:127" ht="16.5">
      <c r="A54" s="11"/>
      <c r="B54" s="11"/>
      <c r="C54" s="11"/>
      <c r="D54" s="27"/>
      <c r="E54" s="11"/>
      <c r="F54" s="29"/>
      <c r="G54" s="11"/>
      <c r="H54" s="11"/>
      <c r="I54" s="11"/>
      <c r="J54" s="15"/>
      <c r="K54" s="11"/>
      <c r="L54" s="15"/>
      <c r="M54" s="11"/>
      <c r="N54" s="15"/>
      <c r="O54" s="15"/>
      <c r="P54" s="11"/>
      <c r="Q54" s="11"/>
      <c r="R54" s="11"/>
      <c r="S54" s="15"/>
      <c r="T54" s="15"/>
      <c r="U54" s="15"/>
      <c r="V54" s="11"/>
      <c r="W54" s="29"/>
      <c r="X54" s="15"/>
      <c r="Y54" s="11"/>
      <c r="Z54" s="11"/>
      <c r="AA54" s="11"/>
      <c r="AB54" s="11"/>
      <c r="AC54" s="11"/>
      <c r="AD54" s="11"/>
      <c r="AE54" s="15"/>
      <c r="AF54" s="11"/>
      <c r="AG54" s="11"/>
      <c r="AH54" s="15"/>
      <c r="AI54" s="15"/>
      <c r="AJ54" s="15"/>
      <c r="AK54" s="11"/>
      <c r="AL54" s="15"/>
      <c r="AM54" s="11"/>
      <c r="AN54" s="11"/>
      <c r="AO54" s="15"/>
      <c r="AP54" s="11"/>
      <c r="AQ54" s="11"/>
      <c r="AR54" s="15"/>
      <c r="AS54" s="15"/>
      <c r="AT54" s="15"/>
      <c r="AU54" s="11"/>
      <c r="AV54" s="15"/>
      <c r="AW54" s="11"/>
      <c r="AX54" s="11"/>
      <c r="AY54" s="15"/>
      <c r="AZ54" s="11"/>
      <c r="BA54" s="11"/>
      <c r="BB54" s="15"/>
      <c r="BC54" s="15"/>
      <c r="BD54" s="15"/>
      <c r="BE54" s="11"/>
      <c r="BF54" s="15"/>
      <c r="BG54" s="11"/>
      <c r="BH54" s="11"/>
      <c r="BI54" s="15"/>
      <c r="BJ54" s="11"/>
      <c r="BK54" s="11"/>
      <c r="BL54" s="15"/>
      <c r="BM54" s="15"/>
      <c r="BN54" s="15"/>
      <c r="BO54" s="11"/>
      <c r="BP54" s="15"/>
      <c r="BQ54" s="11"/>
      <c r="BR54" s="11"/>
      <c r="BS54" s="15"/>
      <c r="BT54" s="11"/>
      <c r="BU54" s="11"/>
      <c r="BV54" s="15"/>
      <c r="BW54" s="11"/>
      <c r="BX54" s="11"/>
      <c r="BY54" s="11"/>
      <c r="BZ54" s="11"/>
      <c r="CA54" s="28" t="str">
        <f t="shared" si="0"/>
        <v/>
      </c>
      <c r="CB54" s="28"/>
      <c r="CC54" s="11"/>
      <c r="CD54" s="29"/>
      <c r="CE54" s="11"/>
      <c r="CF54" s="11"/>
      <c r="CG54" s="11"/>
      <c r="CH54" s="11"/>
      <c r="CI54" s="11"/>
      <c r="CJ54" s="11"/>
      <c r="CK54" s="11"/>
      <c r="CL54" s="28" t="str">
        <f t="shared" si="1"/>
        <v/>
      </c>
      <c r="CM54" s="28"/>
      <c r="CN54" s="11"/>
      <c r="CO54" s="29"/>
      <c r="CP54" s="11"/>
      <c r="CQ54" s="11"/>
      <c r="CR54" s="11"/>
      <c r="CS54" s="11"/>
      <c r="CT54" s="11"/>
      <c r="CU54" s="11"/>
      <c r="CV54" s="11"/>
      <c r="CW54" s="11"/>
      <c r="CX54" s="29"/>
      <c r="CY54" s="28"/>
      <c r="CZ54" s="11"/>
      <c r="DA54" s="11"/>
      <c r="DB54" s="11"/>
      <c r="DC54" s="29"/>
      <c r="DD54" s="28"/>
      <c r="DE54" s="11"/>
      <c r="DF54" s="11"/>
      <c r="DG54" s="11"/>
      <c r="DH54" s="29"/>
      <c r="DI54" s="28"/>
      <c r="DJ54" s="11"/>
      <c r="DK54" s="11"/>
      <c r="DL54" s="11"/>
      <c r="DM54" s="29"/>
      <c r="DN54" s="28"/>
      <c r="DO54" s="30" t="str">
        <f>IF(F54="","",IF(DP54="not a match","",IF(DP54="full_name",VLOOKUP(F54,'Internal -- Patent Countries'!B:I,5,FALSE),IF(DP54="polity_shortest_name",VLOOKUP(F54,'Internal -- Patent Countries'!C:I,4,FALSE),IF(DP54="polity_full_name",VLOOKUP(F54,'Internal -- Patent Countries'!D:I,3,FALSE),IF(DP54="polity_common_name",VLOOKUP(F54,'Internal -- Patent Countries'!E:I,2,FALSE),IF(DP54="shortest_name",F54)))))))</f>
        <v/>
      </c>
      <c r="DP54" s="30" t="str">
        <f>IF(F54="","",IF(COUNTIF('Internal -- Patent Countries'!B:B,F54)&gt;0,"full_name",IF(COUNTIF('Internal -- Patent Countries'!C:C,F54)&gt;0,"polity_shortest_name",IF(COUNTIF('Internal -- Patent Countries'!D:D,F54)&gt;0,"polity_full_name",IF(COUNTIF('Internal -- Patent Countries'!E:E,F54)&gt;0,"polity_common_name",IF(COUNTIF('Internal -- Patent Countries'!A:A,F54)&gt;0,"shortest_name","not a match"))))))</f>
        <v/>
      </c>
      <c r="DQ54" s="30"/>
      <c r="DR54" s="30"/>
      <c r="DS54" s="30"/>
      <c r="DT54" s="30"/>
      <c r="DU54" s="30"/>
      <c r="DV54" s="50" t="str">
        <f t="shared" si="2"/>
        <v/>
      </c>
      <c r="DW54" s="30" t="str">
        <f t="shared" si="3"/>
        <v/>
      </c>
    </row>
    <row r="55" spans="1:127" ht="16.5">
      <c r="A55" s="11"/>
      <c r="B55" s="11"/>
      <c r="C55" s="11"/>
      <c r="D55" s="27"/>
      <c r="E55" s="11"/>
      <c r="F55" s="29"/>
      <c r="G55" s="11"/>
      <c r="H55" s="11"/>
      <c r="I55" s="11"/>
      <c r="J55" s="15"/>
      <c r="K55" s="11"/>
      <c r="L55" s="15"/>
      <c r="M55" s="11"/>
      <c r="N55" s="15"/>
      <c r="O55" s="15"/>
      <c r="P55" s="11"/>
      <c r="Q55" s="11"/>
      <c r="R55" s="11"/>
      <c r="S55" s="15"/>
      <c r="T55" s="15"/>
      <c r="U55" s="15"/>
      <c r="V55" s="11"/>
      <c r="W55" s="29"/>
      <c r="X55" s="15"/>
      <c r="Y55" s="11"/>
      <c r="Z55" s="11"/>
      <c r="AA55" s="11"/>
      <c r="AB55" s="11"/>
      <c r="AC55" s="11"/>
      <c r="AD55" s="11"/>
      <c r="AE55" s="15"/>
      <c r="AF55" s="11"/>
      <c r="AG55" s="11"/>
      <c r="AH55" s="15"/>
      <c r="AI55" s="15"/>
      <c r="AJ55" s="15"/>
      <c r="AK55" s="11"/>
      <c r="AL55" s="15"/>
      <c r="AM55" s="11"/>
      <c r="AN55" s="11"/>
      <c r="AO55" s="15"/>
      <c r="AP55" s="11"/>
      <c r="AQ55" s="11"/>
      <c r="AR55" s="15"/>
      <c r="AS55" s="15"/>
      <c r="AT55" s="15"/>
      <c r="AU55" s="11"/>
      <c r="AV55" s="15"/>
      <c r="AW55" s="11"/>
      <c r="AX55" s="11"/>
      <c r="AY55" s="15"/>
      <c r="AZ55" s="11"/>
      <c r="BA55" s="11"/>
      <c r="BB55" s="15"/>
      <c r="BC55" s="15"/>
      <c r="BD55" s="15"/>
      <c r="BE55" s="11"/>
      <c r="BF55" s="15"/>
      <c r="BG55" s="11"/>
      <c r="BH55" s="11"/>
      <c r="BI55" s="15"/>
      <c r="BJ55" s="11"/>
      <c r="BK55" s="11"/>
      <c r="BL55" s="15"/>
      <c r="BM55" s="15"/>
      <c r="BN55" s="15"/>
      <c r="BO55" s="11"/>
      <c r="BP55" s="15"/>
      <c r="BQ55" s="11"/>
      <c r="BR55" s="11"/>
      <c r="BS55" s="15"/>
      <c r="BT55" s="11"/>
      <c r="BU55" s="11"/>
      <c r="BV55" s="15"/>
      <c r="BW55" s="11"/>
      <c r="BX55" s="11"/>
      <c r="BY55" s="11"/>
      <c r="BZ55" s="11"/>
      <c r="CA55" s="28" t="str">
        <f t="shared" si="0"/>
        <v/>
      </c>
      <c r="CB55" s="28"/>
      <c r="CC55" s="11"/>
      <c r="CD55" s="29"/>
      <c r="CE55" s="11"/>
      <c r="CF55" s="11"/>
      <c r="CG55" s="11"/>
      <c r="CH55" s="11"/>
      <c r="CI55" s="11"/>
      <c r="CJ55" s="11"/>
      <c r="CK55" s="11"/>
      <c r="CL55" s="28" t="str">
        <f t="shared" si="1"/>
        <v/>
      </c>
      <c r="CM55" s="28"/>
      <c r="CN55" s="11"/>
      <c r="CO55" s="29"/>
      <c r="CP55" s="11"/>
      <c r="CQ55" s="11"/>
      <c r="CR55" s="11"/>
      <c r="CS55" s="11"/>
      <c r="CT55" s="11"/>
      <c r="CU55" s="11"/>
      <c r="CV55" s="11"/>
      <c r="CW55" s="11"/>
      <c r="CX55" s="29"/>
      <c r="CY55" s="28"/>
      <c r="CZ55" s="11"/>
      <c r="DA55" s="11"/>
      <c r="DB55" s="11"/>
      <c r="DC55" s="29"/>
      <c r="DD55" s="28"/>
      <c r="DE55" s="11"/>
      <c r="DF55" s="11"/>
      <c r="DG55" s="11"/>
      <c r="DH55" s="29"/>
      <c r="DI55" s="28"/>
      <c r="DJ55" s="11"/>
      <c r="DK55" s="11"/>
      <c r="DL55" s="11"/>
      <c r="DM55" s="29"/>
      <c r="DN55" s="28"/>
      <c r="DO55" s="30" t="str">
        <f>IF(F55="","",IF(DP55="not a match","",IF(DP55="full_name",VLOOKUP(F55,'Internal -- Patent Countries'!B:I,5,FALSE),IF(DP55="polity_shortest_name",VLOOKUP(F55,'Internal -- Patent Countries'!C:I,4,FALSE),IF(DP55="polity_full_name",VLOOKUP(F55,'Internal -- Patent Countries'!D:I,3,FALSE),IF(DP55="polity_common_name",VLOOKUP(F55,'Internal -- Patent Countries'!E:I,2,FALSE),IF(DP55="shortest_name",F55)))))))</f>
        <v/>
      </c>
      <c r="DP55" s="30" t="str">
        <f>IF(F55="","",IF(COUNTIF('Internal -- Patent Countries'!B:B,F55)&gt;0,"full_name",IF(COUNTIF('Internal -- Patent Countries'!C:C,F55)&gt;0,"polity_shortest_name",IF(COUNTIF('Internal -- Patent Countries'!D:D,F55)&gt;0,"polity_full_name",IF(COUNTIF('Internal -- Patent Countries'!E:E,F55)&gt;0,"polity_common_name",IF(COUNTIF('Internal -- Patent Countries'!A:A,F55)&gt;0,"shortest_name","not a match"))))))</f>
        <v/>
      </c>
      <c r="DQ55" s="30"/>
      <c r="DR55" s="30"/>
      <c r="DS55" s="30"/>
      <c r="DT55" s="30"/>
      <c r="DU55" s="30"/>
      <c r="DV55" s="50" t="str">
        <f t="shared" si="2"/>
        <v/>
      </c>
      <c r="DW55" s="30" t="str">
        <f t="shared" si="3"/>
        <v/>
      </c>
    </row>
    <row r="56" spans="1:127" ht="16.5">
      <c r="A56" s="11"/>
      <c r="B56" s="11"/>
      <c r="C56" s="11"/>
      <c r="D56" s="27"/>
      <c r="E56" s="11"/>
      <c r="F56" s="29"/>
      <c r="G56" s="11"/>
      <c r="H56" s="11"/>
      <c r="I56" s="11"/>
      <c r="J56" s="15"/>
      <c r="K56" s="11"/>
      <c r="L56" s="15"/>
      <c r="M56" s="11"/>
      <c r="N56" s="15"/>
      <c r="O56" s="15"/>
      <c r="P56" s="11"/>
      <c r="Q56" s="11"/>
      <c r="R56" s="11"/>
      <c r="S56" s="15"/>
      <c r="T56" s="15"/>
      <c r="U56" s="15"/>
      <c r="V56" s="11"/>
      <c r="W56" s="29"/>
      <c r="X56" s="15"/>
      <c r="Y56" s="11"/>
      <c r="Z56" s="11"/>
      <c r="AA56" s="11"/>
      <c r="AB56" s="11"/>
      <c r="AC56" s="11"/>
      <c r="AD56" s="11"/>
      <c r="AE56" s="15"/>
      <c r="AF56" s="11"/>
      <c r="AG56" s="11"/>
      <c r="AH56" s="15"/>
      <c r="AI56" s="15"/>
      <c r="AJ56" s="15"/>
      <c r="AK56" s="11"/>
      <c r="AL56" s="15"/>
      <c r="AM56" s="11"/>
      <c r="AN56" s="11"/>
      <c r="AO56" s="15"/>
      <c r="AP56" s="11"/>
      <c r="AQ56" s="11"/>
      <c r="AR56" s="15"/>
      <c r="AS56" s="15"/>
      <c r="AT56" s="15"/>
      <c r="AU56" s="11"/>
      <c r="AV56" s="15"/>
      <c r="AW56" s="11"/>
      <c r="AX56" s="11"/>
      <c r="AY56" s="15"/>
      <c r="AZ56" s="11"/>
      <c r="BA56" s="11"/>
      <c r="BB56" s="15"/>
      <c r="BC56" s="15"/>
      <c r="BD56" s="15"/>
      <c r="BE56" s="11"/>
      <c r="BF56" s="15"/>
      <c r="BG56" s="11"/>
      <c r="BH56" s="11"/>
      <c r="BI56" s="15"/>
      <c r="BJ56" s="11"/>
      <c r="BK56" s="11"/>
      <c r="BL56" s="15"/>
      <c r="BM56" s="15"/>
      <c r="BN56" s="15"/>
      <c r="BO56" s="11"/>
      <c r="BP56" s="15"/>
      <c r="BQ56" s="11"/>
      <c r="BR56" s="11"/>
      <c r="BS56" s="15"/>
      <c r="BT56" s="11"/>
      <c r="BU56" s="11"/>
      <c r="BV56" s="15"/>
      <c r="BW56" s="11"/>
      <c r="BX56" s="11"/>
      <c r="BY56" s="11"/>
      <c r="BZ56" s="11"/>
      <c r="CA56" s="28" t="str">
        <f t="shared" si="0"/>
        <v/>
      </c>
      <c r="CB56" s="28"/>
      <c r="CC56" s="11"/>
      <c r="CD56" s="29"/>
      <c r="CE56" s="11"/>
      <c r="CF56" s="11"/>
      <c r="CG56" s="11"/>
      <c r="CH56" s="11"/>
      <c r="CI56" s="11"/>
      <c r="CJ56" s="11"/>
      <c r="CK56" s="11"/>
      <c r="CL56" s="28" t="str">
        <f t="shared" si="1"/>
        <v/>
      </c>
      <c r="CM56" s="28"/>
      <c r="CN56" s="11"/>
      <c r="CO56" s="29"/>
      <c r="CP56" s="11"/>
      <c r="CQ56" s="11"/>
      <c r="CR56" s="11"/>
      <c r="CS56" s="11"/>
      <c r="CT56" s="11"/>
      <c r="CU56" s="11"/>
      <c r="CV56" s="11"/>
      <c r="CW56" s="11"/>
      <c r="CX56" s="29"/>
      <c r="CY56" s="28"/>
      <c r="CZ56" s="11"/>
      <c r="DA56" s="11"/>
      <c r="DB56" s="11"/>
      <c r="DC56" s="29"/>
      <c r="DD56" s="28"/>
      <c r="DE56" s="11"/>
      <c r="DF56" s="11"/>
      <c r="DG56" s="11"/>
      <c r="DH56" s="29"/>
      <c r="DI56" s="28"/>
      <c r="DJ56" s="11"/>
      <c r="DK56" s="11"/>
      <c r="DL56" s="11"/>
      <c r="DM56" s="29"/>
      <c r="DN56" s="28"/>
      <c r="DO56" s="30" t="str">
        <f>IF(F56="","",IF(DP56="not a match","",IF(DP56="full_name",VLOOKUP(F56,'Internal -- Patent Countries'!B:I,5,FALSE),IF(DP56="polity_shortest_name",VLOOKUP(F56,'Internal -- Patent Countries'!C:I,4,FALSE),IF(DP56="polity_full_name",VLOOKUP(F56,'Internal -- Patent Countries'!D:I,3,FALSE),IF(DP56="polity_common_name",VLOOKUP(F56,'Internal -- Patent Countries'!E:I,2,FALSE),IF(DP56="shortest_name",F56)))))))</f>
        <v/>
      </c>
      <c r="DP56" s="30" t="str">
        <f>IF(F56="","",IF(COUNTIF('Internal -- Patent Countries'!B:B,F56)&gt;0,"full_name",IF(COUNTIF('Internal -- Patent Countries'!C:C,F56)&gt;0,"polity_shortest_name",IF(COUNTIF('Internal -- Patent Countries'!D:D,F56)&gt;0,"polity_full_name",IF(COUNTIF('Internal -- Patent Countries'!E:E,F56)&gt;0,"polity_common_name",IF(COUNTIF('Internal -- Patent Countries'!A:A,F56)&gt;0,"shortest_name","not a match"))))))</f>
        <v/>
      </c>
      <c r="DQ56" s="30"/>
      <c r="DR56" s="30"/>
      <c r="DS56" s="30"/>
      <c r="DT56" s="30"/>
      <c r="DU56" s="30"/>
      <c r="DV56" s="50" t="str">
        <f t="shared" si="2"/>
        <v/>
      </c>
      <c r="DW56" s="30" t="str">
        <f t="shared" si="3"/>
        <v/>
      </c>
    </row>
    <row r="57" spans="1:127" ht="16.5">
      <c r="A57" s="11"/>
      <c r="B57" s="11"/>
      <c r="C57" s="11"/>
      <c r="D57" s="27"/>
      <c r="E57" s="11"/>
      <c r="F57" s="29"/>
      <c r="G57" s="11"/>
      <c r="H57" s="11"/>
      <c r="I57" s="11"/>
      <c r="J57" s="15"/>
      <c r="K57" s="11"/>
      <c r="L57" s="15"/>
      <c r="M57" s="11"/>
      <c r="N57" s="15"/>
      <c r="O57" s="15"/>
      <c r="P57" s="11"/>
      <c r="Q57" s="11"/>
      <c r="R57" s="11"/>
      <c r="S57" s="15"/>
      <c r="T57" s="15"/>
      <c r="U57" s="15"/>
      <c r="V57" s="11"/>
      <c r="W57" s="29"/>
      <c r="X57" s="15"/>
      <c r="Y57" s="11"/>
      <c r="Z57" s="11"/>
      <c r="AA57" s="11"/>
      <c r="AB57" s="11"/>
      <c r="AC57" s="11"/>
      <c r="AD57" s="11"/>
      <c r="AE57" s="15"/>
      <c r="AF57" s="11"/>
      <c r="AG57" s="11"/>
      <c r="AH57" s="15"/>
      <c r="AI57" s="15"/>
      <c r="AJ57" s="15"/>
      <c r="AK57" s="11"/>
      <c r="AL57" s="15"/>
      <c r="AM57" s="11"/>
      <c r="AN57" s="11"/>
      <c r="AO57" s="15"/>
      <c r="AP57" s="11"/>
      <c r="AQ57" s="11"/>
      <c r="AR57" s="15"/>
      <c r="AS57" s="15"/>
      <c r="AT57" s="15"/>
      <c r="AU57" s="11"/>
      <c r="AV57" s="15"/>
      <c r="AW57" s="11"/>
      <c r="AX57" s="11"/>
      <c r="AY57" s="15"/>
      <c r="AZ57" s="11"/>
      <c r="BA57" s="11"/>
      <c r="BB57" s="15"/>
      <c r="BC57" s="15"/>
      <c r="BD57" s="15"/>
      <c r="BE57" s="11"/>
      <c r="BF57" s="15"/>
      <c r="BG57" s="11"/>
      <c r="BH57" s="11"/>
      <c r="BI57" s="15"/>
      <c r="BJ57" s="11"/>
      <c r="BK57" s="11"/>
      <c r="BL57" s="15"/>
      <c r="BM57" s="15"/>
      <c r="BN57" s="15"/>
      <c r="BO57" s="11"/>
      <c r="BP57" s="15"/>
      <c r="BQ57" s="11"/>
      <c r="BR57" s="11"/>
      <c r="BS57" s="15"/>
      <c r="BT57" s="11"/>
      <c r="BU57" s="11"/>
      <c r="BV57" s="15"/>
      <c r="BW57" s="11"/>
      <c r="BX57" s="11"/>
      <c r="BY57" s="11"/>
      <c r="BZ57" s="11"/>
      <c r="CA57" s="28" t="str">
        <f t="shared" si="0"/>
        <v/>
      </c>
      <c r="CB57" s="28"/>
      <c r="CC57" s="11"/>
      <c r="CD57" s="29"/>
      <c r="CE57" s="11"/>
      <c r="CF57" s="11"/>
      <c r="CG57" s="11"/>
      <c r="CH57" s="11"/>
      <c r="CI57" s="11"/>
      <c r="CJ57" s="11"/>
      <c r="CK57" s="11"/>
      <c r="CL57" s="28" t="str">
        <f t="shared" si="1"/>
        <v/>
      </c>
      <c r="CM57" s="28"/>
      <c r="CN57" s="11"/>
      <c r="CO57" s="29"/>
      <c r="CP57" s="11"/>
      <c r="CQ57" s="11"/>
      <c r="CR57" s="11"/>
      <c r="CS57" s="11"/>
      <c r="CT57" s="11"/>
      <c r="CU57" s="11"/>
      <c r="CV57" s="11"/>
      <c r="CW57" s="11"/>
      <c r="CX57" s="29"/>
      <c r="CY57" s="28"/>
      <c r="CZ57" s="11"/>
      <c r="DA57" s="11"/>
      <c r="DB57" s="11"/>
      <c r="DC57" s="29"/>
      <c r="DD57" s="28"/>
      <c r="DE57" s="11"/>
      <c r="DF57" s="11"/>
      <c r="DG57" s="11"/>
      <c r="DH57" s="29"/>
      <c r="DI57" s="28"/>
      <c r="DJ57" s="11"/>
      <c r="DK57" s="11"/>
      <c r="DL57" s="11"/>
      <c r="DM57" s="29"/>
      <c r="DN57" s="28"/>
      <c r="DO57" s="30" t="str">
        <f>IF(F57="","",IF(DP57="not a match","",IF(DP57="full_name",VLOOKUP(F57,'Internal -- Patent Countries'!B:I,5,FALSE),IF(DP57="polity_shortest_name",VLOOKUP(F57,'Internal -- Patent Countries'!C:I,4,FALSE),IF(DP57="polity_full_name",VLOOKUP(F57,'Internal -- Patent Countries'!D:I,3,FALSE),IF(DP57="polity_common_name",VLOOKUP(F57,'Internal -- Patent Countries'!E:I,2,FALSE),IF(DP57="shortest_name",F57)))))))</f>
        <v/>
      </c>
      <c r="DP57" s="30" t="str">
        <f>IF(F57="","",IF(COUNTIF('Internal -- Patent Countries'!B:B,F57)&gt;0,"full_name",IF(COUNTIF('Internal -- Patent Countries'!C:C,F57)&gt;0,"polity_shortest_name",IF(COUNTIF('Internal -- Patent Countries'!D:D,F57)&gt;0,"polity_full_name",IF(COUNTIF('Internal -- Patent Countries'!E:E,F57)&gt;0,"polity_common_name",IF(COUNTIF('Internal -- Patent Countries'!A:A,F57)&gt;0,"shortest_name","not a match"))))))</f>
        <v/>
      </c>
      <c r="DQ57" s="30"/>
      <c r="DR57" s="30"/>
      <c r="DS57" s="30"/>
      <c r="DT57" s="30"/>
      <c r="DU57" s="30"/>
      <c r="DV57" s="50" t="str">
        <f t="shared" si="2"/>
        <v/>
      </c>
      <c r="DW57" s="30" t="str">
        <f t="shared" si="3"/>
        <v/>
      </c>
    </row>
    <row r="58" spans="1:127" ht="16.5">
      <c r="A58" s="11"/>
      <c r="B58" s="11"/>
      <c r="C58" s="11"/>
      <c r="D58" s="27"/>
      <c r="E58" s="11"/>
      <c r="F58" s="29"/>
      <c r="G58" s="11"/>
      <c r="H58" s="11"/>
      <c r="I58" s="11"/>
      <c r="J58" s="15"/>
      <c r="K58" s="11"/>
      <c r="L58" s="15"/>
      <c r="M58" s="11"/>
      <c r="N58" s="15"/>
      <c r="O58" s="15"/>
      <c r="P58" s="11"/>
      <c r="Q58" s="11"/>
      <c r="R58" s="11"/>
      <c r="S58" s="15"/>
      <c r="T58" s="15"/>
      <c r="U58" s="15"/>
      <c r="V58" s="11"/>
      <c r="W58" s="29"/>
      <c r="X58" s="15"/>
      <c r="Y58" s="11"/>
      <c r="Z58" s="11"/>
      <c r="AA58" s="11"/>
      <c r="AB58" s="11"/>
      <c r="AC58" s="11"/>
      <c r="AD58" s="11"/>
      <c r="AE58" s="15"/>
      <c r="AF58" s="11"/>
      <c r="AG58" s="11"/>
      <c r="AH58" s="15"/>
      <c r="AI58" s="15"/>
      <c r="AJ58" s="15"/>
      <c r="AK58" s="11"/>
      <c r="AL58" s="15"/>
      <c r="AM58" s="11"/>
      <c r="AN58" s="11"/>
      <c r="AO58" s="15"/>
      <c r="AP58" s="11"/>
      <c r="AQ58" s="11"/>
      <c r="AR58" s="15"/>
      <c r="AS58" s="15"/>
      <c r="AT58" s="15"/>
      <c r="AU58" s="11"/>
      <c r="AV58" s="15"/>
      <c r="AW58" s="11"/>
      <c r="AX58" s="11"/>
      <c r="AY58" s="15"/>
      <c r="AZ58" s="11"/>
      <c r="BA58" s="11"/>
      <c r="BB58" s="15"/>
      <c r="BC58" s="15"/>
      <c r="BD58" s="15"/>
      <c r="BE58" s="11"/>
      <c r="BF58" s="15"/>
      <c r="BG58" s="11"/>
      <c r="BH58" s="11"/>
      <c r="BI58" s="15"/>
      <c r="BJ58" s="11"/>
      <c r="BK58" s="11"/>
      <c r="BL58" s="15"/>
      <c r="BM58" s="15"/>
      <c r="BN58" s="15"/>
      <c r="BO58" s="11"/>
      <c r="BP58" s="15"/>
      <c r="BQ58" s="11"/>
      <c r="BR58" s="11"/>
      <c r="BS58" s="15"/>
      <c r="BT58" s="11"/>
      <c r="BU58" s="11"/>
      <c r="BV58" s="15"/>
      <c r="BW58" s="11"/>
      <c r="BX58" s="11"/>
      <c r="BY58" s="11"/>
      <c r="BZ58" s="11"/>
      <c r="CA58" s="28" t="str">
        <f t="shared" si="0"/>
        <v/>
      </c>
      <c r="CB58" s="28"/>
      <c r="CC58" s="11"/>
      <c r="CD58" s="29"/>
      <c r="CE58" s="11"/>
      <c r="CF58" s="11"/>
      <c r="CG58" s="11"/>
      <c r="CH58" s="11"/>
      <c r="CI58" s="11"/>
      <c r="CJ58" s="11"/>
      <c r="CK58" s="11"/>
      <c r="CL58" s="28" t="str">
        <f t="shared" si="1"/>
        <v/>
      </c>
      <c r="CM58" s="28"/>
      <c r="CN58" s="11"/>
      <c r="CO58" s="29"/>
      <c r="CP58" s="11"/>
      <c r="CQ58" s="11"/>
      <c r="CR58" s="11"/>
      <c r="CS58" s="11"/>
      <c r="CT58" s="11"/>
      <c r="CU58" s="11"/>
      <c r="CV58" s="11"/>
      <c r="CW58" s="11"/>
      <c r="CX58" s="29"/>
      <c r="CY58" s="28"/>
      <c r="CZ58" s="11"/>
      <c r="DA58" s="11"/>
      <c r="DB58" s="11"/>
      <c r="DC58" s="29"/>
      <c r="DD58" s="28"/>
      <c r="DE58" s="11"/>
      <c r="DF58" s="11"/>
      <c r="DG58" s="11"/>
      <c r="DH58" s="29"/>
      <c r="DI58" s="28"/>
      <c r="DJ58" s="11"/>
      <c r="DK58" s="11"/>
      <c r="DL58" s="11"/>
      <c r="DM58" s="29"/>
      <c r="DN58" s="28"/>
      <c r="DO58" s="30" t="str">
        <f>IF(F58="","",IF(DP58="not a match","",IF(DP58="full_name",VLOOKUP(F58,'Internal -- Patent Countries'!B:I,5,FALSE),IF(DP58="polity_shortest_name",VLOOKUP(F58,'Internal -- Patent Countries'!C:I,4,FALSE),IF(DP58="polity_full_name",VLOOKUP(F58,'Internal -- Patent Countries'!D:I,3,FALSE),IF(DP58="polity_common_name",VLOOKUP(F58,'Internal -- Patent Countries'!E:I,2,FALSE),IF(DP58="shortest_name",F58)))))))</f>
        <v/>
      </c>
      <c r="DP58" s="30" t="str">
        <f>IF(F58="","",IF(COUNTIF('Internal -- Patent Countries'!B:B,F58)&gt;0,"full_name",IF(COUNTIF('Internal -- Patent Countries'!C:C,F58)&gt;0,"polity_shortest_name",IF(COUNTIF('Internal -- Patent Countries'!D:D,F58)&gt;0,"polity_full_name",IF(COUNTIF('Internal -- Patent Countries'!E:E,F58)&gt;0,"polity_common_name",IF(COUNTIF('Internal -- Patent Countries'!A:A,F58)&gt;0,"shortest_name","not a match"))))))</f>
        <v/>
      </c>
      <c r="DQ58" s="30"/>
      <c r="DR58" s="30"/>
      <c r="DS58" s="30"/>
      <c r="DT58" s="30"/>
      <c r="DU58" s="30"/>
      <c r="DV58" s="50" t="str">
        <f t="shared" si="2"/>
        <v/>
      </c>
      <c r="DW58" s="30" t="str">
        <f t="shared" si="3"/>
        <v/>
      </c>
    </row>
    <row r="59" spans="1:127" ht="16.5">
      <c r="A59" s="11"/>
      <c r="B59" s="11"/>
      <c r="C59" s="11"/>
      <c r="D59" s="27"/>
      <c r="E59" s="11"/>
      <c r="F59" s="29"/>
      <c r="G59" s="11"/>
      <c r="H59" s="11"/>
      <c r="I59" s="11"/>
      <c r="J59" s="15"/>
      <c r="K59" s="11"/>
      <c r="L59" s="15"/>
      <c r="M59" s="11"/>
      <c r="N59" s="15"/>
      <c r="O59" s="15"/>
      <c r="P59" s="11"/>
      <c r="Q59" s="11"/>
      <c r="R59" s="11"/>
      <c r="S59" s="15"/>
      <c r="T59" s="15"/>
      <c r="U59" s="15"/>
      <c r="V59" s="11"/>
      <c r="W59" s="29"/>
      <c r="X59" s="15"/>
      <c r="Y59" s="11"/>
      <c r="Z59" s="11"/>
      <c r="AA59" s="11"/>
      <c r="AB59" s="11"/>
      <c r="AC59" s="11"/>
      <c r="AD59" s="11"/>
      <c r="AE59" s="15"/>
      <c r="AF59" s="11"/>
      <c r="AG59" s="11"/>
      <c r="AH59" s="15"/>
      <c r="AI59" s="15"/>
      <c r="AJ59" s="15"/>
      <c r="AK59" s="11"/>
      <c r="AL59" s="15"/>
      <c r="AM59" s="11"/>
      <c r="AN59" s="11"/>
      <c r="AO59" s="15"/>
      <c r="AP59" s="11"/>
      <c r="AQ59" s="11"/>
      <c r="AR59" s="15"/>
      <c r="AS59" s="15"/>
      <c r="AT59" s="15"/>
      <c r="AU59" s="11"/>
      <c r="AV59" s="15"/>
      <c r="AW59" s="11"/>
      <c r="AX59" s="11"/>
      <c r="AY59" s="15"/>
      <c r="AZ59" s="11"/>
      <c r="BA59" s="11"/>
      <c r="BB59" s="15"/>
      <c r="BC59" s="15"/>
      <c r="BD59" s="15"/>
      <c r="BE59" s="11"/>
      <c r="BF59" s="15"/>
      <c r="BG59" s="11"/>
      <c r="BH59" s="11"/>
      <c r="BI59" s="15"/>
      <c r="BJ59" s="11"/>
      <c r="BK59" s="11"/>
      <c r="BL59" s="15"/>
      <c r="BM59" s="15"/>
      <c r="BN59" s="15"/>
      <c r="BO59" s="11"/>
      <c r="BP59" s="15"/>
      <c r="BQ59" s="11"/>
      <c r="BR59" s="11"/>
      <c r="BS59" s="15"/>
      <c r="BT59" s="11"/>
      <c r="BU59" s="11"/>
      <c r="BV59" s="15"/>
      <c r="BW59" s="11"/>
      <c r="BX59" s="11"/>
      <c r="BY59" s="11"/>
      <c r="BZ59" s="11"/>
      <c r="CA59" s="28" t="str">
        <f t="shared" si="0"/>
        <v/>
      </c>
      <c r="CB59" s="28"/>
      <c r="CC59" s="11"/>
      <c r="CD59" s="29"/>
      <c r="CE59" s="11"/>
      <c r="CF59" s="11"/>
      <c r="CG59" s="11"/>
      <c r="CH59" s="11"/>
      <c r="CI59" s="11"/>
      <c r="CJ59" s="11"/>
      <c r="CK59" s="11"/>
      <c r="CL59" s="28" t="str">
        <f t="shared" si="1"/>
        <v/>
      </c>
      <c r="CM59" s="28"/>
      <c r="CN59" s="11"/>
      <c r="CO59" s="29"/>
      <c r="CP59" s="11"/>
      <c r="CQ59" s="11"/>
      <c r="CR59" s="11"/>
      <c r="CS59" s="11"/>
      <c r="CT59" s="11"/>
      <c r="CU59" s="11"/>
      <c r="CV59" s="11"/>
      <c r="CW59" s="11"/>
      <c r="CX59" s="29"/>
      <c r="CY59" s="28"/>
      <c r="CZ59" s="11"/>
      <c r="DA59" s="11"/>
      <c r="DB59" s="11"/>
      <c r="DC59" s="29"/>
      <c r="DD59" s="28"/>
      <c r="DE59" s="11"/>
      <c r="DF59" s="11"/>
      <c r="DG59" s="11"/>
      <c r="DH59" s="29"/>
      <c r="DI59" s="28"/>
      <c r="DJ59" s="11"/>
      <c r="DK59" s="11"/>
      <c r="DL59" s="11"/>
      <c r="DM59" s="29"/>
      <c r="DN59" s="28"/>
      <c r="DO59" s="30" t="str">
        <f>IF(F59="","",IF(DP59="not a match","",IF(DP59="full_name",VLOOKUP(F59,'Internal -- Patent Countries'!B:I,5,FALSE),IF(DP59="polity_shortest_name",VLOOKUP(F59,'Internal -- Patent Countries'!C:I,4,FALSE),IF(DP59="polity_full_name",VLOOKUP(F59,'Internal -- Patent Countries'!D:I,3,FALSE),IF(DP59="polity_common_name",VLOOKUP(F59,'Internal -- Patent Countries'!E:I,2,FALSE),IF(DP59="shortest_name",F59)))))))</f>
        <v/>
      </c>
      <c r="DP59" s="30" t="str">
        <f>IF(F59="","",IF(COUNTIF('Internal -- Patent Countries'!B:B,F59)&gt;0,"full_name",IF(COUNTIF('Internal -- Patent Countries'!C:C,F59)&gt;0,"polity_shortest_name",IF(COUNTIF('Internal -- Patent Countries'!D:D,F59)&gt;0,"polity_full_name",IF(COUNTIF('Internal -- Patent Countries'!E:E,F59)&gt;0,"polity_common_name",IF(COUNTIF('Internal -- Patent Countries'!A:A,F59)&gt;0,"shortest_name","not a match"))))))</f>
        <v/>
      </c>
      <c r="DQ59" s="30"/>
      <c r="DR59" s="30"/>
      <c r="DS59" s="30"/>
      <c r="DT59" s="30"/>
      <c r="DU59" s="30"/>
      <c r="DV59" s="50" t="str">
        <f t="shared" si="2"/>
        <v/>
      </c>
      <c r="DW59" s="30" t="str">
        <f t="shared" si="3"/>
        <v/>
      </c>
    </row>
    <row r="60" spans="1:127" ht="16.5">
      <c r="A60" s="11"/>
      <c r="B60" s="11"/>
      <c r="C60" s="11"/>
      <c r="D60" s="27"/>
      <c r="E60" s="11"/>
      <c r="F60" s="29"/>
      <c r="G60" s="11"/>
      <c r="H60" s="11"/>
      <c r="I60" s="11"/>
      <c r="J60" s="15"/>
      <c r="K60" s="11"/>
      <c r="L60" s="15"/>
      <c r="M60" s="11"/>
      <c r="N60" s="15"/>
      <c r="O60" s="15"/>
      <c r="P60" s="11"/>
      <c r="Q60" s="11"/>
      <c r="R60" s="11"/>
      <c r="S60" s="15"/>
      <c r="T60" s="15"/>
      <c r="U60" s="15"/>
      <c r="V60" s="11"/>
      <c r="W60" s="29"/>
      <c r="X60" s="15"/>
      <c r="Y60" s="11"/>
      <c r="Z60" s="11"/>
      <c r="AA60" s="11"/>
      <c r="AB60" s="11"/>
      <c r="AC60" s="11"/>
      <c r="AD60" s="11"/>
      <c r="AE60" s="15"/>
      <c r="AF60" s="11"/>
      <c r="AG60" s="11"/>
      <c r="AH60" s="15"/>
      <c r="AI60" s="15"/>
      <c r="AJ60" s="15"/>
      <c r="AK60" s="11"/>
      <c r="AL60" s="15"/>
      <c r="AM60" s="11"/>
      <c r="AN60" s="11"/>
      <c r="AO60" s="15"/>
      <c r="AP60" s="11"/>
      <c r="AQ60" s="11"/>
      <c r="AR60" s="15"/>
      <c r="AS60" s="15"/>
      <c r="AT60" s="15"/>
      <c r="AU60" s="11"/>
      <c r="AV60" s="15"/>
      <c r="AW60" s="11"/>
      <c r="AX60" s="11"/>
      <c r="AY60" s="15"/>
      <c r="AZ60" s="11"/>
      <c r="BA60" s="11"/>
      <c r="BB60" s="15"/>
      <c r="BC60" s="15"/>
      <c r="BD60" s="15"/>
      <c r="BE60" s="11"/>
      <c r="BF60" s="15"/>
      <c r="BG60" s="11"/>
      <c r="BH60" s="11"/>
      <c r="BI60" s="15"/>
      <c r="BJ60" s="11"/>
      <c r="BK60" s="11"/>
      <c r="BL60" s="15"/>
      <c r="BM60" s="15"/>
      <c r="BN60" s="15"/>
      <c r="BO60" s="11"/>
      <c r="BP60" s="15"/>
      <c r="BQ60" s="11"/>
      <c r="BR60" s="11"/>
      <c r="BS60" s="15"/>
      <c r="BT60" s="11"/>
      <c r="BU60" s="11"/>
      <c r="BV60" s="15"/>
      <c r="BW60" s="11"/>
      <c r="BX60" s="11"/>
      <c r="BY60" s="11"/>
      <c r="BZ60" s="11"/>
      <c r="CA60" s="28" t="str">
        <f t="shared" si="0"/>
        <v/>
      </c>
      <c r="CB60" s="28"/>
      <c r="CC60" s="11"/>
      <c r="CD60" s="29"/>
      <c r="CE60" s="11"/>
      <c r="CF60" s="11"/>
      <c r="CG60" s="11"/>
      <c r="CH60" s="11"/>
      <c r="CI60" s="11"/>
      <c r="CJ60" s="11"/>
      <c r="CK60" s="11"/>
      <c r="CL60" s="28" t="str">
        <f t="shared" si="1"/>
        <v/>
      </c>
      <c r="CM60" s="28"/>
      <c r="CN60" s="11"/>
      <c r="CO60" s="29"/>
      <c r="CP60" s="11"/>
      <c r="CQ60" s="11"/>
      <c r="CR60" s="11"/>
      <c r="CS60" s="11"/>
      <c r="CT60" s="11"/>
      <c r="CU60" s="11"/>
      <c r="CV60" s="11"/>
      <c r="CW60" s="11"/>
      <c r="CX60" s="29"/>
      <c r="CY60" s="28"/>
      <c r="CZ60" s="11"/>
      <c r="DA60" s="11"/>
      <c r="DB60" s="11"/>
      <c r="DC60" s="29"/>
      <c r="DD60" s="28"/>
      <c r="DE60" s="11"/>
      <c r="DF60" s="11"/>
      <c r="DG60" s="11"/>
      <c r="DH60" s="29"/>
      <c r="DI60" s="28"/>
      <c r="DJ60" s="11"/>
      <c r="DK60" s="11"/>
      <c r="DL60" s="11"/>
      <c r="DM60" s="29"/>
      <c r="DN60" s="28"/>
      <c r="DO60" s="30" t="str">
        <f>IF(F60="","",IF(DP60="not a match","",IF(DP60="full_name",VLOOKUP(F60,'Internal -- Patent Countries'!B:I,5,FALSE),IF(DP60="polity_shortest_name",VLOOKUP(F60,'Internal -- Patent Countries'!C:I,4,FALSE),IF(DP60="polity_full_name",VLOOKUP(F60,'Internal -- Patent Countries'!D:I,3,FALSE),IF(DP60="polity_common_name",VLOOKUP(F60,'Internal -- Patent Countries'!E:I,2,FALSE),IF(DP60="shortest_name",F60)))))))</f>
        <v/>
      </c>
      <c r="DP60" s="30" t="str">
        <f>IF(F60="","",IF(COUNTIF('Internal -- Patent Countries'!B:B,F60)&gt;0,"full_name",IF(COUNTIF('Internal -- Patent Countries'!C:C,F60)&gt;0,"polity_shortest_name",IF(COUNTIF('Internal -- Patent Countries'!D:D,F60)&gt;0,"polity_full_name",IF(COUNTIF('Internal -- Patent Countries'!E:E,F60)&gt;0,"polity_common_name",IF(COUNTIF('Internal -- Patent Countries'!A:A,F60)&gt;0,"shortest_name","not a match"))))))</f>
        <v/>
      </c>
      <c r="DQ60" s="30"/>
      <c r="DR60" s="30"/>
      <c r="DS60" s="30"/>
      <c r="DT60" s="30"/>
      <c r="DU60" s="30"/>
      <c r="DV60" s="50" t="str">
        <f t="shared" si="2"/>
        <v/>
      </c>
      <c r="DW60" s="30" t="str">
        <f t="shared" si="3"/>
        <v/>
      </c>
    </row>
    <row r="61" spans="1:127" ht="16.5">
      <c r="A61" s="11"/>
      <c r="B61" s="11"/>
      <c r="C61" s="11"/>
      <c r="D61" s="27"/>
      <c r="E61" s="11"/>
      <c r="F61" s="29"/>
      <c r="G61" s="11"/>
      <c r="H61" s="11"/>
      <c r="I61" s="11"/>
      <c r="J61" s="15"/>
      <c r="K61" s="11"/>
      <c r="L61" s="15"/>
      <c r="M61" s="11"/>
      <c r="N61" s="15"/>
      <c r="O61" s="15"/>
      <c r="P61" s="11"/>
      <c r="Q61" s="11"/>
      <c r="R61" s="11"/>
      <c r="S61" s="15"/>
      <c r="T61" s="15"/>
      <c r="U61" s="15"/>
      <c r="V61" s="11"/>
      <c r="W61" s="29"/>
      <c r="X61" s="15"/>
      <c r="Y61" s="11"/>
      <c r="Z61" s="11"/>
      <c r="AA61" s="11"/>
      <c r="AB61" s="11"/>
      <c r="AC61" s="11"/>
      <c r="AD61" s="11"/>
      <c r="AE61" s="15"/>
      <c r="AF61" s="11"/>
      <c r="AG61" s="11"/>
      <c r="AH61" s="15"/>
      <c r="AI61" s="15"/>
      <c r="AJ61" s="15"/>
      <c r="AK61" s="11"/>
      <c r="AL61" s="15"/>
      <c r="AM61" s="11"/>
      <c r="AN61" s="11"/>
      <c r="AO61" s="15"/>
      <c r="AP61" s="11"/>
      <c r="AQ61" s="11"/>
      <c r="AR61" s="15"/>
      <c r="AS61" s="15"/>
      <c r="AT61" s="15"/>
      <c r="AU61" s="11"/>
      <c r="AV61" s="15"/>
      <c r="AW61" s="11"/>
      <c r="AX61" s="11"/>
      <c r="AY61" s="15"/>
      <c r="AZ61" s="11"/>
      <c r="BA61" s="11"/>
      <c r="BB61" s="15"/>
      <c r="BC61" s="15"/>
      <c r="BD61" s="15"/>
      <c r="BE61" s="11"/>
      <c r="BF61" s="15"/>
      <c r="BG61" s="11"/>
      <c r="BH61" s="11"/>
      <c r="BI61" s="15"/>
      <c r="BJ61" s="11"/>
      <c r="BK61" s="11"/>
      <c r="BL61" s="15"/>
      <c r="BM61" s="15"/>
      <c r="BN61" s="15"/>
      <c r="BO61" s="11"/>
      <c r="BP61" s="15"/>
      <c r="BQ61" s="11"/>
      <c r="BR61" s="11"/>
      <c r="BS61" s="15"/>
      <c r="BT61" s="11"/>
      <c r="BU61" s="11"/>
      <c r="BV61" s="15"/>
      <c r="BW61" s="11"/>
      <c r="BX61" s="11"/>
      <c r="BY61" s="11"/>
      <c r="BZ61" s="11"/>
      <c r="CA61" s="28" t="str">
        <f t="shared" si="0"/>
        <v/>
      </c>
      <c r="CB61" s="28"/>
      <c r="CC61" s="11"/>
      <c r="CD61" s="29"/>
      <c r="CE61" s="11"/>
      <c r="CF61" s="11"/>
      <c r="CG61" s="11"/>
      <c r="CH61" s="11"/>
      <c r="CI61" s="11"/>
      <c r="CJ61" s="11"/>
      <c r="CK61" s="11"/>
      <c r="CL61" s="28" t="str">
        <f t="shared" si="1"/>
        <v/>
      </c>
      <c r="CM61" s="28"/>
      <c r="CN61" s="11"/>
      <c r="CO61" s="29"/>
      <c r="CP61" s="11"/>
      <c r="CQ61" s="11"/>
      <c r="CR61" s="11"/>
      <c r="CS61" s="11"/>
      <c r="CT61" s="11"/>
      <c r="CU61" s="11"/>
      <c r="CV61" s="11"/>
      <c r="CW61" s="11"/>
      <c r="CX61" s="29"/>
      <c r="CY61" s="28"/>
      <c r="CZ61" s="11"/>
      <c r="DA61" s="11"/>
      <c r="DB61" s="11"/>
      <c r="DC61" s="29"/>
      <c r="DD61" s="28"/>
      <c r="DE61" s="11"/>
      <c r="DF61" s="11"/>
      <c r="DG61" s="11"/>
      <c r="DH61" s="29"/>
      <c r="DI61" s="28"/>
      <c r="DJ61" s="11"/>
      <c r="DK61" s="11"/>
      <c r="DL61" s="11"/>
      <c r="DM61" s="29"/>
      <c r="DN61" s="28"/>
      <c r="DO61" s="30" t="str">
        <f>IF(F61="","",IF(DP61="not a match","",IF(DP61="full_name",VLOOKUP(F61,'Internal -- Patent Countries'!B:I,5,FALSE),IF(DP61="polity_shortest_name",VLOOKUP(F61,'Internal -- Patent Countries'!C:I,4,FALSE),IF(DP61="polity_full_name",VLOOKUP(F61,'Internal -- Patent Countries'!D:I,3,FALSE),IF(DP61="polity_common_name",VLOOKUP(F61,'Internal -- Patent Countries'!E:I,2,FALSE),IF(DP61="shortest_name",F61)))))))</f>
        <v/>
      </c>
      <c r="DP61" s="30" t="str">
        <f>IF(F61="","",IF(COUNTIF('Internal -- Patent Countries'!B:B,F61)&gt;0,"full_name",IF(COUNTIF('Internal -- Patent Countries'!C:C,F61)&gt;0,"polity_shortest_name",IF(COUNTIF('Internal -- Patent Countries'!D:D,F61)&gt;0,"polity_full_name",IF(COUNTIF('Internal -- Patent Countries'!E:E,F61)&gt;0,"polity_common_name",IF(COUNTIF('Internal -- Patent Countries'!A:A,F61)&gt;0,"shortest_name","not a match"))))))</f>
        <v/>
      </c>
      <c r="DQ61" s="30"/>
      <c r="DR61" s="30"/>
      <c r="DS61" s="30"/>
      <c r="DT61" s="30"/>
      <c r="DU61" s="30"/>
      <c r="DV61" s="50" t="str">
        <f t="shared" si="2"/>
        <v/>
      </c>
      <c r="DW61" s="30" t="str">
        <f t="shared" si="3"/>
        <v/>
      </c>
    </row>
    <row r="62" spans="1:127" ht="16.5">
      <c r="A62" s="11"/>
      <c r="B62" s="11"/>
      <c r="C62" s="11"/>
      <c r="D62" s="27"/>
      <c r="E62" s="11"/>
      <c r="F62" s="29"/>
      <c r="G62" s="11"/>
      <c r="H62" s="11"/>
      <c r="I62" s="11"/>
      <c r="J62" s="15"/>
      <c r="K62" s="11"/>
      <c r="L62" s="15"/>
      <c r="M62" s="11"/>
      <c r="N62" s="15"/>
      <c r="O62" s="15"/>
      <c r="P62" s="11"/>
      <c r="Q62" s="11"/>
      <c r="R62" s="11"/>
      <c r="S62" s="15"/>
      <c r="T62" s="15"/>
      <c r="U62" s="15"/>
      <c r="V62" s="11"/>
      <c r="W62" s="29"/>
      <c r="X62" s="15"/>
      <c r="Y62" s="11"/>
      <c r="Z62" s="11"/>
      <c r="AA62" s="11"/>
      <c r="AB62" s="11"/>
      <c r="AC62" s="11"/>
      <c r="AD62" s="11"/>
      <c r="AE62" s="15"/>
      <c r="AF62" s="11"/>
      <c r="AG62" s="11"/>
      <c r="AH62" s="15"/>
      <c r="AI62" s="15"/>
      <c r="AJ62" s="15"/>
      <c r="AK62" s="11"/>
      <c r="AL62" s="15"/>
      <c r="AM62" s="11"/>
      <c r="AN62" s="11"/>
      <c r="AO62" s="15"/>
      <c r="AP62" s="11"/>
      <c r="AQ62" s="11"/>
      <c r="AR62" s="15"/>
      <c r="AS62" s="15"/>
      <c r="AT62" s="15"/>
      <c r="AU62" s="11"/>
      <c r="AV62" s="15"/>
      <c r="AW62" s="11"/>
      <c r="AX62" s="11"/>
      <c r="AY62" s="15"/>
      <c r="AZ62" s="11"/>
      <c r="BA62" s="11"/>
      <c r="BB62" s="15"/>
      <c r="BC62" s="15"/>
      <c r="BD62" s="15"/>
      <c r="BE62" s="11"/>
      <c r="BF62" s="15"/>
      <c r="BG62" s="11"/>
      <c r="BH62" s="11"/>
      <c r="BI62" s="15"/>
      <c r="BJ62" s="11"/>
      <c r="BK62" s="11"/>
      <c r="BL62" s="15"/>
      <c r="BM62" s="15"/>
      <c r="BN62" s="15"/>
      <c r="BO62" s="11"/>
      <c r="BP62" s="15"/>
      <c r="BQ62" s="11"/>
      <c r="BR62" s="11"/>
      <c r="BS62" s="15"/>
      <c r="BT62" s="11"/>
      <c r="BU62" s="11"/>
      <c r="BV62" s="15"/>
      <c r="BW62" s="11"/>
      <c r="BX62" s="11"/>
      <c r="BY62" s="11"/>
      <c r="BZ62" s="11"/>
      <c r="CA62" s="28" t="str">
        <f t="shared" si="0"/>
        <v/>
      </c>
      <c r="CB62" s="28"/>
      <c r="CC62" s="11"/>
      <c r="CD62" s="29"/>
      <c r="CE62" s="11"/>
      <c r="CF62" s="11"/>
      <c r="CG62" s="11"/>
      <c r="CH62" s="11"/>
      <c r="CI62" s="11"/>
      <c r="CJ62" s="11"/>
      <c r="CK62" s="11"/>
      <c r="CL62" s="28" t="str">
        <f t="shared" si="1"/>
        <v/>
      </c>
      <c r="CM62" s="28"/>
      <c r="CN62" s="11"/>
      <c r="CO62" s="29"/>
      <c r="CP62" s="11"/>
      <c r="CQ62" s="11"/>
      <c r="CR62" s="11"/>
      <c r="CS62" s="11"/>
      <c r="CT62" s="11"/>
      <c r="CU62" s="11"/>
      <c r="CV62" s="11"/>
      <c r="CW62" s="11"/>
      <c r="CX62" s="29"/>
      <c r="CY62" s="28"/>
      <c r="CZ62" s="11"/>
      <c r="DA62" s="11"/>
      <c r="DB62" s="11"/>
      <c r="DC62" s="29"/>
      <c r="DD62" s="28"/>
      <c r="DE62" s="11"/>
      <c r="DF62" s="11"/>
      <c r="DG62" s="11"/>
      <c r="DH62" s="29"/>
      <c r="DI62" s="28"/>
      <c r="DJ62" s="11"/>
      <c r="DK62" s="11"/>
      <c r="DL62" s="11"/>
      <c r="DM62" s="29"/>
      <c r="DN62" s="28"/>
      <c r="DO62" s="30" t="str">
        <f>IF(F62="","",IF(DP62="not a match","",IF(DP62="full_name",VLOOKUP(F62,'Internal -- Patent Countries'!B:I,5,FALSE),IF(DP62="polity_shortest_name",VLOOKUP(F62,'Internal -- Patent Countries'!C:I,4,FALSE),IF(DP62="polity_full_name",VLOOKUP(F62,'Internal -- Patent Countries'!D:I,3,FALSE),IF(DP62="polity_common_name",VLOOKUP(F62,'Internal -- Patent Countries'!E:I,2,FALSE),IF(DP62="shortest_name",F62)))))))</f>
        <v/>
      </c>
      <c r="DP62" s="30" t="str">
        <f>IF(F62="","",IF(COUNTIF('Internal -- Patent Countries'!B:B,F62)&gt;0,"full_name",IF(COUNTIF('Internal -- Patent Countries'!C:C,F62)&gt;0,"polity_shortest_name",IF(COUNTIF('Internal -- Patent Countries'!D:D,F62)&gt;0,"polity_full_name",IF(COUNTIF('Internal -- Patent Countries'!E:E,F62)&gt;0,"polity_common_name",IF(COUNTIF('Internal -- Patent Countries'!A:A,F62)&gt;0,"shortest_name","not a match"))))))</f>
        <v/>
      </c>
      <c r="DQ62" s="30"/>
      <c r="DR62" s="30"/>
      <c r="DS62" s="30"/>
      <c r="DT62" s="30"/>
      <c r="DU62" s="30"/>
      <c r="DV62" s="50" t="str">
        <f t="shared" si="2"/>
        <v/>
      </c>
      <c r="DW62" s="30" t="str">
        <f t="shared" si="3"/>
        <v/>
      </c>
    </row>
    <row r="63" spans="1:127" ht="16.5">
      <c r="A63" s="11"/>
      <c r="B63" s="11"/>
      <c r="C63" s="11"/>
      <c r="D63" s="27"/>
      <c r="E63" s="11"/>
      <c r="F63" s="29"/>
      <c r="G63" s="11"/>
      <c r="H63" s="11"/>
      <c r="I63" s="11"/>
      <c r="J63" s="15"/>
      <c r="K63" s="11"/>
      <c r="L63" s="15"/>
      <c r="M63" s="11"/>
      <c r="N63" s="15"/>
      <c r="O63" s="15"/>
      <c r="P63" s="11"/>
      <c r="Q63" s="11"/>
      <c r="R63" s="11"/>
      <c r="S63" s="15"/>
      <c r="T63" s="15"/>
      <c r="U63" s="15"/>
      <c r="V63" s="11"/>
      <c r="W63" s="29"/>
      <c r="X63" s="15"/>
      <c r="Y63" s="11"/>
      <c r="Z63" s="11"/>
      <c r="AA63" s="11"/>
      <c r="AB63" s="11"/>
      <c r="AC63" s="11"/>
      <c r="AD63" s="11"/>
      <c r="AE63" s="15"/>
      <c r="AF63" s="11"/>
      <c r="AG63" s="11"/>
      <c r="AH63" s="15"/>
      <c r="AI63" s="15"/>
      <c r="AJ63" s="15"/>
      <c r="AK63" s="11"/>
      <c r="AL63" s="15"/>
      <c r="AM63" s="11"/>
      <c r="AN63" s="11"/>
      <c r="AO63" s="15"/>
      <c r="AP63" s="11"/>
      <c r="AQ63" s="11"/>
      <c r="AR63" s="15"/>
      <c r="AS63" s="15"/>
      <c r="AT63" s="15"/>
      <c r="AU63" s="11"/>
      <c r="AV63" s="15"/>
      <c r="AW63" s="11"/>
      <c r="AX63" s="11"/>
      <c r="AY63" s="15"/>
      <c r="AZ63" s="11"/>
      <c r="BA63" s="11"/>
      <c r="BB63" s="15"/>
      <c r="BC63" s="15"/>
      <c r="BD63" s="15"/>
      <c r="BE63" s="11"/>
      <c r="BF63" s="15"/>
      <c r="BG63" s="11"/>
      <c r="BH63" s="11"/>
      <c r="BI63" s="15"/>
      <c r="BJ63" s="11"/>
      <c r="BK63" s="11"/>
      <c r="BL63" s="15"/>
      <c r="BM63" s="15"/>
      <c r="BN63" s="15"/>
      <c r="BO63" s="11"/>
      <c r="BP63" s="15"/>
      <c r="BQ63" s="11"/>
      <c r="BR63" s="11"/>
      <c r="BS63" s="15"/>
      <c r="BT63" s="11"/>
      <c r="BU63" s="11"/>
      <c r="BV63" s="15"/>
      <c r="BW63" s="11"/>
      <c r="BX63" s="11"/>
      <c r="BY63" s="11"/>
      <c r="BZ63" s="11"/>
      <c r="CA63" s="28" t="str">
        <f t="shared" si="0"/>
        <v/>
      </c>
      <c r="CB63" s="28"/>
      <c r="CC63" s="11"/>
      <c r="CD63" s="29"/>
      <c r="CE63" s="11"/>
      <c r="CF63" s="11"/>
      <c r="CG63" s="11"/>
      <c r="CH63" s="11"/>
      <c r="CI63" s="11"/>
      <c r="CJ63" s="11"/>
      <c r="CK63" s="11"/>
      <c r="CL63" s="28" t="str">
        <f t="shared" si="1"/>
        <v/>
      </c>
      <c r="CM63" s="28"/>
      <c r="CN63" s="11"/>
      <c r="CO63" s="29"/>
      <c r="CP63" s="11"/>
      <c r="CQ63" s="11"/>
      <c r="CR63" s="11"/>
      <c r="CS63" s="11"/>
      <c r="CT63" s="11"/>
      <c r="CU63" s="11"/>
      <c r="CV63" s="11"/>
      <c r="CW63" s="11"/>
      <c r="CX63" s="29"/>
      <c r="CY63" s="28"/>
      <c r="CZ63" s="11"/>
      <c r="DA63" s="11"/>
      <c r="DB63" s="11"/>
      <c r="DC63" s="29"/>
      <c r="DD63" s="28"/>
      <c r="DE63" s="11"/>
      <c r="DF63" s="11"/>
      <c r="DG63" s="11"/>
      <c r="DH63" s="29"/>
      <c r="DI63" s="28"/>
      <c r="DJ63" s="11"/>
      <c r="DK63" s="11"/>
      <c r="DL63" s="11"/>
      <c r="DM63" s="29"/>
      <c r="DN63" s="28"/>
      <c r="DO63" s="30" t="str">
        <f>IF(F63="","",IF(DP63="not a match","",IF(DP63="full_name",VLOOKUP(F63,'Internal -- Patent Countries'!B:I,5,FALSE),IF(DP63="polity_shortest_name",VLOOKUP(F63,'Internal -- Patent Countries'!C:I,4,FALSE),IF(DP63="polity_full_name",VLOOKUP(F63,'Internal -- Patent Countries'!D:I,3,FALSE),IF(DP63="polity_common_name",VLOOKUP(F63,'Internal -- Patent Countries'!E:I,2,FALSE),IF(DP63="shortest_name",F63)))))))</f>
        <v/>
      </c>
      <c r="DP63" s="30" t="str">
        <f>IF(F63="","",IF(COUNTIF('Internal -- Patent Countries'!B:B,F63)&gt;0,"full_name",IF(COUNTIF('Internal -- Patent Countries'!C:C,F63)&gt;0,"polity_shortest_name",IF(COUNTIF('Internal -- Patent Countries'!D:D,F63)&gt;0,"polity_full_name",IF(COUNTIF('Internal -- Patent Countries'!E:E,F63)&gt;0,"polity_common_name",IF(COUNTIF('Internal -- Patent Countries'!A:A,F63)&gt;0,"shortest_name","not a match"))))))</f>
        <v/>
      </c>
      <c r="DQ63" s="30"/>
      <c r="DR63" s="30"/>
      <c r="DS63" s="30"/>
      <c r="DT63" s="30"/>
      <c r="DU63" s="30"/>
      <c r="DV63" s="50" t="str">
        <f t="shared" si="2"/>
        <v/>
      </c>
      <c r="DW63" s="30" t="str">
        <f t="shared" si="3"/>
        <v/>
      </c>
    </row>
    <row r="64" spans="1:127" ht="16.5">
      <c r="A64" s="11"/>
      <c r="B64" s="11"/>
      <c r="C64" s="11"/>
      <c r="D64" s="27"/>
      <c r="E64" s="11"/>
      <c r="F64" s="29"/>
      <c r="G64" s="11"/>
      <c r="H64" s="11"/>
      <c r="I64" s="11"/>
      <c r="J64" s="15"/>
      <c r="K64" s="11"/>
      <c r="L64" s="15"/>
      <c r="M64" s="11"/>
      <c r="N64" s="15"/>
      <c r="O64" s="15"/>
      <c r="P64" s="11"/>
      <c r="Q64" s="11"/>
      <c r="R64" s="11"/>
      <c r="S64" s="15"/>
      <c r="T64" s="15"/>
      <c r="U64" s="15"/>
      <c r="V64" s="11"/>
      <c r="W64" s="29"/>
      <c r="X64" s="15"/>
      <c r="Y64" s="11"/>
      <c r="Z64" s="11"/>
      <c r="AA64" s="11"/>
      <c r="AB64" s="11"/>
      <c r="AC64" s="11"/>
      <c r="AD64" s="11"/>
      <c r="AE64" s="15"/>
      <c r="AF64" s="11"/>
      <c r="AG64" s="11"/>
      <c r="AH64" s="15"/>
      <c r="AI64" s="15"/>
      <c r="AJ64" s="15"/>
      <c r="AK64" s="11"/>
      <c r="AL64" s="15"/>
      <c r="AM64" s="11"/>
      <c r="AN64" s="11"/>
      <c r="AO64" s="15"/>
      <c r="AP64" s="11"/>
      <c r="AQ64" s="11"/>
      <c r="AR64" s="15"/>
      <c r="AS64" s="15"/>
      <c r="AT64" s="15"/>
      <c r="AU64" s="11"/>
      <c r="AV64" s="15"/>
      <c r="AW64" s="11"/>
      <c r="AX64" s="11"/>
      <c r="AY64" s="15"/>
      <c r="AZ64" s="11"/>
      <c r="BA64" s="11"/>
      <c r="BB64" s="15"/>
      <c r="BC64" s="15"/>
      <c r="BD64" s="15"/>
      <c r="BE64" s="11"/>
      <c r="BF64" s="15"/>
      <c r="BG64" s="11"/>
      <c r="BH64" s="11"/>
      <c r="BI64" s="15"/>
      <c r="BJ64" s="11"/>
      <c r="BK64" s="11"/>
      <c r="BL64" s="15"/>
      <c r="BM64" s="15"/>
      <c r="BN64" s="15"/>
      <c r="BO64" s="11"/>
      <c r="BP64" s="15"/>
      <c r="BQ64" s="11"/>
      <c r="BR64" s="11"/>
      <c r="BS64" s="15"/>
      <c r="BT64" s="11"/>
      <c r="BU64" s="11"/>
      <c r="BV64" s="15"/>
      <c r="BW64" s="11"/>
      <c r="BX64" s="11"/>
      <c r="BY64" s="11"/>
      <c r="BZ64" s="11"/>
      <c r="CA64" s="28" t="str">
        <f t="shared" si="0"/>
        <v/>
      </c>
      <c r="CB64" s="28"/>
      <c r="CC64" s="11"/>
      <c r="CD64" s="29"/>
      <c r="CE64" s="11"/>
      <c r="CF64" s="11"/>
      <c r="CG64" s="11"/>
      <c r="CH64" s="11"/>
      <c r="CI64" s="11"/>
      <c r="CJ64" s="11"/>
      <c r="CK64" s="11"/>
      <c r="CL64" s="28" t="str">
        <f t="shared" si="1"/>
        <v/>
      </c>
      <c r="CM64" s="28"/>
      <c r="CN64" s="11"/>
      <c r="CO64" s="29"/>
      <c r="CP64" s="11"/>
      <c r="CQ64" s="11"/>
      <c r="CR64" s="11"/>
      <c r="CS64" s="11"/>
      <c r="CT64" s="11"/>
      <c r="CU64" s="11"/>
      <c r="CV64" s="11"/>
      <c r="CW64" s="11"/>
      <c r="CX64" s="29"/>
      <c r="CY64" s="28"/>
      <c r="CZ64" s="11"/>
      <c r="DA64" s="11"/>
      <c r="DB64" s="11"/>
      <c r="DC64" s="29"/>
      <c r="DD64" s="28"/>
      <c r="DE64" s="11"/>
      <c r="DF64" s="11"/>
      <c r="DG64" s="11"/>
      <c r="DH64" s="29"/>
      <c r="DI64" s="28"/>
      <c r="DJ64" s="11"/>
      <c r="DK64" s="11"/>
      <c r="DL64" s="11"/>
      <c r="DM64" s="29"/>
      <c r="DN64" s="28"/>
      <c r="DO64" s="30" t="str">
        <f>IF(F64="","",IF(DP64="not a match","",IF(DP64="full_name",VLOOKUP(F64,'Internal -- Patent Countries'!B:I,5,FALSE),IF(DP64="polity_shortest_name",VLOOKUP(F64,'Internal -- Patent Countries'!C:I,4,FALSE),IF(DP64="polity_full_name",VLOOKUP(F64,'Internal -- Patent Countries'!D:I,3,FALSE),IF(DP64="polity_common_name",VLOOKUP(F64,'Internal -- Patent Countries'!E:I,2,FALSE),IF(DP64="shortest_name",F64)))))))</f>
        <v/>
      </c>
      <c r="DP64" s="30" t="str">
        <f>IF(F64="","",IF(COUNTIF('Internal -- Patent Countries'!B:B,F64)&gt;0,"full_name",IF(COUNTIF('Internal -- Patent Countries'!C:C,F64)&gt;0,"polity_shortest_name",IF(COUNTIF('Internal -- Patent Countries'!D:D,F64)&gt;0,"polity_full_name",IF(COUNTIF('Internal -- Patent Countries'!E:E,F64)&gt;0,"polity_common_name",IF(COUNTIF('Internal -- Patent Countries'!A:A,F64)&gt;0,"shortest_name","not a match"))))))</f>
        <v/>
      </c>
      <c r="DQ64" s="30"/>
      <c r="DR64" s="30"/>
      <c r="DS64" s="30"/>
      <c r="DT64" s="30"/>
      <c r="DU64" s="30"/>
      <c r="DV64" s="50" t="str">
        <f t="shared" si="2"/>
        <v/>
      </c>
      <c r="DW64" s="30" t="str">
        <f t="shared" si="3"/>
        <v/>
      </c>
    </row>
    <row r="65" spans="1:127" ht="16.5">
      <c r="A65" s="11"/>
      <c r="B65" s="11"/>
      <c r="C65" s="11"/>
      <c r="D65" s="27"/>
      <c r="E65" s="11"/>
      <c r="F65" s="29"/>
      <c r="G65" s="11"/>
      <c r="H65" s="11"/>
      <c r="I65" s="11"/>
      <c r="J65" s="15"/>
      <c r="K65" s="11"/>
      <c r="L65" s="15"/>
      <c r="M65" s="11"/>
      <c r="N65" s="15"/>
      <c r="O65" s="15"/>
      <c r="P65" s="11"/>
      <c r="Q65" s="11"/>
      <c r="R65" s="11"/>
      <c r="S65" s="15"/>
      <c r="T65" s="15"/>
      <c r="U65" s="15"/>
      <c r="V65" s="11"/>
      <c r="W65" s="29"/>
      <c r="X65" s="15"/>
      <c r="Y65" s="11"/>
      <c r="Z65" s="11"/>
      <c r="AA65" s="11"/>
      <c r="AB65" s="11"/>
      <c r="AC65" s="11"/>
      <c r="AD65" s="11"/>
      <c r="AE65" s="15"/>
      <c r="AF65" s="11"/>
      <c r="AG65" s="11"/>
      <c r="AH65" s="15"/>
      <c r="AI65" s="15"/>
      <c r="AJ65" s="15"/>
      <c r="AK65" s="11"/>
      <c r="AL65" s="15"/>
      <c r="AM65" s="11"/>
      <c r="AN65" s="11"/>
      <c r="AO65" s="15"/>
      <c r="AP65" s="11"/>
      <c r="AQ65" s="11"/>
      <c r="AR65" s="15"/>
      <c r="AS65" s="15"/>
      <c r="AT65" s="15"/>
      <c r="AU65" s="11"/>
      <c r="AV65" s="15"/>
      <c r="AW65" s="11"/>
      <c r="AX65" s="11"/>
      <c r="AY65" s="15"/>
      <c r="AZ65" s="11"/>
      <c r="BA65" s="11"/>
      <c r="BB65" s="15"/>
      <c r="BC65" s="15"/>
      <c r="BD65" s="15"/>
      <c r="BE65" s="11"/>
      <c r="BF65" s="15"/>
      <c r="BG65" s="11"/>
      <c r="BH65" s="11"/>
      <c r="BI65" s="15"/>
      <c r="BJ65" s="11"/>
      <c r="BK65" s="11"/>
      <c r="BL65" s="15"/>
      <c r="BM65" s="15"/>
      <c r="BN65" s="15"/>
      <c r="BO65" s="11"/>
      <c r="BP65" s="15"/>
      <c r="BQ65" s="11"/>
      <c r="BR65" s="11"/>
      <c r="BS65" s="15"/>
      <c r="BT65" s="11"/>
      <c r="BU65" s="11"/>
      <c r="BV65" s="15"/>
      <c r="BW65" s="11"/>
      <c r="BX65" s="11"/>
      <c r="BY65" s="11"/>
      <c r="BZ65" s="11"/>
      <c r="CA65" s="28" t="str">
        <f t="shared" si="0"/>
        <v/>
      </c>
      <c r="CB65" s="28"/>
      <c r="CC65" s="11"/>
      <c r="CD65" s="29"/>
      <c r="CE65" s="11"/>
      <c r="CF65" s="11"/>
      <c r="CG65" s="11"/>
      <c r="CH65" s="11"/>
      <c r="CI65" s="11"/>
      <c r="CJ65" s="11"/>
      <c r="CK65" s="11"/>
      <c r="CL65" s="28" t="str">
        <f t="shared" si="1"/>
        <v/>
      </c>
      <c r="CM65" s="28"/>
      <c r="CN65" s="11"/>
      <c r="CO65" s="29"/>
      <c r="CP65" s="11"/>
      <c r="CQ65" s="11"/>
      <c r="CR65" s="11"/>
      <c r="CS65" s="11"/>
      <c r="CT65" s="11"/>
      <c r="CU65" s="11"/>
      <c r="CV65" s="11"/>
      <c r="CW65" s="11"/>
      <c r="CX65" s="29"/>
      <c r="CY65" s="28"/>
      <c r="CZ65" s="11"/>
      <c r="DA65" s="11"/>
      <c r="DB65" s="11"/>
      <c r="DC65" s="29"/>
      <c r="DD65" s="28"/>
      <c r="DE65" s="11"/>
      <c r="DF65" s="11"/>
      <c r="DG65" s="11"/>
      <c r="DH65" s="29"/>
      <c r="DI65" s="28"/>
      <c r="DJ65" s="11"/>
      <c r="DK65" s="11"/>
      <c r="DL65" s="11"/>
      <c r="DM65" s="29"/>
      <c r="DN65" s="28"/>
      <c r="DO65" s="30" t="str">
        <f>IF(F65="","",IF(DP65="not a match","",IF(DP65="full_name",VLOOKUP(F65,'Internal -- Patent Countries'!B:I,5,FALSE),IF(DP65="polity_shortest_name",VLOOKUP(F65,'Internal -- Patent Countries'!C:I,4,FALSE),IF(DP65="polity_full_name",VLOOKUP(F65,'Internal -- Patent Countries'!D:I,3,FALSE),IF(DP65="polity_common_name",VLOOKUP(F65,'Internal -- Patent Countries'!E:I,2,FALSE),IF(DP65="shortest_name",F65)))))))</f>
        <v/>
      </c>
      <c r="DP65" s="30" t="str">
        <f>IF(F65="","",IF(COUNTIF('Internal -- Patent Countries'!B:B,F65)&gt;0,"full_name",IF(COUNTIF('Internal -- Patent Countries'!C:C,F65)&gt;0,"polity_shortest_name",IF(COUNTIF('Internal -- Patent Countries'!D:D,F65)&gt;0,"polity_full_name",IF(COUNTIF('Internal -- Patent Countries'!E:E,F65)&gt;0,"polity_common_name",IF(COUNTIF('Internal -- Patent Countries'!A:A,F65)&gt;0,"shortest_name","not a match"))))))</f>
        <v/>
      </c>
      <c r="DQ65" s="30"/>
      <c r="DR65" s="30"/>
      <c r="DS65" s="30"/>
      <c r="DT65" s="30"/>
      <c r="DU65" s="30"/>
      <c r="DV65" s="50" t="str">
        <f t="shared" si="2"/>
        <v/>
      </c>
      <c r="DW65" s="30" t="str">
        <f t="shared" si="3"/>
        <v/>
      </c>
    </row>
    <row r="66" spans="1:127" ht="16.5">
      <c r="A66" s="11"/>
      <c r="B66" s="11"/>
      <c r="C66" s="11"/>
      <c r="D66" s="27"/>
      <c r="E66" s="11"/>
      <c r="F66" s="29"/>
      <c r="G66" s="11"/>
      <c r="H66" s="11"/>
      <c r="I66" s="11"/>
      <c r="J66" s="15"/>
      <c r="K66" s="11"/>
      <c r="L66" s="15"/>
      <c r="M66" s="11"/>
      <c r="N66" s="15"/>
      <c r="O66" s="15"/>
      <c r="P66" s="11"/>
      <c r="Q66" s="11"/>
      <c r="R66" s="11"/>
      <c r="S66" s="15"/>
      <c r="T66" s="15"/>
      <c r="U66" s="15"/>
      <c r="V66" s="11"/>
      <c r="W66" s="29"/>
      <c r="X66" s="15"/>
      <c r="Y66" s="11"/>
      <c r="Z66" s="11"/>
      <c r="AA66" s="11"/>
      <c r="AB66" s="11"/>
      <c r="AC66" s="11"/>
      <c r="AD66" s="11"/>
      <c r="AE66" s="15"/>
      <c r="AF66" s="11"/>
      <c r="AG66" s="11"/>
      <c r="AH66" s="15"/>
      <c r="AI66" s="15"/>
      <c r="AJ66" s="15"/>
      <c r="AK66" s="11"/>
      <c r="AL66" s="15"/>
      <c r="AM66" s="11"/>
      <c r="AN66" s="11"/>
      <c r="AO66" s="15"/>
      <c r="AP66" s="11"/>
      <c r="AQ66" s="11"/>
      <c r="AR66" s="15"/>
      <c r="AS66" s="15"/>
      <c r="AT66" s="15"/>
      <c r="AU66" s="11"/>
      <c r="AV66" s="15"/>
      <c r="AW66" s="11"/>
      <c r="AX66" s="11"/>
      <c r="AY66" s="15"/>
      <c r="AZ66" s="11"/>
      <c r="BA66" s="11"/>
      <c r="BB66" s="15"/>
      <c r="BC66" s="15"/>
      <c r="BD66" s="15"/>
      <c r="BE66" s="11"/>
      <c r="BF66" s="15"/>
      <c r="BG66" s="11"/>
      <c r="BH66" s="11"/>
      <c r="BI66" s="15"/>
      <c r="BJ66" s="11"/>
      <c r="BK66" s="11"/>
      <c r="BL66" s="15"/>
      <c r="BM66" s="15"/>
      <c r="BN66" s="15"/>
      <c r="BO66" s="11"/>
      <c r="BP66" s="15"/>
      <c r="BQ66" s="11"/>
      <c r="BR66" s="11"/>
      <c r="BS66" s="15"/>
      <c r="BT66" s="11"/>
      <c r="BU66" s="11"/>
      <c r="BV66" s="15"/>
      <c r="BW66" s="11"/>
      <c r="BX66" s="11"/>
      <c r="BY66" s="11"/>
      <c r="BZ66" s="11"/>
      <c r="CA66" s="28" t="str">
        <f t="shared" si="0"/>
        <v/>
      </c>
      <c r="CB66" s="28"/>
      <c r="CC66" s="11"/>
      <c r="CD66" s="29"/>
      <c r="CE66" s="11"/>
      <c r="CF66" s="11"/>
      <c r="CG66" s="11"/>
      <c r="CH66" s="11"/>
      <c r="CI66" s="11"/>
      <c r="CJ66" s="11"/>
      <c r="CK66" s="11"/>
      <c r="CL66" s="28" t="str">
        <f t="shared" si="1"/>
        <v/>
      </c>
      <c r="CM66" s="28"/>
      <c r="CN66" s="11"/>
      <c r="CO66" s="29"/>
      <c r="CP66" s="11"/>
      <c r="CQ66" s="11"/>
      <c r="CR66" s="11"/>
      <c r="CS66" s="11"/>
      <c r="CT66" s="11"/>
      <c r="CU66" s="11"/>
      <c r="CV66" s="11"/>
      <c r="CW66" s="11"/>
      <c r="CX66" s="29"/>
      <c r="CY66" s="28"/>
      <c r="CZ66" s="11"/>
      <c r="DA66" s="11"/>
      <c r="DB66" s="11"/>
      <c r="DC66" s="29"/>
      <c r="DD66" s="28"/>
      <c r="DE66" s="11"/>
      <c r="DF66" s="11"/>
      <c r="DG66" s="11"/>
      <c r="DH66" s="29"/>
      <c r="DI66" s="28"/>
      <c r="DJ66" s="11"/>
      <c r="DK66" s="11"/>
      <c r="DL66" s="11"/>
      <c r="DM66" s="29"/>
      <c r="DN66" s="28"/>
      <c r="DO66" s="30" t="str">
        <f>IF(F66="","",IF(DP66="not a match","",IF(DP66="full_name",VLOOKUP(F66,'Internal -- Patent Countries'!B:I,5,FALSE),IF(DP66="polity_shortest_name",VLOOKUP(F66,'Internal -- Patent Countries'!C:I,4,FALSE),IF(DP66="polity_full_name",VLOOKUP(F66,'Internal -- Patent Countries'!D:I,3,FALSE),IF(DP66="polity_common_name",VLOOKUP(F66,'Internal -- Patent Countries'!E:I,2,FALSE),IF(DP66="shortest_name",F66)))))))</f>
        <v/>
      </c>
      <c r="DP66" s="30" t="str">
        <f>IF(F66="","",IF(COUNTIF('Internal -- Patent Countries'!B:B,F66)&gt;0,"full_name",IF(COUNTIF('Internal -- Patent Countries'!C:C,F66)&gt;0,"polity_shortest_name",IF(COUNTIF('Internal -- Patent Countries'!D:D,F66)&gt;0,"polity_full_name",IF(COUNTIF('Internal -- Patent Countries'!E:E,F66)&gt;0,"polity_common_name",IF(COUNTIF('Internal -- Patent Countries'!A:A,F66)&gt;0,"shortest_name","not a match"))))))</f>
        <v/>
      </c>
      <c r="DQ66" s="30"/>
      <c r="DR66" s="30"/>
      <c r="DS66" s="30"/>
      <c r="DT66" s="30"/>
      <c r="DU66" s="30"/>
      <c r="DV66" s="50" t="str">
        <f t="shared" si="2"/>
        <v/>
      </c>
      <c r="DW66" s="30" t="str">
        <f t="shared" si="3"/>
        <v/>
      </c>
    </row>
    <row r="67" spans="1:127" ht="16.5">
      <c r="A67" s="11"/>
      <c r="B67" s="11"/>
      <c r="C67" s="11"/>
      <c r="D67" s="27"/>
      <c r="E67" s="11"/>
      <c r="F67" s="29"/>
      <c r="G67" s="11"/>
      <c r="H67" s="11"/>
      <c r="I67" s="11"/>
      <c r="J67" s="15"/>
      <c r="K67" s="11"/>
      <c r="L67" s="15"/>
      <c r="M67" s="11"/>
      <c r="N67" s="15"/>
      <c r="O67" s="15"/>
      <c r="P67" s="11"/>
      <c r="Q67" s="11"/>
      <c r="R67" s="11"/>
      <c r="S67" s="15"/>
      <c r="T67" s="15"/>
      <c r="U67" s="15"/>
      <c r="V67" s="11"/>
      <c r="W67" s="29"/>
      <c r="X67" s="15"/>
      <c r="Y67" s="11"/>
      <c r="Z67" s="11"/>
      <c r="AA67" s="11"/>
      <c r="AB67" s="11"/>
      <c r="AC67" s="11"/>
      <c r="AD67" s="11"/>
      <c r="AE67" s="15"/>
      <c r="AF67" s="11"/>
      <c r="AG67" s="11"/>
      <c r="AH67" s="15"/>
      <c r="AI67" s="15"/>
      <c r="AJ67" s="15"/>
      <c r="AK67" s="11"/>
      <c r="AL67" s="15"/>
      <c r="AM67" s="11"/>
      <c r="AN67" s="11"/>
      <c r="AO67" s="15"/>
      <c r="AP67" s="11"/>
      <c r="AQ67" s="11"/>
      <c r="AR67" s="15"/>
      <c r="AS67" s="15"/>
      <c r="AT67" s="15"/>
      <c r="AU67" s="11"/>
      <c r="AV67" s="15"/>
      <c r="AW67" s="11"/>
      <c r="AX67" s="11"/>
      <c r="AY67" s="15"/>
      <c r="AZ67" s="11"/>
      <c r="BA67" s="11"/>
      <c r="BB67" s="15"/>
      <c r="BC67" s="15"/>
      <c r="BD67" s="15"/>
      <c r="BE67" s="11"/>
      <c r="BF67" s="15"/>
      <c r="BG67" s="11"/>
      <c r="BH67" s="11"/>
      <c r="BI67" s="15"/>
      <c r="BJ67" s="11"/>
      <c r="BK67" s="11"/>
      <c r="BL67" s="15"/>
      <c r="BM67" s="15"/>
      <c r="BN67" s="15"/>
      <c r="BO67" s="11"/>
      <c r="BP67" s="15"/>
      <c r="BQ67" s="11"/>
      <c r="BR67" s="11"/>
      <c r="BS67" s="15"/>
      <c r="BT67" s="11"/>
      <c r="BU67" s="11"/>
      <c r="BV67" s="15"/>
      <c r="BW67" s="11"/>
      <c r="BX67" s="11"/>
      <c r="BY67" s="11"/>
      <c r="BZ67" s="11"/>
      <c r="CA67" s="28" t="str">
        <f t="shared" si="0"/>
        <v/>
      </c>
      <c r="CB67" s="28"/>
      <c r="CC67" s="11"/>
      <c r="CD67" s="29"/>
      <c r="CE67" s="11"/>
      <c r="CF67" s="11"/>
      <c r="CG67" s="11"/>
      <c r="CH67" s="11"/>
      <c r="CI67" s="11"/>
      <c r="CJ67" s="11"/>
      <c r="CK67" s="11"/>
      <c r="CL67" s="28" t="str">
        <f t="shared" si="1"/>
        <v/>
      </c>
      <c r="CM67" s="28"/>
      <c r="CN67" s="11"/>
      <c r="CO67" s="29"/>
      <c r="CP67" s="11"/>
      <c r="CQ67" s="11"/>
      <c r="CR67" s="11"/>
      <c r="CS67" s="11"/>
      <c r="CT67" s="11"/>
      <c r="CU67" s="11"/>
      <c r="CV67" s="11"/>
      <c r="CW67" s="11"/>
      <c r="CX67" s="29"/>
      <c r="CY67" s="28"/>
      <c r="CZ67" s="11"/>
      <c r="DA67" s="11"/>
      <c r="DB67" s="11"/>
      <c r="DC67" s="29"/>
      <c r="DD67" s="28"/>
      <c r="DE67" s="11"/>
      <c r="DF67" s="11"/>
      <c r="DG67" s="11"/>
      <c r="DH67" s="29"/>
      <c r="DI67" s="28"/>
      <c r="DJ67" s="11"/>
      <c r="DK67" s="11"/>
      <c r="DL67" s="11"/>
      <c r="DM67" s="29"/>
      <c r="DN67" s="28"/>
      <c r="DO67" s="30" t="str">
        <f>IF(F67="","",IF(DP67="not a match","",IF(DP67="full_name",VLOOKUP(F67,'Internal -- Patent Countries'!B:I,5,FALSE),IF(DP67="polity_shortest_name",VLOOKUP(F67,'Internal -- Patent Countries'!C:I,4,FALSE),IF(DP67="polity_full_name",VLOOKUP(F67,'Internal -- Patent Countries'!D:I,3,FALSE),IF(DP67="polity_common_name",VLOOKUP(F67,'Internal -- Patent Countries'!E:I,2,FALSE),IF(DP67="shortest_name",F67)))))))</f>
        <v/>
      </c>
      <c r="DP67" s="30" t="str">
        <f>IF(F67="","",IF(COUNTIF('Internal -- Patent Countries'!B:B,F67)&gt;0,"full_name",IF(COUNTIF('Internal -- Patent Countries'!C:C,F67)&gt;0,"polity_shortest_name",IF(COUNTIF('Internal -- Patent Countries'!D:D,F67)&gt;0,"polity_full_name",IF(COUNTIF('Internal -- Patent Countries'!E:E,F67)&gt;0,"polity_common_name",IF(COUNTIF('Internal -- Patent Countries'!A:A,F67)&gt;0,"shortest_name","not a match"))))))</f>
        <v/>
      </c>
      <c r="DQ67" s="30"/>
      <c r="DR67" s="30"/>
      <c r="DS67" s="30"/>
      <c r="DT67" s="30"/>
      <c r="DU67" s="30"/>
      <c r="DV67" s="50" t="str">
        <f t="shared" si="2"/>
        <v/>
      </c>
      <c r="DW67" s="30" t="str">
        <f t="shared" si="3"/>
        <v/>
      </c>
    </row>
    <row r="68" spans="1:127" ht="16.5">
      <c r="A68" s="11"/>
      <c r="B68" s="11"/>
      <c r="C68" s="11"/>
      <c r="D68" s="27"/>
      <c r="E68" s="11"/>
      <c r="F68" s="29"/>
      <c r="G68" s="11"/>
      <c r="H68" s="11"/>
      <c r="I68" s="11"/>
      <c r="J68" s="15"/>
      <c r="K68" s="11"/>
      <c r="L68" s="15"/>
      <c r="M68" s="11"/>
      <c r="N68" s="15"/>
      <c r="O68" s="15"/>
      <c r="P68" s="11"/>
      <c r="Q68" s="11"/>
      <c r="R68" s="11"/>
      <c r="S68" s="15"/>
      <c r="T68" s="15"/>
      <c r="U68" s="15"/>
      <c r="V68" s="11"/>
      <c r="W68" s="29"/>
      <c r="X68" s="15"/>
      <c r="Y68" s="11"/>
      <c r="Z68" s="11"/>
      <c r="AA68" s="11"/>
      <c r="AB68" s="11"/>
      <c r="AC68" s="11"/>
      <c r="AD68" s="11"/>
      <c r="AE68" s="15"/>
      <c r="AF68" s="11"/>
      <c r="AG68" s="11"/>
      <c r="AH68" s="15"/>
      <c r="AI68" s="15"/>
      <c r="AJ68" s="15"/>
      <c r="AK68" s="11"/>
      <c r="AL68" s="15"/>
      <c r="AM68" s="11"/>
      <c r="AN68" s="11"/>
      <c r="AO68" s="15"/>
      <c r="AP68" s="11"/>
      <c r="AQ68" s="11"/>
      <c r="AR68" s="15"/>
      <c r="AS68" s="15"/>
      <c r="AT68" s="15"/>
      <c r="AU68" s="11"/>
      <c r="AV68" s="15"/>
      <c r="AW68" s="11"/>
      <c r="AX68" s="11"/>
      <c r="AY68" s="15"/>
      <c r="AZ68" s="11"/>
      <c r="BA68" s="11"/>
      <c r="BB68" s="15"/>
      <c r="BC68" s="15"/>
      <c r="BD68" s="15"/>
      <c r="BE68" s="11"/>
      <c r="BF68" s="15"/>
      <c r="BG68" s="11"/>
      <c r="BH68" s="11"/>
      <c r="BI68" s="15"/>
      <c r="BJ68" s="11"/>
      <c r="BK68" s="11"/>
      <c r="BL68" s="15"/>
      <c r="BM68" s="15"/>
      <c r="BN68" s="15"/>
      <c r="BO68" s="11"/>
      <c r="BP68" s="15"/>
      <c r="BQ68" s="11"/>
      <c r="BR68" s="11"/>
      <c r="BS68" s="15"/>
      <c r="BT68" s="11"/>
      <c r="BU68" s="11"/>
      <c r="BV68" s="15"/>
      <c r="BW68" s="11"/>
      <c r="BX68" s="11"/>
      <c r="BY68" s="11"/>
      <c r="BZ68" s="11"/>
      <c r="CA68" s="28" t="str">
        <f t="shared" si="0"/>
        <v/>
      </c>
      <c r="CB68" s="28"/>
      <c r="CC68" s="11"/>
      <c r="CD68" s="29"/>
      <c r="CE68" s="11"/>
      <c r="CF68" s="11"/>
      <c r="CG68" s="11"/>
      <c r="CH68" s="11"/>
      <c r="CI68" s="11"/>
      <c r="CJ68" s="11"/>
      <c r="CK68" s="11"/>
      <c r="CL68" s="28" t="str">
        <f t="shared" si="1"/>
        <v/>
      </c>
      <c r="CM68" s="28"/>
      <c r="CN68" s="11"/>
      <c r="CO68" s="29"/>
      <c r="CP68" s="11"/>
      <c r="CQ68" s="11"/>
      <c r="CR68" s="11"/>
      <c r="CS68" s="11"/>
      <c r="CT68" s="11"/>
      <c r="CU68" s="11"/>
      <c r="CV68" s="11"/>
      <c r="CW68" s="11"/>
      <c r="CX68" s="29"/>
      <c r="CY68" s="28"/>
      <c r="CZ68" s="11"/>
      <c r="DA68" s="11"/>
      <c r="DB68" s="11"/>
      <c r="DC68" s="29"/>
      <c r="DD68" s="28"/>
      <c r="DE68" s="11"/>
      <c r="DF68" s="11"/>
      <c r="DG68" s="11"/>
      <c r="DH68" s="29"/>
      <c r="DI68" s="28"/>
      <c r="DJ68" s="11"/>
      <c r="DK68" s="11"/>
      <c r="DL68" s="11"/>
      <c r="DM68" s="29"/>
      <c r="DN68" s="28"/>
      <c r="DO68" s="30" t="str">
        <f>IF(F68="","",IF(DP68="not a match","",IF(DP68="full_name",VLOOKUP(F68,'Internal -- Patent Countries'!B:I,5,FALSE),IF(DP68="polity_shortest_name",VLOOKUP(F68,'Internal -- Patent Countries'!C:I,4,FALSE),IF(DP68="polity_full_name",VLOOKUP(F68,'Internal -- Patent Countries'!D:I,3,FALSE),IF(DP68="polity_common_name",VLOOKUP(F68,'Internal -- Patent Countries'!E:I,2,FALSE),IF(DP68="shortest_name",F68)))))))</f>
        <v/>
      </c>
      <c r="DP68" s="30" t="str">
        <f>IF(F68="","",IF(COUNTIF('Internal -- Patent Countries'!B:B,F68)&gt;0,"full_name",IF(COUNTIF('Internal -- Patent Countries'!C:C,F68)&gt;0,"polity_shortest_name",IF(COUNTIF('Internal -- Patent Countries'!D:D,F68)&gt;0,"polity_full_name",IF(COUNTIF('Internal -- Patent Countries'!E:E,F68)&gt;0,"polity_common_name",IF(COUNTIF('Internal -- Patent Countries'!A:A,F68)&gt;0,"shortest_name","not a match"))))))</f>
        <v/>
      </c>
      <c r="DQ68" s="30"/>
      <c r="DR68" s="30"/>
      <c r="DS68" s="30"/>
      <c r="DT68" s="30"/>
      <c r="DU68" s="30"/>
      <c r="DV68" s="50" t="str">
        <f t="shared" si="2"/>
        <v/>
      </c>
      <c r="DW68" s="30" t="str">
        <f t="shared" si="3"/>
        <v/>
      </c>
    </row>
    <row r="69" spans="1:127" ht="16.5">
      <c r="A69" s="11"/>
      <c r="B69" s="11"/>
      <c r="C69" s="11"/>
      <c r="D69" s="27"/>
      <c r="E69" s="11"/>
      <c r="F69" s="29"/>
      <c r="G69" s="11"/>
      <c r="H69" s="11"/>
      <c r="I69" s="11"/>
      <c r="J69" s="15"/>
      <c r="K69" s="11"/>
      <c r="L69" s="15"/>
      <c r="M69" s="11"/>
      <c r="N69" s="15"/>
      <c r="O69" s="15"/>
      <c r="P69" s="11"/>
      <c r="Q69" s="11"/>
      <c r="R69" s="11"/>
      <c r="S69" s="15"/>
      <c r="T69" s="15"/>
      <c r="U69" s="15"/>
      <c r="V69" s="11"/>
      <c r="W69" s="29"/>
      <c r="X69" s="15"/>
      <c r="Y69" s="11"/>
      <c r="Z69" s="11"/>
      <c r="AA69" s="11"/>
      <c r="AB69" s="11"/>
      <c r="AC69" s="11"/>
      <c r="AD69" s="11"/>
      <c r="AE69" s="15"/>
      <c r="AF69" s="11"/>
      <c r="AG69" s="11"/>
      <c r="AH69" s="15"/>
      <c r="AI69" s="15"/>
      <c r="AJ69" s="15"/>
      <c r="AK69" s="11"/>
      <c r="AL69" s="15"/>
      <c r="AM69" s="11"/>
      <c r="AN69" s="11"/>
      <c r="AO69" s="15"/>
      <c r="AP69" s="11"/>
      <c r="AQ69" s="11"/>
      <c r="AR69" s="15"/>
      <c r="AS69" s="15"/>
      <c r="AT69" s="15"/>
      <c r="AU69" s="11"/>
      <c r="AV69" s="15"/>
      <c r="AW69" s="11"/>
      <c r="AX69" s="11"/>
      <c r="AY69" s="15"/>
      <c r="AZ69" s="11"/>
      <c r="BA69" s="11"/>
      <c r="BB69" s="15"/>
      <c r="BC69" s="15"/>
      <c r="BD69" s="15"/>
      <c r="BE69" s="11"/>
      <c r="BF69" s="15"/>
      <c r="BG69" s="11"/>
      <c r="BH69" s="11"/>
      <c r="BI69" s="15"/>
      <c r="BJ69" s="11"/>
      <c r="BK69" s="11"/>
      <c r="BL69" s="15"/>
      <c r="BM69" s="15"/>
      <c r="BN69" s="15"/>
      <c r="BO69" s="11"/>
      <c r="BP69" s="15"/>
      <c r="BQ69" s="11"/>
      <c r="BR69" s="11"/>
      <c r="BS69" s="15"/>
      <c r="BT69" s="11"/>
      <c r="BU69" s="11"/>
      <c r="BV69" s="15"/>
      <c r="BW69" s="11"/>
      <c r="BX69" s="11"/>
      <c r="BY69" s="11"/>
      <c r="BZ69" s="11"/>
      <c r="CA69" s="28" t="str">
        <f t="shared" si="0"/>
        <v/>
      </c>
      <c r="CB69" s="28"/>
      <c r="CC69" s="11"/>
      <c r="CD69" s="29"/>
      <c r="CE69" s="11"/>
      <c r="CF69" s="11"/>
      <c r="CG69" s="11"/>
      <c r="CH69" s="11"/>
      <c r="CI69" s="11"/>
      <c r="CJ69" s="11"/>
      <c r="CK69" s="11"/>
      <c r="CL69" s="28" t="str">
        <f t="shared" si="1"/>
        <v/>
      </c>
      <c r="CM69" s="28"/>
      <c r="CN69" s="11"/>
      <c r="CO69" s="29"/>
      <c r="CP69" s="11"/>
      <c r="CQ69" s="11"/>
      <c r="CR69" s="11"/>
      <c r="CS69" s="11"/>
      <c r="CT69" s="11"/>
      <c r="CU69" s="11"/>
      <c r="CV69" s="11"/>
      <c r="CW69" s="11"/>
      <c r="CX69" s="29"/>
      <c r="CY69" s="28"/>
      <c r="CZ69" s="11"/>
      <c r="DA69" s="11"/>
      <c r="DB69" s="11"/>
      <c r="DC69" s="29"/>
      <c r="DD69" s="28"/>
      <c r="DE69" s="11"/>
      <c r="DF69" s="11"/>
      <c r="DG69" s="11"/>
      <c r="DH69" s="29"/>
      <c r="DI69" s="28"/>
      <c r="DJ69" s="11"/>
      <c r="DK69" s="11"/>
      <c r="DL69" s="11"/>
      <c r="DM69" s="29"/>
      <c r="DN69" s="28"/>
      <c r="DO69" s="30" t="str">
        <f>IF(F69="","",IF(DP69="not a match","",IF(DP69="full_name",VLOOKUP(F69,'Internal -- Patent Countries'!B:I,5,FALSE),IF(DP69="polity_shortest_name",VLOOKUP(F69,'Internal -- Patent Countries'!C:I,4,FALSE),IF(DP69="polity_full_name",VLOOKUP(F69,'Internal -- Patent Countries'!D:I,3,FALSE),IF(DP69="polity_common_name",VLOOKUP(F69,'Internal -- Patent Countries'!E:I,2,FALSE),IF(DP69="shortest_name",F69)))))))</f>
        <v/>
      </c>
      <c r="DP69" s="30" t="str">
        <f>IF(F69="","",IF(COUNTIF('Internal -- Patent Countries'!B:B,F69)&gt;0,"full_name",IF(COUNTIF('Internal -- Patent Countries'!C:C,F69)&gt;0,"polity_shortest_name",IF(COUNTIF('Internal -- Patent Countries'!D:D,F69)&gt;0,"polity_full_name",IF(COUNTIF('Internal -- Patent Countries'!E:E,F69)&gt;0,"polity_common_name",IF(COUNTIF('Internal -- Patent Countries'!A:A,F69)&gt;0,"shortest_name","not a match"))))))</f>
        <v/>
      </c>
      <c r="DQ69" s="30"/>
      <c r="DR69" s="30"/>
      <c r="DS69" s="30"/>
      <c r="DT69" s="30"/>
      <c r="DU69" s="30"/>
      <c r="DV69" s="50" t="str">
        <f t="shared" si="2"/>
        <v/>
      </c>
      <c r="DW69" s="30" t="str">
        <f t="shared" si="3"/>
        <v/>
      </c>
    </row>
    <row r="70" spans="1:127" ht="16.5">
      <c r="A70" s="11"/>
      <c r="B70" s="11"/>
      <c r="C70" s="11"/>
      <c r="D70" s="27"/>
      <c r="E70" s="11"/>
      <c r="F70" s="29"/>
      <c r="G70" s="11"/>
      <c r="H70" s="11"/>
      <c r="I70" s="11"/>
      <c r="J70" s="15"/>
      <c r="K70" s="11"/>
      <c r="L70" s="15"/>
      <c r="M70" s="11"/>
      <c r="N70" s="15"/>
      <c r="O70" s="15"/>
      <c r="P70" s="11"/>
      <c r="Q70" s="11"/>
      <c r="R70" s="11"/>
      <c r="S70" s="15"/>
      <c r="T70" s="15"/>
      <c r="U70" s="15"/>
      <c r="V70" s="11"/>
      <c r="W70" s="29"/>
      <c r="X70" s="15"/>
      <c r="Y70" s="11"/>
      <c r="Z70" s="11"/>
      <c r="AA70" s="11"/>
      <c r="AB70" s="11"/>
      <c r="AC70" s="11"/>
      <c r="AD70" s="11"/>
      <c r="AE70" s="15"/>
      <c r="AF70" s="11"/>
      <c r="AG70" s="11"/>
      <c r="AH70" s="15"/>
      <c r="AI70" s="15"/>
      <c r="AJ70" s="15"/>
      <c r="AK70" s="11"/>
      <c r="AL70" s="15"/>
      <c r="AM70" s="11"/>
      <c r="AN70" s="11"/>
      <c r="AO70" s="15"/>
      <c r="AP70" s="11"/>
      <c r="AQ70" s="11"/>
      <c r="AR70" s="15"/>
      <c r="AS70" s="15"/>
      <c r="AT70" s="15"/>
      <c r="AU70" s="11"/>
      <c r="AV70" s="15"/>
      <c r="AW70" s="11"/>
      <c r="AX70" s="11"/>
      <c r="AY70" s="15"/>
      <c r="AZ70" s="11"/>
      <c r="BA70" s="11"/>
      <c r="BB70" s="15"/>
      <c r="BC70" s="15"/>
      <c r="BD70" s="15"/>
      <c r="BE70" s="11"/>
      <c r="BF70" s="15"/>
      <c r="BG70" s="11"/>
      <c r="BH70" s="11"/>
      <c r="BI70" s="15"/>
      <c r="BJ70" s="11"/>
      <c r="BK70" s="11"/>
      <c r="BL70" s="15"/>
      <c r="BM70" s="15"/>
      <c r="BN70" s="15"/>
      <c r="BO70" s="11"/>
      <c r="BP70" s="15"/>
      <c r="BQ70" s="11"/>
      <c r="BR70" s="11"/>
      <c r="BS70" s="15"/>
      <c r="BT70" s="11"/>
      <c r="BU70" s="11"/>
      <c r="BV70" s="15"/>
      <c r="BW70" s="11"/>
      <c r="BX70" s="11"/>
      <c r="BY70" s="11"/>
      <c r="BZ70" s="11"/>
      <c r="CA70" s="28" t="str">
        <f t="shared" si="0"/>
        <v/>
      </c>
      <c r="CB70" s="28"/>
      <c r="CC70" s="11"/>
      <c r="CD70" s="29"/>
      <c r="CE70" s="11"/>
      <c r="CF70" s="11"/>
      <c r="CG70" s="11"/>
      <c r="CH70" s="11"/>
      <c r="CI70" s="11"/>
      <c r="CJ70" s="11"/>
      <c r="CK70" s="11"/>
      <c r="CL70" s="28" t="str">
        <f t="shared" si="1"/>
        <v/>
      </c>
      <c r="CM70" s="28"/>
      <c r="CN70" s="11"/>
      <c r="CO70" s="29"/>
      <c r="CP70" s="11"/>
      <c r="CQ70" s="11"/>
      <c r="CR70" s="11"/>
      <c r="CS70" s="11"/>
      <c r="CT70" s="11"/>
      <c r="CU70" s="11"/>
      <c r="CV70" s="11"/>
      <c r="CW70" s="11"/>
      <c r="CX70" s="29"/>
      <c r="CY70" s="28"/>
      <c r="CZ70" s="11"/>
      <c r="DA70" s="11"/>
      <c r="DB70" s="11"/>
      <c r="DC70" s="29"/>
      <c r="DD70" s="28"/>
      <c r="DE70" s="11"/>
      <c r="DF70" s="11"/>
      <c r="DG70" s="11"/>
      <c r="DH70" s="29"/>
      <c r="DI70" s="28"/>
      <c r="DJ70" s="11"/>
      <c r="DK70" s="11"/>
      <c r="DL70" s="11"/>
      <c r="DM70" s="29"/>
      <c r="DN70" s="28"/>
      <c r="DO70" s="30" t="str">
        <f>IF(F70="","",IF(DP70="not a match","",IF(DP70="full_name",VLOOKUP(F70,'Internal -- Patent Countries'!B:I,5,FALSE),IF(DP70="polity_shortest_name",VLOOKUP(F70,'Internal -- Patent Countries'!C:I,4,FALSE),IF(DP70="polity_full_name",VLOOKUP(F70,'Internal -- Patent Countries'!D:I,3,FALSE),IF(DP70="polity_common_name",VLOOKUP(F70,'Internal -- Patent Countries'!E:I,2,FALSE),IF(DP70="shortest_name",F70)))))))</f>
        <v/>
      </c>
      <c r="DP70" s="30" t="str">
        <f>IF(F70="","",IF(COUNTIF('Internal -- Patent Countries'!B:B,F70)&gt;0,"full_name",IF(COUNTIF('Internal -- Patent Countries'!C:C,F70)&gt;0,"polity_shortest_name",IF(COUNTIF('Internal -- Patent Countries'!D:D,F70)&gt;0,"polity_full_name",IF(COUNTIF('Internal -- Patent Countries'!E:E,F70)&gt;0,"polity_common_name",IF(COUNTIF('Internal -- Patent Countries'!A:A,F70)&gt;0,"shortest_name","not a match"))))))</f>
        <v/>
      </c>
      <c r="DQ70" s="30"/>
      <c r="DR70" s="30"/>
      <c r="DS70" s="30"/>
      <c r="DT70" s="30"/>
      <c r="DU70" s="30"/>
      <c r="DV70" s="50" t="str">
        <f t="shared" si="2"/>
        <v/>
      </c>
      <c r="DW70" s="30" t="str">
        <f t="shared" si="3"/>
        <v/>
      </c>
    </row>
    <row r="71" spans="1:127" ht="16.5">
      <c r="A71" s="11"/>
      <c r="B71" s="11"/>
      <c r="C71" s="11"/>
      <c r="D71" s="27"/>
      <c r="E71" s="11"/>
      <c r="F71" s="29"/>
      <c r="G71" s="11"/>
      <c r="H71" s="11"/>
      <c r="I71" s="11"/>
      <c r="J71" s="15"/>
      <c r="K71" s="11"/>
      <c r="L71" s="15"/>
      <c r="M71" s="11"/>
      <c r="N71" s="15"/>
      <c r="O71" s="15"/>
      <c r="P71" s="11"/>
      <c r="Q71" s="11"/>
      <c r="R71" s="11"/>
      <c r="S71" s="15"/>
      <c r="T71" s="15"/>
      <c r="U71" s="15"/>
      <c r="V71" s="11"/>
      <c r="W71" s="29"/>
      <c r="X71" s="15"/>
      <c r="Y71" s="11"/>
      <c r="Z71" s="11"/>
      <c r="AA71" s="11"/>
      <c r="AB71" s="11"/>
      <c r="AC71" s="11"/>
      <c r="AD71" s="11"/>
      <c r="AE71" s="15"/>
      <c r="AF71" s="11"/>
      <c r="AG71" s="11"/>
      <c r="AH71" s="15"/>
      <c r="AI71" s="15"/>
      <c r="AJ71" s="15"/>
      <c r="AK71" s="11"/>
      <c r="AL71" s="15"/>
      <c r="AM71" s="11"/>
      <c r="AN71" s="11"/>
      <c r="AO71" s="15"/>
      <c r="AP71" s="11"/>
      <c r="AQ71" s="11"/>
      <c r="AR71" s="15"/>
      <c r="AS71" s="15"/>
      <c r="AT71" s="15"/>
      <c r="AU71" s="11"/>
      <c r="AV71" s="15"/>
      <c r="AW71" s="11"/>
      <c r="AX71" s="11"/>
      <c r="AY71" s="15"/>
      <c r="AZ71" s="11"/>
      <c r="BA71" s="11"/>
      <c r="BB71" s="15"/>
      <c r="BC71" s="15"/>
      <c r="BD71" s="15"/>
      <c r="BE71" s="11"/>
      <c r="BF71" s="15"/>
      <c r="BG71" s="11"/>
      <c r="BH71" s="11"/>
      <c r="BI71" s="15"/>
      <c r="BJ71" s="11"/>
      <c r="BK71" s="11"/>
      <c r="BL71" s="15"/>
      <c r="BM71" s="15"/>
      <c r="BN71" s="15"/>
      <c r="BO71" s="11"/>
      <c r="BP71" s="15"/>
      <c r="BQ71" s="11"/>
      <c r="BR71" s="11"/>
      <c r="BS71" s="15"/>
      <c r="BT71" s="11"/>
      <c r="BU71" s="11"/>
      <c r="BV71" s="15"/>
      <c r="BW71" s="11"/>
      <c r="BX71" s="11"/>
      <c r="BY71" s="11"/>
      <c r="BZ71" s="11"/>
      <c r="CA71" s="28" t="str">
        <f t="shared" si="0"/>
        <v/>
      </c>
      <c r="CB71" s="28"/>
      <c r="CC71" s="11"/>
      <c r="CD71" s="29"/>
      <c r="CE71" s="11"/>
      <c r="CF71" s="11"/>
      <c r="CG71" s="11"/>
      <c r="CH71" s="11"/>
      <c r="CI71" s="11"/>
      <c r="CJ71" s="11"/>
      <c r="CK71" s="11"/>
      <c r="CL71" s="28" t="str">
        <f t="shared" si="1"/>
        <v/>
      </c>
      <c r="CM71" s="28"/>
      <c r="CN71" s="11"/>
      <c r="CO71" s="29"/>
      <c r="CP71" s="11"/>
      <c r="CQ71" s="11"/>
      <c r="CR71" s="11"/>
      <c r="CS71" s="11"/>
      <c r="CT71" s="11"/>
      <c r="CU71" s="11"/>
      <c r="CV71" s="11"/>
      <c r="CW71" s="11"/>
      <c r="CX71" s="29"/>
      <c r="CY71" s="28"/>
      <c r="CZ71" s="11"/>
      <c r="DA71" s="11"/>
      <c r="DB71" s="11"/>
      <c r="DC71" s="29"/>
      <c r="DD71" s="28"/>
      <c r="DE71" s="11"/>
      <c r="DF71" s="11"/>
      <c r="DG71" s="11"/>
      <c r="DH71" s="29"/>
      <c r="DI71" s="28"/>
      <c r="DJ71" s="11"/>
      <c r="DK71" s="11"/>
      <c r="DL71" s="11"/>
      <c r="DM71" s="29"/>
      <c r="DN71" s="28"/>
      <c r="DO71" s="30" t="str">
        <f>IF(F71="","",IF(DP71="not a match","",IF(DP71="full_name",VLOOKUP(F71,'Internal -- Patent Countries'!B:I,5,FALSE),IF(DP71="polity_shortest_name",VLOOKUP(F71,'Internal -- Patent Countries'!C:I,4,FALSE),IF(DP71="polity_full_name",VLOOKUP(F71,'Internal -- Patent Countries'!D:I,3,FALSE),IF(DP71="polity_common_name",VLOOKUP(F71,'Internal -- Patent Countries'!E:I,2,FALSE),IF(DP71="shortest_name",F71)))))))</f>
        <v/>
      </c>
      <c r="DP71" s="30" t="str">
        <f>IF(F71="","",IF(COUNTIF('Internal -- Patent Countries'!B:B,F71)&gt;0,"full_name",IF(COUNTIF('Internal -- Patent Countries'!C:C,F71)&gt;0,"polity_shortest_name",IF(COUNTIF('Internal -- Patent Countries'!D:D,F71)&gt;0,"polity_full_name",IF(COUNTIF('Internal -- Patent Countries'!E:E,F71)&gt;0,"polity_common_name",IF(COUNTIF('Internal -- Patent Countries'!A:A,F71)&gt;0,"shortest_name","not a match"))))))</f>
        <v/>
      </c>
      <c r="DQ71" s="30"/>
      <c r="DR71" s="30"/>
      <c r="DS71" s="30"/>
      <c r="DT71" s="30"/>
      <c r="DU71" s="30"/>
      <c r="DV71" s="50" t="str">
        <f t="shared" si="2"/>
        <v/>
      </c>
      <c r="DW71" s="30" t="str">
        <f t="shared" si="3"/>
        <v/>
      </c>
    </row>
    <row r="72" spans="1:127" ht="16.5">
      <c r="A72" s="11"/>
      <c r="B72" s="11"/>
      <c r="C72" s="11"/>
      <c r="D72" s="27"/>
      <c r="E72" s="11"/>
      <c r="F72" s="29"/>
      <c r="G72" s="11"/>
      <c r="H72" s="11"/>
      <c r="I72" s="11"/>
      <c r="J72" s="15"/>
      <c r="K72" s="11"/>
      <c r="L72" s="15"/>
      <c r="M72" s="11"/>
      <c r="N72" s="15"/>
      <c r="O72" s="15"/>
      <c r="P72" s="11"/>
      <c r="Q72" s="11"/>
      <c r="R72" s="11"/>
      <c r="S72" s="15"/>
      <c r="T72" s="15"/>
      <c r="U72" s="15"/>
      <c r="V72" s="11"/>
      <c r="W72" s="29"/>
      <c r="X72" s="15"/>
      <c r="Y72" s="11"/>
      <c r="Z72" s="11"/>
      <c r="AA72" s="11"/>
      <c r="AB72" s="11"/>
      <c r="AC72" s="11"/>
      <c r="AD72" s="11"/>
      <c r="AE72" s="15"/>
      <c r="AF72" s="11"/>
      <c r="AG72" s="11"/>
      <c r="AH72" s="15"/>
      <c r="AI72" s="15"/>
      <c r="AJ72" s="15"/>
      <c r="AK72" s="11"/>
      <c r="AL72" s="15"/>
      <c r="AM72" s="11"/>
      <c r="AN72" s="11"/>
      <c r="AO72" s="15"/>
      <c r="AP72" s="11"/>
      <c r="AQ72" s="11"/>
      <c r="AR72" s="15"/>
      <c r="AS72" s="15"/>
      <c r="AT72" s="15"/>
      <c r="AU72" s="11"/>
      <c r="AV72" s="15"/>
      <c r="AW72" s="11"/>
      <c r="AX72" s="11"/>
      <c r="AY72" s="15"/>
      <c r="AZ72" s="11"/>
      <c r="BA72" s="11"/>
      <c r="BB72" s="15"/>
      <c r="BC72" s="15"/>
      <c r="BD72" s="15"/>
      <c r="BE72" s="11"/>
      <c r="BF72" s="15"/>
      <c r="BG72" s="11"/>
      <c r="BH72" s="11"/>
      <c r="BI72" s="15"/>
      <c r="BJ72" s="11"/>
      <c r="BK72" s="11"/>
      <c r="BL72" s="15"/>
      <c r="BM72" s="15"/>
      <c r="BN72" s="15"/>
      <c r="BO72" s="11"/>
      <c r="BP72" s="15"/>
      <c r="BQ72" s="11"/>
      <c r="BR72" s="11"/>
      <c r="BS72" s="15"/>
      <c r="BT72" s="11"/>
      <c r="BU72" s="11"/>
      <c r="BV72" s="15"/>
      <c r="BW72" s="11"/>
      <c r="BX72" s="11"/>
      <c r="BY72" s="11"/>
      <c r="BZ72" s="11"/>
      <c r="CA72" s="28" t="str">
        <f t="shared" si="0"/>
        <v/>
      </c>
      <c r="CB72" s="28"/>
      <c r="CC72" s="11"/>
      <c r="CD72" s="29"/>
      <c r="CE72" s="11"/>
      <c r="CF72" s="11"/>
      <c r="CG72" s="11"/>
      <c r="CH72" s="11"/>
      <c r="CI72" s="11"/>
      <c r="CJ72" s="11"/>
      <c r="CK72" s="11"/>
      <c r="CL72" s="28" t="str">
        <f t="shared" si="1"/>
        <v/>
      </c>
      <c r="CM72" s="28"/>
      <c r="CN72" s="11"/>
      <c r="CO72" s="29"/>
      <c r="CP72" s="11"/>
      <c r="CQ72" s="11"/>
      <c r="CR72" s="11"/>
      <c r="CS72" s="11"/>
      <c r="CT72" s="11"/>
      <c r="CU72" s="11"/>
      <c r="CV72" s="11"/>
      <c r="CW72" s="11"/>
      <c r="CX72" s="29"/>
      <c r="CY72" s="28"/>
      <c r="CZ72" s="11"/>
      <c r="DA72" s="11"/>
      <c r="DB72" s="11"/>
      <c r="DC72" s="29"/>
      <c r="DD72" s="28"/>
      <c r="DE72" s="11"/>
      <c r="DF72" s="11"/>
      <c r="DG72" s="11"/>
      <c r="DH72" s="29"/>
      <c r="DI72" s="28"/>
      <c r="DJ72" s="11"/>
      <c r="DK72" s="11"/>
      <c r="DL72" s="11"/>
      <c r="DM72" s="29"/>
      <c r="DN72" s="28"/>
      <c r="DO72" s="30" t="str">
        <f>IF(F72="","",IF(DP72="not a match","",IF(DP72="full_name",VLOOKUP(F72,'Internal -- Patent Countries'!B:I,5,FALSE),IF(DP72="polity_shortest_name",VLOOKUP(F72,'Internal -- Patent Countries'!C:I,4,FALSE),IF(DP72="polity_full_name",VLOOKUP(F72,'Internal -- Patent Countries'!D:I,3,FALSE),IF(DP72="polity_common_name",VLOOKUP(F72,'Internal -- Patent Countries'!E:I,2,FALSE),IF(DP72="shortest_name",F72)))))))</f>
        <v/>
      </c>
      <c r="DP72" s="30" t="str">
        <f>IF(F72="","",IF(COUNTIF('Internal -- Patent Countries'!B:B,F72)&gt;0,"full_name",IF(COUNTIF('Internal -- Patent Countries'!C:C,F72)&gt;0,"polity_shortest_name",IF(COUNTIF('Internal -- Patent Countries'!D:D,F72)&gt;0,"polity_full_name",IF(COUNTIF('Internal -- Patent Countries'!E:E,F72)&gt;0,"polity_common_name",IF(COUNTIF('Internal -- Patent Countries'!A:A,F72)&gt;0,"shortest_name","not a match"))))))</f>
        <v/>
      </c>
      <c r="DQ72" s="30"/>
      <c r="DR72" s="30"/>
      <c r="DS72" s="30"/>
      <c r="DT72" s="30"/>
      <c r="DU72" s="30"/>
      <c r="DV72" s="50" t="str">
        <f t="shared" si="2"/>
        <v/>
      </c>
      <c r="DW72" s="30" t="str">
        <f t="shared" si="3"/>
        <v/>
      </c>
    </row>
    <row r="73" spans="1:127" ht="16.5">
      <c r="A73" s="11"/>
      <c r="B73" s="11"/>
      <c r="C73" s="11"/>
      <c r="D73" s="27"/>
      <c r="E73" s="11"/>
      <c r="F73" s="29"/>
      <c r="G73" s="11"/>
      <c r="H73" s="11"/>
      <c r="I73" s="11"/>
      <c r="J73" s="15"/>
      <c r="K73" s="11"/>
      <c r="L73" s="15"/>
      <c r="M73" s="11"/>
      <c r="N73" s="15"/>
      <c r="O73" s="15"/>
      <c r="P73" s="11"/>
      <c r="Q73" s="11"/>
      <c r="R73" s="11"/>
      <c r="S73" s="15"/>
      <c r="T73" s="15"/>
      <c r="U73" s="15"/>
      <c r="V73" s="11"/>
      <c r="W73" s="29"/>
      <c r="X73" s="15"/>
      <c r="Y73" s="11"/>
      <c r="Z73" s="11"/>
      <c r="AA73" s="11"/>
      <c r="AB73" s="11"/>
      <c r="AC73" s="11"/>
      <c r="AD73" s="11"/>
      <c r="AE73" s="15"/>
      <c r="AF73" s="11"/>
      <c r="AG73" s="11"/>
      <c r="AH73" s="15"/>
      <c r="AI73" s="15"/>
      <c r="AJ73" s="15"/>
      <c r="AK73" s="11"/>
      <c r="AL73" s="15"/>
      <c r="AM73" s="11"/>
      <c r="AN73" s="11"/>
      <c r="AO73" s="15"/>
      <c r="AP73" s="11"/>
      <c r="AQ73" s="11"/>
      <c r="AR73" s="15"/>
      <c r="AS73" s="15"/>
      <c r="AT73" s="15"/>
      <c r="AU73" s="11"/>
      <c r="AV73" s="15"/>
      <c r="AW73" s="11"/>
      <c r="AX73" s="11"/>
      <c r="AY73" s="15"/>
      <c r="AZ73" s="11"/>
      <c r="BA73" s="11"/>
      <c r="BB73" s="15"/>
      <c r="BC73" s="15"/>
      <c r="BD73" s="15"/>
      <c r="BE73" s="11"/>
      <c r="BF73" s="15"/>
      <c r="BG73" s="11"/>
      <c r="BH73" s="11"/>
      <c r="BI73" s="15"/>
      <c r="BJ73" s="11"/>
      <c r="BK73" s="11"/>
      <c r="BL73" s="15"/>
      <c r="BM73" s="15"/>
      <c r="BN73" s="15"/>
      <c r="BO73" s="11"/>
      <c r="BP73" s="15"/>
      <c r="BQ73" s="11"/>
      <c r="BR73" s="11"/>
      <c r="BS73" s="15"/>
      <c r="BT73" s="11"/>
      <c r="BU73" s="11"/>
      <c r="BV73" s="15"/>
      <c r="BW73" s="11"/>
      <c r="BX73" s="11"/>
      <c r="BY73" s="11"/>
      <c r="BZ73" s="11"/>
      <c r="CA73" s="28" t="str">
        <f t="shared" si="0"/>
        <v/>
      </c>
      <c r="CB73" s="28"/>
      <c r="CC73" s="11"/>
      <c r="CD73" s="29"/>
      <c r="CE73" s="11"/>
      <c r="CF73" s="11"/>
      <c r="CG73" s="11"/>
      <c r="CH73" s="11"/>
      <c r="CI73" s="11"/>
      <c r="CJ73" s="11"/>
      <c r="CK73" s="11"/>
      <c r="CL73" s="28" t="str">
        <f t="shared" si="1"/>
        <v/>
      </c>
      <c r="CM73" s="28"/>
      <c r="CN73" s="11"/>
      <c r="CO73" s="29"/>
      <c r="CP73" s="11"/>
      <c r="CQ73" s="11"/>
      <c r="CR73" s="11"/>
      <c r="CS73" s="11"/>
      <c r="CT73" s="11"/>
      <c r="CU73" s="11"/>
      <c r="CV73" s="11"/>
      <c r="CW73" s="11"/>
      <c r="CX73" s="29"/>
      <c r="CY73" s="28"/>
      <c r="CZ73" s="11"/>
      <c r="DA73" s="11"/>
      <c r="DB73" s="11"/>
      <c r="DC73" s="29"/>
      <c r="DD73" s="28"/>
      <c r="DE73" s="11"/>
      <c r="DF73" s="11"/>
      <c r="DG73" s="11"/>
      <c r="DH73" s="29"/>
      <c r="DI73" s="28"/>
      <c r="DJ73" s="11"/>
      <c r="DK73" s="11"/>
      <c r="DL73" s="11"/>
      <c r="DM73" s="29"/>
      <c r="DN73" s="28"/>
      <c r="DO73" s="30" t="str">
        <f>IF(F73="","",IF(DP73="not a match","",IF(DP73="full_name",VLOOKUP(F73,'Internal -- Patent Countries'!B:I,5,FALSE),IF(DP73="polity_shortest_name",VLOOKUP(F73,'Internal -- Patent Countries'!C:I,4,FALSE),IF(DP73="polity_full_name",VLOOKUP(F73,'Internal -- Patent Countries'!D:I,3,FALSE),IF(DP73="polity_common_name",VLOOKUP(F73,'Internal -- Patent Countries'!E:I,2,FALSE),IF(DP73="shortest_name",F73)))))))</f>
        <v/>
      </c>
      <c r="DP73" s="30" t="str">
        <f>IF(F73="","",IF(COUNTIF('Internal -- Patent Countries'!B:B,F73)&gt;0,"full_name",IF(COUNTIF('Internal -- Patent Countries'!C:C,F73)&gt;0,"polity_shortest_name",IF(COUNTIF('Internal -- Patent Countries'!D:D,F73)&gt;0,"polity_full_name",IF(COUNTIF('Internal -- Patent Countries'!E:E,F73)&gt;0,"polity_common_name",IF(COUNTIF('Internal -- Patent Countries'!A:A,F73)&gt;0,"shortest_name","not a match"))))))</f>
        <v/>
      </c>
      <c r="DQ73" s="30"/>
      <c r="DR73" s="30"/>
      <c r="DS73" s="30"/>
      <c r="DT73" s="30"/>
      <c r="DU73" s="30"/>
      <c r="DV73" s="50" t="str">
        <f t="shared" si="2"/>
        <v/>
      </c>
      <c r="DW73" s="30" t="str">
        <f t="shared" si="3"/>
        <v/>
      </c>
    </row>
    <row r="74" spans="1:127" ht="16.5">
      <c r="A74" s="11"/>
      <c r="B74" s="11"/>
      <c r="C74" s="11"/>
      <c r="D74" s="27"/>
      <c r="E74" s="11"/>
      <c r="F74" s="29"/>
      <c r="G74" s="11"/>
      <c r="H74" s="11"/>
      <c r="I74" s="11"/>
      <c r="J74" s="15"/>
      <c r="K74" s="11"/>
      <c r="L74" s="15"/>
      <c r="M74" s="11"/>
      <c r="N74" s="15"/>
      <c r="O74" s="15"/>
      <c r="P74" s="11"/>
      <c r="Q74" s="11"/>
      <c r="R74" s="11"/>
      <c r="S74" s="15"/>
      <c r="T74" s="15"/>
      <c r="U74" s="15"/>
      <c r="V74" s="11"/>
      <c r="W74" s="29"/>
      <c r="X74" s="15"/>
      <c r="Y74" s="11"/>
      <c r="Z74" s="11"/>
      <c r="AA74" s="11"/>
      <c r="AB74" s="11"/>
      <c r="AC74" s="11"/>
      <c r="AD74" s="11"/>
      <c r="AE74" s="15"/>
      <c r="AF74" s="11"/>
      <c r="AG74" s="11"/>
      <c r="AH74" s="15"/>
      <c r="AI74" s="15"/>
      <c r="AJ74" s="15"/>
      <c r="AK74" s="11"/>
      <c r="AL74" s="15"/>
      <c r="AM74" s="11"/>
      <c r="AN74" s="11"/>
      <c r="AO74" s="15"/>
      <c r="AP74" s="11"/>
      <c r="AQ74" s="11"/>
      <c r="AR74" s="15"/>
      <c r="AS74" s="15"/>
      <c r="AT74" s="15"/>
      <c r="AU74" s="11"/>
      <c r="AV74" s="15"/>
      <c r="AW74" s="11"/>
      <c r="AX74" s="11"/>
      <c r="AY74" s="15"/>
      <c r="AZ74" s="11"/>
      <c r="BA74" s="11"/>
      <c r="BB74" s="15"/>
      <c r="BC74" s="15"/>
      <c r="BD74" s="15"/>
      <c r="BE74" s="11"/>
      <c r="BF74" s="15"/>
      <c r="BG74" s="11"/>
      <c r="BH74" s="11"/>
      <c r="BI74" s="15"/>
      <c r="BJ74" s="11"/>
      <c r="BK74" s="11"/>
      <c r="BL74" s="15"/>
      <c r="BM74" s="15"/>
      <c r="BN74" s="15"/>
      <c r="BO74" s="11"/>
      <c r="BP74" s="15"/>
      <c r="BQ74" s="11"/>
      <c r="BR74" s="11"/>
      <c r="BS74" s="15"/>
      <c r="BT74" s="11"/>
      <c r="BU74" s="11"/>
      <c r="BV74" s="15"/>
      <c r="BW74" s="11"/>
      <c r="BX74" s="11"/>
      <c r="BY74" s="11"/>
      <c r="BZ74" s="11"/>
      <c r="CA74" s="28" t="str">
        <f t="shared" si="0"/>
        <v/>
      </c>
      <c r="CB74" s="28"/>
      <c r="CC74" s="11"/>
      <c r="CD74" s="29"/>
      <c r="CE74" s="11"/>
      <c r="CF74" s="11"/>
      <c r="CG74" s="11"/>
      <c r="CH74" s="11"/>
      <c r="CI74" s="11"/>
      <c r="CJ74" s="11"/>
      <c r="CK74" s="11"/>
      <c r="CL74" s="28" t="str">
        <f t="shared" si="1"/>
        <v/>
      </c>
      <c r="CM74" s="28"/>
      <c r="CN74" s="11"/>
      <c r="CO74" s="29"/>
      <c r="CP74" s="11"/>
      <c r="CQ74" s="11"/>
      <c r="CR74" s="11"/>
      <c r="CS74" s="11"/>
      <c r="CT74" s="11"/>
      <c r="CU74" s="11"/>
      <c r="CV74" s="11"/>
      <c r="CW74" s="11"/>
      <c r="CX74" s="29"/>
      <c r="CY74" s="28"/>
      <c r="CZ74" s="11"/>
      <c r="DA74" s="11"/>
      <c r="DB74" s="11"/>
      <c r="DC74" s="29"/>
      <c r="DD74" s="28"/>
      <c r="DE74" s="11"/>
      <c r="DF74" s="11"/>
      <c r="DG74" s="11"/>
      <c r="DH74" s="29"/>
      <c r="DI74" s="28"/>
      <c r="DJ74" s="11"/>
      <c r="DK74" s="11"/>
      <c r="DL74" s="11"/>
      <c r="DM74" s="29"/>
      <c r="DN74" s="28"/>
      <c r="DO74" s="30" t="str">
        <f>IF(F74="","",IF(DP74="not a match","",IF(DP74="full_name",VLOOKUP(F74,'Internal -- Patent Countries'!B:I,5,FALSE),IF(DP74="polity_shortest_name",VLOOKUP(F74,'Internal -- Patent Countries'!C:I,4,FALSE),IF(DP74="polity_full_name",VLOOKUP(F74,'Internal -- Patent Countries'!D:I,3,FALSE),IF(DP74="polity_common_name",VLOOKUP(F74,'Internal -- Patent Countries'!E:I,2,FALSE),IF(DP74="shortest_name",F74)))))))</f>
        <v/>
      </c>
      <c r="DP74" s="30" t="str">
        <f>IF(F74="","",IF(COUNTIF('Internal -- Patent Countries'!B:B,F74)&gt;0,"full_name",IF(COUNTIF('Internal -- Patent Countries'!C:C,F74)&gt;0,"polity_shortest_name",IF(COUNTIF('Internal -- Patent Countries'!D:D,F74)&gt;0,"polity_full_name",IF(COUNTIF('Internal -- Patent Countries'!E:E,F74)&gt;0,"polity_common_name",IF(COUNTIF('Internal -- Patent Countries'!A:A,F74)&gt;0,"shortest_name","not a match"))))))</f>
        <v/>
      </c>
      <c r="DQ74" s="30"/>
      <c r="DR74" s="30"/>
      <c r="DS74" s="30"/>
      <c r="DT74" s="30"/>
      <c r="DU74" s="30"/>
      <c r="DV74" s="50" t="str">
        <f t="shared" si="2"/>
        <v/>
      </c>
      <c r="DW74" s="30" t="str">
        <f t="shared" si="3"/>
        <v/>
      </c>
    </row>
    <row r="75" spans="1:127" ht="16.5">
      <c r="A75" s="11"/>
      <c r="B75" s="11"/>
      <c r="C75" s="11"/>
      <c r="D75" s="27"/>
      <c r="E75" s="11"/>
      <c r="F75" s="29"/>
      <c r="G75" s="11"/>
      <c r="H75" s="11"/>
      <c r="I75" s="11"/>
      <c r="J75" s="15"/>
      <c r="K75" s="11"/>
      <c r="L75" s="15"/>
      <c r="M75" s="11"/>
      <c r="N75" s="15"/>
      <c r="O75" s="15"/>
      <c r="P75" s="11"/>
      <c r="Q75" s="11"/>
      <c r="R75" s="11"/>
      <c r="S75" s="15"/>
      <c r="T75" s="15"/>
      <c r="U75" s="15"/>
      <c r="V75" s="11"/>
      <c r="W75" s="29"/>
      <c r="X75" s="15"/>
      <c r="Y75" s="11"/>
      <c r="Z75" s="11"/>
      <c r="AA75" s="11"/>
      <c r="AB75" s="11"/>
      <c r="AC75" s="11"/>
      <c r="AD75" s="11"/>
      <c r="AE75" s="15"/>
      <c r="AF75" s="11"/>
      <c r="AG75" s="11"/>
      <c r="AH75" s="15"/>
      <c r="AI75" s="15"/>
      <c r="AJ75" s="15"/>
      <c r="AK75" s="11"/>
      <c r="AL75" s="15"/>
      <c r="AM75" s="11"/>
      <c r="AN75" s="11"/>
      <c r="AO75" s="15"/>
      <c r="AP75" s="11"/>
      <c r="AQ75" s="11"/>
      <c r="AR75" s="15"/>
      <c r="AS75" s="15"/>
      <c r="AT75" s="15"/>
      <c r="AU75" s="11"/>
      <c r="AV75" s="15"/>
      <c r="AW75" s="11"/>
      <c r="AX75" s="11"/>
      <c r="AY75" s="15"/>
      <c r="AZ75" s="11"/>
      <c r="BA75" s="11"/>
      <c r="BB75" s="15"/>
      <c r="BC75" s="15"/>
      <c r="BD75" s="15"/>
      <c r="BE75" s="11"/>
      <c r="BF75" s="15"/>
      <c r="BG75" s="11"/>
      <c r="BH75" s="11"/>
      <c r="BI75" s="15"/>
      <c r="BJ75" s="11"/>
      <c r="BK75" s="11"/>
      <c r="BL75" s="15"/>
      <c r="BM75" s="15"/>
      <c r="BN75" s="15"/>
      <c r="BO75" s="11"/>
      <c r="BP75" s="15"/>
      <c r="BQ75" s="11"/>
      <c r="BR75" s="11"/>
      <c r="BS75" s="15"/>
      <c r="BT75" s="11"/>
      <c r="BU75" s="11"/>
      <c r="BV75" s="15"/>
      <c r="BW75" s="11"/>
      <c r="BX75" s="11"/>
      <c r="BY75" s="11"/>
      <c r="BZ75" s="11"/>
      <c r="CA75" s="28" t="str">
        <f t="shared" si="0"/>
        <v/>
      </c>
      <c r="CB75" s="28"/>
      <c r="CC75" s="11"/>
      <c r="CD75" s="29"/>
      <c r="CE75" s="11"/>
      <c r="CF75" s="11"/>
      <c r="CG75" s="11"/>
      <c r="CH75" s="11"/>
      <c r="CI75" s="11"/>
      <c r="CJ75" s="11"/>
      <c r="CK75" s="11"/>
      <c r="CL75" s="28" t="str">
        <f t="shared" si="1"/>
        <v/>
      </c>
      <c r="CM75" s="28"/>
      <c r="CN75" s="11"/>
      <c r="CO75" s="29"/>
      <c r="CP75" s="11"/>
      <c r="CQ75" s="11"/>
      <c r="CR75" s="11"/>
      <c r="CS75" s="11"/>
      <c r="CT75" s="11"/>
      <c r="CU75" s="11"/>
      <c r="CV75" s="11"/>
      <c r="CW75" s="11"/>
      <c r="CX75" s="29"/>
      <c r="CY75" s="28"/>
      <c r="CZ75" s="11"/>
      <c r="DA75" s="11"/>
      <c r="DB75" s="11"/>
      <c r="DC75" s="29"/>
      <c r="DD75" s="28"/>
      <c r="DE75" s="11"/>
      <c r="DF75" s="11"/>
      <c r="DG75" s="11"/>
      <c r="DH75" s="29"/>
      <c r="DI75" s="28"/>
      <c r="DJ75" s="11"/>
      <c r="DK75" s="11"/>
      <c r="DL75" s="11"/>
      <c r="DM75" s="29"/>
      <c r="DN75" s="28"/>
      <c r="DO75" s="30" t="str">
        <f>IF(F75="","",IF(DP75="not a match","",IF(DP75="full_name",VLOOKUP(F75,'Internal -- Patent Countries'!B:I,5,FALSE),IF(DP75="polity_shortest_name",VLOOKUP(F75,'Internal -- Patent Countries'!C:I,4,FALSE),IF(DP75="polity_full_name",VLOOKUP(F75,'Internal -- Patent Countries'!D:I,3,FALSE),IF(DP75="polity_common_name",VLOOKUP(F75,'Internal -- Patent Countries'!E:I,2,FALSE),IF(DP75="shortest_name",F75)))))))</f>
        <v/>
      </c>
      <c r="DP75" s="30" t="str">
        <f>IF(F75="","",IF(COUNTIF('Internal -- Patent Countries'!B:B,F75)&gt;0,"full_name",IF(COUNTIF('Internal -- Patent Countries'!C:C,F75)&gt;0,"polity_shortest_name",IF(COUNTIF('Internal -- Patent Countries'!D:D,F75)&gt;0,"polity_full_name",IF(COUNTIF('Internal -- Patent Countries'!E:E,F75)&gt;0,"polity_common_name",IF(COUNTIF('Internal -- Patent Countries'!A:A,F75)&gt;0,"shortest_name","not a match"))))))</f>
        <v/>
      </c>
      <c r="DQ75" s="30"/>
      <c r="DR75" s="30"/>
      <c r="DS75" s="30"/>
      <c r="DT75" s="30"/>
      <c r="DU75" s="30"/>
      <c r="DV75" s="50" t="str">
        <f t="shared" si="2"/>
        <v/>
      </c>
      <c r="DW75" s="30" t="str">
        <f t="shared" si="3"/>
        <v/>
      </c>
    </row>
    <row r="76" spans="1:127" ht="16.5">
      <c r="A76" s="11"/>
      <c r="B76" s="11"/>
      <c r="C76" s="11"/>
      <c r="D76" s="27"/>
      <c r="E76" s="11"/>
      <c r="F76" s="29"/>
      <c r="G76" s="11"/>
      <c r="H76" s="11"/>
      <c r="I76" s="11"/>
      <c r="J76" s="15"/>
      <c r="K76" s="11"/>
      <c r="L76" s="15"/>
      <c r="M76" s="11"/>
      <c r="N76" s="15"/>
      <c r="O76" s="15"/>
      <c r="P76" s="11"/>
      <c r="Q76" s="11"/>
      <c r="R76" s="11"/>
      <c r="S76" s="15"/>
      <c r="T76" s="15"/>
      <c r="U76" s="15"/>
      <c r="V76" s="11"/>
      <c r="W76" s="29"/>
      <c r="X76" s="15"/>
      <c r="Y76" s="11"/>
      <c r="Z76" s="11"/>
      <c r="AA76" s="11"/>
      <c r="AB76" s="11"/>
      <c r="AC76" s="11"/>
      <c r="AD76" s="11"/>
      <c r="AE76" s="15"/>
      <c r="AF76" s="11"/>
      <c r="AG76" s="11"/>
      <c r="AH76" s="15"/>
      <c r="AI76" s="15"/>
      <c r="AJ76" s="15"/>
      <c r="AK76" s="11"/>
      <c r="AL76" s="15"/>
      <c r="AM76" s="11"/>
      <c r="AN76" s="11"/>
      <c r="AO76" s="15"/>
      <c r="AP76" s="11"/>
      <c r="AQ76" s="11"/>
      <c r="AR76" s="15"/>
      <c r="AS76" s="15"/>
      <c r="AT76" s="15"/>
      <c r="AU76" s="11"/>
      <c r="AV76" s="15"/>
      <c r="AW76" s="11"/>
      <c r="AX76" s="11"/>
      <c r="AY76" s="15"/>
      <c r="AZ76" s="11"/>
      <c r="BA76" s="11"/>
      <c r="BB76" s="15"/>
      <c r="BC76" s="15"/>
      <c r="BD76" s="15"/>
      <c r="BE76" s="11"/>
      <c r="BF76" s="15"/>
      <c r="BG76" s="11"/>
      <c r="BH76" s="11"/>
      <c r="BI76" s="15"/>
      <c r="BJ76" s="11"/>
      <c r="BK76" s="11"/>
      <c r="BL76" s="15"/>
      <c r="BM76" s="15"/>
      <c r="BN76" s="15"/>
      <c r="BO76" s="11"/>
      <c r="BP76" s="15"/>
      <c r="BQ76" s="11"/>
      <c r="BR76" s="11"/>
      <c r="BS76" s="15"/>
      <c r="BT76" s="11"/>
      <c r="BU76" s="11"/>
      <c r="BV76" s="15"/>
      <c r="BW76" s="11"/>
      <c r="BX76" s="11"/>
      <c r="BY76" s="11"/>
      <c r="BZ76" s="11"/>
      <c r="CA76" s="28" t="str">
        <f t="shared" si="0"/>
        <v/>
      </c>
      <c r="CB76" s="28"/>
      <c r="CC76" s="11"/>
      <c r="CD76" s="29"/>
      <c r="CE76" s="11"/>
      <c r="CF76" s="11"/>
      <c r="CG76" s="11"/>
      <c r="CH76" s="11"/>
      <c r="CI76" s="11"/>
      <c r="CJ76" s="11"/>
      <c r="CK76" s="11"/>
      <c r="CL76" s="28" t="str">
        <f t="shared" si="1"/>
        <v/>
      </c>
      <c r="CM76" s="28"/>
      <c r="CN76" s="11"/>
      <c r="CO76" s="29"/>
      <c r="CP76" s="11"/>
      <c r="CQ76" s="11"/>
      <c r="CR76" s="11"/>
      <c r="CS76" s="11"/>
      <c r="CT76" s="11"/>
      <c r="CU76" s="11"/>
      <c r="CV76" s="11"/>
      <c r="CW76" s="11"/>
      <c r="CX76" s="29"/>
      <c r="CY76" s="28"/>
      <c r="CZ76" s="11"/>
      <c r="DA76" s="11"/>
      <c r="DB76" s="11"/>
      <c r="DC76" s="29"/>
      <c r="DD76" s="28"/>
      <c r="DE76" s="11"/>
      <c r="DF76" s="11"/>
      <c r="DG76" s="11"/>
      <c r="DH76" s="29"/>
      <c r="DI76" s="28"/>
      <c r="DJ76" s="11"/>
      <c r="DK76" s="11"/>
      <c r="DL76" s="11"/>
      <c r="DM76" s="29"/>
      <c r="DN76" s="28"/>
      <c r="DO76" s="30" t="str">
        <f>IF(F76="","",IF(DP76="not a match","",IF(DP76="full_name",VLOOKUP(F76,'Internal -- Patent Countries'!B:I,5,FALSE),IF(DP76="polity_shortest_name",VLOOKUP(F76,'Internal -- Patent Countries'!C:I,4,FALSE),IF(DP76="polity_full_name",VLOOKUP(F76,'Internal -- Patent Countries'!D:I,3,FALSE),IF(DP76="polity_common_name",VLOOKUP(F76,'Internal -- Patent Countries'!E:I,2,FALSE),IF(DP76="shortest_name",F76)))))))</f>
        <v/>
      </c>
      <c r="DP76" s="30" t="str">
        <f>IF(F76="","",IF(COUNTIF('Internal -- Patent Countries'!B:B,F76)&gt;0,"full_name",IF(COUNTIF('Internal -- Patent Countries'!C:C,F76)&gt;0,"polity_shortest_name",IF(COUNTIF('Internal -- Patent Countries'!D:D,F76)&gt;0,"polity_full_name",IF(COUNTIF('Internal -- Patent Countries'!E:E,F76)&gt;0,"polity_common_name",IF(COUNTIF('Internal -- Patent Countries'!A:A,F76)&gt;0,"shortest_name","not a match"))))))</f>
        <v/>
      </c>
      <c r="DQ76" s="30"/>
      <c r="DR76" s="30"/>
      <c r="DS76" s="30"/>
      <c r="DT76" s="30"/>
      <c r="DU76" s="30"/>
      <c r="DV76" s="50" t="str">
        <f t="shared" si="2"/>
        <v/>
      </c>
      <c r="DW76" s="30" t="str">
        <f t="shared" si="3"/>
        <v/>
      </c>
    </row>
    <row r="77" spans="1:127" ht="16.5">
      <c r="A77" s="11"/>
      <c r="B77" s="11"/>
      <c r="C77" s="11"/>
      <c r="D77" s="27"/>
      <c r="E77" s="11"/>
      <c r="F77" s="29"/>
      <c r="G77" s="11"/>
      <c r="H77" s="11"/>
      <c r="I77" s="11"/>
      <c r="J77" s="15"/>
      <c r="K77" s="11"/>
      <c r="L77" s="15"/>
      <c r="M77" s="11"/>
      <c r="N77" s="15"/>
      <c r="O77" s="15"/>
      <c r="P77" s="11"/>
      <c r="Q77" s="11"/>
      <c r="R77" s="11"/>
      <c r="S77" s="15"/>
      <c r="T77" s="15"/>
      <c r="U77" s="15"/>
      <c r="V77" s="11"/>
      <c r="W77" s="29"/>
      <c r="X77" s="15"/>
      <c r="Y77" s="11"/>
      <c r="Z77" s="11"/>
      <c r="AA77" s="11"/>
      <c r="AB77" s="11"/>
      <c r="AC77" s="11"/>
      <c r="AD77" s="11"/>
      <c r="AE77" s="15"/>
      <c r="AF77" s="11"/>
      <c r="AG77" s="11"/>
      <c r="AH77" s="15"/>
      <c r="AI77" s="15"/>
      <c r="AJ77" s="15"/>
      <c r="AK77" s="11"/>
      <c r="AL77" s="15"/>
      <c r="AM77" s="11"/>
      <c r="AN77" s="11"/>
      <c r="AO77" s="15"/>
      <c r="AP77" s="11"/>
      <c r="AQ77" s="11"/>
      <c r="AR77" s="15"/>
      <c r="AS77" s="15"/>
      <c r="AT77" s="15"/>
      <c r="AU77" s="11"/>
      <c r="AV77" s="15"/>
      <c r="AW77" s="11"/>
      <c r="AX77" s="11"/>
      <c r="AY77" s="15"/>
      <c r="AZ77" s="11"/>
      <c r="BA77" s="11"/>
      <c r="BB77" s="15"/>
      <c r="BC77" s="15"/>
      <c r="BD77" s="15"/>
      <c r="BE77" s="11"/>
      <c r="BF77" s="15"/>
      <c r="BG77" s="11"/>
      <c r="BH77" s="11"/>
      <c r="BI77" s="15"/>
      <c r="BJ77" s="11"/>
      <c r="BK77" s="11"/>
      <c r="BL77" s="15"/>
      <c r="BM77" s="15"/>
      <c r="BN77" s="15"/>
      <c r="BO77" s="11"/>
      <c r="BP77" s="15"/>
      <c r="BQ77" s="11"/>
      <c r="BR77" s="11"/>
      <c r="BS77" s="15"/>
      <c r="BT77" s="11"/>
      <c r="BU77" s="11"/>
      <c r="BV77" s="15"/>
      <c r="BW77" s="11"/>
      <c r="BX77" s="11"/>
      <c r="BY77" s="11"/>
      <c r="BZ77" s="11"/>
      <c r="CA77" s="28" t="str">
        <f t="shared" si="0"/>
        <v/>
      </c>
      <c r="CB77" s="28"/>
      <c r="CC77" s="11"/>
      <c r="CD77" s="29"/>
      <c r="CE77" s="11"/>
      <c r="CF77" s="11"/>
      <c r="CG77" s="11"/>
      <c r="CH77" s="11"/>
      <c r="CI77" s="11"/>
      <c r="CJ77" s="11"/>
      <c r="CK77" s="11"/>
      <c r="CL77" s="28" t="str">
        <f t="shared" si="1"/>
        <v/>
      </c>
      <c r="CM77" s="28"/>
      <c r="CN77" s="11"/>
      <c r="CO77" s="29"/>
      <c r="CP77" s="11"/>
      <c r="CQ77" s="11"/>
      <c r="CR77" s="11"/>
      <c r="CS77" s="11"/>
      <c r="CT77" s="11"/>
      <c r="CU77" s="11"/>
      <c r="CV77" s="11"/>
      <c r="CW77" s="11"/>
      <c r="CX77" s="29"/>
      <c r="CY77" s="28"/>
      <c r="CZ77" s="11"/>
      <c r="DA77" s="11"/>
      <c r="DB77" s="11"/>
      <c r="DC77" s="29"/>
      <c r="DD77" s="28"/>
      <c r="DE77" s="11"/>
      <c r="DF77" s="11"/>
      <c r="DG77" s="11"/>
      <c r="DH77" s="29"/>
      <c r="DI77" s="28"/>
      <c r="DJ77" s="11"/>
      <c r="DK77" s="11"/>
      <c r="DL77" s="11"/>
      <c r="DM77" s="29"/>
      <c r="DN77" s="28"/>
      <c r="DO77" s="30" t="str">
        <f>IF(F77="","",IF(DP77="not a match","",IF(DP77="full_name",VLOOKUP(F77,'Internal -- Patent Countries'!B:I,5,FALSE),IF(DP77="polity_shortest_name",VLOOKUP(F77,'Internal -- Patent Countries'!C:I,4,FALSE),IF(DP77="polity_full_name",VLOOKUP(F77,'Internal -- Patent Countries'!D:I,3,FALSE),IF(DP77="polity_common_name",VLOOKUP(F77,'Internal -- Patent Countries'!E:I,2,FALSE),IF(DP77="shortest_name",F77)))))))</f>
        <v/>
      </c>
      <c r="DP77" s="30" t="str">
        <f>IF(F77="","",IF(COUNTIF('Internal -- Patent Countries'!B:B,F77)&gt;0,"full_name",IF(COUNTIF('Internal -- Patent Countries'!C:C,F77)&gt;0,"polity_shortest_name",IF(COUNTIF('Internal -- Patent Countries'!D:D,F77)&gt;0,"polity_full_name",IF(COUNTIF('Internal -- Patent Countries'!E:E,F77)&gt;0,"polity_common_name",IF(COUNTIF('Internal -- Patent Countries'!A:A,F77)&gt;0,"shortest_name","not a match"))))))</f>
        <v/>
      </c>
      <c r="DQ77" s="30"/>
      <c r="DR77" s="30"/>
      <c r="DS77" s="30"/>
      <c r="DT77" s="30"/>
      <c r="DU77" s="30"/>
      <c r="DV77" s="50" t="str">
        <f t="shared" si="2"/>
        <v/>
      </c>
      <c r="DW77" s="30" t="str">
        <f t="shared" si="3"/>
        <v/>
      </c>
    </row>
    <row r="78" spans="1:127" ht="16.5">
      <c r="A78" s="11"/>
      <c r="B78" s="11"/>
      <c r="C78" s="11"/>
      <c r="D78" s="27"/>
      <c r="E78" s="11"/>
      <c r="F78" s="29"/>
      <c r="G78" s="11"/>
      <c r="H78" s="11"/>
      <c r="I78" s="11"/>
      <c r="J78" s="15"/>
      <c r="K78" s="11"/>
      <c r="L78" s="15"/>
      <c r="M78" s="11"/>
      <c r="N78" s="15"/>
      <c r="O78" s="15"/>
      <c r="P78" s="11"/>
      <c r="Q78" s="11"/>
      <c r="R78" s="11"/>
      <c r="S78" s="15"/>
      <c r="T78" s="15"/>
      <c r="U78" s="15"/>
      <c r="V78" s="11"/>
      <c r="W78" s="29"/>
      <c r="X78" s="15"/>
      <c r="Y78" s="11"/>
      <c r="Z78" s="11"/>
      <c r="AA78" s="11"/>
      <c r="AB78" s="11"/>
      <c r="AC78" s="11"/>
      <c r="AD78" s="11"/>
      <c r="AE78" s="15"/>
      <c r="AF78" s="11"/>
      <c r="AG78" s="11"/>
      <c r="AH78" s="15"/>
      <c r="AI78" s="15"/>
      <c r="AJ78" s="15"/>
      <c r="AK78" s="11"/>
      <c r="AL78" s="15"/>
      <c r="AM78" s="11"/>
      <c r="AN78" s="11"/>
      <c r="AO78" s="15"/>
      <c r="AP78" s="11"/>
      <c r="AQ78" s="11"/>
      <c r="AR78" s="15"/>
      <c r="AS78" s="15"/>
      <c r="AT78" s="15"/>
      <c r="AU78" s="11"/>
      <c r="AV78" s="15"/>
      <c r="AW78" s="11"/>
      <c r="AX78" s="11"/>
      <c r="AY78" s="15"/>
      <c r="AZ78" s="11"/>
      <c r="BA78" s="11"/>
      <c r="BB78" s="15"/>
      <c r="BC78" s="15"/>
      <c r="BD78" s="15"/>
      <c r="BE78" s="11"/>
      <c r="BF78" s="15"/>
      <c r="BG78" s="11"/>
      <c r="BH78" s="11"/>
      <c r="BI78" s="15"/>
      <c r="BJ78" s="11"/>
      <c r="BK78" s="11"/>
      <c r="BL78" s="15"/>
      <c r="BM78" s="15"/>
      <c r="BN78" s="15"/>
      <c r="BO78" s="11"/>
      <c r="BP78" s="15"/>
      <c r="BQ78" s="11"/>
      <c r="BR78" s="11"/>
      <c r="BS78" s="15"/>
      <c r="BT78" s="11"/>
      <c r="BU78" s="11"/>
      <c r="BV78" s="15"/>
      <c r="BW78" s="11"/>
      <c r="BX78" s="11"/>
      <c r="BY78" s="11"/>
      <c r="BZ78" s="11"/>
      <c r="CA78" s="28" t="str">
        <f t="shared" si="0"/>
        <v/>
      </c>
      <c r="CB78" s="28"/>
      <c r="CC78" s="11"/>
      <c r="CD78" s="29"/>
      <c r="CE78" s="11"/>
      <c r="CF78" s="11"/>
      <c r="CG78" s="11"/>
      <c r="CH78" s="11"/>
      <c r="CI78" s="11"/>
      <c r="CJ78" s="11"/>
      <c r="CK78" s="11"/>
      <c r="CL78" s="28" t="str">
        <f t="shared" si="1"/>
        <v/>
      </c>
      <c r="CM78" s="28"/>
      <c r="CN78" s="11"/>
      <c r="CO78" s="29"/>
      <c r="CP78" s="11"/>
      <c r="CQ78" s="11"/>
      <c r="CR78" s="11"/>
      <c r="CS78" s="11"/>
      <c r="CT78" s="11"/>
      <c r="CU78" s="11"/>
      <c r="CV78" s="11"/>
      <c r="CW78" s="11"/>
      <c r="CX78" s="29"/>
      <c r="CY78" s="28"/>
      <c r="CZ78" s="11"/>
      <c r="DA78" s="11"/>
      <c r="DB78" s="11"/>
      <c r="DC78" s="29"/>
      <c r="DD78" s="28"/>
      <c r="DE78" s="11"/>
      <c r="DF78" s="11"/>
      <c r="DG78" s="11"/>
      <c r="DH78" s="29"/>
      <c r="DI78" s="28"/>
      <c r="DJ78" s="11"/>
      <c r="DK78" s="11"/>
      <c r="DL78" s="11"/>
      <c r="DM78" s="29"/>
      <c r="DN78" s="28"/>
      <c r="DO78" s="30" t="str">
        <f>IF(F78="","",IF(DP78="not a match","",IF(DP78="full_name",VLOOKUP(F78,'Internal -- Patent Countries'!B:I,5,FALSE),IF(DP78="polity_shortest_name",VLOOKUP(F78,'Internal -- Patent Countries'!C:I,4,FALSE),IF(DP78="polity_full_name",VLOOKUP(F78,'Internal -- Patent Countries'!D:I,3,FALSE),IF(DP78="polity_common_name",VLOOKUP(F78,'Internal -- Patent Countries'!E:I,2,FALSE),IF(DP78="shortest_name",F78)))))))</f>
        <v/>
      </c>
      <c r="DP78" s="30" t="str">
        <f>IF(F78="","",IF(COUNTIF('Internal -- Patent Countries'!B:B,F78)&gt;0,"full_name",IF(COUNTIF('Internal -- Patent Countries'!C:C,F78)&gt;0,"polity_shortest_name",IF(COUNTIF('Internal -- Patent Countries'!D:D,F78)&gt;0,"polity_full_name",IF(COUNTIF('Internal -- Patent Countries'!E:E,F78)&gt;0,"polity_common_name",IF(COUNTIF('Internal -- Patent Countries'!A:A,F78)&gt;0,"shortest_name","not a match"))))))</f>
        <v/>
      </c>
      <c r="DQ78" s="30"/>
      <c r="DR78" s="30"/>
      <c r="DS78" s="30"/>
      <c r="DT78" s="30"/>
      <c r="DU78" s="30"/>
      <c r="DV78" s="50" t="str">
        <f t="shared" si="2"/>
        <v/>
      </c>
      <c r="DW78" s="30" t="str">
        <f t="shared" si="3"/>
        <v/>
      </c>
    </row>
    <row r="79" spans="1:127" ht="16.5">
      <c r="A79" s="11"/>
      <c r="B79" s="11"/>
      <c r="C79" s="11"/>
      <c r="D79" s="27"/>
      <c r="E79" s="11"/>
      <c r="F79" s="29"/>
      <c r="G79" s="11"/>
      <c r="H79" s="11"/>
      <c r="I79" s="11"/>
      <c r="J79" s="15"/>
      <c r="K79" s="11"/>
      <c r="L79" s="15"/>
      <c r="M79" s="11"/>
      <c r="N79" s="15"/>
      <c r="O79" s="15"/>
      <c r="P79" s="11"/>
      <c r="Q79" s="11"/>
      <c r="R79" s="11"/>
      <c r="S79" s="15"/>
      <c r="T79" s="15"/>
      <c r="U79" s="15"/>
      <c r="V79" s="11"/>
      <c r="W79" s="29"/>
      <c r="X79" s="15"/>
      <c r="Y79" s="11"/>
      <c r="Z79" s="11"/>
      <c r="AA79" s="11"/>
      <c r="AB79" s="11"/>
      <c r="AC79" s="11"/>
      <c r="AD79" s="11"/>
      <c r="AE79" s="15"/>
      <c r="AF79" s="11"/>
      <c r="AG79" s="11"/>
      <c r="AH79" s="15"/>
      <c r="AI79" s="15"/>
      <c r="AJ79" s="15"/>
      <c r="AK79" s="11"/>
      <c r="AL79" s="15"/>
      <c r="AM79" s="11"/>
      <c r="AN79" s="11"/>
      <c r="AO79" s="15"/>
      <c r="AP79" s="11"/>
      <c r="AQ79" s="11"/>
      <c r="AR79" s="15"/>
      <c r="AS79" s="15"/>
      <c r="AT79" s="15"/>
      <c r="AU79" s="11"/>
      <c r="AV79" s="15"/>
      <c r="AW79" s="11"/>
      <c r="AX79" s="11"/>
      <c r="AY79" s="15"/>
      <c r="AZ79" s="11"/>
      <c r="BA79" s="11"/>
      <c r="BB79" s="15"/>
      <c r="BC79" s="15"/>
      <c r="BD79" s="15"/>
      <c r="BE79" s="11"/>
      <c r="BF79" s="15"/>
      <c r="BG79" s="11"/>
      <c r="BH79" s="11"/>
      <c r="BI79" s="15"/>
      <c r="BJ79" s="11"/>
      <c r="BK79" s="11"/>
      <c r="BL79" s="15"/>
      <c r="BM79" s="15"/>
      <c r="BN79" s="15"/>
      <c r="BO79" s="11"/>
      <c r="BP79" s="15"/>
      <c r="BQ79" s="11"/>
      <c r="BR79" s="11"/>
      <c r="BS79" s="15"/>
      <c r="BT79" s="11"/>
      <c r="BU79" s="11"/>
      <c r="BV79" s="15"/>
      <c r="BW79" s="11"/>
      <c r="BX79" s="11"/>
      <c r="BY79" s="11"/>
      <c r="BZ79" s="11"/>
      <c r="CA79" s="28" t="str">
        <f t="shared" si="0"/>
        <v/>
      </c>
      <c r="CB79" s="28"/>
      <c r="CC79" s="11"/>
      <c r="CD79" s="29"/>
      <c r="CE79" s="11"/>
      <c r="CF79" s="11"/>
      <c r="CG79" s="11"/>
      <c r="CH79" s="11"/>
      <c r="CI79" s="11"/>
      <c r="CJ79" s="11"/>
      <c r="CK79" s="11"/>
      <c r="CL79" s="28" t="str">
        <f t="shared" si="1"/>
        <v/>
      </c>
      <c r="CM79" s="28"/>
      <c r="CN79" s="11"/>
      <c r="CO79" s="29"/>
      <c r="CP79" s="11"/>
      <c r="CQ79" s="11"/>
      <c r="CR79" s="11"/>
      <c r="CS79" s="11"/>
      <c r="CT79" s="11"/>
      <c r="CU79" s="11"/>
      <c r="CV79" s="11"/>
      <c r="CW79" s="11"/>
      <c r="CX79" s="29"/>
      <c r="CY79" s="28"/>
      <c r="CZ79" s="11"/>
      <c r="DA79" s="11"/>
      <c r="DB79" s="11"/>
      <c r="DC79" s="29"/>
      <c r="DD79" s="28"/>
      <c r="DE79" s="11"/>
      <c r="DF79" s="11"/>
      <c r="DG79" s="11"/>
      <c r="DH79" s="29"/>
      <c r="DI79" s="28"/>
      <c r="DJ79" s="11"/>
      <c r="DK79" s="11"/>
      <c r="DL79" s="11"/>
      <c r="DM79" s="29"/>
      <c r="DN79" s="28"/>
      <c r="DO79" s="30" t="str">
        <f>IF(F79="","",IF(DP79="not a match","",IF(DP79="full_name",VLOOKUP(F79,'Internal -- Patent Countries'!B:I,5,FALSE),IF(DP79="polity_shortest_name",VLOOKUP(F79,'Internal -- Patent Countries'!C:I,4,FALSE),IF(DP79="polity_full_name",VLOOKUP(F79,'Internal -- Patent Countries'!D:I,3,FALSE),IF(DP79="polity_common_name",VLOOKUP(F79,'Internal -- Patent Countries'!E:I,2,FALSE),IF(DP79="shortest_name",F79)))))))</f>
        <v/>
      </c>
      <c r="DP79" s="30" t="str">
        <f>IF(F79="","",IF(COUNTIF('Internal -- Patent Countries'!B:B,F79)&gt;0,"full_name",IF(COUNTIF('Internal -- Patent Countries'!C:C,F79)&gt;0,"polity_shortest_name",IF(COUNTIF('Internal -- Patent Countries'!D:D,F79)&gt;0,"polity_full_name",IF(COUNTIF('Internal -- Patent Countries'!E:E,F79)&gt;0,"polity_common_name",IF(COUNTIF('Internal -- Patent Countries'!A:A,F79)&gt;0,"shortest_name","not a match"))))))</f>
        <v/>
      </c>
      <c r="DQ79" s="30"/>
      <c r="DR79" s="30"/>
      <c r="DS79" s="30"/>
      <c r="DT79" s="30"/>
      <c r="DU79" s="30"/>
      <c r="DV79" s="50" t="str">
        <f t="shared" si="2"/>
        <v/>
      </c>
      <c r="DW79" s="30" t="str">
        <f t="shared" si="3"/>
        <v/>
      </c>
    </row>
    <row r="80" spans="1:127" ht="16.5">
      <c r="A80" s="11"/>
      <c r="B80" s="11"/>
      <c r="C80" s="11"/>
      <c r="D80" s="27"/>
      <c r="E80" s="11"/>
      <c r="F80" s="29"/>
      <c r="G80" s="11"/>
      <c r="H80" s="11"/>
      <c r="I80" s="11"/>
      <c r="J80" s="15"/>
      <c r="K80" s="11"/>
      <c r="L80" s="15"/>
      <c r="M80" s="11"/>
      <c r="N80" s="15"/>
      <c r="O80" s="15"/>
      <c r="P80" s="11"/>
      <c r="Q80" s="11"/>
      <c r="R80" s="11"/>
      <c r="S80" s="15"/>
      <c r="T80" s="15"/>
      <c r="U80" s="15"/>
      <c r="V80" s="11"/>
      <c r="W80" s="29"/>
      <c r="X80" s="15"/>
      <c r="Y80" s="11"/>
      <c r="Z80" s="11"/>
      <c r="AA80" s="11"/>
      <c r="AB80" s="11"/>
      <c r="AC80" s="11"/>
      <c r="AD80" s="11"/>
      <c r="AE80" s="15"/>
      <c r="AF80" s="11"/>
      <c r="AG80" s="11"/>
      <c r="AH80" s="15"/>
      <c r="AI80" s="15"/>
      <c r="AJ80" s="15"/>
      <c r="AK80" s="11"/>
      <c r="AL80" s="15"/>
      <c r="AM80" s="11"/>
      <c r="AN80" s="11"/>
      <c r="AO80" s="15"/>
      <c r="AP80" s="11"/>
      <c r="AQ80" s="11"/>
      <c r="AR80" s="15"/>
      <c r="AS80" s="15"/>
      <c r="AT80" s="15"/>
      <c r="AU80" s="11"/>
      <c r="AV80" s="15"/>
      <c r="AW80" s="11"/>
      <c r="AX80" s="11"/>
      <c r="AY80" s="15"/>
      <c r="AZ80" s="11"/>
      <c r="BA80" s="11"/>
      <c r="BB80" s="15"/>
      <c r="BC80" s="15"/>
      <c r="BD80" s="15"/>
      <c r="BE80" s="11"/>
      <c r="BF80" s="15"/>
      <c r="BG80" s="11"/>
      <c r="BH80" s="11"/>
      <c r="BI80" s="15"/>
      <c r="BJ80" s="11"/>
      <c r="BK80" s="11"/>
      <c r="BL80" s="15"/>
      <c r="BM80" s="15"/>
      <c r="BN80" s="15"/>
      <c r="BO80" s="11"/>
      <c r="BP80" s="15"/>
      <c r="BQ80" s="11"/>
      <c r="BR80" s="11"/>
      <c r="BS80" s="15"/>
      <c r="BT80" s="11"/>
      <c r="BU80" s="11"/>
      <c r="BV80" s="15"/>
      <c r="BW80" s="11"/>
      <c r="BX80" s="11"/>
      <c r="BY80" s="11"/>
      <c r="BZ80" s="11"/>
      <c r="CA80" s="28" t="str">
        <f t="shared" si="0"/>
        <v/>
      </c>
      <c r="CB80" s="28"/>
      <c r="CC80" s="11"/>
      <c r="CD80" s="29"/>
      <c r="CE80" s="11"/>
      <c r="CF80" s="11"/>
      <c r="CG80" s="11"/>
      <c r="CH80" s="11"/>
      <c r="CI80" s="11"/>
      <c r="CJ80" s="11"/>
      <c r="CK80" s="11"/>
      <c r="CL80" s="28" t="str">
        <f t="shared" si="1"/>
        <v/>
      </c>
      <c r="CM80" s="28"/>
      <c r="CN80" s="11"/>
      <c r="CO80" s="29"/>
      <c r="CP80" s="11"/>
      <c r="CQ80" s="11"/>
      <c r="CR80" s="11"/>
      <c r="CS80" s="11"/>
      <c r="CT80" s="11"/>
      <c r="CU80" s="11"/>
      <c r="CV80" s="11"/>
      <c r="CW80" s="11"/>
      <c r="CX80" s="29"/>
      <c r="CY80" s="28"/>
      <c r="CZ80" s="11"/>
      <c r="DA80" s="11"/>
      <c r="DB80" s="11"/>
      <c r="DC80" s="29"/>
      <c r="DD80" s="28"/>
      <c r="DE80" s="11"/>
      <c r="DF80" s="11"/>
      <c r="DG80" s="11"/>
      <c r="DH80" s="29"/>
      <c r="DI80" s="28"/>
      <c r="DJ80" s="11"/>
      <c r="DK80" s="11"/>
      <c r="DL80" s="11"/>
      <c r="DM80" s="29"/>
      <c r="DN80" s="28"/>
      <c r="DO80" s="30" t="str">
        <f>IF(F80="","",IF(DP80="not a match","",IF(DP80="full_name",VLOOKUP(F80,'Internal -- Patent Countries'!B:I,5,FALSE),IF(DP80="polity_shortest_name",VLOOKUP(F80,'Internal -- Patent Countries'!C:I,4,FALSE),IF(DP80="polity_full_name",VLOOKUP(F80,'Internal -- Patent Countries'!D:I,3,FALSE),IF(DP80="polity_common_name",VLOOKUP(F80,'Internal -- Patent Countries'!E:I,2,FALSE),IF(DP80="shortest_name",F80)))))))</f>
        <v/>
      </c>
      <c r="DP80" s="30" t="str">
        <f>IF(F80="","",IF(COUNTIF('Internal -- Patent Countries'!B:B,F80)&gt;0,"full_name",IF(COUNTIF('Internal -- Patent Countries'!C:C,F80)&gt;0,"polity_shortest_name",IF(COUNTIF('Internal -- Patent Countries'!D:D,F80)&gt;0,"polity_full_name",IF(COUNTIF('Internal -- Patent Countries'!E:E,F80)&gt;0,"polity_common_name",IF(COUNTIF('Internal -- Patent Countries'!A:A,F80)&gt;0,"shortest_name","not a match"))))))</f>
        <v/>
      </c>
      <c r="DQ80" s="30"/>
      <c r="DR80" s="30"/>
      <c r="DS80" s="30"/>
      <c r="DT80" s="30"/>
      <c r="DU80" s="30"/>
      <c r="DV80" s="50" t="str">
        <f t="shared" si="2"/>
        <v/>
      </c>
      <c r="DW80" s="30" t="str">
        <f t="shared" si="3"/>
        <v/>
      </c>
    </row>
    <row r="81" spans="1:127" ht="16.5">
      <c r="A81" s="11"/>
      <c r="B81" s="11"/>
      <c r="C81" s="11"/>
      <c r="D81" s="27"/>
      <c r="E81" s="11"/>
      <c r="F81" s="29"/>
      <c r="G81" s="11"/>
      <c r="H81" s="11"/>
      <c r="I81" s="11"/>
      <c r="J81" s="15"/>
      <c r="K81" s="11"/>
      <c r="L81" s="15"/>
      <c r="M81" s="11"/>
      <c r="N81" s="15"/>
      <c r="O81" s="15"/>
      <c r="P81" s="11"/>
      <c r="Q81" s="11"/>
      <c r="R81" s="11"/>
      <c r="S81" s="15"/>
      <c r="T81" s="15"/>
      <c r="U81" s="15"/>
      <c r="V81" s="11"/>
      <c r="W81" s="29"/>
      <c r="X81" s="15"/>
      <c r="Y81" s="11"/>
      <c r="Z81" s="11"/>
      <c r="AA81" s="11"/>
      <c r="AB81" s="11"/>
      <c r="AC81" s="11"/>
      <c r="AD81" s="11"/>
      <c r="AE81" s="15"/>
      <c r="AF81" s="11"/>
      <c r="AG81" s="11"/>
      <c r="AH81" s="15"/>
      <c r="AI81" s="15"/>
      <c r="AJ81" s="15"/>
      <c r="AK81" s="11"/>
      <c r="AL81" s="15"/>
      <c r="AM81" s="11"/>
      <c r="AN81" s="11"/>
      <c r="AO81" s="15"/>
      <c r="AP81" s="11"/>
      <c r="AQ81" s="11"/>
      <c r="AR81" s="15"/>
      <c r="AS81" s="15"/>
      <c r="AT81" s="15"/>
      <c r="AU81" s="11"/>
      <c r="AV81" s="15"/>
      <c r="AW81" s="11"/>
      <c r="AX81" s="11"/>
      <c r="AY81" s="15"/>
      <c r="AZ81" s="11"/>
      <c r="BA81" s="11"/>
      <c r="BB81" s="15"/>
      <c r="BC81" s="15"/>
      <c r="BD81" s="15"/>
      <c r="BE81" s="11"/>
      <c r="BF81" s="15"/>
      <c r="BG81" s="11"/>
      <c r="BH81" s="11"/>
      <c r="BI81" s="15"/>
      <c r="BJ81" s="11"/>
      <c r="BK81" s="11"/>
      <c r="BL81" s="15"/>
      <c r="BM81" s="15"/>
      <c r="BN81" s="15"/>
      <c r="BO81" s="11"/>
      <c r="BP81" s="15"/>
      <c r="BQ81" s="11"/>
      <c r="BR81" s="11"/>
      <c r="BS81" s="15"/>
      <c r="BT81" s="11"/>
      <c r="BU81" s="11"/>
      <c r="BV81" s="15"/>
      <c r="BW81" s="11"/>
      <c r="BX81" s="11"/>
      <c r="BY81" s="11"/>
      <c r="BZ81" s="11"/>
      <c r="CA81" s="28" t="str">
        <f t="shared" si="0"/>
        <v/>
      </c>
      <c r="CB81" s="28"/>
      <c r="CC81" s="11"/>
      <c r="CD81" s="29"/>
      <c r="CE81" s="11"/>
      <c r="CF81" s="11"/>
      <c r="CG81" s="11"/>
      <c r="CH81" s="11"/>
      <c r="CI81" s="11"/>
      <c r="CJ81" s="11"/>
      <c r="CK81" s="11"/>
      <c r="CL81" s="28" t="str">
        <f t="shared" si="1"/>
        <v/>
      </c>
      <c r="CM81" s="28"/>
      <c r="CN81" s="11"/>
      <c r="CO81" s="29"/>
      <c r="CP81" s="11"/>
      <c r="CQ81" s="11"/>
      <c r="CR81" s="11"/>
      <c r="CS81" s="11"/>
      <c r="CT81" s="11"/>
      <c r="CU81" s="11"/>
      <c r="CV81" s="11"/>
      <c r="CW81" s="11"/>
      <c r="CX81" s="29"/>
      <c r="CY81" s="28"/>
      <c r="CZ81" s="11"/>
      <c r="DA81" s="11"/>
      <c r="DB81" s="11"/>
      <c r="DC81" s="29"/>
      <c r="DD81" s="28"/>
      <c r="DE81" s="11"/>
      <c r="DF81" s="11"/>
      <c r="DG81" s="11"/>
      <c r="DH81" s="29"/>
      <c r="DI81" s="28"/>
      <c r="DJ81" s="11"/>
      <c r="DK81" s="11"/>
      <c r="DL81" s="11"/>
      <c r="DM81" s="29"/>
      <c r="DN81" s="28"/>
      <c r="DO81" s="30" t="str">
        <f>IF(F81="","",IF(DP81="not a match","",IF(DP81="full_name",VLOOKUP(F81,'Internal -- Patent Countries'!B:I,5,FALSE),IF(DP81="polity_shortest_name",VLOOKUP(F81,'Internal -- Patent Countries'!C:I,4,FALSE),IF(DP81="polity_full_name",VLOOKUP(F81,'Internal -- Patent Countries'!D:I,3,FALSE),IF(DP81="polity_common_name",VLOOKUP(F81,'Internal -- Patent Countries'!E:I,2,FALSE),IF(DP81="shortest_name",F81)))))))</f>
        <v/>
      </c>
      <c r="DP81" s="30" t="str">
        <f>IF(F81="","",IF(COUNTIF('Internal -- Patent Countries'!B:B,F81)&gt;0,"full_name",IF(COUNTIF('Internal -- Patent Countries'!C:C,F81)&gt;0,"polity_shortest_name",IF(COUNTIF('Internal -- Patent Countries'!D:D,F81)&gt;0,"polity_full_name",IF(COUNTIF('Internal -- Patent Countries'!E:E,F81)&gt;0,"polity_common_name",IF(COUNTIF('Internal -- Patent Countries'!A:A,F81)&gt;0,"shortest_name","not a match"))))))</f>
        <v/>
      </c>
      <c r="DQ81" s="30"/>
      <c r="DR81" s="30"/>
      <c r="DS81" s="30"/>
      <c r="DT81" s="30"/>
      <c r="DU81" s="30"/>
      <c r="DV81" s="50" t="str">
        <f t="shared" si="2"/>
        <v/>
      </c>
      <c r="DW81" s="30" t="str">
        <f t="shared" si="3"/>
        <v/>
      </c>
    </row>
    <row r="82" spans="1:127" ht="16.5">
      <c r="A82" s="11"/>
      <c r="B82" s="11"/>
      <c r="C82" s="11"/>
      <c r="D82" s="27"/>
      <c r="E82" s="11"/>
      <c r="F82" s="29"/>
      <c r="G82" s="11"/>
      <c r="H82" s="11"/>
      <c r="I82" s="11"/>
      <c r="J82" s="15"/>
      <c r="K82" s="11"/>
      <c r="L82" s="15"/>
      <c r="M82" s="11"/>
      <c r="N82" s="15"/>
      <c r="O82" s="15"/>
      <c r="P82" s="11"/>
      <c r="Q82" s="11"/>
      <c r="R82" s="11"/>
      <c r="S82" s="15"/>
      <c r="T82" s="15"/>
      <c r="U82" s="15"/>
      <c r="V82" s="11"/>
      <c r="W82" s="29"/>
      <c r="X82" s="15"/>
      <c r="Y82" s="11"/>
      <c r="Z82" s="11"/>
      <c r="AA82" s="11"/>
      <c r="AB82" s="11"/>
      <c r="AC82" s="11"/>
      <c r="AD82" s="11"/>
      <c r="AE82" s="15"/>
      <c r="AF82" s="11"/>
      <c r="AG82" s="11"/>
      <c r="AH82" s="15"/>
      <c r="AI82" s="15"/>
      <c r="AJ82" s="15"/>
      <c r="AK82" s="11"/>
      <c r="AL82" s="15"/>
      <c r="AM82" s="11"/>
      <c r="AN82" s="11"/>
      <c r="AO82" s="15"/>
      <c r="AP82" s="11"/>
      <c r="AQ82" s="11"/>
      <c r="AR82" s="15"/>
      <c r="AS82" s="15"/>
      <c r="AT82" s="15"/>
      <c r="AU82" s="11"/>
      <c r="AV82" s="15"/>
      <c r="AW82" s="11"/>
      <c r="AX82" s="11"/>
      <c r="AY82" s="15"/>
      <c r="AZ82" s="11"/>
      <c r="BA82" s="11"/>
      <c r="BB82" s="15"/>
      <c r="BC82" s="15"/>
      <c r="BD82" s="15"/>
      <c r="BE82" s="11"/>
      <c r="BF82" s="15"/>
      <c r="BG82" s="11"/>
      <c r="BH82" s="11"/>
      <c r="BI82" s="15"/>
      <c r="BJ82" s="11"/>
      <c r="BK82" s="11"/>
      <c r="BL82" s="15"/>
      <c r="BM82" s="15"/>
      <c r="BN82" s="15"/>
      <c r="BO82" s="11"/>
      <c r="BP82" s="15"/>
      <c r="BQ82" s="11"/>
      <c r="BR82" s="11"/>
      <c r="BS82" s="15"/>
      <c r="BT82" s="11"/>
      <c r="BU82" s="11"/>
      <c r="BV82" s="15"/>
      <c r="BW82" s="11"/>
      <c r="BX82" s="11"/>
      <c r="BY82" s="11"/>
      <c r="BZ82" s="11"/>
      <c r="CA82" s="28" t="str">
        <f t="shared" si="0"/>
        <v/>
      </c>
      <c r="CB82" s="28"/>
      <c r="CC82" s="11"/>
      <c r="CD82" s="29"/>
      <c r="CE82" s="11"/>
      <c r="CF82" s="11"/>
      <c r="CG82" s="11"/>
      <c r="CH82" s="11"/>
      <c r="CI82" s="11"/>
      <c r="CJ82" s="11"/>
      <c r="CK82" s="11"/>
      <c r="CL82" s="28" t="str">
        <f t="shared" si="1"/>
        <v/>
      </c>
      <c r="CM82" s="28"/>
      <c r="CN82" s="11"/>
      <c r="CO82" s="29"/>
      <c r="CP82" s="11"/>
      <c r="CQ82" s="11"/>
      <c r="CR82" s="11"/>
      <c r="CS82" s="11"/>
      <c r="CT82" s="11"/>
      <c r="CU82" s="11"/>
      <c r="CV82" s="11"/>
      <c r="CW82" s="11"/>
      <c r="CX82" s="29"/>
      <c r="CY82" s="28"/>
      <c r="CZ82" s="11"/>
      <c r="DA82" s="11"/>
      <c r="DB82" s="11"/>
      <c r="DC82" s="29"/>
      <c r="DD82" s="28"/>
      <c r="DE82" s="11"/>
      <c r="DF82" s="11"/>
      <c r="DG82" s="11"/>
      <c r="DH82" s="29"/>
      <c r="DI82" s="28"/>
      <c r="DJ82" s="11"/>
      <c r="DK82" s="11"/>
      <c r="DL82" s="11"/>
      <c r="DM82" s="29"/>
      <c r="DN82" s="28"/>
      <c r="DO82" s="30" t="str">
        <f>IF(F82="","",IF(DP82="not a match","",IF(DP82="full_name",VLOOKUP(F82,'Internal -- Patent Countries'!B:I,5,FALSE),IF(DP82="polity_shortest_name",VLOOKUP(F82,'Internal -- Patent Countries'!C:I,4,FALSE),IF(DP82="polity_full_name",VLOOKUP(F82,'Internal -- Patent Countries'!D:I,3,FALSE),IF(DP82="polity_common_name",VLOOKUP(F82,'Internal -- Patent Countries'!E:I,2,FALSE),IF(DP82="shortest_name",F82)))))))</f>
        <v/>
      </c>
      <c r="DP82" s="30" t="str">
        <f>IF(F82="","",IF(COUNTIF('Internal -- Patent Countries'!B:B,F82)&gt;0,"full_name",IF(COUNTIF('Internal -- Patent Countries'!C:C,F82)&gt;0,"polity_shortest_name",IF(COUNTIF('Internal -- Patent Countries'!D:D,F82)&gt;0,"polity_full_name",IF(COUNTIF('Internal -- Patent Countries'!E:E,F82)&gt;0,"polity_common_name",IF(COUNTIF('Internal -- Patent Countries'!A:A,F82)&gt;0,"shortest_name","not a match"))))))</f>
        <v/>
      </c>
      <c r="DQ82" s="30"/>
      <c r="DR82" s="30"/>
      <c r="DS82" s="30"/>
      <c r="DT82" s="30"/>
      <c r="DU82" s="30"/>
      <c r="DV82" s="50" t="str">
        <f t="shared" si="2"/>
        <v/>
      </c>
      <c r="DW82" s="30" t="str">
        <f t="shared" si="3"/>
        <v/>
      </c>
    </row>
    <row r="83" spans="1:127" ht="16.5">
      <c r="A83" s="11"/>
      <c r="B83" s="11"/>
      <c r="C83" s="11"/>
      <c r="D83" s="27"/>
      <c r="E83" s="11"/>
      <c r="F83" s="29"/>
      <c r="G83" s="11"/>
      <c r="H83" s="11"/>
      <c r="I83" s="11"/>
      <c r="J83" s="15"/>
      <c r="K83" s="11"/>
      <c r="L83" s="15"/>
      <c r="M83" s="11"/>
      <c r="N83" s="15"/>
      <c r="O83" s="15"/>
      <c r="P83" s="11"/>
      <c r="Q83" s="11"/>
      <c r="R83" s="11"/>
      <c r="S83" s="15"/>
      <c r="T83" s="15"/>
      <c r="U83" s="15"/>
      <c r="V83" s="11"/>
      <c r="W83" s="29"/>
      <c r="X83" s="15"/>
      <c r="Y83" s="11"/>
      <c r="Z83" s="11"/>
      <c r="AA83" s="11"/>
      <c r="AB83" s="11"/>
      <c r="AC83" s="11"/>
      <c r="AD83" s="11"/>
      <c r="AE83" s="15"/>
      <c r="AF83" s="11"/>
      <c r="AG83" s="11"/>
      <c r="AH83" s="15"/>
      <c r="AI83" s="15"/>
      <c r="AJ83" s="15"/>
      <c r="AK83" s="11"/>
      <c r="AL83" s="15"/>
      <c r="AM83" s="11"/>
      <c r="AN83" s="11"/>
      <c r="AO83" s="15"/>
      <c r="AP83" s="11"/>
      <c r="AQ83" s="11"/>
      <c r="AR83" s="15"/>
      <c r="AS83" s="15"/>
      <c r="AT83" s="15"/>
      <c r="AU83" s="11"/>
      <c r="AV83" s="15"/>
      <c r="AW83" s="11"/>
      <c r="AX83" s="11"/>
      <c r="AY83" s="15"/>
      <c r="AZ83" s="11"/>
      <c r="BA83" s="11"/>
      <c r="BB83" s="15"/>
      <c r="BC83" s="15"/>
      <c r="BD83" s="15"/>
      <c r="BE83" s="11"/>
      <c r="BF83" s="15"/>
      <c r="BG83" s="11"/>
      <c r="BH83" s="11"/>
      <c r="BI83" s="15"/>
      <c r="BJ83" s="11"/>
      <c r="BK83" s="11"/>
      <c r="BL83" s="15"/>
      <c r="BM83" s="15"/>
      <c r="BN83" s="15"/>
      <c r="BO83" s="11"/>
      <c r="BP83" s="15"/>
      <c r="BQ83" s="11"/>
      <c r="BR83" s="11"/>
      <c r="BS83" s="15"/>
      <c r="BT83" s="11"/>
      <c r="BU83" s="11"/>
      <c r="BV83" s="15"/>
      <c r="BW83" s="11"/>
      <c r="BX83" s="11"/>
      <c r="BY83" s="11"/>
      <c r="BZ83" s="11"/>
      <c r="CA83" s="28" t="str">
        <f t="shared" si="0"/>
        <v/>
      </c>
      <c r="CB83" s="28"/>
      <c r="CC83" s="11"/>
      <c r="CD83" s="29"/>
      <c r="CE83" s="11"/>
      <c r="CF83" s="11"/>
      <c r="CG83" s="11"/>
      <c r="CH83" s="11"/>
      <c r="CI83" s="11"/>
      <c r="CJ83" s="11"/>
      <c r="CK83" s="11"/>
      <c r="CL83" s="28" t="str">
        <f t="shared" si="1"/>
        <v/>
      </c>
      <c r="CM83" s="28"/>
      <c r="CN83" s="11"/>
      <c r="CO83" s="29"/>
      <c r="CP83" s="11"/>
      <c r="CQ83" s="11"/>
      <c r="CR83" s="11"/>
      <c r="CS83" s="11"/>
      <c r="CT83" s="11"/>
      <c r="CU83" s="11"/>
      <c r="CV83" s="11"/>
      <c r="CW83" s="11"/>
      <c r="CX83" s="29"/>
      <c r="CY83" s="28"/>
      <c r="CZ83" s="11"/>
      <c r="DA83" s="11"/>
      <c r="DB83" s="11"/>
      <c r="DC83" s="29"/>
      <c r="DD83" s="28"/>
      <c r="DE83" s="11"/>
      <c r="DF83" s="11"/>
      <c r="DG83" s="11"/>
      <c r="DH83" s="29"/>
      <c r="DI83" s="28"/>
      <c r="DJ83" s="11"/>
      <c r="DK83" s="11"/>
      <c r="DL83" s="11"/>
      <c r="DM83" s="29"/>
      <c r="DN83" s="28"/>
      <c r="DO83" s="30" t="str">
        <f>IF(F83="","",IF(DP83="not a match","",IF(DP83="full_name",VLOOKUP(F83,'Internal -- Patent Countries'!B:I,5,FALSE),IF(DP83="polity_shortest_name",VLOOKUP(F83,'Internal -- Patent Countries'!C:I,4,FALSE),IF(DP83="polity_full_name",VLOOKUP(F83,'Internal -- Patent Countries'!D:I,3,FALSE),IF(DP83="polity_common_name",VLOOKUP(F83,'Internal -- Patent Countries'!E:I,2,FALSE),IF(DP83="shortest_name",F83)))))))</f>
        <v/>
      </c>
      <c r="DP83" s="30" t="str">
        <f>IF(F83="","",IF(COUNTIF('Internal -- Patent Countries'!B:B,F83)&gt;0,"full_name",IF(COUNTIF('Internal -- Patent Countries'!C:C,F83)&gt;0,"polity_shortest_name",IF(COUNTIF('Internal -- Patent Countries'!D:D,F83)&gt;0,"polity_full_name",IF(COUNTIF('Internal -- Patent Countries'!E:E,F83)&gt;0,"polity_common_name",IF(COUNTIF('Internal -- Patent Countries'!A:A,F83)&gt;0,"shortest_name","not a match"))))))</f>
        <v/>
      </c>
      <c r="DQ83" s="30"/>
      <c r="DR83" s="30"/>
      <c r="DS83" s="30"/>
      <c r="DT83" s="30"/>
      <c r="DU83" s="30"/>
      <c r="DV83" s="50" t="str">
        <f t="shared" si="2"/>
        <v/>
      </c>
      <c r="DW83" s="30" t="str">
        <f t="shared" si="3"/>
        <v/>
      </c>
    </row>
    <row r="84" spans="1:127" ht="16.5">
      <c r="A84" s="11"/>
      <c r="B84" s="11"/>
      <c r="C84" s="11"/>
      <c r="D84" s="27"/>
      <c r="E84" s="11"/>
      <c r="F84" s="29"/>
      <c r="G84" s="11"/>
      <c r="H84" s="11"/>
      <c r="I84" s="11"/>
      <c r="J84" s="15"/>
      <c r="K84" s="11"/>
      <c r="L84" s="15"/>
      <c r="M84" s="11"/>
      <c r="N84" s="15"/>
      <c r="O84" s="15"/>
      <c r="P84" s="11"/>
      <c r="Q84" s="11"/>
      <c r="R84" s="11"/>
      <c r="S84" s="15"/>
      <c r="T84" s="15"/>
      <c r="U84" s="15"/>
      <c r="V84" s="11"/>
      <c r="W84" s="29"/>
      <c r="X84" s="15"/>
      <c r="Y84" s="11"/>
      <c r="Z84" s="11"/>
      <c r="AA84" s="11"/>
      <c r="AB84" s="11"/>
      <c r="AC84" s="11"/>
      <c r="AD84" s="11"/>
      <c r="AE84" s="15"/>
      <c r="AF84" s="11"/>
      <c r="AG84" s="11"/>
      <c r="AH84" s="15"/>
      <c r="AI84" s="15"/>
      <c r="AJ84" s="15"/>
      <c r="AK84" s="11"/>
      <c r="AL84" s="15"/>
      <c r="AM84" s="11"/>
      <c r="AN84" s="11"/>
      <c r="AO84" s="15"/>
      <c r="AP84" s="11"/>
      <c r="AQ84" s="11"/>
      <c r="AR84" s="15"/>
      <c r="AS84" s="15"/>
      <c r="AT84" s="15"/>
      <c r="AU84" s="11"/>
      <c r="AV84" s="15"/>
      <c r="AW84" s="11"/>
      <c r="AX84" s="11"/>
      <c r="AY84" s="15"/>
      <c r="AZ84" s="11"/>
      <c r="BA84" s="11"/>
      <c r="BB84" s="15"/>
      <c r="BC84" s="15"/>
      <c r="BD84" s="15"/>
      <c r="BE84" s="11"/>
      <c r="BF84" s="15"/>
      <c r="BG84" s="11"/>
      <c r="BH84" s="11"/>
      <c r="BI84" s="15"/>
      <c r="BJ84" s="11"/>
      <c r="BK84" s="11"/>
      <c r="BL84" s="15"/>
      <c r="BM84" s="15"/>
      <c r="BN84" s="15"/>
      <c r="BO84" s="11"/>
      <c r="BP84" s="15"/>
      <c r="BQ84" s="11"/>
      <c r="BR84" s="11"/>
      <c r="BS84" s="15"/>
      <c r="BT84" s="11"/>
      <c r="BU84" s="11"/>
      <c r="BV84" s="15"/>
      <c r="BW84" s="11"/>
      <c r="BX84" s="11"/>
      <c r="BY84" s="11"/>
      <c r="BZ84" s="11"/>
      <c r="CA84" s="28" t="str">
        <f t="shared" si="0"/>
        <v/>
      </c>
      <c r="CB84" s="28"/>
      <c r="CC84" s="11"/>
      <c r="CD84" s="29"/>
      <c r="CE84" s="11"/>
      <c r="CF84" s="11"/>
      <c r="CG84" s="11"/>
      <c r="CH84" s="11"/>
      <c r="CI84" s="11"/>
      <c r="CJ84" s="11"/>
      <c r="CK84" s="11"/>
      <c r="CL84" s="28" t="str">
        <f t="shared" si="1"/>
        <v/>
      </c>
      <c r="CM84" s="28"/>
      <c r="CN84" s="11"/>
      <c r="CO84" s="29"/>
      <c r="CP84" s="11"/>
      <c r="CQ84" s="11"/>
      <c r="CR84" s="11"/>
      <c r="CS84" s="11"/>
      <c r="CT84" s="11"/>
      <c r="CU84" s="11"/>
      <c r="CV84" s="11"/>
      <c r="CW84" s="11"/>
      <c r="CX84" s="29"/>
      <c r="CY84" s="28"/>
      <c r="CZ84" s="11"/>
      <c r="DA84" s="11"/>
      <c r="DB84" s="11"/>
      <c r="DC84" s="29"/>
      <c r="DD84" s="28"/>
      <c r="DE84" s="11"/>
      <c r="DF84" s="11"/>
      <c r="DG84" s="11"/>
      <c r="DH84" s="29"/>
      <c r="DI84" s="28"/>
      <c r="DJ84" s="11"/>
      <c r="DK84" s="11"/>
      <c r="DL84" s="11"/>
      <c r="DM84" s="29"/>
      <c r="DN84" s="28"/>
      <c r="DO84" s="30" t="str">
        <f>IF(F84="","",IF(DP84="not a match","",IF(DP84="full_name",VLOOKUP(F84,'Internal -- Patent Countries'!B:I,5,FALSE),IF(DP84="polity_shortest_name",VLOOKUP(F84,'Internal -- Patent Countries'!C:I,4,FALSE),IF(DP84="polity_full_name",VLOOKUP(F84,'Internal -- Patent Countries'!D:I,3,FALSE),IF(DP84="polity_common_name",VLOOKUP(F84,'Internal -- Patent Countries'!E:I,2,FALSE),IF(DP84="shortest_name",F84)))))))</f>
        <v/>
      </c>
      <c r="DP84" s="30" t="str">
        <f>IF(F84="","",IF(COUNTIF('Internal -- Patent Countries'!B:B,F84)&gt;0,"full_name",IF(COUNTIF('Internal -- Patent Countries'!C:C,F84)&gt;0,"polity_shortest_name",IF(COUNTIF('Internal -- Patent Countries'!D:D,F84)&gt;0,"polity_full_name",IF(COUNTIF('Internal -- Patent Countries'!E:E,F84)&gt;0,"polity_common_name",IF(COUNTIF('Internal -- Patent Countries'!A:A,F84)&gt;0,"shortest_name","not a match"))))))</f>
        <v/>
      </c>
      <c r="DQ84" s="30"/>
      <c r="DR84" s="30"/>
      <c r="DS84" s="30"/>
      <c r="DT84" s="30"/>
      <c r="DU84" s="30"/>
      <c r="DV84" s="50" t="str">
        <f t="shared" si="2"/>
        <v/>
      </c>
      <c r="DW84" s="30" t="str">
        <f t="shared" si="3"/>
        <v/>
      </c>
    </row>
    <row r="85" spans="1:127" ht="16.5">
      <c r="A85" s="11"/>
      <c r="B85" s="11"/>
      <c r="C85" s="11"/>
      <c r="D85" s="27"/>
      <c r="E85" s="11"/>
      <c r="F85" s="29"/>
      <c r="G85" s="11"/>
      <c r="H85" s="11"/>
      <c r="I85" s="11"/>
      <c r="J85" s="15"/>
      <c r="K85" s="11"/>
      <c r="L85" s="15"/>
      <c r="M85" s="11"/>
      <c r="N85" s="15"/>
      <c r="O85" s="15"/>
      <c r="P85" s="11"/>
      <c r="Q85" s="11"/>
      <c r="R85" s="11"/>
      <c r="S85" s="15"/>
      <c r="T85" s="15"/>
      <c r="U85" s="15"/>
      <c r="V85" s="11"/>
      <c r="W85" s="29"/>
      <c r="X85" s="15"/>
      <c r="Y85" s="11"/>
      <c r="Z85" s="11"/>
      <c r="AA85" s="11"/>
      <c r="AB85" s="11"/>
      <c r="AC85" s="11"/>
      <c r="AD85" s="11"/>
      <c r="AE85" s="15"/>
      <c r="AF85" s="11"/>
      <c r="AG85" s="11"/>
      <c r="AH85" s="15"/>
      <c r="AI85" s="15"/>
      <c r="AJ85" s="15"/>
      <c r="AK85" s="11"/>
      <c r="AL85" s="15"/>
      <c r="AM85" s="11"/>
      <c r="AN85" s="11"/>
      <c r="AO85" s="15"/>
      <c r="AP85" s="11"/>
      <c r="AQ85" s="11"/>
      <c r="AR85" s="15"/>
      <c r="AS85" s="15"/>
      <c r="AT85" s="15"/>
      <c r="AU85" s="11"/>
      <c r="AV85" s="15"/>
      <c r="AW85" s="11"/>
      <c r="AX85" s="11"/>
      <c r="AY85" s="15"/>
      <c r="AZ85" s="11"/>
      <c r="BA85" s="11"/>
      <c r="BB85" s="15"/>
      <c r="BC85" s="15"/>
      <c r="BD85" s="15"/>
      <c r="BE85" s="11"/>
      <c r="BF85" s="15"/>
      <c r="BG85" s="11"/>
      <c r="BH85" s="11"/>
      <c r="BI85" s="15"/>
      <c r="BJ85" s="11"/>
      <c r="BK85" s="11"/>
      <c r="BL85" s="15"/>
      <c r="BM85" s="15"/>
      <c r="BN85" s="15"/>
      <c r="BO85" s="11"/>
      <c r="BP85" s="15"/>
      <c r="BQ85" s="11"/>
      <c r="BR85" s="11"/>
      <c r="BS85" s="15"/>
      <c r="BT85" s="11"/>
      <c r="BU85" s="11"/>
      <c r="BV85" s="15"/>
      <c r="BW85" s="11"/>
      <c r="BX85" s="11"/>
      <c r="BY85" s="11"/>
      <c r="BZ85" s="11"/>
      <c r="CA85" s="28" t="str">
        <f t="shared" si="0"/>
        <v/>
      </c>
      <c r="CB85" s="28"/>
      <c r="CC85" s="11"/>
      <c r="CD85" s="29"/>
      <c r="CE85" s="11"/>
      <c r="CF85" s="11"/>
      <c r="CG85" s="11"/>
      <c r="CH85" s="11"/>
      <c r="CI85" s="11"/>
      <c r="CJ85" s="11"/>
      <c r="CK85" s="11"/>
      <c r="CL85" s="28" t="str">
        <f t="shared" si="1"/>
        <v/>
      </c>
      <c r="CM85" s="28"/>
      <c r="CN85" s="11"/>
      <c r="CO85" s="29"/>
      <c r="CP85" s="11"/>
      <c r="CQ85" s="11"/>
      <c r="CR85" s="11"/>
      <c r="CS85" s="11"/>
      <c r="CT85" s="11"/>
      <c r="CU85" s="11"/>
      <c r="CV85" s="11"/>
      <c r="CW85" s="11"/>
      <c r="CX85" s="29"/>
      <c r="CY85" s="28"/>
      <c r="CZ85" s="11"/>
      <c r="DA85" s="11"/>
      <c r="DB85" s="11"/>
      <c r="DC85" s="29"/>
      <c r="DD85" s="28"/>
      <c r="DE85" s="11"/>
      <c r="DF85" s="11"/>
      <c r="DG85" s="11"/>
      <c r="DH85" s="29"/>
      <c r="DI85" s="28"/>
      <c r="DJ85" s="11"/>
      <c r="DK85" s="11"/>
      <c r="DL85" s="11"/>
      <c r="DM85" s="29"/>
      <c r="DN85" s="28"/>
      <c r="DO85" s="30" t="str">
        <f>IF(F85="","",IF(DP85="not a match","",IF(DP85="full_name",VLOOKUP(F85,'Internal -- Patent Countries'!B:I,5,FALSE),IF(DP85="polity_shortest_name",VLOOKUP(F85,'Internal -- Patent Countries'!C:I,4,FALSE),IF(DP85="polity_full_name",VLOOKUP(F85,'Internal -- Patent Countries'!D:I,3,FALSE),IF(DP85="polity_common_name",VLOOKUP(F85,'Internal -- Patent Countries'!E:I,2,FALSE),IF(DP85="shortest_name",F85)))))))</f>
        <v/>
      </c>
      <c r="DP85" s="30" t="str">
        <f>IF(F85="","",IF(COUNTIF('Internal -- Patent Countries'!B:B,F85)&gt;0,"full_name",IF(COUNTIF('Internal -- Patent Countries'!C:C,F85)&gt;0,"polity_shortest_name",IF(COUNTIF('Internal -- Patent Countries'!D:D,F85)&gt;0,"polity_full_name",IF(COUNTIF('Internal -- Patent Countries'!E:E,F85)&gt;0,"polity_common_name",IF(COUNTIF('Internal -- Patent Countries'!A:A,F85)&gt;0,"shortest_name","not a match"))))))</f>
        <v/>
      </c>
      <c r="DQ85" s="30"/>
      <c r="DR85" s="30"/>
      <c r="DS85" s="30"/>
      <c r="DT85" s="30"/>
      <c r="DU85" s="30"/>
      <c r="DV85" s="50" t="str">
        <f t="shared" si="2"/>
        <v/>
      </c>
      <c r="DW85" s="30" t="str">
        <f t="shared" si="3"/>
        <v/>
      </c>
    </row>
    <row r="86" spans="1:127" ht="16.5">
      <c r="A86" s="11"/>
      <c r="B86" s="11"/>
      <c r="C86" s="11"/>
      <c r="D86" s="27"/>
      <c r="E86" s="11"/>
      <c r="F86" s="29"/>
      <c r="G86" s="11"/>
      <c r="H86" s="11"/>
      <c r="I86" s="11"/>
      <c r="J86" s="15"/>
      <c r="K86" s="11"/>
      <c r="L86" s="15"/>
      <c r="M86" s="11"/>
      <c r="N86" s="15"/>
      <c r="O86" s="15"/>
      <c r="P86" s="11"/>
      <c r="Q86" s="11"/>
      <c r="R86" s="11"/>
      <c r="S86" s="15"/>
      <c r="T86" s="15"/>
      <c r="U86" s="15"/>
      <c r="V86" s="11"/>
      <c r="W86" s="29"/>
      <c r="X86" s="15"/>
      <c r="Y86" s="11"/>
      <c r="Z86" s="11"/>
      <c r="AA86" s="11"/>
      <c r="AB86" s="11"/>
      <c r="AC86" s="11"/>
      <c r="AD86" s="11"/>
      <c r="AE86" s="15"/>
      <c r="AF86" s="11"/>
      <c r="AG86" s="11"/>
      <c r="AH86" s="15"/>
      <c r="AI86" s="15"/>
      <c r="AJ86" s="15"/>
      <c r="AK86" s="11"/>
      <c r="AL86" s="15"/>
      <c r="AM86" s="11"/>
      <c r="AN86" s="11"/>
      <c r="AO86" s="15"/>
      <c r="AP86" s="11"/>
      <c r="AQ86" s="11"/>
      <c r="AR86" s="15"/>
      <c r="AS86" s="15"/>
      <c r="AT86" s="15"/>
      <c r="AU86" s="11"/>
      <c r="AV86" s="15"/>
      <c r="AW86" s="11"/>
      <c r="AX86" s="11"/>
      <c r="AY86" s="15"/>
      <c r="AZ86" s="11"/>
      <c r="BA86" s="11"/>
      <c r="BB86" s="15"/>
      <c r="BC86" s="15"/>
      <c r="BD86" s="15"/>
      <c r="BE86" s="11"/>
      <c r="BF86" s="15"/>
      <c r="BG86" s="11"/>
      <c r="BH86" s="11"/>
      <c r="BI86" s="15"/>
      <c r="BJ86" s="11"/>
      <c r="BK86" s="11"/>
      <c r="BL86" s="15"/>
      <c r="BM86" s="15"/>
      <c r="BN86" s="15"/>
      <c r="BO86" s="11"/>
      <c r="BP86" s="15"/>
      <c r="BQ86" s="11"/>
      <c r="BR86" s="11"/>
      <c r="BS86" s="15"/>
      <c r="BT86" s="11"/>
      <c r="BU86" s="11"/>
      <c r="BV86" s="15"/>
      <c r="BW86" s="11"/>
      <c r="BX86" s="11"/>
      <c r="BY86" s="11"/>
      <c r="BZ86" s="11"/>
      <c r="CA86" s="28" t="str">
        <f t="shared" si="0"/>
        <v/>
      </c>
      <c r="CB86" s="28"/>
      <c r="CC86" s="11"/>
      <c r="CD86" s="29"/>
      <c r="CE86" s="11"/>
      <c r="CF86" s="11"/>
      <c r="CG86" s="11"/>
      <c r="CH86" s="11"/>
      <c r="CI86" s="11"/>
      <c r="CJ86" s="11"/>
      <c r="CK86" s="11"/>
      <c r="CL86" s="28" t="str">
        <f t="shared" si="1"/>
        <v/>
      </c>
      <c r="CM86" s="28"/>
      <c r="CN86" s="11"/>
      <c r="CO86" s="29"/>
      <c r="CP86" s="11"/>
      <c r="CQ86" s="11"/>
      <c r="CR86" s="11"/>
      <c r="CS86" s="11"/>
      <c r="CT86" s="11"/>
      <c r="CU86" s="11"/>
      <c r="CV86" s="11"/>
      <c r="CW86" s="11"/>
      <c r="CX86" s="29"/>
      <c r="CY86" s="28"/>
      <c r="CZ86" s="11"/>
      <c r="DA86" s="11"/>
      <c r="DB86" s="11"/>
      <c r="DC86" s="29"/>
      <c r="DD86" s="28"/>
      <c r="DE86" s="11"/>
      <c r="DF86" s="11"/>
      <c r="DG86" s="11"/>
      <c r="DH86" s="29"/>
      <c r="DI86" s="28"/>
      <c r="DJ86" s="11"/>
      <c r="DK86" s="11"/>
      <c r="DL86" s="11"/>
      <c r="DM86" s="29"/>
      <c r="DN86" s="28"/>
      <c r="DO86" s="30" t="str">
        <f>IF(F86="","",IF(DP86="not a match","",IF(DP86="full_name",VLOOKUP(F86,'Internal -- Patent Countries'!B:I,5,FALSE),IF(DP86="polity_shortest_name",VLOOKUP(F86,'Internal -- Patent Countries'!C:I,4,FALSE),IF(DP86="polity_full_name",VLOOKUP(F86,'Internal -- Patent Countries'!D:I,3,FALSE),IF(DP86="polity_common_name",VLOOKUP(F86,'Internal -- Patent Countries'!E:I,2,FALSE),IF(DP86="shortest_name",F86)))))))</f>
        <v/>
      </c>
      <c r="DP86" s="30" t="str">
        <f>IF(F86="","",IF(COUNTIF('Internal -- Patent Countries'!B:B,F86)&gt;0,"full_name",IF(COUNTIF('Internal -- Patent Countries'!C:C,F86)&gt;0,"polity_shortest_name",IF(COUNTIF('Internal -- Patent Countries'!D:D,F86)&gt;0,"polity_full_name",IF(COUNTIF('Internal -- Patent Countries'!E:E,F86)&gt;0,"polity_common_name",IF(COUNTIF('Internal -- Patent Countries'!A:A,F86)&gt;0,"shortest_name","not a match"))))))</f>
        <v/>
      </c>
      <c r="DQ86" s="30"/>
      <c r="DR86" s="30"/>
      <c r="DS86" s="30"/>
      <c r="DT86" s="30"/>
      <c r="DU86" s="30"/>
      <c r="DV86" s="50" t="str">
        <f t="shared" si="2"/>
        <v/>
      </c>
      <c r="DW86" s="30" t="str">
        <f t="shared" si="3"/>
        <v/>
      </c>
    </row>
    <row r="87" spans="1:127" ht="16.5">
      <c r="A87" s="11"/>
      <c r="B87" s="11"/>
      <c r="C87" s="11"/>
      <c r="D87" s="27"/>
      <c r="E87" s="11"/>
      <c r="F87" s="29"/>
      <c r="G87" s="11"/>
      <c r="H87" s="11"/>
      <c r="I87" s="11"/>
      <c r="J87" s="15"/>
      <c r="K87" s="11"/>
      <c r="L87" s="15"/>
      <c r="M87" s="11"/>
      <c r="N87" s="15"/>
      <c r="O87" s="15"/>
      <c r="P87" s="11"/>
      <c r="Q87" s="11"/>
      <c r="R87" s="11"/>
      <c r="S87" s="15"/>
      <c r="T87" s="15"/>
      <c r="U87" s="15"/>
      <c r="V87" s="11"/>
      <c r="W87" s="29"/>
      <c r="X87" s="15"/>
      <c r="Y87" s="11"/>
      <c r="Z87" s="11"/>
      <c r="AA87" s="11"/>
      <c r="AB87" s="11"/>
      <c r="AC87" s="11"/>
      <c r="AD87" s="11"/>
      <c r="AE87" s="15"/>
      <c r="AF87" s="11"/>
      <c r="AG87" s="11"/>
      <c r="AH87" s="15"/>
      <c r="AI87" s="15"/>
      <c r="AJ87" s="15"/>
      <c r="AK87" s="11"/>
      <c r="AL87" s="15"/>
      <c r="AM87" s="11"/>
      <c r="AN87" s="11"/>
      <c r="AO87" s="15"/>
      <c r="AP87" s="11"/>
      <c r="AQ87" s="11"/>
      <c r="AR87" s="15"/>
      <c r="AS87" s="15"/>
      <c r="AT87" s="15"/>
      <c r="AU87" s="11"/>
      <c r="AV87" s="15"/>
      <c r="AW87" s="11"/>
      <c r="AX87" s="11"/>
      <c r="AY87" s="15"/>
      <c r="AZ87" s="11"/>
      <c r="BA87" s="11"/>
      <c r="BB87" s="15"/>
      <c r="BC87" s="15"/>
      <c r="BD87" s="15"/>
      <c r="BE87" s="11"/>
      <c r="BF87" s="15"/>
      <c r="BG87" s="11"/>
      <c r="BH87" s="11"/>
      <c r="BI87" s="15"/>
      <c r="BJ87" s="11"/>
      <c r="BK87" s="11"/>
      <c r="BL87" s="15"/>
      <c r="BM87" s="15"/>
      <c r="BN87" s="15"/>
      <c r="BO87" s="11"/>
      <c r="BP87" s="15"/>
      <c r="BQ87" s="11"/>
      <c r="BR87" s="11"/>
      <c r="BS87" s="15"/>
      <c r="BT87" s="11"/>
      <c r="BU87" s="11"/>
      <c r="BV87" s="15"/>
      <c r="BW87" s="11"/>
      <c r="BX87" s="11"/>
      <c r="BY87" s="11"/>
      <c r="BZ87" s="11"/>
      <c r="CA87" s="28" t="str">
        <f t="shared" si="0"/>
        <v/>
      </c>
      <c r="CB87" s="28"/>
      <c r="CC87" s="11"/>
      <c r="CD87" s="29"/>
      <c r="CE87" s="11"/>
      <c r="CF87" s="11"/>
      <c r="CG87" s="11"/>
      <c r="CH87" s="11"/>
      <c r="CI87" s="11"/>
      <c r="CJ87" s="11"/>
      <c r="CK87" s="11"/>
      <c r="CL87" s="28" t="str">
        <f t="shared" si="1"/>
        <v/>
      </c>
      <c r="CM87" s="28"/>
      <c r="CN87" s="11"/>
      <c r="CO87" s="29"/>
      <c r="CP87" s="11"/>
      <c r="CQ87" s="11"/>
      <c r="CR87" s="11"/>
      <c r="CS87" s="11"/>
      <c r="CT87" s="11"/>
      <c r="CU87" s="11"/>
      <c r="CV87" s="11"/>
      <c r="CW87" s="11"/>
      <c r="CX87" s="29"/>
      <c r="CY87" s="28"/>
      <c r="CZ87" s="11"/>
      <c r="DA87" s="11"/>
      <c r="DB87" s="11"/>
      <c r="DC87" s="29"/>
      <c r="DD87" s="28"/>
      <c r="DE87" s="11"/>
      <c r="DF87" s="11"/>
      <c r="DG87" s="11"/>
      <c r="DH87" s="29"/>
      <c r="DI87" s="28"/>
      <c r="DJ87" s="11"/>
      <c r="DK87" s="11"/>
      <c r="DL87" s="11"/>
      <c r="DM87" s="29"/>
      <c r="DN87" s="28"/>
      <c r="DO87" s="30" t="str">
        <f>IF(F87="","",IF(DP87="not a match","",IF(DP87="full_name",VLOOKUP(F87,'Internal -- Patent Countries'!B:I,5,FALSE),IF(DP87="polity_shortest_name",VLOOKUP(F87,'Internal -- Patent Countries'!C:I,4,FALSE),IF(DP87="polity_full_name",VLOOKUP(F87,'Internal -- Patent Countries'!D:I,3,FALSE),IF(DP87="polity_common_name",VLOOKUP(F87,'Internal -- Patent Countries'!E:I,2,FALSE),IF(DP87="shortest_name",F87)))))))</f>
        <v/>
      </c>
      <c r="DP87" s="30" t="str">
        <f>IF(F87="","",IF(COUNTIF('Internal -- Patent Countries'!B:B,F87)&gt;0,"full_name",IF(COUNTIF('Internal -- Patent Countries'!C:C,F87)&gt;0,"polity_shortest_name",IF(COUNTIF('Internal -- Patent Countries'!D:D,F87)&gt;0,"polity_full_name",IF(COUNTIF('Internal -- Patent Countries'!E:E,F87)&gt;0,"polity_common_name",IF(COUNTIF('Internal -- Patent Countries'!A:A,F87)&gt;0,"shortest_name","not a match"))))))</f>
        <v/>
      </c>
      <c r="DQ87" s="30"/>
      <c r="DR87" s="30"/>
      <c r="DS87" s="30"/>
      <c r="DT87" s="30"/>
      <c r="DU87" s="30"/>
      <c r="DV87" s="50" t="str">
        <f t="shared" si="2"/>
        <v/>
      </c>
      <c r="DW87" s="30" t="str">
        <f t="shared" si="3"/>
        <v/>
      </c>
    </row>
    <row r="88" spans="1:127" ht="16.5">
      <c r="A88" s="11"/>
      <c r="B88" s="11"/>
      <c r="C88" s="11"/>
      <c r="D88" s="27"/>
      <c r="E88" s="11"/>
      <c r="F88" s="29"/>
      <c r="G88" s="11"/>
      <c r="H88" s="11"/>
      <c r="I88" s="11"/>
      <c r="J88" s="15"/>
      <c r="K88" s="11"/>
      <c r="L88" s="15"/>
      <c r="M88" s="11"/>
      <c r="N88" s="15"/>
      <c r="O88" s="15"/>
      <c r="P88" s="11"/>
      <c r="Q88" s="11"/>
      <c r="R88" s="11"/>
      <c r="S88" s="15"/>
      <c r="T88" s="15"/>
      <c r="U88" s="15"/>
      <c r="V88" s="11"/>
      <c r="W88" s="29"/>
      <c r="X88" s="15"/>
      <c r="Y88" s="11"/>
      <c r="Z88" s="11"/>
      <c r="AA88" s="11"/>
      <c r="AB88" s="11"/>
      <c r="AC88" s="11"/>
      <c r="AD88" s="11"/>
      <c r="AE88" s="15"/>
      <c r="AF88" s="11"/>
      <c r="AG88" s="11"/>
      <c r="AH88" s="15"/>
      <c r="AI88" s="15"/>
      <c r="AJ88" s="15"/>
      <c r="AK88" s="11"/>
      <c r="AL88" s="15"/>
      <c r="AM88" s="11"/>
      <c r="AN88" s="11"/>
      <c r="AO88" s="15"/>
      <c r="AP88" s="11"/>
      <c r="AQ88" s="11"/>
      <c r="AR88" s="15"/>
      <c r="AS88" s="15"/>
      <c r="AT88" s="15"/>
      <c r="AU88" s="11"/>
      <c r="AV88" s="15"/>
      <c r="AW88" s="11"/>
      <c r="AX88" s="11"/>
      <c r="AY88" s="15"/>
      <c r="AZ88" s="11"/>
      <c r="BA88" s="11"/>
      <c r="BB88" s="15"/>
      <c r="BC88" s="15"/>
      <c r="BD88" s="15"/>
      <c r="BE88" s="11"/>
      <c r="BF88" s="15"/>
      <c r="BG88" s="11"/>
      <c r="BH88" s="11"/>
      <c r="BI88" s="15"/>
      <c r="BJ88" s="11"/>
      <c r="BK88" s="11"/>
      <c r="BL88" s="15"/>
      <c r="BM88" s="15"/>
      <c r="BN88" s="15"/>
      <c r="BO88" s="11"/>
      <c r="BP88" s="15"/>
      <c r="BQ88" s="11"/>
      <c r="BR88" s="11"/>
      <c r="BS88" s="15"/>
      <c r="BT88" s="11"/>
      <c r="BU88" s="11"/>
      <c r="BV88" s="15"/>
      <c r="BW88" s="11"/>
      <c r="BX88" s="11"/>
      <c r="BY88" s="11"/>
      <c r="BZ88" s="11"/>
      <c r="CA88" s="28" t="str">
        <f t="shared" si="0"/>
        <v/>
      </c>
      <c r="CB88" s="28"/>
      <c r="CC88" s="11"/>
      <c r="CD88" s="29"/>
      <c r="CE88" s="11"/>
      <c r="CF88" s="11"/>
      <c r="CG88" s="11"/>
      <c r="CH88" s="11"/>
      <c r="CI88" s="11"/>
      <c r="CJ88" s="11"/>
      <c r="CK88" s="11"/>
      <c r="CL88" s="28" t="str">
        <f t="shared" si="1"/>
        <v/>
      </c>
      <c r="CM88" s="28"/>
      <c r="CN88" s="11"/>
      <c r="CO88" s="29"/>
      <c r="CP88" s="11"/>
      <c r="CQ88" s="11"/>
      <c r="CR88" s="11"/>
      <c r="CS88" s="11"/>
      <c r="CT88" s="11"/>
      <c r="CU88" s="11"/>
      <c r="CV88" s="11"/>
      <c r="CW88" s="11"/>
      <c r="CX88" s="29"/>
      <c r="CY88" s="28"/>
      <c r="CZ88" s="11"/>
      <c r="DA88" s="11"/>
      <c r="DB88" s="11"/>
      <c r="DC88" s="29"/>
      <c r="DD88" s="28"/>
      <c r="DE88" s="11"/>
      <c r="DF88" s="11"/>
      <c r="DG88" s="11"/>
      <c r="DH88" s="29"/>
      <c r="DI88" s="28"/>
      <c r="DJ88" s="11"/>
      <c r="DK88" s="11"/>
      <c r="DL88" s="11"/>
      <c r="DM88" s="29"/>
      <c r="DN88" s="28"/>
      <c r="DO88" s="30" t="str">
        <f>IF(F88="","",IF(DP88="not a match","",IF(DP88="full_name",VLOOKUP(F88,'Internal -- Patent Countries'!B:I,5,FALSE),IF(DP88="polity_shortest_name",VLOOKUP(F88,'Internal -- Patent Countries'!C:I,4,FALSE),IF(DP88="polity_full_name",VLOOKUP(F88,'Internal -- Patent Countries'!D:I,3,FALSE),IF(DP88="polity_common_name",VLOOKUP(F88,'Internal -- Patent Countries'!E:I,2,FALSE),IF(DP88="shortest_name",F88)))))))</f>
        <v/>
      </c>
      <c r="DP88" s="30" t="str">
        <f>IF(F88="","",IF(COUNTIF('Internal -- Patent Countries'!B:B,F88)&gt;0,"full_name",IF(COUNTIF('Internal -- Patent Countries'!C:C,F88)&gt;0,"polity_shortest_name",IF(COUNTIF('Internal -- Patent Countries'!D:D,F88)&gt;0,"polity_full_name",IF(COUNTIF('Internal -- Patent Countries'!E:E,F88)&gt;0,"polity_common_name",IF(COUNTIF('Internal -- Patent Countries'!A:A,F88)&gt;0,"shortest_name","not a match"))))))</f>
        <v/>
      </c>
      <c r="DQ88" s="30"/>
      <c r="DR88" s="30"/>
      <c r="DS88" s="30"/>
      <c r="DT88" s="30"/>
      <c r="DU88" s="30"/>
      <c r="DV88" s="50" t="str">
        <f t="shared" si="2"/>
        <v/>
      </c>
      <c r="DW88" s="30" t="str">
        <f t="shared" si="3"/>
        <v/>
      </c>
    </row>
    <row r="89" spans="1:127" ht="16.5">
      <c r="A89" s="11"/>
      <c r="B89" s="11"/>
      <c r="C89" s="11"/>
      <c r="D89" s="27"/>
      <c r="E89" s="11"/>
      <c r="F89" s="29"/>
      <c r="G89" s="11"/>
      <c r="H89" s="11"/>
      <c r="I89" s="11"/>
      <c r="J89" s="15"/>
      <c r="K89" s="11"/>
      <c r="L89" s="15"/>
      <c r="M89" s="11"/>
      <c r="N89" s="15"/>
      <c r="O89" s="15"/>
      <c r="P89" s="11"/>
      <c r="Q89" s="11"/>
      <c r="R89" s="11"/>
      <c r="S89" s="15"/>
      <c r="T89" s="15"/>
      <c r="U89" s="15"/>
      <c r="V89" s="11"/>
      <c r="W89" s="29"/>
      <c r="X89" s="15"/>
      <c r="Y89" s="11"/>
      <c r="Z89" s="11"/>
      <c r="AA89" s="11"/>
      <c r="AB89" s="11"/>
      <c r="AC89" s="11"/>
      <c r="AD89" s="11"/>
      <c r="AE89" s="15"/>
      <c r="AF89" s="11"/>
      <c r="AG89" s="11"/>
      <c r="AH89" s="15"/>
      <c r="AI89" s="15"/>
      <c r="AJ89" s="15"/>
      <c r="AK89" s="11"/>
      <c r="AL89" s="15"/>
      <c r="AM89" s="11"/>
      <c r="AN89" s="11"/>
      <c r="AO89" s="15"/>
      <c r="AP89" s="11"/>
      <c r="AQ89" s="11"/>
      <c r="AR89" s="15"/>
      <c r="AS89" s="15"/>
      <c r="AT89" s="15"/>
      <c r="AU89" s="11"/>
      <c r="AV89" s="15"/>
      <c r="AW89" s="11"/>
      <c r="AX89" s="11"/>
      <c r="AY89" s="15"/>
      <c r="AZ89" s="11"/>
      <c r="BA89" s="11"/>
      <c r="BB89" s="15"/>
      <c r="BC89" s="15"/>
      <c r="BD89" s="15"/>
      <c r="BE89" s="11"/>
      <c r="BF89" s="15"/>
      <c r="BG89" s="11"/>
      <c r="BH89" s="11"/>
      <c r="BI89" s="15"/>
      <c r="BJ89" s="11"/>
      <c r="BK89" s="11"/>
      <c r="BL89" s="15"/>
      <c r="BM89" s="15"/>
      <c r="BN89" s="15"/>
      <c r="BO89" s="11"/>
      <c r="BP89" s="15"/>
      <c r="BQ89" s="11"/>
      <c r="BR89" s="11"/>
      <c r="BS89" s="15"/>
      <c r="BT89" s="11"/>
      <c r="BU89" s="11"/>
      <c r="BV89" s="15"/>
      <c r="BW89" s="11"/>
      <c r="BX89" s="11"/>
      <c r="BY89" s="11"/>
      <c r="BZ89" s="11"/>
      <c r="CA89" s="28" t="str">
        <f t="shared" si="0"/>
        <v/>
      </c>
      <c r="CB89" s="28"/>
      <c r="CC89" s="11"/>
      <c r="CD89" s="29"/>
      <c r="CE89" s="11"/>
      <c r="CF89" s="11"/>
      <c r="CG89" s="11"/>
      <c r="CH89" s="11"/>
      <c r="CI89" s="11"/>
      <c r="CJ89" s="11"/>
      <c r="CK89" s="11"/>
      <c r="CL89" s="28" t="str">
        <f t="shared" si="1"/>
        <v/>
      </c>
      <c r="CM89" s="28"/>
      <c r="CN89" s="11"/>
      <c r="CO89" s="29"/>
      <c r="CP89" s="11"/>
      <c r="CQ89" s="11"/>
      <c r="CR89" s="11"/>
      <c r="CS89" s="11"/>
      <c r="CT89" s="11"/>
      <c r="CU89" s="11"/>
      <c r="CV89" s="11"/>
      <c r="CW89" s="11"/>
      <c r="CX89" s="29"/>
      <c r="CY89" s="28"/>
      <c r="CZ89" s="11"/>
      <c r="DA89" s="11"/>
      <c r="DB89" s="11"/>
      <c r="DC89" s="29"/>
      <c r="DD89" s="28"/>
      <c r="DE89" s="11"/>
      <c r="DF89" s="11"/>
      <c r="DG89" s="11"/>
      <c r="DH89" s="29"/>
      <c r="DI89" s="28"/>
      <c r="DJ89" s="11"/>
      <c r="DK89" s="11"/>
      <c r="DL89" s="11"/>
      <c r="DM89" s="29"/>
      <c r="DN89" s="28"/>
      <c r="DO89" s="30" t="str">
        <f>IF(F89="","",IF(DP89="not a match","",IF(DP89="full_name",VLOOKUP(F89,'Internal -- Patent Countries'!B:I,5,FALSE),IF(DP89="polity_shortest_name",VLOOKUP(F89,'Internal -- Patent Countries'!C:I,4,FALSE),IF(DP89="polity_full_name",VLOOKUP(F89,'Internal -- Patent Countries'!D:I,3,FALSE),IF(DP89="polity_common_name",VLOOKUP(F89,'Internal -- Patent Countries'!E:I,2,FALSE),IF(DP89="shortest_name",F89)))))))</f>
        <v/>
      </c>
      <c r="DP89" s="30" t="str">
        <f>IF(F89="","",IF(COUNTIF('Internal -- Patent Countries'!B:B,F89)&gt;0,"full_name",IF(COUNTIF('Internal -- Patent Countries'!C:C,F89)&gt;0,"polity_shortest_name",IF(COUNTIF('Internal -- Patent Countries'!D:D,F89)&gt;0,"polity_full_name",IF(COUNTIF('Internal -- Patent Countries'!E:E,F89)&gt;0,"polity_common_name",IF(COUNTIF('Internal -- Patent Countries'!A:A,F89)&gt;0,"shortest_name","not a match"))))))</f>
        <v/>
      </c>
      <c r="DQ89" s="30"/>
      <c r="DR89" s="30"/>
      <c r="DS89" s="30"/>
      <c r="DT89" s="30"/>
      <c r="DU89" s="30"/>
      <c r="DV89" s="50" t="str">
        <f t="shared" si="2"/>
        <v/>
      </c>
      <c r="DW89" s="30" t="str">
        <f t="shared" si="3"/>
        <v/>
      </c>
    </row>
    <row r="90" spans="1:127" ht="16.5">
      <c r="A90" s="11"/>
      <c r="B90" s="11"/>
      <c r="C90" s="11"/>
      <c r="D90" s="27"/>
      <c r="E90" s="11"/>
      <c r="F90" s="29"/>
      <c r="G90" s="11"/>
      <c r="H90" s="11"/>
      <c r="I90" s="11"/>
      <c r="J90" s="15"/>
      <c r="K90" s="11"/>
      <c r="L90" s="15"/>
      <c r="M90" s="11"/>
      <c r="N90" s="15"/>
      <c r="O90" s="15"/>
      <c r="P90" s="11"/>
      <c r="Q90" s="11"/>
      <c r="R90" s="11"/>
      <c r="S90" s="15"/>
      <c r="T90" s="15"/>
      <c r="U90" s="15"/>
      <c r="V90" s="11"/>
      <c r="W90" s="29"/>
      <c r="X90" s="15"/>
      <c r="Y90" s="11"/>
      <c r="Z90" s="11"/>
      <c r="AA90" s="11"/>
      <c r="AB90" s="11"/>
      <c r="AC90" s="11"/>
      <c r="AD90" s="11"/>
      <c r="AE90" s="15"/>
      <c r="AF90" s="11"/>
      <c r="AG90" s="11"/>
      <c r="AH90" s="15"/>
      <c r="AI90" s="15"/>
      <c r="AJ90" s="15"/>
      <c r="AK90" s="11"/>
      <c r="AL90" s="15"/>
      <c r="AM90" s="11"/>
      <c r="AN90" s="11"/>
      <c r="AO90" s="15"/>
      <c r="AP90" s="11"/>
      <c r="AQ90" s="11"/>
      <c r="AR90" s="15"/>
      <c r="AS90" s="15"/>
      <c r="AT90" s="15"/>
      <c r="AU90" s="11"/>
      <c r="AV90" s="15"/>
      <c r="AW90" s="11"/>
      <c r="AX90" s="11"/>
      <c r="AY90" s="15"/>
      <c r="AZ90" s="11"/>
      <c r="BA90" s="11"/>
      <c r="BB90" s="15"/>
      <c r="BC90" s="15"/>
      <c r="BD90" s="15"/>
      <c r="BE90" s="11"/>
      <c r="BF90" s="15"/>
      <c r="BG90" s="11"/>
      <c r="BH90" s="11"/>
      <c r="BI90" s="15"/>
      <c r="BJ90" s="11"/>
      <c r="BK90" s="11"/>
      <c r="BL90" s="15"/>
      <c r="BM90" s="15"/>
      <c r="BN90" s="15"/>
      <c r="BO90" s="11"/>
      <c r="BP90" s="15"/>
      <c r="BQ90" s="11"/>
      <c r="BR90" s="11"/>
      <c r="BS90" s="15"/>
      <c r="BT90" s="11"/>
      <c r="BU90" s="11"/>
      <c r="BV90" s="15"/>
      <c r="BW90" s="11"/>
      <c r="BX90" s="11"/>
      <c r="BY90" s="11"/>
      <c r="BZ90" s="11"/>
      <c r="CA90" s="28" t="str">
        <f t="shared" si="0"/>
        <v/>
      </c>
      <c r="CB90" s="28"/>
      <c r="CC90" s="11"/>
      <c r="CD90" s="29"/>
      <c r="CE90" s="11"/>
      <c r="CF90" s="11"/>
      <c r="CG90" s="11"/>
      <c r="CH90" s="11"/>
      <c r="CI90" s="11"/>
      <c r="CJ90" s="11"/>
      <c r="CK90" s="11"/>
      <c r="CL90" s="28" t="str">
        <f t="shared" si="1"/>
        <v/>
      </c>
      <c r="CM90" s="28"/>
      <c r="CN90" s="11"/>
      <c r="CO90" s="29"/>
      <c r="CP90" s="11"/>
      <c r="CQ90" s="11"/>
      <c r="CR90" s="11"/>
      <c r="CS90" s="11"/>
      <c r="CT90" s="11"/>
      <c r="CU90" s="11"/>
      <c r="CV90" s="11"/>
      <c r="CW90" s="11"/>
      <c r="CX90" s="29"/>
      <c r="CY90" s="28"/>
      <c r="CZ90" s="11"/>
      <c r="DA90" s="11"/>
      <c r="DB90" s="11"/>
      <c r="DC90" s="29"/>
      <c r="DD90" s="28"/>
      <c r="DE90" s="11"/>
      <c r="DF90" s="11"/>
      <c r="DG90" s="11"/>
      <c r="DH90" s="29"/>
      <c r="DI90" s="28"/>
      <c r="DJ90" s="11"/>
      <c r="DK90" s="11"/>
      <c r="DL90" s="11"/>
      <c r="DM90" s="29"/>
      <c r="DN90" s="28"/>
      <c r="DO90" s="30" t="str">
        <f>IF(F90="","",IF(DP90="not a match","",IF(DP90="full_name",VLOOKUP(F90,'Internal -- Patent Countries'!B:I,5,FALSE),IF(DP90="polity_shortest_name",VLOOKUP(F90,'Internal -- Patent Countries'!C:I,4,FALSE),IF(DP90="polity_full_name",VLOOKUP(F90,'Internal -- Patent Countries'!D:I,3,FALSE),IF(DP90="polity_common_name",VLOOKUP(F90,'Internal -- Patent Countries'!E:I,2,FALSE),IF(DP90="shortest_name",F90)))))))</f>
        <v/>
      </c>
      <c r="DP90" s="30" t="str">
        <f>IF(F90="","",IF(COUNTIF('Internal -- Patent Countries'!B:B,F90)&gt;0,"full_name",IF(COUNTIF('Internal -- Patent Countries'!C:C,F90)&gt;0,"polity_shortest_name",IF(COUNTIF('Internal -- Patent Countries'!D:D,F90)&gt;0,"polity_full_name",IF(COUNTIF('Internal -- Patent Countries'!E:E,F90)&gt;0,"polity_common_name",IF(COUNTIF('Internal -- Patent Countries'!A:A,F90)&gt;0,"shortest_name","not a match"))))))</f>
        <v/>
      </c>
      <c r="DQ90" s="30"/>
      <c r="DR90" s="30"/>
      <c r="DS90" s="30"/>
      <c r="DT90" s="30"/>
      <c r="DU90" s="30"/>
      <c r="DV90" s="50" t="str">
        <f t="shared" si="2"/>
        <v/>
      </c>
      <c r="DW90" s="30" t="str">
        <f t="shared" si="3"/>
        <v/>
      </c>
    </row>
    <row r="91" spans="1:127" ht="16.5">
      <c r="A91" s="11"/>
      <c r="B91" s="11"/>
      <c r="C91" s="11"/>
      <c r="D91" s="27"/>
      <c r="E91" s="11"/>
      <c r="F91" s="29"/>
      <c r="G91" s="11"/>
      <c r="H91" s="11"/>
      <c r="I91" s="11"/>
      <c r="J91" s="15"/>
      <c r="K91" s="11"/>
      <c r="L91" s="15"/>
      <c r="M91" s="11"/>
      <c r="N91" s="15"/>
      <c r="O91" s="15"/>
      <c r="P91" s="11"/>
      <c r="Q91" s="11"/>
      <c r="R91" s="11"/>
      <c r="S91" s="15"/>
      <c r="T91" s="15"/>
      <c r="U91" s="15"/>
      <c r="V91" s="11"/>
      <c r="W91" s="29"/>
      <c r="X91" s="15"/>
      <c r="Y91" s="11"/>
      <c r="Z91" s="11"/>
      <c r="AA91" s="11"/>
      <c r="AB91" s="11"/>
      <c r="AC91" s="11"/>
      <c r="AD91" s="11"/>
      <c r="AE91" s="15"/>
      <c r="AF91" s="11"/>
      <c r="AG91" s="11"/>
      <c r="AH91" s="15"/>
      <c r="AI91" s="15"/>
      <c r="AJ91" s="15"/>
      <c r="AK91" s="11"/>
      <c r="AL91" s="15"/>
      <c r="AM91" s="11"/>
      <c r="AN91" s="11"/>
      <c r="AO91" s="15"/>
      <c r="AP91" s="11"/>
      <c r="AQ91" s="11"/>
      <c r="AR91" s="15"/>
      <c r="AS91" s="15"/>
      <c r="AT91" s="15"/>
      <c r="AU91" s="11"/>
      <c r="AV91" s="15"/>
      <c r="AW91" s="11"/>
      <c r="AX91" s="11"/>
      <c r="AY91" s="15"/>
      <c r="AZ91" s="11"/>
      <c r="BA91" s="11"/>
      <c r="BB91" s="15"/>
      <c r="BC91" s="15"/>
      <c r="BD91" s="15"/>
      <c r="BE91" s="11"/>
      <c r="BF91" s="15"/>
      <c r="BG91" s="11"/>
      <c r="BH91" s="11"/>
      <c r="BI91" s="15"/>
      <c r="BJ91" s="11"/>
      <c r="BK91" s="11"/>
      <c r="BL91" s="15"/>
      <c r="BM91" s="15"/>
      <c r="BN91" s="15"/>
      <c r="BO91" s="11"/>
      <c r="BP91" s="15"/>
      <c r="BQ91" s="11"/>
      <c r="BR91" s="11"/>
      <c r="BS91" s="15"/>
      <c r="BT91" s="11"/>
      <c r="BU91" s="11"/>
      <c r="BV91" s="15"/>
      <c r="BW91" s="11"/>
      <c r="BX91" s="11"/>
      <c r="BY91" s="11"/>
      <c r="BZ91" s="11"/>
      <c r="CA91" s="28" t="str">
        <f t="shared" si="0"/>
        <v/>
      </c>
      <c r="CB91" s="28"/>
      <c r="CC91" s="11"/>
      <c r="CD91" s="29"/>
      <c r="CE91" s="11"/>
      <c r="CF91" s="11"/>
      <c r="CG91" s="11"/>
      <c r="CH91" s="11"/>
      <c r="CI91" s="11"/>
      <c r="CJ91" s="11"/>
      <c r="CK91" s="11"/>
      <c r="CL91" s="28" t="str">
        <f t="shared" si="1"/>
        <v/>
      </c>
      <c r="CM91" s="28"/>
      <c r="CN91" s="11"/>
      <c r="CO91" s="29"/>
      <c r="CP91" s="11"/>
      <c r="CQ91" s="11"/>
      <c r="CR91" s="11"/>
      <c r="CS91" s="11"/>
      <c r="CT91" s="11"/>
      <c r="CU91" s="11"/>
      <c r="CV91" s="11"/>
      <c r="CW91" s="11"/>
      <c r="CX91" s="29"/>
      <c r="CY91" s="28"/>
      <c r="CZ91" s="11"/>
      <c r="DA91" s="11"/>
      <c r="DB91" s="11"/>
      <c r="DC91" s="29"/>
      <c r="DD91" s="28"/>
      <c r="DE91" s="11"/>
      <c r="DF91" s="11"/>
      <c r="DG91" s="11"/>
      <c r="DH91" s="29"/>
      <c r="DI91" s="28"/>
      <c r="DJ91" s="11"/>
      <c r="DK91" s="11"/>
      <c r="DL91" s="11"/>
      <c r="DM91" s="29"/>
      <c r="DN91" s="28"/>
      <c r="DO91" s="30" t="str">
        <f>IF(F91="","",IF(DP91="not a match","",IF(DP91="full_name",VLOOKUP(F91,'Internal -- Patent Countries'!B:I,5,FALSE),IF(DP91="polity_shortest_name",VLOOKUP(F91,'Internal -- Patent Countries'!C:I,4,FALSE),IF(DP91="polity_full_name",VLOOKUP(F91,'Internal -- Patent Countries'!D:I,3,FALSE),IF(DP91="polity_common_name",VLOOKUP(F91,'Internal -- Patent Countries'!E:I,2,FALSE),IF(DP91="shortest_name",F91)))))))</f>
        <v/>
      </c>
      <c r="DP91" s="30" t="str">
        <f>IF(F91="","",IF(COUNTIF('Internal -- Patent Countries'!B:B,F91)&gt;0,"full_name",IF(COUNTIF('Internal -- Patent Countries'!C:C,F91)&gt;0,"polity_shortest_name",IF(COUNTIF('Internal -- Patent Countries'!D:D,F91)&gt;0,"polity_full_name",IF(COUNTIF('Internal -- Patent Countries'!E:E,F91)&gt;0,"polity_common_name",IF(COUNTIF('Internal -- Patent Countries'!A:A,F91)&gt;0,"shortest_name","not a match"))))))</f>
        <v/>
      </c>
      <c r="DQ91" s="30"/>
      <c r="DR91" s="30"/>
      <c r="DS91" s="30"/>
      <c r="DT91" s="30"/>
      <c r="DU91" s="30"/>
      <c r="DV91" s="50" t="str">
        <f t="shared" si="2"/>
        <v/>
      </c>
      <c r="DW91" s="30" t="str">
        <f t="shared" si="3"/>
        <v/>
      </c>
    </row>
    <row r="92" spans="1:127" ht="16.5">
      <c r="A92" s="11"/>
      <c r="B92" s="11"/>
      <c r="C92" s="11"/>
      <c r="D92" s="27"/>
      <c r="E92" s="11"/>
      <c r="F92" s="29"/>
      <c r="G92" s="11"/>
      <c r="H92" s="11"/>
      <c r="I92" s="11"/>
      <c r="J92" s="15"/>
      <c r="K92" s="11"/>
      <c r="L92" s="15"/>
      <c r="M92" s="11"/>
      <c r="N92" s="15"/>
      <c r="O92" s="15"/>
      <c r="P92" s="11"/>
      <c r="Q92" s="11"/>
      <c r="R92" s="11"/>
      <c r="S92" s="15"/>
      <c r="T92" s="15"/>
      <c r="U92" s="15"/>
      <c r="V92" s="11"/>
      <c r="W92" s="29"/>
      <c r="X92" s="15"/>
      <c r="Y92" s="11"/>
      <c r="Z92" s="11"/>
      <c r="AA92" s="11"/>
      <c r="AB92" s="11"/>
      <c r="AC92" s="11"/>
      <c r="AD92" s="11"/>
      <c r="AE92" s="15"/>
      <c r="AF92" s="11"/>
      <c r="AG92" s="11"/>
      <c r="AH92" s="15"/>
      <c r="AI92" s="15"/>
      <c r="AJ92" s="15"/>
      <c r="AK92" s="11"/>
      <c r="AL92" s="15"/>
      <c r="AM92" s="11"/>
      <c r="AN92" s="11"/>
      <c r="AO92" s="15"/>
      <c r="AP92" s="11"/>
      <c r="AQ92" s="11"/>
      <c r="AR92" s="15"/>
      <c r="AS92" s="15"/>
      <c r="AT92" s="15"/>
      <c r="AU92" s="11"/>
      <c r="AV92" s="15"/>
      <c r="AW92" s="11"/>
      <c r="AX92" s="11"/>
      <c r="AY92" s="15"/>
      <c r="AZ92" s="11"/>
      <c r="BA92" s="11"/>
      <c r="BB92" s="15"/>
      <c r="BC92" s="15"/>
      <c r="BD92" s="15"/>
      <c r="BE92" s="11"/>
      <c r="BF92" s="15"/>
      <c r="BG92" s="11"/>
      <c r="BH92" s="11"/>
      <c r="BI92" s="15"/>
      <c r="BJ92" s="11"/>
      <c r="BK92" s="11"/>
      <c r="BL92" s="15"/>
      <c r="BM92" s="15"/>
      <c r="BN92" s="15"/>
      <c r="BO92" s="11"/>
      <c r="BP92" s="15"/>
      <c r="BQ92" s="11"/>
      <c r="BR92" s="11"/>
      <c r="BS92" s="15"/>
      <c r="BT92" s="11"/>
      <c r="BU92" s="11"/>
      <c r="BV92" s="15"/>
      <c r="BW92" s="11"/>
      <c r="BX92" s="11"/>
      <c r="BY92" s="11"/>
      <c r="BZ92" s="11"/>
      <c r="CA92" s="28" t="str">
        <f t="shared" si="0"/>
        <v/>
      </c>
      <c r="CB92" s="28"/>
      <c r="CC92" s="11"/>
      <c r="CD92" s="29"/>
      <c r="CE92" s="11"/>
      <c r="CF92" s="11"/>
      <c r="CG92" s="11"/>
      <c r="CH92" s="11"/>
      <c r="CI92" s="11"/>
      <c r="CJ92" s="11"/>
      <c r="CK92" s="11"/>
      <c r="CL92" s="28" t="str">
        <f t="shared" si="1"/>
        <v/>
      </c>
      <c r="CM92" s="28"/>
      <c r="CN92" s="11"/>
      <c r="CO92" s="29"/>
      <c r="CP92" s="11"/>
      <c r="CQ92" s="11"/>
      <c r="CR92" s="11"/>
      <c r="CS92" s="11"/>
      <c r="CT92" s="11"/>
      <c r="CU92" s="11"/>
      <c r="CV92" s="11"/>
      <c r="CW92" s="11"/>
      <c r="CX92" s="29"/>
      <c r="CY92" s="28"/>
      <c r="CZ92" s="11"/>
      <c r="DA92" s="11"/>
      <c r="DB92" s="11"/>
      <c r="DC92" s="29"/>
      <c r="DD92" s="28"/>
      <c r="DE92" s="11"/>
      <c r="DF92" s="11"/>
      <c r="DG92" s="11"/>
      <c r="DH92" s="29"/>
      <c r="DI92" s="28"/>
      <c r="DJ92" s="11"/>
      <c r="DK92" s="11"/>
      <c r="DL92" s="11"/>
      <c r="DM92" s="29"/>
      <c r="DN92" s="28"/>
      <c r="DO92" s="30" t="str">
        <f>IF(F92="","",IF(DP92="not a match","",IF(DP92="full_name",VLOOKUP(F92,'Internal -- Patent Countries'!B:I,5,FALSE),IF(DP92="polity_shortest_name",VLOOKUP(F92,'Internal -- Patent Countries'!C:I,4,FALSE),IF(DP92="polity_full_name",VLOOKUP(F92,'Internal -- Patent Countries'!D:I,3,FALSE),IF(DP92="polity_common_name",VLOOKUP(F92,'Internal -- Patent Countries'!E:I,2,FALSE),IF(DP92="shortest_name",F92)))))))</f>
        <v/>
      </c>
      <c r="DP92" s="30" t="str">
        <f>IF(F92="","",IF(COUNTIF('Internal -- Patent Countries'!B:B,F92)&gt;0,"full_name",IF(COUNTIF('Internal -- Patent Countries'!C:C,F92)&gt;0,"polity_shortest_name",IF(COUNTIF('Internal -- Patent Countries'!D:D,F92)&gt;0,"polity_full_name",IF(COUNTIF('Internal -- Patent Countries'!E:E,F92)&gt;0,"polity_common_name",IF(COUNTIF('Internal -- Patent Countries'!A:A,F92)&gt;0,"shortest_name","not a match"))))))</f>
        <v/>
      </c>
      <c r="DQ92" s="30"/>
      <c r="DR92" s="30"/>
      <c r="DS92" s="30"/>
      <c r="DT92" s="30"/>
      <c r="DU92" s="30"/>
      <c r="DV92" s="50" t="str">
        <f t="shared" si="2"/>
        <v/>
      </c>
      <c r="DW92" s="30" t="str">
        <f t="shared" si="3"/>
        <v/>
      </c>
    </row>
    <row r="93" spans="1:127" ht="16.5">
      <c r="A93" s="11"/>
      <c r="B93" s="11"/>
      <c r="C93" s="11"/>
      <c r="D93" s="27"/>
      <c r="E93" s="11"/>
      <c r="F93" s="29"/>
      <c r="G93" s="11"/>
      <c r="H93" s="11"/>
      <c r="I93" s="11"/>
      <c r="J93" s="15"/>
      <c r="K93" s="11"/>
      <c r="L93" s="15"/>
      <c r="M93" s="11"/>
      <c r="N93" s="15"/>
      <c r="O93" s="15"/>
      <c r="P93" s="11"/>
      <c r="Q93" s="11"/>
      <c r="R93" s="11"/>
      <c r="S93" s="15"/>
      <c r="T93" s="15"/>
      <c r="U93" s="15"/>
      <c r="V93" s="11"/>
      <c r="W93" s="29"/>
      <c r="X93" s="15"/>
      <c r="Y93" s="11"/>
      <c r="Z93" s="11"/>
      <c r="AA93" s="11"/>
      <c r="AB93" s="11"/>
      <c r="AC93" s="11"/>
      <c r="AD93" s="11"/>
      <c r="AE93" s="15"/>
      <c r="AF93" s="11"/>
      <c r="AG93" s="11"/>
      <c r="AH93" s="15"/>
      <c r="AI93" s="15"/>
      <c r="AJ93" s="15"/>
      <c r="AK93" s="11"/>
      <c r="AL93" s="15"/>
      <c r="AM93" s="11"/>
      <c r="AN93" s="11"/>
      <c r="AO93" s="15"/>
      <c r="AP93" s="11"/>
      <c r="AQ93" s="11"/>
      <c r="AR93" s="15"/>
      <c r="AS93" s="15"/>
      <c r="AT93" s="15"/>
      <c r="AU93" s="11"/>
      <c r="AV93" s="15"/>
      <c r="AW93" s="11"/>
      <c r="AX93" s="11"/>
      <c r="AY93" s="15"/>
      <c r="AZ93" s="11"/>
      <c r="BA93" s="11"/>
      <c r="BB93" s="15"/>
      <c r="BC93" s="15"/>
      <c r="BD93" s="15"/>
      <c r="BE93" s="11"/>
      <c r="BF93" s="15"/>
      <c r="BG93" s="11"/>
      <c r="BH93" s="11"/>
      <c r="BI93" s="15"/>
      <c r="BJ93" s="11"/>
      <c r="BK93" s="11"/>
      <c r="BL93" s="15"/>
      <c r="BM93" s="15"/>
      <c r="BN93" s="15"/>
      <c r="BO93" s="11"/>
      <c r="BP93" s="15"/>
      <c r="BQ93" s="11"/>
      <c r="BR93" s="11"/>
      <c r="BS93" s="15"/>
      <c r="BT93" s="11"/>
      <c r="BU93" s="11"/>
      <c r="BV93" s="15"/>
      <c r="BW93" s="11"/>
      <c r="BX93" s="11"/>
      <c r="BY93" s="11"/>
      <c r="BZ93" s="11"/>
      <c r="CA93" s="28" t="str">
        <f t="shared" si="0"/>
        <v/>
      </c>
      <c r="CB93" s="28"/>
      <c r="CC93" s="11"/>
      <c r="CD93" s="29"/>
      <c r="CE93" s="11"/>
      <c r="CF93" s="11"/>
      <c r="CG93" s="11"/>
      <c r="CH93" s="11"/>
      <c r="CI93" s="11"/>
      <c r="CJ93" s="11"/>
      <c r="CK93" s="11"/>
      <c r="CL93" s="28" t="str">
        <f t="shared" si="1"/>
        <v/>
      </c>
      <c r="CM93" s="28"/>
      <c r="CN93" s="11"/>
      <c r="CO93" s="29"/>
      <c r="CP93" s="11"/>
      <c r="CQ93" s="11"/>
      <c r="CR93" s="11"/>
      <c r="CS93" s="11"/>
      <c r="CT93" s="11"/>
      <c r="CU93" s="11"/>
      <c r="CV93" s="11"/>
      <c r="CW93" s="11"/>
      <c r="CX93" s="29"/>
      <c r="CY93" s="28"/>
      <c r="CZ93" s="11"/>
      <c r="DA93" s="11"/>
      <c r="DB93" s="11"/>
      <c r="DC93" s="29"/>
      <c r="DD93" s="28"/>
      <c r="DE93" s="11"/>
      <c r="DF93" s="11"/>
      <c r="DG93" s="11"/>
      <c r="DH93" s="29"/>
      <c r="DI93" s="28"/>
      <c r="DJ93" s="11"/>
      <c r="DK93" s="11"/>
      <c r="DL93" s="11"/>
      <c r="DM93" s="29"/>
      <c r="DN93" s="28"/>
      <c r="DO93" s="30" t="str">
        <f>IF(F93="","",IF(DP93="not a match","",IF(DP93="full_name",VLOOKUP(F93,'Internal -- Patent Countries'!B:I,5,FALSE),IF(DP93="polity_shortest_name",VLOOKUP(F93,'Internal -- Patent Countries'!C:I,4,FALSE),IF(DP93="polity_full_name",VLOOKUP(F93,'Internal -- Patent Countries'!D:I,3,FALSE),IF(DP93="polity_common_name",VLOOKUP(F93,'Internal -- Patent Countries'!E:I,2,FALSE),IF(DP93="shortest_name",F93)))))))</f>
        <v/>
      </c>
      <c r="DP93" s="30" t="str">
        <f>IF(F93="","",IF(COUNTIF('Internal -- Patent Countries'!B:B,F93)&gt;0,"full_name",IF(COUNTIF('Internal -- Patent Countries'!C:C,F93)&gt;0,"polity_shortest_name",IF(COUNTIF('Internal -- Patent Countries'!D:D,F93)&gt;0,"polity_full_name",IF(COUNTIF('Internal -- Patent Countries'!E:E,F93)&gt;0,"polity_common_name",IF(COUNTIF('Internal -- Patent Countries'!A:A,F93)&gt;0,"shortest_name","not a match"))))))</f>
        <v/>
      </c>
      <c r="DQ93" s="30"/>
      <c r="DR93" s="30"/>
      <c r="DS93" s="30"/>
      <c r="DT93" s="30"/>
      <c r="DU93" s="30"/>
      <c r="DV93" s="50" t="str">
        <f t="shared" si="2"/>
        <v/>
      </c>
      <c r="DW93" s="30" t="str">
        <f t="shared" si="3"/>
        <v/>
      </c>
    </row>
    <row r="94" spans="1:127" ht="16.5">
      <c r="A94" s="11"/>
      <c r="B94" s="11"/>
      <c r="C94" s="11"/>
      <c r="D94" s="27"/>
      <c r="E94" s="11"/>
      <c r="F94" s="29"/>
      <c r="G94" s="11"/>
      <c r="H94" s="11"/>
      <c r="I94" s="11"/>
      <c r="J94" s="15"/>
      <c r="K94" s="11"/>
      <c r="L94" s="15"/>
      <c r="M94" s="11"/>
      <c r="N94" s="15"/>
      <c r="O94" s="15"/>
      <c r="P94" s="11"/>
      <c r="Q94" s="11"/>
      <c r="R94" s="11"/>
      <c r="S94" s="15"/>
      <c r="T94" s="15"/>
      <c r="U94" s="15"/>
      <c r="V94" s="11"/>
      <c r="W94" s="29"/>
      <c r="X94" s="15"/>
      <c r="Y94" s="11"/>
      <c r="Z94" s="11"/>
      <c r="AA94" s="11"/>
      <c r="AB94" s="11"/>
      <c r="AC94" s="11"/>
      <c r="AD94" s="11"/>
      <c r="AE94" s="15"/>
      <c r="AF94" s="11"/>
      <c r="AG94" s="11"/>
      <c r="AH94" s="15"/>
      <c r="AI94" s="15"/>
      <c r="AJ94" s="15"/>
      <c r="AK94" s="11"/>
      <c r="AL94" s="15"/>
      <c r="AM94" s="11"/>
      <c r="AN94" s="11"/>
      <c r="AO94" s="15"/>
      <c r="AP94" s="11"/>
      <c r="AQ94" s="11"/>
      <c r="AR94" s="15"/>
      <c r="AS94" s="15"/>
      <c r="AT94" s="15"/>
      <c r="AU94" s="11"/>
      <c r="AV94" s="15"/>
      <c r="AW94" s="11"/>
      <c r="AX94" s="11"/>
      <c r="AY94" s="15"/>
      <c r="AZ94" s="11"/>
      <c r="BA94" s="11"/>
      <c r="BB94" s="15"/>
      <c r="BC94" s="15"/>
      <c r="BD94" s="15"/>
      <c r="BE94" s="11"/>
      <c r="BF94" s="15"/>
      <c r="BG94" s="11"/>
      <c r="BH94" s="11"/>
      <c r="BI94" s="15"/>
      <c r="BJ94" s="11"/>
      <c r="BK94" s="11"/>
      <c r="BL94" s="15"/>
      <c r="BM94" s="15"/>
      <c r="BN94" s="15"/>
      <c r="BO94" s="11"/>
      <c r="BP94" s="15"/>
      <c r="BQ94" s="11"/>
      <c r="BR94" s="11"/>
      <c r="BS94" s="15"/>
      <c r="BT94" s="11"/>
      <c r="BU94" s="11"/>
      <c r="BV94" s="15"/>
      <c r="BW94" s="11"/>
      <c r="BX94" s="11"/>
      <c r="BY94" s="11"/>
      <c r="BZ94" s="11"/>
      <c r="CA94" s="28" t="str">
        <f t="shared" si="0"/>
        <v/>
      </c>
      <c r="CB94" s="28"/>
      <c r="CC94" s="11"/>
      <c r="CD94" s="29"/>
      <c r="CE94" s="11"/>
      <c r="CF94" s="11"/>
      <c r="CG94" s="11"/>
      <c r="CH94" s="11"/>
      <c r="CI94" s="11"/>
      <c r="CJ94" s="11"/>
      <c r="CK94" s="11"/>
      <c r="CL94" s="28" t="str">
        <f t="shared" si="1"/>
        <v/>
      </c>
      <c r="CM94" s="28"/>
      <c r="CN94" s="11"/>
      <c r="CO94" s="29"/>
      <c r="CP94" s="11"/>
      <c r="CQ94" s="11"/>
      <c r="CR94" s="11"/>
      <c r="CS94" s="11"/>
      <c r="CT94" s="11"/>
      <c r="CU94" s="11"/>
      <c r="CV94" s="11"/>
      <c r="CW94" s="11"/>
      <c r="CX94" s="29"/>
      <c r="CY94" s="28"/>
      <c r="CZ94" s="11"/>
      <c r="DA94" s="11"/>
      <c r="DB94" s="11"/>
      <c r="DC94" s="29"/>
      <c r="DD94" s="28"/>
      <c r="DE94" s="11"/>
      <c r="DF94" s="11"/>
      <c r="DG94" s="11"/>
      <c r="DH94" s="29"/>
      <c r="DI94" s="28"/>
      <c r="DJ94" s="11"/>
      <c r="DK94" s="11"/>
      <c r="DL94" s="11"/>
      <c r="DM94" s="29"/>
      <c r="DN94" s="28"/>
      <c r="DO94" s="30" t="str">
        <f>IF(F94="","",IF(DP94="not a match","",IF(DP94="full_name",VLOOKUP(F94,'Internal -- Patent Countries'!B:I,5,FALSE),IF(DP94="polity_shortest_name",VLOOKUP(F94,'Internal -- Patent Countries'!C:I,4,FALSE),IF(DP94="polity_full_name",VLOOKUP(F94,'Internal -- Patent Countries'!D:I,3,FALSE),IF(DP94="polity_common_name",VLOOKUP(F94,'Internal -- Patent Countries'!E:I,2,FALSE),IF(DP94="shortest_name",F94)))))))</f>
        <v/>
      </c>
      <c r="DP94" s="30" t="str">
        <f>IF(F94="","",IF(COUNTIF('Internal -- Patent Countries'!B:B,F94)&gt;0,"full_name",IF(COUNTIF('Internal -- Patent Countries'!C:C,F94)&gt;0,"polity_shortest_name",IF(COUNTIF('Internal -- Patent Countries'!D:D,F94)&gt;0,"polity_full_name",IF(COUNTIF('Internal -- Patent Countries'!E:E,F94)&gt;0,"polity_common_name",IF(COUNTIF('Internal -- Patent Countries'!A:A,F94)&gt;0,"shortest_name","not a match"))))))</f>
        <v/>
      </c>
      <c r="DQ94" s="30"/>
      <c r="DR94" s="30"/>
      <c r="DS94" s="30"/>
      <c r="DT94" s="30"/>
      <c r="DU94" s="30"/>
      <c r="DV94" s="50" t="str">
        <f t="shared" si="2"/>
        <v/>
      </c>
      <c r="DW94" s="30" t="str">
        <f t="shared" si="3"/>
        <v/>
      </c>
    </row>
    <row r="95" spans="1:127" ht="16.5">
      <c r="A95" s="11"/>
      <c r="B95" s="11"/>
      <c r="C95" s="11"/>
      <c r="D95" s="27"/>
      <c r="E95" s="11"/>
      <c r="F95" s="29"/>
      <c r="G95" s="11"/>
      <c r="H95" s="11"/>
      <c r="I95" s="11"/>
      <c r="J95" s="15"/>
      <c r="K95" s="11"/>
      <c r="L95" s="15"/>
      <c r="M95" s="11"/>
      <c r="N95" s="15"/>
      <c r="O95" s="15"/>
      <c r="P95" s="11"/>
      <c r="Q95" s="11"/>
      <c r="R95" s="11"/>
      <c r="S95" s="15"/>
      <c r="T95" s="15"/>
      <c r="U95" s="15"/>
      <c r="V95" s="11"/>
      <c r="W95" s="29"/>
      <c r="X95" s="15"/>
      <c r="Y95" s="11"/>
      <c r="Z95" s="11"/>
      <c r="AA95" s="11"/>
      <c r="AB95" s="11"/>
      <c r="AC95" s="11"/>
      <c r="AD95" s="11"/>
      <c r="AE95" s="15"/>
      <c r="AF95" s="11"/>
      <c r="AG95" s="11"/>
      <c r="AH95" s="15"/>
      <c r="AI95" s="15"/>
      <c r="AJ95" s="15"/>
      <c r="AK95" s="11"/>
      <c r="AL95" s="15"/>
      <c r="AM95" s="11"/>
      <c r="AN95" s="11"/>
      <c r="AO95" s="15"/>
      <c r="AP95" s="11"/>
      <c r="AQ95" s="11"/>
      <c r="AR95" s="15"/>
      <c r="AS95" s="15"/>
      <c r="AT95" s="15"/>
      <c r="AU95" s="11"/>
      <c r="AV95" s="15"/>
      <c r="AW95" s="11"/>
      <c r="AX95" s="11"/>
      <c r="AY95" s="15"/>
      <c r="AZ95" s="11"/>
      <c r="BA95" s="11"/>
      <c r="BB95" s="15"/>
      <c r="BC95" s="15"/>
      <c r="BD95" s="15"/>
      <c r="BE95" s="11"/>
      <c r="BF95" s="15"/>
      <c r="BG95" s="11"/>
      <c r="BH95" s="11"/>
      <c r="BI95" s="15"/>
      <c r="BJ95" s="11"/>
      <c r="BK95" s="11"/>
      <c r="BL95" s="15"/>
      <c r="BM95" s="15"/>
      <c r="BN95" s="15"/>
      <c r="BO95" s="11"/>
      <c r="BP95" s="15"/>
      <c r="BQ95" s="11"/>
      <c r="BR95" s="11"/>
      <c r="BS95" s="15"/>
      <c r="BT95" s="11"/>
      <c r="BU95" s="11"/>
      <c r="BV95" s="15"/>
      <c r="BW95" s="11"/>
      <c r="BX95" s="11"/>
      <c r="BY95" s="11"/>
      <c r="BZ95" s="11"/>
      <c r="CA95" s="28" t="str">
        <f t="shared" si="0"/>
        <v/>
      </c>
      <c r="CB95" s="28"/>
      <c r="CC95" s="11"/>
      <c r="CD95" s="29"/>
      <c r="CE95" s="11"/>
      <c r="CF95" s="11"/>
      <c r="CG95" s="11"/>
      <c r="CH95" s="11"/>
      <c r="CI95" s="11"/>
      <c r="CJ95" s="11"/>
      <c r="CK95" s="11"/>
      <c r="CL95" s="28" t="str">
        <f t="shared" si="1"/>
        <v/>
      </c>
      <c r="CM95" s="28"/>
      <c r="CN95" s="11"/>
      <c r="CO95" s="29"/>
      <c r="CP95" s="11"/>
      <c r="CQ95" s="11"/>
      <c r="CR95" s="11"/>
      <c r="CS95" s="11"/>
      <c r="CT95" s="11"/>
      <c r="CU95" s="11"/>
      <c r="CV95" s="11"/>
      <c r="CW95" s="11"/>
      <c r="CX95" s="29"/>
      <c r="CY95" s="28"/>
      <c r="CZ95" s="11"/>
      <c r="DA95" s="11"/>
      <c r="DB95" s="11"/>
      <c r="DC95" s="29"/>
      <c r="DD95" s="28"/>
      <c r="DE95" s="11"/>
      <c r="DF95" s="11"/>
      <c r="DG95" s="11"/>
      <c r="DH95" s="29"/>
      <c r="DI95" s="28"/>
      <c r="DJ95" s="11"/>
      <c r="DK95" s="11"/>
      <c r="DL95" s="11"/>
      <c r="DM95" s="29"/>
      <c r="DN95" s="28"/>
      <c r="DO95" s="30" t="str">
        <f>IF(F95="","",IF(DP95="not a match","",IF(DP95="full_name",VLOOKUP(F95,'Internal -- Patent Countries'!B:I,5,FALSE),IF(DP95="polity_shortest_name",VLOOKUP(F95,'Internal -- Patent Countries'!C:I,4,FALSE),IF(DP95="polity_full_name",VLOOKUP(F95,'Internal -- Patent Countries'!D:I,3,FALSE),IF(DP95="polity_common_name",VLOOKUP(F95,'Internal -- Patent Countries'!E:I,2,FALSE),IF(DP95="shortest_name",F95)))))))</f>
        <v/>
      </c>
      <c r="DP95" s="30" t="str">
        <f>IF(F95="","",IF(COUNTIF('Internal -- Patent Countries'!B:B,F95)&gt;0,"full_name",IF(COUNTIF('Internal -- Patent Countries'!C:C,F95)&gt;0,"polity_shortest_name",IF(COUNTIF('Internal -- Patent Countries'!D:D,F95)&gt;0,"polity_full_name",IF(COUNTIF('Internal -- Patent Countries'!E:E,F95)&gt;0,"polity_common_name",IF(COUNTIF('Internal -- Patent Countries'!A:A,F95)&gt;0,"shortest_name","not a match"))))))</f>
        <v/>
      </c>
      <c r="DQ95" s="30"/>
      <c r="DR95" s="30"/>
      <c r="DS95" s="30"/>
      <c r="DT95" s="30"/>
      <c r="DU95" s="30"/>
      <c r="DV95" s="50" t="str">
        <f t="shared" si="2"/>
        <v/>
      </c>
      <c r="DW95" s="30" t="str">
        <f t="shared" si="3"/>
        <v/>
      </c>
    </row>
    <row r="96" spans="1:127" ht="16.5">
      <c r="A96" s="11"/>
      <c r="B96" s="11"/>
      <c r="C96" s="11"/>
      <c r="D96" s="27"/>
      <c r="E96" s="11"/>
      <c r="F96" s="29"/>
      <c r="G96" s="11"/>
      <c r="H96" s="11"/>
      <c r="I96" s="11"/>
      <c r="J96" s="15"/>
      <c r="K96" s="11"/>
      <c r="L96" s="15"/>
      <c r="M96" s="11"/>
      <c r="N96" s="15"/>
      <c r="O96" s="15"/>
      <c r="P96" s="11"/>
      <c r="Q96" s="11"/>
      <c r="R96" s="11"/>
      <c r="S96" s="15"/>
      <c r="T96" s="15"/>
      <c r="U96" s="15"/>
      <c r="V96" s="11"/>
      <c r="W96" s="29"/>
      <c r="X96" s="15"/>
      <c r="Y96" s="11"/>
      <c r="Z96" s="11"/>
      <c r="AA96" s="11"/>
      <c r="AB96" s="11"/>
      <c r="AC96" s="11"/>
      <c r="AD96" s="11"/>
      <c r="AE96" s="15"/>
      <c r="AF96" s="11"/>
      <c r="AG96" s="11"/>
      <c r="AH96" s="15"/>
      <c r="AI96" s="15"/>
      <c r="AJ96" s="15"/>
      <c r="AK96" s="11"/>
      <c r="AL96" s="15"/>
      <c r="AM96" s="11"/>
      <c r="AN96" s="11"/>
      <c r="AO96" s="15"/>
      <c r="AP96" s="11"/>
      <c r="AQ96" s="11"/>
      <c r="AR96" s="15"/>
      <c r="AS96" s="15"/>
      <c r="AT96" s="15"/>
      <c r="AU96" s="11"/>
      <c r="AV96" s="15"/>
      <c r="AW96" s="11"/>
      <c r="AX96" s="11"/>
      <c r="AY96" s="15"/>
      <c r="AZ96" s="11"/>
      <c r="BA96" s="11"/>
      <c r="BB96" s="15"/>
      <c r="BC96" s="15"/>
      <c r="BD96" s="15"/>
      <c r="BE96" s="11"/>
      <c r="BF96" s="15"/>
      <c r="BG96" s="11"/>
      <c r="BH96" s="11"/>
      <c r="BI96" s="15"/>
      <c r="BJ96" s="11"/>
      <c r="BK96" s="11"/>
      <c r="BL96" s="15"/>
      <c r="BM96" s="15"/>
      <c r="BN96" s="15"/>
      <c r="BO96" s="11"/>
      <c r="BP96" s="15"/>
      <c r="BQ96" s="11"/>
      <c r="BR96" s="11"/>
      <c r="BS96" s="15"/>
      <c r="BT96" s="11"/>
      <c r="BU96" s="11"/>
      <c r="BV96" s="15"/>
      <c r="BW96" s="11"/>
      <c r="BX96" s="11"/>
      <c r="BY96" s="11"/>
      <c r="BZ96" s="11"/>
      <c r="CA96" s="28" t="str">
        <f t="shared" si="0"/>
        <v/>
      </c>
      <c r="CB96" s="28"/>
      <c r="CC96" s="11"/>
      <c r="CD96" s="29"/>
      <c r="CE96" s="11"/>
      <c r="CF96" s="11"/>
      <c r="CG96" s="11"/>
      <c r="CH96" s="11"/>
      <c r="CI96" s="11"/>
      <c r="CJ96" s="11"/>
      <c r="CK96" s="11"/>
      <c r="CL96" s="28" t="str">
        <f t="shared" si="1"/>
        <v/>
      </c>
      <c r="CM96" s="28"/>
      <c r="CN96" s="11"/>
      <c r="CO96" s="29"/>
      <c r="CP96" s="11"/>
      <c r="CQ96" s="11"/>
      <c r="CR96" s="11"/>
      <c r="CS96" s="11"/>
      <c r="CT96" s="11"/>
      <c r="CU96" s="11"/>
      <c r="CV96" s="11"/>
      <c r="CW96" s="11"/>
      <c r="CX96" s="29"/>
      <c r="CY96" s="28"/>
      <c r="CZ96" s="11"/>
      <c r="DA96" s="11"/>
      <c r="DB96" s="11"/>
      <c r="DC96" s="29"/>
      <c r="DD96" s="28"/>
      <c r="DE96" s="11"/>
      <c r="DF96" s="11"/>
      <c r="DG96" s="11"/>
      <c r="DH96" s="29"/>
      <c r="DI96" s="28"/>
      <c r="DJ96" s="11"/>
      <c r="DK96" s="11"/>
      <c r="DL96" s="11"/>
      <c r="DM96" s="29"/>
      <c r="DN96" s="28"/>
      <c r="DO96" s="30" t="str">
        <f>IF(F96="","",IF(DP96="not a match","",IF(DP96="full_name",VLOOKUP(F96,'Internal -- Patent Countries'!B:I,5,FALSE),IF(DP96="polity_shortest_name",VLOOKUP(F96,'Internal -- Patent Countries'!C:I,4,FALSE),IF(DP96="polity_full_name",VLOOKUP(F96,'Internal -- Patent Countries'!D:I,3,FALSE),IF(DP96="polity_common_name",VLOOKUP(F96,'Internal -- Patent Countries'!E:I,2,FALSE),IF(DP96="shortest_name",F96)))))))</f>
        <v/>
      </c>
      <c r="DP96" s="30" t="str">
        <f>IF(F96="","",IF(COUNTIF('Internal -- Patent Countries'!B:B,F96)&gt;0,"full_name",IF(COUNTIF('Internal -- Patent Countries'!C:C,F96)&gt;0,"polity_shortest_name",IF(COUNTIF('Internal -- Patent Countries'!D:D,F96)&gt;0,"polity_full_name",IF(COUNTIF('Internal -- Patent Countries'!E:E,F96)&gt;0,"polity_common_name",IF(COUNTIF('Internal -- Patent Countries'!A:A,F96)&gt;0,"shortest_name","not a match"))))))</f>
        <v/>
      </c>
      <c r="DQ96" s="30"/>
      <c r="DR96" s="30"/>
      <c r="DS96" s="30"/>
      <c r="DT96" s="30"/>
      <c r="DU96" s="30"/>
      <c r="DV96" s="50" t="str">
        <f t="shared" si="2"/>
        <v/>
      </c>
      <c r="DW96" s="30" t="str">
        <f t="shared" si="3"/>
        <v/>
      </c>
    </row>
    <row r="97" spans="1:127" ht="16.5">
      <c r="A97" s="11"/>
      <c r="B97" s="11"/>
      <c r="C97" s="11"/>
      <c r="D97" s="27"/>
      <c r="E97" s="11"/>
      <c r="F97" s="29"/>
      <c r="G97" s="11"/>
      <c r="H97" s="11"/>
      <c r="I97" s="11"/>
      <c r="J97" s="15"/>
      <c r="K97" s="11"/>
      <c r="L97" s="15"/>
      <c r="M97" s="11"/>
      <c r="N97" s="15"/>
      <c r="O97" s="15"/>
      <c r="P97" s="11"/>
      <c r="Q97" s="11"/>
      <c r="R97" s="11"/>
      <c r="S97" s="15"/>
      <c r="T97" s="15"/>
      <c r="U97" s="15"/>
      <c r="V97" s="11"/>
      <c r="W97" s="29"/>
      <c r="X97" s="15"/>
      <c r="Y97" s="11"/>
      <c r="Z97" s="11"/>
      <c r="AA97" s="11"/>
      <c r="AB97" s="11"/>
      <c r="AC97" s="11"/>
      <c r="AD97" s="11"/>
      <c r="AE97" s="15"/>
      <c r="AF97" s="11"/>
      <c r="AG97" s="11"/>
      <c r="AH97" s="15"/>
      <c r="AI97" s="15"/>
      <c r="AJ97" s="15"/>
      <c r="AK97" s="11"/>
      <c r="AL97" s="15"/>
      <c r="AM97" s="11"/>
      <c r="AN97" s="11"/>
      <c r="AO97" s="15"/>
      <c r="AP97" s="11"/>
      <c r="AQ97" s="11"/>
      <c r="AR97" s="15"/>
      <c r="AS97" s="15"/>
      <c r="AT97" s="15"/>
      <c r="AU97" s="11"/>
      <c r="AV97" s="15"/>
      <c r="AW97" s="11"/>
      <c r="AX97" s="11"/>
      <c r="AY97" s="15"/>
      <c r="AZ97" s="11"/>
      <c r="BA97" s="11"/>
      <c r="BB97" s="15"/>
      <c r="BC97" s="15"/>
      <c r="BD97" s="15"/>
      <c r="BE97" s="11"/>
      <c r="BF97" s="15"/>
      <c r="BG97" s="11"/>
      <c r="BH97" s="11"/>
      <c r="BI97" s="15"/>
      <c r="BJ97" s="11"/>
      <c r="BK97" s="11"/>
      <c r="BL97" s="15"/>
      <c r="BM97" s="15"/>
      <c r="BN97" s="15"/>
      <c r="BO97" s="11"/>
      <c r="BP97" s="15"/>
      <c r="BQ97" s="11"/>
      <c r="BR97" s="11"/>
      <c r="BS97" s="15"/>
      <c r="BT97" s="11"/>
      <c r="BU97" s="11"/>
      <c r="BV97" s="15"/>
      <c r="BW97" s="11"/>
      <c r="BX97" s="11"/>
      <c r="BY97" s="11"/>
      <c r="BZ97" s="11"/>
      <c r="CA97" s="28" t="str">
        <f t="shared" si="0"/>
        <v/>
      </c>
      <c r="CB97" s="28"/>
      <c r="CC97" s="11"/>
      <c r="CD97" s="29"/>
      <c r="CE97" s="11"/>
      <c r="CF97" s="11"/>
      <c r="CG97" s="11"/>
      <c r="CH97" s="11"/>
      <c r="CI97" s="11"/>
      <c r="CJ97" s="11"/>
      <c r="CK97" s="11"/>
      <c r="CL97" s="28" t="str">
        <f t="shared" si="1"/>
        <v/>
      </c>
      <c r="CM97" s="28"/>
      <c r="CN97" s="11"/>
      <c r="CO97" s="29"/>
      <c r="CP97" s="11"/>
      <c r="CQ97" s="11"/>
      <c r="CR97" s="11"/>
      <c r="CS97" s="11"/>
      <c r="CT97" s="11"/>
      <c r="CU97" s="11"/>
      <c r="CV97" s="11"/>
      <c r="CW97" s="11"/>
      <c r="CX97" s="29"/>
      <c r="CY97" s="28"/>
      <c r="CZ97" s="11"/>
      <c r="DA97" s="11"/>
      <c r="DB97" s="11"/>
      <c r="DC97" s="29"/>
      <c r="DD97" s="28"/>
      <c r="DE97" s="11"/>
      <c r="DF97" s="11"/>
      <c r="DG97" s="11"/>
      <c r="DH97" s="29"/>
      <c r="DI97" s="28"/>
      <c r="DJ97" s="11"/>
      <c r="DK97" s="11"/>
      <c r="DL97" s="11"/>
      <c r="DM97" s="29"/>
      <c r="DN97" s="28"/>
      <c r="DO97" s="30" t="str">
        <f>IF(F97="","",IF(DP97="not a match","",IF(DP97="full_name",VLOOKUP(F97,'Internal -- Patent Countries'!B:I,5,FALSE),IF(DP97="polity_shortest_name",VLOOKUP(F97,'Internal -- Patent Countries'!C:I,4,FALSE),IF(DP97="polity_full_name",VLOOKUP(F97,'Internal -- Patent Countries'!D:I,3,FALSE),IF(DP97="polity_common_name",VLOOKUP(F97,'Internal -- Patent Countries'!E:I,2,FALSE),IF(DP97="shortest_name",F97)))))))</f>
        <v/>
      </c>
      <c r="DP97" s="30" t="str">
        <f>IF(F97="","",IF(COUNTIF('Internal -- Patent Countries'!B:B,F97)&gt;0,"full_name",IF(COUNTIF('Internal -- Patent Countries'!C:C,F97)&gt;0,"polity_shortest_name",IF(COUNTIF('Internal -- Patent Countries'!D:D,F97)&gt;0,"polity_full_name",IF(COUNTIF('Internal -- Patent Countries'!E:E,F97)&gt;0,"polity_common_name",IF(COUNTIF('Internal -- Patent Countries'!A:A,F97)&gt;0,"shortest_name","not a match"))))))</f>
        <v/>
      </c>
      <c r="DQ97" s="30"/>
      <c r="DR97" s="30"/>
      <c r="DS97" s="30"/>
      <c r="DT97" s="30"/>
      <c r="DU97" s="30"/>
      <c r="DV97" s="50" t="str">
        <f t="shared" si="2"/>
        <v/>
      </c>
      <c r="DW97" s="30" t="str">
        <f t="shared" si="3"/>
        <v/>
      </c>
    </row>
    <row r="98" spans="1:127" ht="16.5">
      <c r="A98" s="11"/>
      <c r="B98" s="11"/>
      <c r="C98" s="11"/>
      <c r="D98" s="27"/>
      <c r="E98" s="11"/>
      <c r="F98" s="29"/>
      <c r="G98" s="11"/>
      <c r="H98" s="11"/>
      <c r="I98" s="11"/>
      <c r="J98" s="15"/>
      <c r="K98" s="11"/>
      <c r="L98" s="15"/>
      <c r="M98" s="11"/>
      <c r="N98" s="15"/>
      <c r="O98" s="15"/>
      <c r="P98" s="11"/>
      <c r="Q98" s="11"/>
      <c r="R98" s="11"/>
      <c r="S98" s="15"/>
      <c r="T98" s="15"/>
      <c r="U98" s="15"/>
      <c r="V98" s="11"/>
      <c r="W98" s="29"/>
      <c r="X98" s="15"/>
      <c r="Y98" s="11"/>
      <c r="Z98" s="11"/>
      <c r="AA98" s="11"/>
      <c r="AB98" s="11"/>
      <c r="AC98" s="11"/>
      <c r="AD98" s="11"/>
      <c r="AE98" s="15"/>
      <c r="AF98" s="11"/>
      <c r="AG98" s="11"/>
      <c r="AH98" s="15"/>
      <c r="AI98" s="15"/>
      <c r="AJ98" s="15"/>
      <c r="AK98" s="11"/>
      <c r="AL98" s="15"/>
      <c r="AM98" s="11"/>
      <c r="AN98" s="11"/>
      <c r="AO98" s="15"/>
      <c r="AP98" s="11"/>
      <c r="AQ98" s="11"/>
      <c r="AR98" s="15"/>
      <c r="AS98" s="15"/>
      <c r="AT98" s="15"/>
      <c r="AU98" s="11"/>
      <c r="AV98" s="15"/>
      <c r="AW98" s="11"/>
      <c r="AX98" s="11"/>
      <c r="AY98" s="15"/>
      <c r="AZ98" s="11"/>
      <c r="BA98" s="11"/>
      <c r="BB98" s="15"/>
      <c r="BC98" s="15"/>
      <c r="BD98" s="15"/>
      <c r="BE98" s="11"/>
      <c r="BF98" s="15"/>
      <c r="BG98" s="11"/>
      <c r="BH98" s="11"/>
      <c r="BI98" s="15"/>
      <c r="BJ98" s="11"/>
      <c r="BK98" s="11"/>
      <c r="BL98" s="15"/>
      <c r="BM98" s="15"/>
      <c r="BN98" s="15"/>
      <c r="BO98" s="11"/>
      <c r="BP98" s="15"/>
      <c r="BQ98" s="11"/>
      <c r="BR98" s="11"/>
      <c r="BS98" s="15"/>
      <c r="BT98" s="11"/>
      <c r="BU98" s="11"/>
      <c r="BV98" s="15"/>
      <c r="BW98" s="11"/>
      <c r="BX98" s="11"/>
      <c r="BY98" s="11"/>
      <c r="BZ98" s="11"/>
      <c r="CA98" s="28" t="str">
        <f t="shared" si="0"/>
        <v/>
      </c>
      <c r="CB98" s="28"/>
      <c r="CC98" s="11"/>
      <c r="CD98" s="29"/>
      <c r="CE98" s="11"/>
      <c r="CF98" s="11"/>
      <c r="CG98" s="11"/>
      <c r="CH98" s="11"/>
      <c r="CI98" s="11"/>
      <c r="CJ98" s="11"/>
      <c r="CK98" s="11"/>
      <c r="CL98" s="28" t="str">
        <f t="shared" si="1"/>
        <v/>
      </c>
      <c r="CM98" s="28"/>
      <c r="CN98" s="11"/>
      <c r="CO98" s="29"/>
      <c r="CP98" s="11"/>
      <c r="CQ98" s="11"/>
      <c r="CR98" s="11"/>
      <c r="CS98" s="11"/>
      <c r="CT98" s="11"/>
      <c r="CU98" s="11"/>
      <c r="CV98" s="11"/>
      <c r="CW98" s="11"/>
      <c r="CX98" s="29"/>
      <c r="CY98" s="28"/>
      <c r="CZ98" s="11"/>
      <c r="DA98" s="11"/>
      <c r="DB98" s="11"/>
      <c r="DC98" s="29"/>
      <c r="DD98" s="28"/>
      <c r="DE98" s="11"/>
      <c r="DF98" s="11"/>
      <c r="DG98" s="11"/>
      <c r="DH98" s="29"/>
      <c r="DI98" s="28"/>
      <c r="DJ98" s="11"/>
      <c r="DK98" s="11"/>
      <c r="DL98" s="11"/>
      <c r="DM98" s="29"/>
      <c r="DN98" s="28"/>
      <c r="DO98" s="30" t="str">
        <f>IF(F98="","",IF(DP98="not a match","",IF(DP98="full_name",VLOOKUP(F98,'Internal -- Patent Countries'!B:I,5,FALSE),IF(DP98="polity_shortest_name",VLOOKUP(F98,'Internal -- Patent Countries'!C:I,4,FALSE),IF(DP98="polity_full_name",VLOOKUP(F98,'Internal -- Patent Countries'!D:I,3,FALSE),IF(DP98="polity_common_name",VLOOKUP(F98,'Internal -- Patent Countries'!E:I,2,FALSE),IF(DP98="shortest_name",F98)))))))</f>
        <v/>
      </c>
      <c r="DP98" s="30" t="str">
        <f>IF(F98="","",IF(COUNTIF('Internal -- Patent Countries'!B:B,F98)&gt;0,"full_name",IF(COUNTIF('Internal -- Patent Countries'!C:C,F98)&gt;0,"polity_shortest_name",IF(COUNTIF('Internal -- Patent Countries'!D:D,F98)&gt;0,"polity_full_name",IF(COUNTIF('Internal -- Patent Countries'!E:E,F98)&gt;0,"polity_common_name",IF(COUNTIF('Internal -- Patent Countries'!A:A,F98)&gt;0,"shortest_name","not a match"))))))</f>
        <v/>
      </c>
      <c r="DQ98" s="30"/>
      <c r="DR98" s="30"/>
      <c r="DS98" s="30"/>
      <c r="DT98" s="30"/>
      <c r="DU98" s="30"/>
      <c r="DV98" s="50" t="str">
        <f t="shared" si="2"/>
        <v/>
      </c>
      <c r="DW98" s="30" t="str">
        <f t="shared" si="3"/>
        <v/>
      </c>
    </row>
    <row r="99" spans="1:127" ht="16.5">
      <c r="A99" s="11"/>
      <c r="B99" s="11"/>
      <c r="C99" s="11"/>
      <c r="D99" s="27"/>
      <c r="E99" s="11"/>
      <c r="F99" s="29"/>
      <c r="G99" s="11"/>
      <c r="H99" s="11"/>
      <c r="I99" s="11"/>
      <c r="J99" s="15"/>
      <c r="K99" s="11"/>
      <c r="L99" s="15"/>
      <c r="M99" s="11"/>
      <c r="N99" s="15"/>
      <c r="O99" s="15"/>
      <c r="P99" s="11"/>
      <c r="Q99" s="11"/>
      <c r="R99" s="11"/>
      <c r="S99" s="15"/>
      <c r="T99" s="15"/>
      <c r="U99" s="15"/>
      <c r="V99" s="11"/>
      <c r="W99" s="29"/>
      <c r="X99" s="15"/>
      <c r="Y99" s="11"/>
      <c r="Z99" s="11"/>
      <c r="AA99" s="11"/>
      <c r="AB99" s="11"/>
      <c r="AC99" s="11"/>
      <c r="AD99" s="11"/>
      <c r="AE99" s="15"/>
      <c r="AF99" s="11"/>
      <c r="AG99" s="11"/>
      <c r="AH99" s="15"/>
      <c r="AI99" s="15"/>
      <c r="AJ99" s="15"/>
      <c r="AK99" s="11"/>
      <c r="AL99" s="15"/>
      <c r="AM99" s="11"/>
      <c r="AN99" s="11"/>
      <c r="AO99" s="15"/>
      <c r="AP99" s="11"/>
      <c r="AQ99" s="11"/>
      <c r="AR99" s="15"/>
      <c r="AS99" s="15"/>
      <c r="AT99" s="15"/>
      <c r="AU99" s="11"/>
      <c r="AV99" s="15"/>
      <c r="AW99" s="11"/>
      <c r="AX99" s="11"/>
      <c r="AY99" s="15"/>
      <c r="AZ99" s="11"/>
      <c r="BA99" s="11"/>
      <c r="BB99" s="15"/>
      <c r="BC99" s="15"/>
      <c r="BD99" s="15"/>
      <c r="BE99" s="11"/>
      <c r="BF99" s="15"/>
      <c r="BG99" s="11"/>
      <c r="BH99" s="11"/>
      <c r="BI99" s="15"/>
      <c r="BJ99" s="11"/>
      <c r="BK99" s="11"/>
      <c r="BL99" s="15"/>
      <c r="BM99" s="15"/>
      <c r="BN99" s="15"/>
      <c r="BO99" s="11"/>
      <c r="BP99" s="15"/>
      <c r="BQ99" s="11"/>
      <c r="BR99" s="11"/>
      <c r="BS99" s="15"/>
      <c r="BT99" s="11"/>
      <c r="BU99" s="11"/>
      <c r="BV99" s="15"/>
      <c r="BW99" s="11"/>
      <c r="BX99" s="11"/>
      <c r="BY99" s="11"/>
      <c r="BZ99" s="11"/>
      <c r="CA99" s="28" t="str">
        <f t="shared" si="0"/>
        <v/>
      </c>
      <c r="CB99" s="28"/>
      <c r="CC99" s="11"/>
      <c r="CD99" s="29"/>
      <c r="CE99" s="11"/>
      <c r="CF99" s="11"/>
      <c r="CG99" s="11"/>
      <c r="CH99" s="11"/>
      <c r="CI99" s="11"/>
      <c r="CJ99" s="11"/>
      <c r="CK99" s="11"/>
      <c r="CL99" s="28" t="str">
        <f t="shared" si="1"/>
        <v/>
      </c>
      <c r="CM99" s="28"/>
      <c r="CN99" s="11"/>
      <c r="CO99" s="29"/>
      <c r="CP99" s="11"/>
      <c r="CQ99" s="11"/>
      <c r="CR99" s="11"/>
      <c r="CS99" s="11"/>
      <c r="CT99" s="11"/>
      <c r="CU99" s="11"/>
      <c r="CV99" s="11"/>
      <c r="CW99" s="11"/>
      <c r="CX99" s="29"/>
      <c r="CY99" s="28"/>
      <c r="CZ99" s="11"/>
      <c r="DA99" s="11"/>
      <c r="DB99" s="11"/>
      <c r="DC99" s="29"/>
      <c r="DD99" s="28"/>
      <c r="DE99" s="11"/>
      <c r="DF99" s="11"/>
      <c r="DG99" s="11"/>
      <c r="DH99" s="29"/>
      <c r="DI99" s="28"/>
      <c r="DJ99" s="11"/>
      <c r="DK99" s="11"/>
      <c r="DL99" s="11"/>
      <c r="DM99" s="29"/>
      <c r="DN99" s="28"/>
      <c r="DO99" s="30" t="str">
        <f>IF(F99="","",IF(DP99="not a match","",IF(DP99="full_name",VLOOKUP(F99,'Internal -- Patent Countries'!B:I,5,FALSE),IF(DP99="polity_shortest_name",VLOOKUP(F99,'Internal -- Patent Countries'!C:I,4,FALSE),IF(DP99="polity_full_name",VLOOKUP(F99,'Internal -- Patent Countries'!D:I,3,FALSE),IF(DP99="polity_common_name",VLOOKUP(F99,'Internal -- Patent Countries'!E:I,2,FALSE),IF(DP99="shortest_name",F99)))))))</f>
        <v/>
      </c>
      <c r="DP99" s="30" t="str">
        <f>IF(F99="","",IF(COUNTIF('Internal -- Patent Countries'!B:B,F99)&gt;0,"full_name",IF(COUNTIF('Internal -- Patent Countries'!C:C,F99)&gt;0,"polity_shortest_name",IF(COUNTIF('Internal -- Patent Countries'!D:D,F99)&gt;0,"polity_full_name",IF(COUNTIF('Internal -- Patent Countries'!E:E,F99)&gt;0,"polity_common_name",IF(COUNTIF('Internal -- Patent Countries'!A:A,F99)&gt;0,"shortest_name","not a match"))))))</f>
        <v/>
      </c>
      <c r="DQ99" s="30"/>
      <c r="DR99" s="30"/>
      <c r="DS99" s="30"/>
      <c r="DT99" s="30"/>
      <c r="DU99" s="30"/>
      <c r="DV99" s="50" t="str">
        <f t="shared" si="2"/>
        <v/>
      </c>
      <c r="DW99" s="30" t="str">
        <f t="shared" si="3"/>
        <v/>
      </c>
    </row>
    <row r="100" spans="1:127" ht="16.5">
      <c r="A100" s="11"/>
      <c r="B100" s="11"/>
      <c r="C100" s="11"/>
      <c r="D100" s="27"/>
      <c r="E100" s="11"/>
      <c r="F100" s="29"/>
      <c r="G100" s="11"/>
      <c r="H100" s="11"/>
      <c r="I100" s="11"/>
      <c r="J100" s="15"/>
      <c r="K100" s="11"/>
      <c r="L100" s="15"/>
      <c r="M100" s="11"/>
      <c r="N100" s="15"/>
      <c r="O100" s="15"/>
      <c r="P100" s="11"/>
      <c r="Q100" s="11"/>
      <c r="R100" s="11"/>
      <c r="S100" s="15"/>
      <c r="T100" s="15"/>
      <c r="U100" s="15"/>
      <c r="V100" s="11"/>
      <c r="W100" s="29"/>
      <c r="X100" s="15"/>
      <c r="Y100" s="11"/>
      <c r="Z100" s="11"/>
      <c r="AA100" s="11"/>
      <c r="AB100" s="11"/>
      <c r="AC100" s="11"/>
      <c r="AD100" s="11"/>
      <c r="AE100" s="15"/>
      <c r="AF100" s="11"/>
      <c r="AG100" s="11"/>
      <c r="AH100" s="15"/>
      <c r="AI100" s="15"/>
      <c r="AJ100" s="15"/>
      <c r="AK100" s="11"/>
      <c r="AL100" s="15"/>
      <c r="AM100" s="11"/>
      <c r="AN100" s="11"/>
      <c r="AO100" s="15"/>
      <c r="AP100" s="11"/>
      <c r="AQ100" s="11"/>
      <c r="AR100" s="15"/>
      <c r="AS100" s="15"/>
      <c r="AT100" s="15"/>
      <c r="AU100" s="11"/>
      <c r="AV100" s="15"/>
      <c r="AW100" s="11"/>
      <c r="AX100" s="11"/>
      <c r="AY100" s="15"/>
      <c r="AZ100" s="11"/>
      <c r="BA100" s="11"/>
      <c r="BB100" s="15"/>
      <c r="BC100" s="15"/>
      <c r="BD100" s="15"/>
      <c r="BE100" s="11"/>
      <c r="BF100" s="15"/>
      <c r="BG100" s="11"/>
      <c r="BH100" s="11"/>
      <c r="BI100" s="15"/>
      <c r="BJ100" s="11"/>
      <c r="BK100" s="11"/>
      <c r="BL100" s="15"/>
      <c r="BM100" s="15"/>
      <c r="BN100" s="15"/>
      <c r="BO100" s="11"/>
      <c r="BP100" s="15"/>
      <c r="BQ100" s="11"/>
      <c r="BR100" s="11"/>
      <c r="BS100" s="15"/>
      <c r="BT100" s="11"/>
      <c r="BU100" s="11"/>
      <c r="BV100" s="15"/>
      <c r="BW100" s="11"/>
      <c r="BX100" s="11"/>
      <c r="BY100" s="11"/>
      <c r="BZ100" s="11"/>
      <c r="CA100" s="28" t="str">
        <f t="shared" si="0"/>
        <v/>
      </c>
      <c r="CB100" s="28"/>
      <c r="CC100" s="11"/>
      <c r="CD100" s="29"/>
      <c r="CE100" s="11"/>
      <c r="CF100" s="11"/>
      <c r="CG100" s="11"/>
      <c r="CH100" s="11"/>
      <c r="CI100" s="11"/>
      <c r="CJ100" s="11"/>
      <c r="CK100" s="11"/>
      <c r="CL100" s="28" t="str">
        <f t="shared" si="1"/>
        <v/>
      </c>
      <c r="CM100" s="28"/>
      <c r="CN100" s="11"/>
      <c r="CO100" s="29"/>
      <c r="CP100" s="11"/>
      <c r="CQ100" s="11"/>
      <c r="CR100" s="11"/>
      <c r="CS100" s="11"/>
      <c r="CT100" s="11"/>
      <c r="CU100" s="11"/>
      <c r="CV100" s="11"/>
      <c r="CW100" s="11"/>
      <c r="CX100" s="29"/>
      <c r="CY100" s="28"/>
      <c r="CZ100" s="11"/>
      <c r="DA100" s="11"/>
      <c r="DB100" s="11"/>
      <c r="DC100" s="29"/>
      <c r="DD100" s="28"/>
      <c r="DE100" s="11"/>
      <c r="DF100" s="11"/>
      <c r="DG100" s="11"/>
      <c r="DH100" s="29"/>
      <c r="DI100" s="28"/>
      <c r="DJ100" s="11"/>
      <c r="DK100" s="11"/>
      <c r="DL100" s="11"/>
      <c r="DM100" s="29"/>
      <c r="DN100" s="28"/>
      <c r="DO100" s="30" t="str">
        <f>IF(F100="","",IF(DP100="not a match","",IF(DP100="full_name",VLOOKUP(F100,'Internal -- Patent Countries'!B:I,5,FALSE),IF(DP100="polity_shortest_name",VLOOKUP(F100,'Internal -- Patent Countries'!C:I,4,FALSE),IF(DP100="polity_full_name",VLOOKUP(F100,'Internal -- Patent Countries'!D:I,3,FALSE),IF(DP100="polity_common_name",VLOOKUP(F100,'Internal -- Patent Countries'!E:I,2,FALSE),IF(DP100="shortest_name",F100)))))))</f>
        <v/>
      </c>
      <c r="DP100" s="30" t="str">
        <f>IF(F100="","",IF(COUNTIF('Internal -- Patent Countries'!B:B,F100)&gt;0,"full_name",IF(COUNTIF('Internal -- Patent Countries'!C:C,F100)&gt;0,"polity_shortest_name",IF(COUNTIF('Internal -- Patent Countries'!D:D,F100)&gt;0,"polity_full_name",IF(COUNTIF('Internal -- Patent Countries'!E:E,F100)&gt;0,"polity_common_name",IF(COUNTIF('Internal -- Patent Countries'!A:A,F100)&gt;0,"shortest_name","not a match"))))))</f>
        <v/>
      </c>
      <c r="DQ100" s="30"/>
      <c r="DR100" s="30"/>
      <c r="DS100" s="30"/>
      <c r="DT100" s="30"/>
      <c r="DU100" s="30"/>
      <c r="DV100" s="50" t="str">
        <f t="shared" si="2"/>
        <v/>
      </c>
      <c r="DW100" s="30" t="str">
        <f t="shared" si="3"/>
        <v/>
      </c>
    </row>
  </sheetData>
  <autoFilter ref="A1:DW1" xr:uid="{00000000-0009-0000-0000-000007000000}"/>
  <conditionalFormatting sqref="D1:D100">
    <cfRule type="cellIs" dxfId="10" priority="2" operator="equal">
      <formula>"FALSE"</formula>
    </cfRule>
  </conditionalFormatting>
  <conditionalFormatting sqref="CA2:CB100 CL2:CM100">
    <cfRule type="notContainsBlanks" dxfId="9" priority="1">
      <formula>LEN(TRIM(CA2))&gt;0</formula>
    </cfRule>
  </conditionalFormatting>
  <dataValidations count="3">
    <dataValidation type="list" allowBlank="1" showInputMessage="1" prompt="Click and enter a value from the list of items" sqref="CX2:CX100 DC2:DC100 DH2:DH100 DM2:DM100" xr:uid="{00000000-0002-0000-0700-000000000000}">
      <formula1>"read_only,collaborator,responsible_party"</formula1>
    </dataValidation>
    <dataValidation type="list" allowBlank="1" showInputMessage="1" prompt="Click and enter a value from the list of items" sqref="CD2:CD100 CO2:CO100" xr:uid="{00000000-0002-0000-0700-000001000000}">
      <formula1>"read_only,no_access"</formula1>
    </dataValidation>
    <dataValidation type="list" allowBlank="1" sqref="D2:D100 CA2:CB100 CL2:CM100 CY2:CY100 DD2:DD100 DI2:DI100 DN2:DN100" xr:uid="{00000000-0002-0000-0700-000002000000}">
      <formula1>"TRUE,FALSE"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CX100"/>
  <sheetViews>
    <sheetView workbookViewId="0">
      <pane ySplit="1" topLeftCell="A2" activePane="bottomLeft" state="frozen"/>
      <selection pane="bottomLeft" activeCell="B3" sqref="B3"/>
    </sheetView>
  </sheetViews>
  <sheetFormatPr defaultColWidth="14.42578125" defaultRowHeight="15.75" customHeight="1"/>
  <cols>
    <col min="1" max="1" width="18" customWidth="1"/>
    <col min="3" max="3" width="18" customWidth="1"/>
  </cols>
  <sheetData>
    <row r="1" spans="1:102" ht="15.75" customHeight="1">
      <c r="A1" s="19" t="s">
        <v>206</v>
      </c>
      <c r="B1" s="19" t="s">
        <v>207</v>
      </c>
      <c r="C1" s="19" t="s">
        <v>48</v>
      </c>
      <c r="D1" s="19" t="s">
        <v>49</v>
      </c>
      <c r="E1" s="19" t="s">
        <v>50</v>
      </c>
      <c r="F1" s="19" t="s">
        <v>51</v>
      </c>
      <c r="G1" s="23" t="s">
        <v>52</v>
      </c>
      <c r="H1" s="9" t="s">
        <v>55</v>
      </c>
      <c r="I1" s="9" t="s">
        <v>56</v>
      </c>
      <c r="J1" s="9" t="s">
        <v>57</v>
      </c>
      <c r="K1" s="9" t="s">
        <v>58</v>
      </c>
      <c r="L1" s="9" t="s">
        <v>59</v>
      </c>
      <c r="M1" s="9" t="s">
        <v>60</v>
      </c>
      <c r="N1" s="9" t="s">
        <v>61</v>
      </c>
      <c r="O1" s="9" t="s">
        <v>62</v>
      </c>
      <c r="P1" s="9" t="s">
        <v>63</v>
      </c>
      <c r="Q1" s="9" t="s">
        <v>64</v>
      </c>
      <c r="R1" s="9" t="s">
        <v>65</v>
      </c>
      <c r="S1" s="9" t="s">
        <v>66</v>
      </c>
      <c r="T1" s="9" t="s">
        <v>67</v>
      </c>
      <c r="U1" s="9" t="s">
        <v>68</v>
      </c>
      <c r="V1" s="9" t="s">
        <v>69</v>
      </c>
      <c r="W1" s="9" t="s">
        <v>70</v>
      </c>
      <c r="X1" s="9" t="s">
        <v>71</v>
      </c>
      <c r="Y1" s="9" t="s">
        <v>72</v>
      </c>
      <c r="Z1" s="9" t="s">
        <v>73</v>
      </c>
      <c r="AA1" s="9" t="s">
        <v>74</v>
      </c>
      <c r="AB1" s="9" t="s">
        <v>75</v>
      </c>
      <c r="AC1" s="9" t="s">
        <v>76</v>
      </c>
      <c r="AD1" s="9" t="s">
        <v>77</v>
      </c>
      <c r="AE1" s="9" t="s">
        <v>78</v>
      </c>
      <c r="AF1" s="9" t="s">
        <v>79</v>
      </c>
      <c r="AG1" s="9" t="s">
        <v>80</v>
      </c>
      <c r="AH1" s="9" t="s">
        <v>81</v>
      </c>
      <c r="AI1" s="9" t="s">
        <v>82</v>
      </c>
      <c r="AJ1" s="9" t="s">
        <v>83</v>
      </c>
      <c r="AK1" s="9" t="s">
        <v>84</v>
      </c>
      <c r="AL1" s="9" t="s">
        <v>85</v>
      </c>
      <c r="AM1" s="9" t="s">
        <v>86</v>
      </c>
      <c r="AN1" s="9" t="s">
        <v>87</v>
      </c>
      <c r="AO1" s="9" t="s">
        <v>88</v>
      </c>
      <c r="AP1" s="9" t="s">
        <v>89</v>
      </c>
      <c r="AQ1" s="9" t="s">
        <v>90</v>
      </c>
      <c r="AR1" s="9" t="s">
        <v>91</v>
      </c>
      <c r="AS1" s="9" t="s">
        <v>92</v>
      </c>
      <c r="AT1" s="9" t="s">
        <v>93</v>
      </c>
      <c r="AU1" s="9" t="s">
        <v>94</v>
      </c>
      <c r="AV1" s="19" t="s">
        <v>95</v>
      </c>
      <c r="AW1" s="19" t="s">
        <v>96</v>
      </c>
      <c r="AX1" s="19" t="s">
        <v>97</v>
      </c>
      <c r="AY1" s="9" t="s">
        <v>98</v>
      </c>
      <c r="AZ1" s="9" t="s">
        <v>99</v>
      </c>
      <c r="BA1" s="9" t="s">
        <v>100</v>
      </c>
      <c r="BB1" s="9" t="s">
        <v>208</v>
      </c>
      <c r="BC1" s="9" t="s">
        <v>209</v>
      </c>
      <c r="BD1" s="19" t="s">
        <v>101</v>
      </c>
      <c r="BE1" s="19" t="s">
        <v>102</v>
      </c>
      <c r="BF1" s="24" t="s">
        <v>103</v>
      </c>
      <c r="BG1" s="24" t="s">
        <v>104</v>
      </c>
      <c r="BH1" s="19" t="s">
        <v>105</v>
      </c>
      <c r="BI1" s="24" t="s">
        <v>106</v>
      </c>
      <c r="BJ1" s="19" t="s">
        <v>107</v>
      </c>
      <c r="BK1" s="19" t="s">
        <v>108</v>
      </c>
      <c r="BL1" s="19" t="s">
        <v>109</v>
      </c>
      <c r="BM1" s="19" t="s">
        <v>110</v>
      </c>
      <c r="BN1" s="19" t="s">
        <v>111</v>
      </c>
      <c r="BO1" s="19" t="s">
        <v>112</v>
      </c>
      <c r="BP1" s="19" t="s">
        <v>113</v>
      </c>
      <c r="BQ1" s="24" t="s">
        <v>114</v>
      </c>
      <c r="BR1" s="24" t="s">
        <v>115</v>
      </c>
      <c r="BS1" s="19" t="s">
        <v>116</v>
      </c>
      <c r="BT1" s="24" t="s">
        <v>117</v>
      </c>
      <c r="BU1" s="19" t="s">
        <v>118</v>
      </c>
      <c r="BV1" s="19" t="s">
        <v>119</v>
      </c>
      <c r="BW1" s="19" t="s">
        <v>120</v>
      </c>
      <c r="BX1" s="19" t="s">
        <v>121</v>
      </c>
      <c r="BY1" s="19" t="s">
        <v>122</v>
      </c>
      <c r="BZ1" s="19" t="s">
        <v>123</v>
      </c>
      <c r="CA1" s="19" t="s">
        <v>124</v>
      </c>
      <c r="CB1" s="19" t="s">
        <v>125</v>
      </c>
      <c r="CC1" s="24" t="s">
        <v>126</v>
      </c>
      <c r="CD1" s="24" t="s">
        <v>127</v>
      </c>
      <c r="CE1" s="19" t="s">
        <v>128</v>
      </c>
      <c r="CF1" s="19" t="s">
        <v>129</v>
      </c>
      <c r="CG1" s="19" t="s">
        <v>130</v>
      </c>
      <c r="CH1" s="24" t="s">
        <v>131</v>
      </c>
      <c r="CI1" s="24" t="s">
        <v>132</v>
      </c>
      <c r="CJ1" s="19" t="s">
        <v>133</v>
      </c>
      <c r="CK1" s="19" t="s">
        <v>134</v>
      </c>
      <c r="CL1" s="19" t="s">
        <v>135</v>
      </c>
      <c r="CM1" s="24" t="s">
        <v>136</v>
      </c>
      <c r="CN1" s="24" t="s">
        <v>137</v>
      </c>
      <c r="CO1" s="19" t="s">
        <v>138</v>
      </c>
      <c r="CP1" s="19" t="s">
        <v>139</v>
      </c>
      <c r="CQ1" s="19" t="s">
        <v>140</v>
      </c>
      <c r="CR1" s="24" t="s">
        <v>141</v>
      </c>
      <c r="CS1" s="24" t="s">
        <v>142</v>
      </c>
      <c r="CT1" s="25" t="s">
        <v>143</v>
      </c>
      <c r="CU1" s="25" t="s">
        <v>144</v>
      </c>
      <c r="CV1" s="25" t="s">
        <v>145</v>
      </c>
      <c r="CW1" s="25" t="s">
        <v>146</v>
      </c>
      <c r="CX1" s="25" t="s">
        <v>147</v>
      </c>
    </row>
    <row r="2" spans="1:102" ht="15.75" customHeight="1">
      <c r="A2" s="11"/>
      <c r="B2" s="11"/>
      <c r="C2" s="11"/>
      <c r="D2" s="11"/>
      <c r="E2" s="11"/>
      <c r="F2" s="11"/>
      <c r="G2" s="27"/>
      <c r="H2" s="15"/>
      <c r="I2" s="11"/>
      <c r="J2" s="11"/>
      <c r="K2" s="15"/>
      <c r="L2" s="15"/>
      <c r="M2" s="15"/>
      <c r="N2" s="11"/>
      <c r="O2" s="15"/>
      <c r="P2" s="11"/>
      <c r="Q2" s="11"/>
      <c r="R2" s="15"/>
      <c r="S2" s="11"/>
      <c r="T2" s="11"/>
      <c r="U2" s="15"/>
      <c r="V2" s="15"/>
      <c r="W2" s="15"/>
      <c r="X2" s="11"/>
      <c r="Y2" s="15"/>
      <c r="Z2" s="11"/>
      <c r="AA2" s="11"/>
      <c r="AB2" s="15"/>
      <c r="AC2" s="11"/>
      <c r="AD2" s="11"/>
      <c r="AE2" s="15"/>
      <c r="AF2" s="15"/>
      <c r="AG2" s="15"/>
      <c r="AH2" s="11"/>
      <c r="AI2" s="15"/>
      <c r="AJ2" s="11"/>
      <c r="AK2" s="11"/>
      <c r="AL2" s="15"/>
      <c r="AM2" s="11"/>
      <c r="AN2" s="11"/>
      <c r="AO2" s="15"/>
      <c r="AP2" s="15"/>
      <c r="AQ2" s="15"/>
      <c r="AR2" s="11"/>
      <c r="AS2" s="15"/>
      <c r="AT2" s="11"/>
      <c r="AU2" s="11"/>
      <c r="AV2" s="15"/>
      <c r="AW2" s="11"/>
      <c r="AX2" s="11"/>
      <c r="AY2" s="15"/>
      <c r="AZ2" s="11"/>
      <c r="BA2" s="11"/>
      <c r="BB2" s="11"/>
      <c r="BC2" s="11"/>
      <c r="BD2" s="11"/>
      <c r="BE2" s="11"/>
      <c r="BF2" s="28"/>
      <c r="BG2" s="28"/>
      <c r="BH2" s="11"/>
      <c r="BI2" s="29"/>
      <c r="BJ2" s="11"/>
      <c r="BK2" s="11"/>
      <c r="BL2" s="11"/>
      <c r="BM2" s="11"/>
      <c r="BN2" s="11"/>
      <c r="BO2" s="11"/>
      <c r="BP2" s="11"/>
      <c r="BQ2" s="28"/>
      <c r="BR2" s="28"/>
      <c r="BS2" s="11"/>
      <c r="BT2" s="29"/>
      <c r="BU2" s="11"/>
      <c r="BV2" s="11"/>
      <c r="BW2" s="11"/>
      <c r="BX2" s="11"/>
      <c r="BY2" s="11"/>
      <c r="BZ2" s="11"/>
      <c r="CA2" s="11"/>
      <c r="CB2" s="11"/>
      <c r="CC2" s="29"/>
      <c r="CD2" s="28"/>
      <c r="CE2" s="11"/>
      <c r="CF2" s="11"/>
      <c r="CG2" s="11"/>
      <c r="CH2" s="29"/>
      <c r="CI2" s="28"/>
      <c r="CJ2" s="11"/>
      <c r="CK2" s="11"/>
      <c r="CL2" s="11"/>
      <c r="CM2" s="29"/>
      <c r="CN2" s="28"/>
      <c r="CO2" s="11"/>
      <c r="CP2" s="11"/>
      <c r="CQ2" s="11"/>
      <c r="CR2" s="29"/>
      <c r="CS2" s="28"/>
      <c r="CT2" s="30"/>
      <c r="CU2" s="30"/>
      <c r="CV2" s="30"/>
      <c r="CW2" s="30"/>
      <c r="CX2" s="30" t="str">
        <f t="shared" ref="CX2:CX100" si="0">IF(A2&lt;&gt;"",IF(COUNTIF($A$2:$A100,$A$2:$A100)&gt;1,"Not Unique","Unique"),"")</f>
        <v/>
      </c>
    </row>
    <row r="3" spans="1:102" ht="15.75" customHeight="1">
      <c r="A3" s="11"/>
      <c r="B3" s="11"/>
      <c r="C3" s="11"/>
      <c r="D3" s="11"/>
      <c r="E3" s="11"/>
      <c r="F3" s="11"/>
      <c r="G3" s="27"/>
      <c r="H3" s="15"/>
      <c r="I3" s="11"/>
      <c r="J3" s="11"/>
      <c r="K3" s="15"/>
      <c r="L3" s="15"/>
      <c r="M3" s="15"/>
      <c r="N3" s="11"/>
      <c r="O3" s="15"/>
      <c r="P3" s="11"/>
      <c r="Q3" s="11"/>
      <c r="R3" s="15"/>
      <c r="S3" s="11"/>
      <c r="T3" s="11"/>
      <c r="U3" s="15"/>
      <c r="V3" s="15"/>
      <c r="W3" s="15"/>
      <c r="X3" s="11"/>
      <c r="Y3" s="15"/>
      <c r="Z3" s="11"/>
      <c r="AA3" s="11"/>
      <c r="AB3" s="15"/>
      <c r="AC3" s="11"/>
      <c r="AD3" s="11"/>
      <c r="AE3" s="15"/>
      <c r="AF3" s="15"/>
      <c r="AG3" s="15"/>
      <c r="AH3" s="11"/>
      <c r="AI3" s="15"/>
      <c r="AJ3" s="11"/>
      <c r="AK3" s="11"/>
      <c r="AL3" s="15"/>
      <c r="AM3" s="11"/>
      <c r="AN3" s="11"/>
      <c r="AO3" s="15"/>
      <c r="AP3" s="15"/>
      <c r="AQ3" s="15"/>
      <c r="AR3" s="11"/>
      <c r="AS3" s="15"/>
      <c r="AT3" s="11"/>
      <c r="AU3" s="11"/>
      <c r="AV3" s="15"/>
      <c r="AW3" s="11"/>
      <c r="AX3" s="11"/>
      <c r="AY3" s="15"/>
      <c r="AZ3" s="11"/>
      <c r="BA3" s="11"/>
      <c r="BB3" s="11"/>
      <c r="BC3" s="11"/>
      <c r="BD3" s="11"/>
      <c r="BE3" s="11"/>
      <c r="BF3" s="28"/>
      <c r="BG3" s="28"/>
      <c r="BH3" s="11"/>
      <c r="BI3" s="29"/>
      <c r="BJ3" s="11"/>
      <c r="BK3" s="11"/>
      <c r="BL3" s="11"/>
      <c r="BM3" s="11"/>
      <c r="BN3" s="11"/>
      <c r="BO3" s="11"/>
      <c r="BP3" s="11"/>
      <c r="BQ3" s="28"/>
      <c r="BR3" s="28"/>
      <c r="BS3" s="11"/>
      <c r="BT3" s="29"/>
      <c r="BU3" s="11"/>
      <c r="BV3" s="11"/>
      <c r="BW3" s="11"/>
      <c r="BX3" s="11"/>
      <c r="BY3" s="11"/>
      <c r="BZ3" s="11"/>
      <c r="CA3" s="11"/>
      <c r="CB3" s="11"/>
      <c r="CC3" s="29"/>
      <c r="CD3" s="28"/>
      <c r="CE3" s="11"/>
      <c r="CF3" s="11"/>
      <c r="CG3" s="11"/>
      <c r="CH3" s="29"/>
      <c r="CI3" s="28"/>
      <c r="CJ3" s="11"/>
      <c r="CK3" s="11"/>
      <c r="CL3" s="11"/>
      <c r="CM3" s="29"/>
      <c r="CN3" s="28"/>
      <c r="CO3" s="11"/>
      <c r="CP3" s="11"/>
      <c r="CQ3" s="11"/>
      <c r="CR3" s="29"/>
      <c r="CS3" s="28"/>
      <c r="CT3" s="30"/>
      <c r="CU3" s="30"/>
      <c r="CV3" s="30"/>
      <c r="CW3" s="30"/>
      <c r="CX3" s="30" t="str">
        <f t="shared" si="0"/>
        <v/>
      </c>
    </row>
    <row r="4" spans="1:102" ht="15.75" customHeight="1">
      <c r="A4" s="11"/>
      <c r="B4" s="11"/>
      <c r="C4" s="11"/>
      <c r="D4" s="11"/>
      <c r="E4" s="11"/>
      <c r="F4" s="11"/>
      <c r="G4" s="27"/>
      <c r="H4" s="15"/>
      <c r="I4" s="11"/>
      <c r="J4" s="11"/>
      <c r="K4" s="15"/>
      <c r="L4" s="15"/>
      <c r="M4" s="15"/>
      <c r="N4" s="11"/>
      <c r="O4" s="15"/>
      <c r="P4" s="11"/>
      <c r="Q4" s="11"/>
      <c r="R4" s="15"/>
      <c r="S4" s="11"/>
      <c r="T4" s="11"/>
      <c r="U4" s="15"/>
      <c r="V4" s="15"/>
      <c r="W4" s="15"/>
      <c r="X4" s="11"/>
      <c r="Y4" s="15"/>
      <c r="Z4" s="11"/>
      <c r="AA4" s="11"/>
      <c r="AB4" s="15"/>
      <c r="AC4" s="11"/>
      <c r="AD4" s="11"/>
      <c r="AE4" s="15"/>
      <c r="AF4" s="15"/>
      <c r="AG4" s="15"/>
      <c r="AH4" s="11"/>
      <c r="AI4" s="15"/>
      <c r="AJ4" s="11"/>
      <c r="AK4" s="11"/>
      <c r="AL4" s="15"/>
      <c r="AM4" s="11"/>
      <c r="AN4" s="11"/>
      <c r="AO4" s="15"/>
      <c r="AP4" s="15"/>
      <c r="AQ4" s="15"/>
      <c r="AR4" s="11"/>
      <c r="AS4" s="15"/>
      <c r="AT4" s="11"/>
      <c r="AU4" s="11"/>
      <c r="AV4" s="15"/>
      <c r="AW4" s="11"/>
      <c r="AX4" s="11"/>
      <c r="AY4" s="15"/>
      <c r="AZ4" s="11"/>
      <c r="BA4" s="11"/>
      <c r="BB4" s="11"/>
      <c r="BC4" s="11"/>
      <c r="BD4" s="11"/>
      <c r="BE4" s="11"/>
      <c r="BF4" s="28"/>
      <c r="BG4" s="28"/>
      <c r="BH4" s="11"/>
      <c r="BI4" s="29"/>
      <c r="BJ4" s="11"/>
      <c r="BK4" s="11"/>
      <c r="BL4" s="11"/>
      <c r="BM4" s="11"/>
      <c r="BN4" s="11"/>
      <c r="BO4" s="11"/>
      <c r="BP4" s="11"/>
      <c r="BQ4" s="28"/>
      <c r="BR4" s="28"/>
      <c r="BS4" s="11"/>
      <c r="BT4" s="29"/>
      <c r="BU4" s="11"/>
      <c r="BV4" s="11"/>
      <c r="BW4" s="11"/>
      <c r="BX4" s="11"/>
      <c r="BY4" s="11"/>
      <c r="BZ4" s="11"/>
      <c r="CA4" s="11"/>
      <c r="CB4" s="11"/>
      <c r="CC4" s="29"/>
      <c r="CD4" s="28"/>
      <c r="CE4" s="11"/>
      <c r="CF4" s="11"/>
      <c r="CG4" s="11"/>
      <c r="CH4" s="29"/>
      <c r="CI4" s="28"/>
      <c r="CJ4" s="11"/>
      <c r="CK4" s="11"/>
      <c r="CL4" s="11"/>
      <c r="CM4" s="29"/>
      <c r="CN4" s="28"/>
      <c r="CO4" s="11"/>
      <c r="CP4" s="11"/>
      <c r="CQ4" s="11"/>
      <c r="CR4" s="29"/>
      <c r="CS4" s="28"/>
      <c r="CT4" s="30"/>
      <c r="CU4" s="30"/>
      <c r="CV4" s="30"/>
      <c r="CW4" s="30"/>
      <c r="CX4" s="30" t="str">
        <f t="shared" si="0"/>
        <v/>
      </c>
    </row>
    <row r="5" spans="1:102" ht="15.75" customHeight="1">
      <c r="A5" s="11"/>
      <c r="B5" s="11"/>
      <c r="C5" s="11"/>
      <c r="D5" s="11"/>
      <c r="E5" s="11"/>
      <c r="F5" s="11"/>
      <c r="G5" s="27"/>
      <c r="H5" s="15"/>
      <c r="I5" s="11"/>
      <c r="J5" s="11"/>
      <c r="K5" s="15"/>
      <c r="L5" s="15"/>
      <c r="M5" s="15"/>
      <c r="N5" s="11"/>
      <c r="O5" s="15"/>
      <c r="P5" s="11"/>
      <c r="Q5" s="11"/>
      <c r="R5" s="15"/>
      <c r="S5" s="11"/>
      <c r="T5" s="11"/>
      <c r="U5" s="15"/>
      <c r="V5" s="15"/>
      <c r="W5" s="15"/>
      <c r="X5" s="11"/>
      <c r="Y5" s="15"/>
      <c r="Z5" s="11"/>
      <c r="AA5" s="11"/>
      <c r="AB5" s="15"/>
      <c r="AC5" s="11"/>
      <c r="AD5" s="11"/>
      <c r="AE5" s="15"/>
      <c r="AF5" s="15"/>
      <c r="AG5" s="15"/>
      <c r="AH5" s="11"/>
      <c r="AI5" s="15"/>
      <c r="AJ5" s="11"/>
      <c r="AK5" s="11"/>
      <c r="AL5" s="15"/>
      <c r="AM5" s="11"/>
      <c r="AN5" s="11"/>
      <c r="AO5" s="15"/>
      <c r="AP5" s="15"/>
      <c r="AQ5" s="15"/>
      <c r="AR5" s="11"/>
      <c r="AS5" s="15"/>
      <c r="AT5" s="11"/>
      <c r="AU5" s="11"/>
      <c r="AV5" s="15"/>
      <c r="AW5" s="11"/>
      <c r="AX5" s="11"/>
      <c r="AY5" s="15"/>
      <c r="AZ5" s="11"/>
      <c r="BA5" s="11"/>
      <c r="BB5" s="11"/>
      <c r="BC5" s="11"/>
      <c r="BD5" s="11"/>
      <c r="BE5" s="11"/>
      <c r="BF5" s="28"/>
      <c r="BG5" s="28"/>
      <c r="BH5" s="11"/>
      <c r="BI5" s="29"/>
      <c r="BJ5" s="11"/>
      <c r="BK5" s="11"/>
      <c r="BL5" s="11"/>
      <c r="BM5" s="11"/>
      <c r="BN5" s="11"/>
      <c r="BO5" s="11"/>
      <c r="BP5" s="11"/>
      <c r="BQ5" s="28"/>
      <c r="BR5" s="28"/>
      <c r="BS5" s="11"/>
      <c r="BT5" s="29"/>
      <c r="BU5" s="11"/>
      <c r="BV5" s="11"/>
      <c r="BW5" s="11"/>
      <c r="BX5" s="11"/>
      <c r="BY5" s="11"/>
      <c r="BZ5" s="11"/>
      <c r="CA5" s="11"/>
      <c r="CB5" s="11"/>
      <c r="CC5" s="29"/>
      <c r="CD5" s="28"/>
      <c r="CE5" s="11"/>
      <c r="CF5" s="11"/>
      <c r="CG5" s="11"/>
      <c r="CH5" s="29"/>
      <c r="CI5" s="28"/>
      <c r="CJ5" s="11"/>
      <c r="CK5" s="11"/>
      <c r="CL5" s="11"/>
      <c r="CM5" s="29"/>
      <c r="CN5" s="28"/>
      <c r="CO5" s="11"/>
      <c r="CP5" s="11"/>
      <c r="CQ5" s="11"/>
      <c r="CR5" s="29"/>
      <c r="CS5" s="28"/>
      <c r="CT5" s="30"/>
      <c r="CU5" s="30"/>
      <c r="CV5" s="30"/>
      <c r="CW5" s="30"/>
      <c r="CX5" s="30" t="str">
        <f t="shared" si="0"/>
        <v/>
      </c>
    </row>
    <row r="6" spans="1:102" ht="15.75" customHeight="1">
      <c r="A6" s="11"/>
      <c r="B6" s="11"/>
      <c r="C6" s="11"/>
      <c r="D6" s="11"/>
      <c r="E6" s="11"/>
      <c r="F6" s="11"/>
      <c r="G6" s="27"/>
      <c r="H6" s="15"/>
      <c r="I6" s="11"/>
      <c r="J6" s="11"/>
      <c r="K6" s="15"/>
      <c r="L6" s="15"/>
      <c r="M6" s="15"/>
      <c r="N6" s="11"/>
      <c r="O6" s="15"/>
      <c r="P6" s="11"/>
      <c r="Q6" s="11"/>
      <c r="R6" s="15"/>
      <c r="S6" s="11"/>
      <c r="T6" s="11"/>
      <c r="U6" s="15"/>
      <c r="V6" s="15"/>
      <c r="W6" s="15"/>
      <c r="X6" s="11"/>
      <c r="Y6" s="15"/>
      <c r="Z6" s="11"/>
      <c r="AA6" s="11"/>
      <c r="AB6" s="15"/>
      <c r="AC6" s="11"/>
      <c r="AD6" s="11"/>
      <c r="AE6" s="15"/>
      <c r="AF6" s="15"/>
      <c r="AG6" s="15"/>
      <c r="AH6" s="11"/>
      <c r="AI6" s="15"/>
      <c r="AJ6" s="11"/>
      <c r="AK6" s="11"/>
      <c r="AL6" s="15"/>
      <c r="AM6" s="11"/>
      <c r="AN6" s="11"/>
      <c r="AO6" s="15"/>
      <c r="AP6" s="15"/>
      <c r="AQ6" s="15"/>
      <c r="AR6" s="11"/>
      <c r="AS6" s="15"/>
      <c r="AT6" s="11"/>
      <c r="AU6" s="11"/>
      <c r="AV6" s="15"/>
      <c r="AW6" s="11"/>
      <c r="AX6" s="11"/>
      <c r="AY6" s="15"/>
      <c r="AZ6" s="11"/>
      <c r="BA6" s="11"/>
      <c r="BB6" s="11"/>
      <c r="BC6" s="11"/>
      <c r="BD6" s="11"/>
      <c r="BE6" s="11"/>
      <c r="BF6" s="28"/>
      <c r="BG6" s="28"/>
      <c r="BH6" s="11"/>
      <c r="BI6" s="29"/>
      <c r="BJ6" s="11"/>
      <c r="BK6" s="11"/>
      <c r="BL6" s="11"/>
      <c r="BM6" s="11"/>
      <c r="BN6" s="11"/>
      <c r="BO6" s="11"/>
      <c r="BP6" s="11"/>
      <c r="BQ6" s="28"/>
      <c r="BR6" s="28"/>
      <c r="BS6" s="11"/>
      <c r="BT6" s="29"/>
      <c r="BU6" s="11"/>
      <c r="BV6" s="11"/>
      <c r="BW6" s="11"/>
      <c r="BX6" s="11"/>
      <c r="BY6" s="11"/>
      <c r="BZ6" s="11"/>
      <c r="CA6" s="11"/>
      <c r="CB6" s="11"/>
      <c r="CC6" s="29"/>
      <c r="CD6" s="28"/>
      <c r="CE6" s="11"/>
      <c r="CF6" s="11"/>
      <c r="CG6" s="11"/>
      <c r="CH6" s="29"/>
      <c r="CI6" s="28"/>
      <c r="CJ6" s="11"/>
      <c r="CK6" s="11"/>
      <c r="CL6" s="11"/>
      <c r="CM6" s="29"/>
      <c r="CN6" s="28"/>
      <c r="CO6" s="11"/>
      <c r="CP6" s="11"/>
      <c r="CQ6" s="11"/>
      <c r="CR6" s="29"/>
      <c r="CS6" s="28"/>
      <c r="CT6" s="30"/>
      <c r="CU6" s="30"/>
      <c r="CV6" s="30"/>
      <c r="CW6" s="30"/>
      <c r="CX6" s="30" t="str">
        <f t="shared" si="0"/>
        <v/>
      </c>
    </row>
    <row r="7" spans="1:102" ht="15.75" customHeight="1">
      <c r="A7" s="11"/>
      <c r="B7" s="11"/>
      <c r="C7" s="11"/>
      <c r="D7" s="11"/>
      <c r="E7" s="11"/>
      <c r="F7" s="11"/>
      <c r="G7" s="27"/>
      <c r="H7" s="15"/>
      <c r="I7" s="11"/>
      <c r="J7" s="11"/>
      <c r="K7" s="15"/>
      <c r="L7" s="15"/>
      <c r="M7" s="15"/>
      <c r="N7" s="11"/>
      <c r="O7" s="15"/>
      <c r="P7" s="11"/>
      <c r="Q7" s="11"/>
      <c r="R7" s="15"/>
      <c r="S7" s="11"/>
      <c r="T7" s="11"/>
      <c r="U7" s="15"/>
      <c r="V7" s="15"/>
      <c r="W7" s="15"/>
      <c r="X7" s="11"/>
      <c r="Y7" s="15"/>
      <c r="Z7" s="11"/>
      <c r="AA7" s="11"/>
      <c r="AB7" s="15"/>
      <c r="AC7" s="11"/>
      <c r="AD7" s="11"/>
      <c r="AE7" s="15"/>
      <c r="AF7" s="15"/>
      <c r="AG7" s="15"/>
      <c r="AH7" s="11"/>
      <c r="AI7" s="15"/>
      <c r="AJ7" s="11"/>
      <c r="AK7" s="11"/>
      <c r="AL7" s="15"/>
      <c r="AM7" s="11"/>
      <c r="AN7" s="11"/>
      <c r="AO7" s="15"/>
      <c r="AP7" s="15"/>
      <c r="AQ7" s="15"/>
      <c r="AR7" s="11"/>
      <c r="AS7" s="15"/>
      <c r="AT7" s="11"/>
      <c r="AU7" s="11"/>
      <c r="AV7" s="15"/>
      <c r="AW7" s="11"/>
      <c r="AX7" s="11"/>
      <c r="AY7" s="15"/>
      <c r="AZ7" s="11"/>
      <c r="BA7" s="11"/>
      <c r="BB7" s="11"/>
      <c r="BC7" s="11"/>
      <c r="BD7" s="11"/>
      <c r="BE7" s="11"/>
      <c r="BF7" s="28"/>
      <c r="BG7" s="28"/>
      <c r="BH7" s="11"/>
      <c r="BI7" s="29"/>
      <c r="BJ7" s="11"/>
      <c r="BK7" s="11"/>
      <c r="BL7" s="11"/>
      <c r="BM7" s="11"/>
      <c r="BN7" s="11"/>
      <c r="BO7" s="11"/>
      <c r="BP7" s="11"/>
      <c r="BQ7" s="28"/>
      <c r="BR7" s="28"/>
      <c r="BS7" s="11"/>
      <c r="BT7" s="29"/>
      <c r="BU7" s="11"/>
      <c r="BV7" s="11"/>
      <c r="BW7" s="11"/>
      <c r="BX7" s="11"/>
      <c r="BY7" s="11"/>
      <c r="BZ7" s="11"/>
      <c r="CA7" s="11"/>
      <c r="CB7" s="11"/>
      <c r="CC7" s="29"/>
      <c r="CD7" s="28"/>
      <c r="CE7" s="11"/>
      <c r="CF7" s="11"/>
      <c r="CG7" s="11"/>
      <c r="CH7" s="29"/>
      <c r="CI7" s="28"/>
      <c r="CJ7" s="11"/>
      <c r="CK7" s="11"/>
      <c r="CL7" s="11"/>
      <c r="CM7" s="29"/>
      <c r="CN7" s="28"/>
      <c r="CO7" s="11"/>
      <c r="CP7" s="11"/>
      <c r="CQ7" s="11"/>
      <c r="CR7" s="29"/>
      <c r="CS7" s="28"/>
      <c r="CT7" s="30"/>
      <c r="CU7" s="30"/>
      <c r="CV7" s="30"/>
      <c r="CW7" s="30"/>
      <c r="CX7" s="30" t="str">
        <f t="shared" si="0"/>
        <v/>
      </c>
    </row>
    <row r="8" spans="1:102" ht="15.75" customHeight="1">
      <c r="A8" s="11"/>
      <c r="B8" s="11"/>
      <c r="C8" s="11"/>
      <c r="D8" s="11"/>
      <c r="E8" s="11"/>
      <c r="F8" s="11"/>
      <c r="G8" s="27"/>
      <c r="H8" s="15"/>
      <c r="I8" s="11"/>
      <c r="J8" s="11"/>
      <c r="K8" s="15"/>
      <c r="L8" s="15"/>
      <c r="M8" s="15"/>
      <c r="N8" s="11"/>
      <c r="O8" s="15"/>
      <c r="P8" s="11"/>
      <c r="Q8" s="11"/>
      <c r="R8" s="15"/>
      <c r="S8" s="11"/>
      <c r="T8" s="11"/>
      <c r="U8" s="15"/>
      <c r="V8" s="15"/>
      <c r="W8" s="15"/>
      <c r="X8" s="11"/>
      <c r="Y8" s="15"/>
      <c r="Z8" s="11"/>
      <c r="AA8" s="11"/>
      <c r="AB8" s="15"/>
      <c r="AC8" s="11"/>
      <c r="AD8" s="11"/>
      <c r="AE8" s="15"/>
      <c r="AF8" s="15"/>
      <c r="AG8" s="15"/>
      <c r="AH8" s="11"/>
      <c r="AI8" s="15"/>
      <c r="AJ8" s="11"/>
      <c r="AK8" s="11"/>
      <c r="AL8" s="15"/>
      <c r="AM8" s="11"/>
      <c r="AN8" s="11"/>
      <c r="AO8" s="15"/>
      <c r="AP8" s="15"/>
      <c r="AQ8" s="15"/>
      <c r="AR8" s="11"/>
      <c r="AS8" s="15"/>
      <c r="AT8" s="11"/>
      <c r="AU8" s="11"/>
      <c r="AV8" s="15"/>
      <c r="AW8" s="11"/>
      <c r="AX8" s="11"/>
      <c r="AY8" s="15"/>
      <c r="AZ8" s="11"/>
      <c r="BA8" s="11"/>
      <c r="BB8" s="11"/>
      <c r="BC8" s="11"/>
      <c r="BD8" s="11"/>
      <c r="BE8" s="11"/>
      <c r="BF8" s="28"/>
      <c r="BG8" s="28"/>
      <c r="BH8" s="11"/>
      <c r="BI8" s="29"/>
      <c r="BJ8" s="11"/>
      <c r="BK8" s="11"/>
      <c r="BL8" s="11"/>
      <c r="BM8" s="11"/>
      <c r="BN8" s="11"/>
      <c r="BO8" s="11"/>
      <c r="BP8" s="11"/>
      <c r="BQ8" s="28"/>
      <c r="BR8" s="28"/>
      <c r="BS8" s="11"/>
      <c r="BT8" s="29"/>
      <c r="BU8" s="11"/>
      <c r="BV8" s="11"/>
      <c r="BW8" s="11"/>
      <c r="BX8" s="11"/>
      <c r="BY8" s="11"/>
      <c r="BZ8" s="11"/>
      <c r="CA8" s="11"/>
      <c r="CB8" s="11"/>
      <c r="CC8" s="29"/>
      <c r="CD8" s="28"/>
      <c r="CE8" s="11"/>
      <c r="CF8" s="11"/>
      <c r="CG8" s="11"/>
      <c r="CH8" s="29"/>
      <c r="CI8" s="28"/>
      <c r="CJ8" s="11"/>
      <c r="CK8" s="11"/>
      <c r="CL8" s="11"/>
      <c r="CM8" s="29"/>
      <c r="CN8" s="28"/>
      <c r="CO8" s="11"/>
      <c r="CP8" s="11"/>
      <c r="CQ8" s="11"/>
      <c r="CR8" s="29"/>
      <c r="CS8" s="28"/>
      <c r="CT8" s="30"/>
      <c r="CU8" s="30"/>
      <c r="CV8" s="30"/>
      <c r="CW8" s="30"/>
      <c r="CX8" s="30" t="str">
        <f t="shared" si="0"/>
        <v/>
      </c>
    </row>
    <row r="9" spans="1:102" ht="15.75" customHeight="1">
      <c r="A9" s="11"/>
      <c r="B9" s="11"/>
      <c r="C9" s="11"/>
      <c r="D9" s="11"/>
      <c r="E9" s="11"/>
      <c r="F9" s="11"/>
      <c r="G9" s="27"/>
      <c r="H9" s="15"/>
      <c r="I9" s="11"/>
      <c r="J9" s="11"/>
      <c r="K9" s="15"/>
      <c r="L9" s="15"/>
      <c r="M9" s="15"/>
      <c r="N9" s="11"/>
      <c r="O9" s="15"/>
      <c r="P9" s="11"/>
      <c r="Q9" s="11"/>
      <c r="R9" s="15"/>
      <c r="S9" s="11"/>
      <c r="T9" s="11"/>
      <c r="U9" s="15"/>
      <c r="V9" s="15"/>
      <c r="W9" s="15"/>
      <c r="X9" s="11"/>
      <c r="Y9" s="15"/>
      <c r="Z9" s="11"/>
      <c r="AA9" s="11"/>
      <c r="AB9" s="15"/>
      <c r="AC9" s="11"/>
      <c r="AD9" s="11"/>
      <c r="AE9" s="15"/>
      <c r="AF9" s="15"/>
      <c r="AG9" s="15"/>
      <c r="AH9" s="11"/>
      <c r="AI9" s="15"/>
      <c r="AJ9" s="11"/>
      <c r="AK9" s="11"/>
      <c r="AL9" s="15"/>
      <c r="AM9" s="11"/>
      <c r="AN9" s="11"/>
      <c r="AO9" s="15"/>
      <c r="AP9" s="15"/>
      <c r="AQ9" s="15"/>
      <c r="AR9" s="11"/>
      <c r="AS9" s="15"/>
      <c r="AT9" s="11"/>
      <c r="AU9" s="11"/>
      <c r="AV9" s="15"/>
      <c r="AW9" s="11"/>
      <c r="AX9" s="11"/>
      <c r="AY9" s="15"/>
      <c r="AZ9" s="11"/>
      <c r="BA9" s="11"/>
      <c r="BB9" s="11"/>
      <c r="BC9" s="11"/>
      <c r="BD9" s="11"/>
      <c r="BE9" s="11"/>
      <c r="BF9" s="28"/>
      <c r="BG9" s="28"/>
      <c r="BH9" s="11"/>
      <c r="BI9" s="29"/>
      <c r="BJ9" s="11"/>
      <c r="BK9" s="11"/>
      <c r="BL9" s="11"/>
      <c r="BM9" s="11"/>
      <c r="BN9" s="11"/>
      <c r="BO9" s="11"/>
      <c r="BP9" s="11"/>
      <c r="BQ9" s="28"/>
      <c r="BR9" s="28"/>
      <c r="BS9" s="11"/>
      <c r="BT9" s="29"/>
      <c r="BU9" s="11"/>
      <c r="BV9" s="11"/>
      <c r="BW9" s="11"/>
      <c r="BX9" s="11"/>
      <c r="BY9" s="11"/>
      <c r="BZ9" s="11"/>
      <c r="CA9" s="11"/>
      <c r="CB9" s="11"/>
      <c r="CC9" s="29"/>
      <c r="CD9" s="28"/>
      <c r="CE9" s="11"/>
      <c r="CF9" s="11"/>
      <c r="CG9" s="11"/>
      <c r="CH9" s="29"/>
      <c r="CI9" s="28"/>
      <c r="CJ9" s="11"/>
      <c r="CK9" s="11"/>
      <c r="CL9" s="11"/>
      <c r="CM9" s="29"/>
      <c r="CN9" s="28"/>
      <c r="CO9" s="11"/>
      <c r="CP9" s="11"/>
      <c r="CQ9" s="11"/>
      <c r="CR9" s="29"/>
      <c r="CS9" s="28"/>
      <c r="CT9" s="30"/>
      <c r="CU9" s="30"/>
      <c r="CV9" s="30"/>
      <c r="CW9" s="30"/>
      <c r="CX9" s="30" t="str">
        <f t="shared" si="0"/>
        <v/>
      </c>
    </row>
    <row r="10" spans="1:102" ht="15.75" customHeight="1">
      <c r="A10" s="11"/>
      <c r="B10" s="11"/>
      <c r="C10" s="11"/>
      <c r="D10" s="11"/>
      <c r="E10" s="11"/>
      <c r="F10" s="11"/>
      <c r="G10" s="27"/>
      <c r="H10" s="15"/>
      <c r="I10" s="11"/>
      <c r="J10" s="11"/>
      <c r="K10" s="15"/>
      <c r="L10" s="15"/>
      <c r="M10" s="15"/>
      <c r="N10" s="11"/>
      <c r="O10" s="15"/>
      <c r="P10" s="11"/>
      <c r="Q10" s="11"/>
      <c r="R10" s="15"/>
      <c r="S10" s="11"/>
      <c r="T10" s="11"/>
      <c r="U10" s="15"/>
      <c r="V10" s="15"/>
      <c r="W10" s="15"/>
      <c r="X10" s="11"/>
      <c r="Y10" s="15"/>
      <c r="Z10" s="11"/>
      <c r="AA10" s="11"/>
      <c r="AB10" s="15"/>
      <c r="AC10" s="11"/>
      <c r="AD10" s="11"/>
      <c r="AE10" s="15"/>
      <c r="AF10" s="15"/>
      <c r="AG10" s="15"/>
      <c r="AH10" s="11"/>
      <c r="AI10" s="15"/>
      <c r="AJ10" s="11"/>
      <c r="AK10" s="11"/>
      <c r="AL10" s="15"/>
      <c r="AM10" s="11"/>
      <c r="AN10" s="11"/>
      <c r="AO10" s="15"/>
      <c r="AP10" s="15"/>
      <c r="AQ10" s="15"/>
      <c r="AR10" s="11"/>
      <c r="AS10" s="15"/>
      <c r="AT10" s="11"/>
      <c r="AU10" s="11"/>
      <c r="AV10" s="15"/>
      <c r="AW10" s="11"/>
      <c r="AX10" s="11"/>
      <c r="AY10" s="15"/>
      <c r="AZ10" s="11"/>
      <c r="BA10" s="11"/>
      <c r="BB10" s="11"/>
      <c r="BC10" s="11"/>
      <c r="BD10" s="11"/>
      <c r="BE10" s="11"/>
      <c r="BF10" s="28"/>
      <c r="BG10" s="28"/>
      <c r="BH10" s="11"/>
      <c r="BI10" s="29"/>
      <c r="BJ10" s="11"/>
      <c r="BK10" s="11"/>
      <c r="BL10" s="11"/>
      <c r="BM10" s="11"/>
      <c r="BN10" s="11"/>
      <c r="BO10" s="11"/>
      <c r="BP10" s="11"/>
      <c r="BQ10" s="28"/>
      <c r="BR10" s="28"/>
      <c r="BS10" s="11"/>
      <c r="BT10" s="29"/>
      <c r="BU10" s="11"/>
      <c r="BV10" s="11"/>
      <c r="BW10" s="11"/>
      <c r="BX10" s="11"/>
      <c r="BY10" s="11"/>
      <c r="BZ10" s="11"/>
      <c r="CA10" s="11"/>
      <c r="CB10" s="11"/>
      <c r="CC10" s="29"/>
      <c r="CD10" s="28"/>
      <c r="CE10" s="11"/>
      <c r="CF10" s="11"/>
      <c r="CG10" s="11"/>
      <c r="CH10" s="29"/>
      <c r="CI10" s="28"/>
      <c r="CJ10" s="11"/>
      <c r="CK10" s="11"/>
      <c r="CL10" s="11"/>
      <c r="CM10" s="29"/>
      <c r="CN10" s="28"/>
      <c r="CO10" s="11"/>
      <c r="CP10" s="11"/>
      <c r="CQ10" s="11"/>
      <c r="CR10" s="29"/>
      <c r="CS10" s="28"/>
      <c r="CT10" s="30"/>
      <c r="CU10" s="30"/>
      <c r="CV10" s="30"/>
      <c r="CW10" s="30"/>
      <c r="CX10" s="30" t="str">
        <f t="shared" si="0"/>
        <v/>
      </c>
    </row>
    <row r="11" spans="1:102" ht="15.75" customHeight="1">
      <c r="A11" s="11"/>
      <c r="B11" s="11"/>
      <c r="C11" s="11"/>
      <c r="D11" s="11"/>
      <c r="E11" s="11"/>
      <c r="F11" s="11"/>
      <c r="G11" s="27"/>
      <c r="H11" s="15"/>
      <c r="I11" s="11"/>
      <c r="J11" s="11"/>
      <c r="K11" s="15"/>
      <c r="L11" s="15"/>
      <c r="M11" s="15"/>
      <c r="N11" s="11"/>
      <c r="O11" s="15"/>
      <c r="P11" s="11"/>
      <c r="Q11" s="11"/>
      <c r="R11" s="15"/>
      <c r="S11" s="11"/>
      <c r="T11" s="11"/>
      <c r="U11" s="15"/>
      <c r="V11" s="15"/>
      <c r="W11" s="15"/>
      <c r="X11" s="11"/>
      <c r="Y11" s="15"/>
      <c r="Z11" s="11"/>
      <c r="AA11" s="11"/>
      <c r="AB11" s="15"/>
      <c r="AC11" s="11"/>
      <c r="AD11" s="11"/>
      <c r="AE11" s="15"/>
      <c r="AF11" s="15"/>
      <c r="AG11" s="15"/>
      <c r="AH11" s="11"/>
      <c r="AI11" s="15"/>
      <c r="AJ11" s="11"/>
      <c r="AK11" s="11"/>
      <c r="AL11" s="15"/>
      <c r="AM11" s="11"/>
      <c r="AN11" s="11"/>
      <c r="AO11" s="15"/>
      <c r="AP11" s="15"/>
      <c r="AQ11" s="15"/>
      <c r="AR11" s="11"/>
      <c r="AS11" s="15"/>
      <c r="AT11" s="11"/>
      <c r="AU11" s="11"/>
      <c r="AV11" s="15"/>
      <c r="AW11" s="11"/>
      <c r="AX11" s="11"/>
      <c r="AY11" s="15"/>
      <c r="AZ11" s="11"/>
      <c r="BA11" s="11"/>
      <c r="BB11" s="11"/>
      <c r="BC11" s="11"/>
      <c r="BD11" s="11"/>
      <c r="BE11" s="11"/>
      <c r="BF11" s="28"/>
      <c r="BG11" s="28"/>
      <c r="BH11" s="11"/>
      <c r="BI11" s="29"/>
      <c r="BJ11" s="11"/>
      <c r="BK11" s="11"/>
      <c r="BL11" s="11"/>
      <c r="BM11" s="11"/>
      <c r="BN11" s="11"/>
      <c r="BO11" s="11"/>
      <c r="BP11" s="11"/>
      <c r="BQ11" s="28"/>
      <c r="BR11" s="28"/>
      <c r="BS11" s="11"/>
      <c r="BT11" s="29"/>
      <c r="BU11" s="11"/>
      <c r="BV11" s="11"/>
      <c r="BW11" s="11"/>
      <c r="BX11" s="11"/>
      <c r="BY11" s="11"/>
      <c r="BZ11" s="11"/>
      <c r="CA11" s="11"/>
      <c r="CB11" s="11"/>
      <c r="CC11" s="29"/>
      <c r="CD11" s="28"/>
      <c r="CE11" s="11"/>
      <c r="CF11" s="11"/>
      <c r="CG11" s="11"/>
      <c r="CH11" s="29"/>
      <c r="CI11" s="28"/>
      <c r="CJ11" s="11"/>
      <c r="CK11" s="11"/>
      <c r="CL11" s="11"/>
      <c r="CM11" s="29"/>
      <c r="CN11" s="28"/>
      <c r="CO11" s="11"/>
      <c r="CP11" s="11"/>
      <c r="CQ11" s="11"/>
      <c r="CR11" s="29"/>
      <c r="CS11" s="28"/>
      <c r="CT11" s="30"/>
      <c r="CU11" s="30"/>
      <c r="CV11" s="30"/>
      <c r="CW11" s="30"/>
      <c r="CX11" s="30" t="str">
        <f t="shared" si="0"/>
        <v/>
      </c>
    </row>
    <row r="12" spans="1:102" ht="15.75" customHeight="1">
      <c r="A12" s="11"/>
      <c r="B12" s="11"/>
      <c r="C12" s="11"/>
      <c r="D12" s="11"/>
      <c r="E12" s="11"/>
      <c r="F12" s="11"/>
      <c r="G12" s="27"/>
      <c r="H12" s="15"/>
      <c r="I12" s="11"/>
      <c r="J12" s="11"/>
      <c r="K12" s="15"/>
      <c r="L12" s="15"/>
      <c r="M12" s="15"/>
      <c r="N12" s="11"/>
      <c r="O12" s="15"/>
      <c r="P12" s="11"/>
      <c r="Q12" s="11"/>
      <c r="R12" s="15"/>
      <c r="S12" s="11"/>
      <c r="T12" s="11"/>
      <c r="U12" s="15"/>
      <c r="V12" s="15"/>
      <c r="W12" s="15"/>
      <c r="X12" s="11"/>
      <c r="Y12" s="15"/>
      <c r="Z12" s="11"/>
      <c r="AA12" s="11"/>
      <c r="AB12" s="15"/>
      <c r="AC12" s="11"/>
      <c r="AD12" s="11"/>
      <c r="AE12" s="15"/>
      <c r="AF12" s="15"/>
      <c r="AG12" s="15"/>
      <c r="AH12" s="11"/>
      <c r="AI12" s="15"/>
      <c r="AJ12" s="11"/>
      <c r="AK12" s="11"/>
      <c r="AL12" s="15"/>
      <c r="AM12" s="11"/>
      <c r="AN12" s="11"/>
      <c r="AO12" s="15"/>
      <c r="AP12" s="15"/>
      <c r="AQ12" s="15"/>
      <c r="AR12" s="11"/>
      <c r="AS12" s="15"/>
      <c r="AT12" s="11"/>
      <c r="AU12" s="11"/>
      <c r="AV12" s="15"/>
      <c r="AW12" s="11"/>
      <c r="AX12" s="11"/>
      <c r="AY12" s="15"/>
      <c r="AZ12" s="11"/>
      <c r="BA12" s="11"/>
      <c r="BB12" s="11"/>
      <c r="BC12" s="11"/>
      <c r="BD12" s="11"/>
      <c r="BE12" s="11"/>
      <c r="BF12" s="28"/>
      <c r="BG12" s="28"/>
      <c r="BH12" s="11"/>
      <c r="BI12" s="29"/>
      <c r="BJ12" s="11"/>
      <c r="BK12" s="11"/>
      <c r="BL12" s="11"/>
      <c r="BM12" s="11"/>
      <c r="BN12" s="11"/>
      <c r="BO12" s="11"/>
      <c r="BP12" s="11"/>
      <c r="BQ12" s="28"/>
      <c r="BR12" s="28"/>
      <c r="BS12" s="11"/>
      <c r="BT12" s="29"/>
      <c r="BU12" s="11"/>
      <c r="BV12" s="11"/>
      <c r="BW12" s="11"/>
      <c r="BX12" s="11"/>
      <c r="BY12" s="11"/>
      <c r="BZ12" s="11"/>
      <c r="CA12" s="11"/>
      <c r="CB12" s="11"/>
      <c r="CC12" s="29"/>
      <c r="CD12" s="28"/>
      <c r="CE12" s="11"/>
      <c r="CF12" s="11"/>
      <c r="CG12" s="11"/>
      <c r="CH12" s="29"/>
      <c r="CI12" s="28"/>
      <c r="CJ12" s="11"/>
      <c r="CK12" s="11"/>
      <c r="CL12" s="11"/>
      <c r="CM12" s="29"/>
      <c r="CN12" s="28"/>
      <c r="CO12" s="11"/>
      <c r="CP12" s="11"/>
      <c r="CQ12" s="11"/>
      <c r="CR12" s="29"/>
      <c r="CS12" s="28"/>
      <c r="CT12" s="30"/>
      <c r="CU12" s="30"/>
      <c r="CV12" s="30"/>
      <c r="CW12" s="30"/>
      <c r="CX12" s="30" t="str">
        <f t="shared" si="0"/>
        <v/>
      </c>
    </row>
    <row r="13" spans="1:102" ht="15.75" customHeight="1">
      <c r="A13" s="11"/>
      <c r="B13" s="11"/>
      <c r="C13" s="11"/>
      <c r="D13" s="11"/>
      <c r="E13" s="11"/>
      <c r="F13" s="11"/>
      <c r="G13" s="27"/>
      <c r="H13" s="15"/>
      <c r="I13" s="11"/>
      <c r="J13" s="11"/>
      <c r="K13" s="15"/>
      <c r="L13" s="15"/>
      <c r="M13" s="15"/>
      <c r="N13" s="11"/>
      <c r="O13" s="15"/>
      <c r="P13" s="11"/>
      <c r="Q13" s="11"/>
      <c r="R13" s="15"/>
      <c r="S13" s="11"/>
      <c r="T13" s="11"/>
      <c r="U13" s="15"/>
      <c r="V13" s="15"/>
      <c r="W13" s="15"/>
      <c r="X13" s="11"/>
      <c r="Y13" s="15"/>
      <c r="Z13" s="11"/>
      <c r="AA13" s="11"/>
      <c r="AB13" s="15"/>
      <c r="AC13" s="11"/>
      <c r="AD13" s="11"/>
      <c r="AE13" s="15"/>
      <c r="AF13" s="15"/>
      <c r="AG13" s="15"/>
      <c r="AH13" s="11"/>
      <c r="AI13" s="15"/>
      <c r="AJ13" s="11"/>
      <c r="AK13" s="11"/>
      <c r="AL13" s="15"/>
      <c r="AM13" s="11"/>
      <c r="AN13" s="11"/>
      <c r="AO13" s="15"/>
      <c r="AP13" s="15"/>
      <c r="AQ13" s="15"/>
      <c r="AR13" s="11"/>
      <c r="AS13" s="15"/>
      <c r="AT13" s="11"/>
      <c r="AU13" s="11"/>
      <c r="AV13" s="15"/>
      <c r="AW13" s="11"/>
      <c r="AX13" s="11"/>
      <c r="AY13" s="15"/>
      <c r="AZ13" s="11"/>
      <c r="BA13" s="11"/>
      <c r="BB13" s="11"/>
      <c r="BC13" s="11"/>
      <c r="BD13" s="11"/>
      <c r="BE13" s="11"/>
      <c r="BF13" s="28"/>
      <c r="BG13" s="28"/>
      <c r="BH13" s="11"/>
      <c r="BI13" s="29"/>
      <c r="BJ13" s="11"/>
      <c r="BK13" s="11"/>
      <c r="BL13" s="11"/>
      <c r="BM13" s="11"/>
      <c r="BN13" s="11"/>
      <c r="BO13" s="11"/>
      <c r="BP13" s="11"/>
      <c r="BQ13" s="28"/>
      <c r="BR13" s="28"/>
      <c r="BS13" s="11"/>
      <c r="BT13" s="29"/>
      <c r="BU13" s="11"/>
      <c r="BV13" s="11"/>
      <c r="BW13" s="11"/>
      <c r="BX13" s="11"/>
      <c r="BY13" s="11"/>
      <c r="BZ13" s="11"/>
      <c r="CA13" s="11"/>
      <c r="CB13" s="11"/>
      <c r="CC13" s="29"/>
      <c r="CD13" s="28"/>
      <c r="CE13" s="11"/>
      <c r="CF13" s="11"/>
      <c r="CG13" s="11"/>
      <c r="CH13" s="29"/>
      <c r="CI13" s="28"/>
      <c r="CJ13" s="11"/>
      <c r="CK13" s="11"/>
      <c r="CL13" s="11"/>
      <c r="CM13" s="29"/>
      <c r="CN13" s="28"/>
      <c r="CO13" s="11"/>
      <c r="CP13" s="11"/>
      <c r="CQ13" s="11"/>
      <c r="CR13" s="29"/>
      <c r="CS13" s="28"/>
      <c r="CT13" s="30"/>
      <c r="CU13" s="30"/>
      <c r="CV13" s="30"/>
      <c r="CW13" s="30"/>
      <c r="CX13" s="30" t="str">
        <f t="shared" si="0"/>
        <v/>
      </c>
    </row>
    <row r="14" spans="1:102" ht="15.75" customHeight="1">
      <c r="A14" s="11"/>
      <c r="B14" s="11"/>
      <c r="C14" s="11"/>
      <c r="D14" s="11"/>
      <c r="E14" s="11"/>
      <c r="F14" s="11"/>
      <c r="G14" s="27"/>
      <c r="H14" s="15"/>
      <c r="I14" s="11"/>
      <c r="J14" s="11"/>
      <c r="K14" s="15"/>
      <c r="L14" s="15"/>
      <c r="M14" s="15"/>
      <c r="N14" s="11"/>
      <c r="O14" s="15"/>
      <c r="P14" s="11"/>
      <c r="Q14" s="11"/>
      <c r="R14" s="15"/>
      <c r="S14" s="11"/>
      <c r="T14" s="11"/>
      <c r="U14" s="15"/>
      <c r="V14" s="15"/>
      <c r="W14" s="15"/>
      <c r="X14" s="11"/>
      <c r="Y14" s="15"/>
      <c r="Z14" s="11"/>
      <c r="AA14" s="11"/>
      <c r="AB14" s="15"/>
      <c r="AC14" s="11"/>
      <c r="AD14" s="11"/>
      <c r="AE14" s="15"/>
      <c r="AF14" s="15"/>
      <c r="AG14" s="15"/>
      <c r="AH14" s="11"/>
      <c r="AI14" s="15"/>
      <c r="AJ14" s="11"/>
      <c r="AK14" s="11"/>
      <c r="AL14" s="15"/>
      <c r="AM14" s="11"/>
      <c r="AN14" s="11"/>
      <c r="AO14" s="15"/>
      <c r="AP14" s="15"/>
      <c r="AQ14" s="15"/>
      <c r="AR14" s="11"/>
      <c r="AS14" s="15"/>
      <c r="AT14" s="11"/>
      <c r="AU14" s="11"/>
      <c r="AV14" s="15"/>
      <c r="AW14" s="11"/>
      <c r="AX14" s="11"/>
      <c r="AY14" s="15"/>
      <c r="AZ14" s="11"/>
      <c r="BA14" s="11"/>
      <c r="BB14" s="11"/>
      <c r="BC14" s="11"/>
      <c r="BD14" s="11"/>
      <c r="BE14" s="11"/>
      <c r="BF14" s="28"/>
      <c r="BG14" s="28"/>
      <c r="BH14" s="11"/>
      <c r="BI14" s="29"/>
      <c r="BJ14" s="11"/>
      <c r="BK14" s="11"/>
      <c r="BL14" s="11"/>
      <c r="BM14" s="11"/>
      <c r="BN14" s="11"/>
      <c r="BO14" s="11"/>
      <c r="BP14" s="11"/>
      <c r="BQ14" s="28"/>
      <c r="BR14" s="28"/>
      <c r="BS14" s="11"/>
      <c r="BT14" s="29"/>
      <c r="BU14" s="11"/>
      <c r="BV14" s="11"/>
      <c r="BW14" s="11"/>
      <c r="BX14" s="11"/>
      <c r="BY14" s="11"/>
      <c r="BZ14" s="11"/>
      <c r="CA14" s="11"/>
      <c r="CB14" s="11"/>
      <c r="CC14" s="29"/>
      <c r="CD14" s="28"/>
      <c r="CE14" s="11"/>
      <c r="CF14" s="11"/>
      <c r="CG14" s="11"/>
      <c r="CH14" s="29"/>
      <c r="CI14" s="28"/>
      <c r="CJ14" s="11"/>
      <c r="CK14" s="11"/>
      <c r="CL14" s="11"/>
      <c r="CM14" s="29"/>
      <c r="CN14" s="28"/>
      <c r="CO14" s="11"/>
      <c r="CP14" s="11"/>
      <c r="CQ14" s="11"/>
      <c r="CR14" s="29"/>
      <c r="CS14" s="28"/>
      <c r="CT14" s="30"/>
      <c r="CU14" s="30"/>
      <c r="CV14" s="30"/>
      <c r="CW14" s="30"/>
      <c r="CX14" s="30" t="str">
        <f t="shared" si="0"/>
        <v/>
      </c>
    </row>
    <row r="15" spans="1:102" ht="15.75" customHeight="1">
      <c r="A15" s="11"/>
      <c r="B15" s="11"/>
      <c r="C15" s="11"/>
      <c r="D15" s="11"/>
      <c r="E15" s="11"/>
      <c r="F15" s="11"/>
      <c r="G15" s="27"/>
      <c r="H15" s="15"/>
      <c r="I15" s="11"/>
      <c r="J15" s="11"/>
      <c r="K15" s="15"/>
      <c r="L15" s="15"/>
      <c r="M15" s="15"/>
      <c r="N15" s="11"/>
      <c r="O15" s="15"/>
      <c r="P15" s="11"/>
      <c r="Q15" s="11"/>
      <c r="R15" s="15"/>
      <c r="S15" s="11"/>
      <c r="T15" s="11"/>
      <c r="U15" s="15"/>
      <c r="V15" s="15"/>
      <c r="W15" s="15"/>
      <c r="X15" s="11"/>
      <c r="Y15" s="15"/>
      <c r="Z15" s="11"/>
      <c r="AA15" s="11"/>
      <c r="AB15" s="15"/>
      <c r="AC15" s="11"/>
      <c r="AD15" s="11"/>
      <c r="AE15" s="15"/>
      <c r="AF15" s="15"/>
      <c r="AG15" s="15"/>
      <c r="AH15" s="11"/>
      <c r="AI15" s="15"/>
      <c r="AJ15" s="11"/>
      <c r="AK15" s="11"/>
      <c r="AL15" s="15"/>
      <c r="AM15" s="11"/>
      <c r="AN15" s="11"/>
      <c r="AO15" s="15"/>
      <c r="AP15" s="15"/>
      <c r="AQ15" s="15"/>
      <c r="AR15" s="11"/>
      <c r="AS15" s="15"/>
      <c r="AT15" s="11"/>
      <c r="AU15" s="11"/>
      <c r="AV15" s="15"/>
      <c r="AW15" s="11"/>
      <c r="AX15" s="11"/>
      <c r="AY15" s="15"/>
      <c r="AZ15" s="11"/>
      <c r="BA15" s="11"/>
      <c r="BB15" s="11"/>
      <c r="BC15" s="11"/>
      <c r="BD15" s="11"/>
      <c r="BE15" s="11"/>
      <c r="BF15" s="28"/>
      <c r="BG15" s="28"/>
      <c r="BH15" s="11"/>
      <c r="BI15" s="29"/>
      <c r="BJ15" s="11"/>
      <c r="BK15" s="11"/>
      <c r="BL15" s="11"/>
      <c r="BM15" s="11"/>
      <c r="BN15" s="11"/>
      <c r="BO15" s="11"/>
      <c r="BP15" s="11"/>
      <c r="BQ15" s="28"/>
      <c r="BR15" s="28"/>
      <c r="BS15" s="11"/>
      <c r="BT15" s="29"/>
      <c r="BU15" s="11"/>
      <c r="BV15" s="11"/>
      <c r="BW15" s="11"/>
      <c r="BX15" s="11"/>
      <c r="BY15" s="11"/>
      <c r="BZ15" s="11"/>
      <c r="CA15" s="11"/>
      <c r="CB15" s="11"/>
      <c r="CC15" s="29"/>
      <c r="CD15" s="28"/>
      <c r="CE15" s="11"/>
      <c r="CF15" s="11"/>
      <c r="CG15" s="11"/>
      <c r="CH15" s="29"/>
      <c r="CI15" s="28"/>
      <c r="CJ15" s="11"/>
      <c r="CK15" s="11"/>
      <c r="CL15" s="11"/>
      <c r="CM15" s="29"/>
      <c r="CN15" s="28"/>
      <c r="CO15" s="11"/>
      <c r="CP15" s="11"/>
      <c r="CQ15" s="11"/>
      <c r="CR15" s="29"/>
      <c r="CS15" s="28"/>
      <c r="CT15" s="30"/>
      <c r="CU15" s="30"/>
      <c r="CV15" s="30"/>
      <c r="CW15" s="30"/>
      <c r="CX15" s="30" t="str">
        <f t="shared" si="0"/>
        <v/>
      </c>
    </row>
    <row r="16" spans="1:102" ht="15.75" customHeight="1">
      <c r="A16" s="11"/>
      <c r="B16" s="11"/>
      <c r="C16" s="11"/>
      <c r="D16" s="11"/>
      <c r="E16" s="11"/>
      <c r="F16" s="11"/>
      <c r="G16" s="27"/>
      <c r="H16" s="15"/>
      <c r="I16" s="11"/>
      <c r="J16" s="11"/>
      <c r="K16" s="15"/>
      <c r="L16" s="15"/>
      <c r="M16" s="15"/>
      <c r="N16" s="11"/>
      <c r="O16" s="15"/>
      <c r="P16" s="11"/>
      <c r="Q16" s="11"/>
      <c r="R16" s="15"/>
      <c r="S16" s="11"/>
      <c r="T16" s="11"/>
      <c r="U16" s="15"/>
      <c r="V16" s="15"/>
      <c r="W16" s="15"/>
      <c r="X16" s="11"/>
      <c r="Y16" s="15"/>
      <c r="Z16" s="11"/>
      <c r="AA16" s="11"/>
      <c r="AB16" s="15"/>
      <c r="AC16" s="11"/>
      <c r="AD16" s="11"/>
      <c r="AE16" s="15"/>
      <c r="AF16" s="15"/>
      <c r="AG16" s="15"/>
      <c r="AH16" s="11"/>
      <c r="AI16" s="15"/>
      <c r="AJ16" s="11"/>
      <c r="AK16" s="11"/>
      <c r="AL16" s="15"/>
      <c r="AM16" s="11"/>
      <c r="AN16" s="11"/>
      <c r="AO16" s="15"/>
      <c r="AP16" s="15"/>
      <c r="AQ16" s="15"/>
      <c r="AR16" s="11"/>
      <c r="AS16" s="15"/>
      <c r="AT16" s="11"/>
      <c r="AU16" s="11"/>
      <c r="AV16" s="15"/>
      <c r="AW16" s="11"/>
      <c r="AX16" s="11"/>
      <c r="AY16" s="15"/>
      <c r="AZ16" s="11"/>
      <c r="BA16" s="11"/>
      <c r="BB16" s="11"/>
      <c r="BC16" s="11"/>
      <c r="BD16" s="11"/>
      <c r="BE16" s="11"/>
      <c r="BF16" s="28"/>
      <c r="BG16" s="28"/>
      <c r="BH16" s="11"/>
      <c r="BI16" s="29"/>
      <c r="BJ16" s="11"/>
      <c r="BK16" s="11"/>
      <c r="BL16" s="11"/>
      <c r="BM16" s="11"/>
      <c r="BN16" s="11"/>
      <c r="BO16" s="11"/>
      <c r="BP16" s="11"/>
      <c r="BQ16" s="28"/>
      <c r="BR16" s="28"/>
      <c r="BS16" s="11"/>
      <c r="BT16" s="29"/>
      <c r="BU16" s="11"/>
      <c r="BV16" s="11"/>
      <c r="BW16" s="11"/>
      <c r="BX16" s="11"/>
      <c r="BY16" s="11"/>
      <c r="BZ16" s="11"/>
      <c r="CA16" s="11"/>
      <c r="CB16" s="11"/>
      <c r="CC16" s="29"/>
      <c r="CD16" s="28"/>
      <c r="CE16" s="11"/>
      <c r="CF16" s="11"/>
      <c r="CG16" s="11"/>
      <c r="CH16" s="29"/>
      <c r="CI16" s="28"/>
      <c r="CJ16" s="11"/>
      <c r="CK16" s="11"/>
      <c r="CL16" s="11"/>
      <c r="CM16" s="29"/>
      <c r="CN16" s="28"/>
      <c r="CO16" s="11"/>
      <c r="CP16" s="11"/>
      <c r="CQ16" s="11"/>
      <c r="CR16" s="29"/>
      <c r="CS16" s="28"/>
      <c r="CT16" s="30"/>
      <c r="CU16" s="30"/>
      <c r="CV16" s="30"/>
      <c r="CW16" s="30"/>
      <c r="CX16" s="30" t="str">
        <f t="shared" si="0"/>
        <v/>
      </c>
    </row>
    <row r="17" spans="1:102" ht="15.75" customHeight="1">
      <c r="A17" s="11"/>
      <c r="B17" s="11"/>
      <c r="C17" s="11"/>
      <c r="D17" s="11"/>
      <c r="E17" s="11"/>
      <c r="F17" s="11"/>
      <c r="G17" s="27"/>
      <c r="H17" s="15"/>
      <c r="I17" s="11"/>
      <c r="J17" s="11"/>
      <c r="K17" s="15"/>
      <c r="L17" s="15"/>
      <c r="M17" s="15"/>
      <c r="N17" s="11"/>
      <c r="O17" s="15"/>
      <c r="P17" s="11"/>
      <c r="Q17" s="11"/>
      <c r="R17" s="15"/>
      <c r="S17" s="11"/>
      <c r="T17" s="11"/>
      <c r="U17" s="15"/>
      <c r="V17" s="15"/>
      <c r="W17" s="15"/>
      <c r="X17" s="11"/>
      <c r="Y17" s="15"/>
      <c r="Z17" s="11"/>
      <c r="AA17" s="11"/>
      <c r="AB17" s="15"/>
      <c r="AC17" s="11"/>
      <c r="AD17" s="11"/>
      <c r="AE17" s="15"/>
      <c r="AF17" s="15"/>
      <c r="AG17" s="15"/>
      <c r="AH17" s="11"/>
      <c r="AI17" s="15"/>
      <c r="AJ17" s="11"/>
      <c r="AK17" s="11"/>
      <c r="AL17" s="15"/>
      <c r="AM17" s="11"/>
      <c r="AN17" s="11"/>
      <c r="AO17" s="15"/>
      <c r="AP17" s="15"/>
      <c r="AQ17" s="15"/>
      <c r="AR17" s="11"/>
      <c r="AS17" s="15"/>
      <c r="AT17" s="11"/>
      <c r="AU17" s="11"/>
      <c r="AV17" s="15"/>
      <c r="AW17" s="11"/>
      <c r="AX17" s="11"/>
      <c r="AY17" s="15"/>
      <c r="AZ17" s="11"/>
      <c r="BA17" s="11"/>
      <c r="BB17" s="11"/>
      <c r="BC17" s="11"/>
      <c r="BD17" s="11"/>
      <c r="BE17" s="11"/>
      <c r="BF17" s="28"/>
      <c r="BG17" s="28"/>
      <c r="BH17" s="11"/>
      <c r="BI17" s="29"/>
      <c r="BJ17" s="11"/>
      <c r="BK17" s="11"/>
      <c r="BL17" s="11"/>
      <c r="BM17" s="11"/>
      <c r="BN17" s="11"/>
      <c r="BO17" s="11"/>
      <c r="BP17" s="11"/>
      <c r="BQ17" s="28"/>
      <c r="BR17" s="28"/>
      <c r="BS17" s="11"/>
      <c r="BT17" s="29"/>
      <c r="BU17" s="11"/>
      <c r="BV17" s="11"/>
      <c r="BW17" s="11"/>
      <c r="BX17" s="11"/>
      <c r="BY17" s="11"/>
      <c r="BZ17" s="11"/>
      <c r="CA17" s="11"/>
      <c r="CB17" s="11"/>
      <c r="CC17" s="29"/>
      <c r="CD17" s="28"/>
      <c r="CE17" s="11"/>
      <c r="CF17" s="11"/>
      <c r="CG17" s="11"/>
      <c r="CH17" s="29"/>
      <c r="CI17" s="28"/>
      <c r="CJ17" s="11"/>
      <c r="CK17" s="11"/>
      <c r="CL17" s="11"/>
      <c r="CM17" s="29"/>
      <c r="CN17" s="28"/>
      <c r="CO17" s="11"/>
      <c r="CP17" s="11"/>
      <c r="CQ17" s="11"/>
      <c r="CR17" s="29"/>
      <c r="CS17" s="28"/>
      <c r="CT17" s="30"/>
      <c r="CU17" s="30"/>
      <c r="CV17" s="30"/>
      <c r="CW17" s="30"/>
      <c r="CX17" s="30" t="str">
        <f t="shared" si="0"/>
        <v/>
      </c>
    </row>
    <row r="18" spans="1:102" ht="15.75" customHeight="1">
      <c r="A18" s="11"/>
      <c r="B18" s="11"/>
      <c r="C18" s="11"/>
      <c r="D18" s="11"/>
      <c r="E18" s="11"/>
      <c r="F18" s="11"/>
      <c r="G18" s="27"/>
      <c r="H18" s="15"/>
      <c r="I18" s="11"/>
      <c r="J18" s="11"/>
      <c r="K18" s="15"/>
      <c r="L18" s="15"/>
      <c r="M18" s="15"/>
      <c r="N18" s="11"/>
      <c r="O18" s="15"/>
      <c r="P18" s="11"/>
      <c r="Q18" s="11"/>
      <c r="R18" s="15"/>
      <c r="S18" s="11"/>
      <c r="T18" s="11"/>
      <c r="U18" s="15"/>
      <c r="V18" s="15"/>
      <c r="W18" s="15"/>
      <c r="X18" s="11"/>
      <c r="Y18" s="15"/>
      <c r="Z18" s="11"/>
      <c r="AA18" s="11"/>
      <c r="AB18" s="15"/>
      <c r="AC18" s="11"/>
      <c r="AD18" s="11"/>
      <c r="AE18" s="15"/>
      <c r="AF18" s="15"/>
      <c r="AG18" s="15"/>
      <c r="AH18" s="11"/>
      <c r="AI18" s="15"/>
      <c r="AJ18" s="11"/>
      <c r="AK18" s="11"/>
      <c r="AL18" s="15"/>
      <c r="AM18" s="11"/>
      <c r="AN18" s="11"/>
      <c r="AO18" s="15"/>
      <c r="AP18" s="15"/>
      <c r="AQ18" s="15"/>
      <c r="AR18" s="11"/>
      <c r="AS18" s="15"/>
      <c r="AT18" s="11"/>
      <c r="AU18" s="11"/>
      <c r="AV18" s="15"/>
      <c r="AW18" s="11"/>
      <c r="AX18" s="11"/>
      <c r="AY18" s="15"/>
      <c r="AZ18" s="11"/>
      <c r="BA18" s="11"/>
      <c r="BB18" s="11"/>
      <c r="BC18" s="11"/>
      <c r="BD18" s="11"/>
      <c r="BE18" s="11"/>
      <c r="BF18" s="28"/>
      <c r="BG18" s="28"/>
      <c r="BH18" s="11"/>
      <c r="BI18" s="29"/>
      <c r="BJ18" s="11"/>
      <c r="BK18" s="11"/>
      <c r="BL18" s="11"/>
      <c r="BM18" s="11"/>
      <c r="BN18" s="11"/>
      <c r="BO18" s="11"/>
      <c r="BP18" s="11"/>
      <c r="BQ18" s="28"/>
      <c r="BR18" s="28"/>
      <c r="BS18" s="11"/>
      <c r="BT18" s="29"/>
      <c r="BU18" s="11"/>
      <c r="BV18" s="11"/>
      <c r="BW18" s="11"/>
      <c r="BX18" s="11"/>
      <c r="BY18" s="11"/>
      <c r="BZ18" s="11"/>
      <c r="CA18" s="11"/>
      <c r="CB18" s="11"/>
      <c r="CC18" s="29"/>
      <c r="CD18" s="28"/>
      <c r="CE18" s="11"/>
      <c r="CF18" s="11"/>
      <c r="CG18" s="11"/>
      <c r="CH18" s="29"/>
      <c r="CI18" s="28"/>
      <c r="CJ18" s="11"/>
      <c r="CK18" s="11"/>
      <c r="CL18" s="11"/>
      <c r="CM18" s="29"/>
      <c r="CN18" s="28"/>
      <c r="CO18" s="11"/>
      <c r="CP18" s="11"/>
      <c r="CQ18" s="11"/>
      <c r="CR18" s="29"/>
      <c r="CS18" s="28"/>
      <c r="CT18" s="30"/>
      <c r="CU18" s="30"/>
      <c r="CV18" s="30"/>
      <c r="CW18" s="30"/>
      <c r="CX18" s="30" t="str">
        <f t="shared" si="0"/>
        <v/>
      </c>
    </row>
    <row r="19" spans="1:102" ht="15.75" customHeight="1">
      <c r="A19" s="11"/>
      <c r="B19" s="11"/>
      <c r="C19" s="11"/>
      <c r="D19" s="11"/>
      <c r="E19" s="11"/>
      <c r="F19" s="11"/>
      <c r="G19" s="27"/>
      <c r="H19" s="15"/>
      <c r="I19" s="11"/>
      <c r="J19" s="11"/>
      <c r="K19" s="15"/>
      <c r="L19" s="15"/>
      <c r="M19" s="15"/>
      <c r="N19" s="11"/>
      <c r="O19" s="15"/>
      <c r="P19" s="11"/>
      <c r="Q19" s="11"/>
      <c r="R19" s="15"/>
      <c r="S19" s="11"/>
      <c r="T19" s="11"/>
      <c r="U19" s="15"/>
      <c r="V19" s="15"/>
      <c r="W19" s="15"/>
      <c r="X19" s="11"/>
      <c r="Y19" s="15"/>
      <c r="Z19" s="11"/>
      <c r="AA19" s="11"/>
      <c r="AB19" s="15"/>
      <c r="AC19" s="11"/>
      <c r="AD19" s="11"/>
      <c r="AE19" s="15"/>
      <c r="AF19" s="15"/>
      <c r="AG19" s="15"/>
      <c r="AH19" s="11"/>
      <c r="AI19" s="15"/>
      <c r="AJ19" s="11"/>
      <c r="AK19" s="11"/>
      <c r="AL19" s="15"/>
      <c r="AM19" s="11"/>
      <c r="AN19" s="11"/>
      <c r="AO19" s="15"/>
      <c r="AP19" s="15"/>
      <c r="AQ19" s="15"/>
      <c r="AR19" s="11"/>
      <c r="AS19" s="15"/>
      <c r="AT19" s="11"/>
      <c r="AU19" s="11"/>
      <c r="AV19" s="15"/>
      <c r="AW19" s="11"/>
      <c r="AX19" s="11"/>
      <c r="AY19" s="15"/>
      <c r="AZ19" s="11"/>
      <c r="BA19" s="11"/>
      <c r="BB19" s="11"/>
      <c r="BC19" s="11"/>
      <c r="BD19" s="11"/>
      <c r="BE19" s="11"/>
      <c r="BF19" s="28"/>
      <c r="BG19" s="28"/>
      <c r="BH19" s="11"/>
      <c r="BI19" s="29"/>
      <c r="BJ19" s="11"/>
      <c r="BK19" s="11"/>
      <c r="BL19" s="11"/>
      <c r="BM19" s="11"/>
      <c r="BN19" s="11"/>
      <c r="BO19" s="11"/>
      <c r="BP19" s="11"/>
      <c r="BQ19" s="28"/>
      <c r="BR19" s="28"/>
      <c r="BS19" s="11"/>
      <c r="BT19" s="29"/>
      <c r="BU19" s="11"/>
      <c r="BV19" s="11"/>
      <c r="BW19" s="11"/>
      <c r="BX19" s="11"/>
      <c r="BY19" s="11"/>
      <c r="BZ19" s="11"/>
      <c r="CA19" s="11"/>
      <c r="CB19" s="11"/>
      <c r="CC19" s="29"/>
      <c r="CD19" s="28"/>
      <c r="CE19" s="11"/>
      <c r="CF19" s="11"/>
      <c r="CG19" s="11"/>
      <c r="CH19" s="29"/>
      <c r="CI19" s="28"/>
      <c r="CJ19" s="11"/>
      <c r="CK19" s="11"/>
      <c r="CL19" s="11"/>
      <c r="CM19" s="29"/>
      <c r="CN19" s="28"/>
      <c r="CO19" s="11"/>
      <c r="CP19" s="11"/>
      <c r="CQ19" s="11"/>
      <c r="CR19" s="29"/>
      <c r="CS19" s="28"/>
      <c r="CT19" s="30"/>
      <c r="CU19" s="30"/>
      <c r="CV19" s="30"/>
      <c r="CW19" s="30"/>
      <c r="CX19" s="30" t="str">
        <f t="shared" si="0"/>
        <v/>
      </c>
    </row>
    <row r="20" spans="1:102" ht="15.75" customHeight="1">
      <c r="A20" s="11"/>
      <c r="B20" s="11"/>
      <c r="C20" s="11"/>
      <c r="D20" s="11"/>
      <c r="E20" s="11"/>
      <c r="F20" s="11"/>
      <c r="G20" s="27"/>
      <c r="H20" s="15"/>
      <c r="I20" s="11"/>
      <c r="J20" s="11"/>
      <c r="K20" s="15"/>
      <c r="L20" s="15"/>
      <c r="M20" s="15"/>
      <c r="N20" s="11"/>
      <c r="O20" s="15"/>
      <c r="P20" s="11"/>
      <c r="Q20" s="11"/>
      <c r="R20" s="15"/>
      <c r="S20" s="11"/>
      <c r="T20" s="11"/>
      <c r="U20" s="15"/>
      <c r="V20" s="15"/>
      <c r="W20" s="15"/>
      <c r="X20" s="11"/>
      <c r="Y20" s="15"/>
      <c r="Z20" s="11"/>
      <c r="AA20" s="11"/>
      <c r="AB20" s="15"/>
      <c r="AC20" s="11"/>
      <c r="AD20" s="11"/>
      <c r="AE20" s="15"/>
      <c r="AF20" s="15"/>
      <c r="AG20" s="15"/>
      <c r="AH20" s="11"/>
      <c r="AI20" s="15"/>
      <c r="AJ20" s="11"/>
      <c r="AK20" s="11"/>
      <c r="AL20" s="15"/>
      <c r="AM20" s="11"/>
      <c r="AN20" s="11"/>
      <c r="AO20" s="15"/>
      <c r="AP20" s="15"/>
      <c r="AQ20" s="15"/>
      <c r="AR20" s="11"/>
      <c r="AS20" s="15"/>
      <c r="AT20" s="11"/>
      <c r="AU20" s="11"/>
      <c r="AV20" s="15"/>
      <c r="AW20" s="11"/>
      <c r="AX20" s="11"/>
      <c r="AY20" s="15"/>
      <c r="AZ20" s="11"/>
      <c r="BA20" s="11"/>
      <c r="BB20" s="11"/>
      <c r="BC20" s="11"/>
      <c r="BD20" s="11"/>
      <c r="BE20" s="11"/>
      <c r="BF20" s="28"/>
      <c r="BG20" s="28"/>
      <c r="BH20" s="11"/>
      <c r="BI20" s="29"/>
      <c r="BJ20" s="11"/>
      <c r="BK20" s="11"/>
      <c r="BL20" s="11"/>
      <c r="BM20" s="11"/>
      <c r="BN20" s="11"/>
      <c r="BO20" s="11"/>
      <c r="BP20" s="11"/>
      <c r="BQ20" s="28"/>
      <c r="BR20" s="28"/>
      <c r="BS20" s="11"/>
      <c r="BT20" s="29"/>
      <c r="BU20" s="11"/>
      <c r="BV20" s="11"/>
      <c r="BW20" s="11"/>
      <c r="BX20" s="11"/>
      <c r="BY20" s="11"/>
      <c r="BZ20" s="11"/>
      <c r="CA20" s="11"/>
      <c r="CB20" s="11"/>
      <c r="CC20" s="29"/>
      <c r="CD20" s="28"/>
      <c r="CE20" s="11"/>
      <c r="CF20" s="11"/>
      <c r="CG20" s="11"/>
      <c r="CH20" s="29"/>
      <c r="CI20" s="28"/>
      <c r="CJ20" s="11"/>
      <c r="CK20" s="11"/>
      <c r="CL20" s="11"/>
      <c r="CM20" s="29"/>
      <c r="CN20" s="28"/>
      <c r="CO20" s="11"/>
      <c r="CP20" s="11"/>
      <c r="CQ20" s="11"/>
      <c r="CR20" s="29"/>
      <c r="CS20" s="28"/>
      <c r="CT20" s="30"/>
      <c r="CU20" s="30"/>
      <c r="CV20" s="30"/>
      <c r="CW20" s="30"/>
      <c r="CX20" s="30" t="str">
        <f t="shared" si="0"/>
        <v/>
      </c>
    </row>
    <row r="21" spans="1:102" ht="15.75" customHeight="1">
      <c r="A21" s="11"/>
      <c r="B21" s="11"/>
      <c r="C21" s="11"/>
      <c r="D21" s="11"/>
      <c r="E21" s="11"/>
      <c r="F21" s="11"/>
      <c r="G21" s="27"/>
      <c r="H21" s="15"/>
      <c r="I21" s="11"/>
      <c r="J21" s="11"/>
      <c r="K21" s="15"/>
      <c r="L21" s="15"/>
      <c r="M21" s="15"/>
      <c r="N21" s="11"/>
      <c r="O21" s="15"/>
      <c r="P21" s="11"/>
      <c r="Q21" s="11"/>
      <c r="R21" s="15"/>
      <c r="S21" s="11"/>
      <c r="T21" s="11"/>
      <c r="U21" s="15"/>
      <c r="V21" s="15"/>
      <c r="W21" s="15"/>
      <c r="X21" s="11"/>
      <c r="Y21" s="15"/>
      <c r="Z21" s="11"/>
      <c r="AA21" s="11"/>
      <c r="AB21" s="15"/>
      <c r="AC21" s="11"/>
      <c r="AD21" s="11"/>
      <c r="AE21" s="15"/>
      <c r="AF21" s="15"/>
      <c r="AG21" s="15"/>
      <c r="AH21" s="11"/>
      <c r="AI21" s="15"/>
      <c r="AJ21" s="11"/>
      <c r="AK21" s="11"/>
      <c r="AL21" s="15"/>
      <c r="AM21" s="11"/>
      <c r="AN21" s="11"/>
      <c r="AO21" s="15"/>
      <c r="AP21" s="15"/>
      <c r="AQ21" s="15"/>
      <c r="AR21" s="11"/>
      <c r="AS21" s="15"/>
      <c r="AT21" s="11"/>
      <c r="AU21" s="11"/>
      <c r="AV21" s="15"/>
      <c r="AW21" s="11"/>
      <c r="AX21" s="11"/>
      <c r="AY21" s="15"/>
      <c r="AZ21" s="11"/>
      <c r="BA21" s="11"/>
      <c r="BB21" s="11"/>
      <c r="BC21" s="11"/>
      <c r="BD21" s="11"/>
      <c r="BE21" s="11"/>
      <c r="BF21" s="28"/>
      <c r="BG21" s="28"/>
      <c r="BH21" s="11"/>
      <c r="BI21" s="29"/>
      <c r="BJ21" s="11"/>
      <c r="BK21" s="11"/>
      <c r="BL21" s="11"/>
      <c r="BM21" s="11"/>
      <c r="BN21" s="11"/>
      <c r="BO21" s="11"/>
      <c r="BP21" s="11"/>
      <c r="BQ21" s="28"/>
      <c r="BR21" s="28"/>
      <c r="BS21" s="11"/>
      <c r="BT21" s="29"/>
      <c r="BU21" s="11"/>
      <c r="BV21" s="11"/>
      <c r="BW21" s="11"/>
      <c r="BX21" s="11"/>
      <c r="BY21" s="11"/>
      <c r="BZ21" s="11"/>
      <c r="CA21" s="11"/>
      <c r="CB21" s="11"/>
      <c r="CC21" s="29"/>
      <c r="CD21" s="28"/>
      <c r="CE21" s="11"/>
      <c r="CF21" s="11"/>
      <c r="CG21" s="11"/>
      <c r="CH21" s="29"/>
      <c r="CI21" s="28"/>
      <c r="CJ21" s="11"/>
      <c r="CK21" s="11"/>
      <c r="CL21" s="11"/>
      <c r="CM21" s="29"/>
      <c r="CN21" s="28"/>
      <c r="CO21" s="11"/>
      <c r="CP21" s="11"/>
      <c r="CQ21" s="11"/>
      <c r="CR21" s="29"/>
      <c r="CS21" s="28"/>
      <c r="CT21" s="30"/>
      <c r="CU21" s="30"/>
      <c r="CV21" s="30"/>
      <c r="CW21" s="30"/>
      <c r="CX21" s="30" t="str">
        <f t="shared" si="0"/>
        <v/>
      </c>
    </row>
    <row r="22" spans="1:102" ht="15.75" customHeight="1">
      <c r="A22" s="11"/>
      <c r="B22" s="11"/>
      <c r="C22" s="11"/>
      <c r="D22" s="11"/>
      <c r="E22" s="11"/>
      <c r="F22" s="11"/>
      <c r="G22" s="27"/>
      <c r="H22" s="15"/>
      <c r="I22" s="11"/>
      <c r="J22" s="11"/>
      <c r="K22" s="15"/>
      <c r="L22" s="15"/>
      <c r="M22" s="15"/>
      <c r="N22" s="11"/>
      <c r="O22" s="15"/>
      <c r="P22" s="11"/>
      <c r="Q22" s="11"/>
      <c r="R22" s="15"/>
      <c r="S22" s="11"/>
      <c r="T22" s="11"/>
      <c r="U22" s="15"/>
      <c r="V22" s="15"/>
      <c r="W22" s="15"/>
      <c r="X22" s="11"/>
      <c r="Y22" s="15"/>
      <c r="Z22" s="11"/>
      <c r="AA22" s="11"/>
      <c r="AB22" s="15"/>
      <c r="AC22" s="11"/>
      <c r="AD22" s="11"/>
      <c r="AE22" s="15"/>
      <c r="AF22" s="15"/>
      <c r="AG22" s="15"/>
      <c r="AH22" s="11"/>
      <c r="AI22" s="15"/>
      <c r="AJ22" s="11"/>
      <c r="AK22" s="11"/>
      <c r="AL22" s="15"/>
      <c r="AM22" s="11"/>
      <c r="AN22" s="11"/>
      <c r="AO22" s="15"/>
      <c r="AP22" s="15"/>
      <c r="AQ22" s="15"/>
      <c r="AR22" s="11"/>
      <c r="AS22" s="15"/>
      <c r="AT22" s="11"/>
      <c r="AU22" s="11"/>
      <c r="AV22" s="15"/>
      <c r="AW22" s="11"/>
      <c r="AX22" s="11"/>
      <c r="AY22" s="15"/>
      <c r="AZ22" s="11"/>
      <c r="BA22" s="11"/>
      <c r="BB22" s="11"/>
      <c r="BC22" s="11"/>
      <c r="BD22" s="11"/>
      <c r="BE22" s="11"/>
      <c r="BF22" s="28"/>
      <c r="BG22" s="28"/>
      <c r="BH22" s="11"/>
      <c r="BI22" s="29"/>
      <c r="BJ22" s="11"/>
      <c r="BK22" s="11"/>
      <c r="BL22" s="11"/>
      <c r="BM22" s="11"/>
      <c r="BN22" s="11"/>
      <c r="BO22" s="11"/>
      <c r="BP22" s="11"/>
      <c r="BQ22" s="28"/>
      <c r="BR22" s="28"/>
      <c r="BS22" s="11"/>
      <c r="BT22" s="29"/>
      <c r="BU22" s="11"/>
      <c r="BV22" s="11"/>
      <c r="BW22" s="11"/>
      <c r="BX22" s="11"/>
      <c r="BY22" s="11"/>
      <c r="BZ22" s="11"/>
      <c r="CA22" s="11"/>
      <c r="CB22" s="11"/>
      <c r="CC22" s="29"/>
      <c r="CD22" s="28"/>
      <c r="CE22" s="11"/>
      <c r="CF22" s="11"/>
      <c r="CG22" s="11"/>
      <c r="CH22" s="29"/>
      <c r="CI22" s="28"/>
      <c r="CJ22" s="11"/>
      <c r="CK22" s="11"/>
      <c r="CL22" s="11"/>
      <c r="CM22" s="29"/>
      <c r="CN22" s="28"/>
      <c r="CO22" s="11"/>
      <c r="CP22" s="11"/>
      <c r="CQ22" s="11"/>
      <c r="CR22" s="29"/>
      <c r="CS22" s="28"/>
      <c r="CT22" s="30"/>
      <c r="CU22" s="30"/>
      <c r="CV22" s="30"/>
      <c r="CW22" s="30"/>
      <c r="CX22" s="30" t="str">
        <f t="shared" si="0"/>
        <v/>
      </c>
    </row>
    <row r="23" spans="1:102" ht="15.75" customHeight="1">
      <c r="A23" s="11"/>
      <c r="B23" s="11"/>
      <c r="C23" s="11"/>
      <c r="D23" s="11"/>
      <c r="E23" s="11"/>
      <c r="F23" s="11"/>
      <c r="G23" s="27"/>
      <c r="H23" s="15"/>
      <c r="I23" s="11"/>
      <c r="J23" s="11"/>
      <c r="K23" s="15"/>
      <c r="L23" s="15"/>
      <c r="M23" s="15"/>
      <c r="N23" s="11"/>
      <c r="O23" s="15"/>
      <c r="P23" s="11"/>
      <c r="Q23" s="11"/>
      <c r="R23" s="15"/>
      <c r="S23" s="11"/>
      <c r="T23" s="11"/>
      <c r="U23" s="15"/>
      <c r="V23" s="15"/>
      <c r="W23" s="15"/>
      <c r="X23" s="11"/>
      <c r="Y23" s="15"/>
      <c r="Z23" s="11"/>
      <c r="AA23" s="11"/>
      <c r="AB23" s="15"/>
      <c r="AC23" s="11"/>
      <c r="AD23" s="11"/>
      <c r="AE23" s="15"/>
      <c r="AF23" s="15"/>
      <c r="AG23" s="15"/>
      <c r="AH23" s="11"/>
      <c r="AI23" s="15"/>
      <c r="AJ23" s="11"/>
      <c r="AK23" s="11"/>
      <c r="AL23" s="15"/>
      <c r="AM23" s="11"/>
      <c r="AN23" s="11"/>
      <c r="AO23" s="15"/>
      <c r="AP23" s="15"/>
      <c r="AQ23" s="15"/>
      <c r="AR23" s="11"/>
      <c r="AS23" s="15"/>
      <c r="AT23" s="11"/>
      <c r="AU23" s="11"/>
      <c r="AV23" s="15"/>
      <c r="AW23" s="11"/>
      <c r="AX23" s="11"/>
      <c r="AY23" s="15"/>
      <c r="AZ23" s="11"/>
      <c r="BA23" s="11"/>
      <c r="BB23" s="11"/>
      <c r="BC23" s="11"/>
      <c r="BD23" s="11"/>
      <c r="BE23" s="11"/>
      <c r="BF23" s="28"/>
      <c r="BG23" s="28"/>
      <c r="BH23" s="11"/>
      <c r="BI23" s="29"/>
      <c r="BJ23" s="11"/>
      <c r="BK23" s="11"/>
      <c r="BL23" s="11"/>
      <c r="BM23" s="11"/>
      <c r="BN23" s="11"/>
      <c r="BO23" s="11"/>
      <c r="BP23" s="11"/>
      <c r="BQ23" s="28"/>
      <c r="BR23" s="28"/>
      <c r="BS23" s="11"/>
      <c r="BT23" s="29"/>
      <c r="BU23" s="11"/>
      <c r="BV23" s="11"/>
      <c r="BW23" s="11"/>
      <c r="BX23" s="11"/>
      <c r="BY23" s="11"/>
      <c r="BZ23" s="11"/>
      <c r="CA23" s="11"/>
      <c r="CB23" s="11"/>
      <c r="CC23" s="29"/>
      <c r="CD23" s="28"/>
      <c r="CE23" s="11"/>
      <c r="CF23" s="11"/>
      <c r="CG23" s="11"/>
      <c r="CH23" s="29"/>
      <c r="CI23" s="28"/>
      <c r="CJ23" s="11"/>
      <c r="CK23" s="11"/>
      <c r="CL23" s="11"/>
      <c r="CM23" s="29"/>
      <c r="CN23" s="28"/>
      <c r="CO23" s="11"/>
      <c r="CP23" s="11"/>
      <c r="CQ23" s="11"/>
      <c r="CR23" s="29"/>
      <c r="CS23" s="28"/>
      <c r="CT23" s="30"/>
      <c r="CU23" s="30"/>
      <c r="CV23" s="30"/>
      <c r="CW23" s="30"/>
      <c r="CX23" s="30" t="str">
        <f t="shared" si="0"/>
        <v/>
      </c>
    </row>
    <row r="24" spans="1:102" ht="15.75" customHeight="1">
      <c r="A24" s="11"/>
      <c r="B24" s="11"/>
      <c r="C24" s="11"/>
      <c r="D24" s="11"/>
      <c r="E24" s="11"/>
      <c r="F24" s="11"/>
      <c r="G24" s="27"/>
      <c r="H24" s="15"/>
      <c r="I24" s="11"/>
      <c r="J24" s="11"/>
      <c r="K24" s="15"/>
      <c r="L24" s="15"/>
      <c r="M24" s="15"/>
      <c r="N24" s="11"/>
      <c r="O24" s="15"/>
      <c r="P24" s="11"/>
      <c r="Q24" s="11"/>
      <c r="R24" s="15"/>
      <c r="S24" s="11"/>
      <c r="T24" s="11"/>
      <c r="U24" s="15"/>
      <c r="V24" s="15"/>
      <c r="W24" s="15"/>
      <c r="X24" s="11"/>
      <c r="Y24" s="15"/>
      <c r="Z24" s="11"/>
      <c r="AA24" s="11"/>
      <c r="AB24" s="15"/>
      <c r="AC24" s="11"/>
      <c r="AD24" s="11"/>
      <c r="AE24" s="15"/>
      <c r="AF24" s="15"/>
      <c r="AG24" s="15"/>
      <c r="AH24" s="11"/>
      <c r="AI24" s="15"/>
      <c r="AJ24" s="11"/>
      <c r="AK24" s="11"/>
      <c r="AL24" s="15"/>
      <c r="AM24" s="11"/>
      <c r="AN24" s="11"/>
      <c r="AO24" s="15"/>
      <c r="AP24" s="15"/>
      <c r="AQ24" s="15"/>
      <c r="AR24" s="11"/>
      <c r="AS24" s="15"/>
      <c r="AT24" s="11"/>
      <c r="AU24" s="11"/>
      <c r="AV24" s="15"/>
      <c r="AW24" s="11"/>
      <c r="AX24" s="11"/>
      <c r="AY24" s="15"/>
      <c r="AZ24" s="11"/>
      <c r="BA24" s="11"/>
      <c r="BB24" s="11"/>
      <c r="BC24" s="11"/>
      <c r="BD24" s="11"/>
      <c r="BE24" s="11"/>
      <c r="BF24" s="28"/>
      <c r="BG24" s="28"/>
      <c r="BH24" s="11"/>
      <c r="BI24" s="29"/>
      <c r="BJ24" s="11"/>
      <c r="BK24" s="11"/>
      <c r="BL24" s="11"/>
      <c r="BM24" s="11"/>
      <c r="BN24" s="11"/>
      <c r="BO24" s="11"/>
      <c r="BP24" s="11"/>
      <c r="BQ24" s="28"/>
      <c r="BR24" s="28"/>
      <c r="BS24" s="11"/>
      <c r="BT24" s="29"/>
      <c r="BU24" s="11"/>
      <c r="BV24" s="11"/>
      <c r="BW24" s="11"/>
      <c r="BX24" s="11"/>
      <c r="BY24" s="11"/>
      <c r="BZ24" s="11"/>
      <c r="CA24" s="11"/>
      <c r="CB24" s="11"/>
      <c r="CC24" s="29"/>
      <c r="CD24" s="28"/>
      <c r="CE24" s="11"/>
      <c r="CF24" s="11"/>
      <c r="CG24" s="11"/>
      <c r="CH24" s="29"/>
      <c r="CI24" s="28"/>
      <c r="CJ24" s="11"/>
      <c r="CK24" s="11"/>
      <c r="CL24" s="11"/>
      <c r="CM24" s="29"/>
      <c r="CN24" s="28"/>
      <c r="CO24" s="11"/>
      <c r="CP24" s="11"/>
      <c r="CQ24" s="11"/>
      <c r="CR24" s="29"/>
      <c r="CS24" s="28"/>
      <c r="CT24" s="30"/>
      <c r="CU24" s="30"/>
      <c r="CV24" s="30"/>
      <c r="CW24" s="30"/>
      <c r="CX24" s="30" t="str">
        <f t="shared" si="0"/>
        <v/>
      </c>
    </row>
    <row r="25" spans="1:102" ht="15.75" customHeight="1">
      <c r="A25" s="11"/>
      <c r="B25" s="11"/>
      <c r="C25" s="11"/>
      <c r="D25" s="11"/>
      <c r="E25" s="11"/>
      <c r="F25" s="11"/>
      <c r="G25" s="27"/>
      <c r="H25" s="15"/>
      <c r="I25" s="11"/>
      <c r="J25" s="11"/>
      <c r="K25" s="15"/>
      <c r="L25" s="15"/>
      <c r="M25" s="15"/>
      <c r="N25" s="11"/>
      <c r="O25" s="15"/>
      <c r="P25" s="11"/>
      <c r="Q25" s="11"/>
      <c r="R25" s="15"/>
      <c r="S25" s="11"/>
      <c r="T25" s="11"/>
      <c r="U25" s="15"/>
      <c r="V25" s="15"/>
      <c r="W25" s="15"/>
      <c r="X25" s="11"/>
      <c r="Y25" s="15"/>
      <c r="Z25" s="11"/>
      <c r="AA25" s="11"/>
      <c r="AB25" s="15"/>
      <c r="AC25" s="11"/>
      <c r="AD25" s="11"/>
      <c r="AE25" s="15"/>
      <c r="AF25" s="15"/>
      <c r="AG25" s="15"/>
      <c r="AH25" s="11"/>
      <c r="AI25" s="15"/>
      <c r="AJ25" s="11"/>
      <c r="AK25" s="11"/>
      <c r="AL25" s="15"/>
      <c r="AM25" s="11"/>
      <c r="AN25" s="11"/>
      <c r="AO25" s="15"/>
      <c r="AP25" s="15"/>
      <c r="AQ25" s="15"/>
      <c r="AR25" s="11"/>
      <c r="AS25" s="15"/>
      <c r="AT25" s="11"/>
      <c r="AU25" s="11"/>
      <c r="AV25" s="15"/>
      <c r="AW25" s="11"/>
      <c r="AX25" s="11"/>
      <c r="AY25" s="15"/>
      <c r="AZ25" s="11"/>
      <c r="BA25" s="11"/>
      <c r="BB25" s="11"/>
      <c r="BC25" s="11"/>
      <c r="BD25" s="11"/>
      <c r="BE25" s="11"/>
      <c r="BF25" s="28"/>
      <c r="BG25" s="28"/>
      <c r="BH25" s="11"/>
      <c r="BI25" s="29"/>
      <c r="BJ25" s="11"/>
      <c r="BK25" s="11"/>
      <c r="BL25" s="11"/>
      <c r="BM25" s="11"/>
      <c r="BN25" s="11"/>
      <c r="BO25" s="11"/>
      <c r="BP25" s="11"/>
      <c r="BQ25" s="28"/>
      <c r="BR25" s="28"/>
      <c r="BS25" s="11"/>
      <c r="BT25" s="29"/>
      <c r="BU25" s="11"/>
      <c r="BV25" s="11"/>
      <c r="BW25" s="11"/>
      <c r="BX25" s="11"/>
      <c r="BY25" s="11"/>
      <c r="BZ25" s="11"/>
      <c r="CA25" s="11"/>
      <c r="CB25" s="11"/>
      <c r="CC25" s="29"/>
      <c r="CD25" s="28"/>
      <c r="CE25" s="11"/>
      <c r="CF25" s="11"/>
      <c r="CG25" s="11"/>
      <c r="CH25" s="29"/>
      <c r="CI25" s="28"/>
      <c r="CJ25" s="11"/>
      <c r="CK25" s="11"/>
      <c r="CL25" s="11"/>
      <c r="CM25" s="29"/>
      <c r="CN25" s="28"/>
      <c r="CO25" s="11"/>
      <c r="CP25" s="11"/>
      <c r="CQ25" s="11"/>
      <c r="CR25" s="29"/>
      <c r="CS25" s="28"/>
      <c r="CT25" s="30"/>
      <c r="CU25" s="30"/>
      <c r="CV25" s="30"/>
      <c r="CW25" s="30"/>
      <c r="CX25" s="30" t="str">
        <f t="shared" si="0"/>
        <v/>
      </c>
    </row>
    <row r="26" spans="1:102" ht="15.75" customHeight="1">
      <c r="A26" s="11"/>
      <c r="B26" s="11"/>
      <c r="C26" s="11"/>
      <c r="D26" s="11"/>
      <c r="E26" s="11"/>
      <c r="F26" s="11"/>
      <c r="G26" s="27"/>
      <c r="H26" s="15"/>
      <c r="I26" s="11"/>
      <c r="J26" s="11"/>
      <c r="K26" s="15"/>
      <c r="L26" s="15"/>
      <c r="M26" s="15"/>
      <c r="N26" s="11"/>
      <c r="O26" s="15"/>
      <c r="P26" s="11"/>
      <c r="Q26" s="11"/>
      <c r="R26" s="15"/>
      <c r="S26" s="11"/>
      <c r="T26" s="11"/>
      <c r="U26" s="15"/>
      <c r="V26" s="15"/>
      <c r="W26" s="15"/>
      <c r="X26" s="11"/>
      <c r="Y26" s="15"/>
      <c r="Z26" s="11"/>
      <c r="AA26" s="11"/>
      <c r="AB26" s="15"/>
      <c r="AC26" s="11"/>
      <c r="AD26" s="11"/>
      <c r="AE26" s="15"/>
      <c r="AF26" s="15"/>
      <c r="AG26" s="15"/>
      <c r="AH26" s="11"/>
      <c r="AI26" s="15"/>
      <c r="AJ26" s="11"/>
      <c r="AK26" s="11"/>
      <c r="AL26" s="15"/>
      <c r="AM26" s="11"/>
      <c r="AN26" s="11"/>
      <c r="AO26" s="15"/>
      <c r="AP26" s="15"/>
      <c r="AQ26" s="15"/>
      <c r="AR26" s="11"/>
      <c r="AS26" s="15"/>
      <c r="AT26" s="11"/>
      <c r="AU26" s="11"/>
      <c r="AV26" s="15"/>
      <c r="AW26" s="11"/>
      <c r="AX26" s="11"/>
      <c r="AY26" s="15"/>
      <c r="AZ26" s="11"/>
      <c r="BA26" s="11"/>
      <c r="BB26" s="11"/>
      <c r="BC26" s="11"/>
      <c r="BD26" s="11"/>
      <c r="BE26" s="11"/>
      <c r="BF26" s="28"/>
      <c r="BG26" s="28"/>
      <c r="BH26" s="11"/>
      <c r="BI26" s="29"/>
      <c r="BJ26" s="11"/>
      <c r="BK26" s="11"/>
      <c r="BL26" s="11"/>
      <c r="BM26" s="11"/>
      <c r="BN26" s="11"/>
      <c r="BO26" s="11"/>
      <c r="BP26" s="11"/>
      <c r="BQ26" s="28"/>
      <c r="BR26" s="28"/>
      <c r="BS26" s="11"/>
      <c r="BT26" s="29"/>
      <c r="BU26" s="11"/>
      <c r="BV26" s="11"/>
      <c r="BW26" s="11"/>
      <c r="BX26" s="11"/>
      <c r="BY26" s="11"/>
      <c r="BZ26" s="11"/>
      <c r="CA26" s="11"/>
      <c r="CB26" s="11"/>
      <c r="CC26" s="29"/>
      <c r="CD26" s="28"/>
      <c r="CE26" s="11"/>
      <c r="CF26" s="11"/>
      <c r="CG26" s="11"/>
      <c r="CH26" s="29"/>
      <c r="CI26" s="28"/>
      <c r="CJ26" s="11"/>
      <c r="CK26" s="11"/>
      <c r="CL26" s="11"/>
      <c r="CM26" s="29"/>
      <c r="CN26" s="28"/>
      <c r="CO26" s="11"/>
      <c r="CP26" s="11"/>
      <c r="CQ26" s="11"/>
      <c r="CR26" s="29"/>
      <c r="CS26" s="28"/>
      <c r="CT26" s="30"/>
      <c r="CU26" s="30"/>
      <c r="CV26" s="30"/>
      <c r="CW26" s="30"/>
      <c r="CX26" s="30" t="str">
        <f t="shared" si="0"/>
        <v/>
      </c>
    </row>
    <row r="27" spans="1:102" ht="15.75" customHeight="1">
      <c r="A27" s="11"/>
      <c r="B27" s="11"/>
      <c r="C27" s="11"/>
      <c r="D27" s="11"/>
      <c r="E27" s="11"/>
      <c r="F27" s="11"/>
      <c r="G27" s="27"/>
      <c r="H27" s="15"/>
      <c r="I27" s="11"/>
      <c r="J27" s="11"/>
      <c r="K27" s="15"/>
      <c r="L27" s="15"/>
      <c r="M27" s="15"/>
      <c r="N27" s="11"/>
      <c r="O27" s="15"/>
      <c r="P27" s="11"/>
      <c r="Q27" s="11"/>
      <c r="R27" s="15"/>
      <c r="S27" s="11"/>
      <c r="T27" s="11"/>
      <c r="U27" s="15"/>
      <c r="V27" s="15"/>
      <c r="W27" s="15"/>
      <c r="X27" s="11"/>
      <c r="Y27" s="15"/>
      <c r="Z27" s="11"/>
      <c r="AA27" s="11"/>
      <c r="AB27" s="15"/>
      <c r="AC27" s="11"/>
      <c r="AD27" s="11"/>
      <c r="AE27" s="15"/>
      <c r="AF27" s="15"/>
      <c r="AG27" s="15"/>
      <c r="AH27" s="11"/>
      <c r="AI27" s="15"/>
      <c r="AJ27" s="11"/>
      <c r="AK27" s="11"/>
      <c r="AL27" s="15"/>
      <c r="AM27" s="11"/>
      <c r="AN27" s="11"/>
      <c r="AO27" s="15"/>
      <c r="AP27" s="15"/>
      <c r="AQ27" s="15"/>
      <c r="AR27" s="11"/>
      <c r="AS27" s="15"/>
      <c r="AT27" s="11"/>
      <c r="AU27" s="11"/>
      <c r="AV27" s="15"/>
      <c r="AW27" s="11"/>
      <c r="AX27" s="11"/>
      <c r="AY27" s="15"/>
      <c r="AZ27" s="11"/>
      <c r="BA27" s="11"/>
      <c r="BB27" s="11"/>
      <c r="BC27" s="11"/>
      <c r="BD27" s="11"/>
      <c r="BE27" s="11"/>
      <c r="BF27" s="28"/>
      <c r="BG27" s="28"/>
      <c r="BH27" s="11"/>
      <c r="BI27" s="29"/>
      <c r="BJ27" s="11"/>
      <c r="BK27" s="11"/>
      <c r="BL27" s="11"/>
      <c r="BM27" s="11"/>
      <c r="BN27" s="11"/>
      <c r="BO27" s="11"/>
      <c r="BP27" s="11"/>
      <c r="BQ27" s="28"/>
      <c r="BR27" s="28"/>
      <c r="BS27" s="11"/>
      <c r="BT27" s="29"/>
      <c r="BU27" s="11"/>
      <c r="BV27" s="11"/>
      <c r="BW27" s="11"/>
      <c r="BX27" s="11"/>
      <c r="BY27" s="11"/>
      <c r="BZ27" s="11"/>
      <c r="CA27" s="11"/>
      <c r="CB27" s="11"/>
      <c r="CC27" s="29"/>
      <c r="CD27" s="28"/>
      <c r="CE27" s="11"/>
      <c r="CF27" s="11"/>
      <c r="CG27" s="11"/>
      <c r="CH27" s="29"/>
      <c r="CI27" s="28"/>
      <c r="CJ27" s="11"/>
      <c r="CK27" s="11"/>
      <c r="CL27" s="11"/>
      <c r="CM27" s="29"/>
      <c r="CN27" s="28"/>
      <c r="CO27" s="11"/>
      <c r="CP27" s="11"/>
      <c r="CQ27" s="11"/>
      <c r="CR27" s="29"/>
      <c r="CS27" s="28"/>
      <c r="CT27" s="30"/>
      <c r="CU27" s="30"/>
      <c r="CV27" s="30"/>
      <c r="CW27" s="30"/>
      <c r="CX27" s="30" t="str">
        <f t="shared" si="0"/>
        <v/>
      </c>
    </row>
    <row r="28" spans="1:102" ht="15.75" customHeight="1">
      <c r="A28" s="11"/>
      <c r="B28" s="11"/>
      <c r="C28" s="11"/>
      <c r="D28" s="11"/>
      <c r="E28" s="11"/>
      <c r="F28" s="11"/>
      <c r="G28" s="27"/>
      <c r="H28" s="15"/>
      <c r="I28" s="11"/>
      <c r="J28" s="11"/>
      <c r="K28" s="15"/>
      <c r="L28" s="15"/>
      <c r="M28" s="15"/>
      <c r="N28" s="11"/>
      <c r="O28" s="15"/>
      <c r="P28" s="11"/>
      <c r="Q28" s="11"/>
      <c r="R28" s="15"/>
      <c r="S28" s="11"/>
      <c r="T28" s="11"/>
      <c r="U28" s="15"/>
      <c r="V28" s="15"/>
      <c r="W28" s="15"/>
      <c r="X28" s="11"/>
      <c r="Y28" s="15"/>
      <c r="Z28" s="11"/>
      <c r="AA28" s="11"/>
      <c r="AB28" s="15"/>
      <c r="AC28" s="11"/>
      <c r="AD28" s="11"/>
      <c r="AE28" s="15"/>
      <c r="AF28" s="15"/>
      <c r="AG28" s="15"/>
      <c r="AH28" s="11"/>
      <c r="AI28" s="15"/>
      <c r="AJ28" s="11"/>
      <c r="AK28" s="11"/>
      <c r="AL28" s="15"/>
      <c r="AM28" s="11"/>
      <c r="AN28" s="11"/>
      <c r="AO28" s="15"/>
      <c r="AP28" s="15"/>
      <c r="AQ28" s="15"/>
      <c r="AR28" s="11"/>
      <c r="AS28" s="15"/>
      <c r="AT28" s="11"/>
      <c r="AU28" s="11"/>
      <c r="AV28" s="15"/>
      <c r="AW28" s="11"/>
      <c r="AX28" s="11"/>
      <c r="AY28" s="15"/>
      <c r="AZ28" s="11"/>
      <c r="BA28" s="11"/>
      <c r="BB28" s="11"/>
      <c r="BC28" s="11"/>
      <c r="BD28" s="11"/>
      <c r="BE28" s="11"/>
      <c r="BF28" s="28"/>
      <c r="BG28" s="28"/>
      <c r="BH28" s="11"/>
      <c r="BI28" s="29"/>
      <c r="BJ28" s="11"/>
      <c r="BK28" s="11"/>
      <c r="BL28" s="11"/>
      <c r="BM28" s="11"/>
      <c r="BN28" s="11"/>
      <c r="BO28" s="11"/>
      <c r="BP28" s="11"/>
      <c r="BQ28" s="28"/>
      <c r="BR28" s="28"/>
      <c r="BS28" s="11"/>
      <c r="BT28" s="29"/>
      <c r="BU28" s="11"/>
      <c r="BV28" s="11"/>
      <c r="BW28" s="11"/>
      <c r="BX28" s="11"/>
      <c r="BY28" s="11"/>
      <c r="BZ28" s="11"/>
      <c r="CA28" s="11"/>
      <c r="CB28" s="11"/>
      <c r="CC28" s="29"/>
      <c r="CD28" s="28"/>
      <c r="CE28" s="11"/>
      <c r="CF28" s="11"/>
      <c r="CG28" s="11"/>
      <c r="CH28" s="29"/>
      <c r="CI28" s="28"/>
      <c r="CJ28" s="11"/>
      <c r="CK28" s="11"/>
      <c r="CL28" s="11"/>
      <c r="CM28" s="29"/>
      <c r="CN28" s="28"/>
      <c r="CO28" s="11"/>
      <c r="CP28" s="11"/>
      <c r="CQ28" s="11"/>
      <c r="CR28" s="29"/>
      <c r="CS28" s="28"/>
      <c r="CT28" s="30"/>
      <c r="CU28" s="30"/>
      <c r="CV28" s="30"/>
      <c r="CW28" s="30"/>
      <c r="CX28" s="30" t="str">
        <f t="shared" si="0"/>
        <v/>
      </c>
    </row>
    <row r="29" spans="1:102" ht="15.75" customHeight="1">
      <c r="A29" s="11"/>
      <c r="B29" s="11"/>
      <c r="C29" s="11"/>
      <c r="D29" s="11"/>
      <c r="E29" s="11"/>
      <c r="F29" s="11"/>
      <c r="G29" s="27"/>
      <c r="H29" s="15"/>
      <c r="I29" s="11"/>
      <c r="J29" s="11"/>
      <c r="K29" s="15"/>
      <c r="L29" s="15"/>
      <c r="M29" s="15"/>
      <c r="N29" s="11"/>
      <c r="O29" s="15"/>
      <c r="P29" s="11"/>
      <c r="Q29" s="11"/>
      <c r="R29" s="15"/>
      <c r="S29" s="11"/>
      <c r="T29" s="11"/>
      <c r="U29" s="15"/>
      <c r="V29" s="15"/>
      <c r="W29" s="15"/>
      <c r="X29" s="11"/>
      <c r="Y29" s="15"/>
      <c r="Z29" s="11"/>
      <c r="AA29" s="11"/>
      <c r="AB29" s="15"/>
      <c r="AC29" s="11"/>
      <c r="AD29" s="11"/>
      <c r="AE29" s="15"/>
      <c r="AF29" s="15"/>
      <c r="AG29" s="15"/>
      <c r="AH29" s="11"/>
      <c r="AI29" s="15"/>
      <c r="AJ29" s="11"/>
      <c r="AK29" s="11"/>
      <c r="AL29" s="15"/>
      <c r="AM29" s="11"/>
      <c r="AN29" s="11"/>
      <c r="AO29" s="15"/>
      <c r="AP29" s="15"/>
      <c r="AQ29" s="15"/>
      <c r="AR29" s="11"/>
      <c r="AS29" s="15"/>
      <c r="AT29" s="11"/>
      <c r="AU29" s="11"/>
      <c r="AV29" s="15"/>
      <c r="AW29" s="11"/>
      <c r="AX29" s="11"/>
      <c r="AY29" s="15"/>
      <c r="AZ29" s="11"/>
      <c r="BA29" s="11"/>
      <c r="BB29" s="11"/>
      <c r="BC29" s="11"/>
      <c r="BD29" s="11"/>
      <c r="BE29" s="11"/>
      <c r="BF29" s="28"/>
      <c r="BG29" s="28"/>
      <c r="BH29" s="11"/>
      <c r="BI29" s="29"/>
      <c r="BJ29" s="11"/>
      <c r="BK29" s="11"/>
      <c r="BL29" s="11"/>
      <c r="BM29" s="11"/>
      <c r="BN29" s="11"/>
      <c r="BO29" s="11"/>
      <c r="BP29" s="11"/>
      <c r="BQ29" s="28"/>
      <c r="BR29" s="28"/>
      <c r="BS29" s="11"/>
      <c r="BT29" s="29"/>
      <c r="BU29" s="11"/>
      <c r="BV29" s="11"/>
      <c r="BW29" s="11"/>
      <c r="BX29" s="11"/>
      <c r="BY29" s="11"/>
      <c r="BZ29" s="11"/>
      <c r="CA29" s="11"/>
      <c r="CB29" s="11"/>
      <c r="CC29" s="29"/>
      <c r="CD29" s="28"/>
      <c r="CE29" s="11"/>
      <c r="CF29" s="11"/>
      <c r="CG29" s="11"/>
      <c r="CH29" s="29"/>
      <c r="CI29" s="28"/>
      <c r="CJ29" s="11"/>
      <c r="CK29" s="11"/>
      <c r="CL29" s="11"/>
      <c r="CM29" s="29"/>
      <c r="CN29" s="28"/>
      <c r="CO29" s="11"/>
      <c r="CP29" s="11"/>
      <c r="CQ29" s="11"/>
      <c r="CR29" s="29"/>
      <c r="CS29" s="28"/>
      <c r="CT29" s="30"/>
      <c r="CU29" s="30"/>
      <c r="CV29" s="30"/>
      <c r="CW29" s="30"/>
      <c r="CX29" s="30" t="str">
        <f t="shared" si="0"/>
        <v/>
      </c>
    </row>
    <row r="30" spans="1:102" ht="15.75" customHeight="1">
      <c r="A30" s="11"/>
      <c r="B30" s="11"/>
      <c r="C30" s="11"/>
      <c r="D30" s="11"/>
      <c r="E30" s="11"/>
      <c r="F30" s="11"/>
      <c r="G30" s="27"/>
      <c r="H30" s="15"/>
      <c r="I30" s="11"/>
      <c r="J30" s="11"/>
      <c r="K30" s="15"/>
      <c r="L30" s="15"/>
      <c r="M30" s="15"/>
      <c r="N30" s="11"/>
      <c r="O30" s="15"/>
      <c r="P30" s="11"/>
      <c r="Q30" s="11"/>
      <c r="R30" s="15"/>
      <c r="S30" s="11"/>
      <c r="T30" s="11"/>
      <c r="U30" s="15"/>
      <c r="V30" s="15"/>
      <c r="W30" s="15"/>
      <c r="X30" s="11"/>
      <c r="Y30" s="15"/>
      <c r="Z30" s="11"/>
      <c r="AA30" s="11"/>
      <c r="AB30" s="15"/>
      <c r="AC30" s="11"/>
      <c r="AD30" s="11"/>
      <c r="AE30" s="15"/>
      <c r="AF30" s="15"/>
      <c r="AG30" s="15"/>
      <c r="AH30" s="11"/>
      <c r="AI30" s="15"/>
      <c r="AJ30" s="11"/>
      <c r="AK30" s="11"/>
      <c r="AL30" s="15"/>
      <c r="AM30" s="11"/>
      <c r="AN30" s="11"/>
      <c r="AO30" s="15"/>
      <c r="AP30" s="15"/>
      <c r="AQ30" s="15"/>
      <c r="AR30" s="11"/>
      <c r="AS30" s="15"/>
      <c r="AT30" s="11"/>
      <c r="AU30" s="11"/>
      <c r="AV30" s="15"/>
      <c r="AW30" s="11"/>
      <c r="AX30" s="11"/>
      <c r="AY30" s="15"/>
      <c r="AZ30" s="11"/>
      <c r="BA30" s="11"/>
      <c r="BB30" s="11"/>
      <c r="BC30" s="11"/>
      <c r="BD30" s="11"/>
      <c r="BE30" s="11"/>
      <c r="BF30" s="28"/>
      <c r="BG30" s="28"/>
      <c r="BH30" s="11"/>
      <c r="BI30" s="29"/>
      <c r="BJ30" s="11"/>
      <c r="BK30" s="11"/>
      <c r="BL30" s="11"/>
      <c r="BM30" s="11"/>
      <c r="BN30" s="11"/>
      <c r="BO30" s="11"/>
      <c r="BP30" s="11"/>
      <c r="BQ30" s="28"/>
      <c r="BR30" s="28"/>
      <c r="BS30" s="11"/>
      <c r="BT30" s="29"/>
      <c r="BU30" s="11"/>
      <c r="BV30" s="11"/>
      <c r="BW30" s="11"/>
      <c r="BX30" s="11"/>
      <c r="BY30" s="11"/>
      <c r="BZ30" s="11"/>
      <c r="CA30" s="11"/>
      <c r="CB30" s="11"/>
      <c r="CC30" s="29"/>
      <c r="CD30" s="28"/>
      <c r="CE30" s="11"/>
      <c r="CF30" s="11"/>
      <c r="CG30" s="11"/>
      <c r="CH30" s="29"/>
      <c r="CI30" s="28"/>
      <c r="CJ30" s="11"/>
      <c r="CK30" s="11"/>
      <c r="CL30" s="11"/>
      <c r="CM30" s="29"/>
      <c r="CN30" s="28"/>
      <c r="CO30" s="11"/>
      <c r="CP30" s="11"/>
      <c r="CQ30" s="11"/>
      <c r="CR30" s="29"/>
      <c r="CS30" s="28"/>
      <c r="CT30" s="30"/>
      <c r="CU30" s="30"/>
      <c r="CV30" s="30"/>
      <c r="CW30" s="30"/>
      <c r="CX30" s="30" t="str">
        <f t="shared" si="0"/>
        <v/>
      </c>
    </row>
    <row r="31" spans="1:102" ht="16.5">
      <c r="A31" s="11"/>
      <c r="B31" s="11"/>
      <c r="C31" s="11"/>
      <c r="D31" s="11"/>
      <c r="E31" s="11"/>
      <c r="F31" s="11"/>
      <c r="G31" s="27"/>
      <c r="H31" s="15"/>
      <c r="I31" s="11"/>
      <c r="J31" s="11"/>
      <c r="K31" s="15"/>
      <c r="L31" s="15"/>
      <c r="M31" s="15"/>
      <c r="N31" s="11"/>
      <c r="O31" s="15"/>
      <c r="P31" s="11"/>
      <c r="Q31" s="11"/>
      <c r="R31" s="15"/>
      <c r="S31" s="11"/>
      <c r="T31" s="11"/>
      <c r="U31" s="15"/>
      <c r="V31" s="15"/>
      <c r="W31" s="15"/>
      <c r="X31" s="11"/>
      <c r="Y31" s="15"/>
      <c r="Z31" s="11"/>
      <c r="AA31" s="11"/>
      <c r="AB31" s="15"/>
      <c r="AC31" s="11"/>
      <c r="AD31" s="11"/>
      <c r="AE31" s="15"/>
      <c r="AF31" s="15"/>
      <c r="AG31" s="15"/>
      <c r="AH31" s="11"/>
      <c r="AI31" s="15"/>
      <c r="AJ31" s="11"/>
      <c r="AK31" s="11"/>
      <c r="AL31" s="15"/>
      <c r="AM31" s="11"/>
      <c r="AN31" s="11"/>
      <c r="AO31" s="15"/>
      <c r="AP31" s="15"/>
      <c r="AQ31" s="15"/>
      <c r="AR31" s="11"/>
      <c r="AS31" s="15"/>
      <c r="AT31" s="11"/>
      <c r="AU31" s="11"/>
      <c r="AV31" s="15"/>
      <c r="AW31" s="11"/>
      <c r="AX31" s="11"/>
      <c r="AY31" s="15"/>
      <c r="AZ31" s="11"/>
      <c r="BA31" s="11"/>
      <c r="BB31" s="11"/>
      <c r="BC31" s="11"/>
      <c r="BD31" s="11"/>
      <c r="BE31" s="11"/>
      <c r="BF31" s="28"/>
      <c r="BG31" s="28"/>
      <c r="BH31" s="11"/>
      <c r="BI31" s="29"/>
      <c r="BJ31" s="11"/>
      <c r="BK31" s="11"/>
      <c r="BL31" s="11"/>
      <c r="BM31" s="11"/>
      <c r="BN31" s="11"/>
      <c r="BO31" s="11"/>
      <c r="BP31" s="11"/>
      <c r="BQ31" s="28"/>
      <c r="BR31" s="28"/>
      <c r="BS31" s="11"/>
      <c r="BT31" s="29"/>
      <c r="BU31" s="11"/>
      <c r="BV31" s="11"/>
      <c r="BW31" s="11"/>
      <c r="BX31" s="11"/>
      <c r="BY31" s="11"/>
      <c r="BZ31" s="11"/>
      <c r="CA31" s="11"/>
      <c r="CB31" s="11"/>
      <c r="CC31" s="29"/>
      <c r="CD31" s="28"/>
      <c r="CE31" s="11"/>
      <c r="CF31" s="11"/>
      <c r="CG31" s="11"/>
      <c r="CH31" s="29"/>
      <c r="CI31" s="28"/>
      <c r="CJ31" s="11"/>
      <c r="CK31" s="11"/>
      <c r="CL31" s="11"/>
      <c r="CM31" s="29"/>
      <c r="CN31" s="28"/>
      <c r="CO31" s="11"/>
      <c r="CP31" s="11"/>
      <c r="CQ31" s="11"/>
      <c r="CR31" s="29"/>
      <c r="CS31" s="28"/>
      <c r="CT31" s="30"/>
      <c r="CU31" s="30"/>
      <c r="CV31" s="30"/>
      <c r="CW31" s="30"/>
      <c r="CX31" s="30" t="str">
        <f t="shared" si="0"/>
        <v/>
      </c>
    </row>
    <row r="32" spans="1:102" ht="16.5">
      <c r="A32" s="11"/>
      <c r="B32" s="11"/>
      <c r="C32" s="11"/>
      <c r="D32" s="11"/>
      <c r="E32" s="11"/>
      <c r="F32" s="11"/>
      <c r="G32" s="27"/>
      <c r="H32" s="15"/>
      <c r="I32" s="11"/>
      <c r="J32" s="11"/>
      <c r="K32" s="15"/>
      <c r="L32" s="15"/>
      <c r="M32" s="15"/>
      <c r="N32" s="11"/>
      <c r="O32" s="15"/>
      <c r="P32" s="11"/>
      <c r="Q32" s="11"/>
      <c r="R32" s="15"/>
      <c r="S32" s="11"/>
      <c r="T32" s="11"/>
      <c r="U32" s="15"/>
      <c r="V32" s="15"/>
      <c r="W32" s="15"/>
      <c r="X32" s="11"/>
      <c r="Y32" s="15"/>
      <c r="Z32" s="11"/>
      <c r="AA32" s="11"/>
      <c r="AB32" s="15"/>
      <c r="AC32" s="11"/>
      <c r="AD32" s="11"/>
      <c r="AE32" s="15"/>
      <c r="AF32" s="15"/>
      <c r="AG32" s="15"/>
      <c r="AH32" s="11"/>
      <c r="AI32" s="15"/>
      <c r="AJ32" s="11"/>
      <c r="AK32" s="11"/>
      <c r="AL32" s="15"/>
      <c r="AM32" s="11"/>
      <c r="AN32" s="11"/>
      <c r="AO32" s="15"/>
      <c r="AP32" s="15"/>
      <c r="AQ32" s="15"/>
      <c r="AR32" s="11"/>
      <c r="AS32" s="15"/>
      <c r="AT32" s="11"/>
      <c r="AU32" s="11"/>
      <c r="AV32" s="15"/>
      <c r="AW32" s="11"/>
      <c r="AX32" s="11"/>
      <c r="AY32" s="15"/>
      <c r="AZ32" s="11"/>
      <c r="BA32" s="11"/>
      <c r="BB32" s="11"/>
      <c r="BC32" s="11"/>
      <c r="BD32" s="11"/>
      <c r="BE32" s="11"/>
      <c r="BF32" s="28"/>
      <c r="BG32" s="28"/>
      <c r="BH32" s="11"/>
      <c r="BI32" s="29"/>
      <c r="BJ32" s="11"/>
      <c r="BK32" s="11"/>
      <c r="BL32" s="11"/>
      <c r="BM32" s="11"/>
      <c r="BN32" s="11"/>
      <c r="BO32" s="11"/>
      <c r="BP32" s="11"/>
      <c r="BQ32" s="28"/>
      <c r="BR32" s="28"/>
      <c r="BS32" s="11"/>
      <c r="BT32" s="29"/>
      <c r="BU32" s="11"/>
      <c r="BV32" s="11"/>
      <c r="BW32" s="11"/>
      <c r="BX32" s="11"/>
      <c r="BY32" s="11"/>
      <c r="BZ32" s="11"/>
      <c r="CA32" s="11"/>
      <c r="CB32" s="11"/>
      <c r="CC32" s="29"/>
      <c r="CD32" s="28"/>
      <c r="CE32" s="11"/>
      <c r="CF32" s="11"/>
      <c r="CG32" s="11"/>
      <c r="CH32" s="29"/>
      <c r="CI32" s="28"/>
      <c r="CJ32" s="11"/>
      <c r="CK32" s="11"/>
      <c r="CL32" s="11"/>
      <c r="CM32" s="29"/>
      <c r="CN32" s="28"/>
      <c r="CO32" s="11"/>
      <c r="CP32" s="11"/>
      <c r="CQ32" s="11"/>
      <c r="CR32" s="29"/>
      <c r="CS32" s="28"/>
      <c r="CT32" s="30"/>
      <c r="CU32" s="30"/>
      <c r="CV32" s="30"/>
      <c r="CW32" s="30"/>
      <c r="CX32" s="30" t="str">
        <f t="shared" si="0"/>
        <v/>
      </c>
    </row>
    <row r="33" spans="1:102" ht="16.5">
      <c r="A33" s="11"/>
      <c r="B33" s="11"/>
      <c r="C33" s="11"/>
      <c r="D33" s="11"/>
      <c r="E33" s="11"/>
      <c r="F33" s="11"/>
      <c r="G33" s="27"/>
      <c r="H33" s="15"/>
      <c r="I33" s="11"/>
      <c r="J33" s="11"/>
      <c r="K33" s="15"/>
      <c r="L33" s="15"/>
      <c r="M33" s="15"/>
      <c r="N33" s="11"/>
      <c r="O33" s="15"/>
      <c r="P33" s="11"/>
      <c r="Q33" s="11"/>
      <c r="R33" s="15"/>
      <c r="S33" s="11"/>
      <c r="T33" s="11"/>
      <c r="U33" s="15"/>
      <c r="V33" s="15"/>
      <c r="W33" s="15"/>
      <c r="X33" s="11"/>
      <c r="Y33" s="15"/>
      <c r="Z33" s="11"/>
      <c r="AA33" s="11"/>
      <c r="AB33" s="15"/>
      <c r="AC33" s="11"/>
      <c r="AD33" s="11"/>
      <c r="AE33" s="15"/>
      <c r="AF33" s="15"/>
      <c r="AG33" s="15"/>
      <c r="AH33" s="11"/>
      <c r="AI33" s="15"/>
      <c r="AJ33" s="11"/>
      <c r="AK33" s="11"/>
      <c r="AL33" s="15"/>
      <c r="AM33" s="11"/>
      <c r="AN33" s="11"/>
      <c r="AO33" s="15"/>
      <c r="AP33" s="15"/>
      <c r="AQ33" s="15"/>
      <c r="AR33" s="11"/>
      <c r="AS33" s="15"/>
      <c r="AT33" s="11"/>
      <c r="AU33" s="11"/>
      <c r="AV33" s="15"/>
      <c r="AW33" s="11"/>
      <c r="AX33" s="11"/>
      <c r="AY33" s="15"/>
      <c r="AZ33" s="11"/>
      <c r="BA33" s="11"/>
      <c r="BB33" s="11"/>
      <c r="BC33" s="11"/>
      <c r="BD33" s="11"/>
      <c r="BE33" s="11"/>
      <c r="BF33" s="28"/>
      <c r="BG33" s="28"/>
      <c r="BH33" s="11"/>
      <c r="BI33" s="29"/>
      <c r="BJ33" s="11"/>
      <c r="BK33" s="11"/>
      <c r="BL33" s="11"/>
      <c r="BM33" s="11"/>
      <c r="BN33" s="11"/>
      <c r="BO33" s="11"/>
      <c r="BP33" s="11"/>
      <c r="BQ33" s="28"/>
      <c r="BR33" s="28"/>
      <c r="BS33" s="11"/>
      <c r="BT33" s="29"/>
      <c r="BU33" s="11"/>
      <c r="BV33" s="11"/>
      <c r="BW33" s="11"/>
      <c r="BX33" s="11"/>
      <c r="BY33" s="11"/>
      <c r="BZ33" s="11"/>
      <c r="CA33" s="11"/>
      <c r="CB33" s="11"/>
      <c r="CC33" s="29"/>
      <c r="CD33" s="28"/>
      <c r="CE33" s="11"/>
      <c r="CF33" s="11"/>
      <c r="CG33" s="11"/>
      <c r="CH33" s="29"/>
      <c r="CI33" s="28"/>
      <c r="CJ33" s="11"/>
      <c r="CK33" s="11"/>
      <c r="CL33" s="11"/>
      <c r="CM33" s="29"/>
      <c r="CN33" s="28"/>
      <c r="CO33" s="11"/>
      <c r="CP33" s="11"/>
      <c r="CQ33" s="11"/>
      <c r="CR33" s="29"/>
      <c r="CS33" s="28"/>
      <c r="CT33" s="30"/>
      <c r="CU33" s="30"/>
      <c r="CV33" s="30"/>
      <c r="CW33" s="30"/>
      <c r="CX33" s="30" t="str">
        <f t="shared" si="0"/>
        <v/>
      </c>
    </row>
    <row r="34" spans="1:102" ht="16.5">
      <c r="A34" s="11"/>
      <c r="B34" s="11"/>
      <c r="C34" s="11"/>
      <c r="D34" s="11"/>
      <c r="E34" s="11"/>
      <c r="F34" s="11"/>
      <c r="G34" s="27"/>
      <c r="H34" s="15"/>
      <c r="I34" s="11"/>
      <c r="J34" s="11"/>
      <c r="K34" s="15"/>
      <c r="L34" s="15"/>
      <c r="M34" s="15"/>
      <c r="N34" s="11"/>
      <c r="O34" s="15"/>
      <c r="P34" s="11"/>
      <c r="Q34" s="11"/>
      <c r="R34" s="15"/>
      <c r="S34" s="11"/>
      <c r="T34" s="11"/>
      <c r="U34" s="15"/>
      <c r="V34" s="15"/>
      <c r="W34" s="15"/>
      <c r="X34" s="11"/>
      <c r="Y34" s="15"/>
      <c r="Z34" s="11"/>
      <c r="AA34" s="11"/>
      <c r="AB34" s="15"/>
      <c r="AC34" s="11"/>
      <c r="AD34" s="11"/>
      <c r="AE34" s="15"/>
      <c r="AF34" s="15"/>
      <c r="AG34" s="15"/>
      <c r="AH34" s="11"/>
      <c r="AI34" s="15"/>
      <c r="AJ34" s="11"/>
      <c r="AK34" s="11"/>
      <c r="AL34" s="15"/>
      <c r="AM34" s="11"/>
      <c r="AN34" s="11"/>
      <c r="AO34" s="15"/>
      <c r="AP34" s="15"/>
      <c r="AQ34" s="15"/>
      <c r="AR34" s="11"/>
      <c r="AS34" s="15"/>
      <c r="AT34" s="11"/>
      <c r="AU34" s="11"/>
      <c r="AV34" s="15"/>
      <c r="AW34" s="11"/>
      <c r="AX34" s="11"/>
      <c r="AY34" s="15"/>
      <c r="AZ34" s="11"/>
      <c r="BA34" s="11"/>
      <c r="BB34" s="11"/>
      <c r="BC34" s="11"/>
      <c r="BD34" s="11"/>
      <c r="BE34" s="11"/>
      <c r="BF34" s="28"/>
      <c r="BG34" s="28"/>
      <c r="BH34" s="11"/>
      <c r="BI34" s="29"/>
      <c r="BJ34" s="11"/>
      <c r="BK34" s="11"/>
      <c r="BL34" s="11"/>
      <c r="BM34" s="11"/>
      <c r="BN34" s="11"/>
      <c r="BO34" s="11"/>
      <c r="BP34" s="11"/>
      <c r="BQ34" s="28"/>
      <c r="BR34" s="28"/>
      <c r="BS34" s="11"/>
      <c r="BT34" s="29"/>
      <c r="BU34" s="11"/>
      <c r="BV34" s="11"/>
      <c r="BW34" s="11"/>
      <c r="BX34" s="11"/>
      <c r="BY34" s="11"/>
      <c r="BZ34" s="11"/>
      <c r="CA34" s="11"/>
      <c r="CB34" s="11"/>
      <c r="CC34" s="29"/>
      <c r="CD34" s="28"/>
      <c r="CE34" s="11"/>
      <c r="CF34" s="11"/>
      <c r="CG34" s="11"/>
      <c r="CH34" s="29"/>
      <c r="CI34" s="28"/>
      <c r="CJ34" s="11"/>
      <c r="CK34" s="11"/>
      <c r="CL34" s="11"/>
      <c r="CM34" s="29"/>
      <c r="CN34" s="28"/>
      <c r="CO34" s="11"/>
      <c r="CP34" s="11"/>
      <c r="CQ34" s="11"/>
      <c r="CR34" s="29"/>
      <c r="CS34" s="28"/>
      <c r="CT34" s="30"/>
      <c r="CU34" s="30"/>
      <c r="CV34" s="30"/>
      <c r="CW34" s="30"/>
      <c r="CX34" s="30" t="str">
        <f t="shared" si="0"/>
        <v/>
      </c>
    </row>
    <row r="35" spans="1:102" ht="16.5">
      <c r="A35" s="11"/>
      <c r="B35" s="11"/>
      <c r="C35" s="11"/>
      <c r="D35" s="11"/>
      <c r="E35" s="11"/>
      <c r="F35" s="11"/>
      <c r="G35" s="27"/>
      <c r="H35" s="15"/>
      <c r="I35" s="11"/>
      <c r="J35" s="11"/>
      <c r="K35" s="15"/>
      <c r="L35" s="15"/>
      <c r="M35" s="15"/>
      <c r="N35" s="11"/>
      <c r="O35" s="15"/>
      <c r="P35" s="11"/>
      <c r="Q35" s="11"/>
      <c r="R35" s="15"/>
      <c r="S35" s="11"/>
      <c r="T35" s="11"/>
      <c r="U35" s="15"/>
      <c r="V35" s="15"/>
      <c r="W35" s="15"/>
      <c r="X35" s="11"/>
      <c r="Y35" s="15"/>
      <c r="Z35" s="11"/>
      <c r="AA35" s="11"/>
      <c r="AB35" s="15"/>
      <c r="AC35" s="11"/>
      <c r="AD35" s="11"/>
      <c r="AE35" s="15"/>
      <c r="AF35" s="15"/>
      <c r="AG35" s="15"/>
      <c r="AH35" s="11"/>
      <c r="AI35" s="15"/>
      <c r="AJ35" s="11"/>
      <c r="AK35" s="11"/>
      <c r="AL35" s="15"/>
      <c r="AM35" s="11"/>
      <c r="AN35" s="11"/>
      <c r="AO35" s="15"/>
      <c r="AP35" s="15"/>
      <c r="AQ35" s="15"/>
      <c r="AR35" s="11"/>
      <c r="AS35" s="15"/>
      <c r="AT35" s="11"/>
      <c r="AU35" s="11"/>
      <c r="AV35" s="15"/>
      <c r="AW35" s="11"/>
      <c r="AX35" s="11"/>
      <c r="AY35" s="15"/>
      <c r="AZ35" s="11"/>
      <c r="BA35" s="11"/>
      <c r="BB35" s="11"/>
      <c r="BC35" s="11"/>
      <c r="BD35" s="11"/>
      <c r="BE35" s="11"/>
      <c r="BF35" s="28"/>
      <c r="BG35" s="28"/>
      <c r="BH35" s="11"/>
      <c r="BI35" s="29"/>
      <c r="BJ35" s="11"/>
      <c r="BK35" s="11"/>
      <c r="BL35" s="11"/>
      <c r="BM35" s="11"/>
      <c r="BN35" s="11"/>
      <c r="BO35" s="11"/>
      <c r="BP35" s="11"/>
      <c r="BQ35" s="28"/>
      <c r="BR35" s="28"/>
      <c r="BS35" s="11"/>
      <c r="BT35" s="29"/>
      <c r="BU35" s="11"/>
      <c r="BV35" s="11"/>
      <c r="BW35" s="11"/>
      <c r="BX35" s="11"/>
      <c r="BY35" s="11"/>
      <c r="BZ35" s="11"/>
      <c r="CA35" s="11"/>
      <c r="CB35" s="11"/>
      <c r="CC35" s="29"/>
      <c r="CD35" s="28"/>
      <c r="CE35" s="11"/>
      <c r="CF35" s="11"/>
      <c r="CG35" s="11"/>
      <c r="CH35" s="29"/>
      <c r="CI35" s="28"/>
      <c r="CJ35" s="11"/>
      <c r="CK35" s="11"/>
      <c r="CL35" s="11"/>
      <c r="CM35" s="29"/>
      <c r="CN35" s="28"/>
      <c r="CO35" s="11"/>
      <c r="CP35" s="11"/>
      <c r="CQ35" s="11"/>
      <c r="CR35" s="29"/>
      <c r="CS35" s="28"/>
      <c r="CT35" s="30"/>
      <c r="CU35" s="30"/>
      <c r="CV35" s="30"/>
      <c r="CW35" s="30"/>
      <c r="CX35" s="30" t="str">
        <f t="shared" si="0"/>
        <v/>
      </c>
    </row>
    <row r="36" spans="1:102" ht="16.5">
      <c r="A36" s="11"/>
      <c r="B36" s="11"/>
      <c r="C36" s="11"/>
      <c r="D36" s="11"/>
      <c r="E36" s="11"/>
      <c r="F36" s="11"/>
      <c r="G36" s="27"/>
      <c r="H36" s="15"/>
      <c r="I36" s="11"/>
      <c r="J36" s="11"/>
      <c r="K36" s="15"/>
      <c r="L36" s="15"/>
      <c r="M36" s="15"/>
      <c r="N36" s="11"/>
      <c r="O36" s="15"/>
      <c r="P36" s="11"/>
      <c r="Q36" s="11"/>
      <c r="R36" s="15"/>
      <c r="S36" s="11"/>
      <c r="T36" s="11"/>
      <c r="U36" s="15"/>
      <c r="V36" s="15"/>
      <c r="W36" s="15"/>
      <c r="X36" s="11"/>
      <c r="Y36" s="15"/>
      <c r="Z36" s="11"/>
      <c r="AA36" s="11"/>
      <c r="AB36" s="15"/>
      <c r="AC36" s="11"/>
      <c r="AD36" s="11"/>
      <c r="AE36" s="15"/>
      <c r="AF36" s="15"/>
      <c r="AG36" s="15"/>
      <c r="AH36" s="11"/>
      <c r="AI36" s="15"/>
      <c r="AJ36" s="11"/>
      <c r="AK36" s="11"/>
      <c r="AL36" s="15"/>
      <c r="AM36" s="11"/>
      <c r="AN36" s="11"/>
      <c r="AO36" s="15"/>
      <c r="AP36" s="15"/>
      <c r="AQ36" s="15"/>
      <c r="AR36" s="11"/>
      <c r="AS36" s="15"/>
      <c r="AT36" s="11"/>
      <c r="AU36" s="11"/>
      <c r="AV36" s="15"/>
      <c r="AW36" s="11"/>
      <c r="AX36" s="11"/>
      <c r="AY36" s="15"/>
      <c r="AZ36" s="11"/>
      <c r="BA36" s="11"/>
      <c r="BB36" s="11"/>
      <c r="BC36" s="11"/>
      <c r="BD36" s="11"/>
      <c r="BE36" s="11"/>
      <c r="BF36" s="28"/>
      <c r="BG36" s="28"/>
      <c r="BH36" s="11"/>
      <c r="BI36" s="29"/>
      <c r="BJ36" s="11"/>
      <c r="BK36" s="11"/>
      <c r="BL36" s="11"/>
      <c r="BM36" s="11"/>
      <c r="BN36" s="11"/>
      <c r="BO36" s="11"/>
      <c r="BP36" s="11"/>
      <c r="BQ36" s="28"/>
      <c r="BR36" s="28"/>
      <c r="BS36" s="11"/>
      <c r="BT36" s="29"/>
      <c r="BU36" s="11"/>
      <c r="BV36" s="11"/>
      <c r="BW36" s="11"/>
      <c r="BX36" s="11"/>
      <c r="BY36" s="11"/>
      <c r="BZ36" s="11"/>
      <c r="CA36" s="11"/>
      <c r="CB36" s="11"/>
      <c r="CC36" s="29"/>
      <c r="CD36" s="28"/>
      <c r="CE36" s="11"/>
      <c r="CF36" s="11"/>
      <c r="CG36" s="11"/>
      <c r="CH36" s="29"/>
      <c r="CI36" s="28"/>
      <c r="CJ36" s="11"/>
      <c r="CK36" s="11"/>
      <c r="CL36" s="11"/>
      <c r="CM36" s="29"/>
      <c r="CN36" s="28"/>
      <c r="CO36" s="11"/>
      <c r="CP36" s="11"/>
      <c r="CQ36" s="11"/>
      <c r="CR36" s="29"/>
      <c r="CS36" s="28"/>
      <c r="CT36" s="30"/>
      <c r="CU36" s="30"/>
      <c r="CV36" s="30"/>
      <c r="CW36" s="30"/>
      <c r="CX36" s="30" t="str">
        <f t="shared" si="0"/>
        <v/>
      </c>
    </row>
    <row r="37" spans="1:102" ht="16.5">
      <c r="A37" s="11"/>
      <c r="B37" s="11"/>
      <c r="C37" s="11"/>
      <c r="D37" s="11"/>
      <c r="E37" s="11"/>
      <c r="F37" s="11"/>
      <c r="G37" s="27"/>
      <c r="H37" s="15"/>
      <c r="I37" s="11"/>
      <c r="J37" s="11"/>
      <c r="K37" s="15"/>
      <c r="L37" s="15"/>
      <c r="M37" s="15"/>
      <c r="N37" s="11"/>
      <c r="O37" s="15"/>
      <c r="P37" s="11"/>
      <c r="Q37" s="11"/>
      <c r="R37" s="15"/>
      <c r="S37" s="11"/>
      <c r="T37" s="11"/>
      <c r="U37" s="15"/>
      <c r="V37" s="15"/>
      <c r="W37" s="15"/>
      <c r="X37" s="11"/>
      <c r="Y37" s="15"/>
      <c r="Z37" s="11"/>
      <c r="AA37" s="11"/>
      <c r="AB37" s="15"/>
      <c r="AC37" s="11"/>
      <c r="AD37" s="11"/>
      <c r="AE37" s="15"/>
      <c r="AF37" s="15"/>
      <c r="AG37" s="15"/>
      <c r="AH37" s="11"/>
      <c r="AI37" s="15"/>
      <c r="AJ37" s="11"/>
      <c r="AK37" s="11"/>
      <c r="AL37" s="15"/>
      <c r="AM37" s="11"/>
      <c r="AN37" s="11"/>
      <c r="AO37" s="15"/>
      <c r="AP37" s="15"/>
      <c r="AQ37" s="15"/>
      <c r="AR37" s="11"/>
      <c r="AS37" s="15"/>
      <c r="AT37" s="11"/>
      <c r="AU37" s="11"/>
      <c r="AV37" s="15"/>
      <c r="AW37" s="11"/>
      <c r="AX37" s="11"/>
      <c r="AY37" s="15"/>
      <c r="AZ37" s="11"/>
      <c r="BA37" s="11"/>
      <c r="BB37" s="11"/>
      <c r="BC37" s="11"/>
      <c r="BD37" s="11"/>
      <c r="BE37" s="11"/>
      <c r="BF37" s="28"/>
      <c r="BG37" s="28"/>
      <c r="BH37" s="11"/>
      <c r="BI37" s="29"/>
      <c r="BJ37" s="11"/>
      <c r="BK37" s="11"/>
      <c r="BL37" s="11"/>
      <c r="BM37" s="11"/>
      <c r="BN37" s="11"/>
      <c r="BO37" s="11"/>
      <c r="BP37" s="11"/>
      <c r="BQ37" s="28"/>
      <c r="BR37" s="28"/>
      <c r="BS37" s="11"/>
      <c r="BT37" s="29"/>
      <c r="BU37" s="11"/>
      <c r="BV37" s="11"/>
      <c r="BW37" s="11"/>
      <c r="BX37" s="11"/>
      <c r="BY37" s="11"/>
      <c r="BZ37" s="11"/>
      <c r="CA37" s="11"/>
      <c r="CB37" s="11"/>
      <c r="CC37" s="29"/>
      <c r="CD37" s="28"/>
      <c r="CE37" s="11"/>
      <c r="CF37" s="11"/>
      <c r="CG37" s="11"/>
      <c r="CH37" s="29"/>
      <c r="CI37" s="28"/>
      <c r="CJ37" s="11"/>
      <c r="CK37" s="11"/>
      <c r="CL37" s="11"/>
      <c r="CM37" s="29"/>
      <c r="CN37" s="28"/>
      <c r="CO37" s="11"/>
      <c r="CP37" s="11"/>
      <c r="CQ37" s="11"/>
      <c r="CR37" s="29"/>
      <c r="CS37" s="28"/>
      <c r="CT37" s="30"/>
      <c r="CU37" s="30"/>
      <c r="CV37" s="30"/>
      <c r="CW37" s="30"/>
      <c r="CX37" s="30" t="str">
        <f t="shared" si="0"/>
        <v/>
      </c>
    </row>
    <row r="38" spans="1:102" ht="16.5">
      <c r="A38" s="11"/>
      <c r="B38" s="11"/>
      <c r="C38" s="11"/>
      <c r="D38" s="11"/>
      <c r="E38" s="11"/>
      <c r="F38" s="11"/>
      <c r="G38" s="27"/>
      <c r="H38" s="15"/>
      <c r="I38" s="11"/>
      <c r="J38" s="11"/>
      <c r="K38" s="15"/>
      <c r="L38" s="15"/>
      <c r="M38" s="15"/>
      <c r="N38" s="11"/>
      <c r="O38" s="15"/>
      <c r="P38" s="11"/>
      <c r="Q38" s="11"/>
      <c r="R38" s="15"/>
      <c r="S38" s="11"/>
      <c r="T38" s="11"/>
      <c r="U38" s="15"/>
      <c r="V38" s="15"/>
      <c r="W38" s="15"/>
      <c r="X38" s="11"/>
      <c r="Y38" s="15"/>
      <c r="Z38" s="11"/>
      <c r="AA38" s="11"/>
      <c r="AB38" s="15"/>
      <c r="AC38" s="11"/>
      <c r="AD38" s="11"/>
      <c r="AE38" s="15"/>
      <c r="AF38" s="15"/>
      <c r="AG38" s="15"/>
      <c r="AH38" s="11"/>
      <c r="AI38" s="15"/>
      <c r="AJ38" s="11"/>
      <c r="AK38" s="11"/>
      <c r="AL38" s="15"/>
      <c r="AM38" s="11"/>
      <c r="AN38" s="11"/>
      <c r="AO38" s="15"/>
      <c r="AP38" s="15"/>
      <c r="AQ38" s="15"/>
      <c r="AR38" s="11"/>
      <c r="AS38" s="15"/>
      <c r="AT38" s="11"/>
      <c r="AU38" s="11"/>
      <c r="AV38" s="15"/>
      <c r="AW38" s="11"/>
      <c r="AX38" s="11"/>
      <c r="AY38" s="15"/>
      <c r="AZ38" s="11"/>
      <c r="BA38" s="11"/>
      <c r="BB38" s="11"/>
      <c r="BC38" s="11"/>
      <c r="BD38" s="11"/>
      <c r="BE38" s="11"/>
      <c r="BF38" s="28"/>
      <c r="BG38" s="28"/>
      <c r="BH38" s="11"/>
      <c r="BI38" s="29"/>
      <c r="BJ38" s="11"/>
      <c r="BK38" s="11"/>
      <c r="BL38" s="11"/>
      <c r="BM38" s="11"/>
      <c r="BN38" s="11"/>
      <c r="BO38" s="11"/>
      <c r="BP38" s="11"/>
      <c r="BQ38" s="28"/>
      <c r="BR38" s="28"/>
      <c r="BS38" s="11"/>
      <c r="BT38" s="29"/>
      <c r="BU38" s="11"/>
      <c r="BV38" s="11"/>
      <c r="BW38" s="11"/>
      <c r="BX38" s="11"/>
      <c r="BY38" s="11"/>
      <c r="BZ38" s="11"/>
      <c r="CA38" s="11"/>
      <c r="CB38" s="11"/>
      <c r="CC38" s="29"/>
      <c r="CD38" s="28"/>
      <c r="CE38" s="11"/>
      <c r="CF38" s="11"/>
      <c r="CG38" s="11"/>
      <c r="CH38" s="29"/>
      <c r="CI38" s="28"/>
      <c r="CJ38" s="11"/>
      <c r="CK38" s="11"/>
      <c r="CL38" s="11"/>
      <c r="CM38" s="29"/>
      <c r="CN38" s="28"/>
      <c r="CO38" s="11"/>
      <c r="CP38" s="11"/>
      <c r="CQ38" s="11"/>
      <c r="CR38" s="29"/>
      <c r="CS38" s="28"/>
      <c r="CT38" s="30"/>
      <c r="CU38" s="30"/>
      <c r="CV38" s="30"/>
      <c r="CW38" s="30"/>
      <c r="CX38" s="30" t="str">
        <f t="shared" si="0"/>
        <v/>
      </c>
    </row>
    <row r="39" spans="1:102" ht="16.5">
      <c r="A39" s="11"/>
      <c r="B39" s="11"/>
      <c r="C39" s="11"/>
      <c r="D39" s="11"/>
      <c r="E39" s="11"/>
      <c r="F39" s="11"/>
      <c r="G39" s="27"/>
      <c r="H39" s="15"/>
      <c r="I39" s="11"/>
      <c r="J39" s="11"/>
      <c r="K39" s="15"/>
      <c r="L39" s="15"/>
      <c r="M39" s="15"/>
      <c r="N39" s="11"/>
      <c r="O39" s="15"/>
      <c r="P39" s="11"/>
      <c r="Q39" s="11"/>
      <c r="R39" s="15"/>
      <c r="S39" s="11"/>
      <c r="T39" s="11"/>
      <c r="U39" s="15"/>
      <c r="V39" s="15"/>
      <c r="W39" s="15"/>
      <c r="X39" s="11"/>
      <c r="Y39" s="15"/>
      <c r="Z39" s="11"/>
      <c r="AA39" s="11"/>
      <c r="AB39" s="15"/>
      <c r="AC39" s="11"/>
      <c r="AD39" s="11"/>
      <c r="AE39" s="15"/>
      <c r="AF39" s="15"/>
      <c r="AG39" s="15"/>
      <c r="AH39" s="11"/>
      <c r="AI39" s="15"/>
      <c r="AJ39" s="11"/>
      <c r="AK39" s="11"/>
      <c r="AL39" s="15"/>
      <c r="AM39" s="11"/>
      <c r="AN39" s="11"/>
      <c r="AO39" s="15"/>
      <c r="AP39" s="15"/>
      <c r="AQ39" s="15"/>
      <c r="AR39" s="11"/>
      <c r="AS39" s="15"/>
      <c r="AT39" s="11"/>
      <c r="AU39" s="11"/>
      <c r="AV39" s="15"/>
      <c r="AW39" s="11"/>
      <c r="AX39" s="11"/>
      <c r="AY39" s="15"/>
      <c r="AZ39" s="11"/>
      <c r="BA39" s="11"/>
      <c r="BB39" s="11"/>
      <c r="BC39" s="11"/>
      <c r="BD39" s="11"/>
      <c r="BE39" s="11"/>
      <c r="BF39" s="28"/>
      <c r="BG39" s="28"/>
      <c r="BH39" s="11"/>
      <c r="BI39" s="29"/>
      <c r="BJ39" s="11"/>
      <c r="BK39" s="11"/>
      <c r="BL39" s="11"/>
      <c r="BM39" s="11"/>
      <c r="BN39" s="11"/>
      <c r="BO39" s="11"/>
      <c r="BP39" s="11"/>
      <c r="BQ39" s="28"/>
      <c r="BR39" s="28"/>
      <c r="BS39" s="11"/>
      <c r="BT39" s="29"/>
      <c r="BU39" s="11"/>
      <c r="BV39" s="11"/>
      <c r="BW39" s="11"/>
      <c r="BX39" s="11"/>
      <c r="BY39" s="11"/>
      <c r="BZ39" s="11"/>
      <c r="CA39" s="11"/>
      <c r="CB39" s="11"/>
      <c r="CC39" s="29"/>
      <c r="CD39" s="28"/>
      <c r="CE39" s="11"/>
      <c r="CF39" s="11"/>
      <c r="CG39" s="11"/>
      <c r="CH39" s="29"/>
      <c r="CI39" s="28"/>
      <c r="CJ39" s="11"/>
      <c r="CK39" s="11"/>
      <c r="CL39" s="11"/>
      <c r="CM39" s="29"/>
      <c r="CN39" s="28"/>
      <c r="CO39" s="11"/>
      <c r="CP39" s="11"/>
      <c r="CQ39" s="11"/>
      <c r="CR39" s="29"/>
      <c r="CS39" s="28"/>
      <c r="CT39" s="30"/>
      <c r="CU39" s="30"/>
      <c r="CV39" s="30"/>
      <c r="CW39" s="30"/>
      <c r="CX39" s="30" t="str">
        <f t="shared" si="0"/>
        <v/>
      </c>
    </row>
    <row r="40" spans="1:102" ht="16.5">
      <c r="A40" s="11"/>
      <c r="B40" s="11"/>
      <c r="C40" s="11"/>
      <c r="D40" s="11"/>
      <c r="E40" s="11"/>
      <c r="F40" s="11"/>
      <c r="G40" s="27"/>
      <c r="H40" s="15"/>
      <c r="I40" s="11"/>
      <c r="J40" s="11"/>
      <c r="K40" s="15"/>
      <c r="L40" s="15"/>
      <c r="M40" s="15"/>
      <c r="N40" s="11"/>
      <c r="O40" s="15"/>
      <c r="P40" s="11"/>
      <c r="Q40" s="11"/>
      <c r="R40" s="15"/>
      <c r="S40" s="11"/>
      <c r="T40" s="11"/>
      <c r="U40" s="15"/>
      <c r="V40" s="15"/>
      <c r="W40" s="15"/>
      <c r="X40" s="11"/>
      <c r="Y40" s="15"/>
      <c r="Z40" s="11"/>
      <c r="AA40" s="11"/>
      <c r="AB40" s="15"/>
      <c r="AC40" s="11"/>
      <c r="AD40" s="11"/>
      <c r="AE40" s="15"/>
      <c r="AF40" s="15"/>
      <c r="AG40" s="15"/>
      <c r="AH40" s="11"/>
      <c r="AI40" s="15"/>
      <c r="AJ40" s="11"/>
      <c r="AK40" s="11"/>
      <c r="AL40" s="15"/>
      <c r="AM40" s="11"/>
      <c r="AN40" s="11"/>
      <c r="AO40" s="15"/>
      <c r="AP40" s="15"/>
      <c r="AQ40" s="15"/>
      <c r="AR40" s="11"/>
      <c r="AS40" s="15"/>
      <c r="AT40" s="11"/>
      <c r="AU40" s="11"/>
      <c r="AV40" s="15"/>
      <c r="AW40" s="11"/>
      <c r="AX40" s="11"/>
      <c r="AY40" s="15"/>
      <c r="AZ40" s="11"/>
      <c r="BA40" s="11"/>
      <c r="BB40" s="11"/>
      <c r="BC40" s="11"/>
      <c r="BD40" s="11"/>
      <c r="BE40" s="11"/>
      <c r="BF40" s="28"/>
      <c r="BG40" s="28"/>
      <c r="BH40" s="11"/>
      <c r="BI40" s="29"/>
      <c r="BJ40" s="11"/>
      <c r="BK40" s="11"/>
      <c r="BL40" s="11"/>
      <c r="BM40" s="11"/>
      <c r="BN40" s="11"/>
      <c r="BO40" s="11"/>
      <c r="BP40" s="11"/>
      <c r="BQ40" s="28"/>
      <c r="BR40" s="28"/>
      <c r="BS40" s="11"/>
      <c r="BT40" s="29"/>
      <c r="BU40" s="11"/>
      <c r="BV40" s="11"/>
      <c r="BW40" s="11"/>
      <c r="BX40" s="11"/>
      <c r="BY40" s="11"/>
      <c r="BZ40" s="11"/>
      <c r="CA40" s="11"/>
      <c r="CB40" s="11"/>
      <c r="CC40" s="29"/>
      <c r="CD40" s="28"/>
      <c r="CE40" s="11"/>
      <c r="CF40" s="11"/>
      <c r="CG40" s="11"/>
      <c r="CH40" s="29"/>
      <c r="CI40" s="28"/>
      <c r="CJ40" s="11"/>
      <c r="CK40" s="11"/>
      <c r="CL40" s="11"/>
      <c r="CM40" s="29"/>
      <c r="CN40" s="28"/>
      <c r="CO40" s="11"/>
      <c r="CP40" s="11"/>
      <c r="CQ40" s="11"/>
      <c r="CR40" s="29"/>
      <c r="CS40" s="28"/>
      <c r="CT40" s="30"/>
      <c r="CU40" s="30"/>
      <c r="CV40" s="30"/>
      <c r="CW40" s="30"/>
      <c r="CX40" s="30" t="str">
        <f t="shared" si="0"/>
        <v/>
      </c>
    </row>
    <row r="41" spans="1:102" ht="16.5">
      <c r="A41" s="11"/>
      <c r="B41" s="11"/>
      <c r="C41" s="11"/>
      <c r="D41" s="11"/>
      <c r="E41" s="11"/>
      <c r="F41" s="11"/>
      <c r="G41" s="27"/>
      <c r="H41" s="15"/>
      <c r="I41" s="11"/>
      <c r="J41" s="11"/>
      <c r="K41" s="15"/>
      <c r="L41" s="15"/>
      <c r="M41" s="15"/>
      <c r="N41" s="11"/>
      <c r="O41" s="15"/>
      <c r="P41" s="11"/>
      <c r="Q41" s="11"/>
      <c r="R41" s="15"/>
      <c r="S41" s="11"/>
      <c r="T41" s="11"/>
      <c r="U41" s="15"/>
      <c r="V41" s="15"/>
      <c r="W41" s="15"/>
      <c r="X41" s="11"/>
      <c r="Y41" s="15"/>
      <c r="Z41" s="11"/>
      <c r="AA41" s="11"/>
      <c r="AB41" s="15"/>
      <c r="AC41" s="11"/>
      <c r="AD41" s="11"/>
      <c r="AE41" s="15"/>
      <c r="AF41" s="15"/>
      <c r="AG41" s="15"/>
      <c r="AH41" s="11"/>
      <c r="AI41" s="15"/>
      <c r="AJ41" s="11"/>
      <c r="AK41" s="11"/>
      <c r="AL41" s="15"/>
      <c r="AM41" s="11"/>
      <c r="AN41" s="11"/>
      <c r="AO41" s="15"/>
      <c r="AP41" s="15"/>
      <c r="AQ41" s="15"/>
      <c r="AR41" s="11"/>
      <c r="AS41" s="15"/>
      <c r="AT41" s="11"/>
      <c r="AU41" s="11"/>
      <c r="AV41" s="15"/>
      <c r="AW41" s="11"/>
      <c r="AX41" s="11"/>
      <c r="AY41" s="15"/>
      <c r="AZ41" s="11"/>
      <c r="BA41" s="11"/>
      <c r="BB41" s="11"/>
      <c r="BC41" s="11"/>
      <c r="BD41" s="11"/>
      <c r="BE41" s="11"/>
      <c r="BF41" s="28"/>
      <c r="BG41" s="28"/>
      <c r="BH41" s="11"/>
      <c r="BI41" s="29"/>
      <c r="BJ41" s="11"/>
      <c r="BK41" s="11"/>
      <c r="BL41" s="11"/>
      <c r="BM41" s="11"/>
      <c r="BN41" s="11"/>
      <c r="BO41" s="11"/>
      <c r="BP41" s="11"/>
      <c r="BQ41" s="28"/>
      <c r="BR41" s="28"/>
      <c r="BS41" s="11"/>
      <c r="BT41" s="29"/>
      <c r="BU41" s="11"/>
      <c r="BV41" s="11"/>
      <c r="BW41" s="11"/>
      <c r="BX41" s="11"/>
      <c r="BY41" s="11"/>
      <c r="BZ41" s="11"/>
      <c r="CA41" s="11"/>
      <c r="CB41" s="11"/>
      <c r="CC41" s="29"/>
      <c r="CD41" s="28"/>
      <c r="CE41" s="11"/>
      <c r="CF41" s="11"/>
      <c r="CG41" s="11"/>
      <c r="CH41" s="29"/>
      <c r="CI41" s="28"/>
      <c r="CJ41" s="11"/>
      <c r="CK41" s="11"/>
      <c r="CL41" s="11"/>
      <c r="CM41" s="29"/>
      <c r="CN41" s="28"/>
      <c r="CO41" s="11"/>
      <c r="CP41" s="11"/>
      <c r="CQ41" s="11"/>
      <c r="CR41" s="29"/>
      <c r="CS41" s="28"/>
      <c r="CT41" s="30"/>
      <c r="CU41" s="30"/>
      <c r="CV41" s="30"/>
      <c r="CW41" s="30"/>
      <c r="CX41" s="30" t="str">
        <f t="shared" si="0"/>
        <v/>
      </c>
    </row>
    <row r="42" spans="1:102" ht="16.5">
      <c r="A42" s="11"/>
      <c r="B42" s="11"/>
      <c r="C42" s="11"/>
      <c r="D42" s="11"/>
      <c r="E42" s="11"/>
      <c r="F42" s="11"/>
      <c r="G42" s="27"/>
      <c r="H42" s="15"/>
      <c r="I42" s="11"/>
      <c r="J42" s="11"/>
      <c r="K42" s="15"/>
      <c r="L42" s="15"/>
      <c r="M42" s="15"/>
      <c r="N42" s="11"/>
      <c r="O42" s="15"/>
      <c r="P42" s="11"/>
      <c r="Q42" s="11"/>
      <c r="R42" s="15"/>
      <c r="S42" s="11"/>
      <c r="T42" s="11"/>
      <c r="U42" s="15"/>
      <c r="V42" s="15"/>
      <c r="W42" s="15"/>
      <c r="X42" s="11"/>
      <c r="Y42" s="15"/>
      <c r="Z42" s="11"/>
      <c r="AA42" s="11"/>
      <c r="AB42" s="15"/>
      <c r="AC42" s="11"/>
      <c r="AD42" s="11"/>
      <c r="AE42" s="15"/>
      <c r="AF42" s="15"/>
      <c r="AG42" s="15"/>
      <c r="AH42" s="11"/>
      <c r="AI42" s="15"/>
      <c r="AJ42" s="11"/>
      <c r="AK42" s="11"/>
      <c r="AL42" s="15"/>
      <c r="AM42" s="11"/>
      <c r="AN42" s="11"/>
      <c r="AO42" s="15"/>
      <c r="AP42" s="15"/>
      <c r="AQ42" s="15"/>
      <c r="AR42" s="11"/>
      <c r="AS42" s="15"/>
      <c r="AT42" s="11"/>
      <c r="AU42" s="11"/>
      <c r="AV42" s="15"/>
      <c r="AW42" s="11"/>
      <c r="AX42" s="11"/>
      <c r="AY42" s="15"/>
      <c r="AZ42" s="11"/>
      <c r="BA42" s="11"/>
      <c r="BB42" s="11"/>
      <c r="BC42" s="11"/>
      <c r="BD42" s="11"/>
      <c r="BE42" s="11"/>
      <c r="BF42" s="28"/>
      <c r="BG42" s="28"/>
      <c r="BH42" s="11"/>
      <c r="BI42" s="29"/>
      <c r="BJ42" s="11"/>
      <c r="BK42" s="11"/>
      <c r="BL42" s="11"/>
      <c r="BM42" s="11"/>
      <c r="BN42" s="11"/>
      <c r="BO42" s="11"/>
      <c r="BP42" s="11"/>
      <c r="BQ42" s="28"/>
      <c r="BR42" s="28"/>
      <c r="BS42" s="11"/>
      <c r="BT42" s="29"/>
      <c r="BU42" s="11"/>
      <c r="BV42" s="11"/>
      <c r="BW42" s="11"/>
      <c r="BX42" s="11"/>
      <c r="BY42" s="11"/>
      <c r="BZ42" s="11"/>
      <c r="CA42" s="11"/>
      <c r="CB42" s="11"/>
      <c r="CC42" s="29"/>
      <c r="CD42" s="28"/>
      <c r="CE42" s="11"/>
      <c r="CF42" s="11"/>
      <c r="CG42" s="11"/>
      <c r="CH42" s="29"/>
      <c r="CI42" s="28"/>
      <c r="CJ42" s="11"/>
      <c r="CK42" s="11"/>
      <c r="CL42" s="11"/>
      <c r="CM42" s="29"/>
      <c r="CN42" s="28"/>
      <c r="CO42" s="11"/>
      <c r="CP42" s="11"/>
      <c r="CQ42" s="11"/>
      <c r="CR42" s="29"/>
      <c r="CS42" s="28"/>
      <c r="CT42" s="30"/>
      <c r="CU42" s="30"/>
      <c r="CV42" s="30"/>
      <c r="CW42" s="30"/>
      <c r="CX42" s="30" t="str">
        <f t="shared" si="0"/>
        <v/>
      </c>
    </row>
    <row r="43" spans="1:102" ht="16.5">
      <c r="A43" s="11"/>
      <c r="B43" s="11"/>
      <c r="C43" s="11"/>
      <c r="D43" s="11"/>
      <c r="E43" s="11"/>
      <c r="F43" s="11"/>
      <c r="G43" s="27"/>
      <c r="H43" s="15"/>
      <c r="I43" s="11"/>
      <c r="J43" s="11"/>
      <c r="K43" s="15"/>
      <c r="L43" s="15"/>
      <c r="M43" s="15"/>
      <c r="N43" s="11"/>
      <c r="O43" s="15"/>
      <c r="P43" s="11"/>
      <c r="Q43" s="11"/>
      <c r="R43" s="15"/>
      <c r="S43" s="11"/>
      <c r="T43" s="11"/>
      <c r="U43" s="15"/>
      <c r="V43" s="15"/>
      <c r="W43" s="15"/>
      <c r="X43" s="11"/>
      <c r="Y43" s="15"/>
      <c r="Z43" s="11"/>
      <c r="AA43" s="11"/>
      <c r="AB43" s="15"/>
      <c r="AC43" s="11"/>
      <c r="AD43" s="11"/>
      <c r="AE43" s="15"/>
      <c r="AF43" s="15"/>
      <c r="AG43" s="15"/>
      <c r="AH43" s="11"/>
      <c r="AI43" s="15"/>
      <c r="AJ43" s="11"/>
      <c r="AK43" s="11"/>
      <c r="AL43" s="15"/>
      <c r="AM43" s="11"/>
      <c r="AN43" s="11"/>
      <c r="AO43" s="15"/>
      <c r="AP43" s="15"/>
      <c r="AQ43" s="15"/>
      <c r="AR43" s="11"/>
      <c r="AS43" s="15"/>
      <c r="AT43" s="11"/>
      <c r="AU43" s="11"/>
      <c r="AV43" s="15"/>
      <c r="AW43" s="11"/>
      <c r="AX43" s="11"/>
      <c r="AY43" s="15"/>
      <c r="AZ43" s="11"/>
      <c r="BA43" s="11"/>
      <c r="BB43" s="11"/>
      <c r="BC43" s="11"/>
      <c r="BD43" s="11"/>
      <c r="BE43" s="11"/>
      <c r="BF43" s="28"/>
      <c r="BG43" s="28"/>
      <c r="BH43" s="11"/>
      <c r="BI43" s="29"/>
      <c r="BJ43" s="11"/>
      <c r="BK43" s="11"/>
      <c r="BL43" s="11"/>
      <c r="BM43" s="11"/>
      <c r="BN43" s="11"/>
      <c r="BO43" s="11"/>
      <c r="BP43" s="11"/>
      <c r="BQ43" s="28"/>
      <c r="BR43" s="28"/>
      <c r="BS43" s="11"/>
      <c r="BT43" s="29"/>
      <c r="BU43" s="11"/>
      <c r="BV43" s="11"/>
      <c r="BW43" s="11"/>
      <c r="BX43" s="11"/>
      <c r="BY43" s="11"/>
      <c r="BZ43" s="11"/>
      <c r="CA43" s="11"/>
      <c r="CB43" s="11"/>
      <c r="CC43" s="29"/>
      <c r="CD43" s="28"/>
      <c r="CE43" s="11"/>
      <c r="CF43" s="11"/>
      <c r="CG43" s="11"/>
      <c r="CH43" s="29"/>
      <c r="CI43" s="28"/>
      <c r="CJ43" s="11"/>
      <c r="CK43" s="11"/>
      <c r="CL43" s="11"/>
      <c r="CM43" s="29"/>
      <c r="CN43" s="28"/>
      <c r="CO43" s="11"/>
      <c r="CP43" s="11"/>
      <c r="CQ43" s="11"/>
      <c r="CR43" s="29"/>
      <c r="CS43" s="28"/>
      <c r="CT43" s="30"/>
      <c r="CU43" s="30"/>
      <c r="CV43" s="30"/>
      <c r="CW43" s="30"/>
      <c r="CX43" s="30" t="str">
        <f t="shared" si="0"/>
        <v/>
      </c>
    </row>
    <row r="44" spans="1:102" ht="16.5">
      <c r="A44" s="11"/>
      <c r="B44" s="11"/>
      <c r="C44" s="11"/>
      <c r="D44" s="11"/>
      <c r="E44" s="11"/>
      <c r="F44" s="11"/>
      <c r="G44" s="27"/>
      <c r="H44" s="15"/>
      <c r="I44" s="11"/>
      <c r="J44" s="11"/>
      <c r="K44" s="15"/>
      <c r="L44" s="15"/>
      <c r="M44" s="15"/>
      <c r="N44" s="11"/>
      <c r="O44" s="15"/>
      <c r="P44" s="11"/>
      <c r="Q44" s="11"/>
      <c r="R44" s="15"/>
      <c r="S44" s="11"/>
      <c r="T44" s="11"/>
      <c r="U44" s="15"/>
      <c r="V44" s="15"/>
      <c r="W44" s="15"/>
      <c r="X44" s="11"/>
      <c r="Y44" s="15"/>
      <c r="Z44" s="11"/>
      <c r="AA44" s="11"/>
      <c r="AB44" s="15"/>
      <c r="AC44" s="11"/>
      <c r="AD44" s="11"/>
      <c r="AE44" s="15"/>
      <c r="AF44" s="15"/>
      <c r="AG44" s="15"/>
      <c r="AH44" s="11"/>
      <c r="AI44" s="15"/>
      <c r="AJ44" s="11"/>
      <c r="AK44" s="11"/>
      <c r="AL44" s="15"/>
      <c r="AM44" s="11"/>
      <c r="AN44" s="11"/>
      <c r="AO44" s="15"/>
      <c r="AP44" s="15"/>
      <c r="AQ44" s="15"/>
      <c r="AR44" s="11"/>
      <c r="AS44" s="15"/>
      <c r="AT44" s="11"/>
      <c r="AU44" s="11"/>
      <c r="AV44" s="15"/>
      <c r="AW44" s="11"/>
      <c r="AX44" s="11"/>
      <c r="AY44" s="15"/>
      <c r="AZ44" s="11"/>
      <c r="BA44" s="11"/>
      <c r="BB44" s="11"/>
      <c r="BC44" s="11"/>
      <c r="BD44" s="11"/>
      <c r="BE44" s="11"/>
      <c r="BF44" s="28"/>
      <c r="BG44" s="28"/>
      <c r="BH44" s="11"/>
      <c r="BI44" s="29"/>
      <c r="BJ44" s="11"/>
      <c r="BK44" s="11"/>
      <c r="BL44" s="11"/>
      <c r="BM44" s="11"/>
      <c r="BN44" s="11"/>
      <c r="BO44" s="11"/>
      <c r="BP44" s="11"/>
      <c r="BQ44" s="28"/>
      <c r="BR44" s="28"/>
      <c r="BS44" s="11"/>
      <c r="BT44" s="29"/>
      <c r="BU44" s="11"/>
      <c r="BV44" s="11"/>
      <c r="BW44" s="11"/>
      <c r="BX44" s="11"/>
      <c r="BY44" s="11"/>
      <c r="BZ44" s="11"/>
      <c r="CA44" s="11"/>
      <c r="CB44" s="11"/>
      <c r="CC44" s="29"/>
      <c r="CD44" s="28"/>
      <c r="CE44" s="11"/>
      <c r="CF44" s="11"/>
      <c r="CG44" s="11"/>
      <c r="CH44" s="29"/>
      <c r="CI44" s="28"/>
      <c r="CJ44" s="11"/>
      <c r="CK44" s="11"/>
      <c r="CL44" s="11"/>
      <c r="CM44" s="29"/>
      <c r="CN44" s="28"/>
      <c r="CO44" s="11"/>
      <c r="CP44" s="11"/>
      <c r="CQ44" s="11"/>
      <c r="CR44" s="29"/>
      <c r="CS44" s="28"/>
      <c r="CT44" s="30"/>
      <c r="CU44" s="30"/>
      <c r="CV44" s="30"/>
      <c r="CW44" s="30"/>
      <c r="CX44" s="30" t="str">
        <f t="shared" si="0"/>
        <v/>
      </c>
    </row>
    <row r="45" spans="1:102" ht="16.5">
      <c r="A45" s="11"/>
      <c r="B45" s="11"/>
      <c r="C45" s="11"/>
      <c r="D45" s="11"/>
      <c r="E45" s="11"/>
      <c r="F45" s="11"/>
      <c r="G45" s="27"/>
      <c r="H45" s="15"/>
      <c r="I45" s="11"/>
      <c r="J45" s="11"/>
      <c r="K45" s="15"/>
      <c r="L45" s="15"/>
      <c r="M45" s="15"/>
      <c r="N45" s="11"/>
      <c r="O45" s="15"/>
      <c r="P45" s="11"/>
      <c r="Q45" s="11"/>
      <c r="R45" s="15"/>
      <c r="S45" s="11"/>
      <c r="T45" s="11"/>
      <c r="U45" s="15"/>
      <c r="V45" s="15"/>
      <c r="W45" s="15"/>
      <c r="X45" s="11"/>
      <c r="Y45" s="15"/>
      <c r="Z45" s="11"/>
      <c r="AA45" s="11"/>
      <c r="AB45" s="15"/>
      <c r="AC45" s="11"/>
      <c r="AD45" s="11"/>
      <c r="AE45" s="15"/>
      <c r="AF45" s="15"/>
      <c r="AG45" s="15"/>
      <c r="AH45" s="11"/>
      <c r="AI45" s="15"/>
      <c r="AJ45" s="11"/>
      <c r="AK45" s="11"/>
      <c r="AL45" s="15"/>
      <c r="AM45" s="11"/>
      <c r="AN45" s="11"/>
      <c r="AO45" s="15"/>
      <c r="AP45" s="15"/>
      <c r="AQ45" s="15"/>
      <c r="AR45" s="11"/>
      <c r="AS45" s="15"/>
      <c r="AT45" s="11"/>
      <c r="AU45" s="11"/>
      <c r="AV45" s="15"/>
      <c r="AW45" s="11"/>
      <c r="AX45" s="11"/>
      <c r="AY45" s="15"/>
      <c r="AZ45" s="11"/>
      <c r="BA45" s="11"/>
      <c r="BB45" s="11"/>
      <c r="BC45" s="11"/>
      <c r="BD45" s="11"/>
      <c r="BE45" s="11"/>
      <c r="BF45" s="28"/>
      <c r="BG45" s="28"/>
      <c r="BH45" s="11"/>
      <c r="BI45" s="29"/>
      <c r="BJ45" s="11"/>
      <c r="BK45" s="11"/>
      <c r="BL45" s="11"/>
      <c r="BM45" s="11"/>
      <c r="BN45" s="11"/>
      <c r="BO45" s="11"/>
      <c r="BP45" s="11"/>
      <c r="BQ45" s="28"/>
      <c r="BR45" s="28"/>
      <c r="BS45" s="11"/>
      <c r="BT45" s="29"/>
      <c r="BU45" s="11"/>
      <c r="BV45" s="11"/>
      <c r="BW45" s="11"/>
      <c r="BX45" s="11"/>
      <c r="BY45" s="11"/>
      <c r="BZ45" s="11"/>
      <c r="CA45" s="11"/>
      <c r="CB45" s="11"/>
      <c r="CC45" s="29"/>
      <c r="CD45" s="28"/>
      <c r="CE45" s="11"/>
      <c r="CF45" s="11"/>
      <c r="CG45" s="11"/>
      <c r="CH45" s="29"/>
      <c r="CI45" s="28"/>
      <c r="CJ45" s="11"/>
      <c r="CK45" s="11"/>
      <c r="CL45" s="11"/>
      <c r="CM45" s="29"/>
      <c r="CN45" s="28"/>
      <c r="CO45" s="11"/>
      <c r="CP45" s="11"/>
      <c r="CQ45" s="11"/>
      <c r="CR45" s="29"/>
      <c r="CS45" s="28"/>
      <c r="CT45" s="30"/>
      <c r="CU45" s="30"/>
      <c r="CV45" s="30"/>
      <c r="CW45" s="30"/>
      <c r="CX45" s="30" t="str">
        <f t="shared" si="0"/>
        <v/>
      </c>
    </row>
    <row r="46" spans="1:102" ht="16.5">
      <c r="A46" s="11"/>
      <c r="B46" s="11"/>
      <c r="C46" s="11"/>
      <c r="D46" s="11"/>
      <c r="E46" s="11"/>
      <c r="F46" s="11"/>
      <c r="G46" s="27"/>
      <c r="H46" s="15"/>
      <c r="I46" s="11"/>
      <c r="J46" s="11"/>
      <c r="K46" s="15"/>
      <c r="L46" s="15"/>
      <c r="M46" s="15"/>
      <c r="N46" s="11"/>
      <c r="O46" s="15"/>
      <c r="P46" s="11"/>
      <c r="Q46" s="11"/>
      <c r="R46" s="15"/>
      <c r="S46" s="11"/>
      <c r="T46" s="11"/>
      <c r="U46" s="15"/>
      <c r="V46" s="15"/>
      <c r="W46" s="15"/>
      <c r="X46" s="11"/>
      <c r="Y46" s="15"/>
      <c r="Z46" s="11"/>
      <c r="AA46" s="11"/>
      <c r="AB46" s="15"/>
      <c r="AC46" s="11"/>
      <c r="AD46" s="11"/>
      <c r="AE46" s="15"/>
      <c r="AF46" s="15"/>
      <c r="AG46" s="15"/>
      <c r="AH46" s="11"/>
      <c r="AI46" s="15"/>
      <c r="AJ46" s="11"/>
      <c r="AK46" s="11"/>
      <c r="AL46" s="15"/>
      <c r="AM46" s="11"/>
      <c r="AN46" s="11"/>
      <c r="AO46" s="15"/>
      <c r="AP46" s="15"/>
      <c r="AQ46" s="15"/>
      <c r="AR46" s="11"/>
      <c r="AS46" s="15"/>
      <c r="AT46" s="11"/>
      <c r="AU46" s="11"/>
      <c r="AV46" s="15"/>
      <c r="AW46" s="11"/>
      <c r="AX46" s="11"/>
      <c r="AY46" s="15"/>
      <c r="AZ46" s="11"/>
      <c r="BA46" s="11"/>
      <c r="BB46" s="11"/>
      <c r="BC46" s="11"/>
      <c r="BD46" s="11"/>
      <c r="BE46" s="11"/>
      <c r="BF46" s="28"/>
      <c r="BG46" s="28"/>
      <c r="BH46" s="11"/>
      <c r="BI46" s="29"/>
      <c r="BJ46" s="11"/>
      <c r="BK46" s="11"/>
      <c r="BL46" s="11"/>
      <c r="BM46" s="11"/>
      <c r="BN46" s="11"/>
      <c r="BO46" s="11"/>
      <c r="BP46" s="11"/>
      <c r="BQ46" s="28"/>
      <c r="BR46" s="28"/>
      <c r="BS46" s="11"/>
      <c r="BT46" s="29"/>
      <c r="BU46" s="11"/>
      <c r="BV46" s="11"/>
      <c r="BW46" s="11"/>
      <c r="BX46" s="11"/>
      <c r="BY46" s="11"/>
      <c r="BZ46" s="11"/>
      <c r="CA46" s="11"/>
      <c r="CB46" s="11"/>
      <c r="CC46" s="29"/>
      <c r="CD46" s="28"/>
      <c r="CE46" s="11"/>
      <c r="CF46" s="11"/>
      <c r="CG46" s="11"/>
      <c r="CH46" s="29"/>
      <c r="CI46" s="28"/>
      <c r="CJ46" s="11"/>
      <c r="CK46" s="11"/>
      <c r="CL46" s="11"/>
      <c r="CM46" s="29"/>
      <c r="CN46" s="28"/>
      <c r="CO46" s="11"/>
      <c r="CP46" s="11"/>
      <c r="CQ46" s="11"/>
      <c r="CR46" s="29"/>
      <c r="CS46" s="28"/>
      <c r="CT46" s="30"/>
      <c r="CU46" s="30"/>
      <c r="CV46" s="30"/>
      <c r="CW46" s="30"/>
      <c r="CX46" s="30" t="str">
        <f t="shared" si="0"/>
        <v/>
      </c>
    </row>
    <row r="47" spans="1:102" ht="16.5">
      <c r="A47" s="11"/>
      <c r="B47" s="11"/>
      <c r="C47" s="11"/>
      <c r="D47" s="11"/>
      <c r="E47" s="11"/>
      <c r="F47" s="11"/>
      <c r="G47" s="27"/>
      <c r="H47" s="15"/>
      <c r="I47" s="11"/>
      <c r="J47" s="11"/>
      <c r="K47" s="15"/>
      <c r="L47" s="15"/>
      <c r="M47" s="15"/>
      <c r="N47" s="11"/>
      <c r="O47" s="15"/>
      <c r="P47" s="11"/>
      <c r="Q47" s="11"/>
      <c r="R47" s="15"/>
      <c r="S47" s="11"/>
      <c r="T47" s="11"/>
      <c r="U47" s="15"/>
      <c r="V47" s="15"/>
      <c r="W47" s="15"/>
      <c r="X47" s="11"/>
      <c r="Y47" s="15"/>
      <c r="Z47" s="11"/>
      <c r="AA47" s="11"/>
      <c r="AB47" s="15"/>
      <c r="AC47" s="11"/>
      <c r="AD47" s="11"/>
      <c r="AE47" s="15"/>
      <c r="AF47" s="15"/>
      <c r="AG47" s="15"/>
      <c r="AH47" s="11"/>
      <c r="AI47" s="15"/>
      <c r="AJ47" s="11"/>
      <c r="AK47" s="11"/>
      <c r="AL47" s="15"/>
      <c r="AM47" s="11"/>
      <c r="AN47" s="11"/>
      <c r="AO47" s="15"/>
      <c r="AP47" s="15"/>
      <c r="AQ47" s="15"/>
      <c r="AR47" s="11"/>
      <c r="AS47" s="15"/>
      <c r="AT47" s="11"/>
      <c r="AU47" s="11"/>
      <c r="AV47" s="15"/>
      <c r="AW47" s="11"/>
      <c r="AX47" s="11"/>
      <c r="AY47" s="15"/>
      <c r="AZ47" s="11"/>
      <c r="BA47" s="11"/>
      <c r="BB47" s="11"/>
      <c r="BC47" s="11"/>
      <c r="BD47" s="11"/>
      <c r="BE47" s="11"/>
      <c r="BF47" s="28"/>
      <c r="BG47" s="28"/>
      <c r="BH47" s="11"/>
      <c r="BI47" s="29"/>
      <c r="BJ47" s="11"/>
      <c r="BK47" s="11"/>
      <c r="BL47" s="11"/>
      <c r="BM47" s="11"/>
      <c r="BN47" s="11"/>
      <c r="BO47" s="11"/>
      <c r="BP47" s="11"/>
      <c r="BQ47" s="28"/>
      <c r="BR47" s="28"/>
      <c r="BS47" s="11"/>
      <c r="BT47" s="29"/>
      <c r="BU47" s="11"/>
      <c r="BV47" s="11"/>
      <c r="BW47" s="11"/>
      <c r="BX47" s="11"/>
      <c r="BY47" s="11"/>
      <c r="BZ47" s="11"/>
      <c r="CA47" s="11"/>
      <c r="CB47" s="11"/>
      <c r="CC47" s="29"/>
      <c r="CD47" s="28"/>
      <c r="CE47" s="11"/>
      <c r="CF47" s="11"/>
      <c r="CG47" s="11"/>
      <c r="CH47" s="29"/>
      <c r="CI47" s="28"/>
      <c r="CJ47" s="11"/>
      <c r="CK47" s="11"/>
      <c r="CL47" s="11"/>
      <c r="CM47" s="29"/>
      <c r="CN47" s="28"/>
      <c r="CO47" s="11"/>
      <c r="CP47" s="11"/>
      <c r="CQ47" s="11"/>
      <c r="CR47" s="29"/>
      <c r="CS47" s="28"/>
      <c r="CT47" s="30"/>
      <c r="CU47" s="30"/>
      <c r="CV47" s="30"/>
      <c r="CW47" s="30"/>
      <c r="CX47" s="30" t="str">
        <f t="shared" si="0"/>
        <v/>
      </c>
    </row>
    <row r="48" spans="1:102" ht="16.5">
      <c r="A48" s="11"/>
      <c r="B48" s="11"/>
      <c r="C48" s="11"/>
      <c r="D48" s="11"/>
      <c r="E48" s="11"/>
      <c r="F48" s="11"/>
      <c r="G48" s="27"/>
      <c r="H48" s="15"/>
      <c r="I48" s="11"/>
      <c r="J48" s="11"/>
      <c r="K48" s="15"/>
      <c r="L48" s="15"/>
      <c r="M48" s="15"/>
      <c r="N48" s="11"/>
      <c r="O48" s="15"/>
      <c r="P48" s="11"/>
      <c r="Q48" s="11"/>
      <c r="R48" s="15"/>
      <c r="S48" s="11"/>
      <c r="T48" s="11"/>
      <c r="U48" s="15"/>
      <c r="V48" s="15"/>
      <c r="W48" s="15"/>
      <c r="X48" s="11"/>
      <c r="Y48" s="15"/>
      <c r="Z48" s="11"/>
      <c r="AA48" s="11"/>
      <c r="AB48" s="15"/>
      <c r="AC48" s="11"/>
      <c r="AD48" s="11"/>
      <c r="AE48" s="15"/>
      <c r="AF48" s="15"/>
      <c r="AG48" s="15"/>
      <c r="AH48" s="11"/>
      <c r="AI48" s="15"/>
      <c r="AJ48" s="11"/>
      <c r="AK48" s="11"/>
      <c r="AL48" s="15"/>
      <c r="AM48" s="11"/>
      <c r="AN48" s="11"/>
      <c r="AO48" s="15"/>
      <c r="AP48" s="15"/>
      <c r="AQ48" s="15"/>
      <c r="AR48" s="11"/>
      <c r="AS48" s="15"/>
      <c r="AT48" s="11"/>
      <c r="AU48" s="11"/>
      <c r="AV48" s="15"/>
      <c r="AW48" s="11"/>
      <c r="AX48" s="11"/>
      <c r="AY48" s="15"/>
      <c r="AZ48" s="11"/>
      <c r="BA48" s="11"/>
      <c r="BB48" s="11"/>
      <c r="BC48" s="11"/>
      <c r="BD48" s="11"/>
      <c r="BE48" s="11"/>
      <c r="BF48" s="28"/>
      <c r="BG48" s="28"/>
      <c r="BH48" s="11"/>
      <c r="BI48" s="29"/>
      <c r="BJ48" s="11"/>
      <c r="BK48" s="11"/>
      <c r="BL48" s="11"/>
      <c r="BM48" s="11"/>
      <c r="BN48" s="11"/>
      <c r="BO48" s="11"/>
      <c r="BP48" s="11"/>
      <c r="BQ48" s="28"/>
      <c r="BR48" s="28"/>
      <c r="BS48" s="11"/>
      <c r="BT48" s="29"/>
      <c r="BU48" s="11"/>
      <c r="BV48" s="11"/>
      <c r="BW48" s="11"/>
      <c r="BX48" s="11"/>
      <c r="BY48" s="11"/>
      <c r="BZ48" s="11"/>
      <c r="CA48" s="11"/>
      <c r="CB48" s="11"/>
      <c r="CC48" s="29"/>
      <c r="CD48" s="28"/>
      <c r="CE48" s="11"/>
      <c r="CF48" s="11"/>
      <c r="CG48" s="11"/>
      <c r="CH48" s="29"/>
      <c r="CI48" s="28"/>
      <c r="CJ48" s="11"/>
      <c r="CK48" s="11"/>
      <c r="CL48" s="11"/>
      <c r="CM48" s="29"/>
      <c r="CN48" s="28"/>
      <c r="CO48" s="11"/>
      <c r="CP48" s="11"/>
      <c r="CQ48" s="11"/>
      <c r="CR48" s="29"/>
      <c r="CS48" s="28"/>
      <c r="CT48" s="30"/>
      <c r="CU48" s="30"/>
      <c r="CV48" s="30"/>
      <c r="CW48" s="30"/>
      <c r="CX48" s="30" t="str">
        <f t="shared" si="0"/>
        <v/>
      </c>
    </row>
    <row r="49" spans="1:102" ht="16.5">
      <c r="A49" s="11"/>
      <c r="B49" s="11"/>
      <c r="C49" s="11"/>
      <c r="D49" s="11"/>
      <c r="E49" s="11"/>
      <c r="F49" s="11"/>
      <c r="G49" s="27"/>
      <c r="H49" s="15"/>
      <c r="I49" s="11"/>
      <c r="J49" s="11"/>
      <c r="K49" s="15"/>
      <c r="L49" s="15"/>
      <c r="M49" s="15"/>
      <c r="N49" s="11"/>
      <c r="O49" s="15"/>
      <c r="P49" s="11"/>
      <c r="Q49" s="11"/>
      <c r="R49" s="15"/>
      <c r="S49" s="11"/>
      <c r="T49" s="11"/>
      <c r="U49" s="15"/>
      <c r="V49" s="15"/>
      <c r="W49" s="15"/>
      <c r="X49" s="11"/>
      <c r="Y49" s="15"/>
      <c r="Z49" s="11"/>
      <c r="AA49" s="11"/>
      <c r="AB49" s="15"/>
      <c r="AC49" s="11"/>
      <c r="AD49" s="11"/>
      <c r="AE49" s="15"/>
      <c r="AF49" s="15"/>
      <c r="AG49" s="15"/>
      <c r="AH49" s="11"/>
      <c r="AI49" s="15"/>
      <c r="AJ49" s="11"/>
      <c r="AK49" s="11"/>
      <c r="AL49" s="15"/>
      <c r="AM49" s="11"/>
      <c r="AN49" s="11"/>
      <c r="AO49" s="15"/>
      <c r="AP49" s="15"/>
      <c r="AQ49" s="15"/>
      <c r="AR49" s="11"/>
      <c r="AS49" s="15"/>
      <c r="AT49" s="11"/>
      <c r="AU49" s="11"/>
      <c r="AV49" s="15"/>
      <c r="AW49" s="11"/>
      <c r="AX49" s="11"/>
      <c r="AY49" s="15"/>
      <c r="AZ49" s="11"/>
      <c r="BA49" s="11"/>
      <c r="BB49" s="11"/>
      <c r="BC49" s="11"/>
      <c r="BD49" s="11"/>
      <c r="BE49" s="11"/>
      <c r="BF49" s="28"/>
      <c r="BG49" s="28"/>
      <c r="BH49" s="11"/>
      <c r="BI49" s="29"/>
      <c r="BJ49" s="11"/>
      <c r="BK49" s="11"/>
      <c r="BL49" s="11"/>
      <c r="BM49" s="11"/>
      <c r="BN49" s="11"/>
      <c r="BO49" s="11"/>
      <c r="BP49" s="11"/>
      <c r="BQ49" s="28"/>
      <c r="BR49" s="28"/>
      <c r="BS49" s="11"/>
      <c r="BT49" s="29"/>
      <c r="BU49" s="11"/>
      <c r="BV49" s="11"/>
      <c r="BW49" s="11"/>
      <c r="BX49" s="11"/>
      <c r="BY49" s="11"/>
      <c r="BZ49" s="11"/>
      <c r="CA49" s="11"/>
      <c r="CB49" s="11"/>
      <c r="CC49" s="29"/>
      <c r="CD49" s="28"/>
      <c r="CE49" s="11"/>
      <c r="CF49" s="11"/>
      <c r="CG49" s="11"/>
      <c r="CH49" s="29"/>
      <c r="CI49" s="28"/>
      <c r="CJ49" s="11"/>
      <c r="CK49" s="11"/>
      <c r="CL49" s="11"/>
      <c r="CM49" s="29"/>
      <c r="CN49" s="28"/>
      <c r="CO49" s="11"/>
      <c r="CP49" s="11"/>
      <c r="CQ49" s="11"/>
      <c r="CR49" s="29"/>
      <c r="CS49" s="28"/>
      <c r="CT49" s="30"/>
      <c r="CU49" s="30"/>
      <c r="CV49" s="30"/>
      <c r="CW49" s="30"/>
      <c r="CX49" s="30" t="str">
        <f t="shared" si="0"/>
        <v/>
      </c>
    </row>
    <row r="50" spans="1:102" ht="16.5">
      <c r="A50" s="11"/>
      <c r="B50" s="11"/>
      <c r="C50" s="11"/>
      <c r="D50" s="11"/>
      <c r="E50" s="11"/>
      <c r="F50" s="11"/>
      <c r="G50" s="27"/>
      <c r="H50" s="15"/>
      <c r="I50" s="11"/>
      <c r="J50" s="11"/>
      <c r="K50" s="15"/>
      <c r="L50" s="15"/>
      <c r="M50" s="15"/>
      <c r="N50" s="11"/>
      <c r="O50" s="15"/>
      <c r="P50" s="11"/>
      <c r="Q50" s="11"/>
      <c r="R50" s="15"/>
      <c r="S50" s="11"/>
      <c r="T50" s="11"/>
      <c r="U50" s="15"/>
      <c r="V50" s="15"/>
      <c r="W50" s="15"/>
      <c r="X50" s="11"/>
      <c r="Y50" s="15"/>
      <c r="Z50" s="11"/>
      <c r="AA50" s="11"/>
      <c r="AB50" s="15"/>
      <c r="AC50" s="11"/>
      <c r="AD50" s="11"/>
      <c r="AE50" s="15"/>
      <c r="AF50" s="15"/>
      <c r="AG50" s="15"/>
      <c r="AH50" s="11"/>
      <c r="AI50" s="15"/>
      <c r="AJ50" s="11"/>
      <c r="AK50" s="11"/>
      <c r="AL50" s="15"/>
      <c r="AM50" s="11"/>
      <c r="AN50" s="11"/>
      <c r="AO50" s="15"/>
      <c r="AP50" s="15"/>
      <c r="AQ50" s="15"/>
      <c r="AR50" s="11"/>
      <c r="AS50" s="15"/>
      <c r="AT50" s="11"/>
      <c r="AU50" s="11"/>
      <c r="AV50" s="15"/>
      <c r="AW50" s="11"/>
      <c r="AX50" s="11"/>
      <c r="AY50" s="15"/>
      <c r="AZ50" s="11"/>
      <c r="BA50" s="11"/>
      <c r="BB50" s="11"/>
      <c r="BC50" s="11"/>
      <c r="BD50" s="11"/>
      <c r="BE50" s="11"/>
      <c r="BF50" s="28"/>
      <c r="BG50" s="28"/>
      <c r="BH50" s="11"/>
      <c r="BI50" s="29"/>
      <c r="BJ50" s="11"/>
      <c r="BK50" s="11"/>
      <c r="BL50" s="11"/>
      <c r="BM50" s="11"/>
      <c r="BN50" s="11"/>
      <c r="BO50" s="11"/>
      <c r="BP50" s="11"/>
      <c r="BQ50" s="28"/>
      <c r="BR50" s="28"/>
      <c r="BS50" s="11"/>
      <c r="BT50" s="29"/>
      <c r="BU50" s="11"/>
      <c r="BV50" s="11"/>
      <c r="BW50" s="11"/>
      <c r="BX50" s="11"/>
      <c r="BY50" s="11"/>
      <c r="BZ50" s="11"/>
      <c r="CA50" s="11"/>
      <c r="CB50" s="11"/>
      <c r="CC50" s="29"/>
      <c r="CD50" s="28"/>
      <c r="CE50" s="11"/>
      <c r="CF50" s="11"/>
      <c r="CG50" s="11"/>
      <c r="CH50" s="29"/>
      <c r="CI50" s="28"/>
      <c r="CJ50" s="11"/>
      <c r="CK50" s="11"/>
      <c r="CL50" s="11"/>
      <c r="CM50" s="29"/>
      <c r="CN50" s="28"/>
      <c r="CO50" s="11"/>
      <c r="CP50" s="11"/>
      <c r="CQ50" s="11"/>
      <c r="CR50" s="29"/>
      <c r="CS50" s="28"/>
      <c r="CT50" s="30"/>
      <c r="CU50" s="30"/>
      <c r="CV50" s="30"/>
      <c r="CW50" s="30"/>
      <c r="CX50" s="30" t="str">
        <f t="shared" si="0"/>
        <v/>
      </c>
    </row>
    <row r="51" spans="1:102" ht="16.5">
      <c r="A51" s="11"/>
      <c r="B51" s="11"/>
      <c r="C51" s="11"/>
      <c r="D51" s="11"/>
      <c r="E51" s="11"/>
      <c r="F51" s="11"/>
      <c r="G51" s="27"/>
      <c r="H51" s="15"/>
      <c r="I51" s="11"/>
      <c r="J51" s="11"/>
      <c r="K51" s="15"/>
      <c r="L51" s="15"/>
      <c r="M51" s="15"/>
      <c r="N51" s="11"/>
      <c r="O51" s="15"/>
      <c r="P51" s="11"/>
      <c r="Q51" s="11"/>
      <c r="R51" s="15"/>
      <c r="S51" s="11"/>
      <c r="T51" s="11"/>
      <c r="U51" s="15"/>
      <c r="V51" s="15"/>
      <c r="W51" s="15"/>
      <c r="X51" s="11"/>
      <c r="Y51" s="15"/>
      <c r="Z51" s="11"/>
      <c r="AA51" s="11"/>
      <c r="AB51" s="15"/>
      <c r="AC51" s="11"/>
      <c r="AD51" s="11"/>
      <c r="AE51" s="15"/>
      <c r="AF51" s="15"/>
      <c r="AG51" s="15"/>
      <c r="AH51" s="11"/>
      <c r="AI51" s="15"/>
      <c r="AJ51" s="11"/>
      <c r="AK51" s="11"/>
      <c r="AL51" s="15"/>
      <c r="AM51" s="11"/>
      <c r="AN51" s="11"/>
      <c r="AO51" s="15"/>
      <c r="AP51" s="15"/>
      <c r="AQ51" s="15"/>
      <c r="AR51" s="11"/>
      <c r="AS51" s="15"/>
      <c r="AT51" s="11"/>
      <c r="AU51" s="11"/>
      <c r="AV51" s="15"/>
      <c r="AW51" s="11"/>
      <c r="AX51" s="11"/>
      <c r="AY51" s="15"/>
      <c r="AZ51" s="11"/>
      <c r="BA51" s="11"/>
      <c r="BB51" s="11"/>
      <c r="BC51" s="11"/>
      <c r="BD51" s="11"/>
      <c r="BE51" s="11"/>
      <c r="BF51" s="28"/>
      <c r="BG51" s="28"/>
      <c r="BH51" s="11"/>
      <c r="BI51" s="29"/>
      <c r="BJ51" s="11"/>
      <c r="BK51" s="11"/>
      <c r="BL51" s="11"/>
      <c r="BM51" s="11"/>
      <c r="BN51" s="11"/>
      <c r="BO51" s="11"/>
      <c r="BP51" s="11"/>
      <c r="BQ51" s="28"/>
      <c r="BR51" s="28"/>
      <c r="BS51" s="11"/>
      <c r="BT51" s="29"/>
      <c r="BU51" s="11"/>
      <c r="BV51" s="11"/>
      <c r="BW51" s="11"/>
      <c r="BX51" s="11"/>
      <c r="BY51" s="11"/>
      <c r="BZ51" s="11"/>
      <c r="CA51" s="11"/>
      <c r="CB51" s="11"/>
      <c r="CC51" s="29"/>
      <c r="CD51" s="28"/>
      <c r="CE51" s="11"/>
      <c r="CF51" s="11"/>
      <c r="CG51" s="11"/>
      <c r="CH51" s="29"/>
      <c r="CI51" s="28"/>
      <c r="CJ51" s="11"/>
      <c r="CK51" s="11"/>
      <c r="CL51" s="11"/>
      <c r="CM51" s="29"/>
      <c r="CN51" s="28"/>
      <c r="CO51" s="11"/>
      <c r="CP51" s="11"/>
      <c r="CQ51" s="11"/>
      <c r="CR51" s="29"/>
      <c r="CS51" s="28"/>
      <c r="CT51" s="30"/>
      <c r="CU51" s="30"/>
      <c r="CV51" s="30"/>
      <c r="CW51" s="30"/>
      <c r="CX51" s="30" t="str">
        <f t="shared" si="0"/>
        <v/>
      </c>
    </row>
    <row r="52" spans="1:102" ht="16.5">
      <c r="A52" s="11"/>
      <c r="B52" s="11"/>
      <c r="C52" s="11"/>
      <c r="D52" s="11"/>
      <c r="E52" s="11"/>
      <c r="F52" s="11"/>
      <c r="G52" s="27"/>
      <c r="H52" s="15"/>
      <c r="I52" s="11"/>
      <c r="J52" s="11"/>
      <c r="K52" s="15"/>
      <c r="L52" s="15"/>
      <c r="M52" s="15"/>
      <c r="N52" s="11"/>
      <c r="O52" s="15"/>
      <c r="P52" s="11"/>
      <c r="Q52" s="11"/>
      <c r="R52" s="15"/>
      <c r="S52" s="11"/>
      <c r="T52" s="11"/>
      <c r="U52" s="15"/>
      <c r="V52" s="15"/>
      <c r="W52" s="15"/>
      <c r="X52" s="11"/>
      <c r="Y52" s="15"/>
      <c r="Z52" s="11"/>
      <c r="AA52" s="11"/>
      <c r="AB52" s="15"/>
      <c r="AC52" s="11"/>
      <c r="AD52" s="11"/>
      <c r="AE52" s="15"/>
      <c r="AF52" s="15"/>
      <c r="AG52" s="15"/>
      <c r="AH52" s="11"/>
      <c r="AI52" s="15"/>
      <c r="AJ52" s="11"/>
      <c r="AK52" s="11"/>
      <c r="AL52" s="15"/>
      <c r="AM52" s="11"/>
      <c r="AN52" s="11"/>
      <c r="AO52" s="15"/>
      <c r="AP52" s="15"/>
      <c r="AQ52" s="15"/>
      <c r="AR52" s="11"/>
      <c r="AS52" s="15"/>
      <c r="AT52" s="11"/>
      <c r="AU52" s="11"/>
      <c r="AV52" s="15"/>
      <c r="AW52" s="11"/>
      <c r="AX52" s="11"/>
      <c r="AY52" s="15"/>
      <c r="AZ52" s="11"/>
      <c r="BA52" s="11"/>
      <c r="BB52" s="11"/>
      <c r="BC52" s="11"/>
      <c r="BD52" s="11"/>
      <c r="BE52" s="11"/>
      <c r="BF52" s="28"/>
      <c r="BG52" s="28"/>
      <c r="BH52" s="11"/>
      <c r="BI52" s="29"/>
      <c r="BJ52" s="11"/>
      <c r="BK52" s="11"/>
      <c r="BL52" s="11"/>
      <c r="BM52" s="11"/>
      <c r="BN52" s="11"/>
      <c r="BO52" s="11"/>
      <c r="BP52" s="11"/>
      <c r="BQ52" s="28"/>
      <c r="BR52" s="28"/>
      <c r="BS52" s="11"/>
      <c r="BT52" s="29"/>
      <c r="BU52" s="11"/>
      <c r="BV52" s="11"/>
      <c r="BW52" s="11"/>
      <c r="BX52" s="11"/>
      <c r="BY52" s="11"/>
      <c r="BZ52" s="11"/>
      <c r="CA52" s="11"/>
      <c r="CB52" s="11"/>
      <c r="CC52" s="29"/>
      <c r="CD52" s="28"/>
      <c r="CE52" s="11"/>
      <c r="CF52" s="11"/>
      <c r="CG52" s="11"/>
      <c r="CH52" s="29"/>
      <c r="CI52" s="28"/>
      <c r="CJ52" s="11"/>
      <c r="CK52" s="11"/>
      <c r="CL52" s="11"/>
      <c r="CM52" s="29"/>
      <c r="CN52" s="28"/>
      <c r="CO52" s="11"/>
      <c r="CP52" s="11"/>
      <c r="CQ52" s="11"/>
      <c r="CR52" s="29"/>
      <c r="CS52" s="28"/>
      <c r="CT52" s="30"/>
      <c r="CU52" s="30"/>
      <c r="CV52" s="30"/>
      <c r="CW52" s="30"/>
      <c r="CX52" s="30" t="str">
        <f t="shared" si="0"/>
        <v/>
      </c>
    </row>
    <row r="53" spans="1:102" ht="16.5">
      <c r="A53" s="11"/>
      <c r="B53" s="11"/>
      <c r="C53" s="11"/>
      <c r="D53" s="11"/>
      <c r="E53" s="11"/>
      <c r="F53" s="11"/>
      <c r="G53" s="27"/>
      <c r="H53" s="15"/>
      <c r="I53" s="11"/>
      <c r="J53" s="11"/>
      <c r="K53" s="15"/>
      <c r="L53" s="15"/>
      <c r="M53" s="15"/>
      <c r="N53" s="11"/>
      <c r="O53" s="15"/>
      <c r="P53" s="11"/>
      <c r="Q53" s="11"/>
      <c r="R53" s="15"/>
      <c r="S53" s="11"/>
      <c r="T53" s="11"/>
      <c r="U53" s="15"/>
      <c r="V53" s="15"/>
      <c r="W53" s="15"/>
      <c r="X53" s="11"/>
      <c r="Y53" s="15"/>
      <c r="Z53" s="11"/>
      <c r="AA53" s="11"/>
      <c r="AB53" s="15"/>
      <c r="AC53" s="11"/>
      <c r="AD53" s="11"/>
      <c r="AE53" s="15"/>
      <c r="AF53" s="15"/>
      <c r="AG53" s="15"/>
      <c r="AH53" s="11"/>
      <c r="AI53" s="15"/>
      <c r="AJ53" s="11"/>
      <c r="AK53" s="11"/>
      <c r="AL53" s="15"/>
      <c r="AM53" s="11"/>
      <c r="AN53" s="11"/>
      <c r="AO53" s="15"/>
      <c r="AP53" s="15"/>
      <c r="AQ53" s="15"/>
      <c r="AR53" s="11"/>
      <c r="AS53" s="15"/>
      <c r="AT53" s="11"/>
      <c r="AU53" s="11"/>
      <c r="AV53" s="15"/>
      <c r="AW53" s="11"/>
      <c r="AX53" s="11"/>
      <c r="AY53" s="15"/>
      <c r="AZ53" s="11"/>
      <c r="BA53" s="11"/>
      <c r="BB53" s="11"/>
      <c r="BC53" s="11"/>
      <c r="BD53" s="11"/>
      <c r="BE53" s="11"/>
      <c r="BF53" s="28"/>
      <c r="BG53" s="28"/>
      <c r="BH53" s="11"/>
      <c r="BI53" s="29"/>
      <c r="BJ53" s="11"/>
      <c r="BK53" s="11"/>
      <c r="BL53" s="11"/>
      <c r="BM53" s="11"/>
      <c r="BN53" s="11"/>
      <c r="BO53" s="11"/>
      <c r="BP53" s="11"/>
      <c r="BQ53" s="28"/>
      <c r="BR53" s="28"/>
      <c r="BS53" s="11"/>
      <c r="BT53" s="29"/>
      <c r="BU53" s="11"/>
      <c r="BV53" s="11"/>
      <c r="BW53" s="11"/>
      <c r="BX53" s="11"/>
      <c r="BY53" s="11"/>
      <c r="BZ53" s="11"/>
      <c r="CA53" s="11"/>
      <c r="CB53" s="11"/>
      <c r="CC53" s="29"/>
      <c r="CD53" s="28"/>
      <c r="CE53" s="11"/>
      <c r="CF53" s="11"/>
      <c r="CG53" s="11"/>
      <c r="CH53" s="29"/>
      <c r="CI53" s="28"/>
      <c r="CJ53" s="11"/>
      <c r="CK53" s="11"/>
      <c r="CL53" s="11"/>
      <c r="CM53" s="29"/>
      <c r="CN53" s="28"/>
      <c r="CO53" s="11"/>
      <c r="CP53" s="11"/>
      <c r="CQ53" s="11"/>
      <c r="CR53" s="29"/>
      <c r="CS53" s="28"/>
      <c r="CT53" s="30"/>
      <c r="CU53" s="30"/>
      <c r="CV53" s="30"/>
      <c r="CW53" s="30"/>
      <c r="CX53" s="30" t="str">
        <f t="shared" si="0"/>
        <v/>
      </c>
    </row>
    <row r="54" spans="1:102" ht="16.5">
      <c r="A54" s="11"/>
      <c r="B54" s="11"/>
      <c r="C54" s="11"/>
      <c r="D54" s="11"/>
      <c r="E54" s="11"/>
      <c r="F54" s="11"/>
      <c r="G54" s="27"/>
      <c r="H54" s="15"/>
      <c r="I54" s="11"/>
      <c r="J54" s="11"/>
      <c r="K54" s="15"/>
      <c r="L54" s="15"/>
      <c r="M54" s="15"/>
      <c r="N54" s="11"/>
      <c r="O54" s="15"/>
      <c r="P54" s="11"/>
      <c r="Q54" s="11"/>
      <c r="R54" s="15"/>
      <c r="S54" s="11"/>
      <c r="T54" s="11"/>
      <c r="U54" s="15"/>
      <c r="V54" s="15"/>
      <c r="W54" s="15"/>
      <c r="X54" s="11"/>
      <c r="Y54" s="15"/>
      <c r="Z54" s="11"/>
      <c r="AA54" s="11"/>
      <c r="AB54" s="15"/>
      <c r="AC54" s="11"/>
      <c r="AD54" s="11"/>
      <c r="AE54" s="15"/>
      <c r="AF54" s="15"/>
      <c r="AG54" s="15"/>
      <c r="AH54" s="11"/>
      <c r="AI54" s="15"/>
      <c r="AJ54" s="11"/>
      <c r="AK54" s="11"/>
      <c r="AL54" s="15"/>
      <c r="AM54" s="11"/>
      <c r="AN54" s="11"/>
      <c r="AO54" s="15"/>
      <c r="AP54" s="15"/>
      <c r="AQ54" s="15"/>
      <c r="AR54" s="11"/>
      <c r="AS54" s="15"/>
      <c r="AT54" s="11"/>
      <c r="AU54" s="11"/>
      <c r="AV54" s="15"/>
      <c r="AW54" s="11"/>
      <c r="AX54" s="11"/>
      <c r="AY54" s="15"/>
      <c r="AZ54" s="11"/>
      <c r="BA54" s="11"/>
      <c r="BB54" s="11"/>
      <c r="BC54" s="11"/>
      <c r="BD54" s="11"/>
      <c r="BE54" s="11"/>
      <c r="BF54" s="28"/>
      <c r="BG54" s="28"/>
      <c r="BH54" s="11"/>
      <c r="BI54" s="29"/>
      <c r="BJ54" s="11"/>
      <c r="BK54" s="11"/>
      <c r="BL54" s="11"/>
      <c r="BM54" s="11"/>
      <c r="BN54" s="11"/>
      <c r="BO54" s="11"/>
      <c r="BP54" s="11"/>
      <c r="BQ54" s="28"/>
      <c r="BR54" s="28"/>
      <c r="BS54" s="11"/>
      <c r="BT54" s="29"/>
      <c r="BU54" s="11"/>
      <c r="BV54" s="11"/>
      <c r="BW54" s="11"/>
      <c r="BX54" s="11"/>
      <c r="BY54" s="11"/>
      <c r="BZ54" s="11"/>
      <c r="CA54" s="11"/>
      <c r="CB54" s="11"/>
      <c r="CC54" s="29"/>
      <c r="CD54" s="28"/>
      <c r="CE54" s="11"/>
      <c r="CF54" s="11"/>
      <c r="CG54" s="11"/>
      <c r="CH54" s="29"/>
      <c r="CI54" s="28"/>
      <c r="CJ54" s="11"/>
      <c r="CK54" s="11"/>
      <c r="CL54" s="11"/>
      <c r="CM54" s="29"/>
      <c r="CN54" s="28"/>
      <c r="CO54" s="11"/>
      <c r="CP54" s="11"/>
      <c r="CQ54" s="11"/>
      <c r="CR54" s="29"/>
      <c r="CS54" s="28"/>
      <c r="CT54" s="30"/>
      <c r="CU54" s="30"/>
      <c r="CV54" s="30"/>
      <c r="CW54" s="30"/>
      <c r="CX54" s="30" t="str">
        <f t="shared" si="0"/>
        <v/>
      </c>
    </row>
    <row r="55" spans="1:102" ht="16.5">
      <c r="A55" s="11"/>
      <c r="B55" s="11"/>
      <c r="C55" s="11"/>
      <c r="D55" s="11"/>
      <c r="E55" s="11"/>
      <c r="F55" s="11"/>
      <c r="G55" s="27"/>
      <c r="H55" s="15"/>
      <c r="I55" s="11"/>
      <c r="J55" s="11"/>
      <c r="K55" s="15"/>
      <c r="L55" s="15"/>
      <c r="M55" s="15"/>
      <c r="N55" s="11"/>
      <c r="O55" s="15"/>
      <c r="P55" s="11"/>
      <c r="Q55" s="11"/>
      <c r="R55" s="15"/>
      <c r="S55" s="11"/>
      <c r="T55" s="11"/>
      <c r="U55" s="15"/>
      <c r="V55" s="15"/>
      <c r="W55" s="15"/>
      <c r="X55" s="11"/>
      <c r="Y55" s="15"/>
      <c r="Z55" s="11"/>
      <c r="AA55" s="11"/>
      <c r="AB55" s="15"/>
      <c r="AC55" s="11"/>
      <c r="AD55" s="11"/>
      <c r="AE55" s="15"/>
      <c r="AF55" s="15"/>
      <c r="AG55" s="15"/>
      <c r="AH55" s="11"/>
      <c r="AI55" s="15"/>
      <c r="AJ55" s="11"/>
      <c r="AK55" s="11"/>
      <c r="AL55" s="15"/>
      <c r="AM55" s="11"/>
      <c r="AN55" s="11"/>
      <c r="AO55" s="15"/>
      <c r="AP55" s="15"/>
      <c r="AQ55" s="15"/>
      <c r="AR55" s="11"/>
      <c r="AS55" s="15"/>
      <c r="AT55" s="11"/>
      <c r="AU55" s="11"/>
      <c r="AV55" s="15"/>
      <c r="AW55" s="11"/>
      <c r="AX55" s="11"/>
      <c r="AY55" s="15"/>
      <c r="AZ55" s="11"/>
      <c r="BA55" s="11"/>
      <c r="BB55" s="11"/>
      <c r="BC55" s="11"/>
      <c r="BD55" s="11"/>
      <c r="BE55" s="11"/>
      <c r="BF55" s="28"/>
      <c r="BG55" s="28"/>
      <c r="BH55" s="11"/>
      <c r="BI55" s="29"/>
      <c r="BJ55" s="11"/>
      <c r="BK55" s="11"/>
      <c r="BL55" s="11"/>
      <c r="BM55" s="11"/>
      <c r="BN55" s="11"/>
      <c r="BO55" s="11"/>
      <c r="BP55" s="11"/>
      <c r="BQ55" s="28"/>
      <c r="BR55" s="28"/>
      <c r="BS55" s="11"/>
      <c r="BT55" s="29"/>
      <c r="BU55" s="11"/>
      <c r="BV55" s="11"/>
      <c r="BW55" s="11"/>
      <c r="BX55" s="11"/>
      <c r="BY55" s="11"/>
      <c r="BZ55" s="11"/>
      <c r="CA55" s="11"/>
      <c r="CB55" s="11"/>
      <c r="CC55" s="29"/>
      <c r="CD55" s="28"/>
      <c r="CE55" s="11"/>
      <c r="CF55" s="11"/>
      <c r="CG55" s="11"/>
      <c r="CH55" s="29"/>
      <c r="CI55" s="28"/>
      <c r="CJ55" s="11"/>
      <c r="CK55" s="11"/>
      <c r="CL55" s="11"/>
      <c r="CM55" s="29"/>
      <c r="CN55" s="28"/>
      <c r="CO55" s="11"/>
      <c r="CP55" s="11"/>
      <c r="CQ55" s="11"/>
      <c r="CR55" s="29"/>
      <c r="CS55" s="28"/>
      <c r="CT55" s="30"/>
      <c r="CU55" s="30"/>
      <c r="CV55" s="30"/>
      <c r="CW55" s="30"/>
      <c r="CX55" s="30" t="str">
        <f t="shared" si="0"/>
        <v/>
      </c>
    </row>
    <row r="56" spans="1:102" ht="16.5">
      <c r="A56" s="11"/>
      <c r="B56" s="11"/>
      <c r="C56" s="11"/>
      <c r="D56" s="11"/>
      <c r="E56" s="11"/>
      <c r="F56" s="11"/>
      <c r="G56" s="27"/>
      <c r="H56" s="15"/>
      <c r="I56" s="11"/>
      <c r="J56" s="11"/>
      <c r="K56" s="15"/>
      <c r="L56" s="15"/>
      <c r="M56" s="15"/>
      <c r="N56" s="11"/>
      <c r="O56" s="15"/>
      <c r="P56" s="11"/>
      <c r="Q56" s="11"/>
      <c r="R56" s="15"/>
      <c r="S56" s="11"/>
      <c r="T56" s="11"/>
      <c r="U56" s="15"/>
      <c r="V56" s="15"/>
      <c r="W56" s="15"/>
      <c r="X56" s="11"/>
      <c r="Y56" s="15"/>
      <c r="Z56" s="11"/>
      <c r="AA56" s="11"/>
      <c r="AB56" s="15"/>
      <c r="AC56" s="11"/>
      <c r="AD56" s="11"/>
      <c r="AE56" s="15"/>
      <c r="AF56" s="15"/>
      <c r="AG56" s="15"/>
      <c r="AH56" s="11"/>
      <c r="AI56" s="15"/>
      <c r="AJ56" s="11"/>
      <c r="AK56" s="11"/>
      <c r="AL56" s="15"/>
      <c r="AM56" s="11"/>
      <c r="AN56" s="11"/>
      <c r="AO56" s="15"/>
      <c r="AP56" s="15"/>
      <c r="AQ56" s="15"/>
      <c r="AR56" s="11"/>
      <c r="AS56" s="15"/>
      <c r="AT56" s="11"/>
      <c r="AU56" s="11"/>
      <c r="AV56" s="15"/>
      <c r="AW56" s="11"/>
      <c r="AX56" s="11"/>
      <c r="AY56" s="15"/>
      <c r="AZ56" s="11"/>
      <c r="BA56" s="11"/>
      <c r="BB56" s="11"/>
      <c r="BC56" s="11"/>
      <c r="BD56" s="11"/>
      <c r="BE56" s="11"/>
      <c r="BF56" s="28"/>
      <c r="BG56" s="28"/>
      <c r="BH56" s="11"/>
      <c r="BI56" s="29"/>
      <c r="BJ56" s="11"/>
      <c r="BK56" s="11"/>
      <c r="BL56" s="11"/>
      <c r="BM56" s="11"/>
      <c r="BN56" s="11"/>
      <c r="BO56" s="11"/>
      <c r="BP56" s="11"/>
      <c r="BQ56" s="28"/>
      <c r="BR56" s="28"/>
      <c r="BS56" s="11"/>
      <c r="BT56" s="29"/>
      <c r="BU56" s="11"/>
      <c r="BV56" s="11"/>
      <c r="BW56" s="11"/>
      <c r="BX56" s="11"/>
      <c r="BY56" s="11"/>
      <c r="BZ56" s="11"/>
      <c r="CA56" s="11"/>
      <c r="CB56" s="11"/>
      <c r="CC56" s="29"/>
      <c r="CD56" s="28"/>
      <c r="CE56" s="11"/>
      <c r="CF56" s="11"/>
      <c r="CG56" s="11"/>
      <c r="CH56" s="29"/>
      <c r="CI56" s="28"/>
      <c r="CJ56" s="11"/>
      <c r="CK56" s="11"/>
      <c r="CL56" s="11"/>
      <c r="CM56" s="29"/>
      <c r="CN56" s="28"/>
      <c r="CO56" s="11"/>
      <c r="CP56" s="11"/>
      <c r="CQ56" s="11"/>
      <c r="CR56" s="29"/>
      <c r="CS56" s="28"/>
      <c r="CT56" s="30"/>
      <c r="CU56" s="30"/>
      <c r="CV56" s="30"/>
      <c r="CW56" s="30"/>
      <c r="CX56" s="30" t="str">
        <f t="shared" si="0"/>
        <v/>
      </c>
    </row>
    <row r="57" spans="1:102" ht="16.5">
      <c r="A57" s="11"/>
      <c r="B57" s="11"/>
      <c r="C57" s="11"/>
      <c r="D57" s="11"/>
      <c r="E57" s="11"/>
      <c r="F57" s="11"/>
      <c r="G57" s="27"/>
      <c r="H57" s="15"/>
      <c r="I57" s="11"/>
      <c r="J57" s="11"/>
      <c r="K57" s="15"/>
      <c r="L57" s="15"/>
      <c r="M57" s="15"/>
      <c r="N57" s="11"/>
      <c r="O57" s="15"/>
      <c r="P57" s="11"/>
      <c r="Q57" s="11"/>
      <c r="R57" s="15"/>
      <c r="S57" s="11"/>
      <c r="T57" s="11"/>
      <c r="U57" s="15"/>
      <c r="V57" s="15"/>
      <c r="W57" s="15"/>
      <c r="X57" s="11"/>
      <c r="Y57" s="15"/>
      <c r="Z57" s="11"/>
      <c r="AA57" s="11"/>
      <c r="AB57" s="15"/>
      <c r="AC57" s="11"/>
      <c r="AD57" s="11"/>
      <c r="AE57" s="15"/>
      <c r="AF57" s="15"/>
      <c r="AG57" s="15"/>
      <c r="AH57" s="11"/>
      <c r="AI57" s="15"/>
      <c r="AJ57" s="11"/>
      <c r="AK57" s="11"/>
      <c r="AL57" s="15"/>
      <c r="AM57" s="11"/>
      <c r="AN57" s="11"/>
      <c r="AO57" s="15"/>
      <c r="AP57" s="15"/>
      <c r="AQ57" s="15"/>
      <c r="AR57" s="11"/>
      <c r="AS57" s="15"/>
      <c r="AT57" s="11"/>
      <c r="AU57" s="11"/>
      <c r="AV57" s="15"/>
      <c r="AW57" s="11"/>
      <c r="AX57" s="11"/>
      <c r="AY57" s="15"/>
      <c r="AZ57" s="11"/>
      <c r="BA57" s="11"/>
      <c r="BB57" s="11"/>
      <c r="BC57" s="11"/>
      <c r="BD57" s="11"/>
      <c r="BE57" s="11"/>
      <c r="BF57" s="28"/>
      <c r="BG57" s="28"/>
      <c r="BH57" s="11"/>
      <c r="BI57" s="29"/>
      <c r="BJ57" s="11"/>
      <c r="BK57" s="11"/>
      <c r="BL57" s="11"/>
      <c r="BM57" s="11"/>
      <c r="BN57" s="11"/>
      <c r="BO57" s="11"/>
      <c r="BP57" s="11"/>
      <c r="BQ57" s="28"/>
      <c r="BR57" s="28"/>
      <c r="BS57" s="11"/>
      <c r="BT57" s="29"/>
      <c r="BU57" s="11"/>
      <c r="BV57" s="11"/>
      <c r="BW57" s="11"/>
      <c r="BX57" s="11"/>
      <c r="BY57" s="11"/>
      <c r="BZ57" s="11"/>
      <c r="CA57" s="11"/>
      <c r="CB57" s="11"/>
      <c r="CC57" s="29"/>
      <c r="CD57" s="28"/>
      <c r="CE57" s="11"/>
      <c r="CF57" s="11"/>
      <c r="CG57" s="11"/>
      <c r="CH57" s="29"/>
      <c r="CI57" s="28"/>
      <c r="CJ57" s="11"/>
      <c r="CK57" s="11"/>
      <c r="CL57" s="11"/>
      <c r="CM57" s="29"/>
      <c r="CN57" s="28"/>
      <c r="CO57" s="11"/>
      <c r="CP57" s="11"/>
      <c r="CQ57" s="11"/>
      <c r="CR57" s="29"/>
      <c r="CS57" s="28"/>
      <c r="CT57" s="30"/>
      <c r="CU57" s="30"/>
      <c r="CV57" s="30"/>
      <c r="CW57" s="30"/>
      <c r="CX57" s="30" t="str">
        <f t="shared" si="0"/>
        <v/>
      </c>
    </row>
    <row r="58" spans="1:102" ht="16.5">
      <c r="A58" s="11"/>
      <c r="B58" s="11"/>
      <c r="C58" s="11"/>
      <c r="D58" s="11"/>
      <c r="E58" s="11"/>
      <c r="F58" s="11"/>
      <c r="G58" s="27"/>
      <c r="H58" s="15"/>
      <c r="I58" s="11"/>
      <c r="J58" s="11"/>
      <c r="K58" s="15"/>
      <c r="L58" s="15"/>
      <c r="M58" s="15"/>
      <c r="N58" s="11"/>
      <c r="O58" s="15"/>
      <c r="P58" s="11"/>
      <c r="Q58" s="11"/>
      <c r="R58" s="15"/>
      <c r="S58" s="11"/>
      <c r="T58" s="11"/>
      <c r="U58" s="15"/>
      <c r="V58" s="15"/>
      <c r="W58" s="15"/>
      <c r="X58" s="11"/>
      <c r="Y58" s="15"/>
      <c r="Z58" s="11"/>
      <c r="AA58" s="11"/>
      <c r="AB58" s="15"/>
      <c r="AC58" s="11"/>
      <c r="AD58" s="11"/>
      <c r="AE58" s="15"/>
      <c r="AF58" s="15"/>
      <c r="AG58" s="15"/>
      <c r="AH58" s="11"/>
      <c r="AI58" s="15"/>
      <c r="AJ58" s="11"/>
      <c r="AK58" s="11"/>
      <c r="AL58" s="15"/>
      <c r="AM58" s="11"/>
      <c r="AN58" s="11"/>
      <c r="AO58" s="15"/>
      <c r="AP58" s="15"/>
      <c r="AQ58" s="15"/>
      <c r="AR58" s="11"/>
      <c r="AS58" s="15"/>
      <c r="AT58" s="11"/>
      <c r="AU58" s="11"/>
      <c r="AV58" s="15"/>
      <c r="AW58" s="11"/>
      <c r="AX58" s="11"/>
      <c r="AY58" s="15"/>
      <c r="AZ58" s="11"/>
      <c r="BA58" s="11"/>
      <c r="BB58" s="11"/>
      <c r="BC58" s="11"/>
      <c r="BD58" s="11"/>
      <c r="BE58" s="11"/>
      <c r="BF58" s="28"/>
      <c r="BG58" s="28"/>
      <c r="BH58" s="11"/>
      <c r="BI58" s="29"/>
      <c r="BJ58" s="11"/>
      <c r="BK58" s="11"/>
      <c r="BL58" s="11"/>
      <c r="BM58" s="11"/>
      <c r="BN58" s="11"/>
      <c r="BO58" s="11"/>
      <c r="BP58" s="11"/>
      <c r="BQ58" s="28"/>
      <c r="BR58" s="28"/>
      <c r="BS58" s="11"/>
      <c r="BT58" s="29"/>
      <c r="BU58" s="11"/>
      <c r="BV58" s="11"/>
      <c r="BW58" s="11"/>
      <c r="BX58" s="11"/>
      <c r="BY58" s="11"/>
      <c r="BZ58" s="11"/>
      <c r="CA58" s="11"/>
      <c r="CB58" s="11"/>
      <c r="CC58" s="29"/>
      <c r="CD58" s="28"/>
      <c r="CE58" s="11"/>
      <c r="CF58" s="11"/>
      <c r="CG58" s="11"/>
      <c r="CH58" s="29"/>
      <c r="CI58" s="28"/>
      <c r="CJ58" s="11"/>
      <c r="CK58" s="11"/>
      <c r="CL58" s="11"/>
      <c r="CM58" s="29"/>
      <c r="CN58" s="28"/>
      <c r="CO58" s="11"/>
      <c r="CP58" s="11"/>
      <c r="CQ58" s="11"/>
      <c r="CR58" s="29"/>
      <c r="CS58" s="28"/>
      <c r="CT58" s="30"/>
      <c r="CU58" s="30"/>
      <c r="CV58" s="30"/>
      <c r="CW58" s="30"/>
      <c r="CX58" s="30" t="str">
        <f t="shared" si="0"/>
        <v/>
      </c>
    </row>
    <row r="59" spans="1:102" ht="16.5">
      <c r="A59" s="11"/>
      <c r="B59" s="11"/>
      <c r="C59" s="11"/>
      <c r="D59" s="11"/>
      <c r="E59" s="11"/>
      <c r="F59" s="11"/>
      <c r="G59" s="27"/>
      <c r="H59" s="15"/>
      <c r="I59" s="11"/>
      <c r="J59" s="11"/>
      <c r="K59" s="15"/>
      <c r="L59" s="15"/>
      <c r="M59" s="15"/>
      <c r="N59" s="11"/>
      <c r="O59" s="15"/>
      <c r="P59" s="11"/>
      <c r="Q59" s="11"/>
      <c r="R59" s="15"/>
      <c r="S59" s="11"/>
      <c r="T59" s="11"/>
      <c r="U59" s="15"/>
      <c r="V59" s="15"/>
      <c r="W59" s="15"/>
      <c r="X59" s="11"/>
      <c r="Y59" s="15"/>
      <c r="Z59" s="11"/>
      <c r="AA59" s="11"/>
      <c r="AB59" s="15"/>
      <c r="AC59" s="11"/>
      <c r="AD59" s="11"/>
      <c r="AE59" s="15"/>
      <c r="AF59" s="15"/>
      <c r="AG59" s="15"/>
      <c r="AH59" s="11"/>
      <c r="AI59" s="15"/>
      <c r="AJ59" s="11"/>
      <c r="AK59" s="11"/>
      <c r="AL59" s="15"/>
      <c r="AM59" s="11"/>
      <c r="AN59" s="11"/>
      <c r="AO59" s="15"/>
      <c r="AP59" s="15"/>
      <c r="AQ59" s="15"/>
      <c r="AR59" s="11"/>
      <c r="AS59" s="15"/>
      <c r="AT59" s="11"/>
      <c r="AU59" s="11"/>
      <c r="AV59" s="15"/>
      <c r="AW59" s="11"/>
      <c r="AX59" s="11"/>
      <c r="AY59" s="15"/>
      <c r="AZ59" s="11"/>
      <c r="BA59" s="11"/>
      <c r="BB59" s="11"/>
      <c r="BC59" s="11"/>
      <c r="BD59" s="11"/>
      <c r="BE59" s="11"/>
      <c r="BF59" s="28"/>
      <c r="BG59" s="28"/>
      <c r="BH59" s="11"/>
      <c r="BI59" s="29"/>
      <c r="BJ59" s="11"/>
      <c r="BK59" s="11"/>
      <c r="BL59" s="11"/>
      <c r="BM59" s="11"/>
      <c r="BN59" s="11"/>
      <c r="BO59" s="11"/>
      <c r="BP59" s="11"/>
      <c r="BQ59" s="28"/>
      <c r="BR59" s="28"/>
      <c r="BS59" s="11"/>
      <c r="BT59" s="29"/>
      <c r="BU59" s="11"/>
      <c r="BV59" s="11"/>
      <c r="BW59" s="11"/>
      <c r="BX59" s="11"/>
      <c r="BY59" s="11"/>
      <c r="BZ59" s="11"/>
      <c r="CA59" s="11"/>
      <c r="CB59" s="11"/>
      <c r="CC59" s="29"/>
      <c r="CD59" s="28"/>
      <c r="CE59" s="11"/>
      <c r="CF59" s="11"/>
      <c r="CG59" s="11"/>
      <c r="CH59" s="29"/>
      <c r="CI59" s="28"/>
      <c r="CJ59" s="11"/>
      <c r="CK59" s="11"/>
      <c r="CL59" s="11"/>
      <c r="CM59" s="29"/>
      <c r="CN59" s="28"/>
      <c r="CO59" s="11"/>
      <c r="CP59" s="11"/>
      <c r="CQ59" s="11"/>
      <c r="CR59" s="29"/>
      <c r="CS59" s="28"/>
      <c r="CT59" s="30"/>
      <c r="CU59" s="30"/>
      <c r="CV59" s="30"/>
      <c r="CW59" s="30"/>
      <c r="CX59" s="30" t="str">
        <f t="shared" si="0"/>
        <v/>
      </c>
    </row>
    <row r="60" spans="1:102" ht="16.5">
      <c r="A60" s="11"/>
      <c r="B60" s="11"/>
      <c r="C60" s="11"/>
      <c r="D60" s="11"/>
      <c r="E60" s="11"/>
      <c r="F60" s="11"/>
      <c r="G60" s="27"/>
      <c r="H60" s="15"/>
      <c r="I60" s="11"/>
      <c r="J60" s="11"/>
      <c r="K60" s="15"/>
      <c r="L60" s="15"/>
      <c r="M60" s="15"/>
      <c r="N60" s="11"/>
      <c r="O60" s="15"/>
      <c r="P60" s="11"/>
      <c r="Q60" s="11"/>
      <c r="R60" s="15"/>
      <c r="S60" s="11"/>
      <c r="T60" s="11"/>
      <c r="U60" s="15"/>
      <c r="V60" s="15"/>
      <c r="W60" s="15"/>
      <c r="X60" s="11"/>
      <c r="Y60" s="15"/>
      <c r="Z60" s="11"/>
      <c r="AA60" s="11"/>
      <c r="AB60" s="15"/>
      <c r="AC60" s="11"/>
      <c r="AD60" s="11"/>
      <c r="AE60" s="15"/>
      <c r="AF60" s="15"/>
      <c r="AG60" s="15"/>
      <c r="AH60" s="11"/>
      <c r="AI60" s="15"/>
      <c r="AJ60" s="11"/>
      <c r="AK60" s="11"/>
      <c r="AL60" s="15"/>
      <c r="AM60" s="11"/>
      <c r="AN60" s="11"/>
      <c r="AO60" s="15"/>
      <c r="AP60" s="15"/>
      <c r="AQ60" s="15"/>
      <c r="AR60" s="11"/>
      <c r="AS60" s="15"/>
      <c r="AT60" s="11"/>
      <c r="AU60" s="11"/>
      <c r="AV60" s="15"/>
      <c r="AW60" s="11"/>
      <c r="AX60" s="11"/>
      <c r="AY60" s="15"/>
      <c r="AZ60" s="11"/>
      <c r="BA60" s="11"/>
      <c r="BB60" s="11"/>
      <c r="BC60" s="11"/>
      <c r="BD60" s="11"/>
      <c r="BE60" s="11"/>
      <c r="BF60" s="28"/>
      <c r="BG60" s="28"/>
      <c r="BH60" s="11"/>
      <c r="BI60" s="29"/>
      <c r="BJ60" s="11"/>
      <c r="BK60" s="11"/>
      <c r="BL60" s="11"/>
      <c r="BM60" s="11"/>
      <c r="BN60" s="11"/>
      <c r="BO60" s="11"/>
      <c r="BP60" s="11"/>
      <c r="BQ60" s="28"/>
      <c r="BR60" s="28"/>
      <c r="BS60" s="11"/>
      <c r="BT60" s="29"/>
      <c r="BU60" s="11"/>
      <c r="BV60" s="11"/>
      <c r="BW60" s="11"/>
      <c r="BX60" s="11"/>
      <c r="BY60" s="11"/>
      <c r="BZ60" s="11"/>
      <c r="CA60" s="11"/>
      <c r="CB60" s="11"/>
      <c r="CC60" s="29"/>
      <c r="CD60" s="28"/>
      <c r="CE60" s="11"/>
      <c r="CF60" s="11"/>
      <c r="CG60" s="11"/>
      <c r="CH60" s="29"/>
      <c r="CI60" s="28"/>
      <c r="CJ60" s="11"/>
      <c r="CK60" s="11"/>
      <c r="CL60" s="11"/>
      <c r="CM60" s="29"/>
      <c r="CN60" s="28"/>
      <c r="CO60" s="11"/>
      <c r="CP60" s="11"/>
      <c r="CQ60" s="11"/>
      <c r="CR60" s="29"/>
      <c r="CS60" s="28"/>
      <c r="CT60" s="30"/>
      <c r="CU60" s="30"/>
      <c r="CV60" s="30"/>
      <c r="CW60" s="30"/>
      <c r="CX60" s="30" t="str">
        <f t="shared" si="0"/>
        <v/>
      </c>
    </row>
    <row r="61" spans="1:102" ht="16.5">
      <c r="A61" s="11"/>
      <c r="B61" s="11"/>
      <c r="C61" s="11"/>
      <c r="D61" s="11"/>
      <c r="E61" s="11"/>
      <c r="F61" s="11"/>
      <c r="G61" s="27"/>
      <c r="H61" s="15"/>
      <c r="I61" s="11"/>
      <c r="J61" s="11"/>
      <c r="K61" s="15"/>
      <c r="L61" s="15"/>
      <c r="M61" s="15"/>
      <c r="N61" s="11"/>
      <c r="O61" s="15"/>
      <c r="P61" s="11"/>
      <c r="Q61" s="11"/>
      <c r="R61" s="15"/>
      <c r="S61" s="11"/>
      <c r="T61" s="11"/>
      <c r="U61" s="15"/>
      <c r="V61" s="15"/>
      <c r="W61" s="15"/>
      <c r="X61" s="11"/>
      <c r="Y61" s="15"/>
      <c r="Z61" s="11"/>
      <c r="AA61" s="11"/>
      <c r="AB61" s="15"/>
      <c r="AC61" s="11"/>
      <c r="AD61" s="11"/>
      <c r="AE61" s="15"/>
      <c r="AF61" s="15"/>
      <c r="AG61" s="15"/>
      <c r="AH61" s="11"/>
      <c r="AI61" s="15"/>
      <c r="AJ61" s="11"/>
      <c r="AK61" s="11"/>
      <c r="AL61" s="15"/>
      <c r="AM61" s="11"/>
      <c r="AN61" s="11"/>
      <c r="AO61" s="15"/>
      <c r="AP61" s="15"/>
      <c r="AQ61" s="15"/>
      <c r="AR61" s="11"/>
      <c r="AS61" s="15"/>
      <c r="AT61" s="11"/>
      <c r="AU61" s="11"/>
      <c r="AV61" s="15"/>
      <c r="AW61" s="11"/>
      <c r="AX61" s="11"/>
      <c r="AY61" s="15"/>
      <c r="AZ61" s="11"/>
      <c r="BA61" s="11"/>
      <c r="BB61" s="11"/>
      <c r="BC61" s="11"/>
      <c r="BD61" s="11"/>
      <c r="BE61" s="11"/>
      <c r="BF61" s="28"/>
      <c r="BG61" s="28"/>
      <c r="BH61" s="11"/>
      <c r="BI61" s="29"/>
      <c r="BJ61" s="11"/>
      <c r="BK61" s="11"/>
      <c r="BL61" s="11"/>
      <c r="BM61" s="11"/>
      <c r="BN61" s="11"/>
      <c r="BO61" s="11"/>
      <c r="BP61" s="11"/>
      <c r="BQ61" s="28"/>
      <c r="BR61" s="28"/>
      <c r="BS61" s="11"/>
      <c r="BT61" s="29"/>
      <c r="BU61" s="11"/>
      <c r="BV61" s="11"/>
      <c r="BW61" s="11"/>
      <c r="BX61" s="11"/>
      <c r="BY61" s="11"/>
      <c r="BZ61" s="11"/>
      <c r="CA61" s="11"/>
      <c r="CB61" s="11"/>
      <c r="CC61" s="29"/>
      <c r="CD61" s="28"/>
      <c r="CE61" s="11"/>
      <c r="CF61" s="11"/>
      <c r="CG61" s="11"/>
      <c r="CH61" s="29"/>
      <c r="CI61" s="28"/>
      <c r="CJ61" s="11"/>
      <c r="CK61" s="11"/>
      <c r="CL61" s="11"/>
      <c r="CM61" s="29"/>
      <c r="CN61" s="28"/>
      <c r="CO61" s="11"/>
      <c r="CP61" s="11"/>
      <c r="CQ61" s="11"/>
      <c r="CR61" s="29"/>
      <c r="CS61" s="28"/>
      <c r="CT61" s="30"/>
      <c r="CU61" s="30"/>
      <c r="CV61" s="30"/>
      <c r="CW61" s="30"/>
      <c r="CX61" s="30" t="str">
        <f t="shared" si="0"/>
        <v/>
      </c>
    </row>
    <row r="62" spans="1:102" ht="16.5">
      <c r="A62" s="11"/>
      <c r="B62" s="11"/>
      <c r="C62" s="11"/>
      <c r="D62" s="11"/>
      <c r="E62" s="11"/>
      <c r="F62" s="11"/>
      <c r="G62" s="27"/>
      <c r="H62" s="15"/>
      <c r="I62" s="11"/>
      <c r="J62" s="11"/>
      <c r="K62" s="15"/>
      <c r="L62" s="15"/>
      <c r="M62" s="15"/>
      <c r="N62" s="11"/>
      <c r="O62" s="15"/>
      <c r="P62" s="11"/>
      <c r="Q62" s="11"/>
      <c r="R62" s="15"/>
      <c r="S62" s="11"/>
      <c r="T62" s="11"/>
      <c r="U62" s="15"/>
      <c r="V62" s="15"/>
      <c r="W62" s="15"/>
      <c r="X62" s="11"/>
      <c r="Y62" s="15"/>
      <c r="Z62" s="11"/>
      <c r="AA62" s="11"/>
      <c r="AB62" s="15"/>
      <c r="AC62" s="11"/>
      <c r="AD62" s="11"/>
      <c r="AE62" s="15"/>
      <c r="AF62" s="15"/>
      <c r="AG62" s="15"/>
      <c r="AH62" s="11"/>
      <c r="AI62" s="15"/>
      <c r="AJ62" s="11"/>
      <c r="AK62" s="11"/>
      <c r="AL62" s="15"/>
      <c r="AM62" s="11"/>
      <c r="AN62" s="11"/>
      <c r="AO62" s="15"/>
      <c r="AP62" s="15"/>
      <c r="AQ62" s="15"/>
      <c r="AR62" s="11"/>
      <c r="AS62" s="15"/>
      <c r="AT62" s="11"/>
      <c r="AU62" s="11"/>
      <c r="AV62" s="15"/>
      <c r="AW62" s="11"/>
      <c r="AX62" s="11"/>
      <c r="AY62" s="15"/>
      <c r="AZ62" s="11"/>
      <c r="BA62" s="11"/>
      <c r="BB62" s="11"/>
      <c r="BC62" s="11"/>
      <c r="BD62" s="11"/>
      <c r="BE62" s="11"/>
      <c r="BF62" s="28"/>
      <c r="BG62" s="28"/>
      <c r="BH62" s="11"/>
      <c r="BI62" s="29"/>
      <c r="BJ62" s="11"/>
      <c r="BK62" s="11"/>
      <c r="BL62" s="11"/>
      <c r="BM62" s="11"/>
      <c r="BN62" s="11"/>
      <c r="BO62" s="11"/>
      <c r="BP62" s="11"/>
      <c r="BQ62" s="28"/>
      <c r="BR62" s="28"/>
      <c r="BS62" s="11"/>
      <c r="BT62" s="29"/>
      <c r="BU62" s="11"/>
      <c r="BV62" s="11"/>
      <c r="BW62" s="11"/>
      <c r="BX62" s="11"/>
      <c r="BY62" s="11"/>
      <c r="BZ62" s="11"/>
      <c r="CA62" s="11"/>
      <c r="CB62" s="11"/>
      <c r="CC62" s="29"/>
      <c r="CD62" s="28"/>
      <c r="CE62" s="11"/>
      <c r="CF62" s="11"/>
      <c r="CG62" s="11"/>
      <c r="CH62" s="29"/>
      <c r="CI62" s="28"/>
      <c r="CJ62" s="11"/>
      <c r="CK62" s="11"/>
      <c r="CL62" s="11"/>
      <c r="CM62" s="29"/>
      <c r="CN62" s="28"/>
      <c r="CO62" s="11"/>
      <c r="CP62" s="11"/>
      <c r="CQ62" s="11"/>
      <c r="CR62" s="29"/>
      <c r="CS62" s="28"/>
      <c r="CT62" s="30"/>
      <c r="CU62" s="30"/>
      <c r="CV62" s="30"/>
      <c r="CW62" s="30"/>
      <c r="CX62" s="30" t="str">
        <f t="shared" si="0"/>
        <v/>
      </c>
    </row>
    <row r="63" spans="1:102" ht="16.5">
      <c r="A63" s="11"/>
      <c r="B63" s="11"/>
      <c r="C63" s="11"/>
      <c r="D63" s="11"/>
      <c r="E63" s="11"/>
      <c r="F63" s="11"/>
      <c r="G63" s="27"/>
      <c r="H63" s="15"/>
      <c r="I63" s="11"/>
      <c r="J63" s="11"/>
      <c r="K63" s="15"/>
      <c r="L63" s="15"/>
      <c r="M63" s="15"/>
      <c r="N63" s="11"/>
      <c r="O63" s="15"/>
      <c r="P63" s="11"/>
      <c r="Q63" s="11"/>
      <c r="R63" s="15"/>
      <c r="S63" s="11"/>
      <c r="T63" s="11"/>
      <c r="U63" s="15"/>
      <c r="V63" s="15"/>
      <c r="W63" s="15"/>
      <c r="X63" s="11"/>
      <c r="Y63" s="15"/>
      <c r="Z63" s="11"/>
      <c r="AA63" s="11"/>
      <c r="AB63" s="15"/>
      <c r="AC63" s="11"/>
      <c r="AD63" s="11"/>
      <c r="AE63" s="15"/>
      <c r="AF63" s="15"/>
      <c r="AG63" s="15"/>
      <c r="AH63" s="11"/>
      <c r="AI63" s="15"/>
      <c r="AJ63" s="11"/>
      <c r="AK63" s="11"/>
      <c r="AL63" s="15"/>
      <c r="AM63" s="11"/>
      <c r="AN63" s="11"/>
      <c r="AO63" s="15"/>
      <c r="AP63" s="15"/>
      <c r="AQ63" s="15"/>
      <c r="AR63" s="11"/>
      <c r="AS63" s="15"/>
      <c r="AT63" s="11"/>
      <c r="AU63" s="11"/>
      <c r="AV63" s="15"/>
      <c r="AW63" s="11"/>
      <c r="AX63" s="11"/>
      <c r="AY63" s="15"/>
      <c r="AZ63" s="11"/>
      <c r="BA63" s="11"/>
      <c r="BB63" s="11"/>
      <c r="BC63" s="11"/>
      <c r="BD63" s="11"/>
      <c r="BE63" s="11"/>
      <c r="BF63" s="28"/>
      <c r="BG63" s="28"/>
      <c r="BH63" s="11"/>
      <c r="BI63" s="29"/>
      <c r="BJ63" s="11"/>
      <c r="BK63" s="11"/>
      <c r="BL63" s="11"/>
      <c r="BM63" s="11"/>
      <c r="BN63" s="11"/>
      <c r="BO63" s="11"/>
      <c r="BP63" s="11"/>
      <c r="BQ63" s="28"/>
      <c r="BR63" s="28"/>
      <c r="BS63" s="11"/>
      <c r="BT63" s="29"/>
      <c r="BU63" s="11"/>
      <c r="BV63" s="11"/>
      <c r="BW63" s="11"/>
      <c r="BX63" s="11"/>
      <c r="BY63" s="11"/>
      <c r="BZ63" s="11"/>
      <c r="CA63" s="11"/>
      <c r="CB63" s="11"/>
      <c r="CC63" s="29"/>
      <c r="CD63" s="28"/>
      <c r="CE63" s="11"/>
      <c r="CF63" s="11"/>
      <c r="CG63" s="11"/>
      <c r="CH63" s="29"/>
      <c r="CI63" s="28"/>
      <c r="CJ63" s="11"/>
      <c r="CK63" s="11"/>
      <c r="CL63" s="11"/>
      <c r="CM63" s="29"/>
      <c r="CN63" s="28"/>
      <c r="CO63" s="11"/>
      <c r="CP63" s="11"/>
      <c r="CQ63" s="11"/>
      <c r="CR63" s="29"/>
      <c r="CS63" s="28"/>
      <c r="CT63" s="30"/>
      <c r="CU63" s="30"/>
      <c r="CV63" s="30"/>
      <c r="CW63" s="30"/>
      <c r="CX63" s="30" t="str">
        <f t="shared" si="0"/>
        <v/>
      </c>
    </row>
    <row r="64" spans="1:102" ht="16.5">
      <c r="A64" s="11"/>
      <c r="B64" s="11"/>
      <c r="C64" s="11"/>
      <c r="D64" s="11"/>
      <c r="E64" s="11"/>
      <c r="F64" s="11"/>
      <c r="G64" s="27"/>
      <c r="H64" s="15"/>
      <c r="I64" s="11"/>
      <c r="J64" s="11"/>
      <c r="K64" s="15"/>
      <c r="L64" s="15"/>
      <c r="M64" s="15"/>
      <c r="N64" s="11"/>
      <c r="O64" s="15"/>
      <c r="P64" s="11"/>
      <c r="Q64" s="11"/>
      <c r="R64" s="15"/>
      <c r="S64" s="11"/>
      <c r="T64" s="11"/>
      <c r="U64" s="15"/>
      <c r="V64" s="15"/>
      <c r="W64" s="15"/>
      <c r="X64" s="11"/>
      <c r="Y64" s="15"/>
      <c r="Z64" s="11"/>
      <c r="AA64" s="11"/>
      <c r="AB64" s="15"/>
      <c r="AC64" s="11"/>
      <c r="AD64" s="11"/>
      <c r="AE64" s="15"/>
      <c r="AF64" s="15"/>
      <c r="AG64" s="15"/>
      <c r="AH64" s="11"/>
      <c r="AI64" s="15"/>
      <c r="AJ64" s="11"/>
      <c r="AK64" s="11"/>
      <c r="AL64" s="15"/>
      <c r="AM64" s="11"/>
      <c r="AN64" s="11"/>
      <c r="AO64" s="15"/>
      <c r="AP64" s="15"/>
      <c r="AQ64" s="15"/>
      <c r="AR64" s="11"/>
      <c r="AS64" s="15"/>
      <c r="AT64" s="11"/>
      <c r="AU64" s="11"/>
      <c r="AV64" s="15"/>
      <c r="AW64" s="11"/>
      <c r="AX64" s="11"/>
      <c r="AY64" s="15"/>
      <c r="AZ64" s="11"/>
      <c r="BA64" s="11"/>
      <c r="BB64" s="11"/>
      <c r="BC64" s="11"/>
      <c r="BD64" s="11"/>
      <c r="BE64" s="11"/>
      <c r="BF64" s="28"/>
      <c r="BG64" s="28"/>
      <c r="BH64" s="11"/>
      <c r="BI64" s="29"/>
      <c r="BJ64" s="11"/>
      <c r="BK64" s="11"/>
      <c r="BL64" s="11"/>
      <c r="BM64" s="11"/>
      <c r="BN64" s="11"/>
      <c r="BO64" s="11"/>
      <c r="BP64" s="11"/>
      <c r="BQ64" s="28"/>
      <c r="BR64" s="28"/>
      <c r="BS64" s="11"/>
      <c r="BT64" s="29"/>
      <c r="BU64" s="11"/>
      <c r="BV64" s="11"/>
      <c r="BW64" s="11"/>
      <c r="BX64" s="11"/>
      <c r="BY64" s="11"/>
      <c r="BZ64" s="11"/>
      <c r="CA64" s="11"/>
      <c r="CB64" s="11"/>
      <c r="CC64" s="29"/>
      <c r="CD64" s="28"/>
      <c r="CE64" s="11"/>
      <c r="CF64" s="11"/>
      <c r="CG64" s="11"/>
      <c r="CH64" s="29"/>
      <c r="CI64" s="28"/>
      <c r="CJ64" s="11"/>
      <c r="CK64" s="11"/>
      <c r="CL64" s="11"/>
      <c r="CM64" s="29"/>
      <c r="CN64" s="28"/>
      <c r="CO64" s="11"/>
      <c r="CP64" s="11"/>
      <c r="CQ64" s="11"/>
      <c r="CR64" s="29"/>
      <c r="CS64" s="28"/>
      <c r="CT64" s="30"/>
      <c r="CU64" s="30"/>
      <c r="CV64" s="30"/>
      <c r="CW64" s="30"/>
      <c r="CX64" s="30" t="str">
        <f t="shared" si="0"/>
        <v/>
      </c>
    </row>
    <row r="65" spans="1:102" ht="16.5">
      <c r="A65" s="11"/>
      <c r="B65" s="11"/>
      <c r="C65" s="11"/>
      <c r="D65" s="11"/>
      <c r="E65" s="11"/>
      <c r="F65" s="11"/>
      <c r="G65" s="27"/>
      <c r="H65" s="15"/>
      <c r="I65" s="11"/>
      <c r="J65" s="11"/>
      <c r="K65" s="15"/>
      <c r="L65" s="15"/>
      <c r="M65" s="15"/>
      <c r="N65" s="11"/>
      <c r="O65" s="15"/>
      <c r="P65" s="11"/>
      <c r="Q65" s="11"/>
      <c r="R65" s="15"/>
      <c r="S65" s="11"/>
      <c r="T65" s="11"/>
      <c r="U65" s="15"/>
      <c r="V65" s="15"/>
      <c r="W65" s="15"/>
      <c r="X65" s="11"/>
      <c r="Y65" s="15"/>
      <c r="Z65" s="11"/>
      <c r="AA65" s="11"/>
      <c r="AB65" s="15"/>
      <c r="AC65" s="11"/>
      <c r="AD65" s="11"/>
      <c r="AE65" s="15"/>
      <c r="AF65" s="15"/>
      <c r="AG65" s="15"/>
      <c r="AH65" s="11"/>
      <c r="AI65" s="15"/>
      <c r="AJ65" s="11"/>
      <c r="AK65" s="11"/>
      <c r="AL65" s="15"/>
      <c r="AM65" s="11"/>
      <c r="AN65" s="11"/>
      <c r="AO65" s="15"/>
      <c r="AP65" s="15"/>
      <c r="AQ65" s="15"/>
      <c r="AR65" s="11"/>
      <c r="AS65" s="15"/>
      <c r="AT65" s="11"/>
      <c r="AU65" s="11"/>
      <c r="AV65" s="15"/>
      <c r="AW65" s="11"/>
      <c r="AX65" s="11"/>
      <c r="AY65" s="15"/>
      <c r="AZ65" s="11"/>
      <c r="BA65" s="11"/>
      <c r="BB65" s="11"/>
      <c r="BC65" s="11"/>
      <c r="BD65" s="11"/>
      <c r="BE65" s="11"/>
      <c r="BF65" s="28"/>
      <c r="BG65" s="28"/>
      <c r="BH65" s="11"/>
      <c r="BI65" s="29"/>
      <c r="BJ65" s="11"/>
      <c r="BK65" s="11"/>
      <c r="BL65" s="11"/>
      <c r="BM65" s="11"/>
      <c r="BN65" s="11"/>
      <c r="BO65" s="11"/>
      <c r="BP65" s="11"/>
      <c r="BQ65" s="28"/>
      <c r="BR65" s="28"/>
      <c r="BS65" s="11"/>
      <c r="BT65" s="29"/>
      <c r="BU65" s="11"/>
      <c r="BV65" s="11"/>
      <c r="BW65" s="11"/>
      <c r="BX65" s="11"/>
      <c r="BY65" s="11"/>
      <c r="BZ65" s="11"/>
      <c r="CA65" s="11"/>
      <c r="CB65" s="11"/>
      <c r="CC65" s="29"/>
      <c r="CD65" s="28"/>
      <c r="CE65" s="11"/>
      <c r="CF65" s="11"/>
      <c r="CG65" s="11"/>
      <c r="CH65" s="29"/>
      <c r="CI65" s="28"/>
      <c r="CJ65" s="11"/>
      <c r="CK65" s="11"/>
      <c r="CL65" s="11"/>
      <c r="CM65" s="29"/>
      <c r="CN65" s="28"/>
      <c r="CO65" s="11"/>
      <c r="CP65" s="11"/>
      <c r="CQ65" s="11"/>
      <c r="CR65" s="29"/>
      <c r="CS65" s="28"/>
      <c r="CT65" s="30"/>
      <c r="CU65" s="30"/>
      <c r="CV65" s="30"/>
      <c r="CW65" s="30"/>
      <c r="CX65" s="30" t="str">
        <f t="shared" si="0"/>
        <v/>
      </c>
    </row>
    <row r="66" spans="1:102" ht="16.5">
      <c r="A66" s="11"/>
      <c r="B66" s="11"/>
      <c r="C66" s="11"/>
      <c r="D66" s="11"/>
      <c r="E66" s="11"/>
      <c r="F66" s="11"/>
      <c r="G66" s="27"/>
      <c r="H66" s="15"/>
      <c r="I66" s="11"/>
      <c r="J66" s="11"/>
      <c r="K66" s="15"/>
      <c r="L66" s="15"/>
      <c r="M66" s="15"/>
      <c r="N66" s="11"/>
      <c r="O66" s="15"/>
      <c r="P66" s="11"/>
      <c r="Q66" s="11"/>
      <c r="R66" s="15"/>
      <c r="S66" s="11"/>
      <c r="T66" s="11"/>
      <c r="U66" s="15"/>
      <c r="V66" s="15"/>
      <c r="W66" s="15"/>
      <c r="X66" s="11"/>
      <c r="Y66" s="15"/>
      <c r="Z66" s="11"/>
      <c r="AA66" s="11"/>
      <c r="AB66" s="15"/>
      <c r="AC66" s="11"/>
      <c r="AD66" s="11"/>
      <c r="AE66" s="15"/>
      <c r="AF66" s="15"/>
      <c r="AG66" s="15"/>
      <c r="AH66" s="11"/>
      <c r="AI66" s="15"/>
      <c r="AJ66" s="11"/>
      <c r="AK66" s="11"/>
      <c r="AL66" s="15"/>
      <c r="AM66" s="11"/>
      <c r="AN66" s="11"/>
      <c r="AO66" s="15"/>
      <c r="AP66" s="15"/>
      <c r="AQ66" s="15"/>
      <c r="AR66" s="11"/>
      <c r="AS66" s="15"/>
      <c r="AT66" s="11"/>
      <c r="AU66" s="11"/>
      <c r="AV66" s="15"/>
      <c r="AW66" s="11"/>
      <c r="AX66" s="11"/>
      <c r="AY66" s="15"/>
      <c r="AZ66" s="11"/>
      <c r="BA66" s="11"/>
      <c r="BB66" s="11"/>
      <c r="BC66" s="11"/>
      <c r="BD66" s="11"/>
      <c r="BE66" s="11"/>
      <c r="BF66" s="28"/>
      <c r="BG66" s="28"/>
      <c r="BH66" s="11"/>
      <c r="BI66" s="29"/>
      <c r="BJ66" s="11"/>
      <c r="BK66" s="11"/>
      <c r="BL66" s="11"/>
      <c r="BM66" s="11"/>
      <c r="BN66" s="11"/>
      <c r="BO66" s="11"/>
      <c r="BP66" s="11"/>
      <c r="BQ66" s="28"/>
      <c r="BR66" s="28"/>
      <c r="BS66" s="11"/>
      <c r="BT66" s="29"/>
      <c r="BU66" s="11"/>
      <c r="BV66" s="11"/>
      <c r="BW66" s="11"/>
      <c r="BX66" s="11"/>
      <c r="BY66" s="11"/>
      <c r="BZ66" s="11"/>
      <c r="CA66" s="11"/>
      <c r="CB66" s="11"/>
      <c r="CC66" s="29"/>
      <c r="CD66" s="28"/>
      <c r="CE66" s="11"/>
      <c r="CF66" s="11"/>
      <c r="CG66" s="11"/>
      <c r="CH66" s="29"/>
      <c r="CI66" s="28"/>
      <c r="CJ66" s="11"/>
      <c r="CK66" s="11"/>
      <c r="CL66" s="11"/>
      <c r="CM66" s="29"/>
      <c r="CN66" s="28"/>
      <c r="CO66" s="11"/>
      <c r="CP66" s="11"/>
      <c r="CQ66" s="11"/>
      <c r="CR66" s="29"/>
      <c r="CS66" s="28"/>
      <c r="CT66" s="30"/>
      <c r="CU66" s="30"/>
      <c r="CV66" s="30"/>
      <c r="CW66" s="30"/>
      <c r="CX66" s="30" t="str">
        <f t="shared" si="0"/>
        <v/>
      </c>
    </row>
    <row r="67" spans="1:102" ht="16.5">
      <c r="A67" s="11"/>
      <c r="B67" s="11"/>
      <c r="C67" s="11"/>
      <c r="D67" s="11"/>
      <c r="E67" s="11"/>
      <c r="F67" s="11"/>
      <c r="G67" s="27"/>
      <c r="H67" s="15"/>
      <c r="I67" s="11"/>
      <c r="J67" s="11"/>
      <c r="K67" s="15"/>
      <c r="L67" s="15"/>
      <c r="M67" s="15"/>
      <c r="N67" s="11"/>
      <c r="O67" s="15"/>
      <c r="P67" s="11"/>
      <c r="Q67" s="11"/>
      <c r="R67" s="15"/>
      <c r="S67" s="11"/>
      <c r="T67" s="11"/>
      <c r="U67" s="15"/>
      <c r="V67" s="15"/>
      <c r="W67" s="15"/>
      <c r="X67" s="11"/>
      <c r="Y67" s="15"/>
      <c r="Z67" s="11"/>
      <c r="AA67" s="11"/>
      <c r="AB67" s="15"/>
      <c r="AC67" s="11"/>
      <c r="AD67" s="11"/>
      <c r="AE67" s="15"/>
      <c r="AF67" s="15"/>
      <c r="AG67" s="15"/>
      <c r="AH67" s="11"/>
      <c r="AI67" s="15"/>
      <c r="AJ67" s="11"/>
      <c r="AK67" s="11"/>
      <c r="AL67" s="15"/>
      <c r="AM67" s="11"/>
      <c r="AN67" s="11"/>
      <c r="AO67" s="15"/>
      <c r="AP67" s="15"/>
      <c r="AQ67" s="15"/>
      <c r="AR67" s="11"/>
      <c r="AS67" s="15"/>
      <c r="AT67" s="11"/>
      <c r="AU67" s="11"/>
      <c r="AV67" s="15"/>
      <c r="AW67" s="11"/>
      <c r="AX67" s="11"/>
      <c r="AY67" s="15"/>
      <c r="AZ67" s="11"/>
      <c r="BA67" s="11"/>
      <c r="BB67" s="11"/>
      <c r="BC67" s="11"/>
      <c r="BD67" s="11"/>
      <c r="BE67" s="11"/>
      <c r="BF67" s="28"/>
      <c r="BG67" s="28"/>
      <c r="BH67" s="11"/>
      <c r="BI67" s="29"/>
      <c r="BJ67" s="11"/>
      <c r="BK67" s="11"/>
      <c r="BL67" s="11"/>
      <c r="BM67" s="11"/>
      <c r="BN67" s="11"/>
      <c r="BO67" s="11"/>
      <c r="BP67" s="11"/>
      <c r="BQ67" s="28"/>
      <c r="BR67" s="28"/>
      <c r="BS67" s="11"/>
      <c r="BT67" s="29"/>
      <c r="BU67" s="11"/>
      <c r="BV67" s="11"/>
      <c r="BW67" s="11"/>
      <c r="BX67" s="11"/>
      <c r="BY67" s="11"/>
      <c r="BZ67" s="11"/>
      <c r="CA67" s="11"/>
      <c r="CB67" s="11"/>
      <c r="CC67" s="29"/>
      <c r="CD67" s="28"/>
      <c r="CE67" s="11"/>
      <c r="CF67" s="11"/>
      <c r="CG67" s="11"/>
      <c r="CH67" s="29"/>
      <c r="CI67" s="28"/>
      <c r="CJ67" s="11"/>
      <c r="CK67" s="11"/>
      <c r="CL67" s="11"/>
      <c r="CM67" s="29"/>
      <c r="CN67" s="28"/>
      <c r="CO67" s="11"/>
      <c r="CP67" s="11"/>
      <c r="CQ67" s="11"/>
      <c r="CR67" s="29"/>
      <c r="CS67" s="28"/>
      <c r="CT67" s="30"/>
      <c r="CU67" s="30"/>
      <c r="CV67" s="30"/>
      <c r="CW67" s="30"/>
      <c r="CX67" s="30" t="str">
        <f t="shared" si="0"/>
        <v/>
      </c>
    </row>
    <row r="68" spans="1:102" ht="16.5">
      <c r="A68" s="11"/>
      <c r="B68" s="11"/>
      <c r="C68" s="11"/>
      <c r="D68" s="11"/>
      <c r="E68" s="11"/>
      <c r="F68" s="11"/>
      <c r="G68" s="27"/>
      <c r="H68" s="15"/>
      <c r="I68" s="11"/>
      <c r="J68" s="11"/>
      <c r="K68" s="15"/>
      <c r="L68" s="15"/>
      <c r="M68" s="15"/>
      <c r="N68" s="11"/>
      <c r="O68" s="15"/>
      <c r="P68" s="11"/>
      <c r="Q68" s="11"/>
      <c r="R68" s="15"/>
      <c r="S68" s="11"/>
      <c r="T68" s="11"/>
      <c r="U68" s="15"/>
      <c r="V68" s="15"/>
      <c r="W68" s="15"/>
      <c r="X68" s="11"/>
      <c r="Y68" s="15"/>
      <c r="Z68" s="11"/>
      <c r="AA68" s="11"/>
      <c r="AB68" s="15"/>
      <c r="AC68" s="11"/>
      <c r="AD68" s="11"/>
      <c r="AE68" s="15"/>
      <c r="AF68" s="15"/>
      <c r="AG68" s="15"/>
      <c r="AH68" s="11"/>
      <c r="AI68" s="15"/>
      <c r="AJ68" s="11"/>
      <c r="AK68" s="11"/>
      <c r="AL68" s="15"/>
      <c r="AM68" s="11"/>
      <c r="AN68" s="11"/>
      <c r="AO68" s="15"/>
      <c r="AP68" s="15"/>
      <c r="AQ68" s="15"/>
      <c r="AR68" s="11"/>
      <c r="AS68" s="15"/>
      <c r="AT68" s="11"/>
      <c r="AU68" s="11"/>
      <c r="AV68" s="15"/>
      <c r="AW68" s="11"/>
      <c r="AX68" s="11"/>
      <c r="AY68" s="15"/>
      <c r="AZ68" s="11"/>
      <c r="BA68" s="11"/>
      <c r="BB68" s="11"/>
      <c r="BC68" s="11"/>
      <c r="BD68" s="11"/>
      <c r="BE68" s="11"/>
      <c r="BF68" s="28"/>
      <c r="BG68" s="28"/>
      <c r="BH68" s="11"/>
      <c r="BI68" s="29"/>
      <c r="BJ68" s="11"/>
      <c r="BK68" s="11"/>
      <c r="BL68" s="11"/>
      <c r="BM68" s="11"/>
      <c r="BN68" s="11"/>
      <c r="BO68" s="11"/>
      <c r="BP68" s="11"/>
      <c r="BQ68" s="28"/>
      <c r="BR68" s="28"/>
      <c r="BS68" s="11"/>
      <c r="BT68" s="29"/>
      <c r="BU68" s="11"/>
      <c r="BV68" s="11"/>
      <c r="BW68" s="11"/>
      <c r="BX68" s="11"/>
      <c r="BY68" s="11"/>
      <c r="BZ68" s="11"/>
      <c r="CA68" s="11"/>
      <c r="CB68" s="11"/>
      <c r="CC68" s="29"/>
      <c r="CD68" s="28"/>
      <c r="CE68" s="11"/>
      <c r="CF68" s="11"/>
      <c r="CG68" s="11"/>
      <c r="CH68" s="29"/>
      <c r="CI68" s="28"/>
      <c r="CJ68" s="11"/>
      <c r="CK68" s="11"/>
      <c r="CL68" s="11"/>
      <c r="CM68" s="29"/>
      <c r="CN68" s="28"/>
      <c r="CO68" s="11"/>
      <c r="CP68" s="11"/>
      <c r="CQ68" s="11"/>
      <c r="CR68" s="29"/>
      <c r="CS68" s="28"/>
      <c r="CT68" s="30"/>
      <c r="CU68" s="30"/>
      <c r="CV68" s="30"/>
      <c r="CW68" s="30"/>
      <c r="CX68" s="30" t="str">
        <f t="shared" si="0"/>
        <v/>
      </c>
    </row>
    <row r="69" spans="1:102" ht="16.5">
      <c r="A69" s="11"/>
      <c r="B69" s="11"/>
      <c r="C69" s="11"/>
      <c r="D69" s="11"/>
      <c r="E69" s="11"/>
      <c r="F69" s="11"/>
      <c r="G69" s="27"/>
      <c r="H69" s="15"/>
      <c r="I69" s="11"/>
      <c r="J69" s="11"/>
      <c r="K69" s="15"/>
      <c r="L69" s="15"/>
      <c r="M69" s="15"/>
      <c r="N69" s="11"/>
      <c r="O69" s="15"/>
      <c r="P69" s="11"/>
      <c r="Q69" s="11"/>
      <c r="R69" s="15"/>
      <c r="S69" s="11"/>
      <c r="T69" s="11"/>
      <c r="U69" s="15"/>
      <c r="V69" s="15"/>
      <c r="W69" s="15"/>
      <c r="X69" s="11"/>
      <c r="Y69" s="15"/>
      <c r="Z69" s="11"/>
      <c r="AA69" s="11"/>
      <c r="AB69" s="15"/>
      <c r="AC69" s="11"/>
      <c r="AD69" s="11"/>
      <c r="AE69" s="15"/>
      <c r="AF69" s="15"/>
      <c r="AG69" s="15"/>
      <c r="AH69" s="11"/>
      <c r="AI69" s="15"/>
      <c r="AJ69" s="11"/>
      <c r="AK69" s="11"/>
      <c r="AL69" s="15"/>
      <c r="AM69" s="11"/>
      <c r="AN69" s="11"/>
      <c r="AO69" s="15"/>
      <c r="AP69" s="15"/>
      <c r="AQ69" s="15"/>
      <c r="AR69" s="11"/>
      <c r="AS69" s="15"/>
      <c r="AT69" s="11"/>
      <c r="AU69" s="11"/>
      <c r="AV69" s="15"/>
      <c r="AW69" s="11"/>
      <c r="AX69" s="11"/>
      <c r="AY69" s="15"/>
      <c r="AZ69" s="11"/>
      <c r="BA69" s="11"/>
      <c r="BB69" s="11"/>
      <c r="BC69" s="11"/>
      <c r="BD69" s="11"/>
      <c r="BE69" s="11"/>
      <c r="BF69" s="28"/>
      <c r="BG69" s="28"/>
      <c r="BH69" s="11"/>
      <c r="BI69" s="29"/>
      <c r="BJ69" s="11"/>
      <c r="BK69" s="11"/>
      <c r="BL69" s="11"/>
      <c r="BM69" s="11"/>
      <c r="BN69" s="11"/>
      <c r="BO69" s="11"/>
      <c r="BP69" s="11"/>
      <c r="BQ69" s="28"/>
      <c r="BR69" s="28"/>
      <c r="BS69" s="11"/>
      <c r="BT69" s="29"/>
      <c r="BU69" s="11"/>
      <c r="BV69" s="11"/>
      <c r="BW69" s="11"/>
      <c r="BX69" s="11"/>
      <c r="BY69" s="11"/>
      <c r="BZ69" s="11"/>
      <c r="CA69" s="11"/>
      <c r="CB69" s="11"/>
      <c r="CC69" s="29"/>
      <c r="CD69" s="28"/>
      <c r="CE69" s="11"/>
      <c r="CF69" s="11"/>
      <c r="CG69" s="11"/>
      <c r="CH69" s="29"/>
      <c r="CI69" s="28"/>
      <c r="CJ69" s="11"/>
      <c r="CK69" s="11"/>
      <c r="CL69" s="11"/>
      <c r="CM69" s="29"/>
      <c r="CN69" s="28"/>
      <c r="CO69" s="11"/>
      <c r="CP69" s="11"/>
      <c r="CQ69" s="11"/>
      <c r="CR69" s="29"/>
      <c r="CS69" s="28"/>
      <c r="CT69" s="30"/>
      <c r="CU69" s="30"/>
      <c r="CV69" s="30"/>
      <c r="CW69" s="30"/>
      <c r="CX69" s="30" t="str">
        <f t="shared" si="0"/>
        <v/>
      </c>
    </row>
    <row r="70" spans="1:102" ht="16.5">
      <c r="A70" s="11"/>
      <c r="B70" s="11"/>
      <c r="C70" s="11"/>
      <c r="D70" s="11"/>
      <c r="E70" s="11"/>
      <c r="F70" s="11"/>
      <c r="G70" s="27"/>
      <c r="H70" s="15"/>
      <c r="I70" s="11"/>
      <c r="J70" s="11"/>
      <c r="K70" s="15"/>
      <c r="L70" s="15"/>
      <c r="M70" s="15"/>
      <c r="N70" s="11"/>
      <c r="O70" s="15"/>
      <c r="P70" s="11"/>
      <c r="Q70" s="11"/>
      <c r="R70" s="15"/>
      <c r="S70" s="11"/>
      <c r="T70" s="11"/>
      <c r="U70" s="15"/>
      <c r="V70" s="15"/>
      <c r="W70" s="15"/>
      <c r="X70" s="11"/>
      <c r="Y70" s="15"/>
      <c r="Z70" s="11"/>
      <c r="AA70" s="11"/>
      <c r="AB70" s="15"/>
      <c r="AC70" s="11"/>
      <c r="AD70" s="11"/>
      <c r="AE70" s="15"/>
      <c r="AF70" s="15"/>
      <c r="AG70" s="15"/>
      <c r="AH70" s="11"/>
      <c r="AI70" s="15"/>
      <c r="AJ70" s="11"/>
      <c r="AK70" s="11"/>
      <c r="AL70" s="15"/>
      <c r="AM70" s="11"/>
      <c r="AN70" s="11"/>
      <c r="AO70" s="15"/>
      <c r="AP70" s="15"/>
      <c r="AQ70" s="15"/>
      <c r="AR70" s="11"/>
      <c r="AS70" s="15"/>
      <c r="AT70" s="11"/>
      <c r="AU70" s="11"/>
      <c r="AV70" s="15"/>
      <c r="AW70" s="11"/>
      <c r="AX70" s="11"/>
      <c r="AY70" s="15"/>
      <c r="AZ70" s="11"/>
      <c r="BA70" s="11"/>
      <c r="BB70" s="11"/>
      <c r="BC70" s="11"/>
      <c r="BD70" s="11"/>
      <c r="BE70" s="11"/>
      <c r="BF70" s="28"/>
      <c r="BG70" s="28"/>
      <c r="BH70" s="11"/>
      <c r="BI70" s="29"/>
      <c r="BJ70" s="11"/>
      <c r="BK70" s="11"/>
      <c r="BL70" s="11"/>
      <c r="BM70" s="11"/>
      <c r="BN70" s="11"/>
      <c r="BO70" s="11"/>
      <c r="BP70" s="11"/>
      <c r="BQ70" s="28"/>
      <c r="BR70" s="28"/>
      <c r="BS70" s="11"/>
      <c r="BT70" s="29"/>
      <c r="BU70" s="11"/>
      <c r="BV70" s="11"/>
      <c r="BW70" s="11"/>
      <c r="BX70" s="11"/>
      <c r="BY70" s="11"/>
      <c r="BZ70" s="11"/>
      <c r="CA70" s="11"/>
      <c r="CB70" s="11"/>
      <c r="CC70" s="29"/>
      <c r="CD70" s="28"/>
      <c r="CE70" s="11"/>
      <c r="CF70" s="11"/>
      <c r="CG70" s="11"/>
      <c r="CH70" s="29"/>
      <c r="CI70" s="28"/>
      <c r="CJ70" s="11"/>
      <c r="CK70" s="11"/>
      <c r="CL70" s="11"/>
      <c r="CM70" s="29"/>
      <c r="CN70" s="28"/>
      <c r="CO70" s="11"/>
      <c r="CP70" s="11"/>
      <c r="CQ70" s="11"/>
      <c r="CR70" s="29"/>
      <c r="CS70" s="28"/>
      <c r="CT70" s="30"/>
      <c r="CU70" s="30"/>
      <c r="CV70" s="30"/>
      <c r="CW70" s="30"/>
      <c r="CX70" s="30" t="str">
        <f t="shared" si="0"/>
        <v/>
      </c>
    </row>
    <row r="71" spans="1:102" ht="16.5">
      <c r="A71" s="11"/>
      <c r="B71" s="11"/>
      <c r="C71" s="11"/>
      <c r="D71" s="11"/>
      <c r="E71" s="11"/>
      <c r="F71" s="11"/>
      <c r="G71" s="27"/>
      <c r="H71" s="15"/>
      <c r="I71" s="11"/>
      <c r="J71" s="11"/>
      <c r="K71" s="15"/>
      <c r="L71" s="15"/>
      <c r="M71" s="15"/>
      <c r="N71" s="11"/>
      <c r="O71" s="15"/>
      <c r="P71" s="11"/>
      <c r="Q71" s="11"/>
      <c r="R71" s="15"/>
      <c r="S71" s="11"/>
      <c r="T71" s="11"/>
      <c r="U71" s="15"/>
      <c r="V71" s="15"/>
      <c r="W71" s="15"/>
      <c r="X71" s="11"/>
      <c r="Y71" s="15"/>
      <c r="Z71" s="11"/>
      <c r="AA71" s="11"/>
      <c r="AB71" s="15"/>
      <c r="AC71" s="11"/>
      <c r="AD71" s="11"/>
      <c r="AE71" s="15"/>
      <c r="AF71" s="15"/>
      <c r="AG71" s="15"/>
      <c r="AH71" s="11"/>
      <c r="AI71" s="15"/>
      <c r="AJ71" s="11"/>
      <c r="AK71" s="11"/>
      <c r="AL71" s="15"/>
      <c r="AM71" s="11"/>
      <c r="AN71" s="11"/>
      <c r="AO71" s="15"/>
      <c r="AP71" s="15"/>
      <c r="AQ71" s="15"/>
      <c r="AR71" s="11"/>
      <c r="AS71" s="15"/>
      <c r="AT71" s="11"/>
      <c r="AU71" s="11"/>
      <c r="AV71" s="15"/>
      <c r="AW71" s="11"/>
      <c r="AX71" s="11"/>
      <c r="AY71" s="15"/>
      <c r="AZ71" s="11"/>
      <c r="BA71" s="11"/>
      <c r="BB71" s="11"/>
      <c r="BC71" s="11"/>
      <c r="BD71" s="11"/>
      <c r="BE71" s="11"/>
      <c r="BF71" s="28"/>
      <c r="BG71" s="28"/>
      <c r="BH71" s="11"/>
      <c r="BI71" s="29"/>
      <c r="BJ71" s="11"/>
      <c r="BK71" s="11"/>
      <c r="BL71" s="11"/>
      <c r="BM71" s="11"/>
      <c r="BN71" s="11"/>
      <c r="BO71" s="11"/>
      <c r="BP71" s="11"/>
      <c r="BQ71" s="28"/>
      <c r="BR71" s="28"/>
      <c r="BS71" s="11"/>
      <c r="BT71" s="29"/>
      <c r="BU71" s="11"/>
      <c r="BV71" s="11"/>
      <c r="BW71" s="11"/>
      <c r="BX71" s="11"/>
      <c r="BY71" s="11"/>
      <c r="BZ71" s="11"/>
      <c r="CA71" s="11"/>
      <c r="CB71" s="11"/>
      <c r="CC71" s="29"/>
      <c r="CD71" s="28"/>
      <c r="CE71" s="11"/>
      <c r="CF71" s="11"/>
      <c r="CG71" s="11"/>
      <c r="CH71" s="29"/>
      <c r="CI71" s="28"/>
      <c r="CJ71" s="11"/>
      <c r="CK71" s="11"/>
      <c r="CL71" s="11"/>
      <c r="CM71" s="29"/>
      <c r="CN71" s="28"/>
      <c r="CO71" s="11"/>
      <c r="CP71" s="11"/>
      <c r="CQ71" s="11"/>
      <c r="CR71" s="29"/>
      <c r="CS71" s="28"/>
      <c r="CT71" s="30"/>
      <c r="CU71" s="30"/>
      <c r="CV71" s="30"/>
      <c r="CW71" s="30"/>
      <c r="CX71" s="30" t="str">
        <f t="shared" si="0"/>
        <v/>
      </c>
    </row>
    <row r="72" spans="1:102" ht="16.5">
      <c r="A72" s="11"/>
      <c r="B72" s="11"/>
      <c r="C72" s="11"/>
      <c r="D72" s="11"/>
      <c r="E72" s="11"/>
      <c r="F72" s="11"/>
      <c r="G72" s="27"/>
      <c r="H72" s="15"/>
      <c r="I72" s="11"/>
      <c r="J72" s="11"/>
      <c r="K72" s="15"/>
      <c r="L72" s="15"/>
      <c r="M72" s="15"/>
      <c r="N72" s="11"/>
      <c r="O72" s="15"/>
      <c r="P72" s="11"/>
      <c r="Q72" s="11"/>
      <c r="R72" s="15"/>
      <c r="S72" s="11"/>
      <c r="T72" s="11"/>
      <c r="U72" s="15"/>
      <c r="V72" s="15"/>
      <c r="W72" s="15"/>
      <c r="X72" s="11"/>
      <c r="Y72" s="15"/>
      <c r="Z72" s="11"/>
      <c r="AA72" s="11"/>
      <c r="AB72" s="15"/>
      <c r="AC72" s="11"/>
      <c r="AD72" s="11"/>
      <c r="AE72" s="15"/>
      <c r="AF72" s="15"/>
      <c r="AG72" s="15"/>
      <c r="AH72" s="11"/>
      <c r="AI72" s="15"/>
      <c r="AJ72" s="11"/>
      <c r="AK72" s="11"/>
      <c r="AL72" s="15"/>
      <c r="AM72" s="11"/>
      <c r="AN72" s="11"/>
      <c r="AO72" s="15"/>
      <c r="AP72" s="15"/>
      <c r="AQ72" s="15"/>
      <c r="AR72" s="11"/>
      <c r="AS72" s="15"/>
      <c r="AT72" s="11"/>
      <c r="AU72" s="11"/>
      <c r="AV72" s="15"/>
      <c r="AW72" s="11"/>
      <c r="AX72" s="11"/>
      <c r="AY72" s="15"/>
      <c r="AZ72" s="11"/>
      <c r="BA72" s="11"/>
      <c r="BB72" s="11"/>
      <c r="BC72" s="11"/>
      <c r="BD72" s="11"/>
      <c r="BE72" s="11"/>
      <c r="BF72" s="28"/>
      <c r="BG72" s="28"/>
      <c r="BH72" s="11"/>
      <c r="BI72" s="29"/>
      <c r="BJ72" s="11"/>
      <c r="BK72" s="11"/>
      <c r="BL72" s="11"/>
      <c r="BM72" s="11"/>
      <c r="BN72" s="11"/>
      <c r="BO72" s="11"/>
      <c r="BP72" s="11"/>
      <c r="BQ72" s="28"/>
      <c r="BR72" s="28"/>
      <c r="BS72" s="11"/>
      <c r="BT72" s="29"/>
      <c r="BU72" s="11"/>
      <c r="BV72" s="11"/>
      <c r="BW72" s="11"/>
      <c r="BX72" s="11"/>
      <c r="BY72" s="11"/>
      <c r="BZ72" s="11"/>
      <c r="CA72" s="11"/>
      <c r="CB72" s="11"/>
      <c r="CC72" s="29"/>
      <c r="CD72" s="28"/>
      <c r="CE72" s="11"/>
      <c r="CF72" s="11"/>
      <c r="CG72" s="11"/>
      <c r="CH72" s="29"/>
      <c r="CI72" s="28"/>
      <c r="CJ72" s="11"/>
      <c r="CK72" s="11"/>
      <c r="CL72" s="11"/>
      <c r="CM72" s="29"/>
      <c r="CN72" s="28"/>
      <c r="CO72" s="11"/>
      <c r="CP72" s="11"/>
      <c r="CQ72" s="11"/>
      <c r="CR72" s="29"/>
      <c r="CS72" s="28"/>
      <c r="CT72" s="30"/>
      <c r="CU72" s="30"/>
      <c r="CV72" s="30"/>
      <c r="CW72" s="30"/>
      <c r="CX72" s="30" t="str">
        <f t="shared" si="0"/>
        <v/>
      </c>
    </row>
    <row r="73" spans="1:102" ht="16.5">
      <c r="A73" s="11"/>
      <c r="B73" s="11"/>
      <c r="C73" s="11"/>
      <c r="D73" s="11"/>
      <c r="E73" s="11"/>
      <c r="F73" s="11"/>
      <c r="G73" s="27"/>
      <c r="H73" s="15"/>
      <c r="I73" s="11"/>
      <c r="J73" s="11"/>
      <c r="K73" s="15"/>
      <c r="L73" s="15"/>
      <c r="M73" s="15"/>
      <c r="N73" s="11"/>
      <c r="O73" s="15"/>
      <c r="P73" s="11"/>
      <c r="Q73" s="11"/>
      <c r="R73" s="15"/>
      <c r="S73" s="11"/>
      <c r="T73" s="11"/>
      <c r="U73" s="15"/>
      <c r="V73" s="15"/>
      <c r="W73" s="15"/>
      <c r="X73" s="11"/>
      <c r="Y73" s="15"/>
      <c r="Z73" s="11"/>
      <c r="AA73" s="11"/>
      <c r="AB73" s="15"/>
      <c r="AC73" s="11"/>
      <c r="AD73" s="11"/>
      <c r="AE73" s="15"/>
      <c r="AF73" s="15"/>
      <c r="AG73" s="15"/>
      <c r="AH73" s="11"/>
      <c r="AI73" s="15"/>
      <c r="AJ73" s="11"/>
      <c r="AK73" s="11"/>
      <c r="AL73" s="15"/>
      <c r="AM73" s="11"/>
      <c r="AN73" s="11"/>
      <c r="AO73" s="15"/>
      <c r="AP73" s="15"/>
      <c r="AQ73" s="15"/>
      <c r="AR73" s="11"/>
      <c r="AS73" s="15"/>
      <c r="AT73" s="11"/>
      <c r="AU73" s="11"/>
      <c r="AV73" s="15"/>
      <c r="AW73" s="11"/>
      <c r="AX73" s="11"/>
      <c r="AY73" s="15"/>
      <c r="AZ73" s="11"/>
      <c r="BA73" s="11"/>
      <c r="BB73" s="11"/>
      <c r="BC73" s="11"/>
      <c r="BD73" s="11"/>
      <c r="BE73" s="11"/>
      <c r="BF73" s="28"/>
      <c r="BG73" s="28"/>
      <c r="BH73" s="11"/>
      <c r="BI73" s="29"/>
      <c r="BJ73" s="11"/>
      <c r="BK73" s="11"/>
      <c r="BL73" s="11"/>
      <c r="BM73" s="11"/>
      <c r="BN73" s="11"/>
      <c r="BO73" s="11"/>
      <c r="BP73" s="11"/>
      <c r="BQ73" s="28"/>
      <c r="BR73" s="28"/>
      <c r="BS73" s="11"/>
      <c r="BT73" s="29"/>
      <c r="BU73" s="11"/>
      <c r="BV73" s="11"/>
      <c r="BW73" s="11"/>
      <c r="BX73" s="11"/>
      <c r="BY73" s="11"/>
      <c r="BZ73" s="11"/>
      <c r="CA73" s="11"/>
      <c r="CB73" s="11"/>
      <c r="CC73" s="29"/>
      <c r="CD73" s="28"/>
      <c r="CE73" s="11"/>
      <c r="CF73" s="11"/>
      <c r="CG73" s="11"/>
      <c r="CH73" s="29"/>
      <c r="CI73" s="28"/>
      <c r="CJ73" s="11"/>
      <c r="CK73" s="11"/>
      <c r="CL73" s="11"/>
      <c r="CM73" s="29"/>
      <c r="CN73" s="28"/>
      <c r="CO73" s="11"/>
      <c r="CP73" s="11"/>
      <c r="CQ73" s="11"/>
      <c r="CR73" s="29"/>
      <c r="CS73" s="28"/>
      <c r="CT73" s="30"/>
      <c r="CU73" s="30"/>
      <c r="CV73" s="30"/>
      <c r="CW73" s="30"/>
      <c r="CX73" s="30" t="str">
        <f t="shared" si="0"/>
        <v/>
      </c>
    </row>
    <row r="74" spans="1:102" ht="16.5">
      <c r="A74" s="11"/>
      <c r="B74" s="11"/>
      <c r="C74" s="11"/>
      <c r="D74" s="11"/>
      <c r="E74" s="11"/>
      <c r="F74" s="11"/>
      <c r="G74" s="27"/>
      <c r="H74" s="15"/>
      <c r="I74" s="11"/>
      <c r="J74" s="11"/>
      <c r="K74" s="15"/>
      <c r="L74" s="15"/>
      <c r="M74" s="15"/>
      <c r="N74" s="11"/>
      <c r="O74" s="15"/>
      <c r="P74" s="11"/>
      <c r="Q74" s="11"/>
      <c r="R74" s="15"/>
      <c r="S74" s="11"/>
      <c r="T74" s="11"/>
      <c r="U74" s="15"/>
      <c r="V74" s="15"/>
      <c r="W74" s="15"/>
      <c r="X74" s="11"/>
      <c r="Y74" s="15"/>
      <c r="Z74" s="11"/>
      <c r="AA74" s="11"/>
      <c r="AB74" s="15"/>
      <c r="AC74" s="11"/>
      <c r="AD74" s="11"/>
      <c r="AE74" s="15"/>
      <c r="AF74" s="15"/>
      <c r="AG74" s="15"/>
      <c r="AH74" s="11"/>
      <c r="AI74" s="15"/>
      <c r="AJ74" s="11"/>
      <c r="AK74" s="11"/>
      <c r="AL74" s="15"/>
      <c r="AM74" s="11"/>
      <c r="AN74" s="11"/>
      <c r="AO74" s="15"/>
      <c r="AP74" s="15"/>
      <c r="AQ74" s="15"/>
      <c r="AR74" s="11"/>
      <c r="AS74" s="15"/>
      <c r="AT74" s="11"/>
      <c r="AU74" s="11"/>
      <c r="AV74" s="15"/>
      <c r="AW74" s="11"/>
      <c r="AX74" s="11"/>
      <c r="AY74" s="15"/>
      <c r="AZ74" s="11"/>
      <c r="BA74" s="11"/>
      <c r="BB74" s="11"/>
      <c r="BC74" s="11"/>
      <c r="BD74" s="11"/>
      <c r="BE74" s="11"/>
      <c r="BF74" s="28"/>
      <c r="BG74" s="28"/>
      <c r="BH74" s="11"/>
      <c r="BI74" s="29"/>
      <c r="BJ74" s="11"/>
      <c r="BK74" s="11"/>
      <c r="BL74" s="11"/>
      <c r="BM74" s="11"/>
      <c r="BN74" s="11"/>
      <c r="BO74" s="11"/>
      <c r="BP74" s="11"/>
      <c r="BQ74" s="28"/>
      <c r="BR74" s="28"/>
      <c r="BS74" s="11"/>
      <c r="BT74" s="29"/>
      <c r="BU74" s="11"/>
      <c r="BV74" s="11"/>
      <c r="BW74" s="11"/>
      <c r="BX74" s="11"/>
      <c r="BY74" s="11"/>
      <c r="BZ74" s="11"/>
      <c r="CA74" s="11"/>
      <c r="CB74" s="11"/>
      <c r="CC74" s="29"/>
      <c r="CD74" s="28"/>
      <c r="CE74" s="11"/>
      <c r="CF74" s="11"/>
      <c r="CG74" s="11"/>
      <c r="CH74" s="29"/>
      <c r="CI74" s="28"/>
      <c r="CJ74" s="11"/>
      <c r="CK74" s="11"/>
      <c r="CL74" s="11"/>
      <c r="CM74" s="29"/>
      <c r="CN74" s="28"/>
      <c r="CO74" s="11"/>
      <c r="CP74" s="11"/>
      <c r="CQ74" s="11"/>
      <c r="CR74" s="29"/>
      <c r="CS74" s="28"/>
      <c r="CT74" s="30"/>
      <c r="CU74" s="30"/>
      <c r="CV74" s="30"/>
      <c r="CW74" s="30"/>
      <c r="CX74" s="30" t="str">
        <f t="shared" si="0"/>
        <v/>
      </c>
    </row>
    <row r="75" spans="1:102" ht="16.5">
      <c r="A75" s="11"/>
      <c r="B75" s="11"/>
      <c r="C75" s="11"/>
      <c r="D75" s="11"/>
      <c r="E75" s="11"/>
      <c r="F75" s="11"/>
      <c r="G75" s="27"/>
      <c r="H75" s="15"/>
      <c r="I75" s="11"/>
      <c r="J75" s="11"/>
      <c r="K75" s="15"/>
      <c r="L75" s="15"/>
      <c r="M75" s="15"/>
      <c r="N75" s="11"/>
      <c r="O75" s="15"/>
      <c r="P75" s="11"/>
      <c r="Q75" s="11"/>
      <c r="R75" s="15"/>
      <c r="S75" s="11"/>
      <c r="T75" s="11"/>
      <c r="U75" s="15"/>
      <c r="V75" s="15"/>
      <c r="W75" s="15"/>
      <c r="X75" s="11"/>
      <c r="Y75" s="15"/>
      <c r="Z75" s="11"/>
      <c r="AA75" s="11"/>
      <c r="AB75" s="15"/>
      <c r="AC75" s="11"/>
      <c r="AD75" s="11"/>
      <c r="AE75" s="15"/>
      <c r="AF75" s="15"/>
      <c r="AG75" s="15"/>
      <c r="AH75" s="11"/>
      <c r="AI75" s="15"/>
      <c r="AJ75" s="11"/>
      <c r="AK75" s="11"/>
      <c r="AL75" s="15"/>
      <c r="AM75" s="11"/>
      <c r="AN75" s="11"/>
      <c r="AO75" s="15"/>
      <c r="AP75" s="15"/>
      <c r="AQ75" s="15"/>
      <c r="AR75" s="11"/>
      <c r="AS75" s="15"/>
      <c r="AT75" s="11"/>
      <c r="AU75" s="11"/>
      <c r="AV75" s="15"/>
      <c r="AW75" s="11"/>
      <c r="AX75" s="11"/>
      <c r="AY75" s="15"/>
      <c r="AZ75" s="11"/>
      <c r="BA75" s="11"/>
      <c r="BB75" s="11"/>
      <c r="BC75" s="11"/>
      <c r="BD75" s="11"/>
      <c r="BE75" s="11"/>
      <c r="BF75" s="28"/>
      <c r="BG75" s="28"/>
      <c r="BH75" s="11"/>
      <c r="BI75" s="29"/>
      <c r="BJ75" s="11"/>
      <c r="BK75" s="11"/>
      <c r="BL75" s="11"/>
      <c r="BM75" s="11"/>
      <c r="BN75" s="11"/>
      <c r="BO75" s="11"/>
      <c r="BP75" s="11"/>
      <c r="BQ75" s="28"/>
      <c r="BR75" s="28"/>
      <c r="BS75" s="11"/>
      <c r="BT75" s="29"/>
      <c r="BU75" s="11"/>
      <c r="BV75" s="11"/>
      <c r="BW75" s="11"/>
      <c r="BX75" s="11"/>
      <c r="BY75" s="11"/>
      <c r="BZ75" s="11"/>
      <c r="CA75" s="11"/>
      <c r="CB75" s="11"/>
      <c r="CC75" s="29"/>
      <c r="CD75" s="28"/>
      <c r="CE75" s="11"/>
      <c r="CF75" s="11"/>
      <c r="CG75" s="11"/>
      <c r="CH75" s="29"/>
      <c r="CI75" s="28"/>
      <c r="CJ75" s="11"/>
      <c r="CK75" s="11"/>
      <c r="CL75" s="11"/>
      <c r="CM75" s="29"/>
      <c r="CN75" s="28"/>
      <c r="CO75" s="11"/>
      <c r="CP75" s="11"/>
      <c r="CQ75" s="11"/>
      <c r="CR75" s="29"/>
      <c r="CS75" s="28"/>
      <c r="CT75" s="30"/>
      <c r="CU75" s="30"/>
      <c r="CV75" s="30"/>
      <c r="CW75" s="30"/>
      <c r="CX75" s="30" t="str">
        <f t="shared" si="0"/>
        <v/>
      </c>
    </row>
    <row r="76" spans="1:102" ht="16.5">
      <c r="A76" s="11"/>
      <c r="B76" s="11"/>
      <c r="C76" s="11"/>
      <c r="D76" s="11"/>
      <c r="E76" s="11"/>
      <c r="F76" s="11"/>
      <c r="G76" s="27"/>
      <c r="H76" s="15"/>
      <c r="I76" s="11"/>
      <c r="J76" s="11"/>
      <c r="K76" s="15"/>
      <c r="L76" s="15"/>
      <c r="M76" s="15"/>
      <c r="N76" s="11"/>
      <c r="O76" s="15"/>
      <c r="P76" s="11"/>
      <c r="Q76" s="11"/>
      <c r="R76" s="15"/>
      <c r="S76" s="11"/>
      <c r="T76" s="11"/>
      <c r="U76" s="15"/>
      <c r="V76" s="15"/>
      <c r="W76" s="15"/>
      <c r="X76" s="11"/>
      <c r="Y76" s="15"/>
      <c r="Z76" s="11"/>
      <c r="AA76" s="11"/>
      <c r="AB76" s="15"/>
      <c r="AC76" s="11"/>
      <c r="AD76" s="11"/>
      <c r="AE76" s="15"/>
      <c r="AF76" s="15"/>
      <c r="AG76" s="15"/>
      <c r="AH76" s="11"/>
      <c r="AI76" s="15"/>
      <c r="AJ76" s="11"/>
      <c r="AK76" s="11"/>
      <c r="AL76" s="15"/>
      <c r="AM76" s="11"/>
      <c r="AN76" s="11"/>
      <c r="AO76" s="15"/>
      <c r="AP76" s="15"/>
      <c r="AQ76" s="15"/>
      <c r="AR76" s="11"/>
      <c r="AS76" s="15"/>
      <c r="AT76" s="11"/>
      <c r="AU76" s="11"/>
      <c r="AV76" s="15"/>
      <c r="AW76" s="11"/>
      <c r="AX76" s="11"/>
      <c r="AY76" s="15"/>
      <c r="AZ76" s="11"/>
      <c r="BA76" s="11"/>
      <c r="BB76" s="11"/>
      <c r="BC76" s="11"/>
      <c r="BD76" s="11"/>
      <c r="BE76" s="11"/>
      <c r="BF76" s="28"/>
      <c r="BG76" s="28"/>
      <c r="BH76" s="11"/>
      <c r="BI76" s="29"/>
      <c r="BJ76" s="11"/>
      <c r="BK76" s="11"/>
      <c r="BL76" s="11"/>
      <c r="BM76" s="11"/>
      <c r="BN76" s="11"/>
      <c r="BO76" s="11"/>
      <c r="BP76" s="11"/>
      <c r="BQ76" s="28"/>
      <c r="BR76" s="28"/>
      <c r="BS76" s="11"/>
      <c r="BT76" s="29"/>
      <c r="BU76" s="11"/>
      <c r="BV76" s="11"/>
      <c r="BW76" s="11"/>
      <c r="BX76" s="11"/>
      <c r="BY76" s="11"/>
      <c r="BZ76" s="11"/>
      <c r="CA76" s="11"/>
      <c r="CB76" s="11"/>
      <c r="CC76" s="29"/>
      <c r="CD76" s="28"/>
      <c r="CE76" s="11"/>
      <c r="CF76" s="11"/>
      <c r="CG76" s="11"/>
      <c r="CH76" s="29"/>
      <c r="CI76" s="28"/>
      <c r="CJ76" s="11"/>
      <c r="CK76" s="11"/>
      <c r="CL76" s="11"/>
      <c r="CM76" s="29"/>
      <c r="CN76" s="28"/>
      <c r="CO76" s="11"/>
      <c r="CP76" s="11"/>
      <c r="CQ76" s="11"/>
      <c r="CR76" s="29"/>
      <c r="CS76" s="28"/>
      <c r="CT76" s="30"/>
      <c r="CU76" s="30"/>
      <c r="CV76" s="30"/>
      <c r="CW76" s="30"/>
      <c r="CX76" s="30" t="str">
        <f t="shared" si="0"/>
        <v/>
      </c>
    </row>
    <row r="77" spans="1:102" ht="16.5">
      <c r="A77" s="11"/>
      <c r="B77" s="11"/>
      <c r="C77" s="11"/>
      <c r="D77" s="11"/>
      <c r="E77" s="11"/>
      <c r="F77" s="11"/>
      <c r="G77" s="27"/>
      <c r="H77" s="15"/>
      <c r="I77" s="11"/>
      <c r="J77" s="11"/>
      <c r="K77" s="15"/>
      <c r="L77" s="15"/>
      <c r="M77" s="15"/>
      <c r="N77" s="11"/>
      <c r="O77" s="15"/>
      <c r="P77" s="11"/>
      <c r="Q77" s="11"/>
      <c r="R77" s="15"/>
      <c r="S77" s="11"/>
      <c r="T77" s="11"/>
      <c r="U77" s="15"/>
      <c r="V77" s="15"/>
      <c r="W77" s="15"/>
      <c r="X77" s="11"/>
      <c r="Y77" s="15"/>
      <c r="Z77" s="11"/>
      <c r="AA77" s="11"/>
      <c r="AB77" s="15"/>
      <c r="AC77" s="11"/>
      <c r="AD77" s="11"/>
      <c r="AE77" s="15"/>
      <c r="AF77" s="15"/>
      <c r="AG77" s="15"/>
      <c r="AH77" s="11"/>
      <c r="AI77" s="15"/>
      <c r="AJ77" s="11"/>
      <c r="AK77" s="11"/>
      <c r="AL77" s="15"/>
      <c r="AM77" s="11"/>
      <c r="AN77" s="11"/>
      <c r="AO77" s="15"/>
      <c r="AP77" s="15"/>
      <c r="AQ77" s="15"/>
      <c r="AR77" s="11"/>
      <c r="AS77" s="15"/>
      <c r="AT77" s="11"/>
      <c r="AU77" s="11"/>
      <c r="AV77" s="15"/>
      <c r="AW77" s="11"/>
      <c r="AX77" s="11"/>
      <c r="AY77" s="15"/>
      <c r="AZ77" s="11"/>
      <c r="BA77" s="11"/>
      <c r="BB77" s="11"/>
      <c r="BC77" s="11"/>
      <c r="BD77" s="11"/>
      <c r="BE77" s="11"/>
      <c r="BF77" s="28"/>
      <c r="BG77" s="28"/>
      <c r="BH77" s="11"/>
      <c r="BI77" s="29"/>
      <c r="BJ77" s="11"/>
      <c r="BK77" s="11"/>
      <c r="BL77" s="11"/>
      <c r="BM77" s="11"/>
      <c r="BN77" s="11"/>
      <c r="BO77" s="11"/>
      <c r="BP77" s="11"/>
      <c r="BQ77" s="28"/>
      <c r="BR77" s="28"/>
      <c r="BS77" s="11"/>
      <c r="BT77" s="29"/>
      <c r="BU77" s="11"/>
      <c r="BV77" s="11"/>
      <c r="BW77" s="11"/>
      <c r="BX77" s="11"/>
      <c r="BY77" s="11"/>
      <c r="BZ77" s="11"/>
      <c r="CA77" s="11"/>
      <c r="CB77" s="11"/>
      <c r="CC77" s="29"/>
      <c r="CD77" s="28"/>
      <c r="CE77" s="11"/>
      <c r="CF77" s="11"/>
      <c r="CG77" s="11"/>
      <c r="CH77" s="29"/>
      <c r="CI77" s="28"/>
      <c r="CJ77" s="11"/>
      <c r="CK77" s="11"/>
      <c r="CL77" s="11"/>
      <c r="CM77" s="29"/>
      <c r="CN77" s="28"/>
      <c r="CO77" s="11"/>
      <c r="CP77" s="11"/>
      <c r="CQ77" s="11"/>
      <c r="CR77" s="29"/>
      <c r="CS77" s="28"/>
      <c r="CT77" s="30"/>
      <c r="CU77" s="30"/>
      <c r="CV77" s="30"/>
      <c r="CW77" s="30"/>
      <c r="CX77" s="30" t="str">
        <f t="shared" si="0"/>
        <v/>
      </c>
    </row>
    <row r="78" spans="1:102" ht="16.5">
      <c r="A78" s="11"/>
      <c r="B78" s="11"/>
      <c r="C78" s="11"/>
      <c r="D78" s="11"/>
      <c r="E78" s="11"/>
      <c r="F78" s="11"/>
      <c r="G78" s="27"/>
      <c r="H78" s="15"/>
      <c r="I78" s="11"/>
      <c r="J78" s="11"/>
      <c r="K78" s="15"/>
      <c r="L78" s="15"/>
      <c r="M78" s="15"/>
      <c r="N78" s="11"/>
      <c r="O78" s="15"/>
      <c r="P78" s="11"/>
      <c r="Q78" s="11"/>
      <c r="R78" s="15"/>
      <c r="S78" s="11"/>
      <c r="T78" s="11"/>
      <c r="U78" s="15"/>
      <c r="V78" s="15"/>
      <c r="W78" s="15"/>
      <c r="X78" s="11"/>
      <c r="Y78" s="15"/>
      <c r="Z78" s="11"/>
      <c r="AA78" s="11"/>
      <c r="AB78" s="15"/>
      <c r="AC78" s="11"/>
      <c r="AD78" s="11"/>
      <c r="AE78" s="15"/>
      <c r="AF78" s="15"/>
      <c r="AG78" s="15"/>
      <c r="AH78" s="11"/>
      <c r="AI78" s="15"/>
      <c r="AJ78" s="11"/>
      <c r="AK78" s="11"/>
      <c r="AL78" s="15"/>
      <c r="AM78" s="11"/>
      <c r="AN78" s="11"/>
      <c r="AO78" s="15"/>
      <c r="AP78" s="15"/>
      <c r="AQ78" s="15"/>
      <c r="AR78" s="11"/>
      <c r="AS78" s="15"/>
      <c r="AT78" s="11"/>
      <c r="AU78" s="11"/>
      <c r="AV78" s="15"/>
      <c r="AW78" s="11"/>
      <c r="AX78" s="11"/>
      <c r="AY78" s="15"/>
      <c r="AZ78" s="11"/>
      <c r="BA78" s="11"/>
      <c r="BB78" s="11"/>
      <c r="BC78" s="11"/>
      <c r="BD78" s="11"/>
      <c r="BE78" s="11"/>
      <c r="BF78" s="28"/>
      <c r="BG78" s="28"/>
      <c r="BH78" s="11"/>
      <c r="BI78" s="29"/>
      <c r="BJ78" s="11"/>
      <c r="BK78" s="11"/>
      <c r="BL78" s="11"/>
      <c r="BM78" s="11"/>
      <c r="BN78" s="11"/>
      <c r="BO78" s="11"/>
      <c r="BP78" s="11"/>
      <c r="BQ78" s="28"/>
      <c r="BR78" s="28"/>
      <c r="BS78" s="11"/>
      <c r="BT78" s="29"/>
      <c r="BU78" s="11"/>
      <c r="BV78" s="11"/>
      <c r="BW78" s="11"/>
      <c r="BX78" s="11"/>
      <c r="BY78" s="11"/>
      <c r="BZ78" s="11"/>
      <c r="CA78" s="11"/>
      <c r="CB78" s="11"/>
      <c r="CC78" s="29"/>
      <c r="CD78" s="28"/>
      <c r="CE78" s="11"/>
      <c r="CF78" s="11"/>
      <c r="CG78" s="11"/>
      <c r="CH78" s="29"/>
      <c r="CI78" s="28"/>
      <c r="CJ78" s="11"/>
      <c r="CK78" s="11"/>
      <c r="CL78" s="11"/>
      <c r="CM78" s="29"/>
      <c r="CN78" s="28"/>
      <c r="CO78" s="11"/>
      <c r="CP78" s="11"/>
      <c r="CQ78" s="11"/>
      <c r="CR78" s="29"/>
      <c r="CS78" s="28"/>
      <c r="CT78" s="30"/>
      <c r="CU78" s="30"/>
      <c r="CV78" s="30"/>
      <c r="CW78" s="30"/>
      <c r="CX78" s="30" t="str">
        <f t="shared" si="0"/>
        <v/>
      </c>
    </row>
    <row r="79" spans="1:102" ht="16.5">
      <c r="A79" s="11"/>
      <c r="B79" s="11"/>
      <c r="C79" s="11"/>
      <c r="D79" s="11"/>
      <c r="E79" s="11"/>
      <c r="F79" s="11"/>
      <c r="G79" s="27"/>
      <c r="H79" s="15"/>
      <c r="I79" s="11"/>
      <c r="J79" s="11"/>
      <c r="K79" s="15"/>
      <c r="L79" s="15"/>
      <c r="M79" s="15"/>
      <c r="N79" s="11"/>
      <c r="O79" s="15"/>
      <c r="P79" s="11"/>
      <c r="Q79" s="11"/>
      <c r="R79" s="15"/>
      <c r="S79" s="11"/>
      <c r="T79" s="11"/>
      <c r="U79" s="15"/>
      <c r="V79" s="15"/>
      <c r="W79" s="15"/>
      <c r="X79" s="11"/>
      <c r="Y79" s="15"/>
      <c r="Z79" s="11"/>
      <c r="AA79" s="11"/>
      <c r="AB79" s="15"/>
      <c r="AC79" s="11"/>
      <c r="AD79" s="11"/>
      <c r="AE79" s="15"/>
      <c r="AF79" s="15"/>
      <c r="AG79" s="15"/>
      <c r="AH79" s="11"/>
      <c r="AI79" s="15"/>
      <c r="AJ79" s="11"/>
      <c r="AK79" s="11"/>
      <c r="AL79" s="15"/>
      <c r="AM79" s="11"/>
      <c r="AN79" s="11"/>
      <c r="AO79" s="15"/>
      <c r="AP79" s="15"/>
      <c r="AQ79" s="15"/>
      <c r="AR79" s="11"/>
      <c r="AS79" s="15"/>
      <c r="AT79" s="11"/>
      <c r="AU79" s="11"/>
      <c r="AV79" s="15"/>
      <c r="AW79" s="11"/>
      <c r="AX79" s="11"/>
      <c r="AY79" s="15"/>
      <c r="AZ79" s="11"/>
      <c r="BA79" s="11"/>
      <c r="BB79" s="11"/>
      <c r="BC79" s="11"/>
      <c r="BD79" s="11"/>
      <c r="BE79" s="11"/>
      <c r="BF79" s="28"/>
      <c r="BG79" s="28"/>
      <c r="BH79" s="11"/>
      <c r="BI79" s="29"/>
      <c r="BJ79" s="11"/>
      <c r="BK79" s="11"/>
      <c r="BL79" s="11"/>
      <c r="BM79" s="11"/>
      <c r="BN79" s="11"/>
      <c r="BO79" s="11"/>
      <c r="BP79" s="11"/>
      <c r="BQ79" s="28"/>
      <c r="BR79" s="28"/>
      <c r="BS79" s="11"/>
      <c r="BT79" s="29"/>
      <c r="BU79" s="11"/>
      <c r="BV79" s="11"/>
      <c r="BW79" s="11"/>
      <c r="BX79" s="11"/>
      <c r="BY79" s="11"/>
      <c r="BZ79" s="11"/>
      <c r="CA79" s="11"/>
      <c r="CB79" s="11"/>
      <c r="CC79" s="29"/>
      <c r="CD79" s="28"/>
      <c r="CE79" s="11"/>
      <c r="CF79" s="11"/>
      <c r="CG79" s="11"/>
      <c r="CH79" s="29"/>
      <c r="CI79" s="28"/>
      <c r="CJ79" s="11"/>
      <c r="CK79" s="11"/>
      <c r="CL79" s="11"/>
      <c r="CM79" s="29"/>
      <c r="CN79" s="28"/>
      <c r="CO79" s="11"/>
      <c r="CP79" s="11"/>
      <c r="CQ79" s="11"/>
      <c r="CR79" s="29"/>
      <c r="CS79" s="28"/>
      <c r="CT79" s="30"/>
      <c r="CU79" s="30"/>
      <c r="CV79" s="30"/>
      <c r="CW79" s="30"/>
      <c r="CX79" s="30" t="str">
        <f t="shared" si="0"/>
        <v/>
      </c>
    </row>
    <row r="80" spans="1:102" ht="16.5">
      <c r="A80" s="11"/>
      <c r="B80" s="11"/>
      <c r="C80" s="11"/>
      <c r="D80" s="11"/>
      <c r="E80" s="11"/>
      <c r="F80" s="11"/>
      <c r="G80" s="27"/>
      <c r="H80" s="15"/>
      <c r="I80" s="11"/>
      <c r="J80" s="11"/>
      <c r="K80" s="15"/>
      <c r="L80" s="15"/>
      <c r="M80" s="15"/>
      <c r="N80" s="11"/>
      <c r="O80" s="15"/>
      <c r="P80" s="11"/>
      <c r="Q80" s="11"/>
      <c r="R80" s="15"/>
      <c r="S80" s="11"/>
      <c r="T80" s="11"/>
      <c r="U80" s="15"/>
      <c r="V80" s="15"/>
      <c r="W80" s="15"/>
      <c r="X80" s="11"/>
      <c r="Y80" s="15"/>
      <c r="Z80" s="11"/>
      <c r="AA80" s="11"/>
      <c r="AB80" s="15"/>
      <c r="AC80" s="11"/>
      <c r="AD80" s="11"/>
      <c r="AE80" s="15"/>
      <c r="AF80" s="15"/>
      <c r="AG80" s="15"/>
      <c r="AH80" s="11"/>
      <c r="AI80" s="15"/>
      <c r="AJ80" s="11"/>
      <c r="AK80" s="11"/>
      <c r="AL80" s="15"/>
      <c r="AM80" s="11"/>
      <c r="AN80" s="11"/>
      <c r="AO80" s="15"/>
      <c r="AP80" s="15"/>
      <c r="AQ80" s="15"/>
      <c r="AR80" s="11"/>
      <c r="AS80" s="15"/>
      <c r="AT80" s="11"/>
      <c r="AU80" s="11"/>
      <c r="AV80" s="15"/>
      <c r="AW80" s="11"/>
      <c r="AX80" s="11"/>
      <c r="AY80" s="15"/>
      <c r="AZ80" s="11"/>
      <c r="BA80" s="11"/>
      <c r="BB80" s="11"/>
      <c r="BC80" s="11"/>
      <c r="BD80" s="11"/>
      <c r="BE80" s="11"/>
      <c r="BF80" s="28"/>
      <c r="BG80" s="28"/>
      <c r="BH80" s="11"/>
      <c r="BI80" s="29"/>
      <c r="BJ80" s="11"/>
      <c r="BK80" s="11"/>
      <c r="BL80" s="11"/>
      <c r="BM80" s="11"/>
      <c r="BN80" s="11"/>
      <c r="BO80" s="11"/>
      <c r="BP80" s="11"/>
      <c r="BQ80" s="28"/>
      <c r="BR80" s="28"/>
      <c r="BS80" s="11"/>
      <c r="BT80" s="29"/>
      <c r="BU80" s="11"/>
      <c r="BV80" s="11"/>
      <c r="BW80" s="11"/>
      <c r="BX80" s="11"/>
      <c r="BY80" s="11"/>
      <c r="BZ80" s="11"/>
      <c r="CA80" s="11"/>
      <c r="CB80" s="11"/>
      <c r="CC80" s="29"/>
      <c r="CD80" s="28"/>
      <c r="CE80" s="11"/>
      <c r="CF80" s="11"/>
      <c r="CG80" s="11"/>
      <c r="CH80" s="29"/>
      <c r="CI80" s="28"/>
      <c r="CJ80" s="11"/>
      <c r="CK80" s="11"/>
      <c r="CL80" s="11"/>
      <c r="CM80" s="29"/>
      <c r="CN80" s="28"/>
      <c r="CO80" s="11"/>
      <c r="CP80" s="11"/>
      <c r="CQ80" s="11"/>
      <c r="CR80" s="29"/>
      <c r="CS80" s="28"/>
      <c r="CT80" s="30"/>
      <c r="CU80" s="30"/>
      <c r="CV80" s="30"/>
      <c r="CW80" s="30"/>
      <c r="CX80" s="30" t="str">
        <f t="shared" si="0"/>
        <v/>
      </c>
    </row>
    <row r="81" spans="1:102" ht="16.5">
      <c r="A81" s="11"/>
      <c r="B81" s="11"/>
      <c r="C81" s="11"/>
      <c r="D81" s="11"/>
      <c r="E81" s="11"/>
      <c r="F81" s="11"/>
      <c r="G81" s="27"/>
      <c r="H81" s="15"/>
      <c r="I81" s="11"/>
      <c r="J81" s="11"/>
      <c r="K81" s="15"/>
      <c r="L81" s="15"/>
      <c r="M81" s="15"/>
      <c r="N81" s="11"/>
      <c r="O81" s="15"/>
      <c r="P81" s="11"/>
      <c r="Q81" s="11"/>
      <c r="R81" s="15"/>
      <c r="S81" s="11"/>
      <c r="T81" s="11"/>
      <c r="U81" s="15"/>
      <c r="V81" s="15"/>
      <c r="W81" s="15"/>
      <c r="X81" s="11"/>
      <c r="Y81" s="15"/>
      <c r="Z81" s="11"/>
      <c r="AA81" s="11"/>
      <c r="AB81" s="15"/>
      <c r="AC81" s="11"/>
      <c r="AD81" s="11"/>
      <c r="AE81" s="15"/>
      <c r="AF81" s="15"/>
      <c r="AG81" s="15"/>
      <c r="AH81" s="11"/>
      <c r="AI81" s="15"/>
      <c r="AJ81" s="11"/>
      <c r="AK81" s="11"/>
      <c r="AL81" s="15"/>
      <c r="AM81" s="11"/>
      <c r="AN81" s="11"/>
      <c r="AO81" s="15"/>
      <c r="AP81" s="15"/>
      <c r="AQ81" s="15"/>
      <c r="AR81" s="11"/>
      <c r="AS81" s="15"/>
      <c r="AT81" s="11"/>
      <c r="AU81" s="11"/>
      <c r="AV81" s="15"/>
      <c r="AW81" s="11"/>
      <c r="AX81" s="11"/>
      <c r="AY81" s="15"/>
      <c r="AZ81" s="11"/>
      <c r="BA81" s="11"/>
      <c r="BB81" s="11"/>
      <c r="BC81" s="11"/>
      <c r="BD81" s="11"/>
      <c r="BE81" s="11"/>
      <c r="BF81" s="28"/>
      <c r="BG81" s="28"/>
      <c r="BH81" s="11"/>
      <c r="BI81" s="29"/>
      <c r="BJ81" s="11"/>
      <c r="BK81" s="11"/>
      <c r="BL81" s="11"/>
      <c r="BM81" s="11"/>
      <c r="BN81" s="11"/>
      <c r="BO81" s="11"/>
      <c r="BP81" s="11"/>
      <c r="BQ81" s="28"/>
      <c r="BR81" s="28"/>
      <c r="BS81" s="11"/>
      <c r="BT81" s="29"/>
      <c r="BU81" s="11"/>
      <c r="BV81" s="11"/>
      <c r="BW81" s="11"/>
      <c r="BX81" s="11"/>
      <c r="BY81" s="11"/>
      <c r="BZ81" s="11"/>
      <c r="CA81" s="11"/>
      <c r="CB81" s="11"/>
      <c r="CC81" s="29"/>
      <c r="CD81" s="28"/>
      <c r="CE81" s="11"/>
      <c r="CF81" s="11"/>
      <c r="CG81" s="11"/>
      <c r="CH81" s="29"/>
      <c r="CI81" s="28"/>
      <c r="CJ81" s="11"/>
      <c r="CK81" s="11"/>
      <c r="CL81" s="11"/>
      <c r="CM81" s="29"/>
      <c r="CN81" s="28"/>
      <c r="CO81" s="11"/>
      <c r="CP81" s="11"/>
      <c r="CQ81" s="11"/>
      <c r="CR81" s="29"/>
      <c r="CS81" s="28"/>
      <c r="CT81" s="30"/>
      <c r="CU81" s="30"/>
      <c r="CV81" s="30"/>
      <c r="CW81" s="30"/>
      <c r="CX81" s="30" t="str">
        <f t="shared" si="0"/>
        <v/>
      </c>
    </row>
    <row r="82" spans="1:102" ht="16.5">
      <c r="A82" s="11"/>
      <c r="B82" s="11"/>
      <c r="C82" s="11"/>
      <c r="D82" s="11"/>
      <c r="E82" s="11"/>
      <c r="F82" s="11"/>
      <c r="G82" s="27"/>
      <c r="H82" s="15"/>
      <c r="I82" s="11"/>
      <c r="J82" s="11"/>
      <c r="K82" s="15"/>
      <c r="L82" s="15"/>
      <c r="M82" s="15"/>
      <c r="N82" s="11"/>
      <c r="O82" s="15"/>
      <c r="P82" s="11"/>
      <c r="Q82" s="11"/>
      <c r="R82" s="15"/>
      <c r="S82" s="11"/>
      <c r="T82" s="11"/>
      <c r="U82" s="15"/>
      <c r="V82" s="15"/>
      <c r="W82" s="15"/>
      <c r="X82" s="11"/>
      <c r="Y82" s="15"/>
      <c r="Z82" s="11"/>
      <c r="AA82" s="11"/>
      <c r="AB82" s="15"/>
      <c r="AC82" s="11"/>
      <c r="AD82" s="11"/>
      <c r="AE82" s="15"/>
      <c r="AF82" s="15"/>
      <c r="AG82" s="15"/>
      <c r="AH82" s="11"/>
      <c r="AI82" s="15"/>
      <c r="AJ82" s="11"/>
      <c r="AK82" s="11"/>
      <c r="AL82" s="15"/>
      <c r="AM82" s="11"/>
      <c r="AN82" s="11"/>
      <c r="AO82" s="15"/>
      <c r="AP82" s="15"/>
      <c r="AQ82" s="15"/>
      <c r="AR82" s="11"/>
      <c r="AS82" s="15"/>
      <c r="AT82" s="11"/>
      <c r="AU82" s="11"/>
      <c r="AV82" s="15"/>
      <c r="AW82" s="11"/>
      <c r="AX82" s="11"/>
      <c r="AY82" s="15"/>
      <c r="AZ82" s="11"/>
      <c r="BA82" s="11"/>
      <c r="BB82" s="11"/>
      <c r="BC82" s="11"/>
      <c r="BD82" s="11"/>
      <c r="BE82" s="11"/>
      <c r="BF82" s="28"/>
      <c r="BG82" s="28"/>
      <c r="BH82" s="11"/>
      <c r="BI82" s="29"/>
      <c r="BJ82" s="11"/>
      <c r="BK82" s="11"/>
      <c r="BL82" s="11"/>
      <c r="BM82" s="11"/>
      <c r="BN82" s="11"/>
      <c r="BO82" s="11"/>
      <c r="BP82" s="11"/>
      <c r="BQ82" s="28"/>
      <c r="BR82" s="28"/>
      <c r="BS82" s="11"/>
      <c r="BT82" s="29"/>
      <c r="BU82" s="11"/>
      <c r="BV82" s="11"/>
      <c r="BW82" s="11"/>
      <c r="BX82" s="11"/>
      <c r="BY82" s="11"/>
      <c r="BZ82" s="11"/>
      <c r="CA82" s="11"/>
      <c r="CB82" s="11"/>
      <c r="CC82" s="29"/>
      <c r="CD82" s="28"/>
      <c r="CE82" s="11"/>
      <c r="CF82" s="11"/>
      <c r="CG82" s="11"/>
      <c r="CH82" s="29"/>
      <c r="CI82" s="28"/>
      <c r="CJ82" s="11"/>
      <c r="CK82" s="11"/>
      <c r="CL82" s="11"/>
      <c r="CM82" s="29"/>
      <c r="CN82" s="28"/>
      <c r="CO82" s="11"/>
      <c r="CP82" s="11"/>
      <c r="CQ82" s="11"/>
      <c r="CR82" s="29"/>
      <c r="CS82" s="28"/>
      <c r="CT82" s="30"/>
      <c r="CU82" s="30"/>
      <c r="CV82" s="30"/>
      <c r="CW82" s="30"/>
      <c r="CX82" s="30" t="str">
        <f t="shared" si="0"/>
        <v/>
      </c>
    </row>
    <row r="83" spans="1:102" ht="16.5">
      <c r="A83" s="11"/>
      <c r="B83" s="11"/>
      <c r="C83" s="11"/>
      <c r="D83" s="11"/>
      <c r="E83" s="11"/>
      <c r="F83" s="11"/>
      <c r="G83" s="27"/>
      <c r="H83" s="15"/>
      <c r="I83" s="11"/>
      <c r="J83" s="11"/>
      <c r="K83" s="15"/>
      <c r="L83" s="15"/>
      <c r="M83" s="15"/>
      <c r="N83" s="11"/>
      <c r="O83" s="15"/>
      <c r="P83" s="11"/>
      <c r="Q83" s="11"/>
      <c r="R83" s="15"/>
      <c r="S83" s="11"/>
      <c r="T83" s="11"/>
      <c r="U83" s="15"/>
      <c r="V83" s="15"/>
      <c r="W83" s="15"/>
      <c r="X83" s="11"/>
      <c r="Y83" s="15"/>
      <c r="Z83" s="11"/>
      <c r="AA83" s="11"/>
      <c r="AB83" s="15"/>
      <c r="AC83" s="11"/>
      <c r="AD83" s="11"/>
      <c r="AE83" s="15"/>
      <c r="AF83" s="15"/>
      <c r="AG83" s="15"/>
      <c r="AH83" s="11"/>
      <c r="AI83" s="15"/>
      <c r="AJ83" s="11"/>
      <c r="AK83" s="11"/>
      <c r="AL83" s="15"/>
      <c r="AM83" s="11"/>
      <c r="AN83" s="11"/>
      <c r="AO83" s="15"/>
      <c r="AP83" s="15"/>
      <c r="AQ83" s="15"/>
      <c r="AR83" s="11"/>
      <c r="AS83" s="15"/>
      <c r="AT83" s="11"/>
      <c r="AU83" s="11"/>
      <c r="AV83" s="15"/>
      <c r="AW83" s="11"/>
      <c r="AX83" s="11"/>
      <c r="AY83" s="15"/>
      <c r="AZ83" s="11"/>
      <c r="BA83" s="11"/>
      <c r="BB83" s="11"/>
      <c r="BC83" s="11"/>
      <c r="BD83" s="11"/>
      <c r="BE83" s="11"/>
      <c r="BF83" s="28"/>
      <c r="BG83" s="28"/>
      <c r="BH83" s="11"/>
      <c r="BI83" s="29"/>
      <c r="BJ83" s="11"/>
      <c r="BK83" s="11"/>
      <c r="BL83" s="11"/>
      <c r="BM83" s="11"/>
      <c r="BN83" s="11"/>
      <c r="BO83" s="11"/>
      <c r="BP83" s="11"/>
      <c r="BQ83" s="28"/>
      <c r="BR83" s="28"/>
      <c r="BS83" s="11"/>
      <c r="BT83" s="29"/>
      <c r="BU83" s="11"/>
      <c r="BV83" s="11"/>
      <c r="BW83" s="11"/>
      <c r="BX83" s="11"/>
      <c r="BY83" s="11"/>
      <c r="BZ83" s="11"/>
      <c r="CA83" s="11"/>
      <c r="CB83" s="11"/>
      <c r="CC83" s="29"/>
      <c r="CD83" s="28"/>
      <c r="CE83" s="11"/>
      <c r="CF83" s="11"/>
      <c r="CG83" s="11"/>
      <c r="CH83" s="29"/>
      <c r="CI83" s="28"/>
      <c r="CJ83" s="11"/>
      <c r="CK83" s="11"/>
      <c r="CL83" s="11"/>
      <c r="CM83" s="29"/>
      <c r="CN83" s="28"/>
      <c r="CO83" s="11"/>
      <c r="CP83" s="11"/>
      <c r="CQ83" s="11"/>
      <c r="CR83" s="29"/>
      <c r="CS83" s="28"/>
      <c r="CT83" s="30"/>
      <c r="CU83" s="30"/>
      <c r="CV83" s="30"/>
      <c r="CW83" s="30"/>
      <c r="CX83" s="30" t="str">
        <f t="shared" si="0"/>
        <v/>
      </c>
    </row>
    <row r="84" spans="1:102" ht="16.5">
      <c r="A84" s="11"/>
      <c r="B84" s="11"/>
      <c r="C84" s="11"/>
      <c r="D84" s="11"/>
      <c r="E84" s="11"/>
      <c r="F84" s="11"/>
      <c r="G84" s="27"/>
      <c r="H84" s="15"/>
      <c r="I84" s="11"/>
      <c r="J84" s="11"/>
      <c r="K84" s="15"/>
      <c r="L84" s="15"/>
      <c r="M84" s="15"/>
      <c r="N84" s="11"/>
      <c r="O84" s="15"/>
      <c r="P84" s="11"/>
      <c r="Q84" s="11"/>
      <c r="R84" s="15"/>
      <c r="S84" s="11"/>
      <c r="T84" s="11"/>
      <c r="U84" s="15"/>
      <c r="V84" s="15"/>
      <c r="W84" s="15"/>
      <c r="X84" s="11"/>
      <c r="Y84" s="15"/>
      <c r="Z84" s="11"/>
      <c r="AA84" s="11"/>
      <c r="AB84" s="15"/>
      <c r="AC84" s="11"/>
      <c r="AD84" s="11"/>
      <c r="AE84" s="15"/>
      <c r="AF84" s="15"/>
      <c r="AG84" s="15"/>
      <c r="AH84" s="11"/>
      <c r="AI84" s="15"/>
      <c r="AJ84" s="11"/>
      <c r="AK84" s="11"/>
      <c r="AL84" s="15"/>
      <c r="AM84" s="11"/>
      <c r="AN84" s="11"/>
      <c r="AO84" s="15"/>
      <c r="AP84" s="15"/>
      <c r="AQ84" s="15"/>
      <c r="AR84" s="11"/>
      <c r="AS84" s="15"/>
      <c r="AT84" s="11"/>
      <c r="AU84" s="11"/>
      <c r="AV84" s="15"/>
      <c r="AW84" s="11"/>
      <c r="AX84" s="11"/>
      <c r="AY84" s="15"/>
      <c r="AZ84" s="11"/>
      <c r="BA84" s="11"/>
      <c r="BB84" s="11"/>
      <c r="BC84" s="11"/>
      <c r="BD84" s="11"/>
      <c r="BE84" s="11"/>
      <c r="BF84" s="28"/>
      <c r="BG84" s="28"/>
      <c r="BH84" s="11"/>
      <c r="BI84" s="29"/>
      <c r="BJ84" s="11"/>
      <c r="BK84" s="11"/>
      <c r="BL84" s="11"/>
      <c r="BM84" s="11"/>
      <c r="BN84" s="11"/>
      <c r="BO84" s="11"/>
      <c r="BP84" s="11"/>
      <c r="BQ84" s="28"/>
      <c r="BR84" s="28"/>
      <c r="BS84" s="11"/>
      <c r="BT84" s="29"/>
      <c r="BU84" s="11"/>
      <c r="BV84" s="11"/>
      <c r="BW84" s="11"/>
      <c r="BX84" s="11"/>
      <c r="BY84" s="11"/>
      <c r="BZ84" s="11"/>
      <c r="CA84" s="11"/>
      <c r="CB84" s="11"/>
      <c r="CC84" s="29"/>
      <c r="CD84" s="28"/>
      <c r="CE84" s="11"/>
      <c r="CF84" s="11"/>
      <c r="CG84" s="11"/>
      <c r="CH84" s="29"/>
      <c r="CI84" s="28"/>
      <c r="CJ84" s="11"/>
      <c r="CK84" s="11"/>
      <c r="CL84" s="11"/>
      <c r="CM84" s="29"/>
      <c r="CN84" s="28"/>
      <c r="CO84" s="11"/>
      <c r="CP84" s="11"/>
      <c r="CQ84" s="11"/>
      <c r="CR84" s="29"/>
      <c r="CS84" s="28"/>
      <c r="CT84" s="30"/>
      <c r="CU84" s="30"/>
      <c r="CV84" s="30"/>
      <c r="CW84" s="30"/>
      <c r="CX84" s="30" t="str">
        <f t="shared" si="0"/>
        <v/>
      </c>
    </row>
    <row r="85" spans="1:102" ht="16.5">
      <c r="A85" s="11"/>
      <c r="B85" s="11"/>
      <c r="C85" s="11"/>
      <c r="D85" s="11"/>
      <c r="E85" s="11"/>
      <c r="F85" s="11"/>
      <c r="G85" s="27"/>
      <c r="H85" s="15"/>
      <c r="I85" s="11"/>
      <c r="J85" s="11"/>
      <c r="K85" s="15"/>
      <c r="L85" s="15"/>
      <c r="M85" s="15"/>
      <c r="N85" s="11"/>
      <c r="O85" s="15"/>
      <c r="P85" s="11"/>
      <c r="Q85" s="11"/>
      <c r="R85" s="15"/>
      <c r="S85" s="11"/>
      <c r="T85" s="11"/>
      <c r="U85" s="15"/>
      <c r="V85" s="15"/>
      <c r="W85" s="15"/>
      <c r="X85" s="11"/>
      <c r="Y85" s="15"/>
      <c r="Z85" s="11"/>
      <c r="AA85" s="11"/>
      <c r="AB85" s="15"/>
      <c r="AC85" s="11"/>
      <c r="AD85" s="11"/>
      <c r="AE85" s="15"/>
      <c r="AF85" s="15"/>
      <c r="AG85" s="15"/>
      <c r="AH85" s="11"/>
      <c r="AI85" s="15"/>
      <c r="AJ85" s="11"/>
      <c r="AK85" s="11"/>
      <c r="AL85" s="15"/>
      <c r="AM85" s="11"/>
      <c r="AN85" s="11"/>
      <c r="AO85" s="15"/>
      <c r="AP85" s="15"/>
      <c r="AQ85" s="15"/>
      <c r="AR85" s="11"/>
      <c r="AS85" s="15"/>
      <c r="AT85" s="11"/>
      <c r="AU85" s="11"/>
      <c r="AV85" s="15"/>
      <c r="AW85" s="11"/>
      <c r="AX85" s="11"/>
      <c r="AY85" s="15"/>
      <c r="AZ85" s="11"/>
      <c r="BA85" s="11"/>
      <c r="BB85" s="11"/>
      <c r="BC85" s="11"/>
      <c r="BD85" s="11"/>
      <c r="BE85" s="11"/>
      <c r="BF85" s="28"/>
      <c r="BG85" s="28"/>
      <c r="BH85" s="11"/>
      <c r="BI85" s="29"/>
      <c r="BJ85" s="11"/>
      <c r="BK85" s="11"/>
      <c r="BL85" s="11"/>
      <c r="BM85" s="11"/>
      <c r="BN85" s="11"/>
      <c r="BO85" s="11"/>
      <c r="BP85" s="11"/>
      <c r="BQ85" s="28"/>
      <c r="BR85" s="28"/>
      <c r="BS85" s="11"/>
      <c r="BT85" s="29"/>
      <c r="BU85" s="11"/>
      <c r="BV85" s="11"/>
      <c r="BW85" s="11"/>
      <c r="BX85" s="11"/>
      <c r="BY85" s="11"/>
      <c r="BZ85" s="11"/>
      <c r="CA85" s="11"/>
      <c r="CB85" s="11"/>
      <c r="CC85" s="29"/>
      <c r="CD85" s="28"/>
      <c r="CE85" s="11"/>
      <c r="CF85" s="11"/>
      <c r="CG85" s="11"/>
      <c r="CH85" s="29"/>
      <c r="CI85" s="28"/>
      <c r="CJ85" s="11"/>
      <c r="CK85" s="11"/>
      <c r="CL85" s="11"/>
      <c r="CM85" s="29"/>
      <c r="CN85" s="28"/>
      <c r="CO85" s="11"/>
      <c r="CP85" s="11"/>
      <c r="CQ85" s="11"/>
      <c r="CR85" s="29"/>
      <c r="CS85" s="28"/>
      <c r="CT85" s="30"/>
      <c r="CU85" s="30"/>
      <c r="CV85" s="30"/>
      <c r="CW85" s="30"/>
      <c r="CX85" s="30" t="str">
        <f t="shared" si="0"/>
        <v/>
      </c>
    </row>
    <row r="86" spans="1:102" ht="16.5">
      <c r="A86" s="11"/>
      <c r="B86" s="11"/>
      <c r="C86" s="11"/>
      <c r="D86" s="11"/>
      <c r="E86" s="11"/>
      <c r="F86" s="11"/>
      <c r="G86" s="27"/>
      <c r="H86" s="15"/>
      <c r="I86" s="11"/>
      <c r="J86" s="11"/>
      <c r="K86" s="15"/>
      <c r="L86" s="15"/>
      <c r="M86" s="15"/>
      <c r="N86" s="11"/>
      <c r="O86" s="15"/>
      <c r="P86" s="11"/>
      <c r="Q86" s="11"/>
      <c r="R86" s="15"/>
      <c r="S86" s="11"/>
      <c r="T86" s="11"/>
      <c r="U86" s="15"/>
      <c r="V86" s="15"/>
      <c r="W86" s="15"/>
      <c r="X86" s="11"/>
      <c r="Y86" s="15"/>
      <c r="Z86" s="11"/>
      <c r="AA86" s="11"/>
      <c r="AB86" s="15"/>
      <c r="AC86" s="11"/>
      <c r="AD86" s="11"/>
      <c r="AE86" s="15"/>
      <c r="AF86" s="15"/>
      <c r="AG86" s="15"/>
      <c r="AH86" s="11"/>
      <c r="AI86" s="15"/>
      <c r="AJ86" s="11"/>
      <c r="AK86" s="11"/>
      <c r="AL86" s="15"/>
      <c r="AM86" s="11"/>
      <c r="AN86" s="11"/>
      <c r="AO86" s="15"/>
      <c r="AP86" s="15"/>
      <c r="AQ86" s="15"/>
      <c r="AR86" s="11"/>
      <c r="AS86" s="15"/>
      <c r="AT86" s="11"/>
      <c r="AU86" s="11"/>
      <c r="AV86" s="15"/>
      <c r="AW86" s="11"/>
      <c r="AX86" s="11"/>
      <c r="AY86" s="15"/>
      <c r="AZ86" s="11"/>
      <c r="BA86" s="11"/>
      <c r="BB86" s="11"/>
      <c r="BC86" s="11"/>
      <c r="BD86" s="11"/>
      <c r="BE86" s="11"/>
      <c r="BF86" s="28"/>
      <c r="BG86" s="28"/>
      <c r="BH86" s="11"/>
      <c r="BI86" s="29"/>
      <c r="BJ86" s="11"/>
      <c r="BK86" s="11"/>
      <c r="BL86" s="11"/>
      <c r="BM86" s="11"/>
      <c r="BN86" s="11"/>
      <c r="BO86" s="11"/>
      <c r="BP86" s="11"/>
      <c r="BQ86" s="28"/>
      <c r="BR86" s="28"/>
      <c r="BS86" s="11"/>
      <c r="BT86" s="29"/>
      <c r="BU86" s="11"/>
      <c r="BV86" s="11"/>
      <c r="BW86" s="11"/>
      <c r="BX86" s="11"/>
      <c r="BY86" s="11"/>
      <c r="BZ86" s="11"/>
      <c r="CA86" s="11"/>
      <c r="CB86" s="11"/>
      <c r="CC86" s="29"/>
      <c r="CD86" s="28"/>
      <c r="CE86" s="11"/>
      <c r="CF86" s="11"/>
      <c r="CG86" s="11"/>
      <c r="CH86" s="29"/>
      <c r="CI86" s="28"/>
      <c r="CJ86" s="11"/>
      <c r="CK86" s="11"/>
      <c r="CL86" s="11"/>
      <c r="CM86" s="29"/>
      <c r="CN86" s="28"/>
      <c r="CO86" s="11"/>
      <c r="CP86" s="11"/>
      <c r="CQ86" s="11"/>
      <c r="CR86" s="29"/>
      <c r="CS86" s="28"/>
      <c r="CT86" s="30"/>
      <c r="CU86" s="30"/>
      <c r="CV86" s="30"/>
      <c r="CW86" s="30"/>
      <c r="CX86" s="30" t="str">
        <f t="shared" si="0"/>
        <v/>
      </c>
    </row>
    <row r="87" spans="1:102" ht="16.5">
      <c r="A87" s="11"/>
      <c r="B87" s="11"/>
      <c r="C87" s="11"/>
      <c r="D87" s="11"/>
      <c r="E87" s="11"/>
      <c r="F87" s="11"/>
      <c r="G87" s="27"/>
      <c r="H87" s="15"/>
      <c r="I87" s="11"/>
      <c r="J87" s="11"/>
      <c r="K87" s="15"/>
      <c r="L87" s="15"/>
      <c r="M87" s="15"/>
      <c r="N87" s="11"/>
      <c r="O87" s="15"/>
      <c r="P87" s="11"/>
      <c r="Q87" s="11"/>
      <c r="R87" s="15"/>
      <c r="S87" s="11"/>
      <c r="T87" s="11"/>
      <c r="U87" s="15"/>
      <c r="V87" s="15"/>
      <c r="W87" s="15"/>
      <c r="X87" s="11"/>
      <c r="Y87" s="15"/>
      <c r="Z87" s="11"/>
      <c r="AA87" s="11"/>
      <c r="AB87" s="15"/>
      <c r="AC87" s="11"/>
      <c r="AD87" s="11"/>
      <c r="AE87" s="15"/>
      <c r="AF87" s="15"/>
      <c r="AG87" s="15"/>
      <c r="AH87" s="11"/>
      <c r="AI87" s="15"/>
      <c r="AJ87" s="11"/>
      <c r="AK87" s="11"/>
      <c r="AL87" s="15"/>
      <c r="AM87" s="11"/>
      <c r="AN87" s="11"/>
      <c r="AO87" s="15"/>
      <c r="AP87" s="15"/>
      <c r="AQ87" s="15"/>
      <c r="AR87" s="11"/>
      <c r="AS87" s="15"/>
      <c r="AT87" s="11"/>
      <c r="AU87" s="11"/>
      <c r="AV87" s="15"/>
      <c r="AW87" s="11"/>
      <c r="AX87" s="11"/>
      <c r="AY87" s="15"/>
      <c r="AZ87" s="11"/>
      <c r="BA87" s="11"/>
      <c r="BB87" s="11"/>
      <c r="BC87" s="11"/>
      <c r="BD87" s="11"/>
      <c r="BE87" s="11"/>
      <c r="BF87" s="28"/>
      <c r="BG87" s="28"/>
      <c r="BH87" s="11"/>
      <c r="BI87" s="29"/>
      <c r="BJ87" s="11"/>
      <c r="BK87" s="11"/>
      <c r="BL87" s="11"/>
      <c r="BM87" s="11"/>
      <c r="BN87" s="11"/>
      <c r="BO87" s="11"/>
      <c r="BP87" s="11"/>
      <c r="BQ87" s="28"/>
      <c r="BR87" s="28"/>
      <c r="BS87" s="11"/>
      <c r="BT87" s="29"/>
      <c r="BU87" s="11"/>
      <c r="BV87" s="11"/>
      <c r="BW87" s="11"/>
      <c r="BX87" s="11"/>
      <c r="BY87" s="11"/>
      <c r="BZ87" s="11"/>
      <c r="CA87" s="11"/>
      <c r="CB87" s="11"/>
      <c r="CC87" s="29"/>
      <c r="CD87" s="28"/>
      <c r="CE87" s="11"/>
      <c r="CF87" s="11"/>
      <c r="CG87" s="11"/>
      <c r="CH87" s="29"/>
      <c r="CI87" s="28"/>
      <c r="CJ87" s="11"/>
      <c r="CK87" s="11"/>
      <c r="CL87" s="11"/>
      <c r="CM87" s="29"/>
      <c r="CN87" s="28"/>
      <c r="CO87" s="11"/>
      <c r="CP87" s="11"/>
      <c r="CQ87" s="11"/>
      <c r="CR87" s="29"/>
      <c r="CS87" s="28"/>
      <c r="CT87" s="30"/>
      <c r="CU87" s="30"/>
      <c r="CV87" s="30"/>
      <c r="CW87" s="30"/>
      <c r="CX87" s="30" t="str">
        <f t="shared" si="0"/>
        <v/>
      </c>
    </row>
    <row r="88" spans="1:102" ht="16.5">
      <c r="A88" s="11"/>
      <c r="B88" s="11"/>
      <c r="C88" s="11"/>
      <c r="D88" s="11"/>
      <c r="E88" s="11"/>
      <c r="F88" s="11"/>
      <c r="G88" s="27"/>
      <c r="H88" s="15"/>
      <c r="I88" s="11"/>
      <c r="J88" s="11"/>
      <c r="K88" s="15"/>
      <c r="L88" s="15"/>
      <c r="M88" s="15"/>
      <c r="N88" s="11"/>
      <c r="O88" s="15"/>
      <c r="P88" s="11"/>
      <c r="Q88" s="11"/>
      <c r="R88" s="15"/>
      <c r="S88" s="11"/>
      <c r="T88" s="11"/>
      <c r="U88" s="15"/>
      <c r="V88" s="15"/>
      <c r="W88" s="15"/>
      <c r="X88" s="11"/>
      <c r="Y88" s="15"/>
      <c r="Z88" s="11"/>
      <c r="AA88" s="11"/>
      <c r="AB88" s="15"/>
      <c r="AC88" s="11"/>
      <c r="AD88" s="11"/>
      <c r="AE88" s="15"/>
      <c r="AF88" s="15"/>
      <c r="AG88" s="15"/>
      <c r="AH88" s="11"/>
      <c r="AI88" s="15"/>
      <c r="AJ88" s="11"/>
      <c r="AK88" s="11"/>
      <c r="AL88" s="15"/>
      <c r="AM88" s="11"/>
      <c r="AN88" s="11"/>
      <c r="AO88" s="15"/>
      <c r="AP88" s="15"/>
      <c r="AQ88" s="15"/>
      <c r="AR88" s="11"/>
      <c r="AS88" s="15"/>
      <c r="AT88" s="11"/>
      <c r="AU88" s="11"/>
      <c r="AV88" s="15"/>
      <c r="AW88" s="11"/>
      <c r="AX88" s="11"/>
      <c r="AY88" s="15"/>
      <c r="AZ88" s="11"/>
      <c r="BA88" s="11"/>
      <c r="BB88" s="11"/>
      <c r="BC88" s="11"/>
      <c r="BD88" s="11"/>
      <c r="BE88" s="11"/>
      <c r="BF88" s="28"/>
      <c r="BG88" s="28"/>
      <c r="BH88" s="11"/>
      <c r="BI88" s="29"/>
      <c r="BJ88" s="11"/>
      <c r="BK88" s="11"/>
      <c r="BL88" s="11"/>
      <c r="BM88" s="11"/>
      <c r="BN88" s="11"/>
      <c r="BO88" s="11"/>
      <c r="BP88" s="11"/>
      <c r="BQ88" s="28"/>
      <c r="BR88" s="28"/>
      <c r="BS88" s="11"/>
      <c r="BT88" s="29"/>
      <c r="BU88" s="11"/>
      <c r="BV88" s="11"/>
      <c r="BW88" s="11"/>
      <c r="BX88" s="11"/>
      <c r="BY88" s="11"/>
      <c r="BZ88" s="11"/>
      <c r="CA88" s="11"/>
      <c r="CB88" s="11"/>
      <c r="CC88" s="29"/>
      <c r="CD88" s="28"/>
      <c r="CE88" s="11"/>
      <c r="CF88" s="11"/>
      <c r="CG88" s="11"/>
      <c r="CH88" s="29"/>
      <c r="CI88" s="28"/>
      <c r="CJ88" s="11"/>
      <c r="CK88" s="11"/>
      <c r="CL88" s="11"/>
      <c r="CM88" s="29"/>
      <c r="CN88" s="28"/>
      <c r="CO88" s="11"/>
      <c r="CP88" s="11"/>
      <c r="CQ88" s="11"/>
      <c r="CR88" s="29"/>
      <c r="CS88" s="28"/>
      <c r="CT88" s="30"/>
      <c r="CU88" s="30"/>
      <c r="CV88" s="30"/>
      <c r="CW88" s="30"/>
      <c r="CX88" s="30" t="str">
        <f t="shared" si="0"/>
        <v/>
      </c>
    </row>
    <row r="89" spans="1:102" ht="16.5">
      <c r="A89" s="11"/>
      <c r="B89" s="11"/>
      <c r="C89" s="11"/>
      <c r="D89" s="11"/>
      <c r="E89" s="11"/>
      <c r="F89" s="11"/>
      <c r="G89" s="27"/>
      <c r="H89" s="15"/>
      <c r="I89" s="11"/>
      <c r="J89" s="11"/>
      <c r="K89" s="15"/>
      <c r="L89" s="15"/>
      <c r="M89" s="15"/>
      <c r="N89" s="11"/>
      <c r="O89" s="15"/>
      <c r="P89" s="11"/>
      <c r="Q89" s="11"/>
      <c r="R89" s="15"/>
      <c r="S89" s="11"/>
      <c r="T89" s="11"/>
      <c r="U89" s="15"/>
      <c r="V89" s="15"/>
      <c r="W89" s="15"/>
      <c r="X89" s="11"/>
      <c r="Y89" s="15"/>
      <c r="Z89" s="11"/>
      <c r="AA89" s="11"/>
      <c r="AB89" s="15"/>
      <c r="AC89" s="11"/>
      <c r="AD89" s="11"/>
      <c r="AE89" s="15"/>
      <c r="AF89" s="15"/>
      <c r="AG89" s="15"/>
      <c r="AH89" s="11"/>
      <c r="AI89" s="15"/>
      <c r="AJ89" s="11"/>
      <c r="AK89" s="11"/>
      <c r="AL89" s="15"/>
      <c r="AM89" s="11"/>
      <c r="AN89" s="11"/>
      <c r="AO89" s="15"/>
      <c r="AP89" s="15"/>
      <c r="AQ89" s="15"/>
      <c r="AR89" s="11"/>
      <c r="AS89" s="15"/>
      <c r="AT89" s="11"/>
      <c r="AU89" s="11"/>
      <c r="AV89" s="15"/>
      <c r="AW89" s="11"/>
      <c r="AX89" s="11"/>
      <c r="AY89" s="15"/>
      <c r="AZ89" s="11"/>
      <c r="BA89" s="11"/>
      <c r="BB89" s="11"/>
      <c r="BC89" s="11"/>
      <c r="BD89" s="11"/>
      <c r="BE89" s="11"/>
      <c r="BF89" s="28"/>
      <c r="BG89" s="28"/>
      <c r="BH89" s="11"/>
      <c r="BI89" s="29"/>
      <c r="BJ89" s="11"/>
      <c r="BK89" s="11"/>
      <c r="BL89" s="11"/>
      <c r="BM89" s="11"/>
      <c r="BN89" s="11"/>
      <c r="BO89" s="11"/>
      <c r="BP89" s="11"/>
      <c r="BQ89" s="28"/>
      <c r="BR89" s="28"/>
      <c r="BS89" s="11"/>
      <c r="BT89" s="29"/>
      <c r="BU89" s="11"/>
      <c r="BV89" s="11"/>
      <c r="BW89" s="11"/>
      <c r="BX89" s="11"/>
      <c r="BY89" s="11"/>
      <c r="BZ89" s="11"/>
      <c r="CA89" s="11"/>
      <c r="CB89" s="11"/>
      <c r="CC89" s="29"/>
      <c r="CD89" s="28"/>
      <c r="CE89" s="11"/>
      <c r="CF89" s="11"/>
      <c r="CG89" s="11"/>
      <c r="CH89" s="29"/>
      <c r="CI89" s="28"/>
      <c r="CJ89" s="11"/>
      <c r="CK89" s="11"/>
      <c r="CL89" s="11"/>
      <c r="CM89" s="29"/>
      <c r="CN89" s="28"/>
      <c r="CO89" s="11"/>
      <c r="CP89" s="11"/>
      <c r="CQ89" s="11"/>
      <c r="CR89" s="29"/>
      <c r="CS89" s="28"/>
      <c r="CT89" s="30"/>
      <c r="CU89" s="30"/>
      <c r="CV89" s="30"/>
      <c r="CW89" s="30"/>
      <c r="CX89" s="30" t="str">
        <f t="shared" si="0"/>
        <v/>
      </c>
    </row>
    <row r="90" spans="1:102" ht="16.5">
      <c r="A90" s="11"/>
      <c r="B90" s="11"/>
      <c r="C90" s="11"/>
      <c r="D90" s="11"/>
      <c r="E90" s="11"/>
      <c r="F90" s="11"/>
      <c r="G90" s="27"/>
      <c r="H90" s="15"/>
      <c r="I90" s="11"/>
      <c r="J90" s="11"/>
      <c r="K90" s="15"/>
      <c r="L90" s="15"/>
      <c r="M90" s="15"/>
      <c r="N90" s="11"/>
      <c r="O90" s="15"/>
      <c r="P90" s="11"/>
      <c r="Q90" s="11"/>
      <c r="R90" s="15"/>
      <c r="S90" s="11"/>
      <c r="T90" s="11"/>
      <c r="U90" s="15"/>
      <c r="V90" s="15"/>
      <c r="W90" s="15"/>
      <c r="X90" s="11"/>
      <c r="Y90" s="15"/>
      <c r="Z90" s="11"/>
      <c r="AA90" s="11"/>
      <c r="AB90" s="15"/>
      <c r="AC90" s="11"/>
      <c r="AD90" s="11"/>
      <c r="AE90" s="15"/>
      <c r="AF90" s="15"/>
      <c r="AG90" s="15"/>
      <c r="AH90" s="11"/>
      <c r="AI90" s="15"/>
      <c r="AJ90" s="11"/>
      <c r="AK90" s="11"/>
      <c r="AL90" s="15"/>
      <c r="AM90" s="11"/>
      <c r="AN90" s="11"/>
      <c r="AO90" s="15"/>
      <c r="AP90" s="15"/>
      <c r="AQ90" s="15"/>
      <c r="AR90" s="11"/>
      <c r="AS90" s="15"/>
      <c r="AT90" s="11"/>
      <c r="AU90" s="11"/>
      <c r="AV90" s="15"/>
      <c r="AW90" s="11"/>
      <c r="AX90" s="11"/>
      <c r="AY90" s="15"/>
      <c r="AZ90" s="11"/>
      <c r="BA90" s="11"/>
      <c r="BB90" s="11"/>
      <c r="BC90" s="11"/>
      <c r="BD90" s="11"/>
      <c r="BE90" s="11"/>
      <c r="BF90" s="28"/>
      <c r="BG90" s="28"/>
      <c r="BH90" s="11"/>
      <c r="BI90" s="29"/>
      <c r="BJ90" s="11"/>
      <c r="BK90" s="11"/>
      <c r="BL90" s="11"/>
      <c r="BM90" s="11"/>
      <c r="BN90" s="11"/>
      <c r="BO90" s="11"/>
      <c r="BP90" s="11"/>
      <c r="BQ90" s="28"/>
      <c r="BR90" s="28"/>
      <c r="BS90" s="11"/>
      <c r="BT90" s="29"/>
      <c r="BU90" s="11"/>
      <c r="BV90" s="11"/>
      <c r="BW90" s="11"/>
      <c r="BX90" s="11"/>
      <c r="BY90" s="11"/>
      <c r="BZ90" s="11"/>
      <c r="CA90" s="11"/>
      <c r="CB90" s="11"/>
      <c r="CC90" s="29"/>
      <c r="CD90" s="28"/>
      <c r="CE90" s="11"/>
      <c r="CF90" s="11"/>
      <c r="CG90" s="11"/>
      <c r="CH90" s="29"/>
      <c r="CI90" s="28"/>
      <c r="CJ90" s="11"/>
      <c r="CK90" s="11"/>
      <c r="CL90" s="11"/>
      <c r="CM90" s="29"/>
      <c r="CN90" s="28"/>
      <c r="CO90" s="11"/>
      <c r="CP90" s="11"/>
      <c r="CQ90" s="11"/>
      <c r="CR90" s="29"/>
      <c r="CS90" s="28"/>
      <c r="CT90" s="30"/>
      <c r="CU90" s="30"/>
      <c r="CV90" s="30"/>
      <c r="CW90" s="30"/>
      <c r="CX90" s="30" t="str">
        <f t="shared" si="0"/>
        <v/>
      </c>
    </row>
    <row r="91" spans="1:102" ht="16.5">
      <c r="A91" s="11"/>
      <c r="B91" s="11"/>
      <c r="C91" s="11"/>
      <c r="D91" s="11"/>
      <c r="E91" s="11"/>
      <c r="F91" s="11"/>
      <c r="G91" s="27"/>
      <c r="H91" s="15"/>
      <c r="I91" s="11"/>
      <c r="J91" s="11"/>
      <c r="K91" s="15"/>
      <c r="L91" s="15"/>
      <c r="M91" s="15"/>
      <c r="N91" s="11"/>
      <c r="O91" s="15"/>
      <c r="P91" s="11"/>
      <c r="Q91" s="11"/>
      <c r="R91" s="15"/>
      <c r="S91" s="11"/>
      <c r="T91" s="11"/>
      <c r="U91" s="15"/>
      <c r="V91" s="15"/>
      <c r="W91" s="15"/>
      <c r="X91" s="11"/>
      <c r="Y91" s="15"/>
      <c r="Z91" s="11"/>
      <c r="AA91" s="11"/>
      <c r="AB91" s="15"/>
      <c r="AC91" s="11"/>
      <c r="AD91" s="11"/>
      <c r="AE91" s="15"/>
      <c r="AF91" s="15"/>
      <c r="AG91" s="15"/>
      <c r="AH91" s="11"/>
      <c r="AI91" s="15"/>
      <c r="AJ91" s="11"/>
      <c r="AK91" s="11"/>
      <c r="AL91" s="15"/>
      <c r="AM91" s="11"/>
      <c r="AN91" s="11"/>
      <c r="AO91" s="15"/>
      <c r="AP91" s="15"/>
      <c r="AQ91" s="15"/>
      <c r="AR91" s="11"/>
      <c r="AS91" s="15"/>
      <c r="AT91" s="11"/>
      <c r="AU91" s="11"/>
      <c r="AV91" s="15"/>
      <c r="AW91" s="11"/>
      <c r="AX91" s="11"/>
      <c r="AY91" s="15"/>
      <c r="AZ91" s="11"/>
      <c r="BA91" s="11"/>
      <c r="BB91" s="11"/>
      <c r="BC91" s="11"/>
      <c r="BD91" s="11"/>
      <c r="BE91" s="11"/>
      <c r="BF91" s="28"/>
      <c r="BG91" s="28"/>
      <c r="BH91" s="11"/>
      <c r="BI91" s="29"/>
      <c r="BJ91" s="11"/>
      <c r="BK91" s="11"/>
      <c r="BL91" s="11"/>
      <c r="BM91" s="11"/>
      <c r="BN91" s="11"/>
      <c r="BO91" s="11"/>
      <c r="BP91" s="11"/>
      <c r="BQ91" s="28"/>
      <c r="BR91" s="28"/>
      <c r="BS91" s="11"/>
      <c r="BT91" s="29"/>
      <c r="BU91" s="11"/>
      <c r="BV91" s="11"/>
      <c r="BW91" s="11"/>
      <c r="BX91" s="11"/>
      <c r="BY91" s="11"/>
      <c r="BZ91" s="11"/>
      <c r="CA91" s="11"/>
      <c r="CB91" s="11"/>
      <c r="CC91" s="29"/>
      <c r="CD91" s="28"/>
      <c r="CE91" s="11"/>
      <c r="CF91" s="11"/>
      <c r="CG91" s="11"/>
      <c r="CH91" s="29"/>
      <c r="CI91" s="28"/>
      <c r="CJ91" s="11"/>
      <c r="CK91" s="11"/>
      <c r="CL91" s="11"/>
      <c r="CM91" s="29"/>
      <c r="CN91" s="28"/>
      <c r="CO91" s="11"/>
      <c r="CP91" s="11"/>
      <c r="CQ91" s="11"/>
      <c r="CR91" s="29"/>
      <c r="CS91" s="28"/>
      <c r="CT91" s="30"/>
      <c r="CU91" s="30"/>
      <c r="CV91" s="30"/>
      <c r="CW91" s="30"/>
      <c r="CX91" s="30" t="str">
        <f t="shared" si="0"/>
        <v/>
      </c>
    </row>
    <row r="92" spans="1:102" ht="16.5">
      <c r="A92" s="11"/>
      <c r="B92" s="11"/>
      <c r="C92" s="11"/>
      <c r="D92" s="11"/>
      <c r="E92" s="11"/>
      <c r="F92" s="11"/>
      <c r="G92" s="27"/>
      <c r="H92" s="15"/>
      <c r="I92" s="11"/>
      <c r="J92" s="11"/>
      <c r="K92" s="15"/>
      <c r="L92" s="15"/>
      <c r="M92" s="15"/>
      <c r="N92" s="11"/>
      <c r="O92" s="15"/>
      <c r="P92" s="11"/>
      <c r="Q92" s="11"/>
      <c r="R92" s="15"/>
      <c r="S92" s="11"/>
      <c r="T92" s="11"/>
      <c r="U92" s="15"/>
      <c r="V92" s="15"/>
      <c r="W92" s="15"/>
      <c r="X92" s="11"/>
      <c r="Y92" s="15"/>
      <c r="Z92" s="11"/>
      <c r="AA92" s="11"/>
      <c r="AB92" s="15"/>
      <c r="AC92" s="11"/>
      <c r="AD92" s="11"/>
      <c r="AE92" s="15"/>
      <c r="AF92" s="15"/>
      <c r="AG92" s="15"/>
      <c r="AH92" s="11"/>
      <c r="AI92" s="15"/>
      <c r="AJ92" s="11"/>
      <c r="AK92" s="11"/>
      <c r="AL92" s="15"/>
      <c r="AM92" s="11"/>
      <c r="AN92" s="11"/>
      <c r="AO92" s="15"/>
      <c r="AP92" s="15"/>
      <c r="AQ92" s="15"/>
      <c r="AR92" s="11"/>
      <c r="AS92" s="15"/>
      <c r="AT92" s="11"/>
      <c r="AU92" s="11"/>
      <c r="AV92" s="15"/>
      <c r="AW92" s="11"/>
      <c r="AX92" s="11"/>
      <c r="AY92" s="15"/>
      <c r="AZ92" s="11"/>
      <c r="BA92" s="11"/>
      <c r="BB92" s="11"/>
      <c r="BC92" s="11"/>
      <c r="BD92" s="11"/>
      <c r="BE92" s="11"/>
      <c r="BF92" s="28"/>
      <c r="BG92" s="28"/>
      <c r="BH92" s="11"/>
      <c r="BI92" s="29"/>
      <c r="BJ92" s="11"/>
      <c r="BK92" s="11"/>
      <c r="BL92" s="11"/>
      <c r="BM92" s="11"/>
      <c r="BN92" s="11"/>
      <c r="BO92" s="11"/>
      <c r="BP92" s="11"/>
      <c r="BQ92" s="28"/>
      <c r="BR92" s="28"/>
      <c r="BS92" s="11"/>
      <c r="BT92" s="29"/>
      <c r="BU92" s="11"/>
      <c r="BV92" s="11"/>
      <c r="BW92" s="11"/>
      <c r="BX92" s="11"/>
      <c r="BY92" s="11"/>
      <c r="BZ92" s="11"/>
      <c r="CA92" s="11"/>
      <c r="CB92" s="11"/>
      <c r="CC92" s="29"/>
      <c r="CD92" s="28"/>
      <c r="CE92" s="11"/>
      <c r="CF92" s="11"/>
      <c r="CG92" s="11"/>
      <c r="CH92" s="29"/>
      <c r="CI92" s="28"/>
      <c r="CJ92" s="11"/>
      <c r="CK92" s="11"/>
      <c r="CL92" s="11"/>
      <c r="CM92" s="29"/>
      <c r="CN92" s="28"/>
      <c r="CO92" s="11"/>
      <c r="CP92" s="11"/>
      <c r="CQ92" s="11"/>
      <c r="CR92" s="29"/>
      <c r="CS92" s="28"/>
      <c r="CT92" s="30"/>
      <c r="CU92" s="30"/>
      <c r="CV92" s="30"/>
      <c r="CW92" s="30"/>
      <c r="CX92" s="30" t="str">
        <f t="shared" si="0"/>
        <v/>
      </c>
    </row>
    <row r="93" spans="1:102" ht="16.5">
      <c r="A93" s="11"/>
      <c r="B93" s="11"/>
      <c r="C93" s="11"/>
      <c r="D93" s="11"/>
      <c r="E93" s="11"/>
      <c r="F93" s="11"/>
      <c r="G93" s="27"/>
      <c r="H93" s="15"/>
      <c r="I93" s="11"/>
      <c r="J93" s="11"/>
      <c r="K93" s="15"/>
      <c r="L93" s="15"/>
      <c r="M93" s="15"/>
      <c r="N93" s="11"/>
      <c r="O93" s="15"/>
      <c r="P93" s="11"/>
      <c r="Q93" s="11"/>
      <c r="R93" s="15"/>
      <c r="S93" s="11"/>
      <c r="T93" s="11"/>
      <c r="U93" s="15"/>
      <c r="V93" s="15"/>
      <c r="W93" s="15"/>
      <c r="X93" s="11"/>
      <c r="Y93" s="15"/>
      <c r="Z93" s="11"/>
      <c r="AA93" s="11"/>
      <c r="AB93" s="15"/>
      <c r="AC93" s="11"/>
      <c r="AD93" s="11"/>
      <c r="AE93" s="15"/>
      <c r="AF93" s="15"/>
      <c r="AG93" s="15"/>
      <c r="AH93" s="11"/>
      <c r="AI93" s="15"/>
      <c r="AJ93" s="11"/>
      <c r="AK93" s="11"/>
      <c r="AL93" s="15"/>
      <c r="AM93" s="11"/>
      <c r="AN93" s="11"/>
      <c r="AO93" s="15"/>
      <c r="AP93" s="15"/>
      <c r="AQ93" s="15"/>
      <c r="AR93" s="11"/>
      <c r="AS93" s="15"/>
      <c r="AT93" s="11"/>
      <c r="AU93" s="11"/>
      <c r="AV93" s="15"/>
      <c r="AW93" s="11"/>
      <c r="AX93" s="11"/>
      <c r="AY93" s="15"/>
      <c r="AZ93" s="11"/>
      <c r="BA93" s="11"/>
      <c r="BB93" s="11"/>
      <c r="BC93" s="11"/>
      <c r="BD93" s="11"/>
      <c r="BE93" s="11"/>
      <c r="BF93" s="28"/>
      <c r="BG93" s="28"/>
      <c r="BH93" s="11"/>
      <c r="BI93" s="29"/>
      <c r="BJ93" s="11"/>
      <c r="BK93" s="11"/>
      <c r="BL93" s="11"/>
      <c r="BM93" s="11"/>
      <c r="BN93" s="11"/>
      <c r="BO93" s="11"/>
      <c r="BP93" s="11"/>
      <c r="BQ93" s="28"/>
      <c r="BR93" s="28"/>
      <c r="BS93" s="11"/>
      <c r="BT93" s="29"/>
      <c r="BU93" s="11"/>
      <c r="BV93" s="11"/>
      <c r="BW93" s="11"/>
      <c r="BX93" s="11"/>
      <c r="BY93" s="11"/>
      <c r="BZ93" s="11"/>
      <c r="CA93" s="11"/>
      <c r="CB93" s="11"/>
      <c r="CC93" s="29"/>
      <c r="CD93" s="28"/>
      <c r="CE93" s="11"/>
      <c r="CF93" s="11"/>
      <c r="CG93" s="11"/>
      <c r="CH93" s="29"/>
      <c r="CI93" s="28"/>
      <c r="CJ93" s="11"/>
      <c r="CK93" s="11"/>
      <c r="CL93" s="11"/>
      <c r="CM93" s="29"/>
      <c r="CN93" s="28"/>
      <c r="CO93" s="11"/>
      <c r="CP93" s="11"/>
      <c r="CQ93" s="11"/>
      <c r="CR93" s="29"/>
      <c r="CS93" s="28"/>
      <c r="CT93" s="30"/>
      <c r="CU93" s="30"/>
      <c r="CV93" s="30"/>
      <c r="CW93" s="30"/>
      <c r="CX93" s="30" t="str">
        <f t="shared" si="0"/>
        <v/>
      </c>
    </row>
    <row r="94" spans="1:102" ht="16.5">
      <c r="A94" s="11"/>
      <c r="B94" s="11"/>
      <c r="C94" s="11"/>
      <c r="D94" s="11"/>
      <c r="E94" s="11"/>
      <c r="F94" s="11"/>
      <c r="G94" s="27"/>
      <c r="H94" s="15"/>
      <c r="I94" s="11"/>
      <c r="J94" s="11"/>
      <c r="K94" s="15"/>
      <c r="L94" s="15"/>
      <c r="M94" s="15"/>
      <c r="N94" s="11"/>
      <c r="O94" s="15"/>
      <c r="P94" s="11"/>
      <c r="Q94" s="11"/>
      <c r="R94" s="15"/>
      <c r="S94" s="11"/>
      <c r="T94" s="11"/>
      <c r="U94" s="15"/>
      <c r="V94" s="15"/>
      <c r="W94" s="15"/>
      <c r="X94" s="11"/>
      <c r="Y94" s="15"/>
      <c r="Z94" s="11"/>
      <c r="AA94" s="11"/>
      <c r="AB94" s="15"/>
      <c r="AC94" s="11"/>
      <c r="AD94" s="11"/>
      <c r="AE94" s="15"/>
      <c r="AF94" s="15"/>
      <c r="AG94" s="15"/>
      <c r="AH94" s="11"/>
      <c r="AI94" s="15"/>
      <c r="AJ94" s="11"/>
      <c r="AK94" s="11"/>
      <c r="AL94" s="15"/>
      <c r="AM94" s="11"/>
      <c r="AN94" s="11"/>
      <c r="AO94" s="15"/>
      <c r="AP94" s="15"/>
      <c r="AQ94" s="15"/>
      <c r="AR94" s="11"/>
      <c r="AS94" s="15"/>
      <c r="AT94" s="11"/>
      <c r="AU94" s="11"/>
      <c r="AV94" s="15"/>
      <c r="AW94" s="11"/>
      <c r="AX94" s="11"/>
      <c r="AY94" s="15"/>
      <c r="AZ94" s="11"/>
      <c r="BA94" s="11"/>
      <c r="BB94" s="11"/>
      <c r="BC94" s="11"/>
      <c r="BD94" s="11"/>
      <c r="BE94" s="11"/>
      <c r="BF94" s="28"/>
      <c r="BG94" s="28"/>
      <c r="BH94" s="11"/>
      <c r="BI94" s="29"/>
      <c r="BJ94" s="11"/>
      <c r="BK94" s="11"/>
      <c r="BL94" s="11"/>
      <c r="BM94" s="11"/>
      <c r="BN94" s="11"/>
      <c r="BO94" s="11"/>
      <c r="BP94" s="11"/>
      <c r="BQ94" s="28"/>
      <c r="BR94" s="28"/>
      <c r="BS94" s="11"/>
      <c r="BT94" s="29"/>
      <c r="BU94" s="11"/>
      <c r="BV94" s="11"/>
      <c r="BW94" s="11"/>
      <c r="BX94" s="11"/>
      <c r="BY94" s="11"/>
      <c r="BZ94" s="11"/>
      <c r="CA94" s="11"/>
      <c r="CB94" s="11"/>
      <c r="CC94" s="29"/>
      <c r="CD94" s="28"/>
      <c r="CE94" s="11"/>
      <c r="CF94" s="11"/>
      <c r="CG94" s="11"/>
      <c r="CH94" s="29"/>
      <c r="CI94" s="28"/>
      <c r="CJ94" s="11"/>
      <c r="CK94" s="11"/>
      <c r="CL94" s="11"/>
      <c r="CM94" s="29"/>
      <c r="CN94" s="28"/>
      <c r="CO94" s="11"/>
      <c r="CP94" s="11"/>
      <c r="CQ94" s="11"/>
      <c r="CR94" s="29"/>
      <c r="CS94" s="28"/>
      <c r="CT94" s="30"/>
      <c r="CU94" s="30"/>
      <c r="CV94" s="30"/>
      <c r="CW94" s="30"/>
      <c r="CX94" s="30" t="str">
        <f t="shared" si="0"/>
        <v/>
      </c>
    </row>
    <row r="95" spans="1:102" ht="16.5">
      <c r="A95" s="11"/>
      <c r="B95" s="11"/>
      <c r="C95" s="11"/>
      <c r="D95" s="11"/>
      <c r="E95" s="11"/>
      <c r="F95" s="11"/>
      <c r="G95" s="27"/>
      <c r="H95" s="15"/>
      <c r="I95" s="11"/>
      <c r="J95" s="11"/>
      <c r="K95" s="15"/>
      <c r="L95" s="15"/>
      <c r="M95" s="15"/>
      <c r="N95" s="11"/>
      <c r="O95" s="15"/>
      <c r="P95" s="11"/>
      <c r="Q95" s="11"/>
      <c r="R95" s="15"/>
      <c r="S95" s="11"/>
      <c r="T95" s="11"/>
      <c r="U95" s="15"/>
      <c r="V95" s="15"/>
      <c r="W95" s="15"/>
      <c r="X95" s="11"/>
      <c r="Y95" s="15"/>
      <c r="Z95" s="11"/>
      <c r="AA95" s="11"/>
      <c r="AB95" s="15"/>
      <c r="AC95" s="11"/>
      <c r="AD95" s="11"/>
      <c r="AE95" s="15"/>
      <c r="AF95" s="15"/>
      <c r="AG95" s="15"/>
      <c r="AH95" s="11"/>
      <c r="AI95" s="15"/>
      <c r="AJ95" s="11"/>
      <c r="AK95" s="11"/>
      <c r="AL95" s="15"/>
      <c r="AM95" s="11"/>
      <c r="AN95" s="11"/>
      <c r="AO95" s="15"/>
      <c r="AP95" s="15"/>
      <c r="AQ95" s="15"/>
      <c r="AR95" s="11"/>
      <c r="AS95" s="15"/>
      <c r="AT95" s="11"/>
      <c r="AU95" s="11"/>
      <c r="AV95" s="15"/>
      <c r="AW95" s="11"/>
      <c r="AX95" s="11"/>
      <c r="AY95" s="15"/>
      <c r="AZ95" s="11"/>
      <c r="BA95" s="11"/>
      <c r="BB95" s="11"/>
      <c r="BC95" s="11"/>
      <c r="BD95" s="11"/>
      <c r="BE95" s="11"/>
      <c r="BF95" s="28"/>
      <c r="BG95" s="28"/>
      <c r="BH95" s="11"/>
      <c r="BI95" s="29"/>
      <c r="BJ95" s="11"/>
      <c r="BK95" s="11"/>
      <c r="BL95" s="11"/>
      <c r="BM95" s="11"/>
      <c r="BN95" s="11"/>
      <c r="BO95" s="11"/>
      <c r="BP95" s="11"/>
      <c r="BQ95" s="28"/>
      <c r="BR95" s="28"/>
      <c r="BS95" s="11"/>
      <c r="BT95" s="29"/>
      <c r="BU95" s="11"/>
      <c r="BV95" s="11"/>
      <c r="BW95" s="11"/>
      <c r="BX95" s="11"/>
      <c r="BY95" s="11"/>
      <c r="BZ95" s="11"/>
      <c r="CA95" s="11"/>
      <c r="CB95" s="11"/>
      <c r="CC95" s="29"/>
      <c r="CD95" s="28"/>
      <c r="CE95" s="11"/>
      <c r="CF95" s="11"/>
      <c r="CG95" s="11"/>
      <c r="CH95" s="29"/>
      <c r="CI95" s="28"/>
      <c r="CJ95" s="11"/>
      <c r="CK95" s="11"/>
      <c r="CL95" s="11"/>
      <c r="CM95" s="29"/>
      <c r="CN95" s="28"/>
      <c r="CO95" s="11"/>
      <c r="CP95" s="11"/>
      <c r="CQ95" s="11"/>
      <c r="CR95" s="29"/>
      <c r="CS95" s="28"/>
      <c r="CT95" s="30"/>
      <c r="CU95" s="30"/>
      <c r="CV95" s="30"/>
      <c r="CW95" s="30"/>
      <c r="CX95" s="30" t="str">
        <f t="shared" si="0"/>
        <v/>
      </c>
    </row>
    <row r="96" spans="1:102" ht="16.5">
      <c r="A96" s="11"/>
      <c r="B96" s="11"/>
      <c r="C96" s="11"/>
      <c r="D96" s="11"/>
      <c r="E96" s="11"/>
      <c r="F96" s="11"/>
      <c r="G96" s="27"/>
      <c r="H96" s="15"/>
      <c r="I96" s="11"/>
      <c r="J96" s="11"/>
      <c r="K96" s="15"/>
      <c r="L96" s="15"/>
      <c r="M96" s="15"/>
      <c r="N96" s="11"/>
      <c r="O96" s="15"/>
      <c r="P96" s="11"/>
      <c r="Q96" s="11"/>
      <c r="R96" s="15"/>
      <c r="S96" s="11"/>
      <c r="T96" s="11"/>
      <c r="U96" s="15"/>
      <c r="V96" s="15"/>
      <c r="W96" s="15"/>
      <c r="X96" s="11"/>
      <c r="Y96" s="15"/>
      <c r="Z96" s="11"/>
      <c r="AA96" s="11"/>
      <c r="AB96" s="15"/>
      <c r="AC96" s="11"/>
      <c r="AD96" s="11"/>
      <c r="AE96" s="15"/>
      <c r="AF96" s="15"/>
      <c r="AG96" s="15"/>
      <c r="AH96" s="11"/>
      <c r="AI96" s="15"/>
      <c r="AJ96" s="11"/>
      <c r="AK96" s="11"/>
      <c r="AL96" s="15"/>
      <c r="AM96" s="11"/>
      <c r="AN96" s="11"/>
      <c r="AO96" s="15"/>
      <c r="AP96" s="15"/>
      <c r="AQ96" s="15"/>
      <c r="AR96" s="11"/>
      <c r="AS96" s="15"/>
      <c r="AT96" s="11"/>
      <c r="AU96" s="11"/>
      <c r="AV96" s="15"/>
      <c r="AW96" s="11"/>
      <c r="AX96" s="11"/>
      <c r="AY96" s="15"/>
      <c r="AZ96" s="11"/>
      <c r="BA96" s="11"/>
      <c r="BB96" s="11"/>
      <c r="BC96" s="11"/>
      <c r="BD96" s="11"/>
      <c r="BE96" s="11"/>
      <c r="BF96" s="28"/>
      <c r="BG96" s="28"/>
      <c r="BH96" s="11"/>
      <c r="BI96" s="29"/>
      <c r="BJ96" s="11"/>
      <c r="BK96" s="11"/>
      <c r="BL96" s="11"/>
      <c r="BM96" s="11"/>
      <c r="BN96" s="11"/>
      <c r="BO96" s="11"/>
      <c r="BP96" s="11"/>
      <c r="BQ96" s="28"/>
      <c r="BR96" s="28"/>
      <c r="BS96" s="11"/>
      <c r="BT96" s="29"/>
      <c r="BU96" s="11"/>
      <c r="BV96" s="11"/>
      <c r="BW96" s="11"/>
      <c r="BX96" s="11"/>
      <c r="BY96" s="11"/>
      <c r="BZ96" s="11"/>
      <c r="CA96" s="11"/>
      <c r="CB96" s="11"/>
      <c r="CC96" s="29"/>
      <c r="CD96" s="28"/>
      <c r="CE96" s="11"/>
      <c r="CF96" s="11"/>
      <c r="CG96" s="11"/>
      <c r="CH96" s="29"/>
      <c r="CI96" s="28"/>
      <c r="CJ96" s="11"/>
      <c r="CK96" s="11"/>
      <c r="CL96" s="11"/>
      <c r="CM96" s="29"/>
      <c r="CN96" s="28"/>
      <c r="CO96" s="11"/>
      <c r="CP96" s="11"/>
      <c r="CQ96" s="11"/>
      <c r="CR96" s="29"/>
      <c r="CS96" s="28"/>
      <c r="CT96" s="30"/>
      <c r="CU96" s="30"/>
      <c r="CV96" s="30"/>
      <c r="CW96" s="30"/>
      <c r="CX96" s="30" t="str">
        <f t="shared" si="0"/>
        <v/>
      </c>
    </row>
    <row r="97" spans="1:102" ht="16.5">
      <c r="A97" s="11"/>
      <c r="B97" s="11"/>
      <c r="C97" s="11"/>
      <c r="D97" s="11"/>
      <c r="E97" s="11"/>
      <c r="F97" s="11"/>
      <c r="G97" s="27"/>
      <c r="H97" s="15"/>
      <c r="I97" s="11"/>
      <c r="J97" s="11"/>
      <c r="K97" s="15"/>
      <c r="L97" s="15"/>
      <c r="M97" s="15"/>
      <c r="N97" s="11"/>
      <c r="O97" s="15"/>
      <c r="P97" s="11"/>
      <c r="Q97" s="11"/>
      <c r="R97" s="15"/>
      <c r="S97" s="11"/>
      <c r="T97" s="11"/>
      <c r="U97" s="15"/>
      <c r="V97" s="15"/>
      <c r="W97" s="15"/>
      <c r="X97" s="11"/>
      <c r="Y97" s="15"/>
      <c r="Z97" s="11"/>
      <c r="AA97" s="11"/>
      <c r="AB97" s="15"/>
      <c r="AC97" s="11"/>
      <c r="AD97" s="11"/>
      <c r="AE97" s="15"/>
      <c r="AF97" s="15"/>
      <c r="AG97" s="15"/>
      <c r="AH97" s="11"/>
      <c r="AI97" s="15"/>
      <c r="AJ97" s="11"/>
      <c r="AK97" s="11"/>
      <c r="AL97" s="15"/>
      <c r="AM97" s="11"/>
      <c r="AN97" s="11"/>
      <c r="AO97" s="15"/>
      <c r="AP97" s="15"/>
      <c r="AQ97" s="15"/>
      <c r="AR97" s="11"/>
      <c r="AS97" s="15"/>
      <c r="AT97" s="11"/>
      <c r="AU97" s="11"/>
      <c r="AV97" s="15"/>
      <c r="AW97" s="11"/>
      <c r="AX97" s="11"/>
      <c r="AY97" s="15"/>
      <c r="AZ97" s="11"/>
      <c r="BA97" s="11"/>
      <c r="BB97" s="11"/>
      <c r="BC97" s="11"/>
      <c r="BD97" s="11"/>
      <c r="BE97" s="11"/>
      <c r="BF97" s="28"/>
      <c r="BG97" s="28"/>
      <c r="BH97" s="11"/>
      <c r="BI97" s="29"/>
      <c r="BJ97" s="11"/>
      <c r="BK97" s="11"/>
      <c r="BL97" s="11"/>
      <c r="BM97" s="11"/>
      <c r="BN97" s="11"/>
      <c r="BO97" s="11"/>
      <c r="BP97" s="11"/>
      <c r="BQ97" s="28"/>
      <c r="BR97" s="28"/>
      <c r="BS97" s="11"/>
      <c r="BT97" s="29"/>
      <c r="BU97" s="11"/>
      <c r="BV97" s="11"/>
      <c r="BW97" s="11"/>
      <c r="BX97" s="11"/>
      <c r="BY97" s="11"/>
      <c r="BZ97" s="11"/>
      <c r="CA97" s="11"/>
      <c r="CB97" s="11"/>
      <c r="CC97" s="29"/>
      <c r="CD97" s="28"/>
      <c r="CE97" s="11"/>
      <c r="CF97" s="11"/>
      <c r="CG97" s="11"/>
      <c r="CH97" s="29"/>
      <c r="CI97" s="28"/>
      <c r="CJ97" s="11"/>
      <c r="CK97" s="11"/>
      <c r="CL97" s="11"/>
      <c r="CM97" s="29"/>
      <c r="CN97" s="28"/>
      <c r="CO97" s="11"/>
      <c r="CP97" s="11"/>
      <c r="CQ97" s="11"/>
      <c r="CR97" s="29"/>
      <c r="CS97" s="28"/>
      <c r="CT97" s="30"/>
      <c r="CU97" s="30"/>
      <c r="CV97" s="30"/>
      <c r="CW97" s="30"/>
      <c r="CX97" s="30" t="str">
        <f t="shared" si="0"/>
        <v/>
      </c>
    </row>
    <row r="98" spans="1:102" ht="16.5">
      <c r="A98" s="11"/>
      <c r="B98" s="11"/>
      <c r="C98" s="11"/>
      <c r="D98" s="11"/>
      <c r="E98" s="11"/>
      <c r="F98" s="11"/>
      <c r="G98" s="27"/>
      <c r="H98" s="15"/>
      <c r="I98" s="11"/>
      <c r="J98" s="11"/>
      <c r="K98" s="15"/>
      <c r="L98" s="15"/>
      <c r="M98" s="15"/>
      <c r="N98" s="11"/>
      <c r="O98" s="15"/>
      <c r="P98" s="11"/>
      <c r="Q98" s="11"/>
      <c r="R98" s="15"/>
      <c r="S98" s="11"/>
      <c r="T98" s="11"/>
      <c r="U98" s="15"/>
      <c r="V98" s="15"/>
      <c r="W98" s="15"/>
      <c r="X98" s="11"/>
      <c r="Y98" s="15"/>
      <c r="Z98" s="11"/>
      <c r="AA98" s="11"/>
      <c r="AB98" s="15"/>
      <c r="AC98" s="11"/>
      <c r="AD98" s="11"/>
      <c r="AE98" s="15"/>
      <c r="AF98" s="15"/>
      <c r="AG98" s="15"/>
      <c r="AH98" s="11"/>
      <c r="AI98" s="15"/>
      <c r="AJ98" s="11"/>
      <c r="AK98" s="11"/>
      <c r="AL98" s="15"/>
      <c r="AM98" s="11"/>
      <c r="AN98" s="11"/>
      <c r="AO98" s="15"/>
      <c r="AP98" s="15"/>
      <c r="AQ98" s="15"/>
      <c r="AR98" s="11"/>
      <c r="AS98" s="15"/>
      <c r="AT98" s="11"/>
      <c r="AU98" s="11"/>
      <c r="AV98" s="15"/>
      <c r="AW98" s="11"/>
      <c r="AX98" s="11"/>
      <c r="AY98" s="15"/>
      <c r="AZ98" s="11"/>
      <c r="BA98" s="11"/>
      <c r="BB98" s="11"/>
      <c r="BC98" s="11"/>
      <c r="BD98" s="11"/>
      <c r="BE98" s="11"/>
      <c r="BF98" s="28"/>
      <c r="BG98" s="28"/>
      <c r="BH98" s="11"/>
      <c r="BI98" s="29"/>
      <c r="BJ98" s="11"/>
      <c r="BK98" s="11"/>
      <c r="BL98" s="11"/>
      <c r="BM98" s="11"/>
      <c r="BN98" s="11"/>
      <c r="BO98" s="11"/>
      <c r="BP98" s="11"/>
      <c r="BQ98" s="28"/>
      <c r="BR98" s="28"/>
      <c r="BS98" s="11"/>
      <c r="BT98" s="29"/>
      <c r="BU98" s="11"/>
      <c r="BV98" s="11"/>
      <c r="BW98" s="11"/>
      <c r="BX98" s="11"/>
      <c r="BY98" s="11"/>
      <c r="BZ98" s="11"/>
      <c r="CA98" s="11"/>
      <c r="CB98" s="11"/>
      <c r="CC98" s="29"/>
      <c r="CD98" s="28"/>
      <c r="CE98" s="11"/>
      <c r="CF98" s="11"/>
      <c r="CG98" s="11"/>
      <c r="CH98" s="29"/>
      <c r="CI98" s="28"/>
      <c r="CJ98" s="11"/>
      <c r="CK98" s="11"/>
      <c r="CL98" s="11"/>
      <c r="CM98" s="29"/>
      <c r="CN98" s="28"/>
      <c r="CO98" s="11"/>
      <c r="CP98" s="11"/>
      <c r="CQ98" s="11"/>
      <c r="CR98" s="29"/>
      <c r="CS98" s="28"/>
      <c r="CT98" s="30"/>
      <c r="CU98" s="30"/>
      <c r="CV98" s="30"/>
      <c r="CW98" s="30"/>
      <c r="CX98" s="30" t="str">
        <f t="shared" si="0"/>
        <v/>
      </c>
    </row>
    <row r="99" spans="1:102" ht="16.5">
      <c r="A99" s="11"/>
      <c r="B99" s="11"/>
      <c r="C99" s="11"/>
      <c r="D99" s="11"/>
      <c r="E99" s="11"/>
      <c r="F99" s="11"/>
      <c r="G99" s="27"/>
      <c r="H99" s="15"/>
      <c r="I99" s="11"/>
      <c r="J99" s="11"/>
      <c r="K99" s="15"/>
      <c r="L99" s="15"/>
      <c r="M99" s="15"/>
      <c r="N99" s="11"/>
      <c r="O99" s="15"/>
      <c r="P99" s="11"/>
      <c r="Q99" s="11"/>
      <c r="R99" s="15"/>
      <c r="S99" s="11"/>
      <c r="T99" s="11"/>
      <c r="U99" s="15"/>
      <c r="V99" s="15"/>
      <c r="W99" s="15"/>
      <c r="X99" s="11"/>
      <c r="Y99" s="15"/>
      <c r="Z99" s="11"/>
      <c r="AA99" s="11"/>
      <c r="AB99" s="15"/>
      <c r="AC99" s="11"/>
      <c r="AD99" s="11"/>
      <c r="AE99" s="15"/>
      <c r="AF99" s="15"/>
      <c r="AG99" s="15"/>
      <c r="AH99" s="11"/>
      <c r="AI99" s="15"/>
      <c r="AJ99" s="11"/>
      <c r="AK99" s="11"/>
      <c r="AL99" s="15"/>
      <c r="AM99" s="11"/>
      <c r="AN99" s="11"/>
      <c r="AO99" s="15"/>
      <c r="AP99" s="15"/>
      <c r="AQ99" s="15"/>
      <c r="AR99" s="11"/>
      <c r="AS99" s="15"/>
      <c r="AT99" s="11"/>
      <c r="AU99" s="11"/>
      <c r="AV99" s="15"/>
      <c r="AW99" s="11"/>
      <c r="AX99" s="11"/>
      <c r="AY99" s="15"/>
      <c r="AZ99" s="11"/>
      <c r="BA99" s="11"/>
      <c r="BB99" s="11"/>
      <c r="BC99" s="11"/>
      <c r="BD99" s="11"/>
      <c r="BE99" s="11"/>
      <c r="BF99" s="28"/>
      <c r="BG99" s="28"/>
      <c r="BH99" s="11"/>
      <c r="BI99" s="29"/>
      <c r="BJ99" s="11"/>
      <c r="BK99" s="11"/>
      <c r="BL99" s="11"/>
      <c r="BM99" s="11"/>
      <c r="BN99" s="11"/>
      <c r="BO99" s="11"/>
      <c r="BP99" s="11"/>
      <c r="BQ99" s="28"/>
      <c r="BR99" s="28"/>
      <c r="BS99" s="11"/>
      <c r="BT99" s="29"/>
      <c r="BU99" s="11"/>
      <c r="BV99" s="11"/>
      <c r="BW99" s="11"/>
      <c r="BX99" s="11"/>
      <c r="BY99" s="11"/>
      <c r="BZ99" s="11"/>
      <c r="CA99" s="11"/>
      <c r="CB99" s="11"/>
      <c r="CC99" s="29"/>
      <c r="CD99" s="28"/>
      <c r="CE99" s="11"/>
      <c r="CF99" s="11"/>
      <c r="CG99" s="11"/>
      <c r="CH99" s="29"/>
      <c r="CI99" s="28"/>
      <c r="CJ99" s="11"/>
      <c r="CK99" s="11"/>
      <c r="CL99" s="11"/>
      <c r="CM99" s="29"/>
      <c r="CN99" s="28"/>
      <c r="CO99" s="11"/>
      <c r="CP99" s="11"/>
      <c r="CQ99" s="11"/>
      <c r="CR99" s="29"/>
      <c r="CS99" s="28"/>
      <c r="CT99" s="30"/>
      <c r="CU99" s="30"/>
      <c r="CV99" s="30"/>
      <c r="CW99" s="30"/>
      <c r="CX99" s="30" t="str">
        <f t="shared" si="0"/>
        <v/>
      </c>
    </row>
    <row r="100" spans="1:102" ht="16.5">
      <c r="A100" s="11"/>
      <c r="B100" s="11"/>
      <c r="C100" s="11"/>
      <c r="D100" s="11"/>
      <c r="E100" s="11"/>
      <c r="F100" s="11"/>
      <c r="G100" s="27"/>
      <c r="H100" s="15"/>
      <c r="I100" s="11"/>
      <c r="J100" s="11"/>
      <c r="K100" s="15"/>
      <c r="L100" s="15"/>
      <c r="M100" s="15"/>
      <c r="N100" s="11"/>
      <c r="O100" s="15"/>
      <c r="P100" s="11"/>
      <c r="Q100" s="11"/>
      <c r="R100" s="15"/>
      <c r="S100" s="11"/>
      <c r="T100" s="11"/>
      <c r="U100" s="15"/>
      <c r="V100" s="15"/>
      <c r="W100" s="15"/>
      <c r="X100" s="11"/>
      <c r="Y100" s="15"/>
      <c r="Z100" s="11"/>
      <c r="AA100" s="11"/>
      <c r="AB100" s="15"/>
      <c r="AC100" s="11"/>
      <c r="AD100" s="11"/>
      <c r="AE100" s="15"/>
      <c r="AF100" s="15"/>
      <c r="AG100" s="15"/>
      <c r="AH100" s="11"/>
      <c r="AI100" s="15"/>
      <c r="AJ100" s="11"/>
      <c r="AK100" s="11"/>
      <c r="AL100" s="15"/>
      <c r="AM100" s="11"/>
      <c r="AN100" s="11"/>
      <c r="AO100" s="15"/>
      <c r="AP100" s="15"/>
      <c r="AQ100" s="15"/>
      <c r="AR100" s="11"/>
      <c r="AS100" s="15"/>
      <c r="AT100" s="11"/>
      <c r="AU100" s="11"/>
      <c r="AV100" s="15"/>
      <c r="AW100" s="11"/>
      <c r="AX100" s="11"/>
      <c r="AY100" s="15"/>
      <c r="AZ100" s="11"/>
      <c r="BA100" s="11"/>
      <c r="BB100" s="11"/>
      <c r="BC100" s="11"/>
      <c r="BD100" s="11"/>
      <c r="BE100" s="11"/>
      <c r="BF100" s="28"/>
      <c r="BG100" s="28"/>
      <c r="BH100" s="11"/>
      <c r="BI100" s="29"/>
      <c r="BJ100" s="11"/>
      <c r="BK100" s="11"/>
      <c r="BL100" s="11"/>
      <c r="BM100" s="11"/>
      <c r="BN100" s="11"/>
      <c r="BO100" s="11"/>
      <c r="BP100" s="11"/>
      <c r="BQ100" s="28"/>
      <c r="BR100" s="28"/>
      <c r="BS100" s="11"/>
      <c r="BT100" s="29"/>
      <c r="BU100" s="11"/>
      <c r="BV100" s="11"/>
      <c r="BW100" s="11"/>
      <c r="BX100" s="11"/>
      <c r="BY100" s="11"/>
      <c r="BZ100" s="11"/>
      <c r="CA100" s="11"/>
      <c r="CB100" s="11"/>
      <c r="CC100" s="29"/>
      <c r="CD100" s="28"/>
      <c r="CE100" s="11"/>
      <c r="CF100" s="11"/>
      <c r="CG100" s="11"/>
      <c r="CH100" s="29"/>
      <c r="CI100" s="28"/>
      <c r="CJ100" s="11"/>
      <c r="CK100" s="11"/>
      <c r="CL100" s="11"/>
      <c r="CM100" s="29"/>
      <c r="CN100" s="28"/>
      <c r="CO100" s="11"/>
      <c r="CP100" s="11"/>
      <c r="CQ100" s="11"/>
      <c r="CR100" s="29"/>
      <c r="CS100" s="28"/>
      <c r="CT100" s="30"/>
      <c r="CU100" s="30"/>
      <c r="CV100" s="30"/>
      <c r="CW100" s="30"/>
      <c r="CX100" s="30" t="str">
        <f t="shared" si="0"/>
        <v/>
      </c>
    </row>
  </sheetData>
  <autoFilter ref="A1:CX100" xr:uid="{00000000-0009-0000-0000-000008000000}"/>
  <conditionalFormatting sqref="G1:G100">
    <cfRule type="cellIs" dxfId="8" priority="2" operator="equal">
      <formula>"FALSE"</formula>
    </cfRule>
  </conditionalFormatting>
  <conditionalFormatting sqref="BF2:BG100 BQ2:BR100">
    <cfRule type="notContainsBlanks" dxfId="7" priority="1">
      <formula>LEN(TRIM(BF2))&gt;0</formula>
    </cfRule>
  </conditionalFormatting>
  <dataValidations count="3">
    <dataValidation type="list" allowBlank="1" showInputMessage="1" prompt="Select" sqref="CC2:CC100 CH2:CH100 CM2:CM100 CR2:CR100" xr:uid="{00000000-0002-0000-0800-000000000000}">
      <formula1>"read_only,collaborator,responsible_party"</formula1>
    </dataValidation>
    <dataValidation type="list" allowBlank="1" showInputMessage="1" prompt="Click and enter a value from the list of items" sqref="BI2:BI100 BT2:BT100" xr:uid="{00000000-0002-0000-0800-000001000000}">
      <formula1>"read_only,no_access"</formula1>
    </dataValidation>
    <dataValidation type="list" allowBlank="1" sqref="G2:G100 BF2:BG100 BQ2:BR100 CD2:CD100 CI2:CI100 CN2:CN100 CS2:CS100" xr:uid="{00000000-0002-0000-0800-000002000000}">
      <formula1>"TRUE,FALSE"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DATA ENTRY INSTRUCTIONS</vt:lpstr>
      <vt:lpstr>Internal -- USPTO Marks Identif</vt:lpstr>
      <vt:lpstr>Autotracking</vt:lpstr>
      <vt:lpstr>Migration Sheets --&gt;</vt:lpstr>
      <vt:lpstr>USPTO TMs</vt:lpstr>
      <vt:lpstr>CIPO TMs</vt:lpstr>
      <vt:lpstr>Intl and US State TMs</vt:lpstr>
      <vt:lpstr>Patents</vt:lpstr>
      <vt:lpstr>TTAB</vt:lpstr>
      <vt:lpstr>Disputes (Non-TTAB)</vt:lpstr>
      <vt:lpstr>Copyrights</vt:lpstr>
      <vt:lpstr>Custom Matters</vt:lpstr>
      <vt:lpstr>Journal</vt:lpstr>
      <vt:lpstr>Internal -- Blacklist</vt:lpstr>
      <vt:lpstr>Internal -- Trademark Countries</vt:lpstr>
      <vt:lpstr>SmartStatus</vt:lpstr>
      <vt:lpstr>Original Data --&gt;</vt:lpstr>
      <vt:lpstr>Organization Information</vt:lpstr>
      <vt:lpstr>Internal Sheets --&gt;</vt:lpstr>
      <vt:lpstr>Internal -- CPI Migration</vt:lpstr>
      <vt:lpstr>Internal -- Positioning</vt:lpstr>
      <vt:lpstr>Internal -- Patent Countries</vt:lpstr>
      <vt:lpstr>Internal -- Copyright Countries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Sophia Ottinger</cp:lastModifiedBy>
  <dcterms:created xsi:type="dcterms:W3CDTF">2024-02-19T14:00:54Z</dcterms:created>
  <dcterms:modified xsi:type="dcterms:W3CDTF">2024-02-19T14:00:55Z</dcterms:modified>
</cp:coreProperties>
</file>